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filterPrivacy="1" codeName="ThisWorkbook" defaultThemeVersion="124226"/>
  <xr:revisionPtr revIDLastSave="0" documentId="13_ncr:1_{9EE6B8F2-70C3-4D86-BB3B-B30EB99727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公司分析" sheetId="1" r:id="rId1"/>
    <sheet name="行业比较" sheetId="7" r:id="rId2"/>
    <sheet name="盈利预测" sheetId="5" r:id="rId3"/>
    <sheet name="主营构成" sheetId="9" r:id="rId4"/>
    <sheet name="Wind模板" sheetId="10" state="veryHidden" r:id="rId5"/>
    <sheet name="参数设置" sheetId="2" state="hidden" r:id="rId6"/>
    <sheet name="板块成分" sheetId="11" state="hidden" r:id="rId7"/>
  </sheets>
  <externalReferences>
    <externalReference r:id="rId8"/>
  </externalReferences>
  <definedNames>
    <definedName name="_xlnm._FilterDatabase" localSheetId="2" hidden="1">盈利预测!$D$14:$P$83</definedName>
    <definedName name="benchmark">参数设置!$P$4:$P$46</definedName>
    <definedName name="comparlastrep">参数设置!$D$6</definedName>
    <definedName name="comppool">参数设置!$V:$Y</definedName>
    <definedName name="currencyunit" localSheetId="2">盈利预测!$E$10</definedName>
    <definedName name="CurrencyUnit">参数设置!$G$3</definedName>
    <definedName name="gross_items">主营构成!$J$27:$N$31</definedName>
    <definedName name="holdertime">参数设置!$G$9</definedName>
    <definedName name="holdertimetype">参数设置!$C$9:$F$9</definedName>
    <definedName name="industrytype">参数设置!$U$3:$U$10</definedName>
    <definedName name="Institutionlist">参数设置!$B$16:$C$108</definedName>
    <definedName name="pricetype">参数设置!$C$8:$E$8</definedName>
    <definedName name="quantity">盈利预测!$Q$15:$Q$83</definedName>
    <definedName name="recentreportdate">参数设置!$D$4</definedName>
    <definedName name="reporttype">参数设置!$C$10:$F$10</definedName>
    <definedName name="rev_items">主营构成!$J$20:$N$24</definedName>
    <definedName name="rptype">参数设置!$G$10</definedName>
    <definedName name="rptype2">参数设置!$G$11</definedName>
    <definedName name="rptype3">参数设置!$G$12</definedName>
    <definedName name="rptype4">参数设置!$G$13</definedName>
    <definedName name="rptype5">参数设置!$G$14</definedName>
    <definedName name="series">参数设置!$V:$V</definedName>
    <definedName name="timetype">参数设置!$C$5:$E$5</definedName>
    <definedName name="Unit">参数设置!$C$3:$F$3</definedName>
  </definedNames>
  <calcPr calcId="191029"/>
</workbook>
</file>

<file path=xl/calcChain.xml><?xml version="1.0" encoding="utf-8"?>
<calcChain xmlns="http://schemas.openxmlformats.org/spreadsheetml/2006/main">
  <c r="D5" i="1" l="1"/>
  <c r="W5096" i="2"/>
  <c r="W5097" i="2"/>
  <c r="W5098" i="2"/>
  <c r="W5099" i="2"/>
  <c r="W5100" i="2"/>
  <c r="W5101" i="2"/>
  <c r="W5102" i="2"/>
  <c r="W5103" i="2"/>
  <c r="W5104" i="2"/>
  <c r="W5105" i="2"/>
  <c r="W5106" i="2"/>
  <c r="W5107" i="2"/>
  <c r="W5108" i="2"/>
  <c r="W5109" i="2"/>
  <c r="W5110" i="2"/>
  <c r="W5111" i="2"/>
  <c r="W5112" i="2"/>
  <c r="W5113" i="2"/>
  <c r="W5114" i="2"/>
  <c r="W5115" i="2"/>
  <c r="W5116" i="2"/>
  <c r="W5117" i="2"/>
  <c r="W5118" i="2"/>
  <c r="W5119" i="2"/>
  <c r="W5120" i="2"/>
  <c r="W5121" i="2"/>
  <c r="W5122" i="2"/>
  <c r="W5123" i="2"/>
  <c r="W5124" i="2"/>
  <c r="W5125" i="2"/>
  <c r="W5126" i="2"/>
  <c r="W5127" i="2"/>
  <c r="W5128" i="2"/>
  <c r="W5129" i="2"/>
  <c r="W5130" i="2"/>
  <c r="W5131" i="2"/>
  <c r="W5132" i="2"/>
  <c r="W5133" i="2"/>
  <c r="W5134" i="2"/>
  <c r="W5135" i="2"/>
  <c r="W5136" i="2"/>
  <c r="W5137" i="2"/>
  <c r="W5138" i="2"/>
  <c r="W5139" i="2"/>
  <c r="W5140" i="2"/>
  <c r="W5141" i="2"/>
  <c r="W5142" i="2"/>
  <c r="W5143" i="2"/>
  <c r="W5144" i="2"/>
  <c r="W5145" i="2"/>
  <c r="W5146" i="2"/>
  <c r="W5147" i="2"/>
  <c r="W5148" i="2"/>
  <c r="W5149" i="2"/>
  <c r="W5150" i="2"/>
  <c r="W5151" i="2"/>
  <c r="W5152" i="2"/>
  <c r="W5153" i="2"/>
  <c r="W5154" i="2"/>
  <c r="W5155" i="2"/>
  <c r="W5156" i="2"/>
  <c r="W5157" i="2"/>
  <c r="W5158" i="2"/>
  <c r="W5159" i="2"/>
  <c r="W5160" i="2"/>
  <c r="W5161" i="2"/>
  <c r="W5162" i="2"/>
  <c r="W5163" i="2"/>
  <c r="W5164" i="2"/>
  <c r="W5165" i="2"/>
  <c r="W5166" i="2"/>
  <c r="W5167" i="2"/>
  <c r="W5168" i="2"/>
  <c r="W5169" i="2"/>
  <c r="W5170" i="2"/>
  <c r="W5171" i="2"/>
  <c r="W5172" i="2"/>
  <c r="W5173" i="2"/>
  <c r="W5174" i="2"/>
  <c r="W5175" i="2"/>
  <c r="W5176" i="2"/>
  <c r="W5177" i="2"/>
  <c r="W5178" i="2"/>
  <c r="W5179" i="2"/>
  <c r="W5180" i="2"/>
  <c r="W5181" i="2"/>
  <c r="W5182" i="2"/>
  <c r="W5183" i="2"/>
  <c r="W5184" i="2"/>
  <c r="W5185" i="2"/>
  <c r="W5186" i="2"/>
  <c r="W5187" i="2"/>
  <c r="W5188" i="2"/>
  <c r="W5189" i="2"/>
  <c r="W5190" i="2"/>
  <c r="W5191" i="2"/>
  <c r="W5192" i="2"/>
  <c r="W5193" i="2"/>
  <c r="W5194" i="2"/>
  <c r="W5195" i="2"/>
  <c r="W5196" i="2"/>
  <c r="W5197" i="2"/>
  <c r="W5198" i="2"/>
  <c r="W5199" i="2"/>
  <c r="W5200" i="2"/>
  <c r="W5201" i="2"/>
  <c r="W5202" i="2"/>
  <c r="W5203" i="2"/>
  <c r="W5204" i="2"/>
  <c r="W5205" i="2"/>
  <c r="W5206" i="2"/>
  <c r="W5207" i="2"/>
  <c r="W5208" i="2"/>
  <c r="W5209" i="2"/>
  <c r="W5210" i="2"/>
  <c r="W5211" i="2"/>
  <c r="W5212" i="2"/>
  <c r="W5213" i="2"/>
  <c r="W5214" i="2"/>
  <c r="W5215" i="2"/>
  <c r="W5216" i="2"/>
  <c r="W5217" i="2"/>
  <c r="W5218" i="2"/>
  <c r="W5219" i="2"/>
  <c r="W5220" i="2"/>
  <c r="W5221" i="2"/>
  <c r="W5222" i="2"/>
  <c r="W5223" i="2"/>
  <c r="W5224" i="2"/>
  <c r="W5225" i="2"/>
  <c r="W5226" i="2"/>
  <c r="W5227" i="2"/>
  <c r="W5228" i="2"/>
  <c r="W5229" i="2"/>
  <c r="W5230" i="2"/>
  <c r="W5231" i="2"/>
  <c r="W5232" i="2"/>
  <c r="W5233" i="2"/>
  <c r="W5234" i="2"/>
  <c r="W5235" i="2"/>
  <c r="W5236" i="2"/>
  <c r="W5237" i="2"/>
  <c r="W5238" i="2"/>
  <c r="W5239" i="2"/>
  <c r="W5240" i="2"/>
  <c r="W5241" i="2"/>
  <c r="W5242" i="2"/>
  <c r="W5243" i="2"/>
  <c r="W5244" i="2"/>
  <c r="W5245" i="2"/>
  <c r="W5246" i="2"/>
  <c r="W5247" i="2"/>
  <c r="W5248" i="2"/>
  <c r="W5249" i="2"/>
  <c r="W5250" i="2"/>
  <c r="W5251" i="2"/>
  <c r="W5252" i="2"/>
  <c r="W5253" i="2"/>
  <c r="W5254" i="2"/>
  <c r="W5255" i="2"/>
  <c r="W5256" i="2"/>
  <c r="W5257" i="2"/>
  <c r="W5258" i="2"/>
  <c r="W5259" i="2"/>
  <c r="W5260" i="2"/>
  <c r="W5261" i="2"/>
  <c r="W5262" i="2"/>
  <c r="W5263" i="2"/>
  <c r="W5264" i="2"/>
  <c r="W5265" i="2"/>
  <c r="W5266" i="2"/>
  <c r="W5267" i="2"/>
  <c r="W5268" i="2"/>
  <c r="W5269" i="2"/>
  <c r="W5270" i="2"/>
  <c r="W5271" i="2"/>
  <c r="W5272" i="2"/>
  <c r="W5273" i="2"/>
  <c r="W5274" i="2"/>
  <c r="W5275" i="2"/>
  <c r="W5276" i="2"/>
  <c r="W5277" i="2"/>
  <c r="W5278" i="2"/>
  <c r="W5279" i="2"/>
  <c r="W5280" i="2"/>
  <c r="W5281" i="2"/>
  <c r="W5282" i="2"/>
  <c r="W5283" i="2"/>
  <c r="W5284" i="2"/>
  <c r="W5285" i="2"/>
  <c r="W5286" i="2"/>
  <c r="W5287" i="2"/>
  <c r="W5288" i="2"/>
  <c r="W5289" i="2"/>
  <c r="W5290" i="2"/>
  <c r="W5291" i="2"/>
  <c r="W5292" i="2"/>
  <c r="W5293" i="2"/>
  <c r="W5294" i="2"/>
  <c r="W5295" i="2"/>
  <c r="W5296" i="2"/>
  <c r="W5297" i="2"/>
  <c r="W5298" i="2"/>
  <c r="W5299" i="2"/>
  <c r="W5300" i="2"/>
  <c r="W5301" i="2"/>
  <c r="W5302" i="2"/>
  <c r="W5303" i="2"/>
  <c r="W5304" i="2"/>
  <c r="W5305" i="2"/>
  <c r="W5306" i="2"/>
  <c r="W5307" i="2"/>
  <c r="W5308" i="2"/>
  <c r="W5309" i="2"/>
  <c r="W5310" i="2"/>
  <c r="W5311" i="2"/>
  <c r="W5312" i="2"/>
  <c r="W5313" i="2"/>
  <c r="W5314" i="2"/>
  <c r="W5315" i="2"/>
  <c r="W5316" i="2"/>
  <c r="W5317" i="2"/>
  <c r="W5318" i="2"/>
  <c r="W5319" i="2"/>
  <c r="W5320" i="2"/>
  <c r="W5321" i="2"/>
  <c r="W5322" i="2"/>
  <c r="W5323" i="2"/>
  <c r="W5324" i="2"/>
  <c r="W5325" i="2"/>
  <c r="W5326" i="2"/>
  <c r="W5327" i="2"/>
  <c r="W5328" i="2"/>
  <c r="W5329" i="2"/>
  <c r="W5330" i="2"/>
  <c r="W5331" i="2"/>
  <c r="W5332" i="2"/>
  <c r="W5333" i="2"/>
  <c r="W5334" i="2"/>
  <c r="W5335" i="2"/>
  <c r="W5336" i="2"/>
  <c r="W5337" i="2"/>
  <c r="W5338" i="2"/>
  <c r="W5339" i="2"/>
  <c r="W5340" i="2"/>
  <c r="W5341" i="2"/>
  <c r="W5342" i="2"/>
  <c r="W5343" i="2"/>
  <c r="W5344" i="2"/>
  <c r="W5345" i="2"/>
  <c r="W5346" i="2"/>
  <c r="W5347" i="2"/>
  <c r="W5348" i="2"/>
  <c r="W5349" i="2"/>
  <c r="W5350" i="2"/>
  <c r="W5351" i="2"/>
  <c r="W5352" i="2"/>
  <c r="W5353" i="2"/>
  <c r="W5354" i="2"/>
  <c r="W5355" i="2"/>
  <c r="W5356" i="2"/>
  <c r="W5357" i="2"/>
  <c r="W5358" i="2"/>
  <c r="W5359" i="2"/>
  <c r="W5360" i="2"/>
  <c r="W5361" i="2"/>
  <c r="W5362" i="2"/>
  <c r="W5363" i="2"/>
  <c r="W5364" i="2"/>
  <c r="W5365" i="2"/>
  <c r="W5366" i="2"/>
  <c r="W5367" i="2"/>
  <c r="W5368" i="2"/>
  <c r="W5369" i="2"/>
  <c r="W5370" i="2"/>
  <c r="W5371" i="2"/>
  <c r="W5372" i="2"/>
  <c r="W5373" i="2"/>
  <c r="W5374" i="2"/>
  <c r="W5375" i="2"/>
  <c r="W5376" i="2"/>
  <c r="W5377" i="2"/>
  <c r="W5378" i="2"/>
  <c r="W5379" i="2"/>
  <c r="W5380" i="2"/>
  <c r="W5381" i="2"/>
  <c r="W5382" i="2"/>
  <c r="W5383" i="2"/>
  <c r="W5384" i="2"/>
  <c r="W5385" i="2"/>
  <c r="W5386" i="2"/>
  <c r="W5387" i="2"/>
  <c r="W5388" i="2"/>
  <c r="W5389" i="2"/>
  <c r="W5390" i="2"/>
  <c r="W5391" i="2"/>
  <c r="W5392" i="2"/>
  <c r="W5393" i="2"/>
  <c r="W5394" i="2"/>
  <c r="W5395" i="2"/>
  <c r="W5396" i="2"/>
  <c r="W5397" i="2"/>
  <c r="W5398" i="2"/>
  <c r="W5399" i="2"/>
  <c r="W5400" i="2"/>
  <c r="W5401" i="2"/>
  <c r="W5402" i="2"/>
  <c r="W5403" i="2"/>
  <c r="W5404" i="2"/>
  <c r="W5405" i="2"/>
  <c r="W5406" i="2"/>
  <c r="W5407" i="2"/>
  <c r="W5408" i="2"/>
  <c r="W5409" i="2"/>
  <c r="W5410" i="2"/>
  <c r="W5411" i="2"/>
  <c r="W5412" i="2"/>
  <c r="W5413" i="2"/>
  <c r="W5414" i="2"/>
  <c r="W5415" i="2"/>
  <c r="W5416" i="2"/>
  <c r="W5417" i="2"/>
  <c r="W5418" i="2"/>
  <c r="W5419" i="2"/>
  <c r="W5420" i="2"/>
  <c r="W5421" i="2"/>
  <c r="W5422" i="2"/>
  <c r="W5423" i="2"/>
  <c r="W5424" i="2"/>
  <c r="W5425" i="2"/>
  <c r="W5426" i="2"/>
  <c r="W5427" i="2"/>
  <c r="W5428" i="2"/>
  <c r="W5429" i="2"/>
  <c r="W5430" i="2"/>
  <c r="W5431" i="2"/>
  <c r="W5432" i="2"/>
  <c r="W5433" i="2"/>
  <c r="W5434" i="2"/>
  <c r="W5435" i="2"/>
  <c r="W5436" i="2"/>
  <c r="W5437" i="2"/>
  <c r="W5438" i="2"/>
  <c r="W5439" i="2"/>
  <c r="W5440" i="2"/>
  <c r="W5441" i="2"/>
  <c r="W5442" i="2"/>
  <c r="W5443" i="2"/>
  <c r="W5444" i="2"/>
  <c r="W5445" i="2"/>
  <c r="W5446" i="2"/>
  <c r="W5447" i="2"/>
  <c r="W5448" i="2"/>
  <c r="W5449" i="2"/>
  <c r="W5450" i="2"/>
  <c r="W5451" i="2"/>
  <c r="W5452" i="2"/>
  <c r="W5453" i="2"/>
  <c r="W5454" i="2"/>
  <c r="W5455" i="2"/>
  <c r="W5456" i="2"/>
  <c r="W5457" i="2"/>
  <c r="W5458" i="2"/>
  <c r="W5459" i="2"/>
  <c r="W5460" i="2"/>
  <c r="W5461" i="2"/>
  <c r="W5462" i="2"/>
  <c r="W5463" i="2"/>
  <c r="W5464" i="2"/>
  <c r="W5465" i="2"/>
  <c r="W5466" i="2"/>
  <c r="W5467" i="2"/>
  <c r="W5468" i="2"/>
  <c r="W5469" i="2"/>
  <c r="W5470" i="2"/>
  <c r="W5471" i="2"/>
  <c r="W5472" i="2"/>
  <c r="W5473" i="2"/>
  <c r="W5474" i="2"/>
  <c r="W5475" i="2"/>
  <c r="W5476" i="2"/>
  <c r="W5477" i="2"/>
  <c r="W5478" i="2"/>
  <c r="W5479" i="2"/>
  <c r="W5480" i="2"/>
  <c r="W5481" i="2"/>
  <c r="W5482" i="2"/>
  <c r="W5483" i="2"/>
  <c r="W5484" i="2"/>
  <c r="W5485" i="2"/>
  <c r="W5486" i="2"/>
  <c r="W5487" i="2"/>
  <c r="W5488" i="2"/>
  <c r="W5489" i="2"/>
  <c r="W5490" i="2"/>
  <c r="W5491" i="2"/>
  <c r="W5492" i="2"/>
  <c r="W5493" i="2"/>
  <c r="W5494" i="2"/>
  <c r="W5495" i="2"/>
  <c r="W5496" i="2"/>
  <c r="W5497" i="2"/>
  <c r="W5498" i="2"/>
  <c r="W5499" i="2"/>
  <c r="W5500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W3158" i="2"/>
  <c r="W3159" i="2"/>
  <c r="W3160" i="2"/>
  <c r="W3161" i="2"/>
  <c r="W3162" i="2"/>
  <c r="W3163" i="2"/>
  <c r="W3164" i="2"/>
  <c r="W3165" i="2"/>
  <c r="W3166" i="2"/>
  <c r="W3167" i="2"/>
  <c r="W3168" i="2"/>
  <c r="W3169" i="2"/>
  <c r="W3170" i="2"/>
  <c r="W3171" i="2"/>
  <c r="W3172" i="2"/>
  <c r="W3173" i="2"/>
  <c r="W3174" i="2"/>
  <c r="W3175" i="2"/>
  <c r="W3176" i="2"/>
  <c r="W3177" i="2"/>
  <c r="W3178" i="2"/>
  <c r="W3179" i="2"/>
  <c r="W3180" i="2"/>
  <c r="W3181" i="2"/>
  <c r="W3182" i="2"/>
  <c r="W3183" i="2"/>
  <c r="W3184" i="2"/>
  <c r="W3185" i="2"/>
  <c r="W3186" i="2"/>
  <c r="W3187" i="2"/>
  <c r="W3188" i="2"/>
  <c r="W3189" i="2"/>
  <c r="W3190" i="2"/>
  <c r="W3191" i="2"/>
  <c r="W3192" i="2"/>
  <c r="W3193" i="2"/>
  <c r="W3194" i="2"/>
  <c r="W3195" i="2"/>
  <c r="W3196" i="2"/>
  <c r="W3197" i="2"/>
  <c r="W3198" i="2"/>
  <c r="W3199" i="2"/>
  <c r="W3200" i="2"/>
  <c r="W3201" i="2"/>
  <c r="W3202" i="2"/>
  <c r="W3203" i="2"/>
  <c r="W3204" i="2"/>
  <c r="W3205" i="2"/>
  <c r="W3206" i="2"/>
  <c r="W3207" i="2"/>
  <c r="W3208" i="2"/>
  <c r="W3209" i="2"/>
  <c r="W3210" i="2"/>
  <c r="W3211" i="2"/>
  <c r="W3212" i="2"/>
  <c r="W3213" i="2"/>
  <c r="W3214" i="2"/>
  <c r="W3215" i="2"/>
  <c r="W3216" i="2"/>
  <c r="W3217" i="2"/>
  <c r="W3218" i="2"/>
  <c r="W3219" i="2"/>
  <c r="W3220" i="2"/>
  <c r="W3221" i="2"/>
  <c r="W3222" i="2"/>
  <c r="W3223" i="2"/>
  <c r="W3224" i="2"/>
  <c r="W3225" i="2"/>
  <c r="W3226" i="2"/>
  <c r="W3227" i="2"/>
  <c r="W3228" i="2"/>
  <c r="W3229" i="2"/>
  <c r="W3230" i="2"/>
  <c r="W3231" i="2"/>
  <c r="W3232" i="2"/>
  <c r="W3233" i="2"/>
  <c r="W3234" i="2"/>
  <c r="W3235" i="2"/>
  <c r="W3236" i="2"/>
  <c r="W3237" i="2"/>
  <c r="W3238" i="2"/>
  <c r="W3239" i="2"/>
  <c r="W3240" i="2"/>
  <c r="W3241" i="2"/>
  <c r="W3242" i="2"/>
  <c r="W3243" i="2"/>
  <c r="W3244" i="2"/>
  <c r="W3245" i="2"/>
  <c r="W3246" i="2"/>
  <c r="W3247" i="2"/>
  <c r="W3248" i="2"/>
  <c r="W3249" i="2"/>
  <c r="W3250" i="2"/>
  <c r="W3251" i="2"/>
  <c r="W3252" i="2"/>
  <c r="W3253" i="2"/>
  <c r="W3254" i="2"/>
  <c r="W3255" i="2"/>
  <c r="W3256" i="2"/>
  <c r="W3257" i="2"/>
  <c r="W3258" i="2"/>
  <c r="W3259" i="2"/>
  <c r="W3260" i="2"/>
  <c r="W3261" i="2"/>
  <c r="W3262" i="2"/>
  <c r="W3263" i="2"/>
  <c r="W3264" i="2"/>
  <c r="W3265" i="2"/>
  <c r="W3266" i="2"/>
  <c r="W3267" i="2"/>
  <c r="W3268" i="2"/>
  <c r="W3269" i="2"/>
  <c r="W3270" i="2"/>
  <c r="W3271" i="2"/>
  <c r="W3272" i="2"/>
  <c r="W3273" i="2"/>
  <c r="W3274" i="2"/>
  <c r="W3275" i="2"/>
  <c r="W3276" i="2"/>
  <c r="W3277" i="2"/>
  <c r="W3278" i="2"/>
  <c r="W3279" i="2"/>
  <c r="W3280" i="2"/>
  <c r="W3281" i="2"/>
  <c r="W3282" i="2"/>
  <c r="W3283" i="2"/>
  <c r="W3284" i="2"/>
  <c r="W3285" i="2"/>
  <c r="W3286" i="2"/>
  <c r="W3287" i="2"/>
  <c r="W3288" i="2"/>
  <c r="W3289" i="2"/>
  <c r="W3290" i="2"/>
  <c r="W3291" i="2"/>
  <c r="W3292" i="2"/>
  <c r="W3293" i="2"/>
  <c r="W3294" i="2"/>
  <c r="W3295" i="2"/>
  <c r="W3296" i="2"/>
  <c r="W3297" i="2"/>
  <c r="W3298" i="2"/>
  <c r="W3299" i="2"/>
  <c r="W3300" i="2"/>
  <c r="W3301" i="2"/>
  <c r="W3302" i="2"/>
  <c r="W3303" i="2"/>
  <c r="W3304" i="2"/>
  <c r="W3305" i="2"/>
  <c r="W3306" i="2"/>
  <c r="W3307" i="2"/>
  <c r="W3308" i="2"/>
  <c r="W3309" i="2"/>
  <c r="W3310" i="2"/>
  <c r="W3311" i="2"/>
  <c r="W3312" i="2"/>
  <c r="W3313" i="2"/>
  <c r="W3314" i="2"/>
  <c r="W3315" i="2"/>
  <c r="W3316" i="2"/>
  <c r="W3317" i="2"/>
  <c r="W3318" i="2"/>
  <c r="W3319" i="2"/>
  <c r="W3320" i="2"/>
  <c r="W3321" i="2"/>
  <c r="W3322" i="2"/>
  <c r="W3323" i="2"/>
  <c r="W3324" i="2"/>
  <c r="W3325" i="2"/>
  <c r="W3326" i="2"/>
  <c r="W3327" i="2"/>
  <c r="W3328" i="2"/>
  <c r="W3329" i="2"/>
  <c r="W3330" i="2"/>
  <c r="W3331" i="2"/>
  <c r="W3332" i="2"/>
  <c r="W3333" i="2"/>
  <c r="W3334" i="2"/>
  <c r="W3335" i="2"/>
  <c r="W3336" i="2"/>
  <c r="W3337" i="2"/>
  <c r="W3338" i="2"/>
  <c r="W3339" i="2"/>
  <c r="W3340" i="2"/>
  <c r="W3341" i="2"/>
  <c r="W3342" i="2"/>
  <c r="W3343" i="2"/>
  <c r="W3344" i="2"/>
  <c r="W3345" i="2"/>
  <c r="W3346" i="2"/>
  <c r="W3347" i="2"/>
  <c r="W3348" i="2"/>
  <c r="W3349" i="2"/>
  <c r="W3350" i="2"/>
  <c r="W3351" i="2"/>
  <c r="W3352" i="2"/>
  <c r="W3353" i="2"/>
  <c r="W3354" i="2"/>
  <c r="W3355" i="2"/>
  <c r="W3356" i="2"/>
  <c r="W3357" i="2"/>
  <c r="W3358" i="2"/>
  <c r="W3359" i="2"/>
  <c r="W3360" i="2"/>
  <c r="W3361" i="2"/>
  <c r="W3362" i="2"/>
  <c r="W3363" i="2"/>
  <c r="W3364" i="2"/>
  <c r="W3365" i="2"/>
  <c r="W3366" i="2"/>
  <c r="W3367" i="2"/>
  <c r="W3368" i="2"/>
  <c r="W3369" i="2"/>
  <c r="W3370" i="2"/>
  <c r="W3371" i="2"/>
  <c r="W3372" i="2"/>
  <c r="W3373" i="2"/>
  <c r="W3374" i="2"/>
  <c r="W3375" i="2"/>
  <c r="W3376" i="2"/>
  <c r="W3377" i="2"/>
  <c r="W3378" i="2"/>
  <c r="W3379" i="2"/>
  <c r="W3380" i="2"/>
  <c r="W3381" i="2"/>
  <c r="W3382" i="2"/>
  <c r="W3383" i="2"/>
  <c r="W3384" i="2"/>
  <c r="W3385" i="2"/>
  <c r="W3386" i="2"/>
  <c r="W3387" i="2"/>
  <c r="W3388" i="2"/>
  <c r="W3389" i="2"/>
  <c r="W3390" i="2"/>
  <c r="W3391" i="2"/>
  <c r="W3392" i="2"/>
  <c r="W3393" i="2"/>
  <c r="W3394" i="2"/>
  <c r="W3395" i="2"/>
  <c r="W3396" i="2"/>
  <c r="W3397" i="2"/>
  <c r="W3398" i="2"/>
  <c r="W3399" i="2"/>
  <c r="W3400" i="2"/>
  <c r="W3401" i="2"/>
  <c r="W3402" i="2"/>
  <c r="W3403" i="2"/>
  <c r="W3404" i="2"/>
  <c r="W3405" i="2"/>
  <c r="W3406" i="2"/>
  <c r="W3407" i="2"/>
  <c r="W3408" i="2"/>
  <c r="W3409" i="2"/>
  <c r="W3410" i="2"/>
  <c r="W3411" i="2"/>
  <c r="W3412" i="2"/>
  <c r="W3413" i="2"/>
  <c r="W3414" i="2"/>
  <c r="W3415" i="2"/>
  <c r="W3416" i="2"/>
  <c r="W3417" i="2"/>
  <c r="W3418" i="2"/>
  <c r="W3419" i="2"/>
  <c r="W3420" i="2"/>
  <c r="W3421" i="2"/>
  <c r="W3422" i="2"/>
  <c r="W3423" i="2"/>
  <c r="W3424" i="2"/>
  <c r="W3425" i="2"/>
  <c r="W3426" i="2"/>
  <c r="W3427" i="2"/>
  <c r="W3428" i="2"/>
  <c r="W3429" i="2"/>
  <c r="W3430" i="2"/>
  <c r="W3431" i="2"/>
  <c r="W3432" i="2"/>
  <c r="W3433" i="2"/>
  <c r="W3434" i="2"/>
  <c r="W3435" i="2"/>
  <c r="W3436" i="2"/>
  <c r="W3437" i="2"/>
  <c r="W3438" i="2"/>
  <c r="W3439" i="2"/>
  <c r="W3440" i="2"/>
  <c r="W3441" i="2"/>
  <c r="W3442" i="2"/>
  <c r="W3443" i="2"/>
  <c r="W3444" i="2"/>
  <c r="W3445" i="2"/>
  <c r="W3446" i="2"/>
  <c r="W3447" i="2"/>
  <c r="W3448" i="2"/>
  <c r="W3449" i="2"/>
  <c r="W3450" i="2"/>
  <c r="W3451" i="2"/>
  <c r="W3452" i="2"/>
  <c r="W3453" i="2"/>
  <c r="W3454" i="2"/>
  <c r="W3455" i="2"/>
  <c r="W3456" i="2"/>
  <c r="W3457" i="2"/>
  <c r="W3458" i="2"/>
  <c r="W3459" i="2"/>
  <c r="W3460" i="2"/>
  <c r="W3461" i="2"/>
  <c r="W3462" i="2"/>
  <c r="W3463" i="2"/>
  <c r="W3464" i="2"/>
  <c r="W3465" i="2"/>
  <c r="W3466" i="2"/>
  <c r="W3467" i="2"/>
  <c r="W3468" i="2"/>
  <c r="W3469" i="2"/>
  <c r="W3470" i="2"/>
  <c r="W3471" i="2"/>
  <c r="W3472" i="2"/>
  <c r="W3473" i="2"/>
  <c r="W3474" i="2"/>
  <c r="W3475" i="2"/>
  <c r="W3476" i="2"/>
  <c r="W3477" i="2"/>
  <c r="W3478" i="2"/>
  <c r="W3479" i="2"/>
  <c r="W3480" i="2"/>
  <c r="W3481" i="2"/>
  <c r="W3482" i="2"/>
  <c r="W3483" i="2"/>
  <c r="W3484" i="2"/>
  <c r="W3485" i="2"/>
  <c r="W3486" i="2"/>
  <c r="W3487" i="2"/>
  <c r="W3488" i="2"/>
  <c r="W3489" i="2"/>
  <c r="W3490" i="2"/>
  <c r="W3491" i="2"/>
  <c r="W3492" i="2"/>
  <c r="W3493" i="2"/>
  <c r="W3494" i="2"/>
  <c r="W3495" i="2"/>
  <c r="W3496" i="2"/>
  <c r="W3497" i="2"/>
  <c r="W3498" i="2"/>
  <c r="W3499" i="2"/>
  <c r="W3500" i="2"/>
  <c r="W3501" i="2"/>
  <c r="W3502" i="2"/>
  <c r="W3503" i="2"/>
  <c r="W3504" i="2"/>
  <c r="W3505" i="2"/>
  <c r="W3506" i="2"/>
  <c r="W3507" i="2"/>
  <c r="W3508" i="2"/>
  <c r="W3509" i="2"/>
  <c r="W3510" i="2"/>
  <c r="W3511" i="2"/>
  <c r="W3512" i="2"/>
  <c r="W3513" i="2"/>
  <c r="W3514" i="2"/>
  <c r="W3515" i="2"/>
  <c r="W3516" i="2"/>
  <c r="W3517" i="2"/>
  <c r="W3518" i="2"/>
  <c r="W3519" i="2"/>
  <c r="W3520" i="2"/>
  <c r="W3521" i="2"/>
  <c r="W3522" i="2"/>
  <c r="W3523" i="2"/>
  <c r="W3524" i="2"/>
  <c r="W3525" i="2"/>
  <c r="W3526" i="2"/>
  <c r="W3527" i="2"/>
  <c r="W3528" i="2"/>
  <c r="W3529" i="2"/>
  <c r="W3530" i="2"/>
  <c r="W3531" i="2"/>
  <c r="W3532" i="2"/>
  <c r="W3533" i="2"/>
  <c r="W3534" i="2"/>
  <c r="W3535" i="2"/>
  <c r="W3536" i="2"/>
  <c r="W3537" i="2"/>
  <c r="W3538" i="2"/>
  <c r="W3539" i="2"/>
  <c r="W3540" i="2"/>
  <c r="W3541" i="2"/>
  <c r="W3542" i="2"/>
  <c r="W3543" i="2"/>
  <c r="W3544" i="2"/>
  <c r="W3545" i="2"/>
  <c r="W3546" i="2"/>
  <c r="W3547" i="2"/>
  <c r="W3548" i="2"/>
  <c r="W3549" i="2"/>
  <c r="W3550" i="2"/>
  <c r="W3551" i="2"/>
  <c r="W3552" i="2"/>
  <c r="W3553" i="2"/>
  <c r="W3554" i="2"/>
  <c r="W3555" i="2"/>
  <c r="W3556" i="2"/>
  <c r="W3557" i="2"/>
  <c r="W3558" i="2"/>
  <c r="W3559" i="2"/>
  <c r="W3560" i="2"/>
  <c r="W3561" i="2"/>
  <c r="W3562" i="2"/>
  <c r="W3563" i="2"/>
  <c r="W3564" i="2"/>
  <c r="W3565" i="2"/>
  <c r="W3566" i="2"/>
  <c r="W3567" i="2"/>
  <c r="W3568" i="2"/>
  <c r="W3569" i="2"/>
  <c r="W3570" i="2"/>
  <c r="W3571" i="2"/>
  <c r="W3572" i="2"/>
  <c r="W3573" i="2"/>
  <c r="W3574" i="2"/>
  <c r="W3575" i="2"/>
  <c r="W3576" i="2"/>
  <c r="W3577" i="2"/>
  <c r="W3578" i="2"/>
  <c r="W3579" i="2"/>
  <c r="W3580" i="2"/>
  <c r="W3581" i="2"/>
  <c r="W3582" i="2"/>
  <c r="W3583" i="2"/>
  <c r="W3584" i="2"/>
  <c r="W3585" i="2"/>
  <c r="W3586" i="2"/>
  <c r="W3587" i="2"/>
  <c r="W3588" i="2"/>
  <c r="W3589" i="2"/>
  <c r="W3590" i="2"/>
  <c r="W3591" i="2"/>
  <c r="W3592" i="2"/>
  <c r="W3593" i="2"/>
  <c r="W3594" i="2"/>
  <c r="W3595" i="2"/>
  <c r="W3596" i="2"/>
  <c r="W3597" i="2"/>
  <c r="W3598" i="2"/>
  <c r="W3599" i="2"/>
  <c r="W3600" i="2"/>
  <c r="W3601" i="2"/>
  <c r="W3602" i="2"/>
  <c r="W3603" i="2"/>
  <c r="W3604" i="2"/>
  <c r="W3605" i="2"/>
  <c r="W3606" i="2"/>
  <c r="W3607" i="2"/>
  <c r="W3608" i="2"/>
  <c r="W3609" i="2"/>
  <c r="W3610" i="2"/>
  <c r="W3611" i="2"/>
  <c r="W3612" i="2"/>
  <c r="W3613" i="2"/>
  <c r="W3614" i="2"/>
  <c r="W3615" i="2"/>
  <c r="W3616" i="2"/>
  <c r="W3617" i="2"/>
  <c r="W3618" i="2"/>
  <c r="W3619" i="2"/>
  <c r="W3620" i="2"/>
  <c r="W3621" i="2"/>
  <c r="W3622" i="2"/>
  <c r="W3623" i="2"/>
  <c r="W3624" i="2"/>
  <c r="W3625" i="2"/>
  <c r="W3626" i="2"/>
  <c r="W3627" i="2"/>
  <c r="W3628" i="2"/>
  <c r="W3629" i="2"/>
  <c r="W3630" i="2"/>
  <c r="W3631" i="2"/>
  <c r="W3632" i="2"/>
  <c r="W3633" i="2"/>
  <c r="W3634" i="2"/>
  <c r="W3635" i="2"/>
  <c r="W3636" i="2"/>
  <c r="W3637" i="2"/>
  <c r="W3638" i="2"/>
  <c r="W3639" i="2"/>
  <c r="W3640" i="2"/>
  <c r="W3641" i="2"/>
  <c r="W3642" i="2"/>
  <c r="W3643" i="2"/>
  <c r="W3644" i="2"/>
  <c r="W3645" i="2"/>
  <c r="W3646" i="2"/>
  <c r="W3647" i="2"/>
  <c r="W3648" i="2"/>
  <c r="W3649" i="2"/>
  <c r="W3650" i="2"/>
  <c r="W3651" i="2"/>
  <c r="W3652" i="2"/>
  <c r="W3653" i="2"/>
  <c r="W3654" i="2"/>
  <c r="W3655" i="2"/>
  <c r="W3656" i="2"/>
  <c r="W3657" i="2"/>
  <c r="W3658" i="2"/>
  <c r="W3659" i="2"/>
  <c r="W3660" i="2"/>
  <c r="W3661" i="2"/>
  <c r="W3662" i="2"/>
  <c r="W3663" i="2"/>
  <c r="W3664" i="2"/>
  <c r="W3665" i="2"/>
  <c r="W3666" i="2"/>
  <c r="W3667" i="2"/>
  <c r="W3668" i="2"/>
  <c r="W3669" i="2"/>
  <c r="W3670" i="2"/>
  <c r="W3671" i="2"/>
  <c r="W3672" i="2"/>
  <c r="W3673" i="2"/>
  <c r="W3674" i="2"/>
  <c r="W3675" i="2"/>
  <c r="W3676" i="2"/>
  <c r="W3677" i="2"/>
  <c r="W3678" i="2"/>
  <c r="W3679" i="2"/>
  <c r="W3680" i="2"/>
  <c r="W3681" i="2"/>
  <c r="W3682" i="2"/>
  <c r="W3683" i="2"/>
  <c r="W3684" i="2"/>
  <c r="W3685" i="2"/>
  <c r="W3686" i="2"/>
  <c r="W3687" i="2"/>
  <c r="W3688" i="2"/>
  <c r="W3689" i="2"/>
  <c r="W3690" i="2"/>
  <c r="W3691" i="2"/>
  <c r="W3692" i="2"/>
  <c r="W3693" i="2"/>
  <c r="W3694" i="2"/>
  <c r="W3695" i="2"/>
  <c r="W3696" i="2"/>
  <c r="W3697" i="2"/>
  <c r="W3698" i="2"/>
  <c r="W3699" i="2"/>
  <c r="W3700" i="2"/>
  <c r="W3701" i="2"/>
  <c r="W3702" i="2"/>
  <c r="W3703" i="2"/>
  <c r="W3704" i="2"/>
  <c r="W3705" i="2"/>
  <c r="W3706" i="2"/>
  <c r="W3707" i="2"/>
  <c r="W3708" i="2"/>
  <c r="W3709" i="2"/>
  <c r="W3710" i="2"/>
  <c r="W3711" i="2"/>
  <c r="W3712" i="2"/>
  <c r="W3713" i="2"/>
  <c r="W3714" i="2"/>
  <c r="W3715" i="2"/>
  <c r="W3716" i="2"/>
  <c r="W3717" i="2"/>
  <c r="W3718" i="2"/>
  <c r="W3719" i="2"/>
  <c r="W3720" i="2"/>
  <c r="W3721" i="2"/>
  <c r="W3722" i="2"/>
  <c r="W3723" i="2"/>
  <c r="W3724" i="2"/>
  <c r="W3725" i="2"/>
  <c r="W3726" i="2"/>
  <c r="W3727" i="2"/>
  <c r="W3728" i="2"/>
  <c r="W3729" i="2"/>
  <c r="W3730" i="2"/>
  <c r="W3731" i="2"/>
  <c r="W3732" i="2"/>
  <c r="W3733" i="2"/>
  <c r="W3734" i="2"/>
  <c r="W3735" i="2"/>
  <c r="W3736" i="2"/>
  <c r="W3737" i="2"/>
  <c r="W3738" i="2"/>
  <c r="W3739" i="2"/>
  <c r="W3740" i="2"/>
  <c r="W3741" i="2"/>
  <c r="W3742" i="2"/>
  <c r="W3743" i="2"/>
  <c r="W3744" i="2"/>
  <c r="W3745" i="2"/>
  <c r="W3746" i="2"/>
  <c r="W3747" i="2"/>
  <c r="W3748" i="2"/>
  <c r="W3749" i="2"/>
  <c r="W3750" i="2"/>
  <c r="W3751" i="2"/>
  <c r="W3752" i="2"/>
  <c r="W3753" i="2"/>
  <c r="W3754" i="2"/>
  <c r="W3755" i="2"/>
  <c r="W3756" i="2"/>
  <c r="W3757" i="2"/>
  <c r="W3758" i="2"/>
  <c r="W3759" i="2"/>
  <c r="W3760" i="2"/>
  <c r="W3761" i="2"/>
  <c r="W3762" i="2"/>
  <c r="W3763" i="2"/>
  <c r="W3764" i="2"/>
  <c r="W3765" i="2"/>
  <c r="W3766" i="2"/>
  <c r="W3767" i="2"/>
  <c r="W3768" i="2"/>
  <c r="W3769" i="2"/>
  <c r="W3770" i="2"/>
  <c r="W3771" i="2"/>
  <c r="W3772" i="2"/>
  <c r="W3773" i="2"/>
  <c r="W3774" i="2"/>
  <c r="W3775" i="2"/>
  <c r="W3776" i="2"/>
  <c r="W3777" i="2"/>
  <c r="W3778" i="2"/>
  <c r="W3779" i="2"/>
  <c r="W3780" i="2"/>
  <c r="W3781" i="2"/>
  <c r="W3782" i="2"/>
  <c r="W3783" i="2"/>
  <c r="W3784" i="2"/>
  <c r="W3785" i="2"/>
  <c r="W3786" i="2"/>
  <c r="W3787" i="2"/>
  <c r="W3788" i="2"/>
  <c r="W3789" i="2"/>
  <c r="W3790" i="2"/>
  <c r="W3791" i="2"/>
  <c r="W3792" i="2"/>
  <c r="W3793" i="2"/>
  <c r="W3794" i="2"/>
  <c r="W3795" i="2"/>
  <c r="W3796" i="2"/>
  <c r="W3797" i="2"/>
  <c r="W3798" i="2"/>
  <c r="W3799" i="2"/>
  <c r="W3800" i="2"/>
  <c r="W3801" i="2"/>
  <c r="W3802" i="2"/>
  <c r="W3803" i="2"/>
  <c r="W3804" i="2"/>
  <c r="W3805" i="2"/>
  <c r="W3806" i="2"/>
  <c r="W3807" i="2"/>
  <c r="W3808" i="2"/>
  <c r="W3809" i="2"/>
  <c r="W3810" i="2"/>
  <c r="W3811" i="2"/>
  <c r="W3812" i="2"/>
  <c r="W3813" i="2"/>
  <c r="W3814" i="2"/>
  <c r="W3815" i="2"/>
  <c r="W3816" i="2"/>
  <c r="W3817" i="2"/>
  <c r="W3818" i="2"/>
  <c r="W3819" i="2"/>
  <c r="W3820" i="2"/>
  <c r="W3821" i="2"/>
  <c r="W3822" i="2"/>
  <c r="W3823" i="2"/>
  <c r="W3824" i="2"/>
  <c r="W3825" i="2"/>
  <c r="W3826" i="2"/>
  <c r="W3827" i="2"/>
  <c r="W3828" i="2"/>
  <c r="W3829" i="2"/>
  <c r="W3830" i="2"/>
  <c r="W3831" i="2"/>
  <c r="W3832" i="2"/>
  <c r="W3833" i="2"/>
  <c r="W3834" i="2"/>
  <c r="W3835" i="2"/>
  <c r="W3836" i="2"/>
  <c r="W3837" i="2"/>
  <c r="W3838" i="2"/>
  <c r="W3839" i="2"/>
  <c r="W3840" i="2"/>
  <c r="W3841" i="2"/>
  <c r="W3842" i="2"/>
  <c r="W3843" i="2"/>
  <c r="W3844" i="2"/>
  <c r="W3845" i="2"/>
  <c r="W3846" i="2"/>
  <c r="W3847" i="2"/>
  <c r="W3848" i="2"/>
  <c r="W3849" i="2"/>
  <c r="W3850" i="2"/>
  <c r="W3851" i="2"/>
  <c r="W3852" i="2"/>
  <c r="W3853" i="2"/>
  <c r="W3854" i="2"/>
  <c r="W3855" i="2"/>
  <c r="W3856" i="2"/>
  <c r="W3857" i="2"/>
  <c r="W3858" i="2"/>
  <c r="W3859" i="2"/>
  <c r="W3860" i="2"/>
  <c r="W3861" i="2"/>
  <c r="W3862" i="2"/>
  <c r="W3863" i="2"/>
  <c r="W3864" i="2"/>
  <c r="W3865" i="2"/>
  <c r="W3866" i="2"/>
  <c r="W3867" i="2"/>
  <c r="W3868" i="2"/>
  <c r="W3869" i="2"/>
  <c r="W3870" i="2"/>
  <c r="W3871" i="2"/>
  <c r="W3872" i="2"/>
  <c r="W3873" i="2"/>
  <c r="W3874" i="2"/>
  <c r="W3875" i="2"/>
  <c r="W3876" i="2"/>
  <c r="W3877" i="2"/>
  <c r="W3878" i="2"/>
  <c r="W3879" i="2"/>
  <c r="W3880" i="2"/>
  <c r="W3881" i="2"/>
  <c r="W3882" i="2"/>
  <c r="W3883" i="2"/>
  <c r="W3884" i="2"/>
  <c r="W3885" i="2"/>
  <c r="W3886" i="2"/>
  <c r="W3887" i="2"/>
  <c r="W3888" i="2"/>
  <c r="W3889" i="2"/>
  <c r="W3890" i="2"/>
  <c r="W3891" i="2"/>
  <c r="W3892" i="2"/>
  <c r="W3893" i="2"/>
  <c r="W3894" i="2"/>
  <c r="W3895" i="2"/>
  <c r="W3896" i="2"/>
  <c r="W3897" i="2"/>
  <c r="W3898" i="2"/>
  <c r="W3899" i="2"/>
  <c r="W3900" i="2"/>
  <c r="W3901" i="2"/>
  <c r="W3902" i="2"/>
  <c r="W3903" i="2"/>
  <c r="W3904" i="2"/>
  <c r="W3905" i="2"/>
  <c r="W3906" i="2"/>
  <c r="W3907" i="2"/>
  <c r="W3908" i="2"/>
  <c r="W3909" i="2"/>
  <c r="W3910" i="2"/>
  <c r="W3911" i="2"/>
  <c r="W3912" i="2"/>
  <c r="W3913" i="2"/>
  <c r="W3914" i="2"/>
  <c r="W3915" i="2"/>
  <c r="W3916" i="2"/>
  <c r="W3917" i="2"/>
  <c r="W3918" i="2"/>
  <c r="W3919" i="2"/>
  <c r="W3920" i="2"/>
  <c r="W3921" i="2"/>
  <c r="W3922" i="2"/>
  <c r="W3923" i="2"/>
  <c r="W3924" i="2"/>
  <c r="W3925" i="2"/>
  <c r="W3926" i="2"/>
  <c r="W3927" i="2"/>
  <c r="W3928" i="2"/>
  <c r="W3929" i="2"/>
  <c r="W3930" i="2"/>
  <c r="W3931" i="2"/>
  <c r="W3932" i="2"/>
  <c r="W3933" i="2"/>
  <c r="W3934" i="2"/>
  <c r="W3935" i="2"/>
  <c r="W3936" i="2"/>
  <c r="W3937" i="2"/>
  <c r="W3938" i="2"/>
  <c r="W3939" i="2"/>
  <c r="W3940" i="2"/>
  <c r="W3941" i="2"/>
  <c r="W3942" i="2"/>
  <c r="W3943" i="2"/>
  <c r="W3944" i="2"/>
  <c r="W3945" i="2"/>
  <c r="W3946" i="2"/>
  <c r="W3947" i="2"/>
  <c r="W3948" i="2"/>
  <c r="W3949" i="2"/>
  <c r="W3950" i="2"/>
  <c r="W3951" i="2"/>
  <c r="W3952" i="2"/>
  <c r="W3953" i="2"/>
  <c r="W3954" i="2"/>
  <c r="W3955" i="2"/>
  <c r="W3956" i="2"/>
  <c r="W3957" i="2"/>
  <c r="W3958" i="2"/>
  <c r="W3959" i="2"/>
  <c r="W3960" i="2"/>
  <c r="W3961" i="2"/>
  <c r="W3962" i="2"/>
  <c r="W3963" i="2"/>
  <c r="W3964" i="2"/>
  <c r="W3965" i="2"/>
  <c r="W3966" i="2"/>
  <c r="W3967" i="2"/>
  <c r="W3968" i="2"/>
  <c r="W3969" i="2"/>
  <c r="W3970" i="2"/>
  <c r="W3971" i="2"/>
  <c r="W3972" i="2"/>
  <c r="W3973" i="2"/>
  <c r="W3974" i="2"/>
  <c r="W3975" i="2"/>
  <c r="W3976" i="2"/>
  <c r="W3977" i="2"/>
  <c r="W3978" i="2"/>
  <c r="W3979" i="2"/>
  <c r="W3980" i="2"/>
  <c r="W3981" i="2"/>
  <c r="W3982" i="2"/>
  <c r="W3983" i="2"/>
  <c r="W3984" i="2"/>
  <c r="W3985" i="2"/>
  <c r="W3986" i="2"/>
  <c r="W3987" i="2"/>
  <c r="W3988" i="2"/>
  <c r="W3989" i="2"/>
  <c r="W3990" i="2"/>
  <c r="W3991" i="2"/>
  <c r="W3992" i="2"/>
  <c r="W3993" i="2"/>
  <c r="W3994" i="2"/>
  <c r="W3995" i="2"/>
  <c r="W3996" i="2"/>
  <c r="W3997" i="2"/>
  <c r="W3998" i="2"/>
  <c r="W3999" i="2"/>
  <c r="W4000" i="2"/>
  <c r="W4001" i="2"/>
  <c r="W4002" i="2"/>
  <c r="W4003" i="2"/>
  <c r="W4004" i="2"/>
  <c r="W4005" i="2"/>
  <c r="W4006" i="2"/>
  <c r="W4007" i="2"/>
  <c r="W4008" i="2"/>
  <c r="W4009" i="2"/>
  <c r="W4010" i="2"/>
  <c r="W4011" i="2"/>
  <c r="W4012" i="2"/>
  <c r="W4013" i="2"/>
  <c r="W4014" i="2"/>
  <c r="W4015" i="2"/>
  <c r="W4016" i="2"/>
  <c r="W4017" i="2"/>
  <c r="W4018" i="2"/>
  <c r="W4019" i="2"/>
  <c r="W4020" i="2"/>
  <c r="W4021" i="2"/>
  <c r="W4022" i="2"/>
  <c r="W4023" i="2"/>
  <c r="W4024" i="2"/>
  <c r="W4025" i="2"/>
  <c r="W4026" i="2"/>
  <c r="W4027" i="2"/>
  <c r="W4028" i="2"/>
  <c r="W4029" i="2"/>
  <c r="W4030" i="2"/>
  <c r="W4031" i="2"/>
  <c r="W4032" i="2"/>
  <c r="W4033" i="2"/>
  <c r="W4034" i="2"/>
  <c r="W4035" i="2"/>
  <c r="W4036" i="2"/>
  <c r="W4037" i="2"/>
  <c r="W4038" i="2"/>
  <c r="W4039" i="2"/>
  <c r="W4040" i="2"/>
  <c r="W4041" i="2"/>
  <c r="W4042" i="2"/>
  <c r="W4043" i="2"/>
  <c r="W4044" i="2"/>
  <c r="W4045" i="2"/>
  <c r="W4046" i="2"/>
  <c r="W4047" i="2"/>
  <c r="W4048" i="2"/>
  <c r="W4049" i="2"/>
  <c r="W4050" i="2"/>
  <c r="W4051" i="2"/>
  <c r="W4052" i="2"/>
  <c r="W4053" i="2"/>
  <c r="W4054" i="2"/>
  <c r="W4055" i="2"/>
  <c r="W4056" i="2"/>
  <c r="W4057" i="2"/>
  <c r="W4058" i="2"/>
  <c r="W4059" i="2"/>
  <c r="W4060" i="2"/>
  <c r="W4061" i="2"/>
  <c r="W4062" i="2"/>
  <c r="W4063" i="2"/>
  <c r="W4064" i="2"/>
  <c r="W4065" i="2"/>
  <c r="W4066" i="2"/>
  <c r="W4067" i="2"/>
  <c r="W4068" i="2"/>
  <c r="W4069" i="2"/>
  <c r="W4070" i="2"/>
  <c r="W4071" i="2"/>
  <c r="W4072" i="2"/>
  <c r="W4073" i="2"/>
  <c r="W4074" i="2"/>
  <c r="W4075" i="2"/>
  <c r="W4076" i="2"/>
  <c r="W4077" i="2"/>
  <c r="W4078" i="2"/>
  <c r="W4079" i="2"/>
  <c r="W4080" i="2"/>
  <c r="W4081" i="2"/>
  <c r="W4082" i="2"/>
  <c r="W4083" i="2"/>
  <c r="W4084" i="2"/>
  <c r="W4085" i="2"/>
  <c r="W4086" i="2"/>
  <c r="W4087" i="2"/>
  <c r="W4088" i="2"/>
  <c r="W4089" i="2"/>
  <c r="W4090" i="2"/>
  <c r="W4091" i="2"/>
  <c r="W4092" i="2"/>
  <c r="W4093" i="2"/>
  <c r="W4094" i="2"/>
  <c r="W4095" i="2"/>
  <c r="W4096" i="2"/>
  <c r="W4097" i="2"/>
  <c r="W4098" i="2"/>
  <c r="W4099" i="2"/>
  <c r="W4100" i="2"/>
  <c r="W4101" i="2"/>
  <c r="W4102" i="2"/>
  <c r="W4103" i="2"/>
  <c r="W4104" i="2"/>
  <c r="W4105" i="2"/>
  <c r="W4106" i="2"/>
  <c r="W4107" i="2"/>
  <c r="W4108" i="2"/>
  <c r="W4109" i="2"/>
  <c r="W4110" i="2"/>
  <c r="W4111" i="2"/>
  <c r="W4112" i="2"/>
  <c r="W4113" i="2"/>
  <c r="W4114" i="2"/>
  <c r="W4115" i="2"/>
  <c r="W4116" i="2"/>
  <c r="W4117" i="2"/>
  <c r="W4118" i="2"/>
  <c r="W4119" i="2"/>
  <c r="W4120" i="2"/>
  <c r="W4121" i="2"/>
  <c r="W4122" i="2"/>
  <c r="W4123" i="2"/>
  <c r="W4124" i="2"/>
  <c r="W4125" i="2"/>
  <c r="W4126" i="2"/>
  <c r="W4127" i="2"/>
  <c r="W4128" i="2"/>
  <c r="W4129" i="2"/>
  <c r="W4130" i="2"/>
  <c r="W4131" i="2"/>
  <c r="W4132" i="2"/>
  <c r="W4133" i="2"/>
  <c r="W4134" i="2"/>
  <c r="W4135" i="2"/>
  <c r="W4136" i="2"/>
  <c r="W4137" i="2"/>
  <c r="W4138" i="2"/>
  <c r="W4139" i="2"/>
  <c r="W4140" i="2"/>
  <c r="W4141" i="2"/>
  <c r="W4142" i="2"/>
  <c r="W4143" i="2"/>
  <c r="W4144" i="2"/>
  <c r="W4145" i="2"/>
  <c r="W4146" i="2"/>
  <c r="W4147" i="2"/>
  <c r="W4148" i="2"/>
  <c r="W4149" i="2"/>
  <c r="W4150" i="2"/>
  <c r="W4151" i="2"/>
  <c r="W4152" i="2"/>
  <c r="W4153" i="2"/>
  <c r="W4154" i="2"/>
  <c r="W4155" i="2"/>
  <c r="W4156" i="2"/>
  <c r="W4157" i="2"/>
  <c r="W4158" i="2"/>
  <c r="W4159" i="2"/>
  <c r="W4160" i="2"/>
  <c r="W4161" i="2"/>
  <c r="W4162" i="2"/>
  <c r="W4163" i="2"/>
  <c r="W4164" i="2"/>
  <c r="W4165" i="2"/>
  <c r="W4166" i="2"/>
  <c r="W4167" i="2"/>
  <c r="W4168" i="2"/>
  <c r="W4169" i="2"/>
  <c r="W4170" i="2"/>
  <c r="W4171" i="2"/>
  <c r="W4172" i="2"/>
  <c r="W4173" i="2"/>
  <c r="W4174" i="2"/>
  <c r="W4175" i="2"/>
  <c r="W4176" i="2"/>
  <c r="W4177" i="2"/>
  <c r="W4178" i="2"/>
  <c r="W4179" i="2"/>
  <c r="W4180" i="2"/>
  <c r="W4181" i="2"/>
  <c r="W4182" i="2"/>
  <c r="W4183" i="2"/>
  <c r="W4184" i="2"/>
  <c r="W4185" i="2"/>
  <c r="W4186" i="2"/>
  <c r="W4187" i="2"/>
  <c r="W4188" i="2"/>
  <c r="W4189" i="2"/>
  <c r="W4190" i="2"/>
  <c r="W4191" i="2"/>
  <c r="W4192" i="2"/>
  <c r="W4193" i="2"/>
  <c r="W4194" i="2"/>
  <c r="W4195" i="2"/>
  <c r="W4196" i="2"/>
  <c r="W4197" i="2"/>
  <c r="W4198" i="2"/>
  <c r="W4199" i="2"/>
  <c r="W4200" i="2"/>
  <c r="W4201" i="2"/>
  <c r="W4202" i="2"/>
  <c r="W4203" i="2"/>
  <c r="W4204" i="2"/>
  <c r="W4205" i="2"/>
  <c r="W4206" i="2"/>
  <c r="W4207" i="2"/>
  <c r="W4208" i="2"/>
  <c r="W4209" i="2"/>
  <c r="W4210" i="2"/>
  <c r="W4211" i="2"/>
  <c r="W4212" i="2"/>
  <c r="W4213" i="2"/>
  <c r="W4214" i="2"/>
  <c r="W4215" i="2"/>
  <c r="W4216" i="2"/>
  <c r="W4217" i="2"/>
  <c r="W4218" i="2"/>
  <c r="W4219" i="2"/>
  <c r="W4220" i="2"/>
  <c r="W4221" i="2"/>
  <c r="W4222" i="2"/>
  <c r="W4223" i="2"/>
  <c r="W4224" i="2"/>
  <c r="W4225" i="2"/>
  <c r="W4226" i="2"/>
  <c r="W4227" i="2"/>
  <c r="W4228" i="2"/>
  <c r="W4229" i="2"/>
  <c r="W4230" i="2"/>
  <c r="W4231" i="2"/>
  <c r="W4232" i="2"/>
  <c r="W4233" i="2"/>
  <c r="W4234" i="2"/>
  <c r="W4235" i="2"/>
  <c r="W4236" i="2"/>
  <c r="W4237" i="2"/>
  <c r="W4238" i="2"/>
  <c r="W4239" i="2"/>
  <c r="W4240" i="2"/>
  <c r="W4241" i="2"/>
  <c r="W4242" i="2"/>
  <c r="W4243" i="2"/>
  <c r="W4244" i="2"/>
  <c r="W4245" i="2"/>
  <c r="W4246" i="2"/>
  <c r="W4247" i="2"/>
  <c r="W4248" i="2"/>
  <c r="W4249" i="2"/>
  <c r="W4250" i="2"/>
  <c r="W4251" i="2"/>
  <c r="W4252" i="2"/>
  <c r="W4253" i="2"/>
  <c r="W4254" i="2"/>
  <c r="W4255" i="2"/>
  <c r="W4256" i="2"/>
  <c r="W4257" i="2"/>
  <c r="W4258" i="2"/>
  <c r="W4259" i="2"/>
  <c r="W4260" i="2"/>
  <c r="W4261" i="2"/>
  <c r="W4262" i="2"/>
  <c r="W4263" i="2"/>
  <c r="W4264" i="2"/>
  <c r="W4265" i="2"/>
  <c r="W4266" i="2"/>
  <c r="W4267" i="2"/>
  <c r="W4268" i="2"/>
  <c r="W4269" i="2"/>
  <c r="W4270" i="2"/>
  <c r="W4271" i="2"/>
  <c r="W4272" i="2"/>
  <c r="W4273" i="2"/>
  <c r="W4274" i="2"/>
  <c r="W4275" i="2"/>
  <c r="W4276" i="2"/>
  <c r="W4277" i="2"/>
  <c r="W4278" i="2"/>
  <c r="W4279" i="2"/>
  <c r="W4280" i="2"/>
  <c r="W4281" i="2"/>
  <c r="W4282" i="2"/>
  <c r="W4283" i="2"/>
  <c r="W4284" i="2"/>
  <c r="W4285" i="2"/>
  <c r="W4286" i="2"/>
  <c r="W4287" i="2"/>
  <c r="W4288" i="2"/>
  <c r="W4289" i="2"/>
  <c r="W4290" i="2"/>
  <c r="W4291" i="2"/>
  <c r="W4292" i="2"/>
  <c r="W4293" i="2"/>
  <c r="W4294" i="2"/>
  <c r="W4295" i="2"/>
  <c r="W4296" i="2"/>
  <c r="W4297" i="2"/>
  <c r="W4298" i="2"/>
  <c r="W4299" i="2"/>
  <c r="W4300" i="2"/>
  <c r="W4301" i="2"/>
  <c r="W4302" i="2"/>
  <c r="W4303" i="2"/>
  <c r="W4304" i="2"/>
  <c r="W4305" i="2"/>
  <c r="W4306" i="2"/>
  <c r="W4307" i="2"/>
  <c r="W4308" i="2"/>
  <c r="W4309" i="2"/>
  <c r="W4310" i="2"/>
  <c r="W4311" i="2"/>
  <c r="W4312" i="2"/>
  <c r="W4313" i="2"/>
  <c r="W4314" i="2"/>
  <c r="W4315" i="2"/>
  <c r="W4316" i="2"/>
  <c r="W4317" i="2"/>
  <c r="W4318" i="2"/>
  <c r="W4319" i="2"/>
  <c r="W4320" i="2"/>
  <c r="W4321" i="2"/>
  <c r="W4322" i="2"/>
  <c r="W4323" i="2"/>
  <c r="W4324" i="2"/>
  <c r="W4325" i="2"/>
  <c r="W4326" i="2"/>
  <c r="W4327" i="2"/>
  <c r="W4328" i="2"/>
  <c r="W4329" i="2"/>
  <c r="W4330" i="2"/>
  <c r="W4331" i="2"/>
  <c r="W4332" i="2"/>
  <c r="W4333" i="2"/>
  <c r="W4334" i="2"/>
  <c r="W4335" i="2"/>
  <c r="W4336" i="2"/>
  <c r="W4337" i="2"/>
  <c r="W4338" i="2"/>
  <c r="W4339" i="2"/>
  <c r="W4340" i="2"/>
  <c r="W4341" i="2"/>
  <c r="W4342" i="2"/>
  <c r="W4343" i="2"/>
  <c r="W4344" i="2"/>
  <c r="W4345" i="2"/>
  <c r="W4346" i="2"/>
  <c r="W4347" i="2"/>
  <c r="W4348" i="2"/>
  <c r="W4349" i="2"/>
  <c r="W4350" i="2"/>
  <c r="W4351" i="2"/>
  <c r="W4352" i="2"/>
  <c r="W4353" i="2"/>
  <c r="W4354" i="2"/>
  <c r="W4355" i="2"/>
  <c r="W4356" i="2"/>
  <c r="W4357" i="2"/>
  <c r="W4358" i="2"/>
  <c r="W4359" i="2"/>
  <c r="W4360" i="2"/>
  <c r="W4361" i="2"/>
  <c r="W4362" i="2"/>
  <c r="W4363" i="2"/>
  <c r="W4364" i="2"/>
  <c r="W4365" i="2"/>
  <c r="W4366" i="2"/>
  <c r="W4367" i="2"/>
  <c r="W4368" i="2"/>
  <c r="W4369" i="2"/>
  <c r="W4370" i="2"/>
  <c r="W4371" i="2"/>
  <c r="W4372" i="2"/>
  <c r="W4373" i="2"/>
  <c r="W4374" i="2"/>
  <c r="W4375" i="2"/>
  <c r="W4376" i="2"/>
  <c r="W4377" i="2"/>
  <c r="W4378" i="2"/>
  <c r="W4379" i="2"/>
  <c r="W4380" i="2"/>
  <c r="W4381" i="2"/>
  <c r="W4382" i="2"/>
  <c r="W4383" i="2"/>
  <c r="W4384" i="2"/>
  <c r="W4385" i="2"/>
  <c r="W4386" i="2"/>
  <c r="W4387" i="2"/>
  <c r="W4388" i="2"/>
  <c r="W4389" i="2"/>
  <c r="W4390" i="2"/>
  <c r="W4391" i="2"/>
  <c r="W4392" i="2"/>
  <c r="W4393" i="2"/>
  <c r="W4394" i="2"/>
  <c r="W4395" i="2"/>
  <c r="W4396" i="2"/>
  <c r="W4397" i="2"/>
  <c r="W4398" i="2"/>
  <c r="W4399" i="2"/>
  <c r="W4400" i="2"/>
  <c r="W4401" i="2"/>
  <c r="W4402" i="2"/>
  <c r="W4403" i="2"/>
  <c r="W4404" i="2"/>
  <c r="W4405" i="2"/>
  <c r="W4406" i="2"/>
  <c r="W4407" i="2"/>
  <c r="W4408" i="2"/>
  <c r="W4409" i="2"/>
  <c r="W4410" i="2"/>
  <c r="W4411" i="2"/>
  <c r="W4412" i="2"/>
  <c r="W4413" i="2"/>
  <c r="W4414" i="2"/>
  <c r="W4415" i="2"/>
  <c r="W4416" i="2"/>
  <c r="W4417" i="2"/>
  <c r="W4418" i="2"/>
  <c r="W4419" i="2"/>
  <c r="W4420" i="2"/>
  <c r="W4421" i="2"/>
  <c r="W4422" i="2"/>
  <c r="W4423" i="2"/>
  <c r="W4424" i="2"/>
  <c r="W4425" i="2"/>
  <c r="W4426" i="2"/>
  <c r="W4427" i="2"/>
  <c r="W4428" i="2"/>
  <c r="W4429" i="2"/>
  <c r="W4430" i="2"/>
  <c r="W4431" i="2"/>
  <c r="W4432" i="2"/>
  <c r="W4433" i="2"/>
  <c r="W4434" i="2"/>
  <c r="W4435" i="2"/>
  <c r="W4436" i="2"/>
  <c r="W4437" i="2"/>
  <c r="W4438" i="2"/>
  <c r="W4439" i="2"/>
  <c r="W4440" i="2"/>
  <c r="W4441" i="2"/>
  <c r="W4442" i="2"/>
  <c r="W4443" i="2"/>
  <c r="W4444" i="2"/>
  <c r="W4445" i="2"/>
  <c r="W4446" i="2"/>
  <c r="W4447" i="2"/>
  <c r="W4448" i="2"/>
  <c r="W4449" i="2"/>
  <c r="W4450" i="2"/>
  <c r="W4451" i="2"/>
  <c r="W4452" i="2"/>
  <c r="W4453" i="2"/>
  <c r="W4454" i="2"/>
  <c r="W4455" i="2"/>
  <c r="W4456" i="2"/>
  <c r="W4457" i="2"/>
  <c r="W4458" i="2"/>
  <c r="W4459" i="2"/>
  <c r="W4460" i="2"/>
  <c r="W4461" i="2"/>
  <c r="W4462" i="2"/>
  <c r="W4463" i="2"/>
  <c r="W4464" i="2"/>
  <c r="W4465" i="2"/>
  <c r="W4466" i="2"/>
  <c r="W4467" i="2"/>
  <c r="W4468" i="2"/>
  <c r="W4469" i="2"/>
  <c r="W4470" i="2"/>
  <c r="W4471" i="2"/>
  <c r="W4472" i="2"/>
  <c r="W4473" i="2"/>
  <c r="W4474" i="2"/>
  <c r="W4475" i="2"/>
  <c r="W4476" i="2"/>
  <c r="W4477" i="2"/>
  <c r="W4478" i="2"/>
  <c r="W4479" i="2"/>
  <c r="W4480" i="2"/>
  <c r="W4481" i="2"/>
  <c r="W4482" i="2"/>
  <c r="W4483" i="2"/>
  <c r="W4484" i="2"/>
  <c r="W4485" i="2"/>
  <c r="W4486" i="2"/>
  <c r="W4487" i="2"/>
  <c r="W4488" i="2"/>
  <c r="W4489" i="2"/>
  <c r="W4490" i="2"/>
  <c r="W4491" i="2"/>
  <c r="W4492" i="2"/>
  <c r="W4493" i="2"/>
  <c r="W4494" i="2"/>
  <c r="W4495" i="2"/>
  <c r="W4496" i="2"/>
  <c r="W4497" i="2"/>
  <c r="W4498" i="2"/>
  <c r="W4499" i="2"/>
  <c r="W4500" i="2"/>
  <c r="W4501" i="2"/>
  <c r="W4502" i="2"/>
  <c r="W4503" i="2"/>
  <c r="W4504" i="2"/>
  <c r="W4505" i="2"/>
  <c r="W4506" i="2"/>
  <c r="W4507" i="2"/>
  <c r="W4508" i="2"/>
  <c r="W4509" i="2"/>
  <c r="W4510" i="2"/>
  <c r="W4511" i="2"/>
  <c r="W4512" i="2"/>
  <c r="W4513" i="2"/>
  <c r="W4514" i="2"/>
  <c r="W4515" i="2"/>
  <c r="W4516" i="2"/>
  <c r="W4517" i="2"/>
  <c r="W4518" i="2"/>
  <c r="W4519" i="2"/>
  <c r="W4520" i="2"/>
  <c r="W4521" i="2"/>
  <c r="W4522" i="2"/>
  <c r="W4523" i="2"/>
  <c r="W4524" i="2"/>
  <c r="W4525" i="2"/>
  <c r="W4526" i="2"/>
  <c r="W4527" i="2"/>
  <c r="W4528" i="2"/>
  <c r="W4529" i="2"/>
  <c r="W4530" i="2"/>
  <c r="W4531" i="2"/>
  <c r="W4532" i="2"/>
  <c r="W4533" i="2"/>
  <c r="W4534" i="2"/>
  <c r="W4535" i="2"/>
  <c r="W4536" i="2"/>
  <c r="W4537" i="2"/>
  <c r="W4538" i="2"/>
  <c r="W4539" i="2"/>
  <c r="W4540" i="2"/>
  <c r="W4541" i="2"/>
  <c r="W4542" i="2"/>
  <c r="W4543" i="2"/>
  <c r="W4544" i="2"/>
  <c r="W4545" i="2"/>
  <c r="W4546" i="2"/>
  <c r="W4547" i="2"/>
  <c r="W4548" i="2"/>
  <c r="W4549" i="2"/>
  <c r="W4550" i="2"/>
  <c r="W4551" i="2"/>
  <c r="W4552" i="2"/>
  <c r="W4553" i="2"/>
  <c r="W4554" i="2"/>
  <c r="W4555" i="2"/>
  <c r="W4556" i="2"/>
  <c r="W4557" i="2"/>
  <c r="W4558" i="2"/>
  <c r="W4559" i="2"/>
  <c r="W4560" i="2"/>
  <c r="W4561" i="2"/>
  <c r="W4562" i="2"/>
  <c r="W4563" i="2"/>
  <c r="W4564" i="2"/>
  <c r="W4565" i="2"/>
  <c r="W4566" i="2"/>
  <c r="W4567" i="2"/>
  <c r="W4568" i="2"/>
  <c r="W4569" i="2"/>
  <c r="W4570" i="2"/>
  <c r="W4571" i="2"/>
  <c r="W4572" i="2"/>
  <c r="W4573" i="2"/>
  <c r="W4574" i="2"/>
  <c r="W4575" i="2"/>
  <c r="W4576" i="2"/>
  <c r="W4577" i="2"/>
  <c r="W4578" i="2"/>
  <c r="W4579" i="2"/>
  <c r="W4580" i="2"/>
  <c r="W4581" i="2"/>
  <c r="W4582" i="2"/>
  <c r="W4583" i="2"/>
  <c r="W4584" i="2"/>
  <c r="W4585" i="2"/>
  <c r="W4586" i="2"/>
  <c r="W4587" i="2"/>
  <c r="W4588" i="2"/>
  <c r="W4589" i="2"/>
  <c r="W4590" i="2"/>
  <c r="W4591" i="2"/>
  <c r="W4592" i="2"/>
  <c r="W4593" i="2"/>
  <c r="W4594" i="2"/>
  <c r="W4595" i="2"/>
  <c r="W4596" i="2"/>
  <c r="W4597" i="2"/>
  <c r="W4598" i="2"/>
  <c r="W4599" i="2"/>
  <c r="W4600" i="2"/>
  <c r="W4601" i="2"/>
  <c r="W4602" i="2"/>
  <c r="W4603" i="2"/>
  <c r="W4604" i="2"/>
  <c r="W4605" i="2"/>
  <c r="W4606" i="2"/>
  <c r="W4607" i="2"/>
  <c r="W4608" i="2"/>
  <c r="W4609" i="2"/>
  <c r="W4610" i="2"/>
  <c r="W4611" i="2"/>
  <c r="W4612" i="2"/>
  <c r="W4613" i="2"/>
  <c r="W4614" i="2"/>
  <c r="W4615" i="2"/>
  <c r="W4616" i="2"/>
  <c r="W4617" i="2"/>
  <c r="W4618" i="2"/>
  <c r="W4619" i="2"/>
  <c r="W4620" i="2"/>
  <c r="W4621" i="2"/>
  <c r="W4622" i="2"/>
  <c r="W4623" i="2"/>
  <c r="W4624" i="2"/>
  <c r="W4625" i="2"/>
  <c r="W4626" i="2"/>
  <c r="W4627" i="2"/>
  <c r="W4628" i="2"/>
  <c r="W4629" i="2"/>
  <c r="W4630" i="2"/>
  <c r="W4631" i="2"/>
  <c r="W4632" i="2"/>
  <c r="W4633" i="2"/>
  <c r="W4634" i="2"/>
  <c r="W4635" i="2"/>
  <c r="W4636" i="2"/>
  <c r="W4637" i="2"/>
  <c r="W4638" i="2"/>
  <c r="W4639" i="2"/>
  <c r="W4640" i="2"/>
  <c r="W4641" i="2"/>
  <c r="W4642" i="2"/>
  <c r="W4643" i="2"/>
  <c r="W4644" i="2"/>
  <c r="W4645" i="2"/>
  <c r="W4646" i="2"/>
  <c r="W4647" i="2"/>
  <c r="W4648" i="2"/>
  <c r="W4649" i="2"/>
  <c r="W4650" i="2"/>
  <c r="W4651" i="2"/>
  <c r="W4652" i="2"/>
  <c r="W4653" i="2"/>
  <c r="W4654" i="2"/>
  <c r="W4655" i="2"/>
  <c r="W4656" i="2"/>
  <c r="W4657" i="2"/>
  <c r="W4658" i="2"/>
  <c r="W4659" i="2"/>
  <c r="W4660" i="2"/>
  <c r="W4661" i="2"/>
  <c r="W4662" i="2"/>
  <c r="W4663" i="2"/>
  <c r="W4664" i="2"/>
  <c r="W4665" i="2"/>
  <c r="W4666" i="2"/>
  <c r="W4667" i="2"/>
  <c r="W4668" i="2"/>
  <c r="W4669" i="2"/>
  <c r="W4670" i="2"/>
  <c r="W4671" i="2"/>
  <c r="W4672" i="2"/>
  <c r="W4673" i="2"/>
  <c r="W4674" i="2"/>
  <c r="W4675" i="2"/>
  <c r="W4676" i="2"/>
  <c r="W4677" i="2"/>
  <c r="W4678" i="2"/>
  <c r="W4679" i="2"/>
  <c r="W4680" i="2"/>
  <c r="W4681" i="2"/>
  <c r="W4682" i="2"/>
  <c r="W4683" i="2"/>
  <c r="W4684" i="2"/>
  <c r="W4685" i="2"/>
  <c r="W4686" i="2"/>
  <c r="W4687" i="2"/>
  <c r="W4688" i="2"/>
  <c r="W4689" i="2"/>
  <c r="W4690" i="2"/>
  <c r="W4691" i="2"/>
  <c r="W4692" i="2"/>
  <c r="W4693" i="2"/>
  <c r="W4694" i="2"/>
  <c r="W4695" i="2"/>
  <c r="W4696" i="2"/>
  <c r="W4697" i="2"/>
  <c r="W4698" i="2"/>
  <c r="W4699" i="2"/>
  <c r="W4700" i="2"/>
  <c r="W4701" i="2"/>
  <c r="W4702" i="2"/>
  <c r="W4703" i="2"/>
  <c r="W4704" i="2"/>
  <c r="W4705" i="2"/>
  <c r="W4706" i="2"/>
  <c r="W4707" i="2"/>
  <c r="W4708" i="2"/>
  <c r="W4709" i="2"/>
  <c r="W4710" i="2"/>
  <c r="W4711" i="2"/>
  <c r="W4712" i="2"/>
  <c r="W4713" i="2"/>
  <c r="W4714" i="2"/>
  <c r="W4715" i="2"/>
  <c r="W4716" i="2"/>
  <c r="W4717" i="2"/>
  <c r="W4718" i="2"/>
  <c r="W4719" i="2"/>
  <c r="W4720" i="2"/>
  <c r="W4721" i="2"/>
  <c r="W4722" i="2"/>
  <c r="W4723" i="2"/>
  <c r="W4724" i="2"/>
  <c r="W4725" i="2"/>
  <c r="W4726" i="2"/>
  <c r="W4727" i="2"/>
  <c r="W4728" i="2"/>
  <c r="W4729" i="2"/>
  <c r="W4730" i="2"/>
  <c r="W4731" i="2"/>
  <c r="W4732" i="2"/>
  <c r="W4733" i="2"/>
  <c r="W4734" i="2"/>
  <c r="W4735" i="2"/>
  <c r="W4736" i="2"/>
  <c r="W4737" i="2"/>
  <c r="W4738" i="2"/>
  <c r="W4739" i="2"/>
  <c r="W4740" i="2"/>
  <c r="W4741" i="2"/>
  <c r="W4742" i="2"/>
  <c r="W4743" i="2"/>
  <c r="W4744" i="2"/>
  <c r="W4745" i="2"/>
  <c r="W4746" i="2"/>
  <c r="W4747" i="2"/>
  <c r="W4748" i="2"/>
  <c r="W4749" i="2"/>
  <c r="W4750" i="2"/>
  <c r="W4751" i="2"/>
  <c r="W4752" i="2"/>
  <c r="W4753" i="2"/>
  <c r="W4754" i="2"/>
  <c r="W4755" i="2"/>
  <c r="W4756" i="2"/>
  <c r="W4757" i="2"/>
  <c r="W4758" i="2"/>
  <c r="W4759" i="2"/>
  <c r="W4760" i="2"/>
  <c r="W4761" i="2"/>
  <c r="W4762" i="2"/>
  <c r="W4763" i="2"/>
  <c r="W4764" i="2"/>
  <c r="W4765" i="2"/>
  <c r="W4766" i="2"/>
  <c r="W4767" i="2"/>
  <c r="W4768" i="2"/>
  <c r="W4769" i="2"/>
  <c r="W4770" i="2"/>
  <c r="W4771" i="2"/>
  <c r="W4772" i="2"/>
  <c r="W4773" i="2"/>
  <c r="W4774" i="2"/>
  <c r="W4775" i="2"/>
  <c r="W4776" i="2"/>
  <c r="W4777" i="2"/>
  <c r="W4778" i="2"/>
  <c r="W4779" i="2"/>
  <c r="W4780" i="2"/>
  <c r="W4781" i="2"/>
  <c r="W4782" i="2"/>
  <c r="W4783" i="2"/>
  <c r="W4784" i="2"/>
  <c r="W4785" i="2"/>
  <c r="W4786" i="2"/>
  <c r="W4787" i="2"/>
  <c r="W4788" i="2"/>
  <c r="W4789" i="2"/>
  <c r="W4790" i="2"/>
  <c r="W4791" i="2"/>
  <c r="W4792" i="2"/>
  <c r="W4793" i="2"/>
  <c r="W4794" i="2"/>
  <c r="W4795" i="2"/>
  <c r="W4796" i="2"/>
  <c r="W4797" i="2"/>
  <c r="W4798" i="2"/>
  <c r="W4799" i="2"/>
  <c r="W4800" i="2"/>
  <c r="W4801" i="2"/>
  <c r="W4802" i="2"/>
  <c r="W4803" i="2"/>
  <c r="W4804" i="2"/>
  <c r="W4805" i="2"/>
  <c r="W4806" i="2"/>
  <c r="W4807" i="2"/>
  <c r="W4808" i="2"/>
  <c r="W4809" i="2"/>
  <c r="W4810" i="2"/>
  <c r="W4811" i="2"/>
  <c r="W4812" i="2"/>
  <c r="W4813" i="2"/>
  <c r="W4814" i="2"/>
  <c r="W4815" i="2"/>
  <c r="W4816" i="2"/>
  <c r="W4817" i="2"/>
  <c r="W4818" i="2"/>
  <c r="W4819" i="2"/>
  <c r="W4820" i="2"/>
  <c r="W4821" i="2"/>
  <c r="W4822" i="2"/>
  <c r="W4823" i="2"/>
  <c r="W4824" i="2"/>
  <c r="W4825" i="2"/>
  <c r="W4826" i="2"/>
  <c r="W4827" i="2"/>
  <c r="W4828" i="2"/>
  <c r="W4829" i="2"/>
  <c r="W4830" i="2"/>
  <c r="W4831" i="2"/>
  <c r="W4832" i="2"/>
  <c r="W4833" i="2"/>
  <c r="W4834" i="2"/>
  <c r="W4835" i="2"/>
  <c r="W4836" i="2"/>
  <c r="W4837" i="2"/>
  <c r="W4838" i="2"/>
  <c r="W4839" i="2"/>
  <c r="W4840" i="2"/>
  <c r="W4841" i="2"/>
  <c r="W4842" i="2"/>
  <c r="W4843" i="2"/>
  <c r="W4844" i="2"/>
  <c r="W4845" i="2"/>
  <c r="W4846" i="2"/>
  <c r="W4847" i="2"/>
  <c r="W4848" i="2"/>
  <c r="W4849" i="2"/>
  <c r="W4850" i="2"/>
  <c r="W4851" i="2"/>
  <c r="W4852" i="2"/>
  <c r="W4853" i="2"/>
  <c r="W4854" i="2"/>
  <c r="W4855" i="2"/>
  <c r="W4856" i="2"/>
  <c r="W4857" i="2"/>
  <c r="W4858" i="2"/>
  <c r="W4859" i="2"/>
  <c r="W4860" i="2"/>
  <c r="W4861" i="2"/>
  <c r="W4862" i="2"/>
  <c r="W4863" i="2"/>
  <c r="W4864" i="2"/>
  <c r="W4865" i="2"/>
  <c r="W4866" i="2"/>
  <c r="W4867" i="2"/>
  <c r="W4868" i="2"/>
  <c r="W4869" i="2"/>
  <c r="W4870" i="2"/>
  <c r="W4871" i="2"/>
  <c r="W4872" i="2"/>
  <c r="W4873" i="2"/>
  <c r="W4874" i="2"/>
  <c r="W4875" i="2"/>
  <c r="W4876" i="2"/>
  <c r="W4877" i="2"/>
  <c r="W4878" i="2"/>
  <c r="W4879" i="2"/>
  <c r="W4880" i="2"/>
  <c r="W4881" i="2"/>
  <c r="W4882" i="2"/>
  <c r="W4883" i="2"/>
  <c r="W4884" i="2"/>
  <c r="W4885" i="2"/>
  <c r="W4886" i="2"/>
  <c r="W4887" i="2"/>
  <c r="W4888" i="2"/>
  <c r="W4889" i="2"/>
  <c r="W4890" i="2"/>
  <c r="W4891" i="2"/>
  <c r="W4892" i="2"/>
  <c r="W4893" i="2"/>
  <c r="W4894" i="2"/>
  <c r="W4895" i="2"/>
  <c r="W4896" i="2"/>
  <c r="W4897" i="2"/>
  <c r="W4898" i="2"/>
  <c r="W4899" i="2"/>
  <c r="W4900" i="2"/>
  <c r="W4901" i="2"/>
  <c r="W4902" i="2"/>
  <c r="W4903" i="2"/>
  <c r="W4904" i="2"/>
  <c r="W4905" i="2"/>
  <c r="W4906" i="2"/>
  <c r="W4907" i="2"/>
  <c r="W4908" i="2"/>
  <c r="W4909" i="2"/>
  <c r="W4910" i="2"/>
  <c r="W4911" i="2"/>
  <c r="W4912" i="2"/>
  <c r="W4913" i="2"/>
  <c r="W4914" i="2"/>
  <c r="W4915" i="2"/>
  <c r="W4916" i="2"/>
  <c r="W4917" i="2"/>
  <c r="W4918" i="2"/>
  <c r="W4919" i="2"/>
  <c r="W4920" i="2"/>
  <c r="W4921" i="2"/>
  <c r="W4922" i="2"/>
  <c r="W4923" i="2"/>
  <c r="W4924" i="2"/>
  <c r="W4925" i="2"/>
  <c r="W4926" i="2"/>
  <c r="W4927" i="2"/>
  <c r="W4928" i="2"/>
  <c r="W4929" i="2"/>
  <c r="W4930" i="2"/>
  <c r="W4931" i="2"/>
  <c r="W4932" i="2"/>
  <c r="W4933" i="2"/>
  <c r="W4934" i="2"/>
  <c r="W4935" i="2"/>
  <c r="W4936" i="2"/>
  <c r="W4937" i="2"/>
  <c r="W4938" i="2"/>
  <c r="W4939" i="2"/>
  <c r="W4940" i="2"/>
  <c r="W4941" i="2"/>
  <c r="W4942" i="2"/>
  <c r="W4943" i="2"/>
  <c r="W4944" i="2"/>
  <c r="W4945" i="2"/>
  <c r="W4946" i="2"/>
  <c r="W4947" i="2"/>
  <c r="W4948" i="2"/>
  <c r="W4949" i="2"/>
  <c r="W4950" i="2"/>
  <c r="W4951" i="2"/>
  <c r="W4952" i="2"/>
  <c r="W4953" i="2"/>
  <c r="W4954" i="2"/>
  <c r="W4955" i="2"/>
  <c r="W4956" i="2"/>
  <c r="W4957" i="2"/>
  <c r="W4958" i="2"/>
  <c r="W4959" i="2"/>
  <c r="W4960" i="2"/>
  <c r="W4961" i="2"/>
  <c r="W4962" i="2"/>
  <c r="W4963" i="2"/>
  <c r="W4964" i="2"/>
  <c r="W4965" i="2"/>
  <c r="W4966" i="2"/>
  <c r="W4967" i="2"/>
  <c r="W4968" i="2"/>
  <c r="W4969" i="2"/>
  <c r="W4970" i="2"/>
  <c r="W4971" i="2"/>
  <c r="W4972" i="2"/>
  <c r="W4973" i="2"/>
  <c r="W4974" i="2"/>
  <c r="W4975" i="2"/>
  <c r="W4976" i="2"/>
  <c r="W4977" i="2"/>
  <c r="W4978" i="2"/>
  <c r="W4979" i="2"/>
  <c r="W4980" i="2"/>
  <c r="W4981" i="2"/>
  <c r="W4982" i="2"/>
  <c r="W4983" i="2"/>
  <c r="W4984" i="2"/>
  <c r="W4985" i="2"/>
  <c r="W4986" i="2"/>
  <c r="W4987" i="2"/>
  <c r="W4988" i="2"/>
  <c r="W4989" i="2"/>
  <c r="W4990" i="2"/>
  <c r="W4991" i="2"/>
  <c r="W4992" i="2"/>
  <c r="W4993" i="2"/>
  <c r="W4994" i="2"/>
  <c r="W4995" i="2"/>
  <c r="W4996" i="2"/>
  <c r="W4997" i="2"/>
  <c r="W4998" i="2"/>
  <c r="W4999" i="2"/>
  <c r="W5000" i="2"/>
  <c r="W5001" i="2"/>
  <c r="W5002" i="2"/>
  <c r="W5003" i="2"/>
  <c r="W5004" i="2"/>
  <c r="W5005" i="2"/>
  <c r="W5006" i="2"/>
  <c r="W5007" i="2"/>
  <c r="W5008" i="2"/>
  <c r="W5009" i="2"/>
  <c r="W5010" i="2"/>
  <c r="W5011" i="2"/>
  <c r="W5012" i="2"/>
  <c r="W5013" i="2"/>
  <c r="W5014" i="2"/>
  <c r="W5015" i="2"/>
  <c r="W5016" i="2"/>
  <c r="W5017" i="2"/>
  <c r="W5018" i="2"/>
  <c r="W5019" i="2"/>
  <c r="W5020" i="2"/>
  <c r="W5021" i="2"/>
  <c r="W5022" i="2"/>
  <c r="W5023" i="2"/>
  <c r="W5024" i="2"/>
  <c r="W5025" i="2"/>
  <c r="W5026" i="2"/>
  <c r="W5027" i="2"/>
  <c r="W5028" i="2"/>
  <c r="W5029" i="2"/>
  <c r="W5030" i="2"/>
  <c r="W5031" i="2"/>
  <c r="W5032" i="2"/>
  <c r="W5033" i="2"/>
  <c r="W5034" i="2"/>
  <c r="W5035" i="2"/>
  <c r="W5036" i="2"/>
  <c r="W5037" i="2"/>
  <c r="W5038" i="2"/>
  <c r="W5039" i="2"/>
  <c r="W5040" i="2"/>
  <c r="W5041" i="2"/>
  <c r="W5042" i="2"/>
  <c r="W5043" i="2"/>
  <c r="W5044" i="2"/>
  <c r="W5045" i="2"/>
  <c r="W5046" i="2"/>
  <c r="W5047" i="2"/>
  <c r="W5048" i="2"/>
  <c r="W5049" i="2"/>
  <c r="W5050" i="2"/>
  <c r="W5051" i="2"/>
  <c r="W5052" i="2"/>
  <c r="W5053" i="2"/>
  <c r="W5054" i="2"/>
  <c r="W5055" i="2"/>
  <c r="W5056" i="2"/>
  <c r="W5057" i="2"/>
  <c r="W5058" i="2"/>
  <c r="W5059" i="2"/>
  <c r="W5060" i="2"/>
  <c r="W5061" i="2"/>
  <c r="W5062" i="2"/>
  <c r="W5063" i="2"/>
  <c r="W5064" i="2"/>
  <c r="W5065" i="2"/>
  <c r="W5066" i="2"/>
  <c r="W5067" i="2"/>
  <c r="W5068" i="2"/>
  <c r="W5069" i="2"/>
  <c r="W5070" i="2"/>
  <c r="W5071" i="2"/>
  <c r="W5072" i="2"/>
  <c r="W5073" i="2"/>
  <c r="W5074" i="2"/>
  <c r="W5075" i="2"/>
  <c r="W5076" i="2"/>
  <c r="W5077" i="2"/>
  <c r="W5078" i="2"/>
  <c r="W5079" i="2"/>
  <c r="W5080" i="2"/>
  <c r="W5081" i="2"/>
  <c r="W5082" i="2"/>
  <c r="W5083" i="2"/>
  <c r="W5084" i="2"/>
  <c r="W5085" i="2"/>
  <c r="W5086" i="2"/>
  <c r="W5087" i="2"/>
  <c r="W5088" i="2"/>
  <c r="W5089" i="2"/>
  <c r="W5090" i="2"/>
  <c r="W5091" i="2"/>
  <c r="W5092" i="2"/>
  <c r="W5093" i="2"/>
  <c r="W5094" i="2"/>
  <c r="W5095" i="2"/>
  <c r="W4" i="2"/>
  <c r="G3" i="2" l="1"/>
  <c r="B2" i="11" l="1"/>
  <c r="R3" i="2"/>
  <c r="S3" i="2" s="1"/>
  <c r="A6" i="11"/>
  <c r="X360" i="2"/>
  <c r="X353" i="2"/>
  <c r="X864" i="2"/>
  <c r="X821" i="2"/>
  <c r="X1332" i="2"/>
  <c r="X429" i="2"/>
  <c r="X1545" i="2"/>
  <c r="X342" i="2"/>
  <c r="X709" i="2"/>
  <c r="X702" i="2"/>
  <c r="X243" i="2"/>
  <c r="X187" i="2"/>
  <c r="X711" i="2"/>
  <c r="X939" i="2"/>
  <c r="X2979" i="2"/>
  <c r="X296" i="2"/>
  <c r="X446" i="2"/>
  <c r="X656" i="2"/>
  <c r="X1655" i="2"/>
  <c r="X189" i="2"/>
  <c r="X2123" i="2"/>
  <c r="X1086" i="2"/>
  <c r="X2389" i="2"/>
  <c r="X1233" i="2"/>
  <c r="X1482" i="2"/>
  <c r="X70" i="2"/>
  <c r="X1345" i="2"/>
  <c r="X538" i="2"/>
  <c r="X1202" i="2"/>
  <c r="X1721" i="2"/>
  <c r="X2839" i="2"/>
  <c r="X131" i="2"/>
  <c r="X2258" i="2"/>
  <c r="X491" i="2"/>
  <c r="X1084" i="2"/>
  <c r="X959" i="2"/>
  <c r="X1767" i="2"/>
  <c r="X2070" i="2"/>
  <c r="X317" i="2"/>
  <c r="X492" i="2"/>
  <c r="X329" i="2"/>
  <c r="X852" i="2"/>
  <c r="X809" i="2"/>
  <c r="X1320" i="2"/>
  <c r="X1277" i="2"/>
  <c r="X1264" i="2"/>
  <c r="X455" i="2"/>
  <c r="X841" i="2"/>
  <c r="X678" i="2"/>
  <c r="X231" i="2"/>
  <c r="X175" i="2"/>
  <c r="X699" i="2"/>
  <c r="X643" i="2"/>
  <c r="X2823" i="2"/>
  <c r="X1249" i="2"/>
  <c r="X1051" i="2"/>
  <c r="X632" i="2"/>
  <c r="X1643" i="2"/>
  <c r="X177" i="2"/>
  <c r="X2111" i="2"/>
  <c r="X645" i="2"/>
  <c r="X2016" i="2"/>
  <c r="X2044" i="2"/>
  <c r="X1632" i="2"/>
  <c r="X46" i="2"/>
  <c r="X1321" i="2"/>
  <c r="X526" i="2"/>
  <c r="X1178" i="2"/>
  <c r="X994" i="2"/>
  <c r="X574" i="2"/>
  <c r="X986" i="2"/>
  <c r="X934" i="2"/>
  <c r="X1754" i="2"/>
  <c r="X1402" i="2"/>
  <c r="X2222" i="2"/>
  <c r="X2585" i="2"/>
  <c r="X1645" i="2"/>
  <c r="X995" i="2"/>
  <c r="X1659" i="2"/>
  <c r="X1355" i="2"/>
  <c r="X2163" i="2"/>
  <c r="X312" i="2"/>
  <c r="X269" i="2"/>
  <c r="X1405" i="2"/>
  <c r="X332" i="2"/>
  <c r="X1955" i="2"/>
  <c r="X2448" i="2"/>
  <c r="X2224" i="2"/>
  <c r="X3414" i="2"/>
  <c r="X1696" i="2"/>
  <c r="X2742" i="2"/>
  <c r="X2914" i="2"/>
  <c r="X3897" i="2"/>
  <c r="X2043" i="2"/>
  <c r="X2863" i="2"/>
  <c r="X268" i="2"/>
  <c r="X1789" i="2"/>
  <c r="X2117" i="2"/>
  <c r="X3091" i="2"/>
  <c r="X2323" i="2"/>
  <c r="X2105" i="2"/>
  <c r="X428" i="2"/>
  <c r="X449" i="2"/>
  <c r="X1514" i="2"/>
  <c r="X32" i="2"/>
  <c r="X2466" i="2"/>
  <c r="X1186" i="2"/>
  <c r="X3844" i="2"/>
  <c r="X3212" i="2"/>
  <c r="X1184" i="2"/>
  <c r="X587" i="2"/>
  <c r="X2313" i="2"/>
  <c r="X577" i="2"/>
  <c r="X1785" i="2"/>
  <c r="X3387" i="2"/>
  <c r="X3532" i="2"/>
  <c r="X3585" i="2"/>
  <c r="X443" i="2"/>
  <c r="X1504" i="2"/>
  <c r="X1752" i="2"/>
  <c r="X2415" i="2"/>
  <c r="X3219" i="2"/>
  <c r="X2685" i="2"/>
  <c r="X2527" i="2"/>
  <c r="X2288" i="2"/>
  <c r="X2328" i="2"/>
  <c r="X2068" i="2"/>
  <c r="X198" i="2"/>
  <c r="X565" i="2"/>
  <c r="X558" i="2"/>
  <c r="X99" i="2"/>
  <c r="X43" i="2"/>
  <c r="X567" i="2"/>
  <c r="X363" i="2"/>
  <c r="X2835" i="2"/>
  <c r="X152" i="2"/>
  <c r="X1467" i="2"/>
  <c r="X512" i="2"/>
  <c r="X1501" i="2"/>
  <c r="X45" i="2"/>
  <c r="X1979" i="2"/>
  <c r="X472" i="2"/>
  <c r="X2047" i="2"/>
  <c r="X1089" i="2"/>
  <c r="X1196" i="2"/>
  <c r="X1449" i="2"/>
  <c r="X1057" i="2"/>
  <c r="X394" i="2"/>
  <c r="X820" i="2"/>
  <c r="X1577" i="2"/>
  <c r="X2695" i="2"/>
  <c r="X1438" i="2"/>
  <c r="X2114" i="2"/>
  <c r="X347" i="2"/>
  <c r="X470" i="2"/>
  <c r="X815" i="2"/>
  <c r="X1623" i="2"/>
  <c r="X1926" i="2"/>
  <c r="X3044" i="2"/>
  <c r="X348" i="2"/>
  <c r="X185" i="2"/>
  <c r="X708" i="2"/>
  <c r="X665" i="2"/>
  <c r="X1176" i="2"/>
  <c r="X1133" i="2"/>
  <c r="X974" i="2"/>
  <c r="X1330" i="2"/>
  <c r="X697" i="2"/>
  <c r="X534" i="2"/>
  <c r="X87" i="2"/>
  <c r="X31" i="2"/>
  <c r="X555" i="2"/>
  <c r="X499" i="2"/>
  <c r="X2679" i="2"/>
  <c r="X1244" i="2"/>
  <c r="X374" i="2"/>
  <c r="X488" i="2"/>
  <c r="X1480" i="2"/>
  <c r="X33" i="2"/>
  <c r="X1967" i="2"/>
  <c r="X501" i="2"/>
  <c r="X1669" i="2"/>
  <c r="X1900" i="2"/>
  <c r="X1460" i="2"/>
  <c r="X1425" i="2"/>
  <c r="X1033" i="2"/>
  <c r="X382" i="2"/>
  <c r="X748" i="2"/>
  <c r="X850" i="2"/>
  <c r="X2508" i="2"/>
  <c r="X2321" i="2"/>
  <c r="X2246" i="2"/>
  <c r="X323" i="2"/>
  <c r="X398" i="2"/>
  <c r="X803" i="2"/>
  <c r="X1611" i="2"/>
  <c r="X1271" i="2"/>
  <c r="X851" i="2"/>
  <c r="X1507" i="2"/>
  <c r="X1211" i="2"/>
  <c r="X2019" i="2"/>
  <c r="X168" i="2"/>
  <c r="X125" i="2"/>
  <c r="X1117" i="2"/>
  <c r="X691" i="2"/>
  <c r="X1212" i="2"/>
  <c r="X1049" i="2"/>
  <c r="X49" i="2"/>
  <c r="X6" i="2"/>
  <c r="X517" i="2"/>
  <c r="X474" i="2"/>
  <c r="X2109" i="2"/>
  <c r="X301" i="2"/>
  <c r="X1778" i="2"/>
  <c r="X2719" i="2"/>
  <c r="X2501" i="2"/>
  <c r="X3619" i="2"/>
  <c r="X1973" i="2"/>
  <c r="X2947" i="2"/>
  <c r="X1976" i="2"/>
  <c r="X962" i="2"/>
  <c r="X618" i="2"/>
  <c r="X3068" i="2"/>
  <c r="X1237" i="2"/>
  <c r="X391" i="2"/>
  <c r="X2322" i="2"/>
  <c r="X547" i="2"/>
  <c r="X3700" i="2"/>
  <c r="X2539" i="2"/>
  <c r="X410" i="2"/>
  <c r="X11" i="2"/>
  <c r="X2169" i="2"/>
  <c r="X1524" i="2"/>
  <c r="X1641" i="2"/>
  <c r="X2470" i="2"/>
  <c r="X3185" i="2"/>
  <c r="X3441" i="2"/>
  <c r="X166" i="2"/>
  <c r="X1502" i="2"/>
  <c r="X3603" i="2"/>
  <c r="X1959" i="2"/>
  <c r="X3075" i="2"/>
  <c r="X2515" i="2"/>
  <c r="X4627" i="2"/>
  <c r="X1942" i="2"/>
  <c r="X2691" i="2"/>
  <c r="X1924" i="2"/>
  <c r="X3114" i="2"/>
  <c r="X914" i="2"/>
  <c r="X2583" i="2"/>
  <c r="X2902" i="2"/>
  <c r="X3194" i="2"/>
  <c r="X3349" i="2"/>
  <c r="X2188" i="2"/>
  <c r="X8" i="2"/>
  <c r="X1323" i="2"/>
  <c r="X368" i="2"/>
  <c r="X1219" i="2"/>
  <c r="X836" i="2"/>
  <c r="X1835" i="2"/>
  <c r="X2475" i="2"/>
  <c r="X1700" i="2"/>
  <c r="X945" i="2"/>
  <c r="X808" i="2"/>
  <c r="X1305" i="2"/>
  <c r="X386" i="2"/>
  <c r="X250" i="2"/>
  <c r="X1609" i="2"/>
  <c r="X1351" i="2"/>
  <c r="X2536" i="2"/>
  <c r="X1294" i="2"/>
  <c r="X1970" i="2"/>
  <c r="X203" i="2"/>
  <c r="X2474" i="2"/>
  <c r="X671" i="2"/>
  <c r="X1444" i="2"/>
  <c r="X1782" i="2"/>
  <c r="X2900" i="2"/>
  <c r="X204" i="2"/>
  <c r="X41" i="2"/>
  <c r="X564" i="2"/>
  <c r="X521" i="2"/>
  <c r="X1032" i="2"/>
  <c r="X989" i="2"/>
  <c r="X146" i="2"/>
  <c r="X754" i="2"/>
  <c r="X553" i="2"/>
  <c r="X390" i="2"/>
  <c r="X913" i="2"/>
  <c r="X870" i="2"/>
  <c r="X411" i="2"/>
  <c r="X355" i="2"/>
  <c r="X2497" i="2"/>
  <c r="X2327" i="2"/>
  <c r="X1455" i="2"/>
  <c r="X344" i="2"/>
  <c r="X1195" i="2"/>
  <c r="X824" i="2"/>
  <c r="X1823" i="2"/>
  <c r="X357" i="2"/>
  <c r="X2884" i="2"/>
  <c r="X1756" i="2"/>
  <c r="X1172" i="2"/>
  <c r="X1281" i="2"/>
  <c r="X314" i="2"/>
  <c r="X238" i="2"/>
  <c r="X1597" i="2"/>
  <c r="X706" i="2"/>
  <c r="X2161" i="2"/>
  <c r="X2177" i="2"/>
  <c r="X2102" i="2"/>
  <c r="X179" i="2"/>
  <c r="X2462" i="2"/>
  <c r="X659" i="2"/>
  <c r="X1420" i="2"/>
  <c r="X1127" i="2"/>
  <c r="X2744" i="2"/>
  <c r="X2526" i="2"/>
  <c r="X5" i="2"/>
  <c r="X540" i="2"/>
  <c r="X509" i="2"/>
  <c r="X1020" i="2"/>
  <c r="X977" i="2"/>
  <c r="X1488" i="2"/>
  <c r="X1068" i="2"/>
  <c r="X905" i="2"/>
  <c r="X1428" i="2"/>
  <c r="X1385" i="2"/>
  <c r="X373" i="2"/>
  <c r="X330" i="2"/>
  <c r="X1965" i="2"/>
  <c r="X1248" i="2"/>
  <c r="X447" i="2"/>
  <c r="X271" i="2"/>
  <c r="X807" i="2"/>
  <c r="X751" i="2"/>
  <c r="X1275" i="2"/>
  <c r="X284" i="2"/>
  <c r="X3399" i="2"/>
  <c r="X1683" i="2"/>
  <c r="X413" i="2"/>
  <c r="X2924" i="2"/>
  <c r="X926" i="2"/>
  <c r="X798" i="2"/>
  <c r="X2178" i="2"/>
  <c r="X3152" i="2"/>
  <c r="X3443" i="2"/>
  <c r="X3211" i="2"/>
  <c r="X2139" i="2"/>
  <c r="X886" i="2"/>
  <c r="X2025" i="2"/>
  <c r="X948" i="2"/>
  <c r="X1477" i="2"/>
  <c r="X2097" i="2"/>
  <c r="X2777" i="2"/>
  <c r="X3297" i="2"/>
  <c r="X881" i="2"/>
  <c r="X2459" i="2"/>
  <c r="X3459" i="2"/>
  <c r="X1252" i="2"/>
  <c r="X2931" i="2"/>
  <c r="X2168" i="2"/>
  <c r="X4483" i="2"/>
  <c r="X1434" i="2"/>
  <c r="X1836" i="2"/>
  <c r="X1780" i="2"/>
  <c r="X2970" i="2"/>
  <c r="X50" i="2"/>
  <c r="X2276" i="2"/>
  <c r="X2758" i="2"/>
  <c r="X2789" i="2"/>
  <c r="X3205" i="2"/>
  <c r="X2259" i="2"/>
  <c r="X2201" i="2"/>
  <c r="X3319" i="2"/>
  <c r="X1352" i="2"/>
  <c r="X2791" i="2"/>
  <c r="X1945" i="2"/>
  <c r="X3670" i="2"/>
  <c r="X4588" i="2"/>
  <c r="X2707" i="2"/>
  <c r="X801" i="2"/>
  <c r="X2591" i="2"/>
  <c r="X1161" i="2"/>
  <c r="X1572" i="2"/>
  <c r="X106" i="2"/>
  <c r="X1417" i="2"/>
  <c r="X1063" i="2"/>
  <c r="X2192" i="2"/>
  <c r="X1150" i="2"/>
  <c r="X1826" i="2"/>
  <c r="X59" i="2"/>
  <c r="X2330" i="2"/>
  <c r="X527" i="2"/>
  <c r="X1156" i="2"/>
  <c r="X1638" i="2"/>
  <c r="X2756" i="2"/>
  <c r="X60" i="2"/>
  <c r="X2235" i="2"/>
  <c r="X420" i="2"/>
  <c r="X377" i="2"/>
  <c r="X888" i="2"/>
  <c r="X845" i="2"/>
  <c r="X1454" i="2"/>
  <c r="X178" i="2"/>
  <c r="X409" i="2"/>
  <c r="X246" i="2"/>
  <c r="X769" i="2"/>
  <c r="X726" i="2"/>
  <c r="X267" i="2"/>
  <c r="X211" i="2"/>
  <c r="X2155" i="2"/>
  <c r="X1751" i="2"/>
  <c r="X1311" i="2"/>
  <c r="X200" i="2"/>
  <c r="X806" i="2"/>
  <c r="X680" i="2"/>
  <c r="X1679" i="2"/>
  <c r="X213" i="2"/>
  <c r="X2740" i="2"/>
  <c r="X1612" i="2"/>
  <c r="X736" i="2"/>
  <c r="X1137" i="2"/>
  <c r="X1560" i="2"/>
  <c r="X94" i="2"/>
  <c r="X1393" i="2"/>
  <c r="X562" i="2"/>
  <c r="X1819" i="2"/>
  <c r="X2033" i="2"/>
  <c r="X1958" i="2"/>
  <c r="X35" i="2"/>
  <c r="X2318" i="2"/>
  <c r="X515" i="2"/>
  <c r="X1132" i="2"/>
  <c r="X983" i="2"/>
  <c r="X2600" i="2"/>
  <c r="X2382" i="2"/>
  <c r="X2367" i="2"/>
  <c r="X396" i="2"/>
  <c r="X365" i="2"/>
  <c r="X876" i="2"/>
  <c r="X833" i="2"/>
  <c r="X1344" i="2"/>
  <c r="X1113" i="2"/>
  <c r="X1701" i="2"/>
  <c r="X210" i="2"/>
  <c r="X745" i="2"/>
  <c r="X714" i="2"/>
  <c r="X255" i="2"/>
  <c r="X199" i="2"/>
  <c r="X723" i="2"/>
  <c r="X303" i="2"/>
  <c r="X127" i="2"/>
  <c r="X663" i="2"/>
  <c r="X607" i="2"/>
  <c r="X1131" i="2"/>
  <c r="X140" i="2"/>
  <c r="X3255" i="2"/>
  <c r="X182" i="2"/>
  <c r="X1715" i="2"/>
  <c r="X129" i="2"/>
  <c r="X2075" i="2"/>
  <c r="X609" i="2"/>
  <c r="X2543" i="2"/>
  <c r="X1077" i="2"/>
  <c r="X2766" i="2"/>
  <c r="X2476" i="2"/>
  <c r="X757" i="2"/>
  <c r="X310" i="2"/>
  <c r="X1881" i="2"/>
  <c r="X372" i="2"/>
  <c r="X1192" i="2"/>
  <c r="X938" i="2"/>
  <c r="X1699" i="2"/>
  <c r="X3153" i="2"/>
  <c r="X2888" i="2"/>
  <c r="X1883" i="2"/>
  <c r="X3315" i="2"/>
  <c r="X2270" i="2"/>
  <c r="X2787" i="2"/>
  <c r="X1822" i="2"/>
  <c r="X4339" i="2"/>
  <c r="X3514" i="2"/>
  <c r="X1288" i="2"/>
  <c r="X1636" i="2"/>
  <c r="X2826" i="2"/>
  <c r="X2392" i="2"/>
  <c r="X1930" i="2"/>
  <c r="X2614" i="2"/>
  <c r="X1726" i="2"/>
  <c r="X3061" i="2"/>
  <c r="X1994" i="2"/>
  <c r="X2057" i="2"/>
  <c r="X3175" i="2"/>
  <c r="X1064" i="2"/>
  <c r="X2647" i="2"/>
  <c r="X1478" i="2"/>
  <c r="X3371" i="2"/>
  <c r="X4444" i="2"/>
  <c r="X2934" i="2"/>
  <c r="X2406" i="2"/>
  <c r="X114" i="2"/>
  <c r="X352" i="2"/>
  <c r="X2996" i="2"/>
  <c r="X3412" i="2"/>
  <c r="X733" i="2"/>
  <c r="X3304" i="2"/>
  <c r="X1149" i="2"/>
  <c r="X1006" i="2"/>
  <c r="X1682" i="2"/>
  <c r="X1366" i="2"/>
  <c r="X2186" i="2"/>
  <c r="X383" i="2"/>
  <c r="X686" i="2"/>
  <c r="X1471" i="2"/>
  <c r="X2612" i="2"/>
  <c r="X1427" i="2"/>
  <c r="X2091" i="2"/>
  <c r="X276" i="2"/>
  <c r="X233" i="2"/>
  <c r="X744" i="2"/>
  <c r="X701" i="2"/>
  <c r="X1166" i="2"/>
  <c r="X1125" i="2"/>
  <c r="X265" i="2"/>
  <c r="X102" i="2"/>
  <c r="X625" i="2"/>
  <c r="X582" i="2"/>
  <c r="X123" i="2"/>
  <c r="X67" i="2"/>
  <c r="X1808" i="2"/>
  <c r="X590" i="2"/>
  <c r="X1167" i="2"/>
  <c r="X56" i="2"/>
  <c r="X1527" i="2"/>
  <c r="X536" i="2"/>
  <c r="X1535" i="2"/>
  <c r="X69" i="2"/>
  <c r="X2595" i="2"/>
  <c r="X1422" i="2"/>
  <c r="X2579" i="2"/>
  <c r="X993" i="2"/>
  <c r="X1316" i="2"/>
  <c r="X1473" i="2"/>
  <c r="X1105" i="2"/>
  <c r="X418" i="2"/>
  <c r="X3630" i="2"/>
  <c r="X1889" i="2"/>
  <c r="X1814" i="2"/>
  <c r="X1342" i="2"/>
  <c r="X2174" i="2"/>
  <c r="X371" i="2"/>
  <c r="X614" i="2"/>
  <c r="X839" i="2"/>
  <c r="X2311" i="2"/>
  <c r="X2238" i="2"/>
  <c r="X2223" i="2"/>
  <c r="X252" i="2"/>
  <c r="X221" i="2"/>
  <c r="X732" i="2"/>
  <c r="X689" i="2"/>
  <c r="X1200" i="2"/>
  <c r="X537" i="2"/>
  <c r="X1557" i="2"/>
  <c r="X66" i="2"/>
  <c r="X601" i="2"/>
  <c r="X570" i="2"/>
  <c r="X111" i="2"/>
  <c r="X55" i="2"/>
  <c r="X579" i="2"/>
  <c r="X1047" i="2"/>
  <c r="X2991" i="2"/>
  <c r="X20" i="2"/>
  <c r="X1503" i="2"/>
  <c r="X524" i="2"/>
  <c r="X1520" i="2"/>
  <c r="X57" i="2"/>
  <c r="X1991" i="2"/>
  <c r="X1571" i="2"/>
  <c r="X920" i="2"/>
  <c r="X1931" i="2"/>
  <c r="X465" i="2"/>
  <c r="X2399" i="2"/>
  <c r="X933" i="2"/>
  <c r="X2622" i="2"/>
  <c r="X2332" i="2"/>
  <c r="X1177" i="2"/>
  <c r="X334" i="2"/>
  <c r="X532" i="2"/>
  <c r="X814" i="2"/>
  <c r="X1634" i="2"/>
  <c r="X1282" i="2"/>
  <c r="X2971" i="2"/>
  <c r="X916" i="2"/>
  <c r="X3115" i="2"/>
  <c r="X1099" i="2"/>
  <c r="X3171" i="2"/>
  <c r="X1694" i="2"/>
  <c r="X2643" i="2"/>
  <c r="X3608" i="2"/>
  <c r="X4195" i="2"/>
  <c r="X3370" i="2"/>
  <c r="X1474" i="2"/>
  <c r="X1468" i="2"/>
  <c r="X2682" i="2"/>
  <c r="X2248" i="2"/>
  <c r="X1314" i="2"/>
  <c r="X2341" i="2"/>
  <c r="X4544" i="2"/>
  <c r="X2917" i="2"/>
  <c r="X877" i="2"/>
  <c r="X1913" i="2"/>
  <c r="X3031" i="2"/>
  <c r="X412" i="2"/>
  <c r="X2422" i="2"/>
  <c r="X2843" i="2"/>
  <c r="X3024" i="2"/>
  <c r="X4300" i="2"/>
  <c r="X2420" i="2"/>
  <c r="X2262" i="2"/>
  <c r="X1061" i="2"/>
  <c r="X1543" i="2"/>
  <c r="X2852" i="2"/>
  <c r="X3065" i="2"/>
  <c r="X311" i="2"/>
  <c r="X2957" i="2"/>
  <c r="X573" i="2"/>
  <c r="X1581" i="2"/>
  <c r="X1199" i="2"/>
  <c r="X2337" i="2"/>
  <c r="X22" i="2"/>
  <c r="X1290" i="2"/>
  <c r="X3531" i="2"/>
  <c r="X3704" i="2"/>
  <c r="X1083" i="2"/>
  <c r="X1283" i="2"/>
  <c r="X1947" i="2"/>
  <c r="X132" i="2"/>
  <c r="X89" i="2"/>
  <c r="X600" i="2"/>
  <c r="X557" i="2"/>
  <c r="X712" i="2"/>
  <c r="X549" i="2"/>
  <c r="X121" i="2"/>
  <c r="X1481" i="2"/>
  <c r="X481" i="2"/>
  <c r="X438" i="2"/>
  <c r="X949" i="2"/>
  <c r="X906" i="2"/>
  <c r="X2541" i="2"/>
  <c r="X1059" i="2"/>
  <c r="X1023" i="2"/>
  <c r="X847" i="2"/>
  <c r="X1383" i="2"/>
  <c r="X392" i="2"/>
  <c r="X1267" i="2"/>
  <c r="X860" i="2"/>
  <c r="X2300" i="2"/>
  <c r="X1134" i="2"/>
  <c r="X2435" i="2"/>
  <c r="X849" i="2"/>
  <c r="X1028" i="2"/>
  <c r="X1329" i="2"/>
  <c r="X530" i="2"/>
  <c r="X274" i="2"/>
  <c r="X3486" i="2"/>
  <c r="X1745" i="2"/>
  <c r="X1670" i="2"/>
  <c r="X1198" i="2"/>
  <c r="X2030" i="2"/>
  <c r="X227" i="2"/>
  <c r="X2498" i="2"/>
  <c r="X695" i="2"/>
  <c r="X1964" i="2"/>
  <c r="X2094" i="2"/>
  <c r="X2079" i="2"/>
  <c r="X108" i="2"/>
  <c r="X77" i="2"/>
  <c r="X588" i="2"/>
  <c r="X545" i="2"/>
  <c r="X1056" i="2"/>
  <c r="X896" i="2"/>
  <c r="X1312" i="2"/>
  <c r="X1445" i="2"/>
  <c r="X457" i="2"/>
  <c r="X426" i="2"/>
  <c r="X937" i="2"/>
  <c r="X894" i="2"/>
  <c r="X435" i="2"/>
  <c r="X471" i="2"/>
  <c r="X2847" i="2"/>
  <c r="X811" i="2"/>
  <c r="X1359" i="2"/>
  <c r="X380" i="2"/>
  <c r="X1243" i="2"/>
  <c r="X848" i="2"/>
  <c r="X1847" i="2"/>
  <c r="X544" i="2"/>
  <c r="X2074" i="2"/>
  <c r="X813" i="2"/>
  <c r="X980" i="2"/>
  <c r="X1317" i="2"/>
  <c r="X458" i="2"/>
  <c r="X262" i="2"/>
  <c r="X28" i="2"/>
  <c r="X746" i="2"/>
  <c r="X190" i="2"/>
  <c r="X1561" i="2"/>
  <c r="X670" i="2"/>
  <c r="X1465" i="2"/>
  <c r="X1138" i="2"/>
  <c r="X2827" i="2"/>
  <c r="X52" i="2"/>
  <c r="X2534" i="2"/>
  <c r="X611" i="2"/>
  <c r="X1348" i="2"/>
  <c r="X1091" i="2"/>
  <c r="X1899" i="2"/>
  <c r="X48" i="2"/>
  <c r="X305" i="2"/>
  <c r="X1453" i="2"/>
  <c r="X2226" i="2"/>
  <c r="X1182" i="2"/>
  <c r="X2506" i="2"/>
  <c r="X2104" i="2"/>
  <c r="X2848" i="2"/>
  <c r="X1999" i="2"/>
  <c r="X4400" i="2"/>
  <c r="X2773" i="2"/>
  <c r="X672" i="2"/>
  <c r="X1769" i="2"/>
  <c r="X2887" i="2"/>
  <c r="X2525" i="2"/>
  <c r="X2076" i="2"/>
  <c r="X2699" i="2"/>
  <c r="X2434" i="2"/>
  <c r="X4156" i="2"/>
  <c r="X3567" i="2"/>
  <c r="X2118" i="2"/>
  <c r="X485" i="2"/>
  <c r="X1285" i="2"/>
  <c r="X2708" i="2"/>
  <c r="X2576" i="2"/>
  <c r="X764" i="2"/>
  <c r="X2173" i="2"/>
  <c r="X932" i="2"/>
  <c r="X1360" i="2"/>
  <c r="X623" i="2"/>
  <c r="X2193" i="2"/>
  <c r="X969" i="2"/>
  <c r="X3530" i="2"/>
  <c r="X2667" i="2"/>
  <c r="X3449" i="2"/>
  <c r="X507" i="2"/>
  <c r="X2871" i="2"/>
  <c r="X1549" i="2"/>
  <c r="X3627" i="2"/>
  <c r="X1479" i="2"/>
  <c r="X4183" i="2"/>
  <c r="X2558" i="2"/>
  <c r="X3909" i="2"/>
  <c r="X688" i="2"/>
  <c r="X1500" i="2"/>
  <c r="X1337" i="2"/>
  <c r="X337" i="2"/>
  <c r="X294" i="2"/>
  <c r="X805" i="2"/>
  <c r="X762" i="2"/>
  <c r="X2397" i="2"/>
  <c r="X483" i="2"/>
  <c r="X879" i="2"/>
  <c r="X703" i="2"/>
  <c r="X1239" i="2"/>
  <c r="X248" i="2"/>
  <c r="X979" i="2"/>
  <c r="X716" i="2"/>
  <c r="X1954" i="2"/>
  <c r="X616" i="2"/>
  <c r="X2291" i="2"/>
  <c r="X705" i="2"/>
  <c r="X304" i="2"/>
  <c r="X1185" i="2"/>
  <c r="X1596" i="2"/>
  <c r="X130" i="2"/>
  <c r="X3342" i="2"/>
  <c r="X1601" i="2"/>
  <c r="X1525" i="2"/>
  <c r="X1054" i="2"/>
  <c r="X1886" i="2"/>
  <c r="X83" i="2"/>
  <c r="X2354" i="2"/>
  <c r="X551" i="2"/>
  <c r="X1582" i="2"/>
  <c r="X1950" i="2"/>
  <c r="X1935" i="2"/>
  <c r="X1475" i="2"/>
  <c r="X2295" i="2"/>
  <c r="X444" i="2"/>
  <c r="X401" i="2"/>
  <c r="X912" i="2"/>
  <c r="X320" i="2"/>
  <c r="X1024" i="2"/>
  <c r="X1301" i="2"/>
  <c r="X313" i="2"/>
  <c r="X282" i="2"/>
  <c r="X793" i="2"/>
  <c r="X750" i="2"/>
  <c r="X291" i="2"/>
  <c r="X865" i="2"/>
  <c r="X2703" i="2"/>
  <c r="X667" i="2"/>
  <c r="X1215" i="2"/>
  <c r="X236" i="2"/>
  <c r="X943" i="2"/>
  <c r="X704" i="2"/>
  <c r="X1703" i="2"/>
  <c r="X2487" i="2"/>
  <c r="X1728" i="2"/>
  <c r="X669" i="2"/>
  <c r="X160" i="2"/>
  <c r="X1173" i="2"/>
  <c r="X1584" i="2"/>
  <c r="X118" i="2"/>
  <c r="X1441" i="2"/>
  <c r="X1375" i="2"/>
  <c r="X2556" i="2"/>
  <c r="X1018" i="2"/>
  <c r="X1862" i="2"/>
  <c r="X71" i="2"/>
  <c r="X2342" i="2"/>
  <c r="X539" i="2"/>
  <c r="X1180" i="2"/>
  <c r="X2390" i="2"/>
  <c r="X467" i="2"/>
  <c r="X1060" i="2"/>
  <c r="X947" i="2"/>
  <c r="X1755" i="2"/>
  <c r="X1415" i="2"/>
  <c r="X3032" i="2"/>
  <c r="X1165" i="2"/>
  <c r="X293" i="2"/>
  <c r="X828" i="2"/>
  <c r="X797" i="2"/>
  <c r="X1308" i="2"/>
  <c r="X1265" i="2"/>
  <c r="X253" i="2"/>
  <c r="X1318" i="2"/>
  <c r="X2133" i="2"/>
  <c r="X908" i="2"/>
  <c r="X1625" i="2"/>
  <c r="X2743" i="2"/>
  <c r="X2381" i="2"/>
  <c r="X1729" i="2"/>
  <c r="X2544" i="2"/>
  <c r="X4605" i="2"/>
  <c r="X4012" i="2"/>
  <c r="X3135" i="2"/>
  <c r="X1974" i="2"/>
  <c r="X3092" i="2"/>
  <c r="X997" i="2"/>
  <c r="X2557" i="2"/>
  <c r="X3601" i="2"/>
  <c r="X3170" i="2"/>
  <c r="X3762" i="2"/>
  <c r="X356" i="2"/>
  <c r="X1072" i="2"/>
  <c r="X47" i="2"/>
  <c r="X2049" i="2"/>
  <c r="X393" i="2"/>
  <c r="X3184" i="2"/>
  <c r="X2241" i="2"/>
  <c r="X3107" i="2"/>
  <c r="X901" i="2"/>
  <c r="X2727" i="2"/>
  <c r="X1548" i="2"/>
  <c r="X3483" i="2"/>
  <c r="X903" i="2"/>
  <c r="X4039" i="2"/>
  <c r="X2227" i="2"/>
  <c r="X3765" i="2"/>
  <c r="X2511" i="2"/>
  <c r="X1786" i="2"/>
  <c r="X1948" i="2"/>
  <c r="X2994" i="2"/>
  <c r="X1038" i="2"/>
  <c r="X4388" i="2"/>
  <c r="X2782" i="2"/>
  <c r="X1356" i="2"/>
  <c r="X1423" i="2"/>
  <c r="X735" i="2"/>
  <c r="X559" i="2"/>
  <c r="X1095" i="2"/>
  <c r="X104" i="2"/>
  <c r="X158" i="2"/>
  <c r="X572" i="2"/>
  <c r="X1534" i="2"/>
  <c r="X2499" i="2"/>
  <c r="X2147" i="2"/>
  <c r="X561" i="2"/>
  <c r="X2507" i="2"/>
  <c r="X1041" i="2"/>
  <c r="X1388" i="2"/>
  <c r="X1509" i="2"/>
  <c r="X3198" i="2"/>
  <c r="X1399" i="2"/>
  <c r="X1250" i="2"/>
  <c r="X910" i="2"/>
  <c r="X1742" i="2"/>
  <c r="X1390" i="2"/>
  <c r="X2210" i="2"/>
  <c r="X407" i="2"/>
  <c r="X3547" i="2"/>
  <c r="X1806" i="2"/>
  <c r="X1791" i="2"/>
  <c r="X1331" i="2"/>
  <c r="X2151" i="2"/>
  <c r="X300" i="2"/>
  <c r="X257" i="2"/>
  <c r="X768" i="2"/>
  <c r="X679" i="2"/>
  <c r="X290" i="2"/>
  <c r="X1157" i="2"/>
  <c r="X169" i="2"/>
  <c r="X138" i="2"/>
  <c r="X649" i="2"/>
  <c r="X606" i="2"/>
  <c r="X147" i="2"/>
  <c r="X289" i="2"/>
  <c r="X2548" i="2"/>
  <c r="X523" i="2"/>
  <c r="X1071" i="2"/>
  <c r="X92" i="2"/>
  <c r="X86" i="2"/>
  <c r="X560" i="2"/>
  <c r="X1559" i="2"/>
  <c r="X2247" i="2"/>
  <c r="X2908" i="2"/>
  <c r="X525" i="2"/>
  <c r="X2483" i="2"/>
  <c r="X1029" i="2"/>
  <c r="X1364" i="2"/>
  <c r="X1497" i="2"/>
  <c r="X1153" i="2"/>
  <c r="X1087" i="2"/>
  <c r="X2220" i="2"/>
  <c r="X874" i="2"/>
  <c r="X1718" i="2"/>
  <c r="X1378" i="2"/>
  <c r="X2198" i="2"/>
  <c r="X395" i="2"/>
  <c r="X758" i="2"/>
  <c r="X1650" i="2"/>
  <c r="X2768" i="2"/>
  <c r="X1295" i="2"/>
  <c r="X2127" i="2"/>
  <c r="X288" i="2"/>
  <c r="X245" i="2"/>
  <c r="X756" i="2"/>
  <c r="X978" i="2"/>
  <c r="X149" i="2"/>
  <c r="X684" i="2"/>
  <c r="X653" i="2"/>
  <c r="X1164" i="2"/>
  <c r="X1121" i="2"/>
  <c r="X109" i="2"/>
  <c r="X742" i="2"/>
  <c r="X1989" i="2"/>
  <c r="X498" i="2"/>
  <c r="X63" i="2"/>
  <c r="X19" i="2"/>
  <c r="X543" i="2"/>
  <c r="X487" i="2"/>
  <c r="X1011" i="2"/>
  <c r="X2315" i="2"/>
  <c r="X3423" i="2"/>
  <c r="X2277" i="2"/>
  <c r="X1830" i="2"/>
  <c r="X2948" i="2"/>
  <c r="X206" i="2"/>
  <c r="X2221" i="2"/>
  <c r="X3457" i="2"/>
  <c r="X2750" i="2"/>
  <c r="X3590" i="2"/>
  <c r="X715" i="2"/>
  <c r="X434" i="2"/>
  <c r="X922" i="2"/>
  <c r="X1905" i="2"/>
  <c r="X752" i="2"/>
  <c r="X2774" i="2"/>
  <c r="X1240" i="2"/>
  <c r="X2642" i="2"/>
  <c r="X325" i="2"/>
  <c r="X2580" i="2"/>
  <c r="X2495" i="2"/>
  <c r="X3339" i="2"/>
  <c r="X327" i="2"/>
  <c r="X3895" i="2"/>
  <c r="X1880" i="2"/>
  <c r="X3599" i="2"/>
  <c r="X2283" i="2"/>
  <c r="X2932" i="2"/>
  <c r="X1804" i="2"/>
  <c r="X2850" i="2"/>
  <c r="X328" i="2"/>
  <c r="X4244" i="2"/>
  <c r="X2638" i="2"/>
  <c r="X1139" i="2"/>
  <c r="X1135" i="2"/>
  <c r="X2278" i="2"/>
  <c r="X2225" i="2"/>
  <c r="X3199" i="2"/>
  <c r="X1553" i="2"/>
  <c r="X4593" i="2"/>
  <c r="X1657" i="2"/>
  <c r="X1179" i="2"/>
  <c r="X1674" i="2"/>
  <c r="X2003" i="2"/>
  <c r="X417" i="2"/>
  <c r="X2363" i="2"/>
  <c r="X897" i="2"/>
  <c r="X1100" i="2"/>
  <c r="X1365" i="2"/>
  <c r="X3054" i="2"/>
  <c r="X1111" i="2"/>
  <c r="X952" i="2"/>
  <c r="X766" i="2"/>
  <c r="X1598" i="2"/>
  <c r="X1246" i="2"/>
  <c r="X2066" i="2"/>
  <c r="X263" i="2"/>
  <c r="X3403" i="2"/>
  <c r="X1662" i="2"/>
  <c r="X1647" i="2"/>
  <c r="X1187" i="2"/>
  <c r="X2007" i="2"/>
  <c r="X156" i="2"/>
  <c r="X113" i="2"/>
  <c r="X624" i="2"/>
  <c r="X103" i="2"/>
  <c r="X1495" i="2"/>
  <c r="X1013" i="2"/>
  <c r="X25" i="2"/>
  <c r="X1517" i="2"/>
  <c r="X505" i="2"/>
  <c r="X462" i="2"/>
  <c r="X973" i="2"/>
  <c r="X1236" i="2"/>
  <c r="X2209" i="2"/>
  <c r="X379" i="2"/>
  <c r="X927" i="2"/>
  <c r="X883" i="2"/>
  <c r="X1407" i="2"/>
  <c r="X416" i="2"/>
  <c r="X1315" i="2"/>
  <c r="X1671" i="2"/>
  <c r="X2764" i="2"/>
  <c r="X381" i="2"/>
  <c r="X2339" i="2"/>
  <c r="X885" i="2"/>
  <c r="X1076" i="2"/>
  <c r="X1353" i="2"/>
  <c r="X674" i="2"/>
  <c r="X482" i="2"/>
  <c r="X1873" i="2"/>
  <c r="X730" i="2"/>
  <c r="X1574" i="2"/>
  <c r="X1234" i="2"/>
  <c r="X2054" i="2"/>
  <c r="X251" i="2"/>
  <c r="X2522" i="2"/>
  <c r="X1492" i="2"/>
  <c r="X2624" i="2"/>
  <c r="X1151" i="2"/>
  <c r="X1983" i="2"/>
  <c r="X144" i="2"/>
  <c r="X101" i="2"/>
  <c r="X612" i="2"/>
  <c r="X402" i="2"/>
  <c r="X1190" i="2"/>
  <c r="X1145" i="2"/>
  <c r="X1512" i="2"/>
  <c r="X1505" i="2"/>
  <c r="X493" i="2"/>
  <c r="X450" i="2"/>
  <c r="X961" i="2"/>
  <c r="X552" i="2"/>
  <c r="X354" i="2"/>
  <c r="X889" i="2"/>
  <c r="X858" i="2"/>
  <c r="X399" i="2"/>
  <c r="X343" i="2"/>
  <c r="X867" i="2"/>
  <c r="X1739" i="2"/>
  <c r="X3279" i="2"/>
  <c r="X308" i="2"/>
  <c r="X1147" i="2"/>
  <c r="X812" i="2"/>
  <c r="X1811" i="2"/>
  <c r="X345" i="2"/>
  <c r="X2279" i="2"/>
  <c r="X1600" i="2"/>
  <c r="X2790" i="2"/>
  <c r="X139" i="2"/>
  <c r="X1532" i="2"/>
  <c r="X346" i="2"/>
  <c r="X1761" i="2"/>
  <c r="X176" i="2"/>
  <c r="X1690" i="2"/>
  <c r="X1591" i="2"/>
  <c r="X4651" i="2"/>
  <c r="X1272" i="2"/>
  <c r="X2268" i="2"/>
  <c r="X1919" i="2"/>
  <c r="X3195" i="2"/>
  <c r="X721" i="2"/>
  <c r="X3751" i="2"/>
  <c r="X508" i="2"/>
  <c r="X3252" i="2"/>
  <c r="X1707" i="2"/>
  <c r="X2788" i="2"/>
  <c r="X1660" i="2"/>
  <c r="X2706" i="2"/>
  <c r="X2451" i="2"/>
  <c r="X4100" i="2"/>
  <c r="X2400" i="2"/>
  <c r="X862" i="2"/>
  <c r="X626" i="2"/>
  <c r="X1932" i="2"/>
  <c r="X2081" i="2"/>
  <c r="X3055" i="2"/>
  <c r="X1303" i="2"/>
  <c r="X4449" i="2"/>
  <c r="X2867" i="2"/>
  <c r="X421" i="2"/>
  <c r="X1530" i="2"/>
  <c r="X2648" i="2"/>
  <c r="X2430" i="2"/>
  <c r="X605" i="2"/>
  <c r="X1758" i="2"/>
  <c r="X2702" i="2"/>
  <c r="X3124" i="2"/>
  <c r="X170" i="2"/>
  <c r="X1238" i="2"/>
  <c r="X100" i="2"/>
  <c r="X622" i="2"/>
  <c r="X1394" i="2"/>
  <c r="X1102" i="2"/>
  <c r="X1922" i="2"/>
  <c r="X119" i="2"/>
  <c r="X3259" i="2"/>
  <c r="X1513" i="2"/>
  <c r="X1486" i="2"/>
  <c r="X1043" i="2"/>
  <c r="X1863" i="2"/>
  <c r="X12" i="2"/>
  <c r="X2331" i="2"/>
  <c r="X480" i="2"/>
  <c r="X510" i="2"/>
  <c r="X1214" i="2"/>
  <c r="X869" i="2"/>
  <c r="X1404" i="2"/>
  <c r="X1373" i="2"/>
  <c r="X361" i="2"/>
  <c r="X318" i="2"/>
  <c r="X829" i="2"/>
  <c r="X660" i="2"/>
  <c r="X1867" i="2"/>
  <c r="X235" i="2"/>
  <c r="X783" i="2"/>
  <c r="X739" i="2"/>
  <c r="X1263" i="2"/>
  <c r="X272" i="2"/>
  <c r="X1027" i="2"/>
  <c r="X110" i="2"/>
  <c r="X2620" i="2"/>
  <c r="X237" i="2"/>
  <c r="X2195" i="2"/>
  <c r="X741" i="2"/>
  <c r="X448" i="2"/>
  <c r="X1209" i="2"/>
  <c r="X1620" i="2"/>
  <c r="X2464" i="2"/>
  <c r="X364" i="2"/>
  <c r="X586" i="2"/>
  <c r="X1346" i="2"/>
  <c r="X1090" i="2"/>
  <c r="X1910" i="2"/>
  <c r="X107" i="2"/>
  <c r="X2378" i="2"/>
  <c r="X1208" i="2"/>
  <c r="X2365" i="2"/>
  <c r="X1007" i="2"/>
  <c r="X1839" i="2"/>
  <c r="X1511" i="2"/>
  <c r="X2319" i="2"/>
  <c r="X468" i="2"/>
  <c r="X1349" i="2"/>
  <c r="X784" i="2"/>
  <c r="X1001" i="2"/>
  <c r="X1368" i="2"/>
  <c r="X1361" i="2"/>
  <c r="X349" i="2"/>
  <c r="X306" i="2"/>
  <c r="X817" i="2"/>
  <c r="X1487" i="2"/>
  <c r="X2553" i="2"/>
  <c r="X367" i="2"/>
  <c r="X747" i="2"/>
  <c r="X727" i="2"/>
  <c r="X1251" i="2"/>
  <c r="X260" i="2"/>
  <c r="X1003" i="2"/>
  <c r="X1874" i="2"/>
  <c r="X164" i="2"/>
  <c r="X662" i="2"/>
  <c r="X668" i="2"/>
  <c r="X1667" i="2"/>
  <c r="X201" i="2"/>
  <c r="X2135" i="2"/>
  <c r="X1398" i="2"/>
  <c r="X2646" i="2"/>
  <c r="X1101" i="2"/>
  <c r="X1536" i="2"/>
  <c r="X82" i="2"/>
  <c r="X1369" i="2"/>
  <c r="X550" i="2"/>
  <c r="X1226" i="2"/>
  <c r="X1877" i="2"/>
  <c r="X2995" i="2"/>
  <c r="X696" i="2"/>
  <c r="X1921" i="2"/>
  <c r="X1171" i="2"/>
  <c r="X3051" i="2"/>
  <c r="X145" i="2"/>
  <c r="X3564" i="2"/>
  <c r="X3488" i="2"/>
  <c r="X2885" i="2"/>
  <c r="X326" i="2"/>
  <c r="X2644" i="2"/>
  <c r="X1508" i="2"/>
  <c r="X2554" i="2"/>
  <c r="X2103" i="2"/>
  <c r="X3956" i="2"/>
  <c r="X2053" i="2"/>
  <c r="X657" i="2"/>
  <c r="X2488" i="2"/>
  <c r="X1338" i="2"/>
  <c r="X1937" i="2"/>
  <c r="X2911" i="2"/>
  <c r="X1015" i="2"/>
  <c r="X4305" i="2"/>
  <c r="X2723" i="2"/>
  <c r="X216" i="2"/>
  <c r="X1256" i="2"/>
  <c r="X2424" i="2"/>
  <c r="X2286" i="2"/>
  <c r="X29" i="2"/>
  <c r="X1614" i="2"/>
  <c r="X4666" i="2"/>
  <c r="X2676" i="2"/>
  <c r="X1435" i="2"/>
  <c r="X928" i="2"/>
  <c r="X693" i="2"/>
  <c r="X1605" i="2"/>
  <c r="X427" i="2"/>
  <c r="X1406" i="2"/>
  <c r="X1961" i="2"/>
  <c r="X3588" i="2"/>
  <c r="X1575" i="2"/>
  <c r="X940" i="2"/>
  <c r="X1204" i="2"/>
  <c r="X899" i="2"/>
  <c r="X1719" i="2"/>
  <c r="X1379" i="2"/>
  <c r="X2187" i="2"/>
  <c r="X336" i="2"/>
  <c r="X1457" i="2"/>
  <c r="X856" i="2"/>
  <c r="X725" i="2"/>
  <c r="X1260" i="2"/>
  <c r="X1229" i="2"/>
  <c r="X217" i="2"/>
  <c r="X174" i="2"/>
  <c r="X685" i="2"/>
  <c r="X84" i="2"/>
  <c r="X76" i="2"/>
  <c r="X91" i="2"/>
  <c r="X639" i="2"/>
  <c r="X595" i="2"/>
  <c r="X1119" i="2"/>
  <c r="X128" i="2"/>
  <c r="X302" i="2"/>
  <c r="X1982" i="2"/>
  <c r="X2359" i="2"/>
  <c r="X93" i="2"/>
  <c r="X2051" i="2"/>
  <c r="X597" i="2"/>
  <c r="X2531" i="2"/>
  <c r="X1065" i="2"/>
  <c r="X1436" i="2"/>
  <c r="X2320" i="2"/>
  <c r="X3510" i="2"/>
  <c r="X442" i="2"/>
  <c r="X1058" i="2"/>
  <c r="X946" i="2"/>
  <c r="X1766" i="2"/>
  <c r="X1414" i="2"/>
  <c r="X2234" i="2"/>
  <c r="X844" i="2"/>
  <c r="X2023" i="2"/>
  <c r="X863" i="2"/>
  <c r="X1695" i="2"/>
  <c r="X1367" i="2"/>
  <c r="X2175" i="2"/>
  <c r="X324" i="2"/>
  <c r="X773" i="2"/>
  <c r="X1615" i="2"/>
  <c r="X857" i="2"/>
  <c r="X1224" i="2"/>
  <c r="X1217" i="2"/>
  <c r="X205" i="2"/>
  <c r="X162" i="2"/>
  <c r="X673" i="2"/>
  <c r="X911" i="2"/>
  <c r="X2409" i="2"/>
  <c r="X223" i="2"/>
  <c r="X603" i="2"/>
  <c r="X583" i="2"/>
  <c r="X1107" i="2"/>
  <c r="X116" i="2"/>
  <c r="X230" i="2"/>
  <c r="X1082" i="2"/>
  <c r="X1981" i="2"/>
  <c r="X225" i="2"/>
  <c r="X2015" i="2"/>
  <c r="X585" i="2"/>
  <c r="X2519" i="2"/>
  <c r="X1053" i="2"/>
  <c r="X1412" i="2"/>
  <c r="X2164" i="2"/>
  <c r="X957" i="2"/>
  <c r="X1268" i="2"/>
  <c r="X1461" i="2"/>
  <c r="X1081" i="2"/>
  <c r="X406" i="2"/>
  <c r="X892" i="2"/>
  <c r="X1733" i="2"/>
  <c r="X2851" i="2"/>
  <c r="X1306" i="2"/>
  <c r="X2150" i="2"/>
  <c r="X359" i="2"/>
  <c r="X542" i="2"/>
  <c r="X827" i="2"/>
  <c r="X1635" i="2"/>
  <c r="X2082" i="2"/>
  <c r="X3200" i="2"/>
  <c r="X2018" i="2"/>
  <c r="X2413" i="2"/>
  <c r="X1230" i="2"/>
  <c r="X2218" i="2"/>
  <c r="X1526" i="2"/>
  <c r="X3812" i="2"/>
  <c r="X1711" i="2"/>
  <c r="X799" i="2"/>
  <c r="X2344" i="2"/>
  <c r="X3534" i="2"/>
  <c r="X1793" i="2"/>
  <c r="X2767" i="2"/>
  <c r="X266" i="2"/>
  <c r="X4161" i="2"/>
  <c r="X2575" i="2"/>
  <c r="X1450" i="2"/>
  <c r="X964" i="2"/>
  <c r="X2077" i="2"/>
  <c r="X2142" i="2"/>
  <c r="X3116" i="2"/>
  <c r="X1424" i="2"/>
  <c r="X4522" i="2"/>
  <c r="X3625" i="2"/>
  <c r="X207" i="2"/>
  <c r="X64" i="2"/>
  <c r="X117" i="2"/>
  <c r="X1408" i="2"/>
  <c r="X834" i="2"/>
  <c r="X1118" i="2"/>
  <c r="X122" i="2"/>
  <c r="X3242" i="2"/>
  <c r="X1106" i="2"/>
  <c r="X2433" i="2"/>
  <c r="X627" i="2"/>
  <c r="X2895" i="2"/>
  <c r="X984" i="2"/>
  <c r="X1750" i="2"/>
  <c r="X2194" i="2"/>
  <c r="X4063" i="2"/>
  <c r="X150" i="2"/>
  <c r="X2040" i="2"/>
  <c r="X581" i="2"/>
  <c r="X1116" i="2"/>
  <c r="X1085" i="2"/>
  <c r="X73" i="2"/>
  <c r="X30" i="2"/>
  <c r="X541" i="2"/>
  <c r="X1019" i="2"/>
  <c r="X2421" i="2"/>
  <c r="X930" i="2"/>
  <c r="X495" i="2"/>
  <c r="X451" i="2"/>
  <c r="X975" i="2"/>
  <c r="X919" i="2"/>
  <c r="X1443" i="2"/>
  <c r="X1298" i="2"/>
  <c r="X2012" i="2"/>
  <c r="X884" i="2"/>
  <c r="X1907" i="2"/>
  <c r="X453" i="2"/>
  <c r="X2387" i="2"/>
  <c r="X921" i="2"/>
  <c r="X1148" i="2"/>
  <c r="X2176" i="2"/>
  <c r="X3366" i="2"/>
  <c r="X298" i="2"/>
  <c r="X388" i="2"/>
  <c r="X802" i="2"/>
  <c r="X1622" i="2"/>
  <c r="X1270" i="2"/>
  <c r="X2090" i="2"/>
  <c r="X2597" i="2"/>
  <c r="X1676" i="2"/>
  <c r="X719" i="2"/>
  <c r="X1551" i="2"/>
  <c r="X1223" i="2"/>
  <c r="X2031" i="2"/>
  <c r="X180" i="2"/>
  <c r="X197" i="2"/>
  <c r="X1429" i="2"/>
  <c r="X713" i="2"/>
  <c r="X1080" i="2"/>
  <c r="X1073" i="2"/>
  <c r="X61" i="2"/>
  <c r="X18" i="2"/>
  <c r="X529" i="2"/>
  <c r="X335" i="2"/>
  <c r="X2265" i="2"/>
  <c r="X79" i="2"/>
  <c r="X459" i="2"/>
  <c r="X439" i="2"/>
  <c r="X963" i="2"/>
  <c r="X907" i="2"/>
  <c r="X1431" i="2"/>
  <c r="X1009" i="2"/>
  <c r="X1633" i="2"/>
  <c r="X81" i="2"/>
  <c r="X1871" i="2"/>
  <c r="X441" i="2"/>
  <c r="X2375" i="2"/>
  <c r="X909" i="2"/>
  <c r="X1124" i="2"/>
  <c r="X2020" i="2"/>
  <c r="X3210" i="2"/>
  <c r="X430" i="2"/>
  <c r="X172" i="2"/>
  <c r="X790" i="2"/>
  <c r="X1610" i="2"/>
  <c r="X1258" i="2"/>
  <c r="X2078" i="2"/>
  <c r="X2441" i="2"/>
  <c r="X1162" i="2"/>
  <c r="X2006" i="2"/>
  <c r="X215" i="2"/>
  <c r="X2486" i="2"/>
  <c r="X683" i="2"/>
  <c r="X1466" i="2"/>
  <c r="X1938" i="2"/>
  <c r="X3056" i="2"/>
  <c r="X72" i="2"/>
  <c r="X65" i="2"/>
  <c r="X576" i="2"/>
  <c r="X533" i="2"/>
  <c r="X1044" i="2"/>
  <c r="X212" i="2"/>
  <c r="X1000" i="2"/>
  <c r="X54" i="2"/>
  <c r="X2200" i="2"/>
  <c r="X3390" i="2"/>
  <c r="X1649" i="2"/>
  <c r="X2623" i="2"/>
  <c r="X2428" i="2"/>
  <c r="X4017" i="2"/>
  <c r="X2257" i="2"/>
  <c r="X1245" i="2"/>
  <c r="X124" i="2"/>
  <c r="X1735" i="2"/>
  <c r="X1998" i="2"/>
  <c r="X2972" i="2"/>
  <c r="X1136" i="2"/>
  <c r="X4378" i="2"/>
  <c r="X3481" i="2"/>
  <c r="X972" i="2"/>
  <c r="X1472" i="2"/>
  <c r="X476" i="2"/>
  <c r="X1120" i="2"/>
  <c r="X258" i="2"/>
  <c r="X568" i="2"/>
  <c r="X1684" i="2"/>
  <c r="X2870" i="2"/>
  <c r="X2219" i="2"/>
  <c r="X2289" i="2"/>
  <c r="X51" i="2"/>
  <c r="X2751" i="2"/>
  <c r="X408" i="2"/>
  <c r="X2517" i="2"/>
  <c r="X3067" i="2"/>
  <c r="X3919" i="2"/>
  <c r="X2307" i="2"/>
  <c r="X1693" i="2"/>
  <c r="X2535" i="2"/>
  <c r="X1844" i="2"/>
  <c r="X2306" i="2"/>
  <c r="X2242" i="2"/>
  <c r="X3273" i="2"/>
  <c r="X4268" i="2"/>
  <c r="X692" i="2"/>
  <c r="X3234" i="2"/>
  <c r="X786" i="2"/>
  <c r="X351" i="2"/>
  <c r="X307" i="2"/>
  <c r="X831" i="2"/>
  <c r="X775" i="2"/>
  <c r="X1299" i="2"/>
  <c r="X1225" i="2"/>
  <c r="X1666" i="2"/>
  <c r="X740" i="2"/>
  <c r="X1763" i="2"/>
  <c r="X309" i="2"/>
  <c r="X2243" i="2"/>
  <c r="X777" i="2"/>
  <c r="X664" i="2"/>
  <c r="X2032" i="2"/>
  <c r="X3222" i="2"/>
  <c r="X154" i="2"/>
  <c r="X1537" i="2"/>
  <c r="X658" i="2"/>
  <c r="X1442" i="2"/>
  <c r="X1126" i="2"/>
  <c r="X1946" i="2"/>
  <c r="X2453" i="2"/>
  <c r="X3571" i="2"/>
  <c r="X575" i="2"/>
  <c r="X1300" i="2"/>
  <c r="X1079" i="2"/>
  <c r="X1887" i="2"/>
  <c r="X36" i="2"/>
  <c r="X2355" i="2"/>
  <c r="X1141" i="2"/>
  <c r="X569" i="2"/>
  <c r="X936" i="2"/>
  <c r="X929" i="2"/>
  <c r="X1440" i="2"/>
  <c r="X1397" i="2"/>
  <c r="X385" i="2"/>
  <c r="X1210" i="2"/>
  <c r="X2121" i="2"/>
  <c r="X918" i="2"/>
  <c r="X315" i="2"/>
  <c r="X295" i="2"/>
  <c r="X819" i="2"/>
  <c r="X763" i="2"/>
  <c r="X1287" i="2"/>
  <c r="X1004" i="2"/>
  <c r="X3555" i="2"/>
  <c r="X872" i="2"/>
  <c r="X1727" i="2"/>
  <c r="X297" i="2"/>
  <c r="X2231" i="2"/>
  <c r="X765" i="2"/>
  <c r="X592" i="2"/>
  <c r="X1876" i="2"/>
  <c r="X3066" i="2"/>
  <c r="X286" i="2"/>
  <c r="X1483" i="2"/>
  <c r="X646" i="2"/>
  <c r="X1418" i="2"/>
  <c r="X1114" i="2"/>
  <c r="X1934" i="2"/>
  <c r="X2297" i="2"/>
  <c r="X3415" i="2"/>
  <c r="X707" i="2"/>
  <c r="X1228" i="2"/>
  <c r="X1067" i="2"/>
  <c r="X1875" i="2"/>
  <c r="X24" i="2"/>
  <c r="X2343" i="2"/>
  <c r="X566" i="2"/>
  <c r="X1439" i="2"/>
  <c r="X2271" i="2"/>
  <c r="X432" i="2"/>
  <c r="X389" i="2"/>
  <c r="X900" i="2"/>
  <c r="X571" i="2"/>
  <c r="X218" i="2"/>
  <c r="X1433" i="2"/>
  <c r="X277" i="2"/>
  <c r="X270" i="2"/>
  <c r="X781" i="2"/>
  <c r="X738" i="2"/>
  <c r="X279" i="2"/>
  <c r="X181" i="2"/>
  <c r="X2528" i="2"/>
  <c r="X452" i="2"/>
  <c r="X2477" i="2"/>
  <c r="X3595" i="2"/>
  <c r="X1854" i="2"/>
  <c r="X2828" i="2"/>
  <c r="X628" i="2"/>
  <c r="X4234" i="2"/>
  <c r="X3337" i="2"/>
  <c r="X755" i="2"/>
  <c r="X1189" i="2"/>
  <c r="X835" i="2"/>
  <c r="X578" i="2"/>
  <c r="X1205" i="2"/>
  <c r="X1579" i="2"/>
  <c r="X1971" i="2"/>
  <c r="X1920" i="2"/>
  <c r="X951" i="2"/>
  <c r="X2145" i="2"/>
  <c r="X445" i="2"/>
  <c r="X2607" i="2"/>
  <c r="X1343" i="2"/>
  <c r="X2373" i="2"/>
  <c r="X1702" i="2"/>
  <c r="X3775" i="2"/>
  <c r="X2042" i="2"/>
  <c r="X3579" i="2"/>
  <c r="X2391" i="2"/>
  <c r="X1002" i="2"/>
  <c r="X1730" i="2"/>
  <c r="X1896" i="2"/>
  <c r="X3129" i="2"/>
  <c r="X4124" i="2"/>
  <c r="X882" i="2"/>
  <c r="X3090" i="2"/>
  <c r="X1183" i="2"/>
  <c r="X2336" i="2"/>
  <c r="X2272" i="2"/>
  <c r="X3318" i="2"/>
  <c r="X3490" i="2"/>
  <c r="X4473" i="2"/>
  <c r="X694" i="2"/>
  <c r="X3439" i="2"/>
  <c r="X596" i="2"/>
  <c r="X1619" i="2"/>
  <c r="X165" i="2"/>
  <c r="X2099" i="2"/>
  <c r="X633" i="2"/>
  <c r="X2567" i="2"/>
  <c r="X1888" i="2"/>
  <c r="X3078" i="2"/>
  <c r="X10" i="2"/>
  <c r="X1273" i="2"/>
  <c r="X514" i="2"/>
  <c r="X1154" i="2"/>
  <c r="X982" i="2"/>
  <c r="X1802" i="2"/>
  <c r="X2309" i="2"/>
  <c r="X3427" i="2"/>
  <c r="X431" i="2"/>
  <c r="X1012" i="2"/>
  <c r="X935" i="2"/>
  <c r="X1743" i="2"/>
  <c r="X1403" i="2"/>
  <c r="X2211" i="2"/>
  <c r="X638" i="2"/>
  <c r="X425" i="2"/>
  <c r="X792" i="2"/>
  <c r="X785" i="2"/>
  <c r="X1296" i="2"/>
  <c r="X1253" i="2"/>
  <c r="X241" i="2"/>
  <c r="X634" i="2"/>
  <c r="X1977" i="2"/>
  <c r="X774" i="2"/>
  <c r="X171" i="2"/>
  <c r="X151" i="2"/>
  <c r="X675" i="2"/>
  <c r="X619" i="2"/>
  <c r="X1143" i="2"/>
  <c r="X2207" i="2"/>
  <c r="X3411" i="2"/>
  <c r="X728" i="2"/>
  <c r="X1583" i="2"/>
  <c r="X153" i="2"/>
  <c r="X2087" i="2"/>
  <c r="X621" i="2"/>
  <c r="X2555" i="2"/>
  <c r="X1732" i="2"/>
  <c r="X2922" i="2"/>
  <c r="X142" i="2"/>
  <c r="X1201" i="2"/>
  <c r="X502" i="2"/>
  <c r="X1130" i="2"/>
  <c r="X970" i="2"/>
  <c r="X1790" i="2"/>
  <c r="X2153" i="2"/>
  <c r="X3271" i="2"/>
  <c r="X563" i="2"/>
  <c r="X902" i="2"/>
  <c r="X923" i="2"/>
  <c r="X1731" i="2"/>
  <c r="X1391" i="2"/>
  <c r="X2199" i="2"/>
  <c r="X2502" i="2"/>
  <c r="X522" i="2"/>
  <c r="X924" i="2"/>
  <c r="X761" i="2"/>
  <c r="X1284" i="2"/>
  <c r="X1241" i="2"/>
  <c r="X229" i="2"/>
  <c r="X186" i="2"/>
  <c r="X1289" i="2"/>
  <c r="X133" i="2"/>
  <c r="X126" i="2"/>
  <c r="X637" i="2"/>
  <c r="X594" i="2"/>
  <c r="X135" i="2"/>
  <c r="X1128" i="2"/>
  <c r="X2182" i="2"/>
  <c r="X655" i="2"/>
  <c r="X1035" i="2"/>
  <c r="X80" i="2"/>
  <c r="X14" i="2"/>
  <c r="X548" i="2"/>
  <c r="X1547" i="2"/>
  <c r="X1563" i="2"/>
  <c r="X2752" i="2"/>
  <c r="X478" i="2"/>
  <c r="X782" i="2"/>
  <c r="X259" i="2"/>
  <c r="X1556" i="2"/>
  <c r="X629" i="2"/>
  <c r="X1357" i="2"/>
  <c r="X88" i="2"/>
  <c r="X4576" i="2"/>
  <c r="X193" i="2"/>
  <c r="X2001" i="2"/>
  <c r="X1392" i="2"/>
  <c r="X2326" i="2"/>
  <c r="X767" i="2"/>
  <c r="X2229" i="2"/>
  <c r="X2862" i="2"/>
  <c r="X3623" i="2"/>
  <c r="X1340" i="2"/>
  <c r="X3435" i="2"/>
  <c r="X1827" i="2"/>
  <c r="X2812" i="2"/>
  <c r="X460" i="2"/>
  <c r="X976" i="2"/>
  <c r="X2985" i="2"/>
  <c r="X3980" i="2"/>
  <c r="X677" i="2"/>
  <c r="X2946" i="2"/>
  <c r="X770" i="2"/>
  <c r="X1990" i="2"/>
  <c r="X2128" i="2"/>
  <c r="X3174" i="2"/>
  <c r="X3346" i="2"/>
  <c r="X4329" i="2"/>
  <c r="X489" i="2"/>
  <c r="X3295" i="2"/>
  <c r="X1554" i="2"/>
  <c r="X2672" i="2"/>
  <c r="X2549" i="2"/>
  <c r="X3523" i="2"/>
  <c r="X2893" i="2"/>
  <c r="X424" i="2"/>
  <c r="X192" i="2"/>
  <c r="X654" i="2"/>
  <c r="X1389" i="2"/>
  <c r="X985" i="2"/>
  <c r="X370" i="2"/>
  <c r="X676" i="2"/>
  <c r="X838" i="2"/>
  <c r="X1658" i="2"/>
  <c r="X2165" i="2"/>
  <c r="X3283" i="2"/>
  <c r="X287" i="2"/>
  <c r="X254" i="2"/>
  <c r="X791" i="2"/>
  <c r="X1599" i="2"/>
  <c r="X1259" i="2"/>
  <c r="X2067" i="2"/>
  <c r="X2514" i="2"/>
  <c r="X281" i="2"/>
  <c r="X648" i="2"/>
  <c r="X641" i="2"/>
  <c r="X1152" i="2"/>
  <c r="X1109" i="2"/>
  <c r="X97" i="2"/>
  <c r="X58" i="2"/>
  <c r="X1833" i="2"/>
  <c r="X630" i="2"/>
  <c r="X27" i="2"/>
  <c r="X7" i="2"/>
  <c r="X531" i="2"/>
  <c r="X475" i="2"/>
  <c r="X999" i="2"/>
  <c r="X1631" i="2"/>
  <c r="X3267" i="2"/>
  <c r="X584" i="2"/>
  <c r="X1363" i="2"/>
  <c r="X9" i="2"/>
  <c r="X1943" i="2"/>
  <c r="X477" i="2"/>
  <c r="X2411" i="2"/>
  <c r="X1588" i="2"/>
  <c r="X2778" i="2"/>
  <c r="X1521" i="2"/>
  <c r="X818" i="2"/>
  <c r="X358" i="2"/>
  <c r="X604" i="2"/>
  <c r="X826" i="2"/>
  <c r="X1646" i="2"/>
  <c r="X2009" i="2"/>
  <c r="X3127" i="2"/>
  <c r="X419" i="2"/>
  <c r="X38" i="2"/>
  <c r="X779" i="2"/>
  <c r="X1587" i="2"/>
  <c r="X1247" i="2"/>
  <c r="X2055" i="2"/>
  <c r="X2358" i="2"/>
  <c r="X1469" i="2"/>
  <c r="X780" i="2"/>
  <c r="X617" i="2"/>
  <c r="X1140" i="2"/>
  <c r="X1097" i="2"/>
  <c r="X85" i="2"/>
  <c r="X42" i="2"/>
  <c r="X1677" i="2"/>
  <c r="X96" i="2"/>
  <c r="X159" i="2"/>
  <c r="X966" i="2"/>
  <c r="X519" i="2"/>
  <c r="X463" i="2"/>
  <c r="X987" i="2"/>
  <c r="X931" i="2"/>
  <c r="X511" i="2"/>
  <c r="X891" i="2"/>
  <c r="X871" i="2"/>
  <c r="X1395" i="2"/>
  <c r="X404" i="2"/>
  <c r="X1291" i="2"/>
  <c r="X2450" i="2"/>
  <c r="X2608" i="2"/>
  <c r="X513" i="2"/>
  <c r="X2303" i="2"/>
  <c r="X873" i="2"/>
  <c r="X1052" i="2"/>
  <c r="X1341" i="2"/>
  <c r="X602" i="2"/>
  <c r="X2452" i="2"/>
  <c r="X3642" i="2"/>
  <c r="X1499" i="2"/>
  <c r="X1857" i="2"/>
  <c r="X816" i="2"/>
  <c r="X1980" i="2"/>
  <c r="X191" i="2"/>
  <c r="X2085" i="2"/>
  <c r="X2836" i="2"/>
  <c r="X3276" i="2"/>
  <c r="X878" i="2"/>
  <c r="X3291" i="2"/>
  <c r="X988" i="2"/>
  <c r="X2668" i="2"/>
  <c r="X242" i="2"/>
  <c r="X3519" i="2"/>
  <c r="X2841" i="2"/>
  <c r="X3836" i="2"/>
  <c r="X1108" i="2"/>
  <c r="X2802" i="2"/>
  <c r="X2512" i="2"/>
  <c r="X1642" i="2"/>
  <c r="X1984" i="2"/>
  <c r="X3030" i="2"/>
  <c r="X3202" i="2"/>
  <c r="X4185" i="2"/>
  <c r="X631" i="2"/>
  <c r="X3151" i="2"/>
  <c r="X1304" i="2"/>
  <c r="X2482" i="2"/>
  <c r="X2405" i="2"/>
  <c r="X3379" i="2"/>
  <c r="X2749" i="2"/>
  <c r="X2310" i="2"/>
  <c r="X1426" i="2"/>
  <c r="X78" i="2"/>
  <c r="X998" i="2"/>
  <c r="X249" i="2"/>
  <c r="X1045" i="2"/>
  <c r="X2183" i="2"/>
  <c r="X4132" i="2"/>
  <c r="X3500" i="2"/>
  <c r="X1821" i="2"/>
  <c r="X228" i="2"/>
  <c r="X143" i="2"/>
  <c r="X853" i="2"/>
  <c r="X1644" i="2"/>
  <c r="X473" i="2"/>
  <c r="X776" i="2"/>
  <c r="X1898" i="2"/>
  <c r="X3558" i="2"/>
  <c r="X608" i="2"/>
  <c r="X2550" i="2"/>
  <c r="X690" i="2"/>
  <c r="X1046" i="2"/>
  <c r="X3140" i="2"/>
  <c r="X3688" i="2"/>
  <c r="X944" i="2"/>
  <c r="X3641" i="2"/>
  <c r="X202" i="2"/>
  <c r="X1869" i="2"/>
  <c r="X840" i="2"/>
  <c r="X1664" i="2"/>
  <c r="X1174" i="2"/>
  <c r="X3158" i="2"/>
  <c r="X2898" i="2"/>
  <c r="X3992" i="2"/>
  <c r="X1775" i="2"/>
  <c r="X3303" i="2"/>
  <c r="X1036" i="2"/>
  <c r="X2503" i="2"/>
  <c r="X880" i="2"/>
  <c r="X4615" i="2"/>
  <c r="X2997" i="2"/>
  <c r="X4341" i="2"/>
  <c r="X1624" i="2"/>
  <c r="X2814" i="2"/>
  <c r="X2524" i="2"/>
  <c r="X3570" i="2"/>
  <c r="X1852" i="2"/>
  <c r="X3167" i="2"/>
  <c r="X3358" i="2"/>
  <c r="X830" i="2"/>
  <c r="X2045" i="2"/>
  <c r="X3163" i="2"/>
  <c r="X1328" i="2"/>
  <c r="X2167" i="2"/>
  <c r="X2273" i="2"/>
  <c r="X3802" i="2"/>
  <c r="X2905" i="2"/>
  <c r="X415" i="2"/>
  <c r="X2394" i="2"/>
  <c r="X90" i="2"/>
  <c r="X1022" i="2"/>
  <c r="X620" i="2"/>
  <c r="X422" i="2"/>
  <c r="X167" i="2"/>
  <c r="X4288" i="2"/>
  <c r="X1191" i="2"/>
  <c r="X4231" i="2"/>
  <c r="X2028" i="2"/>
  <c r="X4389" i="2"/>
  <c r="X3580" i="2"/>
  <c r="X3807" i="2"/>
  <c r="X4009" i="2"/>
  <c r="X4232" i="2"/>
  <c r="X760" i="2"/>
  <c r="X4375" i="2"/>
  <c r="X2374" i="2"/>
  <c r="X4533" i="2"/>
  <c r="X3758" i="2"/>
  <c r="X4165" i="2"/>
  <c r="X4355" i="2"/>
  <c r="X2693" i="2"/>
  <c r="X1447" i="2"/>
  <c r="X4519" i="2"/>
  <c r="X2627" i="2"/>
  <c r="X1741" i="2"/>
  <c r="X3902" i="2"/>
  <c r="X1042" i="2"/>
  <c r="X4681" i="2"/>
  <c r="X3861" i="2"/>
  <c r="X1737" i="2"/>
  <c r="X2933" i="2"/>
  <c r="X1916" i="2"/>
  <c r="X1491" i="2"/>
  <c r="X5352" i="2"/>
  <c r="X2577" i="2"/>
  <c r="X5191" i="2"/>
  <c r="X3720" i="2"/>
  <c r="X3270" i="2"/>
  <c r="X771" i="2"/>
  <c r="X3359" i="2"/>
  <c r="X2335" i="2"/>
  <c r="X4614" i="2"/>
  <c r="X3717" i="2"/>
  <c r="X4505" i="2"/>
  <c r="X3062" i="2"/>
  <c r="X53" i="2"/>
  <c r="X1903" i="2"/>
  <c r="X4111" i="2"/>
  <c r="X2925" i="2"/>
  <c r="X5079" i="2"/>
  <c r="X3684" i="2"/>
  <c r="X5009" i="2"/>
  <c r="X4848" i="2"/>
  <c r="X2414" i="2"/>
  <c r="X2889" i="2"/>
  <c r="X4460" i="2"/>
  <c r="X3286" i="2"/>
  <c r="X5359" i="2"/>
  <c r="X2976" i="2"/>
  <c r="X2456" i="2"/>
  <c r="X5365" i="2"/>
  <c r="X3313" i="2"/>
  <c r="X3250" i="2"/>
  <c r="X2748" i="2"/>
  <c r="X2833" i="2"/>
  <c r="X4481" i="2"/>
  <c r="X4812" i="2"/>
  <c r="X3446" i="2"/>
  <c r="X4445" i="2"/>
  <c r="X4051" i="2"/>
  <c r="X2797" i="2"/>
  <c r="X3647" i="2"/>
  <c r="X4216" i="2"/>
  <c r="X2937" i="2"/>
  <c r="X5281" i="2"/>
  <c r="X4582" i="2"/>
  <c r="X5056" i="2"/>
  <c r="X1828" i="2"/>
  <c r="X4180" i="2"/>
  <c r="X1358" i="2"/>
  <c r="X2640" i="2"/>
  <c r="X2688" i="2"/>
  <c r="X4359" i="2"/>
  <c r="X4572" i="2"/>
  <c r="X1411" i="2"/>
  <c r="X887" i="2"/>
  <c r="X2407" i="2"/>
  <c r="X1678" i="2"/>
  <c r="X3593" i="2"/>
  <c r="X2095" i="2"/>
  <c r="X5020" i="2"/>
  <c r="X4250" i="2"/>
  <c r="X2845" i="2"/>
  <c r="X5125" i="2"/>
  <c r="X3725" i="2"/>
  <c r="X4206" i="2"/>
  <c r="X2324" i="2"/>
  <c r="X4858" i="2"/>
  <c r="X3821" i="2"/>
  <c r="X4710" i="2"/>
  <c r="X4143" i="2"/>
  <c r="X74" i="2"/>
  <c r="X5172" i="2"/>
  <c r="X4650" i="2"/>
  <c r="X2669" i="2"/>
  <c r="X4493" i="2"/>
  <c r="X4904" i="2"/>
  <c r="X5317" i="2"/>
  <c r="X4252" i="2"/>
  <c r="X4741" i="2"/>
  <c r="X4291" i="2"/>
  <c r="X4331" i="2"/>
  <c r="X5134" i="2"/>
  <c r="X5253" i="2"/>
  <c r="X4085" i="2"/>
  <c r="X4670" i="2"/>
  <c r="X5271" i="2"/>
  <c r="X4769" i="2"/>
  <c r="X3910" i="2"/>
  <c r="X4820" i="2"/>
  <c r="X5298" i="2"/>
  <c r="X4625" i="2"/>
  <c r="X5088" i="2"/>
  <c r="X3638" i="2"/>
  <c r="X3826" i="2"/>
  <c r="X5043" i="2"/>
  <c r="X3352" i="2"/>
  <c r="X5486" i="2"/>
  <c r="X3646" i="2"/>
  <c r="X5459" i="2"/>
  <c r="X4884" i="2"/>
  <c r="X4251" i="2"/>
  <c r="X5057" i="2"/>
  <c r="X4486" i="2"/>
  <c r="X5108" i="2"/>
  <c r="X4835" i="2"/>
  <c r="X4998" i="2"/>
  <c r="X5315" i="2"/>
  <c r="X4542" i="2"/>
  <c r="X4757" i="2"/>
  <c r="X4586" i="2"/>
  <c r="X5116" i="2"/>
  <c r="X4773" i="2"/>
  <c r="X4457" i="2"/>
  <c r="X4711" i="2"/>
  <c r="X5099" i="2"/>
  <c r="X3248" i="2"/>
  <c r="X4464" i="2"/>
  <c r="X3903" i="2"/>
  <c r="X4313" i="2"/>
  <c r="X4283" i="2"/>
  <c r="X5131" i="2"/>
  <c r="X5054" i="2"/>
  <c r="X5323" i="2"/>
  <c r="X5004" i="2"/>
  <c r="X3445" i="2"/>
  <c r="X4322" i="2"/>
  <c r="X5157" i="2"/>
  <c r="X3468" i="2"/>
  <c r="X5265" i="2"/>
  <c r="X3930" i="2"/>
  <c r="X2944" i="2"/>
  <c r="X2360" i="2"/>
  <c r="X1870" i="2"/>
  <c r="X4979" i="2"/>
  <c r="X4867" i="2"/>
  <c r="X3036" i="2"/>
  <c r="X4866" i="2"/>
  <c r="X3609" i="2"/>
  <c r="X3731" i="2"/>
  <c r="X4302" i="2"/>
  <c r="X5418" i="2"/>
  <c r="X3963" i="2"/>
  <c r="X4800" i="2"/>
  <c r="X4138" i="2"/>
  <c r="X5089" i="2"/>
  <c r="X1231" i="2"/>
  <c r="X5091" i="2"/>
  <c r="X4993" i="2"/>
  <c r="X3574" i="2"/>
  <c r="X2438" i="2"/>
  <c r="X846" i="2"/>
  <c r="X214" i="2"/>
  <c r="X996" i="2"/>
  <c r="X1787" i="2"/>
  <c r="X95" i="2"/>
  <c r="X1840" i="2"/>
  <c r="X350" i="2"/>
  <c r="X1725" i="2"/>
  <c r="X264" i="2"/>
  <c r="X2481" i="2"/>
  <c r="X598" i="2"/>
  <c r="X2729" i="2"/>
  <c r="X2872" i="2"/>
  <c r="X3848" i="2"/>
  <c r="X734" i="2"/>
  <c r="X3159" i="2"/>
  <c r="X2162" i="2"/>
  <c r="X2156" i="2"/>
  <c r="X2171" i="2"/>
  <c r="X4471" i="2"/>
  <c r="X2853" i="2"/>
  <c r="X4197" i="2"/>
  <c r="X1446" i="2"/>
  <c r="X2670" i="2"/>
  <c r="X2380" i="2"/>
  <c r="X3426" i="2"/>
  <c r="X1708" i="2"/>
  <c r="X2741" i="2"/>
  <c r="X3214" i="2"/>
  <c r="X1462" i="2"/>
  <c r="X1901" i="2"/>
  <c r="X3019" i="2"/>
  <c r="X1040" i="2"/>
  <c r="X1820" i="2"/>
  <c r="X2129" i="2"/>
  <c r="X3658" i="2"/>
  <c r="X2761" i="2"/>
  <c r="X1193" i="2"/>
  <c r="X2250" i="2"/>
  <c r="X1037" i="2"/>
  <c r="X280" i="2"/>
  <c r="X44" i="2"/>
  <c r="X2478" i="2"/>
  <c r="X188" i="2"/>
  <c r="X4144" i="2"/>
  <c r="X1017" i="2"/>
  <c r="X1569" i="2"/>
  <c r="X1175" i="2"/>
  <c r="X2469" i="2"/>
  <c r="X490" i="2"/>
  <c r="X1797" i="2"/>
  <c r="X2631" i="2"/>
  <c r="X2060" i="2"/>
  <c r="X2080" i="2"/>
  <c r="X4436" i="2"/>
  <c r="X3241" i="2"/>
  <c r="X749" i="2"/>
  <c r="X4920" i="2"/>
  <c r="X3178" i="2"/>
  <c r="X5126" i="2"/>
  <c r="X2705" i="2"/>
  <c r="X2357" i="2"/>
  <c r="X4580" i="2"/>
  <c r="X3385" i="2"/>
  <c r="X34" i="2"/>
  <c r="X5064" i="2"/>
  <c r="X1825" i="2"/>
  <c r="X5270" i="2"/>
  <c r="X3144" i="2"/>
  <c r="X62" i="2"/>
  <c r="X2072" i="2"/>
  <c r="X3529" i="2"/>
  <c r="X528" i="2"/>
  <c r="X5208" i="2"/>
  <c r="X2831" i="2"/>
  <c r="X5414" i="2"/>
  <c r="X3491" i="2"/>
  <c r="X2125" i="2"/>
  <c r="X1319" i="2"/>
  <c r="X3012" i="2"/>
  <c r="X2269" i="2"/>
  <c r="X4271" i="2"/>
  <c r="X4664" i="2"/>
  <c r="X4158" i="2"/>
  <c r="X2564" i="2"/>
  <c r="X2684" i="2"/>
  <c r="X1837" i="2"/>
  <c r="X3967" i="2"/>
  <c r="X2781" i="2"/>
  <c r="X4935" i="2"/>
  <c r="X3401" i="2"/>
  <c r="X4865" i="2"/>
  <c r="X4704" i="2"/>
  <c r="X1092" i="2"/>
  <c r="X2745" i="2"/>
  <c r="X4316" i="2"/>
  <c r="X3142" i="2"/>
  <c r="X5416" i="2"/>
  <c r="X2239" i="2"/>
  <c r="X3440" i="2"/>
  <c r="X5029" i="2"/>
  <c r="X2203" i="2"/>
  <c r="X3106" i="2"/>
  <c r="X1618" i="2"/>
  <c r="X2689" i="2"/>
  <c r="X4134" i="2"/>
  <c r="X4667" i="2"/>
  <c r="X3472" i="2"/>
  <c r="X4098" i="2"/>
  <c r="X3557" i="2"/>
  <c r="X2653" i="2"/>
  <c r="X3314" i="2"/>
  <c r="X4072" i="2"/>
  <c r="X2083" i="2"/>
  <c r="X4969" i="2"/>
  <c r="X4342" i="2"/>
  <c r="X4912" i="2"/>
  <c r="X3753" i="2"/>
  <c r="X4036" i="2"/>
  <c r="X278" i="2"/>
  <c r="X3822" i="2"/>
  <c r="X3072" i="2"/>
  <c r="X4013" i="2"/>
  <c r="X4428" i="2"/>
  <c r="X5321" i="2"/>
  <c r="X405" i="2"/>
  <c r="X3786" i="2"/>
  <c r="X3548" i="2"/>
  <c r="X3251" i="2"/>
  <c r="X4510" i="2"/>
  <c r="X4876" i="2"/>
  <c r="X4106" i="2"/>
  <c r="X1860" i="2"/>
  <c r="X2811" i="2"/>
  <c r="X3161" i="2"/>
  <c r="X2197" i="2"/>
  <c r="X3825" i="2"/>
  <c r="X4524" i="2"/>
  <c r="X5285" i="2"/>
  <c r="X5077" i="2"/>
  <c r="X3077" i="2"/>
  <c r="X4730" i="2"/>
  <c r="X4126" i="2"/>
  <c r="X4554" i="2"/>
  <c r="X5152" i="2"/>
  <c r="X3516" i="2"/>
  <c r="X4115" i="2"/>
  <c r="X3939" i="2"/>
  <c r="X1257" i="2"/>
  <c r="X3433" i="2"/>
  <c r="X3839" i="2"/>
  <c r="X4546" i="2"/>
  <c r="X5360" i="2"/>
  <c r="X3711" i="2"/>
  <c r="X5133" i="2"/>
  <c r="X5212" i="2"/>
  <c r="X3112" i="2"/>
  <c r="X5462" i="2"/>
  <c r="X3020" i="2"/>
  <c r="X4527" i="2"/>
  <c r="X3915" i="2"/>
  <c r="X5458" i="2"/>
  <c r="X4577" i="2"/>
  <c r="X4678" i="2"/>
  <c r="X3935" i="2"/>
  <c r="X5118" i="2"/>
  <c r="X4068" i="2"/>
  <c r="X5049" i="2"/>
  <c r="X4856" i="2"/>
  <c r="X3815" i="2"/>
  <c r="X4607" i="2"/>
  <c r="X3789" i="2"/>
  <c r="X4032" i="2"/>
  <c r="X5380" i="2"/>
  <c r="X4963" i="2"/>
  <c r="X5454" i="2"/>
  <c r="X4446" i="2"/>
  <c r="X5040" i="2"/>
  <c r="X3709" i="2"/>
  <c r="X3656" i="2"/>
  <c r="X5406" i="2"/>
  <c r="X4356" i="2"/>
  <c r="X5337" i="2"/>
  <c r="X5144" i="2"/>
  <c r="X4515" i="2"/>
  <c r="X1798" i="2"/>
  <c r="X5391" i="2"/>
  <c r="X3237" i="2"/>
  <c r="X3785" i="2"/>
  <c r="X5381" i="2"/>
  <c r="X4978" i="2"/>
  <c r="X4809" i="2"/>
  <c r="X4727" i="2"/>
  <c r="X3263" i="2"/>
  <c r="X2542" i="2"/>
  <c r="X3998" i="2"/>
  <c r="X1917" i="2"/>
  <c r="X4749" i="2"/>
  <c r="X5420" i="2"/>
  <c r="X4891" i="2"/>
  <c r="X5370" i="2"/>
  <c r="X3636" i="2"/>
  <c r="X5389" i="2"/>
  <c r="X4005" i="2"/>
  <c r="X5197" i="2"/>
  <c r="X4326" i="2"/>
  <c r="X5301" i="2"/>
  <c r="X5470" i="2"/>
  <c r="X4513" i="2"/>
  <c r="X5341" i="2"/>
  <c r="X2692" i="2"/>
  <c r="X3119" i="2"/>
  <c r="X4001" i="2"/>
  <c r="X5219" i="2"/>
  <c r="X5180" i="2"/>
  <c r="X4344" i="2"/>
  <c r="X3097" i="2"/>
  <c r="X3029" i="2"/>
  <c r="X4781" i="2"/>
  <c r="X4952" i="2"/>
  <c r="X5035" i="2"/>
  <c r="X4806" i="2"/>
  <c r="X4816" i="2"/>
  <c r="X3863" i="2"/>
  <c r="X2730" i="2"/>
  <c r="X2489" i="2"/>
  <c r="X1722" i="2"/>
  <c r="X2592" i="2"/>
  <c r="X2918" i="2"/>
  <c r="X1213" i="2"/>
  <c r="X1568" i="2"/>
  <c r="X1720" i="2"/>
  <c r="X2157" i="2"/>
  <c r="X469" i="2"/>
  <c r="X875" i="2"/>
  <c r="X1292" i="2"/>
  <c r="X2824" i="2"/>
  <c r="X4629" i="2"/>
  <c r="X2017" i="2"/>
  <c r="X3528" i="2"/>
  <c r="X3605" i="2"/>
  <c r="X4123" i="2"/>
  <c r="X2404" i="2"/>
  <c r="X4498" i="2"/>
  <c r="X3617" i="2"/>
  <c r="X4019" i="2"/>
  <c r="X2690" i="2"/>
  <c r="X3626" i="2"/>
  <c r="X4043" i="2"/>
  <c r="X2939" i="2"/>
  <c r="X2561" i="2"/>
  <c r="X4097" i="2"/>
  <c r="X4863" i="2"/>
  <c r="X2574" i="2"/>
  <c r="X647" i="2"/>
  <c r="X387" i="2"/>
  <c r="X1573" i="2"/>
  <c r="X953" i="2"/>
  <c r="X321" i="2"/>
  <c r="X2366" i="2"/>
  <c r="X2886" i="2"/>
  <c r="X157" i="2"/>
  <c r="X3015" i="2"/>
  <c r="X1586" i="2"/>
  <c r="X1810" i="2"/>
  <c r="X1595" i="2"/>
  <c r="X4327" i="2"/>
  <c r="X2709" i="2"/>
  <c r="X4053" i="2"/>
  <c r="X1158" i="2"/>
  <c r="X2479" i="2"/>
  <c r="X2236" i="2"/>
  <c r="X3282" i="2"/>
  <c r="X1564" i="2"/>
  <c r="X1546" i="2"/>
  <c r="X3070" i="2"/>
  <c r="X1859" i="2"/>
  <c r="X1757" i="2"/>
  <c r="X2875" i="2"/>
  <c r="X340" i="2"/>
  <c r="X3631" i="2"/>
  <c r="X1985" i="2"/>
  <c r="X3340" i="2"/>
  <c r="X2617" i="2"/>
  <c r="X1803" i="2"/>
  <c r="X2106" i="2"/>
  <c r="X461" i="2"/>
  <c r="X1531" i="2"/>
  <c r="X403" i="2"/>
  <c r="X2334" i="2"/>
  <c r="X2657" i="2"/>
  <c r="X4000" i="2"/>
  <c r="X224" i="2"/>
  <c r="X1336" i="2"/>
  <c r="X599" i="2"/>
  <c r="X2325" i="2"/>
  <c r="X1437" i="2"/>
  <c r="X1653" i="2"/>
  <c r="X2205" i="2"/>
  <c r="X3750" i="2"/>
  <c r="X503" i="2"/>
  <c r="X2859" i="2"/>
  <c r="X1523" i="2"/>
  <c r="X1783" i="2"/>
  <c r="X1459" i="2"/>
  <c r="X3087" i="2"/>
  <c r="X2196" i="2"/>
  <c r="X3076" i="2"/>
  <c r="X1710" i="2"/>
  <c r="X4641" i="2"/>
  <c r="X4480" i="2"/>
  <c r="X1809" i="2"/>
  <c r="X5173" i="2"/>
  <c r="X4459" i="2"/>
  <c r="X5415" i="2"/>
  <c r="X3317" i="2"/>
  <c r="X1310" i="2"/>
  <c r="X2652" i="2"/>
  <c r="X4624" i="2"/>
  <c r="X1777" i="2"/>
  <c r="X4578" i="2"/>
  <c r="X3336" i="2"/>
  <c r="X5227" i="2"/>
  <c r="X3649" i="2"/>
  <c r="X1630" i="2"/>
  <c r="X837" i="2"/>
  <c r="X2383" i="2"/>
  <c r="X3099" i="2"/>
  <c r="X3925" i="2"/>
  <c r="X4088" i="2"/>
  <c r="X3797" i="2"/>
  <c r="X3793" i="2"/>
  <c r="X2364" i="2"/>
  <c r="X2919" i="2"/>
  <c r="X3823" i="2"/>
  <c r="X2637" i="2"/>
  <c r="X4791" i="2"/>
  <c r="X3059" i="2"/>
  <c r="X4721" i="2"/>
  <c r="X4409" i="2"/>
  <c r="X535" i="2"/>
  <c r="X2601" i="2"/>
  <c r="X4172" i="2"/>
  <c r="X2998" i="2"/>
  <c r="X5272" i="2"/>
  <c r="X3757" i="2"/>
  <c r="X2815" i="2"/>
  <c r="X4861" i="2"/>
  <c r="X1652" i="2"/>
  <c r="X2962" i="2"/>
  <c r="X4521" i="2"/>
  <c r="X2521" i="2"/>
  <c r="X3759" i="2"/>
  <c r="X4323" i="2"/>
  <c r="X4528" i="2"/>
  <c r="X3612" i="2"/>
  <c r="X3096" i="2"/>
  <c r="X2436" i="2"/>
  <c r="X2968" i="2"/>
  <c r="X3928" i="2"/>
  <c r="X3284" i="2"/>
  <c r="X4825" i="2"/>
  <c r="X4054" i="2"/>
  <c r="X4768" i="2"/>
  <c r="X3422" i="2"/>
  <c r="X3892" i="2"/>
  <c r="X1734" i="2"/>
  <c r="X3678" i="2"/>
  <c r="X3098" i="2"/>
  <c r="X2014" i="2"/>
  <c r="X4284" i="2"/>
  <c r="X5177" i="2"/>
  <c r="X3694" i="2"/>
  <c r="X3640" i="2"/>
  <c r="X3404" i="2"/>
  <c r="X2882" i="2"/>
  <c r="X4222" i="2"/>
  <c r="X4732" i="2"/>
  <c r="X3962" i="2"/>
  <c r="X2460" i="2"/>
  <c r="X2385" i="2"/>
  <c r="X2738" i="2"/>
  <c r="X1855" i="2"/>
  <c r="X3681" i="2"/>
  <c r="X4380" i="2"/>
  <c r="X5141" i="2"/>
  <c r="X5412" i="2"/>
  <c r="X4352" i="2"/>
  <c r="X2281" i="2"/>
  <c r="X3645" i="2"/>
  <c r="X2639" i="2"/>
  <c r="X4042" i="2"/>
  <c r="X4058" i="2"/>
  <c r="X2113" i="2"/>
  <c r="X4706" i="2"/>
  <c r="X3172" i="2"/>
  <c r="X5019" i="2"/>
  <c r="X4188" i="2"/>
  <c r="X5354" i="2"/>
  <c r="X4253" i="2"/>
  <c r="X5392" i="2"/>
  <c r="X5245" i="2"/>
  <c r="X4489" i="2"/>
  <c r="X2806" i="2"/>
  <c r="X3993" i="2"/>
  <c r="X4530" i="2"/>
  <c r="X5008" i="2"/>
  <c r="X5472" i="2"/>
  <c r="X5445" i="2"/>
  <c r="X5338" i="2"/>
  <c r="X3737" i="2"/>
  <c r="X4082" i="2"/>
  <c r="X3929" i="2"/>
  <c r="X4240" i="2"/>
  <c r="X5082" i="2"/>
  <c r="X4813" i="2"/>
  <c r="X3521" i="2"/>
  <c r="X4784" i="2"/>
  <c r="X4511" i="2"/>
  <c r="X3981" i="2"/>
  <c r="X2890" i="2"/>
  <c r="X3552" i="2"/>
  <c r="X5254" i="2"/>
  <c r="X5085" i="2"/>
  <c r="X4373" i="2"/>
  <c r="X3867" i="2"/>
  <c r="X1413" i="2"/>
  <c r="X3467" i="2"/>
  <c r="X1325" i="2"/>
  <c r="X3819" i="2"/>
  <c r="X4988" i="2"/>
  <c r="X4023" i="2"/>
  <c r="X4854" i="2"/>
  <c r="X4263" i="2"/>
  <c r="X3805" i="2"/>
  <c r="X2518" i="2"/>
  <c r="X3890" i="2"/>
  <c r="X4379" i="2"/>
  <c r="X5373" i="2"/>
  <c r="X4833" i="2"/>
  <c r="X4561" i="2"/>
  <c r="X3231" i="2"/>
  <c r="X3702" i="2"/>
  <c r="X5042" i="2"/>
  <c r="X3949" i="2"/>
  <c r="X4281" i="2"/>
  <c r="X5014" i="2"/>
  <c r="X3857" i="2"/>
  <c r="X1607" i="2"/>
  <c r="X3409" i="2"/>
  <c r="X5304" i="2"/>
  <c r="X3565" i="2"/>
  <c r="X4954" i="2"/>
  <c r="X4703" i="2"/>
  <c r="X5423" i="2"/>
  <c r="X4916" i="2"/>
  <c r="X4928" i="2"/>
  <c r="X4129" i="2"/>
  <c r="X3576" i="2"/>
  <c r="X4778" i="2"/>
  <c r="X5274" i="2"/>
  <c r="X4766" i="2"/>
  <c r="X3635" i="2"/>
  <c r="X3975" i="2"/>
  <c r="X5148" i="2"/>
  <c r="X3384" i="2"/>
  <c r="X4466" i="2"/>
  <c r="X1914" i="2"/>
  <c r="X4086" i="2"/>
  <c r="X5409" i="2"/>
  <c r="X5225" i="2"/>
  <c r="X3040" i="2"/>
  <c r="X4430" i="2"/>
  <c r="X1736" i="2"/>
  <c r="X5181" i="2"/>
  <c r="X3913" i="2"/>
  <c r="X4141" i="2"/>
  <c r="X4109" i="2"/>
  <c r="X4022" i="2"/>
  <c r="X1025" i="2"/>
  <c r="X3285" i="2"/>
  <c r="X4210" i="2"/>
  <c r="X2516" i="2"/>
  <c r="X3110" i="2"/>
  <c r="X222" i="2"/>
  <c r="X5367" i="2"/>
  <c r="X1410" i="2"/>
  <c r="X4461" i="2"/>
  <c r="X4686" i="2"/>
  <c r="X1396" i="2"/>
  <c r="X331" i="2"/>
  <c r="X682" i="2"/>
  <c r="X1464" i="2"/>
  <c r="X2255" i="2"/>
  <c r="X772" i="2"/>
  <c r="X3058" i="2"/>
  <c r="X3988" i="2"/>
  <c r="X2132" i="2"/>
  <c r="X2092" i="2"/>
  <c r="X3138" i="2"/>
  <c r="X1326" i="2"/>
  <c r="X4532" i="2"/>
  <c r="X2926" i="2"/>
  <c r="X591" i="2"/>
  <c r="X1613" i="2"/>
  <c r="X2731" i="2"/>
  <c r="X2513" i="2"/>
  <c r="X3487" i="2"/>
  <c r="X1841" i="2"/>
  <c r="X2993" i="2"/>
  <c r="X2350" i="2"/>
  <c r="X1538" i="2"/>
  <c r="X1962" i="2"/>
  <c r="X3080" i="2"/>
  <c r="X1261" i="2"/>
  <c r="X810" i="2"/>
  <c r="X2190" i="2"/>
  <c r="X3719" i="2"/>
  <c r="X3856" i="2"/>
  <c r="X414" i="2"/>
  <c r="X1048" i="2"/>
  <c r="X23" i="2"/>
  <c r="X2181" i="2"/>
  <c r="X861" i="2"/>
  <c r="X1496" i="2"/>
  <c r="X1168" i="2"/>
  <c r="X3563" i="2"/>
  <c r="X226" i="2"/>
  <c r="X2715" i="2"/>
  <c r="X1522" i="2"/>
  <c r="X3615" i="2"/>
  <c r="X1371" i="2"/>
  <c r="X2943" i="2"/>
  <c r="X1849" i="2"/>
  <c r="X2593" i="2"/>
  <c r="X1452" i="2"/>
  <c r="X1759" i="2"/>
  <c r="X1936" i="2"/>
  <c r="X3126" i="2"/>
  <c r="X1302" i="2"/>
  <c r="X2304" i="2"/>
  <c r="X2626" i="2"/>
  <c r="X3568" i="2"/>
  <c r="X1617" i="2"/>
  <c r="X1070" i="2"/>
  <c r="X3047" i="2"/>
  <c r="X1705" i="2"/>
  <c r="X3927" i="2"/>
  <c r="X3228" i="2"/>
  <c r="X3651" i="2"/>
  <c r="X4550" i="2"/>
  <c r="X2907" i="2"/>
  <c r="X1629" i="2"/>
  <c r="X3389" i="2"/>
  <c r="X2052" i="2"/>
  <c r="X4273" i="2"/>
  <c r="X3659" i="2"/>
  <c r="X4105" i="2"/>
  <c r="X3180" i="2"/>
  <c r="X1872" i="2"/>
  <c r="X2493" i="2"/>
  <c r="X3679" i="2"/>
  <c r="X2398" i="2"/>
  <c r="X4619" i="2"/>
  <c r="X2446" i="2"/>
  <c r="X4451" i="2"/>
  <c r="X4062" i="2"/>
  <c r="X1879" i="2"/>
  <c r="X2312" i="2"/>
  <c r="X4028" i="2"/>
  <c r="X2854" i="2"/>
  <c r="X5128" i="2"/>
  <c r="X3578" i="2"/>
  <c r="X3243" i="2"/>
  <c r="X4705" i="2"/>
  <c r="X3464" i="2"/>
  <c r="X2818" i="2"/>
  <c r="X4377" i="2"/>
  <c r="X2179" i="2"/>
  <c r="X5239" i="2"/>
  <c r="X3977" i="2"/>
  <c r="X3952" i="2"/>
  <c r="X5383" i="2"/>
  <c r="X1621" i="2"/>
  <c r="X2089" i="2"/>
  <c r="X2208" i="2"/>
  <c r="X3784" i="2"/>
  <c r="X3438" i="2"/>
  <c r="X4668" i="2"/>
  <c r="X3766" i="2"/>
  <c r="X4563" i="2"/>
  <c r="X2928" i="2"/>
  <c r="X3748" i="2"/>
  <c r="X2393" i="2"/>
  <c r="X3388" i="2"/>
  <c r="X4372" i="2"/>
  <c r="X5071" i="2"/>
  <c r="X4140" i="2"/>
  <c r="X5033" i="2"/>
  <c r="X3425" i="2"/>
  <c r="X3302" i="2"/>
  <c r="X3260" i="2"/>
  <c r="X1951" i="2"/>
  <c r="X3934" i="2"/>
  <c r="X4477" i="2"/>
  <c r="X3818" i="2"/>
  <c r="X3442" i="2"/>
  <c r="X1518" i="2"/>
  <c r="X1498" i="2"/>
  <c r="X3633" i="2"/>
  <c r="X3396" i="2"/>
  <c r="X4236" i="2"/>
  <c r="X4997" i="2"/>
  <c r="X5268" i="2"/>
  <c r="X3776" i="2"/>
  <c r="X1939" i="2"/>
  <c r="X3311" i="2"/>
  <c r="X2401" i="2"/>
  <c r="X3898" i="2"/>
  <c r="X3914" i="2"/>
  <c r="X3298" i="2"/>
  <c r="X4415" i="2"/>
  <c r="X2753" i="2"/>
  <c r="X2662" i="2"/>
  <c r="X3862" i="2"/>
  <c r="X3541" i="2"/>
  <c r="X2718" i="2"/>
  <c r="X5364" i="2"/>
  <c r="X3624" i="2"/>
  <c r="X4995" i="2"/>
  <c r="X3661" i="2"/>
  <c r="X5356" i="2"/>
  <c r="X3722" i="2"/>
  <c r="X2131" i="2"/>
  <c r="X5408" i="2"/>
  <c r="X4338" i="2"/>
  <c r="X5190" i="2"/>
  <c r="X4798" i="2"/>
  <c r="X4468" i="2"/>
  <c r="X3545" i="2"/>
  <c r="X4948" i="2"/>
  <c r="X4194" i="2"/>
  <c r="X4938" i="2"/>
  <c r="X4814" i="2"/>
  <c r="X3434" i="2"/>
  <c r="X3494" i="2"/>
  <c r="X4982" i="2"/>
  <c r="X4565" i="2"/>
  <c r="X3456" i="2"/>
  <c r="X4676" i="2"/>
  <c r="X5130" i="2"/>
  <c r="X4193" i="2"/>
  <c r="X4646" i="2"/>
  <c r="X4287" i="2"/>
  <c r="X4095" i="2"/>
  <c r="X4171" i="2"/>
  <c r="X4908" i="2"/>
  <c r="X2122" i="2"/>
  <c r="X5290" i="2"/>
  <c r="X4750" i="2"/>
  <c r="X5226" i="2"/>
  <c r="X3560" i="2"/>
  <c r="X4872" i="2"/>
  <c r="X2663" i="2"/>
  <c r="X4319" i="2"/>
  <c r="X5217" i="2"/>
  <c r="X5312" i="2"/>
  <c r="X4227" i="2"/>
  <c r="X5493" i="2"/>
  <c r="X4717" i="2"/>
  <c r="X3800" i="2"/>
  <c r="X5196" i="2"/>
  <c r="X4295" i="2"/>
  <c r="X4715" i="2"/>
  <c r="X5038" i="2"/>
  <c r="X5251" i="2"/>
  <c r="X4292" i="2"/>
  <c r="X4402" i="2"/>
  <c r="X5331" i="2"/>
  <c r="X4722" i="2"/>
  <c r="X3987" i="2"/>
  <c r="X3960" i="2"/>
  <c r="X4458" i="2"/>
  <c r="X5123" i="2"/>
  <c r="X4933" i="2"/>
  <c r="X4155" i="2"/>
  <c r="X4125" i="2"/>
  <c r="X1748" i="2"/>
  <c r="X2978" i="2"/>
  <c r="X4145" i="2"/>
  <c r="X5145" i="2"/>
  <c r="X5375" i="2"/>
  <c r="X4780" i="2"/>
  <c r="X3829" i="2"/>
  <c r="X5067" i="2"/>
  <c r="X4832" i="2"/>
  <c r="X5322" i="2"/>
  <c r="X4223" i="2"/>
  <c r="X5147" i="2"/>
  <c r="X3743" i="2"/>
  <c r="X4581" i="2"/>
  <c r="X5437" i="2"/>
  <c r="X5390" i="2"/>
  <c r="X3296" i="2"/>
  <c r="X4907" i="2"/>
  <c r="X4759" i="2"/>
  <c r="X3764" i="2"/>
  <c r="X5377" i="2"/>
  <c r="X2630" i="2"/>
  <c r="X5386" i="2"/>
  <c r="X4405" i="2"/>
  <c r="X4677" i="2"/>
  <c r="X5348" i="2"/>
  <c r="X4166" i="2"/>
  <c r="X3258" i="2"/>
  <c r="X3931" i="2"/>
  <c r="X3591" i="2"/>
  <c r="X1912" i="2"/>
  <c r="X642" i="2"/>
  <c r="X13" i="2"/>
  <c r="X5235" i="2"/>
  <c r="X4267" i="2"/>
  <c r="X2056" i="2"/>
  <c r="X4680" i="2"/>
  <c r="X2022" i="2"/>
  <c r="X5221" i="2"/>
  <c r="X184" i="2"/>
  <c r="X2395" i="2"/>
  <c r="X3177" i="2"/>
  <c r="X3538" i="2"/>
  <c r="X4504" i="2"/>
  <c r="X1115" i="2"/>
  <c r="X855" i="2"/>
  <c r="X1484" i="2"/>
  <c r="X1421" i="2"/>
  <c r="X789" i="2"/>
  <c r="X1992" i="2"/>
  <c r="X4041" i="2"/>
  <c r="X3356" i="2"/>
  <c r="X2584" i="2"/>
  <c r="X2369" i="2"/>
  <c r="X3343" i="2"/>
  <c r="X1697" i="2"/>
  <c r="X2317" i="2"/>
  <c r="X2004" i="2"/>
  <c r="X2447" i="2"/>
  <c r="X1818" i="2"/>
  <c r="X2936" i="2"/>
  <c r="X967" i="2"/>
  <c r="X234" i="2"/>
  <c r="X2046" i="2"/>
  <c r="X3485" i="2"/>
  <c r="X3712" i="2"/>
  <c r="X209" i="2"/>
  <c r="X362" i="2"/>
  <c r="X898" i="2"/>
  <c r="X2037" i="2"/>
  <c r="X285" i="2"/>
  <c r="X1216" i="2"/>
  <c r="X1555" i="2"/>
  <c r="X3216" i="2"/>
  <c r="X21" i="2"/>
  <c r="X2565" i="2"/>
  <c r="X2471" i="2"/>
  <c r="X3471" i="2"/>
  <c r="X795" i="2"/>
  <c r="X2799" i="2"/>
  <c r="X3620" i="2"/>
  <c r="X4639" i="2"/>
  <c r="X1235" i="2"/>
  <c r="X2920" i="2"/>
  <c r="X1792" i="2"/>
  <c r="X2982" i="2"/>
  <c r="X1014" i="2"/>
  <c r="X1957" i="2"/>
  <c r="X2372" i="2"/>
  <c r="X3221" i="2"/>
  <c r="X1419" i="2"/>
  <c r="X2251" i="2"/>
  <c r="X2213" i="2"/>
  <c r="X3331" i="2"/>
  <c r="X1685" i="2"/>
  <c r="X2659" i="2"/>
  <c r="X2855" i="2"/>
  <c r="X2427" i="2"/>
  <c r="X2412" i="2"/>
  <c r="X3524" i="2"/>
  <c r="X3539" i="2"/>
  <c r="X2228" i="2"/>
  <c r="X4696" i="2"/>
  <c r="X1885" i="2"/>
  <c r="X1104" i="2"/>
  <c r="X3208" i="2"/>
  <c r="X2704" i="2"/>
  <c r="X1594" i="2"/>
  <c r="X3740" i="2"/>
  <c r="X2559" i="2"/>
  <c r="X4840" i="2"/>
  <c r="X2856" i="2"/>
  <c r="X2296" i="2"/>
  <c r="X4067" i="2"/>
  <c r="X3594" i="2"/>
  <c r="X1966" i="2"/>
  <c r="X3884" i="2"/>
  <c r="X2710" i="2"/>
  <c r="X4984" i="2"/>
  <c r="X3232" i="2"/>
  <c r="X1093" i="2"/>
  <c r="X4410" i="2"/>
  <c r="X1381" i="2"/>
  <c r="X2674" i="2"/>
  <c r="X4233" i="2"/>
  <c r="X1832" i="2"/>
  <c r="X5393" i="2"/>
  <c r="X4658" i="2"/>
  <c r="X3011" i="2"/>
  <c r="X5438" i="2"/>
  <c r="X2770" i="2"/>
  <c r="X1747" i="2"/>
  <c r="X4594" i="2"/>
  <c r="X3637" i="2"/>
  <c r="X2038" i="2"/>
  <c r="X4325" i="2"/>
  <c r="X3052" i="2"/>
  <c r="X4217" i="2"/>
  <c r="X4432" i="2"/>
  <c r="X3556" i="2"/>
  <c r="X1529" i="2"/>
  <c r="X3041" i="2"/>
  <c r="X3796" i="2"/>
  <c r="X5402" i="2"/>
  <c r="X3996" i="2"/>
  <c r="X4889" i="2"/>
  <c r="X3083" i="2"/>
  <c r="X2956" i="2"/>
  <c r="X2840" i="2"/>
  <c r="X4567" i="2"/>
  <c r="X3628" i="2"/>
  <c r="X4131" i="2"/>
  <c r="X3674" i="2"/>
  <c r="X2866" i="2"/>
  <c r="X640" i="2"/>
  <c r="X4531" i="2"/>
  <c r="X3489" i="2"/>
  <c r="X3050" i="2"/>
  <c r="X4092" i="2"/>
  <c r="X4853" i="2"/>
  <c r="X5124" i="2"/>
  <c r="X2064" i="2"/>
  <c r="X1386" i="2"/>
  <c r="X2964" i="2"/>
  <c r="X2059" i="2"/>
  <c r="X3754" i="2"/>
  <c r="X3770" i="2"/>
  <c r="X2722" i="2"/>
  <c r="X4069" i="2"/>
  <c r="X3707" i="2"/>
  <c r="X2458" i="2"/>
  <c r="X3718" i="2"/>
  <c r="X3397" i="2"/>
  <c r="X2061" i="2"/>
  <c r="X5220" i="2"/>
  <c r="X4579" i="2"/>
  <c r="X4851" i="2"/>
  <c r="X3348" i="2"/>
  <c r="X2891" i="2"/>
  <c r="X2285" i="2"/>
  <c r="X2496" i="2"/>
  <c r="X3676" i="2"/>
  <c r="X4299" i="2"/>
  <c r="X3671" i="2"/>
  <c r="X5332" i="2"/>
  <c r="X3527" i="2"/>
  <c r="X1709" i="2"/>
  <c r="X5028" i="2"/>
  <c r="X4307" i="2"/>
  <c r="X4679" i="2"/>
  <c r="X5444" i="2"/>
  <c r="X4760" i="2"/>
  <c r="X5436" i="2"/>
  <c r="X3192" i="2"/>
  <c r="X3817" i="2"/>
  <c r="X5213" i="2"/>
  <c r="X5384" i="2"/>
  <c r="X4398" i="2"/>
  <c r="X5334" i="2"/>
  <c r="X4787" i="2"/>
  <c r="X3001" i="2"/>
  <c r="X5476" i="2"/>
  <c r="X4974" i="2"/>
  <c r="X3924" i="2"/>
  <c r="X4905" i="2"/>
  <c r="X4712" i="2"/>
  <c r="X5203" i="2"/>
  <c r="X4869" i="2"/>
  <c r="X5257" i="2"/>
  <c r="X5162" i="2"/>
  <c r="X2940" i="2"/>
  <c r="X5137" i="2"/>
  <c r="X3877" i="2"/>
  <c r="X3179" i="2"/>
  <c r="X2736" i="2"/>
  <c r="X4796" i="2"/>
  <c r="X3936" i="2"/>
  <c r="X5065" i="2"/>
  <c r="X3920" i="2"/>
  <c r="X1350" i="2"/>
  <c r="X5422" i="2"/>
  <c r="X4033" i="2"/>
  <c r="X4713" i="2"/>
  <c r="X3410" i="2"/>
  <c r="X5450" i="2"/>
  <c r="X1639" i="2"/>
  <c r="X3894" i="2"/>
  <c r="X4758" i="2"/>
  <c r="X4752" i="2"/>
  <c r="X2329" i="2"/>
  <c r="X5084" i="2"/>
  <c r="X1626" i="2"/>
  <c r="X4320" i="2"/>
  <c r="X5183" i="2"/>
  <c r="X3966" i="2"/>
  <c r="X3937" i="2"/>
  <c r="X4841" i="2"/>
  <c r="X5473" i="2"/>
  <c r="X3841" i="2"/>
  <c r="X4947" i="2"/>
  <c r="X4743" i="2"/>
  <c r="X3022" i="2"/>
  <c r="X5104" i="2"/>
  <c r="X3197" i="2"/>
  <c r="X4786" i="2"/>
  <c r="X5350" i="2"/>
  <c r="X5167" i="2"/>
  <c r="X5045" i="2"/>
  <c r="X4151" i="2"/>
  <c r="X5404" i="2"/>
  <c r="X5061" i="2"/>
  <c r="X4868" i="2"/>
  <c r="X5263" i="2"/>
  <c r="X5382" i="2"/>
  <c r="X4475" i="2"/>
  <c r="X3756" i="2"/>
  <c r="X4922" i="2"/>
  <c r="X5442" i="2"/>
  <c r="X5015" i="2"/>
  <c r="X4502" i="2"/>
  <c r="X4883" i="2"/>
  <c r="X4817" i="2"/>
  <c r="X4886" i="2"/>
  <c r="X2426" i="2"/>
  <c r="X1663" i="2"/>
  <c r="X4254" i="2"/>
  <c r="X4882" i="2"/>
  <c r="X4205" i="2"/>
  <c r="X3398" i="2"/>
  <c r="X1550" i="2"/>
  <c r="X1207" i="2"/>
  <c r="X5379" i="2"/>
  <c r="X3240" i="2"/>
  <c r="X3213" i="2"/>
  <c r="X3515" i="2"/>
  <c r="X3287" i="2"/>
  <c r="X1923" i="2"/>
  <c r="X1515" i="2"/>
  <c r="X1865" i="2"/>
  <c r="X1533" i="2"/>
  <c r="X369" i="2"/>
  <c r="X925" i="2"/>
  <c r="X1409" i="2"/>
  <c r="X1603" i="2"/>
  <c r="X2792" i="2"/>
  <c r="X134" i="2"/>
  <c r="X1181" i="2"/>
  <c r="X1902" i="2"/>
  <c r="X3143" i="2"/>
  <c r="X3470" i="2"/>
  <c r="X2294" i="2"/>
  <c r="X1516" i="2"/>
  <c r="X322" i="2"/>
  <c r="X1893" i="2"/>
  <c r="X644" i="2"/>
  <c r="X866" i="2"/>
  <c r="X2166" i="2"/>
  <c r="X2825" i="2"/>
  <c r="X163" i="2"/>
  <c r="X2240" i="2"/>
  <c r="X1895" i="2"/>
  <c r="X3327" i="2"/>
  <c r="X219" i="2"/>
  <c r="X2655" i="2"/>
  <c r="X3476" i="2"/>
  <c r="X4495" i="2"/>
  <c r="X958" i="2"/>
  <c r="X2776" i="2"/>
  <c r="X1648" i="2"/>
  <c r="X2838" i="2"/>
  <c r="X256" i="2"/>
  <c r="X1558" i="2"/>
  <c r="X2026" i="2"/>
  <c r="X2837" i="2"/>
  <c r="X661" i="2"/>
  <c r="X1904" i="2"/>
  <c r="X2069" i="2"/>
  <c r="X3187" i="2"/>
  <c r="X1541" i="2"/>
  <c r="X2449" i="2"/>
  <c r="X2711" i="2"/>
  <c r="X98" i="2"/>
  <c r="X1129" i="2"/>
  <c r="X2636" i="2"/>
  <c r="X2418" i="2"/>
  <c r="X1169" i="2"/>
  <c r="X1890" i="2"/>
  <c r="X2864" i="2"/>
  <c r="X2628" i="2"/>
  <c r="X3006" i="2"/>
  <c r="X2598" i="2"/>
  <c r="X1796" i="2"/>
  <c r="X3801" i="2"/>
  <c r="X2651" i="2"/>
  <c r="X4961" i="2"/>
  <c r="X4226" i="2"/>
  <c r="X796" i="2"/>
  <c r="X5006" i="2"/>
  <c r="X2803" i="2"/>
  <c r="X2143" i="2"/>
  <c r="X3945" i="2"/>
  <c r="X2795" i="2"/>
  <c r="X5105" i="2"/>
  <c r="X4370" i="2"/>
  <c r="X2713" i="2"/>
  <c r="X5150" i="2"/>
  <c r="X3008" i="2"/>
  <c r="X2485" i="2"/>
  <c r="X4089" i="2"/>
  <c r="X724" i="2"/>
  <c r="X5249" i="2"/>
  <c r="X4514" i="2"/>
  <c r="X3289" i="2"/>
  <c r="X5294" i="2"/>
  <c r="X2540" i="2"/>
  <c r="X2903" i="2"/>
  <c r="X4450" i="2"/>
  <c r="X3299" i="2"/>
  <c r="X1878" i="2"/>
  <c r="X3978" i="2"/>
  <c r="X4425" i="2"/>
  <c r="X3870" i="2"/>
  <c r="X3193" i="2"/>
  <c r="X3209" i="2"/>
  <c r="X2116" i="2"/>
  <c r="X2504" i="2"/>
  <c r="X2263" i="2"/>
  <c r="X5258" i="2"/>
  <c r="X3852" i="2"/>
  <c r="X4745" i="2"/>
  <c r="X1956" i="2"/>
  <c r="X2158" i="2"/>
  <c r="X3499" i="2"/>
  <c r="X4423" i="2"/>
  <c r="X2545" i="2"/>
  <c r="X3749" i="2"/>
  <c r="X3377" i="2"/>
  <c r="X1909" i="2"/>
  <c r="X2346" i="2"/>
  <c r="X4387" i="2"/>
  <c r="X3345" i="2"/>
  <c r="X2532" i="2"/>
  <c r="X3948" i="2"/>
  <c r="X4709" i="2"/>
  <c r="X4980" i="2"/>
  <c r="X4147" i="2"/>
  <c r="X3512" i="2"/>
  <c r="X2185" i="2"/>
  <c r="X1712" i="2"/>
  <c r="X3569" i="2"/>
  <c r="X3611" i="2"/>
  <c r="X1122" i="2"/>
  <c r="X3239" i="2"/>
  <c r="X3400" i="2"/>
  <c r="X2112" i="2"/>
  <c r="X3484" i="2"/>
  <c r="X3253" i="2"/>
  <c r="X484" i="2"/>
  <c r="X5076" i="2"/>
  <c r="X4003" i="2"/>
  <c r="X4707" i="2"/>
  <c r="X3002" i="2"/>
  <c r="X2747" i="2"/>
  <c r="X1327" i="2"/>
  <c r="X4636" i="2"/>
  <c r="X3589" i="2"/>
  <c r="X3953" i="2"/>
  <c r="X3256" i="2"/>
  <c r="X5188" i="2"/>
  <c r="X4562" i="2"/>
  <c r="X2772" i="2"/>
  <c r="X2732" i="2"/>
  <c r="X3691" i="2"/>
  <c r="X2204" i="2"/>
  <c r="X4803" i="2"/>
  <c r="X2904" i="2"/>
  <c r="X3723" i="2"/>
  <c r="X1845" i="2"/>
  <c r="X2857" i="2"/>
  <c r="X5449" i="2"/>
  <c r="X4076" i="2"/>
  <c r="X3761" i="2"/>
  <c r="X4799" i="2"/>
  <c r="X4989" i="2"/>
  <c r="X4470" i="2"/>
  <c r="X4245" i="2"/>
  <c r="X4121" i="2"/>
  <c r="X2256" i="2"/>
  <c r="X4434" i="2"/>
  <c r="X4785" i="2"/>
  <c r="X4880" i="2"/>
  <c r="X4927" i="2"/>
  <c r="X5096" i="2"/>
  <c r="X3421" i="2"/>
  <c r="X1968" i="2"/>
  <c r="X3206" i="2"/>
  <c r="X5110" i="2"/>
  <c r="X4941" i="2"/>
  <c r="X4026" i="2"/>
  <c r="X4181" i="2"/>
  <c r="X5468" i="2"/>
  <c r="X5451" i="2"/>
  <c r="X4620" i="2"/>
  <c r="X3899" i="2"/>
  <c r="X4999" i="2"/>
  <c r="X4049" i="2"/>
  <c r="X5247" i="2"/>
  <c r="X5025" i="2"/>
  <c r="X4202" i="2"/>
  <c r="X3795" i="2"/>
  <c r="X2805" i="2"/>
  <c r="X5342" i="2"/>
  <c r="X3474" i="2"/>
  <c r="X5399" i="2"/>
  <c r="X4918" i="2"/>
  <c r="X4487" i="2"/>
  <c r="X3901" i="2"/>
  <c r="X3060" i="2"/>
  <c r="X4589" i="2"/>
  <c r="X4025" i="2"/>
  <c r="X4794" i="2"/>
  <c r="X5467" i="2"/>
  <c r="X5313" i="2"/>
  <c r="X2024" i="2"/>
  <c r="X3854" i="2"/>
  <c r="X2537" i="2"/>
  <c r="X4517" i="2"/>
  <c r="X5276" i="2"/>
  <c r="X4687" i="2"/>
  <c r="X5202" i="2"/>
  <c r="X3455" i="2"/>
  <c r="X960" i="2"/>
  <c r="X5080" i="2"/>
  <c r="X4303" i="2"/>
  <c r="X4225" i="2"/>
  <c r="X5296" i="2"/>
  <c r="X4910" i="2"/>
  <c r="X3166" i="2"/>
  <c r="X5003" i="2"/>
  <c r="X2878" i="2"/>
  <c r="X4499" i="2"/>
  <c r="X3663" i="2"/>
  <c r="X5266" i="2"/>
  <c r="X5097" i="2"/>
  <c r="X4057" i="2"/>
  <c r="X2000" i="2"/>
  <c r="X4924" i="2"/>
  <c r="X2714" i="2"/>
  <c r="X5211" i="2"/>
  <c r="X4976" i="2"/>
  <c r="X5478" i="2"/>
  <c r="X4655" i="2"/>
  <c r="X3942" i="2"/>
  <c r="X2602" i="2"/>
  <c r="X5175" i="2"/>
  <c r="X2233" i="2"/>
  <c r="X3846" i="2"/>
  <c r="X2945" i="2"/>
  <c r="X3850" i="2"/>
  <c r="X5471" i="2"/>
  <c r="X5215" i="2"/>
  <c r="X3540" i="2"/>
  <c r="X554" i="2"/>
  <c r="X3607" i="2"/>
  <c r="X3079" i="2"/>
  <c r="X3958" i="2"/>
  <c r="X2912" i="2"/>
  <c r="X859" i="2"/>
  <c r="X3976" i="2"/>
  <c r="X1354" i="2"/>
  <c r="X2353" i="2"/>
  <c r="X4280" i="2"/>
  <c r="X2403" i="2"/>
  <c r="X3017" i="2"/>
  <c r="X3102" i="2"/>
  <c r="X1146" i="2"/>
  <c r="X3979" i="2"/>
  <c r="X3736" i="2"/>
  <c r="X3880" i="2"/>
  <c r="X1309" i="2"/>
  <c r="X3038" i="2"/>
  <c r="X2160" i="2"/>
  <c r="X4008" i="2"/>
  <c r="X2063" i="2"/>
  <c r="X2302" i="2"/>
  <c r="X3121" i="2"/>
  <c r="X173" i="2"/>
  <c r="X3632" i="2"/>
  <c r="X2370" i="2"/>
  <c r="X3123" i="2"/>
  <c r="X2983" i="2"/>
  <c r="X1031" i="2"/>
  <c r="X2159" i="2"/>
  <c r="X3147" i="2"/>
  <c r="X3007" i="2"/>
  <c r="X1163" i="2"/>
  <c r="X1269" i="2"/>
  <c r="X1749" i="2"/>
  <c r="X68" i="2"/>
  <c r="X1604" i="2"/>
  <c r="X1088" i="2"/>
  <c r="X1812" i="2"/>
  <c r="X941" i="2"/>
  <c r="X1894" i="2"/>
  <c r="X1123" i="2"/>
  <c r="X3183" i="2"/>
  <c r="X613" i="2"/>
  <c r="X2443" i="2"/>
  <c r="X3332" i="2"/>
  <c r="X4351" i="2"/>
  <c r="X753" i="2"/>
  <c r="X2632" i="2"/>
  <c r="X1489" i="2"/>
  <c r="X2694" i="2"/>
  <c r="X2439" i="2"/>
  <c r="X2860" i="2"/>
  <c r="X1680" i="2"/>
  <c r="X1843" i="2"/>
  <c r="X456" i="2"/>
  <c r="X1050" i="2"/>
  <c r="X1925" i="2"/>
  <c r="X3043" i="2"/>
  <c r="X1279" i="2"/>
  <c r="X2107" i="2"/>
  <c r="X2560" i="2"/>
  <c r="X195" i="2"/>
  <c r="X1691" i="2"/>
  <c r="X2396" i="2"/>
  <c r="X2274" i="2"/>
  <c r="X593" i="2"/>
  <c r="X1746" i="2"/>
  <c r="X2720" i="2"/>
  <c r="X3613" i="2"/>
  <c r="X1026" i="2"/>
  <c r="X1779" i="2"/>
  <c r="X681" i="2"/>
  <c r="X1593" i="2"/>
  <c r="X731" i="2"/>
  <c r="X1592" i="2"/>
  <c r="X2058" i="2"/>
  <c r="X3215" i="2"/>
  <c r="X2865" i="2"/>
  <c r="X4090" i="2"/>
  <c r="X2347" i="2"/>
  <c r="X4018" i="2"/>
  <c r="X3553" i="2"/>
  <c r="X5310" i="2"/>
  <c r="X5017" i="2"/>
  <c r="X4220" i="2"/>
  <c r="X5295" i="2"/>
  <c r="X589" i="2"/>
  <c r="X2615" i="2"/>
  <c r="X4162" i="2"/>
  <c r="X2146" i="2"/>
  <c r="X466" i="2"/>
  <c r="X5269" i="2"/>
  <c r="X2645" i="2"/>
  <c r="X5439" i="2"/>
  <c r="X3495" i="2"/>
  <c r="X2759" i="2"/>
  <c r="X4306" i="2"/>
  <c r="X2952" i="2"/>
  <c r="X1278" i="2"/>
  <c r="X5027" i="2"/>
  <c r="X3849" i="2"/>
  <c r="X5395" i="2"/>
  <c r="X1915" i="2"/>
  <c r="X2820" i="2"/>
  <c r="X990" i="2"/>
  <c r="X3689" i="2"/>
  <c r="X3133" i="2"/>
  <c r="X5114" i="2"/>
  <c r="X3708" i="2"/>
  <c r="X4506" i="2"/>
  <c r="X4507" i="2"/>
  <c r="X3653" i="2"/>
  <c r="X2635" i="2"/>
  <c r="X4279" i="2"/>
  <c r="X4269" i="2"/>
  <c r="X5107" i="2"/>
  <c r="X3035" i="2"/>
  <c r="X3225" i="2"/>
  <c r="X1448" i="2"/>
  <c r="X4243" i="2"/>
  <c r="X3201" i="2"/>
  <c r="X4628" i="2"/>
  <c r="X3804" i="2"/>
  <c r="X4421" i="2"/>
  <c r="X4836" i="2"/>
  <c r="X3479" i="2"/>
  <c r="X3368" i="2"/>
  <c r="X4592" i="2"/>
  <c r="X3562" i="2"/>
  <c r="X3227" i="2"/>
  <c r="X3264" i="2"/>
  <c r="X3081" i="2"/>
  <c r="X5329" i="2"/>
  <c r="X2846" i="2"/>
  <c r="X1765" i="2"/>
  <c r="X3137" i="2"/>
  <c r="X3109" i="2"/>
  <c r="X1276" i="2"/>
  <c r="X4932" i="2"/>
  <c r="X3132" i="2"/>
  <c r="X4417" i="2"/>
  <c r="X2348" i="2"/>
  <c r="X2603" i="2"/>
  <c r="X2008" i="2"/>
  <c r="X4492" i="2"/>
  <c r="X3013" i="2"/>
  <c r="X5039" i="2"/>
  <c r="X2606" i="2"/>
  <c r="X5044" i="2"/>
  <c r="X4418" i="2"/>
  <c r="X1687" i="2"/>
  <c r="X3391" i="2"/>
  <c r="X3420" i="2"/>
  <c r="X4149" i="2"/>
  <c r="X4647" i="2"/>
  <c r="X2002" i="2"/>
  <c r="X5453" i="2"/>
  <c r="X115" i="2"/>
  <c r="X3300" i="2"/>
  <c r="X3333" i="2"/>
  <c r="X3896" i="2"/>
  <c r="X3792" i="2"/>
  <c r="X5140" i="2"/>
  <c r="X4382" i="2"/>
  <c r="X3322" i="2"/>
  <c r="X2587" i="2"/>
  <c r="X3108" i="2"/>
  <c r="X4187" i="2"/>
  <c r="X4831" i="2"/>
  <c r="X4525" i="2"/>
  <c r="X5129" i="2"/>
  <c r="X5194" i="2"/>
  <c r="X1891" i="2"/>
  <c r="X3128" i="2"/>
  <c r="X4469" i="2"/>
  <c r="X3715" i="2"/>
  <c r="X4" i="2"/>
  <c r="X4990" i="2"/>
  <c r="X5109" i="2"/>
  <c r="X3437" i="2"/>
  <c r="X3906" i="2"/>
  <c r="X3554" i="2"/>
  <c r="X3533" i="2"/>
  <c r="X4764" i="2"/>
  <c r="X4536" i="2"/>
  <c r="X5146" i="2"/>
  <c r="X4518" i="2"/>
  <c r="X5058" i="2"/>
  <c r="X4455" i="2"/>
  <c r="X3845" i="2"/>
  <c r="X4154" i="2"/>
  <c r="X4684" i="2"/>
  <c r="X3882" i="2"/>
  <c r="X5119" i="2"/>
  <c r="X3383" i="2"/>
  <c r="X5230" i="2"/>
  <c r="X4357" i="2"/>
  <c r="X4621" i="2"/>
  <c r="X2633" i="2"/>
  <c r="X5430" i="2"/>
  <c r="X4843" i="2"/>
  <c r="X4896" i="2"/>
  <c r="X4725" i="2"/>
  <c r="X5010" i="2"/>
  <c r="X4537" i="2"/>
  <c r="X4442" i="2"/>
  <c r="X4972" i="2"/>
  <c r="X4575" i="2"/>
  <c r="X4110" i="2"/>
  <c r="X4427" i="2"/>
  <c r="X4091" i="2"/>
  <c r="X2432" i="2"/>
  <c r="X5160" i="2"/>
  <c r="X2989" i="2"/>
  <c r="X4810" i="2"/>
  <c r="X3496" i="2"/>
  <c r="X4609" i="2"/>
  <c r="X4772" i="2"/>
  <c r="X2819" i="2"/>
  <c r="X3644" i="2"/>
  <c r="X5345" i="2"/>
  <c r="X3053" i="2"/>
  <c r="X5396" i="2"/>
  <c r="X4311" i="2"/>
  <c r="X5346" i="2"/>
  <c r="X4864" i="2"/>
  <c r="X1628" i="2"/>
  <c r="X4159" i="2"/>
  <c r="X5330" i="2"/>
  <c r="X4297" i="2"/>
  <c r="X3768" i="2"/>
  <c r="X5302" i="2"/>
  <c r="X4549" i="2"/>
  <c r="X4211" i="2"/>
  <c r="X5189" i="2"/>
  <c r="X4494" i="2"/>
  <c r="X5275" i="2"/>
  <c r="X5205" i="2"/>
  <c r="X5012" i="2"/>
  <c r="X3853" i="2"/>
  <c r="X2717" i="2"/>
  <c r="X2552" i="2"/>
  <c r="X5083" i="2"/>
  <c r="X4508" i="2"/>
  <c r="X4975" i="2"/>
  <c r="X3990" i="2"/>
  <c r="X4671" i="2"/>
  <c r="X3028" i="2"/>
  <c r="X2897" i="2"/>
  <c r="X3046" i="2"/>
  <c r="X737" i="2"/>
  <c r="X3726" i="2"/>
  <c r="X1010" i="2"/>
  <c r="X3729" i="2"/>
  <c r="X3922" i="2"/>
  <c r="X3536" i="2"/>
  <c r="X1222" i="2"/>
  <c r="X2352" i="2"/>
  <c r="X4512" i="2"/>
  <c r="X4190" i="2"/>
  <c r="X2492" i="2"/>
  <c r="X4934" i="2"/>
  <c r="X5297" i="2"/>
  <c r="X3989" i="2"/>
  <c r="X4878" i="2"/>
  <c r="X3085" i="2"/>
  <c r="X4850" i="2"/>
  <c r="X137" i="2"/>
  <c r="X440" i="2"/>
  <c r="X275" i="2"/>
  <c r="X15" i="2"/>
  <c r="X729" i="2"/>
  <c r="X2138" i="2"/>
  <c r="X1016" i="2"/>
  <c r="X2457" i="2"/>
  <c r="X1203" i="2"/>
  <c r="X3039" i="2"/>
  <c r="X37" i="2"/>
  <c r="X2096" i="2"/>
  <c r="X3176" i="2"/>
  <c r="X4207" i="2"/>
  <c r="X895" i="2"/>
  <c r="X2386" i="2"/>
  <c r="X1206" i="2"/>
  <c r="X2533" i="2"/>
  <c r="X1995" i="2"/>
  <c r="X2716" i="2"/>
  <c r="X3561" i="2"/>
  <c r="X4556" i="2"/>
  <c r="X239" i="2"/>
  <c r="X3522" i="2"/>
  <c r="X1781" i="2"/>
  <c r="X2899" i="2"/>
  <c r="X991" i="2"/>
  <c r="X1760" i="2"/>
  <c r="X2230" i="2"/>
  <c r="X743" i="2"/>
  <c r="X423" i="2"/>
  <c r="X2050" i="2"/>
  <c r="X2130" i="2"/>
  <c r="X17" i="2"/>
  <c r="X1602" i="2"/>
  <c r="X2571" i="2"/>
  <c r="X3469" i="2"/>
  <c r="X3639" i="2"/>
  <c r="X1506" i="2"/>
  <c r="X105" i="2"/>
  <c r="X1384" i="2"/>
  <c r="X155" i="2"/>
  <c r="X1382" i="2"/>
  <c r="X700" i="2"/>
  <c r="X2822" i="2"/>
  <c r="X2721" i="2"/>
  <c r="X2910" i="2"/>
  <c r="X615" i="2"/>
  <c r="X2883" i="2"/>
  <c r="X26" i="2"/>
  <c r="X2065" i="2"/>
  <c r="X3320" i="2"/>
  <c r="X3907" i="2"/>
  <c r="X3082" i="2"/>
  <c r="X2202" i="2"/>
  <c r="X3373" i="2"/>
  <c r="X384" i="2"/>
  <c r="X2578" i="2"/>
  <c r="X1771" i="2"/>
  <c r="X4682" i="2"/>
  <c r="X2609" i="2"/>
  <c r="X4967" i="2"/>
  <c r="X3344" i="2"/>
  <c r="X3517" i="2"/>
  <c r="X1347" i="2"/>
  <c r="X3071" i="2"/>
  <c r="X2807" i="2"/>
  <c r="X4826" i="2"/>
  <c r="X3113" i="2"/>
  <c r="X3803" i="2"/>
  <c r="X3573" i="2"/>
  <c r="X1800" i="2"/>
  <c r="X1706" i="2"/>
  <c r="X3413" i="2"/>
  <c r="X2546" i="2"/>
  <c r="X4970" i="2"/>
  <c r="X3460" i="2"/>
  <c r="X4163" i="2"/>
  <c r="X3244" i="2"/>
  <c r="X3328" i="2"/>
  <c r="X3294" i="2"/>
  <c r="X4135" i="2"/>
  <c r="X3693" i="2"/>
  <c r="X5403" i="2"/>
  <c r="X2468" i="2"/>
  <c r="X2649" i="2"/>
  <c r="X2141" i="2"/>
  <c r="X4099" i="2"/>
  <c r="X3057" i="2"/>
  <c r="X4484" i="2"/>
  <c r="X3660" i="2"/>
  <c r="X4074" i="2"/>
  <c r="X4692" i="2"/>
  <c r="X3690" i="2"/>
  <c r="X3224" i="2"/>
  <c r="X4448" i="2"/>
  <c r="X3418" i="2"/>
  <c r="X2844" i="2"/>
  <c r="X2906" i="2"/>
  <c r="X2425" i="2"/>
  <c r="X5005" i="2"/>
  <c r="X4630" i="2"/>
  <c r="X3597" i="2"/>
  <c r="X2700" i="2"/>
  <c r="X2965" i="2"/>
  <c r="X954" i="2"/>
  <c r="X4788" i="2"/>
  <c r="X3419" i="2"/>
  <c r="X4071" i="2"/>
  <c r="X4596" i="2"/>
  <c r="X2316" i="2"/>
  <c r="X400" i="2"/>
  <c r="X4348" i="2"/>
  <c r="X2264" i="2"/>
  <c r="X5209" i="2"/>
  <c r="X4570" i="2"/>
  <c r="X4900" i="2"/>
  <c r="X4274" i="2"/>
  <c r="X3505" i="2"/>
  <c r="X2480" i="2"/>
  <c r="X3074" i="2"/>
  <c r="X3482" i="2"/>
  <c r="X4301" i="2"/>
  <c r="X4560" i="2"/>
  <c r="X5309" i="2"/>
  <c r="X1794" i="2"/>
  <c r="X2954" i="2"/>
  <c r="X3189" i="2"/>
  <c r="X3752" i="2"/>
  <c r="X3648" i="2"/>
  <c r="X4996" i="2"/>
  <c r="X4238" i="2"/>
  <c r="X2746" i="2"/>
  <c r="X2780" i="2"/>
  <c r="X3943" i="2"/>
  <c r="X3550" i="2"/>
  <c r="X4101" i="2"/>
  <c r="X2858" i="2"/>
  <c r="X5405" i="2"/>
  <c r="X5305" i="2"/>
  <c r="X4603" i="2"/>
  <c r="X3229" i="2"/>
  <c r="X3203" i="2"/>
  <c r="X4804" i="2"/>
  <c r="X3851" i="2"/>
  <c r="X4770" i="2"/>
  <c r="X4957" i="2"/>
  <c r="X4200" i="2"/>
  <c r="X5319" i="2"/>
  <c r="X4435" i="2"/>
  <c r="X5318" i="2"/>
  <c r="X2610" i="2"/>
  <c r="X5328" i="2"/>
  <c r="X5013" i="2"/>
  <c r="X5314" i="2"/>
  <c r="X4230" i="2"/>
  <c r="X4214" i="2"/>
  <c r="X5018" i="2"/>
  <c r="X4654" i="2"/>
  <c r="X4921" i="2"/>
  <c r="X5417" i="2"/>
  <c r="X2616" i="2"/>
  <c r="X3525" i="2"/>
  <c r="X4631" i="2"/>
  <c r="X4635" i="2"/>
  <c r="X1362" i="2"/>
  <c r="X5460" i="2"/>
  <c r="X4949" i="2"/>
  <c r="X4374" i="2"/>
  <c r="X3971" i="2"/>
  <c r="X5192" i="2"/>
  <c r="X3835" i="2"/>
  <c r="X4665" i="2"/>
  <c r="X4913" i="2"/>
  <c r="X4198" i="2"/>
  <c r="X4964" i="2"/>
  <c r="X5466" i="2"/>
  <c r="X4818" i="2"/>
  <c r="X3951" i="2"/>
  <c r="X4939" i="2"/>
  <c r="X2661" i="2"/>
  <c r="X5401" i="2"/>
  <c r="X5237" i="2"/>
  <c r="X4834" i="2"/>
  <c r="X4661" i="2"/>
  <c r="X5480" i="2"/>
  <c r="X3883" i="2"/>
  <c r="X4776" i="2"/>
  <c r="X3791" i="2"/>
  <c r="X3424" i="2"/>
  <c r="X4652" i="2"/>
  <c r="X5387" i="2"/>
  <c r="X3773" i="2"/>
  <c r="X5001" i="2"/>
  <c r="X5255" i="2"/>
  <c r="X2975" i="2"/>
  <c r="X1817" i="2"/>
  <c r="X4644" i="2"/>
  <c r="X4551" i="2"/>
  <c r="X5432" i="2"/>
  <c r="X4892" i="2"/>
  <c r="X4426" i="2"/>
  <c r="X2454" i="2"/>
  <c r="X2894" i="2"/>
  <c r="X4871" i="2"/>
  <c r="X5070" i="2"/>
  <c r="X4623" i="2"/>
  <c r="X3292" i="2"/>
  <c r="X2588" i="2"/>
  <c r="X3995" i="2"/>
  <c r="X3454" i="2"/>
  <c r="X4753" i="2"/>
  <c r="X4107" i="2"/>
  <c r="X5410" i="2"/>
  <c r="X5241" i="2"/>
  <c r="X4403" i="2"/>
  <c r="X1266" i="2"/>
  <c r="X4394" i="2"/>
  <c r="X4021" i="2"/>
  <c r="X2942" i="2"/>
  <c r="X3855" i="2"/>
  <c r="X5059" i="2"/>
  <c r="X4050" i="2"/>
  <c r="X4139" i="2"/>
  <c r="X3858" i="2"/>
  <c r="X3493" i="2"/>
  <c r="X3103" i="2"/>
  <c r="X2140" i="2"/>
  <c r="X273" i="2"/>
  <c r="X1651" i="2"/>
  <c r="X4616" i="2"/>
  <c r="X2915" i="2"/>
  <c r="X1062" i="2"/>
  <c r="X2275" i="2"/>
  <c r="X3972" i="2"/>
  <c r="X3650" i="2"/>
  <c r="X5100" i="2"/>
  <c r="X5344" i="2"/>
  <c r="X504" i="2"/>
  <c r="X1075" i="2"/>
  <c r="X2402" i="2"/>
  <c r="X822" i="2"/>
  <c r="X376" i="2"/>
  <c r="X2472" i="2"/>
  <c r="X2136" i="2"/>
  <c r="X183" i="2"/>
  <c r="X832" i="2"/>
  <c r="X2191" i="2"/>
  <c r="X1324" i="2"/>
  <c r="X2566" i="2"/>
  <c r="X3417" i="2"/>
  <c r="X4412" i="2"/>
  <c r="X1485" i="2"/>
  <c r="X3378" i="2"/>
  <c r="X1637" i="2"/>
  <c r="X2755" i="2"/>
  <c r="X194" i="2"/>
  <c r="X3606" i="2"/>
  <c r="X1884" i="2"/>
  <c r="X261" i="2"/>
  <c r="X1188" i="2"/>
  <c r="X1704" i="2"/>
  <c r="X1986" i="2"/>
  <c r="X3104" i="2"/>
  <c r="X1400" i="2"/>
  <c r="X2252" i="2"/>
  <c r="X3325" i="2"/>
  <c r="X2775" i="2"/>
  <c r="X2423" i="2"/>
  <c r="X464" i="2"/>
  <c r="X1096" i="2"/>
  <c r="X1030" i="2"/>
  <c r="X1094" i="2"/>
  <c r="X1853" i="2"/>
  <c r="X1807" i="2"/>
  <c r="X2572" i="2"/>
  <c r="X2362" i="2"/>
  <c r="X39" i="2"/>
  <c r="X2739" i="2"/>
  <c r="X16" i="2"/>
  <c r="X1723" i="2"/>
  <c r="X3164" i="2"/>
  <c r="X3763" i="2"/>
  <c r="X2938" i="2"/>
  <c r="X2021" i="2"/>
  <c r="X2523" i="2"/>
  <c r="X1813" i="2"/>
  <c r="X1816" i="2"/>
  <c r="X2551" i="2"/>
  <c r="X3549" i="2"/>
  <c r="X4112" i="2"/>
  <c r="X2377" i="2"/>
  <c r="X3226" i="2"/>
  <c r="X4612" i="2"/>
  <c r="X3063" i="2"/>
  <c r="X3703" i="2"/>
  <c r="X3278" i="2"/>
  <c r="X4971" i="2"/>
  <c r="X3290" i="2"/>
  <c r="X2530" i="2"/>
  <c r="X2629" i="2"/>
  <c r="X2266" i="2"/>
  <c r="X2184" i="2"/>
  <c r="X3847" i="2"/>
  <c r="X4064" i="2"/>
  <c r="X5115" i="2"/>
  <c r="X3634" i="2"/>
  <c r="X3643" i="2"/>
  <c r="X3868" i="2"/>
  <c r="X2981" i="2"/>
  <c r="X2245" i="2"/>
  <c r="X3991" i="2"/>
  <c r="X4640" i="2"/>
  <c r="X5259" i="2"/>
  <c r="X3781" i="2"/>
  <c r="X3572" i="2"/>
  <c r="X1039" i="2"/>
  <c r="X3955" i="2"/>
  <c r="X2913" i="2"/>
  <c r="X4340" i="2"/>
  <c r="X3347" i="2"/>
  <c r="X3324" i="2"/>
  <c r="X4381" i="2"/>
  <c r="X3701" i="2"/>
  <c r="X2586" i="2"/>
  <c r="X4304" i="2"/>
  <c r="X3274" i="2"/>
  <c r="X1858" i="2"/>
  <c r="X2005" i="2"/>
  <c r="X3428" i="2"/>
  <c r="X4849" i="2"/>
  <c r="X4366" i="2"/>
  <c r="X3453" i="2"/>
  <c r="X4653" i="2"/>
  <c r="X2821" i="2"/>
  <c r="X3372" i="2"/>
  <c r="X4611" i="2"/>
  <c r="X3444" i="2"/>
  <c r="X3266" i="2"/>
  <c r="X4452" i="2"/>
  <c r="X1969" i="2"/>
  <c r="X1034" i="2"/>
  <c r="X4204" i="2"/>
  <c r="X2687" i="2"/>
  <c r="X4945" i="2"/>
  <c r="X4282" i="2"/>
  <c r="X4756" i="2"/>
  <c r="X4130" i="2"/>
  <c r="X3361" i="2"/>
  <c r="X3186" i="2"/>
  <c r="X2590" i="2"/>
  <c r="X4520" i="2"/>
  <c r="X3954" i="2"/>
  <c r="X4416" i="2"/>
  <c r="X5165" i="2"/>
  <c r="X2683" i="2"/>
  <c r="X2149" i="2"/>
  <c r="X3045" i="2"/>
  <c r="X3566" i="2"/>
  <c r="X3316" i="2"/>
  <c r="X4852" i="2"/>
  <c r="X4094" i="2"/>
  <c r="X1606" i="2"/>
  <c r="X2570" i="2"/>
  <c r="X3799" i="2"/>
  <c r="X3406" i="2"/>
  <c r="X3957" i="2"/>
  <c r="X1892" i="2"/>
  <c r="X5261" i="2"/>
  <c r="X5053" i="2"/>
  <c r="X4027" i="2"/>
  <c r="X240" i="2"/>
  <c r="X4148" i="2"/>
  <c r="X2953" i="2"/>
  <c r="X4318" i="2"/>
  <c r="X4583" i="2"/>
  <c r="X3537" i="2"/>
  <c r="X4838" i="2"/>
  <c r="X3341" i="2"/>
  <c r="X2520" i="2"/>
  <c r="X3673" i="2"/>
  <c r="X5069" i="2"/>
  <c r="X5240" i="2"/>
  <c r="X4055" i="2"/>
  <c r="X5154" i="2"/>
  <c r="X5081" i="2"/>
  <c r="X4044" i="2"/>
  <c r="X4548" i="2"/>
  <c r="X3917" i="2"/>
  <c r="X3664" i="2"/>
  <c r="X4914" i="2"/>
  <c r="X4981" i="2"/>
  <c r="X3088" i="2"/>
  <c r="X3911" i="2"/>
  <c r="X4986" i="2"/>
  <c r="X5307" i="2"/>
  <c r="X4476" i="2"/>
  <c r="X5159" i="2"/>
  <c r="X4807" i="2"/>
  <c r="X4819" i="2"/>
  <c r="X3985" i="2"/>
  <c r="X4881" i="2"/>
  <c r="X1490" i="2"/>
  <c r="X4096" i="2"/>
  <c r="X4529" i="2"/>
  <c r="X4392" i="2"/>
  <c r="X5063" i="2"/>
  <c r="X4463" i="2"/>
  <c r="X5421" i="2"/>
  <c r="X5030" i="2"/>
  <c r="X2172" i="2"/>
  <c r="X5262" i="2"/>
  <c r="X4212" i="2"/>
  <c r="X5193" i="2"/>
  <c r="X5000" i="2"/>
  <c r="X4169" i="2"/>
  <c r="X5483" i="2"/>
  <c r="X794" i="2"/>
  <c r="X3713" i="2"/>
  <c r="X4898" i="2"/>
  <c r="X3926" i="2"/>
  <c r="X2376" i="2"/>
  <c r="X4870" i="2"/>
  <c r="X4955" i="2"/>
  <c r="X4364" i="2"/>
  <c r="X4645" i="2"/>
  <c r="X4503" i="2"/>
  <c r="X2287" i="2"/>
  <c r="X5231" i="2"/>
  <c r="X2892" i="2"/>
  <c r="X3699" i="2"/>
  <c r="X5206" i="2"/>
  <c r="X5264" i="2"/>
  <c r="X4860" i="2"/>
  <c r="X2869" i="2"/>
  <c r="X4178" i="2"/>
  <c r="X4698" i="2"/>
  <c r="X4751" i="2"/>
  <c r="X5121" i="2"/>
  <c r="X4960" i="2"/>
  <c r="X3477" i="2"/>
  <c r="X4608" i="2"/>
  <c r="X4249" i="2"/>
  <c r="X4659" i="2"/>
  <c r="X4626" i="2"/>
  <c r="X4079" i="2"/>
  <c r="X4215" i="2"/>
  <c r="X3009" i="2"/>
  <c r="X2180" i="2"/>
  <c r="X5474" i="2"/>
  <c r="X3983" i="2"/>
  <c r="X4632" i="2"/>
  <c r="X5446" i="2"/>
  <c r="X4762" i="2"/>
  <c r="X1218" i="2"/>
  <c r="X4862" i="2"/>
  <c r="X1848" i="2"/>
  <c r="X3461" i="2"/>
  <c r="X4347" i="2"/>
  <c r="X3941" i="2"/>
  <c r="X5324" i="2"/>
  <c r="X3697" i="2"/>
  <c r="X1322" i="2"/>
  <c r="X3769" i="2"/>
  <c r="X2671" i="2"/>
  <c r="X497" i="2"/>
  <c r="X800" i="2"/>
  <c r="X635" i="2"/>
  <c r="X375" i="2"/>
  <c r="X1197" i="2"/>
  <c r="X232" i="2"/>
  <c r="X2261" i="2"/>
  <c r="X1929" i="2"/>
  <c r="X1470" i="2"/>
  <c r="X2611" i="2"/>
  <c r="X2416" i="2"/>
  <c r="X3462" i="2"/>
  <c r="X652" i="2"/>
  <c r="X4617" i="2"/>
  <c r="X971" i="2"/>
  <c r="X3583" i="2"/>
  <c r="X1842" i="2"/>
  <c r="X2960" i="2"/>
  <c r="X1112" i="2"/>
  <c r="X1906" i="2"/>
  <c r="X3181" i="2"/>
  <c r="X2349" i="2"/>
  <c r="X1155" i="2"/>
  <c r="X823" i="2"/>
  <c r="X506" i="2"/>
  <c r="X454" i="2"/>
  <c r="X496" i="2"/>
  <c r="X2440" i="2"/>
  <c r="X4564" i="2"/>
  <c r="X2254" i="2"/>
  <c r="X3543" i="2"/>
  <c r="X433" i="2"/>
  <c r="X2594" i="2"/>
  <c r="X2027" i="2"/>
  <c r="X2505" i="2"/>
  <c r="X1933" i="2"/>
  <c r="X3592" i="2"/>
  <c r="X2794" i="2"/>
  <c r="X1589" i="2"/>
  <c r="X2379" i="2"/>
  <c r="X220" i="2"/>
  <c r="X1672" i="2"/>
  <c r="X2215" i="2"/>
  <c r="X3405" i="2"/>
  <c r="X3968" i="2"/>
  <c r="X2035" i="2"/>
  <c r="X2338" i="2"/>
  <c r="X1159" i="2"/>
  <c r="X2305" i="2"/>
  <c r="X2093" i="2"/>
  <c r="X3450" i="2"/>
  <c r="X1856" i="2"/>
  <c r="X4317" i="2"/>
  <c r="X3724" i="2"/>
  <c r="X950" i="2"/>
  <c r="X3362" i="2"/>
  <c r="X2371" i="2"/>
  <c r="X3908" i="2"/>
  <c r="X3602" i="2"/>
  <c r="X5308" i="2"/>
  <c r="X4538" i="2"/>
  <c r="X3326" i="2"/>
  <c r="X2463" i="2"/>
  <c r="X3667" i="2"/>
  <c r="X2625" i="2"/>
  <c r="X4052" i="2"/>
  <c r="X2216" i="2"/>
  <c r="X5452" i="2"/>
  <c r="X2765" i="2"/>
  <c r="X4084" i="2"/>
  <c r="X1864" i="2"/>
  <c r="X3811" i="2"/>
  <c r="X2769" i="2"/>
  <c r="X4196" i="2"/>
  <c r="X3000" i="2"/>
  <c r="X3779" i="2"/>
  <c r="X4035" i="2"/>
  <c r="X4660" i="2"/>
  <c r="X3247" i="2"/>
  <c r="X4160" i="2"/>
  <c r="X3130" i="2"/>
  <c r="X4545" i="2"/>
  <c r="X3733" i="2"/>
  <c r="X2779" i="2"/>
  <c r="X4693" i="2"/>
  <c r="X4078" i="2"/>
  <c r="X3309" i="2"/>
  <c r="X4509" i="2"/>
  <c r="X2677" i="2"/>
  <c r="X3026" i="2"/>
  <c r="X4265" i="2"/>
  <c r="X4516" i="2"/>
  <c r="X5299" i="2"/>
  <c r="X4308" i="2"/>
  <c r="X1616" i="2"/>
  <c r="X915" i="2"/>
  <c r="X4060" i="2"/>
  <c r="X3610" i="2"/>
  <c r="X4801" i="2"/>
  <c r="X3994" i="2"/>
  <c r="X4535" i="2"/>
  <c r="X3986" i="2"/>
  <c r="X3217" i="2"/>
  <c r="X1988" i="2"/>
  <c r="X3810" i="2"/>
  <c r="X3944" i="2"/>
  <c r="X5363" i="2"/>
  <c r="X4272" i="2"/>
  <c r="X5021" i="2"/>
  <c r="X788" i="2"/>
  <c r="X4600" i="2"/>
  <c r="X2901" i="2"/>
  <c r="X3220" i="2"/>
  <c r="X2969" i="2"/>
  <c r="X4708" i="2"/>
  <c r="X3950" i="2"/>
  <c r="X3105" i="2"/>
  <c r="X2101" i="2"/>
  <c r="X3655" i="2"/>
  <c r="X3262" i="2"/>
  <c r="X3813" i="2"/>
  <c r="X3721" i="2"/>
  <c r="X5117" i="2"/>
  <c r="X5400" i="2"/>
  <c r="X3191" i="2"/>
  <c r="X666" i="2"/>
  <c r="X4004" i="2"/>
  <c r="X2809" i="2"/>
  <c r="X4174" i="2"/>
  <c r="X4237" i="2"/>
  <c r="X2961" i="2"/>
  <c r="X4694" i="2"/>
  <c r="X2798" i="2"/>
  <c r="X904" i="2"/>
  <c r="X4353" i="2"/>
  <c r="X4192" i="2"/>
  <c r="X494" i="2"/>
  <c r="X4789" i="2"/>
  <c r="X2784" i="2"/>
  <c r="X5127" i="2"/>
  <c r="X2232" i="2"/>
  <c r="X4040" i="2"/>
  <c r="X3735" i="2"/>
  <c r="X3369" i="2"/>
  <c r="X5469" i="2"/>
  <c r="X4602" i="2"/>
  <c r="X4736" i="2"/>
  <c r="X4723" i="2"/>
  <c r="X2793" i="2"/>
  <c r="X1784" i="2"/>
  <c r="X4218" i="2"/>
  <c r="X2088" i="2"/>
  <c r="X4343" i="2"/>
  <c r="X4950" i="2"/>
  <c r="X5347" i="2"/>
  <c r="X3782" i="2"/>
  <c r="X4523" i="2"/>
  <c r="X5051" i="2"/>
  <c r="X4010" i="2"/>
  <c r="X4361" i="2"/>
  <c r="X5075" i="2"/>
  <c r="X4879" i="2"/>
  <c r="X5023" i="2"/>
  <c r="X5086" i="2"/>
  <c r="X3182" i="2"/>
  <c r="X3281" i="2"/>
  <c r="X4899" i="2"/>
  <c r="X5273" i="2"/>
  <c r="X4559" i="2"/>
  <c r="X3125" i="2"/>
  <c r="X4943" i="2"/>
  <c r="X2582" i="2"/>
  <c r="X3518" i="2"/>
  <c r="X3466" i="2"/>
  <c r="X3746" i="2"/>
  <c r="X5398" i="2"/>
  <c r="X5229" i="2"/>
  <c r="X4689" i="2"/>
  <c r="X5198" i="2"/>
  <c r="X4087" i="2"/>
  <c r="X4114" i="2"/>
  <c r="X5187" i="2"/>
  <c r="X4395" i="2"/>
  <c r="X4911" i="2"/>
  <c r="X3629" i="2"/>
  <c r="X5214" i="2"/>
  <c r="X3838" i="2"/>
  <c r="X5164" i="2"/>
  <c r="X4936" i="2"/>
  <c r="X3727" i="2"/>
  <c r="X3879" i="2"/>
  <c r="X4103" i="2"/>
  <c r="X5113" i="2"/>
  <c r="X5362" i="2"/>
  <c r="X4702" i="2"/>
  <c r="X5041" i="2"/>
  <c r="X3136" i="2"/>
  <c r="X5484" i="2"/>
  <c r="X4643" i="2"/>
  <c r="X4309" i="2"/>
  <c r="X5326" i="2"/>
  <c r="X4167" i="2"/>
  <c r="X2783" i="2"/>
  <c r="X4142" i="2"/>
  <c r="X2569" i="2"/>
  <c r="X4893" i="2"/>
  <c r="X4321" i="2"/>
  <c r="X5155" i="2"/>
  <c r="X5095" i="2"/>
  <c r="X3380" i="2"/>
  <c r="X3431" i="2"/>
  <c r="X3959" i="2"/>
  <c r="X5238" i="2"/>
  <c r="X5429" i="2"/>
  <c r="X4358" i="2"/>
  <c r="X3871" i="2"/>
  <c r="X3961" i="2"/>
  <c r="X5292" i="2"/>
  <c r="X4108" i="2"/>
  <c r="X4610" i="2"/>
  <c r="X3145" i="2"/>
  <c r="X4433" i="2"/>
  <c r="X4119" i="2"/>
  <c r="X3005" i="2"/>
  <c r="X893" i="2"/>
  <c r="X1008" i="2"/>
  <c r="X1799" i="2"/>
  <c r="X1372" i="2"/>
  <c r="X319" i="2"/>
  <c r="X1608" i="2"/>
  <c r="X3375" i="2"/>
  <c r="X3235" i="2"/>
  <c r="X2728" i="2"/>
  <c r="X1698" i="2"/>
  <c r="X2816" i="2"/>
  <c r="X556" i="2"/>
  <c r="X1074" i="2"/>
  <c r="X3037" i="2"/>
  <c r="X1456" i="2"/>
  <c r="X397" i="2"/>
  <c r="X247" i="2"/>
  <c r="X1544" i="2"/>
  <c r="X1401" i="2"/>
  <c r="X1567" i="2"/>
  <c r="X1576" i="2"/>
  <c r="X4420" i="2"/>
  <c r="X1908" i="2"/>
  <c r="X3111" i="2"/>
  <c r="X1380" i="2"/>
  <c r="X2299" i="2"/>
  <c r="X1387" i="2"/>
  <c r="X2361" i="2"/>
  <c r="X2959" i="2"/>
  <c r="X3245" i="2"/>
  <c r="X2650" i="2"/>
  <c r="X1744" i="2"/>
  <c r="X1815" i="2"/>
  <c r="X2800" i="2"/>
  <c r="X1528" i="2"/>
  <c r="X1868" i="2"/>
  <c r="X3261" i="2"/>
  <c r="X3824" i="2"/>
  <c r="X1688" i="2"/>
  <c r="X3559" i="2"/>
  <c r="X698" i="2"/>
  <c r="X1963" i="2"/>
  <c r="X1949" i="2"/>
  <c r="X3306" i="2"/>
  <c r="X3622" i="2"/>
  <c r="X4173" i="2"/>
  <c r="X3497" i="2"/>
  <c r="X1627" i="2"/>
  <c r="X1542" i="2"/>
  <c r="X2660" i="2"/>
  <c r="X2298" i="2"/>
  <c r="X436" i="2"/>
  <c r="X3169" i="2"/>
  <c r="X4534" i="2"/>
  <c r="X2873" i="2"/>
  <c r="X1640" i="2"/>
  <c r="X3728" i="2"/>
  <c r="X2698" i="2"/>
  <c r="X4113" i="2"/>
  <c r="X2760" i="2"/>
  <c r="X2260" i="2"/>
  <c r="X2813" i="2"/>
  <c r="X4557" i="2"/>
  <c r="X3042" i="2"/>
  <c r="X3872" i="2"/>
  <c r="X2842" i="2"/>
  <c r="X4257" i="2"/>
  <c r="X3173" i="2"/>
  <c r="X1021" i="2"/>
  <c r="X4037" i="2"/>
  <c r="X3254" i="2"/>
  <c r="X2134" i="2"/>
  <c r="X4016" i="2"/>
  <c r="X2986" i="2"/>
  <c r="X4401" i="2"/>
  <c r="X3520" i="2"/>
  <c r="X3207" i="2"/>
  <c r="X4383" i="2"/>
  <c r="X3790" i="2"/>
  <c r="X3165" i="2"/>
  <c r="X4365" i="2"/>
  <c r="X2494" i="2"/>
  <c r="X2437" i="2"/>
  <c r="X3918" i="2"/>
  <c r="X3940" i="2"/>
  <c r="X5426" i="2"/>
  <c r="X4164" i="2"/>
  <c r="X3526" i="2"/>
  <c r="X1463" i="2"/>
  <c r="X3916" i="2"/>
  <c r="X3034" i="2"/>
  <c r="X4613" i="2"/>
  <c r="X3706" i="2"/>
  <c r="X4189" i="2"/>
  <c r="X3842" i="2"/>
  <c r="X3073" i="2"/>
  <c r="X1927" i="2"/>
  <c r="X3666" i="2"/>
  <c r="X2990" i="2"/>
  <c r="X5477" i="2"/>
  <c r="X4128" i="2"/>
  <c r="X4877" i="2"/>
  <c r="X2510" i="2"/>
  <c r="X4456" i="2"/>
  <c r="X2757" i="2"/>
  <c r="X2834" i="2"/>
  <c r="X1987" i="2"/>
  <c r="X4419" i="2"/>
  <c r="X3806" i="2"/>
  <c r="X2484" i="2"/>
  <c r="X3003" i="2"/>
  <c r="X3335" i="2"/>
  <c r="X3118" i="2"/>
  <c r="X3669" i="2"/>
  <c r="X3492" i="2"/>
  <c r="X4973" i="2"/>
  <c r="X5256" i="2"/>
  <c r="X3473" i="2"/>
  <c r="X3451" i="2"/>
  <c r="X3860" i="2"/>
  <c r="X2665" i="2"/>
  <c r="X4030" i="2"/>
  <c r="X3891" i="2"/>
  <c r="X2137" i="2"/>
  <c r="X4385" i="2"/>
  <c r="X4606" i="2"/>
  <c r="X1227" i="2"/>
  <c r="X4209" i="2"/>
  <c r="X4048" i="2"/>
  <c r="X1770" i="2"/>
  <c r="X4585" i="2"/>
  <c r="X3131" i="2"/>
  <c r="X4983" i="2"/>
  <c r="X4584" i="2"/>
  <c r="X2237" i="2"/>
  <c r="X1590" i="2"/>
  <c r="X3798" i="2"/>
  <c r="X3416" i="2"/>
  <c r="X5488" i="2"/>
  <c r="X4558" i="2"/>
  <c r="X5464" i="2"/>
  <c r="X4262" i="2"/>
  <c r="X4186" i="2"/>
  <c r="X4122" i="2"/>
  <c r="X3834" i="2"/>
  <c r="X5171" i="2"/>
  <c r="X4846" i="2"/>
  <c r="X4965" i="2"/>
  <c r="X4763" i="2"/>
  <c r="X5499" i="2"/>
  <c r="X5139" i="2"/>
  <c r="X4830" i="2"/>
  <c r="X3780" i="2"/>
  <c r="X4761" i="2"/>
  <c r="X4429" i="2"/>
  <c r="X4903" i="2"/>
  <c r="X5216" i="2"/>
  <c r="X4248" i="2"/>
  <c r="X2581" i="2"/>
  <c r="X5316" i="2"/>
  <c r="X4805" i="2"/>
  <c r="X4031" i="2"/>
  <c r="X5327" i="2"/>
  <c r="X5048" i="2"/>
  <c r="X5151" i="2"/>
  <c r="X3508" i="2"/>
  <c r="X3888" i="2"/>
  <c r="X5236" i="2"/>
  <c r="X4771" i="2"/>
  <c r="X5286" i="2"/>
  <c r="X5103" i="2"/>
  <c r="X4598" i="2"/>
  <c r="X5325" i="2"/>
  <c r="X4441" i="2"/>
  <c r="X2293" i="2"/>
  <c r="X5052" i="2"/>
  <c r="X4070" i="2"/>
  <c r="X5434" i="2"/>
  <c r="X4894" i="2"/>
  <c r="X5394" i="2"/>
  <c r="X4006" i="2"/>
  <c r="X4176" i="2"/>
  <c r="X5143" i="2"/>
  <c r="X4895" i="2"/>
  <c r="X3947" i="2"/>
  <c r="X5440" i="2"/>
  <c r="X3833" i="2"/>
  <c r="X4925" i="2"/>
  <c r="X2144" i="2"/>
  <c r="X5201" i="2"/>
  <c r="X1861" i="2"/>
  <c r="X5252" i="2"/>
  <c r="X3965" i="2"/>
  <c r="X5178" i="2"/>
  <c r="X5102" i="2"/>
  <c r="X4333" i="2"/>
  <c r="X3747" i="2"/>
  <c r="X3230" i="2"/>
  <c r="X4587" i="2"/>
  <c r="X5094" i="2"/>
  <c r="X4909" i="2"/>
  <c r="X3204" i="2"/>
  <c r="X5372" i="2"/>
  <c r="X4648" i="2"/>
  <c r="X5448" i="2"/>
  <c r="X3652" i="2"/>
  <c r="X5098" i="2"/>
  <c r="X3122" i="2"/>
  <c r="X3999" i="2"/>
  <c r="X5060" i="2"/>
  <c r="X1681" i="2"/>
  <c r="X2461" i="2"/>
  <c r="X4595" i="2"/>
  <c r="X4808" i="2"/>
  <c r="X4855" i="2"/>
  <c r="X4597" i="2"/>
  <c r="X5343" i="2"/>
  <c r="X3705" i="2"/>
  <c r="X4127" i="2"/>
  <c r="X3312" i="2"/>
  <c r="X3865" i="2"/>
  <c r="X4815" i="2"/>
  <c r="X4384" i="2"/>
  <c r="X5435" i="2"/>
  <c r="X4951" i="2"/>
  <c r="X2658" i="2"/>
  <c r="X965" i="2"/>
  <c r="X333" i="2"/>
  <c r="X1103" i="2"/>
  <c r="X843" i="2"/>
  <c r="X2308" i="2"/>
  <c r="X2697" i="2"/>
  <c r="X2605" i="2"/>
  <c r="X3738" i="2"/>
  <c r="X1286" i="2"/>
  <c r="X825" i="2"/>
  <c r="X1333" i="2"/>
  <c r="X1539" i="2"/>
  <c r="X4276" i="2"/>
  <c r="X1098" i="2"/>
  <c r="X2253" i="2"/>
  <c r="X804" i="2"/>
  <c r="X1952" i="2"/>
  <c r="X1335" i="2"/>
  <c r="X2217" i="2"/>
  <c r="X3618" i="2"/>
  <c r="X2880" i="2"/>
  <c r="X2431" i="2"/>
  <c r="X1110" i="2"/>
  <c r="X955" i="2"/>
  <c r="X2656" i="2"/>
  <c r="X1254" i="2"/>
  <c r="X148" i="2"/>
  <c r="X3117" i="2"/>
  <c r="X3680" i="2"/>
  <c r="X2879" i="2"/>
  <c r="X1846" i="2"/>
  <c r="X2500" i="2"/>
  <c r="X1570" i="2"/>
  <c r="X1805" i="2"/>
  <c r="X3162" i="2"/>
  <c r="X3478" i="2"/>
  <c r="X4029" i="2"/>
  <c r="X3155" i="2"/>
  <c r="X710" i="2"/>
  <c r="X1280" i="2"/>
  <c r="X2455" i="2"/>
  <c r="X2154" i="2"/>
  <c r="X3511" i="2"/>
  <c r="X3025" i="2"/>
  <c r="X4390" i="2"/>
  <c r="X1928" i="2"/>
  <c r="X1493" i="2"/>
  <c r="X968" i="2"/>
  <c r="X717" i="2"/>
  <c r="X1432" i="2"/>
  <c r="X942" i="2"/>
  <c r="X4408" i="2"/>
  <c r="X1160" i="2"/>
  <c r="X4363" i="2"/>
  <c r="X2733" i="2"/>
  <c r="X3933" i="2"/>
  <c r="X2927" i="2"/>
  <c r="X4330" i="2"/>
  <c r="X4346" i="2"/>
  <c r="X2701" i="2"/>
  <c r="X4994" i="2"/>
  <c r="X3732" i="2"/>
  <c r="X2877" i="2"/>
  <c r="X4077" i="2"/>
  <c r="X1801" i="2"/>
  <c r="X4474" i="2"/>
  <c r="X4490" i="2"/>
  <c r="X3277" i="2"/>
  <c r="X5138" i="2"/>
  <c r="X3876" i="2"/>
  <c r="X3021" i="2"/>
  <c r="X4221" i="2"/>
  <c r="X2148" i="2"/>
  <c r="X4618" i="2"/>
  <c r="X4634" i="2"/>
  <c r="X2980" i="2"/>
  <c r="X5282" i="2"/>
  <c r="X4020" i="2"/>
  <c r="X3382" i="2"/>
  <c r="X981" i="2"/>
  <c r="X3772" i="2"/>
  <c r="X2314" i="2"/>
  <c r="X4266" i="2"/>
  <c r="X2966" i="2"/>
  <c r="X3843" i="2"/>
  <c r="X3698" i="2"/>
  <c r="X2929" i="2"/>
  <c r="X2955" i="2"/>
  <c r="X3360" i="2"/>
  <c r="X4315" i="2"/>
  <c r="X5378" i="2"/>
  <c r="X3984" i="2"/>
  <c r="X4733" i="2"/>
  <c r="X520" i="2"/>
  <c r="X4312" i="2"/>
  <c r="X2613" i="2"/>
  <c r="X1834" i="2"/>
  <c r="X3575" i="2"/>
  <c r="X4073" i="2"/>
  <c r="X3662" i="2"/>
  <c r="X3452" i="2"/>
  <c r="X1713" i="2"/>
  <c r="X2988" i="2"/>
  <c r="X2974" i="2"/>
  <c r="X3365" i="2"/>
  <c r="X3146" i="2"/>
  <c r="X4829" i="2"/>
  <c r="X5112" i="2"/>
  <c r="X3503" i="2"/>
  <c r="X3246" i="2"/>
  <c r="X3716" i="2"/>
  <c r="X2467" i="2"/>
  <c r="X3886" i="2"/>
  <c r="X4622" i="2"/>
  <c r="X3308" i="2"/>
  <c r="X4038" i="2"/>
  <c r="X4354" i="2"/>
  <c r="X1293" i="2"/>
  <c r="X4065" i="2"/>
  <c r="X3904" i="2"/>
  <c r="X2429" i="2"/>
  <c r="X4239" i="2"/>
  <c r="X3156" i="2"/>
  <c r="X4839" i="2"/>
  <c r="X4440" i="2"/>
  <c r="X1960" i="2"/>
  <c r="X2249" i="2"/>
  <c r="X3654" i="2"/>
  <c r="X3272" i="2"/>
  <c r="X5366" i="2"/>
  <c r="X4270" i="2"/>
  <c r="X5320" i="2"/>
  <c r="X4118" i="2"/>
  <c r="X2034" i="2"/>
  <c r="X3236" i="2"/>
  <c r="X2786" i="2"/>
  <c r="X580" i="2"/>
  <c r="X4045" i="2"/>
  <c r="X4404" i="2"/>
  <c r="X3905" i="2"/>
  <c r="X5101" i="2"/>
  <c r="X3154" i="2"/>
  <c r="X5174" i="2"/>
  <c r="X1953" i="2"/>
  <c r="X4179" i="2"/>
  <c r="X4811" i="2"/>
  <c r="X5170" i="2"/>
  <c r="X3887" i="2"/>
  <c r="X4201" i="2"/>
  <c r="X1580" i="2"/>
  <c r="X3249" i="2"/>
  <c r="X2810" i="2"/>
  <c r="X4966" i="2"/>
  <c r="X4797" i="2"/>
  <c r="X2621" i="2"/>
  <c r="X5184" i="2"/>
  <c r="X1562" i="2"/>
  <c r="X3353" i="2"/>
  <c r="X4182" i="2"/>
  <c r="X3374" i="2"/>
  <c r="X5087" i="2"/>
  <c r="X4117" i="2"/>
  <c r="X5277" i="2"/>
  <c r="X4875" i="2"/>
  <c r="X3874" i="2"/>
  <c r="X3120" i="2"/>
  <c r="X5047" i="2"/>
  <c r="X4931" i="2"/>
  <c r="X4844" i="2"/>
  <c r="X2473" i="2"/>
  <c r="X4674" i="2"/>
  <c r="X3064" i="2"/>
  <c r="X5306" i="2"/>
  <c r="X3458" i="2"/>
  <c r="X5497" i="2"/>
  <c r="X4453" i="2"/>
  <c r="X4310" i="2"/>
  <c r="X3970" i="2"/>
  <c r="X4940" i="2"/>
  <c r="X1692" i="2"/>
  <c r="X3710" i="2"/>
  <c r="X2282" i="2"/>
  <c r="X4170" i="2"/>
  <c r="X5132" i="2"/>
  <c r="X4369" i="2"/>
  <c r="X5034" i="2"/>
  <c r="X5210" i="2"/>
  <c r="X3695" i="2"/>
  <c r="X2039" i="2"/>
  <c r="X4500" i="2"/>
  <c r="X5481" i="2"/>
  <c r="X5288" i="2"/>
  <c r="X4748" i="2"/>
  <c r="X3305" i="2"/>
  <c r="X1753" i="2"/>
  <c r="X4590" i="2"/>
  <c r="X3685" i="2"/>
  <c r="X4923" i="2"/>
  <c r="X4688" i="2"/>
  <c r="X5142" i="2"/>
  <c r="X5371" i="2"/>
  <c r="X4349" i="2"/>
  <c r="X5279" i="2"/>
  <c r="X4501" i="2"/>
  <c r="X1975" i="2"/>
  <c r="X3604" i="2"/>
  <c r="X4482" i="2"/>
  <c r="X4491" i="2"/>
  <c r="X5289" i="2"/>
  <c r="X2029" i="2"/>
  <c r="X4286" i="2"/>
  <c r="X2984" i="2"/>
  <c r="X5037" i="2"/>
  <c r="X5135" i="2"/>
  <c r="X3767" i="2"/>
  <c r="X3675" i="2"/>
  <c r="X4539" i="2"/>
  <c r="X4731" i="2"/>
  <c r="X3900" i="2"/>
  <c r="X5066" i="2"/>
  <c r="X5479" i="2"/>
  <c r="X5055" i="2"/>
  <c r="X4944" i="2"/>
  <c r="X3771" i="2"/>
  <c r="X1274" i="2"/>
  <c r="X1476" i="2"/>
  <c r="X2267" i="2"/>
  <c r="X1911" i="2"/>
  <c r="X787" i="2"/>
  <c r="X3498" i="2"/>
  <c r="X3692" i="2"/>
  <c r="X1376" i="2"/>
  <c r="X1738" i="2"/>
  <c r="X1519" i="2"/>
  <c r="X759" i="2"/>
  <c r="X2073" i="2"/>
  <c r="X2754" i="2"/>
  <c r="X1944" i="2"/>
  <c r="X2084" i="2"/>
  <c r="X1220" i="2"/>
  <c r="X2126" i="2"/>
  <c r="X2444" i="2"/>
  <c r="X956" i="2"/>
  <c r="X3507" i="2"/>
  <c r="X2973" i="2"/>
  <c r="X3395" i="2"/>
  <c r="X2735" i="2"/>
  <c r="X3354" i="2"/>
  <c r="X2356" i="2"/>
  <c r="X3546" i="2"/>
  <c r="X1661" i="2"/>
  <c r="X3018" i="2"/>
  <c r="X3334" i="2"/>
  <c r="X3885" i="2"/>
  <c r="X2724" i="2"/>
  <c r="X1232" i="2"/>
  <c r="X992" i="2"/>
  <c r="X2108" i="2"/>
  <c r="X2010" i="2"/>
  <c r="X3367" i="2"/>
  <c r="X2881" i="2"/>
  <c r="X4246" i="2"/>
  <c r="X3616" i="2"/>
  <c r="X917" i="2"/>
  <c r="X136" i="2"/>
  <c r="X141" i="2"/>
  <c r="X1144" i="2"/>
  <c r="X366" i="2"/>
  <c r="X4264" i="2"/>
  <c r="X1997" i="2"/>
  <c r="X4219" i="2"/>
  <c r="X1055" i="2"/>
  <c r="X2445" i="2"/>
  <c r="X651" i="2"/>
  <c r="X2763" i="2"/>
  <c r="X516" i="2"/>
  <c r="X2832" i="2"/>
  <c r="X3188" i="2"/>
  <c r="X4568" i="2"/>
  <c r="X2950" i="2"/>
  <c r="X4150" i="2"/>
  <c r="X2916" i="2"/>
  <c r="X1795" i="2"/>
  <c r="X5233" i="2"/>
  <c r="X2596" i="2"/>
  <c r="X5283" i="2"/>
  <c r="X2618" i="2"/>
  <c r="X3094" i="2"/>
  <c r="X4294" i="2"/>
  <c r="X3268" i="2"/>
  <c r="X2817" i="2"/>
  <c r="X5485" i="2"/>
  <c r="X3837" i="2"/>
  <c r="X5427" i="2"/>
  <c r="X3089" i="2"/>
  <c r="X3238" i="2"/>
  <c r="X4438" i="2"/>
  <c r="X3614" i="2"/>
  <c r="X3393" i="2"/>
  <c r="X3923" i="2"/>
  <c r="X4413" i="2"/>
  <c r="X5311" i="2"/>
  <c r="X3436" i="2"/>
  <c r="X2785" i="2"/>
  <c r="X2529" i="2"/>
  <c r="X3014" i="2"/>
  <c r="X3739" i="2"/>
  <c r="X5234" i="2"/>
  <c r="X3840" i="2"/>
  <c r="X4479" i="2"/>
  <c r="X687" i="2"/>
  <c r="X4168" i="2"/>
  <c r="X2340" i="2"/>
  <c r="X4555" i="2"/>
  <c r="X3084" i="2"/>
  <c r="X3293" i="2"/>
  <c r="X3350" i="2"/>
  <c r="X2923" i="2"/>
  <c r="X2538" i="2"/>
  <c r="X2290" i="2"/>
  <c r="X2830" i="2"/>
  <c r="X3023" i="2"/>
  <c r="X2712" i="2"/>
  <c r="X4685" i="2"/>
  <c r="X4968" i="2"/>
  <c r="X4540" i="2"/>
  <c r="X2071" i="2"/>
  <c r="X3480" i="2"/>
  <c r="X2120" i="2"/>
  <c r="X3742" i="2"/>
  <c r="X4478" i="2"/>
  <c r="X3582" i="2"/>
  <c r="X2861" i="2"/>
  <c r="X4066" i="2"/>
  <c r="X2804" i="2"/>
  <c r="X3921" i="2"/>
  <c r="X3760" i="2"/>
  <c r="X1565" i="2"/>
  <c r="X3893" i="2"/>
  <c r="X4396" i="2"/>
  <c r="X4695" i="2"/>
  <c r="X4296" i="2"/>
  <c r="X244" i="2"/>
  <c r="X1255" i="2"/>
  <c r="X3329" i="2"/>
  <c r="X2876" i="2"/>
  <c r="X5222" i="2"/>
  <c r="X3982" i="2"/>
  <c r="X5176" i="2"/>
  <c r="X3974" i="2"/>
  <c r="X1829" i="2"/>
  <c r="X2696" i="2"/>
  <c r="X1717" i="2"/>
  <c r="X3501" i="2"/>
  <c r="X2951" i="2"/>
  <c r="X4260" i="2"/>
  <c r="X5443" i="2"/>
  <c r="X5424" i="2"/>
  <c r="X1941" i="2"/>
  <c r="X3465" i="2"/>
  <c r="X3338" i="2"/>
  <c r="X2086" i="2"/>
  <c r="X4673" i="2"/>
  <c r="X3938" i="2"/>
  <c r="X3310" i="2"/>
  <c r="X4718" i="2"/>
  <c r="X2547" i="2"/>
  <c r="X5463" i="2"/>
  <c r="X3577" i="2"/>
  <c r="X4746" i="2"/>
  <c r="X4638" i="2"/>
  <c r="X4056" i="2"/>
  <c r="X4747" i="2"/>
  <c r="X4259" i="2"/>
  <c r="X5353" i="2"/>
  <c r="X3714" i="2"/>
  <c r="X4553" i="2"/>
  <c r="X3672" i="2"/>
  <c r="X5002" i="2"/>
  <c r="X4175" i="2"/>
  <c r="X4890" i="2"/>
  <c r="X1716" i="2"/>
  <c r="X4569" i="2"/>
  <c r="X4755" i="2"/>
  <c r="X4047" i="2"/>
  <c r="X4765" i="2"/>
  <c r="X2110" i="2"/>
  <c r="X5482" i="2"/>
  <c r="X2801" i="2"/>
  <c r="X1430" i="2"/>
  <c r="X4728" i="2"/>
  <c r="X3586" i="2"/>
  <c r="X3973" i="2"/>
  <c r="X5073" i="2"/>
  <c r="X5168" i="2"/>
  <c r="X3881" i="2"/>
  <c r="X4002" i="2"/>
  <c r="X5491" i="2"/>
  <c r="X2562" i="2"/>
  <c r="X4242" i="2"/>
  <c r="X2568" i="2"/>
  <c r="X4566" i="2"/>
  <c r="X4720" i="2"/>
  <c r="X5169" i="2"/>
  <c r="X1882" i="2"/>
  <c r="X5016" i="2"/>
  <c r="X2206" i="2"/>
  <c r="X4662" i="2"/>
  <c r="X5361" i="2"/>
  <c r="X5456" i="2"/>
  <c r="X4573" i="2"/>
  <c r="X4422" i="2"/>
  <c r="X4093" i="2"/>
  <c r="X1918" i="2"/>
  <c r="X4034" i="2"/>
  <c r="X5243" i="2"/>
  <c r="X3889" i="2"/>
  <c r="X4977" i="2"/>
  <c r="X5487" i="2"/>
  <c r="X4845" i="2"/>
  <c r="X4901" i="2"/>
  <c r="X3783" i="2"/>
  <c r="X5260" i="2"/>
  <c r="X4917" i="2"/>
  <c r="X4724" i="2"/>
  <c r="X4915" i="2"/>
  <c r="X5495" i="2"/>
  <c r="X5284" i="2"/>
  <c r="X4887" i="2"/>
  <c r="X3598" i="2"/>
  <c r="X4277" i="2"/>
  <c r="X3816" i="2"/>
  <c r="X2949" i="2"/>
  <c r="X5494" i="2"/>
  <c r="X3448" i="2"/>
  <c r="X5149" i="2"/>
  <c r="X4228" i="2"/>
  <c r="X5242" i="2"/>
  <c r="X4059" i="2"/>
  <c r="X4345" i="2"/>
  <c r="X5204" i="2"/>
  <c r="X4821" i="2"/>
  <c r="X5068" i="2"/>
  <c r="X3148" i="2"/>
  <c r="X5355" i="2"/>
  <c r="X5120" i="2"/>
  <c r="X5195" i="2"/>
  <c r="X4842" i="2"/>
  <c r="X4289" i="2"/>
  <c r="X2634" i="2"/>
  <c r="X1005" i="2"/>
  <c r="X1374" i="2"/>
  <c r="X2214" i="2"/>
  <c r="X2967" i="2"/>
  <c r="X718" i="2"/>
  <c r="X1585" i="2"/>
  <c r="X1221" i="2"/>
  <c r="X518" i="2"/>
  <c r="X2098" i="2"/>
  <c r="X112" i="2"/>
  <c r="X3363" i="2"/>
  <c r="X2829" i="2"/>
  <c r="X3048" i="2"/>
  <c r="X2589" i="2"/>
  <c r="X2896" i="2"/>
  <c r="X2212" i="2"/>
  <c r="X3402" i="2"/>
  <c r="X1510" i="2"/>
  <c r="X2874" i="2"/>
  <c r="X3190" i="2"/>
  <c r="X3741" i="2"/>
  <c r="X868" i="2"/>
  <c r="X2465" i="2"/>
  <c r="X196" i="2"/>
  <c r="X1762" i="2"/>
  <c r="X1866" i="2"/>
  <c r="X3223" i="2"/>
  <c r="X2737" i="2"/>
  <c r="X4102" i="2"/>
  <c r="X3269" i="2"/>
  <c r="X341" i="2"/>
  <c r="X1494" i="2"/>
  <c r="X500" i="2"/>
  <c r="X650" i="2"/>
  <c r="X1313" i="2"/>
  <c r="X4120" i="2"/>
  <c r="X338" i="2"/>
  <c r="X4075" i="2"/>
  <c r="X479" i="2"/>
  <c r="X2301" i="2"/>
  <c r="X75" i="2"/>
  <c r="X2619" i="2"/>
  <c r="X1451" i="2"/>
  <c r="X1831" i="2"/>
  <c r="X2280" i="2"/>
  <c r="X4424" i="2"/>
  <c r="X1297" i="2"/>
  <c r="X1724" i="2"/>
  <c r="X40" i="2"/>
  <c r="X292" i="2"/>
  <c r="X1838" i="2"/>
  <c r="X3364" i="2"/>
  <c r="X3429" i="2"/>
  <c r="X2604" i="2"/>
  <c r="X2062" i="2"/>
  <c r="X2490" i="2"/>
  <c r="X3386" i="2"/>
  <c r="X2726" i="2"/>
  <c r="X4802" i="2"/>
  <c r="X3086" i="2"/>
  <c r="X4859" i="2"/>
  <c r="X4439" i="2"/>
  <c r="X2408" i="2"/>
  <c r="X1142" i="2"/>
  <c r="X3677" i="2"/>
  <c r="X2681" i="2"/>
  <c r="X4946" i="2"/>
  <c r="X3432" i="2"/>
  <c r="X3755" i="2"/>
  <c r="X4716" i="2"/>
  <c r="X2641" i="2"/>
  <c r="X1665" i="2"/>
  <c r="X2388" i="2"/>
  <c r="X1714" i="2"/>
  <c r="X5090" i="2"/>
  <c r="X3696" i="2"/>
  <c r="X4133" i="2"/>
  <c r="X720" i="2"/>
  <c r="X4024" i="2"/>
  <c r="X1993" i="2"/>
  <c r="X4411" i="2"/>
  <c r="X1978" i="2"/>
  <c r="X5489" i="2"/>
  <c r="X3004" i="2"/>
  <c r="X3351" i="2"/>
  <c r="X2333" i="2"/>
  <c r="X3774" i="2"/>
  <c r="X2686" i="2"/>
  <c r="X2419" i="2"/>
  <c r="X4656" i="2"/>
  <c r="X4362" i="2"/>
  <c r="X4824" i="2"/>
  <c r="X3964" i="2"/>
  <c r="X1242" i="2"/>
  <c r="X3134" i="2"/>
  <c r="X1774" i="2"/>
  <c r="X3542" i="2"/>
  <c r="X4334" i="2"/>
  <c r="X2384" i="2"/>
  <c r="X5293" i="2"/>
  <c r="X3778" i="2"/>
  <c r="X2599" i="2"/>
  <c r="X3777" i="2"/>
  <c r="X3587" i="2"/>
  <c r="X2152" i="2"/>
  <c r="X5461" i="2"/>
  <c r="X3820" i="2"/>
  <c r="X4386" i="2"/>
  <c r="X4152" i="2"/>
  <c r="X1307" i="2"/>
  <c r="X1972" i="2"/>
  <c r="X2987" i="2"/>
  <c r="X3535" i="2"/>
  <c r="X5078" i="2"/>
  <c r="X3682" i="2"/>
  <c r="X5032" i="2"/>
  <c r="X3830" i="2"/>
  <c r="X1552" i="2"/>
  <c r="X3355" i="2"/>
  <c r="X4543" i="2"/>
  <c r="X3357" i="2"/>
  <c r="X5500" i="2"/>
  <c r="X4116" i="2"/>
  <c r="X5441" i="2"/>
  <c r="X5280" i="2"/>
  <c r="X1069" i="2"/>
  <c r="X3321" i="2"/>
  <c r="X2992" i="2"/>
  <c r="X1740" i="2"/>
  <c r="X4335" i="2"/>
  <c r="X3794" i="2"/>
  <c r="X2734" i="2"/>
  <c r="X4443" i="2"/>
  <c r="X3668" i="2"/>
  <c r="X1654" i="2"/>
  <c r="X3730" i="2"/>
  <c r="X3265" i="2"/>
  <c r="X5022" i="2"/>
  <c r="X5244" i="2"/>
  <c r="X4591" i="2"/>
  <c r="X5007" i="2"/>
  <c r="X4526" i="2"/>
  <c r="X3875" i="2"/>
  <c r="X4137" i="2"/>
  <c r="X3997" i="2"/>
  <c r="X4782" i="2"/>
  <c r="X4937" i="2"/>
  <c r="X3551" i="2"/>
  <c r="X5300" i="2"/>
  <c r="X4874" i="2"/>
  <c r="X4414" i="2"/>
  <c r="X4777" i="2"/>
  <c r="X4393" i="2"/>
  <c r="X3912" i="2"/>
  <c r="X5074" i="2"/>
  <c r="X4285" i="2"/>
  <c r="X3016" i="2"/>
  <c r="X3744" i="2"/>
  <c r="X5092" i="2"/>
  <c r="X4541" i="2"/>
  <c r="X5106" i="2"/>
  <c r="X5447" i="2"/>
  <c r="X3734" i="2"/>
  <c r="X3596" i="2"/>
  <c r="X3600" i="2"/>
  <c r="X4885" i="2"/>
  <c r="X2930" i="2"/>
  <c r="X4930" i="2"/>
  <c r="X5278" i="2"/>
  <c r="X5397" i="2"/>
  <c r="X4431" i="2"/>
  <c r="X4919" i="2"/>
  <c r="X4191" i="2"/>
  <c r="X4298" i="2"/>
  <c r="X4828" i="2"/>
  <c r="X4229" i="2"/>
  <c r="X3687" i="2"/>
  <c r="X4081" i="2"/>
  <c r="X5374" i="2"/>
  <c r="X3233" i="2"/>
  <c r="X5413" i="2"/>
  <c r="X4496" i="2"/>
  <c r="X2563" i="2"/>
  <c r="X4637" i="2"/>
  <c r="X4847" i="2"/>
  <c r="X4857" i="2"/>
  <c r="X5303" i="2"/>
  <c r="X4873" i="2"/>
  <c r="X4376" i="2"/>
  <c r="X5340" i="2"/>
  <c r="X5376" i="2"/>
  <c r="X5339" i="2"/>
  <c r="X5182" i="2"/>
  <c r="X3809" i="2"/>
  <c r="X3878" i="2"/>
  <c r="X1940" i="2"/>
  <c r="X4153" i="2"/>
  <c r="X5179" i="2"/>
  <c r="X5122" i="2"/>
  <c r="X4953" i="2"/>
  <c r="X3095" i="2"/>
  <c r="X4336" i="2"/>
  <c r="X1170" i="2"/>
  <c r="X5224" i="2"/>
  <c r="X2963" i="2"/>
  <c r="X4571" i="2"/>
  <c r="X4697" i="2"/>
  <c r="X3869" i="2"/>
  <c r="X4447" i="2"/>
  <c r="X4391" i="2"/>
  <c r="X4742" i="2"/>
  <c r="X378" i="2"/>
  <c r="X4488" i="2"/>
  <c r="X5419" i="2"/>
  <c r="X4738" i="2"/>
  <c r="X5433" i="2"/>
  <c r="X5050" i="2"/>
  <c r="X5333" i="2"/>
  <c r="X4740" i="2"/>
  <c r="X5351" i="2"/>
  <c r="X5349" i="2"/>
  <c r="X5156" i="2"/>
  <c r="X4199" i="2"/>
  <c r="X4261" i="2"/>
  <c r="X1689" i="2"/>
  <c r="X3392" i="2"/>
  <c r="X1262" i="2"/>
  <c r="X3686" i="2"/>
  <c r="X3218" i="2"/>
  <c r="X4011" i="2"/>
  <c r="X486" i="2"/>
  <c r="X283" i="2"/>
  <c r="X1851" i="2"/>
  <c r="X1566" i="2"/>
  <c r="X4328" i="2"/>
  <c r="X2796" i="2"/>
  <c r="X3665" i="2"/>
  <c r="X3033" i="2"/>
  <c r="X4719" i="2"/>
  <c r="X2119" i="2"/>
  <c r="X5011" i="2"/>
  <c r="X4467" i="2"/>
  <c r="X4275" i="2"/>
  <c r="X4754" i="2"/>
  <c r="X1458" i="2"/>
  <c r="X4779" i="2"/>
  <c r="X4902" i="2"/>
  <c r="X5291" i="2"/>
  <c r="X5465" i="2"/>
  <c r="X4775" i="2"/>
  <c r="X4407" i="2"/>
  <c r="X4991" i="2"/>
  <c r="X5036" i="2"/>
  <c r="X5287" i="2"/>
  <c r="X5031" i="2"/>
  <c r="X4739" i="2"/>
  <c r="X4642" i="2"/>
  <c r="X3101" i="2"/>
  <c r="X5186" i="2"/>
  <c r="X3475" i="2"/>
  <c r="X4672" i="2"/>
  <c r="X1377" i="2"/>
  <c r="X1334" i="2"/>
  <c r="X2680" i="2"/>
  <c r="X2509" i="2"/>
  <c r="X4224" i="2"/>
  <c r="X4046" i="2"/>
  <c r="X3330" i="2"/>
  <c r="X4399" i="2"/>
  <c r="X4256" i="2"/>
  <c r="X1673" i="2"/>
  <c r="X4332" i="2"/>
  <c r="X5357" i="2"/>
  <c r="X1764" i="2"/>
  <c r="X5093" i="2"/>
  <c r="X4767" i="2"/>
  <c r="X4926" i="2"/>
  <c r="X2999" i="2"/>
  <c r="X4657" i="2"/>
  <c r="X3100" i="2"/>
  <c r="X4701" i="2"/>
  <c r="X5199" i="2"/>
  <c r="X2808" i="2"/>
  <c r="X4574" i="2"/>
  <c r="X3683" i="2"/>
  <c r="X4406" i="2"/>
  <c r="X437" i="2"/>
  <c r="X5388" i="2"/>
  <c r="X636" i="2"/>
  <c r="X161" i="2"/>
  <c r="X890" i="2"/>
  <c r="X2417" i="2"/>
  <c r="X5431" i="2"/>
  <c r="X1540" i="2"/>
  <c r="X4790" i="2"/>
  <c r="X4604" i="2"/>
  <c r="X2941" i="2"/>
  <c r="X4795" i="2"/>
  <c r="X3866" i="2"/>
  <c r="X3010" i="2"/>
  <c r="X2678" i="2"/>
  <c r="X3745" i="2"/>
  <c r="X5407" i="2"/>
  <c r="X4371" i="2"/>
  <c r="X5248" i="2"/>
  <c r="X4906" i="2"/>
  <c r="X2491" i="2"/>
  <c r="X5026" i="2"/>
  <c r="X4136" i="2"/>
  <c r="X1339" i="2"/>
  <c r="X3832" i="2"/>
  <c r="X2410" i="2"/>
  <c r="X3946" i="2"/>
  <c r="X4007" i="2"/>
  <c r="X4837" i="2"/>
  <c r="X4293" i="2"/>
  <c r="X3430" i="2"/>
  <c r="X2100" i="2"/>
  <c r="X2673" i="2"/>
  <c r="X5498" i="2"/>
  <c r="X4061" i="2"/>
  <c r="X4213" i="2"/>
  <c r="X4690" i="2"/>
  <c r="X3808" i="2"/>
  <c r="X5185" i="2"/>
  <c r="X5158" i="2"/>
  <c r="X4735" i="2"/>
  <c r="X3969" i="2"/>
  <c r="X3873" i="2"/>
  <c r="X610" i="2"/>
  <c r="X3932" i="2"/>
  <c r="X5153" i="2"/>
  <c r="X4465" i="2"/>
  <c r="X4956" i="2"/>
  <c r="X4792" i="2"/>
  <c r="X1078" i="2"/>
  <c r="X2115" i="2"/>
  <c r="X3141" i="2"/>
  <c r="X3049" i="2"/>
  <c r="X2725" i="2"/>
  <c r="X4437" i="2"/>
  <c r="X4744" i="2"/>
  <c r="X5411" i="2"/>
  <c r="X4360" i="2"/>
  <c r="X1776" i="2"/>
  <c r="X4014" i="2"/>
  <c r="X5207" i="2"/>
  <c r="X5250" i="2"/>
  <c r="X2124" i="2"/>
  <c r="X4959" i="2"/>
  <c r="X4962" i="2"/>
  <c r="X4258" i="2"/>
  <c r="X4247" i="2"/>
  <c r="X4397" i="2"/>
  <c r="X5369" i="2"/>
  <c r="X4992" i="2"/>
  <c r="X2368" i="2"/>
  <c r="X3787" i="2"/>
  <c r="X4485" i="2"/>
  <c r="X546" i="2"/>
  <c r="X1370" i="2"/>
  <c r="X3027" i="2"/>
  <c r="X3408" i="2"/>
  <c r="X3323" i="2"/>
  <c r="X3513" i="2"/>
  <c r="X4547" i="2"/>
  <c r="X4599" i="2"/>
  <c r="X4700" i="2"/>
  <c r="X3149" i="2"/>
  <c r="X4314" i="2"/>
  <c r="X5046" i="2"/>
  <c r="X4104" i="2"/>
  <c r="X4203" i="2"/>
  <c r="X5111" i="2"/>
  <c r="X4337" i="2"/>
  <c r="X4367" i="2"/>
  <c r="X4497" i="2"/>
  <c r="X2036" i="2"/>
  <c r="X208" i="2"/>
  <c r="X778" i="2"/>
  <c r="X1768" i="2"/>
  <c r="X2041" i="2"/>
  <c r="X3275" i="2"/>
  <c r="X3280" i="2"/>
  <c r="X1066" i="2"/>
  <c r="X3093" i="2"/>
  <c r="X1897" i="2"/>
  <c r="X4822" i="2"/>
  <c r="X4235" i="2"/>
  <c r="X4929" i="2"/>
  <c r="X4669" i="2"/>
  <c r="X4726" i="2"/>
  <c r="X5425" i="2"/>
  <c r="X4985" i="2"/>
  <c r="X5218" i="2"/>
  <c r="X3257" i="2"/>
  <c r="X339" i="2"/>
  <c r="X5228" i="2"/>
  <c r="X3376" i="2"/>
  <c r="X1686" i="2"/>
  <c r="X3859" i="2"/>
  <c r="X2664" i="2"/>
  <c r="X2345" i="2"/>
  <c r="X2013" i="2"/>
  <c r="X2958" i="2"/>
  <c r="X3621" i="2"/>
  <c r="X2170" i="2"/>
  <c r="X2868" i="2"/>
  <c r="X3150" i="2"/>
  <c r="X5136" i="2"/>
  <c r="X4015" i="2"/>
  <c r="X4083" i="2"/>
  <c r="X4793" i="2"/>
  <c r="X5490" i="2"/>
  <c r="X4823" i="2"/>
  <c r="X5336" i="2"/>
  <c r="X5062" i="2"/>
  <c r="X4734" i="2"/>
  <c r="X1656" i="2"/>
  <c r="X3544" i="2"/>
  <c r="X4663" i="2"/>
  <c r="X3407" i="2"/>
  <c r="X3463" i="2"/>
  <c r="X1416" i="2"/>
  <c r="X842" i="2"/>
  <c r="X4184" i="2"/>
  <c r="X4472" i="2"/>
  <c r="X3196" i="2"/>
  <c r="X4255" i="2"/>
  <c r="X3581" i="2"/>
  <c r="X2654" i="2"/>
  <c r="X4633" i="2"/>
  <c r="X4675" i="2"/>
  <c r="X5024" i="2"/>
  <c r="X4454" i="2"/>
  <c r="X4177" i="2"/>
  <c r="X4290" i="2"/>
  <c r="X5457" i="2"/>
  <c r="X2573" i="2"/>
  <c r="X4208" i="2"/>
  <c r="X3788" i="2"/>
  <c r="X4714" i="2"/>
  <c r="X722" i="2"/>
  <c r="X3864" i="2"/>
  <c r="X5267" i="2"/>
  <c r="X5475" i="2"/>
  <c r="X1578" i="2"/>
  <c r="X2011" i="2"/>
  <c r="X1675" i="2"/>
  <c r="X4080" i="2"/>
  <c r="X4368" i="2"/>
  <c r="X1850" i="2"/>
  <c r="X3069" i="2"/>
  <c r="X4552" i="2"/>
  <c r="X5200" i="2"/>
  <c r="X4699" i="2"/>
  <c r="X4958" i="2"/>
  <c r="X4278" i="2"/>
  <c r="X4774" i="2"/>
  <c r="X5166" i="2"/>
  <c r="X4897" i="2"/>
  <c r="X3657" i="2"/>
  <c r="X2189" i="2"/>
  <c r="X2935" i="2"/>
  <c r="X299" i="2"/>
  <c r="X1996" i="2"/>
  <c r="X5428" i="2"/>
  <c r="X2244" i="2"/>
  <c r="X5496" i="2"/>
  <c r="X5223" i="2"/>
  <c r="X3394" i="2"/>
  <c r="X2048" i="2"/>
  <c r="X4691" i="2"/>
  <c r="X5358" i="2"/>
  <c r="X5335" i="2"/>
  <c r="X5072" i="2"/>
  <c r="X5368" i="2"/>
  <c r="X3584" i="2"/>
  <c r="X2921" i="2"/>
  <c r="X2762" i="2"/>
  <c r="X2292" i="2"/>
  <c r="X3504" i="2"/>
  <c r="X3509" i="2"/>
  <c r="X1668" i="2"/>
  <c r="X4350" i="2"/>
  <c r="X3157" i="2"/>
  <c r="X3828" i="2"/>
  <c r="X3168" i="2"/>
  <c r="X4324" i="2"/>
  <c r="X4601" i="2"/>
  <c r="X4737" i="2"/>
  <c r="X4649" i="2"/>
  <c r="X5492" i="2"/>
  <c r="X4729" i="2"/>
  <c r="X5455" i="2"/>
  <c r="X3506" i="2"/>
  <c r="X4987" i="2"/>
  <c r="X2675" i="2"/>
  <c r="X120" i="2"/>
  <c r="X4462" i="2"/>
  <c r="X3814" i="2"/>
  <c r="X1788" i="2"/>
  <c r="X3502" i="2"/>
  <c r="X1194" i="2"/>
  <c r="X3301" i="2"/>
  <c r="X2909" i="2"/>
  <c r="X4888" i="2"/>
  <c r="X2977" i="2"/>
  <c r="X1773" i="2"/>
  <c r="X3831" i="2"/>
  <c r="X4942" i="2"/>
  <c r="X3288" i="2"/>
  <c r="X2442" i="2"/>
  <c r="X4827" i="2"/>
  <c r="X5246" i="2"/>
  <c r="X4157" i="2"/>
  <c r="X3139" i="2"/>
  <c r="X854" i="2"/>
  <c r="X3447" i="2"/>
  <c r="X3307" i="2"/>
  <c r="X1824" i="2"/>
  <c r="X2771" i="2"/>
  <c r="X316" i="2"/>
  <c r="X2284" i="2"/>
  <c r="X3160" i="2"/>
  <c r="X4683" i="2"/>
  <c r="X5163" i="2"/>
  <c r="X2666" i="2"/>
  <c r="X3827" i="2"/>
  <c r="X5161" i="2"/>
  <c r="X3381" i="2"/>
  <c r="X4241" i="2"/>
  <c r="X5232" i="2"/>
  <c r="X4146" i="2"/>
  <c r="X1772" i="2"/>
  <c r="X5385" i="2"/>
  <c r="X2849" i="2"/>
  <c r="X2351" i="2"/>
  <c r="X4783" i="2"/>
  <c r="E3" i="9" l="1"/>
  <c r="H84" i="1"/>
  <c r="I11" i="7" l="1"/>
  <c r="E5" i="7"/>
  <c r="N12" i="1"/>
  <c r="D14" i="1"/>
  <c r="I2" i="2" l="1"/>
  <c r="M2" i="2"/>
  <c r="N2" i="2"/>
  <c r="H3" i="2"/>
  <c r="Y3" i="2" l="1"/>
  <c r="G10" i="2" l="1"/>
  <c r="G11" i="2" l="1"/>
  <c r="D16" i="2" l="1"/>
  <c r="D17" i="2" l="1"/>
  <c r="D18" i="2" l="1"/>
  <c r="Y546" i="2"/>
  <c r="Y346" i="2"/>
  <c r="Y713" i="2"/>
  <c r="Y199" i="2"/>
  <c r="Y1091" i="2"/>
  <c r="Y1484" i="2"/>
  <c r="Y1349" i="2"/>
  <c r="Y762" i="2"/>
  <c r="Y1483" i="2"/>
  <c r="Y1295" i="2"/>
  <c r="Y1506" i="2"/>
  <c r="Y1136" i="2"/>
  <c r="Y361" i="2"/>
  <c r="Y922" i="2"/>
  <c r="Y763" i="2"/>
  <c r="Y32" i="2"/>
  <c r="Y909" i="2"/>
  <c r="Y709" i="2"/>
  <c r="Y920" i="2"/>
  <c r="Y894" i="2"/>
  <c r="Y1154" i="2"/>
  <c r="Y348" i="2"/>
  <c r="Y189" i="2"/>
  <c r="Y837" i="2"/>
  <c r="Y347" i="2"/>
  <c r="Y123" i="2"/>
  <c r="Y358" i="2"/>
  <c r="Y164" i="2"/>
  <c r="Y1807" i="2"/>
  <c r="Y1285" i="2"/>
  <c r="Y1138" i="2"/>
  <c r="Y617" i="2"/>
  <c r="Y596" i="2"/>
  <c r="Y1426" i="2"/>
  <c r="Y331" i="2"/>
  <c r="Y283" i="2"/>
  <c r="Y1891" i="2"/>
  <c r="Y1270" i="2"/>
  <c r="Y989" i="2"/>
  <c r="Y445" i="2"/>
  <c r="Y305" i="2"/>
  <c r="Y342" i="2"/>
  <c r="Y92" i="2"/>
  <c r="Y1699" i="2"/>
  <c r="Y383" i="2"/>
  <c r="Y152" i="2"/>
  <c r="Y2527" i="2"/>
  <c r="Y213" i="2"/>
  <c r="Y338" i="2"/>
  <c r="Y605" i="2"/>
  <c r="Y1443" i="2"/>
  <c r="Y313" i="2"/>
  <c r="Y1374" i="2"/>
  <c r="Y2803" i="2"/>
  <c r="Y1029" i="2"/>
  <c r="Y2083" i="2"/>
  <c r="Y1271" i="2"/>
  <c r="Y638" i="2"/>
  <c r="Y1450" i="2"/>
  <c r="Y730" i="2"/>
  <c r="Y258" i="2"/>
  <c r="Y1915" i="2"/>
  <c r="Y1424" i="2"/>
  <c r="Y963" i="2"/>
  <c r="Y1027" i="2"/>
  <c r="Y635" i="2"/>
  <c r="Y1413" i="2"/>
  <c r="Y219" i="2"/>
  <c r="Y203" i="2"/>
  <c r="Y1415" i="2"/>
  <c r="Y186" i="2"/>
  <c r="Y960" i="2"/>
  <c r="Y855" i="2"/>
  <c r="Y884" i="2"/>
  <c r="Y1346" i="2"/>
  <c r="Y151" i="2"/>
  <c r="Y886" i="2"/>
  <c r="Y1171" i="2"/>
  <c r="Y1454" i="2"/>
  <c r="Y933" i="2"/>
  <c r="Y647" i="2"/>
  <c r="Y541" i="2"/>
  <c r="Y230" i="2"/>
  <c r="Y1502" i="2"/>
  <c r="Y571" i="2"/>
  <c r="Y999" i="2"/>
  <c r="Y1451" i="2"/>
  <c r="Y1166" i="2"/>
  <c r="Y3592" i="2"/>
  <c r="Y1760" i="2"/>
  <c r="Y2649" i="2"/>
  <c r="Y2090" i="2"/>
  <c r="Y4035" i="2"/>
  <c r="Y3831" i="2"/>
  <c r="Y3974" i="2"/>
  <c r="Y214" i="2"/>
  <c r="Y2466" i="2"/>
  <c r="Y196" i="2"/>
  <c r="Y2159" i="2"/>
  <c r="Y1744" i="2"/>
  <c r="Y2792" i="2"/>
  <c r="Y2332" i="2"/>
  <c r="Y3532" i="2"/>
  <c r="Y773" i="2"/>
  <c r="Y2979" i="2"/>
  <c r="Y2471" i="2"/>
  <c r="Y1681" i="2"/>
  <c r="Y952" i="2"/>
  <c r="Y124" i="2"/>
  <c r="Y2930" i="2"/>
  <c r="Y2774" i="2"/>
  <c r="Y1392" i="2"/>
  <c r="Y604" i="2"/>
  <c r="Y3578" i="2"/>
  <c r="Y2618" i="2"/>
  <c r="Y2270" i="2"/>
  <c r="Y2345" i="2"/>
  <c r="Y3867" i="2"/>
  <c r="Y2428" i="2"/>
  <c r="Y790" i="2"/>
  <c r="Y2361" i="2"/>
  <c r="Y3136" i="2"/>
  <c r="Y1701" i="2"/>
  <c r="Y1780" i="2"/>
  <c r="Y3231" i="2"/>
  <c r="Y2336" i="2"/>
  <c r="Y3170" i="2"/>
  <c r="Y239" i="2"/>
  <c r="Y1165" i="2"/>
  <c r="Y2119" i="2"/>
  <c r="Y1188" i="2"/>
  <c r="Y718" i="2"/>
  <c r="Y1305" i="2"/>
  <c r="Y1963" i="2"/>
  <c r="Y240" i="2"/>
  <c r="Y1032" i="2"/>
  <c r="Y579" i="2"/>
  <c r="Y114" i="2"/>
  <c r="Y602" i="2"/>
  <c r="Y986" i="2"/>
  <c r="Y743" i="2"/>
  <c r="Y1481" i="2"/>
  <c r="Y1177" i="2"/>
  <c r="Y302" i="2"/>
  <c r="Y2899" i="2"/>
  <c r="Y1051" i="2"/>
  <c r="Y16" i="2"/>
  <c r="Y1639" i="2"/>
  <c r="Y157" i="2"/>
  <c r="Y895" i="2"/>
  <c r="Y591" i="2"/>
  <c r="Y1239" i="2"/>
  <c r="Y1326" i="2"/>
  <c r="Y477" i="2"/>
  <c r="Y917" i="2"/>
  <c r="Y869" i="2"/>
  <c r="Y1094" i="2"/>
  <c r="Y321" i="2"/>
  <c r="Y2911" i="2"/>
  <c r="Y1031" i="2"/>
  <c r="Y1071" i="2"/>
  <c r="Y2635" i="2"/>
  <c r="Y678" i="2"/>
  <c r="Y902" i="2"/>
  <c r="Y1089" i="2"/>
  <c r="Y306" i="2"/>
  <c r="Y351" i="2"/>
  <c r="Y787" i="2"/>
  <c r="Y924" i="2"/>
  <c r="Y1227" i="2"/>
  <c r="Y506" i="2"/>
  <c r="Y899" i="2"/>
  <c r="Y437" i="2"/>
  <c r="Y627" i="2"/>
  <c r="Y80" i="2"/>
  <c r="Y1430" i="2"/>
  <c r="Y466" i="2"/>
  <c r="Y1224" i="2"/>
  <c r="Y286" i="2"/>
  <c r="Y860" i="2"/>
  <c r="Y2263" i="2"/>
  <c r="Y212" i="2"/>
  <c r="Y487" i="2"/>
  <c r="Y26" i="2"/>
  <c r="Y90" i="2"/>
  <c r="Y1197" i="2"/>
  <c r="Y608" i="2"/>
  <c r="Y949" i="2"/>
  <c r="Y765" i="2"/>
  <c r="Y610" i="2"/>
  <c r="Y1903" i="2"/>
  <c r="Y23" i="2"/>
  <c r="Y1441" i="2"/>
  <c r="Y91" i="2"/>
  <c r="Y409" i="2"/>
  <c r="Y737" i="2"/>
  <c r="Y81" i="2"/>
  <c r="Y234" i="2"/>
  <c r="Y661" i="2"/>
  <c r="Y1507" i="2"/>
  <c r="Y1209" i="2"/>
  <c r="Y1127" i="2"/>
  <c r="Y816" i="2"/>
  <c r="Y565" i="2"/>
  <c r="Y1157" i="2"/>
  <c r="Y62" i="2"/>
  <c r="Y502" i="2"/>
  <c r="Y269" i="2"/>
  <c r="Y137" i="2"/>
  <c r="Y625" i="2"/>
  <c r="Y789" i="2"/>
  <c r="Y333" i="2"/>
  <c r="Y1190" i="2"/>
  <c r="Y469" i="2"/>
  <c r="Y423" i="2"/>
  <c r="Y978" i="2"/>
  <c r="Y3711" i="2"/>
  <c r="Y1984" i="2"/>
  <c r="Y1948" i="2"/>
  <c r="Y3929" i="2"/>
  <c r="Y2701" i="2"/>
  <c r="Y2769" i="2"/>
  <c r="Y2259" i="2"/>
  <c r="Y74" i="2"/>
  <c r="Y2180" i="2"/>
  <c r="Y2921" i="2"/>
  <c r="Y2885" i="2"/>
  <c r="Y2574" i="2"/>
  <c r="Y1664" i="2"/>
  <c r="Y2279" i="2"/>
  <c r="Y1781" i="2"/>
  <c r="Y58" i="2"/>
  <c r="Y1690" i="2"/>
  <c r="Y3807" i="2"/>
  <c r="Y2076" i="2"/>
  <c r="Y3628" i="2"/>
  <c r="Y2721" i="2"/>
  <c r="Y1657" i="2"/>
  <c r="Y1605" i="2"/>
  <c r="Y1831" i="2"/>
  <c r="Y2747" i="2"/>
  <c r="Y2712" i="2"/>
  <c r="Y1108" i="2"/>
  <c r="Y2217" i="2"/>
  <c r="Y2375" i="2"/>
  <c r="Y2450" i="2"/>
  <c r="Y2518" i="2"/>
  <c r="Y814" i="2"/>
  <c r="Y2269" i="2"/>
  <c r="Y1982" i="2"/>
  <c r="Y2559" i="2"/>
  <c r="Y1727" i="2"/>
  <c r="Y1897" i="2"/>
  <c r="Y2104" i="2"/>
  <c r="Y293" i="2"/>
  <c r="Y201" i="2"/>
  <c r="Y206" i="2"/>
  <c r="Y300" i="2"/>
  <c r="Y452" i="2"/>
  <c r="Y1567" i="2"/>
  <c r="Y1163" i="2"/>
  <c r="Y582" i="2"/>
  <c r="Y1230" i="2"/>
  <c r="Y1150" i="2"/>
  <c r="Y1143" i="2"/>
  <c r="Y1093" i="2"/>
  <c r="Y1257" i="2"/>
  <c r="Y1085" i="2"/>
  <c r="Y577" i="2"/>
  <c r="Y1519" i="2"/>
  <c r="Y644" i="2"/>
  <c r="Y1008" i="2"/>
  <c r="Y521" i="2"/>
  <c r="Y363" i="2"/>
  <c r="Y551" i="2"/>
  <c r="Y499" i="2"/>
  <c r="Y1514" i="2"/>
  <c r="Y288" i="2"/>
  <c r="Y82" i="2"/>
  <c r="Y278" i="2"/>
  <c r="Y1458" i="2"/>
  <c r="Y2683" i="2"/>
  <c r="Y1488" i="2"/>
  <c r="Y1436" i="2"/>
  <c r="Y2311" i="2"/>
  <c r="Y1081" i="2"/>
  <c r="Y1373" i="2"/>
  <c r="Y1498" i="2"/>
  <c r="Y434" i="2"/>
  <c r="Y1092" i="2"/>
  <c r="Y1461" i="2"/>
  <c r="Y1347" i="2"/>
  <c r="Y1357" i="2"/>
  <c r="Y666" i="2"/>
  <c r="Y637" i="2"/>
  <c r="Y1172" i="2"/>
  <c r="Y287" i="2"/>
  <c r="Y848" i="2"/>
  <c r="Y1446" i="2"/>
  <c r="Y1466" i="2"/>
  <c r="Y798" i="2"/>
  <c r="Y1073" i="2"/>
  <c r="Y612" i="2"/>
  <c r="Y2095" i="2"/>
  <c r="Y248" i="2"/>
  <c r="Y1338" i="2"/>
  <c r="Y156" i="2"/>
  <c r="Y1339" i="2"/>
  <c r="Y1316" i="2"/>
  <c r="Y1106" i="2"/>
  <c r="Y585" i="2"/>
  <c r="Y504" i="2"/>
  <c r="Y245" i="2"/>
  <c r="Y995" i="2"/>
  <c r="Y1503" i="2"/>
  <c r="Y223" i="2"/>
  <c r="Y2239" i="2"/>
  <c r="Y1391" i="2"/>
  <c r="Y570" i="2"/>
  <c r="Y260" i="2"/>
  <c r="Y322" i="2"/>
  <c r="Y1390" i="2"/>
  <c r="Y1151" i="2"/>
  <c r="Y1927" i="2"/>
  <c r="Y648" i="2"/>
  <c r="Y1064" i="2"/>
  <c r="Y603" i="2"/>
  <c r="Y1047" i="2"/>
  <c r="Y1211" i="2"/>
  <c r="Y1363" i="2"/>
  <c r="Y907" i="2"/>
  <c r="Y253" i="2"/>
  <c r="Y1055" i="2"/>
  <c r="Y1009" i="2"/>
  <c r="Y476" i="2"/>
  <c r="Y1022" i="2"/>
  <c r="Y1050" i="2"/>
  <c r="Y125" i="2"/>
  <c r="Y735" i="2"/>
  <c r="Y238" i="2"/>
  <c r="Y103" i="2"/>
  <c r="Y2356" i="2"/>
  <c r="Y2743" i="2"/>
  <c r="Y2275" i="2"/>
  <c r="Y3160" i="2"/>
  <c r="Y1858" i="2"/>
  <c r="Y2148" i="2"/>
  <c r="Y1573" i="2"/>
  <c r="Y2273" i="2"/>
  <c r="Y2337" i="2"/>
  <c r="Y2954" i="2"/>
  <c r="Y1331" i="2"/>
  <c r="Y3641" i="2"/>
  <c r="Y1757" i="2"/>
  <c r="Y244" i="2"/>
  <c r="Y2510" i="2"/>
  <c r="Y3015" i="2"/>
  <c r="Y1847" i="2"/>
  <c r="Y1620" i="2"/>
  <c r="Y1155" i="2"/>
  <c r="Y2393" i="2"/>
  <c r="Y4022" i="2"/>
  <c r="Y2343" i="2"/>
  <c r="Y1615" i="2"/>
  <c r="Y1628" i="2"/>
  <c r="Y2748" i="2"/>
  <c r="Y1907" i="2"/>
  <c r="Y1148" i="2"/>
  <c r="Y3135" i="2"/>
  <c r="Y3580" i="2"/>
  <c r="Y1721" i="2"/>
  <c r="Y2049" i="2"/>
  <c r="Y2685" i="2"/>
  <c r="Y2018" i="2"/>
  <c r="Y2633" i="2"/>
  <c r="Y2053" i="2"/>
  <c r="Y1604" i="2"/>
  <c r="Y2457" i="2"/>
  <c r="Y3986" i="2"/>
  <c r="Y1559" i="2"/>
  <c r="Y2704" i="2"/>
  <c r="Y707" i="2"/>
  <c r="Y2191" i="2"/>
  <c r="Y665" i="2"/>
  <c r="Y354" i="2"/>
  <c r="Y927" i="2"/>
  <c r="Y550" i="2"/>
  <c r="Y187" i="2"/>
  <c r="Y432" i="2"/>
  <c r="Y121" i="2"/>
  <c r="Y474" i="2"/>
  <c r="Y79" i="2"/>
  <c r="Y1291" i="2"/>
  <c r="Y161" i="2"/>
  <c r="Y1499" i="2"/>
  <c r="Y1124" i="2"/>
  <c r="Y1225" i="2"/>
  <c r="Y1058" i="2"/>
  <c r="Y1267" i="2"/>
  <c r="Y371" i="2"/>
  <c r="Y717" i="2"/>
  <c r="Y1098" i="2"/>
  <c r="Y913" i="2"/>
  <c r="Y562" i="2"/>
  <c r="Y495" i="2"/>
  <c r="Y1855" i="2"/>
  <c r="Y549" i="2"/>
  <c r="Y1164" i="2"/>
  <c r="Y155" i="2"/>
  <c r="Y512" i="2"/>
  <c r="Y554" i="2"/>
  <c r="Y1511" i="2"/>
  <c r="Y2671" i="2"/>
  <c r="Y879" i="2"/>
  <c r="Y379" i="2"/>
  <c r="Y849" i="2"/>
  <c r="Y1434" i="2"/>
  <c r="Y509" i="2"/>
  <c r="Y529" i="2"/>
  <c r="Y172" i="2"/>
  <c r="Y1555" i="2"/>
  <c r="Y1330" i="2"/>
  <c r="Y1442" i="2"/>
  <c r="Y834" i="2"/>
  <c r="Y545" i="2"/>
  <c r="Y874" i="2"/>
  <c r="Y402" i="2"/>
  <c r="Y523" i="2"/>
  <c r="Y169" i="2"/>
  <c r="Y1159" i="2"/>
  <c r="Y1078" i="2"/>
  <c r="Y867" i="2"/>
  <c r="Y46" i="2"/>
  <c r="Y710" i="2"/>
  <c r="Y809" i="2"/>
  <c r="Y63" i="2"/>
  <c r="Y586" i="2"/>
  <c r="Y2575" i="2"/>
  <c r="Y846" i="2"/>
  <c r="Y1028" i="2"/>
  <c r="Y441" i="2"/>
  <c r="Y202" i="2"/>
  <c r="Y1274" i="2"/>
  <c r="Y1222" i="2"/>
  <c r="Y127" i="2"/>
  <c r="Y1189" i="2"/>
  <c r="Y1253" i="2"/>
  <c r="Y262" i="2"/>
  <c r="Y426" i="2"/>
  <c r="Y1493" i="2"/>
  <c r="Y839" i="2"/>
  <c r="Y106" i="2"/>
  <c r="Y72" i="2"/>
  <c r="Y1206" i="2"/>
  <c r="Y229" i="2"/>
  <c r="Y257" i="2"/>
  <c r="Y459" i="2"/>
  <c r="Y1321" i="2"/>
  <c r="Y800" i="2"/>
  <c r="Y833" i="2"/>
  <c r="Y688" i="2"/>
  <c r="Y209" i="2"/>
  <c r="Y70" i="2"/>
  <c r="Y1320" i="2"/>
  <c r="Y600" i="2"/>
  <c r="Y381" i="2"/>
  <c r="Y1147" i="2"/>
  <c r="Y578" i="2"/>
  <c r="Y1978" i="2"/>
  <c r="Y1841" i="2"/>
  <c r="Y472" i="2"/>
  <c r="Y2037" i="2"/>
  <c r="Y2133" i="2"/>
  <c r="Y1660" i="2"/>
  <c r="Y3987" i="2"/>
  <c r="Y270" i="2"/>
  <c r="Y1636" i="2"/>
  <c r="Y3962" i="2"/>
  <c r="Y2494" i="2"/>
  <c r="Y1547" i="2"/>
  <c r="Y1787" i="2"/>
  <c r="Y2597" i="2"/>
  <c r="Y2456" i="2"/>
  <c r="Y118" i="2"/>
  <c r="Y2429" i="2"/>
  <c r="Y3376" i="2"/>
  <c r="Y1221" i="2"/>
  <c r="Y2448" i="2"/>
  <c r="Y2832" i="2"/>
  <c r="Y1788" i="2"/>
  <c r="Y1966" i="2"/>
  <c r="Y159" i="2"/>
  <c r="Y3171" i="2"/>
  <c r="Y2253" i="2"/>
  <c r="Y3616" i="2"/>
  <c r="Y1718" i="2"/>
  <c r="Y3494" i="2"/>
  <c r="Y2725" i="2"/>
  <c r="Y796" i="2"/>
  <c r="Y27" i="2"/>
  <c r="Y1928" i="2"/>
  <c r="Y2272" i="2"/>
  <c r="Y2205" i="2"/>
  <c r="Y2643" i="2"/>
  <c r="Y2895" i="2"/>
  <c r="Y2271" i="2"/>
  <c r="Y2401" i="2"/>
  <c r="Y2436" i="2"/>
  <c r="Y153" i="2"/>
  <c r="Y1411" i="2"/>
  <c r="Y171" i="2"/>
  <c r="Y768" i="2"/>
  <c r="Y1354" i="2"/>
  <c r="Y2323" i="2"/>
  <c r="Y806" i="2"/>
  <c r="Y1113" i="2"/>
  <c r="Y1102" i="2"/>
  <c r="Y693" i="2"/>
  <c r="Y2923" i="2"/>
  <c r="Y182" i="2"/>
  <c r="Y780" i="2"/>
  <c r="Y1160" i="2"/>
  <c r="Y1603" i="2"/>
  <c r="Y407" i="2"/>
  <c r="Y528" i="2"/>
  <c r="Y131" i="2"/>
  <c r="Y630" i="2"/>
  <c r="Y1119" i="2"/>
  <c r="Y194" i="2"/>
  <c r="Y454" i="2"/>
  <c r="Y1501" i="2"/>
  <c r="Y1344" i="2"/>
  <c r="Y1465" i="2"/>
  <c r="Y1068" i="2"/>
  <c r="Y1423" i="2"/>
  <c r="Y497" i="2"/>
  <c r="Y1131" i="2"/>
  <c r="Y1259" i="2"/>
  <c r="Y771" i="2"/>
  <c r="Y758" i="2"/>
  <c r="Y525" i="2"/>
  <c r="Y649" i="2"/>
  <c r="Y2839" i="2"/>
  <c r="Y325" i="2"/>
  <c r="Y1128" i="2"/>
  <c r="Y2407" i="2"/>
  <c r="Y882" i="2"/>
  <c r="Y755" i="2"/>
  <c r="Y222" i="2"/>
  <c r="Y129" i="2"/>
  <c r="Y1453" i="2"/>
  <c r="Y752" i="2"/>
  <c r="Y1440" i="2"/>
  <c r="Y1431" i="2"/>
  <c r="Y793" i="2"/>
  <c r="Y716" i="2"/>
  <c r="Y255" i="2"/>
  <c r="Y2851" i="2"/>
  <c r="Y235" i="2"/>
  <c r="Y1015" i="2"/>
  <c r="Y764" i="2"/>
  <c r="Y1428" i="2"/>
  <c r="Y273" i="2"/>
  <c r="Y857" i="2"/>
  <c r="Y252" i="2"/>
  <c r="Y1735" i="2"/>
  <c r="Y824" i="2"/>
  <c r="Y2431" i="2"/>
  <c r="Y1975" i="2"/>
  <c r="Y34" i="2"/>
  <c r="Y668" i="2"/>
  <c r="Y646" i="2"/>
  <c r="Y413" i="2"/>
  <c r="Y959" i="2"/>
  <c r="Y2035" i="2"/>
  <c r="Y1045" i="2"/>
  <c r="Y384" i="2"/>
  <c r="Y1386" i="2"/>
  <c r="Y613" i="2"/>
  <c r="Y1535" i="2"/>
  <c r="Y831" i="2"/>
  <c r="Y632" i="2"/>
  <c r="Y527" i="2"/>
  <c r="Y1318" i="2"/>
  <c r="Y1099" i="2"/>
  <c r="Y210" i="2"/>
  <c r="Y1308" i="2"/>
  <c r="Y2468" i="2"/>
  <c r="Y623" i="2"/>
  <c r="Y629" i="2"/>
  <c r="Y634" i="2"/>
  <c r="Y1235" i="2"/>
  <c r="Y1074" i="2"/>
  <c r="Y38" i="2"/>
  <c r="Y993" i="2"/>
  <c r="Y2824" i="2"/>
  <c r="Y1896" i="2"/>
  <c r="Y2295" i="2"/>
  <c r="Y1541" i="2"/>
  <c r="Y1900" i="2"/>
  <c r="Y850" i="2"/>
  <c r="Y2698" i="2"/>
  <c r="Y3470" i="2"/>
  <c r="Y1583" i="2"/>
  <c r="Y2833" i="2"/>
  <c r="Y1823" i="2"/>
  <c r="Y3662" i="2"/>
  <c r="Y2693" i="2"/>
  <c r="Y891" i="2"/>
  <c r="Y2340" i="2"/>
  <c r="Y3028" i="2"/>
  <c r="Y2628" i="2"/>
  <c r="Y1796" i="2"/>
  <c r="Y2724" i="2"/>
  <c r="Y3076" i="2"/>
  <c r="Y3435" i="2"/>
  <c r="Y3472" i="2"/>
  <c r="Y1754" i="2"/>
  <c r="Y2739" i="2"/>
  <c r="Y2042" i="2"/>
  <c r="Y628" i="2"/>
  <c r="Y1994" i="2"/>
  <c r="Y1809" i="2"/>
  <c r="Y1904" i="2"/>
  <c r="Y2386" i="2"/>
  <c r="Y2240" i="2"/>
  <c r="Y2117" i="2"/>
  <c r="Y2528" i="2"/>
  <c r="Y2507" i="2"/>
  <c r="Y1276" i="2"/>
  <c r="Y784" i="2"/>
  <c r="Y1558" i="2"/>
  <c r="Y1884" i="2"/>
  <c r="Y1894" i="2"/>
  <c r="Y2810" i="2"/>
  <c r="Y672" i="2"/>
  <c r="Y1351" i="2"/>
  <c r="Y1030" i="2"/>
  <c r="Y1110" i="2"/>
  <c r="Y390" i="2"/>
  <c r="Y598" i="2"/>
  <c r="Y216" i="2"/>
  <c r="Y17" i="2"/>
  <c r="Y86" i="2"/>
  <c r="Y777" i="2"/>
  <c r="Y312" i="2"/>
  <c r="Y524" i="2"/>
  <c r="Y1327" i="2"/>
  <c r="Y1403" i="2"/>
  <c r="Y1153" i="2"/>
  <c r="Y954" i="2"/>
  <c r="Y1023" i="2"/>
  <c r="Y215" i="2"/>
  <c r="Y1105" i="2"/>
  <c r="Y1473" i="2"/>
  <c r="Y753" i="2"/>
  <c r="Y673" i="2"/>
  <c r="Y567" i="2"/>
  <c r="Y368" i="2"/>
  <c r="Y1243" i="2"/>
  <c r="Y1379" i="2"/>
  <c r="Y519" i="2"/>
  <c r="Y911" i="2"/>
  <c r="Y191" i="2"/>
  <c r="Y87" i="2"/>
  <c r="Y2887" i="2"/>
  <c r="Y1317" i="2"/>
  <c r="Y2371" i="2"/>
  <c r="Y703" i="2"/>
  <c r="Y516" i="2"/>
  <c r="Y1482" i="2"/>
  <c r="Y2908" i="2"/>
  <c r="Y494" i="2"/>
  <c r="Y1523" i="2"/>
  <c r="Y1302" i="2"/>
  <c r="Y841" i="2"/>
  <c r="Y531" i="2"/>
  <c r="Y489" i="2"/>
  <c r="Y78" i="2"/>
  <c r="Y1494" i="2"/>
  <c r="Y491" i="2"/>
  <c r="Y847" i="2"/>
  <c r="Y1627" i="2"/>
  <c r="Y826" i="2"/>
  <c r="Y938" i="2"/>
  <c r="Y1410" i="2"/>
  <c r="Y111" i="2"/>
  <c r="Y1178" i="2"/>
  <c r="Y740" i="2"/>
  <c r="Y1254" i="2"/>
  <c r="Y1208" i="2"/>
  <c r="Y799" i="2"/>
  <c r="Y154" i="2"/>
  <c r="Y1238" i="2"/>
  <c r="Y108" i="2"/>
  <c r="Y958" i="2"/>
  <c r="Y449" i="2"/>
  <c r="Y1199" i="2"/>
  <c r="Y533" i="2"/>
  <c r="Y1417" i="2"/>
  <c r="Y1218" i="2"/>
  <c r="Y1233" i="2"/>
  <c r="Y513" i="2"/>
  <c r="Y1353" i="2"/>
  <c r="Y2503" i="2"/>
  <c r="Y515" i="2"/>
  <c r="Y3999" i="2"/>
  <c r="Y1185" i="2"/>
  <c r="Y1251" i="2"/>
  <c r="Y1196" i="2"/>
  <c r="Y14" i="2"/>
  <c r="Y281" i="2"/>
  <c r="Y624" i="2"/>
  <c r="Y44" i="2"/>
  <c r="Y1779" i="2"/>
  <c r="Y965" i="2"/>
  <c r="Y1248" i="2"/>
  <c r="Y1141" i="2"/>
  <c r="Y1289" i="2"/>
  <c r="Y170" i="2"/>
  <c r="Y380" i="2"/>
  <c r="Y41" i="2"/>
  <c r="Y1696" i="2"/>
  <c r="Y4191" i="2"/>
  <c r="Y1612" i="2"/>
  <c r="Y1596" i="2"/>
  <c r="Y4167" i="2"/>
  <c r="Y1992" i="2"/>
  <c r="Y2021" i="2"/>
  <c r="Y574" i="2"/>
  <c r="Y3842" i="2"/>
  <c r="Y1910" i="2"/>
  <c r="Y2405" i="2"/>
  <c r="Y2389" i="2"/>
  <c r="Y2780" i="2"/>
  <c r="Y2785" i="2"/>
  <c r="Y2627" i="2"/>
  <c r="Y460" i="2"/>
  <c r="Y1705" i="2"/>
  <c r="Y1564" i="2"/>
  <c r="Y3147" i="2"/>
  <c r="Y1935" i="2"/>
  <c r="Y2434" i="2"/>
  <c r="Y2187" i="2"/>
  <c r="Y2149" i="2"/>
  <c r="Y2349" i="2"/>
  <c r="Y2642" i="2"/>
  <c r="Y2501" i="2"/>
  <c r="Y1616" i="2"/>
  <c r="Y2409" i="2"/>
  <c r="Y2333" i="2"/>
  <c r="Y1565" i="2"/>
  <c r="Y1695" i="2"/>
  <c r="Y1859" i="2"/>
  <c r="Y2296" i="2"/>
  <c r="Y3387" i="2"/>
  <c r="Y2673" i="2"/>
  <c r="Y2063" i="2"/>
  <c r="Y3219" i="2"/>
  <c r="Y3686" i="2"/>
  <c r="Y2740" i="2"/>
  <c r="Y2760" i="2"/>
  <c r="Y130" i="2"/>
  <c r="Y242" i="2"/>
  <c r="Y1301" i="2"/>
  <c r="Y1999" i="2"/>
  <c r="Y897" i="2"/>
  <c r="Y1279" i="2"/>
  <c r="Y558" i="2"/>
  <c r="Y636" i="2"/>
  <c r="Y1079" i="2"/>
  <c r="Y1179" i="2"/>
  <c r="Y715" i="2"/>
  <c r="Y1517" i="2"/>
  <c r="Y335" i="2"/>
  <c r="Y705" i="2"/>
  <c r="Y1495" i="2"/>
  <c r="Y50" i="2"/>
  <c r="Y925" i="2"/>
  <c r="Y2203" i="2"/>
  <c r="Y141" i="2"/>
  <c r="Y931" i="2"/>
  <c r="Y1272" i="2"/>
  <c r="Y143" i="2"/>
  <c r="Y921" i="2"/>
  <c r="Y987" i="2"/>
  <c r="Y195" i="2"/>
  <c r="Y1433" i="2"/>
  <c r="Y1090" i="2"/>
  <c r="Y689" i="2"/>
  <c r="Y686" i="2"/>
  <c r="Y1080" i="2"/>
  <c r="Y359" i="2"/>
  <c r="Y365" i="2"/>
  <c r="Y1427" i="2"/>
  <c r="Y1117" i="2"/>
  <c r="Y1063" i="2"/>
  <c r="Y2227" i="2"/>
  <c r="Y701" i="2"/>
  <c r="Y1053" i="2"/>
  <c r="Y54" i="2"/>
  <c r="Y398" i="2"/>
  <c r="Y1388" i="2"/>
  <c r="Y1524" i="2"/>
  <c r="Y473" i="2"/>
  <c r="Y697" i="2"/>
  <c r="Y241" i="2"/>
  <c r="Y1470" i="2"/>
  <c r="Y317" i="2"/>
  <c r="Y271" i="2"/>
  <c r="Y1385" i="2"/>
  <c r="Y1397" i="2"/>
  <c r="Y301" i="2"/>
  <c r="Y682" i="2"/>
  <c r="Y9" i="2"/>
  <c r="Y1215" i="2"/>
  <c r="Y250" i="2"/>
  <c r="Y745" i="2"/>
  <c r="Y480" i="2"/>
  <c r="Y425" i="2"/>
  <c r="Y69" i="2"/>
  <c r="Y655" i="2"/>
  <c r="Y404" i="2"/>
  <c r="Y327" i="2"/>
  <c r="Y645" i="2"/>
  <c r="Y3062" i="2"/>
  <c r="Y236" i="2"/>
  <c r="Y314" i="2"/>
  <c r="Y403" i="2"/>
  <c r="Y744" i="2"/>
  <c r="Y1191" i="2"/>
  <c r="Y1198" i="2"/>
  <c r="Y774" i="2"/>
  <c r="Y2377" i="2"/>
  <c r="Y592" i="2"/>
  <c r="Y311" i="2"/>
  <c r="Y204" i="2"/>
  <c r="Y2059" i="2"/>
  <c r="Y756" i="2"/>
  <c r="Y966" i="2"/>
  <c r="Y663" i="2"/>
  <c r="Y1677" i="2"/>
  <c r="Y698" i="2"/>
  <c r="Y272" i="2"/>
  <c r="Y611" i="2"/>
  <c r="Y36" i="2"/>
  <c r="Y729" i="2"/>
  <c r="Y794" i="2"/>
  <c r="Y660" i="2"/>
  <c r="Y1930" i="2"/>
  <c r="Y3268" i="2"/>
  <c r="Y3879" i="2"/>
  <c r="Y211" i="2"/>
  <c r="Y2689" i="2"/>
  <c r="Y3794" i="2"/>
  <c r="Y2621" i="2"/>
  <c r="Y2868" i="2"/>
  <c r="Y3063" i="2"/>
  <c r="Y2145" i="2"/>
  <c r="Y2492" i="2"/>
  <c r="Y71" i="2"/>
  <c r="Y1652" i="2"/>
  <c r="Y3208" i="2"/>
  <c r="Y3507" i="2"/>
  <c r="Y2138" i="2"/>
  <c r="Y1820" i="2"/>
  <c r="Y1799" i="2"/>
  <c r="Y2146" i="2"/>
  <c r="Y2595" i="2"/>
  <c r="Y2709" i="2"/>
  <c r="Y1797" i="2"/>
  <c r="Y2264" i="2"/>
  <c r="Y1648" i="2"/>
  <c r="Y916" i="2"/>
  <c r="Y2764" i="2"/>
  <c r="Y2045" i="2"/>
  <c r="Y3855" i="2"/>
  <c r="Y2363" i="2"/>
  <c r="Y640" i="2"/>
  <c r="Y1918" i="2"/>
  <c r="Y2441" i="2"/>
  <c r="Y2451" i="2"/>
  <c r="Y3362" i="2"/>
  <c r="Y2931" i="2"/>
  <c r="Y2324" i="2"/>
  <c r="Y1885" i="2"/>
  <c r="Y2496" i="2"/>
  <c r="Y542" i="2"/>
  <c r="Y3327" i="2"/>
  <c r="Y1121" i="2"/>
  <c r="Y811" i="2"/>
  <c r="Y397" i="2"/>
  <c r="Y1075" i="2"/>
  <c r="Y1475" i="2"/>
  <c r="Y375" i="2"/>
  <c r="Y972" i="2"/>
  <c r="Y1183" i="2"/>
  <c r="Y391" i="2"/>
  <c r="Y93" i="2"/>
  <c r="Y1334" i="2"/>
  <c r="Y501" i="2"/>
  <c r="Y889" i="2"/>
  <c r="Y2695" i="2"/>
  <c r="Y386" i="2"/>
  <c r="Y609" i="2"/>
  <c r="Y1184" i="2"/>
  <c r="Y898" i="2"/>
  <c r="Y2131" i="2"/>
  <c r="Y781" i="2"/>
  <c r="Y303" i="2"/>
  <c r="Y690" i="2"/>
  <c r="Y1323" i="2"/>
  <c r="Y47" i="2"/>
  <c r="Y478" i="2"/>
  <c r="Y180" i="2"/>
  <c r="Y126" i="2"/>
  <c r="Y51" i="2"/>
  <c r="Y2623" i="2"/>
  <c r="Y104" i="2"/>
  <c r="Y2347" i="2"/>
  <c r="Y984" i="2"/>
  <c r="Y451" i="2"/>
  <c r="Y587" i="2"/>
  <c r="Y1095" i="2"/>
  <c r="Y1283" i="2"/>
  <c r="Y971" i="2"/>
  <c r="Y101" i="2"/>
  <c r="Y939" i="2"/>
  <c r="Y1001" i="2"/>
  <c r="Y1867" i="2"/>
  <c r="Y1879" i="2"/>
  <c r="Y887" i="2"/>
  <c r="Y1244" i="2"/>
  <c r="Y583" i="2"/>
  <c r="Y422" i="2"/>
  <c r="Y812" i="2"/>
  <c r="Y680" i="2"/>
  <c r="Y1054" i="2"/>
  <c r="Y1335" i="2"/>
  <c r="Y643" i="2"/>
  <c r="Y1241" i="2"/>
  <c r="Y990" i="2"/>
  <c r="Y7" i="2"/>
  <c r="Y1219" i="2"/>
  <c r="Y3258" i="2"/>
  <c r="Y822" i="2"/>
  <c r="Y900" i="2"/>
  <c r="Y1133" i="2"/>
  <c r="Y1462" i="2"/>
  <c r="Y935" i="2"/>
  <c r="Y393" i="2"/>
  <c r="Y4" i="2"/>
  <c r="Y1584" i="2"/>
  <c r="Y650" i="2"/>
  <c r="Y873" i="2"/>
  <c r="Y778" i="2"/>
  <c r="Y1035" i="2"/>
  <c r="Y1474" i="2"/>
  <c r="Y29" i="2"/>
  <c r="Y1249" i="2"/>
  <c r="Y2154" i="2"/>
  <c r="Y430" i="2"/>
  <c r="Y858" i="2"/>
  <c r="Y1173" i="2"/>
  <c r="Y754" i="2"/>
  <c r="Y1303" i="2"/>
  <c r="Y1380" i="2"/>
  <c r="Y1234" i="2"/>
  <c r="Y3314" i="2"/>
  <c r="Y725" i="2"/>
  <c r="Y61" i="2"/>
  <c r="Y1158" i="2"/>
  <c r="Y378" i="2"/>
  <c r="Y2719" i="2"/>
  <c r="Y264" i="2"/>
  <c r="Y620" i="2"/>
  <c r="Y388" i="2"/>
  <c r="Y2675" i="2"/>
  <c r="Y1671" i="2"/>
  <c r="Y2432" i="2"/>
  <c r="Y1766" i="2"/>
  <c r="Y2316" i="2"/>
  <c r="Y520" i="2"/>
  <c r="Y2380" i="2"/>
  <c r="Y2350" i="2"/>
  <c r="Y4046" i="2"/>
  <c r="Y2716" i="2"/>
  <c r="Y1942" i="2"/>
  <c r="Y268" i="2"/>
  <c r="Y1586" i="2"/>
  <c r="Y2378" i="2"/>
  <c r="Y3122" i="2"/>
  <c r="Y1851" i="2"/>
  <c r="Y4598" i="2"/>
  <c r="Y3458" i="2"/>
  <c r="Y508" i="2"/>
  <c r="Y2357" i="2"/>
  <c r="Y2655" i="2"/>
  <c r="Y2032" i="2"/>
  <c r="Y2508" i="2"/>
  <c r="Y4393" i="2"/>
  <c r="Y823" i="2"/>
  <c r="Y2399" i="2"/>
  <c r="Y2233" i="2"/>
  <c r="Y3243" i="2"/>
  <c r="Y1726" i="2"/>
  <c r="Y1765" i="2"/>
  <c r="Y1922" i="2"/>
  <c r="Y2732" i="2"/>
  <c r="Y687" i="2"/>
  <c r="Y1777" i="2"/>
  <c r="Y1635" i="2"/>
  <c r="Y1710" i="2"/>
  <c r="Y2783" i="2"/>
  <c r="Y2558" i="2"/>
  <c r="Y1576" i="2"/>
  <c r="Y73" i="2"/>
  <c r="Y5367" i="2"/>
  <c r="Y801" i="2"/>
  <c r="Y977" i="2"/>
  <c r="Y294" i="2"/>
  <c r="Y946" i="2"/>
  <c r="Y1314" i="2"/>
  <c r="Y279" i="2"/>
  <c r="Y866" i="2"/>
  <c r="Y786" i="2"/>
  <c r="Y95" i="2"/>
  <c r="Y247" i="2"/>
  <c r="Y1231" i="2"/>
  <c r="Y372" i="2"/>
  <c r="Y83" i="2"/>
  <c r="Y2599" i="2"/>
  <c r="Y1456" i="2"/>
  <c r="Y200" i="2"/>
  <c r="Y888" i="2"/>
  <c r="Y1040" i="2"/>
  <c r="Y872" i="2"/>
  <c r="Y1309" i="2"/>
  <c r="Y876" i="2"/>
  <c r="Y594" i="2"/>
  <c r="Y1037" i="2"/>
  <c r="Y1149" i="2"/>
  <c r="Y158" i="2"/>
  <c r="Y334" i="2"/>
  <c r="Y166" i="2"/>
  <c r="Y723" i="2"/>
  <c r="Y146" i="2"/>
  <c r="Y1771" i="2"/>
  <c r="Y1070" i="2"/>
  <c r="Y1082" i="2"/>
  <c r="Y1449" i="2"/>
  <c r="Y307" i="2"/>
  <c r="Y1169" i="2"/>
  <c r="Y1152" i="2"/>
  <c r="Y1398" i="2"/>
  <c r="Y482" i="2"/>
  <c r="Y249" i="2"/>
  <c r="Y1489" i="2"/>
  <c r="Y1229" i="2"/>
  <c r="Y1723" i="2"/>
  <c r="Y53" i="2"/>
  <c r="Y593" i="2"/>
  <c r="Y282" i="2"/>
  <c r="Y1844" i="2"/>
  <c r="Y2827" i="2"/>
  <c r="Y107" i="2"/>
  <c r="Y1057" i="2"/>
  <c r="Y657" i="2"/>
  <c r="Y1497" i="2"/>
  <c r="Y1111" i="2"/>
  <c r="Y315" i="2"/>
  <c r="Y2086" i="2"/>
  <c r="Y1236" i="2"/>
  <c r="Y1447" i="2"/>
  <c r="Y1340" i="2"/>
  <c r="Y98" i="2"/>
  <c r="Y669" i="2"/>
  <c r="Y651" i="2"/>
  <c r="Y456" i="2"/>
  <c r="Y3386" i="2"/>
  <c r="Y992" i="2"/>
  <c r="Y2863" i="2"/>
  <c r="Y224" i="2"/>
  <c r="Y1460" i="2"/>
  <c r="Y366" i="2"/>
  <c r="Y443" i="2"/>
  <c r="Y285" i="2"/>
  <c r="Y2572" i="2"/>
  <c r="Y1168" i="2"/>
  <c r="Y420" i="2"/>
  <c r="Y221" i="2"/>
  <c r="Y2383" i="2"/>
  <c r="Y399" i="2"/>
  <c r="Y838" i="2"/>
  <c r="Y1350" i="2"/>
  <c r="Y2160" i="2"/>
  <c r="Y231" i="2"/>
  <c r="Y115" i="2"/>
  <c r="Y254" i="2"/>
  <c r="Y1407" i="2"/>
  <c r="Y396" i="2"/>
  <c r="Y1421" i="2"/>
  <c r="Y1034" i="2"/>
  <c r="Y945" i="2"/>
  <c r="Y1916" i="2"/>
  <c r="Y2955" i="2"/>
  <c r="Y1743" i="2"/>
  <c r="Y2001" i="2"/>
  <c r="Y1545" i="2"/>
  <c r="Y1704" i="2"/>
  <c r="Y1656" i="2"/>
  <c r="Y1203" i="2"/>
  <c r="Y1570" i="2"/>
  <c r="Y2404" i="2"/>
  <c r="Y2644" i="2"/>
  <c r="Y1655" i="2"/>
  <c r="Y2602" i="2"/>
  <c r="Y2497" i="2"/>
  <c r="Y2593" i="2"/>
  <c r="Y1269" i="2"/>
  <c r="Y856" i="2"/>
  <c r="Y2188" i="2"/>
  <c r="Y3242" i="2"/>
  <c r="Y2700" i="2"/>
  <c r="Y2244" i="2"/>
  <c r="Y1899" i="2"/>
  <c r="Y996" i="2"/>
  <c r="Y727" i="2"/>
  <c r="Y3734" i="2"/>
  <c r="Y1986" i="2"/>
  <c r="Y4179" i="2"/>
  <c r="Y2325" i="2"/>
  <c r="Y1658" i="2"/>
  <c r="Y2800" i="2"/>
  <c r="Y2012" i="2"/>
  <c r="Y1246" i="2"/>
  <c r="Y3292" i="2"/>
  <c r="Y3723" i="2"/>
  <c r="Y1533" i="2"/>
  <c r="Y1835" i="2"/>
  <c r="Y3638" i="2"/>
  <c r="Y3398" i="2"/>
  <c r="Y1492" i="2"/>
  <c r="Y332" i="2"/>
  <c r="Y344" i="2"/>
  <c r="Y1059" i="2"/>
  <c r="Y1452" i="2"/>
  <c r="Y708" i="2"/>
  <c r="Y1505" i="2"/>
  <c r="Y1020" i="2"/>
  <c r="Y738" i="2"/>
  <c r="Y1281" i="2"/>
  <c r="Y1293" i="2"/>
  <c r="Y149" i="2"/>
  <c r="Y722" i="2"/>
  <c r="Y349" i="2"/>
  <c r="Y919" i="2"/>
  <c r="Y290" i="2"/>
  <c r="Y2288" i="2"/>
  <c r="Y719" i="2"/>
  <c r="Y731" i="2"/>
  <c r="Y1086" i="2"/>
  <c r="Y1515" i="2"/>
  <c r="Y1142" i="2"/>
  <c r="Y345" i="2"/>
  <c r="Y1083" i="2"/>
  <c r="Y1798" i="2"/>
  <c r="Y133" i="2"/>
  <c r="Y145" i="2"/>
  <c r="Y500" i="2"/>
  <c r="Y893" i="2"/>
  <c r="Y1795" i="2"/>
  <c r="Y1294" i="2"/>
  <c r="Y461" i="2"/>
  <c r="Y30" i="2"/>
  <c r="Y967" i="2"/>
  <c r="Y552" i="2"/>
  <c r="Y1711" i="2"/>
  <c r="Y926" i="2"/>
  <c r="Y675" i="2"/>
  <c r="Y1359" i="2"/>
  <c r="Y2287" i="2"/>
  <c r="Y3087" i="2"/>
  <c r="Y507" i="2"/>
  <c r="Y813" i="2"/>
  <c r="Y120" i="2"/>
  <c r="Y923" i="2"/>
  <c r="Y548" i="2"/>
  <c r="Y318" i="2"/>
  <c r="Y901" i="2"/>
  <c r="Y2576" i="2"/>
  <c r="Y299" i="2"/>
  <c r="Y510" i="2"/>
  <c r="Y547" i="2"/>
  <c r="Y684" i="2"/>
  <c r="Y1387" i="2"/>
  <c r="Y1381" i="2"/>
  <c r="Y1174" i="2"/>
  <c r="Y2788" i="2"/>
  <c r="Y55" i="2"/>
  <c r="Y543" i="2"/>
  <c r="Y810" i="2"/>
  <c r="Y667" i="2"/>
  <c r="Y2515" i="2"/>
  <c r="Y1005" i="2"/>
  <c r="Y859" i="2"/>
  <c r="Y1522" i="2"/>
  <c r="Y842" i="2"/>
  <c r="Y994" i="2"/>
  <c r="Y843" i="2"/>
  <c r="Y207" i="2"/>
  <c r="Y985" i="2"/>
  <c r="Y1400" i="2"/>
  <c r="Y557" i="2"/>
  <c r="Y2662" i="2"/>
  <c r="Y817" i="2"/>
  <c r="Y845" i="2"/>
  <c r="Y840" i="2"/>
  <c r="Y470" i="2"/>
  <c r="Y970" i="2"/>
  <c r="Y1345" i="2"/>
  <c r="Y97" i="2"/>
  <c r="Y1292" i="2"/>
  <c r="Y802" i="2"/>
  <c r="Y385" i="2"/>
  <c r="Y1101" i="2"/>
  <c r="Y343" i="2"/>
  <c r="Y942" i="2"/>
  <c r="Y373" i="2"/>
  <c r="Y1376" i="2"/>
  <c r="Y606" i="2"/>
  <c r="Y2762" i="2"/>
  <c r="Y1712" i="2"/>
  <c r="Y2756" i="2"/>
  <c r="Y2144" i="2"/>
  <c r="Y2807" i="2"/>
  <c r="Y329" i="2"/>
  <c r="Y1600" i="2"/>
  <c r="Y1491" i="2"/>
  <c r="Y1845" i="2"/>
  <c r="Y2625" i="2"/>
  <c r="Y2266" i="2"/>
  <c r="Y951" i="2"/>
  <c r="Y2249" i="2"/>
  <c r="Y65" i="2"/>
  <c r="Y2543" i="2"/>
  <c r="Y139" i="2"/>
  <c r="Y1216" i="2"/>
  <c r="Y2135" i="2"/>
  <c r="Y1908" i="2"/>
  <c r="Y599" i="2"/>
  <c r="Y2991" i="2"/>
  <c r="Y1412" i="2"/>
  <c r="Y1921" i="2"/>
  <c r="Y2551" i="2"/>
  <c r="Y2544" i="2"/>
  <c r="Y1384" i="2"/>
  <c r="Y2845" i="2"/>
  <c r="Y797" i="2"/>
  <c r="Y748" i="2"/>
  <c r="Y1477" i="2"/>
  <c r="Y2714" i="2"/>
  <c r="Y228" i="2"/>
  <c r="Y1958" i="2"/>
  <c r="Y2306" i="2"/>
  <c r="Y1808" i="2"/>
  <c r="Y633" i="2"/>
  <c r="Y2373" i="2"/>
  <c r="Y357" i="2"/>
  <c r="Y2224" i="2"/>
  <c r="Y863" i="2"/>
  <c r="Y1337" i="2"/>
  <c r="Y1125" i="2"/>
  <c r="Y188" i="2"/>
  <c r="Y237" i="2"/>
  <c r="Y601" i="2"/>
  <c r="Y190" i="2"/>
  <c r="Y3891" i="2"/>
  <c r="Y277" i="2"/>
  <c r="Y751" i="2"/>
  <c r="Y563" i="2"/>
  <c r="Y1137" i="2"/>
  <c r="Y1042" i="2"/>
  <c r="Y15" i="2"/>
  <c r="Y1139" i="2"/>
  <c r="Y2648" i="2"/>
  <c r="Y1214" i="2"/>
  <c r="Y177" i="2"/>
  <c r="Y1500" i="2"/>
  <c r="Y575" i="2"/>
  <c r="Y324" i="2"/>
  <c r="Y1296" i="2"/>
  <c r="Y553" i="2"/>
  <c r="Y2679" i="2"/>
  <c r="Y174" i="2"/>
  <c r="Y1126" i="2"/>
  <c r="Y914" i="2"/>
  <c r="Y1512" i="2"/>
  <c r="Y1261" i="2"/>
  <c r="Y566" i="2"/>
  <c r="Y1490" i="2"/>
  <c r="Y2201" i="2"/>
  <c r="Y1237" i="2"/>
  <c r="Y8" i="2"/>
  <c r="Y694" i="2"/>
  <c r="Y1485" i="2"/>
  <c r="Y1134" i="2"/>
  <c r="Y677" i="2"/>
  <c r="Y1487" i="2"/>
  <c r="Y1753" i="2"/>
  <c r="Y861" i="2"/>
  <c r="Y2659" i="2"/>
  <c r="Y1277" i="2"/>
  <c r="Y1258" i="2"/>
  <c r="Y18" i="2"/>
  <c r="Y588" i="2"/>
  <c r="Y369" i="2"/>
  <c r="Y1887" i="2"/>
  <c r="Y641" i="2"/>
  <c r="Y1129" i="2"/>
  <c r="Y2815" i="2"/>
  <c r="Y1026" i="2"/>
  <c r="Y339" i="2"/>
  <c r="Y56" i="2"/>
  <c r="Y1445" i="2"/>
  <c r="Y1180" i="2"/>
  <c r="Y2467" i="2"/>
  <c r="Y45" i="2"/>
  <c r="Y1429" i="2"/>
  <c r="Y937" i="2"/>
  <c r="Y48" i="2"/>
  <c r="Y463" i="2"/>
  <c r="Y1378" i="2"/>
  <c r="Y1749" i="2"/>
  <c r="Y24" i="2"/>
  <c r="Y2767" i="2"/>
  <c r="Y1414" i="2"/>
  <c r="Y1056" i="2"/>
  <c r="Y21" i="2"/>
  <c r="Y408" i="2"/>
  <c r="Y827" i="2"/>
  <c r="Y355" i="2"/>
  <c r="Y1364" i="2"/>
  <c r="Y1115" i="2"/>
  <c r="Y296" i="2"/>
  <c r="Y929" i="2"/>
  <c r="Y5" i="2"/>
  <c r="Y1103" i="2"/>
  <c r="Y439" i="2"/>
  <c r="Y410" i="2"/>
  <c r="Y1361" i="2"/>
  <c r="Y1366" i="2"/>
  <c r="Y1332" i="2"/>
  <c r="Y2755" i="2"/>
  <c r="Y1356" i="2"/>
  <c r="Y776" i="2"/>
  <c r="Y267" i="2"/>
  <c r="Y930" i="2"/>
  <c r="Y1634" i="2"/>
  <c r="Y2751" i="2"/>
  <c r="Y2784" i="2"/>
  <c r="Y2026" i="2"/>
  <c r="Y2481" i="2"/>
  <c r="Y2415" i="2"/>
  <c r="Y2537" i="2"/>
  <c r="Y1819" i="2"/>
  <c r="Y2703" i="2"/>
  <c r="Y2129" i="2"/>
  <c r="Y3927" i="2"/>
  <c r="Y1668" i="2"/>
  <c r="Y1991" i="2"/>
  <c r="Y1937" i="2"/>
  <c r="Y3279" i="2"/>
  <c r="Y1019" i="2"/>
  <c r="Y2225" i="2"/>
  <c r="Y2831" i="2"/>
  <c r="Y2684" i="2"/>
  <c r="Y2605" i="2"/>
  <c r="Y2892" i="2"/>
  <c r="Y2430" i="2"/>
  <c r="Y1748" i="2"/>
  <c r="Y43" i="2"/>
  <c r="Y3111" i="2"/>
  <c r="Y1036" i="2"/>
  <c r="Y2338" i="2"/>
  <c r="Y2151" i="2"/>
  <c r="Y2162" i="2"/>
  <c r="Y2402" i="2"/>
  <c r="Y2661" i="2"/>
  <c r="Y662" i="2"/>
  <c r="Y2690" i="2"/>
  <c r="Y2541" i="2"/>
  <c r="Y1587" i="2"/>
  <c r="Y1679" i="2"/>
  <c r="Y1816" i="2"/>
  <c r="Y1912" i="2"/>
  <c r="Y2315" i="2"/>
  <c r="Y560" i="2"/>
  <c r="Y433" i="2"/>
  <c r="Y1527" i="2"/>
  <c r="Y807" i="2"/>
  <c r="Y468" i="2"/>
  <c r="Y11" i="2"/>
  <c r="Y749" i="2"/>
  <c r="Y2557" i="2"/>
  <c r="Y1509" i="2"/>
  <c r="Y1370" i="2"/>
  <c r="Y905" i="2"/>
  <c r="Y185" i="2"/>
  <c r="Y1405" i="2"/>
  <c r="Y948" i="2"/>
  <c r="Y163" i="2"/>
  <c r="Y1468" i="2"/>
  <c r="Y1162" i="2"/>
  <c r="Y2167" i="2"/>
  <c r="Y319" i="2"/>
  <c r="Y1122" i="2"/>
  <c r="Y819" i="2"/>
  <c r="Y362" i="2"/>
  <c r="Y1100" i="2"/>
  <c r="Y2577" i="2"/>
  <c r="Y444" i="2"/>
  <c r="Y162" i="2"/>
  <c r="Y1256" i="2"/>
  <c r="Y536" i="2"/>
  <c r="Y197" i="2"/>
  <c r="Y1299" i="2"/>
  <c r="Y538" i="2"/>
  <c r="Y2231" i="2"/>
  <c r="Y1435" i="2"/>
  <c r="Y483" i="2"/>
  <c r="Y140" i="2"/>
  <c r="Y309" i="2"/>
  <c r="Y2023" i="2"/>
  <c r="Y1306" i="2"/>
  <c r="Y511" i="2"/>
  <c r="Y2485" i="2"/>
  <c r="Y1263" i="2"/>
  <c r="Y192" i="2"/>
  <c r="Y639" i="2"/>
  <c r="Y89" i="2"/>
  <c r="Y1069" i="2"/>
  <c r="Y642" i="2"/>
  <c r="Y2215" i="2"/>
  <c r="Y292" i="2"/>
  <c r="Y147" i="2"/>
  <c r="Y619" i="2"/>
  <c r="Y492" i="2"/>
  <c r="Y144" i="2"/>
  <c r="Y622" i="2"/>
  <c r="Y1049" i="2"/>
  <c r="Y429" i="2"/>
  <c r="Y1720" i="2"/>
  <c r="Y742" i="2"/>
  <c r="Y447" i="2"/>
  <c r="Y465" i="2"/>
  <c r="Y119" i="2"/>
  <c r="Y595" i="2"/>
  <c r="Y982" i="2"/>
  <c r="Y22" i="2"/>
  <c r="Y941" i="2"/>
  <c r="Y427" i="2"/>
  <c r="Y310" i="2"/>
  <c r="Y450" i="2"/>
  <c r="Y160" i="2"/>
  <c r="Y915" i="2"/>
  <c r="Y298" i="2"/>
  <c r="Y1025" i="2"/>
  <c r="Y769" i="2"/>
  <c r="Y1843" i="2"/>
  <c r="Y417" i="2"/>
  <c r="Y539" i="2"/>
  <c r="Y435" i="2"/>
  <c r="Y419" i="2"/>
  <c r="Y1362" i="2"/>
  <c r="Y853" i="2"/>
  <c r="Y464" i="2"/>
  <c r="Y457" i="2"/>
  <c r="Y350" i="2"/>
  <c r="Y471" i="2"/>
  <c r="Y864" i="2"/>
  <c r="Y175" i="2"/>
  <c r="Y1395" i="2"/>
  <c r="Y1260" i="2"/>
  <c r="Y225" i="2"/>
  <c r="Y1544" i="2"/>
  <c r="Y2686" i="2"/>
  <c r="Y1832" i="2"/>
  <c r="Y2872" i="2"/>
  <c r="Y1985" i="2"/>
  <c r="Y2313" i="2"/>
  <c r="Y2592" i="2"/>
  <c r="Y2071" i="2"/>
  <c r="Y2629" i="2"/>
  <c r="Y2184" i="2"/>
  <c r="Y2917" i="2"/>
  <c r="Y3614" i="2"/>
  <c r="Y4106" i="2"/>
  <c r="Y3883" i="2"/>
  <c r="Y1862" i="2"/>
  <c r="Y983" i="2"/>
  <c r="Y2031" i="2"/>
  <c r="Y1598" i="2"/>
  <c r="Y2319" i="2"/>
  <c r="Y3172" i="2"/>
  <c r="Y3520" i="2"/>
  <c r="Y3555" i="2"/>
  <c r="Y2787" i="2"/>
  <c r="Y1478" i="2"/>
  <c r="Y136" i="2"/>
  <c r="Y2084" i="2"/>
  <c r="Y1697" i="2"/>
  <c r="Y844" i="2"/>
  <c r="Y2397" i="2"/>
  <c r="Y2024" i="2"/>
  <c r="Y2309" i="2"/>
  <c r="Y266" i="2"/>
  <c r="Y3530" i="2"/>
  <c r="Y1738" i="2"/>
  <c r="Y3818" i="2"/>
  <c r="Y2261" i="2"/>
  <c r="Y2416" i="2"/>
  <c r="Y1534" i="2"/>
  <c r="Y1228" i="2"/>
  <c r="Y974" i="2"/>
  <c r="Y980" i="2"/>
  <c r="Y997" i="2"/>
  <c r="Y1298" i="2"/>
  <c r="Y1437" i="2"/>
  <c r="Y353" i="2"/>
  <c r="Y1368" i="2"/>
  <c r="Y376" i="2"/>
  <c r="Y615" i="2"/>
  <c r="Y418" i="2"/>
  <c r="Y411" i="2"/>
  <c r="Y1951" i="2"/>
  <c r="Y875" i="2"/>
  <c r="Y1290" i="2"/>
  <c r="Y782" i="2"/>
  <c r="Y2366" i="2"/>
  <c r="Y2791" i="2"/>
  <c r="Y1367" i="2"/>
  <c r="Y2731" i="2"/>
  <c r="Y1469" i="2"/>
  <c r="Y289" i="2"/>
  <c r="Y704" i="2"/>
  <c r="Y1579" i="2"/>
  <c r="Y2020" i="2"/>
  <c r="Y498" i="2"/>
  <c r="Y1213" i="2"/>
  <c r="Y726" i="2"/>
  <c r="Y883" i="2"/>
  <c r="Y1226" i="2"/>
  <c r="Y142" i="2"/>
  <c r="Y1097" i="2"/>
  <c r="Y1698" i="2"/>
  <c r="Y326" i="2"/>
  <c r="Y766" i="2"/>
  <c r="Y1369" i="2"/>
  <c r="Y711" i="2"/>
  <c r="Y1223" i="2"/>
  <c r="Y28" i="2"/>
  <c r="Y39" i="2"/>
  <c r="Y1997" i="2"/>
  <c r="Y733" i="2"/>
  <c r="Y1205" i="2"/>
  <c r="Y1066" i="2"/>
  <c r="Y503" i="2"/>
  <c r="Y1328" i="2"/>
  <c r="Y1531" i="2"/>
  <c r="Y1003" i="2"/>
  <c r="Y2066" i="2"/>
  <c r="Y1448" i="2"/>
  <c r="Y1033" i="2"/>
  <c r="Y1039" i="2"/>
  <c r="Y825" i="2"/>
  <c r="Y1181" i="2"/>
  <c r="Y33" i="2"/>
  <c r="Y728" i="2"/>
  <c r="Y304" i="2"/>
  <c r="Y1013" i="2"/>
  <c r="Y1016" i="2"/>
  <c r="Y2455" i="2"/>
  <c r="Y614" i="2"/>
  <c r="Y122" i="2"/>
  <c r="Y428" i="2"/>
  <c r="Y1651" i="2"/>
  <c r="Y1355" i="2"/>
  <c r="Y1046" i="2"/>
  <c r="Y991" i="2"/>
  <c r="Y1245" i="2"/>
  <c r="Y1021" i="2"/>
  <c r="Y981" i="2"/>
  <c r="Y569" i="2"/>
  <c r="Y1439" i="2"/>
  <c r="Y1194" i="2"/>
  <c r="Y1043" i="2"/>
  <c r="Y936" i="2"/>
  <c r="Y830" i="2"/>
  <c r="Y1006" i="2"/>
  <c r="Y761" i="2"/>
  <c r="Y458" i="2"/>
  <c r="Y323" i="2"/>
  <c r="Y1313" i="2"/>
  <c r="Y1004" i="2"/>
  <c r="Y1343" i="2"/>
  <c r="Y537" i="2"/>
  <c r="Y1123" i="2"/>
  <c r="Y589" i="2"/>
  <c r="Y455" i="2"/>
  <c r="Y1038" i="2"/>
  <c r="Y395" i="2"/>
  <c r="Y2426" i="2"/>
  <c r="Y1061" i="2"/>
  <c r="Y3926" i="2"/>
  <c r="Y2782" i="2"/>
  <c r="Y2040" i="2"/>
  <c r="Y1642" i="2"/>
  <c r="Y3220" i="2"/>
  <c r="Y1018" i="2"/>
  <c r="Y1936" i="2"/>
  <c r="Y13" i="2"/>
  <c r="Y3340" i="2"/>
  <c r="Y1438" i="2"/>
  <c r="Y676" i="2"/>
  <c r="Y2555" i="2"/>
  <c r="Y1953" i="2"/>
  <c r="Y2647" i="2"/>
  <c r="Y2729" i="2"/>
  <c r="Y6" i="2"/>
  <c r="Y1929" i="2"/>
  <c r="Y1580" i="2"/>
  <c r="Y1940" i="2"/>
  <c r="Y1933" i="2"/>
  <c r="Y1607" i="2"/>
  <c r="Y1342" i="2"/>
  <c r="Y3615" i="2"/>
  <c r="Y1365" i="2"/>
  <c r="Y496" i="2"/>
  <c r="Y2493" i="2"/>
  <c r="Y1594" i="2"/>
  <c r="Y2726" i="2"/>
  <c r="Y2909" i="2"/>
  <c r="Y173" i="2"/>
  <c r="Y2857" i="2"/>
  <c r="Y2258" i="2"/>
  <c r="Y2484" i="2"/>
  <c r="Y2003" i="2"/>
  <c r="Y2651" i="2"/>
  <c r="Y2236" i="2"/>
  <c r="Y3795" i="2"/>
  <c r="Y1399" i="2"/>
  <c r="Y736" i="2"/>
  <c r="Y2875" i="2"/>
  <c r="Y1496" i="2"/>
  <c r="Y485" i="2"/>
  <c r="Y767" i="2"/>
  <c r="Y392" i="2"/>
  <c r="Y3519" i="2"/>
  <c r="Y681" i="2"/>
  <c r="Y1409" i="2"/>
  <c r="Y870" i="2"/>
  <c r="Y934" i="2"/>
  <c r="Y1422" i="2"/>
  <c r="Y181" i="2"/>
  <c r="Y1341" i="2"/>
  <c r="Y2424" i="2"/>
  <c r="Y1486" i="2"/>
  <c r="Y679" i="2"/>
  <c r="Y284" i="2"/>
  <c r="Y360" i="2"/>
  <c r="Y836" i="2"/>
  <c r="Y1118" i="2"/>
  <c r="Y779" i="2"/>
  <c r="Y1694" i="2"/>
  <c r="Y912" i="2"/>
  <c r="Y1472" i="2"/>
  <c r="Y576" i="2"/>
  <c r="Y1297" i="2"/>
  <c r="Y274" i="2"/>
  <c r="Y759" i="2"/>
  <c r="Y193" i="2"/>
  <c r="Y2619" i="2"/>
  <c r="Y1319" i="2"/>
  <c r="Y1687" i="2"/>
  <c r="Y117" i="2"/>
  <c r="Y1065" i="2"/>
  <c r="Y535" i="2"/>
  <c r="Y734" i="2"/>
  <c r="Y66" i="2"/>
  <c r="Y2652" i="2"/>
  <c r="Y2611" i="2"/>
  <c r="Y96" i="2"/>
  <c r="Y102" i="2"/>
  <c r="Y20" i="2"/>
  <c r="Y1663" i="2"/>
  <c r="Y607" i="2"/>
  <c r="Y1087" i="2"/>
  <c r="Y626" i="2"/>
  <c r="Y1783" i="2"/>
  <c r="Y1375" i="2"/>
  <c r="Y135" i="2"/>
  <c r="Y1200" i="2"/>
  <c r="Y165" i="2"/>
  <c r="Y1014" i="2"/>
  <c r="Y998" i="2"/>
  <c r="Y406" i="2"/>
  <c r="Y109" i="2"/>
  <c r="Y198" i="2"/>
  <c r="Y440" i="2"/>
  <c r="Y84" i="2"/>
  <c r="Y176" i="2"/>
  <c r="Y1479" i="2"/>
  <c r="Y490" i="2"/>
  <c r="Y401" i="2"/>
  <c r="Y94" i="2"/>
  <c r="Y1510" i="2"/>
  <c r="Y1416" i="2"/>
  <c r="Y57" i="2"/>
  <c r="Y1383" i="2"/>
  <c r="Y1044" i="2"/>
  <c r="Y885" i="2"/>
  <c r="Y1939" i="2"/>
  <c r="Y67" i="2"/>
  <c r="Y394" i="2"/>
  <c r="Y1255" i="2"/>
  <c r="Y330" i="2"/>
  <c r="Y1175" i="2"/>
  <c r="Y1017" i="2"/>
  <c r="Y818" i="2"/>
  <c r="Y297" i="2"/>
  <c r="Y2419" i="2"/>
  <c r="Y367" i="2"/>
  <c r="Y795" i="2"/>
  <c r="Y75" i="2"/>
  <c r="Y59" i="2"/>
  <c r="Y1352" i="2"/>
  <c r="Y1513" i="2"/>
  <c r="Y559" i="2"/>
  <c r="Y3410" i="2"/>
  <c r="Y1762" i="2"/>
  <c r="Y2653" i="2"/>
  <c r="Y2312" i="2"/>
  <c r="Y2298" i="2"/>
  <c r="Y2665" i="2"/>
  <c r="Y2613" i="2"/>
  <c r="Y973" i="2"/>
  <c r="Y2796" i="2"/>
  <c r="Y76" i="2"/>
  <c r="Y2055" i="2"/>
  <c r="Y1822" i="2"/>
  <c r="Y2054" i="2"/>
  <c r="Y2067" i="2"/>
  <c r="Y2641" i="2"/>
  <c r="Y1315" i="2"/>
  <c r="Y2210" i="2"/>
  <c r="Y747" i="2"/>
  <c r="Y424" i="2"/>
  <c r="Y2735" i="2"/>
  <c r="Y1708" i="2"/>
  <c r="Y1589" i="2"/>
  <c r="Y2043" i="2"/>
  <c r="Y785" i="2"/>
  <c r="Y1864" i="2"/>
  <c r="Y1617" i="2"/>
  <c r="Y3698" i="2"/>
  <c r="Y2257" i="2"/>
  <c r="Y2645" i="2"/>
  <c r="Y2195" i="2"/>
  <c r="Y280" i="2"/>
  <c r="Y1280" i="2"/>
  <c r="Y2801" i="2"/>
  <c r="Y2530" i="2"/>
  <c r="Y1561" i="2"/>
  <c r="Y1803" i="2"/>
  <c r="Y2794" i="2"/>
  <c r="Y1717" i="2"/>
  <c r="Y3542" i="2"/>
  <c r="Y581" i="2"/>
  <c r="Y1389" i="2"/>
  <c r="Y962" i="2"/>
  <c r="Y387" i="2"/>
  <c r="Y1104" i="2"/>
  <c r="Y1109" i="2"/>
  <c r="Y1011" i="2"/>
  <c r="Y2221" i="2"/>
  <c r="Y1518" i="2"/>
  <c r="Y683" i="2"/>
  <c r="Y1759" i="2"/>
  <c r="Y2707" i="2"/>
  <c r="Y518" i="2"/>
  <c r="Y1377" i="2"/>
  <c r="Y389" i="2"/>
  <c r="Y1623" i="2"/>
  <c r="Y932" i="2"/>
  <c r="Y1476" i="2"/>
  <c r="Y42" i="2"/>
  <c r="Y702" i="2"/>
  <c r="Y1455" i="2"/>
  <c r="Y671" i="2"/>
  <c r="Y183" i="2"/>
  <c r="Y2524" i="2"/>
  <c r="Y370" i="2"/>
  <c r="Y890" i="2"/>
  <c r="Y835" i="2"/>
  <c r="Y116" i="2"/>
  <c r="Y1265" i="2"/>
  <c r="Y1464" i="2"/>
  <c r="Y2359" i="2"/>
  <c r="Y3266" i="2"/>
  <c r="Y291" i="2"/>
  <c r="Y670" i="2"/>
  <c r="Y2107" i="2"/>
  <c r="Y750" i="2"/>
  <c r="Y1010" i="2"/>
  <c r="Y1193" i="2"/>
  <c r="Y150" i="2"/>
  <c r="Y1212" i="2"/>
  <c r="Y1130" i="2"/>
  <c r="Y438" i="2"/>
  <c r="Y721" i="2"/>
  <c r="Y263" i="2"/>
  <c r="Y739" i="2"/>
  <c r="Y77" i="2"/>
  <c r="Y205" i="2"/>
  <c r="Y968" i="2"/>
  <c r="Y695" i="2"/>
  <c r="Y2491" i="2"/>
  <c r="Y706" i="2"/>
  <c r="Y658" i="2"/>
  <c r="Y906" i="2"/>
  <c r="Y110" i="2"/>
  <c r="Y1052" i="2"/>
  <c r="Y2179" i="2"/>
  <c r="Y656" i="2"/>
  <c r="Y561" i="2"/>
  <c r="Y479" i="2"/>
  <c r="Y631" i="2"/>
  <c r="Y446" i="2"/>
  <c r="Y251" i="2"/>
  <c r="Y1459" i="2"/>
  <c r="Y1286" i="2"/>
  <c r="Y653" i="2"/>
  <c r="Y956" i="2"/>
  <c r="Y462" i="2"/>
  <c r="Y2047" i="2"/>
  <c r="Y226" i="2"/>
  <c r="Y68" i="2"/>
  <c r="Y1404" i="2"/>
  <c r="Y871" i="2"/>
  <c r="Y99" i="2"/>
  <c r="Y953" i="2"/>
  <c r="Y1525" i="2"/>
  <c r="Y805" i="2"/>
  <c r="Y621" i="2"/>
  <c r="Y415" i="2"/>
  <c r="Y720" i="2"/>
  <c r="Y1278" i="2"/>
  <c r="Y1402" i="2"/>
  <c r="Y1418" i="2"/>
  <c r="Y265" i="2"/>
  <c r="Y534" i="2"/>
  <c r="Y2779" i="2"/>
  <c r="Y243" i="2"/>
  <c r="Y261" i="2"/>
  <c r="Y1282" i="2"/>
  <c r="Y2477" i="2"/>
  <c r="Y2608" i="2"/>
  <c r="Y2480" i="2"/>
  <c r="Y1883" i="2"/>
  <c r="Y2584" i="2"/>
  <c r="Y1689" i="2"/>
  <c r="Y3650" i="2"/>
  <c r="Y955" i="2"/>
  <c r="Y3363" i="2"/>
  <c r="Y2136" i="2"/>
  <c r="Y2134" i="2"/>
  <c r="Y88" i="2"/>
  <c r="Y3326" i="2"/>
  <c r="Y2746" i="2"/>
  <c r="Y3064" i="2"/>
  <c r="Y1186" i="2"/>
  <c r="Y2120" i="2"/>
  <c r="Y100" i="2"/>
  <c r="Y1776" i="2"/>
  <c r="Y4071" i="2"/>
  <c r="Y2854" i="2"/>
  <c r="Y2388" i="2"/>
  <c r="Y1653" i="2"/>
  <c r="Y488" i="2"/>
  <c r="Y1774" i="2"/>
  <c r="Y2331" i="2"/>
  <c r="Y2914" i="2"/>
  <c r="Y328" i="2"/>
  <c r="Y3502" i="2"/>
  <c r="Y1802" i="2"/>
  <c r="Y2710" i="2"/>
  <c r="Y1107" i="2"/>
  <c r="Y1201" i="2"/>
  <c r="Y1709" i="2"/>
  <c r="Y1676" i="2"/>
  <c r="Y2482" i="2"/>
  <c r="Y3048" i="2"/>
  <c r="Y4131" i="2"/>
  <c r="Y2352" i="2"/>
  <c r="Y1076" i="2"/>
  <c r="Y1463" i="2"/>
  <c r="Y1284" i="2"/>
  <c r="Y1242" i="2"/>
  <c r="Y685" i="2"/>
  <c r="Y233" i="2"/>
  <c r="Y2234" i="2"/>
  <c r="Y1621" i="2"/>
  <c r="Y1672" i="2"/>
  <c r="Y3014" i="2"/>
  <c r="Y1715" i="2"/>
  <c r="Y2165" i="2"/>
  <c r="Y1192" i="2"/>
  <c r="Y1793" i="2"/>
  <c r="Y1947" i="2"/>
  <c r="Y1706" i="2"/>
  <c r="Y1000" i="2"/>
  <c r="Y1575" i="2"/>
  <c r="Y3183" i="2"/>
  <c r="Y3651" i="2"/>
  <c r="Y3722" i="2"/>
  <c r="Y2223" i="2"/>
  <c r="Y2473" i="2"/>
  <c r="Y2385" i="2"/>
  <c r="Y975" i="2"/>
  <c r="Y3459" i="2"/>
  <c r="Y2540" i="2"/>
  <c r="Y2011" i="2"/>
  <c r="Y1957" i="2"/>
  <c r="Y2669" i="2"/>
  <c r="Y3554" i="2"/>
  <c r="Y2752" i="2"/>
  <c r="Y227" i="2"/>
  <c r="Y184" i="2"/>
  <c r="Y1553" i="2"/>
  <c r="Y2757" i="2"/>
  <c r="Y2103" i="2"/>
  <c r="Y4143" i="2"/>
  <c r="Y1532" i="2"/>
  <c r="Y1792" i="2"/>
  <c r="Y1210" i="2"/>
  <c r="Y2745" i="2"/>
  <c r="Y1815" i="2"/>
  <c r="Y2849" i="2"/>
  <c r="Y1968" i="2"/>
  <c r="Y1923" i="2"/>
  <c r="Y2237" i="2"/>
  <c r="Y1861" i="2"/>
  <c r="Y1538" i="2"/>
  <c r="Y3002" i="2"/>
  <c r="Y2770" i="2"/>
  <c r="Y2113" i="2"/>
  <c r="Y2880" i="2"/>
  <c r="Y2449" i="2"/>
  <c r="Y2274" i="2"/>
  <c r="Y2856" i="2"/>
  <c r="Y1577" i="2"/>
  <c r="Y3154" i="2"/>
  <c r="Y3451" i="2"/>
  <c r="Y2116" i="2"/>
  <c r="Y3906" i="2"/>
  <c r="Y5365" i="2"/>
  <c r="Y3525" i="2"/>
  <c r="Y3018" i="2"/>
  <c r="Y2620" i="2"/>
  <c r="Y2682" i="2"/>
  <c r="Y3597" i="2"/>
  <c r="Y4511" i="2"/>
  <c r="Y3596" i="2"/>
  <c r="Y3429" i="2"/>
  <c r="Y3215" i="2"/>
  <c r="Y4087" i="2"/>
  <c r="Y1920" i="2"/>
  <c r="Y5051" i="2"/>
  <c r="Y3143" i="2"/>
  <c r="Y5328" i="2"/>
  <c r="Y3166" i="2"/>
  <c r="Y2891" i="2"/>
  <c r="Y4152" i="2"/>
  <c r="Y3657" i="2"/>
  <c r="Y3364" i="2"/>
  <c r="Y3873" i="2"/>
  <c r="Y3936" i="2"/>
  <c r="Y4622" i="2"/>
  <c r="Y2804" i="2"/>
  <c r="Y3751" i="2"/>
  <c r="Y4860" i="2"/>
  <c r="Y3347" i="2"/>
  <c r="Y2696" i="2"/>
  <c r="Y3419" i="2"/>
  <c r="Y4500" i="2"/>
  <c r="Y2969" i="2"/>
  <c r="Y2041" i="2"/>
  <c r="Y3177" i="2"/>
  <c r="Y2420" i="2"/>
  <c r="Y2870" i="2"/>
  <c r="Y3747" i="2"/>
  <c r="Y4212" i="2"/>
  <c r="Y5317" i="2"/>
  <c r="Y2046" i="2"/>
  <c r="Y3941" i="2"/>
  <c r="Y3970" i="2"/>
  <c r="Y2235" i="2"/>
  <c r="Y4992" i="2"/>
  <c r="Y2286" i="2"/>
  <c r="Y3396" i="2"/>
  <c r="Y4933" i="2"/>
  <c r="Y3654" i="2"/>
  <c r="Y4188" i="2"/>
  <c r="Y5459" i="2"/>
  <c r="Y5267" i="2"/>
  <c r="Y3729" i="2"/>
  <c r="Y3238" i="2"/>
  <c r="Y4945" i="2"/>
  <c r="Y3408" i="2"/>
  <c r="Y3165" i="2"/>
  <c r="Y4344" i="2"/>
  <c r="Y4183" i="2"/>
  <c r="Y3430" i="2"/>
  <c r="Y3660" i="2"/>
  <c r="Y3413" i="2"/>
  <c r="Y3514" i="2"/>
  <c r="Y1770" i="2"/>
  <c r="Y2667" i="2"/>
  <c r="Y3801" i="2"/>
  <c r="Y5437" i="2"/>
  <c r="Y3046" i="2"/>
  <c r="Y3132" i="2"/>
  <c r="Y2502" i="2"/>
  <c r="Y2922" i="2"/>
  <c r="Y4825" i="2"/>
  <c r="Y5447" i="2"/>
  <c r="Y2855" i="2"/>
  <c r="Y3623" i="2"/>
  <c r="Y3976" i="2"/>
  <c r="Y2463" i="2"/>
  <c r="Y4705" i="2"/>
  <c r="Y4526" i="2"/>
  <c r="Y3557" i="2"/>
  <c r="Y3898" i="2"/>
  <c r="Y4151" i="2"/>
  <c r="Y3188" i="2"/>
  <c r="Y4763" i="2"/>
  <c r="Y3130" i="2"/>
  <c r="Y3552" i="2"/>
  <c r="Y4259" i="2"/>
  <c r="Y5122" i="2"/>
  <c r="Y4868" i="2"/>
  <c r="Y4761" i="2"/>
  <c r="Y4563" i="2"/>
  <c r="Y4904" i="2"/>
  <c r="Y3524" i="2"/>
  <c r="Y4552" i="2"/>
  <c r="Y5119" i="2"/>
  <c r="Y4301" i="2"/>
  <c r="Y3202" i="2"/>
  <c r="Y5418" i="2"/>
  <c r="Y4282" i="2"/>
  <c r="Y3692" i="2"/>
  <c r="Y3526" i="2"/>
  <c r="Y5439" i="2"/>
  <c r="Y5349" i="2"/>
  <c r="Y5451" i="2"/>
  <c r="Y5084" i="2"/>
  <c r="Y4312" i="2"/>
  <c r="Y4129" i="2"/>
  <c r="Y3022" i="2"/>
  <c r="Y5228" i="2"/>
  <c r="Y4172" i="2"/>
  <c r="Y4529" i="2"/>
  <c r="Y4494" i="2"/>
  <c r="Y4972" i="2"/>
  <c r="Y3916" i="2"/>
  <c r="Y2601" i="2"/>
  <c r="Y4487" i="2"/>
  <c r="Y3736" i="2"/>
  <c r="Y4687" i="2"/>
  <c r="Y3861" i="2"/>
  <c r="Y3395" i="2"/>
  <c r="Y5059" i="2"/>
  <c r="Y4576" i="2"/>
  <c r="Y2889" i="2"/>
  <c r="Y3553" i="2"/>
  <c r="Y4845" i="2"/>
  <c r="Y5063" i="2"/>
  <c r="Y5240" i="2"/>
  <c r="Y5300" i="2"/>
  <c r="Y3105" i="2"/>
  <c r="Y5136" i="2"/>
  <c r="Y3897" i="2"/>
  <c r="Y4769" i="2"/>
  <c r="Y4661" i="2"/>
  <c r="Y4783" i="2"/>
  <c r="Y4281" i="2"/>
  <c r="Y5212" i="2"/>
  <c r="Y4690" i="2"/>
  <c r="Y2525" i="2"/>
  <c r="Y4362" i="2"/>
  <c r="Y5432" i="2"/>
  <c r="Y3973" i="2"/>
  <c r="Y4911" i="2"/>
  <c r="Y5129" i="2"/>
  <c r="Y3479" i="2"/>
  <c r="Y3757" i="2"/>
  <c r="Y4243" i="2"/>
  <c r="Y4558" i="2"/>
  <c r="Y4294" i="2"/>
  <c r="Y4540" i="2"/>
  <c r="Y4731" i="2"/>
  <c r="Y4436" i="2"/>
  <c r="Y4036" i="2"/>
  <c r="Y4111" i="2"/>
  <c r="Y5409" i="2"/>
  <c r="Y4712" i="2"/>
  <c r="Y4745" i="2"/>
  <c r="Y5363" i="2"/>
  <c r="Y4208" i="2"/>
  <c r="Y4428" i="2"/>
  <c r="Y3633" i="2"/>
  <c r="Y4591" i="2"/>
  <c r="Y4184" i="2"/>
  <c r="Y4678" i="2"/>
  <c r="Y5464" i="2"/>
  <c r="Y4863" i="2"/>
  <c r="Y3134" i="2"/>
  <c r="Y1508" i="2"/>
  <c r="Y2771" i="2"/>
  <c r="Y1329" i="2"/>
  <c r="Y2470" i="2"/>
  <c r="Y2860" i="2"/>
  <c r="Y3742" i="2"/>
  <c r="Y3083" i="2"/>
  <c r="Y3066" i="2"/>
  <c r="Y1745" i="2"/>
  <c r="Y2211" i="2"/>
  <c r="Y2535" i="2"/>
  <c r="Y3629" i="2"/>
  <c r="Y3958" i="2"/>
  <c r="Y3483" i="2"/>
  <c r="Y3930" i="2"/>
  <c r="Y4974" i="2"/>
  <c r="Y4213" i="2"/>
  <c r="Y5441" i="2"/>
  <c r="Y4457" i="2"/>
  <c r="Y5268" i="2"/>
  <c r="Y4672" i="2"/>
  <c r="Y4236" i="2"/>
  <c r="Y4660" i="2"/>
  <c r="Y4222" i="2"/>
  <c r="Y1312" i="2"/>
  <c r="Y295" i="2"/>
  <c r="Y2443" i="2"/>
  <c r="Y1135" i="2"/>
  <c r="Y448" i="2"/>
  <c r="Y178" i="2"/>
  <c r="Y3938" i="2"/>
  <c r="Y1941" i="2"/>
  <c r="Y1959" i="2"/>
  <c r="Y2029" i="2"/>
  <c r="Y2297" i="2"/>
  <c r="Y2765" i="2"/>
  <c r="Y2615" i="2"/>
  <c r="Y2677" i="2"/>
  <c r="Y1536" i="2"/>
  <c r="Y3652" i="2"/>
  <c r="Y1824" i="2"/>
  <c r="Y2825" i="2"/>
  <c r="Y3434" i="2"/>
  <c r="Y2522" i="2"/>
  <c r="Y1630" i="2"/>
  <c r="Y2486" i="2"/>
  <c r="Y2019" i="2"/>
  <c r="Y2660" i="2"/>
  <c r="Y377" i="2"/>
  <c r="Y2330" i="2"/>
  <c r="Y2175" i="2"/>
  <c r="Y1814" i="2"/>
  <c r="Y2072" i="2"/>
  <c r="Y3206" i="2"/>
  <c r="Y1854" i="2"/>
  <c r="Y2282" i="2"/>
  <c r="Y783" i="2"/>
  <c r="Y808" i="2"/>
  <c r="Y1784" i="2"/>
  <c r="Y2056" i="2"/>
  <c r="Y2326" i="2"/>
  <c r="Y2521" i="2"/>
  <c r="Y2715" i="2"/>
  <c r="Y2339" i="2"/>
  <c r="Y3338" i="2"/>
  <c r="Y1895" i="2"/>
  <c r="Y1713" i="2"/>
  <c r="Y2591" i="2"/>
  <c r="Y1979" i="2"/>
  <c r="Y1372" i="2"/>
  <c r="Y2212" i="2"/>
  <c r="Y1805" i="2"/>
  <c r="Y1048" i="2"/>
  <c r="Y1812" i="2"/>
  <c r="Y3626" i="2"/>
  <c r="Y1606" i="2"/>
  <c r="Y804" i="2"/>
  <c r="Y3196" i="2"/>
  <c r="Y1683" i="2"/>
  <c r="Y3484" i="2"/>
  <c r="Y2981" i="2"/>
  <c r="Y3016" i="2"/>
  <c r="Y3389" i="2"/>
  <c r="Y3465" i="2"/>
  <c r="Y4059" i="2"/>
  <c r="Y5174" i="2"/>
  <c r="Y5497" i="2"/>
  <c r="Y3960" i="2"/>
  <c r="Y2947" i="2"/>
  <c r="Y5318" i="2"/>
  <c r="Y3211" i="2"/>
  <c r="Y3011" i="2"/>
  <c r="Y3522" i="2"/>
  <c r="Y3521" i="2"/>
  <c r="Y3868" i="2"/>
  <c r="Y4668" i="2"/>
  <c r="Y3884" i="2"/>
  <c r="Y3665" i="2"/>
  <c r="Y4004" i="2"/>
  <c r="Y3804" i="2"/>
  <c r="Y1740" i="2"/>
  <c r="Y3343" i="2"/>
  <c r="Y4324" i="2"/>
  <c r="Y3793" i="2"/>
  <c r="Y3454" i="2"/>
  <c r="Y3487" i="2"/>
  <c r="Y3574" i="2"/>
  <c r="Y4368" i="2"/>
  <c r="Y2504" i="2"/>
  <c r="Y1782" i="2"/>
  <c r="Y2822" i="2"/>
  <c r="Y580" i="2"/>
  <c r="Y3144" i="2"/>
  <c r="Y2903" i="2"/>
  <c r="Y3264" i="2"/>
  <c r="Y5329" i="2"/>
  <c r="Y2057" i="2"/>
  <c r="Y3562" i="2"/>
  <c r="Y3658" i="2"/>
  <c r="Y3954" i="2"/>
  <c r="Y5351" i="2"/>
  <c r="Y3706" i="2"/>
  <c r="Y5471" i="2"/>
  <c r="Y3700" i="2"/>
  <c r="Y1700" i="2"/>
  <c r="Y3252" i="2"/>
  <c r="Y3204" i="2"/>
  <c r="Y5429" i="2"/>
  <c r="Y3812" i="2"/>
  <c r="Y5483" i="2"/>
  <c r="Y3718" i="2"/>
  <c r="Y3690" i="2"/>
  <c r="Y3780" i="2"/>
  <c r="Y3914" i="2"/>
  <c r="Y3860" i="2"/>
  <c r="Y2826" i="2"/>
  <c r="Y5066" i="2"/>
  <c r="Y4088" i="2"/>
  <c r="Y3078" i="2"/>
  <c r="Y4993" i="2"/>
  <c r="Y4231" i="2"/>
  <c r="Y4620" i="2"/>
  <c r="Y3476" i="2"/>
  <c r="Y3442" i="2"/>
  <c r="Y3259" i="2"/>
  <c r="Y3101" i="2"/>
  <c r="Y2164" i="2"/>
  <c r="Y3240" i="2"/>
  <c r="Y4241" i="2"/>
  <c r="Y3933" i="2"/>
  <c r="Y3505" i="2"/>
  <c r="Y865" i="2"/>
  <c r="Y5387" i="2"/>
  <c r="Y5088" i="2"/>
  <c r="Y5210" i="2"/>
  <c r="Y2961" i="2"/>
  <c r="Y3082" i="2"/>
  <c r="Y3498" i="2"/>
  <c r="Y4079" i="2"/>
  <c r="Y1775" i="2"/>
  <c r="Y3201" i="2"/>
  <c r="Y4704" i="2"/>
  <c r="Y4538" i="2"/>
  <c r="Y2392" i="2"/>
  <c r="Y4283" i="2"/>
  <c r="Y3460" i="2"/>
  <c r="Y5188" i="2"/>
  <c r="Y3116" i="2"/>
  <c r="Y3222" i="2"/>
  <c r="Y5427" i="2"/>
  <c r="Y4914" i="2"/>
  <c r="Y5035" i="2"/>
  <c r="Y3853" i="2"/>
  <c r="Y4941" i="2"/>
  <c r="Y4341" i="2"/>
  <c r="Y2310" i="2"/>
  <c r="Y3151" i="2"/>
  <c r="Y4467" i="2"/>
  <c r="Y5037" i="2"/>
  <c r="Y4544" i="2"/>
  <c r="Y4522" i="2"/>
  <c r="Y4635" i="2"/>
  <c r="Y3255" i="2"/>
  <c r="Y3140" i="2"/>
  <c r="Y5306" i="2"/>
  <c r="Y4458" i="2"/>
  <c r="Y5347" i="2"/>
  <c r="Y5494" i="2"/>
  <c r="Y5104" i="2"/>
  <c r="Y4938" i="2"/>
  <c r="Y2877" i="2"/>
  <c r="Y4755" i="2"/>
  <c r="Y4809" i="2"/>
  <c r="Y4852" i="2"/>
  <c r="Y3397" i="2"/>
  <c r="Y5215" i="2"/>
  <c r="Y3179" i="2"/>
  <c r="Y4380" i="2"/>
  <c r="Y3399" i="2"/>
  <c r="Y4249" i="2"/>
  <c r="Y4263" i="2"/>
  <c r="Y5023" i="2"/>
  <c r="Y5253" i="2"/>
  <c r="Y4770" i="2"/>
  <c r="Y4354" i="2"/>
  <c r="Y928" i="2"/>
  <c r="Y4306" i="2"/>
  <c r="Y4734" i="2"/>
  <c r="Y5443" i="2"/>
  <c r="Y5201" i="2"/>
  <c r="Y5046" i="2"/>
  <c r="Y3839" i="2"/>
  <c r="Y4404" i="2"/>
  <c r="Y712" i="2"/>
  <c r="Y4828" i="2"/>
  <c r="Y3456" i="2"/>
  <c r="Y2997" i="2"/>
  <c r="Y4503" i="2"/>
  <c r="Y3634" i="2"/>
  <c r="Y2142" i="2"/>
  <c r="Y5330" i="2"/>
  <c r="Y1734" i="2"/>
  <c r="Y5095" i="2"/>
  <c r="Y4767" i="2"/>
  <c r="Y4422" i="2"/>
  <c r="Y5369" i="2"/>
  <c r="Y5075" i="2"/>
  <c r="Y3768" i="2"/>
  <c r="Y5053" i="2"/>
  <c r="Y5260" i="2"/>
  <c r="Y4169" i="2"/>
  <c r="Y5448" i="2"/>
  <c r="Y2898" i="2"/>
  <c r="Y5379" i="2"/>
  <c r="Y1661" i="2"/>
  <c r="Y3561" i="2"/>
  <c r="Y5262" i="2"/>
  <c r="Y4300" i="2"/>
  <c r="Y5033" i="2"/>
  <c r="Y5225" i="2"/>
  <c r="Y5407" i="2"/>
  <c r="Y4889" i="2"/>
  <c r="Y3535" i="2"/>
  <c r="Y3197" i="2"/>
  <c r="Y5252" i="2"/>
  <c r="Y4461" i="2"/>
  <c r="Y5458" i="2"/>
  <c r="Y5385" i="2"/>
  <c r="Y5192" i="2"/>
  <c r="Y364" i="2"/>
  <c r="Y2000" i="2"/>
  <c r="Y2612" i="2"/>
  <c r="Y3393" i="2"/>
  <c r="Y4020" i="2"/>
  <c r="Y4681" i="2"/>
  <c r="Y4430" i="2"/>
  <c r="Y3609" i="2"/>
  <c r="Y2308" i="2"/>
  <c r="Y4652" i="2"/>
  <c r="Y4733" i="2"/>
  <c r="Y2936" i="2"/>
  <c r="Y5406" i="2"/>
  <c r="Y4930" i="2"/>
  <c r="Y442" i="2"/>
  <c r="Y517" i="2"/>
  <c r="Y1307" i="2"/>
  <c r="Y1041" i="2"/>
  <c r="Y732" i="2"/>
  <c r="Y2143" i="2"/>
  <c r="Y2734" i="2"/>
  <c r="Y1790" i="2"/>
  <c r="Y2182" i="2"/>
  <c r="Y2968" i="2"/>
  <c r="Y2327" i="2"/>
  <c r="Y1585" i="2"/>
  <c r="Y1976" i="2"/>
  <c r="Y3244" i="2"/>
  <c r="Y3482" i="2"/>
  <c r="Y2174" i="2"/>
  <c r="Y4119" i="2"/>
  <c r="Y2768" i="2"/>
  <c r="Y2568" i="2"/>
  <c r="Y940" i="2"/>
  <c r="Y2687" i="2"/>
  <c r="Y2396" i="2"/>
  <c r="Y1954" i="2"/>
  <c r="Y2115" i="2"/>
  <c r="Y308" i="2"/>
  <c r="Y1943" i="2"/>
  <c r="Y3027" i="2"/>
  <c r="Y2546" i="2"/>
  <c r="Y2672" i="2"/>
  <c r="Y1728" i="2"/>
  <c r="Y1646" i="2"/>
  <c r="Y1733" i="2"/>
  <c r="Y2596" i="2"/>
  <c r="Y2241" i="2"/>
  <c r="Y2586" i="2"/>
  <c r="Y1678" i="2"/>
  <c r="Y2469" i="2"/>
  <c r="Y1870" i="2"/>
  <c r="Y2702" i="2"/>
  <c r="Y2283" i="2"/>
  <c r="Y2876" i="2"/>
  <c r="Y2170" i="2"/>
  <c r="Y2884" i="2"/>
  <c r="Y1952" i="2"/>
  <c r="Y1273" i="2"/>
  <c r="Y3782" i="2"/>
  <c r="Y2137" i="2"/>
  <c r="Y4070" i="2"/>
  <c r="Y2512" i="2"/>
  <c r="Y3758" i="2"/>
  <c r="Y2588" i="2"/>
  <c r="Y2632" i="2"/>
  <c r="Y256" i="2"/>
  <c r="Y1574" i="2"/>
  <c r="Y1581" i="2"/>
  <c r="Y2199" i="2"/>
  <c r="Y2394" i="2"/>
  <c r="Y4910" i="2"/>
  <c r="Y2461" i="2"/>
  <c r="Y3850" i="2"/>
  <c r="Y5341" i="2"/>
  <c r="Y4920" i="2"/>
  <c r="Y3239" i="2"/>
  <c r="Y3630" i="2"/>
  <c r="Y5027" i="2"/>
  <c r="Y3257" i="2"/>
  <c r="Y1432" i="2"/>
  <c r="Y3540" i="2"/>
  <c r="Y3712" i="2"/>
  <c r="Y4180" i="2"/>
  <c r="Y4618" i="2"/>
  <c r="Y3320" i="2"/>
  <c r="Y4489" i="2"/>
  <c r="Y3079" i="2"/>
  <c r="Y5186" i="2"/>
  <c r="Y4238" i="2"/>
  <c r="Y3666" i="2"/>
  <c r="Y3964" i="2"/>
  <c r="Y3781" i="2"/>
  <c r="Y2865" i="2"/>
  <c r="Y5426" i="2"/>
  <c r="Y4016" i="2"/>
  <c r="Y3533" i="2"/>
  <c r="Y5209" i="2"/>
  <c r="Y5141" i="2"/>
  <c r="Y3918" i="2"/>
  <c r="Y4898" i="2"/>
  <c r="Y3050" i="2"/>
  <c r="Y4803" i="2"/>
  <c r="Y3586" i="2"/>
  <c r="Y3355" i="2"/>
  <c r="Y4203" i="2"/>
  <c r="Y3441" i="2"/>
  <c r="Y3608" i="2"/>
  <c r="Y3245" i="2"/>
  <c r="Y3895" i="2"/>
  <c r="Y3748" i="2"/>
  <c r="Y3276" i="2"/>
  <c r="Y1926" i="2"/>
  <c r="Y2953" i="2"/>
  <c r="Y2987" i="2"/>
  <c r="Y3178" i="2"/>
  <c r="Y3067" i="2"/>
  <c r="Y3321" i="2"/>
  <c r="Y4273" i="2"/>
  <c r="Y4421" i="2"/>
  <c r="Y1828" i="2"/>
  <c r="Y4114" i="2"/>
  <c r="Y3162" i="2"/>
  <c r="Y4056" i="2"/>
  <c r="Y3786" i="2"/>
  <c r="Y3872" i="2"/>
  <c r="Y3293" i="2"/>
  <c r="Y4754" i="2"/>
  <c r="Y4164" i="2"/>
  <c r="Y3694" i="2"/>
  <c r="Y4812" i="2"/>
  <c r="Y2984" i="2"/>
  <c r="Y4788" i="2"/>
  <c r="Y431" i="2"/>
  <c r="Y3324" i="2"/>
  <c r="Y4271" i="2"/>
  <c r="Y4417" i="2"/>
  <c r="Y3391" i="2"/>
  <c r="Y3656" i="2"/>
  <c r="Y3771" i="2"/>
  <c r="Y2823" i="2"/>
  <c r="Y2578" i="2"/>
  <c r="Y3775" i="2"/>
  <c r="Y3996" i="2"/>
  <c r="Y5100" i="2"/>
  <c r="Y352" i="2"/>
  <c r="Y3743" i="2"/>
  <c r="Y4560" i="2"/>
  <c r="Y3473" i="2"/>
  <c r="Y1773" i="2"/>
  <c r="Y5029" i="2"/>
  <c r="Y3943" i="2"/>
  <c r="Y4296" i="2"/>
  <c r="Y4900" i="2"/>
  <c r="Y2959" i="2"/>
  <c r="Y4581" i="2"/>
  <c r="Y2960" i="2"/>
  <c r="Y1300" i="2"/>
  <c r="Y3353" i="2"/>
  <c r="Y5489" i="2"/>
  <c r="Y5290" i="2"/>
  <c r="Y5332" i="2"/>
  <c r="Y4434" i="2"/>
  <c r="Y4473" i="2"/>
  <c r="Y4426" i="2"/>
  <c r="Y4031" i="2"/>
  <c r="Y5419" i="2"/>
  <c r="Y5160" i="2"/>
  <c r="Y5277" i="2"/>
  <c r="Y4109" i="2"/>
  <c r="Y3678" i="2"/>
  <c r="Y5117" i="2"/>
  <c r="Y3669" i="2"/>
  <c r="Y4113" i="2"/>
  <c r="Y2465" i="2"/>
  <c r="Y5032" i="2"/>
  <c r="Y4246" i="2"/>
  <c r="Y5224" i="2"/>
  <c r="Y5178" i="2"/>
  <c r="Y4327" i="2"/>
  <c r="Y5241" i="2"/>
  <c r="Y4851" i="2"/>
  <c r="Y5248" i="2"/>
  <c r="Y5338" i="2"/>
  <c r="Y4686" i="2"/>
  <c r="Y3877" i="2"/>
  <c r="Y2835" i="2"/>
  <c r="Y5147" i="2"/>
  <c r="Y4320" i="2"/>
  <c r="Y5230" i="2"/>
  <c r="Y4551" i="2"/>
  <c r="Y4960" i="2"/>
  <c r="Y4957" i="2"/>
  <c r="Y4015" i="2"/>
  <c r="Y2676" i="2"/>
  <c r="Y2139" i="2"/>
  <c r="Y4499" i="2"/>
  <c r="Y5205" i="2"/>
  <c r="Y5057" i="2"/>
  <c r="Y4386" i="2"/>
  <c r="Y4049" i="2"/>
  <c r="Y5455" i="2"/>
  <c r="Y5171" i="2"/>
  <c r="Y3384" i="2"/>
  <c r="Y3745" i="2"/>
  <c r="Y4510" i="2"/>
  <c r="Y4122" i="2"/>
  <c r="Y5132" i="2"/>
  <c r="Y5025" i="2"/>
  <c r="Y3708" i="2"/>
  <c r="Y3826" i="2"/>
  <c r="Y4242" i="2"/>
  <c r="Y4624" i="2"/>
  <c r="Y4700" i="2"/>
  <c r="Y4182" i="2"/>
  <c r="Y4846" i="2"/>
  <c r="Y5131" i="2"/>
  <c r="Y3117" i="2"/>
  <c r="Y5207" i="2"/>
  <c r="Y4774" i="2"/>
  <c r="Y4304" i="2"/>
  <c r="Y4663" i="2"/>
  <c r="Y3673" i="2"/>
  <c r="Y5098" i="2"/>
  <c r="Y2214" i="2"/>
  <c r="Y4476" i="2"/>
  <c r="Y4533" i="2"/>
  <c r="Y4858" i="2"/>
  <c r="Y5115" i="2"/>
  <c r="Y4625" i="2"/>
  <c r="Y3888" i="2"/>
  <c r="Y5428" i="2"/>
  <c r="Y4429" i="2"/>
  <c r="Y4701" i="2"/>
  <c r="Y5275" i="2"/>
  <c r="Y4557" i="2"/>
  <c r="Y4103" i="2"/>
  <c r="Y5309" i="2"/>
  <c r="Y4893" i="2"/>
  <c r="Y1973" i="2"/>
  <c r="Y1207" i="2"/>
  <c r="Y246" i="2"/>
  <c r="Y3636" i="2"/>
  <c r="Y3908" i="2"/>
  <c r="Y4653" i="2"/>
  <c r="Y3769" i="2"/>
  <c r="Y3060" i="2"/>
  <c r="Y4423" i="2"/>
  <c r="Y4045" i="2"/>
  <c r="Y4165" i="2"/>
  <c r="Y4689" i="2"/>
  <c r="Y4605" i="2"/>
  <c r="Y741" i="2"/>
  <c r="Y1116" i="2"/>
  <c r="Y969" i="2"/>
  <c r="Y1217" i="2"/>
  <c r="Y12" i="2"/>
  <c r="Y1088" i="2"/>
  <c r="Y2301" i="2"/>
  <c r="Y337" i="2"/>
  <c r="Y3038" i="2"/>
  <c r="Y1866" i="2"/>
  <c r="Y1688" i="2"/>
  <c r="Y1834" i="2"/>
  <c r="Y400" i="2"/>
  <c r="Y3639" i="2"/>
  <c r="Y2444" i="2"/>
  <c r="Y2569" i="2"/>
  <c r="Y3950" i="2"/>
  <c r="Y950" i="2"/>
  <c r="Y2080" i="2"/>
  <c r="Y1763" i="2"/>
  <c r="Y3423" i="2"/>
  <c r="Y791" i="2"/>
  <c r="Y2861" i="2"/>
  <c r="Y2193" i="2"/>
  <c r="Y1551" i="2"/>
  <c r="Y3508" i="2"/>
  <c r="Y1693" i="2"/>
  <c r="Y2168" i="2"/>
  <c r="Y2440" i="2"/>
  <c r="Y2799" i="2"/>
  <c r="Y1909" i="2"/>
  <c r="Y2737" i="2"/>
  <c r="Y3019" i="2"/>
  <c r="Y2516" i="2"/>
  <c r="Y1839" i="2"/>
  <c r="Y820" i="2"/>
  <c r="Y2670" i="2"/>
  <c r="Y1597" i="2"/>
  <c r="Y2874" i="2"/>
  <c r="Y3785" i="2"/>
  <c r="Y1611" i="2"/>
  <c r="Y1144" i="2"/>
  <c r="Y1262" i="2"/>
  <c r="Y1731" i="2"/>
  <c r="Y1873" i="2"/>
  <c r="Y2304" i="2"/>
  <c r="Y4227" i="2"/>
  <c r="Y2797" i="2"/>
  <c r="Y2603" i="2"/>
  <c r="Y2344" i="2"/>
  <c r="Y1266" i="2"/>
  <c r="Y2254" i="2"/>
  <c r="Y2918" i="2"/>
  <c r="Y1665" i="2"/>
  <c r="Y2439" i="2"/>
  <c r="Y2278" i="2"/>
  <c r="Y3737" i="2"/>
  <c r="Y3406" i="2"/>
  <c r="Y3463" i="2"/>
  <c r="Y1889" i="2"/>
  <c r="Y4125" i="2"/>
  <c r="Y5473" i="2"/>
  <c r="Y3741" i="2"/>
  <c r="Y3200" i="2"/>
  <c r="Y3703" i="2"/>
  <c r="Y2952" i="2"/>
  <c r="Y2864" i="2"/>
  <c r="Y3210" i="2"/>
  <c r="Y3815" i="2"/>
  <c r="Y3844" i="2"/>
  <c r="Y3287" i="2"/>
  <c r="Y4655" i="2"/>
  <c r="Y3273" i="2"/>
  <c r="Y5159" i="2"/>
  <c r="Y3682" i="2"/>
  <c r="Y2882" i="2"/>
  <c r="Y4822" i="2"/>
  <c r="Y3798" i="2"/>
  <c r="Y4080" i="2"/>
  <c r="Y5472" i="2"/>
  <c r="Y4400" i="2"/>
  <c r="Y4621" i="2"/>
  <c r="Y3228" i="2"/>
  <c r="Y3993" i="2"/>
  <c r="Y4452" i="2"/>
  <c r="Y3488" i="2"/>
  <c r="Y4644" i="2"/>
  <c r="Y4766" i="2"/>
  <c r="Y2867" i="2"/>
  <c r="Y3229" i="2"/>
  <c r="Y5291" i="2"/>
  <c r="Y5120" i="2"/>
  <c r="Y5269" i="2"/>
  <c r="Y4759" i="2"/>
  <c r="Y5461" i="2"/>
  <c r="Y3113" i="2"/>
  <c r="Y4955" i="2"/>
  <c r="Y2946" i="2"/>
  <c r="Y4753" i="2"/>
  <c r="Y3612" i="2"/>
  <c r="Y2706" i="2"/>
  <c r="Y3263" i="2"/>
  <c r="Y3832" i="2"/>
  <c r="Y2935" i="2"/>
  <c r="Y4658" i="2"/>
  <c r="Y5460" i="2"/>
  <c r="Y3227" i="2"/>
  <c r="Y2883" i="2"/>
  <c r="Y4104" i="2"/>
  <c r="Y3438" i="2"/>
  <c r="Y4224" i="2"/>
  <c r="Y691" i="2"/>
  <c r="Y4274" i="2"/>
  <c r="Y3731" i="2"/>
  <c r="Y5099" i="2"/>
  <c r="Y3425" i="2"/>
  <c r="Y4006" i="2"/>
  <c r="Y5173" i="2"/>
  <c r="Y3296" i="2"/>
  <c r="Y2668" i="2"/>
  <c r="Y3953" i="2"/>
  <c r="Y3059" i="2"/>
  <c r="Y4026" i="2"/>
  <c r="Y3041" i="2"/>
  <c r="Y4197" i="2"/>
  <c r="Y3852" i="2"/>
  <c r="Y4838" i="2"/>
  <c r="Y1826" i="2"/>
  <c r="Y4177" i="2"/>
  <c r="Y2838" i="2"/>
  <c r="Y4418" i="2"/>
  <c r="Y3185" i="2"/>
  <c r="Y2993" i="2"/>
  <c r="Y4530" i="2"/>
  <c r="Y3414" i="2"/>
  <c r="Y1609" i="2"/>
  <c r="Y1806" i="2"/>
  <c r="Y4524" i="2"/>
  <c r="Y3407" i="2"/>
  <c r="Y4194" i="2"/>
  <c r="Y5039" i="2"/>
  <c r="Y5470" i="2"/>
  <c r="Y3701" i="2"/>
  <c r="Y3523" i="2"/>
  <c r="Y3784" i="2"/>
  <c r="Y4985" i="2"/>
  <c r="Y4724" i="2"/>
  <c r="Y5431" i="2"/>
  <c r="Y5062" i="2"/>
  <c r="Y4589" i="2"/>
  <c r="Y4229" i="2"/>
  <c r="Y3762" i="2"/>
  <c r="Y4819" i="2"/>
  <c r="Y5163" i="2"/>
  <c r="Y4385" i="2"/>
  <c r="Y4267" i="2"/>
  <c r="Y5139" i="2"/>
  <c r="Y5485" i="2"/>
  <c r="Y3952" i="2"/>
  <c r="Y4562" i="2"/>
  <c r="Y3013" i="2"/>
  <c r="Y5499" i="2"/>
  <c r="Y5319" i="2"/>
  <c r="Y5493" i="2"/>
  <c r="Y4578" i="2"/>
  <c r="Y2341" i="2"/>
  <c r="Y2939" i="2"/>
  <c r="Y2850" i="2"/>
  <c r="Y5295" i="2"/>
  <c r="Y4542" i="2"/>
  <c r="Y4928" i="2"/>
  <c r="Y5006" i="2"/>
  <c r="Y4808" i="2"/>
  <c r="Y4559" i="2"/>
  <c r="Y3045" i="2"/>
  <c r="Y4409" i="2"/>
  <c r="Y5362" i="2"/>
  <c r="Y4042" i="2"/>
  <c r="Y4485" i="2"/>
  <c r="Y3644" i="2"/>
  <c r="Y1444" i="2"/>
  <c r="Y3607" i="2"/>
  <c r="Y4291" i="2"/>
  <c r="Y4708" i="2"/>
  <c r="Y5361" i="2"/>
  <c r="Y4456" i="2"/>
  <c r="Y2847" i="2"/>
  <c r="Y4839" i="2"/>
  <c r="Y3909" i="2"/>
  <c r="Y3310" i="2"/>
  <c r="Y5034" i="2"/>
  <c r="Y4268" i="2"/>
  <c r="Y3788" i="2"/>
  <c r="Y5068" i="2"/>
  <c r="Y4878" i="2"/>
  <c r="Y3286" i="2"/>
  <c r="Y4066" i="2"/>
  <c r="Y4474" i="2"/>
  <c r="Y5310" i="2"/>
  <c r="Y4923" i="2"/>
  <c r="Y5050" i="2"/>
  <c r="Y4146" i="2"/>
  <c r="Y3241" i="2"/>
  <c r="Y3322" i="2"/>
  <c r="Y5101" i="2"/>
  <c r="Y5176" i="2"/>
  <c r="Y5292" i="2"/>
  <c r="Y4744" i="2"/>
  <c r="Y2958" i="2"/>
  <c r="Y5213" i="2"/>
  <c r="Y4089" i="2"/>
  <c r="Y2634" i="2"/>
  <c r="Y5250" i="2"/>
  <c r="Y4940" i="2"/>
  <c r="Y5223" i="2"/>
  <c r="Y5415" i="2"/>
  <c r="Y5370" i="2"/>
  <c r="Y2761" i="2"/>
  <c r="Y2925" i="2"/>
  <c r="Y4097" i="2"/>
  <c r="Y4303" i="2"/>
  <c r="Y4371" i="2"/>
  <c r="Y4927" i="2"/>
  <c r="Y4527" i="2"/>
  <c r="Y4965" i="2"/>
  <c r="Y1849" i="2"/>
  <c r="Y1906" i="2"/>
  <c r="Y2585" i="2"/>
  <c r="Y4741" i="2"/>
  <c r="Y5017" i="2"/>
  <c r="Y3198" i="2"/>
  <c r="Y4742" i="2"/>
  <c r="Y4196" i="2"/>
  <c r="Y2398" i="2"/>
  <c r="Y3584" i="2"/>
  <c r="Y3923" i="2"/>
  <c r="Y4254" i="2"/>
  <c r="Y4225" i="2"/>
  <c r="Y128" i="2"/>
  <c r="Y947" i="2"/>
  <c r="Y1325" i="2"/>
  <c r="Y1176" i="2"/>
  <c r="Y1195" i="2"/>
  <c r="Y168" i="2"/>
  <c r="Y1120" i="2"/>
  <c r="Y1619" i="2"/>
  <c r="Y1829" i="2"/>
  <c r="Y1114" i="2"/>
  <c r="Y2570" i="2"/>
  <c r="Y2680" i="2"/>
  <c r="Y2681" i="2"/>
  <c r="Y2305" i="2"/>
  <c r="Y2068" i="2"/>
  <c r="Y2335" i="2"/>
  <c r="Y1311" i="2"/>
  <c r="Y3739" i="2"/>
  <c r="Y1846" i="2"/>
  <c r="Y2489" i="2"/>
  <c r="Y2006" i="2"/>
  <c r="Y1641" i="2"/>
  <c r="Y2198" i="2"/>
  <c r="Y1813" i="2"/>
  <c r="Y616" i="2"/>
  <c r="Y2030" i="2"/>
  <c r="Y2293" i="2"/>
  <c r="Y2052" i="2"/>
  <c r="Y3297" i="2"/>
  <c r="Y2075" i="2"/>
  <c r="Y2009" i="2"/>
  <c r="Y3304" i="2"/>
  <c r="Y2209" i="2"/>
  <c r="Y1971" i="2"/>
  <c r="Y2062" i="2"/>
  <c r="Y2157" i="2"/>
  <c r="Y2351" i="2"/>
  <c r="Y64" i="2"/>
  <c r="Y3146" i="2"/>
  <c r="Y2004" i="2"/>
  <c r="Y1546" i="2"/>
  <c r="Y544" i="2"/>
  <c r="Y336" i="2"/>
  <c r="Y2744" i="2"/>
  <c r="Y3963" i="2"/>
  <c r="Y2932" i="2"/>
  <c r="Y2893" i="2"/>
  <c r="Y2624" i="2"/>
  <c r="Y1964" i="2"/>
  <c r="Y2853" i="2"/>
  <c r="Y2087" i="2"/>
  <c r="Y2966" i="2"/>
  <c r="Y1905" i="2"/>
  <c r="Y2265" i="2"/>
  <c r="Y2077" i="2"/>
  <c r="Y3939" i="2"/>
  <c r="Y3576" i="2"/>
  <c r="Y5234" i="2"/>
  <c r="Y5399" i="2"/>
  <c r="Y3359" i="2"/>
  <c r="Y4574" i="2"/>
  <c r="Y4257" i="2"/>
  <c r="Y2328" i="2"/>
  <c r="Y4237" i="2"/>
  <c r="Y3512" i="2"/>
  <c r="Y3869" i="2"/>
  <c r="Y4717" i="2"/>
  <c r="Y3037" i="2"/>
  <c r="Y2246" i="2"/>
  <c r="Y3947" i="2"/>
  <c r="Y2228" i="2"/>
  <c r="Y5064" i="2"/>
  <c r="Y2938" i="2"/>
  <c r="Y3835" i="2"/>
  <c r="Y3601" i="2"/>
  <c r="Y5004" i="2"/>
  <c r="Y3270" i="2"/>
  <c r="Y4631" i="2"/>
  <c r="Y1516" i="2"/>
  <c r="Y4358" i="2"/>
  <c r="Y4007" i="2"/>
  <c r="Y3405" i="2"/>
  <c r="Y1602" i="2"/>
  <c r="Y2124" i="2"/>
  <c r="Y2346" i="2"/>
  <c r="Y2513" i="2"/>
  <c r="Y2007" i="2"/>
  <c r="Y2742" i="2"/>
  <c r="Y4547" i="2"/>
  <c r="Y3095" i="2"/>
  <c r="Y3967" i="2"/>
  <c r="Y3653" i="2"/>
  <c r="Y3765" i="2"/>
  <c r="Y1974" i="2"/>
  <c r="Y3319" i="2"/>
  <c r="Y2334" i="2"/>
  <c r="Y5364" i="2"/>
  <c r="Y4318" i="2"/>
  <c r="Y3537" i="2"/>
  <c r="Y3475" i="2"/>
  <c r="Y3311" i="2"/>
  <c r="Y3256" i="2"/>
  <c r="Y3431" i="2"/>
  <c r="Y1526" i="2"/>
  <c r="Y4836" i="2"/>
  <c r="Y4185" i="2"/>
  <c r="Y3036" i="2"/>
  <c r="Y4934" i="2"/>
  <c r="Y4692" i="2"/>
  <c r="Y4356" i="2"/>
  <c r="Y3606" i="2"/>
  <c r="Y1633" i="2"/>
  <c r="Y3805" i="2"/>
  <c r="Y3369" i="2"/>
  <c r="Y3599" i="2"/>
  <c r="Y4406" i="2"/>
  <c r="Y3248" i="2"/>
  <c r="Y2907" i="2"/>
  <c r="Y5400" i="2"/>
  <c r="Y2099" i="2"/>
  <c r="Y3648" i="2"/>
  <c r="Y2523" i="2"/>
  <c r="Y4980" i="2"/>
  <c r="Y4550" i="2"/>
  <c r="Y4502" i="2"/>
  <c r="Y5479" i="2"/>
  <c r="Y2390" i="2"/>
  <c r="Y218" i="2"/>
  <c r="Y3081" i="2"/>
  <c r="Y3816" i="2"/>
  <c r="Y4903" i="2"/>
  <c r="Y4509" i="2"/>
  <c r="Y2538" i="2"/>
  <c r="Y4937" i="2"/>
  <c r="Y5354" i="2"/>
  <c r="Y1659" i="2"/>
  <c r="Y3893" i="2"/>
  <c r="Y3176" i="2"/>
  <c r="Y2994" i="2"/>
  <c r="Y3858" i="2"/>
  <c r="Y3920" i="2"/>
  <c r="Y4019" i="2"/>
  <c r="Y3547" i="2"/>
  <c r="Y3057" i="2"/>
  <c r="Y3330" i="2"/>
  <c r="Y3053" i="2"/>
  <c r="Y4347" i="2"/>
  <c r="Y2550" i="2"/>
  <c r="Y3490" i="2"/>
  <c r="Y4780" i="2"/>
  <c r="Y5103" i="2"/>
  <c r="Y4824" i="2"/>
  <c r="Y5045" i="2"/>
  <c r="Y4964" i="2"/>
  <c r="Y5142" i="2"/>
  <c r="Y4363" i="2"/>
  <c r="Y5097" i="2"/>
  <c r="Y3371" i="2"/>
  <c r="Y4857" i="2"/>
  <c r="Y5047" i="2"/>
  <c r="Y4024" i="2"/>
  <c r="Y5079" i="2"/>
  <c r="Y4445" i="2"/>
  <c r="Y4513" i="2"/>
  <c r="Y4804" i="2"/>
  <c r="Y5113" i="2"/>
  <c r="Y3068" i="2"/>
  <c r="Y3709" i="2"/>
  <c r="Y4998" i="2"/>
  <c r="Y4738" i="2"/>
  <c r="Y4627" i="2"/>
  <c r="Y4817" i="2"/>
  <c r="Y5346" i="2"/>
  <c r="Y4198" i="2"/>
  <c r="Y2190" i="2"/>
  <c r="Y4440" i="2"/>
  <c r="Y4396" i="2"/>
  <c r="Y5152" i="2"/>
  <c r="Y5211" i="2"/>
  <c r="Y4794" i="2"/>
  <c r="Y3980" i="2"/>
  <c r="Y3049" i="2"/>
  <c r="Y5156" i="2"/>
  <c r="Y2906" i="2"/>
  <c r="Y3001" i="2"/>
  <c r="Y5467" i="2"/>
  <c r="Y4864" i="2"/>
  <c r="Y4038" i="2"/>
  <c r="Y3707" i="2"/>
  <c r="Y4669" i="2"/>
  <c r="Y3265" i="2"/>
  <c r="Y4926" i="2"/>
  <c r="Y4517" i="2"/>
  <c r="Y3773" i="2"/>
  <c r="Y3121" i="2"/>
  <c r="Y5042" i="2"/>
  <c r="Y1890" i="2"/>
  <c r="Y5082" i="2"/>
  <c r="Y4437" i="2"/>
  <c r="Y3344" i="2"/>
  <c r="Y4110" i="2"/>
  <c r="Y3744" i="2"/>
  <c r="Y3889" i="2"/>
  <c r="Y5294" i="2"/>
  <c r="Y5343" i="2"/>
  <c r="Y4673" i="2"/>
  <c r="Y3246" i="2"/>
  <c r="Y4154" i="2"/>
  <c r="Y4206" i="2"/>
  <c r="Y4834" i="2"/>
  <c r="Y5244" i="2"/>
  <c r="Y4800" i="2"/>
  <c r="Y4879" i="2"/>
  <c r="Y5312" i="2"/>
  <c r="Y5169" i="2"/>
  <c r="Y5454" i="2"/>
  <c r="Y3989" i="2"/>
  <c r="Y5336" i="2"/>
  <c r="Y4897" i="2"/>
  <c r="Y4876" i="2"/>
  <c r="Y5180" i="2"/>
  <c r="Y4587" i="2"/>
  <c r="Y4855" i="2"/>
  <c r="Y4069" i="2"/>
  <c r="Y4743" i="2"/>
  <c r="Y2517" i="2"/>
  <c r="Y2410" i="2"/>
  <c r="Y2194" i="2"/>
  <c r="Y1625" i="2"/>
  <c r="Y4370" i="2"/>
  <c r="Y4156" i="2"/>
  <c r="Y1626" i="2"/>
  <c r="Y4976" i="2"/>
  <c r="Y4921" i="2"/>
  <c r="Y2858" i="2"/>
  <c r="Y4279" i="2"/>
  <c r="Y4145" i="2"/>
  <c r="Y4685" i="2"/>
  <c r="Y4472" i="2"/>
  <c r="Y5490" i="2"/>
  <c r="Y4021" i="2"/>
  <c r="Y815" i="2"/>
  <c r="Y878" i="2"/>
  <c r="Y699" i="2"/>
  <c r="Y957" i="2"/>
  <c r="Y1145" i="2"/>
  <c r="Y597" i="2"/>
  <c r="Y2678" i="2"/>
  <c r="Y1716" i="2"/>
  <c r="Y692" i="2"/>
  <c r="Y2169" i="2"/>
  <c r="Y2192" i="2"/>
  <c r="Y1552" i="2"/>
  <c r="Y2736" i="2"/>
  <c r="Y3052" i="2"/>
  <c r="Y2956" i="2"/>
  <c r="Y2435" i="2"/>
  <c r="Y1394" i="2"/>
  <c r="Y2411" i="2"/>
  <c r="Y2446" i="2"/>
  <c r="Y2519" i="2"/>
  <c r="Y3267" i="2"/>
  <c r="Y1549" i="2"/>
  <c r="Y1240" i="2"/>
  <c r="Y3903" i="2"/>
  <c r="Y220" i="2"/>
  <c r="Y2425" i="2"/>
  <c r="Y2408" i="2"/>
  <c r="Y3280" i="2"/>
  <c r="Y2697" i="2"/>
  <c r="Y1893" i="2"/>
  <c r="Y2039" i="2"/>
  <c r="Y2506" i="2"/>
  <c r="Y2036" i="2"/>
  <c r="Y1869" i="2"/>
  <c r="Y1917" i="2"/>
  <c r="Y1578" i="2"/>
  <c r="Y2852" i="2"/>
  <c r="Y3518" i="2"/>
  <c r="Y1956" i="2"/>
  <c r="Y4155" i="2"/>
  <c r="Y3207" i="2"/>
  <c r="Y2141" i="2"/>
  <c r="Y2433" i="2"/>
  <c r="Y2368" i="2"/>
  <c r="Y880" i="2"/>
  <c r="Y1791" i="2"/>
  <c r="Y2699" i="2"/>
  <c r="Y2806" i="2"/>
  <c r="Y2561" i="2"/>
  <c r="Y2547" i="2"/>
  <c r="Y2813" i="2"/>
  <c r="Y1981" i="2"/>
  <c r="Y1520" i="2"/>
  <c r="Y1913" i="2"/>
  <c r="Y1528" i="2"/>
  <c r="Y37" i="2"/>
  <c r="Y2692" i="2"/>
  <c r="Y2976" i="2"/>
  <c r="Y3787" i="2"/>
  <c r="Y3234" i="2"/>
  <c r="Y2379" i="2"/>
  <c r="Y4706" i="2"/>
  <c r="Y3190" i="2"/>
  <c r="Y903" i="2"/>
  <c r="Y3006" i="2"/>
  <c r="Y5183" i="2"/>
  <c r="Y3213" i="2"/>
  <c r="Y4709" i="2"/>
  <c r="Y2817" i="2"/>
  <c r="Y4730" i="2"/>
  <c r="Y4365" i="2"/>
  <c r="Y757" i="2"/>
  <c r="Y4075" i="2"/>
  <c r="Y4645" i="2"/>
  <c r="Y2888" i="2"/>
  <c r="Y3214" i="2"/>
  <c r="Y3931" i="2"/>
  <c r="Y3978" i="2"/>
  <c r="Y3469" i="2"/>
  <c r="Y1024" i="2"/>
  <c r="Y3501" i="2"/>
  <c r="Y3517" i="2"/>
  <c r="Y3840" i="2"/>
  <c r="Y1674" i="2"/>
  <c r="Y3357" i="2"/>
  <c r="Y3453" i="2"/>
  <c r="Y4896" i="2"/>
  <c r="Y505" i="2"/>
  <c r="Y3191" i="2"/>
  <c r="Y436" i="2"/>
  <c r="Y4548" i="2"/>
  <c r="Y4823" i="2"/>
  <c r="Y3047" i="2"/>
  <c r="Y2999" i="2"/>
  <c r="Y4138" i="2"/>
  <c r="Y2299" i="2"/>
  <c r="Y4128" i="2"/>
  <c r="Y3236" i="2"/>
  <c r="Y3997" i="2"/>
  <c r="Y4033" i="2"/>
  <c r="Y3984" i="2"/>
  <c r="Y3792" i="2"/>
  <c r="Y3796" i="2"/>
  <c r="Y1998" i="2"/>
  <c r="Y2276" i="2"/>
  <c r="Y3799" i="2"/>
  <c r="Y4053" i="2"/>
  <c r="Y4968" i="2"/>
  <c r="Y3702" i="2"/>
  <c r="Y3225" i="2"/>
  <c r="Y4439" i="2"/>
  <c r="Y2069" i="2"/>
  <c r="Y2802" i="2"/>
  <c r="Y4981" i="2"/>
  <c r="Y1542" i="2"/>
  <c r="Y5112" i="2"/>
  <c r="Y5208" i="2"/>
  <c r="Y2646" i="2"/>
  <c r="Y4052" i="2"/>
  <c r="Y2098" i="2"/>
  <c r="Y3511" i="2"/>
  <c r="Y3023" i="2"/>
  <c r="Y3632" i="2"/>
  <c r="Y3334" i="2"/>
  <c r="Y3142" i="2"/>
  <c r="Y3312" i="2"/>
  <c r="Y4561" i="2"/>
  <c r="Y2204" i="2"/>
  <c r="Y5258" i="2"/>
  <c r="Y3486" i="2"/>
  <c r="Y2548" i="2"/>
  <c r="Y2022" i="2"/>
  <c r="Y2983" i="2"/>
  <c r="Y2950" i="2"/>
  <c r="Y3581" i="2"/>
  <c r="Y3866" i="2"/>
  <c r="Y4801" i="2"/>
  <c r="Y5280" i="2"/>
  <c r="Y5411" i="2"/>
  <c r="Y2996" i="2"/>
  <c r="Y3175" i="2"/>
  <c r="Y3125" i="2"/>
  <c r="Y4001" i="2"/>
  <c r="Y4405" i="2"/>
  <c r="Y4085" i="2"/>
  <c r="Y4399" i="2"/>
  <c r="Y5492" i="2"/>
  <c r="Y3985" i="2"/>
  <c r="Y4314" i="2"/>
  <c r="Y3277" i="2"/>
  <c r="Y4350" i="2"/>
  <c r="Y3732" i="2"/>
  <c r="Y4815" i="2"/>
  <c r="Y2965" i="2"/>
  <c r="Y4870" i="2"/>
  <c r="Y3341" i="2"/>
  <c r="Y5164" i="2"/>
  <c r="Y4280" i="2"/>
  <c r="Y4566" i="2"/>
  <c r="Y3797" i="2"/>
  <c r="Y4592" i="2"/>
  <c r="Y5155" i="2"/>
  <c r="Y4711" i="2"/>
  <c r="Y4387" i="2"/>
  <c r="Y3212" i="2"/>
  <c r="Y3034" i="2"/>
  <c r="Y3934" i="2"/>
  <c r="Y5283" i="2"/>
  <c r="Y5080" i="2"/>
  <c r="Y5359" i="2"/>
  <c r="Y4758" i="2"/>
  <c r="Y4913" i="2"/>
  <c r="Y4901" i="2"/>
  <c r="Y3676" i="2"/>
  <c r="Y5323" i="2"/>
  <c r="Y5322" i="2"/>
  <c r="Y4699" i="2"/>
  <c r="Y3733" i="2"/>
  <c r="Y4317" i="2"/>
  <c r="Y5345" i="2"/>
  <c r="Y3610" i="2"/>
  <c r="Y4453" i="2"/>
  <c r="Y4311" i="2"/>
  <c r="Y2382" i="2"/>
  <c r="Y5422" i="2"/>
  <c r="Y4862" i="2"/>
  <c r="Y5380" i="2"/>
  <c r="Y5143" i="2"/>
  <c r="Y4895" i="2"/>
  <c r="Y4543" i="2"/>
  <c r="Y4963" i="2"/>
  <c r="Y4728" i="2"/>
  <c r="Y3966" i="2"/>
  <c r="Y4218" i="2"/>
  <c r="Y5396" i="2"/>
  <c r="Y3560" i="2"/>
  <c r="Y3119" i="2"/>
  <c r="Y2694" i="2"/>
  <c r="Y5116" i="2"/>
  <c r="Y3025" i="2"/>
  <c r="Y3841" i="2"/>
  <c r="Y4750" i="2"/>
  <c r="Y4880" i="2"/>
  <c r="Y3551" i="2"/>
  <c r="Y3721" i="2"/>
  <c r="Y4881" i="2"/>
  <c r="Y4902" i="2"/>
  <c r="Y5357" i="2"/>
  <c r="Y4190" i="2"/>
  <c r="Y3141" i="2"/>
  <c r="Y4512" i="2"/>
  <c r="Y3813" i="2"/>
  <c r="Y5475" i="2"/>
  <c r="Y4865" i="2"/>
  <c r="Y5320" i="2"/>
  <c r="Y5226" i="2"/>
  <c r="Y4287" i="2"/>
  <c r="Y3513" i="2"/>
  <c r="Y3681" i="2"/>
  <c r="Y5358" i="2"/>
  <c r="Y4707" i="2"/>
  <c r="Y5001" i="2"/>
  <c r="Y5480" i="2"/>
  <c r="Y5482" i="2"/>
  <c r="Y5249" i="2"/>
  <c r="Y4027" i="2"/>
  <c r="Y4095" i="2"/>
  <c r="Y2421" i="2"/>
  <c r="Y1608" i="2"/>
  <c r="Y896" i="2"/>
  <c r="Y3591" i="2"/>
  <c r="Y1707" i="2"/>
  <c r="Y1096" i="2"/>
  <c r="Y3849" i="2"/>
  <c r="Y3763" i="2"/>
  <c r="Y3913" i="2"/>
  <c r="Y3949" i="2"/>
  <c r="Y5468" i="2"/>
  <c r="Y3589" i="2"/>
  <c r="Y4983" i="2"/>
  <c r="Y3536" i="2"/>
  <c r="Y4908" i="2"/>
  <c r="Y1007" i="2"/>
  <c r="Y1358" i="2"/>
  <c r="Y564" i="2"/>
  <c r="Y522" i="2"/>
  <c r="Y862" i="2"/>
  <c r="Y2251" i="2"/>
  <c r="Y532" i="2"/>
  <c r="Y1582" i="2"/>
  <c r="Y775" i="2"/>
  <c r="Y1204" i="2"/>
  <c r="Y1960" i="2"/>
  <c r="Y772" i="2"/>
  <c r="Y481" i="2"/>
  <c r="Y2027" i="2"/>
  <c r="Y2123" i="2"/>
  <c r="Y2418" i="2"/>
  <c r="Y854" i="2"/>
  <c r="Y2130" i="2"/>
  <c r="Y3302" i="2"/>
  <c r="Y3086" i="2"/>
  <c r="Y1850" i="2"/>
  <c r="Y1944" i="2"/>
  <c r="Y3447" i="2"/>
  <c r="Y2980" i="2"/>
  <c r="Y3567" i="2"/>
  <c r="Y2992" i="2"/>
  <c r="Y3328" i="2"/>
  <c r="Y3080" i="2"/>
  <c r="Y2140" i="2"/>
  <c r="Y2920" i="2"/>
  <c r="Y2314" i="2"/>
  <c r="Y3218" i="2"/>
  <c r="Y2064" i="2"/>
  <c r="Y2763" i="2"/>
  <c r="Y3556" i="2"/>
  <c r="Y832" i="2"/>
  <c r="Y1692" i="2"/>
  <c r="Y2245" i="2"/>
  <c r="Y1786" i="2"/>
  <c r="Y1751" i="2"/>
  <c r="Y1768" i="2"/>
  <c r="Y964" i="2"/>
  <c r="Y1876" i="2"/>
  <c r="Y2459" i="2"/>
  <c r="Y2147" i="2"/>
  <c r="Y2391" i="2"/>
  <c r="Y1874" i="2"/>
  <c r="Y1146" i="2"/>
  <c r="Y2303" i="2"/>
  <c r="Y2445" i="2"/>
  <c r="Y3350" i="2"/>
  <c r="Y2581" i="2"/>
  <c r="Y2096" i="2"/>
  <c r="Y3892" i="2"/>
  <c r="Y2532" i="2"/>
  <c r="Y3110" i="2"/>
  <c r="Y3845" i="2"/>
  <c r="Y3127" i="2"/>
  <c r="Y3093" i="2"/>
  <c r="Y2894" i="2"/>
  <c r="Y4025" i="2"/>
  <c r="Y5408" i="2"/>
  <c r="Y2206" i="2"/>
  <c r="Y2125" i="2"/>
  <c r="Y3811" i="2"/>
  <c r="Y4064" i="2"/>
  <c r="Y1950" i="2"/>
  <c r="Y3282" i="2"/>
  <c r="Y4802" i="2"/>
  <c r="Y5375" i="2"/>
  <c r="Y3904" i="2"/>
  <c r="Y1618" i="2"/>
  <c r="Y3381" i="2"/>
  <c r="Y1686" i="2"/>
  <c r="Y3720" i="2"/>
  <c r="Y2490" i="2"/>
  <c r="Y3437" i="2"/>
  <c r="Y4693" i="2"/>
  <c r="Y3714" i="2"/>
  <c r="Y3303" i="2"/>
  <c r="Y3071" i="2"/>
  <c r="Y4837" i="2"/>
  <c r="Y2534" i="2"/>
  <c r="Y3777" i="2"/>
  <c r="Y3403" i="2"/>
  <c r="Y5486" i="2"/>
  <c r="Y3260" i="2"/>
  <c r="Y1825" i="2"/>
  <c r="Y4008" i="2"/>
  <c r="Y4009" i="2"/>
  <c r="Y3558" i="2"/>
  <c r="Y3323" i="2"/>
  <c r="Y2973" i="2"/>
  <c r="Y3833" i="2"/>
  <c r="Y4209" i="2"/>
  <c r="Y2220" i="2"/>
  <c r="Y4716" i="2"/>
  <c r="Y3977" i="2"/>
  <c r="Y3104" i="2"/>
  <c r="Y4260" i="2"/>
  <c r="Y1863" i="2"/>
  <c r="Y3655" i="2"/>
  <c r="Y3755" i="2"/>
  <c r="Y1640" i="2"/>
  <c r="Y3309" i="2"/>
  <c r="Y2185" i="2"/>
  <c r="Y3335" i="2"/>
  <c r="Y4057" i="2"/>
  <c r="Y4391" i="2"/>
  <c r="Y3271" i="2"/>
  <c r="Y3115" i="2"/>
  <c r="Y2163" i="2"/>
  <c r="Y3689" i="2"/>
  <c r="Y3477" i="2"/>
  <c r="Y3942" i="2"/>
  <c r="Y3764" i="2"/>
  <c r="Y3572" i="2"/>
  <c r="Y5227" i="2"/>
  <c r="Y5243" i="2"/>
  <c r="Y2438" i="2"/>
  <c r="Y4321" i="2"/>
  <c r="Y3627" i="2"/>
  <c r="Y2564" i="2"/>
  <c r="Y1504" i="2"/>
  <c r="Y3017" i="2"/>
  <c r="Y2610" i="2"/>
  <c r="Y4946" i="2"/>
  <c r="Y2229" i="2"/>
  <c r="Y5436" i="2"/>
  <c r="Y4319" i="2"/>
  <c r="Y3348" i="2"/>
  <c r="Y3450" i="2"/>
  <c r="Y2896" i="2"/>
  <c r="Y4778" i="2"/>
  <c r="Y3420" i="2"/>
  <c r="Y2607" i="2"/>
  <c r="Y4748" i="2"/>
  <c r="Y2879" i="2"/>
  <c r="Y4055" i="2"/>
  <c r="Y2919" i="2"/>
  <c r="Y4325" i="2"/>
  <c r="Y2964" i="2"/>
  <c r="Y4565" i="2"/>
  <c r="Y5191" i="2"/>
  <c r="Y2622" i="2"/>
  <c r="Y5109" i="2"/>
  <c r="Y4520" i="2"/>
  <c r="Y4508" i="2"/>
  <c r="Y5442" i="2"/>
  <c r="Y4768" i="2"/>
  <c r="Y4034" i="2"/>
  <c r="Y3679" i="2"/>
  <c r="Y5013" i="2"/>
  <c r="Y4612" i="2"/>
  <c r="Y4782" i="2"/>
  <c r="Y5158" i="2"/>
  <c r="Y4148" i="2"/>
  <c r="Y4160" i="2"/>
  <c r="Y5162" i="2"/>
  <c r="Y4490" i="2"/>
  <c r="Y4226" i="2"/>
  <c r="Y2790" i="2"/>
  <c r="Y4629" i="2"/>
  <c r="Y5337" i="2"/>
  <c r="Y4390" i="2"/>
  <c r="Y2798" i="2"/>
  <c r="Y3072" i="2"/>
  <c r="Y4997" i="2"/>
  <c r="Y4329" i="2"/>
  <c r="Y5301" i="2"/>
  <c r="Y4647" i="2"/>
  <c r="Y5344" i="2"/>
  <c r="Y4162" i="2"/>
  <c r="Y2998" i="2"/>
  <c r="Y4840" i="2"/>
  <c r="Y4424" i="2"/>
  <c r="Y5061" i="2"/>
  <c r="Y4323" i="2"/>
  <c r="Y5175" i="2"/>
  <c r="Y4649" i="2"/>
  <c r="Y4729" i="2"/>
  <c r="Y4607" i="2"/>
  <c r="Y5308" i="2"/>
  <c r="Y5217" i="2"/>
  <c r="Y4931" i="2"/>
  <c r="Y4032" i="2"/>
  <c r="Y5074" i="2"/>
  <c r="Y4545" i="2"/>
  <c r="Y3571" i="2"/>
  <c r="Y2829" i="2"/>
  <c r="Y3439" i="2"/>
  <c r="Y4504" i="2"/>
  <c r="Y4076" i="2"/>
  <c r="Y4654" i="2"/>
  <c r="Y5348" i="2"/>
  <c r="Y5040" i="2"/>
  <c r="Y3051" i="2"/>
  <c r="Y4432" i="2"/>
  <c r="Y4582" i="2"/>
  <c r="Y5140" i="2"/>
  <c r="Y4186" i="2"/>
  <c r="Y5287" i="2"/>
  <c r="Y4335" i="2"/>
  <c r="Y3138" i="2"/>
  <c r="Y4340" i="2"/>
  <c r="Y4507" i="2"/>
  <c r="Y3871" i="2"/>
  <c r="Y5381" i="2"/>
  <c r="Y4348" i="2"/>
  <c r="Y5172" i="2"/>
  <c r="Y5423" i="2"/>
  <c r="Y3710" i="2"/>
  <c r="Y4641" i="2"/>
  <c r="Y4054" i="2"/>
  <c r="Y4435" i="2"/>
  <c r="Y4482" i="2"/>
  <c r="Y4412" i="2"/>
  <c r="Y3336" i="2"/>
  <c r="Y4884" i="2"/>
  <c r="Y5168" i="2"/>
  <c r="Y3325" i="2"/>
  <c r="Y5194" i="2"/>
  <c r="Y4642" i="2"/>
  <c r="Y5214" i="2"/>
  <c r="Y4343" i="2"/>
  <c r="Y2460" i="2"/>
  <c r="Y2158" i="2"/>
  <c r="Y2616" i="2"/>
  <c r="Y2723" i="2"/>
  <c r="Y2197" i="2"/>
  <c r="Y3112" i="2"/>
  <c r="Y4175" i="2"/>
  <c r="Y2971" i="2"/>
  <c r="Y2713" i="2"/>
  <c r="Y2862" i="2"/>
  <c r="Y3275" i="2"/>
  <c r="Y4192" i="2"/>
  <c r="Y5286" i="2"/>
  <c r="Y3600" i="2"/>
  <c r="Y5453" i="2"/>
  <c r="Y3421" i="2"/>
  <c r="Y4785" i="2"/>
  <c r="Y1877" i="2"/>
  <c r="Y2005" i="2"/>
  <c r="Y31" i="2"/>
  <c r="Y493" i="2"/>
  <c r="Y341" i="2"/>
  <c r="Y1304" i="2"/>
  <c r="Y961" i="2"/>
  <c r="Y1987" i="2"/>
  <c r="Y584" i="2"/>
  <c r="Y2200" i="2"/>
  <c r="Y2560" i="2"/>
  <c r="Y2488" i="2"/>
  <c r="Y2580" i="2"/>
  <c r="Y2302" i="2"/>
  <c r="Y2705" i="2"/>
  <c r="Y1837" i="2"/>
  <c r="Y590" i="2"/>
  <c r="Y1821" i="2"/>
  <c r="Y2317" i="2"/>
  <c r="Y2109" i="2"/>
  <c r="Y892" i="2"/>
  <c r="Y4239" i="2"/>
  <c r="Y1969" i="2"/>
  <c r="Y1983" i="2"/>
  <c r="Y2422" i="2"/>
  <c r="Y1838" i="2"/>
  <c r="Y2413" i="2"/>
  <c r="Y2065" i="2"/>
  <c r="Y2050" i="2"/>
  <c r="Y652" i="2"/>
  <c r="Y1637" i="2"/>
  <c r="Y2097" i="2"/>
  <c r="Y1848" i="2"/>
  <c r="Y3759" i="2"/>
  <c r="Y2222" i="2"/>
  <c r="Y52" i="2"/>
  <c r="Y2637" i="2"/>
  <c r="Y2360" i="2"/>
  <c r="Y2604" i="2"/>
  <c r="Y1425" i="2"/>
  <c r="Y2793" i="2"/>
  <c r="Y3568" i="2"/>
  <c r="Y3546" i="2"/>
  <c r="Y1644" i="2"/>
  <c r="Y1610" i="2"/>
  <c r="Y3675" i="2"/>
  <c r="Y1072" i="2"/>
  <c r="Y1170" i="2"/>
  <c r="Y2562" i="2"/>
  <c r="Y2093" i="2"/>
  <c r="Y2085" i="2"/>
  <c r="Y1886" i="2"/>
  <c r="Y2268" i="2"/>
  <c r="Y1932" i="2"/>
  <c r="Y3099" i="2"/>
  <c r="Y1842" i="2"/>
  <c r="Y3684" i="2"/>
  <c r="Y5391" i="2"/>
  <c r="Y1649" i="2"/>
  <c r="Y1588" i="2"/>
  <c r="Y4682" i="2"/>
  <c r="Y2226" i="2"/>
  <c r="Y2082" i="2"/>
  <c r="Y105" i="2"/>
  <c r="Y4392" i="2"/>
  <c r="Y4636" i="2"/>
  <c r="Y5257" i="2"/>
  <c r="Y2058" i="2"/>
  <c r="Y3317" i="2"/>
  <c r="Y3875" i="2"/>
  <c r="Y3863" i="2"/>
  <c r="Y4083" i="2"/>
  <c r="Y5353" i="2"/>
  <c r="Y2242" i="2"/>
  <c r="Y2897" i="2"/>
  <c r="Y3426" i="2"/>
  <c r="Y3283" i="2"/>
  <c r="Y4415" i="2"/>
  <c r="Y4403" i="2"/>
  <c r="Y2749" i="2"/>
  <c r="Y3724" i="2"/>
  <c r="Y1537" i="2"/>
  <c r="Y3150" i="2"/>
  <c r="Y2972" i="2"/>
  <c r="Y4518" i="2"/>
  <c r="Y5232" i="2"/>
  <c r="Y5220" i="2"/>
  <c r="Y3316" i="2"/>
  <c r="Y4121" i="2"/>
  <c r="Y1557" i="2"/>
  <c r="Y4219" i="2"/>
  <c r="Y3921" i="2"/>
  <c r="Y1938" i="2"/>
  <c r="Y4670" i="2"/>
  <c r="Y4514" i="2"/>
  <c r="Y2942" i="2"/>
  <c r="Y3834" i="2"/>
  <c r="Y2256" i="2"/>
  <c r="Y3645" i="2"/>
  <c r="Y3467" i="2"/>
  <c r="Y3851" i="2"/>
  <c r="Y3305" i="2"/>
  <c r="Y3149" i="2"/>
  <c r="Y2412" i="2"/>
  <c r="Y5342" i="2"/>
  <c r="Y4051" i="2"/>
  <c r="Y3988" i="2"/>
  <c r="Y2478" i="2"/>
  <c r="Y1902" i="2"/>
  <c r="Y4539" i="2"/>
  <c r="Y3180" i="2"/>
  <c r="Y1736" i="2"/>
  <c r="Y4859" i="2"/>
  <c r="Y5305" i="2"/>
  <c r="Y4775" i="2"/>
  <c r="Y4369" i="2"/>
  <c r="Y4382" i="2"/>
  <c r="Y1670" i="2"/>
  <c r="Y4061" i="2"/>
  <c r="Y3843" i="2"/>
  <c r="Y4475" i="2"/>
  <c r="Y3635" i="2"/>
  <c r="Y3802" i="2"/>
  <c r="Y3400" i="2"/>
  <c r="Y4331" i="2"/>
  <c r="Y5484" i="2"/>
  <c r="Y3730" i="2"/>
  <c r="Y1568" i="2"/>
  <c r="Y4204" i="2"/>
  <c r="Y3077" i="2"/>
  <c r="Y2658" i="2"/>
  <c r="Y2941" i="2"/>
  <c r="Y5206" i="2"/>
  <c r="Y3274" i="2"/>
  <c r="Y3090" i="2"/>
  <c r="Y1919" i="2"/>
  <c r="Y3595" i="2"/>
  <c r="Y3284" i="2"/>
  <c r="Y1758" i="2"/>
  <c r="Y4277" i="2"/>
  <c r="Y4497" i="2"/>
  <c r="Y3881" i="2"/>
  <c r="Y4310" i="2"/>
  <c r="Y1650" i="2"/>
  <c r="Y5148" i="2"/>
  <c r="Y4747" i="2"/>
  <c r="Y5433" i="2"/>
  <c r="Y4989" i="2"/>
  <c r="Y5326" i="2"/>
  <c r="Y4397" i="2"/>
  <c r="Y5102" i="2"/>
  <c r="Y4258" i="2"/>
  <c r="Y5071" i="2"/>
  <c r="Y4962" i="2"/>
  <c r="Y4719" i="2"/>
  <c r="Y4795" i="2"/>
  <c r="Y5107" i="2"/>
  <c r="Y3534" i="2"/>
  <c r="Y2836" i="2"/>
  <c r="Y5216" i="2"/>
  <c r="Y4924" i="2"/>
  <c r="Y4977" i="2"/>
  <c r="Y4096" i="2"/>
  <c r="Y4050" i="2"/>
  <c r="Y4830" i="2"/>
  <c r="Y4200" i="2"/>
  <c r="Y4233" i="2"/>
  <c r="Y4599" i="2"/>
  <c r="Y5434" i="2"/>
  <c r="Y4695" i="2"/>
  <c r="Y4887" i="2"/>
  <c r="Y4987" i="2"/>
  <c r="Y5302" i="2"/>
  <c r="Y4970" i="2"/>
  <c r="Y4293" i="2"/>
  <c r="Y3007" i="2"/>
  <c r="Y5193" i="2"/>
  <c r="Y4936" i="2"/>
  <c r="Y4781" i="2"/>
  <c r="Y3683" i="2"/>
  <c r="Y2520" i="2"/>
  <c r="Y2369" i="2"/>
  <c r="Y4722" i="2"/>
  <c r="Y4278" i="2"/>
  <c r="Y5430" i="2"/>
  <c r="Y4018" i="2"/>
  <c r="Y5350" i="2"/>
  <c r="Y2963" i="2"/>
  <c r="Y1881" i="2"/>
  <c r="Y4810" i="2"/>
  <c r="Y4572" i="2"/>
  <c r="Y4792" i="2"/>
  <c r="Y4078" i="2"/>
  <c r="Y4491" i="2"/>
  <c r="Y4501" i="2"/>
  <c r="Y4969" i="2"/>
  <c r="Y3443" i="2"/>
  <c r="Y4628" i="2"/>
  <c r="Y4532" i="2"/>
  <c r="Y4005" i="2"/>
  <c r="Y3539" i="2"/>
  <c r="Y4401" i="2"/>
  <c r="Y4469" i="2"/>
  <c r="Y5078" i="2"/>
  <c r="Y4528" i="2"/>
  <c r="Y5146" i="2"/>
  <c r="Y5445" i="2"/>
  <c r="Y4995" i="2"/>
  <c r="Y4534" i="2"/>
  <c r="Y4723" i="2"/>
  <c r="Y5089" i="2"/>
  <c r="Y2828" i="2"/>
  <c r="Y3139" i="2"/>
  <c r="Y3661" i="2"/>
  <c r="Y4905" i="2"/>
  <c r="Y5466" i="2"/>
  <c r="Y5331" i="2"/>
  <c r="Y4777" i="2"/>
  <c r="Y5293" i="2"/>
  <c r="Y4516" i="2"/>
  <c r="Y3961" i="2"/>
  <c r="Y4292" i="2"/>
  <c r="Y4484" i="2"/>
  <c r="Y4600" i="2"/>
  <c r="Y4402" i="2"/>
  <c r="Y3446" i="2"/>
  <c r="Y3579" i="2"/>
  <c r="Y3674" i="2"/>
  <c r="Y3300" i="2"/>
  <c r="Y4093" i="2"/>
  <c r="Y3582" i="2"/>
  <c r="Y3688" i="2"/>
  <c r="Y5161" i="2"/>
  <c r="Y4307" i="2"/>
  <c r="Y4805" i="2"/>
  <c r="Y4063" i="2"/>
  <c r="Y5401" i="2"/>
  <c r="Y5298" i="2"/>
  <c r="Y514" i="2"/>
  <c r="Y877" i="2"/>
  <c r="Y1401" i="2"/>
  <c r="Y1275" i="2"/>
  <c r="Y453" i="2"/>
  <c r="Y2820" i="2"/>
  <c r="Y1888" i="2"/>
  <c r="Y2414" i="2"/>
  <c r="Y320" i="2"/>
  <c r="Y2944" i="2"/>
  <c r="Y2795" i="2"/>
  <c r="Y3232" i="2"/>
  <c r="Y3003" i="2"/>
  <c r="Y3158" i="2"/>
  <c r="Y2447" i="2"/>
  <c r="Y2437" i="2"/>
  <c r="Y138" i="2"/>
  <c r="Y1925" i="2"/>
  <c r="Y2915" i="2"/>
  <c r="Y2384" i="2"/>
  <c r="Y2318" i="2"/>
  <c r="Y1719" i="2"/>
  <c r="Y2364" i="2"/>
  <c r="Y2114" i="2"/>
  <c r="Y943" i="2"/>
  <c r="Y2873" i="2"/>
  <c r="Y2808" i="2"/>
  <c r="Y1892" i="2"/>
  <c r="Y1724" i="2"/>
  <c r="Y3603" i="2"/>
  <c r="Y1703" i="2"/>
  <c r="Y1062" i="2"/>
  <c r="Y1880" i="2"/>
  <c r="Y4010" i="2"/>
  <c r="Y2132" i="2"/>
  <c r="Y2453" i="2"/>
  <c r="Y2196" i="2"/>
  <c r="Y2789" i="2"/>
  <c r="Y1833" i="2"/>
  <c r="Y828" i="2"/>
  <c r="Y2092" i="2"/>
  <c r="Y2571" i="2"/>
  <c r="Y3496" i="2"/>
  <c r="Y2472" i="2"/>
  <c r="Y2626" i="2"/>
  <c r="Y2741" i="2"/>
  <c r="Y2213" i="2"/>
  <c r="Y1287" i="2"/>
  <c r="Y1901" i="2"/>
  <c r="Y3184" i="2"/>
  <c r="Y2189" i="2"/>
  <c r="Y2281" i="2"/>
  <c r="Y1682" i="2"/>
  <c r="Y3878" i="2"/>
  <c r="Y2181" i="2"/>
  <c r="Y2108" i="2"/>
  <c r="Y3354" i="2"/>
  <c r="Y3203" i="2"/>
  <c r="Y2202" i="2"/>
  <c r="Y4029" i="2"/>
  <c r="Y3466" i="2"/>
  <c r="Y5002" i="2"/>
  <c r="Y3455" i="2"/>
  <c r="Y1563" i="2"/>
  <c r="Y3044" i="2"/>
  <c r="Y4140" i="2"/>
  <c r="Y3753" i="2"/>
  <c r="Y3575" i="2"/>
  <c r="Y3156" i="2"/>
  <c r="Y4276" i="2"/>
  <c r="Y4248" i="2"/>
  <c r="Y3065" i="2"/>
  <c r="Y4137" i="2"/>
  <c r="Y4848" i="2"/>
  <c r="Y3299" i="2"/>
  <c r="Y3901" i="2"/>
  <c r="Y4302" i="2"/>
  <c r="Y4796" i="2"/>
  <c r="Y4956" i="2"/>
  <c r="Y3291" i="2"/>
  <c r="Y5264" i="2"/>
  <c r="Y4286" i="2"/>
  <c r="Y4092" i="2"/>
  <c r="Y4932" i="2"/>
  <c r="Y5316" i="2"/>
  <c r="Y4359" i="2"/>
  <c r="Y4394" i="2"/>
  <c r="Y1965" i="2"/>
  <c r="Y5231" i="2"/>
  <c r="Y2329" i="2"/>
  <c r="Y4656" i="2"/>
  <c r="Y4201" i="2"/>
  <c r="Y4610" i="2"/>
  <c r="Y4978" i="2"/>
  <c r="Y3029" i="2"/>
  <c r="Y3602" i="2"/>
  <c r="Y4549" i="2"/>
  <c r="Y2982" i="2"/>
  <c r="Y3649" i="2"/>
  <c r="Y2816" i="2"/>
  <c r="Y2957" i="2"/>
  <c r="Y4084" i="2"/>
  <c r="Y2995" i="2"/>
  <c r="Y2594" i="2"/>
  <c r="Y2106" i="2"/>
  <c r="Y4488" i="2"/>
  <c r="Y4091" i="2"/>
  <c r="Y4907" i="2"/>
  <c r="Y4944" i="2"/>
  <c r="Y2614" i="2"/>
  <c r="Y4835" i="2"/>
  <c r="Y1725" i="2"/>
  <c r="Y3791" i="2"/>
  <c r="Y3945" i="2"/>
  <c r="Y3009" i="2"/>
  <c r="Y2929" i="2"/>
  <c r="Y3647" i="2"/>
  <c r="Y4667" i="2"/>
  <c r="Y2070" i="2"/>
  <c r="Y1750" i="2"/>
  <c r="Y4232" i="2"/>
  <c r="Y1811" i="2"/>
  <c r="Y3416" i="2"/>
  <c r="Y4597" i="2"/>
  <c r="Y4289" i="2"/>
  <c r="Y3848" i="2"/>
  <c r="Y1972" i="2"/>
  <c r="Y2722" i="2"/>
  <c r="Y3148" i="2"/>
  <c r="Y3738" i="2"/>
  <c r="Y2945" i="2"/>
  <c r="Y2178" i="2"/>
  <c r="Y5360" i="2"/>
  <c r="Y5246" i="2"/>
  <c r="Y3182" i="2"/>
  <c r="Y944" i="2"/>
  <c r="Y3570" i="2"/>
  <c r="Y5388" i="2"/>
  <c r="Y4703" i="2"/>
  <c r="Y5087" i="2"/>
  <c r="Y3084" i="2"/>
  <c r="Y2975" i="2"/>
  <c r="Y3193" i="2"/>
  <c r="Y3549" i="2"/>
  <c r="Y4379" i="2"/>
  <c r="Y3409" i="2"/>
  <c r="Y4948" i="2"/>
  <c r="Y4702" i="2"/>
  <c r="Y4675" i="2"/>
  <c r="Y4299" i="2"/>
  <c r="Y5076" i="2"/>
  <c r="Y2902" i="2"/>
  <c r="Y4326" i="2"/>
  <c r="Y4820" i="2"/>
  <c r="Y5403" i="2"/>
  <c r="Y4360" i="2"/>
  <c r="Y4398" i="2"/>
  <c r="Y4894" i="2"/>
  <c r="Y3882" i="2"/>
  <c r="Y5130" i="2"/>
  <c r="Y5452" i="2"/>
  <c r="Y4588" i="2"/>
  <c r="Y4407" i="2"/>
  <c r="Y5465" i="2"/>
  <c r="Y5179" i="2"/>
  <c r="Y2177" i="2"/>
  <c r="Y3803" i="2"/>
  <c r="Y4168" i="2"/>
  <c r="Y4228" i="2"/>
  <c r="Y5394" i="2"/>
  <c r="Y4413" i="2"/>
  <c r="Y4376" i="2"/>
  <c r="Y4431" i="2"/>
  <c r="Y4235" i="2"/>
  <c r="Y4832" i="2"/>
  <c r="Y5043" i="2"/>
  <c r="Y4603" i="2"/>
  <c r="Y3990" i="2"/>
  <c r="Y5393" i="2"/>
  <c r="Y3944" i="2"/>
  <c r="Y3032" i="2"/>
  <c r="Y2948" i="2"/>
  <c r="Y4414" i="2"/>
  <c r="Y3109" i="2"/>
  <c r="Y3573" i="2"/>
  <c r="Y5236" i="2"/>
  <c r="Y4013" i="2"/>
  <c r="Y4568" i="2"/>
  <c r="Y4967" i="2"/>
  <c r="Y5500" i="2"/>
  <c r="Y5304" i="2"/>
  <c r="Y3922" i="2"/>
  <c r="Y4959" i="2"/>
  <c r="Y4604" i="2"/>
  <c r="Y4158" i="2"/>
  <c r="Y2834" i="2"/>
  <c r="Y3030" i="2"/>
  <c r="Y4266" i="2"/>
  <c r="Y4949" i="2"/>
  <c r="Y5070" i="2"/>
  <c r="Y4952" i="2"/>
  <c r="Y5259" i="2"/>
  <c r="Y4448" i="2"/>
  <c r="Y3885" i="2"/>
  <c r="Y4665" i="2"/>
  <c r="Y3097" i="2"/>
  <c r="Y4521" i="2"/>
  <c r="Y5311" i="2"/>
  <c r="Y4166" i="2"/>
  <c r="Y5056" i="2"/>
  <c r="Y3012" i="2"/>
  <c r="Y4531" i="2"/>
  <c r="Y4721" i="2"/>
  <c r="Y4813" i="2"/>
  <c r="Y4674" i="2"/>
  <c r="Y4866" i="2"/>
  <c r="Y4698" i="2"/>
  <c r="Y4135" i="2"/>
  <c r="Y3789" i="2"/>
  <c r="Y3500" i="2"/>
  <c r="Y4877" i="2"/>
  <c r="Y3766" i="2"/>
  <c r="Y4580" i="2"/>
  <c r="Y4664" i="2"/>
  <c r="Y486" i="2"/>
  <c r="Y1684" i="2"/>
  <c r="Y3728" i="2"/>
  <c r="Y3716" i="2"/>
  <c r="Y4486" i="2"/>
  <c r="Y4925" i="2"/>
  <c r="Y881" i="2"/>
  <c r="Y1232" i="2"/>
  <c r="Y852" i="2"/>
  <c r="Y19" i="2"/>
  <c r="Y49" i="2"/>
  <c r="Y1817" i="2"/>
  <c r="Y3352" i="2"/>
  <c r="Y1595" i="2"/>
  <c r="Y1202" i="2"/>
  <c r="Y2403" i="2"/>
  <c r="Y3506" i="2"/>
  <c r="Y1898" i="2"/>
  <c r="Y2904" i="2"/>
  <c r="Y2173" i="2"/>
  <c r="Y2978" i="2"/>
  <c r="Y2552" i="2"/>
  <c r="Y134" i="2"/>
  <c r="Y1875" i="2"/>
  <c r="Y2821" i="2"/>
  <c r="Y2152" i="2"/>
  <c r="Y1931" i="2"/>
  <c r="Y1562" i="2"/>
  <c r="Y132" i="2"/>
  <c r="Y803" i="2"/>
  <c r="Y3411" i="2"/>
  <c r="Y1084" i="2"/>
  <c r="Y3375" i="2"/>
  <c r="Y1420" i="2"/>
  <c r="Y2554" i="2"/>
  <c r="Y1852" i="2"/>
  <c r="Y2750" i="2"/>
  <c r="Y414" i="2"/>
  <c r="Y2582" i="2"/>
  <c r="Y1252" i="2"/>
  <c r="Y4082" i="2"/>
  <c r="Y1571" i="2"/>
  <c r="Y1569" i="2"/>
  <c r="Y1804" i="2"/>
  <c r="Y2691" i="2"/>
  <c r="Y792" i="2"/>
  <c r="Y2002" i="2"/>
  <c r="Y3307" i="2"/>
  <c r="Y2290" i="2"/>
  <c r="Y3039" i="2"/>
  <c r="Y1949" i="2"/>
  <c r="Y1613" i="2"/>
  <c r="Y2556" i="2"/>
  <c r="Y572" i="2"/>
  <c r="Y2255" i="2"/>
  <c r="Y2015" i="2"/>
  <c r="Y2708" i="2"/>
  <c r="Y2730" i="2"/>
  <c r="Y1629" i="2"/>
  <c r="Y2688" i="2"/>
  <c r="Y1685" i="2"/>
  <c r="Y1722" i="2"/>
  <c r="Y4416" i="2"/>
  <c r="Y3856" i="2"/>
  <c r="Y4764" i="2"/>
  <c r="Y4334" i="2"/>
  <c r="Y5438" i="2"/>
  <c r="Y4818" i="2"/>
  <c r="Y3237" i="2"/>
  <c r="Y1739" i="2"/>
  <c r="Y5377" i="2"/>
  <c r="Y3810" i="2"/>
  <c r="Y3217" i="2"/>
  <c r="Y3940" i="2"/>
  <c r="Y3543" i="2"/>
  <c r="Y2442" i="2"/>
  <c r="Y2927" i="2"/>
  <c r="Y3075" i="2"/>
  <c r="Y2176" i="2"/>
  <c r="Y5285" i="2"/>
  <c r="Y3664" i="2"/>
  <c r="Y3750" i="2"/>
  <c r="Y3092" i="2"/>
  <c r="Y4854" i="2"/>
  <c r="Y3864" i="2"/>
  <c r="Y2840" i="2"/>
  <c r="Y3031" i="2"/>
  <c r="Y3585" i="2"/>
  <c r="Y3618" i="2"/>
  <c r="Y3440" i="2"/>
  <c r="Y4041" i="2"/>
  <c r="Y5463" i="2"/>
  <c r="Y3800" i="2"/>
  <c r="Y1860" i="2"/>
  <c r="Y3824" i="2"/>
  <c r="Y3131" i="2"/>
  <c r="Y3308" i="2"/>
  <c r="Y3010" i="2"/>
  <c r="Y3587" i="2"/>
  <c r="Y3159" i="2"/>
  <c r="Y3226" i="2"/>
  <c r="Y4011" i="2"/>
  <c r="Y3250" i="2"/>
  <c r="Y3924" i="2"/>
  <c r="Y2843" i="2"/>
  <c r="Y4223" i="2"/>
  <c r="Y4000" i="2"/>
  <c r="Y2474" i="2"/>
  <c r="Y1818" i="2"/>
  <c r="Y1827" i="2"/>
  <c r="Y4101" i="2"/>
  <c r="Y2778" i="2"/>
  <c r="Y4468" i="2"/>
  <c r="Y4740" i="2"/>
  <c r="Y3957" i="2"/>
  <c r="Y4127" i="2"/>
  <c r="Y3223" i="2"/>
  <c r="Y2462" i="2"/>
  <c r="Y4142" i="2"/>
  <c r="Y3515" i="2"/>
  <c r="Y3870" i="2"/>
  <c r="Y5279" i="2"/>
  <c r="Y5238" i="2"/>
  <c r="Y3055" i="2"/>
  <c r="Y4765" i="2"/>
  <c r="Y2499" i="2"/>
  <c r="Y2848" i="2"/>
  <c r="Y3928" i="2"/>
  <c r="Y3604" i="2"/>
  <c r="Y5414" i="2"/>
  <c r="Y4696" i="2"/>
  <c r="Y4309" i="2"/>
  <c r="Y3444" i="2"/>
  <c r="Y988" i="2"/>
  <c r="Y3760" i="2"/>
  <c r="Y4427" i="2"/>
  <c r="Y4163" i="2"/>
  <c r="Y5373" i="2"/>
  <c r="Y3538" i="2"/>
  <c r="Y3761" i="2"/>
  <c r="Y3492" i="2"/>
  <c r="Y1529" i="2"/>
  <c r="Y4256" i="2"/>
  <c r="Y4040" i="2"/>
  <c r="Y3235" i="2"/>
  <c r="Y3680" i="2"/>
  <c r="Y3857" i="2"/>
  <c r="Y3360" i="2"/>
  <c r="Y2320" i="2"/>
  <c r="Y4873" i="2"/>
  <c r="Y4349" i="2"/>
  <c r="Y4120" i="2"/>
  <c r="Y4374" i="2"/>
  <c r="Y4594" i="2"/>
  <c r="Y3717" i="2"/>
  <c r="Y4150" i="2"/>
  <c r="Y2526" i="2"/>
  <c r="Y4100" i="2"/>
  <c r="Y5073" i="2"/>
  <c r="Y4961" i="2"/>
  <c r="Y4389" i="2"/>
  <c r="Y4564" i="2"/>
  <c r="Y2262" i="2"/>
  <c r="Y4313" i="2"/>
  <c r="Y4571" i="2"/>
  <c r="Y3485" i="2"/>
  <c r="Y5237" i="2"/>
  <c r="Y3313" i="2"/>
  <c r="Y4450" i="2"/>
  <c r="Y4073" i="2"/>
  <c r="Y4569" i="2"/>
  <c r="Y5197" i="2"/>
  <c r="Y4525" i="2"/>
  <c r="Y4797" i="2"/>
  <c r="Y5335" i="2"/>
  <c r="Y4496" i="2"/>
  <c r="Y5200" i="2"/>
  <c r="Y4449" i="2"/>
  <c r="Y4366" i="2"/>
  <c r="Y3358" i="2"/>
  <c r="Y5299" i="2"/>
  <c r="Y4098" i="2"/>
  <c r="Y5372" i="2"/>
  <c r="Y4749" i="2"/>
  <c r="Y5374" i="2"/>
  <c r="Y5222" i="2"/>
  <c r="Y3823" i="2"/>
  <c r="Y5137" i="2"/>
  <c r="Y3910" i="2"/>
  <c r="Y5239" i="2"/>
  <c r="Y4843" i="2"/>
  <c r="Y4373" i="2"/>
  <c r="Y5058" i="2"/>
  <c r="Y4408" i="2"/>
  <c r="Y1934" i="2"/>
  <c r="Y3433" i="2"/>
  <c r="Y3577" i="2"/>
  <c r="Y3971" i="2"/>
  <c r="Y5060" i="2"/>
  <c r="Y4684" i="2"/>
  <c r="Y4133" i="2"/>
  <c r="Y3847" i="2"/>
  <c r="Y3625" i="2"/>
  <c r="Y4492" i="2"/>
  <c r="Y5031" i="2"/>
  <c r="Y4713" i="2"/>
  <c r="Y4328" i="2"/>
  <c r="Y5105" i="2"/>
  <c r="Y2728" i="2"/>
  <c r="Y3677" i="2"/>
  <c r="Y3541" i="2"/>
  <c r="Y3145" i="2"/>
  <c r="Y5167" i="2"/>
  <c r="Y4012" i="2"/>
  <c r="Y5086" i="2"/>
  <c r="Y5251" i="2"/>
  <c r="Y2727" i="2"/>
  <c r="Y4841" i="2"/>
  <c r="Y4726" i="2"/>
  <c r="Y4205" i="2"/>
  <c r="Y3356" i="2"/>
  <c r="Y4072" i="2"/>
  <c r="Y5247" i="2"/>
  <c r="Y3896" i="2"/>
  <c r="Y4220" i="2"/>
  <c r="Y4623" i="2"/>
  <c r="Y4305" i="2"/>
  <c r="Y5008" i="2"/>
  <c r="Y4973" i="2"/>
  <c r="Y4725" i="2"/>
  <c r="Y2016" i="2"/>
  <c r="Y2630" i="2"/>
  <c r="Y2589" i="2"/>
  <c r="Y2657" i="2"/>
  <c r="Y5114" i="2"/>
  <c r="Y3715" i="2"/>
  <c r="Y3907" i="2"/>
  <c r="Y2989" i="2"/>
  <c r="Y5166" i="2"/>
  <c r="Y4126" i="2"/>
  <c r="Y4342" i="2"/>
  <c r="Y4593" i="2"/>
  <c r="Y4479" i="2"/>
  <c r="Y5356" i="2"/>
  <c r="Y1247" i="2"/>
  <c r="Y1310" i="2"/>
  <c r="Y1268" i="2"/>
  <c r="Y821" i="2"/>
  <c r="Y851" i="2"/>
  <c r="Y2248" i="2"/>
  <c r="Y2376" i="2"/>
  <c r="Y1406" i="2"/>
  <c r="Y1182" i="2"/>
  <c r="Y3687" i="2"/>
  <c r="Y2028" i="2"/>
  <c r="Y2498" i="2"/>
  <c r="Y2277" i="2"/>
  <c r="Y2292" i="2"/>
  <c r="Y2654" i="2"/>
  <c r="Y3100" i="2"/>
  <c r="Y714" i="2"/>
  <c r="Y1810" i="2"/>
  <c r="Y3388" i="2"/>
  <c r="Y2387" i="2"/>
  <c r="Y2837" i="2"/>
  <c r="Y1419" i="2"/>
  <c r="Y2110" i="2"/>
  <c r="Y618" i="2"/>
  <c r="Y1789" i="2"/>
  <c r="Y2088" i="2"/>
  <c r="Y1961" i="2"/>
  <c r="Y2061" i="2"/>
  <c r="Y4215" i="2"/>
  <c r="Y2294" i="2"/>
  <c r="Y1622" i="2"/>
  <c r="Y1322" i="2"/>
  <c r="Y2348" i="2"/>
  <c r="Y1737" i="2"/>
  <c r="Y2636" i="2"/>
  <c r="Y2153" i="2"/>
  <c r="Y2427" i="2"/>
  <c r="Y1714" i="2"/>
  <c r="Y1360" i="2"/>
  <c r="Y25" i="2"/>
  <c r="Y3663" i="2"/>
  <c r="Y2505" i="2"/>
  <c r="Y3951" i="2"/>
  <c r="Y3290" i="2"/>
  <c r="Y3040" i="2"/>
  <c r="Y1643" i="2"/>
  <c r="Y2307" i="2"/>
  <c r="Y1393" i="2"/>
  <c r="Y1767" i="2"/>
  <c r="Y3351" i="2"/>
  <c r="Y2362" i="2"/>
  <c r="Y1396" i="2"/>
  <c r="Y2656" i="2"/>
  <c r="Y2374" i="2"/>
  <c r="Y540" i="2"/>
  <c r="Y3230" i="2"/>
  <c r="Y4044" i="2"/>
  <c r="Y3959" i="2"/>
  <c r="Y3489" i="2"/>
  <c r="Y2514" i="2"/>
  <c r="Y3900" i="2"/>
  <c r="Y5376" i="2"/>
  <c r="Y2238" i="2"/>
  <c r="Y1752" i="2"/>
  <c r="Y4608" i="2"/>
  <c r="Y5266" i="2"/>
  <c r="Y3035" i="2"/>
  <c r="Y3899" i="2"/>
  <c r="Y4464" i="2"/>
  <c r="Y4814" i="2"/>
  <c r="Y5229" i="2"/>
  <c r="Y4047" i="2"/>
  <c r="Y5425" i="2"/>
  <c r="Y4596" i="2"/>
  <c r="Y3972" i="2"/>
  <c r="Y4583" i="2"/>
  <c r="Y5281" i="2"/>
  <c r="Y3449" i="2"/>
  <c r="Y4943" i="2"/>
  <c r="Y3124" i="2"/>
  <c r="Y3339" i="2"/>
  <c r="Y5413" i="2"/>
  <c r="Y4680" i="2"/>
  <c r="Y3061" i="2"/>
  <c r="Y2990" i="2"/>
  <c r="Y3415" i="2"/>
  <c r="Y4261" i="2"/>
  <c r="Y2127" i="2"/>
  <c r="Y3318" i="2"/>
  <c r="Y3195" i="2"/>
  <c r="Y3937" i="2"/>
  <c r="Y4982" i="2"/>
  <c r="Y3174" i="2"/>
  <c r="Y2985" i="2"/>
  <c r="Y5054" i="2"/>
  <c r="Y2372" i="2"/>
  <c r="Y3008" i="2"/>
  <c r="Y3306" i="2"/>
  <c r="Y1590" i="2"/>
  <c r="Y3617" i="2"/>
  <c r="Y2819" i="2"/>
  <c r="Y3865" i="2"/>
  <c r="Y3401" i="2"/>
  <c r="Y208" i="2"/>
  <c r="Y4230" i="2"/>
  <c r="Y3825" i="2"/>
  <c r="Y2166" i="2"/>
  <c r="Y3216" i="2"/>
  <c r="Y4003" i="2"/>
  <c r="Y3233" i="2"/>
  <c r="Y5303" i="2"/>
  <c r="Y1785" i="2"/>
  <c r="Y1772" i="2"/>
  <c r="Y4322" i="2"/>
  <c r="Y2666" i="2"/>
  <c r="Y4477" i="2"/>
  <c r="Y4446" i="2"/>
  <c r="Y4991" i="2"/>
  <c r="Y3754" i="2"/>
  <c r="Y1856" i="2"/>
  <c r="Y1060" i="2"/>
  <c r="Y3887" i="2"/>
  <c r="Y3094" i="2"/>
  <c r="Y2951" i="2"/>
  <c r="Y1156" i="2"/>
  <c r="Y5126" i="2"/>
  <c r="Y3946" i="2"/>
  <c r="Y2342" i="2"/>
  <c r="Y3719" i="2"/>
  <c r="Y3103" i="2"/>
  <c r="Y3269" i="2"/>
  <c r="Y2859" i="2"/>
  <c r="Y5366" i="2"/>
  <c r="Y3814" i="2"/>
  <c r="Y1729" i="2"/>
  <c r="Y2073" i="2"/>
  <c r="Y3894" i="2"/>
  <c r="Y4850" i="2"/>
  <c r="Y5315" i="2"/>
  <c r="Y4346" i="2"/>
  <c r="Y3696" i="2"/>
  <c r="Y724" i="2"/>
  <c r="Y5125" i="2"/>
  <c r="Y4466" i="2"/>
  <c r="Y3181" i="2"/>
  <c r="Y5289" i="2"/>
  <c r="Y4361" i="2"/>
  <c r="Y5022" i="2"/>
  <c r="Y3622" i="2"/>
  <c r="Y5072" i="2"/>
  <c r="Y3173" i="2"/>
  <c r="Y3594" i="2"/>
  <c r="Y4462" i="2"/>
  <c r="Y4575" i="2"/>
  <c r="Y4735" i="2"/>
  <c r="Y5177" i="2"/>
  <c r="Y5265" i="2"/>
  <c r="Y4648" i="2"/>
  <c r="Y3452" i="2"/>
  <c r="Y5386" i="2"/>
  <c r="Y5333" i="2"/>
  <c r="Y4773" i="2"/>
  <c r="Y5242" i="2"/>
  <c r="Y4108" i="2"/>
  <c r="Y3965" i="2"/>
  <c r="Y4577" i="2"/>
  <c r="Y3756" i="2"/>
  <c r="Y3058" i="2"/>
  <c r="Y5203" i="2"/>
  <c r="Y5121" i="2"/>
  <c r="Y4505" i="2"/>
  <c r="Y5324" i="2"/>
  <c r="Y5235" i="2"/>
  <c r="Y2738" i="2"/>
  <c r="Y5395" i="2"/>
  <c r="Y5069" i="2"/>
  <c r="Y4899" i="2"/>
  <c r="Y5019" i="2"/>
  <c r="Y4892" i="2"/>
  <c r="Y4842" i="2"/>
  <c r="Y3091" i="2"/>
  <c r="Y3838" i="2"/>
  <c r="Y5288" i="2"/>
  <c r="Y5321" i="2"/>
  <c r="Y4906" i="2"/>
  <c r="Y4170" i="2"/>
  <c r="Y5154" i="2"/>
  <c r="Y2542" i="2"/>
  <c r="Y4537" i="2"/>
  <c r="Y4375" i="2"/>
  <c r="Y5165" i="2"/>
  <c r="Y4916" i="2"/>
  <c r="Y4616" i="2"/>
  <c r="Y5245" i="2"/>
  <c r="Y4081" i="2"/>
  <c r="Y3667" i="2"/>
  <c r="Y3000" i="2"/>
  <c r="Y4338" i="2"/>
  <c r="Y5127" i="2"/>
  <c r="Y5417" i="2"/>
  <c r="Y4253" i="2"/>
  <c r="Y4014" i="2"/>
  <c r="Y3859" i="2"/>
  <c r="Y3372" i="2"/>
  <c r="Y4939" i="2"/>
  <c r="Y4677" i="2"/>
  <c r="Y3385" i="2"/>
  <c r="Y4697" i="2"/>
  <c r="Y5416" i="2"/>
  <c r="Y5106" i="2"/>
  <c r="Y3613" i="2"/>
  <c r="Y4917" i="2"/>
  <c r="Y4720" i="2"/>
  <c r="Y3056" i="2"/>
  <c r="Y4853" i="2"/>
  <c r="Y4060" i="2"/>
  <c r="Y4752" i="2"/>
  <c r="Y3164" i="2"/>
  <c r="Y3503" i="2"/>
  <c r="Y4640" i="2"/>
  <c r="Y4270" i="2"/>
  <c r="Y4953" i="2"/>
  <c r="Y5133" i="2"/>
  <c r="Y4102" i="2"/>
  <c r="Y374" i="2"/>
  <c r="Y1264" i="2"/>
  <c r="Y2674" i="2"/>
  <c r="Y4117" i="2"/>
  <c r="Y3749" i="2"/>
  <c r="Y2754" i="2"/>
  <c r="Y3120" i="2"/>
  <c r="Y3713" i="2"/>
  <c r="Y4553" i="2"/>
  <c r="Y3289" i="2"/>
  <c r="Y3251" i="2"/>
  <c r="Y5435" i="2"/>
  <c r="Y179" i="2"/>
  <c r="Y530" i="2"/>
  <c r="Y1220" i="2"/>
  <c r="Y1250" i="2"/>
  <c r="Y2539" i="2"/>
  <c r="Y3424" i="2"/>
  <c r="Y1955" i="2"/>
  <c r="Y2156" i="2"/>
  <c r="Y167" i="2"/>
  <c r="Y2300" i="2"/>
  <c r="Y3830" i="2"/>
  <c r="Y2733" i="2"/>
  <c r="Y2044" i="2"/>
  <c r="Y1543" i="2"/>
  <c r="Y2600" i="2"/>
  <c r="Y3495" i="2"/>
  <c r="Y573" i="2"/>
  <c r="Y2717" i="2"/>
  <c r="Y3783" i="2"/>
  <c r="Y382" i="2"/>
  <c r="Y2579" i="2"/>
  <c r="Y1732" i="2"/>
  <c r="Y2812" i="2"/>
  <c r="Y908" i="2"/>
  <c r="Y3735" i="2"/>
  <c r="Y2814" i="2"/>
  <c r="Y4023" i="2"/>
  <c r="Y2775" i="2"/>
  <c r="Y2881" i="2"/>
  <c r="Y2060" i="2"/>
  <c r="Y1857" i="2"/>
  <c r="Y555" i="2"/>
  <c r="Y2777" i="2"/>
  <c r="Y1592" i="2"/>
  <c r="Y2830" i="2"/>
  <c r="Y2183" i="2"/>
  <c r="Y3163" i="2"/>
  <c r="Y1989" i="2"/>
  <c r="Y3770" i="2"/>
  <c r="Y918" i="2"/>
  <c r="Y2365" i="2"/>
  <c r="Y2208" i="2"/>
  <c r="Y2617" i="2"/>
  <c r="Y2100" i="2"/>
  <c r="Y1755" i="2"/>
  <c r="Y760" i="2"/>
  <c r="Y475" i="2"/>
  <c r="Y526" i="2"/>
  <c r="Y1480" i="2"/>
  <c r="Y2017" i="2"/>
  <c r="Y3074" i="2"/>
  <c r="Y3640" i="2"/>
  <c r="Y1993" i="2"/>
  <c r="Y1669" i="2"/>
  <c r="Y1878" i="2"/>
  <c r="Y3448" i="2"/>
  <c r="Y5083" i="2"/>
  <c r="Y3624" i="2"/>
  <c r="Y2118" i="2"/>
  <c r="Y3779" i="2"/>
  <c r="Y3394" i="2"/>
  <c r="Y4028" i="2"/>
  <c r="Y1980" i="2"/>
  <c r="Y2650" i="2"/>
  <c r="Y3107" i="2"/>
  <c r="Y4134" i="2"/>
  <c r="Y2900" i="2"/>
  <c r="Y4463" i="2"/>
  <c r="Y2940" i="2"/>
  <c r="Y3598" i="2"/>
  <c r="Y3509" i="2"/>
  <c r="Y2150" i="2"/>
  <c r="Y4793" i="2"/>
  <c r="Y5005" i="2"/>
  <c r="Y4123" i="2"/>
  <c r="Y5424" i="2"/>
  <c r="Y5003" i="2"/>
  <c r="Y3288" i="2"/>
  <c r="Y3331" i="2"/>
  <c r="Y1002" i="2"/>
  <c r="Y5469" i="2"/>
  <c r="Y2811" i="2"/>
  <c r="Y3693" i="2"/>
  <c r="Y3497" i="2"/>
  <c r="Y4465" i="2"/>
  <c r="Y5495" i="2"/>
  <c r="Y1638" i="2"/>
  <c r="Y2464" i="2"/>
  <c r="Y5020" i="2"/>
  <c r="Y3042" i="2"/>
  <c r="Y3902" i="2"/>
  <c r="Y2842" i="2"/>
  <c r="Y5402" i="2"/>
  <c r="Y3531" i="2"/>
  <c r="Y3550" i="2"/>
  <c r="Y1673" i="2"/>
  <c r="Y3301" i="2"/>
  <c r="Y4255" i="2"/>
  <c r="Y4454" i="2"/>
  <c r="Y3670" i="2"/>
  <c r="Y2034" i="2"/>
  <c r="Y4886" i="2"/>
  <c r="Y3096" i="2"/>
  <c r="Y1995" i="2"/>
  <c r="Y1654" i="2"/>
  <c r="Y5028" i="2"/>
  <c r="Y2207" i="2"/>
  <c r="Y5015" i="2"/>
  <c r="Y4986" i="2"/>
  <c r="Y2928" i="2"/>
  <c r="Y2358" i="2"/>
  <c r="Y1554" i="2"/>
  <c r="Y3493" i="2"/>
  <c r="Y2370" i="2"/>
  <c r="Y3668" i="2"/>
  <c r="Y3261" i="2"/>
  <c r="Y4086" i="2"/>
  <c r="Y4136" i="2"/>
  <c r="Y3153" i="2"/>
  <c r="Y1747" i="2"/>
  <c r="Y4173" i="2"/>
  <c r="Y3137" i="2"/>
  <c r="Y4922" i="2"/>
  <c r="Y700" i="2"/>
  <c r="Y4573" i="2"/>
  <c r="Y3021" i="2"/>
  <c r="Y2553" i="2"/>
  <c r="Y3746" i="2"/>
  <c r="Y2454" i="2"/>
  <c r="Y5412" i="2"/>
  <c r="Y3108" i="2"/>
  <c r="Y5052" i="2"/>
  <c r="Y1662" i="2"/>
  <c r="Y4037" i="2"/>
  <c r="Y4308" i="2"/>
  <c r="Y5340" i="2"/>
  <c r="Y3464" i="2"/>
  <c r="Y4240" i="2"/>
  <c r="Y3194" i="2"/>
  <c r="Y4217" i="2"/>
  <c r="Y3366" i="2"/>
  <c r="Y3828" i="2"/>
  <c r="Y3621" i="2"/>
  <c r="Y2962" i="2"/>
  <c r="Y4951" i="2"/>
  <c r="Y4153" i="2"/>
  <c r="Y5118" i="2"/>
  <c r="Y4984" i="2"/>
  <c r="Y4555" i="2"/>
  <c r="Y5007" i="2"/>
  <c r="Y4885" i="2"/>
  <c r="Y3020" i="2"/>
  <c r="Y3827" i="2"/>
  <c r="Y4891" i="2"/>
  <c r="Y4234" i="2"/>
  <c r="Y4377" i="2"/>
  <c r="Y4710" i="2"/>
  <c r="Y4844" i="2"/>
  <c r="Y4262" i="2"/>
  <c r="Y5038" i="2"/>
  <c r="Y5026" i="2"/>
  <c r="Y4590" i="2"/>
  <c r="Y3880" i="2"/>
  <c r="Y3822" i="2"/>
  <c r="Y2033" i="2"/>
  <c r="Y3285" i="2"/>
  <c r="Y3619" i="2"/>
  <c r="Y4443" i="2"/>
  <c r="Y3705" i="2"/>
  <c r="Y5404" i="2"/>
  <c r="Y4999" i="2"/>
  <c r="Y4639" i="2"/>
  <c r="Y2663" i="2"/>
  <c r="Y3876" i="2"/>
  <c r="Y4339" i="2"/>
  <c r="Y4420" i="2"/>
  <c r="Y5014" i="2"/>
  <c r="Y4869" i="2"/>
  <c r="Y4971" i="2"/>
  <c r="Y5036" i="2"/>
  <c r="Y3368" i="2"/>
  <c r="Y3740" i="2"/>
  <c r="Y3529" i="2"/>
  <c r="Y5048" i="2"/>
  <c r="Y5018" i="2"/>
  <c r="Y5476" i="2"/>
  <c r="Y3697" i="2"/>
  <c r="Y3422" i="2"/>
  <c r="Y3033" i="2"/>
  <c r="Y4657" i="2"/>
  <c r="Y4447" i="2"/>
  <c r="Y4388" i="2"/>
  <c r="Y4746" i="2"/>
  <c r="Y4189" i="2"/>
  <c r="Y5488" i="2"/>
  <c r="Y3752" i="2"/>
  <c r="Y3169" i="2"/>
  <c r="Y4214" i="2"/>
  <c r="Y5410" i="2"/>
  <c r="Y3457" i="2"/>
  <c r="Y4351" i="2"/>
  <c r="Y4247" i="2"/>
  <c r="Y3161" i="2"/>
  <c r="Y2878" i="2"/>
  <c r="Y5219" i="2"/>
  <c r="Y4671" i="2"/>
  <c r="Y4433" i="2"/>
  <c r="Y1794" i="2"/>
  <c r="Y3024" i="2"/>
  <c r="Y5405" i="2"/>
  <c r="Y4207" i="2"/>
  <c r="Y4141" i="2"/>
  <c r="Y3102" i="2"/>
  <c r="Y5190" i="2"/>
  <c r="Y4786" i="2"/>
  <c r="Y5012" i="2"/>
  <c r="Y4118" i="2"/>
  <c r="Y3955" i="2"/>
  <c r="Y3378" i="2"/>
  <c r="Y4471" i="2"/>
  <c r="Y4912" i="2"/>
  <c r="Y5157" i="2"/>
  <c r="Y4874" i="2"/>
  <c r="Y5271" i="2"/>
  <c r="Y1382" i="2"/>
  <c r="Y4058" i="2"/>
  <c r="Y416" i="2"/>
  <c r="Y2267" i="2"/>
  <c r="Y112" i="2"/>
  <c r="Y3005" i="2"/>
  <c r="Y4030" i="2"/>
  <c r="Y4251" i="2"/>
  <c r="Y5030" i="2"/>
  <c r="Y3377" i="2"/>
  <c r="Y3516" i="2"/>
  <c r="Y1962" i="2"/>
  <c r="Y3379" i="2"/>
  <c r="Y4909" i="2"/>
  <c r="Y4337" i="2"/>
  <c r="Y4124" i="2"/>
  <c r="Y5276" i="2"/>
  <c r="Y5383" i="2"/>
  <c r="Y4630" i="2"/>
  <c r="Y5263" i="2"/>
  <c r="Y4691" i="2"/>
  <c r="Y4149" i="2"/>
  <c r="Y5096" i="2"/>
  <c r="Y1077" i="2"/>
  <c r="Y217" i="2"/>
  <c r="Y113" i="2"/>
  <c r="Y788" i="2"/>
  <c r="Y1140" i="2"/>
  <c r="Y2089" i="2"/>
  <c r="Y2536" i="2"/>
  <c r="Y2664" i="2"/>
  <c r="Y1187" i="2"/>
  <c r="Y1924" i="2"/>
  <c r="Y2640" i="2"/>
  <c r="Y746" i="2"/>
  <c r="Y1666" i="2"/>
  <c r="Y2078" i="2"/>
  <c r="Y1911" i="2"/>
  <c r="Y2161" i="2"/>
  <c r="Y35" i="2"/>
  <c r="Y2916" i="2"/>
  <c r="Y2773" i="2"/>
  <c r="Y2400" i="2"/>
  <c r="Y3315" i="2"/>
  <c r="Y3402" i="2"/>
  <c r="Y1632" i="2"/>
  <c r="Y60" i="2"/>
  <c r="Y1840" i="2"/>
  <c r="Y3123" i="2"/>
  <c r="Y2128" i="2"/>
  <c r="Y2529" i="2"/>
  <c r="Y1593" i="2"/>
  <c r="Y1408" i="2"/>
  <c r="Y1288" i="2"/>
  <c r="Y659" i="2"/>
  <c r="Y1572" i="2"/>
  <c r="Y2566" i="2"/>
  <c r="Y1680" i="2"/>
  <c r="Y2458" i="2"/>
  <c r="Y2353" i="2"/>
  <c r="Y412" i="2"/>
  <c r="Y1161" i="2"/>
  <c r="Y1471" i="2"/>
  <c r="Y2010" i="2"/>
  <c r="Y2495" i="2"/>
  <c r="Y2476" i="2"/>
  <c r="Y2718" i="2"/>
  <c r="Y1566" i="2"/>
  <c r="Y2291" i="2"/>
  <c r="Y3819" i="2"/>
  <c r="Y1112" i="2"/>
  <c r="Y2121" i="2"/>
  <c r="Y4107" i="2"/>
  <c r="Y1801" i="2"/>
  <c r="Y2759" i="2"/>
  <c r="Y904" i="2"/>
  <c r="Y2565" i="2"/>
  <c r="Y1761" i="2"/>
  <c r="Y3254" i="2"/>
  <c r="Y4966" i="2"/>
  <c r="Y3118" i="2"/>
  <c r="Y4157" i="2"/>
  <c r="Y2531" i="2"/>
  <c r="Y4062" i="2"/>
  <c r="Y4633" i="2"/>
  <c r="Y4139" i="2"/>
  <c r="Y1539" i="2"/>
  <c r="Y4718" i="2"/>
  <c r="Y4187" i="2"/>
  <c r="Y5138" i="2"/>
  <c r="Y3221" i="2"/>
  <c r="Y4579" i="2"/>
  <c r="Y3373" i="2"/>
  <c r="Y4679" i="2"/>
  <c r="Y2711" i="2"/>
  <c r="Y4683" i="2"/>
  <c r="Y4871" i="2"/>
  <c r="Y4515" i="2"/>
  <c r="Y3043" i="2"/>
  <c r="Y5446" i="2"/>
  <c r="Y4947" i="2"/>
  <c r="Y5496" i="2"/>
  <c r="Y3098" i="2"/>
  <c r="Y5371" i="2"/>
  <c r="Y4333" i="2"/>
  <c r="Y5314" i="2"/>
  <c r="Y3836" i="2"/>
  <c r="Y4074" i="2"/>
  <c r="Y3209" i="2"/>
  <c r="Y4790" i="2"/>
  <c r="Y1764" i="2"/>
  <c r="Y4787" i="2"/>
  <c r="Y5270" i="2"/>
  <c r="Y2417" i="2"/>
  <c r="Y3262" i="2"/>
  <c r="Y3588" i="2"/>
  <c r="Y3956" i="2"/>
  <c r="Y3281" i="2"/>
  <c r="Y2051" i="2"/>
  <c r="Y5081" i="2"/>
  <c r="Y3905" i="2"/>
  <c r="Y2079" i="2"/>
  <c r="Y2250" i="2"/>
  <c r="Y3917" i="2"/>
  <c r="Y3382" i="2"/>
  <c r="Y3247" i="2"/>
  <c r="Y2219" i="2"/>
  <c r="Y4619" i="2"/>
  <c r="Y3392" i="2"/>
  <c r="Y2091" i="2"/>
  <c r="Y3691" i="2"/>
  <c r="Y2025" i="2"/>
  <c r="Y4727" i="2"/>
  <c r="Y4994" i="2"/>
  <c r="Y3806" i="2"/>
  <c r="Y3224" i="2"/>
  <c r="Y4646" i="2"/>
  <c r="Y4002" i="2"/>
  <c r="Y5233" i="2"/>
  <c r="Y5255" i="2"/>
  <c r="Y2970" i="2"/>
  <c r="Y2533" i="2"/>
  <c r="Y2126" i="2"/>
  <c r="Y4478" i="2"/>
  <c r="Y4451" i="2"/>
  <c r="Y3418" i="2"/>
  <c r="Y4216" i="2"/>
  <c r="Y3069" i="2"/>
  <c r="Y4849" i="2"/>
  <c r="Y4378" i="2"/>
  <c r="Y4523" i="2"/>
  <c r="Y3774" i="2"/>
  <c r="Y2886" i="2"/>
  <c r="Y5195" i="2"/>
  <c r="Y3528" i="2"/>
  <c r="Y3566" i="2"/>
  <c r="Y2866" i="2"/>
  <c r="Y4195" i="2"/>
  <c r="Y3704" i="2"/>
  <c r="Y4799" i="2"/>
  <c r="Y1742" i="2"/>
  <c r="Y3631" i="2"/>
  <c r="Y3672" i="2"/>
  <c r="Y3563" i="2"/>
  <c r="Y3979" i="2"/>
  <c r="Y5449" i="2"/>
  <c r="Y3808" i="2"/>
  <c r="Y4275" i="2"/>
  <c r="Y5297" i="2"/>
  <c r="Y4942" i="2"/>
  <c r="Y4384" i="2"/>
  <c r="Y5144" i="2"/>
  <c r="Y4039" i="2"/>
  <c r="Y3106" i="2"/>
  <c r="Y5124" i="2"/>
  <c r="Y4996" i="2"/>
  <c r="Y4882" i="2"/>
  <c r="Y5398" i="2"/>
  <c r="Y5134" i="2"/>
  <c r="Y5182" i="2"/>
  <c r="Y4381" i="2"/>
  <c r="Y2766" i="2"/>
  <c r="Y4856" i="2"/>
  <c r="Y4732" i="2"/>
  <c r="Y5189" i="2"/>
  <c r="Y4918" i="2"/>
  <c r="Y4336" i="2"/>
  <c r="Y5009" i="2"/>
  <c r="Y3620" i="2"/>
  <c r="Y2598" i="2"/>
  <c r="Y5440" i="2"/>
  <c r="Y5202" i="2"/>
  <c r="Y3778" i="2"/>
  <c r="Y4888" i="2"/>
  <c r="Y4265" i="2"/>
  <c r="Y5498" i="2"/>
  <c r="Y2381" i="2"/>
  <c r="Y5457" i="2"/>
  <c r="Y4493" i="2"/>
  <c r="Y4829" i="2"/>
  <c r="Y3727" i="2"/>
  <c r="Y4284" i="2"/>
  <c r="Y5049" i="2"/>
  <c r="Y3510" i="2"/>
  <c r="Y2924" i="2"/>
  <c r="Y4831" i="2"/>
  <c r="Y4159" i="2"/>
  <c r="Y5392" i="2"/>
  <c r="Y5355" i="2"/>
  <c r="Y5204" i="2"/>
  <c r="Y4441" i="2"/>
  <c r="Y4861" i="2"/>
  <c r="Y4890" i="2"/>
  <c r="Y5478" i="2"/>
  <c r="Y5261" i="2"/>
  <c r="Y4915" i="2"/>
  <c r="Y4176" i="2"/>
  <c r="Y3583" i="2"/>
  <c r="Y4357" i="2"/>
  <c r="Y4875" i="2"/>
  <c r="Y4546" i="2"/>
  <c r="Y4519" i="2"/>
  <c r="Y5481" i="2"/>
  <c r="Y4459" i="2"/>
  <c r="Y4556" i="2"/>
  <c r="Y1882" i="2"/>
  <c r="Y3991" i="2"/>
  <c r="Y5170" i="2"/>
  <c r="Y5284" i="2"/>
  <c r="Y4762" i="2"/>
  <c r="Y5016" i="2"/>
  <c r="Y4048" i="2"/>
  <c r="Y3417" i="2"/>
  <c r="Y3569" i="2"/>
  <c r="Y4411" i="2"/>
  <c r="Y4650" i="2"/>
  <c r="Y5272" i="2"/>
  <c r="Y2805" i="2"/>
  <c r="Y4935" i="2"/>
  <c r="Y4638" i="2"/>
  <c r="Y3070" i="2"/>
  <c r="Y3998" i="2"/>
  <c r="Y4193" i="2"/>
  <c r="Y2977" i="2"/>
  <c r="Y3817" i="2"/>
  <c r="Y4298" i="2"/>
  <c r="Y4364" i="2"/>
  <c r="Y2483" i="2"/>
  <c r="Y2216" i="2"/>
  <c r="Y1970" i="2"/>
  <c r="Y1853" i="2"/>
  <c r="Y3478" i="2"/>
  <c r="Y4776" i="2"/>
  <c r="Y1836" i="2"/>
  <c r="Y2452" i="2"/>
  <c r="Y5196" i="2"/>
  <c r="Y1914" i="2"/>
  <c r="Y5420" i="2"/>
  <c r="Y4285" i="2"/>
  <c r="Y4395" i="2"/>
  <c r="Y4634" i="2"/>
  <c r="Y85" i="2"/>
  <c r="Y1675" i="2"/>
  <c r="Y696" i="2"/>
  <c r="Y654" i="2"/>
  <c r="Y829" i="2"/>
  <c r="Y1741" i="2"/>
  <c r="Y2218" i="2"/>
  <c r="Y2509" i="2"/>
  <c r="Y2563" i="2"/>
  <c r="Y1871" i="2"/>
  <c r="Y2013" i="2"/>
  <c r="Y2758" i="2"/>
  <c r="Y2573" i="2"/>
  <c r="Y1988" i="2"/>
  <c r="Y1990" i="2"/>
  <c r="Y2111" i="2"/>
  <c r="Y674" i="2"/>
  <c r="Y2289" i="2"/>
  <c r="Y2285" i="2"/>
  <c r="Y2967" i="2"/>
  <c r="Y2186" i="2"/>
  <c r="Y2230" i="2"/>
  <c r="Y2232" i="2"/>
  <c r="Y1167" i="2"/>
  <c r="Y2074" i="2"/>
  <c r="Y1336" i="2"/>
  <c r="Y2038" i="2"/>
  <c r="Y40" i="2"/>
  <c r="Y1560" i="2"/>
  <c r="Y1778" i="2"/>
  <c r="Y1624" i="2"/>
  <c r="Y2395" i="2"/>
  <c r="Y3374" i="2"/>
  <c r="Y484" i="2"/>
  <c r="Y3975" i="2"/>
  <c r="Y2105" i="2"/>
  <c r="Y1865" i="2"/>
  <c r="Y2781" i="2"/>
  <c r="Y148" i="2"/>
  <c r="Y770" i="2"/>
  <c r="Y1647" i="2"/>
  <c r="Y3026" i="2"/>
  <c r="Y2423" i="2"/>
  <c r="Y1702" i="2"/>
  <c r="Y2479" i="2"/>
  <c r="Y1324" i="2"/>
  <c r="Y1467" i="2"/>
  <c r="Y10" i="2"/>
  <c r="Y1769" i="2"/>
  <c r="Y2549" i="2"/>
  <c r="Y2913" i="2"/>
  <c r="Y1631" i="2"/>
  <c r="Y2500" i="2"/>
  <c r="Y2008" i="2"/>
  <c r="Y2475" i="2"/>
  <c r="Y3983" i="2"/>
  <c r="Y3073" i="2"/>
  <c r="Y4067" i="2"/>
  <c r="Y2986" i="2"/>
  <c r="Y3370" i="2"/>
  <c r="Y4666" i="2"/>
  <c r="Y1667" i="2"/>
  <c r="Y3726" i="2"/>
  <c r="Y2869" i="2"/>
  <c r="Y3544" i="2"/>
  <c r="Y4751" i="2"/>
  <c r="Y4199" i="2"/>
  <c r="Y2910" i="2"/>
  <c r="Y4613" i="2"/>
  <c r="Y2933" i="2"/>
  <c r="Y3272" i="2"/>
  <c r="Y3436" i="2"/>
  <c r="Y3462" i="2"/>
  <c r="Y4178" i="2"/>
  <c r="Y4883" i="2"/>
  <c r="Y4979" i="2"/>
  <c r="Y5145" i="2"/>
  <c r="Y1614" i="2"/>
  <c r="Y4221" i="2"/>
  <c r="Y2102" i="2"/>
  <c r="Y3152" i="2"/>
  <c r="Y5150" i="2"/>
  <c r="Y4345" i="2"/>
  <c r="Y4297" i="2"/>
  <c r="Y1945" i="2"/>
  <c r="Y3548" i="2"/>
  <c r="Y3911" i="2"/>
  <c r="Y1872" i="2"/>
  <c r="Y4245" i="2"/>
  <c r="Y2583" i="2"/>
  <c r="Y5282" i="2"/>
  <c r="Y5090" i="2"/>
  <c r="Y340" i="2"/>
  <c r="Y2974" i="2"/>
  <c r="Y4595" i="2"/>
  <c r="Y2606" i="2"/>
  <c r="Y3935" i="2"/>
  <c r="Y3846" i="2"/>
  <c r="Y4659" i="2"/>
  <c r="Y3725" i="2"/>
  <c r="Y3590" i="2"/>
  <c r="Y4043" i="2"/>
  <c r="Y3205" i="2"/>
  <c r="Y1691" i="2"/>
  <c r="Y5044" i="2"/>
  <c r="Y5352" i="2"/>
  <c r="Y4811" i="2"/>
  <c r="Y4272" i="2"/>
  <c r="Y3192" i="2"/>
  <c r="Y3659" i="2"/>
  <c r="Y4988" i="2"/>
  <c r="Y1800" i="2"/>
  <c r="Y5184" i="2"/>
  <c r="Y3767" i="2"/>
  <c r="Y3992" i="2"/>
  <c r="Y3695" i="2"/>
  <c r="Y3643" i="2"/>
  <c r="Y2890" i="2"/>
  <c r="Y3671" i="2"/>
  <c r="Y3114" i="2"/>
  <c r="Y3820" i="2"/>
  <c r="Y3332" i="2"/>
  <c r="Y2988" i="2"/>
  <c r="Y3982" i="2"/>
  <c r="Y5041" i="2"/>
  <c r="Y3345" i="2"/>
  <c r="Y3126" i="2"/>
  <c r="Y2901" i="2"/>
  <c r="Y3854" i="2"/>
  <c r="Y2567" i="2"/>
  <c r="Y3809" i="2"/>
  <c r="Y2846" i="2"/>
  <c r="Y4017" i="2"/>
  <c r="Y1746" i="2"/>
  <c r="Y4632" i="2"/>
  <c r="Y4090" i="2"/>
  <c r="Y3187" i="2"/>
  <c r="Y2818" i="2"/>
  <c r="Y3337" i="2"/>
  <c r="Y3342" i="2"/>
  <c r="Y3948" i="2"/>
  <c r="Y4789" i="2"/>
  <c r="Y3915" i="2"/>
  <c r="Y4116" i="2"/>
  <c r="Y4570" i="2"/>
  <c r="Y4444" i="2"/>
  <c r="Y3295" i="2"/>
  <c r="Y4355" i="2"/>
  <c r="Y4614" i="2"/>
  <c r="Y3862" i="2"/>
  <c r="Y3968" i="2"/>
  <c r="Y3776" i="2"/>
  <c r="Y5092" i="2"/>
  <c r="Y4760" i="2"/>
  <c r="Y5094" i="2"/>
  <c r="Y3157" i="2"/>
  <c r="Y4821" i="2"/>
  <c r="Y910" i="2"/>
  <c r="Y3249" i="2"/>
  <c r="Y4506" i="2"/>
  <c r="Y4798" i="2"/>
  <c r="Y5085" i="2"/>
  <c r="Y4264" i="2"/>
  <c r="Y4288" i="2"/>
  <c r="Y4757" i="2"/>
  <c r="Y3167" i="2"/>
  <c r="Y4779" i="2"/>
  <c r="Y4372" i="2"/>
  <c r="Y4816" i="2"/>
  <c r="Y4174" i="2"/>
  <c r="Y5128" i="2"/>
  <c r="Y4637" i="2"/>
  <c r="Y3925" i="2"/>
  <c r="Y3480" i="2"/>
  <c r="Y5278" i="2"/>
  <c r="Y4269" i="2"/>
  <c r="Y5151" i="2"/>
  <c r="Y4210" i="2"/>
  <c r="Y4772" i="2"/>
  <c r="Y4541" i="2"/>
  <c r="Y4211" i="2"/>
  <c r="Y4756" i="2"/>
  <c r="Y4419" i="2"/>
  <c r="Y4483" i="2"/>
  <c r="Y4867" i="2"/>
  <c r="Y4352" i="2"/>
  <c r="Y5325" i="2"/>
  <c r="Y4202" i="2"/>
  <c r="Y5390" i="2"/>
  <c r="Y3685" i="2"/>
  <c r="Y3565" i="2"/>
  <c r="Y5011" i="2"/>
  <c r="Y4827" i="2"/>
  <c r="Y4425" i="2"/>
  <c r="Y5384" i="2"/>
  <c r="Y4806" i="2"/>
  <c r="Y5067" i="2"/>
  <c r="Y5010" i="2"/>
  <c r="Y4290" i="2"/>
  <c r="Y5334" i="2"/>
  <c r="Y5187" i="2"/>
  <c r="Y4643" i="2"/>
  <c r="Y1830" i="2"/>
  <c r="Y3912" i="2"/>
  <c r="Y4480" i="2"/>
  <c r="Y4410" i="2"/>
  <c r="Y2260" i="2"/>
  <c r="Y5254" i="2"/>
  <c r="Y3932" i="2"/>
  <c r="Y4676" i="2"/>
  <c r="Y5111" i="2"/>
  <c r="Y2406" i="2"/>
  <c r="Y4807" i="2"/>
  <c r="Y5368" i="2"/>
  <c r="Y5296" i="2"/>
  <c r="Y4688" i="2"/>
  <c r="Y5421" i="2"/>
  <c r="Y4244" i="2"/>
  <c r="Y4498" i="2"/>
  <c r="Y5110" i="2"/>
  <c r="Y4651" i="2"/>
  <c r="Y5444" i="2"/>
  <c r="Y4737" i="2"/>
  <c r="Y5307" i="2"/>
  <c r="Y1457" i="2"/>
  <c r="Y2631" i="2"/>
  <c r="Y232" i="2"/>
  <c r="Y2905" i="2"/>
  <c r="Y4715" i="2"/>
  <c r="Y556" i="2"/>
  <c r="Y5474" i="2"/>
  <c r="Y4585" i="2"/>
  <c r="Y5339" i="2"/>
  <c r="Y4171" i="2"/>
  <c r="Y2912" i="2"/>
  <c r="Y4442" i="2"/>
  <c r="Y5000" i="2"/>
  <c r="Y4470" i="2"/>
  <c r="Y421" i="2"/>
  <c r="Y2155" i="2"/>
  <c r="Y259" i="2"/>
  <c r="Y467" i="2"/>
  <c r="Y979" i="2"/>
  <c r="Y2172" i="2"/>
  <c r="Y2511" i="2"/>
  <c r="Y2639" i="2"/>
  <c r="Y2587" i="2"/>
  <c r="Y3412" i="2"/>
  <c r="Y1132" i="2"/>
  <c r="Y2081" i="2"/>
  <c r="Y2772" i="2"/>
  <c r="Y2720" i="2"/>
  <c r="Y2590" i="2"/>
  <c r="Y2809" i="2"/>
  <c r="Y2355" i="2"/>
  <c r="Y4094" i="2"/>
  <c r="Y2171" i="2"/>
  <c r="Y3699" i="2"/>
  <c r="Y2786" i="2"/>
  <c r="Y1730" i="2"/>
  <c r="Y3004" i="2"/>
  <c r="Y405" i="2"/>
  <c r="Y2776" i="2"/>
  <c r="Y2367" i="2"/>
  <c r="Y2871" i="2"/>
  <c r="Y664" i="2"/>
  <c r="Y2487" i="2"/>
  <c r="Y1868" i="2"/>
  <c r="Y1996" i="2"/>
  <c r="Y356" i="2"/>
  <c r="Y2101" i="2"/>
  <c r="Y2284" i="2"/>
  <c r="Y1348" i="2"/>
  <c r="Y2048" i="2"/>
  <c r="Y1067" i="2"/>
  <c r="Y2545" i="2"/>
  <c r="Y1548" i="2"/>
  <c r="Y1591" i="2"/>
  <c r="Y2247" i="2"/>
  <c r="Y1756" i="2"/>
  <c r="Y276" i="2"/>
  <c r="Y1977" i="2"/>
  <c r="Y1599" i="2"/>
  <c r="Y2354" i="2"/>
  <c r="Y1550" i="2"/>
  <c r="Y1371" i="2"/>
  <c r="Y2112" i="2"/>
  <c r="Y3088" i="2"/>
  <c r="Y1645" i="2"/>
  <c r="Y3890" i="2"/>
  <c r="Y2122" i="2"/>
  <c r="Y2243" i="2"/>
  <c r="Y3471" i="2"/>
  <c r="Y2638" i="2"/>
  <c r="Y4065" i="2"/>
  <c r="Y3461" i="2"/>
  <c r="Y4958" i="2"/>
  <c r="Y5198" i="2"/>
  <c r="Y4609" i="2"/>
  <c r="Y4332" i="2"/>
  <c r="Y1540" i="2"/>
  <c r="Y1967" i="2"/>
  <c r="Y3611" i="2"/>
  <c r="Y3427" i="2"/>
  <c r="Y3593" i="2"/>
  <c r="Y3545" i="2"/>
  <c r="Y3085" i="2"/>
  <c r="Y5149" i="2"/>
  <c r="Y3054" i="2"/>
  <c r="Y976" i="2"/>
  <c r="Y4295" i="2"/>
  <c r="Y4662" i="2"/>
  <c r="Y3559" i="2"/>
  <c r="Y3367" i="2"/>
  <c r="Y2934" i="2"/>
  <c r="Y1601" i="2"/>
  <c r="Y1012" i="2"/>
  <c r="Y2014" i="2"/>
  <c r="Y5256" i="2"/>
  <c r="Y2926" i="2"/>
  <c r="Y3129" i="2"/>
  <c r="Y2937" i="2"/>
  <c r="Y4147" i="2"/>
  <c r="Y3186" i="2"/>
  <c r="Y3837" i="2"/>
  <c r="Y1946" i="2"/>
  <c r="Y4694" i="2"/>
  <c r="Y3995" i="2"/>
  <c r="Y4252" i="2"/>
  <c r="Y3874" i="2"/>
  <c r="Y5382" i="2"/>
  <c r="Y2841" i="2"/>
  <c r="Y3527" i="2"/>
  <c r="Y2609" i="2"/>
  <c r="Y3329" i="2"/>
  <c r="Y4535" i="2"/>
  <c r="Y1530" i="2"/>
  <c r="Y3564" i="2"/>
  <c r="Y3646" i="2"/>
  <c r="Y3969" i="2"/>
  <c r="Y5218" i="2"/>
  <c r="Y316" i="2"/>
  <c r="Y4367" i="2"/>
  <c r="Y4077" i="2"/>
  <c r="Y3199" i="2"/>
  <c r="Y4950" i="2"/>
  <c r="Y3821" i="2"/>
  <c r="Y3468" i="2"/>
  <c r="Y3981" i="2"/>
  <c r="Y2943" i="2"/>
  <c r="Y3361" i="2"/>
  <c r="Y3642" i="2"/>
  <c r="Y3298" i="2"/>
  <c r="Y3189" i="2"/>
  <c r="Y3481" i="2"/>
  <c r="Y3919" i="2"/>
  <c r="Y1521" i="2"/>
  <c r="Y3089" i="2"/>
  <c r="Y5065" i="2"/>
  <c r="Y4615" i="2"/>
  <c r="Y5462" i="2"/>
  <c r="Y3333" i="2"/>
  <c r="Y2321" i="2"/>
  <c r="Y5378" i="2"/>
  <c r="Y4068" i="2"/>
  <c r="Y4847" i="2"/>
  <c r="Y3365" i="2"/>
  <c r="Y5077" i="2"/>
  <c r="Y3504" i="2"/>
  <c r="Y3278" i="2"/>
  <c r="Y3155" i="2"/>
  <c r="Y5327" i="2"/>
  <c r="Y5185" i="2"/>
  <c r="Y2949" i="2"/>
  <c r="Y5123" i="2"/>
  <c r="Y3790" i="2"/>
  <c r="Y4099" i="2"/>
  <c r="Y4112" i="2"/>
  <c r="Y3474" i="2"/>
  <c r="Y4771" i="2"/>
  <c r="Y4161" i="2"/>
  <c r="Y2094" i="2"/>
  <c r="Y4438" i="2"/>
  <c r="Y4606" i="2"/>
  <c r="Y5153" i="2"/>
  <c r="Y4330" i="2"/>
  <c r="Y4455" i="2"/>
  <c r="Y5021" i="2"/>
  <c r="Y3380" i="2"/>
  <c r="Y2844" i="2"/>
  <c r="Y5273" i="2"/>
  <c r="Y4611" i="2"/>
  <c r="Y4132" i="2"/>
  <c r="Y4601" i="2"/>
  <c r="Y4929" i="2"/>
  <c r="Y3886" i="2"/>
  <c r="Y5221" i="2"/>
  <c r="Y3168" i="2"/>
  <c r="Y2322" i="2"/>
  <c r="Y4602" i="2"/>
  <c r="Y5181" i="2"/>
  <c r="Y4990" i="2"/>
  <c r="Y4784" i="2"/>
  <c r="Y3428" i="2"/>
  <c r="Y4250" i="2"/>
  <c r="Y4383" i="2"/>
  <c r="Y5108" i="2"/>
  <c r="Y4144" i="2"/>
  <c r="Y4954" i="2"/>
  <c r="Y4791" i="2"/>
  <c r="Y4826" i="2"/>
  <c r="Y5135" i="2"/>
  <c r="Y4872" i="2"/>
  <c r="Y3133" i="2"/>
  <c r="Y4626" i="2"/>
  <c r="Y3253" i="2"/>
  <c r="Y5397" i="2"/>
  <c r="Y5450" i="2"/>
  <c r="Y3605" i="2"/>
  <c r="Y3390" i="2"/>
  <c r="Y4495" i="2"/>
  <c r="Y4975" i="2"/>
  <c r="Y3994" i="2"/>
  <c r="Y5477" i="2"/>
  <c r="Y5487" i="2"/>
  <c r="Y4739" i="2"/>
  <c r="Y3349" i="2"/>
  <c r="Y4353" i="2"/>
  <c r="Y3383" i="2"/>
  <c r="Y5093" i="2"/>
  <c r="Y3445" i="2"/>
  <c r="Y4460" i="2"/>
  <c r="Y5313" i="2"/>
  <c r="Y2753" i="2"/>
  <c r="Y4481" i="2"/>
  <c r="Y4584" i="2"/>
  <c r="Y5456" i="2"/>
  <c r="Y5389" i="2"/>
  <c r="Y5091" i="2"/>
  <c r="Y4536" i="2"/>
  <c r="Y3404" i="2"/>
  <c r="Y3294" i="2"/>
  <c r="Y4105" i="2"/>
  <c r="Y5199" i="2"/>
  <c r="Y4130" i="2"/>
  <c r="Y4115" i="2"/>
  <c r="Y3346" i="2"/>
  <c r="Y2252" i="2"/>
  <c r="Y3499" i="2"/>
  <c r="Y4617" i="2"/>
  <c r="Y3637" i="2"/>
  <c r="Y5055" i="2"/>
  <c r="Y4181" i="2"/>
  <c r="Y3829" i="2"/>
  <c r="Y5024" i="2"/>
  <c r="Y868" i="2"/>
  <c r="Y4315" i="2"/>
  <c r="Y5491" i="2"/>
  <c r="Y4586" i="2"/>
  <c r="Y5274" i="2"/>
  <c r="Y4833" i="2"/>
  <c r="Y4316" i="2"/>
  <c r="Y275" i="2"/>
  <c r="Y1333" i="2"/>
  <c r="Y2280" i="2"/>
  <c r="Y568" i="2"/>
  <c r="Y3432" i="2"/>
  <c r="Y3772" i="2"/>
  <c r="Y3128" i="2"/>
  <c r="Y1556" i="2"/>
  <c r="Y3491" i="2"/>
  <c r="Y4554" i="2"/>
  <c r="Y4714" i="2"/>
  <c r="Y4919" i="2"/>
  <c r="Y4567" i="2"/>
  <c r="Y4736" i="2"/>
  <c r="D19" i="2" l="1"/>
  <c r="D20" i="2" l="1"/>
  <c r="D21" i="2" l="1"/>
  <c r="D22" i="2" l="1"/>
  <c r="D13" i="1"/>
  <c r="D12" i="1"/>
  <c r="I4" i="2"/>
  <c r="D11" i="1"/>
  <c r="F4" i="1"/>
  <c r="D10" i="1"/>
  <c r="D23" i="2" l="1"/>
  <c r="D24" i="2" l="1"/>
  <c r="H4" i="2"/>
  <c r="I5" i="2"/>
  <c r="J4" i="2"/>
  <c r="J5" i="2"/>
  <c r="R4" i="2"/>
  <c r="R5" i="2"/>
  <c r="D25" i="2" l="1"/>
  <c r="I6" i="2"/>
  <c r="H5" i="2"/>
  <c r="R6" i="2"/>
  <c r="J6" i="2"/>
  <c r="D26" i="2" l="1"/>
  <c r="I7" i="2"/>
  <c r="J7" i="2"/>
  <c r="H6" i="2"/>
  <c r="R7" i="2"/>
  <c r="D27" i="2" l="1"/>
  <c r="I8" i="2"/>
  <c r="J8" i="2"/>
  <c r="R8" i="2"/>
  <c r="H7" i="2"/>
  <c r="D28" i="2" l="1"/>
  <c r="I9" i="2"/>
  <c r="J9" i="2"/>
  <c r="H8" i="2"/>
  <c r="D29" i="2" l="1"/>
  <c r="I10" i="2"/>
  <c r="R9" i="2"/>
  <c r="R10" i="2"/>
  <c r="J10" i="2"/>
  <c r="D30" i="2" l="1"/>
  <c r="I11" i="2"/>
  <c r="H9" i="2"/>
  <c r="J11" i="2"/>
  <c r="R11" i="2"/>
  <c r="D31" i="2" l="1"/>
  <c r="I12" i="2"/>
  <c r="H10" i="2"/>
  <c r="H11" i="2"/>
  <c r="J12" i="2"/>
  <c r="D32" i="2" l="1"/>
  <c r="I13" i="2"/>
  <c r="R13" i="2"/>
  <c r="R12" i="2"/>
  <c r="J13" i="2"/>
  <c r="H12" i="2"/>
  <c r="D33" i="2" l="1"/>
  <c r="I14" i="2"/>
  <c r="J14" i="2"/>
  <c r="R14" i="2"/>
  <c r="H13" i="2"/>
  <c r="D34" i="2" l="1"/>
  <c r="I15" i="2"/>
  <c r="J15" i="2"/>
  <c r="R15" i="2"/>
  <c r="H14" i="2"/>
  <c r="D35" i="2" l="1"/>
  <c r="I16" i="2"/>
  <c r="J16" i="2"/>
  <c r="R16" i="2"/>
  <c r="D36" i="2" l="1"/>
  <c r="I17" i="2"/>
  <c r="H15" i="2"/>
  <c r="J17" i="2"/>
  <c r="R17" i="2"/>
  <c r="H16" i="2"/>
  <c r="D37" i="2" l="1"/>
  <c r="I18" i="2"/>
  <c r="J18" i="2"/>
  <c r="R18" i="2"/>
  <c r="D38" i="2" l="1"/>
  <c r="I19" i="2"/>
  <c r="H17" i="2"/>
  <c r="H18" i="2"/>
  <c r="J19" i="2"/>
  <c r="D39" i="2" l="1"/>
  <c r="I20" i="2"/>
  <c r="R19" i="2"/>
  <c r="R20" i="2"/>
  <c r="H19" i="2"/>
  <c r="D40" i="2" l="1"/>
  <c r="I21" i="2"/>
  <c r="J21" i="2"/>
  <c r="J20" i="2"/>
  <c r="R21" i="2"/>
  <c r="D41" i="2" l="1"/>
  <c r="I22" i="2"/>
  <c r="H20" i="2"/>
  <c r="H21" i="2"/>
  <c r="J22" i="2"/>
  <c r="D42" i="2" l="1"/>
  <c r="I23" i="2"/>
  <c r="H22" i="2"/>
  <c r="R23" i="2"/>
  <c r="D43" i="2" l="1"/>
  <c r="I24" i="2"/>
  <c r="J23" i="2"/>
  <c r="R24" i="2"/>
  <c r="H23" i="2"/>
  <c r="D44" i="2" l="1"/>
  <c r="I25" i="2"/>
  <c r="J24" i="2"/>
  <c r="R25" i="2"/>
  <c r="J25" i="2"/>
  <c r="H24" i="2"/>
  <c r="D45" i="2" l="1"/>
  <c r="I26" i="2"/>
  <c r="H25" i="2"/>
  <c r="J26" i="2"/>
  <c r="D46" i="2" l="1"/>
  <c r="I27" i="2"/>
  <c r="R26" i="2"/>
  <c r="J27" i="2"/>
  <c r="H26" i="2"/>
  <c r="R27" i="2"/>
  <c r="D47" i="2" l="1"/>
  <c r="I28" i="2"/>
  <c r="J28" i="2"/>
  <c r="R28" i="2"/>
  <c r="D48" i="2" l="1"/>
  <c r="I29" i="2"/>
  <c r="J29" i="2"/>
  <c r="H27" i="2"/>
  <c r="H28" i="2"/>
  <c r="D49" i="2" l="1"/>
  <c r="I30" i="2"/>
  <c r="R29" i="2"/>
  <c r="H29" i="2"/>
  <c r="R30" i="2"/>
  <c r="D50" i="2" l="1"/>
  <c r="I31" i="2"/>
  <c r="J30" i="2"/>
  <c r="R31" i="2"/>
  <c r="J31" i="2"/>
  <c r="D51" i="2" l="1"/>
  <c r="I32" i="2"/>
  <c r="J32" i="2"/>
  <c r="H30" i="2"/>
  <c r="H31" i="2"/>
  <c r="D52" i="2" l="1"/>
  <c r="I33" i="2"/>
  <c r="R33" i="2"/>
  <c r="H32" i="2"/>
  <c r="D53" i="2" l="1"/>
  <c r="I34" i="2"/>
  <c r="J33" i="2"/>
  <c r="H33" i="2"/>
  <c r="J34" i="2"/>
  <c r="D54" i="2" l="1"/>
  <c r="I35" i="2"/>
  <c r="R34" i="2"/>
  <c r="J35" i="2"/>
  <c r="H34" i="2"/>
  <c r="R35" i="2"/>
  <c r="D55" i="2" l="1"/>
  <c r="I36" i="2"/>
  <c r="J36" i="2"/>
  <c r="R36" i="2"/>
  <c r="D56" i="2" l="1"/>
  <c r="I37" i="2"/>
  <c r="H35" i="2"/>
  <c r="H36" i="2"/>
  <c r="J37" i="2"/>
  <c r="D57" i="2" l="1"/>
  <c r="I38" i="2"/>
  <c r="R37" i="2"/>
  <c r="J38" i="2"/>
  <c r="H37" i="2"/>
  <c r="D58" i="2" l="1"/>
  <c r="I39" i="2"/>
  <c r="R38" i="2"/>
  <c r="J39" i="2"/>
  <c r="R39" i="2"/>
  <c r="D59" i="2" l="1"/>
  <c r="I40" i="2"/>
  <c r="R40" i="2"/>
  <c r="H38" i="2"/>
  <c r="J40" i="2"/>
  <c r="H39" i="2"/>
  <c r="D60" i="2" l="1"/>
  <c r="I41" i="2"/>
  <c r="R41" i="2"/>
  <c r="J41" i="2"/>
  <c r="D61" i="2" l="1"/>
  <c r="I42" i="2"/>
  <c r="H40" i="2"/>
  <c r="J42" i="2"/>
  <c r="D62" i="2" l="1"/>
  <c r="I43" i="2"/>
  <c r="H42" i="2"/>
  <c r="H41" i="2"/>
  <c r="J43" i="2"/>
  <c r="R43" i="2"/>
  <c r="D63" i="2" l="1"/>
  <c r="I44" i="2"/>
  <c r="J44" i="2"/>
  <c r="R44" i="2"/>
  <c r="H43" i="2"/>
  <c r="D64" i="2" l="1"/>
  <c r="I45" i="2"/>
  <c r="J45" i="2"/>
  <c r="H44" i="2"/>
  <c r="R45" i="2"/>
  <c r="D65" i="2" l="1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I46" i="2"/>
  <c r="H45" i="2"/>
  <c r="R46" i="2"/>
  <c r="J46" i="2"/>
  <c r="C19" i="9" l="1"/>
  <c r="G84" i="1"/>
  <c r="M19" i="9" s="1"/>
  <c r="U12" i="1"/>
  <c r="U14" i="1"/>
  <c r="U11" i="1"/>
  <c r="U13" i="1"/>
  <c r="I47" i="2"/>
  <c r="J47" i="2"/>
  <c r="R47" i="2"/>
  <c r="H46" i="2"/>
  <c r="N19" i="9" l="1"/>
  <c r="F84" i="1"/>
  <c r="I48" i="2"/>
  <c r="H47" i="2"/>
  <c r="J48" i="2"/>
  <c r="E84" i="1" l="1"/>
  <c r="L19" i="9"/>
  <c r="I49" i="2"/>
  <c r="H48" i="2"/>
  <c r="R48" i="2"/>
  <c r="R49" i="2"/>
  <c r="J49" i="2"/>
  <c r="K19" i="9" l="1"/>
  <c r="P37" i="1"/>
  <c r="P53" i="1" s="1"/>
  <c r="Q14" i="5"/>
  <c r="R14" i="5" s="1"/>
  <c r="I50" i="2"/>
  <c r="R50" i="2"/>
  <c r="H49" i="2"/>
  <c r="J50" i="2"/>
  <c r="V14" i="5" l="1"/>
  <c r="T14" i="5"/>
  <c r="I51" i="2"/>
  <c r="J51" i="2"/>
  <c r="R51" i="2"/>
  <c r="H50" i="2"/>
  <c r="D4" i="2" l="1"/>
  <c r="F4" i="2" s="1"/>
  <c r="V114" i="1"/>
  <c r="H11" i="7"/>
  <c r="T11" i="7"/>
  <c r="S11" i="7"/>
  <c r="R11" i="7"/>
  <c r="Q11" i="7"/>
  <c r="P11" i="7"/>
  <c r="O11" i="7"/>
  <c r="M11" i="7"/>
  <c r="N11" i="7"/>
  <c r="L11" i="7"/>
  <c r="K11" i="7"/>
  <c r="J11" i="7"/>
  <c r="G20" i="1"/>
  <c r="K3" i="2" s="1"/>
  <c r="H20" i="1"/>
  <c r="I52" i="2"/>
  <c r="F6" i="2"/>
  <c r="R52" i="2"/>
  <c r="H51" i="2"/>
  <c r="K5" i="2" l="1"/>
  <c r="K4" i="2"/>
  <c r="V150" i="1"/>
  <c r="K15" i="2"/>
  <c r="K46" i="2"/>
  <c r="K29" i="2"/>
  <c r="K34" i="2"/>
  <c r="K48" i="2"/>
  <c r="K16" i="2"/>
  <c r="K22" i="2"/>
  <c r="K20" i="2"/>
  <c r="K26" i="2"/>
  <c r="K25" i="2"/>
  <c r="K14" i="2"/>
  <c r="K47" i="2"/>
  <c r="K28" i="2"/>
  <c r="K35" i="2"/>
  <c r="K49" i="2"/>
  <c r="K17" i="2"/>
  <c r="K23" i="2"/>
  <c r="K21" i="2"/>
  <c r="K27" i="2"/>
  <c r="K24" i="2"/>
  <c r="K30" i="2"/>
  <c r="K12" i="2"/>
  <c r="K18" i="2"/>
  <c r="K50" i="2"/>
  <c r="K45" i="2"/>
  <c r="K33" i="2"/>
  <c r="K39" i="2"/>
  <c r="K37" i="2"/>
  <c r="K42" i="2"/>
  <c r="K40" i="2"/>
  <c r="K31" i="2"/>
  <c r="K13" i="2"/>
  <c r="K19" i="2"/>
  <c r="K51" i="2"/>
  <c r="K44" i="2"/>
  <c r="K32" i="2"/>
  <c r="K38" i="2"/>
  <c r="K36" i="2"/>
  <c r="K43" i="2"/>
  <c r="K41" i="2"/>
  <c r="K64" i="2"/>
  <c r="K6" i="2"/>
  <c r="K8" i="2"/>
  <c r="K10" i="2"/>
  <c r="K7" i="2"/>
  <c r="K11" i="2"/>
  <c r="K9" i="2"/>
  <c r="L3" i="2"/>
  <c r="C102" i="1"/>
  <c r="C105" i="1"/>
  <c r="C93" i="1"/>
  <c r="P13" i="1"/>
  <c r="P10" i="1"/>
  <c r="P14" i="1"/>
  <c r="P12" i="1"/>
  <c r="P11" i="1"/>
  <c r="I53" i="2"/>
  <c r="P15" i="1"/>
  <c r="N13" i="1"/>
  <c r="U10" i="1"/>
  <c r="V116" i="1"/>
  <c r="J53" i="2"/>
  <c r="J52" i="2"/>
  <c r="H52" i="2"/>
  <c r="K52" i="2" l="1"/>
  <c r="L30" i="2"/>
  <c r="L12" i="2"/>
  <c r="L18" i="2"/>
  <c r="L50" i="2"/>
  <c r="L45" i="2"/>
  <c r="L33" i="2"/>
  <c r="L39" i="2"/>
  <c r="L37" i="2"/>
  <c r="L42" i="2"/>
  <c r="L40" i="2"/>
  <c r="L31" i="2"/>
  <c r="L13" i="2"/>
  <c r="L19" i="2"/>
  <c r="L51" i="2"/>
  <c r="L44" i="2"/>
  <c r="L32" i="2"/>
  <c r="L38" i="2"/>
  <c r="L36" i="2"/>
  <c r="L43" i="2"/>
  <c r="L41" i="2"/>
  <c r="L15" i="2"/>
  <c r="L46" i="2"/>
  <c r="L29" i="2"/>
  <c r="L34" i="2"/>
  <c r="L48" i="2"/>
  <c r="L16" i="2"/>
  <c r="L22" i="2"/>
  <c r="L20" i="2"/>
  <c r="L26" i="2"/>
  <c r="L25" i="2"/>
  <c r="L14" i="2"/>
  <c r="L47" i="2"/>
  <c r="L28" i="2"/>
  <c r="L35" i="2"/>
  <c r="L49" i="2"/>
  <c r="L17" i="2"/>
  <c r="L23" i="2"/>
  <c r="L21" i="2"/>
  <c r="L24" i="2"/>
  <c r="L52" i="2"/>
  <c r="L27" i="2"/>
  <c r="L64" i="2"/>
  <c r="L7" i="2"/>
  <c r="L10" i="2"/>
  <c r="L11" i="2"/>
  <c r="L9" i="2"/>
  <c r="L6" i="2"/>
  <c r="L8" i="2"/>
  <c r="M3" i="2"/>
  <c r="L4" i="2"/>
  <c r="L5" i="2"/>
  <c r="R5" i="9"/>
  <c r="I54" i="2"/>
  <c r="R9" i="9"/>
  <c r="R53" i="2"/>
  <c r="J54" i="2"/>
  <c r="I19" i="9" l="1"/>
  <c r="I26" i="9" s="1"/>
  <c r="N26" i="9" s="1"/>
  <c r="M15" i="2"/>
  <c r="M46" i="2"/>
  <c r="M29" i="2"/>
  <c r="M34" i="2"/>
  <c r="M48" i="2"/>
  <c r="M16" i="2"/>
  <c r="M22" i="2"/>
  <c r="M20" i="2"/>
  <c r="M26" i="2"/>
  <c r="M25" i="2"/>
  <c r="M14" i="2"/>
  <c r="M47" i="2"/>
  <c r="M28" i="2"/>
  <c r="M35" i="2"/>
  <c r="M49" i="2"/>
  <c r="M17" i="2"/>
  <c r="M23" i="2"/>
  <c r="M21" i="2"/>
  <c r="M27" i="2"/>
  <c r="M24" i="2"/>
  <c r="M52" i="2"/>
  <c r="M31" i="2"/>
  <c r="M13" i="2"/>
  <c r="M19" i="2"/>
  <c r="M51" i="2"/>
  <c r="M44" i="2"/>
  <c r="M32" i="2"/>
  <c r="M38" i="2"/>
  <c r="M36" i="2"/>
  <c r="M43" i="2"/>
  <c r="M41" i="2"/>
  <c r="M30" i="2"/>
  <c r="M12" i="2"/>
  <c r="M18" i="2"/>
  <c r="M50" i="2"/>
  <c r="M45" i="2"/>
  <c r="M33" i="2"/>
  <c r="M39" i="2"/>
  <c r="M37" i="2"/>
  <c r="M42" i="2"/>
  <c r="M40" i="2"/>
  <c r="M64" i="2"/>
  <c r="M8" i="2"/>
  <c r="M7" i="2"/>
  <c r="M10" i="2"/>
  <c r="M11" i="2"/>
  <c r="M9" i="2"/>
  <c r="M6" i="2"/>
  <c r="M4" i="2"/>
  <c r="M5" i="2"/>
  <c r="O5" i="9"/>
  <c r="H19" i="9" s="1"/>
  <c r="H4" i="7"/>
  <c r="F115" i="1"/>
  <c r="G164" i="1"/>
  <c r="H164" i="1"/>
  <c r="Q115" i="1"/>
  <c r="U115" i="1"/>
  <c r="I55" i="2"/>
  <c r="J55" i="2"/>
  <c r="H54" i="2"/>
  <c r="H53" i="2"/>
  <c r="R54" i="2"/>
  <c r="K53" i="2" l="1"/>
  <c r="L53" i="2"/>
  <c r="M53" i="2"/>
  <c r="M54" i="2"/>
  <c r="K54" i="2"/>
  <c r="L54" i="2"/>
  <c r="P115" i="1"/>
  <c r="G14" i="2"/>
  <c r="H26" i="9"/>
  <c r="M26" i="9" s="1"/>
  <c r="D84" i="1"/>
  <c r="C5" i="9" s="1"/>
  <c r="L5" i="9"/>
  <c r="G19" i="9" s="1"/>
  <c r="E115" i="1"/>
  <c r="F164" i="1"/>
  <c r="E6" i="5"/>
  <c r="H13" i="7"/>
  <c r="D4" i="7"/>
  <c r="E6" i="7"/>
  <c r="G5" i="7"/>
  <c r="I56" i="2"/>
  <c r="R55" i="2"/>
  <c r="H55" i="2"/>
  <c r="E4" i="7"/>
  <c r="E7" i="5"/>
  <c r="J56" i="2"/>
  <c r="R56" i="2"/>
  <c r="Z155" i="2" l="1"/>
  <c r="Z5105" i="2"/>
  <c r="Z5249" i="2"/>
  <c r="Z5393" i="2"/>
  <c r="Z5230" i="2"/>
  <c r="Z5374" i="2"/>
  <c r="Z5223" i="2"/>
  <c r="Z5367" i="2"/>
  <c r="Z5204" i="2"/>
  <c r="Z5348" i="2"/>
  <c r="Z5185" i="2"/>
  <c r="Z5329" i="2"/>
  <c r="Z5178" i="2"/>
  <c r="Z5322" i="2"/>
  <c r="Z5159" i="2"/>
  <c r="Z5303" i="2"/>
  <c r="Z5140" i="2"/>
  <c r="Z5284" i="2"/>
  <c r="Z5133" i="2"/>
  <c r="Z5277" i="2"/>
  <c r="Z5114" i="2"/>
  <c r="Z5258" i="2"/>
  <c r="Z5107" i="2"/>
  <c r="Z5251" i="2"/>
  <c r="Z5395" i="2"/>
  <c r="Z5196" i="2"/>
  <c r="Z5472" i="2"/>
  <c r="Z5392" i="2"/>
  <c r="Z5427" i="2"/>
  <c r="Z5280" i="2"/>
  <c r="Z5401" i="2"/>
  <c r="Z5430" i="2"/>
  <c r="Z5447" i="2"/>
  <c r="Z5328" i="2"/>
  <c r="Z5409" i="2"/>
  <c r="Z5117" i="2"/>
  <c r="Z5261" i="2"/>
  <c r="Z5098" i="2"/>
  <c r="Z5242" i="2"/>
  <c r="Z5386" i="2"/>
  <c r="Z5235" i="2"/>
  <c r="Z5379" i="2"/>
  <c r="Z5216" i="2"/>
  <c r="Z5360" i="2"/>
  <c r="Z5197" i="2"/>
  <c r="Z5341" i="2"/>
  <c r="Z5190" i="2"/>
  <c r="Z5334" i="2"/>
  <c r="Z5171" i="2"/>
  <c r="Z5315" i="2"/>
  <c r="Z5152" i="2"/>
  <c r="Z5296" i="2"/>
  <c r="Z5145" i="2"/>
  <c r="Z5289" i="2"/>
  <c r="Z5126" i="2"/>
  <c r="Z5270" i="2"/>
  <c r="Z5119" i="2"/>
  <c r="Z5263" i="2"/>
  <c r="Z5407" i="2"/>
  <c r="Z5232" i="2"/>
  <c r="Z5484" i="2"/>
  <c r="Z5410" i="2"/>
  <c r="Z5439" i="2"/>
  <c r="Z5316" i="2"/>
  <c r="Z5413" i="2"/>
  <c r="Z5442" i="2"/>
  <c r="Z5459" i="2"/>
  <c r="Z5364" i="2"/>
  <c r="Z5273" i="2"/>
  <c r="Z5110" i="2"/>
  <c r="Z5103" i="2"/>
  <c r="Z5391" i="2"/>
  <c r="Z5372" i="2"/>
  <c r="Z5202" i="2"/>
  <c r="Z5183" i="2"/>
  <c r="Z5164" i="2"/>
  <c r="Z5157" i="2"/>
  <c r="Z5138" i="2"/>
  <c r="Z5282" i="2"/>
  <c r="Z5419" i="2"/>
  <c r="Z5496" i="2"/>
  <c r="V5496" i="2" s="1"/>
  <c r="Z5451" i="2"/>
  <c r="Z5425" i="2"/>
  <c r="Z5471" i="2"/>
  <c r="Z5404" i="2"/>
  <c r="Z5141" i="2"/>
  <c r="Z5096" i="2"/>
  <c r="Z5266" i="2"/>
  <c r="Z5153" i="2"/>
  <c r="Z5297" i="2"/>
  <c r="Z5134" i="2"/>
  <c r="Z5278" i="2"/>
  <c r="Z5127" i="2"/>
  <c r="Z5271" i="2"/>
  <c r="Z5108" i="2"/>
  <c r="Z5252" i="2"/>
  <c r="Z5396" i="2"/>
  <c r="Z5233" i="2"/>
  <c r="Z5377" i="2"/>
  <c r="Z5226" i="2"/>
  <c r="Z5370" i="2"/>
  <c r="Z5207" i="2"/>
  <c r="Z5351" i="2"/>
  <c r="Z5188" i="2"/>
  <c r="Z5332" i="2"/>
  <c r="Z5181" i="2"/>
  <c r="Z5325" i="2"/>
  <c r="Z5162" i="2"/>
  <c r="Z5306" i="2"/>
  <c r="Z5155" i="2"/>
  <c r="Z5299" i="2"/>
  <c r="Z5443" i="2"/>
  <c r="Z5340" i="2"/>
  <c r="Z5405" i="2"/>
  <c r="Z5446" i="2"/>
  <c r="Z5475" i="2"/>
  <c r="Z5408" i="2"/>
  <c r="Z5449" i="2"/>
  <c r="Z5478" i="2"/>
  <c r="Z5495" i="2"/>
  <c r="V5495" i="2" s="1"/>
  <c r="Z5428" i="2"/>
  <c r="Z5457" i="2"/>
  <c r="Z5170" i="2"/>
  <c r="Z5314" i="2"/>
  <c r="Z5307" i="2"/>
  <c r="Z5288" i="2"/>
  <c r="Z5118" i="2"/>
  <c r="Z5243" i="2"/>
  <c r="Z5224" i="2"/>
  <c r="Z5361" i="2"/>
  <c r="Z5342" i="2"/>
  <c r="Z5479" i="2"/>
  <c r="Z5444" i="2"/>
  <c r="Z5148" i="2"/>
  <c r="Z5493" i="2"/>
  <c r="V5493" i="2" s="1"/>
  <c r="Z5345" i="2"/>
  <c r="Z5175" i="2"/>
  <c r="Z5156" i="2"/>
  <c r="Z5281" i="2"/>
  <c r="Z5111" i="2"/>
  <c r="Z5236" i="2"/>
  <c r="Z5229" i="2"/>
  <c r="Z5354" i="2"/>
  <c r="Z5347" i="2"/>
  <c r="Z5453" i="2"/>
  <c r="Z5136" i="2"/>
  <c r="Z5388" i="2"/>
  <c r="Z5476" i="2"/>
  <c r="Z5213" i="2"/>
  <c r="Z5338" i="2"/>
  <c r="Z5331" i="2"/>
  <c r="Z5149" i="2"/>
  <c r="Z5142" i="2"/>
  <c r="Z5267" i="2"/>
  <c r="Z5097" i="2"/>
  <c r="Z5222" i="2"/>
  <c r="Z5359" i="2"/>
  <c r="Z5465" i="2"/>
  <c r="Z5468" i="2"/>
  <c r="Z5220" i="2"/>
  <c r="Z5115" i="2"/>
  <c r="Z5259" i="2"/>
  <c r="Z5240" i="2"/>
  <c r="Z5165" i="2"/>
  <c r="Z5309" i="2"/>
  <c r="Z5146" i="2"/>
  <c r="Z5290" i="2"/>
  <c r="Z5139" i="2"/>
  <c r="Z5283" i="2"/>
  <c r="Z5120" i="2"/>
  <c r="Z5264" i="2"/>
  <c r="Z5101" i="2"/>
  <c r="Z5245" i="2"/>
  <c r="Z5389" i="2"/>
  <c r="Z5238" i="2"/>
  <c r="Z5382" i="2"/>
  <c r="Z5219" i="2"/>
  <c r="Z5363" i="2"/>
  <c r="Z5200" i="2"/>
  <c r="Z5344" i="2"/>
  <c r="Z5193" i="2"/>
  <c r="Z5337" i="2"/>
  <c r="Z5174" i="2"/>
  <c r="Z5318" i="2"/>
  <c r="Z5167" i="2"/>
  <c r="Z5311" i="2"/>
  <c r="Z5455" i="2"/>
  <c r="Z5376" i="2"/>
  <c r="Z5417" i="2"/>
  <c r="Z5458" i="2"/>
  <c r="Z5487" i="2"/>
  <c r="Z5420" i="2"/>
  <c r="Z5461" i="2"/>
  <c r="Z5490" i="2"/>
  <c r="Z5474" i="2"/>
  <c r="Z5440" i="2"/>
  <c r="Z5469" i="2"/>
  <c r="Z5333" i="2"/>
  <c r="Z5125" i="2"/>
  <c r="Z5099" i="2"/>
  <c r="Z5368" i="2"/>
  <c r="Z5198" i="2"/>
  <c r="Z5412" i="2"/>
  <c r="Z5485" i="2"/>
  <c r="Z5464" i="2"/>
  <c r="Z5182" i="2"/>
  <c r="Z5300" i="2"/>
  <c r="Z5130" i="2"/>
  <c r="Z5399" i="2"/>
  <c r="Z5373" i="2"/>
  <c r="Z5203" i="2"/>
  <c r="Z5424" i="2"/>
  <c r="Z5497" i="2"/>
  <c r="V5497" i="2" s="1"/>
  <c r="Z5426" i="2"/>
  <c r="Z5194" i="2"/>
  <c r="Z5312" i="2"/>
  <c r="Z5286" i="2"/>
  <c r="Z5104" i="2"/>
  <c r="Z5241" i="2"/>
  <c r="Z5366" i="2"/>
  <c r="Z5450" i="2"/>
  <c r="Z5436" i="2"/>
  <c r="Z5172" i="2"/>
  <c r="Z5438" i="2"/>
  <c r="Z5488" i="2"/>
  <c r="Z5122" i="2"/>
  <c r="Z5177" i="2"/>
  <c r="Z5321" i="2"/>
  <c r="Z5158" i="2"/>
  <c r="Z5302" i="2"/>
  <c r="Z5151" i="2"/>
  <c r="Z5295" i="2"/>
  <c r="Z5132" i="2"/>
  <c r="Z5276" i="2"/>
  <c r="Z5113" i="2"/>
  <c r="Z5257" i="2"/>
  <c r="Z5106" i="2"/>
  <c r="Z5250" i="2"/>
  <c r="Z5394" i="2"/>
  <c r="Z5231" i="2"/>
  <c r="Z5375" i="2"/>
  <c r="Z5212" i="2"/>
  <c r="Z5356" i="2"/>
  <c r="Z5205" i="2"/>
  <c r="Z5349" i="2"/>
  <c r="Z5186" i="2"/>
  <c r="Z5330" i="2"/>
  <c r="Z5179" i="2"/>
  <c r="Z5323" i="2"/>
  <c r="Z5467" i="2"/>
  <c r="Z5400" i="2"/>
  <c r="Z5429" i="2"/>
  <c r="Z5470" i="2"/>
  <c r="Z5499" i="2"/>
  <c r="V5499" i="2" s="1"/>
  <c r="Z5432" i="2"/>
  <c r="Z5473" i="2"/>
  <c r="Z5402" i="2"/>
  <c r="Z5112" i="2"/>
  <c r="Z5452" i="2"/>
  <c r="Z5481" i="2"/>
  <c r="Z5189" i="2"/>
  <c r="Z5163" i="2"/>
  <c r="Z5144" i="2"/>
  <c r="Z5269" i="2"/>
  <c r="Z5262" i="2"/>
  <c r="Z5387" i="2"/>
  <c r="Z5217" i="2"/>
  <c r="Z5191" i="2"/>
  <c r="Z5335" i="2"/>
  <c r="Z5441" i="2"/>
  <c r="Z5482" i="2"/>
  <c r="Z5100" i="2"/>
  <c r="Z5498" i="2"/>
  <c r="V5498" i="2" s="1"/>
  <c r="Z5201" i="2"/>
  <c r="Z5326" i="2"/>
  <c r="Z5319" i="2"/>
  <c r="Z5137" i="2"/>
  <c r="Z5274" i="2"/>
  <c r="Z5255" i="2"/>
  <c r="Z5380" i="2"/>
  <c r="Z5210" i="2"/>
  <c r="Z5491" i="2"/>
  <c r="Z5494" i="2"/>
  <c r="V5494" i="2" s="1"/>
  <c r="Z5456" i="2"/>
  <c r="Z5184" i="2"/>
  <c r="Z5357" i="2"/>
  <c r="Z5187" i="2"/>
  <c r="Z5168" i="2"/>
  <c r="Z5293" i="2"/>
  <c r="Z5123" i="2"/>
  <c r="Z5248" i="2"/>
  <c r="Z5385" i="2"/>
  <c r="Z5215" i="2"/>
  <c r="Z5486" i="2"/>
  <c r="Z5411" i="2"/>
  <c r="Z5225" i="2"/>
  <c r="Z5369" i="2"/>
  <c r="Z5206" i="2"/>
  <c r="Z5350" i="2"/>
  <c r="Z5199" i="2"/>
  <c r="Z5343" i="2"/>
  <c r="Z5180" i="2"/>
  <c r="Z5324" i="2"/>
  <c r="Z5161" i="2"/>
  <c r="Z5305" i="2"/>
  <c r="Z5154" i="2"/>
  <c r="Z5298" i="2"/>
  <c r="Z5135" i="2"/>
  <c r="Z5279" i="2"/>
  <c r="Z5116" i="2"/>
  <c r="Z5260" i="2"/>
  <c r="Z5109" i="2"/>
  <c r="Z5253" i="2"/>
  <c r="Z5397" i="2"/>
  <c r="Z5234" i="2"/>
  <c r="Z5378" i="2"/>
  <c r="Z5227" i="2"/>
  <c r="Z5371" i="2"/>
  <c r="Z5124" i="2"/>
  <c r="Z5448" i="2"/>
  <c r="Z5477" i="2"/>
  <c r="Z5403" i="2"/>
  <c r="Z5208" i="2"/>
  <c r="Z5480" i="2"/>
  <c r="Z5406" i="2"/>
  <c r="Z5423" i="2"/>
  <c r="Z5256" i="2"/>
  <c r="Z5500" i="2"/>
  <c r="V5500" i="2" s="1"/>
  <c r="Z5237" i="2"/>
  <c r="Z5381" i="2"/>
  <c r="Z5218" i="2"/>
  <c r="Z5362" i="2"/>
  <c r="Z5211" i="2"/>
  <c r="Z5355" i="2"/>
  <c r="Z5192" i="2"/>
  <c r="Z5336" i="2"/>
  <c r="Z5173" i="2"/>
  <c r="Z5317" i="2"/>
  <c r="Z5166" i="2"/>
  <c r="Z5310" i="2"/>
  <c r="Z5147" i="2"/>
  <c r="Z5291" i="2"/>
  <c r="Z5128" i="2"/>
  <c r="Z5272" i="2"/>
  <c r="Z5121" i="2"/>
  <c r="Z5265" i="2"/>
  <c r="Z5102" i="2"/>
  <c r="Z5246" i="2"/>
  <c r="Z5390" i="2"/>
  <c r="Z5239" i="2"/>
  <c r="Z5383" i="2"/>
  <c r="Z5160" i="2"/>
  <c r="Z5460" i="2"/>
  <c r="Z5489" i="2"/>
  <c r="Z5415" i="2"/>
  <c r="Z5244" i="2"/>
  <c r="Z5492" i="2"/>
  <c r="V5492" i="2" s="1"/>
  <c r="Z5418" i="2"/>
  <c r="Z5435" i="2"/>
  <c r="Z5292" i="2"/>
  <c r="Z5462" i="2"/>
  <c r="Z5421" i="2"/>
  <c r="Z5129" i="2"/>
  <c r="Z5254" i="2"/>
  <c r="Z5247" i="2"/>
  <c r="Z5228" i="2"/>
  <c r="Z5209" i="2"/>
  <c r="Z5353" i="2"/>
  <c r="Z5346" i="2"/>
  <c r="Z5327" i="2"/>
  <c r="Z5308" i="2"/>
  <c r="Z5301" i="2"/>
  <c r="Z5131" i="2"/>
  <c r="Z5275" i="2"/>
  <c r="Z5268" i="2"/>
  <c r="Z5422" i="2"/>
  <c r="Z5352" i="2"/>
  <c r="Z5454" i="2"/>
  <c r="Z5433" i="2"/>
  <c r="Z5285" i="2"/>
  <c r="Z5384" i="2"/>
  <c r="Z5294" i="2"/>
  <c r="Z5416" i="2"/>
  <c r="Z5221" i="2"/>
  <c r="Z5143" i="2"/>
  <c r="Z5445" i="2"/>
  <c r="Z5365" i="2"/>
  <c r="Z5287" i="2"/>
  <c r="Z5214" i="2"/>
  <c r="Z5431" i="2"/>
  <c r="Z5466" i="2"/>
  <c r="Z5358" i="2"/>
  <c r="Z5304" i="2"/>
  <c r="Z5463" i="2"/>
  <c r="Z5398" i="2"/>
  <c r="Z5483" i="2"/>
  <c r="Z5195" i="2"/>
  <c r="Z5414" i="2"/>
  <c r="Z5176" i="2"/>
  <c r="Z5169" i="2"/>
  <c r="Z5313" i="2"/>
  <c r="Z5339" i="2"/>
  <c r="Z5434" i="2"/>
  <c r="Z5320" i="2"/>
  <c r="Z5437" i="2"/>
  <c r="Z5150" i="2"/>
  <c r="M55" i="2"/>
  <c r="K55" i="2"/>
  <c r="L55" i="2"/>
  <c r="Z4989" i="2"/>
  <c r="Z4880" i="2"/>
  <c r="Z4736" i="2"/>
  <c r="Z4366" i="2"/>
  <c r="Z3502" i="2"/>
  <c r="Z5095" i="2"/>
  <c r="Z4951" i="2"/>
  <c r="Z4807" i="2"/>
  <c r="Z4661" i="2"/>
  <c r="Z3923" i="2"/>
  <c r="Z4905" i="2"/>
  <c r="Z5022" i="2"/>
  <c r="Z4878" i="2"/>
  <c r="Z4734" i="2"/>
  <c r="Z4354" i="2"/>
  <c r="Z3489" i="2"/>
  <c r="Z4976" i="2"/>
  <c r="Z4961" i="2"/>
  <c r="Z4817" i="2"/>
  <c r="Z4673" i="2"/>
  <c r="Z3983" i="2"/>
  <c r="Z5085" i="2"/>
  <c r="Z5032" i="2"/>
  <c r="Z4888" i="2"/>
  <c r="Z4744" i="2"/>
  <c r="Z4414" i="2"/>
  <c r="Z3550" i="2"/>
  <c r="Z5055" i="2"/>
  <c r="Z4911" i="2"/>
  <c r="Z4767" i="2"/>
  <c r="Z4510" i="2"/>
  <c r="Z3683" i="2"/>
  <c r="Z4534" i="2"/>
  <c r="Z4982" i="2"/>
  <c r="Z4838" i="2"/>
  <c r="Z4694" i="2"/>
  <c r="Z4114" i="2"/>
  <c r="Z2620" i="2"/>
  <c r="Z5041" i="2"/>
  <c r="Z4897" i="2"/>
  <c r="Z4753" i="2"/>
  <c r="Z4451" i="2"/>
  <c r="Z3599" i="2"/>
  <c r="Z5000" i="2"/>
  <c r="Z4956" i="2"/>
  <c r="Z4812" i="2"/>
  <c r="Z4668" i="2"/>
  <c r="Z3958" i="2"/>
  <c r="Z4977" i="2"/>
  <c r="Z5015" i="2"/>
  <c r="Z4871" i="2"/>
  <c r="Z4727" i="2"/>
  <c r="Z4307" i="2"/>
  <c r="Z3389" i="2"/>
  <c r="Z5074" i="2"/>
  <c r="Z4930" i="2"/>
  <c r="Z4786" i="2"/>
  <c r="Z4583" i="2"/>
  <c r="Z3802" i="2"/>
  <c r="Z4629" i="2"/>
  <c r="Z4485" i="2"/>
  <c r="Z4341" i="2"/>
  <c r="Z4197" i="2"/>
  <c r="Z4053" i="2"/>
  <c r="Z3909" i="2"/>
  <c r="Z3765" i="2"/>
  <c r="Z3621" i="2"/>
  <c r="Z3472" i="2"/>
  <c r="Z2969" i="2"/>
  <c r="Z4881" i="2"/>
  <c r="Z4868" i="2"/>
  <c r="Z4724" i="2"/>
  <c r="Z4294" i="2"/>
  <c r="Z3352" i="2"/>
  <c r="Z5083" i="2"/>
  <c r="Z4939" i="2"/>
  <c r="Z4795" i="2"/>
  <c r="Z4619" i="2"/>
  <c r="Z3851" i="2"/>
  <c r="Z4797" i="2"/>
  <c r="Z5010" i="2"/>
  <c r="Z4866" i="2"/>
  <c r="Z4722" i="2"/>
  <c r="Z4282" i="2"/>
  <c r="Z3315" i="2"/>
  <c r="Z5093" i="2"/>
  <c r="Z4949" i="2"/>
  <c r="Z4805" i="2"/>
  <c r="Z4657" i="2"/>
  <c r="Z3911" i="2"/>
  <c r="Z4953" i="2"/>
  <c r="Z4761" i="2"/>
  <c r="Z4856" i="2"/>
  <c r="Z4712" i="2"/>
  <c r="Z4222" i="2"/>
  <c r="Z3075" i="2"/>
  <c r="Z5071" i="2"/>
  <c r="Z4927" i="2"/>
  <c r="Z4783" i="2"/>
  <c r="Z4571" i="2"/>
  <c r="Z3779" i="2"/>
  <c r="Z4689" i="2"/>
  <c r="Z4998" i="2"/>
  <c r="Z4854" i="2"/>
  <c r="Z4710" i="2"/>
  <c r="Z4210" i="2"/>
  <c r="Z3027" i="2"/>
  <c r="Z5081" i="2"/>
  <c r="Z4937" i="2"/>
  <c r="Z4793" i="2"/>
  <c r="Z4612" i="2"/>
  <c r="Z4582" i="2"/>
  <c r="Z4844" i="2"/>
  <c r="Z4700" i="2"/>
  <c r="Z4150" i="2"/>
  <c r="Z2787" i="2"/>
  <c r="Z5059" i="2"/>
  <c r="Z4915" i="2"/>
  <c r="Z4771" i="2"/>
  <c r="Z4523" i="2"/>
  <c r="Z3707" i="2"/>
  <c r="Z4151" i="2"/>
  <c r="Z4986" i="2"/>
  <c r="Z4842" i="2"/>
  <c r="Z4698" i="2"/>
  <c r="Z4138" i="2"/>
  <c r="Z2739" i="2"/>
  <c r="Z5069" i="2"/>
  <c r="Z4925" i="2"/>
  <c r="Z4781" i="2"/>
  <c r="Z4564" i="2"/>
  <c r="Z3767" i="2"/>
  <c r="Z4665" i="2"/>
  <c r="Z4996" i="2"/>
  <c r="Z4852" i="2"/>
  <c r="Z4708" i="2"/>
  <c r="Z4198" i="2"/>
  <c r="Z2979" i="2"/>
  <c r="Z5019" i="2"/>
  <c r="Z4875" i="2"/>
  <c r="Z4731" i="2"/>
  <c r="Z4331" i="2"/>
  <c r="Z3455" i="2"/>
  <c r="Z5090" i="2"/>
  <c r="Z4946" i="2"/>
  <c r="Z4802" i="2"/>
  <c r="Z4648" i="2"/>
  <c r="Z3898" i="2"/>
  <c r="Z4869" i="2"/>
  <c r="Z5005" i="2"/>
  <c r="Z4861" i="2"/>
  <c r="Z4717" i="2"/>
  <c r="Z4247" i="2"/>
  <c r="Z3172" i="2"/>
  <c r="Z5064" i="2"/>
  <c r="Z4920" i="2"/>
  <c r="Z4776" i="2"/>
  <c r="Z4546" i="2"/>
  <c r="Z3742" i="2"/>
  <c r="Z4223" i="2"/>
  <c r="Z4979" i="2"/>
  <c r="Z4835" i="2"/>
  <c r="Z4691" i="2"/>
  <c r="Z4091" i="2"/>
  <c r="Z2477" i="2"/>
  <c r="Z5038" i="2"/>
  <c r="Z4894" i="2"/>
  <c r="Z4750" i="2"/>
  <c r="Z4439" i="2"/>
  <c r="Z3586" i="2"/>
  <c r="Z4593" i="2"/>
  <c r="Z4449" i="2"/>
  <c r="Z4305" i="2"/>
  <c r="Z4161" i="2"/>
  <c r="Z4017" i="2"/>
  <c r="Z3873" i="2"/>
  <c r="Z3729" i="2"/>
  <c r="Z3585" i="2"/>
  <c r="Z3387" i="2"/>
  <c r="Z2825" i="2"/>
  <c r="Z2033" i="2"/>
  <c r="Z4532" i="2"/>
  <c r="Z4388" i="2"/>
  <c r="Z4244" i="2"/>
  <c r="Z4100" i="2"/>
  <c r="Z3956" i="2"/>
  <c r="Z3812" i="2"/>
  <c r="Z3668" i="2"/>
  <c r="Z3524" i="2"/>
  <c r="Z3160" i="2"/>
  <c r="Z2536" i="2"/>
  <c r="Z4615" i="2"/>
  <c r="Z4471" i="2"/>
  <c r="Z4327" i="2"/>
  <c r="Z4183" i="2"/>
  <c r="Z4039" i="2"/>
  <c r="Z3503" i="2"/>
  <c r="Z4832" i="2"/>
  <c r="Z4688" i="2"/>
  <c r="Z4078" i="2"/>
  <c r="Z2404" i="2"/>
  <c r="Z5047" i="2"/>
  <c r="Z4903" i="2"/>
  <c r="Z4759" i="2"/>
  <c r="Z4475" i="2"/>
  <c r="Z3635" i="2"/>
  <c r="Z2405" i="2"/>
  <c r="Z4974" i="2"/>
  <c r="Z4830" i="2"/>
  <c r="Z4686" i="2"/>
  <c r="Z4066" i="2"/>
  <c r="Z2332" i="2"/>
  <c r="Z5057" i="2"/>
  <c r="Z4913" i="2"/>
  <c r="Z4769" i="2"/>
  <c r="Z4516" i="2"/>
  <c r="Z3695" i="2"/>
  <c r="Z4295" i="2"/>
  <c r="Z4984" i="2"/>
  <c r="Z4840" i="2"/>
  <c r="Z4696" i="2"/>
  <c r="Z4126" i="2"/>
  <c r="Z2691" i="2"/>
  <c r="Z5007" i="2"/>
  <c r="Z4863" i="2"/>
  <c r="Z4719" i="2"/>
  <c r="Z4259" i="2"/>
  <c r="Z3220" i="2"/>
  <c r="Z5078" i="2"/>
  <c r="Z4934" i="2"/>
  <c r="Z4790" i="2"/>
  <c r="Z4600" i="2"/>
  <c r="Z3826" i="2"/>
  <c r="Z4725" i="2"/>
  <c r="Z4993" i="2"/>
  <c r="Z4849" i="2"/>
  <c r="Z4705" i="2"/>
  <c r="Z4175" i="2"/>
  <c r="Z2884" i="2"/>
  <c r="Z5052" i="2"/>
  <c r="Z4908" i="2"/>
  <c r="Z4764" i="2"/>
  <c r="Z4498" i="2"/>
  <c r="Z3670" i="2"/>
  <c r="Z2788" i="2"/>
  <c r="Z4967" i="2"/>
  <c r="Z4823" i="2"/>
  <c r="Z4679" i="2"/>
  <c r="Z4019" i="2"/>
  <c r="Z2045" i="2"/>
  <c r="Z5026" i="2"/>
  <c r="Z4882" i="2"/>
  <c r="Z4738" i="2"/>
  <c r="Z4378" i="2"/>
  <c r="Z3514" i="2"/>
  <c r="Z4581" i="2"/>
  <c r="Z4437" i="2"/>
  <c r="Z4293" i="2"/>
  <c r="Z4149" i="2"/>
  <c r="Z4005" i="2"/>
  <c r="Z3861" i="2"/>
  <c r="Z3717" i="2"/>
  <c r="Z3573" i="2"/>
  <c r="Z3351" i="2"/>
  <c r="Z2777" i="2"/>
  <c r="Z4664" i="2"/>
  <c r="Z4520" i="2"/>
  <c r="Z4376" i="2"/>
  <c r="Z4232" i="2"/>
  <c r="Z4088" i="2"/>
  <c r="Z3944" i="2"/>
  <c r="Z3800" i="2"/>
  <c r="Z3656" i="2"/>
  <c r="Z3512" i="2"/>
  <c r="Z3112" i="2"/>
  <c r="Z2464" i="2"/>
  <c r="Z4603" i="2"/>
  <c r="Z4459" i="2"/>
  <c r="Z4315" i="2"/>
  <c r="Z4171" i="2"/>
  <c r="Z4027" i="2"/>
  <c r="Z3883" i="2"/>
  <c r="Z3739" i="2"/>
  <c r="Z5084" i="2"/>
  <c r="Z4820" i="2"/>
  <c r="Z4676" i="2"/>
  <c r="Z4006" i="2"/>
  <c r="Z5037" i="2"/>
  <c r="Z5035" i="2"/>
  <c r="Z4891" i="2"/>
  <c r="Z4747" i="2"/>
  <c r="Z4427" i="2"/>
  <c r="Z3563" i="2"/>
  <c r="Z4964" i="2"/>
  <c r="Z4962" i="2"/>
  <c r="Z4818" i="2"/>
  <c r="Z4674" i="2"/>
  <c r="Z3994" i="2"/>
  <c r="Z5073" i="2"/>
  <c r="Z5045" i="2"/>
  <c r="Z4901" i="2"/>
  <c r="Z4757" i="2"/>
  <c r="Z4468" i="2"/>
  <c r="Z3623" i="2"/>
  <c r="Z3353" i="2"/>
  <c r="Z4972" i="2"/>
  <c r="Z4828" i="2"/>
  <c r="Z4684" i="2"/>
  <c r="Z4054" i="2"/>
  <c r="Z2260" i="2"/>
  <c r="Z4995" i="2"/>
  <c r="Z4851" i="2"/>
  <c r="Z4707" i="2"/>
  <c r="Z4187" i="2"/>
  <c r="Z2932" i="2"/>
  <c r="Z5066" i="2"/>
  <c r="Z4922" i="2"/>
  <c r="Z4778" i="2"/>
  <c r="Z4552" i="2"/>
  <c r="Z3754" i="2"/>
  <c r="Z4438" i="2"/>
  <c r="Z4981" i="2"/>
  <c r="Z4837" i="2"/>
  <c r="Z4693" i="2"/>
  <c r="Z4103" i="2"/>
  <c r="Z2549" i="2"/>
  <c r="Z5040" i="2"/>
  <c r="Z4896" i="2"/>
  <c r="Z4752" i="2"/>
  <c r="Z4450" i="2"/>
  <c r="Z3598" i="2"/>
  <c r="Z5048" i="2"/>
  <c r="Z4955" i="2"/>
  <c r="Z4811" i="2"/>
  <c r="Z4667" i="2"/>
  <c r="Z3947" i="2"/>
  <c r="Z4941" i="2"/>
  <c r="Z5014" i="2"/>
  <c r="Z4870" i="2"/>
  <c r="Z4726" i="2"/>
  <c r="Z4306" i="2"/>
  <c r="Z3388" i="2"/>
  <c r="Z4569" i="2"/>
  <c r="Z4425" i="2"/>
  <c r="Z4281" i="2"/>
  <c r="Z4137" i="2"/>
  <c r="Z3993" i="2"/>
  <c r="Z3849" i="2"/>
  <c r="Z3705" i="2"/>
  <c r="Z3561" i="2"/>
  <c r="Z3305" i="2"/>
  <c r="Z2729" i="2"/>
  <c r="Z4652" i="2"/>
  <c r="Z4508" i="2"/>
  <c r="Z4364" i="2"/>
  <c r="Z4220" i="2"/>
  <c r="Z4076" i="2"/>
  <c r="Z3932" i="2"/>
  <c r="Z3788" i="2"/>
  <c r="Z3644" i="2"/>
  <c r="Z3500" i="2"/>
  <c r="Z3064" i="2"/>
  <c r="Z2392" i="2"/>
  <c r="Z4591" i="2"/>
  <c r="Z4447" i="2"/>
  <c r="Z4303" i="2"/>
  <c r="Z4159" i="2"/>
  <c r="Z4015" i="2"/>
  <c r="Z3871" i="2"/>
  <c r="Z5072" i="2"/>
  <c r="Z4808" i="2"/>
  <c r="Z4662" i="2"/>
  <c r="Z3934" i="2"/>
  <c r="Z4917" i="2"/>
  <c r="Z5023" i="2"/>
  <c r="Z4879" i="2"/>
  <c r="Z4735" i="2"/>
  <c r="Z4355" i="2"/>
  <c r="Z3490" i="2"/>
  <c r="Z5094" i="2"/>
  <c r="Z4950" i="2"/>
  <c r="Z4806" i="2"/>
  <c r="Z4660" i="2"/>
  <c r="Z3922" i="2"/>
  <c r="Z4965" i="2"/>
  <c r="Z5033" i="2"/>
  <c r="Z4889" i="2"/>
  <c r="Z4745" i="2"/>
  <c r="Z4415" i="2"/>
  <c r="Z3551" i="2"/>
  <c r="Z5012" i="2"/>
  <c r="Z4960" i="2"/>
  <c r="Z4816" i="2"/>
  <c r="Z4672" i="2"/>
  <c r="Z3982" i="2"/>
  <c r="Z5049" i="2"/>
  <c r="Z4983" i="2"/>
  <c r="Z4839" i="2"/>
  <c r="Z4695" i="2"/>
  <c r="Z4115" i="2"/>
  <c r="Z2621" i="2"/>
  <c r="Z5054" i="2"/>
  <c r="Z4910" i="2"/>
  <c r="Z4766" i="2"/>
  <c r="Z4504" i="2"/>
  <c r="Z3682" i="2"/>
  <c r="Z3719" i="2"/>
  <c r="Z4969" i="2"/>
  <c r="Z4825" i="2"/>
  <c r="Z4681" i="2"/>
  <c r="Z4031" i="2"/>
  <c r="Z2117" i="2"/>
  <c r="Z5028" i="2"/>
  <c r="Z4884" i="2"/>
  <c r="Z4740" i="2"/>
  <c r="Z4390" i="2"/>
  <c r="Z3526" i="2"/>
  <c r="Z5087" i="2"/>
  <c r="Z4943" i="2"/>
  <c r="Z4799" i="2"/>
  <c r="Z4636" i="2"/>
  <c r="Z3875" i="2"/>
  <c r="Z4821" i="2"/>
  <c r="Z5002" i="2"/>
  <c r="Z4858" i="2"/>
  <c r="Z4714" i="2"/>
  <c r="Z4234" i="2"/>
  <c r="Z3123" i="2"/>
  <c r="Z4557" i="2"/>
  <c r="Z4413" i="2"/>
  <c r="Z4269" i="2"/>
  <c r="Z4125" i="2"/>
  <c r="Z3981" i="2"/>
  <c r="Z3837" i="2"/>
  <c r="Z3693" i="2"/>
  <c r="Z3549" i="2"/>
  <c r="Z3257" i="2"/>
  <c r="Z4940" i="2"/>
  <c r="Z4796" i="2"/>
  <c r="Z4624" i="2"/>
  <c r="Z3862" i="2"/>
  <c r="Z4785" i="2"/>
  <c r="Z5011" i="2"/>
  <c r="Z4867" i="2"/>
  <c r="Z4723" i="2"/>
  <c r="Z4283" i="2"/>
  <c r="Z3316" i="2"/>
  <c r="Z5082" i="2"/>
  <c r="Z4938" i="2"/>
  <c r="Z4794" i="2"/>
  <c r="Z4618" i="2"/>
  <c r="Z3850" i="2"/>
  <c r="Z4845" i="2"/>
  <c r="Z5021" i="2"/>
  <c r="Z4877" i="2"/>
  <c r="Z4733" i="2"/>
  <c r="Z4928" i="2"/>
  <c r="Z4784" i="2"/>
  <c r="Z4576" i="2"/>
  <c r="Z3790" i="2"/>
  <c r="Z4677" i="2"/>
  <c r="Z4999" i="2"/>
  <c r="Z4855" i="2"/>
  <c r="Z4711" i="2"/>
  <c r="Z4211" i="2"/>
  <c r="Z3028" i="2"/>
  <c r="Z5070" i="2"/>
  <c r="Z4926" i="2"/>
  <c r="Z4782" i="2"/>
  <c r="Z4570" i="2"/>
  <c r="Z3778" i="2"/>
  <c r="Z4749" i="2"/>
  <c r="Z5009" i="2"/>
  <c r="Z4865" i="2"/>
  <c r="Z4721" i="2"/>
  <c r="Z4271" i="2"/>
  <c r="Z3268" i="2"/>
  <c r="Z5080" i="2"/>
  <c r="Z4916" i="2"/>
  <c r="Z4772" i="2"/>
  <c r="Z4528" i="2"/>
  <c r="Z3718" i="2"/>
  <c r="Z4079" i="2"/>
  <c r="Z4987" i="2"/>
  <c r="Z4843" i="2"/>
  <c r="Z4699" i="2"/>
  <c r="Z4139" i="2"/>
  <c r="Z2740" i="2"/>
  <c r="Z5058" i="2"/>
  <c r="Z4914" i="2"/>
  <c r="Z4770" i="2"/>
  <c r="Z4522" i="2"/>
  <c r="Z3706" i="2"/>
  <c r="Z4630" i="2"/>
  <c r="Z4997" i="2"/>
  <c r="Z4853" i="2"/>
  <c r="Z4709" i="2"/>
  <c r="Z4199" i="2"/>
  <c r="Z2980" i="2"/>
  <c r="Z5068" i="2"/>
  <c r="Z4924" i="2"/>
  <c r="Z4780" i="2"/>
  <c r="Z4559" i="2"/>
  <c r="Z3766" i="2"/>
  <c r="Z5091" i="2"/>
  <c r="Z4947" i="2"/>
  <c r="Z4803" i="2"/>
  <c r="Z4654" i="2"/>
  <c r="Z3899" i="2"/>
  <c r="Z4929" i="2"/>
  <c r="Z5018" i="2"/>
  <c r="Z4874" i="2"/>
  <c r="Z4730" i="2"/>
  <c r="Z4330" i="2"/>
  <c r="Z3454" i="2"/>
  <c r="Z5077" i="2"/>
  <c r="Z4933" i="2"/>
  <c r="Z4789" i="2"/>
  <c r="Z4595" i="2"/>
  <c r="Z3815" i="2"/>
  <c r="Z4737" i="2"/>
  <c r="Z4992" i="2"/>
  <c r="Z4848" i="2"/>
  <c r="Z4704" i="2"/>
  <c r="Z4174" i="2"/>
  <c r="Z2883" i="2"/>
  <c r="Z5051" i="2"/>
  <c r="Z4907" i="2"/>
  <c r="Z4763" i="2"/>
  <c r="Z4492" i="2"/>
  <c r="Z3659" i="2"/>
  <c r="Z3076" i="2"/>
  <c r="Z4966" i="2"/>
  <c r="Z4822" i="2"/>
  <c r="Z4678" i="2"/>
  <c r="Z4018" i="2"/>
  <c r="Z2044" i="2"/>
  <c r="Z4521" i="2"/>
  <c r="Z4377" i="2"/>
  <c r="Z4233" i="2"/>
  <c r="Z4089" i="2"/>
  <c r="Z3945" i="2"/>
  <c r="Z3801" i="2"/>
  <c r="Z3657" i="2"/>
  <c r="Z3513" i="2"/>
  <c r="Z3113" i="2"/>
  <c r="Z2465" i="2"/>
  <c r="Z4604" i="2"/>
  <c r="Z4460" i="2"/>
  <c r="Z4316" i="2"/>
  <c r="Z4172" i="2"/>
  <c r="Z4028" i="2"/>
  <c r="Z3884" i="2"/>
  <c r="Z3740" i="2"/>
  <c r="Z3596" i="2"/>
  <c r="Z3418" i="2"/>
  <c r="Z2872" i="2"/>
  <c r="Z2104" i="2"/>
  <c r="Z4543" i="2"/>
  <c r="Z4399" i="2"/>
  <c r="Z4255" i="2"/>
  <c r="Z4111" i="2"/>
  <c r="Z3967" i="2"/>
  <c r="Z4904" i="2"/>
  <c r="Z4760" i="2"/>
  <c r="Z4480" i="2"/>
  <c r="Z3646" i="2"/>
  <c r="Z3575" i="2"/>
  <c r="Z4975" i="2"/>
  <c r="Z4831" i="2"/>
  <c r="Z4687" i="2"/>
  <c r="Z4067" i="2"/>
  <c r="Z2333" i="2"/>
  <c r="Z5046" i="2"/>
  <c r="Z4902" i="2"/>
  <c r="Z4758" i="2"/>
  <c r="Z4474" i="2"/>
  <c r="Z3634" i="2"/>
  <c r="Z4007" i="2"/>
  <c r="Z4985" i="2"/>
  <c r="Z4841" i="2"/>
  <c r="Z4697" i="2"/>
  <c r="Z4127" i="2"/>
  <c r="Z2692" i="2"/>
  <c r="Z5056" i="2"/>
  <c r="Z4912" i="2"/>
  <c r="Z4768" i="2"/>
  <c r="Z4511" i="2"/>
  <c r="Z3694" i="2"/>
  <c r="Z5079" i="2"/>
  <c r="Z4935" i="2"/>
  <c r="Z4791" i="2"/>
  <c r="Z4606" i="2"/>
  <c r="Z3827" i="2"/>
  <c r="Z4833" i="2"/>
  <c r="Z5006" i="2"/>
  <c r="Z4862" i="2"/>
  <c r="Z4718" i="2"/>
  <c r="Z4258" i="2"/>
  <c r="Z3219" i="2"/>
  <c r="Z5065" i="2"/>
  <c r="Z4921" i="2"/>
  <c r="Z4777" i="2"/>
  <c r="Z4547" i="2"/>
  <c r="Z3743" i="2"/>
  <c r="Z4486" i="2"/>
  <c r="Z4980" i="2"/>
  <c r="Z4836" i="2"/>
  <c r="Z4692" i="2"/>
  <c r="Z4102" i="2"/>
  <c r="Z2548" i="2"/>
  <c r="Z5039" i="2"/>
  <c r="Z4895" i="2"/>
  <c r="Z4751" i="2"/>
  <c r="Z4444" i="2"/>
  <c r="Z3587" i="2"/>
  <c r="Z5036" i="2"/>
  <c r="Z4954" i="2"/>
  <c r="Z4810" i="2"/>
  <c r="Z4666" i="2"/>
  <c r="Z3946" i="2"/>
  <c r="Z4653" i="2"/>
  <c r="Z4509" i="2"/>
  <c r="Z4365" i="2"/>
  <c r="Z4221" i="2"/>
  <c r="Z4077" i="2"/>
  <c r="Z3933" i="2"/>
  <c r="Z3789" i="2"/>
  <c r="Z3645" i="2"/>
  <c r="Z3501" i="2"/>
  <c r="Z3065" i="2"/>
  <c r="Z2393" i="2"/>
  <c r="Z4592" i="2"/>
  <c r="Z4448" i="2"/>
  <c r="Z4304" i="2"/>
  <c r="Z4160" i="2"/>
  <c r="Z4016" i="2"/>
  <c r="Z3872" i="2"/>
  <c r="Z3728" i="2"/>
  <c r="Z3584" i="2"/>
  <c r="Z3382" i="2"/>
  <c r="Z2824" i="2"/>
  <c r="Z2032" i="2"/>
  <c r="Z4531" i="2"/>
  <c r="Z4387" i="2"/>
  <c r="Z4243" i="2"/>
  <c r="Z4099" i="2"/>
  <c r="Z3955" i="2"/>
  <c r="Z4892" i="2"/>
  <c r="Z4748" i="2"/>
  <c r="Z4432" i="2"/>
  <c r="Z3574" i="2"/>
  <c r="Z4952" i="2"/>
  <c r="Z4963" i="2"/>
  <c r="Z4819" i="2"/>
  <c r="Z4675" i="2"/>
  <c r="Z3995" i="2"/>
  <c r="Z5025" i="2"/>
  <c r="Z5034" i="2"/>
  <c r="Z4890" i="2"/>
  <c r="Z4746" i="2"/>
  <c r="Z4426" i="2"/>
  <c r="Z3562" i="2"/>
  <c r="Z3647" i="2"/>
  <c r="Z4973" i="2"/>
  <c r="Z4829" i="2"/>
  <c r="Z4685" i="2"/>
  <c r="Z4055" i="2"/>
  <c r="Z2261" i="2"/>
  <c r="Z5044" i="2"/>
  <c r="Z4900" i="2"/>
  <c r="Z4756" i="2"/>
  <c r="Z4463" i="2"/>
  <c r="Z3622" i="2"/>
  <c r="Z5067" i="2"/>
  <c r="Z4923" i="2"/>
  <c r="Z4779" i="2"/>
  <c r="Z4558" i="2"/>
  <c r="Z3755" i="2"/>
  <c r="Z4773" i="2"/>
  <c r="Z4994" i="2"/>
  <c r="Z4850" i="2"/>
  <c r="Z4706" i="2"/>
  <c r="Z4186" i="2"/>
  <c r="Z2931" i="2"/>
  <c r="Z5053" i="2"/>
  <c r="Z4909" i="2"/>
  <c r="Z4765" i="2"/>
  <c r="Z4499" i="2"/>
  <c r="Z3671" i="2"/>
  <c r="Z3791" i="2"/>
  <c r="Z4968" i="2"/>
  <c r="Z4824" i="2"/>
  <c r="Z4680" i="2"/>
  <c r="Z4030" i="2"/>
  <c r="Z2116" i="2"/>
  <c r="Z5027" i="2"/>
  <c r="Z4883" i="2"/>
  <c r="Z4739" i="2"/>
  <c r="Z4379" i="2"/>
  <c r="Z3515" i="2"/>
  <c r="Z5086" i="2"/>
  <c r="Z4942" i="2"/>
  <c r="Z4798" i="2"/>
  <c r="Z4631" i="2"/>
  <c r="Z3874" i="2"/>
  <c r="Z4641" i="2"/>
  <c r="Z4497" i="2"/>
  <c r="Z4353" i="2"/>
  <c r="Z4209" i="2"/>
  <c r="Z4065" i="2"/>
  <c r="Z3921" i="2"/>
  <c r="Z3777" i="2"/>
  <c r="Z3633" i="2"/>
  <c r="Z3488" i="2"/>
  <c r="Z3017" i="2"/>
  <c r="Z2321" i="2"/>
  <c r="Z4580" i="2"/>
  <c r="Z4436" i="2"/>
  <c r="Z4292" i="2"/>
  <c r="Z4148" i="2"/>
  <c r="Z4004" i="2"/>
  <c r="Z3860" i="2"/>
  <c r="Z3716" i="2"/>
  <c r="Z3572" i="2"/>
  <c r="Z3346" i="2"/>
  <c r="Z2776" i="2"/>
  <c r="Z4663" i="2"/>
  <c r="Z4519" i="2"/>
  <c r="Z4375" i="2"/>
  <c r="Z4231" i="2"/>
  <c r="Z4087" i="2"/>
  <c r="Z3943" i="2"/>
  <c r="Z4343" i="2"/>
  <c r="Z4792" i="2"/>
  <c r="Z5060" i="2"/>
  <c r="Z4671" i="2"/>
  <c r="Z5030" i="2"/>
  <c r="Z4402" i="2"/>
  <c r="Z4945" i="2"/>
  <c r="Z3887" i="2"/>
  <c r="Z4860" i="2"/>
  <c r="Z3171" i="2"/>
  <c r="Z4775" i="2"/>
  <c r="Z4367" i="2"/>
  <c r="Z4690" i="2"/>
  <c r="Z4533" i="2"/>
  <c r="Z4101" i="2"/>
  <c r="Z3669" i="2"/>
  <c r="Z2609" i="2"/>
  <c r="Z4484" i="2"/>
  <c r="Z4196" i="2"/>
  <c r="Z3908" i="2"/>
  <c r="Z3620" i="2"/>
  <c r="Z2968" i="2"/>
  <c r="Z4567" i="2"/>
  <c r="Z4279" i="2"/>
  <c r="Z3991" i="2"/>
  <c r="Z3787" i="2"/>
  <c r="Z3631" i="2"/>
  <c r="Z3486" i="2"/>
  <c r="Z3015" i="2"/>
  <c r="Z2309" i="2"/>
  <c r="Z4566" i="2"/>
  <c r="Z4422" i="2"/>
  <c r="Z4278" i="2"/>
  <c r="Z4134" i="2"/>
  <c r="Z3990" i="2"/>
  <c r="Z3846" i="2"/>
  <c r="Z3702" i="2"/>
  <c r="Z3558" i="2"/>
  <c r="Z3293" i="2"/>
  <c r="Z2717" i="2"/>
  <c r="Z4637" i="2"/>
  <c r="Z4493" i="2"/>
  <c r="Z4349" i="2"/>
  <c r="Z4205" i="2"/>
  <c r="Z4061" i="2"/>
  <c r="Z3917" i="2"/>
  <c r="Z3773" i="2"/>
  <c r="Z3629" i="2"/>
  <c r="Z3484" i="2"/>
  <c r="Z3004" i="2"/>
  <c r="Z2297" i="2"/>
  <c r="Z4336" i="2"/>
  <c r="Z4192" i="2"/>
  <c r="Z4048" i="2"/>
  <c r="Z3904" i="2"/>
  <c r="Z3760" i="2"/>
  <c r="Z3616" i="2"/>
  <c r="Z3464" i="2"/>
  <c r="Z2955" i="2"/>
  <c r="Z2224" i="2"/>
  <c r="Z4563" i="2"/>
  <c r="Z4419" i="2"/>
  <c r="Z4275" i="2"/>
  <c r="Z4131" i="2"/>
  <c r="Z3987" i="2"/>
  <c r="Z3843" i="2"/>
  <c r="Z3699" i="2"/>
  <c r="Z3555" i="2"/>
  <c r="Z3281" i="2"/>
  <c r="Z2705" i="2"/>
  <c r="Z4646" i="2"/>
  <c r="Z4502" i="2"/>
  <c r="Z4358" i="2"/>
  <c r="Z4214" i="2"/>
  <c r="Z4070" i="2"/>
  <c r="Z3926" i="2"/>
  <c r="Z3782" i="2"/>
  <c r="Z3638" i="2"/>
  <c r="Z3494" i="2"/>
  <c r="Z3040" i="2"/>
  <c r="Z2356" i="2"/>
  <c r="Z4573" i="2"/>
  <c r="Z4429" i="2"/>
  <c r="Z4285" i="2"/>
  <c r="Z4141" i="2"/>
  <c r="Z3997" i="2"/>
  <c r="Z3853" i="2"/>
  <c r="Z3709" i="2"/>
  <c r="Z3565" i="2"/>
  <c r="Z3327" i="2"/>
  <c r="Z2751" i="2"/>
  <c r="Z4656" i="2"/>
  <c r="Z4512" i="2"/>
  <c r="Z4368" i="2"/>
  <c r="Z4224" i="2"/>
  <c r="Z4080" i="2"/>
  <c r="Z3936" i="2"/>
  <c r="Z3792" i="2"/>
  <c r="Z3648" i="2"/>
  <c r="Z3504" i="2"/>
  <c r="Z3077" i="2"/>
  <c r="Z2416" i="2"/>
  <c r="Z2619" i="2"/>
  <c r="Z2475" i="2"/>
  <c r="Z2331" i="2"/>
  <c r="Z2187" i="2"/>
  <c r="Z2043" i="2"/>
  <c r="Z3386" i="2"/>
  <c r="Z3242" i="2"/>
  <c r="Z3098" i="2"/>
  <c r="Z2954" i="2"/>
  <c r="Z2810" i="2"/>
  <c r="Z2666" i="2"/>
  <c r="Z2522" i="2"/>
  <c r="Z2378" i="2"/>
  <c r="Z2234" i="2"/>
  <c r="Z2090" i="2"/>
  <c r="Z3457" i="2"/>
  <c r="Z3313" i="2"/>
  <c r="Z3169" i="2"/>
  <c r="Z3025" i="2"/>
  <c r="Z2881" i="2"/>
  <c r="Z2737" i="2"/>
  <c r="Z2593" i="2"/>
  <c r="Z2449" i="2"/>
  <c r="Z2305" i="2"/>
  <c r="Z2161" i="2"/>
  <c r="Z2017" i="2"/>
  <c r="Z3396" i="2"/>
  <c r="Z3252" i="2"/>
  <c r="Z3108" i="2"/>
  <c r="Z3839" i="2"/>
  <c r="Z4732" i="2"/>
  <c r="Z5043" i="2"/>
  <c r="Z4462" i="2"/>
  <c r="Z4970" i="2"/>
  <c r="Z4042" i="2"/>
  <c r="Z4885" i="2"/>
  <c r="Z3527" i="2"/>
  <c r="Z4800" i="2"/>
  <c r="Z4857" i="2"/>
  <c r="Z4715" i="2"/>
  <c r="Z5062" i="2"/>
  <c r="Z4535" i="2"/>
  <c r="Z4473" i="2"/>
  <c r="Z4041" i="2"/>
  <c r="Z3609" i="2"/>
  <c r="Z2537" i="2"/>
  <c r="Z4472" i="2"/>
  <c r="Z4184" i="2"/>
  <c r="Z3896" i="2"/>
  <c r="Z3608" i="2"/>
  <c r="Z2920" i="2"/>
  <c r="Z4555" i="2"/>
  <c r="Z4267" i="2"/>
  <c r="Z3979" i="2"/>
  <c r="Z3775" i="2"/>
  <c r="Z3619" i="2"/>
  <c r="Z3470" i="2"/>
  <c r="Z2967" i="2"/>
  <c r="Z2237" i="2"/>
  <c r="Z4554" i="2"/>
  <c r="Z4410" i="2"/>
  <c r="Z4266" i="2"/>
  <c r="Z4122" i="2"/>
  <c r="Z3978" i="2"/>
  <c r="Z3834" i="2"/>
  <c r="Z3690" i="2"/>
  <c r="Z3546" i="2"/>
  <c r="Z3245" i="2"/>
  <c r="Z2668" i="2"/>
  <c r="Z4625" i="2"/>
  <c r="Z4481" i="2"/>
  <c r="Z4337" i="2"/>
  <c r="Z4193" i="2"/>
  <c r="Z4049" i="2"/>
  <c r="Z3905" i="2"/>
  <c r="Z3761" i="2"/>
  <c r="Z3617" i="2"/>
  <c r="Z3466" i="2"/>
  <c r="Z2956" i="2"/>
  <c r="Z2225" i="2"/>
  <c r="Z4324" i="2"/>
  <c r="Z4180" i="2"/>
  <c r="Z4036" i="2"/>
  <c r="Z3892" i="2"/>
  <c r="Z3748" i="2"/>
  <c r="Z3604" i="2"/>
  <c r="Z3437" i="2"/>
  <c r="Z2907" i="2"/>
  <c r="Z2152" i="2"/>
  <c r="Z4551" i="2"/>
  <c r="Z4407" i="2"/>
  <c r="Z4263" i="2"/>
  <c r="Z4119" i="2"/>
  <c r="Z3975" i="2"/>
  <c r="Z3831" i="2"/>
  <c r="Z3687" i="2"/>
  <c r="Z3543" i="2"/>
  <c r="Z3233" i="2"/>
  <c r="Z2645" i="2"/>
  <c r="Z4634" i="2"/>
  <c r="Z4490" i="2"/>
  <c r="Z4346" i="2"/>
  <c r="Z4202" i="2"/>
  <c r="Z4058" i="2"/>
  <c r="Z3914" i="2"/>
  <c r="Z3770" i="2"/>
  <c r="Z3626" i="2"/>
  <c r="Z3479" i="2"/>
  <c r="Z2992" i="2"/>
  <c r="Z2284" i="2"/>
  <c r="Z4561" i="2"/>
  <c r="Z4417" i="2"/>
  <c r="Z4273" i="2"/>
  <c r="Z4129" i="2"/>
  <c r="Z3475" i="2"/>
  <c r="Z4720" i="2"/>
  <c r="Z5031" i="2"/>
  <c r="Z4403" i="2"/>
  <c r="Z4958" i="2"/>
  <c r="Z3970" i="2"/>
  <c r="Z4873" i="2"/>
  <c r="Z3425" i="2"/>
  <c r="Z4788" i="2"/>
  <c r="Z4713" i="2"/>
  <c r="Z4703" i="2"/>
  <c r="Z5050" i="2"/>
  <c r="Z4487" i="2"/>
  <c r="Z4461" i="2"/>
  <c r="Z4029" i="2"/>
  <c r="Z3597" i="2"/>
  <c r="Z2249" i="2"/>
  <c r="Z4424" i="2"/>
  <c r="Z4136" i="2"/>
  <c r="Z3848" i="2"/>
  <c r="Z3560" i="2"/>
  <c r="Z2728" i="2"/>
  <c r="Z4507" i="2"/>
  <c r="Z4219" i="2"/>
  <c r="Z3931" i="2"/>
  <c r="Z3763" i="2"/>
  <c r="Z3607" i="2"/>
  <c r="Z3447" i="2"/>
  <c r="Z2919" i="2"/>
  <c r="Z2165" i="2"/>
  <c r="Z4542" i="2"/>
  <c r="Z4398" i="2"/>
  <c r="Z4254" i="2"/>
  <c r="Z4110" i="2"/>
  <c r="Z3966" i="2"/>
  <c r="Z3822" i="2"/>
  <c r="Z3678" i="2"/>
  <c r="Z3534" i="2"/>
  <c r="Z3197" i="2"/>
  <c r="Z2596" i="2"/>
  <c r="Z4613" i="2"/>
  <c r="Z4469" i="2"/>
  <c r="Z4325" i="2"/>
  <c r="Z4181" i="2"/>
  <c r="Z4037" i="2"/>
  <c r="Z3893" i="2"/>
  <c r="Z3749" i="2"/>
  <c r="Z3605" i="2"/>
  <c r="Z3442" i="2"/>
  <c r="Z2908" i="2"/>
  <c r="Z2153" i="2"/>
  <c r="Z4312" i="2"/>
  <c r="Z4168" i="2"/>
  <c r="Z4024" i="2"/>
  <c r="Z3880" i="2"/>
  <c r="Z3736" i="2"/>
  <c r="Z3592" i="2"/>
  <c r="Z3406" i="2"/>
  <c r="Z2859" i="2"/>
  <c r="Z2080" i="2"/>
  <c r="Z4539" i="2"/>
  <c r="Z4395" i="2"/>
  <c r="Z4251" i="2"/>
  <c r="Z4107" i="2"/>
  <c r="Z3963" i="2"/>
  <c r="Z3819" i="2"/>
  <c r="Z3675" i="2"/>
  <c r="Z3531" i="2"/>
  <c r="Z3185" i="2"/>
  <c r="Z2573" i="2"/>
  <c r="Z4622" i="2"/>
  <c r="Z4478" i="2"/>
  <c r="Z4334" i="2"/>
  <c r="Z4190" i="2"/>
  <c r="Z4046" i="2"/>
  <c r="Z3902" i="2"/>
  <c r="Z3758" i="2"/>
  <c r="Z3614" i="2"/>
  <c r="Z3461" i="2"/>
  <c r="Z2944" i="2"/>
  <c r="Z2212" i="2"/>
  <c r="Z4549" i="2"/>
  <c r="Z4405" i="2"/>
  <c r="Z4261" i="2"/>
  <c r="Z4117" i="2"/>
  <c r="Z3973" i="2"/>
  <c r="Z3829" i="2"/>
  <c r="Z3685" i="2"/>
  <c r="Z3541" i="2"/>
  <c r="Z4809" i="2"/>
  <c r="Z4655" i="2"/>
  <c r="Z4971" i="2"/>
  <c r="Z4043" i="2"/>
  <c r="Z4898" i="2"/>
  <c r="Z3610" i="2"/>
  <c r="Z4813" i="2"/>
  <c r="Z5001" i="2"/>
  <c r="Z4728" i="2"/>
  <c r="Z5075" i="2"/>
  <c r="Z4588" i="2"/>
  <c r="Z4990" i="2"/>
  <c r="Z4162" i="2"/>
  <c r="Z4401" i="2"/>
  <c r="Z3969" i="2"/>
  <c r="Z3537" i="2"/>
  <c r="Z2177" i="2"/>
  <c r="Z4412" i="2"/>
  <c r="Z4124" i="2"/>
  <c r="Z3836" i="2"/>
  <c r="Z3548" i="2"/>
  <c r="Z2680" i="2"/>
  <c r="Z4495" i="2"/>
  <c r="Z4207" i="2"/>
  <c r="Z3919" i="2"/>
  <c r="Z3751" i="2"/>
  <c r="Z3595" i="2"/>
  <c r="Z3413" i="2"/>
  <c r="Z2871" i="2"/>
  <c r="Z2093" i="2"/>
  <c r="Z4530" i="2"/>
  <c r="Z4386" i="2"/>
  <c r="Z4242" i="2"/>
  <c r="Z4098" i="2"/>
  <c r="Z3954" i="2"/>
  <c r="Z3810" i="2"/>
  <c r="Z3666" i="2"/>
  <c r="Z3522" i="2"/>
  <c r="Z3149" i="2"/>
  <c r="Z2524" i="2"/>
  <c r="Z4601" i="2"/>
  <c r="Z4457" i="2"/>
  <c r="Z4313" i="2"/>
  <c r="Z4169" i="2"/>
  <c r="Z4025" i="2"/>
  <c r="Z3881" i="2"/>
  <c r="Z3737" i="2"/>
  <c r="Z3593" i="2"/>
  <c r="Z3411" i="2"/>
  <c r="Z2860" i="2"/>
  <c r="Z2081" i="2"/>
  <c r="Z4300" i="2"/>
  <c r="Z4156" i="2"/>
  <c r="Z4012" i="2"/>
  <c r="Z3868" i="2"/>
  <c r="Z3724" i="2"/>
  <c r="Z3580" i="2"/>
  <c r="Z3370" i="2"/>
  <c r="Z2811" i="2"/>
  <c r="Z2008" i="2"/>
  <c r="Z4527" i="2"/>
  <c r="Z4383" i="2"/>
  <c r="Z4239" i="2"/>
  <c r="Z4095" i="2"/>
  <c r="Z3951" i="2"/>
  <c r="Z3807" i="2"/>
  <c r="Z3663" i="2"/>
  <c r="Z3519" i="2"/>
  <c r="Z3137" i="2"/>
  <c r="Z2501" i="2"/>
  <c r="Z4610" i="2"/>
  <c r="Z4466" i="2"/>
  <c r="Z4322" i="2"/>
  <c r="Z4178" i="2"/>
  <c r="Z4034" i="2"/>
  <c r="Z3890" i="2"/>
  <c r="Z3746" i="2"/>
  <c r="Z3602" i="2"/>
  <c r="Z3435" i="2"/>
  <c r="Z2896" i="2"/>
  <c r="Z2140" i="2"/>
  <c r="Z4537" i="2"/>
  <c r="Z4393" i="2"/>
  <c r="Z4249" i="2"/>
  <c r="Z4105" i="2"/>
  <c r="Z3961" i="2"/>
  <c r="Z3817" i="2"/>
  <c r="Z3673" i="2"/>
  <c r="Z3529" i="2"/>
  <c r="Z3183" i="2"/>
  <c r="Z2561" i="2"/>
  <c r="Z4620" i="2"/>
  <c r="Z4476" i="2"/>
  <c r="Z4332" i="2"/>
  <c r="Z4188" i="2"/>
  <c r="Z4044" i="2"/>
  <c r="Z3900" i="2"/>
  <c r="Z3756" i="2"/>
  <c r="Z3612" i="2"/>
  <c r="Z3459" i="2"/>
  <c r="Z2933" i="2"/>
  <c r="Z2200" i="2"/>
  <c r="Z2583" i="2"/>
  <c r="Z2439" i="2"/>
  <c r="Z2295" i="2"/>
  <c r="Z2151" i="2"/>
  <c r="Z2007" i="2"/>
  <c r="Z3350" i="2"/>
  <c r="Z3206" i="2"/>
  <c r="Z3062" i="2"/>
  <c r="Z2918" i="2"/>
  <c r="Z2774" i="2"/>
  <c r="Z2630" i="2"/>
  <c r="Z2486" i="2"/>
  <c r="Z2342" i="2"/>
  <c r="Z2198" i="2"/>
  <c r="Z2054" i="2"/>
  <c r="Z3421" i="2"/>
  <c r="Z3277" i="2"/>
  <c r="Z3133" i="2"/>
  <c r="Z2989" i="2"/>
  <c r="Z2845" i="2"/>
  <c r="Z2701" i="2"/>
  <c r="Z2557" i="2"/>
  <c r="Z2413" i="2"/>
  <c r="Z2269" i="2"/>
  <c r="Z2125" i="2"/>
  <c r="Z1981" i="2"/>
  <c r="Z3360" i="2"/>
  <c r="Z3216" i="2"/>
  <c r="Z3072" i="2"/>
  <c r="Z2928" i="2"/>
  <c r="Z2784" i="2"/>
  <c r="Z2640" i="2"/>
  <c r="Z2496" i="2"/>
  <c r="Z2352" i="2"/>
  <c r="Z2208" i="2"/>
  <c r="Z2064" i="2"/>
  <c r="Z3371" i="2"/>
  <c r="Z3227" i="2"/>
  <c r="Z3083" i="2"/>
  <c r="Z2939" i="2"/>
  <c r="Z2795" i="2"/>
  <c r="Z2651" i="2"/>
  <c r="Z2507" i="2"/>
  <c r="Z2363" i="2"/>
  <c r="Z2219" i="2"/>
  <c r="Z2075" i="2"/>
  <c r="Z3286" i="2"/>
  <c r="Z3142" i="2"/>
  <c r="Z2998" i="2"/>
  <c r="Z2854" i="2"/>
  <c r="Z2710" i="2"/>
  <c r="Z2566" i="2"/>
  <c r="Z2422" i="2"/>
  <c r="Z2278" i="2"/>
  <c r="Z2134" i="2"/>
  <c r="Z1990" i="2"/>
  <c r="Z3357" i="2"/>
  <c r="Z3213" i="2"/>
  <c r="Z3069" i="2"/>
  <c r="Z5092" i="2"/>
  <c r="Z4607" i="2"/>
  <c r="Z4959" i="2"/>
  <c r="Z3971" i="2"/>
  <c r="Z4886" i="2"/>
  <c r="Z3538" i="2"/>
  <c r="Z4801" i="2"/>
  <c r="Z4893" i="2"/>
  <c r="Z4716" i="2"/>
  <c r="Z5063" i="2"/>
  <c r="Z4540" i="2"/>
  <c r="Z4978" i="2"/>
  <c r="Z4090" i="2"/>
  <c r="Z4389" i="2"/>
  <c r="Z3957" i="2"/>
  <c r="Z3525" i="2"/>
  <c r="Z2105" i="2"/>
  <c r="Z4400" i="2"/>
  <c r="Z4112" i="2"/>
  <c r="Z3824" i="2"/>
  <c r="Z3536" i="2"/>
  <c r="Z2608" i="2"/>
  <c r="Z4483" i="2"/>
  <c r="Z4195" i="2"/>
  <c r="Z3907" i="2"/>
  <c r="Z3727" i="2"/>
  <c r="Z3583" i="2"/>
  <c r="Z3377" i="2"/>
  <c r="Z2823" i="2"/>
  <c r="Z2021" i="2"/>
  <c r="Z4518" i="2"/>
  <c r="Z4374" i="2"/>
  <c r="Z4230" i="2"/>
  <c r="Z4086" i="2"/>
  <c r="Z3942" i="2"/>
  <c r="Z3798" i="2"/>
  <c r="Z3654" i="2"/>
  <c r="Z3510" i="2"/>
  <c r="Z3101" i="2"/>
  <c r="Z2452" i="2"/>
  <c r="Z4589" i="2"/>
  <c r="Z4445" i="2"/>
  <c r="Z4301" i="2"/>
  <c r="Z4157" i="2"/>
  <c r="Z4013" i="2"/>
  <c r="Z3869" i="2"/>
  <c r="Z3725" i="2"/>
  <c r="Z3581" i="2"/>
  <c r="Z3375" i="2"/>
  <c r="Z2812" i="2"/>
  <c r="Z2009" i="2"/>
  <c r="Z4288" i="2"/>
  <c r="Z4144" i="2"/>
  <c r="Z4000" i="2"/>
  <c r="Z3856" i="2"/>
  <c r="Z3712" i="2"/>
  <c r="Z3568" i="2"/>
  <c r="Z3334" i="2"/>
  <c r="Z2763" i="2"/>
  <c r="Z4659" i="2"/>
  <c r="Z4515" i="2"/>
  <c r="Z4371" i="2"/>
  <c r="Z4227" i="2"/>
  <c r="Z4083" i="2"/>
  <c r="Z3939" i="2"/>
  <c r="Z3795" i="2"/>
  <c r="Z3651" i="2"/>
  <c r="Z3507" i="2"/>
  <c r="Z3089" i="2"/>
  <c r="Z2429" i="2"/>
  <c r="Z4598" i="2"/>
  <c r="Z4454" i="2"/>
  <c r="Z4310" i="2"/>
  <c r="Z4166" i="2"/>
  <c r="Z4022" i="2"/>
  <c r="Z3878" i="2"/>
  <c r="Z3734" i="2"/>
  <c r="Z3590" i="2"/>
  <c r="Z3400" i="2"/>
  <c r="Z2848" i="2"/>
  <c r="Z2068" i="2"/>
  <c r="Z4525" i="2"/>
  <c r="Z4381" i="2"/>
  <c r="Z4237" i="2"/>
  <c r="Z4093" i="2"/>
  <c r="Z3949" i="2"/>
  <c r="Z3805" i="2"/>
  <c r="Z3661" i="2"/>
  <c r="Z3517" i="2"/>
  <c r="Z3135" i="2"/>
  <c r="Z2489" i="2"/>
  <c r="Z4608" i="2"/>
  <c r="Z4464" i="2"/>
  <c r="Z4320" i="2"/>
  <c r="Z4176" i="2"/>
  <c r="Z4032" i="2"/>
  <c r="Z3888" i="2"/>
  <c r="Z3744" i="2"/>
  <c r="Z3600" i="2"/>
  <c r="Z3430" i="2"/>
  <c r="Z2885" i="2"/>
  <c r="Z2128" i="2"/>
  <c r="Z2571" i="2"/>
  <c r="Z2427" i="2"/>
  <c r="Z2283" i="2"/>
  <c r="Z2139" i="2"/>
  <c r="Z1995" i="2"/>
  <c r="Z3338" i="2"/>
  <c r="Z3194" i="2"/>
  <c r="Z3050" i="2"/>
  <c r="Z2906" i="2"/>
  <c r="Z2762" i="2"/>
  <c r="Z2618" i="2"/>
  <c r="Z2474" i="2"/>
  <c r="Z2330" i="2"/>
  <c r="Z2186" i="2"/>
  <c r="Z2042" i="2"/>
  <c r="Z3409" i="2"/>
  <c r="Z3265" i="2"/>
  <c r="Z3121" i="2"/>
  <c r="Z2977" i="2"/>
  <c r="Z2833" i="2"/>
  <c r="Z2689" i="2"/>
  <c r="Z2545" i="2"/>
  <c r="Z2401" i="2"/>
  <c r="Z2257" i="2"/>
  <c r="Z2113" i="2"/>
  <c r="Z3492" i="2"/>
  <c r="Z3348" i="2"/>
  <c r="Z3204" i="2"/>
  <c r="Z3060" i="2"/>
  <c r="Z2916" i="2"/>
  <c r="Z2772" i="2"/>
  <c r="Z2628" i="2"/>
  <c r="Z2484" i="2"/>
  <c r="Z2340" i="2"/>
  <c r="Z2196" i="2"/>
  <c r="Z2052" i="2"/>
  <c r="Z3359" i="2"/>
  <c r="Z3215" i="2"/>
  <c r="Z3071" i="2"/>
  <c r="Z2927" i="2"/>
  <c r="Z2783" i="2"/>
  <c r="Z2639" i="2"/>
  <c r="Z2495" i="2"/>
  <c r="Z2351" i="2"/>
  <c r="Z2207" i="2"/>
  <c r="Z2063" i="2"/>
  <c r="Z3274" i="2"/>
  <c r="Z3130" i="2"/>
  <c r="Z2986" i="2"/>
  <c r="Z2842" i="2"/>
  <c r="Z2698" i="2"/>
  <c r="Z2554" i="2"/>
  <c r="Z2410" i="2"/>
  <c r="Z2266" i="2"/>
  <c r="Z2122" i="2"/>
  <c r="Z1978" i="2"/>
  <c r="Z3345" i="2"/>
  <c r="Z3201" i="2"/>
  <c r="Z3057" i="2"/>
  <c r="Z5020" i="2"/>
  <c r="Z4342" i="2"/>
  <c r="Z4899" i="2"/>
  <c r="Z3611" i="2"/>
  <c r="Z4826" i="2"/>
  <c r="Z2188" i="2"/>
  <c r="Z4741" i="2"/>
  <c r="Z5088" i="2"/>
  <c r="Z4642" i="2"/>
  <c r="Z5003" i="2"/>
  <c r="Z4235" i="2"/>
  <c r="Z4918" i="2"/>
  <c r="Z3730" i="2"/>
  <c r="Z4329" i="2"/>
  <c r="Z3897" i="2"/>
  <c r="Z3449" i="2"/>
  <c r="Z4640" i="2"/>
  <c r="Z4352" i="2"/>
  <c r="Z4064" i="2"/>
  <c r="Z3776" i="2"/>
  <c r="Z3487" i="2"/>
  <c r="Z2320" i="2"/>
  <c r="Z4435" i="2"/>
  <c r="Z4147" i="2"/>
  <c r="Z3895" i="2"/>
  <c r="Z3715" i="2"/>
  <c r="Z3571" i="2"/>
  <c r="Z3341" i="2"/>
  <c r="Z2775" i="2"/>
  <c r="Z4650" i="2"/>
  <c r="Z4506" i="2"/>
  <c r="Z4362" i="2"/>
  <c r="Z4218" i="2"/>
  <c r="Z4074" i="2"/>
  <c r="Z3930" i="2"/>
  <c r="Z3786" i="2"/>
  <c r="Z3642" i="2"/>
  <c r="Z3498" i="2"/>
  <c r="Z3053" i="2"/>
  <c r="Z2380" i="2"/>
  <c r="Z4577" i="2"/>
  <c r="Z4433" i="2"/>
  <c r="Z4289" i="2"/>
  <c r="Z4145" i="2"/>
  <c r="Z4001" i="2"/>
  <c r="Z3857" i="2"/>
  <c r="Z3713" i="2"/>
  <c r="Z3569" i="2"/>
  <c r="Z3339" i="2"/>
  <c r="Z2764" i="2"/>
  <c r="Z4420" i="2"/>
  <c r="Z4276" i="2"/>
  <c r="Z4132" i="2"/>
  <c r="Z3988" i="2"/>
  <c r="Z3844" i="2"/>
  <c r="Z3700" i="2"/>
  <c r="Z3556" i="2"/>
  <c r="Z3291" i="2"/>
  <c r="Z2715" i="2"/>
  <c r="Z4647" i="2"/>
  <c r="Z4503" i="2"/>
  <c r="Z4359" i="2"/>
  <c r="Z4215" i="2"/>
  <c r="Z4071" i="2"/>
  <c r="Z3927" i="2"/>
  <c r="Z3783" i="2"/>
  <c r="Z3639" i="2"/>
  <c r="Z3495" i="2"/>
  <c r="Z3041" i="2"/>
  <c r="Z2357" i="2"/>
  <c r="Z4586" i="2"/>
  <c r="Z4442" i="2"/>
  <c r="Z4298" i="2"/>
  <c r="Z4154" i="2"/>
  <c r="Z4010" i="2"/>
  <c r="Z3866" i="2"/>
  <c r="Z3722" i="2"/>
  <c r="Z3578" i="2"/>
  <c r="Z3364" i="2"/>
  <c r="Z2800" i="2"/>
  <c r="Z1996" i="2"/>
  <c r="Z4513" i="2"/>
  <c r="Z4369" i="2"/>
  <c r="Z4225" i="2"/>
  <c r="Z4081" i="2"/>
  <c r="Z3937" i="2"/>
  <c r="Z3793" i="2"/>
  <c r="Z3649" i="2"/>
  <c r="Z3505" i="2"/>
  <c r="Z3087" i="2"/>
  <c r="Z2417" i="2"/>
  <c r="Z4596" i="2"/>
  <c r="Z4452" i="2"/>
  <c r="Z4308" i="2"/>
  <c r="Z4164" i="2"/>
  <c r="Z4020" i="2"/>
  <c r="Z3876" i="2"/>
  <c r="Z3732" i="2"/>
  <c r="Z3588" i="2"/>
  <c r="Z3394" i="2"/>
  <c r="Z2837" i="2"/>
  <c r="Z2056" i="2"/>
  <c r="Z2559" i="2"/>
  <c r="Z2415" i="2"/>
  <c r="Z2271" i="2"/>
  <c r="Z2127" i="2"/>
  <c r="Z1983" i="2"/>
  <c r="Z3326" i="2"/>
  <c r="Z3182" i="2"/>
  <c r="Z3038" i="2"/>
  <c r="Z2894" i="2"/>
  <c r="Z2750" i="2"/>
  <c r="Z2606" i="2"/>
  <c r="Z2462" i="2"/>
  <c r="Z2318" i="2"/>
  <c r="Z2174" i="2"/>
  <c r="Z2030" i="2"/>
  <c r="Z3397" i="2"/>
  <c r="Z3253" i="2"/>
  <c r="Z3109" i="2"/>
  <c r="Z2965" i="2"/>
  <c r="Z2821" i="2"/>
  <c r="Z2677" i="2"/>
  <c r="Z2533" i="2"/>
  <c r="Z2389" i="2"/>
  <c r="Z2245" i="2"/>
  <c r="Z2101" i="2"/>
  <c r="Z3480" i="2"/>
  <c r="Z3336" i="2"/>
  <c r="Z3192" i="2"/>
  <c r="Z3048" i="2"/>
  <c r="Z2904" i="2"/>
  <c r="Z2760" i="2"/>
  <c r="Z2616" i="2"/>
  <c r="Z2472" i="2"/>
  <c r="Z2328" i="2"/>
  <c r="Z2184" i="2"/>
  <c r="Z2040" i="2"/>
  <c r="Z3347" i="2"/>
  <c r="Z3203" i="2"/>
  <c r="Z3059" i="2"/>
  <c r="Z2915" i="2"/>
  <c r="Z2771" i="2"/>
  <c r="Z2627" i="2"/>
  <c r="Z2483" i="2"/>
  <c r="Z2339" i="2"/>
  <c r="Z2195" i="2"/>
  <c r="Z2051" i="2"/>
  <c r="Z3262" i="2"/>
  <c r="Z3118" i="2"/>
  <c r="Z2974" i="2"/>
  <c r="Z2830" i="2"/>
  <c r="Z2686" i="2"/>
  <c r="Z2542" i="2"/>
  <c r="Z2398" i="2"/>
  <c r="Z2254" i="2"/>
  <c r="Z2110" i="2"/>
  <c r="Z3477" i="2"/>
  <c r="Z3333" i="2"/>
  <c r="Z3189" i="2"/>
  <c r="Z5008" i="2"/>
  <c r="Z4270" i="2"/>
  <c r="Z4887" i="2"/>
  <c r="Z3539" i="2"/>
  <c r="Z4814" i="2"/>
  <c r="Z5013" i="2"/>
  <c r="Z4729" i="2"/>
  <c r="Z5076" i="2"/>
  <c r="Z4594" i="2"/>
  <c r="Z4991" i="2"/>
  <c r="Z4163" i="2"/>
  <c r="Z4906" i="2"/>
  <c r="Z3658" i="2"/>
  <c r="Z4317" i="2"/>
  <c r="Z3885" i="2"/>
  <c r="Z3423" i="2"/>
  <c r="Z4628" i="2"/>
  <c r="Z4340" i="2"/>
  <c r="Z4052" i="2"/>
  <c r="Z3764" i="2"/>
  <c r="Z3471" i="2"/>
  <c r="Z2248" i="2"/>
  <c r="Z4423" i="2"/>
  <c r="Z4135" i="2"/>
  <c r="Z3859" i="2"/>
  <c r="Z3703" i="2"/>
  <c r="Z3559" i="2"/>
  <c r="Z3303" i="2"/>
  <c r="Z2727" i="2"/>
  <c r="Z4638" i="2"/>
  <c r="Z4494" i="2"/>
  <c r="Z4350" i="2"/>
  <c r="Z4206" i="2"/>
  <c r="Z4062" i="2"/>
  <c r="Z3918" i="2"/>
  <c r="Z3774" i="2"/>
  <c r="Z3630" i="2"/>
  <c r="Z3485" i="2"/>
  <c r="Z3005" i="2"/>
  <c r="Z2308" i="2"/>
  <c r="Z4565" i="2"/>
  <c r="Z4421" i="2"/>
  <c r="Z4277" i="2"/>
  <c r="Z4133" i="2"/>
  <c r="Z3989" i="2"/>
  <c r="Z3845" i="2"/>
  <c r="Z3701" i="2"/>
  <c r="Z3557" i="2"/>
  <c r="Z3292" i="2"/>
  <c r="Z2716" i="2"/>
  <c r="Z4408" i="2"/>
  <c r="Z4264" i="2"/>
  <c r="Z4120" i="2"/>
  <c r="Z3976" i="2"/>
  <c r="Z3832" i="2"/>
  <c r="Z3688" i="2"/>
  <c r="Z3544" i="2"/>
  <c r="Z3243" i="2"/>
  <c r="Z2656" i="2"/>
  <c r="Z4635" i="2"/>
  <c r="Z4491" i="2"/>
  <c r="Z4347" i="2"/>
  <c r="Z4203" i="2"/>
  <c r="Z4059" i="2"/>
  <c r="Z3915" i="2"/>
  <c r="Z3771" i="2"/>
  <c r="Z3627" i="2"/>
  <c r="Z3482" i="2"/>
  <c r="Z2993" i="2"/>
  <c r="Z2285" i="2"/>
  <c r="Z4574" i="2"/>
  <c r="Z4430" i="2"/>
  <c r="Z4286" i="2"/>
  <c r="Z4142" i="2"/>
  <c r="Z3998" i="2"/>
  <c r="Z3854" i="2"/>
  <c r="Z3710" i="2"/>
  <c r="Z3566" i="2"/>
  <c r="Z3328" i="2"/>
  <c r="Z2752" i="2"/>
  <c r="Z4645" i="2"/>
  <c r="Z4501" i="2"/>
  <c r="Z4357" i="2"/>
  <c r="Z4213" i="2"/>
  <c r="Z4069" i="2"/>
  <c r="Z3925" i="2"/>
  <c r="Z3781" i="2"/>
  <c r="Z3637" i="2"/>
  <c r="Z3493" i="2"/>
  <c r="Z3039" i="2"/>
  <c r="Z2345" i="2"/>
  <c r="Z4584" i="2"/>
  <c r="Z4440" i="2"/>
  <c r="Z4296" i="2"/>
  <c r="Z4152" i="2"/>
  <c r="Z4008" i="2"/>
  <c r="Z3864" i="2"/>
  <c r="Z3720" i="2"/>
  <c r="Z3576" i="2"/>
  <c r="Z3358" i="2"/>
  <c r="Z2789" i="2"/>
  <c r="Z1984" i="2"/>
  <c r="Z2547" i="2"/>
  <c r="Z2403" i="2"/>
  <c r="Z2259" i="2"/>
  <c r="Z2115" i="2"/>
  <c r="Z3458" i="2"/>
  <c r="Z3314" i="2"/>
  <c r="Z3170" i="2"/>
  <c r="Z3026" i="2"/>
  <c r="Z2882" i="2"/>
  <c r="Z2738" i="2"/>
  <c r="Z2594" i="2"/>
  <c r="Z2450" i="2"/>
  <c r="Z2306" i="2"/>
  <c r="Z2162" i="2"/>
  <c r="Z2018" i="2"/>
  <c r="Z3385" i="2"/>
  <c r="Z3241" i="2"/>
  <c r="Z3097" i="2"/>
  <c r="Z2953" i="2"/>
  <c r="Z2809" i="2"/>
  <c r="Z2665" i="2"/>
  <c r="Z2521" i="2"/>
  <c r="Z2377" i="2"/>
  <c r="Z2233" i="2"/>
  <c r="Z2089" i="2"/>
  <c r="Z3468" i="2"/>
  <c r="Z3324" i="2"/>
  <c r="Z3180" i="2"/>
  <c r="Z3036" i="2"/>
  <c r="Z2892" i="2"/>
  <c r="Z4948" i="2"/>
  <c r="Z3910" i="2"/>
  <c r="Z4827" i="2"/>
  <c r="Z2189" i="2"/>
  <c r="Z4754" i="2"/>
  <c r="Z4988" i="2"/>
  <c r="Z4669" i="2"/>
  <c r="Z5016" i="2"/>
  <c r="Z4318" i="2"/>
  <c r="Z4931" i="2"/>
  <c r="Z3803" i="2"/>
  <c r="Z4846" i="2"/>
  <c r="Z2835" i="2"/>
  <c r="Z4257" i="2"/>
  <c r="Z3825" i="2"/>
  <c r="Z3209" i="2"/>
  <c r="Z4616" i="2"/>
  <c r="Z4328" i="2"/>
  <c r="Z4040" i="2"/>
  <c r="Z3752" i="2"/>
  <c r="Z3448" i="2"/>
  <c r="Z2176" i="2"/>
  <c r="Z4411" i="2"/>
  <c r="Z4123" i="2"/>
  <c r="Z3847" i="2"/>
  <c r="Z3691" i="2"/>
  <c r="Z3547" i="2"/>
  <c r="Z3255" i="2"/>
  <c r="Z2669" i="2"/>
  <c r="Z4626" i="2"/>
  <c r="Z4482" i="2"/>
  <c r="Z4338" i="2"/>
  <c r="Z4194" i="2"/>
  <c r="Z4050" i="2"/>
  <c r="Z3906" i="2"/>
  <c r="Z3762" i="2"/>
  <c r="Z3618" i="2"/>
  <c r="Z3467" i="2"/>
  <c r="Z2957" i="2"/>
  <c r="Z2236" i="2"/>
  <c r="Z4553" i="2"/>
  <c r="Z4409" i="2"/>
  <c r="Z4265" i="2"/>
  <c r="Z4121" i="2"/>
  <c r="Z3977" i="2"/>
  <c r="Z3833" i="2"/>
  <c r="Z3689" i="2"/>
  <c r="Z3545" i="2"/>
  <c r="Z3244" i="2"/>
  <c r="Z2657" i="2"/>
  <c r="Z4396" i="2"/>
  <c r="Z4252" i="2"/>
  <c r="Z4108" i="2"/>
  <c r="Z3964" i="2"/>
  <c r="Z3820" i="2"/>
  <c r="Z3676" i="2"/>
  <c r="Z3532" i="2"/>
  <c r="Z3195" i="2"/>
  <c r="Z2584" i="2"/>
  <c r="Z4623" i="2"/>
  <c r="Z4479" i="2"/>
  <c r="Z4335" i="2"/>
  <c r="Z4191" i="2"/>
  <c r="Z4047" i="2"/>
  <c r="Z3903" i="2"/>
  <c r="Z3759" i="2"/>
  <c r="Z3615" i="2"/>
  <c r="Z3463" i="2"/>
  <c r="Z2945" i="2"/>
  <c r="Z2213" i="2"/>
  <c r="Z4562" i="2"/>
  <c r="Z4418" i="2"/>
  <c r="Z4274" i="2"/>
  <c r="Z4130" i="2"/>
  <c r="Z3986" i="2"/>
  <c r="Z3842" i="2"/>
  <c r="Z3698" i="2"/>
  <c r="Z3554" i="2"/>
  <c r="Z3280" i="2"/>
  <c r="Z2704" i="2"/>
  <c r="Z4633" i="2"/>
  <c r="Z4489" i="2"/>
  <c r="Z4345" i="2"/>
  <c r="Z4201" i="2"/>
  <c r="Z4057" i="2"/>
  <c r="Z3913" i="2"/>
  <c r="Z3769" i="2"/>
  <c r="Z3625" i="2"/>
  <c r="Z4936" i="2"/>
  <c r="Z3838" i="2"/>
  <c r="Z4815" i="2"/>
  <c r="Z5061" i="2"/>
  <c r="Z4742" i="2"/>
  <c r="Z5089" i="2"/>
  <c r="Z4643" i="2"/>
  <c r="Z5004" i="2"/>
  <c r="Z4246" i="2"/>
  <c r="Z4919" i="2"/>
  <c r="Z3731" i="2"/>
  <c r="Z4834" i="2"/>
  <c r="Z2476" i="2"/>
  <c r="Z4245" i="2"/>
  <c r="Z3813" i="2"/>
  <c r="Z3161" i="2"/>
  <c r="Z4568" i="2"/>
  <c r="Z4280" i="2"/>
  <c r="Z3992" i="2"/>
  <c r="Z3704" i="2"/>
  <c r="Z3304" i="2"/>
  <c r="Z4651" i="2"/>
  <c r="Z4363" i="2"/>
  <c r="Z4075" i="2"/>
  <c r="Z3835" i="2"/>
  <c r="Z3679" i="2"/>
  <c r="Z3535" i="2"/>
  <c r="Z3207" i="2"/>
  <c r="Z2597" i="2"/>
  <c r="Z4614" i="2"/>
  <c r="Z4470" i="2"/>
  <c r="Z4326" i="2"/>
  <c r="Z4182" i="2"/>
  <c r="Z4038" i="2"/>
  <c r="Z3894" i="2"/>
  <c r="Z3750" i="2"/>
  <c r="Z3606" i="2"/>
  <c r="Z3443" i="2"/>
  <c r="Z2909" i="2"/>
  <c r="Z2164" i="2"/>
  <c r="Z4541" i="2"/>
  <c r="Z4397" i="2"/>
  <c r="Z4253" i="2"/>
  <c r="Z4109" i="2"/>
  <c r="Z3965" i="2"/>
  <c r="Z3821" i="2"/>
  <c r="Z3677" i="2"/>
  <c r="Z3533" i="2"/>
  <c r="Z3196" i="2"/>
  <c r="Z2585" i="2"/>
  <c r="Z4384" i="2"/>
  <c r="Z4240" i="2"/>
  <c r="Z4096" i="2"/>
  <c r="Z3952" i="2"/>
  <c r="Z3808" i="2"/>
  <c r="Z3664" i="2"/>
  <c r="Z3520" i="2"/>
  <c r="Z3147" i="2"/>
  <c r="Z2512" i="2"/>
  <c r="Z4611" i="2"/>
  <c r="Z4467" i="2"/>
  <c r="Z4323" i="2"/>
  <c r="Z4179" i="2"/>
  <c r="Z4035" i="2"/>
  <c r="Z3891" i="2"/>
  <c r="Z3747" i="2"/>
  <c r="Z3603" i="2"/>
  <c r="Z3436" i="2"/>
  <c r="Z2897" i="2"/>
  <c r="Z2141" i="2"/>
  <c r="Z4550" i="2"/>
  <c r="Z4406" i="2"/>
  <c r="Z4262" i="2"/>
  <c r="Z4118" i="2"/>
  <c r="Z3974" i="2"/>
  <c r="Z3830" i="2"/>
  <c r="Z3686" i="2"/>
  <c r="Z3542" i="2"/>
  <c r="Z3232" i="2"/>
  <c r="Z2644" i="2"/>
  <c r="Z4621" i="2"/>
  <c r="Z4477" i="2"/>
  <c r="Z4333" i="2"/>
  <c r="Z4189" i="2"/>
  <c r="Z4045" i="2"/>
  <c r="Z3901" i="2"/>
  <c r="Z3757" i="2"/>
  <c r="Z4876" i="2"/>
  <c r="Z3473" i="2"/>
  <c r="Z4755" i="2"/>
  <c r="Z3863" i="2"/>
  <c r="Z4682" i="2"/>
  <c r="Z5029" i="2"/>
  <c r="Z4391" i="2"/>
  <c r="Z4944" i="2"/>
  <c r="Z3886" i="2"/>
  <c r="Z4859" i="2"/>
  <c r="Z3124" i="2"/>
  <c r="Z4774" i="2"/>
  <c r="Z4617" i="2"/>
  <c r="Z4185" i="2"/>
  <c r="Z3753" i="2"/>
  <c r="Z2921" i="2"/>
  <c r="Z4556" i="2"/>
  <c r="Z4268" i="2"/>
  <c r="Z3980" i="2"/>
  <c r="Z3692" i="2"/>
  <c r="Z3256" i="2"/>
  <c r="Z4639" i="2"/>
  <c r="Z4351" i="2"/>
  <c r="Z4063" i="2"/>
  <c r="Z3823" i="2"/>
  <c r="Z3667" i="2"/>
  <c r="Z3523" i="2"/>
  <c r="Z3159" i="2"/>
  <c r="Z2525" i="2"/>
  <c r="Z4602" i="2"/>
  <c r="Z4458" i="2"/>
  <c r="Z4314" i="2"/>
  <c r="Z4170" i="2"/>
  <c r="Z4026" i="2"/>
  <c r="Z3882" i="2"/>
  <c r="Z3738" i="2"/>
  <c r="Z3594" i="2"/>
  <c r="Z3412" i="2"/>
  <c r="Z2861" i="2"/>
  <c r="Z2092" i="2"/>
  <c r="Z4529" i="2"/>
  <c r="Z4385" i="2"/>
  <c r="Z4241" i="2"/>
  <c r="Z4097" i="2"/>
  <c r="Z3953" i="2"/>
  <c r="Z3809" i="2"/>
  <c r="Z3665" i="2"/>
  <c r="Z3521" i="2"/>
  <c r="Z3148" i="2"/>
  <c r="Z2513" i="2"/>
  <c r="Z4372" i="2"/>
  <c r="Z4228" i="2"/>
  <c r="Z4084" i="2"/>
  <c r="Z3940" i="2"/>
  <c r="Z3796" i="2"/>
  <c r="Z3652" i="2"/>
  <c r="Z3508" i="2"/>
  <c r="Z3099" i="2"/>
  <c r="Z2440" i="2"/>
  <c r="Z4599" i="2"/>
  <c r="Z4455" i="2"/>
  <c r="Z4311" i="2"/>
  <c r="Z4167" i="2"/>
  <c r="Z4023" i="2"/>
  <c r="Z3879" i="2"/>
  <c r="Z3735" i="2"/>
  <c r="Z3591" i="2"/>
  <c r="Z3401" i="2"/>
  <c r="Z2849" i="2"/>
  <c r="Z2069" i="2"/>
  <c r="Z4538" i="2"/>
  <c r="Z4394" i="2"/>
  <c r="Z4250" i="2"/>
  <c r="Z4106" i="2"/>
  <c r="Z3962" i="2"/>
  <c r="Z3818" i="2"/>
  <c r="Z3674" i="2"/>
  <c r="Z3530" i="2"/>
  <c r="Z3184" i="2"/>
  <c r="Z2572" i="2"/>
  <c r="Z4609" i="2"/>
  <c r="Z4465" i="2"/>
  <c r="Z4321" i="2"/>
  <c r="Z4177" i="2"/>
  <c r="Z4033" i="2"/>
  <c r="Z3889" i="2"/>
  <c r="Z3745" i="2"/>
  <c r="Z3601" i="2"/>
  <c r="Z3431" i="2"/>
  <c r="Z2895" i="2"/>
  <c r="Z2129" i="2"/>
  <c r="Z4548" i="2"/>
  <c r="Z4404" i="2"/>
  <c r="Z4260" i="2"/>
  <c r="Z4116" i="2"/>
  <c r="Z3972" i="2"/>
  <c r="Z3828" i="2"/>
  <c r="Z3684" i="2"/>
  <c r="Z3540" i="2"/>
  <c r="Z3221" i="2"/>
  <c r="Z2632" i="2"/>
  <c r="Z2655" i="2"/>
  <c r="Z2511" i="2"/>
  <c r="Z2367" i="2"/>
  <c r="Z2223" i="2"/>
  <c r="Z2079" i="2"/>
  <c r="Z3422" i="2"/>
  <c r="Z3278" i="2"/>
  <c r="Z3134" i="2"/>
  <c r="Z2990" i="2"/>
  <c r="Z2846" i="2"/>
  <c r="Z2702" i="2"/>
  <c r="Z2558" i="2"/>
  <c r="Z2414" i="2"/>
  <c r="Z2270" i="2"/>
  <c r="Z2126" i="2"/>
  <c r="Z1982" i="2"/>
  <c r="Z3349" i="2"/>
  <c r="Z3205" i="2"/>
  <c r="Z3061" i="2"/>
  <c r="Z2917" i="2"/>
  <c r="Z2773" i="2"/>
  <c r="Z2629" i="2"/>
  <c r="Z2485" i="2"/>
  <c r="Z2341" i="2"/>
  <c r="Z2197" i="2"/>
  <c r="Z2053" i="2"/>
  <c r="Z3432" i="2"/>
  <c r="Z3288" i="2"/>
  <c r="Z3144" i="2"/>
  <c r="Z3000" i="2"/>
  <c r="Z2856" i="2"/>
  <c r="Z2712" i="2"/>
  <c r="Z2568" i="2"/>
  <c r="Z2424" i="2"/>
  <c r="Z2280" i="2"/>
  <c r="Z2136" i="2"/>
  <c r="Z1992" i="2"/>
  <c r="Z3299" i="2"/>
  <c r="Z3155" i="2"/>
  <c r="Z3011" i="2"/>
  <c r="Z2867" i="2"/>
  <c r="Z2723" i="2"/>
  <c r="Z2579" i="2"/>
  <c r="Z2435" i="2"/>
  <c r="Z2291" i="2"/>
  <c r="Z2147" i="2"/>
  <c r="Z2003" i="2"/>
  <c r="Z3214" i="2"/>
  <c r="Z3070" i="2"/>
  <c r="Z2926" i="2"/>
  <c r="Z2782" i="2"/>
  <c r="Z2638" i="2"/>
  <c r="Z2494" i="2"/>
  <c r="Z2350" i="2"/>
  <c r="Z2206" i="2"/>
  <c r="Z2062" i="2"/>
  <c r="Z3429" i="2"/>
  <c r="Z3285" i="2"/>
  <c r="Z3141" i="2"/>
  <c r="Z4864" i="2"/>
  <c r="Z3267" i="2"/>
  <c r="Z4743" i="2"/>
  <c r="Z5024" i="2"/>
  <c r="Z4670" i="2"/>
  <c r="Z5017" i="2"/>
  <c r="Z4319" i="2"/>
  <c r="Z4932" i="2"/>
  <c r="Z3814" i="2"/>
  <c r="Z4847" i="2"/>
  <c r="Z2836" i="2"/>
  <c r="Z4762" i="2"/>
  <c r="Z4605" i="2"/>
  <c r="Z4173" i="2"/>
  <c r="Z3741" i="2"/>
  <c r="Z2873" i="2"/>
  <c r="Z4544" i="2"/>
  <c r="Z4256" i="2"/>
  <c r="Z3968" i="2"/>
  <c r="Z3680" i="2"/>
  <c r="Z3208" i="2"/>
  <c r="Z4627" i="2"/>
  <c r="Z4339" i="2"/>
  <c r="Z4051" i="2"/>
  <c r="Z3811" i="2"/>
  <c r="Z3655" i="2"/>
  <c r="Z3511" i="2"/>
  <c r="Z3111" i="2"/>
  <c r="Z2453" i="2"/>
  <c r="Z4590" i="2"/>
  <c r="Z4446" i="2"/>
  <c r="Z4302" i="2"/>
  <c r="Z4158" i="2"/>
  <c r="Z4014" i="2"/>
  <c r="Z3870" i="2"/>
  <c r="Z3726" i="2"/>
  <c r="Z3582" i="2"/>
  <c r="Z3376" i="2"/>
  <c r="Z2813" i="2"/>
  <c r="Z2020" i="2"/>
  <c r="Z4517" i="2"/>
  <c r="Z4373" i="2"/>
  <c r="Z4229" i="2"/>
  <c r="Z4085" i="2"/>
  <c r="Z3941" i="2"/>
  <c r="Z3797" i="2"/>
  <c r="Z3653" i="2"/>
  <c r="Z3509" i="2"/>
  <c r="Z3100" i="2"/>
  <c r="Z2441" i="2"/>
  <c r="Z4360" i="2"/>
  <c r="Z4216" i="2"/>
  <c r="Z4072" i="2"/>
  <c r="Z3928" i="2"/>
  <c r="Z3784" i="2"/>
  <c r="Z3640" i="2"/>
  <c r="Z3496" i="2"/>
  <c r="Z3051" i="2"/>
  <c r="Z2368" i="2"/>
  <c r="Z4587" i="2"/>
  <c r="Z4443" i="2"/>
  <c r="Z4299" i="2"/>
  <c r="Z4155" i="2"/>
  <c r="Z4011" i="2"/>
  <c r="Z3867" i="2"/>
  <c r="Z3723" i="2"/>
  <c r="Z3579" i="2"/>
  <c r="Z3365" i="2"/>
  <c r="Z2801" i="2"/>
  <c r="Z1997" i="2"/>
  <c r="Z4526" i="2"/>
  <c r="Z4382" i="2"/>
  <c r="Z4238" i="2"/>
  <c r="Z4094" i="2"/>
  <c r="Z3950" i="2"/>
  <c r="Z3806" i="2"/>
  <c r="Z3662" i="2"/>
  <c r="Z3518" i="2"/>
  <c r="Z3136" i="2"/>
  <c r="Z2500" i="2"/>
  <c r="Z4597" i="2"/>
  <c r="Z4453" i="2"/>
  <c r="Z4309" i="2"/>
  <c r="Z4165" i="2"/>
  <c r="Z4021" i="2"/>
  <c r="Z3877" i="2"/>
  <c r="Z3733" i="2"/>
  <c r="Z3589" i="2"/>
  <c r="Z3399" i="2"/>
  <c r="Z2847" i="2"/>
  <c r="Z2057" i="2"/>
  <c r="Z4536" i="2"/>
  <c r="Z4392" i="2"/>
  <c r="Z4248" i="2"/>
  <c r="Z4104" i="2"/>
  <c r="Z3960" i="2"/>
  <c r="Z3816" i="2"/>
  <c r="Z3672" i="2"/>
  <c r="Z3528" i="2"/>
  <c r="Z3173" i="2"/>
  <c r="Z2560" i="2"/>
  <c r="Z2643" i="2"/>
  <c r="Z2499" i="2"/>
  <c r="Z2355" i="2"/>
  <c r="Z2211" i="2"/>
  <c r="Z2067" i="2"/>
  <c r="Z3410" i="2"/>
  <c r="Z3266" i="2"/>
  <c r="Z3122" i="2"/>
  <c r="Z2978" i="2"/>
  <c r="Z2834" i="2"/>
  <c r="Z2690" i="2"/>
  <c r="Z2546" i="2"/>
  <c r="Z2402" i="2"/>
  <c r="Z2258" i="2"/>
  <c r="Z2114" i="2"/>
  <c r="Z3481" i="2"/>
  <c r="Z3337" i="2"/>
  <c r="Z3193" i="2"/>
  <c r="Z3049" i="2"/>
  <c r="Z2905" i="2"/>
  <c r="Z2761" i="2"/>
  <c r="Z2617" i="2"/>
  <c r="Z2473" i="2"/>
  <c r="Z2329" i="2"/>
  <c r="Z2185" i="2"/>
  <c r="Z2041" i="2"/>
  <c r="Z3420" i="2"/>
  <c r="Z3276" i="2"/>
  <c r="Z3132" i="2"/>
  <c r="Z2988" i="2"/>
  <c r="Z2844" i="2"/>
  <c r="Z2700" i="2"/>
  <c r="Z2556" i="2"/>
  <c r="Z2412" i="2"/>
  <c r="Z2268" i="2"/>
  <c r="Z2124" i="2"/>
  <c r="Z1980" i="2"/>
  <c r="Z3287" i="2"/>
  <c r="Z3143" i="2"/>
  <c r="Z2999" i="2"/>
  <c r="Z2855" i="2"/>
  <c r="Z2711" i="2"/>
  <c r="Z2567" i="2"/>
  <c r="Z2423" i="2"/>
  <c r="Z2279" i="2"/>
  <c r="Z2135" i="2"/>
  <c r="Z1991" i="2"/>
  <c r="Z3202" i="2"/>
  <c r="Z3058" i="2"/>
  <c r="Z2914" i="2"/>
  <c r="Z2770" i="2"/>
  <c r="Z2626" i="2"/>
  <c r="Z2482" i="2"/>
  <c r="Z2338" i="2"/>
  <c r="Z2194" i="2"/>
  <c r="Z2050" i="2"/>
  <c r="Z3417" i="2"/>
  <c r="Z3273" i="2"/>
  <c r="Z3129" i="2"/>
  <c r="Z4804" i="2"/>
  <c r="Z3935" i="2"/>
  <c r="Z4683" i="2"/>
  <c r="Z5042" i="2"/>
  <c r="Z4456" i="2"/>
  <c r="Z4957" i="2"/>
  <c r="Z3959" i="2"/>
  <c r="Z4872" i="2"/>
  <c r="Z3424" i="2"/>
  <c r="Z4787" i="2"/>
  <c r="Z4701" i="2"/>
  <c r="Z4702" i="2"/>
  <c r="Z4545" i="2"/>
  <c r="Z4113" i="2"/>
  <c r="Z3681" i="2"/>
  <c r="Z2681" i="2"/>
  <c r="Z4496" i="2"/>
  <c r="Z4208" i="2"/>
  <c r="Z3920" i="2"/>
  <c r="Z3632" i="2"/>
  <c r="Z3016" i="2"/>
  <c r="Z4579" i="2"/>
  <c r="Z4291" i="2"/>
  <c r="Z4003" i="2"/>
  <c r="Z3799" i="2"/>
  <c r="Z3643" i="2"/>
  <c r="Z3499" i="2"/>
  <c r="Z3063" i="2"/>
  <c r="Z2381" i="2"/>
  <c r="Z4578" i="2"/>
  <c r="Z4434" i="2"/>
  <c r="Z4290" i="2"/>
  <c r="Z4146" i="2"/>
  <c r="Z4002" i="2"/>
  <c r="Z3858" i="2"/>
  <c r="Z3714" i="2"/>
  <c r="Z3570" i="2"/>
  <c r="Z3340" i="2"/>
  <c r="Z2765" i="2"/>
  <c r="Z4649" i="2"/>
  <c r="Z4505" i="2"/>
  <c r="Z4361" i="2"/>
  <c r="Z4217" i="2"/>
  <c r="Z4073" i="2"/>
  <c r="Z3929" i="2"/>
  <c r="Z3785" i="2"/>
  <c r="Z3641" i="2"/>
  <c r="Z3497" i="2"/>
  <c r="Z3052" i="2"/>
  <c r="Z2369" i="2"/>
  <c r="Z4348" i="2"/>
  <c r="Z4204" i="2"/>
  <c r="Z4060" i="2"/>
  <c r="Z3916" i="2"/>
  <c r="Z3772" i="2"/>
  <c r="Z3628" i="2"/>
  <c r="Z3483" i="2"/>
  <c r="Z3003" i="2"/>
  <c r="Z2296" i="2"/>
  <c r="Z4575" i="2"/>
  <c r="Z4431" i="2"/>
  <c r="Z4287" i="2"/>
  <c r="Z4143" i="2"/>
  <c r="Z3999" i="2"/>
  <c r="Z3855" i="2"/>
  <c r="Z3711" i="2"/>
  <c r="Z3567" i="2"/>
  <c r="Z3329" i="2"/>
  <c r="Z2753" i="2"/>
  <c r="Z4658" i="2"/>
  <c r="Z4514" i="2"/>
  <c r="Z4370" i="2"/>
  <c r="Z4226" i="2"/>
  <c r="Z4082" i="2"/>
  <c r="Z3938" i="2"/>
  <c r="Z3794" i="2"/>
  <c r="Z3650" i="2"/>
  <c r="Z3506" i="2"/>
  <c r="Z3088" i="2"/>
  <c r="Z2428" i="2"/>
  <c r="Z4585" i="2"/>
  <c r="Z4441" i="2"/>
  <c r="Z4297" i="2"/>
  <c r="Z4153" i="2"/>
  <c r="Z4009" i="2"/>
  <c r="Z3865" i="2"/>
  <c r="Z3721" i="2"/>
  <c r="Z3577" i="2"/>
  <c r="Z3363" i="2"/>
  <c r="Z2799" i="2"/>
  <c r="Z1985" i="2"/>
  <c r="Z4524" i="2"/>
  <c r="Z4380" i="2"/>
  <c r="Z4236" i="2"/>
  <c r="Z4092" i="2"/>
  <c r="Z3948" i="2"/>
  <c r="Z3804" i="2"/>
  <c r="Z3660" i="2"/>
  <c r="Z3516" i="2"/>
  <c r="Z3125" i="2"/>
  <c r="Z2488" i="2"/>
  <c r="Z2631" i="2"/>
  <c r="Z2487" i="2"/>
  <c r="Z2343" i="2"/>
  <c r="Z2199" i="2"/>
  <c r="Z2055" i="2"/>
  <c r="Z3398" i="2"/>
  <c r="Z3254" i="2"/>
  <c r="Z3110" i="2"/>
  <c r="Z2966" i="2"/>
  <c r="Z2822" i="2"/>
  <c r="Z2678" i="2"/>
  <c r="Z2534" i="2"/>
  <c r="Z2390" i="2"/>
  <c r="Z2246" i="2"/>
  <c r="Z2102" i="2"/>
  <c r="Z3469" i="2"/>
  <c r="Z3325" i="2"/>
  <c r="Z3181" i="2"/>
  <c r="Z3037" i="2"/>
  <c r="Z2893" i="2"/>
  <c r="Z2749" i="2"/>
  <c r="Z2605" i="2"/>
  <c r="Z2461" i="2"/>
  <c r="Z2317" i="2"/>
  <c r="Z2173" i="2"/>
  <c r="Z2029" i="2"/>
  <c r="Z3408" i="2"/>
  <c r="Z3264" i="2"/>
  <c r="Z3120" i="2"/>
  <c r="Z2976" i="2"/>
  <c r="Z2832" i="2"/>
  <c r="Z2688" i="2"/>
  <c r="Z2544" i="2"/>
  <c r="Z2400" i="2"/>
  <c r="Z2256" i="2"/>
  <c r="Z2112" i="2"/>
  <c r="Z3419" i="2"/>
  <c r="Z3275" i="2"/>
  <c r="Z3131" i="2"/>
  <c r="Z2987" i="2"/>
  <c r="Z2843" i="2"/>
  <c r="Z2699" i="2"/>
  <c r="Z2555" i="2"/>
  <c r="Z2411" i="2"/>
  <c r="Z2267" i="2"/>
  <c r="Z2123" i="2"/>
  <c r="Z1979" i="2"/>
  <c r="Z3190" i="2"/>
  <c r="Z3046" i="2"/>
  <c r="Z2902" i="2"/>
  <c r="Z2758" i="2"/>
  <c r="Z2614" i="2"/>
  <c r="Z2470" i="2"/>
  <c r="Z2326" i="2"/>
  <c r="Z2182" i="2"/>
  <c r="Z2038" i="2"/>
  <c r="Z3405" i="2"/>
  <c r="Z3261" i="2"/>
  <c r="Z3117" i="2"/>
  <c r="Z3985" i="2"/>
  <c r="Z2633" i="2"/>
  <c r="Z4344" i="2"/>
  <c r="Z3912" i="2"/>
  <c r="Z2595" i="2"/>
  <c r="Z3218" i="2"/>
  <c r="Z2354" i="2"/>
  <c r="Z3433" i="2"/>
  <c r="Z3001" i="2"/>
  <c r="Z2569" i="2"/>
  <c r="Z2137" i="2"/>
  <c r="Z2244" i="2"/>
  <c r="Z2255" i="2"/>
  <c r="Z3105" i="2"/>
  <c r="Z3416" i="2"/>
  <c r="Z2120" i="2"/>
  <c r="Z2599" i="2"/>
  <c r="Z3102" i="2"/>
  <c r="Z2382" i="2"/>
  <c r="Z3852" i="2"/>
  <c r="Z2535" i="2"/>
  <c r="Z2294" i="2"/>
  <c r="Z2808" i="2"/>
  <c r="Z3107" i="2"/>
  <c r="Z3310" i="2"/>
  <c r="Z2158" i="2"/>
  <c r="Z2637" i="2"/>
  <c r="Z2061" i="2"/>
  <c r="Z2684" i="2"/>
  <c r="Z3307" i="2"/>
  <c r="Z2587" i="2"/>
  <c r="Z3378" i="2"/>
  <c r="Z2802" i="2"/>
  <c r="Z2226" i="2"/>
  <c r="Z2282" i="2"/>
  <c r="Z3383" i="2"/>
  <c r="Z2231" i="2"/>
  <c r="Z3369" i="2"/>
  <c r="Z2337" i="2"/>
  <c r="Z2816" i="2"/>
  <c r="Z3439" i="2"/>
  <c r="Z2431" i="2"/>
  <c r="Z3078" i="2"/>
  <c r="Z2070" i="2"/>
  <c r="Z2396" i="2"/>
  <c r="Z3104" i="2"/>
  <c r="Z2863" i="2"/>
  <c r="Z3222" i="2"/>
  <c r="Z2358" i="2"/>
  <c r="Z3697" i="2"/>
  <c r="Z2201" i="2"/>
  <c r="Z4272" i="2"/>
  <c r="Z3840" i="2"/>
  <c r="Z3269" i="2"/>
  <c r="Z2523" i="2"/>
  <c r="Z2714" i="2"/>
  <c r="Z2929" i="2"/>
  <c r="Z2497" i="2"/>
  <c r="Z2508" i="2"/>
  <c r="Z3010" i="2"/>
  <c r="Z2769" i="2"/>
  <c r="Z3248" i="2"/>
  <c r="Z2096" i="2"/>
  <c r="Z2719" i="2"/>
  <c r="Z1999" i="2"/>
  <c r="Z2646" i="2"/>
  <c r="Z3613" i="2"/>
  <c r="Z4644" i="2"/>
  <c r="Z4212" i="2"/>
  <c r="Z3780" i="2"/>
  <c r="Z3029" i="2"/>
  <c r="Z2463" i="2"/>
  <c r="Z2031" i="2"/>
  <c r="Z3086" i="2"/>
  <c r="Z2654" i="2"/>
  <c r="Z2222" i="2"/>
  <c r="Z3301" i="2"/>
  <c r="Z2869" i="2"/>
  <c r="Z2437" i="2"/>
  <c r="Z2005" i="2"/>
  <c r="Z3096" i="2"/>
  <c r="Z2748" i="2"/>
  <c r="Z2460" i="2"/>
  <c r="Z2172" i="2"/>
  <c r="Z3335" i="2"/>
  <c r="Z3047" i="2"/>
  <c r="Z2759" i="2"/>
  <c r="Z2471" i="2"/>
  <c r="Z2183" i="2"/>
  <c r="Z3250" i="2"/>
  <c r="Z2962" i="2"/>
  <c r="Z2674" i="2"/>
  <c r="Z2386" i="2"/>
  <c r="Z2098" i="2"/>
  <c r="Z3321" i="2"/>
  <c r="Z3045" i="2"/>
  <c r="Z2901" i="2"/>
  <c r="Z2757" i="2"/>
  <c r="Z2613" i="2"/>
  <c r="Z2469" i="2"/>
  <c r="Z2325" i="2"/>
  <c r="Z2181" i="2"/>
  <c r="Z2037" i="2"/>
  <c r="Z3380" i="2"/>
  <c r="Z3236" i="2"/>
  <c r="Z3092" i="2"/>
  <c r="Z2948" i="2"/>
  <c r="Z2804" i="2"/>
  <c r="Z2660" i="2"/>
  <c r="Z2516" i="2"/>
  <c r="Z2372" i="2"/>
  <c r="Z2228" i="2"/>
  <c r="Z2084" i="2"/>
  <c r="Z3427" i="2"/>
  <c r="Z3283" i="2"/>
  <c r="Z3139" i="2"/>
  <c r="Z2995" i="2"/>
  <c r="Z2851" i="2"/>
  <c r="Z2707" i="2"/>
  <c r="Z2563" i="2"/>
  <c r="Z2419" i="2"/>
  <c r="Z2275" i="2"/>
  <c r="Z2131" i="2"/>
  <c r="Z1987" i="2"/>
  <c r="Z3354" i="2"/>
  <c r="Z3210" i="2"/>
  <c r="Z3066" i="2"/>
  <c r="Z2922" i="2"/>
  <c r="Z2778" i="2"/>
  <c r="Z2634" i="2"/>
  <c r="Z2490" i="2"/>
  <c r="Z2346" i="2"/>
  <c r="Z2202" i="2"/>
  <c r="Z2058" i="2"/>
  <c r="Z2379" i="2"/>
  <c r="Z3012" i="2"/>
  <c r="Z2975" i="2"/>
  <c r="Z3178" i="2"/>
  <c r="Z2026" i="2"/>
  <c r="Z2865" i="2"/>
  <c r="Z2289" i="2"/>
  <c r="Z3344" i="2"/>
  <c r="Z2768" i="2"/>
  <c r="Z2480" i="2"/>
  <c r="Z3391" i="2"/>
  <c r="Z2959" i="2"/>
  <c r="Z2383" i="2"/>
  <c r="Z3462" i="2"/>
  <c r="Z2886" i="2"/>
  <c r="Z2310" i="2"/>
  <c r="Z4500" i="2"/>
  <c r="Z3374" i="2"/>
  <c r="Z3157" i="2"/>
  <c r="Z2964" i="2"/>
  <c r="Z2376" i="2"/>
  <c r="Z2675" i="2"/>
  <c r="Z2878" i="2"/>
  <c r="Z3237" i="2"/>
  <c r="Z2565" i="2"/>
  <c r="Z1989" i="2"/>
  <c r="Z3044" i="2"/>
  <c r="Z2324" i="2"/>
  <c r="Z3235" i="2"/>
  <c r="Z2947" i="2"/>
  <c r="Z2371" i="2"/>
  <c r="Z3306" i="2"/>
  <c r="Z2730" i="2"/>
  <c r="Z2154" i="2"/>
  <c r="Z2498" i="2"/>
  <c r="Z3372" i="2"/>
  <c r="Z2076" i="2"/>
  <c r="Z2375" i="2"/>
  <c r="Z2578" i="2"/>
  <c r="Z2985" i="2"/>
  <c r="Z2121" i="2"/>
  <c r="Z3176" i="2"/>
  <c r="Z2456" i="2"/>
  <c r="Z3223" i="2"/>
  <c r="Z2503" i="2"/>
  <c r="Z3294" i="2"/>
  <c r="Z2718" i="2"/>
  <c r="Z1998" i="2"/>
  <c r="Z3553" i="2"/>
  <c r="Z4632" i="2"/>
  <c r="Z4200" i="2"/>
  <c r="Z3768" i="2"/>
  <c r="Z2981" i="2"/>
  <c r="Z2451" i="2"/>
  <c r="Z2019" i="2"/>
  <c r="Z3074" i="2"/>
  <c r="Z2642" i="2"/>
  <c r="Z2210" i="2"/>
  <c r="Z3289" i="2"/>
  <c r="Z2857" i="2"/>
  <c r="Z2425" i="2"/>
  <c r="Z1993" i="2"/>
  <c r="Z3084" i="2"/>
  <c r="Z2736" i="2"/>
  <c r="Z2448" i="2"/>
  <c r="Z2160" i="2"/>
  <c r="Z3323" i="2"/>
  <c r="Z3035" i="2"/>
  <c r="Z2747" i="2"/>
  <c r="Z2459" i="2"/>
  <c r="Z2171" i="2"/>
  <c r="Z3238" i="2"/>
  <c r="Z2950" i="2"/>
  <c r="Z2662" i="2"/>
  <c r="Z2374" i="2"/>
  <c r="Z2086" i="2"/>
  <c r="Z3309" i="2"/>
  <c r="Z3033" i="2"/>
  <c r="Z2889" i="2"/>
  <c r="Z2745" i="2"/>
  <c r="Z2601" i="2"/>
  <c r="Z2457" i="2"/>
  <c r="Z2313" i="2"/>
  <c r="Z2169" i="2"/>
  <c r="Z2025" i="2"/>
  <c r="Z3368" i="2"/>
  <c r="Z3224" i="2"/>
  <c r="Z3080" i="2"/>
  <c r="Z2936" i="2"/>
  <c r="Z2792" i="2"/>
  <c r="Z2648" i="2"/>
  <c r="Z2504" i="2"/>
  <c r="Z2360" i="2"/>
  <c r="Z2216" i="2"/>
  <c r="Z2072" i="2"/>
  <c r="Z3415" i="2"/>
  <c r="Z3271" i="2"/>
  <c r="Z3127" i="2"/>
  <c r="Z2983" i="2"/>
  <c r="Z2839" i="2"/>
  <c r="Z2695" i="2"/>
  <c r="Z2551" i="2"/>
  <c r="Z2407" i="2"/>
  <c r="Z2263" i="2"/>
  <c r="Z2119" i="2"/>
  <c r="Z1975" i="2"/>
  <c r="Z3342" i="2"/>
  <c r="Z3198" i="2"/>
  <c r="Z3054" i="2"/>
  <c r="Z2910" i="2"/>
  <c r="Z2766" i="2"/>
  <c r="Z2622" i="2"/>
  <c r="Z2478" i="2"/>
  <c r="Z2334" i="2"/>
  <c r="Z2190" i="2"/>
  <c r="Z2046" i="2"/>
  <c r="Z2570" i="2"/>
  <c r="Z2676" i="2"/>
  <c r="Z3263" i="2"/>
  <c r="Z2111" i="2"/>
  <c r="Z2314" i="2"/>
  <c r="Z3009" i="2"/>
  <c r="Z2433" i="2"/>
  <c r="Z2001" i="2"/>
  <c r="Z2912" i="2"/>
  <c r="Z2624" i="2"/>
  <c r="Z2048" i="2"/>
  <c r="Z3103" i="2"/>
  <c r="Z2527" i="2"/>
  <c r="Z2095" i="2"/>
  <c r="Z3030" i="2"/>
  <c r="Z2742" i="2"/>
  <c r="Z2166" i="2"/>
  <c r="Z3279" i="2"/>
  <c r="Z2942" i="2"/>
  <c r="Z2725" i="2"/>
  <c r="Z2664" i="2"/>
  <c r="Z2963" i="2"/>
  <c r="Z3166" i="2"/>
  <c r="Z2014" i="2"/>
  <c r="Z2709" i="2"/>
  <c r="Z2277" i="2"/>
  <c r="Z3188" i="2"/>
  <c r="Z2468" i="2"/>
  <c r="Z3379" i="2"/>
  <c r="Z2803" i="2"/>
  <c r="Z2083" i="2"/>
  <c r="Z3018" i="2"/>
  <c r="Z2442" i="2"/>
  <c r="Z3362" i="2"/>
  <c r="Z2652" i="2"/>
  <c r="Z2951" i="2"/>
  <c r="Z2866" i="2"/>
  <c r="Z3225" i="2"/>
  <c r="Z2697" i="2"/>
  <c r="Z1977" i="2"/>
  <c r="Z2744" i="2"/>
  <c r="Z2168" i="2"/>
  <c r="Z2791" i="2"/>
  <c r="Z3438" i="2"/>
  <c r="Z2574" i="2"/>
  <c r="Z3478" i="2"/>
  <c r="Z4572" i="2"/>
  <c r="Z4140" i="2"/>
  <c r="Z3708" i="2"/>
  <c r="Z2741" i="2"/>
  <c r="Z2391" i="2"/>
  <c r="Z3446" i="2"/>
  <c r="Z3014" i="2"/>
  <c r="Z2582" i="2"/>
  <c r="Z2150" i="2"/>
  <c r="Z3229" i="2"/>
  <c r="Z2797" i="2"/>
  <c r="Z2365" i="2"/>
  <c r="Z3456" i="2"/>
  <c r="Z3024" i="2"/>
  <c r="Z2724" i="2"/>
  <c r="Z2436" i="2"/>
  <c r="Z2148" i="2"/>
  <c r="Z3311" i="2"/>
  <c r="Z3023" i="2"/>
  <c r="Z2735" i="2"/>
  <c r="Z2447" i="2"/>
  <c r="Z2159" i="2"/>
  <c r="Z3226" i="2"/>
  <c r="Z2938" i="2"/>
  <c r="Z2650" i="2"/>
  <c r="Z2362" i="2"/>
  <c r="Z2074" i="2"/>
  <c r="Z3297" i="2"/>
  <c r="Z3021" i="2"/>
  <c r="Z2877" i="2"/>
  <c r="Z2733" i="2"/>
  <c r="Z2589" i="2"/>
  <c r="Z2445" i="2"/>
  <c r="Z2301" i="2"/>
  <c r="Z2157" i="2"/>
  <c r="Z2013" i="2"/>
  <c r="Z3356" i="2"/>
  <c r="Z3212" i="2"/>
  <c r="Z3068" i="2"/>
  <c r="Z2924" i="2"/>
  <c r="Z2780" i="2"/>
  <c r="Z2636" i="2"/>
  <c r="Z2492" i="2"/>
  <c r="Z2348" i="2"/>
  <c r="Z2204" i="2"/>
  <c r="Z2060" i="2"/>
  <c r="Z3403" i="2"/>
  <c r="Z3259" i="2"/>
  <c r="Z3115" i="2"/>
  <c r="Z2971" i="2"/>
  <c r="Z2827" i="2"/>
  <c r="Z2683" i="2"/>
  <c r="Z2539" i="2"/>
  <c r="Z2395" i="2"/>
  <c r="Z2251" i="2"/>
  <c r="Z2107" i="2"/>
  <c r="Z3474" i="2"/>
  <c r="Z3330" i="2"/>
  <c r="Z3186" i="2"/>
  <c r="Z3042" i="2"/>
  <c r="Z2898" i="2"/>
  <c r="Z2754" i="2"/>
  <c r="Z2610" i="2"/>
  <c r="Z2466" i="2"/>
  <c r="Z2322" i="2"/>
  <c r="Z2178" i="2"/>
  <c r="Z2034" i="2"/>
  <c r="Z3002" i="2"/>
  <c r="Z2388" i="2"/>
  <c r="Z2399" i="2"/>
  <c r="Z2890" i="2"/>
  <c r="Z3249" i="2"/>
  <c r="Z2721" i="2"/>
  <c r="Z2145" i="2"/>
  <c r="Z3056" i="2"/>
  <c r="Z2336" i="2"/>
  <c r="Z3247" i="2"/>
  <c r="Z2671" i="2"/>
  <c r="Z2239" i="2"/>
  <c r="Z3174" i="2"/>
  <c r="Z2454" i="2"/>
  <c r="Z2022" i="2"/>
  <c r="Z4068" i="2"/>
  <c r="Z2319" i="2"/>
  <c r="Z2078" i="2"/>
  <c r="Z3384" i="2"/>
  <c r="Z3251" i="2"/>
  <c r="Z2387" i="2"/>
  <c r="Z2590" i="2"/>
  <c r="Z2997" i="2"/>
  <c r="Z2421" i="2"/>
  <c r="Z3332" i="2"/>
  <c r="Z2612" i="2"/>
  <c r="Z2036" i="2"/>
  <c r="Z2659" i="2"/>
  <c r="Z2227" i="2"/>
  <c r="Z3162" i="2"/>
  <c r="Z2586" i="2"/>
  <c r="Z2010" i="2"/>
  <c r="Z3145" i="2"/>
  <c r="Z2290" i="2"/>
  <c r="Z2265" i="2"/>
  <c r="Z3032" i="2"/>
  <c r="Z2312" i="2"/>
  <c r="Z2647" i="2"/>
  <c r="Z3150" i="2"/>
  <c r="Z2286" i="2"/>
  <c r="Z3460" i="2"/>
  <c r="Z4560" i="2"/>
  <c r="Z4128" i="2"/>
  <c r="Z3696" i="2"/>
  <c r="Z2693" i="2"/>
  <c r="Z3434" i="2"/>
  <c r="Z2138" i="2"/>
  <c r="Z3217" i="2"/>
  <c r="Z2785" i="2"/>
  <c r="Z2353" i="2"/>
  <c r="Z3444" i="2"/>
  <c r="Z2100" i="2"/>
  <c r="Z2687" i="2"/>
  <c r="Z2602" i="2"/>
  <c r="Z2577" i="2"/>
  <c r="Z3200" i="2"/>
  <c r="Z2192" i="2"/>
  <c r="Z2815" i="2"/>
  <c r="Z3318" i="2"/>
  <c r="Z2598" i="2"/>
  <c r="Z3636" i="2"/>
  <c r="Z2344" i="2"/>
  <c r="Z2510" i="2"/>
  <c r="Z2293" i="2"/>
  <c r="Z2088" i="2"/>
  <c r="Z2099" i="2"/>
  <c r="Z2302" i="2"/>
  <c r="Z2853" i="2"/>
  <c r="Z2133" i="2"/>
  <c r="Z2900" i="2"/>
  <c r="Z2180" i="2"/>
  <c r="Z3091" i="2"/>
  <c r="Z2515" i="2"/>
  <c r="Z3450" i="2"/>
  <c r="Z2874" i="2"/>
  <c r="Z2298" i="2"/>
  <c r="Z2930" i="2"/>
  <c r="Z2952" i="2"/>
  <c r="Z3239" i="2"/>
  <c r="Z2663" i="2"/>
  <c r="Z3154" i="2"/>
  <c r="Z2002" i="2"/>
  <c r="Z2553" i="2"/>
  <c r="Z3320" i="2"/>
  <c r="Z2600" i="2"/>
  <c r="Z2024" i="2"/>
  <c r="Z2935" i="2"/>
  <c r="Z2215" i="2"/>
  <c r="Z3006" i="2"/>
  <c r="Z2142" i="2"/>
  <c r="Z2756" i="2"/>
  <c r="Z2409" i="2"/>
  <c r="Z3367" i="2"/>
  <c r="Z2071" i="2"/>
  <c r="Z2430" i="2"/>
  <c r="Z3231" i="2"/>
  <c r="Z4488" i="2"/>
  <c r="Z4056" i="2"/>
  <c r="Z3624" i="2"/>
  <c r="Z2272" i="2"/>
  <c r="Z2307" i="2"/>
  <c r="Z2066" i="2"/>
  <c r="Z2713" i="2"/>
  <c r="Z2281" i="2"/>
  <c r="Z2364" i="2"/>
  <c r="Z2087" i="2"/>
  <c r="Z2841" i="2"/>
  <c r="Z2888" i="2"/>
  <c r="Z3079" i="2"/>
  <c r="Z2359" i="2"/>
  <c r="Z2862" i="2"/>
  <c r="Z2991" i="2"/>
  <c r="Z4428" i="2"/>
  <c r="Z3996" i="2"/>
  <c r="Z3564" i="2"/>
  <c r="Z2679" i="2"/>
  <c r="Z2247" i="2"/>
  <c r="Z3302" i="2"/>
  <c r="Z2870" i="2"/>
  <c r="Z2438" i="2"/>
  <c r="Z2006" i="2"/>
  <c r="Z3085" i="2"/>
  <c r="Z2653" i="2"/>
  <c r="Z2221" i="2"/>
  <c r="Z3312" i="2"/>
  <c r="Z2940" i="2"/>
  <c r="Z2604" i="2"/>
  <c r="Z2316" i="2"/>
  <c r="Z2028" i="2"/>
  <c r="Z3191" i="2"/>
  <c r="Z2903" i="2"/>
  <c r="Z2615" i="2"/>
  <c r="Z2327" i="2"/>
  <c r="Z2039" i="2"/>
  <c r="Z3106" i="2"/>
  <c r="Z2818" i="2"/>
  <c r="Z2530" i="2"/>
  <c r="Z2242" i="2"/>
  <c r="Z3465" i="2"/>
  <c r="Z3177" i="2"/>
  <c r="Z2973" i="2"/>
  <c r="Z2829" i="2"/>
  <c r="Z2685" i="2"/>
  <c r="Z2541" i="2"/>
  <c r="Z2397" i="2"/>
  <c r="Z2253" i="2"/>
  <c r="Z2109" i="2"/>
  <c r="Z3452" i="2"/>
  <c r="Z3308" i="2"/>
  <c r="Z3164" i="2"/>
  <c r="Z3020" i="2"/>
  <c r="Z2876" i="2"/>
  <c r="Z2732" i="2"/>
  <c r="Z2588" i="2"/>
  <c r="Z2444" i="2"/>
  <c r="Z2300" i="2"/>
  <c r="Z2156" i="2"/>
  <c r="Z2012" i="2"/>
  <c r="Z3355" i="2"/>
  <c r="Z3211" i="2"/>
  <c r="Z3067" i="2"/>
  <c r="Z2923" i="2"/>
  <c r="Z2779" i="2"/>
  <c r="Z2635" i="2"/>
  <c r="Z2491" i="2"/>
  <c r="Z2347" i="2"/>
  <c r="Z2203" i="2"/>
  <c r="Z2059" i="2"/>
  <c r="Z3426" i="2"/>
  <c r="Z3282" i="2"/>
  <c r="Z3138" i="2"/>
  <c r="Z2994" i="2"/>
  <c r="Z2850" i="2"/>
  <c r="Z2706" i="2"/>
  <c r="Z2562" i="2"/>
  <c r="Z2418" i="2"/>
  <c r="Z2274" i="2"/>
  <c r="Z2130" i="2"/>
  <c r="Z1986" i="2"/>
  <c r="Z2163" i="2"/>
  <c r="Z2532" i="2"/>
  <c r="Z3322" i="2"/>
  <c r="Z2170" i="2"/>
  <c r="Z2793" i="2"/>
  <c r="Z2361" i="2"/>
  <c r="Z3128" i="2"/>
  <c r="Z2552" i="2"/>
  <c r="Z1976" i="2"/>
  <c r="Z3031" i="2"/>
  <c r="Z2455" i="2"/>
  <c r="Z3246" i="2"/>
  <c r="Z2670" i="2"/>
  <c r="Z2094" i="2"/>
  <c r="Z4284" i="2"/>
  <c r="Z3158" i="2"/>
  <c r="Z2509" i="2"/>
  <c r="Z3395" i="2"/>
  <c r="Z2243" i="2"/>
  <c r="Z2446" i="2"/>
  <c r="Z2925" i="2"/>
  <c r="Z2349" i="2"/>
  <c r="Z3260" i="2"/>
  <c r="Z2828" i="2"/>
  <c r="Z2108" i="2"/>
  <c r="Z3019" i="2"/>
  <c r="Z2443" i="2"/>
  <c r="Z2011" i="2"/>
  <c r="Z2946" i="2"/>
  <c r="Z2370" i="2"/>
  <c r="Z3146" i="2"/>
  <c r="Z2796" i="2"/>
  <c r="Z2807" i="2"/>
  <c r="Z2722" i="2"/>
  <c r="Z3081" i="2"/>
  <c r="Z2481" i="2"/>
  <c r="Z3392" i="2"/>
  <c r="Z2528" i="2"/>
  <c r="Z3295" i="2"/>
  <c r="Z2575" i="2"/>
  <c r="Z3366" i="2"/>
  <c r="Z2502" i="2"/>
  <c r="Z2943" i="2"/>
  <c r="Z4416" i="2"/>
  <c r="Z3984" i="2"/>
  <c r="Z3552" i="2"/>
  <c r="Z2667" i="2"/>
  <c r="Z2235" i="2"/>
  <c r="Z3290" i="2"/>
  <c r="Z2858" i="2"/>
  <c r="Z2426" i="2"/>
  <c r="Z1994" i="2"/>
  <c r="Z3073" i="2"/>
  <c r="Z2641" i="2"/>
  <c r="Z2209" i="2"/>
  <c r="Z3300" i="2"/>
  <c r="Z2880" i="2"/>
  <c r="Z2592" i="2"/>
  <c r="Z2304" i="2"/>
  <c r="Z2016" i="2"/>
  <c r="Z3179" i="2"/>
  <c r="Z2891" i="2"/>
  <c r="Z2603" i="2"/>
  <c r="Z2315" i="2"/>
  <c r="Z2027" i="2"/>
  <c r="Z3094" i="2"/>
  <c r="Z2806" i="2"/>
  <c r="Z2518" i="2"/>
  <c r="Z2230" i="2"/>
  <c r="Z3453" i="2"/>
  <c r="Z3165" i="2"/>
  <c r="Z2961" i="2"/>
  <c r="Z2817" i="2"/>
  <c r="Z2673" i="2"/>
  <c r="Z2529" i="2"/>
  <c r="Z2385" i="2"/>
  <c r="Z2241" i="2"/>
  <c r="Z2097" i="2"/>
  <c r="Z3440" i="2"/>
  <c r="Z3296" i="2"/>
  <c r="Z3152" i="2"/>
  <c r="Z3008" i="2"/>
  <c r="Z2864" i="2"/>
  <c r="Z2720" i="2"/>
  <c r="Z2576" i="2"/>
  <c r="Z2432" i="2"/>
  <c r="Z2288" i="2"/>
  <c r="Z2144" i="2"/>
  <c r="Z2000" i="2"/>
  <c r="Z3343" i="2"/>
  <c r="Z3199" i="2"/>
  <c r="Z3055" i="2"/>
  <c r="Z2911" i="2"/>
  <c r="Z2767" i="2"/>
  <c r="Z2623" i="2"/>
  <c r="Z2479" i="2"/>
  <c r="Z2335" i="2"/>
  <c r="Z2191" i="2"/>
  <c r="Z2047" i="2"/>
  <c r="Z3414" i="2"/>
  <c r="Z3270" i="2"/>
  <c r="Z3126" i="2"/>
  <c r="Z2982" i="2"/>
  <c r="Z2838" i="2"/>
  <c r="Z2694" i="2"/>
  <c r="Z2550" i="2"/>
  <c r="Z2406" i="2"/>
  <c r="Z2262" i="2"/>
  <c r="Z2118" i="2"/>
  <c r="Z1974" i="2"/>
  <c r="Z2786" i="2"/>
  <c r="Z3228" i="2"/>
  <c r="Z3407" i="2"/>
  <c r="Z2543" i="2"/>
  <c r="Z2746" i="2"/>
  <c r="Z3393" i="2"/>
  <c r="Z2649" i="2"/>
  <c r="Z2217" i="2"/>
  <c r="Z3272" i="2"/>
  <c r="Z2840" i="2"/>
  <c r="Z2408" i="2"/>
  <c r="Z3319" i="2"/>
  <c r="Z2887" i="2"/>
  <c r="Z2311" i="2"/>
  <c r="Z2023" i="2"/>
  <c r="Z2958" i="2"/>
  <c r="Z2526" i="2"/>
  <c r="Z3841" i="2"/>
  <c r="Z2103" i="2"/>
  <c r="Z2941" i="2"/>
  <c r="Z3168" i="2"/>
  <c r="Z2232" i="2"/>
  <c r="Z2531" i="2"/>
  <c r="Z2734" i="2"/>
  <c r="Z3093" i="2"/>
  <c r="Z2493" i="2"/>
  <c r="Z3404" i="2"/>
  <c r="Z2972" i="2"/>
  <c r="Z2252" i="2"/>
  <c r="Z3163" i="2"/>
  <c r="Z2731" i="2"/>
  <c r="Z2155" i="2"/>
  <c r="Z3090" i="2"/>
  <c r="Z2514" i="2"/>
  <c r="Z2091" i="2"/>
  <c r="Z3156" i="2"/>
  <c r="Z3095" i="2"/>
  <c r="Z3298" i="2"/>
  <c r="Z2146" i="2"/>
  <c r="Z2913" i="2"/>
  <c r="Z2193" i="2"/>
  <c r="Z2960" i="2"/>
  <c r="Z2384" i="2"/>
  <c r="Z3151" i="2"/>
  <c r="Z2287" i="2"/>
  <c r="Z2934" i="2"/>
  <c r="Z2214" i="2"/>
  <c r="Z2703" i="2"/>
  <c r="Z4356" i="2"/>
  <c r="Z3924" i="2"/>
  <c r="Z3491" i="2"/>
  <c r="Z2607" i="2"/>
  <c r="Z2175" i="2"/>
  <c r="Z3230" i="2"/>
  <c r="Z2798" i="2"/>
  <c r="Z2366" i="2"/>
  <c r="Z3445" i="2"/>
  <c r="Z3013" i="2"/>
  <c r="Z2581" i="2"/>
  <c r="Z2149" i="2"/>
  <c r="Z3240" i="2"/>
  <c r="Z2868" i="2"/>
  <c r="Z2580" i="2"/>
  <c r="Z2292" i="2"/>
  <c r="Z2004" i="2"/>
  <c r="Z3167" i="2"/>
  <c r="Z2879" i="2"/>
  <c r="Z2591" i="2"/>
  <c r="Z2303" i="2"/>
  <c r="Z2015" i="2"/>
  <c r="Z3082" i="2"/>
  <c r="Z2794" i="2"/>
  <c r="Z2506" i="2"/>
  <c r="Z2218" i="2"/>
  <c r="Z3441" i="2"/>
  <c r="Z3153" i="2"/>
  <c r="Z2949" i="2"/>
  <c r="Z2805" i="2"/>
  <c r="Z2661" i="2"/>
  <c r="Z2517" i="2"/>
  <c r="Z2373" i="2"/>
  <c r="Z2229" i="2"/>
  <c r="Z2085" i="2"/>
  <c r="Z3428" i="2"/>
  <c r="Z3284" i="2"/>
  <c r="Z3140" i="2"/>
  <c r="Z2996" i="2"/>
  <c r="Z2852" i="2"/>
  <c r="Z2708" i="2"/>
  <c r="Z2564" i="2"/>
  <c r="Z2420" i="2"/>
  <c r="Z2276" i="2"/>
  <c r="Z2132" i="2"/>
  <c r="Z1988" i="2"/>
  <c r="Z3331" i="2"/>
  <c r="Z3187" i="2"/>
  <c r="Z3043" i="2"/>
  <c r="Z2899" i="2"/>
  <c r="Z2755" i="2"/>
  <c r="Z2611" i="2"/>
  <c r="Z2467" i="2"/>
  <c r="Z2323" i="2"/>
  <c r="Z2179" i="2"/>
  <c r="Z2035" i="2"/>
  <c r="Z3402" i="2"/>
  <c r="Z3258" i="2"/>
  <c r="Z3114" i="2"/>
  <c r="Z2970" i="2"/>
  <c r="Z2826" i="2"/>
  <c r="Z2682" i="2"/>
  <c r="Z2538" i="2"/>
  <c r="Z2394" i="2"/>
  <c r="Z2250" i="2"/>
  <c r="Z2106" i="2"/>
  <c r="Z3476" i="2"/>
  <c r="Z2820" i="2"/>
  <c r="Z3119" i="2"/>
  <c r="Z2831" i="2"/>
  <c r="Z3034" i="2"/>
  <c r="Z2458" i="2"/>
  <c r="Z2937" i="2"/>
  <c r="Z2505" i="2"/>
  <c r="Z2073" i="2"/>
  <c r="Z2984" i="2"/>
  <c r="Z2696" i="2"/>
  <c r="Z2264" i="2"/>
  <c r="Z3175" i="2"/>
  <c r="Z2743" i="2"/>
  <c r="Z2167" i="2"/>
  <c r="Z3390" i="2"/>
  <c r="Z2814" i="2"/>
  <c r="Z2238" i="2"/>
  <c r="Z2273" i="2"/>
  <c r="Z3317" i="2"/>
  <c r="Z2726" i="2"/>
  <c r="Z3373" i="2"/>
  <c r="Z2077" i="2"/>
  <c r="Z2520" i="2"/>
  <c r="Z2819" i="2"/>
  <c r="Z3022" i="2"/>
  <c r="Z3381" i="2"/>
  <c r="Z2781" i="2"/>
  <c r="Z2205" i="2"/>
  <c r="Z3116" i="2"/>
  <c r="Z2540" i="2"/>
  <c r="Z3451" i="2"/>
  <c r="Z2875" i="2"/>
  <c r="Z2299" i="2"/>
  <c r="Z3234" i="2"/>
  <c r="Z2658" i="2"/>
  <c r="Z2082" i="2"/>
  <c r="Z3361" i="2"/>
  <c r="Z2065" i="2"/>
  <c r="Z2220" i="2"/>
  <c r="Z2519" i="2"/>
  <c r="Z2434" i="2"/>
  <c r="Z2625" i="2"/>
  <c r="Z2049" i="2"/>
  <c r="Z2672" i="2"/>
  <c r="Z2240" i="2"/>
  <c r="Z3007" i="2"/>
  <c r="Z2143" i="2"/>
  <c r="Z2790" i="2"/>
  <c r="Z5" i="2"/>
  <c r="Z149" i="2"/>
  <c r="Z293" i="2"/>
  <c r="Z437" i="2"/>
  <c r="Z581" i="2"/>
  <c r="Z725" i="2"/>
  <c r="Z869" i="2"/>
  <c r="Z1013" i="2"/>
  <c r="Z1157" i="2"/>
  <c r="Z1301" i="2"/>
  <c r="Z1445" i="2"/>
  <c r="Z66" i="2"/>
  <c r="Z210" i="2"/>
  <c r="Z354" i="2"/>
  <c r="Z498" i="2"/>
  <c r="Z642" i="2"/>
  <c r="Z786" i="2"/>
  <c r="Z930" i="2"/>
  <c r="Z1074" i="2"/>
  <c r="Z1218" i="2"/>
  <c r="Z1362" i="2"/>
  <c r="Z1506" i="2"/>
  <c r="Z139" i="2"/>
  <c r="Z283" i="2"/>
  <c r="Z427" i="2"/>
  <c r="Z571" i="2"/>
  <c r="Z715" i="2"/>
  <c r="Z859" i="2"/>
  <c r="Z1003" i="2"/>
  <c r="Z1147" i="2"/>
  <c r="Z1291" i="2"/>
  <c r="Z1435" i="2"/>
  <c r="Z140" i="2"/>
  <c r="Z284" i="2"/>
  <c r="Z428" i="2"/>
  <c r="Z572" i="2"/>
  <c r="Z716" i="2"/>
  <c r="Z860" i="2"/>
  <c r="Z1004" i="2"/>
  <c r="Z1148" i="2"/>
  <c r="Z1292" i="2"/>
  <c r="Z57" i="2"/>
  <c r="Z201" i="2"/>
  <c r="Z345" i="2"/>
  <c r="Z489" i="2"/>
  <c r="Z633" i="2"/>
  <c r="Z777" i="2"/>
  <c r="Z921" i="2"/>
  <c r="Z1065" i="2"/>
  <c r="Z1209" i="2"/>
  <c r="Z1353" i="2"/>
  <c r="Z142" i="2"/>
  <c r="Z286" i="2"/>
  <c r="Z430" i="2"/>
  <c r="Z574" i="2"/>
  <c r="Z718" i="2"/>
  <c r="Z862" i="2"/>
  <c r="Z1006" i="2"/>
  <c r="Z1150" i="2"/>
  <c r="Z1294" i="2"/>
  <c r="Z1438" i="2"/>
  <c r="Z83" i="2"/>
  <c r="Z227" i="2"/>
  <c r="Z371" i="2"/>
  <c r="Z515" i="2"/>
  <c r="Z659" i="2"/>
  <c r="Z803" i="2"/>
  <c r="Z947" i="2"/>
  <c r="Z1091" i="2"/>
  <c r="Z1235" i="2"/>
  <c r="Z1379" i="2"/>
  <c r="Z1523" i="2"/>
  <c r="Z144" i="2"/>
  <c r="Z288" i="2"/>
  <c r="Z432" i="2"/>
  <c r="Z576" i="2"/>
  <c r="Z720" i="2"/>
  <c r="Z864" i="2"/>
  <c r="Z1008" i="2"/>
  <c r="Z1152" i="2"/>
  <c r="Z1296" i="2"/>
  <c r="Z1440" i="2"/>
  <c r="Z61" i="2"/>
  <c r="Z205" i="2"/>
  <c r="Z349" i="2"/>
  <c r="Z17" i="2"/>
  <c r="Z161" i="2"/>
  <c r="Z305" i="2"/>
  <c r="Z449" i="2"/>
  <c r="Z593" i="2"/>
  <c r="Z737" i="2"/>
  <c r="Z881" i="2"/>
  <c r="Z1025" i="2"/>
  <c r="Z1169" i="2"/>
  <c r="Z1313" i="2"/>
  <c r="Z1457" i="2"/>
  <c r="Z78" i="2"/>
  <c r="Z222" i="2"/>
  <c r="Z366" i="2"/>
  <c r="Z510" i="2"/>
  <c r="Z654" i="2"/>
  <c r="Z798" i="2"/>
  <c r="Z942" i="2"/>
  <c r="Z1086" i="2"/>
  <c r="Z1230" i="2"/>
  <c r="Z1374" i="2"/>
  <c r="Z7" i="2"/>
  <c r="Z151" i="2"/>
  <c r="Z295" i="2"/>
  <c r="Z439" i="2"/>
  <c r="Z583" i="2"/>
  <c r="Z727" i="2"/>
  <c r="Z871" i="2"/>
  <c r="Z1015" i="2"/>
  <c r="Z1159" i="2"/>
  <c r="Z1303" i="2"/>
  <c r="Z8" i="2"/>
  <c r="Z152" i="2"/>
  <c r="Z296" i="2"/>
  <c r="Z440" i="2"/>
  <c r="Z584" i="2"/>
  <c r="Z728" i="2"/>
  <c r="Z872" i="2"/>
  <c r="Z1016" i="2"/>
  <c r="Z1160" i="2"/>
  <c r="Z1304" i="2"/>
  <c r="Z69" i="2"/>
  <c r="Z213" i="2"/>
  <c r="Z357" i="2"/>
  <c r="Z501" i="2"/>
  <c r="Z645" i="2"/>
  <c r="Z789" i="2"/>
  <c r="Z933" i="2"/>
  <c r="Z1077" i="2"/>
  <c r="Z1221" i="2"/>
  <c r="Z10" i="2"/>
  <c r="Z154" i="2"/>
  <c r="Z298" i="2"/>
  <c r="Z442" i="2"/>
  <c r="Z29" i="2"/>
  <c r="Z173" i="2"/>
  <c r="Z317" i="2"/>
  <c r="Z461" i="2"/>
  <c r="Z605" i="2"/>
  <c r="Z749" i="2"/>
  <c r="Z893" i="2"/>
  <c r="Z1037" i="2"/>
  <c r="Z1181" i="2"/>
  <c r="Z1325" i="2"/>
  <c r="Z1469" i="2"/>
  <c r="Z90" i="2"/>
  <c r="Z234" i="2"/>
  <c r="Z378" i="2"/>
  <c r="Z522" i="2"/>
  <c r="Z666" i="2"/>
  <c r="Z810" i="2"/>
  <c r="Z954" i="2"/>
  <c r="Z1098" i="2"/>
  <c r="Z1242" i="2"/>
  <c r="Z1386" i="2"/>
  <c r="Z19" i="2"/>
  <c r="Z163" i="2"/>
  <c r="Z307" i="2"/>
  <c r="Z451" i="2"/>
  <c r="Z595" i="2"/>
  <c r="Z739" i="2"/>
  <c r="Z41" i="2"/>
  <c r="Z185" i="2"/>
  <c r="Z329" i="2"/>
  <c r="Z473" i="2"/>
  <c r="Z617" i="2"/>
  <c r="Z761" i="2"/>
  <c r="Z905" i="2"/>
  <c r="Z1049" i="2"/>
  <c r="Z1193" i="2"/>
  <c r="Z1337" i="2"/>
  <c r="Z1481" i="2"/>
  <c r="Z102" i="2"/>
  <c r="Z246" i="2"/>
  <c r="Z390" i="2"/>
  <c r="Z534" i="2"/>
  <c r="Z678" i="2"/>
  <c r="Z822" i="2"/>
  <c r="Z966" i="2"/>
  <c r="Z1110" i="2"/>
  <c r="Z1254" i="2"/>
  <c r="Z1398" i="2"/>
  <c r="Z31" i="2"/>
  <c r="Z175" i="2"/>
  <c r="Z319" i="2"/>
  <c r="Z463" i="2"/>
  <c r="Z607" i="2"/>
  <c r="Z751" i="2"/>
  <c r="Z895" i="2"/>
  <c r="Z1039" i="2"/>
  <c r="Z1183" i="2"/>
  <c r="Z1327" i="2"/>
  <c r="Z32" i="2"/>
  <c r="Z176" i="2"/>
  <c r="Z320" i="2"/>
  <c r="Z464" i="2"/>
  <c r="Z608" i="2"/>
  <c r="Z752" i="2"/>
  <c r="Z896" i="2"/>
  <c r="Z1040" i="2"/>
  <c r="Z1184" i="2"/>
  <c r="Z1328" i="2"/>
  <c r="Z93" i="2"/>
  <c r="Z237" i="2"/>
  <c r="Z381" i="2"/>
  <c r="Z525" i="2"/>
  <c r="Z669" i="2"/>
  <c r="Z813" i="2"/>
  <c r="Z957" i="2"/>
  <c r="Z1101" i="2"/>
  <c r="Z1245" i="2"/>
  <c r="Z34" i="2"/>
  <c r="Z178" i="2"/>
  <c r="Z322" i="2"/>
  <c r="Z466" i="2"/>
  <c r="Z610" i="2"/>
  <c r="Z754" i="2"/>
  <c r="Z898" i="2"/>
  <c r="Z1042" i="2"/>
  <c r="Z1186" i="2"/>
  <c r="Z1330" i="2"/>
  <c r="Z1474" i="2"/>
  <c r="Z119" i="2"/>
  <c r="Z263" i="2"/>
  <c r="Z407" i="2"/>
  <c r="Z551" i="2"/>
  <c r="Z695" i="2"/>
  <c r="Z839" i="2"/>
  <c r="Z983" i="2"/>
  <c r="Z1127" i="2"/>
  <c r="Z1271" i="2"/>
  <c r="Z1415" i="2"/>
  <c r="Z36" i="2"/>
  <c r="Z180" i="2"/>
  <c r="Z324" i="2"/>
  <c r="Z468" i="2"/>
  <c r="Z53" i="2"/>
  <c r="Z197" i="2"/>
  <c r="Z341" i="2"/>
  <c r="Z485" i="2"/>
  <c r="Z629" i="2"/>
  <c r="Z773" i="2"/>
  <c r="Z917" i="2"/>
  <c r="Z1061" i="2"/>
  <c r="Z1205" i="2"/>
  <c r="Z1349" i="2"/>
  <c r="Z1493" i="2"/>
  <c r="Z114" i="2"/>
  <c r="Z258" i="2"/>
  <c r="Z402" i="2"/>
  <c r="Z546" i="2"/>
  <c r="Z690" i="2"/>
  <c r="Z834" i="2"/>
  <c r="Z978" i="2"/>
  <c r="Z1122" i="2"/>
  <c r="Z1266" i="2"/>
  <c r="Z1410" i="2"/>
  <c r="Z43" i="2"/>
  <c r="Z187" i="2"/>
  <c r="Z331" i="2"/>
  <c r="Z475" i="2"/>
  <c r="Z619" i="2"/>
  <c r="Z763" i="2"/>
  <c r="Z907" i="2"/>
  <c r="Z1051" i="2"/>
  <c r="Z1195" i="2"/>
  <c r="Z1339" i="2"/>
  <c r="Z44" i="2"/>
  <c r="Z188" i="2"/>
  <c r="Z332" i="2"/>
  <c r="Z476" i="2"/>
  <c r="Z620" i="2"/>
  <c r="Z764" i="2"/>
  <c r="Z908" i="2"/>
  <c r="Z1052" i="2"/>
  <c r="Z1196" i="2"/>
  <c r="Z1340" i="2"/>
  <c r="Z105" i="2"/>
  <c r="Z249" i="2"/>
  <c r="Z393" i="2"/>
  <c r="Z537" i="2"/>
  <c r="Z681" i="2"/>
  <c r="Z825" i="2"/>
  <c r="Z969" i="2"/>
  <c r="Z1113" i="2"/>
  <c r="Z1257" i="2"/>
  <c r="Z46" i="2"/>
  <c r="Z190" i="2"/>
  <c r="Z334" i="2"/>
  <c r="Z478" i="2"/>
  <c r="Z622" i="2"/>
  <c r="Z766" i="2"/>
  <c r="Z910" i="2"/>
  <c r="Z1054" i="2"/>
  <c r="Z1198" i="2"/>
  <c r="Z1342" i="2"/>
  <c r="Z1486" i="2"/>
  <c r="Z131" i="2"/>
  <c r="Z275" i="2"/>
  <c r="Z419" i="2"/>
  <c r="Z563" i="2"/>
  <c r="Z707" i="2"/>
  <c r="Z851" i="2"/>
  <c r="Z995" i="2"/>
  <c r="Z1139" i="2"/>
  <c r="Z1283" i="2"/>
  <c r="Z1427" i="2"/>
  <c r="Z48" i="2"/>
  <c r="Z192" i="2"/>
  <c r="Z336" i="2"/>
  <c r="Z480" i="2"/>
  <c r="Z624" i="2"/>
  <c r="Z768" i="2"/>
  <c r="Z912" i="2"/>
  <c r="Z1056" i="2"/>
  <c r="Z1200" i="2"/>
  <c r="Z1344" i="2"/>
  <c r="Z1488" i="2"/>
  <c r="Z109" i="2"/>
  <c r="Z253" i="2"/>
  <c r="Z397" i="2"/>
  <c r="Z65" i="2"/>
  <c r="Z209" i="2"/>
  <c r="Z353" i="2"/>
  <c r="Z497" i="2"/>
  <c r="Z641" i="2"/>
  <c r="Z785" i="2"/>
  <c r="Z929" i="2"/>
  <c r="Z1073" i="2"/>
  <c r="Z1217" i="2"/>
  <c r="Z1361" i="2"/>
  <c r="Z1505" i="2"/>
  <c r="Z126" i="2"/>
  <c r="Z270" i="2"/>
  <c r="Z414" i="2"/>
  <c r="Z558" i="2"/>
  <c r="Z702" i="2"/>
  <c r="Z846" i="2"/>
  <c r="Z990" i="2"/>
  <c r="Z1134" i="2"/>
  <c r="Z1278" i="2"/>
  <c r="Z1422" i="2"/>
  <c r="Z55" i="2"/>
  <c r="Z199" i="2"/>
  <c r="Z343" i="2"/>
  <c r="Z487" i="2"/>
  <c r="Z631" i="2"/>
  <c r="Z775" i="2"/>
  <c r="Z919" i="2"/>
  <c r="Z1063" i="2"/>
  <c r="Z1207" i="2"/>
  <c r="Z1351" i="2"/>
  <c r="Z56" i="2"/>
  <c r="Z200" i="2"/>
  <c r="Z344" i="2"/>
  <c r="Z488" i="2"/>
  <c r="Z632" i="2"/>
  <c r="Z776" i="2"/>
  <c r="Z920" i="2"/>
  <c r="Z1064" i="2"/>
  <c r="Z1208" i="2"/>
  <c r="Z1352" i="2"/>
  <c r="Z117" i="2"/>
  <c r="Z261" i="2"/>
  <c r="Z405" i="2"/>
  <c r="Z549" i="2"/>
  <c r="Z693" i="2"/>
  <c r="Z837" i="2"/>
  <c r="Z981" i="2"/>
  <c r="Z1125" i="2"/>
  <c r="Z1269" i="2"/>
  <c r="Z58" i="2"/>
  <c r="Z202" i="2"/>
  <c r="Z346" i="2"/>
  <c r="Z490" i="2"/>
  <c r="Z634" i="2"/>
  <c r="Z778" i="2"/>
  <c r="Z922" i="2"/>
  <c r="Z1066" i="2"/>
  <c r="Z1210" i="2"/>
  <c r="Z1354" i="2"/>
  <c r="Z1498" i="2"/>
  <c r="Z143" i="2"/>
  <c r="Z287" i="2"/>
  <c r="Z431" i="2"/>
  <c r="Z575" i="2"/>
  <c r="Z719" i="2"/>
  <c r="Z863" i="2"/>
  <c r="Z1007" i="2"/>
  <c r="Z1151" i="2"/>
  <c r="Z1295" i="2"/>
  <c r="Z1439" i="2"/>
  <c r="Z60" i="2"/>
  <c r="Z204" i="2"/>
  <c r="Z348" i="2"/>
  <c r="Z492" i="2"/>
  <c r="Z636" i="2"/>
  <c r="Z780" i="2"/>
  <c r="Z924" i="2"/>
  <c r="Z1068" i="2"/>
  <c r="Z1212" i="2"/>
  <c r="Z1356" i="2"/>
  <c r="Z1500" i="2"/>
  <c r="Z121" i="2"/>
  <c r="Z265" i="2"/>
  <c r="Z409" i="2"/>
  <c r="Z77" i="2"/>
  <c r="Z221" i="2"/>
  <c r="Z365" i="2"/>
  <c r="Z509" i="2"/>
  <c r="Z653" i="2"/>
  <c r="Z797" i="2"/>
  <c r="Z941" i="2"/>
  <c r="Z1085" i="2"/>
  <c r="Z1229" i="2"/>
  <c r="Z1373" i="2"/>
  <c r="Z1517" i="2"/>
  <c r="Z138" i="2"/>
  <c r="Z282" i="2"/>
  <c r="Z426" i="2"/>
  <c r="Z570" i="2"/>
  <c r="Z714" i="2"/>
  <c r="Z858" i="2"/>
  <c r="Z1002" i="2"/>
  <c r="Z1146" i="2"/>
  <c r="Z1290" i="2"/>
  <c r="Z1434" i="2"/>
  <c r="Z67" i="2"/>
  <c r="Z211" i="2"/>
  <c r="Z355" i="2"/>
  <c r="Z499" i="2"/>
  <c r="Z643" i="2"/>
  <c r="Z787" i="2"/>
  <c r="Z931" i="2"/>
  <c r="Z1075" i="2"/>
  <c r="Z1219" i="2"/>
  <c r="Z1363" i="2"/>
  <c r="Z68" i="2"/>
  <c r="Z212" i="2"/>
  <c r="Z356" i="2"/>
  <c r="Z500" i="2"/>
  <c r="Z644" i="2"/>
  <c r="Z788" i="2"/>
  <c r="Z932" i="2"/>
  <c r="Z1076" i="2"/>
  <c r="Z1220" i="2"/>
  <c r="Z1364" i="2"/>
  <c r="Z129" i="2"/>
  <c r="Z273" i="2"/>
  <c r="Z417" i="2"/>
  <c r="Z561" i="2"/>
  <c r="Z705" i="2"/>
  <c r="Z849" i="2"/>
  <c r="Z993" i="2"/>
  <c r="Z1137" i="2"/>
  <c r="Z1281" i="2"/>
  <c r="Z70" i="2"/>
  <c r="Z214" i="2"/>
  <c r="Z358" i="2"/>
  <c r="Z502" i="2"/>
  <c r="Z646" i="2"/>
  <c r="Z790" i="2"/>
  <c r="Z934" i="2"/>
  <c r="Z1078" i="2"/>
  <c r="Z1222" i="2"/>
  <c r="Z1366" i="2"/>
  <c r="Z11" i="2"/>
  <c r="Z299" i="2"/>
  <c r="Z443" i="2"/>
  <c r="Z587" i="2"/>
  <c r="Z731" i="2"/>
  <c r="Z875" i="2"/>
  <c r="Z1019" i="2"/>
  <c r="Z1163" i="2"/>
  <c r="Z1307" i="2"/>
  <c r="Z1451" i="2"/>
  <c r="Z72" i="2"/>
  <c r="Z216" i="2"/>
  <c r="Z360" i="2"/>
  <c r="Z504" i="2"/>
  <c r="Z648" i="2"/>
  <c r="Z792" i="2"/>
  <c r="Z936" i="2"/>
  <c r="Z1080" i="2"/>
  <c r="Z1224" i="2"/>
  <c r="Z1368" i="2"/>
  <c r="Z1512" i="2"/>
  <c r="Z133" i="2"/>
  <c r="Z277" i="2"/>
  <c r="Z421" i="2"/>
  <c r="Z89" i="2"/>
  <c r="Z233" i="2"/>
  <c r="Z377" i="2"/>
  <c r="Z521" i="2"/>
  <c r="Z665" i="2"/>
  <c r="Z809" i="2"/>
  <c r="Z953" i="2"/>
  <c r="Z1097" i="2"/>
  <c r="Z1241" i="2"/>
  <c r="Z1385" i="2"/>
  <c r="Z6" i="2"/>
  <c r="Z150" i="2"/>
  <c r="Z294" i="2"/>
  <c r="Z438" i="2"/>
  <c r="Z582" i="2"/>
  <c r="Z726" i="2"/>
  <c r="Z870" i="2"/>
  <c r="Z1014" i="2"/>
  <c r="Z1158" i="2"/>
  <c r="Z1302" i="2"/>
  <c r="Z1446" i="2"/>
  <c r="Z79" i="2"/>
  <c r="Z223" i="2"/>
  <c r="Z367" i="2"/>
  <c r="Z511" i="2"/>
  <c r="Z655" i="2"/>
  <c r="Z799" i="2"/>
  <c r="Z943" i="2"/>
  <c r="Z1087" i="2"/>
  <c r="Z1231" i="2"/>
  <c r="Z1375" i="2"/>
  <c r="Z80" i="2"/>
  <c r="Z224" i="2"/>
  <c r="Z368" i="2"/>
  <c r="Z512" i="2"/>
  <c r="Z656" i="2"/>
  <c r="Z800" i="2"/>
  <c r="Z944" i="2"/>
  <c r="Z1088" i="2"/>
  <c r="Z1232" i="2"/>
  <c r="Z1376" i="2"/>
  <c r="Z141" i="2"/>
  <c r="Z285" i="2"/>
  <c r="Z429" i="2"/>
  <c r="Z573" i="2"/>
  <c r="Z717" i="2"/>
  <c r="Z861" i="2"/>
  <c r="Z1005" i="2"/>
  <c r="Z1149" i="2"/>
  <c r="Z1293" i="2"/>
  <c r="Z82" i="2"/>
  <c r="Z226" i="2"/>
  <c r="Z370" i="2"/>
  <c r="Z514" i="2"/>
  <c r="Z101" i="2"/>
  <c r="Z245" i="2"/>
  <c r="Z389" i="2"/>
  <c r="Z533" i="2"/>
  <c r="Z677" i="2"/>
  <c r="Z821" i="2"/>
  <c r="Z965" i="2"/>
  <c r="Z1109" i="2"/>
  <c r="Z1253" i="2"/>
  <c r="Z1397" i="2"/>
  <c r="Z18" i="2"/>
  <c r="Z162" i="2"/>
  <c r="Z306" i="2"/>
  <c r="Z450" i="2"/>
  <c r="Z594" i="2"/>
  <c r="Z738" i="2"/>
  <c r="Z882" i="2"/>
  <c r="Z1026" i="2"/>
  <c r="Z1170" i="2"/>
  <c r="Z1314" i="2"/>
  <c r="Z1458" i="2"/>
  <c r="Z91" i="2"/>
  <c r="Z235" i="2"/>
  <c r="Z379" i="2"/>
  <c r="Z523" i="2"/>
  <c r="Z667" i="2"/>
  <c r="Z811" i="2"/>
  <c r="Z113" i="2"/>
  <c r="Z257" i="2"/>
  <c r="Z401" i="2"/>
  <c r="Z545" i="2"/>
  <c r="Z689" i="2"/>
  <c r="Z833" i="2"/>
  <c r="Z977" i="2"/>
  <c r="Z1121" i="2"/>
  <c r="Z1265" i="2"/>
  <c r="Z1409" i="2"/>
  <c r="Z30" i="2"/>
  <c r="Z174" i="2"/>
  <c r="Z318" i="2"/>
  <c r="Z462" i="2"/>
  <c r="Z606" i="2"/>
  <c r="Z750" i="2"/>
  <c r="Z894" i="2"/>
  <c r="Z1038" i="2"/>
  <c r="Z1182" i="2"/>
  <c r="Z1326" i="2"/>
  <c r="Z1470" i="2"/>
  <c r="Z103" i="2"/>
  <c r="Z247" i="2"/>
  <c r="Z391" i="2"/>
  <c r="Z535" i="2"/>
  <c r="Z679" i="2"/>
  <c r="Z823" i="2"/>
  <c r="Z967" i="2"/>
  <c r="Z1111" i="2"/>
  <c r="Z1255" i="2"/>
  <c r="Z1399" i="2"/>
  <c r="Z104" i="2"/>
  <c r="Z248" i="2"/>
  <c r="Z392" i="2"/>
  <c r="Z536" i="2"/>
  <c r="Z680" i="2"/>
  <c r="Z824" i="2"/>
  <c r="Z968" i="2"/>
  <c r="Z1112" i="2"/>
  <c r="Z1256" i="2"/>
  <c r="Z21" i="2"/>
  <c r="Z165" i="2"/>
  <c r="Z309" i="2"/>
  <c r="Z453" i="2"/>
  <c r="Z597" i="2"/>
  <c r="Z741" i="2"/>
  <c r="Z885" i="2"/>
  <c r="Z1029" i="2"/>
  <c r="Z1173" i="2"/>
  <c r="Z1317" i="2"/>
  <c r="Z106" i="2"/>
  <c r="Z250" i="2"/>
  <c r="Z394" i="2"/>
  <c r="Z538" i="2"/>
  <c r="Z682" i="2"/>
  <c r="Z826" i="2"/>
  <c r="Z970" i="2"/>
  <c r="Z1114" i="2"/>
  <c r="Z1258" i="2"/>
  <c r="Z1402" i="2"/>
  <c r="Z47" i="2"/>
  <c r="Z191" i="2"/>
  <c r="Z335" i="2"/>
  <c r="Z479" i="2"/>
  <c r="Z623" i="2"/>
  <c r="Z767" i="2"/>
  <c r="Z911" i="2"/>
  <c r="Z1055" i="2"/>
  <c r="Z1199" i="2"/>
  <c r="Z1343" i="2"/>
  <c r="Z1487" i="2"/>
  <c r="Z108" i="2"/>
  <c r="Z252" i="2"/>
  <c r="Z396" i="2"/>
  <c r="Z540" i="2"/>
  <c r="Z684" i="2"/>
  <c r="Z828" i="2"/>
  <c r="Z972" i="2"/>
  <c r="Z1116" i="2"/>
  <c r="Z1260" i="2"/>
  <c r="Z1404" i="2"/>
  <c r="Z25" i="2"/>
  <c r="Z169" i="2"/>
  <c r="Z313" i="2"/>
  <c r="Z457" i="2"/>
  <c r="Z125" i="2"/>
  <c r="Z269" i="2"/>
  <c r="Z413" i="2"/>
  <c r="Z557" i="2"/>
  <c r="Z701" i="2"/>
  <c r="Z845" i="2"/>
  <c r="Z989" i="2"/>
  <c r="Z1133" i="2"/>
  <c r="Z1277" i="2"/>
  <c r="Z1421" i="2"/>
  <c r="Z42" i="2"/>
  <c r="Z186" i="2"/>
  <c r="Z330" i="2"/>
  <c r="Z474" i="2"/>
  <c r="Z618" i="2"/>
  <c r="Z762" i="2"/>
  <c r="Z906" i="2"/>
  <c r="Z1050" i="2"/>
  <c r="Z1194" i="2"/>
  <c r="Z1338" i="2"/>
  <c r="Z1482" i="2"/>
  <c r="Z115" i="2"/>
  <c r="Z259" i="2"/>
  <c r="Z403" i="2"/>
  <c r="Z547" i="2"/>
  <c r="Z691" i="2"/>
  <c r="Z835" i="2"/>
  <c r="Z979" i="2"/>
  <c r="Z1123" i="2"/>
  <c r="Z1267" i="2"/>
  <c r="Z1411" i="2"/>
  <c r="Z116" i="2"/>
  <c r="Z260" i="2"/>
  <c r="Z404" i="2"/>
  <c r="Z548" i="2"/>
  <c r="Z692" i="2"/>
  <c r="Z836" i="2"/>
  <c r="Z980" i="2"/>
  <c r="Z1124" i="2"/>
  <c r="Z1268" i="2"/>
  <c r="Z33" i="2"/>
  <c r="Z177" i="2"/>
  <c r="Z321" i="2"/>
  <c r="Z465" i="2"/>
  <c r="Z609" i="2"/>
  <c r="Z753" i="2"/>
  <c r="Z897" i="2"/>
  <c r="Z1041" i="2"/>
  <c r="Z1185" i="2"/>
  <c r="Z1329" i="2"/>
  <c r="Z118" i="2"/>
  <c r="Z262" i="2"/>
  <c r="Z406" i="2"/>
  <c r="Z550" i="2"/>
  <c r="Z694" i="2"/>
  <c r="Z838" i="2"/>
  <c r="Z982" i="2"/>
  <c r="Z1126" i="2"/>
  <c r="Z1270" i="2"/>
  <c r="Z1414" i="2"/>
  <c r="Z59" i="2"/>
  <c r="Z203" i="2"/>
  <c r="Z347" i="2"/>
  <c r="Z491" i="2"/>
  <c r="Z635" i="2"/>
  <c r="Z779" i="2"/>
  <c r="Z923" i="2"/>
  <c r="Z1067" i="2"/>
  <c r="Z1211" i="2"/>
  <c r="Z1355" i="2"/>
  <c r="Z1499" i="2"/>
  <c r="Z120" i="2"/>
  <c r="Z264" i="2"/>
  <c r="Z408" i="2"/>
  <c r="Z552" i="2"/>
  <c r="Z696" i="2"/>
  <c r="Z840" i="2"/>
  <c r="Z984" i="2"/>
  <c r="Z1128" i="2"/>
  <c r="Z1272" i="2"/>
  <c r="Z1416" i="2"/>
  <c r="Z37" i="2"/>
  <c r="Z181" i="2"/>
  <c r="Z325" i="2"/>
  <c r="Z469" i="2"/>
  <c r="Z137" i="2"/>
  <c r="Z281" i="2"/>
  <c r="Z425" i="2"/>
  <c r="Z569" i="2"/>
  <c r="Z713" i="2"/>
  <c r="Z857" i="2"/>
  <c r="Z1001" i="2"/>
  <c r="Z1145" i="2"/>
  <c r="Z1289" i="2"/>
  <c r="Z1433" i="2"/>
  <c r="Z54" i="2"/>
  <c r="Z198" i="2"/>
  <c r="Z342" i="2"/>
  <c r="Z486" i="2"/>
  <c r="Z630" i="2"/>
  <c r="Z774" i="2"/>
  <c r="Z918" i="2"/>
  <c r="Z1062" i="2"/>
  <c r="Z1206" i="2"/>
  <c r="Z1350" i="2"/>
  <c r="Z1494" i="2"/>
  <c r="Z127" i="2"/>
  <c r="Z271" i="2"/>
  <c r="Z415" i="2"/>
  <c r="Z559" i="2"/>
  <c r="Z703" i="2"/>
  <c r="Z847" i="2"/>
  <c r="Z991" i="2"/>
  <c r="Z1135" i="2"/>
  <c r="Z1279" i="2"/>
  <c r="Z1423" i="2"/>
  <c r="Z128" i="2"/>
  <c r="Z272" i="2"/>
  <c r="Z416" i="2"/>
  <c r="Z560" i="2"/>
  <c r="Z704" i="2"/>
  <c r="Z848" i="2"/>
  <c r="Z992" i="2"/>
  <c r="Z1136" i="2"/>
  <c r="Z1280" i="2"/>
  <c r="Z45" i="2"/>
  <c r="Z189" i="2"/>
  <c r="Z333" i="2"/>
  <c r="Z477" i="2"/>
  <c r="Z621" i="2"/>
  <c r="Z765" i="2"/>
  <c r="Z909" i="2"/>
  <c r="Z1053" i="2"/>
  <c r="Z1197" i="2"/>
  <c r="Z1341" i="2"/>
  <c r="Z130" i="2"/>
  <c r="Z274" i="2"/>
  <c r="Z418" i="2"/>
  <c r="Z562" i="2"/>
  <c r="Z706" i="2"/>
  <c r="Z850" i="2"/>
  <c r="Z994" i="2"/>
  <c r="Z1138" i="2"/>
  <c r="Z1282" i="2"/>
  <c r="Z1426" i="2"/>
  <c r="Z71" i="2"/>
  <c r="Z215" i="2"/>
  <c r="Z359" i="2"/>
  <c r="Z503" i="2"/>
  <c r="Z647" i="2"/>
  <c r="Z791" i="2"/>
  <c r="Z935" i="2"/>
  <c r="Z1079" i="2"/>
  <c r="Z1223" i="2"/>
  <c r="Z1367" i="2"/>
  <c r="Z1511" i="2"/>
  <c r="Z132" i="2"/>
  <c r="Z276" i="2"/>
  <c r="Z420" i="2"/>
  <c r="Z564" i="2"/>
  <c r="Z708" i="2"/>
  <c r="Z852" i="2"/>
  <c r="Z996" i="2"/>
  <c r="Z1140" i="2"/>
  <c r="Z1284" i="2"/>
  <c r="Z1428" i="2"/>
  <c r="Z49" i="2"/>
  <c r="Z193" i="2"/>
  <c r="Z337" i="2"/>
  <c r="Z481" i="2"/>
  <c r="Z883" i="2"/>
  <c r="Z308" i="2"/>
  <c r="Z1172" i="2"/>
  <c r="Z657" i="2"/>
  <c r="Z166" i="2"/>
  <c r="Z802" i="2"/>
  <c r="Z1234" i="2"/>
  <c r="Z167" i="2"/>
  <c r="Z599" i="2"/>
  <c r="Z1031" i="2"/>
  <c r="Z1463" i="2"/>
  <c r="Z372" i="2"/>
  <c r="Z744" i="2"/>
  <c r="Z1092" i="2"/>
  <c r="Z1452" i="2"/>
  <c r="Z241" i="2"/>
  <c r="Z541" i="2"/>
  <c r="Z685" i="2"/>
  <c r="Z829" i="2"/>
  <c r="Z973" i="2"/>
  <c r="Z1117" i="2"/>
  <c r="Z1261" i="2"/>
  <c r="Z1405" i="2"/>
  <c r="Z62" i="2"/>
  <c r="Z206" i="2"/>
  <c r="Z350" i="2"/>
  <c r="Z494" i="2"/>
  <c r="Z638" i="2"/>
  <c r="Z782" i="2"/>
  <c r="Z926" i="2"/>
  <c r="Z1070" i="2"/>
  <c r="Z1214" i="2"/>
  <c r="Z1358" i="2"/>
  <c r="Z1502" i="2"/>
  <c r="Z123" i="2"/>
  <c r="Z267" i="2"/>
  <c r="Z411" i="2"/>
  <c r="Z555" i="2"/>
  <c r="Z699" i="2"/>
  <c r="Z843" i="2"/>
  <c r="Z987" i="2"/>
  <c r="Z1131" i="2"/>
  <c r="Z1275" i="2"/>
  <c r="Z1419" i="2"/>
  <c r="Z304" i="2"/>
  <c r="Z1531" i="2"/>
  <c r="Z1675" i="2"/>
  <c r="Z1819" i="2"/>
  <c r="Z1963" i="2"/>
  <c r="Z1940" i="2"/>
  <c r="Z892" i="2"/>
  <c r="Z1580" i="2"/>
  <c r="Z1784" i="2"/>
  <c r="Z184" i="2"/>
  <c r="Z1516" i="2"/>
  <c r="Z1665" i="2"/>
  <c r="Z1809" i="2"/>
  <c r="Z1953" i="2"/>
  <c r="Z772" i="2"/>
  <c r="Z1570" i="2"/>
  <c r="Z1714" i="2"/>
  <c r="Z1918" i="2"/>
  <c r="Z1360" i="2"/>
  <c r="Z1619" i="2"/>
  <c r="Z1763" i="2"/>
  <c r="Z364" i="2"/>
  <c r="Z1536" i="2"/>
  <c r="Z1680" i="2"/>
  <c r="Z1824" i="2"/>
  <c r="Z1968" i="2"/>
  <c r="Z1931" i="2"/>
  <c r="Z1461" i="2"/>
  <c r="Z1645" i="2"/>
  <c r="Z1789" i="2"/>
  <c r="Z1933" i="2"/>
  <c r="Z1444" i="2"/>
  <c r="Z820" i="2"/>
  <c r="Z1574" i="2"/>
  <c r="Z1718" i="2"/>
  <c r="Z1862" i="2"/>
  <c r="Z1791" i="2"/>
  <c r="Z112" i="2"/>
  <c r="Z1504" i="2"/>
  <c r="Z1659" i="2"/>
  <c r="Z1686" i="2"/>
  <c r="Z1132" i="2"/>
  <c r="Z955" i="2"/>
  <c r="Z380" i="2"/>
  <c r="Z1244" i="2"/>
  <c r="Z729" i="2"/>
  <c r="Z238" i="2"/>
  <c r="Z814" i="2"/>
  <c r="Z1246" i="2"/>
  <c r="Z179" i="2"/>
  <c r="Z611" i="2"/>
  <c r="Z1043" i="2"/>
  <c r="Z1475" i="2"/>
  <c r="Z384" i="2"/>
  <c r="Z756" i="2"/>
  <c r="Z1104" i="2"/>
  <c r="Z1464" i="2"/>
  <c r="Z289" i="2"/>
  <c r="Z553" i="2"/>
  <c r="Z697" i="2"/>
  <c r="Z841" i="2"/>
  <c r="Z985" i="2"/>
  <c r="Z1129" i="2"/>
  <c r="Z1273" i="2"/>
  <c r="Z1417" i="2"/>
  <c r="Z74" i="2"/>
  <c r="Z218" i="2"/>
  <c r="Z362" i="2"/>
  <c r="Z506" i="2"/>
  <c r="Z650" i="2"/>
  <c r="Z794" i="2"/>
  <c r="Z938" i="2"/>
  <c r="Z1082" i="2"/>
  <c r="Z1226" i="2"/>
  <c r="Z1370" i="2"/>
  <c r="Z1514" i="2"/>
  <c r="Z135" i="2"/>
  <c r="Z279" i="2"/>
  <c r="Z423" i="2"/>
  <c r="Z567" i="2"/>
  <c r="Z711" i="2"/>
  <c r="Z855" i="2"/>
  <c r="Z999" i="2"/>
  <c r="Z1143" i="2"/>
  <c r="Z1287" i="2"/>
  <c r="Z1431" i="2"/>
  <c r="Z448" i="2"/>
  <c r="Z1543" i="2"/>
  <c r="Z1687" i="2"/>
  <c r="Z1831" i="2"/>
  <c r="Z1664" i="2"/>
  <c r="Z1964" i="2"/>
  <c r="Z1036" i="2"/>
  <c r="Z1592" i="2"/>
  <c r="Z1808" i="2"/>
  <c r="Z328" i="2"/>
  <c r="Z1533" i="2"/>
  <c r="Z1677" i="2"/>
  <c r="Z1821" i="2"/>
  <c r="Z1965" i="2"/>
  <c r="Z916" i="2"/>
  <c r="Z1582" i="2"/>
  <c r="Z1726" i="2"/>
  <c r="Z1966" i="2"/>
  <c r="Z1413" i="2"/>
  <c r="Z1631" i="2"/>
  <c r="Z1775" i="2"/>
  <c r="Z508" i="2"/>
  <c r="Z1548" i="2"/>
  <c r="Z1692" i="2"/>
  <c r="Z1836" i="2"/>
  <c r="Z1743" i="2"/>
  <c r="Z88" i="2"/>
  <c r="Z1497" i="2"/>
  <c r="Z1657" i="2"/>
  <c r="Z1801" i="2"/>
  <c r="Z1945" i="2"/>
  <c r="Z1566" i="2"/>
  <c r="Z964" i="2"/>
  <c r="Z1586" i="2"/>
  <c r="Z1730" i="2"/>
  <c r="Z1874" i="2"/>
  <c r="Z1839" i="2"/>
  <c r="Z256" i="2"/>
  <c r="Z1525" i="2"/>
  <c r="Z1671" i="2"/>
  <c r="Z1746" i="2"/>
  <c r="Z1027" i="2"/>
  <c r="Z452" i="2"/>
  <c r="Z1316" i="2"/>
  <c r="Z801" i="2"/>
  <c r="Z310" i="2"/>
  <c r="Z874" i="2"/>
  <c r="Z1306" i="2"/>
  <c r="Z239" i="2"/>
  <c r="Z671" i="2"/>
  <c r="Z1103" i="2"/>
  <c r="Z12" i="2"/>
  <c r="Z444" i="2"/>
  <c r="Z804" i="2"/>
  <c r="Z1164" i="2"/>
  <c r="Z1476" i="2"/>
  <c r="Z301" i="2"/>
  <c r="Z565" i="2"/>
  <c r="Z709" i="2"/>
  <c r="Z853" i="2"/>
  <c r="Z997" i="2"/>
  <c r="Z1141" i="2"/>
  <c r="Z1285" i="2"/>
  <c r="Z1429" i="2"/>
  <c r="Z86" i="2"/>
  <c r="Z230" i="2"/>
  <c r="Z374" i="2"/>
  <c r="Z518" i="2"/>
  <c r="Z662" i="2"/>
  <c r="Z806" i="2"/>
  <c r="Z950" i="2"/>
  <c r="Z1094" i="2"/>
  <c r="Z1099" i="2"/>
  <c r="Z524" i="2"/>
  <c r="Z9" i="2"/>
  <c r="Z873" i="2"/>
  <c r="Z382" i="2"/>
  <c r="Z886" i="2"/>
  <c r="Z1318" i="2"/>
  <c r="Z251" i="2"/>
  <c r="Z683" i="2"/>
  <c r="Z1115" i="2"/>
  <c r="Z24" i="2"/>
  <c r="Z456" i="2"/>
  <c r="Z816" i="2"/>
  <c r="Z1176" i="2"/>
  <c r="Z1524" i="2"/>
  <c r="Z361" i="2"/>
  <c r="Z577" i="2"/>
  <c r="Z721" i="2"/>
  <c r="Z865" i="2"/>
  <c r="Z1009" i="2"/>
  <c r="Z1153" i="2"/>
  <c r="Z1297" i="2"/>
  <c r="Z1441" i="2"/>
  <c r="Z98" i="2"/>
  <c r="Z242" i="2"/>
  <c r="Z386" i="2"/>
  <c r="Z530" i="2"/>
  <c r="Z674" i="2"/>
  <c r="Z818" i="2"/>
  <c r="Z962" i="2"/>
  <c r="Z1106" i="2"/>
  <c r="Z1250" i="2"/>
  <c r="Z1394" i="2"/>
  <c r="Z15" i="2"/>
  <c r="Z159" i="2"/>
  <c r="Z303" i="2"/>
  <c r="Z447" i="2"/>
  <c r="Z591" i="2"/>
  <c r="Z735" i="2"/>
  <c r="Z879" i="2"/>
  <c r="Z1023" i="2"/>
  <c r="Z1167" i="2"/>
  <c r="Z1311" i="2"/>
  <c r="Z1455" i="2"/>
  <c r="Z736" i="2"/>
  <c r="Z1567" i="2"/>
  <c r="Z1711" i="2"/>
  <c r="Z1855" i="2"/>
  <c r="Z1724" i="2"/>
  <c r="Z1930" i="2"/>
  <c r="Z1324" i="2"/>
  <c r="Z1616" i="2"/>
  <c r="Z1856" i="2"/>
  <c r="Z616" i="2"/>
  <c r="Z1557" i="2"/>
  <c r="Z1701" i="2"/>
  <c r="Z1845" i="2"/>
  <c r="Z1858" i="2"/>
  <c r="Z1204" i="2"/>
  <c r="Z1606" i="2"/>
  <c r="Z1750" i="2"/>
  <c r="Z64" i="2"/>
  <c r="Z1495" i="2"/>
  <c r="Z1655" i="2"/>
  <c r="Z1799" i="2"/>
  <c r="Z796" i="2"/>
  <c r="Z1572" i="2"/>
  <c r="Z1716" i="2"/>
  <c r="Z1860" i="2"/>
  <c r="Z1863" i="2"/>
  <c r="Z376" i="2"/>
  <c r="Z1537" i="2"/>
  <c r="Z1681" i="2"/>
  <c r="Z1825" i="2"/>
  <c r="Z1969" i="2"/>
  <c r="Z1734" i="2"/>
  <c r="Z1252" i="2"/>
  <c r="Z1610" i="2"/>
  <c r="Z1754" i="2"/>
  <c r="Z1898" i="2"/>
  <c r="Z1935" i="2"/>
  <c r="Z544" i="2"/>
  <c r="Z1551" i="2"/>
  <c r="Z1719" i="2"/>
  <c r="Z1890" i="2"/>
  <c r="Z1171" i="2"/>
  <c r="Z596" i="2"/>
  <c r="Z81" i="2"/>
  <c r="Z945" i="2"/>
  <c r="Z454" i="2"/>
  <c r="Z946" i="2"/>
  <c r="Z1378" i="2"/>
  <c r="Z311" i="2"/>
  <c r="Z743" i="2"/>
  <c r="Z1175" i="2"/>
  <c r="Z84" i="2"/>
  <c r="Z516" i="2"/>
  <c r="Z876" i="2"/>
  <c r="Z1188" i="2"/>
  <c r="Z13" i="2"/>
  <c r="Z373" i="2"/>
  <c r="Z589" i="2"/>
  <c r="Z733" i="2"/>
  <c r="Z877" i="2"/>
  <c r="Z1021" i="2"/>
  <c r="Z1165" i="2"/>
  <c r="Z1309" i="2"/>
  <c r="Z1453" i="2"/>
  <c r="Z110" i="2"/>
  <c r="Z254" i="2"/>
  <c r="Z398" i="2"/>
  <c r="Z542" i="2"/>
  <c r="Z686" i="2"/>
  <c r="Z830" i="2"/>
  <c r="Z974" i="2"/>
  <c r="Z1118" i="2"/>
  <c r="Z1262" i="2"/>
  <c r="Z1406" i="2"/>
  <c r="Z27" i="2"/>
  <c r="Z171" i="2"/>
  <c r="Z315" i="2"/>
  <c r="Z459" i="2"/>
  <c r="Z603" i="2"/>
  <c r="Z747" i="2"/>
  <c r="Z891" i="2"/>
  <c r="Z1035" i="2"/>
  <c r="Z1179" i="2"/>
  <c r="Z1323" i="2"/>
  <c r="Z1467" i="2"/>
  <c r="Z880" i="2"/>
  <c r="Z1579" i="2"/>
  <c r="Z1723" i="2"/>
  <c r="Z1867" i="2"/>
  <c r="Z1748" i="2"/>
  <c r="Z1871" i="2"/>
  <c r="Z1401" i="2"/>
  <c r="Z1628" i="2"/>
  <c r="Z1892" i="2"/>
  <c r="Z760" i="2"/>
  <c r="Z1569" i="2"/>
  <c r="Z1713" i="2"/>
  <c r="Z1857" i="2"/>
  <c r="Z1906" i="2"/>
  <c r="Z1348" i="2"/>
  <c r="Z1618" i="2"/>
  <c r="Z1762" i="2"/>
  <c r="Z208" i="2"/>
  <c r="Z1519" i="2"/>
  <c r="Z1667" i="2"/>
  <c r="Z1811" i="2"/>
  <c r="Z940" i="2"/>
  <c r="Z1584" i="2"/>
  <c r="Z1728" i="2"/>
  <c r="Z1872" i="2"/>
  <c r="Z1923" i="2"/>
  <c r="Z520" i="2"/>
  <c r="Z1549" i="2"/>
  <c r="Z1693" i="2"/>
  <c r="Z1837" i="2"/>
  <c r="Z1683" i="2"/>
  <c r="Z1806" i="2"/>
  <c r="Z1377" i="2"/>
  <c r="Z1622" i="2"/>
  <c r="Z1766" i="2"/>
  <c r="Z1910" i="2"/>
  <c r="Z1960" i="2"/>
  <c r="Z688" i="2"/>
  <c r="Z1563" i="2"/>
  <c r="Z1767" i="2"/>
  <c r="Z1943" i="2"/>
  <c r="Z1243" i="2"/>
  <c r="Z668" i="2"/>
  <c r="Z153" i="2"/>
  <c r="Z1017" i="2"/>
  <c r="Z526" i="2"/>
  <c r="Z958" i="2"/>
  <c r="Z1390" i="2"/>
  <c r="Z323" i="2"/>
  <c r="Z755" i="2"/>
  <c r="Z1187" i="2"/>
  <c r="Z96" i="2"/>
  <c r="Z528" i="2"/>
  <c r="Z888" i="2"/>
  <c r="Z1236" i="2"/>
  <c r="Z73" i="2"/>
  <c r="Z385" i="2"/>
  <c r="Z601" i="2"/>
  <c r="Z745" i="2"/>
  <c r="Z889" i="2"/>
  <c r="Z1033" i="2"/>
  <c r="Z1177" i="2"/>
  <c r="Z1321" i="2"/>
  <c r="Z1465" i="2"/>
  <c r="Z122" i="2"/>
  <c r="Z266" i="2"/>
  <c r="Z410" i="2"/>
  <c r="Z554" i="2"/>
  <c r="Z698" i="2"/>
  <c r="Z842" i="2"/>
  <c r="Z986" i="2"/>
  <c r="Z1130" i="2"/>
  <c r="Z1274" i="2"/>
  <c r="Z1418" i="2"/>
  <c r="Z39" i="2"/>
  <c r="Z183" i="2"/>
  <c r="Z327" i="2"/>
  <c r="Z471" i="2"/>
  <c r="Z615" i="2"/>
  <c r="Z759" i="2"/>
  <c r="Z903" i="2"/>
  <c r="Z1047" i="2"/>
  <c r="Z1191" i="2"/>
  <c r="Z1335" i="2"/>
  <c r="Z1479" i="2"/>
  <c r="Z1024" i="2"/>
  <c r="Z1591" i="2"/>
  <c r="Z1735" i="2"/>
  <c r="Z1879" i="2"/>
  <c r="Z1772" i="2"/>
  <c r="Z1955" i="2"/>
  <c r="Z1448" i="2"/>
  <c r="Z1640" i="2"/>
  <c r="Z1916" i="2"/>
  <c r="Z904" i="2"/>
  <c r="Z1581" i="2"/>
  <c r="Z1725" i="2"/>
  <c r="Z1869" i="2"/>
  <c r="Z1954" i="2"/>
  <c r="Z1412" i="2"/>
  <c r="Z1630" i="2"/>
  <c r="Z1774" i="2"/>
  <c r="Z352" i="2"/>
  <c r="Z1535" i="2"/>
  <c r="Z1679" i="2"/>
  <c r="Z1823" i="2"/>
  <c r="Z1084" i="2"/>
  <c r="Z1596" i="2"/>
  <c r="Z1740" i="2"/>
  <c r="Z1884" i="2"/>
  <c r="Z1971" i="2"/>
  <c r="Z664" i="2"/>
  <c r="Z1561" i="2"/>
  <c r="Z1705" i="2"/>
  <c r="Z1849" i="2"/>
  <c r="Z1731" i="2"/>
  <c r="Z1878" i="2"/>
  <c r="Z1425" i="2"/>
  <c r="Z1634" i="2"/>
  <c r="Z1778" i="2"/>
  <c r="Z1922" i="2"/>
  <c r="Z1480" i="2"/>
  <c r="Z832" i="2"/>
  <c r="Z1575" i="2"/>
  <c r="Z1803" i="2"/>
  <c r="Z124" i="2"/>
  <c r="Z1315" i="2"/>
  <c r="Z740" i="2"/>
  <c r="Z225" i="2"/>
  <c r="Z1089" i="2"/>
  <c r="Z586" i="2"/>
  <c r="Z1018" i="2"/>
  <c r="Z1450" i="2"/>
  <c r="Z383" i="2"/>
  <c r="Z815" i="2"/>
  <c r="Z1247" i="2"/>
  <c r="Z156" i="2"/>
  <c r="Z588" i="2"/>
  <c r="Z900" i="2"/>
  <c r="Z1248" i="2"/>
  <c r="Z85" i="2"/>
  <c r="Z433" i="2"/>
  <c r="Z613" i="2"/>
  <c r="Z757" i="2"/>
  <c r="Z901" i="2"/>
  <c r="Z1045" i="2"/>
  <c r="Z1189" i="2"/>
  <c r="Z1333" i="2"/>
  <c r="Z1477" i="2"/>
  <c r="Z134" i="2"/>
  <c r="Z278" i="2"/>
  <c r="Z422" i="2"/>
  <c r="Z566" i="2"/>
  <c r="Z710" i="2"/>
  <c r="Z854" i="2"/>
  <c r="Z998" i="2"/>
  <c r="Z1142" i="2"/>
  <c r="Z1286" i="2"/>
  <c r="Z1430" i="2"/>
  <c r="Z51" i="2"/>
  <c r="Z195" i="2"/>
  <c r="Z339" i="2"/>
  <c r="Z483" i="2"/>
  <c r="Z627" i="2"/>
  <c r="Z771" i="2"/>
  <c r="Z915" i="2"/>
  <c r="Z1059" i="2"/>
  <c r="Z1203" i="2"/>
  <c r="Z1347" i="2"/>
  <c r="Z1491" i="2"/>
  <c r="Z1168" i="2"/>
  <c r="Z1603" i="2"/>
  <c r="Z1747" i="2"/>
  <c r="Z1891" i="2"/>
  <c r="Z1796" i="2"/>
  <c r="Z28" i="2"/>
  <c r="Z1484" i="2"/>
  <c r="Z1652" i="2"/>
  <c r="Z1928" i="2"/>
  <c r="Z1048" i="2"/>
  <c r="Z1593" i="2"/>
  <c r="Z1737" i="2"/>
  <c r="Z1881" i="2"/>
  <c r="Z1907" i="2"/>
  <c r="Z1456" i="2"/>
  <c r="Z1642" i="2"/>
  <c r="Z1786" i="2"/>
  <c r="Z496" i="2"/>
  <c r="Z1547" i="2"/>
  <c r="Z1691" i="2"/>
  <c r="Z1835" i="2"/>
  <c r="Z1228" i="2"/>
  <c r="Z1608" i="2"/>
  <c r="Z1752" i="2"/>
  <c r="Z1896" i="2"/>
  <c r="Z1396" i="2"/>
  <c r="Z808" i="2"/>
  <c r="Z1573" i="2"/>
  <c r="Z1717" i="2"/>
  <c r="Z1861" i="2"/>
  <c r="Z1779" i="2"/>
  <c r="Z1950" i="2"/>
  <c r="Z1468" i="2"/>
  <c r="Z1646" i="2"/>
  <c r="Z1790" i="2"/>
  <c r="Z1934" i="2"/>
  <c r="Z1590" i="2"/>
  <c r="Z976" i="2"/>
  <c r="Z1587" i="2"/>
  <c r="Z1851" i="2"/>
  <c r="Z268" i="2"/>
  <c r="Z1387" i="2"/>
  <c r="Z812" i="2"/>
  <c r="Z297" i="2"/>
  <c r="Z1161" i="2"/>
  <c r="Z598" i="2"/>
  <c r="Z1030" i="2"/>
  <c r="Z1462" i="2"/>
  <c r="Z395" i="2"/>
  <c r="Z827" i="2"/>
  <c r="Z1259" i="2"/>
  <c r="Z168" i="2"/>
  <c r="Z600" i="2"/>
  <c r="Z948" i="2"/>
  <c r="Z1308" i="2"/>
  <c r="Z97" i="2"/>
  <c r="Z445" i="2"/>
  <c r="Z625" i="2"/>
  <c r="Z769" i="2"/>
  <c r="Z913" i="2"/>
  <c r="Z1057" i="2"/>
  <c r="Z1201" i="2"/>
  <c r="Z1345" i="2"/>
  <c r="Z1489" i="2"/>
  <c r="Z146" i="2"/>
  <c r="Z290" i="2"/>
  <c r="Z434" i="2"/>
  <c r="Z578" i="2"/>
  <c r="Z722" i="2"/>
  <c r="Z866" i="2"/>
  <c r="Z1010" i="2"/>
  <c r="Z1154" i="2"/>
  <c r="Z1298" i="2"/>
  <c r="Z1442" i="2"/>
  <c r="Z63" i="2"/>
  <c r="Z207" i="2"/>
  <c r="Z351" i="2"/>
  <c r="Z495" i="2"/>
  <c r="Z639" i="2"/>
  <c r="Z783" i="2"/>
  <c r="Z927" i="2"/>
  <c r="Z1071" i="2"/>
  <c r="Z1215" i="2"/>
  <c r="Z1359" i="2"/>
  <c r="Z1503" i="2"/>
  <c r="Z1312" i="2"/>
  <c r="Z1615" i="2"/>
  <c r="Z1759" i="2"/>
  <c r="Z1903" i="2"/>
  <c r="Z1820" i="2"/>
  <c r="Z172" i="2"/>
  <c r="Z1513" i="2"/>
  <c r="Z1676" i="2"/>
  <c r="Z1952" i="2"/>
  <c r="Z1192" i="2"/>
  <c r="Z1605" i="2"/>
  <c r="Z1749" i="2"/>
  <c r="Z1893" i="2"/>
  <c r="Z52" i="2"/>
  <c r="Z1492" i="2"/>
  <c r="Z1654" i="2"/>
  <c r="Z1798" i="2"/>
  <c r="Z640" i="2"/>
  <c r="Z1559" i="2"/>
  <c r="Z1703" i="2"/>
  <c r="Z1847" i="2"/>
  <c r="Z1365" i="2"/>
  <c r="Z1620" i="2"/>
  <c r="Z1764" i="2"/>
  <c r="Z1908" i="2"/>
  <c r="Z1602" i="2"/>
  <c r="Z952" i="2"/>
  <c r="Z1585" i="2"/>
  <c r="Z1729" i="2"/>
  <c r="Z1873" i="2"/>
  <c r="Z1827" i="2"/>
  <c r="Z100" i="2"/>
  <c r="Z1501" i="2"/>
  <c r="Z1658" i="2"/>
  <c r="Z1802" i="2"/>
  <c r="Z1946" i="2"/>
  <c r="Z1662" i="2"/>
  <c r="Z1120" i="2"/>
  <c r="Z1599" i="2"/>
  <c r="Z1899" i="2"/>
  <c r="Z412" i="2"/>
  <c r="Z20" i="2"/>
  <c r="Z884" i="2"/>
  <c r="Z369" i="2"/>
  <c r="Z1233" i="2"/>
  <c r="Z658" i="2"/>
  <c r="Z1090" i="2"/>
  <c r="Z23" i="2"/>
  <c r="Z455" i="2"/>
  <c r="Z887" i="2"/>
  <c r="Z1319" i="2"/>
  <c r="Z228" i="2"/>
  <c r="Z612" i="2"/>
  <c r="Z960" i="2"/>
  <c r="Z1320" i="2"/>
  <c r="Z145" i="2"/>
  <c r="Z493" i="2"/>
  <c r="Z637" i="2"/>
  <c r="Z781" i="2"/>
  <c r="Z925" i="2"/>
  <c r="Z1069" i="2"/>
  <c r="Z1213" i="2"/>
  <c r="Z1357" i="2"/>
  <c r="Z14" i="2"/>
  <c r="Z158" i="2"/>
  <c r="Z302" i="2"/>
  <c r="Z446" i="2"/>
  <c r="Z590" i="2"/>
  <c r="Z734" i="2"/>
  <c r="Z878" i="2"/>
  <c r="Z1022" i="2"/>
  <c r="Z1166" i="2"/>
  <c r="Z92" i="2"/>
  <c r="Z956" i="2"/>
  <c r="Z441" i="2"/>
  <c r="Z1305" i="2"/>
  <c r="Z670" i="2"/>
  <c r="Z1102" i="2"/>
  <c r="Z35" i="2"/>
  <c r="Z467" i="2"/>
  <c r="Z899" i="2"/>
  <c r="Z1331" i="2"/>
  <c r="Z240" i="2"/>
  <c r="Z660" i="2"/>
  <c r="Z1020" i="2"/>
  <c r="Z1332" i="2"/>
  <c r="Z157" i="2"/>
  <c r="Z505" i="2"/>
  <c r="Z649" i="2"/>
  <c r="Z793" i="2"/>
  <c r="Z937" i="2"/>
  <c r="Z1081" i="2"/>
  <c r="Z1225" i="2"/>
  <c r="Z1369" i="2"/>
  <c r="Z26" i="2"/>
  <c r="Z170" i="2"/>
  <c r="Z314" i="2"/>
  <c r="Z458" i="2"/>
  <c r="Z602" i="2"/>
  <c r="Z746" i="2"/>
  <c r="Z890" i="2"/>
  <c r="Z1034" i="2"/>
  <c r="Z1178" i="2"/>
  <c r="Z1322" i="2"/>
  <c r="Z1466" i="2"/>
  <c r="Z87" i="2"/>
  <c r="Z231" i="2"/>
  <c r="Z375" i="2"/>
  <c r="Z519" i="2"/>
  <c r="Z663" i="2"/>
  <c r="Z807" i="2"/>
  <c r="Z951" i="2"/>
  <c r="Z1095" i="2"/>
  <c r="Z1239" i="2"/>
  <c r="Z1383" i="2"/>
  <c r="Z1527" i="2"/>
  <c r="Z1447" i="2"/>
  <c r="Z1639" i="2"/>
  <c r="Z1783" i="2"/>
  <c r="Z1927" i="2"/>
  <c r="Z1868" i="2"/>
  <c r="Z460" i="2"/>
  <c r="Z1544" i="2"/>
  <c r="Z1712" i="2"/>
  <c r="Z1942" i="2"/>
  <c r="Z1408" i="2"/>
  <c r="Z1629" i="2"/>
  <c r="Z1773" i="2"/>
  <c r="Z1917" i="2"/>
  <c r="Z340" i="2"/>
  <c r="Z1534" i="2"/>
  <c r="Z1678" i="2"/>
  <c r="Z1834" i="2"/>
  <c r="Z928" i="2"/>
  <c r="Z1583" i="2"/>
  <c r="Z1727" i="2"/>
  <c r="Z1895" i="2"/>
  <c r="Z1460" i="2"/>
  <c r="Z1644" i="2"/>
  <c r="Z1788" i="2"/>
  <c r="Z1932" i="2"/>
  <c r="Z1758" i="2"/>
  <c r="Z1240" i="2"/>
  <c r="Z1609" i="2"/>
  <c r="Z1753" i="2"/>
  <c r="Z1897" i="2"/>
  <c r="Z1911" i="2"/>
  <c r="Z388" i="2"/>
  <c r="Z1538" i="2"/>
  <c r="Z1682" i="2"/>
  <c r="Z1826" i="2"/>
  <c r="Z1970" i="2"/>
  <c r="Z1794" i="2"/>
  <c r="Z1384" i="2"/>
  <c r="Z1623" i="2"/>
  <c r="Z1156" i="2"/>
  <c r="Z700" i="2"/>
  <c r="Z164" i="2"/>
  <c r="Z1028" i="2"/>
  <c r="Z513" i="2"/>
  <c r="Z22" i="2"/>
  <c r="Z730" i="2"/>
  <c r="Z1162" i="2"/>
  <c r="Z95" i="2"/>
  <c r="Z527" i="2"/>
  <c r="Z959" i="2"/>
  <c r="Z1391" i="2"/>
  <c r="Z300" i="2"/>
  <c r="Z672" i="2"/>
  <c r="Z1032" i="2"/>
  <c r="Z1380" i="2"/>
  <c r="Z217" i="2"/>
  <c r="Z517" i="2"/>
  <c r="Z661" i="2"/>
  <c r="Z805" i="2"/>
  <c r="Z949" i="2"/>
  <c r="Z1093" i="2"/>
  <c r="Z1237" i="2"/>
  <c r="Z1381" i="2"/>
  <c r="Z38" i="2"/>
  <c r="Z182" i="2"/>
  <c r="Z326" i="2"/>
  <c r="Z470" i="2"/>
  <c r="Z614" i="2"/>
  <c r="Z758" i="2"/>
  <c r="Z902" i="2"/>
  <c r="Z1046" i="2"/>
  <c r="Z1190" i="2"/>
  <c r="Z1334" i="2"/>
  <c r="Z1478" i="2"/>
  <c r="Z99" i="2"/>
  <c r="Z243" i="2"/>
  <c r="Z387" i="2"/>
  <c r="Z531" i="2"/>
  <c r="Z675" i="2"/>
  <c r="Z819" i="2"/>
  <c r="Z963" i="2"/>
  <c r="Z1107" i="2"/>
  <c r="Z1251" i="2"/>
  <c r="Z1395" i="2"/>
  <c r="Z16" i="2"/>
  <c r="Z1483" i="2"/>
  <c r="Z1651" i="2"/>
  <c r="Z1795" i="2"/>
  <c r="Z1939" i="2"/>
  <c r="Z1880" i="2"/>
  <c r="Z604" i="2"/>
  <c r="Z1556" i="2"/>
  <c r="Z1736" i="2"/>
  <c r="Z1883" i="2"/>
  <c r="Z1449" i="2"/>
  <c r="Z1641" i="2"/>
  <c r="Z1785" i="2"/>
  <c r="Z1929" i="2"/>
  <c r="Z484" i="2"/>
  <c r="Z1546" i="2"/>
  <c r="Z1690" i="2"/>
  <c r="Z1846" i="2"/>
  <c r="Z1072" i="2"/>
  <c r="Z1595" i="2"/>
  <c r="Z1739" i="2"/>
  <c r="Z76" i="2"/>
  <c r="Z1496" i="2"/>
  <c r="Z1656" i="2"/>
  <c r="Z1800" i="2"/>
  <c r="Z1944" i="2"/>
  <c r="Z1842" i="2"/>
  <c r="Z1372" i="2"/>
  <c r="Z1621" i="2"/>
  <c r="Z1765" i="2"/>
  <c r="Z1909" i="2"/>
  <c r="Z1959" i="2"/>
  <c r="Z532" i="2"/>
  <c r="Z1550" i="2"/>
  <c r="Z1694" i="2"/>
  <c r="Z1838" i="2"/>
  <c r="Z1707" i="2"/>
  <c r="Z1866" i="2"/>
  <c r="Z1432" i="2"/>
  <c r="Z1635" i="2"/>
  <c r="Z1542" i="2"/>
  <c r="Z844" i="2"/>
  <c r="Z236" i="2"/>
  <c r="Z1100" i="2"/>
  <c r="Z585" i="2"/>
  <c r="Z94" i="2"/>
  <c r="Z742" i="2"/>
  <c r="Z1174" i="2"/>
  <c r="Z107" i="2"/>
  <c r="Z539" i="2"/>
  <c r="Z971" i="2"/>
  <c r="Z1403" i="2"/>
  <c r="Z312" i="2"/>
  <c r="Z732" i="2"/>
  <c r="Z1044" i="2"/>
  <c r="Z1392" i="2"/>
  <c r="Z229" i="2"/>
  <c r="Z529" i="2"/>
  <c r="Z673" i="2"/>
  <c r="Z817" i="2"/>
  <c r="Z961" i="2"/>
  <c r="Z1105" i="2"/>
  <c r="Z1249" i="2"/>
  <c r="Z1393" i="2"/>
  <c r="Z50" i="2"/>
  <c r="Z194" i="2"/>
  <c r="Z338" i="2"/>
  <c r="Z482" i="2"/>
  <c r="Z626" i="2"/>
  <c r="Z770" i="2"/>
  <c r="Z914" i="2"/>
  <c r="Z1058" i="2"/>
  <c r="Z1202" i="2"/>
  <c r="Z1346" i="2"/>
  <c r="Z1490" i="2"/>
  <c r="Z111" i="2"/>
  <c r="Z255" i="2"/>
  <c r="Z399" i="2"/>
  <c r="Z543" i="2"/>
  <c r="Z687" i="2"/>
  <c r="Z831" i="2"/>
  <c r="Z975" i="2"/>
  <c r="Z1119" i="2"/>
  <c r="Z1263" i="2"/>
  <c r="Z1407" i="2"/>
  <c r="Z160" i="2"/>
  <c r="Z1510" i="2"/>
  <c r="Z1663" i="2"/>
  <c r="Z1807" i="2"/>
  <c r="Z1951" i="2"/>
  <c r="Z1904" i="2"/>
  <c r="Z748" i="2"/>
  <c r="Z1568" i="2"/>
  <c r="Z1760" i="2"/>
  <c r="Z40" i="2"/>
  <c r="Z1485" i="2"/>
  <c r="Z1653" i="2"/>
  <c r="Z1797" i="2"/>
  <c r="Z1941" i="2"/>
  <c r="Z628" i="2"/>
  <c r="Z1558" i="2"/>
  <c r="Z1702" i="2"/>
  <c r="Z1870" i="2"/>
  <c r="Z1216" i="2"/>
  <c r="Z1607" i="2"/>
  <c r="Z1751" i="2"/>
  <c r="Z220" i="2"/>
  <c r="Z1520" i="2"/>
  <c r="Z1668" i="2"/>
  <c r="Z1812" i="2"/>
  <c r="Z1956" i="2"/>
  <c r="Z1914" i="2"/>
  <c r="Z1424" i="2"/>
  <c r="Z1633" i="2"/>
  <c r="Z1777" i="2"/>
  <c r="Z1921" i="2"/>
  <c r="Z1972" i="2"/>
  <c r="Z676" i="2"/>
  <c r="Z1562" i="2"/>
  <c r="Z1706" i="2"/>
  <c r="Z1850" i="2"/>
  <c r="Z1755" i="2"/>
  <c r="Z1938" i="2"/>
  <c r="Z1471" i="2"/>
  <c r="Z1647" i="2"/>
  <c r="Z1614" i="2"/>
  <c r="Z1238" i="2"/>
  <c r="Z579" i="2"/>
  <c r="Z1443" i="2"/>
  <c r="Z1894" i="2"/>
  <c r="Z1689" i="2"/>
  <c r="Z1919" i="2"/>
  <c r="Z1704" i="2"/>
  <c r="Z1813" i="2"/>
  <c r="Z1886" i="2"/>
  <c r="Z988" i="2"/>
  <c r="Z1600" i="2"/>
  <c r="Z1744" i="2"/>
  <c r="Z1888" i="2"/>
  <c r="Z1902" i="2"/>
  <c r="Z1437" i="2"/>
  <c r="Z1637" i="2"/>
  <c r="Z1781" i="2"/>
  <c r="Z1925" i="2"/>
  <c r="Z1509" i="2"/>
  <c r="Z1310" i="2"/>
  <c r="Z651" i="2"/>
  <c r="Z1515" i="2"/>
  <c r="Z1761" i="2"/>
  <c r="Z1776" i="2"/>
  <c r="Z1885" i="2"/>
  <c r="Z1276" i="2"/>
  <c r="Z1756" i="2"/>
  <c r="Z1962" i="2"/>
  <c r="Z1649" i="2"/>
  <c r="Z1937" i="2"/>
  <c r="Z1848" i="2"/>
  <c r="Z1661" i="2"/>
  <c r="Z1454" i="2"/>
  <c r="Z795" i="2"/>
  <c r="Z1400" i="2"/>
  <c r="Z1532" i="2"/>
  <c r="Z1905" i="2"/>
  <c r="Z1571" i="2"/>
  <c r="Z1920" i="2"/>
  <c r="Z1875" i="2"/>
  <c r="Z1722" i="2"/>
  <c r="Z1436" i="2"/>
  <c r="Z1636" i="2"/>
  <c r="Z1780" i="2"/>
  <c r="Z1924" i="2"/>
  <c r="Z280" i="2"/>
  <c r="Z1529" i="2"/>
  <c r="Z1673" i="2"/>
  <c r="Z1817" i="2"/>
  <c r="Z1961" i="2"/>
  <c r="Z1638" i="2"/>
  <c r="Z1782" i="2"/>
  <c r="Z1843" i="2"/>
  <c r="Z1521" i="2"/>
  <c r="Z1552" i="2"/>
  <c r="Z1589" i="2"/>
  <c r="Z1967" i="2"/>
  <c r="Z1576" i="2"/>
  <c r="Z1613" i="2"/>
  <c r="Z1382" i="2"/>
  <c r="Z1388" i="2"/>
  <c r="Z1526" i="2"/>
  <c r="Z867" i="2"/>
  <c r="Z1555" i="2"/>
  <c r="Z1604" i="2"/>
  <c r="Z1822" i="2"/>
  <c r="Z1643" i="2"/>
  <c r="Z1815" i="2"/>
  <c r="Z1650" i="2"/>
  <c r="Z400" i="2"/>
  <c r="Z1472" i="2"/>
  <c r="Z1648" i="2"/>
  <c r="Z1792" i="2"/>
  <c r="Z1936" i="2"/>
  <c r="Z424" i="2"/>
  <c r="Z1541" i="2"/>
  <c r="Z1685" i="2"/>
  <c r="Z1829" i="2"/>
  <c r="Z1973" i="2"/>
  <c r="Z1710" i="2"/>
  <c r="Z1155" i="2"/>
  <c r="Z652" i="2"/>
  <c r="Z1696" i="2"/>
  <c r="Z1877" i="2"/>
  <c r="Z1742" i="2"/>
  <c r="Z1770" i="2"/>
  <c r="Z723" i="2"/>
  <c r="Z1624" i="2"/>
  <c r="Z1949" i="2"/>
  <c r="Z75" i="2"/>
  <c r="Z939" i="2"/>
  <c r="Z1627" i="2"/>
  <c r="Z1688" i="2"/>
  <c r="Z196" i="2"/>
  <c r="Z1715" i="2"/>
  <c r="Z1674" i="2"/>
  <c r="Z244" i="2"/>
  <c r="Z1264" i="2"/>
  <c r="Z1507" i="2"/>
  <c r="Z1660" i="2"/>
  <c r="Z1804" i="2"/>
  <c r="Z1948" i="2"/>
  <c r="Z568" i="2"/>
  <c r="Z1553" i="2"/>
  <c r="Z1697" i="2"/>
  <c r="Z1841" i="2"/>
  <c r="Z148" i="2"/>
  <c r="Z291" i="2"/>
  <c r="Z1695" i="2"/>
  <c r="Z1000" i="2"/>
  <c r="Z1738" i="2"/>
  <c r="Z1288" i="2"/>
  <c r="Z592" i="2"/>
  <c r="Z1887" i="2"/>
  <c r="Z1805" i="2"/>
  <c r="Z147" i="2"/>
  <c r="Z1011" i="2"/>
  <c r="Z1699" i="2"/>
  <c r="Z1832" i="2"/>
  <c r="Z1060" i="2"/>
  <c r="Z1787" i="2"/>
  <c r="Z232" i="2"/>
  <c r="Z1108" i="2"/>
  <c r="Z1539" i="2"/>
  <c r="Z1528" i="2"/>
  <c r="Z1672" i="2"/>
  <c r="Z1816" i="2"/>
  <c r="Z1300" i="2"/>
  <c r="Z712" i="2"/>
  <c r="Z1565" i="2"/>
  <c r="Z1709" i="2"/>
  <c r="Z1853" i="2"/>
  <c r="Z292" i="2"/>
  <c r="Z1854" i="2"/>
  <c r="Z1865" i="2"/>
  <c r="Z1926" i="2"/>
  <c r="Z472" i="2"/>
  <c r="Z1598" i="2"/>
  <c r="Z1626" i="2"/>
  <c r="Z580" i="2"/>
  <c r="Z1818" i="2"/>
  <c r="Z1757" i="2"/>
  <c r="Z1180" i="2"/>
  <c r="Z1912" i="2"/>
  <c r="Z219" i="2"/>
  <c r="Z1083" i="2"/>
  <c r="Z1771" i="2"/>
  <c r="Z1882" i="2"/>
  <c r="Z1518" i="2"/>
  <c r="Z1859" i="2"/>
  <c r="Z1096" i="2"/>
  <c r="Z1522" i="2"/>
  <c r="Z1611" i="2"/>
  <c r="Z1540" i="2"/>
  <c r="Z1684" i="2"/>
  <c r="Z1828" i="2"/>
  <c r="Z1554" i="2"/>
  <c r="Z856" i="2"/>
  <c r="Z1577" i="2"/>
  <c r="Z1721" i="2"/>
  <c r="Z436" i="2"/>
  <c r="Z1594" i="2"/>
  <c r="Z1840" i="2"/>
  <c r="Z1733" i="2"/>
  <c r="Z1669" i="2"/>
  <c r="Z1864" i="2"/>
  <c r="Z1901" i="2"/>
  <c r="Z1833" i="2"/>
  <c r="Z1768" i="2"/>
  <c r="Z1578" i="2"/>
  <c r="Z363" i="2"/>
  <c r="Z1227" i="2"/>
  <c r="Z1915" i="2"/>
  <c r="Z1336" i="2"/>
  <c r="Z1666" i="2"/>
  <c r="Z1420" i="2"/>
  <c r="Z1597" i="2"/>
  <c r="Z1670" i="2"/>
  <c r="Z1947" i="2"/>
  <c r="Z1564" i="2"/>
  <c r="Z1708" i="2"/>
  <c r="Z1852" i="2"/>
  <c r="Z1698" i="2"/>
  <c r="Z1144" i="2"/>
  <c r="Z1601" i="2"/>
  <c r="Z1745" i="2"/>
  <c r="Z1889" i="2"/>
  <c r="Z724" i="2"/>
  <c r="Z435" i="2"/>
  <c r="Z1299" i="2"/>
  <c r="Z1700" i="2"/>
  <c r="Z1545" i="2"/>
  <c r="Z1560" i="2"/>
  <c r="Z1720" i="2"/>
  <c r="Z868" i="2"/>
  <c r="Z1459" i="2"/>
  <c r="Z136" i="2"/>
  <c r="Z507" i="2"/>
  <c r="Z1371" i="2"/>
  <c r="Z1844" i="2"/>
  <c r="Z1617" i="2"/>
  <c r="Z1810" i="2"/>
  <c r="Z1632" i="2"/>
  <c r="Z1741" i="2"/>
  <c r="Z1814" i="2"/>
  <c r="Z556" i="2"/>
  <c r="Z1588" i="2"/>
  <c r="Z1732" i="2"/>
  <c r="Z1876" i="2"/>
  <c r="Z1830" i="2"/>
  <c r="Z1389" i="2"/>
  <c r="Z1625" i="2"/>
  <c r="Z1769" i="2"/>
  <c r="Z1913" i="2"/>
  <c r="Z1012" i="2"/>
  <c r="Z316" i="2"/>
  <c r="Z784" i="2"/>
  <c r="Z1958" i="2"/>
  <c r="Z1612" i="2"/>
  <c r="Z1900" i="2"/>
  <c r="Z1473" i="2"/>
  <c r="Z1793" i="2"/>
  <c r="Z1530" i="2"/>
  <c r="Z1957" i="2"/>
  <c r="Z1508" i="2"/>
  <c r="Z4" i="2"/>
  <c r="D115" i="1"/>
  <c r="N115" i="1" s="1"/>
  <c r="G13" i="2"/>
  <c r="J19" i="9"/>
  <c r="D19" i="9"/>
  <c r="E19" i="9"/>
  <c r="G26" i="9"/>
  <c r="L26" i="9" s="1"/>
  <c r="I5" i="9"/>
  <c r="F19" i="9" s="1"/>
  <c r="O115" i="1"/>
  <c r="E164" i="1"/>
  <c r="D16" i="1"/>
  <c r="I57" i="2"/>
  <c r="N11" i="1"/>
  <c r="D15" i="1"/>
  <c r="N10" i="1"/>
  <c r="H56" i="2"/>
  <c r="V5448" i="2" l="1"/>
  <c r="V5473" i="2"/>
  <c r="V5438" i="2"/>
  <c r="V5420" i="2"/>
  <c r="V5382" i="2"/>
  <c r="V5443" i="2"/>
  <c r="V5419" i="2"/>
  <c r="V5430" i="2"/>
  <c r="V5416" i="2"/>
  <c r="V5383" i="2"/>
  <c r="V5482" i="2"/>
  <c r="V5432" i="2"/>
  <c r="V5394" i="2"/>
  <c r="V5487" i="2"/>
  <c r="V5468" i="2"/>
  <c r="V5439" i="2"/>
  <c r="V5401" i="2"/>
  <c r="V5414" i="2"/>
  <c r="V5371" i="2"/>
  <c r="V5441" i="2"/>
  <c r="V5436" i="2"/>
  <c r="V5458" i="2"/>
  <c r="V5389" i="2"/>
  <c r="V5465" i="2"/>
  <c r="V5410" i="2"/>
  <c r="V5384" i="2"/>
  <c r="V5390" i="2"/>
  <c r="V5470" i="2"/>
  <c r="V5450" i="2"/>
  <c r="V5464" i="2"/>
  <c r="V5417" i="2"/>
  <c r="V5484" i="2"/>
  <c r="V5427" i="2"/>
  <c r="V5483" i="2"/>
  <c r="V5378" i="2"/>
  <c r="V5456" i="2"/>
  <c r="V5429" i="2"/>
  <c r="V5485" i="2"/>
  <c r="V5376" i="2"/>
  <c r="V5392" i="2"/>
  <c r="V5433" i="2"/>
  <c r="V5400" i="2"/>
  <c r="V5412" i="2"/>
  <c r="V5455" i="2"/>
  <c r="V5407" i="2"/>
  <c r="V5472" i="2"/>
  <c r="V5463" i="2"/>
  <c r="V5454" i="2"/>
  <c r="V5421" i="2"/>
  <c r="V5381" i="2"/>
  <c r="V5397" i="2"/>
  <c r="V5491" i="2"/>
  <c r="V5387" i="2"/>
  <c r="V5467" i="2"/>
  <c r="V5457" i="2"/>
  <c r="V5379" i="2"/>
  <c r="V5462" i="2"/>
  <c r="V5369" i="2"/>
  <c r="V5368" i="2"/>
  <c r="V5428" i="2"/>
  <c r="V5372" i="2"/>
  <c r="V5395" i="2"/>
  <c r="V5422" i="2"/>
  <c r="V5380" i="2"/>
  <c r="V5391" i="2"/>
  <c r="V5386" i="2"/>
  <c r="V5367" i="2"/>
  <c r="V5466" i="2"/>
  <c r="V5435" i="2"/>
  <c r="V5411" i="2"/>
  <c r="V5478" i="2"/>
  <c r="V5431" i="2"/>
  <c r="V5418" i="2"/>
  <c r="V5423" i="2"/>
  <c r="V5486" i="2"/>
  <c r="V5426" i="2"/>
  <c r="V5449" i="2"/>
  <c r="V5374" i="2"/>
  <c r="V5437" i="2"/>
  <c r="V5406" i="2"/>
  <c r="V5469" i="2"/>
  <c r="V5444" i="2"/>
  <c r="V5408" i="2"/>
  <c r="V5370" i="2"/>
  <c r="V5404" i="2"/>
  <c r="V5480" i="2"/>
  <c r="V5385" i="2"/>
  <c r="V5481" i="2"/>
  <c r="V5424" i="2"/>
  <c r="V5440" i="2"/>
  <c r="V5476" i="2"/>
  <c r="V5479" i="2"/>
  <c r="V5475" i="2"/>
  <c r="V5471" i="2"/>
  <c r="V5393" i="2"/>
  <c r="V5434" i="2"/>
  <c r="V5415" i="2"/>
  <c r="V5452" i="2"/>
  <c r="V5474" i="2"/>
  <c r="V5388" i="2"/>
  <c r="V5446" i="2"/>
  <c r="V5377" i="2"/>
  <c r="V5425" i="2"/>
  <c r="V5459" i="2"/>
  <c r="V5409" i="2"/>
  <c r="V5445" i="2"/>
  <c r="V5489" i="2"/>
  <c r="V5403" i="2"/>
  <c r="V5373" i="2"/>
  <c r="V5490" i="2"/>
  <c r="V5405" i="2"/>
  <c r="V5451" i="2"/>
  <c r="V5442" i="2"/>
  <c r="V5460" i="2"/>
  <c r="V5477" i="2"/>
  <c r="V5402" i="2"/>
  <c r="V5375" i="2"/>
  <c r="V5488" i="2"/>
  <c r="V5399" i="2"/>
  <c r="V5461" i="2"/>
  <c r="V5453" i="2"/>
  <c r="V5396" i="2"/>
  <c r="V5413" i="2"/>
  <c r="V5447" i="2"/>
  <c r="V5398" i="2"/>
  <c r="V5301" i="2"/>
  <c r="V5292" i="2"/>
  <c r="V5246" i="2"/>
  <c r="V5336" i="2"/>
  <c r="V5109" i="2"/>
  <c r="V5199" i="2"/>
  <c r="V5319" i="2"/>
  <c r="V5269" i="2"/>
  <c r="V5231" i="2"/>
  <c r="V5321" i="2"/>
  <c r="V5344" i="2"/>
  <c r="V5139" i="2"/>
  <c r="V5222" i="2"/>
  <c r="V5347" i="2"/>
  <c r="V5232" i="2"/>
  <c r="V5334" i="2"/>
  <c r="V5117" i="2"/>
  <c r="V5251" i="2"/>
  <c r="V5329" i="2"/>
  <c r="V5308" i="2"/>
  <c r="V5102" i="2"/>
  <c r="V5192" i="2"/>
  <c r="V5208" i="2"/>
  <c r="V5260" i="2"/>
  <c r="V5350" i="2"/>
  <c r="V5187" i="2"/>
  <c r="V5326" i="2"/>
  <c r="V5144" i="2"/>
  <c r="V5177" i="2"/>
  <c r="V5194" i="2"/>
  <c r="V5200" i="2"/>
  <c r="V5290" i="2"/>
  <c r="V5097" i="2"/>
  <c r="V5354" i="2"/>
  <c r="V5342" i="2"/>
  <c r="V5325" i="2"/>
  <c r="V5108" i="2"/>
  <c r="V5103" i="2"/>
  <c r="V5190" i="2"/>
  <c r="V5107" i="2"/>
  <c r="V5185" i="2"/>
  <c r="V5150" i="2"/>
  <c r="V5294" i="2"/>
  <c r="V5327" i="2"/>
  <c r="V5265" i="2"/>
  <c r="V5355" i="2"/>
  <c r="V5116" i="2"/>
  <c r="V5206" i="2"/>
  <c r="V5357" i="2"/>
  <c r="V5201" i="2"/>
  <c r="V5163" i="2"/>
  <c r="V5250" i="2"/>
  <c r="V5122" i="2"/>
  <c r="V5198" i="2"/>
  <c r="V5363" i="2"/>
  <c r="V5146" i="2"/>
  <c r="V5267" i="2"/>
  <c r="V5229" i="2"/>
  <c r="V5361" i="2"/>
  <c r="V5181" i="2"/>
  <c r="V5110" i="2"/>
  <c r="V5263" i="2"/>
  <c r="V5341" i="2"/>
  <c r="V5328" i="2"/>
  <c r="V5258" i="2"/>
  <c r="V5348" i="2"/>
  <c r="V5304" i="2"/>
  <c r="V5346" i="2"/>
  <c r="V5121" i="2"/>
  <c r="V5211" i="2"/>
  <c r="V5279" i="2"/>
  <c r="V5184" i="2"/>
  <c r="V5323" i="2"/>
  <c r="V5106" i="2"/>
  <c r="V5219" i="2"/>
  <c r="V5309" i="2"/>
  <c r="V5142" i="2"/>
  <c r="V5236" i="2"/>
  <c r="V5224" i="2"/>
  <c r="V5332" i="2"/>
  <c r="V5127" i="2"/>
  <c r="V5273" i="2"/>
  <c r="V5119" i="2"/>
  <c r="V5197" i="2"/>
  <c r="V5320" i="2"/>
  <c r="V5358" i="2"/>
  <c r="V5285" i="2"/>
  <c r="V5353" i="2"/>
  <c r="V5244" i="2"/>
  <c r="V5272" i="2"/>
  <c r="V5362" i="2"/>
  <c r="V5135" i="2"/>
  <c r="V5225" i="2"/>
  <c r="V5100" i="2"/>
  <c r="V5179" i="2"/>
  <c r="V5099" i="2"/>
  <c r="V5165" i="2"/>
  <c r="V5149" i="2"/>
  <c r="V5111" i="2"/>
  <c r="V5243" i="2"/>
  <c r="V5188" i="2"/>
  <c r="V5278" i="2"/>
  <c r="V5364" i="2"/>
  <c r="V5277" i="2"/>
  <c r="V5095" i="2"/>
  <c r="V5128" i="2"/>
  <c r="V5218" i="2"/>
  <c r="V5124" i="2"/>
  <c r="V5298" i="2"/>
  <c r="V5330" i="2"/>
  <c r="V5113" i="2"/>
  <c r="V5172" i="2"/>
  <c r="V5203" i="2"/>
  <c r="V5125" i="2"/>
  <c r="V5238" i="2"/>
  <c r="V5240" i="2"/>
  <c r="V5331" i="2"/>
  <c r="V5281" i="2"/>
  <c r="V5118" i="2"/>
  <c r="V5351" i="2"/>
  <c r="V5126" i="2"/>
  <c r="V5216" i="2"/>
  <c r="V5133" i="2"/>
  <c r="V5223" i="2"/>
  <c r="V5339" i="2"/>
  <c r="V5228" i="2"/>
  <c r="V5154" i="2"/>
  <c r="V5112" i="2"/>
  <c r="V5186" i="2"/>
  <c r="V5276" i="2"/>
  <c r="V5333" i="2"/>
  <c r="V5311" i="2"/>
  <c r="V5259" i="2"/>
  <c r="V5338" i="2"/>
  <c r="V5156" i="2"/>
  <c r="V5288" i="2"/>
  <c r="V5207" i="2"/>
  <c r="V5297" i="2"/>
  <c r="V5138" i="2"/>
  <c r="V5280" i="2"/>
  <c r="V5284" i="2"/>
  <c r="V5313" i="2"/>
  <c r="V5214" i="2"/>
  <c r="V5352" i="2"/>
  <c r="V5247" i="2"/>
  <c r="V5147" i="2"/>
  <c r="V5237" i="2"/>
  <c r="V5227" i="2"/>
  <c r="V5305" i="2"/>
  <c r="V5215" i="2"/>
  <c r="V5210" i="2"/>
  <c r="V5335" i="2"/>
  <c r="V5349" i="2"/>
  <c r="V5132" i="2"/>
  <c r="V5167" i="2"/>
  <c r="V5245" i="2"/>
  <c r="V5115" i="2"/>
  <c r="V5213" i="2"/>
  <c r="V5175" i="2"/>
  <c r="V5307" i="2"/>
  <c r="V5340" i="2"/>
  <c r="V5153" i="2"/>
  <c r="V5157" i="2"/>
  <c r="V5145" i="2"/>
  <c r="V5235" i="2"/>
  <c r="V5140" i="2"/>
  <c r="V5230" i="2"/>
  <c r="V5169" i="2"/>
  <c r="V5287" i="2"/>
  <c r="V5160" i="2"/>
  <c r="V5310" i="2"/>
  <c r="V5161" i="2"/>
  <c r="V5191" i="2"/>
  <c r="V5295" i="2"/>
  <c r="V5366" i="2"/>
  <c r="V5130" i="2"/>
  <c r="V5318" i="2"/>
  <c r="V5101" i="2"/>
  <c r="V5220" i="2"/>
  <c r="V5345" i="2"/>
  <c r="V5314" i="2"/>
  <c r="V5226" i="2"/>
  <c r="V5266" i="2"/>
  <c r="V5164" i="2"/>
  <c r="V5316" i="2"/>
  <c r="V5296" i="2"/>
  <c r="V5303" i="2"/>
  <c r="V5176" i="2"/>
  <c r="V5365" i="2"/>
  <c r="V5268" i="2"/>
  <c r="V5129" i="2"/>
  <c r="V5166" i="2"/>
  <c r="V5256" i="2"/>
  <c r="V5234" i="2"/>
  <c r="V5324" i="2"/>
  <c r="V5248" i="2"/>
  <c r="V5255" i="2"/>
  <c r="V5217" i="2"/>
  <c r="V5356" i="2"/>
  <c r="V5241" i="2"/>
  <c r="V5300" i="2"/>
  <c r="V5174" i="2"/>
  <c r="V5264" i="2"/>
  <c r="V5096" i="2"/>
  <c r="V5183" i="2"/>
  <c r="V5242" i="2"/>
  <c r="V5159" i="2"/>
  <c r="V5249" i="2"/>
  <c r="V5275" i="2"/>
  <c r="V5239" i="2"/>
  <c r="V5180" i="2"/>
  <c r="V5123" i="2"/>
  <c r="V5274" i="2"/>
  <c r="V5212" i="2"/>
  <c r="V5302" i="2"/>
  <c r="V5104" i="2"/>
  <c r="V5182" i="2"/>
  <c r="V5337" i="2"/>
  <c r="V5120" i="2"/>
  <c r="V5136" i="2"/>
  <c r="V5148" i="2"/>
  <c r="V5155" i="2"/>
  <c r="V5233" i="2"/>
  <c r="V5202" i="2"/>
  <c r="V5315" i="2"/>
  <c r="V5098" i="2"/>
  <c r="V5196" i="2"/>
  <c r="V5322" i="2"/>
  <c r="V5105" i="2"/>
  <c r="V5195" i="2"/>
  <c r="V5143" i="2"/>
  <c r="V5131" i="2"/>
  <c r="V5173" i="2"/>
  <c r="V5253" i="2"/>
  <c r="V5343" i="2"/>
  <c r="V5293" i="2"/>
  <c r="V5137" i="2"/>
  <c r="V5262" i="2"/>
  <c r="V5158" i="2"/>
  <c r="V5283" i="2"/>
  <c r="V5359" i="2"/>
  <c r="V5306" i="2"/>
  <c r="V5171" i="2"/>
  <c r="V5261" i="2"/>
  <c r="V5178" i="2"/>
  <c r="V5162" i="2"/>
  <c r="V5189" i="2"/>
  <c r="V5204" i="2"/>
  <c r="V5270" i="2"/>
  <c r="V5221" i="2"/>
  <c r="V5168" i="2"/>
  <c r="V5312" i="2"/>
  <c r="V5252" i="2"/>
  <c r="V5271" i="2"/>
  <c r="V5114" i="2"/>
  <c r="V5257" i="2"/>
  <c r="V5360" i="2"/>
  <c r="V5209" i="2"/>
  <c r="V5134" i="2"/>
  <c r="V5282" i="2"/>
  <c r="V5291" i="2"/>
  <c r="V5289" i="2"/>
  <c r="V5254" i="2"/>
  <c r="V5205" i="2"/>
  <c r="V5151" i="2"/>
  <c r="V5170" i="2"/>
  <c r="V5299" i="2"/>
  <c r="V5152" i="2"/>
  <c r="V5317" i="2"/>
  <c r="V5141" i="2"/>
  <c r="V5286" i="2"/>
  <c r="V5193" i="2"/>
  <c r="K56" i="2"/>
  <c r="M56" i="2"/>
  <c r="L56" i="2"/>
  <c r="V1473" i="2"/>
  <c r="V1601" i="2"/>
  <c r="V1722" i="2"/>
  <c r="V1496" i="2"/>
  <c r="V35" i="2"/>
  <c r="V1425" i="2"/>
  <c r="V733" i="2"/>
  <c r="V1754" i="2"/>
  <c r="V1557" i="2"/>
  <c r="V1311" i="2"/>
  <c r="V1106" i="2"/>
  <c r="V820" i="2"/>
  <c r="V1763" i="2"/>
  <c r="V1784" i="2"/>
  <c r="V987" i="2"/>
  <c r="V782" i="2"/>
  <c r="V541" i="2"/>
  <c r="V996" i="2"/>
  <c r="V791" i="2"/>
  <c r="V562" i="2"/>
  <c r="V189" i="2"/>
  <c r="V1279" i="2"/>
  <c r="V857" i="2"/>
  <c r="V923" i="2"/>
  <c r="V694" i="2"/>
  <c r="V1411" i="2"/>
  <c r="V1194" i="2"/>
  <c r="V989" i="2"/>
  <c r="V1260" i="2"/>
  <c r="V1055" i="2"/>
  <c r="V826" i="2"/>
  <c r="V453" i="2"/>
  <c r="V104" i="2"/>
  <c r="V1326" i="2"/>
  <c r="V1121" i="2"/>
  <c r="V235" i="2"/>
  <c r="V18" i="2"/>
  <c r="V472" i="2"/>
  <c r="V220" i="2"/>
  <c r="V1162" i="2"/>
  <c r="V1513" i="2"/>
  <c r="V1047" i="2"/>
  <c r="V506" i="2"/>
  <c r="V1900" i="2"/>
  <c r="V1732" i="2"/>
  <c r="V1459" i="2"/>
  <c r="V1144" i="2"/>
  <c r="V1227" i="2"/>
  <c r="V1721" i="2"/>
  <c r="V1882" i="2"/>
  <c r="V1926" i="2"/>
  <c r="V1539" i="2"/>
  <c r="V1288" i="2"/>
  <c r="V1660" i="2"/>
  <c r="V1624" i="2"/>
  <c r="V1555" i="2"/>
  <c r="V1782" i="2"/>
  <c r="V1875" i="2"/>
  <c r="V1637" i="2"/>
  <c r="V1894" i="2"/>
  <c r="V1751" i="2"/>
  <c r="V1760" i="2"/>
  <c r="V975" i="2"/>
  <c r="V770" i="2"/>
  <c r="V529" i="2"/>
  <c r="V94" i="2"/>
  <c r="V1550" i="2"/>
  <c r="V76" i="2"/>
  <c r="V436" i="2"/>
  <c r="V1781" i="2"/>
  <c r="V1046" i="2"/>
  <c r="V884" i="2"/>
  <c r="V710" i="2"/>
  <c r="V760" i="2"/>
  <c r="V1164" i="2"/>
  <c r="V1612" i="2"/>
  <c r="V1588" i="2"/>
  <c r="V868" i="2"/>
  <c r="V1698" i="2"/>
  <c r="V1577" i="2"/>
  <c r="V1771" i="2"/>
  <c r="V1865" i="2"/>
  <c r="V1108" i="2"/>
  <c r="V1507" i="2"/>
  <c r="V723" i="2"/>
  <c r="V867" i="2"/>
  <c r="V1638" i="2"/>
  <c r="V1920" i="2"/>
  <c r="V1437" i="2"/>
  <c r="V1443" i="2"/>
  <c r="V1972" i="2"/>
  <c r="V1568" i="2"/>
  <c r="V626" i="2"/>
  <c r="V229" i="2"/>
  <c r="V585" i="2"/>
  <c r="V532" i="2"/>
  <c r="V1739" i="2"/>
  <c r="V1876" i="2"/>
  <c r="V1604" i="2"/>
  <c r="V805" i="2"/>
  <c r="V1827" i="2"/>
  <c r="V1916" i="2"/>
  <c r="V1464" i="2"/>
  <c r="V1958" i="2"/>
  <c r="V556" i="2"/>
  <c r="V1852" i="2"/>
  <c r="V1578" i="2"/>
  <c r="V856" i="2"/>
  <c r="V1083" i="2"/>
  <c r="V1854" i="2"/>
  <c r="V1000" i="2"/>
  <c r="V1264" i="2"/>
  <c r="V1770" i="2"/>
  <c r="V1936" i="2"/>
  <c r="V1526" i="2"/>
  <c r="V1961" i="2"/>
  <c r="V1571" i="2"/>
  <c r="V1276" i="2"/>
  <c r="V1902" i="2"/>
  <c r="V579" i="2"/>
  <c r="V1921" i="2"/>
  <c r="V1216" i="2"/>
  <c r="V1392" i="2"/>
  <c r="V1100" i="2"/>
  <c r="V1595" i="2"/>
  <c r="V1556" i="2"/>
  <c r="V1949" i="2"/>
  <c r="V1119" i="2"/>
  <c r="V1826" i="2"/>
  <c r="V783" i="2"/>
  <c r="V433" i="2"/>
  <c r="V974" i="2"/>
  <c r="V1572" i="2"/>
  <c r="V711" i="2"/>
  <c r="V1814" i="2"/>
  <c r="V1560" i="2"/>
  <c r="V1708" i="2"/>
  <c r="V1768" i="2"/>
  <c r="V1554" i="2"/>
  <c r="V219" i="2"/>
  <c r="V1787" i="2"/>
  <c r="V1695" i="2"/>
  <c r="V244" i="2"/>
  <c r="V1742" i="2"/>
  <c r="V1792" i="2"/>
  <c r="V1388" i="2"/>
  <c r="V1817" i="2"/>
  <c r="V1905" i="2"/>
  <c r="V1885" i="2"/>
  <c r="V1888" i="2"/>
  <c r="V1777" i="2"/>
  <c r="V1904" i="2"/>
  <c r="V543" i="2"/>
  <c r="V338" i="2"/>
  <c r="V1044" i="2"/>
  <c r="V1909" i="2"/>
  <c r="V1072" i="2"/>
  <c r="V604" i="2"/>
  <c r="V675" i="2"/>
  <c r="V136" i="2"/>
  <c r="V1843" i="2"/>
  <c r="V1694" i="2"/>
  <c r="V446" i="2"/>
  <c r="V601" i="2"/>
  <c r="V1036" i="2"/>
  <c r="V316" i="2"/>
  <c r="V1741" i="2"/>
  <c r="V1545" i="2"/>
  <c r="V1564" i="2"/>
  <c r="V1833" i="2"/>
  <c r="V1912" i="2"/>
  <c r="V1853" i="2"/>
  <c r="V1060" i="2"/>
  <c r="V291" i="2"/>
  <c r="V1674" i="2"/>
  <c r="V1648" i="2"/>
  <c r="V1382" i="2"/>
  <c r="V1532" i="2"/>
  <c r="V1776" i="2"/>
  <c r="V1744" i="2"/>
  <c r="V1614" i="2"/>
  <c r="V1633" i="2"/>
  <c r="V1702" i="2"/>
  <c r="V1951" i="2"/>
  <c r="V399" i="2"/>
  <c r="V194" i="2"/>
  <c r="V732" i="2"/>
  <c r="V844" i="2"/>
  <c r="V1765" i="2"/>
  <c r="V1846" i="2"/>
  <c r="V1804" i="2"/>
  <c r="V914" i="2"/>
  <c r="V1629" i="2"/>
  <c r="V1691" i="2"/>
  <c r="V940" i="2"/>
  <c r="V1012" i="2"/>
  <c r="V1700" i="2"/>
  <c r="V1947" i="2"/>
  <c r="V1901" i="2"/>
  <c r="V1684" i="2"/>
  <c r="V1180" i="2"/>
  <c r="V1709" i="2"/>
  <c r="V1832" i="2"/>
  <c r="V148" i="2"/>
  <c r="V1715" i="2"/>
  <c r="V1696" i="2"/>
  <c r="V1472" i="2"/>
  <c r="V1613" i="2"/>
  <c r="V1529" i="2"/>
  <c r="V1400" i="2"/>
  <c r="V1761" i="2"/>
  <c r="V1600" i="2"/>
  <c r="V1647" i="2"/>
  <c r="V1424" i="2"/>
  <c r="V1558" i="2"/>
  <c r="V1807" i="2"/>
  <c r="V255" i="2"/>
  <c r="V50" i="2"/>
  <c r="V1542" i="2"/>
  <c r="V1690" i="2"/>
  <c r="V1518" i="2"/>
  <c r="V1649" i="2"/>
  <c r="V1449" i="2"/>
  <c r="V1320" i="2"/>
  <c r="V915" i="2"/>
  <c r="V1945" i="2"/>
  <c r="V1913" i="2"/>
  <c r="V1810" i="2"/>
  <c r="V1299" i="2"/>
  <c r="V1670" i="2"/>
  <c r="V1864" i="2"/>
  <c r="V1757" i="2"/>
  <c r="V1565" i="2"/>
  <c r="V1699" i="2"/>
  <c r="V1841" i="2"/>
  <c r="V652" i="2"/>
  <c r="V400" i="2"/>
  <c r="V280" i="2"/>
  <c r="V795" i="2"/>
  <c r="V1515" i="2"/>
  <c r="V988" i="2"/>
  <c r="V1471" i="2"/>
  <c r="V1914" i="2"/>
  <c r="V1663" i="2"/>
  <c r="V111" i="2"/>
  <c r="V1393" i="2"/>
  <c r="V1403" i="2"/>
  <c r="V1372" i="2"/>
  <c r="V592" i="2"/>
  <c r="V40" i="2"/>
  <c r="V1383" i="2"/>
  <c r="V297" i="2"/>
  <c r="V842" i="2"/>
  <c r="V1413" i="2"/>
  <c r="V1508" i="2"/>
  <c r="V1769" i="2"/>
  <c r="V1617" i="2"/>
  <c r="V435" i="2"/>
  <c r="V1597" i="2"/>
  <c r="V1669" i="2"/>
  <c r="V1611" i="2"/>
  <c r="V712" i="2"/>
  <c r="V1011" i="2"/>
  <c r="V1688" i="2"/>
  <c r="V1155" i="2"/>
  <c r="V1650" i="2"/>
  <c r="V1967" i="2"/>
  <c r="V1924" i="2"/>
  <c r="V651" i="2"/>
  <c r="V1886" i="2"/>
  <c r="V1938" i="2"/>
  <c r="V1956" i="2"/>
  <c r="V1941" i="2"/>
  <c r="V1510" i="2"/>
  <c r="V1490" i="2"/>
  <c r="V1249" i="2"/>
  <c r="V971" i="2"/>
  <c r="V1432" i="2"/>
  <c r="V1842" i="2"/>
  <c r="V484" i="2"/>
  <c r="V1528" i="2"/>
  <c r="V742" i="2"/>
  <c r="V1178" i="2"/>
  <c r="V1652" i="2"/>
  <c r="V1622" i="2"/>
  <c r="V452" i="2"/>
  <c r="V1957" i="2"/>
  <c r="V1625" i="2"/>
  <c r="V1844" i="2"/>
  <c r="V724" i="2"/>
  <c r="V1420" i="2"/>
  <c r="V1733" i="2"/>
  <c r="V1522" i="2"/>
  <c r="V580" i="2"/>
  <c r="V1300" i="2"/>
  <c r="V147" i="2"/>
  <c r="V1553" i="2"/>
  <c r="V1815" i="2"/>
  <c r="V1589" i="2"/>
  <c r="V1780" i="2"/>
  <c r="V1661" i="2"/>
  <c r="V1310" i="2"/>
  <c r="V1813" i="2"/>
  <c r="V1755" i="2"/>
  <c r="V1797" i="2"/>
  <c r="V160" i="2"/>
  <c r="V1346" i="2"/>
  <c r="V1105" i="2"/>
  <c r="V539" i="2"/>
  <c r="V1866" i="2"/>
  <c r="V1944" i="2"/>
  <c r="V1929" i="2"/>
  <c r="V1915" i="2"/>
  <c r="V1689" i="2"/>
  <c r="V1251" i="2"/>
  <c r="V1950" i="2"/>
  <c r="V1823" i="2"/>
  <c r="V374" i="2"/>
  <c r="V1530" i="2"/>
  <c r="V1889" i="2"/>
  <c r="V1666" i="2"/>
  <c r="V1840" i="2"/>
  <c r="V1626" i="2"/>
  <c r="V1816" i="2"/>
  <c r="V1805" i="2"/>
  <c r="V568" i="2"/>
  <c r="V939" i="2"/>
  <c r="V1973" i="2"/>
  <c r="V1643" i="2"/>
  <c r="V1552" i="2"/>
  <c r="V1636" i="2"/>
  <c r="V1848" i="2"/>
  <c r="V1509" i="2"/>
  <c r="V1704" i="2"/>
  <c r="V1850" i="2"/>
  <c r="V1653" i="2"/>
  <c r="V1407" i="2"/>
  <c r="V1202" i="2"/>
  <c r="V107" i="2"/>
  <c r="V1707" i="2"/>
  <c r="V1800" i="2"/>
  <c r="V1785" i="2"/>
  <c r="V1685" i="2"/>
  <c r="V673" i="2"/>
  <c r="V1644" i="2"/>
  <c r="V578" i="2"/>
  <c r="V1089" i="2"/>
  <c r="V946" i="2"/>
  <c r="V865" i="2"/>
  <c r="V4" i="2"/>
  <c r="V1793" i="2"/>
  <c r="V1830" i="2"/>
  <c r="V1745" i="2"/>
  <c r="V1336" i="2"/>
  <c r="V1859" i="2"/>
  <c r="V1598" i="2"/>
  <c r="V1672" i="2"/>
  <c r="V1948" i="2"/>
  <c r="V75" i="2"/>
  <c r="V1829" i="2"/>
  <c r="V1822" i="2"/>
  <c r="V1521" i="2"/>
  <c r="V1436" i="2"/>
  <c r="V1937" i="2"/>
  <c r="V1925" i="2"/>
  <c r="V1919" i="2"/>
  <c r="V1706" i="2"/>
  <c r="V1520" i="2"/>
  <c r="V1485" i="2"/>
  <c r="V1263" i="2"/>
  <c r="V1058" i="2"/>
  <c r="V1174" i="2"/>
  <c r="V1838" i="2"/>
  <c r="V1656" i="2"/>
  <c r="V370" i="2"/>
  <c r="V1376" i="2"/>
  <c r="V1087" i="2"/>
  <c r="V870" i="2"/>
  <c r="V936" i="2"/>
  <c r="V502" i="2"/>
  <c r="V129" i="2"/>
  <c r="V1219" i="2"/>
  <c r="V797" i="2"/>
  <c r="V1068" i="2"/>
  <c r="V863" i="2"/>
  <c r="V634" i="2"/>
  <c r="V261" i="2"/>
  <c r="V1351" i="2"/>
  <c r="V929" i="2"/>
  <c r="V1200" i="2"/>
  <c r="V995" i="2"/>
  <c r="V766" i="2"/>
  <c r="V393" i="2"/>
  <c r="V44" i="2"/>
  <c r="V1266" i="2"/>
  <c r="V1061" i="2"/>
  <c r="V1415" i="2"/>
  <c r="V1186" i="2"/>
  <c r="V813" i="2"/>
  <c r="V464" i="2"/>
  <c r="V1481" i="2"/>
  <c r="V378" i="2"/>
  <c r="V173" i="2"/>
  <c r="V357" i="2"/>
  <c r="V8" i="2"/>
  <c r="V1230" i="2"/>
  <c r="V1025" i="2"/>
  <c r="V1296" i="2"/>
  <c r="V862" i="2"/>
  <c r="V489" i="2"/>
  <c r="V1362" i="2"/>
  <c r="V1157" i="2"/>
  <c r="V2240" i="2"/>
  <c r="V2299" i="2"/>
  <c r="V3373" i="2"/>
  <c r="V2984" i="2"/>
  <c r="V2394" i="2"/>
  <c r="V2611" i="2"/>
  <c r="V2292" i="2"/>
  <c r="V2607" i="2"/>
  <c r="V2958" i="2"/>
  <c r="V3343" i="2"/>
  <c r="V2097" i="2"/>
  <c r="V3094" i="2"/>
  <c r="V2641" i="2"/>
  <c r="V2502" i="2"/>
  <c r="V2370" i="2"/>
  <c r="V2361" i="2"/>
  <c r="V2850" i="2"/>
  <c r="V3308" i="2"/>
  <c r="V3312" i="2"/>
  <c r="V4428" i="2"/>
  <c r="V2307" i="2"/>
  <c r="V3006" i="2"/>
  <c r="V2930" i="2"/>
  <c r="V2088" i="2"/>
  <c r="V2687" i="2"/>
  <c r="V3460" i="2"/>
  <c r="V2227" i="2"/>
  <c r="V2319" i="2"/>
  <c r="V3249" i="2"/>
  <c r="V3042" i="2"/>
  <c r="V3259" i="2"/>
  <c r="V2013" i="2"/>
  <c r="V2938" i="2"/>
  <c r="V2365" i="2"/>
  <c r="V3362" i="2"/>
  <c r="V2334" i="2"/>
  <c r="V2551" i="2"/>
  <c r="V3033" i="2"/>
  <c r="V2160" i="2"/>
  <c r="V2451" i="2"/>
  <c r="V3176" i="2"/>
  <c r="V3374" i="2"/>
  <c r="V2865" i="2"/>
  <c r="V2922" i="2"/>
  <c r="V3139" i="2"/>
  <c r="V2674" i="2"/>
  <c r="V2005" i="2"/>
  <c r="V1883" i="2"/>
  <c r="V1107" i="2"/>
  <c r="V902" i="2"/>
  <c r="V661" i="2"/>
  <c r="V730" i="2"/>
  <c r="V1682" i="2"/>
  <c r="V1460" i="2"/>
  <c r="V1408" i="2"/>
  <c r="V1034" i="2"/>
  <c r="V793" i="2"/>
  <c r="V1102" i="2"/>
  <c r="V302" i="2"/>
  <c r="V960" i="2"/>
  <c r="V20" i="2"/>
  <c r="V1873" i="2"/>
  <c r="V640" i="2"/>
  <c r="V172" i="2"/>
  <c r="V639" i="2"/>
  <c r="V434" i="2"/>
  <c r="V812" i="2"/>
  <c r="V1547" i="2"/>
  <c r="V771" i="2"/>
  <c r="V566" i="2"/>
  <c r="V85" i="2"/>
  <c r="V225" i="2"/>
  <c r="V1878" i="2"/>
  <c r="V1679" i="2"/>
  <c r="V1640" i="2"/>
  <c r="V1017" i="2"/>
  <c r="V1377" i="2"/>
  <c r="V1892" i="2"/>
  <c r="V1035" i="2"/>
  <c r="V830" i="2"/>
  <c r="V454" i="2"/>
  <c r="V1610" i="2"/>
  <c r="V796" i="2"/>
  <c r="V1167" i="2"/>
  <c r="V962" i="2"/>
  <c r="V721" i="2"/>
  <c r="V230" i="2"/>
  <c r="V804" i="2"/>
  <c r="V1027" i="2"/>
  <c r="V1801" i="2"/>
  <c r="V1966" i="2"/>
  <c r="V1964" i="2"/>
  <c r="V567" i="2"/>
  <c r="V362" i="2"/>
  <c r="V1104" i="2"/>
  <c r="V380" i="2"/>
  <c r="V1444" i="2"/>
  <c r="V1619" i="2"/>
  <c r="V1580" i="2"/>
  <c r="V843" i="2"/>
  <c r="V638" i="2"/>
  <c r="V241" i="2"/>
  <c r="V657" i="2"/>
  <c r="V852" i="2"/>
  <c r="V647" i="2"/>
  <c r="V418" i="2"/>
  <c r="V45" i="2"/>
  <c r="V1135" i="2"/>
  <c r="V918" i="2"/>
  <c r="V713" i="2"/>
  <c r="V984" i="2"/>
  <c r="V779" i="2"/>
  <c r="V550" i="2"/>
  <c r="V177" i="2"/>
  <c r="V1267" i="2"/>
  <c r="V1050" i="2"/>
  <c r="V845" i="2"/>
  <c r="V1116" i="2"/>
  <c r="V911" i="2"/>
  <c r="V1399" i="2"/>
  <c r="V1182" i="2"/>
  <c r="V91" i="2"/>
  <c r="V1397" i="2"/>
  <c r="V943" i="2"/>
  <c r="V726" i="2"/>
  <c r="V521" i="2"/>
  <c r="V792" i="2"/>
  <c r="V587" i="2"/>
  <c r="V358" i="2"/>
  <c r="V1364" i="2"/>
  <c r="V1075" i="2"/>
  <c r="V858" i="2"/>
  <c r="V1736" i="2"/>
  <c r="V22" i="2"/>
  <c r="V1538" i="2"/>
  <c r="V1895" i="2"/>
  <c r="V1942" i="2"/>
  <c r="V1095" i="2"/>
  <c r="V649" i="2"/>
  <c r="V670" i="2"/>
  <c r="V158" i="2"/>
  <c r="V1729" i="2"/>
  <c r="V1820" i="2"/>
  <c r="V495" i="2"/>
  <c r="V290" i="2"/>
  <c r="V948" i="2"/>
  <c r="V1387" i="2"/>
  <c r="V1861" i="2"/>
  <c r="V496" i="2"/>
  <c r="V28" i="2"/>
  <c r="V627" i="2"/>
  <c r="V422" i="2"/>
  <c r="V1248" i="2"/>
  <c r="V1535" i="2"/>
  <c r="V1448" i="2"/>
  <c r="V759" i="2"/>
  <c r="V554" i="2"/>
  <c r="V73" i="2"/>
  <c r="V1806" i="2"/>
  <c r="V1667" i="2"/>
  <c r="V1628" i="2"/>
  <c r="V373" i="2"/>
  <c r="V945" i="2"/>
  <c r="V1252" i="2"/>
  <c r="V1799" i="2"/>
  <c r="V1856" i="2"/>
  <c r="V818" i="2"/>
  <c r="V577" i="2"/>
  <c r="V382" i="2"/>
  <c r="V86" i="2"/>
  <c r="V1746" i="2"/>
  <c r="V1657" i="2"/>
  <c r="V1726" i="2"/>
  <c r="V1664" i="2"/>
  <c r="V423" i="2"/>
  <c r="V218" i="2"/>
  <c r="V756" i="2"/>
  <c r="V955" i="2"/>
  <c r="V1933" i="2"/>
  <c r="V1360" i="2"/>
  <c r="V892" i="2"/>
  <c r="V699" i="2"/>
  <c r="V494" i="2"/>
  <c r="V1452" i="2"/>
  <c r="V1172" i="2"/>
  <c r="V503" i="2"/>
  <c r="V274" i="2"/>
  <c r="V1280" i="2"/>
  <c r="V991" i="2"/>
  <c r="V774" i="2"/>
  <c r="V569" i="2"/>
  <c r="V840" i="2"/>
  <c r="V635" i="2"/>
  <c r="V406" i="2"/>
  <c r="V33" i="2"/>
  <c r="V1123" i="2"/>
  <c r="V906" i="2"/>
  <c r="V701" i="2"/>
  <c r="V972" i="2"/>
  <c r="V767" i="2"/>
  <c r="V538" i="2"/>
  <c r="V165" i="2"/>
  <c r="V833" i="2"/>
  <c r="V1458" i="2"/>
  <c r="V1253" i="2"/>
  <c r="V82" i="2"/>
  <c r="V799" i="2"/>
  <c r="V582" i="2"/>
  <c r="V377" i="2"/>
  <c r="V648" i="2"/>
  <c r="V443" i="2"/>
  <c r="V214" i="2"/>
  <c r="V1220" i="2"/>
  <c r="V931" i="2"/>
  <c r="V714" i="2"/>
  <c r="V509" i="2"/>
  <c r="V819" i="2"/>
  <c r="V614" i="2"/>
  <c r="V513" i="2"/>
  <c r="V1727" i="2"/>
  <c r="V1712" i="2"/>
  <c r="V951" i="2"/>
  <c r="V746" i="2"/>
  <c r="V1899" i="2"/>
  <c r="V1654" i="2"/>
  <c r="V1903" i="2"/>
  <c r="V351" i="2"/>
  <c r="V146" i="2"/>
  <c r="V268" i="2"/>
  <c r="V1717" i="2"/>
  <c r="V1786" i="2"/>
  <c r="V1796" i="2"/>
  <c r="V483" i="2"/>
  <c r="V278" i="2"/>
  <c r="V900" i="2"/>
  <c r="V1315" i="2"/>
  <c r="V1849" i="2"/>
  <c r="V352" i="2"/>
  <c r="V1955" i="2"/>
  <c r="V615" i="2"/>
  <c r="V410" i="2"/>
  <c r="V1236" i="2"/>
  <c r="V668" i="2"/>
  <c r="V1683" i="2"/>
  <c r="V1519" i="2"/>
  <c r="V1401" i="2"/>
  <c r="V747" i="2"/>
  <c r="V542" i="2"/>
  <c r="V13" i="2"/>
  <c r="V81" i="2"/>
  <c r="V1734" i="2"/>
  <c r="V1655" i="2"/>
  <c r="V1616" i="2"/>
  <c r="V879" i="2"/>
  <c r="V674" i="2"/>
  <c r="V361" i="2"/>
  <c r="V1429" i="2"/>
  <c r="V12" i="2"/>
  <c r="V1671" i="2"/>
  <c r="V1497" i="2"/>
  <c r="V1582" i="2"/>
  <c r="V279" i="2"/>
  <c r="V384" i="2"/>
  <c r="V1132" i="2"/>
  <c r="V1789" i="2"/>
  <c r="V1940" i="2"/>
  <c r="V555" i="2"/>
  <c r="V350" i="2"/>
  <c r="V1092" i="2"/>
  <c r="V308" i="2"/>
  <c r="V564" i="2"/>
  <c r="V130" i="2"/>
  <c r="V1136" i="2"/>
  <c r="V847" i="2"/>
  <c r="V425" i="2"/>
  <c r="V696" i="2"/>
  <c r="V491" i="2"/>
  <c r="V262" i="2"/>
  <c r="V979" i="2"/>
  <c r="V762" i="2"/>
  <c r="V557" i="2"/>
  <c r="V828" i="2"/>
  <c r="V623" i="2"/>
  <c r="V1111" i="2"/>
  <c r="V894" i="2"/>
  <c r="V689" i="2"/>
  <c r="V1314" i="2"/>
  <c r="V1109" i="2"/>
  <c r="V1293" i="2"/>
  <c r="V944" i="2"/>
  <c r="V655" i="2"/>
  <c r="V438" i="2"/>
  <c r="V233" i="2"/>
  <c r="V504" i="2"/>
  <c r="V299" i="2"/>
  <c r="V1076" i="2"/>
  <c r="V570" i="2"/>
  <c r="V470" i="2"/>
  <c r="V1380" i="2"/>
  <c r="V1028" i="2"/>
  <c r="V1583" i="2"/>
  <c r="V1544" i="2"/>
  <c r="V807" i="2"/>
  <c r="V602" i="2"/>
  <c r="V157" i="2"/>
  <c r="V441" i="2"/>
  <c r="V1357" i="2"/>
  <c r="V1319" i="2"/>
  <c r="V1599" i="2"/>
  <c r="V1492" i="2"/>
  <c r="V1759" i="2"/>
  <c r="V1489" i="2"/>
  <c r="V168" i="2"/>
  <c r="V1851" i="2"/>
  <c r="V1573" i="2"/>
  <c r="V1642" i="2"/>
  <c r="V339" i="2"/>
  <c r="V124" i="2"/>
  <c r="V1705" i="2"/>
  <c r="V1774" i="2"/>
  <c r="V1772" i="2"/>
  <c r="V471" i="2"/>
  <c r="V266" i="2"/>
  <c r="V888" i="2"/>
  <c r="V1243" i="2"/>
  <c r="V1837" i="2"/>
  <c r="V1871" i="2"/>
  <c r="V603" i="2"/>
  <c r="V1188" i="2"/>
  <c r="V596" i="2"/>
  <c r="V1969" i="2"/>
  <c r="V1495" i="2"/>
  <c r="V1324" i="2"/>
  <c r="V735" i="2"/>
  <c r="V530" i="2"/>
  <c r="V1524" i="2"/>
  <c r="V9" i="2"/>
  <c r="V1103" i="2"/>
  <c r="V1525" i="2"/>
  <c r="V916" i="2"/>
  <c r="V1687" i="2"/>
  <c r="V135" i="2"/>
  <c r="V1417" i="2"/>
  <c r="V1475" i="2"/>
  <c r="V1686" i="2"/>
  <c r="V1645" i="2"/>
  <c r="V1714" i="2"/>
  <c r="V1963" i="2"/>
  <c r="V206" i="2"/>
  <c r="V744" i="2"/>
  <c r="V883" i="2"/>
  <c r="V420" i="2"/>
  <c r="V1341" i="2"/>
  <c r="V992" i="2"/>
  <c r="V703" i="2"/>
  <c r="V281" i="2"/>
  <c r="V552" i="2"/>
  <c r="V347" i="2"/>
  <c r="V118" i="2"/>
  <c r="V1124" i="2"/>
  <c r="V835" i="2"/>
  <c r="V618" i="2"/>
  <c r="V413" i="2"/>
  <c r="V684" i="2"/>
  <c r="V479" i="2"/>
  <c r="V250" i="2"/>
  <c r="V1256" i="2"/>
  <c r="V967" i="2"/>
  <c r="V545" i="2"/>
  <c r="V1170" i="2"/>
  <c r="V965" i="2"/>
  <c r="V1149" i="2"/>
  <c r="V800" i="2"/>
  <c r="V511" i="2"/>
  <c r="V89" i="2"/>
  <c r="V360" i="2"/>
  <c r="V155" i="2"/>
  <c r="V1281" i="2"/>
  <c r="V932" i="2"/>
  <c r="V426" i="2"/>
  <c r="V531" i="2"/>
  <c r="V326" i="2"/>
  <c r="V164" i="2"/>
  <c r="V1897" i="2"/>
  <c r="V928" i="2"/>
  <c r="V663" i="2"/>
  <c r="V458" i="2"/>
  <c r="V1332" i="2"/>
  <c r="V956" i="2"/>
  <c r="V1213" i="2"/>
  <c r="V887" i="2"/>
  <c r="V1120" i="2"/>
  <c r="V1602" i="2"/>
  <c r="V52" i="2"/>
  <c r="V1615" i="2"/>
  <c r="V63" i="2"/>
  <c r="V1345" i="2"/>
  <c r="V1259" i="2"/>
  <c r="V1587" i="2"/>
  <c r="V1747" i="2"/>
  <c r="V195" i="2"/>
  <c r="V1477" i="2"/>
  <c r="V156" i="2"/>
  <c r="V1803" i="2"/>
  <c r="V1561" i="2"/>
  <c r="V1630" i="2"/>
  <c r="V1879" i="2"/>
  <c r="V327" i="2"/>
  <c r="V122" i="2"/>
  <c r="V1943" i="2"/>
  <c r="V1762" i="2"/>
  <c r="V1748" i="2"/>
  <c r="V459" i="2"/>
  <c r="V254" i="2"/>
  <c r="V876" i="2"/>
  <c r="V1171" i="2"/>
  <c r="V64" i="2"/>
  <c r="V1930" i="2"/>
  <c r="V591" i="2"/>
  <c r="V386" i="2"/>
  <c r="V524" i="2"/>
  <c r="V1141" i="2"/>
  <c r="V256" i="2"/>
  <c r="V1743" i="2"/>
  <c r="V1965" i="2"/>
  <c r="V1514" i="2"/>
  <c r="V1273" i="2"/>
  <c r="V1043" i="2"/>
  <c r="V1659" i="2"/>
  <c r="V1461" i="2"/>
  <c r="V1819" i="2"/>
  <c r="V62" i="2"/>
  <c r="V372" i="2"/>
  <c r="V481" i="2"/>
  <c r="V71" i="2"/>
  <c r="V1197" i="2"/>
  <c r="V848" i="2"/>
  <c r="V342" i="2"/>
  <c r="V137" i="2"/>
  <c r="V408" i="2"/>
  <c r="V203" i="2"/>
  <c r="V1329" i="2"/>
  <c r="V980" i="2"/>
  <c r="V691" i="2"/>
  <c r="V474" i="2"/>
  <c r="V269" i="2"/>
  <c r="V540" i="2"/>
  <c r="V1112" i="2"/>
  <c r="V823" i="2"/>
  <c r="V606" i="2"/>
  <c r="V401" i="2"/>
  <c r="V1026" i="2"/>
  <c r="V821" i="2"/>
  <c r="V656" i="2"/>
  <c r="V367" i="2"/>
  <c r="V421" i="2"/>
  <c r="V216" i="2"/>
  <c r="V11" i="2"/>
  <c r="V1137" i="2"/>
  <c r="V788" i="2"/>
  <c r="V499" i="2"/>
  <c r="V1939" i="2"/>
  <c r="V672" i="2"/>
  <c r="V700" i="2"/>
  <c r="V1753" i="2"/>
  <c r="V1834" i="2"/>
  <c r="V1868" i="2"/>
  <c r="V519" i="2"/>
  <c r="V314" i="2"/>
  <c r="V1020" i="2"/>
  <c r="V92" i="2"/>
  <c r="V1069" i="2"/>
  <c r="V455" i="2"/>
  <c r="V1908" i="2"/>
  <c r="V1893" i="2"/>
  <c r="V1442" i="2"/>
  <c r="V1201" i="2"/>
  <c r="V827" i="2"/>
  <c r="V976" i="2"/>
  <c r="V1396" i="2"/>
  <c r="V1907" i="2"/>
  <c r="V1603" i="2"/>
  <c r="V51" i="2"/>
  <c r="V1333" i="2"/>
  <c r="V664" i="2"/>
  <c r="V1412" i="2"/>
  <c r="V1735" i="2"/>
  <c r="V183" i="2"/>
  <c r="V96" i="2"/>
  <c r="V1767" i="2"/>
  <c r="V1549" i="2"/>
  <c r="V1618" i="2"/>
  <c r="V1867" i="2"/>
  <c r="V110" i="2"/>
  <c r="V516" i="2"/>
  <c r="V1890" i="2"/>
  <c r="V1681" i="2"/>
  <c r="V1750" i="2"/>
  <c r="V1724" i="2"/>
  <c r="V447" i="2"/>
  <c r="V242" i="2"/>
  <c r="V1099" i="2"/>
  <c r="V997" i="2"/>
  <c r="V1839" i="2"/>
  <c r="V1836" i="2"/>
  <c r="V1821" i="2"/>
  <c r="V1370" i="2"/>
  <c r="V611" i="2"/>
  <c r="V1504" i="2"/>
  <c r="V1931" i="2"/>
  <c r="V1675" i="2"/>
  <c r="V123" i="2"/>
  <c r="V1405" i="2"/>
  <c r="V337" i="2"/>
  <c r="V132" i="2"/>
  <c r="V1426" i="2"/>
  <c r="V1053" i="2"/>
  <c r="V704" i="2"/>
  <c r="V198" i="2"/>
  <c r="V469" i="2"/>
  <c r="V264" i="2"/>
  <c r="V59" i="2"/>
  <c r="V1185" i="2"/>
  <c r="V836" i="2"/>
  <c r="V547" i="2"/>
  <c r="V330" i="2"/>
  <c r="V125" i="2"/>
  <c r="V396" i="2"/>
  <c r="V191" i="2"/>
  <c r="V1317" i="2"/>
  <c r="V679" i="2"/>
  <c r="V462" i="2"/>
  <c r="V257" i="2"/>
  <c r="V882" i="2"/>
  <c r="V677" i="2"/>
  <c r="V861" i="2"/>
  <c r="V512" i="2"/>
  <c r="V6" i="2"/>
  <c r="V277" i="2"/>
  <c r="V72" i="2"/>
  <c r="V1366" i="2"/>
  <c r="V993" i="2"/>
  <c r="V644" i="2"/>
  <c r="V355" i="2"/>
  <c r="V138" i="2"/>
  <c r="V1795" i="2"/>
  <c r="V243" i="2"/>
  <c r="V38" i="2"/>
  <c r="V300" i="2"/>
  <c r="V1156" i="2"/>
  <c r="V375" i="2"/>
  <c r="V170" i="2"/>
  <c r="V660" i="2"/>
  <c r="V925" i="2"/>
  <c r="V23" i="2"/>
  <c r="V1946" i="2"/>
  <c r="V1764" i="2"/>
  <c r="V1749" i="2"/>
  <c r="V1503" i="2"/>
  <c r="V1298" i="2"/>
  <c r="V1057" i="2"/>
  <c r="V395" i="2"/>
  <c r="V1590" i="2"/>
  <c r="V1896" i="2"/>
  <c r="V1881" i="2"/>
  <c r="V1168" i="2"/>
  <c r="V1430" i="2"/>
  <c r="V1189" i="2"/>
  <c r="V1971" i="2"/>
  <c r="V1954" i="2"/>
  <c r="V1591" i="2"/>
  <c r="V39" i="2"/>
  <c r="V1321" i="2"/>
  <c r="V1187" i="2"/>
  <c r="V1563" i="2"/>
  <c r="V520" i="2"/>
  <c r="V1348" i="2"/>
  <c r="V1723" i="2"/>
  <c r="V171" i="2"/>
  <c r="V1453" i="2"/>
  <c r="V84" i="2"/>
  <c r="V1537" i="2"/>
  <c r="V1606" i="2"/>
  <c r="V1855" i="2"/>
  <c r="V98" i="2"/>
  <c r="V456" i="2"/>
  <c r="V1094" i="2"/>
  <c r="V1874" i="2"/>
  <c r="V1692" i="2"/>
  <c r="V1431" i="2"/>
  <c r="V985" i="2"/>
  <c r="V179" i="2"/>
  <c r="V112" i="2"/>
  <c r="V1953" i="2"/>
  <c r="V1531" i="2"/>
  <c r="V1261" i="2"/>
  <c r="V1031" i="2"/>
  <c r="V1511" i="2"/>
  <c r="V1282" i="2"/>
  <c r="V909" i="2"/>
  <c r="V560" i="2"/>
  <c r="V271" i="2"/>
  <c r="V54" i="2"/>
  <c r="V325" i="2"/>
  <c r="V120" i="2"/>
  <c r="V1041" i="2"/>
  <c r="V692" i="2"/>
  <c r="V186" i="2"/>
  <c r="V457" i="2"/>
  <c r="V252" i="2"/>
  <c r="V47" i="2"/>
  <c r="V1173" i="2"/>
  <c r="V824" i="2"/>
  <c r="V535" i="2"/>
  <c r="V318" i="2"/>
  <c r="V113" i="2"/>
  <c r="V738" i="2"/>
  <c r="V533" i="2"/>
  <c r="V368" i="2"/>
  <c r="V1385" i="2"/>
  <c r="V1451" i="2"/>
  <c r="V1222" i="2"/>
  <c r="V849" i="2"/>
  <c r="V500" i="2"/>
  <c r="V211" i="2"/>
  <c r="V1517" i="2"/>
  <c r="V1651" i="2"/>
  <c r="V99" i="2"/>
  <c r="V1381" i="2"/>
  <c r="V1623" i="2"/>
  <c r="V1240" i="2"/>
  <c r="V1534" i="2"/>
  <c r="V1783" i="2"/>
  <c r="V231" i="2"/>
  <c r="V26" i="2"/>
  <c r="V781" i="2"/>
  <c r="V1090" i="2"/>
  <c r="V1802" i="2"/>
  <c r="V1620" i="2"/>
  <c r="V1605" i="2"/>
  <c r="V1359" i="2"/>
  <c r="V1154" i="2"/>
  <c r="V913" i="2"/>
  <c r="V1462" i="2"/>
  <c r="V1934" i="2"/>
  <c r="V1752" i="2"/>
  <c r="V1737" i="2"/>
  <c r="V1491" i="2"/>
  <c r="V1286" i="2"/>
  <c r="V383" i="2"/>
  <c r="V1480" i="2"/>
  <c r="V1884" i="2"/>
  <c r="V1869" i="2"/>
  <c r="V1024" i="2"/>
  <c r="V1418" i="2"/>
  <c r="V1177" i="2"/>
  <c r="V688" i="2"/>
  <c r="V1923" i="2"/>
  <c r="V1906" i="2"/>
  <c r="V1579" i="2"/>
  <c r="V27" i="2"/>
  <c r="V1309" i="2"/>
  <c r="V1175" i="2"/>
  <c r="V1551" i="2"/>
  <c r="V1204" i="2"/>
  <c r="V1711" i="2"/>
  <c r="V159" i="2"/>
  <c r="V1441" i="2"/>
  <c r="V24" i="2"/>
  <c r="V709" i="2"/>
  <c r="V874" i="2"/>
  <c r="V1730" i="2"/>
  <c r="V1548" i="2"/>
  <c r="V1533" i="2"/>
  <c r="V1082" i="2"/>
  <c r="V841" i="2"/>
  <c r="V1791" i="2"/>
  <c r="V1824" i="2"/>
  <c r="V1809" i="2"/>
  <c r="V304" i="2"/>
  <c r="V1358" i="2"/>
  <c r="V1117" i="2"/>
  <c r="V599" i="2"/>
  <c r="V49" i="2"/>
  <c r="V1367" i="2"/>
  <c r="V1138" i="2"/>
  <c r="V127" i="2"/>
  <c r="V1433" i="2"/>
  <c r="V1499" i="2"/>
  <c r="V1270" i="2"/>
  <c r="V897" i="2"/>
  <c r="V548" i="2"/>
  <c r="V42" i="2"/>
  <c r="V313" i="2"/>
  <c r="V108" i="2"/>
  <c r="V1402" i="2"/>
  <c r="V680" i="2"/>
  <c r="V391" i="2"/>
  <c r="V174" i="2"/>
  <c r="V811" i="2"/>
  <c r="V594" i="2"/>
  <c r="V573" i="2"/>
  <c r="V224" i="2"/>
  <c r="V1512" i="2"/>
  <c r="V1307" i="2"/>
  <c r="V705" i="2"/>
  <c r="V67" i="2"/>
  <c r="V1373" i="2"/>
  <c r="V1237" i="2"/>
  <c r="V959" i="2"/>
  <c r="V1758" i="2"/>
  <c r="V340" i="2"/>
  <c r="V1639" i="2"/>
  <c r="V87" i="2"/>
  <c r="V1369" i="2"/>
  <c r="V1331" i="2"/>
  <c r="V878" i="2"/>
  <c r="V637" i="2"/>
  <c r="V658" i="2"/>
  <c r="V1658" i="2"/>
  <c r="V1365" i="2"/>
  <c r="V1192" i="2"/>
  <c r="V1215" i="2"/>
  <c r="V1010" i="2"/>
  <c r="V1030" i="2"/>
  <c r="V1790" i="2"/>
  <c r="V1608" i="2"/>
  <c r="V1593" i="2"/>
  <c r="V1347" i="2"/>
  <c r="V1142" i="2"/>
  <c r="V901" i="2"/>
  <c r="V1450" i="2"/>
  <c r="V1922" i="2"/>
  <c r="V1740" i="2"/>
  <c r="V1479" i="2"/>
  <c r="V1274" i="2"/>
  <c r="V1033" i="2"/>
  <c r="V323" i="2"/>
  <c r="V1960" i="2"/>
  <c r="V1872" i="2"/>
  <c r="V1857" i="2"/>
  <c r="V880" i="2"/>
  <c r="V1406" i="2"/>
  <c r="V1165" i="2"/>
  <c r="V544" i="2"/>
  <c r="V1863" i="2"/>
  <c r="V1858" i="2"/>
  <c r="V1567" i="2"/>
  <c r="V15" i="2"/>
  <c r="V1297" i="2"/>
  <c r="V1115" i="2"/>
  <c r="V806" i="2"/>
  <c r="V310" i="2"/>
  <c r="V1586" i="2"/>
  <c r="V508" i="2"/>
  <c r="V328" i="2"/>
  <c r="V697" i="2"/>
  <c r="V814" i="2"/>
  <c r="V1862" i="2"/>
  <c r="V1680" i="2"/>
  <c r="V1665" i="2"/>
  <c r="V1419" i="2"/>
  <c r="V1214" i="2"/>
  <c r="V167" i="2"/>
  <c r="V1428" i="2"/>
  <c r="V1223" i="2"/>
  <c r="V994" i="2"/>
  <c r="V621" i="2"/>
  <c r="V272" i="2"/>
  <c r="V1494" i="2"/>
  <c r="V1289" i="2"/>
  <c r="V37" i="2"/>
  <c r="V1355" i="2"/>
  <c r="V1126" i="2"/>
  <c r="V753" i="2"/>
  <c r="V404" i="2"/>
  <c r="V115" i="2"/>
  <c r="V1421" i="2"/>
  <c r="V1487" i="2"/>
  <c r="V1258" i="2"/>
  <c r="V885" i="2"/>
  <c r="V30" i="2"/>
  <c r="V667" i="2"/>
  <c r="V245" i="2"/>
  <c r="V429" i="2"/>
  <c r="V80" i="2"/>
  <c r="V1302" i="2"/>
  <c r="V1368" i="2"/>
  <c r="V934" i="2"/>
  <c r="V561" i="2"/>
  <c r="V212" i="2"/>
  <c r="V1434" i="2"/>
  <c r="V16" i="2"/>
  <c r="V1334" i="2"/>
  <c r="V1093" i="2"/>
  <c r="V527" i="2"/>
  <c r="V1794" i="2"/>
  <c r="V1932" i="2"/>
  <c r="V1917" i="2"/>
  <c r="V1447" i="2"/>
  <c r="V899" i="2"/>
  <c r="V734" i="2"/>
  <c r="V1847" i="2"/>
  <c r="V1952" i="2"/>
  <c r="V1071" i="2"/>
  <c r="V866" i="2"/>
  <c r="V625" i="2"/>
  <c r="V1646" i="2"/>
  <c r="V1228" i="2"/>
  <c r="V1048" i="2"/>
  <c r="V757" i="2"/>
  <c r="V1018" i="2"/>
  <c r="V1778" i="2"/>
  <c r="V1596" i="2"/>
  <c r="V1581" i="2"/>
  <c r="V1335" i="2"/>
  <c r="V1130" i="2"/>
  <c r="V889" i="2"/>
  <c r="V1390" i="2"/>
  <c r="V1910" i="2"/>
  <c r="V1728" i="2"/>
  <c r="V1467" i="2"/>
  <c r="V1262" i="2"/>
  <c r="V1021" i="2"/>
  <c r="V1935" i="2"/>
  <c r="V1860" i="2"/>
  <c r="V1845" i="2"/>
  <c r="V736" i="2"/>
  <c r="V1394" i="2"/>
  <c r="V1153" i="2"/>
  <c r="V301" i="2"/>
  <c r="V801" i="2"/>
  <c r="V964" i="2"/>
  <c r="V1775" i="2"/>
  <c r="V1808" i="2"/>
  <c r="V999" i="2"/>
  <c r="V794" i="2"/>
  <c r="V553" i="2"/>
  <c r="V1718" i="2"/>
  <c r="V1536" i="2"/>
  <c r="V1516" i="2"/>
  <c r="V1275" i="2"/>
  <c r="V1070" i="2"/>
  <c r="V829" i="2"/>
  <c r="V1234" i="2"/>
  <c r="V1284" i="2"/>
  <c r="V1079" i="2"/>
  <c r="V850" i="2"/>
  <c r="V477" i="2"/>
  <c r="V128" i="2"/>
  <c r="V1350" i="2"/>
  <c r="V1416" i="2"/>
  <c r="V1211" i="2"/>
  <c r="V609" i="2"/>
  <c r="V260" i="2"/>
  <c r="V1482" i="2"/>
  <c r="V1277" i="2"/>
  <c r="V25" i="2"/>
  <c r="V1343" i="2"/>
  <c r="V1114" i="2"/>
  <c r="V392" i="2"/>
  <c r="V1409" i="2"/>
  <c r="V523" i="2"/>
  <c r="V306" i="2"/>
  <c r="V101" i="2"/>
  <c r="V285" i="2"/>
  <c r="V1375" i="2"/>
  <c r="V1158" i="2"/>
  <c r="V1224" i="2"/>
  <c r="V1019" i="2"/>
  <c r="V790" i="2"/>
  <c r="V417" i="2"/>
  <c r="V68" i="2"/>
  <c r="V1290" i="2"/>
  <c r="V1641" i="2"/>
  <c r="V1395" i="2"/>
  <c r="V1190" i="2"/>
  <c r="V949" i="2"/>
  <c r="V95" i="2"/>
  <c r="V1788" i="2"/>
  <c r="V1773" i="2"/>
  <c r="V1081" i="2"/>
  <c r="V467" i="2"/>
  <c r="V145" i="2"/>
  <c r="V100" i="2"/>
  <c r="V1703" i="2"/>
  <c r="V1676" i="2"/>
  <c r="V927" i="2"/>
  <c r="V445" i="2"/>
  <c r="V1161" i="2"/>
  <c r="V1468" i="2"/>
  <c r="V1835" i="2"/>
  <c r="V1928" i="2"/>
  <c r="V1059" i="2"/>
  <c r="V613" i="2"/>
  <c r="V1634" i="2"/>
  <c r="V1191" i="2"/>
  <c r="V986" i="2"/>
  <c r="V745" i="2"/>
  <c r="V958" i="2"/>
  <c r="V1766" i="2"/>
  <c r="V1584" i="2"/>
  <c r="V1569" i="2"/>
  <c r="V1323" i="2"/>
  <c r="V1118" i="2"/>
  <c r="V877" i="2"/>
  <c r="V1378" i="2"/>
  <c r="V1898" i="2"/>
  <c r="V1701" i="2"/>
  <c r="V1455" i="2"/>
  <c r="V1250" i="2"/>
  <c r="V1009" i="2"/>
  <c r="V251" i="2"/>
  <c r="V518" i="2"/>
  <c r="V1476" i="2"/>
  <c r="V1316" i="2"/>
  <c r="V1566" i="2"/>
  <c r="V1631" i="2"/>
  <c r="V1592" i="2"/>
  <c r="V855" i="2"/>
  <c r="V729" i="2"/>
  <c r="V1574" i="2"/>
  <c r="V364" i="2"/>
  <c r="V184" i="2"/>
  <c r="V1131" i="2"/>
  <c r="V926" i="2"/>
  <c r="V685" i="2"/>
  <c r="V802" i="2"/>
  <c r="V935" i="2"/>
  <c r="V706" i="2"/>
  <c r="V1423" i="2"/>
  <c r="V1206" i="2"/>
  <c r="V1272" i="2"/>
  <c r="V1067" i="2"/>
  <c r="V838" i="2"/>
  <c r="V116" i="2"/>
  <c r="V1338" i="2"/>
  <c r="V1133" i="2"/>
  <c r="V1404" i="2"/>
  <c r="V1199" i="2"/>
  <c r="V970" i="2"/>
  <c r="V597" i="2"/>
  <c r="V248" i="2"/>
  <c r="V1470" i="2"/>
  <c r="V1265" i="2"/>
  <c r="V162" i="2"/>
  <c r="V514" i="2"/>
  <c r="V141" i="2"/>
  <c r="V1231" i="2"/>
  <c r="V809" i="2"/>
  <c r="V1080" i="2"/>
  <c r="V875" i="2"/>
  <c r="V1146" i="2"/>
  <c r="V941" i="2"/>
  <c r="V2714" i="2"/>
  <c r="V653" i="2"/>
  <c r="V924" i="2"/>
  <c r="V490" i="2"/>
  <c r="V1207" i="2"/>
  <c r="V990" i="2"/>
  <c r="V785" i="2"/>
  <c r="V851" i="2"/>
  <c r="V622" i="2"/>
  <c r="V249" i="2"/>
  <c r="V1339" i="2"/>
  <c r="V1122" i="2"/>
  <c r="V917" i="2"/>
  <c r="V1042" i="2"/>
  <c r="V669" i="2"/>
  <c r="V320" i="2"/>
  <c r="V31" i="2"/>
  <c r="V1337" i="2"/>
  <c r="V451" i="2"/>
  <c r="V234" i="2"/>
  <c r="V29" i="2"/>
  <c r="V213" i="2"/>
  <c r="V1303" i="2"/>
  <c r="V1086" i="2"/>
  <c r="V881" i="2"/>
  <c r="V1152" i="2"/>
  <c r="V947" i="2"/>
  <c r="V718" i="2"/>
  <c r="V345" i="2"/>
  <c r="V1435" i="2"/>
  <c r="V1218" i="2"/>
  <c r="V1013" i="2"/>
  <c r="V2672" i="2"/>
  <c r="V2875" i="2"/>
  <c r="V2726" i="2"/>
  <c r="V2538" i="2"/>
  <c r="V2755" i="2"/>
  <c r="V2996" i="2"/>
  <c r="V3441" i="2"/>
  <c r="V3491" i="2"/>
  <c r="V2146" i="2"/>
  <c r="V2023" i="2"/>
  <c r="V3270" i="2"/>
  <c r="V2000" i="2"/>
  <c r="V2241" i="2"/>
  <c r="V2027" i="2"/>
  <c r="V3073" i="2"/>
  <c r="V3366" i="2"/>
  <c r="V2509" i="2"/>
  <c r="V2793" i="2"/>
  <c r="V2994" i="2"/>
  <c r="V3211" i="2"/>
  <c r="V3452" i="2"/>
  <c r="V2818" i="2"/>
  <c r="V2221" i="2"/>
  <c r="V2272" i="2"/>
  <c r="V2215" i="2"/>
  <c r="V2298" i="2"/>
  <c r="V2293" i="2"/>
  <c r="V2100" i="2"/>
  <c r="V2286" i="2"/>
  <c r="V2659" i="2"/>
  <c r="V4068" i="2"/>
  <c r="V2890" i="2"/>
  <c r="V2157" i="2"/>
  <c r="V3226" i="2"/>
  <c r="V2797" i="2"/>
  <c r="V2574" i="2"/>
  <c r="V2442" i="2"/>
  <c r="V2664" i="2"/>
  <c r="V2912" i="2"/>
  <c r="V2695" i="2"/>
  <c r="V2936" i="2"/>
  <c r="V3309" i="2"/>
  <c r="V2448" i="2"/>
  <c r="V2981" i="2"/>
  <c r="V3235" i="2"/>
  <c r="V4500" i="2"/>
  <c r="V2026" i="2"/>
  <c r="V3066" i="2"/>
  <c r="V3283" i="2"/>
  <c r="V2037" i="2"/>
  <c r="V2962" i="2"/>
  <c r="V2437" i="2"/>
  <c r="V3613" i="2"/>
  <c r="V2523" i="2"/>
  <c r="V780" i="2"/>
  <c r="V1352" i="2"/>
  <c r="V1063" i="2"/>
  <c r="V846" i="2"/>
  <c r="V641" i="2"/>
  <c r="V912" i="2"/>
  <c r="V707" i="2"/>
  <c r="V478" i="2"/>
  <c r="V105" i="2"/>
  <c r="V1195" i="2"/>
  <c r="V978" i="2"/>
  <c r="V773" i="2"/>
  <c r="V1127" i="2"/>
  <c r="V525" i="2"/>
  <c r="V176" i="2"/>
  <c r="V1398" i="2"/>
  <c r="V1193" i="2"/>
  <c r="V307" i="2"/>
  <c r="V442" i="2"/>
  <c r="V69" i="2"/>
  <c r="V1159" i="2"/>
  <c r="V942" i="2"/>
  <c r="V737" i="2"/>
  <c r="V1008" i="2"/>
  <c r="V803" i="2"/>
  <c r="V574" i="2"/>
  <c r="V201" i="2"/>
  <c r="V1074" i="2"/>
  <c r="V869" i="2"/>
  <c r="V2049" i="2"/>
  <c r="V3451" i="2"/>
  <c r="V3317" i="2"/>
  <c r="V2505" i="2"/>
  <c r="V2682" i="2"/>
  <c r="V2899" i="2"/>
  <c r="V3140" i="2"/>
  <c r="V2218" i="2"/>
  <c r="V2868" i="2"/>
  <c r="V3924" i="2"/>
  <c r="V2311" i="2"/>
  <c r="V3228" i="2"/>
  <c r="V3414" i="2"/>
  <c r="V2144" i="2"/>
  <c r="V1994" i="2"/>
  <c r="V2575" i="2"/>
  <c r="V2011" i="2"/>
  <c r="V3158" i="2"/>
  <c r="V2170" i="2"/>
  <c r="V3138" i="2"/>
  <c r="V3355" i="2"/>
  <c r="V2109" i="2"/>
  <c r="V3106" i="2"/>
  <c r="V2862" i="2"/>
  <c r="V3624" i="2"/>
  <c r="V2935" i="2"/>
  <c r="V2874" i="2"/>
  <c r="V2510" i="2"/>
  <c r="V3150" i="2"/>
  <c r="V2036" i="2"/>
  <c r="V2022" i="2"/>
  <c r="V2399" i="2"/>
  <c r="V3330" i="2"/>
  <c r="V2060" i="2"/>
  <c r="V2159" i="2"/>
  <c r="V3229" i="2"/>
  <c r="V3438" i="2"/>
  <c r="V3018" i="2"/>
  <c r="V2725" i="2"/>
  <c r="V2001" i="2"/>
  <c r="V2622" i="2"/>
  <c r="V2086" i="2"/>
  <c r="V2736" i="2"/>
  <c r="V3768" i="2"/>
  <c r="V2985" i="2"/>
  <c r="V2324" i="2"/>
  <c r="V2310" i="2"/>
  <c r="V3178" i="2"/>
  <c r="V3210" i="2"/>
  <c r="V3427" i="2"/>
  <c r="V2181" i="2"/>
  <c r="V2869" i="2"/>
  <c r="V3269" i="2"/>
  <c r="V2431" i="2"/>
  <c r="V365" i="2"/>
  <c r="V636" i="2"/>
  <c r="V431" i="2"/>
  <c r="V202" i="2"/>
  <c r="V702" i="2"/>
  <c r="V497" i="2"/>
  <c r="V768" i="2"/>
  <c r="V563" i="2"/>
  <c r="V1340" i="2"/>
  <c r="V1051" i="2"/>
  <c r="V834" i="2"/>
  <c r="V754" i="2"/>
  <c r="V381" i="2"/>
  <c r="V32" i="2"/>
  <c r="V1254" i="2"/>
  <c r="V163" i="2"/>
  <c r="V1304" i="2"/>
  <c r="V1015" i="2"/>
  <c r="V798" i="2"/>
  <c r="V593" i="2"/>
  <c r="V864" i="2"/>
  <c r="V659" i="2"/>
  <c r="V57" i="2"/>
  <c r="V1147" i="2"/>
  <c r="V930" i="2"/>
  <c r="V725" i="2"/>
  <c r="V2625" i="2"/>
  <c r="V2540" i="2"/>
  <c r="V2937" i="2"/>
  <c r="V3043" i="2"/>
  <c r="V2506" i="2"/>
  <c r="V4356" i="2"/>
  <c r="V3093" i="2"/>
  <c r="V2887" i="2"/>
  <c r="V2786" i="2"/>
  <c r="V2047" i="2"/>
  <c r="V2529" i="2"/>
  <c r="V2603" i="2"/>
  <c r="V2426" i="2"/>
  <c r="V3295" i="2"/>
  <c r="V2443" i="2"/>
  <c r="V4284" i="2"/>
  <c r="V3322" i="2"/>
  <c r="V3282" i="2"/>
  <c r="V2012" i="2"/>
  <c r="V2253" i="2"/>
  <c r="V2039" i="2"/>
  <c r="V3085" i="2"/>
  <c r="V2359" i="2"/>
  <c r="V4056" i="2"/>
  <c r="V2024" i="2"/>
  <c r="V3450" i="2"/>
  <c r="V2344" i="2"/>
  <c r="V2353" i="2"/>
  <c r="V2647" i="2"/>
  <c r="V2612" i="2"/>
  <c r="V2454" i="2"/>
  <c r="V2388" i="2"/>
  <c r="V3474" i="2"/>
  <c r="V2445" i="2"/>
  <c r="V2447" i="2"/>
  <c r="V2150" i="2"/>
  <c r="V2791" i="2"/>
  <c r="V2083" i="2"/>
  <c r="V2433" i="2"/>
  <c r="V2766" i="2"/>
  <c r="V2983" i="2"/>
  <c r="V3224" i="2"/>
  <c r="V2374" i="2"/>
  <c r="V3084" i="2"/>
  <c r="V4200" i="2"/>
  <c r="V2578" i="2"/>
  <c r="V2886" i="2"/>
  <c r="V2975" i="2"/>
  <c r="V3354" i="2"/>
  <c r="V2084" i="2"/>
  <c r="V2183" i="2"/>
  <c r="V3301" i="2"/>
  <c r="V1999" i="2"/>
  <c r="V3840" i="2"/>
  <c r="V221" i="2"/>
  <c r="V492" i="2"/>
  <c r="V58" i="2"/>
  <c r="V1064" i="2"/>
  <c r="V775" i="2"/>
  <c r="V558" i="2"/>
  <c r="V353" i="2"/>
  <c r="V624" i="2"/>
  <c r="V419" i="2"/>
  <c r="V190" i="2"/>
  <c r="V690" i="2"/>
  <c r="V485" i="2"/>
  <c r="V610" i="2"/>
  <c r="V237" i="2"/>
  <c r="V1327" i="2"/>
  <c r="V1110" i="2"/>
  <c r="V905" i="2"/>
  <c r="V19" i="2"/>
  <c r="V154" i="2"/>
  <c r="V1160" i="2"/>
  <c r="V871" i="2"/>
  <c r="V720" i="2"/>
  <c r="V515" i="2"/>
  <c r="V286" i="2"/>
  <c r="V1003" i="2"/>
  <c r="V786" i="2"/>
  <c r="V581" i="2"/>
  <c r="V2434" i="2"/>
  <c r="V3116" i="2"/>
  <c r="V2458" i="2"/>
  <c r="V3187" i="2"/>
  <c r="V3428" i="2"/>
  <c r="V2794" i="2"/>
  <c r="V2149" i="2"/>
  <c r="V2703" i="2"/>
  <c r="V3156" i="2"/>
  <c r="V2734" i="2"/>
  <c r="V3319" i="2"/>
  <c r="V1974" i="2"/>
  <c r="V2432" i="2"/>
  <c r="V2673" i="2"/>
  <c r="V2891" i="2"/>
  <c r="V2858" i="2"/>
  <c r="V2528" i="2"/>
  <c r="V2094" i="2"/>
  <c r="V2532" i="2"/>
  <c r="V2156" i="2"/>
  <c r="V2397" i="2"/>
  <c r="V2327" i="2"/>
  <c r="V2006" i="2"/>
  <c r="V4488" i="2"/>
  <c r="V2600" i="2"/>
  <c r="V2785" i="2"/>
  <c r="V2312" i="2"/>
  <c r="V3332" i="2"/>
  <c r="V3174" i="2"/>
  <c r="V3002" i="2"/>
  <c r="V2107" i="2"/>
  <c r="V2348" i="2"/>
  <c r="V2589" i="2"/>
  <c r="V2735" i="2"/>
  <c r="V2582" i="2"/>
  <c r="V2168" i="2"/>
  <c r="V2803" i="2"/>
  <c r="V3279" i="2"/>
  <c r="V2910" i="2"/>
  <c r="V3127" i="2"/>
  <c r="V3368" i="2"/>
  <c r="V2662" i="2"/>
  <c r="V1993" i="2"/>
  <c r="V2375" i="2"/>
  <c r="V1989" i="2"/>
  <c r="V3462" i="2"/>
  <c r="V3012" i="2"/>
  <c r="V1987" i="2"/>
  <c r="V2469" i="2"/>
  <c r="V2471" i="2"/>
  <c r="V2222" i="2"/>
  <c r="V2719" i="2"/>
  <c r="V4272" i="2"/>
  <c r="V2816" i="2"/>
  <c r="V2061" i="2"/>
  <c r="V77" i="2"/>
  <c r="V348" i="2"/>
  <c r="V143" i="2"/>
  <c r="V631" i="2"/>
  <c r="V414" i="2"/>
  <c r="V209" i="2"/>
  <c r="V480" i="2"/>
  <c r="V1052" i="2"/>
  <c r="V763" i="2"/>
  <c r="V546" i="2"/>
  <c r="V341" i="2"/>
  <c r="V695" i="2"/>
  <c r="V466" i="2"/>
  <c r="V1183" i="2"/>
  <c r="V966" i="2"/>
  <c r="V1386" i="2"/>
  <c r="V1181" i="2"/>
  <c r="V10" i="2"/>
  <c r="V1016" i="2"/>
  <c r="V305" i="2"/>
  <c r="V142" i="2"/>
  <c r="V1148" i="2"/>
  <c r="V859" i="2"/>
  <c r="V642" i="2"/>
  <c r="V2519" i="2"/>
  <c r="V2205" i="2"/>
  <c r="V2814" i="2"/>
  <c r="V3034" i="2"/>
  <c r="V3114" i="2"/>
  <c r="V3331" i="2"/>
  <c r="V2085" i="2"/>
  <c r="V3082" i="2"/>
  <c r="V2581" i="2"/>
  <c r="V2214" i="2"/>
  <c r="V2091" i="2"/>
  <c r="V2408" i="2"/>
  <c r="V2335" i="2"/>
  <c r="V2576" i="2"/>
  <c r="V2817" i="2"/>
  <c r="V3179" i="2"/>
  <c r="V3290" i="2"/>
  <c r="V3392" i="2"/>
  <c r="V2108" i="2"/>
  <c r="V2163" i="2"/>
  <c r="V2059" i="2"/>
  <c r="V2300" i="2"/>
  <c r="V2541" i="2"/>
  <c r="V2615" i="2"/>
  <c r="V2438" i="2"/>
  <c r="V2888" i="2"/>
  <c r="V3231" i="2"/>
  <c r="V3320" i="2"/>
  <c r="V3091" i="2"/>
  <c r="V2598" i="2"/>
  <c r="V3217" i="2"/>
  <c r="V3032" i="2"/>
  <c r="V2421" i="2"/>
  <c r="V2239" i="2"/>
  <c r="V2034" i="2"/>
  <c r="V2251" i="2"/>
  <c r="V2492" i="2"/>
  <c r="V3023" i="2"/>
  <c r="V3014" i="2"/>
  <c r="V2744" i="2"/>
  <c r="V3379" i="2"/>
  <c r="V2166" i="2"/>
  <c r="V3054" i="2"/>
  <c r="V2025" i="2"/>
  <c r="V2950" i="2"/>
  <c r="V2425" i="2"/>
  <c r="V3553" i="2"/>
  <c r="V2076" i="2"/>
  <c r="V2565" i="2"/>
  <c r="V2383" i="2"/>
  <c r="V2379" i="2"/>
  <c r="V2372" i="2"/>
  <c r="V2613" i="2"/>
  <c r="V2654" i="2"/>
  <c r="V2096" i="2"/>
  <c r="V409" i="2"/>
  <c r="V204" i="2"/>
  <c r="V1498" i="2"/>
  <c r="V1125" i="2"/>
  <c r="V487" i="2"/>
  <c r="V270" i="2"/>
  <c r="V65" i="2"/>
  <c r="V336" i="2"/>
  <c r="V131" i="2"/>
  <c r="V1257" i="2"/>
  <c r="V908" i="2"/>
  <c r="V619" i="2"/>
  <c r="V551" i="2"/>
  <c r="V1328" i="2"/>
  <c r="V822" i="2"/>
  <c r="V617" i="2"/>
  <c r="V1037" i="2"/>
  <c r="V1221" i="2"/>
  <c r="V583" i="2"/>
  <c r="V366" i="2"/>
  <c r="V161" i="2"/>
  <c r="V432" i="2"/>
  <c r="V227" i="2"/>
  <c r="V1353" i="2"/>
  <c r="V1004" i="2"/>
  <c r="V715" i="2"/>
  <c r="V498" i="2"/>
  <c r="V293" i="2"/>
  <c r="V2220" i="2"/>
  <c r="V2781" i="2"/>
  <c r="V3390" i="2"/>
  <c r="V2831" i="2"/>
  <c r="V3258" i="2"/>
  <c r="V1988" i="2"/>
  <c r="V2229" i="2"/>
  <c r="V2015" i="2"/>
  <c r="V3013" i="2"/>
  <c r="V2514" i="2"/>
  <c r="V2232" i="2"/>
  <c r="V2840" i="2"/>
  <c r="V2262" i="2"/>
  <c r="V2479" i="2"/>
  <c r="V2720" i="2"/>
  <c r="V2961" i="2"/>
  <c r="V2235" i="2"/>
  <c r="V2481" i="2"/>
  <c r="V2828" i="2"/>
  <c r="V3246" i="2"/>
  <c r="V2203" i="2"/>
  <c r="V2444" i="2"/>
  <c r="V2685" i="2"/>
  <c r="V2903" i="2"/>
  <c r="V2870" i="2"/>
  <c r="V2841" i="2"/>
  <c r="V2430" i="2"/>
  <c r="V2553" i="2"/>
  <c r="V2180" i="2"/>
  <c r="V2138" i="2"/>
  <c r="V2997" i="2"/>
  <c r="V2671" i="2"/>
  <c r="V2178" i="2"/>
  <c r="V2395" i="2"/>
  <c r="V2636" i="2"/>
  <c r="V2877" i="2"/>
  <c r="V3446" i="2"/>
  <c r="V1977" i="2"/>
  <c r="V2468" i="2"/>
  <c r="V2742" i="2"/>
  <c r="V2111" i="2"/>
  <c r="V3198" i="2"/>
  <c r="V3415" i="2"/>
  <c r="V2169" i="2"/>
  <c r="V3238" i="2"/>
  <c r="V2857" i="2"/>
  <c r="V1998" i="2"/>
  <c r="V3372" i="2"/>
  <c r="V3237" i="2"/>
  <c r="V2058" i="2"/>
  <c r="V2275" i="2"/>
  <c r="V2516" i="2"/>
  <c r="V3047" i="2"/>
  <c r="V3086" i="2"/>
  <c r="V3248" i="2"/>
  <c r="V3697" i="2"/>
  <c r="V265" i="2"/>
  <c r="V60" i="2"/>
  <c r="V1354" i="2"/>
  <c r="V981" i="2"/>
  <c r="V632" i="2"/>
  <c r="V126" i="2"/>
  <c r="V397" i="2"/>
  <c r="V1486" i="2"/>
  <c r="V1113" i="2"/>
  <c r="V764" i="2"/>
  <c r="V475" i="2"/>
  <c r="V258" i="2"/>
  <c r="V53" i="2"/>
  <c r="V407" i="2"/>
  <c r="V178" i="2"/>
  <c r="V1184" i="2"/>
  <c r="V895" i="2"/>
  <c r="V678" i="2"/>
  <c r="V1098" i="2"/>
  <c r="V1077" i="2"/>
  <c r="V728" i="2"/>
  <c r="V439" i="2"/>
  <c r="V222" i="2"/>
  <c r="V17" i="2"/>
  <c r="V288" i="2"/>
  <c r="V83" i="2"/>
  <c r="V1209" i="2"/>
  <c r="V860" i="2"/>
  <c r="V571" i="2"/>
  <c r="V149" i="2"/>
  <c r="V2065" i="2"/>
  <c r="V3381" i="2"/>
  <c r="V2167" i="2"/>
  <c r="V3119" i="2"/>
  <c r="V3402" i="2"/>
  <c r="V2132" i="2"/>
  <c r="V2373" i="2"/>
  <c r="V2303" i="2"/>
  <c r="V3445" i="2"/>
  <c r="V2287" i="2"/>
  <c r="V3090" i="2"/>
  <c r="V3272" i="2"/>
  <c r="V2406" i="2"/>
  <c r="V2623" i="2"/>
  <c r="V2864" i="2"/>
  <c r="V3165" i="2"/>
  <c r="V2304" i="2"/>
  <c r="V2667" i="2"/>
  <c r="V3081" i="2"/>
  <c r="V3260" i="2"/>
  <c r="V2130" i="2"/>
  <c r="V2829" i="2"/>
  <c r="V3191" i="2"/>
  <c r="V3302" i="2"/>
  <c r="V2071" i="2"/>
  <c r="V2002" i="2"/>
  <c r="V2900" i="2"/>
  <c r="V2815" i="2"/>
  <c r="V3434" i="2"/>
  <c r="V2290" i="2"/>
  <c r="V3247" i="2"/>
  <c r="V2539" i="2"/>
  <c r="V2780" i="2"/>
  <c r="V3021" i="2"/>
  <c r="V2148" i="2"/>
  <c r="V2697" i="2"/>
  <c r="V3188" i="2"/>
  <c r="V3030" i="2"/>
  <c r="V3342" i="2"/>
  <c r="V2072" i="2"/>
  <c r="V2313" i="2"/>
  <c r="V2171" i="2"/>
  <c r="V2718" i="2"/>
  <c r="V2498" i="2"/>
  <c r="V2878" i="2"/>
  <c r="V3391" i="2"/>
  <c r="V2202" i="2"/>
  <c r="V2419" i="2"/>
  <c r="V2660" i="2"/>
  <c r="V2901" i="2"/>
  <c r="V3335" i="2"/>
  <c r="V2031" i="2"/>
  <c r="V2769" i="2"/>
  <c r="V2358" i="2"/>
  <c r="V2231" i="2"/>
  <c r="V121" i="2"/>
  <c r="V1439" i="2"/>
  <c r="V1210" i="2"/>
  <c r="V488" i="2"/>
  <c r="V1505" i="2"/>
  <c r="V253" i="2"/>
  <c r="V48" i="2"/>
  <c r="V1342" i="2"/>
  <c r="V969" i="2"/>
  <c r="V620" i="2"/>
  <c r="V331" i="2"/>
  <c r="V114" i="2"/>
  <c r="V468" i="2"/>
  <c r="V34" i="2"/>
  <c r="V751" i="2"/>
  <c r="V534" i="2"/>
  <c r="V329" i="2"/>
  <c r="V954" i="2"/>
  <c r="V749" i="2"/>
  <c r="V933" i="2"/>
  <c r="V584" i="2"/>
  <c r="V295" i="2"/>
  <c r="V78" i="2"/>
  <c r="V349" i="2"/>
  <c r="V144" i="2"/>
  <c r="V716" i="2"/>
  <c r="V427" i="2"/>
  <c r="V210" i="2"/>
  <c r="V5" i="2"/>
  <c r="V3022" i="2"/>
  <c r="V2743" i="2"/>
  <c r="V2820" i="2"/>
  <c r="V2035" i="2"/>
  <c r="V2276" i="2"/>
  <c r="V2517" i="2"/>
  <c r="V2366" i="2"/>
  <c r="V3151" i="2"/>
  <c r="V2155" i="2"/>
  <c r="V2941" i="2"/>
  <c r="V2217" i="2"/>
  <c r="V2550" i="2"/>
  <c r="V2767" i="2"/>
  <c r="V3008" i="2"/>
  <c r="V3453" i="2"/>
  <c r="V2592" i="2"/>
  <c r="V3552" i="2"/>
  <c r="V2722" i="2"/>
  <c r="V3031" i="2"/>
  <c r="V2274" i="2"/>
  <c r="V2491" i="2"/>
  <c r="V2732" i="2"/>
  <c r="V2973" i="2"/>
  <c r="V2028" i="2"/>
  <c r="V2247" i="2"/>
  <c r="V2364" i="2"/>
  <c r="V3367" i="2"/>
  <c r="V3154" i="2"/>
  <c r="V2133" i="2"/>
  <c r="V2192" i="2"/>
  <c r="V2693" i="2"/>
  <c r="V2387" i="2"/>
  <c r="V2336" i="2"/>
  <c r="V2466" i="2"/>
  <c r="V2683" i="2"/>
  <c r="V2924" i="2"/>
  <c r="V2436" i="2"/>
  <c r="V2741" i="2"/>
  <c r="V3225" i="2"/>
  <c r="V2277" i="2"/>
  <c r="V2676" i="2"/>
  <c r="V1975" i="2"/>
  <c r="V2216" i="2"/>
  <c r="V2457" i="2"/>
  <c r="V2459" i="2"/>
  <c r="V2210" i="2"/>
  <c r="V3294" i="2"/>
  <c r="V2154" i="2"/>
  <c r="V2675" i="2"/>
  <c r="V2480" i="2"/>
  <c r="V2346" i="2"/>
  <c r="V2563" i="2"/>
  <c r="V2804" i="2"/>
  <c r="V3045" i="2"/>
  <c r="V2172" i="2"/>
  <c r="V3010" i="2"/>
  <c r="V1500" i="2"/>
  <c r="V1295" i="2"/>
  <c r="V1066" i="2"/>
  <c r="V693" i="2"/>
  <c r="V55" i="2"/>
  <c r="V1361" i="2"/>
  <c r="V109" i="2"/>
  <c r="V1427" i="2"/>
  <c r="V1198" i="2"/>
  <c r="V476" i="2"/>
  <c r="V187" i="2"/>
  <c r="V1493" i="2"/>
  <c r="V324" i="2"/>
  <c r="V119" i="2"/>
  <c r="V1245" i="2"/>
  <c r="V896" i="2"/>
  <c r="V607" i="2"/>
  <c r="V185" i="2"/>
  <c r="V810" i="2"/>
  <c r="V605" i="2"/>
  <c r="V789" i="2"/>
  <c r="V151" i="2"/>
  <c r="V1457" i="2"/>
  <c r="V1523" i="2"/>
  <c r="V572" i="2"/>
  <c r="V283" i="2"/>
  <c r="V66" i="2"/>
  <c r="V2790" i="2"/>
  <c r="V2082" i="2"/>
  <c r="V2819" i="2"/>
  <c r="V3175" i="2"/>
  <c r="V3476" i="2"/>
  <c r="V2179" i="2"/>
  <c r="V2420" i="2"/>
  <c r="V2661" i="2"/>
  <c r="V2879" i="2"/>
  <c r="V2798" i="2"/>
  <c r="V2731" i="2"/>
  <c r="V2103" i="2"/>
  <c r="V2694" i="2"/>
  <c r="V2911" i="2"/>
  <c r="V3152" i="2"/>
  <c r="V2230" i="2"/>
  <c r="V2880" i="2"/>
  <c r="V2925" i="2"/>
  <c r="V1976" i="2"/>
  <c r="V2418" i="2"/>
  <c r="V2635" i="2"/>
  <c r="V2876" i="2"/>
  <c r="V3177" i="2"/>
  <c r="V2679" i="2"/>
  <c r="V2281" i="2"/>
  <c r="V2409" i="2"/>
  <c r="V2663" i="2"/>
  <c r="V2853" i="2"/>
  <c r="V3200" i="2"/>
  <c r="V3696" i="2"/>
  <c r="V2010" i="2"/>
  <c r="V3251" i="2"/>
  <c r="V3056" i="2"/>
  <c r="V2610" i="2"/>
  <c r="V2827" i="2"/>
  <c r="V3068" i="2"/>
  <c r="V2074" i="2"/>
  <c r="V2724" i="2"/>
  <c r="V3708" i="2"/>
  <c r="V2866" i="2"/>
  <c r="V2709" i="2"/>
  <c r="V2527" i="2"/>
  <c r="V2570" i="2"/>
  <c r="V2119" i="2"/>
  <c r="V2360" i="2"/>
  <c r="V2601" i="2"/>
  <c r="V2747" i="2"/>
  <c r="V2642" i="2"/>
  <c r="V2503" i="2"/>
  <c r="V2730" i="2"/>
  <c r="V2768" i="2"/>
  <c r="V2490" i="2"/>
  <c r="V2707" i="2"/>
  <c r="V2948" i="2"/>
  <c r="V3321" i="2"/>
  <c r="V2460" i="2"/>
  <c r="V3029" i="2"/>
  <c r="V2508" i="2"/>
  <c r="V2863" i="2"/>
  <c r="V2282" i="2"/>
  <c r="V1356" i="2"/>
  <c r="V1151" i="2"/>
  <c r="V922" i="2"/>
  <c r="V549" i="2"/>
  <c r="V200" i="2"/>
  <c r="V1422" i="2"/>
  <c r="V1217" i="2"/>
  <c r="V1283" i="2"/>
  <c r="V1054" i="2"/>
  <c r="V332" i="2"/>
  <c r="V43" i="2"/>
  <c r="V1349" i="2"/>
  <c r="V180" i="2"/>
  <c r="V1474" i="2"/>
  <c r="V463" i="2"/>
  <c r="V246" i="2"/>
  <c r="V41" i="2"/>
  <c r="V666" i="2"/>
  <c r="V461" i="2"/>
  <c r="V645" i="2"/>
  <c r="V296" i="2"/>
  <c r="V7" i="2"/>
  <c r="V1313" i="2"/>
  <c r="V61" i="2"/>
  <c r="V1379" i="2"/>
  <c r="V1150" i="2"/>
  <c r="V777" i="2"/>
  <c r="V139" i="2"/>
  <c r="V1445" i="2"/>
  <c r="V2143" i="2"/>
  <c r="V2658" i="2"/>
  <c r="V2264" i="2"/>
  <c r="V2106" i="2"/>
  <c r="V2564" i="2"/>
  <c r="V3167" i="2"/>
  <c r="V2960" i="2"/>
  <c r="V3163" i="2"/>
  <c r="V3841" i="2"/>
  <c r="V3393" i="2"/>
  <c r="V2838" i="2"/>
  <c r="V3055" i="2"/>
  <c r="V3296" i="2"/>
  <c r="V3300" i="2"/>
  <c r="V4416" i="2"/>
  <c r="V2796" i="2"/>
  <c r="V2562" i="2"/>
  <c r="V2779" i="2"/>
  <c r="V2604" i="2"/>
  <c r="V3564" i="2"/>
  <c r="V2713" i="2"/>
  <c r="V3239" i="2"/>
  <c r="V2302" i="2"/>
  <c r="V2577" i="2"/>
  <c r="V4128" i="2"/>
  <c r="V2586" i="2"/>
  <c r="V2145" i="2"/>
  <c r="V2971" i="2"/>
  <c r="V3212" i="2"/>
  <c r="V2362" i="2"/>
  <c r="V4140" i="2"/>
  <c r="V2951" i="2"/>
  <c r="V3103" i="2"/>
  <c r="V2504" i="2"/>
  <c r="V2745" i="2"/>
  <c r="V3035" i="2"/>
  <c r="V3074" i="2"/>
  <c r="V3223" i="2"/>
  <c r="V3306" i="2"/>
  <c r="V2964" i="2"/>
  <c r="V3344" i="2"/>
  <c r="V2634" i="2"/>
  <c r="V2851" i="2"/>
  <c r="V3092" i="2"/>
  <c r="V2098" i="2"/>
  <c r="V2748" i="2"/>
  <c r="V3780" i="2"/>
  <c r="V2497" i="2"/>
  <c r="V2226" i="2"/>
  <c r="V1212" i="2"/>
  <c r="V1007" i="2"/>
  <c r="V778" i="2"/>
  <c r="V56" i="2"/>
  <c r="V1278" i="2"/>
  <c r="V1073" i="2"/>
  <c r="V1344" i="2"/>
  <c r="V1139" i="2"/>
  <c r="V188" i="2"/>
  <c r="V1410" i="2"/>
  <c r="V1205" i="2"/>
  <c r="V36" i="2"/>
  <c r="V1330" i="2"/>
  <c r="V957" i="2"/>
  <c r="V319" i="2"/>
  <c r="V102" i="2"/>
  <c r="V522" i="2"/>
  <c r="V501" i="2"/>
  <c r="V152" i="2"/>
  <c r="V1374" i="2"/>
  <c r="V1169" i="2"/>
  <c r="V1235" i="2"/>
  <c r="V1006" i="2"/>
  <c r="V1301" i="2"/>
  <c r="V3007" i="2"/>
  <c r="V3234" i="2"/>
  <c r="V2077" i="2"/>
  <c r="V2696" i="2"/>
  <c r="V2250" i="2"/>
  <c r="V2467" i="2"/>
  <c r="V2949" i="2"/>
  <c r="V2004" i="2"/>
  <c r="V2193" i="2"/>
  <c r="V2252" i="2"/>
  <c r="V2746" i="2"/>
  <c r="V2982" i="2"/>
  <c r="V3199" i="2"/>
  <c r="V3440" i="2"/>
  <c r="V2806" i="2"/>
  <c r="V2943" i="2"/>
  <c r="V3146" i="2"/>
  <c r="V2243" i="2"/>
  <c r="V3128" i="2"/>
  <c r="V2706" i="2"/>
  <c r="V2923" i="2"/>
  <c r="V3164" i="2"/>
  <c r="V2242" i="2"/>
  <c r="V2940" i="2"/>
  <c r="V3996" i="2"/>
  <c r="V2066" i="2"/>
  <c r="V2142" i="2"/>
  <c r="V2952" i="2"/>
  <c r="V2099" i="2"/>
  <c r="V2602" i="2"/>
  <c r="V4560" i="2"/>
  <c r="V3162" i="2"/>
  <c r="V2078" i="2"/>
  <c r="V2721" i="2"/>
  <c r="V2898" i="2"/>
  <c r="V3115" i="2"/>
  <c r="V3356" i="2"/>
  <c r="V2650" i="2"/>
  <c r="V4572" i="2"/>
  <c r="V3166" i="2"/>
  <c r="V2048" i="2"/>
  <c r="V2407" i="2"/>
  <c r="V2648" i="2"/>
  <c r="V2889" i="2"/>
  <c r="V2019" i="2"/>
  <c r="V2456" i="2"/>
  <c r="V3157" i="2"/>
  <c r="V2289" i="2"/>
  <c r="V2778" i="2"/>
  <c r="V2995" i="2"/>
  <c r="V3236" i="2"/>
  <c r="V2386" i="2"/>
  <c r="V3096" i="2"/>
  <c r="V4212" i="2"/>
  <c r="V2929" i="2"/>
  <c r="V2070" i="2"/>
  <c r="V3378" i="2"/>
  <c r="V3852" i="2"/>
  <c r="V3433" i="2"/>
  <c r="V2182" i="2"/>
  <c r="V2555" i="2"/>
  <c r="V2832" i="2"/>
  <c r="V3254" i="2"/>
  <c r="V3948" i="2"/>
  <c r="V4153" i="2"/>
  <c r="V4575" i="2"/>
  <c r="V3497" i="2"/>
  <c r="V3714" i="2"/>
  <c r="V4003" i="2"/>
  <c r="V4702" i="2"/>
  <c r="V1991" i="2"/>
  <c r="V2473" i="2"/>
  <c r="V2690" i="2"/>
  <c r="V3589" i="2"/>
  <c r="V3806" i="2"/>
  <c r="V4011" i="2"/>
  <c r="V4216" i="2"/>
  <c r="V2020" i="2"/>
  <c r="V3111" i="2"/>
  <c r="V2873" i="2"/>
  <c r="V2782" i="2"/>
  <c r="V3155" i="2"/>
  <c r="V3432" i="2"/>
  <c r="V2126" i="2"/>
  <c r="V2367" i="2"/>
  <c r="V4548" i="2"/>
  <c r="V2572" i="2"/>
  <c r="V3652" i="2"/>
  <c r="V4097" i="2"/>
  <c r="V4314" i="2"/>
  <c r="V3692" i="2"/>
  <c r="V4944" i="2"/>
  <c r="V4550" i="2"/>
  <c r="V2512" i="2"/>
  <c r="V4363" i="2"/>
  <c r="V3731" i="2"/>
  <c r="V3986" i="2"/>
  <c r="V4191" i="2"/>
  <c r="V2957" i="2"/>
  <c r="V3547" i="2"/>
  <c r="V3825" i="2"/>
  <c r="V4827" i="2"/>
  <c r="V2665" i="2"/>
  <c r="V2882" i="2"/>
  <c r="V3576" i="2"/>
  <c r="V3781" i="2"/>
  <c r="V3998" i="2"/>
  <c r="V4203" i="2"/>
  <c r="V4408" i="2"/>
  <c r="V3005" i="2"/>
  <c r="V3559" i="2"/>
  <c r="V3885" i="2"/>
  <c r="V4887" i="2"/>
  <c r="V2974" i="2"/>
  <c r="V3347" i="2"/>
  <c r="V2101" i="2"/>
  <c r="V2318" i="2"/>
  <c r="V2559" i="2"/>
  <c r="V2417" i="2"/>
  <c r="V3364" i="2"/>
  <c r="V3639" i="2"/>
  <c r="V3844" i="2"/>
  <c r="V4289" i="2"/>
  <c r="V4506" i="2"/>
  <c r="V4741" i="2"/>
  <c r="V2266" i="2"/>
  <c r="V2639" i="2"/>
  <c r="V2916" i="2"/>
  <c r="V3338" i="2"/>
  <c r="V4032" i="2"/>
  <c r="V4237" i="2"/>
  <c r="V4454" i="2"/>
  <c r="V3581" i="2"/>
  <c r="V3798" i="2"/>
  <c r="V4195" i="2"/>
  <c r="V4978" i="2"/>
  <c r="V3069" i="2"/>
  <c r="V3286" i="2"/>
  <c r="V2208" i="2"/>
  <c r="V2413" i="2"/>
  <c r="V2587" i="2"/>
  <c r="V2382" i="2"/>
  <c r="V2354" i="2"/>
  <c r="V2326" i="2"/>
  <c r="V2699" i="2"/>
  <c r="V2976" i="2"/>
  <c r="V3398" i="2"/>
  <c r="V4092" i="2"/>
  <c r="V4514" i="2"/>
  <c r="V3858" i="2"/>
  <c r="V4291" i="2"/>
  <c r="V2135" i="2"/>
  <c r="V2412" i="2"/>
  <c r="V2617" i="2"/>
  <c r="V2834" i="2"/>
  <c r="V3528" i="2"/>
  <c r="V3733" i="2"/>
  <c r="V3950" i="2"/>
  <c r="V4155" i="2"/>
  <c r="V4360" i="2"/>
  <c r="V2813" i="2"/>
  <c r="V3511" i="2"/>
  <c r="V4743" i="2"/>
  <c r="V2926" i="2"/>
  <c r="V3299" i="2"/>
  <c r="V2270" i="2"/>
  <c r="V2511" i="2"/>
  <c r="V2129" i="2"/>
  <c r="V3591" i="2"/>
  <c r="V3796" i="2"/>
  <c r="V4458" i="2"/>
  <c r="V3980" i="2"/>
  <c r="V4391" i="2"/>
  <c r="V4477" i="2"/>
  <c r="V3147" i="2"/>
  <c r="V3821" i="2"/>
  <c r="V4651" i="2"/>
  <c r="V4919" i="2"/>
  <c r="V2657" i="2"/>
  <c r="V3467" i="2"/>
  <c r="V4257" i="2"/>
  <c r="V3910" i="2"/>
  <c r="V3026" i="2"/>
  <c r="V3925" i="2"/>
  <c r="V4142" i="2"/>
  <c r="V4347" i="2"/>
  <c r="V2716" i="2"/>
  <c r="V3485" i="2"/>
  <c r="V3703" i="2"/>
  <c r="V4317" i="2"/>
  <c r="V3118" i="2"/>
  <c r="V2040" i="2"/>
  <c r="V2245" i="2"/>
  <c r="V2462" i="2"/>
  <c r="V2056" i="2"/>
  <c r="V3578" i="2"/>
  <c r="V3783" i="2"/>
  <c r="V3988" i="2"/>
  <c r="V4433" i="2"/>
  <c r="V4650" i="2"/>
  <c r="V4352" i="2"/>
  <c r="V2188" i="2"/>
  <c r="V2410" i="2"/>
  <c r="V2783" i="2"/>
  <c r="V3060" i="2"/>
  <c r="V3265" i="2"/>
  <c r="V1995" i="2"/>
  <c r="V4176" i="2"/>
  <c r="V4598" i="2"/>
  <c r="V2763" i="2"/>
  <c r="V3725" i="2"/>
  <c r="V3942" i="2"/>
  <c r="V4483" i="2"/>
  <c r="V4540" i="2"/>
  <c r="V2075" i="2"/>
  <c r="V2557" i="2"/>
  <c r="V3307" i="2"/>
  <c r="V3102" i="2"/>
  <c r="V3218" i="2"/>
  <c r="V2843" i="2"/>
  <c r="V3120" i="2"/>
  <c r="V3325" i="2"/>
  <c r="V2055" i="2"/>
  <c r="V4236" i="2"/>
  <c r="V3003" i="2"/>
  <c r="V3785" i="2"/>
  <c r="V4002" i="2"/>
  <c r="V4579" i="2"/>
  <c r="V4787" i="2"/>
  <c r="V3417" i="2"/>
  <c r="V2279" i="2"/>
  <c r="V2556" i="2"/>
  <c r="V2761" i="2"/>
  <c r="V2978" i="2"/>
  <c r="V3672" i="2"/>
  <c r="V3877" i="2"/>
  <c r="V4094" i="2"/>
  <c r="V4299" i="2"/>
  <c r="V2441" i="2"/>
  <c r="V3655" i="2"/>
  <c r="V4173" i="2"/>
  <c r="V3267" i="2"/>
  <c r="V3070" i="2"/>
  <c r="V1992" i="2"/>
  <c r="V2197" i="2"/>
  <c r="V2414" i="2"/>
  <c r="V2655" i="2"/>
  <c r="V3530" i="2"/>
  <c r="V3735" i="2"/>
  <c r="V3940" i="2"/>
  <c r="V4385" i="2"/>
  <c r="V4602" i="2"/>
  <c r="V4268" i="2"/>
  <c r="V5029" i="2"/>
  <c r="V4621" i="2"/>
  <c r="V2897" i="2"/>
  <c r="V3520" i="2"/>
  <c r="V3965" i="2"/>
  <c r="V4182" i="2"/>
  <c r="V3304" i="2"/>
  <c r="V4057" i="2"/>
  <c r="V4274" i="2"/>
  <c r="V4479" i="2"/>
  <c r="V3618" i="2"/>
  <c r="V3847" i="2"/>
  <c r="V4948" i="2"/>
  <c r="V2953" i="2"/>
  <c r="V4069" i="2"/>
  <c r="V4286" i="2"/>
  <c r="V4491" i="2"/>
  <c r="V3630" i="2"/>
  <c r="V3658" i="2"/>
  <c r="V5008" i="2"/>
  <c r="V3262" i="2"/>
  <c r="V2184" i="2"/>
  <c r="V2389" i="2"/>
  <c r="V2606" i="2"/>
  <c r="V2837" i="2"/>
  <c r="V3505" i="2"/>
  <c r="V3722" i="2"/>
  <c r="V3927" i="2"/>
  <c r="V4132" i="2"/>
  <c r="V4577" i="2"/>
  <c r="V2775" i="2"/>
  <c r="V4640" i="2"/>
  <c r="V4826" i="2"/>
  <c r="V2554" i="2"/>
  <c r="V3409" i="2"/>
  <c r="V2139" i="2"/>
  <c r="V4320" i="2"/>
  <c r="V4525" i="2"/>
  <c r="V2429" i="2"/>
  <c r="V3334" i="2"/>
  <c r="V3869" i="2"/>
  <c r="V4086" i="2"/>
  <c r="V2608" i="2"/>
  <c r="V5063" i="2"/>
  <c r="V3357" i="2"/>
  <c r="V2496" i="2"/>
  <c r="V2701" i="2"/>
  <c r="V3439" i="2"/>
  <c r="V2684" i="2"/>
  <c r="V2599" i="2"/>
  <c r="V2595" i="2"/>
  <c r="V2614" i="2"/>
  <c r="V2987" i="2"/>
  <c r="V3469" i="2"/>
  <c r="V2199" i="2"/>
  <c r="V2753" i="2"/>
  <c r="V3483" i="2"/>
  <c r="V3929" i="2"/>
  <c r="V4146" i="2"/>
  <c r="V3424" i="2"/>
  <c r="V2050" i="2"/>
  <c r="V2423" i="2"/>
  <c r="V2905" i="2"/>
  <c r="V3816" i="2"/>
  <c r="V4238" i="2"/>
  <c r="V4443" i="2"/>
  <c r="V3100" i="2"/>
  <c r="V3582" i="2"/>
  <c r="V3811" i="2"/>
  <c r="V4864" i="2"/>
  <c r="V3214" i="2"/>
  <c r="V2136" i="2"/>
  <c r="V2341" i="2"/>
  <c r="V2558" i="2"/>
  <c r="V2632" i="2"/>
  <c r="V3431" i="2"/>
  <c r="V3674" i="2"/>
  <c r="V3879" i="2"/>
  <c r="V4084" i="2"/>
  <c r="V4529" i="2"/>
  <c r="V2525" i="2"/>
  <c r="V4556" i="2"/>
  <c r="V4682" i="2"/>
  <c r="V2644" i="2"/>
  <c r="V3436" i="2"/>
  <c r="V3664" i="2"/>
  <c r="V4109" i="2"/>
  <c r="V4326" i="2"/>
  <c r="V3704" i="2"/>
  <c r="V5004" i="2"/>
  <c r="V4201" i="2"/>
  <c r="V4418" i="2"/>
  <c r="V4623" i="2"/>
  <c r="V4123" i="2"/>
  <c r="V4846" i="2"/>
  <c r="V2892" i="2"/>
  <c r="V3314" i="2"/>
  <c r="V4213" i="2"/>
  <c r="V4430" i="2"/>
  <c r="V3557" i="2"/>
  <c r="V3774" i="2"/>
  <c r="V4135" i="2"/>
  <c r="V4906" i="2"/>
  <c r="V3189" i="2"/>
  <c r="V2051" i="2"/>
  <c r="V2533" i="2"/>
  <c r="V2750" i="2"/>
  <c r="V3394" i="2"/>
  <c r="V3649" i="2"/>
  <c r="V4071" i="2"/>
  <c r="V4276" i="2"/>
  <c r="V2380" i="2"/>
  <c r="V3341" i="2"/>
  <c r="V3449" i="2"/>
  <c r="V3611" i="2"/>
  <c r="V2698" i="2"/>
  <c r="V3348" i="2"/>
  <c r="V2042" i="2"/>
  <c r="V2283" i="2"/>
  <c r="V4464" i="2"/>
  <c r="V2068" i="2"/>
  <c r="V3089" i="2"/>
  <c r="V3568" i="2"/>
  <c r="V3536" i="2"/>
  <c r="V4716" i="2"/>
  <c r="V1990" i="2"/>
  <c r="V2363" i="2"/>
  <c r="V2120" i="2"/>
  <c r="V3912" i="2"/>
  <c r="V2758" i="2"/>
  <c r="V3131" i="2"/>
  <c r="V3408" i="2"/>
  <c r="V2102" i="2"/>
  <c r="V2343" i="2"/>
  <c r="V4524" i="2"/>
  <c r="V2428" i="2"/>
  <c r="V3329" i="2"/>
  <c r="V3628" i="2"/>
  <c r="V4073" i="2"/>
  <c r="V4290" i="2"/>
  <c r="V3632" i="2"/>
  <c r="V4872" i="2"/>
  <c r="V2194" i="2"/>
  <c r="V2567" i="2"/>
  <c r="V2844" i="2"/>
  <c r="V3049" i="2"/>
  <c r="V3266" i="2"/>
  <c r="V3960" i="2"/>
  <c r="V4165" i="2"/>
  <c r="V4382" i="2"/>
  <c r="V4587" i="2"/>
  <c r="V3509" i="2"/>
  <c r="V3726" i="2"/>
  <c r="V4051" i="2"/>
  <c r="V3141" i="2"/>
  <c r="V2280" i="2"/>
  <c r="V3221" i="2"/>
  <c r="V3601" i="2"/>
  <c r="V3818" i="2"/>
  <c r="V4023" i="2"/>
  <c r="V4228" i="2"/>
  <c r="V2092" i="2"/>
  <c r="V3863" i="2"/>
  <c r="V3232" i="2"/>
  <c r="V3603" i="2"/>
  <c r="V4253" i="2"/>
  <c r="V4470" i="2"/>
  <c r="V3992" i="2"/>
  <c r="V4643" i="2"/>
  <c r="V4345" i="2"/>
  <c r="V4562" i="2"/>
  <c r="V2584" i="2"/>
  <c r="V3689" i="2"/>
  <c r="V4411" i="2"/>
  <c r="V3803" i="2"/>
  <c r="V3036" i="2"/>
  <c r="V3241" i="2"/>
  <c r="V3458" i="2"/>
  <c r="V4152" i="2"/>
  <c r="V4357" i="2"/>
  <c r="V4574" i="2"/>
  <c r="V3701" i="2"/>
  <c r="V3918" i="2"/>
  <c r="V4423" i="2"/>
  <c r="V4163" i="2"/>
  <c r="V3333" i="2"/>
  <c r="V2472" i="2"/>
  <c r="V3793" i="2"/>
  <c r="V4010" i="2"/>
  <c r="V4215" i="2"/>
  <c r="V3571" i="2"/>
  <c r="V3897" i="2"/>
  <c r="V2842" i="2"/>
  <c r="V3215" i="2"/>
  <c r="V3492" i="2"/>
  <c r="V2186" i="2"/>
  <c r="V2427" i="2"/>
  <c r="V4608" i="2"/>
  <c r="V3507" i="2"/>
  <c r="V3712" i="2"/>
  <c r="V4157" i="2"/>
  <c r="V4374" i="2"/>
  <c r="V3824" i="2"/>
  <c r="V4893" i="2"/>
  <c r="V2134" i="2"/>
  <c r="V2507" i="2"/>
  <c r="V2784" i="2"/>
  <c r="V2989" i="2"/>
  <c r="V2337" i="2"/>
  <c r="V2637" i="2"/>
  <c r="V3416" i="2"/>
  <c r="V4344" i="2"/>
  <c r="V2902" i="2"/>
  <c r="V3275" i="2"/>
  <c r="V2029" i="2"/>
  <c r="V2487" i="2"/>
  <c r="V1985" i="2"/>
  <c r="V3088" i="2"/>
  <c r="V3567" i="2"/>
  <c r="V3772" i="2"/>
  <c r="V4217" i="2"/>
  <c r="V4434" i="2"/>
  <c r="V3920" i="2"/>
  <c r="V2338" i="2"/>
  <c r="V2988" i="2"/>
  <c r="V3193" i="2"/>
  <c r="V3410" i="2"/>
  <c r="V4104" i="2"/>
  <c r="V4309" i="2"/>
  <c r="V4526" i="2"/>
  <c r="V2368" i="2"/>
  <c r="V3653" i="2"/>
  <c r="V3870" i="2"/>
  <c r="V2836" i="2"/>
  <c r="V3285" i="2"/>
  <c r="V2147" i="2"/>
  <c r="V2629" i="2"/>
  <c r="V2846" i="2"/>
  <c r="V3540" i="2"/>
  <c r="V3745" i="2"/>
  <c r="V4167" i="2"/>
  <c r="V4372" i="2"/>
  <c r="V2861" i="2"/>
  <c r="V3523" i="2"/>
  <c r="V3753" i="2"/>
  <c r="V4755" i="2"/>
  <c r="V3747" i="2"/>
  <c r="V4397" i="2"/>
  <c r="V4614" i="2"/>
  <c r="V5089" i="2"/>
  <c r="V4489" i="2"/>
  <c r="V3195" i="2"/>
  <c r="V3833" i="2"/>
  <c r="V2176" i="2"/>
  <c r="V4931" i="2"/>
  <c r="V3180" i="2"/>
  <c r="V3385" i="2"/>
  <c r="V2115" i="2"/>
  <c r="V4296" i="2"/>
  <c r="V4501" i="2"/>
  <c r="V2285" i="2"/>
  <c r="V3243" i="2"/>
  <c r="V3845" i="2"/>
  <c r="V4062" i="2"/>
  <c r="V4991" i="2"/>
  <c r="V3477" i="2"/>
  <c r="V2339" i="2"/>
  <c r="V2616" i="2"/>
  <c r="V3038" i="2"/>
  <c r="V3732" i="2"/>
  <c r="V4154" i="2"/>
  <c r="V4359" i="2"/>
  <c r="V2764" i="2"/>
  <c r="V3498" i="2"/>
  <c r="V3715" i="2"/>
  <c r="V4329" i="2"/>
  <c r="V2986" i="2"/>
  <c r="V3359" i="2"/>
  <c r="V2113" i="2"/>
  <c r="V2330" i="2"/>
  <c r="V2571" i="2"/>
  <c r="V2489" i="2"/>
  <c r="V3400" i="2"/>
  <c r="V3651" i="2"/>
  <c r="V3856" i="2"/>
  <c r="V4301" i="2"/>
  <c r="V4518" i="2"/>
  <c r="V4112" i="2"/>
  <c r="V4801" i="2"/>
  <c r="V2278" i="2"/>
  <c r="V2651" i="2"/>
  <c r="V2928" i="2"/>
  <c r="V3133" i="2"/>
  <c r="V3369" i="2"/>
  <c r="V2158" i="2"/>
  <c r="V3105" i="2"/>
  <c r="V3046" i="2"/>
  <c r="V3419" i="2"/>
  <c r="V2390" i="2"/>
  <c r="V2799" i="2"/>
  <c r="V3506" i="2"/>
  <c r="V3711" i="2"/>
  <c r="V3916" i="2"/>
  <c r="V4361" i="2"/>
  <c r="V4578" i="2"/>
  <c r="V4208" i="2"/>
  <c r="V4957" i="2"/>
  <c r="V2482" i="2"/>
  <c r="V3132" i="2"/>
  <c r="V3337" i="2"/>
  <c r="V2067" i="2"/>
  <c r="V4248" i="2"/>
  <c r="V1997" i="2"/>
  <c r="V3797" i="2"/>
  <c r="V4014" i="2"/>
  <c r="V4627" i="2"/>
  <c r="V4847" i="2"/>
  <c r="V3429" i="2"/>
  <c r="V2291" i="2"/>
  <c r="V2990" i="2"/>
  <c r="V3684" i="2"/>
  <c r="V3889" i="2"/>
  <c r="V4106" i="2"/>
  <c r="V4311" i="2"/>
  <c r="V3412" i="2"/>
  <c r="V3667" i="2"/>
  <c r="V4185" i="2"/>
  <c r="V3686" i="2"/>
  <c r="V3891" i="2"/>
  <c r="V4096" i="2"/>
  <c r="V4541" i="2"/>
  <c r="V2597" i="2"/>
  <c r="V4568" i="2"/>
  <c r="V4742" i="2"/>
  <c r="V4633" i="2"/>
  <c r="V2945" i="2"/>
  <c r="V3532" i="2"/>
  <c r="V3448" i="2"/>
  <c r="V3324" i="2"/>
  <c r="V2259" i="2"/>
  <c r="V4440" i="2"/>
  <c r="V4645" i="2"/>
  <c r="V3989" i="2"/>
  <c r="V4206" i="2"/>
  <c r="V3471" i="2"/>
  <c r="V4594" i="2"/>
  <c r="V2110" i="2"/>
  <c r="V2483" i="2"/>
  <c r="V2760" i="2"/>
  <c r="V2965" i="2"/>
  <c r="V3182" i="2"/>
  <c r="V3876" i="2"/>
  <c r="V4081" i="2"/>
  <c r="V4298" i="2"/>
  <c r="V4503" i="2"/>
  <c r="V3339" i="2"/>
  <c r="V3642" i="2"/>
  <c r="V3895" i="2"/>
  <c r="V3730" i="2"/>
  <c r="V5020" i="2"/>
  <c r="V3130" i="2"/>
  <c r="V2257" i="2"/>
  <c r="V2474" i="2"/>
  <c r="V2128" i="2"/>
  <c r="V3135" i="2"/>
  <c r="V3590" i="2"/>
  <c r="V3795" i="2"/>
  <c r="V4000" i="2"/>
  <c r="V4445" i="2"/>
  <c r="V2021" i="2"/>
  <c r="V2422" i="2"/>
  <c r="V2795" i="2"/>
  <c r="V3072" i="2"/>
  <c r="V3277" i="2"/>
  <c r="V3310" i="2"/>
  <c r="V2255" i="2"/>
  <c r="V3985" i="2"/>
  <c r="V3190" i="2"/>
  <c r="V2112" i="2"/>
  <c r="V2317" i="2"/>
  <c r="V2534" i="2"/>
  <c r="V2488" i="2"/>
  <c r="V3363" i="2"/>
  <c r="V3650" i="2"/>
  <c r="V3855" i="2"/>
  <c r="V4060" i="2"/>
  <c r="V4505" i="2"/>
  <c r="V2381" i="2"/>
  <c r="V4496" i="2"/>
  <c r="V4456" i="2"/>
  <c r="V2999" i="2"/>
  <c r="V3276" i="2"/>
  <c r="V3481" i="2"/>
  <c r="V2211" i="2"/>
  <c r="V4392" i="2"/>
  <c r="V4597" i="2"/>
  <c r="V2801" i="2"/>
  <c r="V3496" i="2"/>
  <c r="V4158" i="2"/>
  <c r="V3814" i="2"/>
  <c r="V2062" i="2"/>
  <c r="V2435" i="2"/>
  <c r="V2712" i="2"/>
  <c r="V2917" i="2"/>
  <c r="V3134" i="2"/>
  <c r="V4033" i="2"/>
  <c r="V4250" i="2"/>
  <c r="V4455" i="2"/>
  <c r="V3594" i="2"/>
  <c r="V4617" i="2"/>
  <c r="V4876" i="2"/>
  <c r="V3830" i="2"/>
  <c r="V4035" i="2"/>
  <c r="V4240" i="2"/>
  <c r="V2164" i="2"/>
  <c r="V3161" i="2"/>
  <c r="V5061" i="2"/>
  <c r="V2704" i="2"/>
  <c r="V3463" i="2"/>
  <c r="V3676" i="2"/>
  <c r="V4121" i="2"/>
  <c r="V4338" i="2"/>
  <c r="V3752" i="2"/>
  <c r="V5016" i="2"/>
  <c r="V2162" i="2"/>
  <c r="V2403" i="2"/>
  <c r="V4584" i="2"/>
  <c r="V2752" i="2"/>
  <c r="V3482" i="2"/>
  <c r="V4133" i="2"/>
  <c r="V4350" i="2"/>
  <c r="V3764" i="2"/>
  <c r="V5076" i="2"/>
  <c r="V2254" i="2"/>
  <c r="V2627" i="2"/>
  <c r="V2904" i="2"/>
  <c r="V3326" i="2"/>
  <c r="V4225" i="2"/>
  <c r="V4442" i="2"/>
  <c r="V4647" i="2"/>
  <c r="V3569" i="2"/>
  <c r="V4147" i="2"/>
  <c r="V4918" i="2"/>
  <c r="V3274" i="2"/>
  <c r="V2196" i="2"/>
  <c r="V2401" i="2"/>
  <c r="V2618" i="2"/>
  <c r="V3517" i="2"/>
  <c r="V3939" i="2"/>
  <c r="V4144" i="2"/>
  <c r="V4589" i="2"/>
  <c r="V2823" i="2"/>
  <c r="V2105" i="2"/>
  <c r="V4886" i="2"/>
  <c r="V2566" i="2"/>
  <c r="V2939" i="2"/>
  <c r="V3421" i="2"/>
  <c r="V3383" i="2"/>
  <c r="V3107" i="2"/>
  <c r="V2244" i="2"/>
  <c r="V1979" i="2"/>
  <c r="V2256" i="2"/>
  <c r="V2461" i="2"/>
  <c r="V2678" i="2"/>
  <c r="V3577" i="2"/>
  <c r="V4649" i="2"/>
  <c r="V3063" i="2"/>
  <c r="V2681" i="2"/>
  <c r="V2770" i="2"/>
  <c r="V3143" i="2"/>
  <c r="V3420" i="2"/>
  <c r="V2355" i="2"/>
  <c r="V4536" i="2"/>
  <c r="V2500" i="2"/>
  <c r="V3640" i="2"/>
  <c r="V4085" i="2"/>
  <c r="V4302" i="2"/>
  <c r="V3680" i="2"/>
  <c r="V4932" i="2"/>
  <c r="V2206" i="2"/>
  <c r="V2579" i="2"/>
  <c r="V2856" i="2"/>
  <c r="V3061" i="2"/>
  <c r="V3278" i="2"/>
  <c r="V3972" i="2"/>
  <c r="V4177" i="2"/>
  <c r="V4599" i="2"/>
  <c r="V3521" i="2"/>
  <c r="V3738" i="2"/>
  <c r="V4063" i="2"/>
  <c r="V4774" i="2"/>
  <c r="V3757" i="2"/>
  <c r="V3974" i="2"/>
  <c r="V4179" i="2"/>
  <c r="V4384" i="2"/>
  <c r="V2909" i="2"/>
  <c r="V3813" i="2"/>
  <c r="V4815" i="2"/>
  <c r="V3280" i="2"/>
  <c r="V3615" i="2"/>
  <c r="V3820" i="2"/>
  <c r="V4265" i="2"/>
  <c r="V4482" i="2"/>
  <c r="V4040" i="2"/>
  <c r="V4669" i="2"/>
  <c r="V2089" i="2"/>
  <c r="V2306" i="2"/>
  <c r="V2547" i="2"/>
  <c r="V2345" i="2"/>
  <c r="V3328" i="2"/>
  <c r="V3627" i="2"/>
  <c r="V3832" i="2"/>
  <c r="V4494" i="2"/>
  <c r="V4052" i="2"/>
  <c r="V4729" i="2"/>
  <c r="V2398" i="2"/>
  <c r="V2771" i="2"/>
  <c r="V3048" i="2"/>
  <c r="V3253" i="2"/>
  <c r="V1983" i="2"/>
  <c r="V4164" i="2"/>
  <c r="V4369" i="2"/>
  <c r="V4586" i="2"/>
  <c r="V3713" i="2"/>
  <c r="V3930" i="2"/>
  <c r="V4435" i="2"/>
  <c r="V4235" i="2"/>
  <c r="V3201" i="2"/>
  <c r="V2340" i="2"/>
  <c r="V2762" i="2"/>
  <c r="V3430" i="2"/>
  <c r="V3661" i="2"/>
  <c r="V4083" i="2"/>
  <c r="V4288" i="2"/>
  <c r="V2452" i="2"/>
  <c r="V3377" i="2"/>
  <c r="V3525" i="2"/>
  <c r="V3971" i="2"/>
  <c r="V2710" i="2"/>
  <c r="V3083" i="2"/>
  <c r="V3360" i="2"/>
  <c r="V2054" i="2"/>
  <c r="V2808" i="2"/>
  <c r="V2137" i="2"/>
  <c r="V3261" i="2"/>
  <c r="V2123" i="2"/>
  <c r="V2400" i="2"/>
  <c r="V2605" i="2"/>
  <c r="V2822" i="2"/>
  <c r="V3516" i="2"/>
  <c r="V3721" i="2"/>
  <c r="V3938" i="2"/>
  <c r="V4143" i="2"/>
  <c r="V4348" i="2"/>
  <c r="V2765" i="2"/>
  <c r="V3499" i="2"/>
  <c r="V3681" i="2"/>
  <c r="V4683" i="2"/>
  <c r="V2914" i="2"/>
  <c r="V3287" i="2"/>
  <c r="V2041" i="2"/>
  <c r="V2258" i="2"/>
  <c r="V2499" i="2"/>
  <c r="V2057" i="2"/>
  <c r="V3784" i="2"/>
  <c r="V4229" i="2"/>
  <c r="V3968" i="2"/>
  <c r="V4319" i="2"/>
  <c r="V2350" i="2"/>
  <c r="V2723" i="2"/>
  <c r="V3000" i="2"/>
  <c r="V3205" i="2"/>
  <c r="V3422" i="2"/>
  <c r="V4321" i="2"/>
  <c r="V4538" i="2"/>
  <c r="V3665" i="2"/>
  <c r="V3882" i="2"/>
  <c r="V4351" i="2"/>
  <c r="V3124" i="2"/>
  <c r="V3901" i="2"/>
  <c r="V4118" i="2"/>
  <c r="V4323" i="2"/>
  <c r="V3679" i="2"/>
  <c r="V4245" i="2"/>
  <c r="V3838" i="2"/>
  <c r="V3554" i="2"/>
  <c r="V3759" i="2"/>
  <c r="V3964" i="2"/>
  <c r="V4409" i="2"/>
  <c r="V4626" i="2"/>
  <c r="V4328" i="2"/>
  <c r="V4988" i="2"/>
  <c r="V2233" i="2"/>
  <c r="V2450" i="2"/>
  <c r="V1984" i="2"/>
  <c r="V3039" i="2"/>
  <c r="V3566" i="2"/>
  <c r="V3771" i="2"/>
  <c r="V3976" i="2"/>
  <c r="V4340" i="2"/>
  <c r="V5013" i="2"/>
  <c r="V2542" i="2"/>
  <c r="V2915" i="2"/>
  <c r="V3192" i="2"/>
  <c r="V3397" i="2"/>
  <c r="V2127" i="2"/>
  <c r="V4308" i="2"/>
  <c r="V4513" i="2"/>
  <c r="V3291" i="2"/>
  <c r="V3857" i="2"/>
  <c r="V4074" i="2"/>
  <c r="V2320" i="2"/>
  <c r="V5003" i="2"/>
  <c r="V3345" i="2"/>
  <c r="V2207" i="2"/>
  <c r="V2484" i="2"/>
  <c r="V2689" i="2"/>
  <c r="V2906" i="2"/>
  <c r="V3600" i="2"/>
  <c r="V3805" i="2"/>
  <c r="V4227" i="2"/>
  <c r="V3101" i="2"/>
  <c r="V3583" i="2"/>
  <c r="V3957" i="2"/>
  <c r="V4959" i="2"/>
  <c r="V2854" i="2"/>
  <c r="V3227" i="2"/>
  <c r="V1981" i="2"/>
  <c r="V2198" i="2"/>
  <c r="V2294" i="2"/>
  <c r="V2569" i="2"/>
  <c r="V3405" i="2"/>
  <c r="V2267" i="2"/>
  <c r="V2544" i="2"/>
  <c r="V2749" i="2"/>
  <c r="V2966" i="2"/>
  <c r="V3660" i="2"/>
  <c r="V3865" i="2"/>
  <c r="V4082" i="2"/>
  <c r="V4287" i="2"/>
  <c r="V2369" i="2"/>
  <c r="V3340" i="2"/>
  <c r="V3643" i="2"/>
  <c r="V3935" i="2"/>
  <c r="V1980" i="2"/>
  <c r="V2185" i="2"/>
  <c r="V2402" i="2"/>
  <c r="V2847" i="2"/>
  <c r="V3518" i="2"/>
  <c r="V3723" i="2"/>
  <c r="V3928" i="2"/>
  <c r="V4373" i="2"/>
  <c r="V4590" i="2"/>
  <c r="V4256" i="2"/>
  <c r="V5017" i="2"/>
  <c r="V3144" i="2"/>
  <c r="V3349" i="2"/>
  <c r="V2079" i="2"/>
  <c r="V4260" i="2"/>
  <c r="V4465" i="2"/>
  <c r="V2069" i="2"/>
  <c r="V3099" i="2"/>
  <c r="V3809" i="2"/>
  <c r="V4026" i="2"/>
  <c r="V4639" i="2"/>
  <c r="V4045" i="2"/>
  <c r="V4262" i="2"/>
  <c r="V4467" i="2"/>
  <c r="V3196" i="2"/>
  <c r="V3606" i="2"/>
  <c r="V2476" i="2"/>
  <c r="V4936" i="2"/>
  <c r="V3698" i="2"/>
  <c r="V4108" i="2"/>
  <c r="V4616" i="2"/>
  <c r="V4754" i="2"/>
  <c r="V2377" i="2"/>
  <c r="V2594" i="2"/>
  <c r="V3493" i="2"/>
  <c r="V3710" i="2"/>
  <c r="V3915" i="2"/>
  <c r="V4120" i="2"/>
  <c r="V4565" i="2"/>
  <c r="V2727" i="2"/>
  <c r="V4628" i="2"/>
  <c r="V4814" i="2"/>
  <c r="V2686" i="2"/>
  <c r="V3059" i="2"/>
  <c r="V3336" i="2"/>
  <c r="V2030" i="2"/>
  <c r="V4452" i="2"/>
  <c r="V1996" i="2"/>
  <c r="V3556" i="2"/>
  <c r="V4001" i="2"/>
  <c r="V4218" i="2"/>
  <c r="V3487" i="2"/>
  <c r="V4642" i="2"/>
  <c r="V1978" i="2"/>
  <c r="V2351" i="2"/>
  <c r="V2628" i="2"/>
  <c r="V2833" i="2"/>
  <c r="V3050" i="2"/>
  <c r="V3744" i="2"/>
  <c r="V3949" i="2"/>
  <c r="V4166" i="2"/>
  <c r="V4371" i="2"/>
  <c r="V2812" i="2"/>
  <c r="V3727" i="2"/>
  <c r="V4389" i="2"/>
  <c r="V3371" i="2"/>
  <c r="V2125" i="2"/>
  <c r="V2396" i="2"/>
  <c r="V2802" i="2"/>
  <c r="V2535" i="2"/>
  <c r="V2038" i="2"/>
  <c r="V2411" i="2"/>
  <c r="V2688" i="2"/>
  <c r="V3110" i="2"/>
  <c r="V3804" i="2"/>
  <c r="V4431" i="2"/>
  <c r="V3052" i="2"/>
  <c r="V3570" i="2"/>
  <c r="V3799" i="2"/>
  <c r="V4545" i="2"/>
  <c r="V4804" i="2"/>
  <c r="V3202" i="2"/>
  <c r="V2124" i="2"/>
  <c r="V2329" i="2"/>
  <c r="V2546" i="2"/>
  <c r="V2560" i="2"/>
  <c r="V3399" i="2"/>
  <c r="V3662" i="2"/>
  <c r="V3867" i="2"/>
  <c r="V4072" i="2"/>
  <c r="V4544" i="2"/>
  <c r="V4670" i="2"/>
  <c r="V2638" i="2"/>
  <c r="V3011" i="2"/>
  <c r="V2223" i="2"/>
  <c r="V4404" i="2"/>
  <c r="V4609" i="2"/>
  <c r="V3508" i="2"/>
  <c r="V3953" i="2"/>
  <c r="V4170" i="2"/>
  <c r="V3256" i="2"/>
  <c r="V3886" i="2"/>
  <c r="V4189" i="2"/>
  <c r="V4406" i="2"/>
  <c r="V4611" i="2"/>
  <c r="V3533" i="2"/>
  <c r="V3750" i="2"/>
  <c r="V4075" i="2"/>
  <c r="V4834" i="2"/>
  <c r="V3625" i="2"/>
  <c r="V3842" i="2"/>
  <c r="V4047" i="2"/>
  <c r="V4252" i="2"/>
  <c r="V3209" i="2"/>
  <c r="V2521" i="2"/>
  <c r="V2738" i="2"/>
  <c r="V3358" i="2"/>
  <c r="V3637" i="2"/>
  <c r="V3854" i="2"/>
  <c r="V4059" i="2"/>
  <c r="V4264" i="2"/>
  <c r="V2308" i="2"/>
  <c r="V3303" i="2"/>
  <c r="V3423" i="2"/>
  <c r="V3539" i="2"/>
  <c r="V2830" i="2"/>
  <c r="V3203" i="2"/>
  <c r="V2174" i="2"/>
  <c r="V2415" i="2"/>
  <c r="V3495" i="2"/>
  <c r="V3700" i="2"/>
  <c r="V4362" i="2"/>
  <c r="V3776" i="2"/>
  <c r="V5088" i="2"/>
  <c r="V2122" i="2"/>
  <c r="V2772" i="2"/>
  <c r="V2977" i="2"/>
  <c r="V3888" i="2"/>
  <c r="V4093" i="2"/>
  <c r="V4310" i="2"/>
  <c r="V4515" i="2"/>
  <c r="V3375" i="2"/>
  <c r="V3654" i="2"/>
  <c r="V4090" i="2"/>
  <c r="V5092" i="2"/>
  <c r="V3142" i="2"/>
  <c r="V2269" i="2"/>
  <c r="V2486" i="2"/>
  <c r="V3062" i="2"/>
  <c r="V3756" i="2"/>
  <c r="V3961" i="2"/>
  <c r="V4178" i="2"/>
  <c r="V2860" i="2"/>
  <c r="V3522" i="2"/>
  <c r="V3751" i="2"/>
  <c r="V4655" i="2"/>
  <c r="V3461" i="2"/>
  <c r="V3675" i="2"/>
  <c r="V3880" i="2"/>
  <c r="V4325" i="2"/>
  <c r="V4542" i="2"/>
  <c r="V4136" i="2"/>
  <c r="V4873" i="2"/>
  <c r="V2992" i="2"/>
  <c r="V3543" i="2"/>
  <c r="V3748" i="2"/>
  <c r="V4193" i="2"/>
  <c r="V3527" i="2"/>
  <c r="V2161" i="2"/>
  <c r="V2378" i="2"/>
  <c r="V2619" i="2"/>
  <c r="V2751" i="2"/>
  <c r="V3494" i="2"/>
  <c r="V3904" i="2"/>
  <c r="V4349" i="2"/>
  <c r="V4566" i="2"/>
  <c r="V4196" i="2"/>
  <c r="V4945" i="2"/>
  <c r="V4663" i="2"/>
  <c r="V3017" i="2"/>
  <c r="V4798" i="2"/>
  <c r="V4968" i="2"/>
  <c r="V4773" i="2"/>
  <c r="V4055" i="2"/>
  <c r="V4675" i="2"/>
  <c r="V4531" i="2"/>
  <c r="V2393" i="2"/>
  <c r="V4666" i="2"/>
  <c r="V5006" i="2"/>
  <c r="V2692" i="2"/>
  <c r="V4067" i="2"/>
  <c r="V4604" i="2"/>
  <c r="V4018" i="2"/>
  <c r="V4874" i="2"/>
  <c r="V2740" i="2"/>
  <c r="V4711" i="2"/>
  <c r="V4624" i="2"/>
  <c r="V3123" i="2"/>
  <c r="V4390" i="2"/>
  <c r="V4766" i="2"/>
  <c r="V4960" i="2"/>
  <c r="V5094" i="2"/>
  <c r="V4015" i="2"/>
  <c r="V4220" i="2"/>
  <c r="V5048" i="2"/>
  <c r="V4684" i="2"/>
  <c r="V4818" i="2"/>
  <c r="V3800" i="2"/>
  <c r="V4005" i="2"/>
  <c r="V4679" i="2"/>
  <c r="V4849" i="2"/>
  <c r="V5007" i="2"/>
  <c r="V2332" i="2"/>
  <c r="V4078" i="2"/>
  <c r="V3668" i="2"/>
  <c r="V3873" i="2"/>
  <c r="V4717" i="2"/>
  <c r="V2787" i="2"/>
  <c r="V4854" i="2"/>
  <c r="V4797" i="2"/>
  <c r="V4930" i="2"/>
  <c r="V5000" i="2"/>
  <c r="V3683" i="2"/>
  <c r="V4673" i="2"/>
  <c r="V4807" i="2"/>
  <c r="V3206" i="2"/>
  <c r="V3900" i="2"/>
  <c r="V4105" i="2"/>
  <c r="V4322" i="2"/>
  <c r="V3666" i="2"/>
  <c r="V3919" i="2"/>
  <c r="V4162" i="2"/>
  <c r="V4809" i="2"/>
  <c r="V3614" i="2"/>
  <c r="V3819" i="2"/>
  <c r="V4024" i="2"/>
  <c r="V4469" i="2"/>
  <c r="V2165" i="2"/>
  <c r="V4424" i="2"/>
  <c r="V3687" i="2"/>
  <c r="V3892" i="2"/>
  <c r="V4337" i="2"/>
  <c r="V4554" i="2"/>
  <c r="V4184" i="2"/>
  <c r="V4885" i="2"/>
  <c r="V2305" i="2"/>
  <c r="V2522" i="2"/>
  <c r="V2416" i="2"/>
  <c r="V3327" i="2"/>
  <c r="V3638" i="2"/>
  <c r="V3843" i="2"/>
  <c r="V4493" i="2"/>
  <c r="V2309" i="2"/>
  <c r="V4484" i="2"/>
  <c r="V4402" i="2"/>
  <c r="V2776" i="2"/>
  <c r="V4942" i="2"/>
  <c r="V3791" i="2"/>
  <c r="V3755" i="2"/>
  <c r="V4819" i="2"/>
  <c r="V2032" i="2"/>
  <c r="V3065" i="2"/>
  <c r="V4810" i="2"/>
  <c r="V4980" i="2"/>
  <c r="V4127" i="2"/>
  <c r="V4687" i="2"/>
  <c r="V4543" i="2"/>
  <c r="V2465" i="2"/>
  <c r="V4678" i="2"/>
  <c r="V4848" i="2"/>
  <c r="V5018" i="2"/>
  <c r="V2980" i="2"/>
  <c r="V4139" i="2"/>
  <c r="V4721" i="2"/>
  <c r="V4855" i="2"/>
  <c r="V4618" i="2"/>
  <c r="V4796" i="2"/>
  <c r="V4234" i="2"/>
  <c r="V4740" i="2"/>
  <c r="V4910" i="2"/>
  <c r="V5012" i="2"/>
  <c r="V3490" i="2"/>
  <c r="V4364" i="2"/>
  <c r="V4569" i="2"/>
  <c r="V3598" i="2"/>
  <c r="V4552" i="2"/>
  <c r="V4828" i="2"/>
  <c r="V4962" i="2"/>
  <c r="V3739" i="2"/>
  <c r="V3944" i="2"/>
  <c r="V4149" i="2"/>
  <c r="V4823" i="2"/>
  <c r="V4993" i="2"/>
  <c r="V2691" i="2"/>
  <c r="V4066" i="2"/>
  <c r="V4688" i="2"/>
  <c r="V4017" i="2"/>
  <c r="V4691" i="2"/>
  <c r="V4861" i="2"/>
  <c r="V5019" i="2"/>
  <c r="V2739" i="2"/>
  <c r="V4150" i="2"/>
  <c r="V4998" i="2"/>
  <c r="V3851" i="2"/>
  <c r="V3599" i="2"/>
  <c r="V4817" i="2"/>
  <c r="V3350" i="2"/>
  <c r="V4044" i="2"/>
  <c r="V4249" i="2"/>
  <c r="V4466" i="2"/>
  <c r="V2008" i="2"/>
  <c r="V3593" i="2"/>
  <c r="V3810" i="2"/>
  <c r="V4207" i="2"/>
  <c r="V3541" i="2"/>
  <c r="V3758" i="2"/>
  <c r="V3963" i="2"/>
  <c r="V4168" i="2"/>
  <c r="V4613" i="2"/>
  <c r="V2919" i="2"/>
  <c r="V2249" i="2"/>
  <c r="V4958" i="2"/>
  <c r="V3626" i="2"/>
  <c r="V3831" i="2"/>
  <c r="V4036" i="2"/>
  <c r="V4481" i="2"/>
  <c r="V2237" i="2"/>
  <c r="V4472" i="2"/>
  <c r="V4042" i="2"/>
  <c r="V2449" i="2"/>
  <c r="V2666" i="2"/>
  <c r="V3077" i="2"/>
  <c r="V3565" i="2"/>
  <c r="V3782" i="2"/>
  <c r="V3987" i="2"/>
  <c r="V4637" i="2"/>
  <c r="V2609" i="2"/>
  <c r="V5030" i="2"/>
  <c r="V3346" i="2"/>
  <c r="V5086" i="2"/>
  <c r="V3671" i="2"/>
  <c r="V4558" i="2"/>
  <c r="V4829" i="2"/>
  <c r="V4963" i="2"/>
  <c r="V2824" i="2"/>
  <c r="V3501" i="2"/>
  <c r="V4954" i="2"/>
  <c r="V4486" i="2"/>
  <c r="V4697" i="2"/>
  <c r="V4831" i="2"/>
  <c r="V2104" i="2"/>
  <c r="V4822" i="2"/>
  <c r="V4929" i="2"/>
  <c r="V4699" i="2"/>
  <c r="V4999" i="2"/>
  <c r="V4794" i="2"/>
  <c r="V4940" i="2"/>
  <c r="V4714" i="2"/>
  <c r="V4884" i="2"/>
  <c r="V5054" i="2"/>
  <c r="V3551" i="2"/>
  <c r="V4355" i="2"/>
  <c r="V4303" i="2"/>
  <c r="V4508" i="2"/>
  <c r="V3388" i="2"/>
  <c r="V4450" i="2"/>
  <c r="V4778" i="2"/>
  <c r="V4972" i="2"/>
  <c r="V4964" i="2"/>
  <c r="V3883" i="2"/>
  <c r="V4088" i="2"/>
  <c r="V4293" i="2"/>
  <c r="V4967" i="2"/>
  <c r="V4725" i="2"/>
  <c r="V4126" i="2"/>
  <c r="V4686" i="2"/>
  <c r="V4832" i="2"/>
  <c r="V3956" i="2"/>
  <c r="V4161" i="2"/>
  <c r="V4835" i="2"/>
  <c r="V5005" i="2"/>
  <c r="V2979" i="2"/>
  <c r="V4138" i="2"/>
  <c r="V4700" i="2"/>
  <c r="V4689" i="2"/>
  <c r="V3911" i="2"/>
  <c r="V3765" i="2"/>
  <c r="V3389" i="2"/>
  <c r="V4451" i="2"/>
  <c r="V2007" i="2"/>
  <c r="V4188" i="2"/>
  <c r="V4393" i="2"/>
  <c r="V4610" i="2"/>
  <c r="V2811" i="2"/>
  <c r="V3737" i="2"/>
  <c r="V3954" i="2"/>
  <c r="V4495" i="2"/>
  <c r="V4588" i="2"/>
  <c r="V3685" i="2"/>
  <c r="V3902" i="2"/>
  <c r="V4312" i="2"/>
  <c r="V3447" i="2"/>
  <c r="V3597" i="2"/>
  <c r="V4403" i="2"/>
  <c r="V3770" i="2"/>
  <c r="V3975" i="2"/>
  <c r="V4180" i="2"/>
  <c r="V4625" i="2"/>
  <c r="V2967" i="2"/>
  <c r="V2537" i="2"/>
  <c r="V4970" i="2"/>
  <c r="V2810" i="2"/>
  <c r="V3504" i="2"/>
  <c r="V3709" i="2"/>
  <c r="V3926" i="2"/>
  <c r="V4131" i="2"/>
  <c r="V4336" i="2"/>
  <c r="V2717" i="2"/>
  <c r="V3486" i="2"/>
  <c r="V4671" i="2"/>
  <c r="V3777" i="2"/>
  <c r="V3515" i="2"/>
  <c r="V4499" i="2"/>
  <c r="V4779" i="2"/>
  <c r="V4973" i="2"/>
  <c r="V3382" i="2"/>
  <c r="V3645" i="2"/>
  <c r="V5036" i="2"/>
  <c r="V3743" i="2"/>
  <c r="V4606" i="2"/>
  <c r="V4975" i="2"/>
  <c r="V2872" i="2"/>
  <c r="V3513" i="2"/>
  <c r="V4966" i="2"/>
  <c r="V4737" i="2"/>
  <c r="V3899" i="2"/>
  <c r="V4709" i="2"/>
  <c r="V4843" i="2"/>
  <c r="V5009" i="2"/>
  <c r="V4677" i="2"/>
  <c r="V4938" i="2"/>
  <c r="V4858" i="2"/>
  <c r="V5028" i="2"/>
  <c r="V2621" i="2"/>
  <c r="V4415" i="2"/>
  <c r="V4735" i="2"/>
  <c r="V4447" i="2"/>
  <c r="V4652" i="2"/>
  <c r="V4306" i="2"/>
  <c r="V4922" i="2"/>
  <c r="V3353" i="2"/>
  <c r="V3563" i="2"/>
  <c r="V4027" i="2"/>
  <c r="V4232" i="2"/>
  <c r="V4437" i="2"/>
  <c r="V2788" i="2"/>
  <c r="V3826" i="2"/>
  <c r="V4830" i="2"/>
  <c r="V3503" i="2"/>
  <c r="V4305" i="2"/>
  <c r="V4979" i="2"/>
  <c r="V4869" i="2"/>
  <c r="V4198" i="2"/>
  <c r="V4698" i="2"/>
  <c r="V4844" i="2"/>
  <c r="V3779" i="2"/>
  <c r="V4657" i="2"/>
  <c r="V4795" i="2"/>
  <c r="V3909" i="2"/>
  <c r="V4753" i="2"/>
  <c r="V4911" i="2"/>
  <c r="V4976" i="2"/>
  <c r="V3502" i="2"/>
  <c r="V2151" i="2"/>
  <c r="V4332" i="2"/>
  <c r="V4537" i="2"/>
  <c r="V2501" i="2"/>
  <c r="V3370" i="2"/>
  <c r="V4098" i="2"/>
  <c r="V2680" i="2"/>
  <c r="V5075" i="2"/>
  <c r="V3829" i="2"/>
  <c r="V4046" i="2"/>
  <c r="V4251" i="2"/>
  <c r="V2153" i="2"/>
  <c r="V3197" i="2"/>
  <c r="V5031" i="2"/>
  <c r="V3914" i="2"/>
  <c r="V4119" i="2"/>
  <c r="V4324" i="2"/>
  <c r="V2668" i="2"/>
  <c r="V3470" i="2"/>
  <c r="V3609" i="2"/>
  <c r="V4462" i="2"/>
  <c r="V2737" i="2"/>
  <c r="V2954" i="2"/>
  <c r="V3648" i="2"/>
  <c r="V3853" i="2"/>
  <c r="V4070" i="2"/>
  <c r="V4275" i="2"/>
  <c r="V2297" i="2"/>
  <c r="V3293" i="2"/>
  <c r="V3631" i="2"/>
  <c r="V4101" i="2"/>
  <c r="V5060" i="2"/>
  <c r="V3716" i="2"/>
  <c r="V3921" i="2"/>
  <c r="V4379" i="2"/>
  <c r="V4765" i="2"/>
  <c r="V4923" i="2"/>
  <c r="V3647" i="2"/>
  <c r="V3789" i="2"/>
  <c r="V3587" i="2"/>
  <c r="V4791" i="2"/>
  <c r="V4985" i="2"/>
  <c r="V3575" i="2"/>
  <c r="V3418" i="2"/>
  <c r="V3657" i="2"/>
  <c r="V3076" i="2"/>
  <c r="V3815" i="2"/>
  <c r="V4654" i="2"/>
  <c r="V4853" i="2"/>
  <c r="V4987" i="2"/>
  <c r="V4749" i="2"/>
  <c r="V3790" i="2"/>
  <c r="V5082" i="2"/>
  <c r="V5002" i="2"/>
  <c r="V2117" i="2"/>
  <c r="V4115" i="2"/>
  <c r="V4745" i="2"/>
  <c r="V4879" i="2"/>
  <c r="V4591" i="2"/>
  <c r="V2729" i="2"/>
  <c r="V4726" i="2"/>
  <c r="V4896" i="2"/>
  <c r="V5066" i="2"/>
  <c r="V3623" i="2"/>
  <c r="V4171" i="2"/>
  <c r="V4376" i="2"/>
  <c r="V4581" i="2"/>
  <c r="V3670" i="2"/>
  <c r="V4600" i="2"/>
  <c r="V4840" i="2"/>
  <c r="V4974" i="2"/>
  <c r="V4039" i="2"/>
  <c r="V4244" i="2"/>
  <c r="V4449" i="2"/>
  <c r="V4223" i="2"/>
  <c r="V4842" i="2"/>
  <c r="V4582" i="2"/>
  <c r="V4571" i="2"/>
  <c r="V4805" i="2"/>
  <c r="V4939" i="2"/>
  <c r="V4727" i="2"/>
  <c r="V4897" i="2"/>
  <c r="V5055" i="2"/>
  <c r="V3489" i="2"/>
  <c r="V4366" i="2"/>
  <c r="V2295" i="2"/>
  <c r="V4476" i="2"/>
  <c r="V2140" i="2"/>
  <c r="V3137" i="2"/>
  <c r="V3580" i="2"/>
  <c r="V4025" i="2"/>
  <c r="V4242" i="2"/>
  <c r="V3548" i="2"/>
  <c r="V4728" i="2"/>
  <c r="V3973" i="2"/>
  <c r="V4190" i="2"/>
  <c r="V2908" i="2"/>
  <c r="V3534" i="2"/>
  <c r="V3763" i="2"/>
  <c r="V4720" i="2"/>
  <c r="V4058" i="2"/>
  <c r="V4263" i="2"/>
  <c r="V2225" i="2"/>
  <c r="V3245" i="2"/>
  <c r="V3619" i="2"/>
  <c r="V4041" i="2"/>
  <c r="V5043" i="2"/>
  <c r="V2881" i="2"/>
  <c r="V3792" i="2"/>
  <c r="V3997" i="2"/>
  <c r="V4214" i="2"/>
  <c r="V4419" i="2"/>
  <c r="V3004" i="2"/>
  <c r="V3558" i="2"/>
  <c r="V3787" i="2"/>
  <c r="V4533" i="2"/>
  <c r="V4792" i="2"/>
  <c r="V4065" i="2"/>
  <c r="V4739" i="2"/>
  <c r="V4909" i="2"/>
  <c r="V5067" i="2"/>
  <c r="V3562" i="2"/>
  <c r="V4432" i="2"/>
  <c r="V3728" i="2"/>
  <c r="V4444" i="2"/>
  <c r="V4777" i="2"/>
  <c r="V4935" i="2"/>
  <c r="V4007" i="2"/>
  <c r="V3646" i="2"/>
  <c r="V3596" i="2"/>
  <c r="V3801" i="2"/>
  <c r="V4595" i="2"/>
  <c r="V4803" i="2"/>
  <c r="V4079" i="2"/>
  <c r="V3778" i="2"/>
  <c r="V4576" i="2"/>
  <c r="V3316" i="2"/>
  <c r="V3693" i="2"/>
  <c r="V4821" i="2"/>
  <c r="V4031" i="2"/>
  <c r="V4695" i="2"/>
  <c r="V4889" i="2"/>
  <c r="V5023" i="2"/>
  <c r="V2392" i="2"/>
  <c r="V3305" i="2"/>
  <c r="V4870" i="2"/>
  <c r="V5040" i="2"/>
  <c r="V2932" i="2"/>
  <c r="V4468" i="2"/>
  <c r="V4747" i="2"/>
  <c r="V4520" i="2"/>
  <c r="V3514" i="2"/>
  <c r="V4498" i="2"/>
  <c r="V4984" i="2"/>
  <c r="V2405" i="2"/>
  <c r="V4388" i="2"/>
  <c r="V4593" i="2"/>
  <c r="V3742" i="2"/>
  <c r="V4852" i="2"/>
  <c r="V4986" i="2"/>
  <c r="V4612" i="2"/>
  <c r="V4783" i="2"/>
  <c r="V4949" i="2"/>
  <c r="V4197" i="2"/>
  <c r="V4871" i="2"/>
  <c r="V5041" i="2"/>
  <c r="V4354" i="2"/>
  <c r="V4736" i="2"/>
  <c r="V2439" i="2"/>
  <c r="V4620" i="2"/>
  <c r="V2896" i="2"/>
  <c r="V3519" i="2"/>
  <c r="V3724" i="2"/>
  <c r="V4169" i="2"/>
  <c r="V4386" i="2"/>
  <c r="V3836" i="2"/>
  <c r="V5001" i="2"/>
  <c r="V4334" i="2"/>
  <c r="V4539" i="2"/>
  <c r="V3442" i="2"/>
  <c r="V3931" i="2"/>
  <c r="V4487" i="2"/>
  <c r="V3475" i="2"/>
  <c r="V4202" i="2"/>
  <c r="V4407" i="2"/>
  <c r="V2956" i="2"/>
  <c r="V3546" i="2"/>
  <c r="V3775" i="2"/>
  <c r="V4473" i="2"/>
  <c r="V4732" i="2"/>
  <c r="V3025" i="2"/>
  <c r="V3242" i="2"/>
  <c r="V3936" i="2"/>
  <c r="V4141" i="2"/>
  <c r="V4358" i="2"/>
  <c r="V4563" i="2"/>
  <c r="V3484" i="2"/>
  <c r="V3702" i="2"/>
  <c r="V3991" i="2"/>
  <c r="V4690" i="2"/>
  <c r="V4343" i="2"/>
  <c r="V4004" i="2"/>
  <c r="V4209" i="2"/>
  <c r="V4883" i="2"/>
  <c r="V5053" i="2"/>
  <c r="V3622" i="2"/>
  <c r="V4426" i="2"/>
  <c r="V4748" i="2"/>
  <c r="V3872" i="2"/>
  <c r="V4077" i="2"/>
  <c r="V4751" i="2"/>
  <c r="V4921" i="2"/>
  <c r="V5079" i="2"/>
  <c r="V3634" i="2"/>
  <c r="V4480" i="2"/>
  <c r="V3740" i="2"/>
  <c r="V4492" i="2"/>
  <c r="V4947" i="2"/>
  <c r="V4630" i="2"/>
  <c r="V3718" i="2"/>
  <c r="V4570" i="2"/>
  <c r="V4784" i="2"/>
  <c r="V4283" i="2"/>
  <c r="V3875" i="2"/>
  <c r="V4681" i="2"/>
  <c r="V5033" i="2"/>
  <c r="V4917" i="2"/>
  <c r="V3064" i="2"/>
  <c r="V3561" i="2"/>
  <c r="V2549" i="2"/>
  <c r="V4757" i="2"/>
  <c r="V4891" i="2"/>
  <c r="V4459" i="2"/>
  <c r="V4664" i="2"/>
  <c r="V4378" i="2"/>
  <c r="V4764" i="2"/>
  <c r="V4934" i="2"/>
  <c r="V4295" i="2"/>
  <c r="V3635" i="2"/>
  <c r="V4327" i="2"/>
  <c r="V4532" i="2"/>
  <c r="V4546" i="2"/>
  <c r="V4802" i="2"/>
  <c r="V4151" i="2"/>
  <c r="V4793" i="2"/>
  <c r="V4927" i="2"/>
  <c r="V5093" i="2"/>
  <c r="V3352" i="2"/>
  <c r="V5015" i="2"/>
  <c r="V2620" i="2"/>
  <c r="V4414" i="2"/>
  <c r="V4734" i="2"/>
  <c r="V4880" i="2"/>
  <c r="V2583" i="2"/>
  <c r="V2561" i="2"/>
  <c r="V3435" i="2"/>
  <c r="V3868" i="2"/>
  <c r="V4313" i="2"/>
  <c r="V4530" i="2"/>
  <c r="V4124" i="2"/>
  <c r="V4813" i="2"/>
  <c r="V4261" i="2"/>
  <c r="V2080" i="2"/>
  <c r="V3605" i="2"/>
  <c r="V3822" i="2"/>
  <c r="V5050" i="2"/>
  <c r="V4129" i="2"/>
  <c r="V4346" i="2"/>
  <c r="V4551" i="2"/>
  <c r="V3466" i="2"/>
  <c r="V3979" i="2"/>
  <c r="V4535" i="2"/>
  <c r="V3386" i="2"/>
  <c r="V4080" i="2"/>
  <c r="V4285" i="2"/>
  <c r="V4502" i="2"/>
  <c r="V2224" i="2"/>
  <c r="V3629" i="2"/>
  <c r="V3846" i="2"/>
  <c r="V4279" i="2"/>
  <c r="V3943" i="2"/>
  <c r="V4353" i="2"/>
  <c r="V5027" i="2"/>
  <c r="V2931" i="2"/>
  <c r="V4746" i="2"/>
  <c r="V4892" i="2"/>
  <c r="V4016" i="2"/>
  <c r="V4895" i="2"/>
  <c r="V5065" i="2"/>
  <c r="V3694" i="2"/>
  <c r="V4474" i="2"/>
  <c r="V4763" i="2"/>
  <c r="V4933" i="2"/>
  <c r="V5091" i="2"/>
  <c r="V3706" i="2"/>
  <c r="V4528" i="2"/>
  <c r="V4782" i="2"/>
  <c r="V4928" i="2"/>
  <c r="V4723" i="2"/>
  <c r="V3981" i="2"/>
  <c r="V4636" i="2"/>
  <c r="V4825" i="2"/>
  <c r="V4983" i="2"/>
  <c r="V4965" i="2"/>
  <c r="V3934" i="2"/>
  <c r="V3500" i="2"/>
  <c r="V3705" i="2"/>
  <c r="V4941" i="2"/>
  <c r="V4103" i="2"/>
  <c r="V4707" i="2"/>
  <c r="V4901" i="2"/>
  <c r="V5035" i="2"/>
  <c r="V4603" i="2"/>
  <c r="V2777" i="2"/>
  <c r="V4738" i="2"/>
  <c r="V4908" i="2"/>
  <c r="V5078" i="2"/>
  <c r="V3695" i="2"/>
  <c r="V4475" i="2"/>
  <c r="V2033" i="2"/>
  <c r="V4439" i="2"/>
  <c r="V4776" i="2"/>
  <c r="V4946" i="2"/>
  <c r="V3707" i="2"/>
  <c r="V4937" i="2"/>
  <c r="V4294" i="2"/>
  <c r="V4485" i="2"/>
  <c r="V4977" i="2"/>
  <c r="V4114" i="2"/>
  <c r="V4744" i="2"/>
  <c r="V4878" i="2"/>
  <c r="V4989" i="2"/>
  <c r="V2200" i="2"/>
  <c r="V3183" i="2"/>
  <c r="V3602" i="2"/>
  <c r="V3807" i="2"/>
  <c r="V4012" i="2"/>
  <c r="V4457" i="2"/>
  <c r="V2093" i="2"/>
  <c r="V4405" i="2"/>
  <c r="V2859" i="2"/>
  <c r="V3749" i="2"/>
  <c r="V3966" i="2"/>
  <c r="V4703" i="2"/>
  <c r="V4273" i="2"/>
  <c r="V4490" i="2"/>
  <c r="V2152" i="2"/>
  <c r="V3617" i="2"/>
  <c r="V3834" i="2"/>
  <c r="V4267" i="2"/>
  <c r="V5062" i="2"/>
  <c r="V3108" i="2"/>
  <c r="V3313" i="2"/>
  <c r="V2043" i="2"/>
  <c r="V4224" i="2"/>
  <c r="V4646" i="2"/>
  <c r="V2955" i="2"/>
  <c r="V3773" i="2"/>
  <c r="V4567" i="2"/>
  <c r="V4775" i="2"/>
  <c r="V4087" i="2"/>
  <c r="V4292" i="2"/>
  <c r="V4497" i="2"/>
  <c r="V2116" i="2"/>
  <c r="V4186" i="2"/>
  <c r="V4756" i="2"/>
  <c r="V4890" i="2"/>
  <c r="V3955" i="2"/>
  <c r="V4160" i="2"/>
  <c r="V4365" i="2"/>
  <c r="V5039" i="2"/>
  <c r="V3219" i="2"/>
  <c r="V4758" i="2"/>
  <c r="V4904" i="2"/>
  <c r="V4028" i="2"/>
  <c r="V4233" i="2"/>
  <c r="V4907" i="2"/>
  <c r="V5077" i="2"/>
  <c r="V3766" i="2"/>
  <c r="V4772" i="2"/>
  <c r="V4926" i="2"/>
  <c r="V4125" i="2"/>
  <c r="V4799" i="2"/>
  <c r="V3922" i="2"/>
  <c r="V4662" i="2"/>
  <c r="V3849" i="2"/>
  <c r="V3947" i="2"/>
  <c r="V4693" i="2"/>
  <c r="V4851" i="2"/>
  <c r="V5045" i="2"/>
  <c r="V5037" i="2"/>
  <c r="V2464" i="2"/>
  <c r="V3351" i="2"/>
  <c r="V4882" i="2"/>
  <c r="V5052" i="2"/>
  <c r="V3220" i="2"/>
  <c r="V4759" i="2"/>
  <c r="V4615" i="2"/>
  <c r="V2825" i="2"/>
  <c r="V4750" i="2"/>
  <c r="V4920" i="2"/>
  <c r="V5090" i="2"/>
  <c r="V3767" i="2"/>
  <c r="V4523" i="2"/>
  <c r="V5081" i="2"/>
  <c r="V3075" i="2"/>
  <c r="V4282" i="2"/>
  <c r="V4724" i="2"/>
  <c r="V4629" i="2"/>
  <c r="V3958" i="2"/>
  <c r="V4694" i="2"/>
  <c r="V4888" i="2"/>
  <c r="V5022" i="2"/>
  <c r="V2630" i="2"/>
  <c r="V2933" i="2"/>
  <c r="V3951" i="2"/>
  <c r="V4156" i="2"/>
  <c r="V4601" i="2"/>
  <c r="V2871" i="2"/>
  <c r="V2177" i="2"/>
  <c r="V4898" i="2"/>
  <c r="V4549" i="2"/>
  <c r="V2573" i="2"/>
  <c r="V3406" i="2"/>
  <c r="V3893" i="2"/>
  <c r="V4110" i="2"/>
  <c r="V2728" i="2"/>
  <c r="V4713" i="2"/>
  <c r="V4417" i="2"/>
  <c r="V4634" i="2"/>
  <c r="V3978" i="2"/>
  <c r="V4555" i="2"/>
  <c r="V4715" i="2"/>
  <c r="V3252" i="2"/>
  <c r="V3457" i="2"/>
  <c r="V2187" i="2"/>
  <c r="V4368" i="2"/>
  <c r="V4573" i="2"/>
  <c r="V2705" i="2"/>
  <c r="V3464" i="2"/>
  <c r="V3917" i="2"/>
  <c r="V4134" i="2"/>
  <c r="V2968" i="2"/>
  <c r="V3171" i="2"/>
  <c r="V4231" i="2"/>
  <c r="V4436" i="2"/>
  <c r="V4641" i="2"/>
  <c r="V4030" i="2"/>
  <c r="V4706" i="2"/>
  <c r="V4900" i="2"/>
  <c r="V4099" i="2"/>
  <c r="V4304" i="2"/>
  <c r="V4509" i="2"/>
  <c r="V2548" i="2"/>
  <c r="V4258" i="2"/>
  <c r="V4768" i="2"/>
  <c r="V4902" i="2"/>
  <c r="V3967" i="2"/>
  <c r="V4172" i="2"/>
  <c r="V5051" i="2"/>
  <c r="V4559" i="2"/>
  <c r="V4770" i="2"/>
  <c r="V4916" i="2"/>
  <c r="V5070" i="2"/>
  <c r="V4877" i="2"/>
  <c r="V5011" i="2"/>
  <c r="V4269" i="2"/>
  <c r="V4943" i="2"/>
  <c r="V3719" i="2"/>
  <c r="V3982" i="2"/>
  <c r="V4660" i="2"/>
  <c r="V4808" i="2"/>
  <c r="V3788" i="2"/>
  <c r="V3993" i="2"/>
  <c r="V4667" i="2"/>
  <c r="V4837" i="2"/>
  <c r="V4995" i="2"/>
  <c r="V5073" i="2"/>
  <c r="V4006" i="2"/>
  <c r="V3112" i="2"/>
  <c r="V3573" i="2"/>
  <c r="V5026" i="2"/>
  <c r="V2884" i="2"/>
  <c r="V4259" i="2"/>
  <c r="V4769" i="2"/>
  <c r="V4903" i="2"/>
  <c r="V2536" i="2"/>
  <c r="V3387" i="2"/>
  <c r="V4894" i="2"/>
  <c r="V5064" i="2"/>
  <c r="V3455" i="2"/>
  <c r="V4564" i="2"/>
  <c r="V4771" i="2"/>
  <c r="V3027" i="2"/>
  <c r="V4222" i="2"/>
  <c r="V4868" i="2"/>
  <c r="V3802" i="2"/>
  <c r="V4668" i="2"/>
  <c r="V4838" i="2"/>
  <c r="V5032" i="2"/>
  <c r="V4905" i="2"/>
  <c r="V2774" i="2"/>
  <c r="V3459" i="2"/>
  <c r="V3673" i="2"/>
  <c r="V3890" i="2"/>
  <c r="V4095" i="2"/>
  <c r="V3413" i="2"/>
  <c r="V3537" i="2"/>
  <c r="V4043" i="2"/>
  <c r="V2212" i="2"/>
  <c r="V3592" i="2"/>
  <c r="V4037" i="2"/>
  <c r="V4254" i="2"/>
  <c r="V3560" i="2"/>
  <c r="V4788" i="2"/>
  <c r="V2645" i="2"/>
  <c r="V3437" i="2"/>
  <c r="V3905" i="2"/>
  <c r="V4122" i="2"/>
  <c r="V4857" i="2"/>
  <c r="V3396" i="2"/>
  <c r="V2090" i="2"/>
  <c r="V2331" i="2"/>
  <c r="V4512" i="2"/>
  <c r="V2356" i="2"/>
  <c r="V3281" i="2"/>
  <c r="V3616" i="2"/>
  <c r="V4061" i="2"/>
  <c r="V4860" i="2"/>
  <c r="V4580" i="2"/>
  <c r="V3874" i="2"/>
  <c r="V4680" i="2"/>
  <c r="V4850" i="2"/>
  <c r="V5044" i="2"/>
  <c r="V5025" i="2"/>
  <c r="V4448" i="2"/>
  <c r="V4653" i="2"/>
  <c r="V4102" i="2"/>
  <c r="V4718" i="2"/>
  <c r="V4912" i="2"/>
  <c r="V5046" i="2"/>
  <c r="V4111" i="2"/>
  <c r="V4521" i="2"/>
  <c r="V2883" i="2"/>
  <c r="V4330" i="2"/>
  <c r="V4780" i="2"/>
  <c r="V4914" i="2"/>
  <c r="V5080" i="2"/>
  <c r="V3028" i="2"/>
  <c r="V5021" i="2"/>
  <c r="V5087" i="2"/>
  <c r="V3682" i="2"/>
  <c r="V4672" i="2"/>
  <c r="V4806" i="2"/>
  <c r="V3932" i="2"/>
  <c r="V4137" i="2"/>
  <c r="V4811" i="2"/>
  <c r="V2260" i="2"/>
  <c r="V4676" i="2"/>
  <c r="V3512" i="2"/>
  <c r="V3717" i="2"/>
  <c r="V2045" i="2"/>
  <c r="V4175" i="2"/>
  <c r="V4719" i="2"/>
  <c r="V4913" i="2"/>
  <c r="V5047" i="2"/>
  <c r="V3160" i="2"/>
  <c r="V3585" i="2"/>
  <c r="V5038" i="2"/>
  <c r="V3172" i="2"/>
  <c r="V4331" i="2"/>
  <c r="V4781" i="2"/>
  <c r="V4915" i="2"/>
  <c r="V4210" i="2"/>
  <c r="V4712" i="2"/>
  <c r="V4866" i="2"/>
  <c r="V4881" i="2"/>
  <c r="V4583" i="2"/>
  <c r="V4982" i="2"/>
  <c r="V3923" i="2"/>
  <c r="V2918" i="2"/>
  <c r="V3612" i="2"/>
  <c r="V3817" i="2"/>
  <c r="V4239" i="2"/>
  <c r="V2081" i="2"/>
  <c r="V3149" i="2"/>
  <c r="V3595" i="2"/>
  <c r="V3969" i="2"/>
  <c r="V2944" i="2"/>
  <c r="V3531" i="2"/>
  <c r="V3736" i="2"/>
  <c r="V3848" i="2"/>
  <c r="V3425" i="2"/>
  <c r="V2284" i="2"/>
  <c r="V3604" i="2"/>
  <c r="V4049" i="2"/>
  <c r="V4266" i="2"/>
  <c r="V4800" i="2"/>
  <c r="V2234" i="2"/>
  <c r="V2475" i="2"/>
  <c r="V3040" i="2"/>
  <c r="V3555" i="2"/>
  <c r="V4205" i="2"/>
  <c r="V3908" i="2"/>
  <c r="V2321" i="2"/>
  <c r="V4631" i="2"/>
  <c r="V4824" i="2"/>
  <c r="V4994" i="2"/>
  <c r="V2261" i="2"/>
  <c r="V3995" i="2"/>
  <c r="V4387" i="2"/>
  <c r="V4592" i="2"/>
  <c r="V3946" i="2"/>
  <c r="V4862" i="2"/>
  <c r="V5056" i="2"/>
  <c r="V2333" i="2"/>
  <c r="V4255" i="2"/>
  <c r="V2044" i="2"/>
  <c r="V4174" i="2"/>
  <c r="V4730" i="2"/>
  <c r="V4924" i="2"/>
  <c r="V5058" i="2"/>
  <c r="V3268" i="2"/>
  <c r="V4211" i="2"/>
  <c r="V4845" i="2"/>
  <c r="V3862" i="2"/>
  <c r="V4557" i="2"/>
  <c r="V3526" i="2"/>
  <c r="V4504" i="2"/>
  <c r="V4816" i="2"/>
  <c r="V4950" i="2"/>
  <c r="V4076" i="2"/>
  <c r="V4281" i="2"/>
  <c r="V4955" i="2"/>
  <c r="V4054" i="2"/>
  <c r="V4674" i="2"/>
  <c r="V4820" i="2"/>
  <c r="V3656" i="2"/>
  <c r="V4019" i="2"/>
  <c r="V4705" i="2"/>
  <c r="V4863" i="2"/>
  <c r="V5057" i="2"/>
  <c r="V2404" i="2"/>
  <c r="V3524" i="2"/>
  <c r="V3729" i="2"/>
  <c r="V2477" i="2"/>
  <c r="V4731" i="2"/>
  <c r="V4925" i="2"/>
  <c r="V5059" i="2"/>
  <c r="V4710" i="2"/>
  <c r="V4856" i="2"/>
  <c r="V5010" i="2"/>
  <c r="V2969" i="2"/>
  <c r="V4786" i="2"/>
  <c r="V4956" i="2"/>
  <c r="V3983" i="2"/>
  <c r="V4661" i="2"/>
  <c r="V817" i="2"/>
  <c r="V333" i="2"/>
  <c r="V3380" i="2"/>
  <c r="V4370" i="2"/>
  <c r="V3454" i="2"/>
  <c r="V2991" i="2"/>
  <c r="V153" i="2"/>
  <c r="V3233" i="2"/>
  <c r="V298" i="2"/>
  <c r="V430" i="2"/>
  <c r="V3264" i="2"/>
  <c r="V3479" i="2"/>
  <c r="V335" i="2"/>
  <c r="V2993" i="2"/>
  <c r="V3999" i="2"/>
  <c r="V1143" i="2"/>
  <c r="V169" i="2"/>
  <c r="V4187" i="2"/>
  <c r="V3384" i="2"/>
  <c r="V4113" i="2"/>
  <c r="V507" i="2"/>
  <c r="V1970" i="2"/>
  <c r="V1322" i="2"/>
  <c r="V369" i="2"/>
  <c r="V1084" i="2"/>
  <c r="V904" i="2"/>
  <c r="V650" i="2"/>
  <c r="V289" i="2"/>
  <c r="V1140" i="2"/>
  <c r="V379" i="2"/>
  <c r="V646" i="2"/>
  <c r="V273" i="2"/>
  <c r="V405" i="2"/>
  <c r="V910" i="2"/>
  <c r="V537" i="2"/>
  <c r="V608" i="2"/>
  <c r="V317" i="2"/>
  <c r="V633" i="2"/>
  <c r="V2708" i="2"/>
  <c r="V2175" i="2"/>
  <c r="V2209" i="2"/>
  <c r="V3456" i="2"/>
  <c r="V2652" i="2"/>
  <c r="V3001" i="2"/>
  <c r="V4226" i="2"/>
  <c r="V2453" i="2"/>
  <c r="V3288" i="2"/>
  <c r="V1982" i="2"/>
  <c r="V3255" i="2"/>
  <c r="V2189" i="2"/>
  <c r="V4596" i="2"/>
  <c r="V2800" i="2"/>
  <c r="V4145" i="2"/>
  <c r="V3907" i="2"/>
  <c r="V4412" i="2"/>
  <c r="V3610" i="2"/>
  <c r="V4622" i="2"/>
  <c r="V4511" i="2"/>
  <c r="V4733" i="2"/>
  <c r="V4867" i="2"/>
  <c r="V4969" i="2"/>
  <c r="V5049" i="2"/>
  <c r="V3644" i="2"/>
  <c r="V1562" i="2"/>
  <c r="V1559" i="2"/>
  <c r="V97" i="2"/>
  <c r="V1244" i="2"/>
  <c r="V166" i="2"/>
  <c r="V1128" i="2"/>
  <c r="V665" i="2"/>
  <c r="V1002" i="2"/>
  <c r="V175" i="2"/>
  <c r="V595" i="2"/>
  <c r="V2852" i="2"/>
  <c r="V3153" i="2"/>
  <c r="V2913" i="2"/>
  <c r="V2972" i="2"/>
  <c r="V3067" i="2"/>
  <c r="V3478" i="2"/>
  <c r="V2624" i="2"/>
  <c r="V2792" i="2"/>
  <c r="V3037" i="2"/>
  <c r="V3173" i="2"/>
  <c r="V3401" i="2"/>
  <c r="V4333" i="2"/>
  <c r="V3769" i="2"/>
  <c r="V3121" i="2"/>
  <c r="V4659" i="2"/>
  <c r="V3746" i="2"/>
  <c r="V4377" i="2"/>
  <c r="V1594" i="2"/>
  <c r="V1541" i="2"/>
  <c r="V1962" i="2"/>
  <c r="V676" i="2"/>
  <c r="V1779" i="2"/>
  <c r="V1484" i="2"/>
  <c r="V698" i="2"/>
  <c r="V385" i="2"/>
  <c r="V589" i="2"/>
  <c r="V886" i="2"/>
  <c r="V309" i="2"/>
  <c r="V226" i="2"/>
  <c r="V1232" i="2"/>
  <c r="V719" i="2"/>
  <c r="V1056" i="2"/>
  <c r="V1271" i="2"/>
  <c r="V3404" i="2"/>
  <c r="V3186" i="2"/>
  <c r="V3078" i="2"/>
  <c r="V3181" i="2"/>
  <c r="V3273" i="2"/>
  <c r="V3741" i="2"/>
  <c r="V2053" i="2"/>
  <c r="V3184" i="2"/>
  <c r="V4130" i="2"/>
  <c r="V2809" i="2"/>
  <c r="V3720" i="2"/>
  <c r="V3213" i="2"/>
  <c r="V2352" i="2"/>
  <c r="V4300" i="2"/>
  <c r="V3185" i="2"/>
  <c r="V4561" i="2"/>
  <c r="V2920" i="2"/>
  <c r="V4278" i="2"/>
  <c r="V3620" i="2"/>
  <c r="V4413" i="2"/>
  <c r="V5085" i="2"/>
  <c r="V424" i="2"/>
  <c r="V831" i="2"/>
  <c r="V758" i="2"/>
  <c r="V890" i="2"/>
  <c r="V412" i="2"/>
  <c r="V740" i="2"/>
  <c r="V1731" i="2"/>
  <c r="V891" i="2"/>
  <c r="V444" i="2"/>
  <c r="V708" i="2"/>
  <c r="V3444" i="2"/>
  <c r="V3250" i="2"/>
  <c r="V2470" i="2"/>
  <c r="V4658" i="2"/>
  <c r="V4246" i="2"/>
  <c r="V3244" i="2"/>
  <c r="V3864" i="2"/>
  <c r="V2927" i="2"/>
  <c r="V2219" i="2"/>
  <c r="V4656" i="2"/>
  <c r="V3760" i="2"/>
  <c r="V3887" i="2"/>
  <c r="V4519" i="2"/>
  <c r="V4692" i="2"/>
  <c r="V4460" i="2"/>
  <c r="V3861" i="2"/>
  <c r="V4534" i="2"/>
  <c r="V232" i="2"/>
  <c r="V748" i="2"/>
  <c r="V687" i="2"/>
  <c r="V388" i="2"/>
  <c r="V1305" i="2"/>
  <c r="V14" i="2"/>
  <c r="V600" i="2"/>
  <c r="V74" i="2"/>
  <c r="V1918" i="2"/>
  <c r="V359" i="2"/>
  <c r="V630" i="2"/>
  <c r="V21" i="2"/>
  <c r="V70" i="2"/>
  <c r="V1208" i="2"/>
  <c r="V983" i="2"/>
  <c r="V3284" i="2"/>
  <c r="V3240" i="2"/>
  <c r="V3044" i="2"/>
  <c r="V4380" i="2"/>
  <c r="V3122" i="2"/>
  <c r="V4021" i="2"/>
  <c r="V3545" i="2"/>
  <c r="V3762" i="2"/>
  <c r="V3097" i="2"/>
  <c r="V4008" i="2"/>
  <c r="V4635" i="2"/>
  <c r="V2328" i="2"/>
  <c r="V3866" i="2"/>
  <c r="V2845" i="2"/>
  <c r="V3699" i="2"/>
  <c r="V4836" i="2"/>
  <c r="V4399" i="2"/>
  <c r="V3754" i="2"/>
  <c r="V5084" i="2"/>
  <c r="V4761" i="2"/>
  <c r="V3472" i="2"/>
  <c r="V784" i="2"/>
  <c r="V236" i="2"/>
  <c r="V1911" i="2"/>
  <c r="V207" i="2"/>
  <c r="V1891" i="2"/>
  <c r="V134" i="2"/>
  <c r="V588" i="2"/>
  <c r="V208" i="2"/>
  <c r="V398" i="2"/>
  <c r="V411" i="2"/>
  <c r="V215" i="2"/>
  <c r="V486" i="2"/>
  <c r="V750" i="2"/>
  <c r="V294" i="2"/>
  <c r="V643" i="2"/>
  <c r="V287" i="2"/>
  <c r="V1196" i="2"/>
  <c r="V1325" i="2"/>
  <c r="V2238" i="2"/>
  <c r="V2970" i="2"/>
  <c r="V3079" i="2"/>
  <c r="V3636" i="2"/>
  <c r="V3009" i="2"/>
  <c r="V4632" i="2"/>
  <c r="V2485" i="2"/>
  <c r="V2921" i="2"/>
  <c r="V3808" i="2"/>
  <c r="V2656" i="2"/>
  <c r="V2894" i="2"/>
  <c r="V3588" i="2"/>
  <c r="V4420" i="2"/>
  <c r="V4899" i="2"/>
  <c r="V3970" i="2"/>
  <c r="V3488" i="2"/>
  <c r="V4159" i="2"/>
  <c r="V4953" i="2"/>
  <c r="V3621" i="2"/>
  <c r="V5074" i="2"/>
  <c r="V4510" i="2"/>
  <c r="V4951" i="2"/>
  <c r="V1828" i="2"/>
  <c r="V1877" i="2"/>
  <c r="V1880" i="2"/>
  <c r="V1032" i="2"/>
  <c r="V808" i="2"/>
  <c r="V1456" i="2"/>
  <c r="V528" i="2"/>
  <c r="V1693" i="2"/>
  <c r="V1825" i="2"/>
  <c r="V1176" i="2"/>
  <c r="V671" i="2"/>
  <c r="V1543" i="2"/>
  <c r="V267" i="2"/>
  <c r="V276" i="2"/>
  <c r="V1005" i="2"/>
  <c r="V282" i="2"/>
  <c r="V1269" i="2"/>
  <c r="V920" i="2"/>
  <c r="V275" i="2"/>
  <c r="V46" i="2"/>
  <c r="V93" i="2"/>
  <c r="V437" i="2"/>
  <c r="V2670" i="2"/>
  <c r="V2733" i="2"/>
  <c r="V3271" i="2"/>
  <c r="V2131" i="2"/>
  <c r="V2759" i="2"/>
  <c r="V2246" i="2"/>
  <c r="V2711" i="2"/>
  <c r="V4339" i="2"/>
  <c r="V2424" i="2"/>
  <c r="V3542" i="2"/>
  <c r="V3952" i="2"/>
  <c r="V4050" i="2"/>
  <c r="V2248" i="2"/>
  <c r="V2821" i="2"/>
  <c r="V3937" i="2"/>
  <c r="V4990" i="2"/>
  <c r="V3015" i="2"/>
  <c r="V3633" i="2"/>
  <c r="V3827" i="2"/>
  <c r="V4992" i="2"/>
  <c r="V4199" i="2"/>
  <c r="V4619" i="2"/>
  <c r="V4767" i="2"/>
  <c r="V4961" i="2"/>
  <c r="V1632" i="2"/>
  <c r="V312" i="2"/>
  <c r="V387" i="2"/>
  <c r="V182" i="2"/>
  <c r="V1312" i="2"/>
  <c r="V1247" i="2"/>
  <c r="V816" i="2"/>
  <c r="V239" i="2"/>
  <c r="V448" i="2"/>
  <c r="V1463" i="2"/>
  <c r="V968" i="2"/>
  <c r="V402" i="2"/>
  <c r="V322" i="2"/>
  <c r="V2934" i="2"/>
  <c r="V2016" i="2"/>
  <c r="V2757" i="2"/>
  <c r="V2633" i="2"/>
  <c r="V2173" i="2"/>
  <c r="V2855" i="2"/>
  <c r="V4453" i="2"/>
  <c r="V3473" i="2"/>
  <c r="V4194" i="2"/>
  <c r="V3544" i="2"/>
  <c r="V4400" i="2"/>
  <c r="V3538" i="2"/>
  <c r="V2593" i="2"/>
  <c r="V3669" i="2"/>
  <c r="V4952" i="2"/>
  <c r="V4841" i="2"/>
  <c r="V3257" i="2"/>
  <c r="V4752" i="2"/>
  <c r="V4696" i="2"/>
  <c r="V4100" i="2"/>
  <c r="V1635" i="2"/>
  <c r="V1927" i="2"/>
  <c r="V815" i="2"/>
  <c r="V1719" i="2"/>
  <c r="V303" i="2"/>
  <c r="V853" i="2"/>
  <c r="V1677" i="2"/>
  <c r="V1226" i="2"/>
  <c r="V1502" i="2"/>
  <c r="V193" i="2"/>
  <c r="V403" i="2"/>
  <c r="V717" i="2"/>
  <c r="V79" i="2"/>
  <c r="V343" i="2"/>
  <c r="V192" i="2"/>
  <c r="V473" i="2"/>
  <c r="V354" i="2"/>
  <c r="V2347" i="2"/>
  <c r="V2588" i="2"/>
  <c r="V2322" i="2"/>
  <c r="V3263" i="2"/>
  <c r="V3289" i="2"/>
  <c r="V3941" i="2"/>
  <c r="V3208" i="2"/>
  <c r="V3828" i="2"/>
  <c r="V3148" i="2"/>
  <c r="V3823" i="2"/>
  <c r="V3207" i="2"/>
  <c r="V3468" i="2"/>
  <c r="V3109" i="2"/>
  <c r="V3057" i="2"/>
  <c r="V3881" i="2"/>
  <c r="V3607" i="2"/>
  <c r="V3584" i="2"/>
  <c r="V4547" i="2"/>
  <c r="V3549" i="2"/>
  <c r="V1540" i="2"/>
  <c r="V1576" i="2"/>
  <c r="V1818" i="2"/>
  <c r="V1454" i="2"/>
  <c r="V240" i="2"/>
  <c r="V1022" i="2"/>
  <c r="V755" i="2"/>
  <c r="V1287" i="2"/>
  <c r="V1246" i="2"/>
  <c r="V416" i="2"/>
  <c r="V181" i="2"/>
  <c r="V1029" i="2"/>
  <c r="V389" i="2"/>
  <c r="V1446" i="2"/>
  <c r="V1241" i="2"/>
  <c r="V1078" i="2"/>
  <c r="V199" i="2"/>
  <c r="V263" i="2"/>
  <c r="V1040" i="2"/>
  <c r="V1438" i="2"/>
  <c r="V1065" i="2"/>
  <c r="V3361" i="2"/>
  <c r="V2591" i="2"/>
  <c r="V2349" i="2"/>
  <c r="V3297" i="2"/>
  <c r="V2095" i="2"/>
  <c r="V3222" i="2"/>
  <c r="V3117" i="2"/>
  <c r="V3125" i="2"/>
  <c r="V3794" i="2"/>
  <c r="V3365" i="2"/>
  <c r="V4277" i="2"/>
  <c r="V4395" i="2"/>
  <c r="V4461" i="2"/>
  <c r="V3860" i="2"/>
  <c r="V3659" i="2"/>
  <c r="V4997" i="2"/>
  <c r="V5083" i="2"/>
  <c r="V196" i="2"/>
  <c r="V1627" i="2"/>
  <c r="V1478" i="2"/>
  <c r="V743" i="2"/>
  <c r="V565" i="2"/>
  <c r="V938" i="2"/>
  <c r="V973" i="2"/>
  <c r="V536" i="2"/>
  <c r="V247" i="2"/>
  <c r="V1229" i="2"/>
  <c r="V344" i="2"/>
  <c r="V205" i="2"/>
  <c r="V1294" i="2"/>
  <c r="V921" i="2"/>
  <c r="V2384" i="2"/>
  <c r="V2807" i="2"/>
  <c r="V2316" i="2"/>
  <c r="V4446" i="2"/>
  <c r="V4116" i="2"/>
  <c r="V2585" i="2"/>
  <c r="V3443" i="2"/>
  <c r="V4421" i="2"/>
  <c r="V4638" i="2"/>
  <c r="V3678" i="2"/>
  <c r="V4789" i="2"/>
  <c r="V3837" i="2"/>
  <c r="V3586" i="2"/>
  <c r="V4996" i="2"/>
  <c r="V4341" i="2"/>
  <c r="V1096" i="2"/>
  <c r="V493" i="2"/>
  <c r="V1233" i="2"/>
  <c r="V1501" i="2"/>
  <c r="V598" i="2"/>
  <c r="V1203" i="2"/>
  <c r="V998" i="2"/>
  <c r="V683" i="2"/>
  <c r="V982" i="2"/>
  <c r="V103" i="2"/>
  <c r="V953" i="2"/>
  <c r="V1488" i="2"/>
  <c r="V752" i="2"/>
  <c r="V2520" i="2"/>
  <c r="V2323" i="2"/>
  <c r="V3230" i="2"/>
  <c r="V2518" i="2"/>
  <c r="V2446" i="2"/>
  <c r="V3020" i="2"/>
  <c r="V3465" i="2"/>
  <c r="V2756" i="2"/>
  <c r="V2754" i="2"/>
  <c r="V3024" i="2"/>
  <c r="V2046" i="2"/>
  <c r="V3104" i="2"/>
  <c r="V3058" i="2"/>
  <c r="V4859" i="2"/>
  <c r="V3835" i="2"/>
  <c r="V4553" i="2"/>
  <c r="V3041" i="2"/>
  <c r="V2998" i="2"/>
  <c r="V3663" i="2"/>
  <c r="V4478" i="2"/>
  <c r="V3690" i="2"/>
  <c r="V3169" i="2"/>
  <c r="V5071" i="2"/>
  <c r="V3315" i="2"/>
  <c r="V1887" i="2"/>
  <c r="V1527" i="2"/>
  <c r="V590" i="2"/>
  <c r="V722" i="2"/>
  <c r="V854" i="2"/>
  <c r="V586" i="2"/>
  <c r="V1716" i="2"/>
  <c r="V1001" i="2"/>
  <c r="V465" i="2"/>
  <c r="V1014" i="2"/>
  <c r="V1363" i="2"/>
  <c r="V739" i="2"/>
  <c r="V1440" i="2"/>
  <c r="V284" i="2"/>
  <c r="V1506" i="2"/>
  <c r="V2526" i="2"/>
  <c r="V2190" i="2"/>
  <c r="V2371" i="2"/>
  <c r="V4517" i="2"/>
  <c r="V2236" i="2"/>
  <c r="V3480" i="2"/>
  <c r="V2495" i="2"/>
  <c r="V3194" i="2"/>
  <c r="V2064" i="2"/>
  <c r="V4507" i="2"/>
  <c r="V4429" i="2"/>
  <c r="V3990" i="2"/>
  <c r="V4522" i="2"/>
  <c r="V4516" i="2"/>
  <c r="V937" i="2"/>
  <c r="V1179" i="2"/>
  <c r="V1318" i="2"/>
  <c r="V1062" i="2"/>
  <c r="V731" i="2"/>
  <c r="V1134" i="2"/>
  <c r="V1091" i="2"/>
  <c r="V140" i="2"/>
  <c r="V2543" i="2"/>
  <c r="V2530" i="2"/>
  <c r="V2963" i="2"/>
  <c r="V2947" i="2"/>
  <c r="V4644" i="2"/>
  <c r="V3129" i="2"/>
  <c r="V2268" i="2"/>
  <c r="V5024" i="2"/>
  <c r="V3894" i="2"/>
  <c r="V4396" i="2"/>
  <c r="V3529" i="2"/>
  <c r="V2907" i="2"/>
  <c r="V5034" i="2"/>
  <c r="V4722" i="2"/>
  <c r="V1239" i="2"/>
  <c r="V1308" i="2"/>
  <c r="V903" i="2"/>
  <c r="V1811" i="2"/>
  <c r="V616" i="2"/>
  <c r="V682" i="2"/>
  <c r="V977" i="2"/>
  <c r="V117" i="2"/>
  <c r="V2073" i="2"/>
  <c r="V2580" i="2"/>
  <c r="V2946" i="2"/>
  <c r="V2478" i="2"/>
  <c r="V2121" i="2"/>
  <c r="V4297" i="2"/>
  <c r="V2296" i="2"/>
  <c r="V4701" i="2"/>
  <c r="V4241" i="2"/>
  <c r="V2141" i="2"/>
  <c r="V4038" i="2"/>
  <c r="V3913" i="2"/>
  <c r="V4335" i="2"/>
  <c r="V4270" i="2"/>
  <c r="V4375" i="2"/>
  <c r="V4243" i="2"/>
  <c r="V4316" i="2"/>
  <c r="V4785" i="2"/>
  <c r="V5072" i="2"/>
  <c r="V4981" i="2"/>
  <c r="V3994" i="2"/>
  <c r="V4812" i="2"/>
  <c r="V363" i="2"/>
  <c r="V1738" i="2"/>
  <c r="V1756" i="2"/>
  <c r="V1607" i="2"/>
  <c r="V963" i="2"/>
  <c r="V517" i="2"/>
  <c r="V1798" i="2"/>
  <c r="V686" i="2"/>
  <c r="V1023" i="2"/>
  <c r="V1255" i="2"/>
  <c r="V1038" i="2"/>
  <c r="V1088" i="2"/>
  <c r="V346" i="2"/>
  <c r="V90" i="2"/>
  <c r="V1291" i="2"/>
  <c r="V3298" i="2"/>
  <c r="V2493" i="2"/>
  <c r="V2385" i="2"/>
  <c r="V2315" i="2"/>
  <c r="V2653" i="2"/>
  <c r="V2301" i="2"/>
  <c r="V3080" i="2"/>
  <c r="V2646" i="2"/>
  <c r="V4441" i="2"/>
  <c r="V3376" i="2"/>
  <c r="V2895" i="2"/>
  <c r="V2835" i="2"/>
  <c r="V3170" i="2"/>
  <c r="V3292" i="2"/>
  <c r="V3859" i="2"/>
  <c r="V3204" i="2"/>
  <c r="V4034" i="2"/>
  <c r="V4971" i="2"/>
  <c r="V4181" i="2"/>
  <c r="V4398" i="2"/>
  <c r="V2017" i="2"/>
  <c r="V4422" i="2"/>
  <c r="V3871" i="2"/>
  <c r="V4438" i="2"/>
  <c r="V4247" i="2"/>
  <c r="V1720" i="2"/>
  <c r="V482" i="2"/>
  <c r="V1959" i="2"/>
  <c r="V217" i="2"/>
  <c r="V505" i="2"/>
  <c r="V873" i="2"/>
  <c r="V1831" i="2"/>
  <c r="V1268" i="2"/>
  <c r="V394" i="2"/>
  <c r="V919" i="2"/>
  <c r="V334" i="2"/>
  <c r="V1049" i="2"/>
  <c r="V1469" i="2"/>
  <c r="V2273" i="2"/>
  <c r="V2826" i="2"/>
  <c r="V2288" i="2"/>
  <c r="V2204" i="2"/>
  <c r="V2942" i="2"/>
  <c r="V2325" i="2"/>
  <c r="V4585" i="2"/>
  <c r="V3016" i="2"/>
  <c r="V2700" i="2"/>
  <c r="V4605" i="2"/>
  <c r="V3071" i="2"/>
  <c r="V4013" i="2"/>
  <c r="V2640" i="2"/>
  <c r="V4383" i="2"/>
  <c r="V4401" i="2"/>
  <c r="V4410" i="2"/>
  <c r="V3896" i="2"/>
  <c r="V4704" i="2"/>
  <c r="V5068" i="2"/>
  <c r="V4271" i="2"/>
  <c r="V3850" i="2"/>
  <c r="V4425" i="2"/>
  <c r="V4091" i="2"/>
  <c r="V4875" i="2"/>
  <c r="V5069" i="2"/>
  <c r="V292" i="2"/>
  <c r="V1870" i="2"/>
  <c r="V952" i="2"/>
  <c r="V1285" i="2"/>
  <c r="V88" i="2"/>
  <c r="V907" i="2"/>
  <c r="V839" i="2"/>
  <c r="V1292" i="2"/>
  <c r="V2191" i="2"/>
  <c r="V3019" i="2"/>
  <c r="V2515" i="2"/>
  <c r="V2228" i="2"/>
  <c r="V4762" i="2"/>
  <c r="V2003" i="2"/>
  <c r="V2702" i="2"/>
  <c r="V3906" i="2"/>
  <c r="V2195" i="2"/>
  <c r="V4527" i="2"/>
  <c r="V3411" i="2"/>
  <c r="V4048" i="2"/>
  <c r="V4685" i="2"/>
  <c r="V4833" i="2"/>
  <c r="V1673" i="2"/>
  <c r="V460" i="2"/>
  <c r="V1570" i="2"/>
  <c r="V559" i="2"/>
  <c r="V150" i="2"/>
  <c r="V761" i="2"/>
  <c r="V727" i="2"/>
  <c r="V510" i="2"/>
  <c r="V576" i="2"/>
  <c r="V371" i="2"/>
  <c r="V2531" i="2"/>
  <c r="V2118" i="2"/>
  <c r="V2314" i="2"/>
  <c r="V2201" i="2"/>
  <c r="V3959" i="2"/>
  <c r="V3962" i="2"/>
  <c r="V4280" i="2"/>
  <c r="V2213" i="2"/>
  <c r="V4342" i="2"/>
  <c r="V4192" i="2"/>
  <c r="V3113" i="2"/>
  <c r="V4865" i="2"/>
  <c r="V1621" i="2"/>
  <c r="V1662" i="2"/>
  <c r="V1575" i="2"/>
  <c r="V1465" i="2"/>
  <c r="V1129" i="2"/>
  <c r="V772" i="2"/>
  <c r="V415" i="2"/>
  <c r="V776" i="2"/>
  <c r="V1039" i="2"/>
  <c r="V1242" i="2"/>
  <c r="V872" i="2"/>
  <c r="V1986" i="2"/>
  <c r="V2265" i="2"/>
  <c r="V2959" i="2"/>
  <c r="V2631" i="2"/>
  <c r="V3051" i="2"/>
  <c r="V2773" i="2"/>
  <c r="V2513" i="2"/>
  <c r="V3977" i="2"/>
  <c r="V4318" i="2"/>
  <c r="V2018" i="2"/>
  <c r="V2052" i="2"/>
  <c r="V4107" i="2"/>
  <c r="V2596" i="2"/>
  <c r="V4307" i="2"/>
  <c r="V628" i="2"/>
  <c r="V1546" i="2"/>
  <c r="V1609" i="2"/>
  <c r="V1678" i="2"/>
  <c r="V1166" i="2"/>
  <c r="V832" i="2"/>
  <c r="V1306" i="2"/>
  <c r="V1968" i="2"/>
  <c r="V1414" i="2"/>
  <c r="V893" i="2"/>
  <c r="V3168" i="2"/>
  <c r="V2455" i="2"/>
  <c r="V2087" i="2"/>
  <c r="V2590" i="2"/>
  <c r="V2626" i="2"/>
  <c r="V3688" i="2"/>
  <c r="V4020" i="2"/>
  <c r="V2885" i="2"/>
  <c r="V3216" i="2"/>
  <c r="V4029" i="2"/>
  <c r="V4427" i="2"/>
  <c r="V4708" i="2"/>
  <c r="V4053" i="2"/>
  <c r="V1697" i="2"/>
  <c r="V1391" i="2"/>
  <c r="V1045" i="2"/>
  <c r="V376" i="2"/>
  <c r="V950" i="2"/>
  <c r="V765" i="2"/>
  <c r="V259" i="2"/>
  <c r="V356" i="2"/>
  <c r="V837" i="2"/>
  <c r="V3145" i="2"/>
  <c r="V2463" i="2"/>
  <c r="V4204" i="2"/>
  <c r="V5042" i="2"/>
  <c r="V2114" i="2"/>
  <c r="V4394" i="2"/>
  <c r="V3535" i="2"/>
  <c r="V2715" i="2"/>
  <c r="V2063" i="2"/>
  <c r="V2545" i="2"/>
  <c r="V3878" i="2"/>
  <c r="V3098" i="2"/>
  <c r="V3933" i="2"/>
  <c r="V4315" i="2"/>
  <c r="V4790" i="2"/>
  <c r="V4183" i="2"/>
  <c r="V4648" i="2"/>
  <c r="V3550" i="2"/>
  <c r="V1710" i="2"/>
  <c r="V1812" i="2"/>
  <c r="V1384" i="2"/>
  <c r="V769" i="2"/>
  <c r="V1725" i="2"/>
  <c r="V450" i="2"/>
  <c r="V1097" i="2"/>
  <c r="V1163" i="2"/>
  <c r="V825" i="2"/>
  <c r="V390" i="2"/>
  <c r="V440" i="2"/>
  <c r="V2649" i="2"/>
  <c r="V3984" i="2"/>
  <c r="V2376" i="2"/>
  <c r="V3136" i="2"/>
  <c r="V2440" i="2"/>
  <c r="V4022" i="2"/>
  <c r="V2009" i="2"/>
  <c r="V4117" i="2"/>
  <c r="V3945" i="2"/>
  <c r="V4839" i="2"/>
  <c r="V5014" i="2"/>
  <c r="V1389" i="2"/>
  <c r="V1371" i="2"/>
  <c r="V1668" i="2"/>
  <c r="V961" i="2"/>
  <c r="V1466" i="2"/>
  <c r="V1225" i="2"/>
  <c r="V1713" i="2"/>
  <c r="V741" i="2"/>
  <c r="V1085" i="2"/>
  <c r="V681" i="2"/>
  <c r="V2805" i="2"/>
  <c r="V2552" i="2"/>
  <c r="V2014" i="2"/>
  <c r="V2263" i="2"/>
  <c r="V2643" i="2"/>
  <c r="V2494" i="2"/>
  <c r="V3903" i="2"/>
  <c r="V2669" i="2"/>
  <c r="V2789" i="2"/>
  <c r="V2271" i="2"/>
  <c r="V4607" i="2"/>
  <c r="V2342" i="2"/>
  <c r="V4219" i="2"/>
  <c r="V4367" i="2"/>
  <c r="V4148" i="2"/>
  <c r="V4463" i="2"/>
  <c r="V4221" i="2"/>
  <c r="V4760" i="2"/>
  <c r="V3884" i="2"/>
  <c r="V4089" i="2"/>
  <c r="V4471" i="2"/>
  <c r="V4665" i="2"/>
  <c r="V3323" i="2"/>
  <c r="V2893" i="2"/>
  <c r="V4009" i="2"/>
  <c r="V526" i="2"/>
  <c r="V321" i="2"/>
  <c r="V3126" i="2"/>
  <c r="V3395" i="2"/>
  <c r="V4064" i="2"/>
  <c r="V3761" i="2"/>
  <c r="V3407" i="2"/>
  <c r="V3403" i="2"/>
  <c r="V3641" i="2"/>
  <c r="V3691" i="2"/>
  <c r="V3087" i="2"/>
  <c r="V4381" i="2"/>
  <c r="V2524" i="2"/>
  <c r="V612" i="2"/>
  <c r="V575" i="2"/>
  <c r="V898" i="2"/>
  <c r="V3608" i="2"/>
  <c r="V228" i="2"/>
  <c r="V1585" i="2"/>
  <c r="V787" i="2"/>
  <c r="V629" i="2"/>
  <c r="V3095" i="2"/>
  <c r="V4230" i="2"/>
  <c r="V1238" i="2"/>
  <c r="V654" i="2"/>
  <c r="V449" i="2"/>
  <c r="V3426" i="2"/>
  <c r="V3159" i="2"/>
  <c r="V2677" i="2"/>
  <c r="V3053" i="2"/>
  <c r="V106" i="2"/>
  <c r="V315" i="2"/>
  <c r="V223" i="2"/>
  <c r="V197" i="2"/>
  <c r="V3318" i="2"/>
  <c r="V3311" i="2"/>
  <c r="V2568" i="2"/>
  <c r="V3572" i="2"/>
  <c r="V133" i="2"/>
  <c r="V2391" i="2"/>
  <c r="V3734" i="2"/>
  <c r="V3574" i="2"/>
  <c r="V3898" i="2"/>
  <c r="V1483" i="2"/>
  <c r="V3579" i="2"/>
  <c r="V2357" i="2"/>
  <c r="V311" i="2"/>
  <c r="V662" i="2"/>
  <c r="V238" i="2"/>
  <c r="V1145" i="2"/>
  <c r="V1101" i="2"/>
  <c r="V428" i="2"/>
  <c r="V3510" i="2"/>
  <c r="V2849" i="2"/>
  <c r="V3677" i="2"/>
  <c r="V2839" i="2"/>
  <c r="V2848" i="2"/>
  <c r="V3812" i="2"/>
  <c r="V3786" i="2"/>
  <c r="V2867" i="2"/>
  <c r="V3839" i="2"/>
  <c r="D164" i="1"/>
  <c r="G12" i="2"/>
  <c r="F26" i="9"/>
  <c r="K26" i="9" s="1"/>
  <c r="F5" i="9"/>
  <c r="D26" i="9"/>
  <c r="I58" i="2"/>
  <c r="R58" i="2"/>
  <c r="H57" i="2"/>
  <c r="J57" i="2"/>
  <c r="J58" i="2"/>
  <c r="R57" i="2"/>
  <c r="K57" i="2" l="1"/>
  <c r="L57" i="2"/>
  <c r="M57" i="2"/>
  <c r="C15" i="7"/>
  <c r="C27" i="7"/>
  <c r="C39" i="7"/>
  <c r="C51" i="7"/>
  <c r="C63" i="7"/>
  <c r="C75" i="7"/>
  <c r="C87" i="7"/>
  <c r="C99" i="7"/>
  <c r="C111" i="7"/>
  <c r="C123" i="7"/>
  <c r="C135" i="7"/>
  <c r="C147" i="7"/>
  <c r="C159" i="7"/>
  <c r="C171" i="7"/>
  <c r="C183" i="7"/>
  <c r="C195" i="7"/>
  <c r="C207" i="7"/>
  <c r="C219" i="7"/>
  <c r="C231" i="7"/>
  <c r="C243" i="7"/>
  <c r="C255" i="7"/>
  <c r="C267" i="7"/>
  <c r="C279" i="7"/>
  <c r="C291" i="7"/>
  <c r="C303" i="7"/>
  <c r="C315" i="7"/>
  <c r="C327" i="7"/>
  <c r="C339" i="7"/>
  <c r="C351" i="7"/>
  <c r="C363" i="7"/>
  <c r="C375" i="7"/>
  <c r="C387" i="7"/>
  <c r="C399" i="7"/>
  <c r="C411" i="7"/>
  <c r="C423" i="7"/>
  <c r="C435" i="7"/>
  <c r="C447" i="7"/>
  <c r="C459" i="7"/>
  <c r="C471" i="7"/>
  <c r="C483" i="7"/>
  <c r="C495" i="7"/>
  <c r="C507" i="7"/>
  <c r="C519" i="7"/>
  <c r="C531" i="7"/>
  <c r="C543" i="7"/>
  <c r="C555" i="7"/>
  <c r="C567" i="7"/>
  <c r="C579" i="7"/>
  <c r="C591" i="7"/>
  <c r="C603" i="7"/>
  <c r="C615" i="7"/>
  <c r="C627" i="7"/>
  <c r="C639" i="7"/>
  <c r="C651" i="7"/>
  <c r="C663" i="7"/>
  <c r="C675" i="7"/>
  <c r="C687" i="7"/>
  <c r="C699" i="7"/>
  <c r="C711" i="7"/>
  <c r="C723" i="7"/>
  <c r="C735" i="7"/>
  <c r="C747" i="7"/>
  <c r="C759" i="7"/>
  <c r="C771" i="7"/>
  <c r="C783" i="7"/>
  <c r="C795" i="7"/>
  <c r="C807" i="7"/>
  <c r="C819" i="7"/>
  <c r="C831" i="7"/>
  <c r="C843" i="7"/>
  <c r="C855" i="7"/>
  <c r="C867" i="7"/>
  <c r="C879" i="7"/>
  <c r="C891" i="7"/>
  <c r="C903" i="7"/>
  <c r="C915" i="7"/>
  <c r="C927" i="7"/>
  <c r="C939" i="7"/>
  <c r="C951" i="7"/>
  <c r="C963" i="7"/>
  <c r="C975" i="7"/>
  <c r="C987" i="7"/>
  <c r="C999" i="7"/>
  <c r="C16" i="7"/>
  <c r="C28" i="7"/>
  <c r="C40" i="7"/>
  <c r="C52" i="7"/>
  <c r="C64" i="7"/>
  <c r="C76" i="7"/>
  <c r="C88" i="7"/>
  <c r="C100" i="7"/>
  <c r="C112" i="7"/>
  <c r="C124" i="7"/>
  <c r="C136" i="7"/>
  <c r="C148" i="7"/>
  <c r="C160" i="7"/>
  <c r="C172" i="7"/>
  <c r="C184" i="7"/>
  <c r="C196" i="7"/>
  <c r="C208" i="7"/>
  <c r="C220" i="7"/>
  <c r="C232" i="7"/>
  <c r="C244" i="7"/>
  <c r="C256" i="7"/>
  <c r="C268" i="7"/>
  <c r="C17" i="7"/>
  <c r="C29" i="7"/>
  <c r="C41" i="7"/>
  <c r="C53" i="7"/>
  <c r="C65" i="7"/>
  <c r="C77" i="7"/>
  <c r="C89" i="7"/>
  <c r="C101" i="7"/>
  <c r="C113" i="7"/>
  <c r="C125" i="7"/>
  <c r="C137" i="7"/>
  <c r="C149" i="7"/>
  <c r="C161" i="7"/>
  <c r="C173" i="7"/>
  <c r="C185" i="7"/>
  <c r="C197" i="7"/>
  <c r="C209" i="7"/>
  <c r="C221" i="7"/>
  <c r="C233" i="7"/>
  <c r="C245" i="7"/>
  <c r="C257" i="7"/>
  <c r="C18" i="7"/>
  <c r="C30" i="7"/>
  <c r="C42" i="7"/>
  <c r="C54" i="7"/>
  <c r="C66" i="7"/>
  <c r="C78" i="7"/>
  <c r="C90" i="7"/>
  <c r="C102" i="7"/>
  <c r="C114" i="7"/>
  <c r="C126" i="7"/>
  <c r="C138" i="7"/>
  <c r="C150" i="7"/>
  <c r="C162" i="7"/>
  <c r="C174" i="7"/>
  <c r="C186" i="7"/>
  <c r="C198" i="7"/>
  <c r="C210" i="7"/>
  <c r="C222" i="7"/>
  <c r="C234" i="7"/>
  <c r="C246" i="7"/>
  <c r="C258" i="7"/>
  <c r="C270" i="7"/>
  <c r="C282" i="7"/>
  <c r="C19" i="7"/>
  <c r="C31" i="7"/>
  <c r="C43" i="7"/>
  <c r="C55" i="7"/>
  <c r="C67" i="7"/>
  <c r="C79" i="7"/>
  <c r="C91" i="7"/>
  <c r="C103" i="7"/>
  <c r="C115" i="7"/>
  <c r="C127" i="7"/>
  <c r="C139" i="7"/>
  <c r="C151" i="7"/>
  <c r="C163" i="7"/>
  <c r="C175" i="7"/>
  <c r="C187" i="7"/>
  <c r="C199" i="7"/>
  <c r="C211" i="7"/>
  <c r="C223" i="7"/>
  <c r="C235" i="7"/>
  <c r="C247" i="7"/>
  <c r="C259" i="7"/>
  <c r="C271" i="7"/>
  <c r="C283" i="7"/>
  <c r="C20" i="7"/>
  <c r="C32" i="7"/>
  <c r="C44" i="7"/>
  <c r="C56" i="7"/>
  <c r="C68" i="7"/>
  <c r="C80" i="7"/>
  <c r="C92" i="7"/>
  <c r="C104" i="7"/>
  <c r="C116" i="7"/>
  <c r="C128" i="7"/>
  <c r="C140" i="7"/>
  <c r="C152" i="7"/>
  <c r="C164" i="7"/>
  <c r="C176" i="7"/>
  <c r="C188" i="7"/>
  <c r="C200" i="7"/>
  <c r="C212" i="7"/>
  <c r="C224" i="7"/>
  <c r="C236" i="7"/>
  <c r="C248" i="7"/>
  <c r="C260" i="7"/>
  <c r="C272" i="7"/>
  <c r="C284" i="7"/>
  <c r="C296" i="7"/>
  <c r="C308" i="7"/>
  <c r="C320" i="7"/>
  <c r="C332" i="7"/>
  <c r="C344" i="7"/>
  <c r="C356" i="7"/>
  <c r="C368" i="7"/>
  <c r="C380" i="7"/>
  <c r="C392" i="7"/>
  <c r="C404" i="7"/>
  <c r="C416" i="7"/>
  <c r="C428" i="7"/>
  <c r="C440" i="7"/>
  <c r="C452" i="7"/>
  <c r="C464" i="7"/>
  <c r="C476" i="7"/>
  <c r="C488" i="7"/>
  <c r="C500" i="7"/>
  <c r="C512" i="7"/>
  <c r="C524" i="7"/>
  <c r="C536" i="7"/>
  <c r="C548" i="7"/>
  <c r="C560" i="7"/>
  <c r="C572" i="7"/>
  <c r="C584" i="7"/>
  <c r="C596" i="7"/>
  <c r="C608" i="7"/>
  <c r="C620" i="7"/>
  <c r="C632" i="7"/>
  <c r="C644" i="7"/>
  <c r="C656" i="7"/>
  <c r="C668" i="7"/>
  <c r="C680" i="7"/>
  <c r="C692" i="7"/>
  <c r="C704" i="7"/>
  <c r="C716" i="7"/>
  <c r="C728" i="7"/>
  <c r="C740" i="7"/>
  <c r="C752" i="7"/>
  <c r="C764" i="7"/>
  <c r="C776" i="7"/>
  <c r="C788" i="7"/>
  <c r="C21" i="7"/>
  <c r="C33" i="7"/>
  <c r="C45" i="7"/>
  <c r="C57" i="7"/>
  <c r="C69" i="7"/>
  <c r="C81" i="7"/>
  <c r="C93" i="7"/>
  <c r="C105" i="7"/>
  <c r="C117" i="7"/>
  <c r="C129" i="7"/>
  <c r="C141" i="7"/>
  <c r="C153" i="7"/>
  <c r="C165" i="7"/>
  <c r="C177" i="7"/>
  <c r="C189" i="7"/>
  <c r="C201" i="7"/>
  <c r="C213" i="7"/>
  <c r="C225" i="7"/>
  <c r="C237" i="7"/>
  <c r="C249" i="7"/>
  <c r="C261" i="7"/>
  <c r="C273" i="7"/>
  <c r="C285" i="7"/>
  <c r="C297" i="7"/>
  <c r="C309" i="7"/>
  <c r="C321" i="7"/>
  <c r="C333" i="7"/>
  <c r="C345" i="7"/>
  <c r="C357" i="7"/>
  <c r="C369" i="7"/>
  <c r="C381" i="7"/>
  <c r="C393" i="7"/>
  <c r="C405" i="7"/>
  <c r="C417" i="7"/>
  <c r="C429" i="7"/>
  <c r="C441" i="7"/>
  <c r="C453" i="7"/>
  <c r="C465" i="7"/>
  <c r="C477" i="7"/>
  <c r="C489" i="7"/>
  <c r="C501" i="7"/>
  <c r="C513" i="7"/>
  <c r="C525" i="7"/>
  <c r="C537" i="7"/>
  <c r="C549" i="7"/>
  <c r="C561" i="7"/>
  <c r="C573" i="7"/>
  <c r="C585" i="7"/>
  <c r="C597" i="7"/>
  <c r="C609" i="7"/>
  <c r="C621" i="7"/>
  <c r="C633" i="7"/>
  <c r="C645" i="7"/>
  <c r="C657" i="7"/>
  <c r="C669" i="7"/>
  <c r="C681" i="7"/>
  <c r="C693" i="7"/>
  <c r="C705" i="7"/>
  <c r="C717" i="7"/>
  <c r="C729" i="7"/>
  <c r="C741" i="7"/>
  <c r="C753" i="7"/>
  <c r="C765" i="7"/>
  <c r="C777" i="7"/>
  <c r="C789" i="7"/>
  <c r="C801" i="7"/>
  <c r="C813" i="7"/>
  <c r="C825" i="7"/>
  <c r="C837" i="7"/>
  <c r="C849" i="7"/>
  <c r="C861" i="7"/>
  <c r="C873" i="7"/>
  <c r="C885" i="7"/>
  <c r="C897" i="7"/>
  <c r="C909" i="7"/>
  <c r="C921" i="7"/>
  <c r="C933" i="7"/>
  <c r="C945" i="7"/>
  <c r="C957" i="7"/>
  <c r="C969" i="7"/>
  <c r="C981" i="7"/>
  <c r="C993" i="7"/>
  <c r="C1005" i="7"/>
  <c r="C1017" i="7"/>
  <c r="C1029" i="7"/>
  <c r="C22" i="7"/>
  <c r="C34" i="7"/>
  <c r="C46" i="7"/>
  <c r="C58" i="7"/>
  <c r="C70" i="7"/>
  <c r="C82" i="7"/>
  <c r="C94" i="7"/>
  <c r="C106" i="7"/>
  <c r="C118" i="7"/>
  <c r="C130" i="7"/>
  <c r="C142" i="7"/>
  <c r="C154" i="7"/>
  <c r="C166" i="7"/>
  <c r="C178" i="7"/>
  <c r="C190" i="7"/>
  <c r="C202" i="7"/>
  <c r="C214" i="7"/>
  <c r="C226" i="7"/>
  <c r="C238" i="7"/>
  <c r="C250" i="7"/>
  <c r="C262" i="7"/>
  <c r="C274" i="7"/>
  <c r="C286" i="7"/>
  <c r="C298" i="7"/>
  <c r="C23" i="7"/>
  <c r="C35" i="7"/>
  <c r="C47" i="7"/>
  <c r="C59" i="7"/>
  <c r="C71" i="7"/>
  <c r="C83" i="7"/>
  <c r="C95" i="7"/>
  <c r="C107" i="7"/>
  <c r="C119" i="7"/>
  <c r="C131" i="7"/>
  <c r="C143" i="7"/>
  <c r="C155" i="7"/>
  <c r="C167" i="7"/>
  <c r="C179" i="7"/>
  <c r="C191" i="7"/>
  <c r="C203" i="7"/>
  <c r="C215" i="7"/>
  <c r="C227" i="7"/>
  <c r="C239" i="7"/>
  <c r="C251" i="7"/>
  <c r="C263" i="7"/>
  <c r="C275" i="7"/>
  <c r="C287" i="7"/>
  <c r="C299" i="7"/>
  <c r="C24" i="7"/>
  <c r="C36" i="7"/>
  <c r="C48" i="7"/>
  <c r="C60" i="7"/>
  <c r="C72" i="7"/>
  <c r="C84" i="7"/>
  <c r="C96" i="7"/>
  <c r="C108" i="7"/>
  <c r="C120" i="7"/>
  <c r="C132" i="7"/>
  <c r="C144" i="7"/>
  <c r="C156" i="7"/>
  <c r="C168" i="7"/>
  <c r="C180" i="7"/>
  <c r="C192" i="7"/>
  <c r="C204" i="7"/>
  <c r="C216" i="7"/>
  <c r="C228" i="7"/>
  <c r="C240" i="7"/>
  <c r="C252" i="7"/>
  <c r="C264" i="7"/>
  <c r="C276" i="7"/>
  <c r="C288" i="7"/>
  <c r="C300" i="7"/>
  <c r="C312" i="7"/>
  <c r="C324" i="7"/>
  <c r="C336" i="7"/>
  <c r="C348" i="7"/>
  <c r="C360" i="7"/>
  <c r="C372" i="7"/>
  <c r="C384" i="7"/>
  <c r="C396" i="7"/>
  <c r="C408" i="7"/>
  <c r="C420" i="7"/>
  <c r="C432" i="7"/>
  <c r="C444" i="7"/>
  <c r="C456" i="7"/>
  <c r="C468" i="7"/>
  <c r="C480" i="7"/>
  <c r="C492" i="7"/>
  <c r="C504" i="7"/>
  <c r="C516" i="7"/>
  <c r="C528" i="7"/>
  <c r="C540" i="7"/>
  <c r="C552" i="7"/>
  <c r="C564" i="7"/>
  <c r="C576" i="7"/>
  <c r="C588" i="7"/>
  <c r="C600" i="7"/>
  <c r="C612" i="7"/>
  <c r="C624" i="7"/>
  <c r="C636" i="7"/>
  <c r="C648" i="7"/>
  <c r="C660" i="7"/>
  <c r="C672" i="7"/>
  <c r="C684" i="7"/>
  <c r="C696" i="7"/>
  <c r="C708" i="7"/>
  <c r="C720" i="7"/>
  <c r="C732" i="7"/>
  <c r="C744" i="7"/>
  <c r="C756" i="7"/>
  <c r="C768" i="7"/>
  <c r="C780" i="7"/>
  <c r="C792" i="7"/>
  <c r="C804" i="7"/>
  <c r="C816" i="7"/>
  <c r="C828" i="7"/>
  <c r="C840" i="7"/>
  <c r="C852" i="7"/>
  <c r="C864" i="7"/>
  <c r="C876" i="7"/>
  <c r="C888" i="7"/>
  <c r="C900" i="7"/>
  <c r="C912" i="7"/>
  <c r="C924" i="7"/>
  <c r="C936" i="7"/>
  <c r="C948" i="7"/>
  <c r="C960" i="7"/>
  <c r="C972" i="7"/>
  <c r="C984" i="7"/>
  <c r="C996" i="7"/>
  <c r="C1008" i="7"/>
  <c r="C1020" i="7"/>
  <c r="C1032" i="7"/>
  <c r="C25" i="7"/>
  <c r="C37" i="7"/>
  <c r="C49" i="7"/>
  <c r="C61" i="7"/>
  <c r="C73" i="7"/>
  <c r="C85" i="7"/>
  <c r="C97" i="7"/>
  <c r="C109" i="7"/>
  <c r="C121" i="7"/>
  <c r="C133" i="7"/>
  <c r="C145" i="7"/>
  <c r="C157" i="7"/>
  <c r="C169" i="7"/>
  <c r="C181" i="7"/>
  <c r="C193" i="7"/>
  <c r="C205" i="7"/>
  <c r="C217" i="7"/>
  <c r="C229" i="7"/>
  <c r="C241" i="7"/>
  <c r="C253" i="7"/>
  <c r="C265" i="7"/>
  <c r="C277" i="7"/>
  <c r="C289" i="7"/>
  <c r="C301" i="7"/>
  <c r="C313" i="7"/>
  <c r="C325" i="7"/>
  <c r="C337" i="7"/>
  <c r="C349" i="7"/>
  <c r="C361" i="7"/>
  <c r="C373" i="7"/>
  <c r="C385" i="7"/>
  <c r="C397" i="7"/>
  <c r="C409" i="7"/>
  <c r="C421" i="7"/>
  <c r="C433" i="7"/>
  <c r="C445" i="7"/>
  <c r="C457" i="7"/>
  <c r="C469" i="7"/>
  <c r="C481" i="7"/>
  <c r="C493" i="7"/>
  <c r="C505" i="7"/>
  <c r="C517" i="7"/>
  <c r="C529" i="7"/>
  <c r="C541" i="7"/>
  <c r="C553" i="7"/>
  <c r="C565" i="7"/>
  <c r="C577" i="7"/>
  <c r="C589" i="7"/>
  <c r="C601" i="7"/>
  <c r="C613" i="7"/>
  <c r="C625" i="7"/>
  <c r="C637" i="7"/>
  <c r="C649" i="7"/>
  <c r="C661" i="7"/>
  <c r="C673" i="7"/>
  <c r="C685" i="7"/>
  <c r="C697" i="7"/>
  <c r="C709" i="7"/>
  <c r="C721" i="7"/>
  <c r="C733" i="7"/>
  <c r="C745" i="7"/>
  <c r="C757" i="7"/>
  <c r="C769" i="7"/>
  <c r="C781" i="7"/>
  <c r="C793" i="7"/>
  <c r="C805" i="7"/>
  <c r="C817" i="7"/>
  <c r="C829" i="7"/>
  <c r="C841" i="7"/>
  <c r="C853" i="7"/>
  <c r="C865" i="7"/>
  <c r="C877" i="7"/>
  <c r="C889" i="7"/>
  <c r="C901" i="7"/>
  <c r="C913" i="7"/>
  <c r="C925" i="7"/>
  <c r="C937" i="7"/>
  <c r="C949" i="7"/>
  <c r="C961" i="7"/>
  <c r="C973" i="7"/>
  <c r="C985" i="7"/>
  <c r="C997" i="7"/>
  <c r="C1009" i="7"/>
  <c r="C1021" i="7"/>
  <c r="C1033" i="7"/>
  <c r="C26" i="7"/>
  <c r="C170" i="7"/>
  <c r="C281" i="7"/>
  <c r="C311" i="7"/>
  <c r="C331" i="7"/>
  <c r="C353" i="7"/>
  <c r="C374" i="7"/>
  <c r="C394" i="7"/>
  <c r="C414" i="7"/>
  <c r="C436" i="7"/>
  <c r="C455" i="7"/>
  <c r="C475" i="7"/>
  <c r="C497" i="7"/>
  <c r="C518" i="7"/>
  <c r="C538" i="7"/>
  <c r="C558" i="7"/>
  <c r="C580" i="7"/>
  <c r="C599" i="7"/>
  <c r="C619" i="7"/>
  <c r="C641" i="7"/>
  <c r="C662" i="7"/>
  <c r="C682" i="7"/>
  <c r="C702" i="7"/>
  <c r="C724" i="7"/>
  <c r="C743" i="7"/>
  <c r="C763" i="7"/>
  <c r="C785" i="7"/>
  <c r="C803" i="7"/>
  <c r="C822" i="7"/>
  <c r="C839" i="7"/>
  <c r="C858" i="7"/>
  <c r="C875" i="7"/>
  <c r="C894" i="7"/>
  <c r="C911" i="7"/>
  <c r="C930" i="7"/>
  <c r="C947" i="7"/>
  <c r="C966" i="7"/>
  <c r="C983" i="7"/>
  <c r="C1002" i="7"/>
  <c r="C1018" i="7"/>
  <c r="C1035" i="7"/>
  <c r="C1047" i="7"/>
  <c r="C1059" i="7"/>
  <c r="C1071" i="7"/>
  <c r="C1083" i="7"/>
  <c r="C1095" i="7"/>
  <c r="C1107" i="7"/>
  <c r="C1119" i="7"/>
  <c r="C1131" i="7"/>
  <c r="C1143" i="7"/>
  <c r="C1155" i="7"/>
  <c r="C1167" i="7"/>
  <c r="C1179" i="7"/>
  <c r="C1191" i="7"/>
  <c r="C1203" i="7"/>
  <c r="C1215" i="7"/>
  <c r="C1227" i="7"/>
  <c r="C1239" i="7"/>
  <c r="C1251" i="7"/>
  <c r="C1263" i="7"/>
  <c r="C1275" i="7"/>
  <c r="C1287" i="7"/>
  <c r="C1299" i="7"/>
  <c r="C1311" i="7"/>
  <c r="C1323" i="7"/>
  <c r="C1335" i="7"/>
  <c r="C1347" i="7"/>
  <c r="C1359" i="7"/>
  <c r="C1371" i="7"/>
  <c r="C1383" i="7"/>
  <c r="C1395" i="7"/>
  <c r="C1407" i="7"/>
  <c r="C1419" i="7"/>
  <c r="C1431" i="7"/>
  <c r="C1443" i="7"/>
  <c r="C1455" i="7"/>
  <c r="C1467" i="7"/>
  <c r="C1479" i="7"/>
  <c r="C1491" i="7"/>
  <c r="C1503" i="7"/>
  <c r="C1515" i="7"/>
  <c r="C38" i="7"/>
  <c r="C182" i="7"/>
  <c r="C290" i="7"/>
  <c r="C314" i="7"/>
  <c r="C334" i="7"/>
  <c r="C354" i="7"/>
  <c r="C376" i="7"/>
  <c r="C395" i="7"/>
  <c r="C415" i="7"/>
  <c r="C437" i="7"/>
  <c r="C458" i="7"/>
  <c r="C478" i="7"/>
  <c r="C498" i="7"/>
  <c r="C520" i="7"/>
  <c r="C539" i="7"/>
  <c r="C559" i="7"/>
  <c r="C581" i="7"/>
  <c r="C602" i="7"/>
  <c r="C622" i="7"/>
  <c r="C642" i="7"/>
  <c r="C664" i="7"/>
  <c r="C683" i="7"/>
  <c r="C703" i="7"/>
  <c r="C725" i="7"/>
  <c r="C746" i="7"/>
  <c r="C766" i="7"/>
  <c r="C786" i="7"/>
  <c r="C806" i="7"/>
  <c r="C823" i="7"/>
  <c r="C842" i="7"/>
  <c r="C859" i="7"/>
  <c r="C878" i="7"/>
  <c r="C895" i="7"/>
  <c r="C914" i="7"/>
  <c r="C931" i="7"/>
  <c r="C950" i="7"/>
  <c r="C967" i="7"/>
  <c r="C986" i="7"/>
  <c r="C1003" i="7"/>
  <c r="C1019" i="7"/>
  <c r="C62" i="7"/>
  <c r="C206" i="7"/>
  <c r="C293" i="7"/>
  <c r="C317" i="7"/>
  <c r="C338" i="7"/>
  <c r="C358" i="7"/>
  <c r="C378" i="7"/>
  <c r="C400" i="7"/>
  <c r="C419" i="7"/>
  <c r="C439" i="7"/>
  <c r="C461" i="7"/>
  <c r="C482" i="7"/>
  <c r="C502" i="7"/>
  <c r="C522" i="7"/>
  <c r="C544" i="7"/>
  <c r="C563" i="7"/>
  <c r="C583" i="7"/>
  <c r="C605" i="7"/>
  <c r="C626" i="7"/>
  <c r="C646" i="7"/>
  <c r="C666" i="7"/>
  <c r="C688" i="7"/>
  <c r="C707" i="7"/>
  <c r="C727" i="7"/>
  <c r="C749" i="7"/>
  <c r="C770" i="7"/>
  <c r="C790" i="7"/>
  <c r="C809" i="7"/>
  <c r="C826" i="7"/>
  <c r="C845" i="7"/>
  <c r="C862" i="7"/>
  <c r="C881" i="7"/>
  <c r="C898" i="7"/>
  <c r="C917" i="7"/>
  <c r="C934" i="7"/>
  <c r="C953" i="7"/>
  <c r="C970" i="7"/>
  <c r="C989" i="7"/>
  <c r="C1006" i="7"/>
  <c r="C1023" i="7"/>
  <c r="C1038" i="7"/>
  <c r="C1050" i="7"/>
  <c r="C1062" i="7"/>
  <c r="C1074" i="7"/>
  <c r="C1086" i="7"/>
  <c r="C1098" i="7"/>
  <c r="C1110" i="7"/>
  <c r="C1122" i="7"/>
  <c r="C1134" i="7"/>
  <c r="C1146" i="7"/>
  <c r="C1158" i="7"/>
  <c r="C1170" i="7"/>
  <c r="C1182" i="7"/>
  <c r="C1194" i="7"/>
  <c r="C1206" i="7"/>
  <c r="C1218" i="7"/>
  <c r="C1230" i="7"/>
  <c r="C1242" i="7"/>
  <c r="C1254" i="7"/>
  <c r="C1266" i="7"/>
  <c r="C1278" i="7"/>
  <c r="C1290" i="7"/>
  <c r="C1302" i="7"/>
  <c r="C1314" i="7"/>
  <c r="C1326" i="7"/>
  <c r="C1338" i="7"/>
  <c r="C1350" i="7"/>
  <c r="C1362" i="7"/>
  <c r="C1374" i="7"/>
  <c r="C1386" i="7"/>
  <c r="C1398" i="7"/>
  <c r="C1410" i="7"/>
  <c r="C1422" i="7"/>
  <c r="C1434" i="7"/>
  <c r="C1446" i="7"/>
  <c r="C1458" i="7"/>
  <c r="C1470" i="7"/>
  <c r="C1482" i="7"/>
  <c r="C1494" i="7"/>
  <c r="C1506" i="7"/>
  <c r="C1518" i="7"/>
  <c r="C1530" i="7"/>
  <c r="C1542" i="7"/>
  <c r="C1554" i="7"/>
  <c r="C1566" i="7"/>
  <c r="C86" i="7"/>
  <c r="C230" i="7"/>
  <c r="C295" i="7"/>
  <c r="C319" i="7"/>
  <c r="C341" i="7"/>
  <c r="C362" i="7"/>
  <c r="C382" i="7"/>
  <c r="C402" i="7"/>
  <c r="C424" i="7"/>
  <c r="C443" i="7"/>
  <c r="C463" i="7"/>
  <c r="C485" i="7"/>
  <c r="C506" i="7"/>
  <c r="C526" i="7"/>
  <c r="C546" i="7"/>
  <c r="C568" i="7"/>
  <c r="C587" i="7"/>
  <c r="C607" i="7"/>
  <c r="C629" i="7"/>
  <c r="C650" i="7"/>
  <c r="C670" i="7"/>
  <c r="C690" i="7"/>
  <c r="C712" i="7"/>
  <c r="C731" i="7"/>
  <c r="C751" i="7"/>
  <c r="C773" i="7"/>
  <c r="C794" i="7"/>
  <c r="C811" i="7"/>
  <c r="C830" i="7"/>
  <c r="C847" i="7"/>
  <c r="C866" i="7"/>
  <c r="C883" i="7"/>
  <c r="C902" i="7"/>
  <c r="C919" i="7"/>
  <c r="C938" i="7"/>
  <c r="C955" i="7"/>
  <c r="C974" i="7"/>
  <c r="C991" i="7"/>
  <c r="C1010" i="7"/>
  <c r="C1025" i="7"/>
  <c r="C1040" i="7"/>
  <c r="C1052" i="7"/>
  <c r="C1064" i="7"/>
  <c r="C1076" i="7"/>
  <c r="C1088" i="7"/>
  <c r="C1100" i="7"/>
  <c r="C1112" i="7"/>
  <c r="C1124" i="7"/>
  <c r="C1136" i="7"/>
  <c r="C1148" i="7"/>
  <c r="C1160" i="7"/>
  <c r="C1172" i="7"/>
  <c r="C1184" i="7"/>
  <c r="C1196" i="7"/>
  <c r="C1208" i="7"/>
  <c r="C1220" i="7"/>
  <c r="C1232" i="7"/>
  <c r="C1244" i="7"/>
  <c r="C1256" i="7"/>
  <c r="C1268" i="7"/>
  <c r="C1280" i="7"/>
  <c r="C1292" i="7"/>
  <c r="C1304" i="7"/>
  <c r="C1316" i="7"/>
  <c r="C1328" i="7"/>
  <c r="C1340" i="7"/>
  <c r="C1352" i="7"/>
  <c r="C1364" i="7"/>
  <c r="C1376" i="7"/>
  <c r="C1388" i="7"/>
  <c r="C1400" i="7"/>
  <c r="C1412" i="7"/>
  <c r="C1424" i="7"/>
  <c r="C1436" i="7"/>
  <c r="C1448" i="7"/>
  <c r="C1460" i="7"/>
  <c r="C1472" i="7"/>
  <c r="C1484" i="7"/>
  <c r="C1496" i="7"/>
  <c r="C98" i="7"/>
  <c r="C242" i="7"/>
  <c r="C302" i="7"/>
  <c r="C322" i="7"/>
  <c r="C342" i="7"/>
  <c r="C364" i="7"/>
  <c r="C383" i="7"/>
  <c r="C403" i="7"/>
  <c r="C425" i="7"/>
  <c r="C446" i="7"/>
  <c r="C466" i="7"/>
  <c r="C486" i="7"/>
  <c r="C508" i="7"/>
  <c r="C527" i="7"/>
  <c r="C547" i="7"/>
  <c r="C569" i="7"/>
  <c r="C590" i="7"/>
  <c r="C610" i="7"/>
  <c r="C630" i="7"/>
  <c r="C652" i="7"/>
  <c r="C671" i="7"/>
  <c r="C691" i="7"/>
  <c r="C713" i="7"/>
  <c r="C734" i="7"/>
  <c r="C754" i="7"/>
  <c r="C774" i="7"/>
  <c r="C796" i="7"/>
  <c r="C812" i="7"/>
  <c r="C832" i="7"/>
  <c r="C848" i="7"/>
  <c r="C868" i="7"/>
  <c r="C884" i="7"/>
  <c r="C904" i="7"/>
  <c r="C920" i="7"/>
  <c r="C940" i="7"/>
  <c r="C956" i="7"/>
  <c r="C976" i="7"/>
  <c r="C992" i="7"/>
  <c r="C1011" i="7"/>
  <c r="C1026" i="7"/>
  <c r="C1041" i="7"/>
  <c r="C1053" i="7"/>
  <c r="C1065" i="7"/>
  <c r="C1077" i="7"/>
  <c r="C1089" i="7"/>
  <c r="C1101" i="7"/>
  <c r="C1113" i="7"/>
  <c r="C1125" i="7"/>
  <c r="C1137" i="7"/>
  <c r="C1149" i="7"/>
  <c r="C1161" i="7"/>
  <c r="C1173" i="7"/>
  <c r="C1185" i="7"/>
  <c r="C1197" i="7"/>
  <c r="C1209" i="7"/>
  <c r="C1221" i="7"/>
  <c r="C1233" i="7"/>
  <c r="C1245" i="7"/>
  <c r="C1257" i="7"/>
  <c r="C1269" i="7"/>
  <c r="C1281" i="7"/>
  <c r="C1293" i="7"/>
  <c r="C1305" i="7"/>
  <c r="C1317" i="7"/>
  <c r="C1329" i="7"/>
  <c r="C1341" i="7"/>
  <c r="C1353" i="7"/>
  <c r="C1365" i="7"/>
  <c r="C1377" i="7"/>
  <c r="C1389" i="7"/>
  <c r="C1401" i="7"/>
  <c r="C1413" i="7"/>
  <c r="C1425" i="7"/>
  <c r="C1437" i="7"/>
  <c r="C1449" i="7"/>
  <c r="C1461" i="7"/>
  <c r="C1473" i="7"/>
  <c r="C1485" i="7"/>
  <c r="C1497" i="7"/>
  <c r="C1509" i="7"/>
  <c r="C1521" i="7"/>
  <c r="C1533" i="7"/>
  <c r="C1545" i="7"/>
  <c r="C1557" i="7"/>
  <c r="C1569" i="7"/>
  <c r="C1581" i="7"/>
  <c r="C1593" i="7"/>
  <c r="C1605" i="7"/>
  <c r="C1617" i="7"/>
  <c r="C110" i="7"/>
  <c r="C254" i="7"/>
  <c r="C304" i="7"/>
  <c r="C323" i="7"/>
  <c r="C343" i="7"/>
  <c r="C365" i="7"/>
  <c r="C386" i="7"/>
  <c r="C406" i="7"/>
  <c r="C426" i="7"/>
  <c r="C448" i="7"/>
  <c r="C467" i="7"/>
  <c r="C487" i="7"/>
  <c r="C509" i="7"/>
  <c r="C530" i="7"/>
  <c r="C550" i="7"/>
  <c r="C570" i="7"/>
  <c r="C592" i="7"/>
  <c r="C611" i="7"/>
  <c r="C631" i="7"/>
  <c r="C653" i="7"/>
  <c r="C674" i="7"/>
  <c r="C694" i="7"/>
  <c r="C714" i="7"/>
  <c r="C736" i="7"/>
  <c r="C755" i="7"/>
  <c r="C775" i="7"/>
  <c r="C797" i="7"/>
  <c r="C814" i="7"/>
  <c r="C833" i="7"/>
  <c r="C850" i="7"/>
  <c r="C869" i="7"/>
  <c r="C886" i="7"/>
  <c r="C905" i="7"/>
  <c r="C922" i="7"/>
  <c r="C941" i="7"/>
  <c r="C958" i="7"/>
  <c r="C977" i="7"/>
  <c r="C994" i="7"/>
  <c r="C1012" i="7"/>
  <c r="C1027" i="7"/>
  <c r="C1042" i="7"/>
  <c r="C1054" i="7"/>
  <c r="C1066" i="7"/>
  <c r="C1078" i="7"/>
  <c r="C1090" i="7"/>
  <c r="C1102" i="7"/>
  <c r="C1114" i="7"/>
  <c r="C1126" i="7"/>
  <c r="C1138" i="7"/>
  <c r="C1150" i="7"/>
  <c r="C1162" i="7"/>
  <c r="C1174" i="7"/>
  <c r="C1186" i="7"/>
  <c r="C1198" i="7"/>
  <c r="C1210" i="7"/>
  <c r="C1222" i="7"/>
  <c r="C1234" i="7"/>
  <c r="C1246" i="7"/>
  <c r="C1258" i="7"/>
  <c r="C1270" i="7"/>
  <c r="C1282" i="7"/>
  <c r="C1294" i="7"/>
  <c r="C1306" i="7"/>
  <c r="C1318" i="7"/>
  <c r="C1330" i="7"/>
  <c r="C1342" i="7"/>
  <c r="C1354" i="7"/>
  <c r="C1366" i="7"/>
  <c r="C1378" i="7"/>
  <c r="C1390" i="7"/>
  <c r="C1402" i="7"/>
  <c r="C1414" i="7"/>
  <c r="C1426" i="7"/>
  <c r="C1438" i="7"/>
  <c r="C1450" i="7"/>
  <c r="C1462" i="7"/>
  <c r="C1474" i="7"/>
  <c r="C1486" i="7"/>
  <c r="C1498" i="7"/>
  <c r="C1510" i="7"/>
  <c r="C1522" i="7"/>
  <c r="C1534" i="7"/>
  <c r="C1546" i="7"/>
  <c r="C122" i="7"/>
  <c r="C266" i="7"/>
  <c r="C305" i="7"/>
  <c r="C326" i="7"/>
  <c r="C346" i="7"/>
  <c r="C366" i="7"/>
  <c r="C388" i="7"/>
  <c r="C407" i="7"/>
  <c r="C427" i="7"/>
  <c r="C449" i="7"/>
  <c r="C470" i="7"/>
  <c r="C490" i="7"/>
  <c r="C510" i="7"/>
  <c r="C532" i="7"/>
  <c r="C551" i="7"/>
  <c r="C571" i="7"/>
  <c r="C593" i="7"/>
  <c r="C614" i="7"/>
  <c r="C634" i="7"/>
  <c r="C654" i="7"/>
  <c r="C676" i="7"/>
  <c r="C695" i="7"/>
  <c r="C715" i="7"/>
  <c r="C737" i="7"/>
  <c r="C758" i="7"/>
  <c r="C778" i="7"/>
  <c r="C798" i="7"/>
  <c r="C815" i="7"/>
  <c r="C834" i="7"/>
  <c r="C851" i="7"/>
  <c r="C870" i="7"/>
  <c r="C887" i="7"/>
  <c r="C906" i="7"/>
  <c r="C923" i="7"/>
  <c r="C942" i="7"/>
  <c r="C959" i="7"/>
  <c r="C978" i="7"/>
  <c r="C995" i="7"/>
  <c r="C1013" i="7"/>
  <c r="C1028" i="7"/>
  <c r="C1043" i="7"/>
  <c r="C1055" i="7"/>
  <c r="C134" i="7"/>
  <c r="C269" i="7"/>
  <c r="C306" i="7"/>
  <c r="C328" i="7"/>
  <c r="C347" i="7"/>
  <c r="C367" i="7"/>
  <c r="C389" i="7"/>
  <c r="C410" i="7"/>
  <c r="C430" i="7"/>
  <c r="C450" i="7"/>
  <c r="C472" i="7"/>
  <c r="C491" i="7"/>
  <c r="C511" i="7"/>
  <c r="C533" i="7"/>
  <c r="C554" i="7"/>
  <c r="C574" i="7"/>
  <c r="C594" i="7"/>
  <c r="C616" i="7"/>
  <c r="C635" i="7"/>
  <c r="C655" i="7"/>
  <c r="C677" i="7"/>
  <c r="C698" i="7"/>
  <c r="C718" i="7"/>
  <c r="C738" i="7"/>
  <c r="C760" i="7"/>
  <c r="C779" i="7"/>
  <c r="C799" i="7"/>
  <c r="C818" i="7"/>
  <c r="C835" i="7"/>
  <c r="C854" i="7"/>
  <c r="C871" i="7"/>
  <c r="C890" i="7"/>
  <c r="C907" i="7"/>
  <c r="C926" i="7"/>
  <c r="C943" i="7"/>
  <c r="C962" i="7"/>
  <c r="C979" i="7"/>
  <c r="C998" i="7"/>
  <c r="C1014" i="7"/>
  <c r="C1030" i="7"/>
  <c r="C1044" i="7"/>
  <c r="C1056" i="7"/>
  <c r="C1068" i="7"/>
  <c r="C1080" i="7"/>
  <c r="C1092" i="7"/>
  <c r="C1104" i="7"/>
  <c r="C1116" i="7"/>
  <c r="C1128" i="7"/>
  <c r="C1140" i="7"/>
  <c r="C1152" i="7"/>
  <c r="C1164" i="7"/>
  <c r="C1176" i="7"/>
  <c r="C1188" i="7"/>
  <c r="C1200" i="7"/>
  <c r="C1212" i="7"/>
  <c r="C1224" i="7"/>
  <c r="C1236" i="7"/>
  <c r="C1248" i="7"/>
  <c r="C1260" i="7"/>
  <c r="C1272" i="7"/>
  <c r="C1284" i="7"/>
  <c r="C1296" i="7"/>
  <c r="C1308" i="7"/>
  <c r="C1320" i="7"/>
  <c r="C1332" i="7"/>
  <c r="C1344" i="7"/>
  <c r="C1356" i="7"/>
  <c r="C1368" i="7"/>
  <c r="C1380" i="7"/>
  <c r="C1392" i="7"/>
  <c r="C1404" i="7"/>
  <c r="C1416" i="7"/>
  <c r="C1428" i="7"/>
  <c r="C1440" i="7"/>
  <c r="C1452" i="7"/>
  <c r="C1464" i="7"/>
  <c r="C1476" i="7"/>
  <c r="C1488" i="7"/>
  <c r="C1500" i="7"/>
  <c r="C1512" i="7"/>
  <c r="C1524" i="7"/>
  <c r="C1536" i="7"/>
  <c r="C1548" i="7"/>
  <c r="C50" i="7"/>
  <c r="C316" i="7"/>
  <c r="C377" i="7"/>
  <c r="C438" i="7"/>
  <c r="C499" i="7"/>
  <c r="C562" i="7"/>
  <c r="C623" i="7"/>
  <c r="C686" i="7"/>
  <c r="C748" i="7"/>
  <c r="C808" i="7"/>
  <c r="C860" i="7"/>
  <c r="C916" i="7"/>
  <c r="C968" i="7"/>
  <c r="C1022" i="7"/>
  <c r="C1057" i="7"/>
  <c r="C1081" i="7"/>
  <c r="C1105" i="7"/>
  <c r="C1129" i="7"/>
  <c r="C1153" i="7"/>
  <c r="C1177" i="7"/>
  <c r="C1201" i="7"/>
  <c r="C1225" i="7"/>
  <c r="C1249" i="7"/>
  <c r="C1273" i="7"/>
  <c r="C1297" i="7"/>
  <c r="C1321" i="7"/>
  <c r="C1345" i="7"/>
  <c r="C1369" i="7"/>
  <c r="C1393" i="7"/>
  <c r="C1417" i="7"/>
  <c r="C1441" i="7"/>
  <c r="C1465" i="7"/>
  <c r="C1489" i="7"/>
  <c r="C1511" i="7"/>
  <c r="C1529" i="7"/>
  <c r="C1549" i="7"/>
  <c r="C1563" i="7"/>
  <c r="C1577" i="7"/>
  <c r="C1590" i="7"/>
  <c r="C1603" i="7"/>
  <c r="C1616" i="7"/>
  <c r="C1629" i="7"/>
  <c r="C1641" i="7"/>
  <c r="C1653" i="7"/>
  <c r="C1665" i="7"/>
  <c r="C1677" i="7"/>
  <c r="C1689" i="7"/>
  <c r="C1701" i="7"/>
  <c r="C1713" i="7"/>
  <c r="C1725" i="7"/>
  <c r="C1737" i="7"/>
  <c r="C1749" i="7"/>
  <c r="C1761" i="7"/>
  <c r="C1773" i="7"/>
  <c r="C1785" i="7"/>
  <c r="C1797" i="7"/>
  <c r="C1809" i="7"/>
  <c r="C1821" i="7"/>
  <c r="C1833" i="7"/>
  <c r="C1845" i="7"/>
  <c r="C1857" i="7"/>
  <c r="C1869" i="7"/>
  <c r="C1881" i="7"/>
  <c r="C1893" i="7"/>
  <c r="C1905" i="7"/>
  <c r="C1917" i="7"/>
  <c r="C1929" i="7"/>
  <c r="C1941" i="7"/>
  <c r="C1953" i="7"/>
  <c r="C1965" i="7"/>
  <c r="C1977" i="7"/>
  <c r="C1989" i="7"/>
  <c r="C2001" i="7"/>
  <c r="C74" i="7"/>
  <c r="C318" i="7"/>
  <c r="C379" i="7"/>
  <c r="C442" i="7"/>
  <c r="C503" i="7"/>
  <c r="C566" i="7"/>
  <c r="C628" i="7"/>
  <c r="C689" i="7"/>
  <c r="C750" i="7"/>
  <c r="C810" i="7"/>
  <c r="C863" i="7"/>
  <c r="C918" i="7"/>
  <c r="C971" i="7"/>
  <c r="C1024" i="7"/>
  <c r="C1058" i="7"/>
  <c r="C1082" i="7"/>
  <c r="C1106" i="7"/>
  <c r="C1130" i="7"/>
  <c r="C1154" i="7"/>
  <c r="C1178" i="7"/>
  <c r="C1202" i="7"/>
  <c r="C1226" i="7"/>
  <c r="C1250" i="7"/>
  <c r="C1274" i="7"/>
  <c r="C1298" i="7"/>
  <c r="C1322" i="7"/>
  <c r="C1346" i="7"/>
  <c r="C1370" i="7"/>
  <c r="C1394" i="7"/>
  <c r="C1418" i="7"/>
  <c r="C1442" i="7"/>
  <c r="C1466" i="7"/>
  <c r="C1490" i="7"/>
  <c r="C1513" i="7"/>
  <c r="C1531" i="7"/>
  <c r="C1550" i="7"/>
  <c r="C1564" i="7"/>
  <c r="C1578" i="7"/>
  <c r="C1591" i="7"/>
  <c r="C1604" i="7"/>
  <c r="C1618" i="7"/>
  <c r="C1630" i="7"/>
  <c r="C1642" i="7"/>
  <c r="C1654" i="7"/>
  <c r="C1666" i="7"/>
  <c r="C1678" i="7"/>
  <c r="C1690" i="7"/>
  <c r="C1702" i="7"/>
  <c r="C1714" i="7"/>
  <c r="C1726" i="7"/>
  <c r="C1738" i="7"/>
  <c r="C1750" i="7"/>
  <c r="C1762" i="7"/>
  <c r="C1774" i="7"/>
  <c r="C1786" i="7"/>
  <c r="C1798" i="7"/>
  <c r="C1810" i="7"/>
  <c r="C1822" i="7"/>
  <c r="C1834" i="7"/>
  <c r="C1846" i="7"/>
  <c r="C1858" i="7"/>
  <c r="C1870" i="7"/>
  <c r="C1882" i="7"/>
  <c r="C1894" i="7"/>
  <c r="C1906" i="7"/>
  <c r="C1918" i="7"/>
  <c r="C1930" i="7"/>
  <c r="C1942" i="7"/>
  <c r="C1954" i="7"/>
  <c r="C1966" i="7"/>
  <c r="C1978" i="7"/>
  <c r="C146" i="7"/>
  <c r="C329" i="7"/>
  <c r="C390" i="7"/>
  <c r="C451" i="7"/>
  <c r="C514" i="7"/>
  <c r="C575" i="7"/>
  <c r="C638" i="7"/>
  <c r="C700" i="7"/>
  <c r="C761" i="7"/>
  <c r="C820" i="7"/>
  <c r="C872" i="7"/>
  <c r="C928" i="7"/>
  <c r="C980" i="7"/>
  <c r="C1031" i="7"/>
  <c r="C1060" i="7"/>
  <c r="C1084" i="7"/>
  <c r="C1108" i="7"/>
  <c r="C1132" i="7"/>
  <c r="C1156" i="7"/>
  <c r="C1180" i="7"/>
  <c r="C1204" i="7"/>
  <c r="C1228" i="7"/>
  <c r="C1252" i="7"/>
  <c r="C1276" i="7"/>
  <c r="C1300" i="7"/>
  <c r="C1324" i="7"/>
  <c r="C1348" i="7"/>
  <c r="C1372" i="7"/>
  <c r="C1396" i="7"/>
  <c r="C1420" i="7"/>
  <c r="C1444" i="7"/>
  <c r="C1468" i="7"/>
  <c r="C1492" i="7"/>
  <c r="C1514" i="7"/>
  <c r="C1532" i="7"/>
  <c r="C1551" i="7"/>
  <c r="C1565" i="7"/>
  <c r="C1579" i="7"/>
  <c r="C1592" i="7"/>
  <c r="C1606" i="7"/>
  <c r="C1619" i="7"/>
  <c r="C1631" i="7"/>
  <c r="C1643" i="7"/>
  <c r="C1655" i="7"/>
  <c r="C1667" i="7"/>
  <c r="C1679" i="7"/>
  <c r="C1691" i="7"/>
  <c r="C1703" i="7"/>
  <c r="C1715" i="7"/>
  <c r="C1727" i="7"/>
  <c r="C1739" i="7"/>
  <c r="C1751" i="7"/>
  <c r="C1763" i="7"/>
  <c r="C1775" i="7"/>
  <c r="C1787" i="7"/>
  <c r="C1799" i="7"/>
  <c r="C1811" i="7"/>
  <c r="C1823" i="7"/>
  <c r="C1835" i="7"/>
  <c r="C1847" i="7"/>
  <c r="C1859" i="7"/>
  <c r="C1871" i="7"/>
  <c r="C1883" i="7"/>
  <c r="C1895" i="7"/>
  <c r="C1907" i="7"/>
  <c r="C1919" i="7"/>
  <c r="C1931" i="7"/>
  <c r="C1943" i="7"/>
  <c r="C1955" i="7"/>
  <c r="C1967" i="7"/>
  <c r="C1979" i="7"/>
  <c r="C1991" i="7"/>
  <c r="C158" i="7"/>
  <c r="C330" i="7"/>
  <c r="C391" i="7"/>
  <c r="C454" i="7"/>
  <c r="C515" i="7"/>
  <c r="C578" i="7"/>
  <c r="C640" i="7"/>
  <c r="C701" i="7"/>
  <c r="C762" i="7"/>
  <c r="C821" i="7"/>
  <c r="C874" i="7"/>
  <c r="C929" i="7"/>
  <c r="C982" i="7"/>
  <c r="C1034" i="7"/>
  <c r="C1061" i="7"/>
  <c r="C1085" i="7"/>
  <c r="C1109" i="7"/>
  <c r="C1133" i="7"/>
  <c r="C1157" i="7"/>
  <c r="C1181" i="7"/>
  <c r="C1205" i="7"/>
  <c r="C1229" i="7"/>
  <c r="C1253" i="7"/>
  <c r="C1277" i="7"/>
  <c r="C1301" i="7"/>
  <c r="C1325" i="7"/>
  <c r="C1349" i="7"/>
  <c r="C1373" i="7"/>
  <c r="C1397" i="7"/>
  <c r="C1421" i="7"/>
  <c r="C1445" i="7"/>
  <c r="C1469" i="7"/>
  <c r="C1493" i="7"/>
  <c r="C1516" i="7"/>
  <c r="C1535" i="7"/>
  <c r="C1552" i="7"/>
  <c r="C1567" i="7"/>
  <c r="C1580" i="7"/>
  <c r="C1594" i="7"/>
  <c r="C1607" i="7"/>
  <c r="C1620" i="7"/>
  <c r="C1632" i="7"/>
  <c r="C1644" i="7"/>
  <c r="C1656" i="7"/>
  <c r="C1668" i="7"/>
  <c r="C1680" i="7"/>
  <c r="C1692" i="7"/>
  <c r="C1704" i="7"/>
  <c r="C1716" i="7"/>
  <c r="C1728" i="7"/>
  <c r="C1740" i="7"/>
  <c r="C1752" i="7"/>
  <c r="C1764" i="7"/>
  <c r="C1776" i="7"/>
  <c r="C1788" i="7"/>
  <c r="C1800" i="7"/>
  <c r="C1812" i="7"/>
  <c r="C1824" i="7"/>
  <c r="C1836" i="7"/>
  <c r="C1848" i="7"/>
  <c r="C1860" i="7"/>
  <c r="C1872" i="7"/>
  <c r="C1884" i="7"/>
  <c r="C1896" i="7"/>
  <c r="C1908" i="7"/>
  <c r="C1920" i="7"/>
  <c r="C1932" i="7"/>
  <c r="C1944" i="7"/>
  <c r="C1956" i="7"/>
  <c r="C1968" i="7"/>
  <c r="C1980" i="7"/>
  <c r="C1992" i="7"/>
  <c r="C2004" i="7"/>
  <c r="C2016" i="7"/>
  <c r="C2028" i="7"/>
  <c r="C2040" i="7"/>
  <c r="C2052" i="7"/>
  <c r="C2064" i="7"/>
  <c r="C2076" i="7"/>
  <c r="C2088" i="7"/>
  <c r="C2100" i="7"/>
  <c r="C194" i="7"/>
  <c r="C335" i="7"/>
  <c r="C398" i="7"/>
  <c r="C460" i="7"/>
  <c r="C521" i="7"/>
  <c r="C582" i="7"/>
  <c r="C643" i="7"/>
  <c r="C706" i="7"/>
  <c r="C767" i="7"/>
  <c r="C824" i="7"/>
  <c r="C880" i="7"/>
  <c r="C932" i="7"/>
  <c r="C988" i="7"/>
  <c r="C1036" i="7"/>
  <c r="C1063" i="7"/>
  <c r="C1087" i="7"/>
  <c r="C1111" i="7"/>
  <c r="C1135" i="7"/>
  <c r="C1159" i="7"/>
  <c r="C1183" i="7"/>
  <c r="C1207" i="7"/>
  <c r="C1231" i="7"/>
  <c r="C1255" i="7"/>
  <c r="C1279" i="7"/>
  <c r="C1303" i="7"/>
  <c r="C1327" i="7"/>
  <c r="C1351" i="7"/>
  <c r="C1375" i="7"/>
  <c r="C1399" i="7"/>
  <c r="C1423" i="7"/>
  <c r="C1447" i="7"/>
  <c r="C1471" i="7"/>
  <c r="C1495" i="7"/>
  <c r="C1517" i="7"/>
  <c r="C1537" i="7"/>
  <c r="C1553" i="7"/>
  <c r="C1568" i="7"/>
  <c r="C1582" i="7"/>
  <c r="C1595" i="7"/>
  <c r="C1608" i="7"/>
  <c r="C1621" i="7"/>
  <c r="C1633" i="7"/>
  <c r="C1645" i="7"/>
  <c r="C1657" i="7"/>
  <c r="C1669" i="7"/>
  <c r="C1681" i="7"/>
  <c r="C1693" i="7"/>
  <c r="C1705" i="7"/>
  <c r="C1717" i="7"/>
  <c r="C1729" i="7"/>
  <c r="C1741" i="7"/>
  <c r="C1753" i="7"/>
  <c r="C1765" i="7"/>
  <c r="C1777" i="7"/>
  <c r="C1789" i="7"/>
  <c r="C1801" i="7"/>
  <c r="C1813" i="7"/>
  <c r="C1825" i="7"/>
  <c r="C1837" i="7"/>
  <c r="C1849" i="7"/>
  <c r="C1861" i="7"/>
  <c r="C1873" i="7"/>
  <c r="C1885" i="7"/>
  <c r="C1897" i="7"/>
  <c r="C1909" i="7"/>
  <c r="C1921" i="7"/>
  <c r="C1933" i="7"/>
  <c r="C1945" i="7"/>
  <c r="C1957" i="7"/>
  <c r="C1969" i="7"/>
  <c r="C1981" i="7"/>
  <c r="C1993" i="7"/>
  <c r="C2005" i="7"/>
  <c r="C2017" i="7"/>
  <c r="C2029" i="7"/>
  <c r="C2041" i="7"/>
  <c r="C2053" i="7"/>
  <c r="C2065" i="7"/>
  <c r="C2077" i="7"/>
  <c r="C2089" i="7"/>
  <c r="C2101" i="7"/>
  <c r="C2113" i="7"/>
  <c r="C2125" i="7"/>
  <c r="C2137" i="7"/>
  <c r="C2149" i="7"/>
  <c r="C218" i="7"/>
  <c r="C340" i="7"/>
  <c r="C401" i="7"/>
  <c r="C462" i="7"/>
  <c r="C523" i="7"/>
  <c r="C586" i="7"/>
  <c r="C647" i="7"/>
  <c r="C710" i="7"/>
  <c r="C772" i="7"/>
  <c r="C827" i="7"/>
  <c r="C882" i="7"/>
  <c r="C935" i="7"/>
  <c r="C990" i="7"/>
  <c r="C1037" i="7"/>
  <c r="C1067" i="7"/>
  <c r="C1091" i="7"/>
  <c r="C1115" i="7"/>
  <c r="C1139" i="7"/>
  <c r="C1163" i="7"/>
  <c r="C1187" i="7"/>
  <c r="C1211" i="7"/>
  <c r="C1235" i="7"/>
  <c r="C1259" i="7"/>
  <c r="C1283" i="7"/>
  <c r="C1307" i="7"/>
  <c r="C1331" i="7"/>
  <c r="C1355" i="7"/>
  <c r="C1379" i="7"/>
  <c r="C1403" i="7"/>
  <c r="C1427" i="7"/>
  <c r="C1451" i="7"/>
  <c r="C1475" i="7"/>
  <c r="C1499" i="7"/>
  <c r="C1519" i="7"/>
  <c r="C1538" i="7"/>
  <c r="C1555" i="7"/>
  <c r="C1570" i="7"/>
  <c r="C1583" i="7"/>
  <c r="C1596" i="7"/>
  <c r="C1609" i="7"/>
  <c r="C1622" i="7"/>
  <c r="C1634" i="7"/>
  <c r="C1646" i="7"/>
  <c r="C1658" i="7"/>
  <c r="C1670" i="7"/>
  <c r="C1682" i="7"/>
  <c r="C1694" i="7"/>
  <c r="C1706" i="7"/>
  <c r="C1718" i="7"/>
  <c r="C1730" i="7"/>
  <c r="C1742" i="7"/>
  <c r="C1754" i="7"/>
  <c r="C1766" i="7"/>
  <c r="C1778" i="7"/>
  <c r="C1790" i="7"/>
  <c r="C1802" i="7"/>
  <c r="C1814" i="7"/>
  <c r="C1826" i="7"/>
  <c r="C1838" i="7"/>
  <c r="C1850" i="7"/>
  <c r="C1862" i="7"/>
  <c r="C1874" i="7"/>
  <c r="C1886" i="7"/>
  <c r="C1898" i="7"/>
  <c r="C1910" i="7"/>
  <c r="C1922" i="7"/>
  <c r="C1934" i="7"/>
  <c r="C1946" i="7"/>
  <c r="C1958" i="7"/>
  <c r="C1970" i="7"/>
  <c r="C1982" i="7"/>
  <c r="C1994" i="7"/>
  <c r="C2006" i="7"/>
  <c r="C2018" i="7"/>
  <c r="C2030" i="7"/>
  <c r="C2042" i="7"/>
  <c r="C2054" i="7"/>
  <c r="C2066" i="7"/>
  <c r="C278" i="7"/>
  <c r="C350" i="7"/>
  <c r="C412" i="7"/>
  <c r="C473" i="7"/>
  <c r="C534" i="7"/>
  <c r="C595" i="7"/>
  <c r="C658" i="7"/>
  <c r="C719" i="7"/>
  <c r="C782" i="7"/>
  <c r="C836" i="7"/>
  <c r="C892" i="7"/>
  <c r="C944" i="7"/>
  <c r="C1000" i="7"/>
  <c r="C1039" i="7"/>
  <c r="C1069" i="7"/>
  <c r="C1093" i="7"/>
  <c r="C1117" i="7"/>
  <c r="C1141" i="7"/>
  <c r="C1165" i="7"/>
  <c r="C1189" i="7"/>
  <c r="C1213" i="7"/>
  <c r="C1237" i="7"/>
  <c r="C1261" i="7"/>
  <c r="C1285" i="7"/>
  <c r="C1309" i="7"/>
  <c r="C1333" i="7"/>
  <c r="C1357" i="7"/>
  <c r="C1381" i="7"/>
  <c r="C1405" i="7"/>
  <c r="C1429" i="7"/>
  <c r="C1453" i="7"/>
  <c r="C1477" i="7"/>
  <c r="C1501" i="7"/>
  <c r="C1520" i="7"/>
  <c r="C1539" i="7"/>
  <c r="C1556" i="7"/>
  <c r="C1571" i="7"/>
  <c r="C1584" i="7"/>
  <c r="C1597" i="7"/>
  <c r="C1610" i="7"/>
  <c r="C1623" i="7"/>
  <c r="C1635" i="7"/>
  <c r="C1647" i="7"/>
  <c r="C1659" i="7"/>
  <c r="C1671" i="7"/>
  <c r="C1683" i="7"/>
  <c r="C1695" i="7"/>
  <c r="C1707" i="7"/>
  <c r="C1719" i="7"/>
  <c r="C1731" i="7"/>
  <c r="C1743" i="7"/>
  <c r="C1755" i="7"/>
  <c r="C1767" i="7"/>
  <c r="C1779" i="7"/>
  <c r="C1791" i="7"/>
  <c r="C1803" i="7"/>
  <c r="C1815" i="7"/>
  <c r="C1827" i="7"/>
  <c r="C1839" i="7"/>
  <c r="C1851" i="7"/>
  <c r="C1863" i="7"/>
  <c r="C1875" i="7"/>
  <c r="C1887" i="7"/>
  <c r="C1899" i="7"/>
  <c r="C1911" i="7"/>
  <c r="C1923" i="7"/>
  <c r="C1935" i="7"/>
  <c r="C1947" i="7"/>
  <c r="C1959" i="7"/>
  <c r="C1971" i="7"/>
  <c r="C1983" i="7"/>
  <c r="C1995" i="7"/>
  <c r="C2007" i="7"/>
  <c r="C2019" i="7"/>
  <c r="C2031" i="7"/>
  <c r="C2043" i="7"/>
  <c r="C2055" i="7"/>
  <c r="C2067" i="7"/>
  <c r="C2079" i="7"/>
  <c r="C2091" i="7"/>
  <c r="C2103" i="7"/>
  <c r="C2115" i="7"/>
  <c r="C280" i="7"/>
  <c r="C352" i="7"/>
  <c r="C413" i="7"/>
  <c r="C474" i="7"/>
  <c r="C535" i="7"/>
  <c r="C598" i="7"/>
  <c r="C659" i="7"/>
  <c r="C722" i="7"/>
  <c r="C784" i="7"/>
  <c r="C838" i="7"/>
  <c r="C893" i="7"/>
  <c r="C946" i="7"/>
  <c r="C1001" i="7"/>
  <c r="C1045" i="7"/>
  <c r="C1070" i="7"/>
  <c r="C1094" i="7"/>
  <c r="C1118" i="7"/>
  <c r="C1142" i="7"/>
  <c r="C1166" i="7"/>
  <c r="C1190" i="7"/>
  <c r="C1214" i="7"/>
  <c r="C1238" i="7"/>
  <c r="C1262" i="7"/>
  <c r="C1286" i="7"/>
  <c r="C1310" i="7"/>
  <c r="C1334" i="7"/>
  <c r="C1358" i="7"/>
  <c r="C1382" i="7"/>
  <c r="C1406" i="7"/>
  <c r="C1430" i="7"/>
  <c r="C1454" i="7"/>
  <c r="C1478" i="7"/>
  <c r="C1502" i="7"/>
  <c r="C1523" i="7"/>
  <c r="C1540" i="7"/>
  <c r="C1558" i="7"/>
  <c r="C1572" i="7"/>
  <c r="C1585" i="7"/>
  <c r="C1598" i="7"/>
  <c r="C1611" i="7"/>
  <c r="C1624" i="7"/>
  <c r="C1636" i="7"/>
  <c r="C1648" i="7"/>
  <c r="C1660" i="7"/>
  <c r="C1672" i="7"/>
  <c r="C1684" i="7"/>
  <c r="C1696" i="7"/>
  <c r="C1708" i="7"/>
  <c r="C1720" i="7"/>
  <c r="C1732" i="7"/>
  <c r="C292" i="7"/>
  <c r="C355" i="7"/>
  <c r="C418" i="7"/>
  <c r="C479" i="7"/>
  <c r="C542" i="7"/>
  <c r="C604" i="7"/>
  <c r="C665" i="7"/>
  <c r="C726" i="7"/>
  <c r="C787" i="7"/>
  <c r="C844" i="7"/>
  <c r="C896" i="7"/>
  <c r="C952" i="7"/>
  <c r="C1004" i="7"/>
  <c r="C1046" i="7"/>
  <c r="C1072" i="7"/>
  <c r="C1096" i="7"/>
  <c r="C1120" i="7"/>
  <c r="C1144" i="7"/>
  <c r="C1168" i="7"/>
  <c r="C1192" i="7"/>
  <c r="C1216" i="7"/>
  <c r="C1240" i="7"/>
  <c r="C1264" i="7"/>
  <c r="C1288" i="7"/>
  <c r="C1312" i="7"/>
  <c r="C1336" i="7"/>
  <c r="C1360" i="7"/>
  <c r="C1384" i="7"/>
  <c r="C1408" i="7"/>
  <c r="C1432" i="7"/>
  <c r="C1456" i="7"/>
  <c r="C1480" i="7"/>
  <c r="C1504" i="7"/>
  <c r="C1525" i="7"/>
  <c r="C1541" i="7"/>
  <c r="C1559" i="7"/>
  <c r="C1573" i="7"/>
  <c r="C1586" i="7"/>
  <c r="C1599" i="7"/>
  <c r="C1612" i="7"/>
  <c r="C1625" i="7"/>
  <c r="C1637" i="7"/>
  <c r="C1649" i="7"/>
  <c r="C1661" i="7"/>
  <c r="C1673" i="7"/>
  <c r="C1685" i="7"/>
  <c r="C1697" i="7"/>
  <c r="C1709" i="7"/>
  <c r="C1721" i="7"/>
  <c r="C1733" i="7"/>
  <c r="C1745" i="7"/>
  <c r="C1757" i="7"/>
  <c r="C1769" i="7"/>
  <c r="C1781" i="7"/>
  <c r="C1793" i="7"/>
  <c r="C1805" i="7"/>
  <c r="C1817" i="7"/>
  <c r="C1829" i="7"/>
  <c r="C1841" i="7"/>
  <c r="C1853" i="7"/>
  <c r="C1865" i="7"/>
  <c r="C1877" i="7"/>
  <c r="C1889" i="7"/>
  <c r="C294" i="7"/>
  <c r="C545" i="7"/>
  <c r="C791" i="7"/>
  <c r="C1007" i="7"/>
  <c r="C1121" i="7"/>
  <c r="C1217" i="7"/>
  <c r="C1313" i="7"/>
  <c r="C1409" i="7"/>
  <c r="C1505" i="7"/>
  <c r="C1574" i="7"/>
  <c r="C1626" i="7"/>
  <c r="C1674" i="7"/>
  <c r="C1722" i="7"/>
  <c r="C1759" i="7"/>
  <c r="C1795" i="7"/>
  <c r="C1831" i="7"/>
  <c r="C1867" i="7"/>
  <c r="C1902" i="7"/>
  <c r="C1928" i="7"/>
  <c r="C1961" i="7"/>
  <c r="C1987" i="7"/>
  <c r="C2010" i="7"/>
  <c r="C2026" i="7"/>
  <c r="C2046" i="7"/>
  <c r="C2062" i="7"/>
  <c r="C2081" i="7"/>
  <c r="C2096" i="7"/>
  <c r="C2111" i="7"/>
  <c r="C2126" i="7"/>
  <c r="C2139" i="7"/>
  <c r="C2152" i="7"/>
  <c r="C2164" i="7"/>
  <c r="C307" i="7"/>
  <c r="C556" i="7"/>
  <c r="C800" i="7"/>
  <c r="C1015" i="7"/>
  <c r="C1123" i="7"/>
  <c r="C1219" i="7"/>
  <c r="C1315" i="7"/>
  <c r="C1411" i="7"/>
  <c r="C1507" i="7"/>
  <c r="C1575" i="7"/>
  <c r="C1627" i="7"/>
  <c r="C1675" i="7"/>
  <c r="C1723" i="7"/>
  <c r="C1760" i="7"/>
  <c r="C1796" i="7"/>
  <c r="C1832" i="7"/>
  <c r="C1868" i="7"/>
  <c r="C1903" i="7"/>
  <c r="C1936" i="7"/>
  <c r="C1962" i="7"/>
  <c r="C1988" i="7"/>
  <c r="C2011" i="7"/>
  <c r="C2027" i="7"/>
  <c r="C2097" i="7"/>
  <c r="C1415" i="7"/>
  <c r="C1840" i="7"/>
  <c r="C2083" i="7"/>
  <c r="C2063" i="7"/>
  <c r="C2048" i="7"/>
  <c r="C2154" i="7"/>
  <c r="C310" i="7"/>
  <c r="C1576" i="7"/>
  <c r="C1804" i="7"/>
  <c r="C2068" i="7"/>
  <c r="C359" i="7"/>
  <c r="C606" i="7"/>
  <c r="C846" i="7"/>
  <c r="C1048" i="7"/>
  <c r="C1145" i="7"/>
  <c r="C1241" i="7"/>
  <c r="C1337" i="7"/>
  <c r="C1433" i="7"/>
  <c r="C1526" i="7"/>
  <c r="C1587" i="7"/>
  <c r="C1638" i="7"/>
  <c r="C1686" i="7"/>
  <c r="C1734" i="7"/>
  <c r="C1770" i="7"/>
  <c r="C1806" i="7"/>
  <c r="C1842" i="7"/>
  <c r="C1878" i="7"/>
  <c r="C1912" i="7"/>
  <c r="C1938" i="7"/>
  <c r="C1964" i="7"/>
  <c r="C1996" i="7"/>
  <c r="C2013" i="7"/>
  <c r="C2033" i="7"/>
  <c r="C2049" i="7"/>
  <c r="C2069" i="7"/>
  <c r="C2084" i="7"/>
  <c r="C2099" i="7"/>
  <c r="C2116" i="7"/>
  <c r="C2129" i="7"/>
  <c r="C2142" i="7"/>
  <c r="C2155" i="7"/>
  <c r="C2167" i="7"/>
  <c r="C2171" i="7"/>
  <c r="C1193" i="7"/>
  <c r="C1560" i="7"/>
  <c r="C1820" i="7"/>
  <c r="C1984" i="7"/>
  <c r="C2075" i="7"/>
  <c r="C2161" i="7"/>
  <c r="C1663" i="7"/>
  <c r="C1926" i="7"/>
  <c r="C2060" i="7"/>
  <c r="C2162" i="7"/>
  <c r="C1199" i="7"/>
  <c r="C1664" i="7"/>
  <c r="C1927" i="7"/>
  <c r="C2061" i="7"/>
  <c r="C2163" i="7"/>
  <c r="C2127" i="7"/>
  <c r="C802" i="7"/>
  <c r="C1628" i="7"/>
  <c r="C1876" i="7"/>
  <c r="C2114" i="7"/>
  <c r="C370" i="7"/>
  <c r="C617" i="7"/>
  <c r="C856" i="7"/>
  <c r="C1049" i="7"/>
  <c r="C1147" i="7"/>
  <c r="C1243" i="7"/>
  <c r="C1339" i="7"/>
  <c r="C1435" i="7"/>
  <c r="C1527" i="7"/>
  <c r="C1588" i="7"/>
  <c r="C1639" i="7"/>
  <c r="C1687" i="7"/>
  <c r="C1735" i="7"/>
  <c r="C1771" i="7"/>
  <c r="C1807" i="7"/>
  <c r="C1843" i="7"/>
  <c r="C1879" i="7"/>
  <c r="C1913" i="7"/>
  <c r="C1939" i="7"/>
  <c r="C1972" i="7"/>
  <c r="C1997" i="7"/>
  <c r="C2014" i="7"/>
  <c r="C2034" i="7"/>
  <c r="C2050" i="7"/>
  <c r="C2070" i="7"/>
  <c r="C2085" i="7"/>
  <c r="C2102" i="7"/>
  <c r="C2117" i="7"/>
  <c r="C2130" i="7"/>
  <c r="C2143" i="7"/>
  <c r="C2156" i="7"/>
  <c r="C2168" i="7"/>
  <c r="C2169" i="7"/>
  <c r="C730" i="7"/>
  <c r="C1784" i="7"/>
  <c r="C1951" i="7"/>
  <c r="C2093" i="7"/>
  <c r="C1614" i="7"/>
  <c r="C1985" i="7"/>
  <c r="C2123" i="7"/>
  <c r="C1103" i="7"/>
  <c r="C1712" i="7"/>
  <c r="C1960" i="7"/>
  <c r="C2080" i="7"/>
  <c r="C2047" i="7"/>
  <c r="C1508" i="7"/>
  <c r="C1990" i="7"/>
  <c r="C371" i="7"/>
  <c r="C618" i="7"/>
  <c r="C857" i="7"/>
  <c r="C1051" i="7"/>
  <c r="C1151" i="7"/>
  <c r="C1247" i="7"/>
  <c r="C1343" i="7"/>
  <c r="C1439" i="7"/>
  <c r="C1528" i="7"/>
  <c r="C1589" i="7"/>
  <c r="C1640" i="7"/>
  <c r="C1688" i="7"/>
  <c r="C1736" i="7"/>
  <c r="C1772" i="7"/>
  <c r="C1808" i="7"/>
  <c r="C1844" i="7"/>
  <c r="C1880" i="7"/>
  <c r="C1914" i="7"/>
  <c r="C1940" i="7"/>
  <c r="C1973" i="7"/>
  <c r="C1998" i="7"/>
  <c r="C2015" i="7"/>
  <c r="C2035" i="7"/>
  <c r="C2051" i="7"/>
  <c r="C2071" i="7"/>
  <c r="C2086" i="7"/>
  <c r="C2104" i="7"/>
  <c r="C2118" i="7"/>
  <c r="C2131" i="7"/>
  <c r="C2144" i="7"/>
  <c r="C2157" i="7"/>
  <c r="C954" i="7"/>
  <c r="C1748" i="7"/>
  <c r="C2003" i="7"/>
  <c r="C2122" i="7"/>
  <c r="C1828" i="7"/>
  <c r="C2094" i="7"/>
  <c r="C496" i="7"/>
  <c r="C1562" i="7"/>
  <c r="C1901" i="7"/>
  <c r="C2095" i="7"/>
  <c r="C2140" i="7"/>
  <c r="C1016" i="7"/>
  <c r="C1768" i="7"/>
  <c r="C2032" i="7"/>
  <c r="C2166" i="7"/>
  <c r="C422" i="7"/>
  <c r="C667" i="7"/>
  <c r="C899" i="7"/>
  <c r="C1073" i="7"/>
  <c r="C1169" i="7"/>
  <c r="C1265" i="7"/>
  <c r="C1361" i="7"/>
  <c r="C1457" i="7"/>
  <c r="C1543" i="7"/>
  <c r="C1600" i="7"/>
  <c r="C1650" i="7"/>
  <c r="C1698" i="7"/>
  <c r="C1744" i="7"/>
  <c r="C1780" i="7"/>
  <c r="C1816" i="7"/>
  <c r="C1852" i="7"/>
  <c r="C1888" i="7"/>
  <c r="C1915" i="7"/>
  <c r="C1948" i="7"/>
  <c r="C1974" i="7"/>
  <c r="C1999" i="7"/>
  <c r="C2020" i="7"/>
  <c r="C2036" i="7"/>
  <c r="C2056" i="7"/>
  <c r="C2072" i="7"/>
  <c r="C2087" i="7"/>
  <c r="C2105" i="7"/>
  <c r="C2119" i="7"/>
  <c r="C2132" i="7"/>
  <c r="C2145" i="7"/>
  <c r="C2158" i="7"/>
  <c r="C2170" i="7"/>
  <c r="C2159" i="7"/>
  <c r="C1289" i="7"/>
  <c r="C1481" i="7"/>
  <c r="C1710" i="7"/>
  <c r="C1892" i="7"/>
  <c r="C2023" i="7"/>
  <c r="C2108" i="7"/>
  <c r="C1711" i="7"/>
  <c r="C2024" i="7"/>
  <c r="C2150" i="7"/>
  <c r="C1391" i="7"/>
  <c r="C1794" i="7"/>
  <c r="C2009" i="7"/>
  <c r="C2110" i="7"/>
  <c r="C2112" i="7"/>
  <c r="C1127" i="7"/>
  <c r="C1937" i="7"/>
  <c r="C2128" i="7"/>
  <c r="C431" i="7"/>
  <c r="C678" i="7"/>
  <c r="C908" i="7"/>
  <c r="C1075" i="7"/>
  <c r="C1171" i="7"/>
  <c r="C1267" i="7"/>
  <c r="C1363" i="7"/>
  <c r="C1459" i="7"/>
  <c r="C1544" i="7"/>
  <c r="C1601" i="7"/>
  <c r="C1651" i="7"/>
  <c r="C1699" i="7"/>
  <c r="C1746" i="7"/>
  <c r="C1782" i="7"/>
  <c r="C1818" i="7"/>
  <c r="C1854" i="7"/>
  <c r="C1890" i="7"/>
  <c r="C1916" i="7"/>
  <c r="C1949" i="7"/>
  <c r="C1975" i="7"/>
  <c r="C2000" i="7"/>
  <c r="C2021" i="7"/>
  <c r="C2037" i="7"/>
  <c r="C2057" i="7"/>
  <c r="C2073" i="7"/>
  <c r="C2090" i="7"/>
  <c r="C2106" i="7"/>
  <c r="C2120" i="7"/>
  <c r="C2133" i="7"/>
  <c r="C2146" i="7"/>
  <c r="C1097" i="7"/>
  <c r="C1385" i="7"/>
  <c r="C1613" i="7"/>
  <c r="C1856" i="7"/>
  <c r="C2039" i="7"/>
  <c r="C2135" i="7"/>
  <c r="C1864" i="7"/>
  <c r="C2044" i="7"/>
  <c r="C2136" i="7"/>
  <c r="C1295" i="7"/>
  <c r="C1758" i="7"/>
  <c r="C1986" i="7"/>
  <c r="C2124" i="7"/>
  <c r="C2165" i="7"/>
  <c r="C1223" i="7"/>
  <c r="C2012" i="7"/>
  <c r="C434" i="7"/>
  <c r="C679" i="7"/>
  <c r="C910" i="7"/>
  <c r="C1079" i="7"/>
  <c r="C1175" i="7"/>
  <c r="C1271" i="7"/>
  <c r="C1367" i="7"/>
  <c r="C1463" i="7"/>
  <c r="C1547" i="7"/>
  <c r="C1602" i="7"/>
  <c r="C1652" i="7"/>
  <c r="C1700" i="7"/>
  <c r="C1747" i="7"/>
  <c r="C1783" i="7"/>
  <c r="C1819" i="7"/>
  <c r="C1855" i="7"/>
  <c r="C1891" i="7"/>
  <c r="C1924" i="7"/>
  <c r="C1950" i="7"/>
  <c r="C1976" i="7"/>
  <c r="C2002" i="7"/>
  <c r="C2022" i="7"/>
  <c r="C2038" i="7"/>
  <c r="C2058" i="7"/>
  <c r="C2074" i="7"/>
  <c r="C2092" i="7"/>
  <c r="C2107" i="7"/>
  <c r="C2121" i="7"/>
  <c r="C2134" i="7"/>
  <c r="C2147" i="7"/>
  <c r="C2160" i="7"/>
  <c r="C2172" i="7"/>
  <c r="C484" i="7"/>
  <c r="C1662" i="7"/>
  <c r="C1925" i="7"/>
  <c r="C2059" i="7"/>
  <c r="C2148" i="7"/>
  <c r="C1756" i="7"/>
  <c r="C1952" i="7"/>
  <c r="C2078" i="7"/>
  <c r="C742" i="7"/>
  <c r="C1615" i="7"/>
  <c r="C1866" i="7"/>
  <c r="C2045" i="7"/>
  <c r="C2151" i="7"/>
  <c r="C2153" i="7"/>
  <c r="C557" i="7"/>
  <c r="C1676" i="7"/>
  <c r="C1904" i="7"/>
  <c r="C2141" i="7"/>
  <c r="C494" i="7"/>
  <c r="C739" i="7"/>
  <c r="C964" i="7"/>
  <c r="C1099" i="7"/>
  <c r="C1195" i="7"/>
  <c r="C1291" i="7"/>
  <c r="C1387" i="7"/>
  <c r="C1483" i="7"/>
  <c r="C1561" i="7"/>
  <c r="C1792" i="7"/>
  <c r="C1900" i="7"/>
  <c r="C2008" i="7"/>
  <c r="C2109" i="7"/>
  <c r="C965" i="7"/>
  <c r="C1487" i="7"/>
  <c r="C1830" i="7"/>
  <c r="C2025" i="7"/>
  <c r="C2138" i="7"/>
  <c r="C2082" i="7"/>
  <c r="C1319" i="7"/>
  <c r="C1724" i="7"/>
  <c r="C1963" i="7"/>
  <c r="C2098" i="7"/>
  <c r="C14" i="7"/>
  <c r="E26" i="9"/>
  <c r="J26" i="9" s="1"/>
  <c r="M115" i="1"/>
  <c r="C164" i="1" s="1"/>
  <c r="C114" i="1"/>
  <c r="M114" i="1"/>
  <c r="E26" i="5"/>
  <c r="E15" i="5"/>
  <c r="E17" i="5"/>
  <c r="I59" i="2"/>
  <c r="H58" i="2"/>
  <c r="J59" i="2"/>
  <c r="M58" i="2" l="1"/>
  <c r="K58" i="2"/>
  <c r="L58" i="2"/>
  <c r="E1500" i="7"/>
  <c r="D1500" i="7"/>
  <c r="D1483" i="7"/>
  <c r="E1483" i="7"/>
  <c r="D1471" i="7"/>
  <c r="E1471" i="7"/>
  <c r="D1435" i="7"/>
  <c r="E1435" i="7"/>
  <c r="D1451" i="7"/>
  <c r="E1451" i="7"/>
  <c r="D1467" i="7"/>
  <c r="E1467" i="7"/>
  <c r="D1437" i="7"/>
  <c r="E1437" i="7"/>
  <c r="E1430" i="7"/>
  <c r="D1430" i="7"/>
  <c r="E1394" i="7"/>
  <c r="D1394" i="7"/>
  <c r="D1366" i="7"/>
  <c r="E1366" i="7"/>
  <c r="D1413" i="7"/>
  <c r="E1413" i="7"/>
  <c r="D1377" i="7"/>
  <c r="E1377" i="7"/>
  <c r="E1343" i="7"/>
  <c r="D1343" i="7"/>
  <c r="D1396" i="7"/>
  <c r="E1396" i="7"/>
  <c r="D1269" i="7"/>
  <c r="E1269" i="7"/>
  <c r="E1347" i="7"/>
  <c r="D1347" i="7"/>
  <c r="E1311" i="7"/>
  <c r="D1311" i="7"/>
  <c r="E1274" i="7"/>
  <c r="D1274" i="7"/>
  <c r="D1327" i="7"/>
  <c r="E1327" i="7"/>
  <c r="D1291" i="7"/>
  <c r="E1291" i="7"/>
  <c r="E1268" i="7"/>
  <c r="D1268" i="7"/>
  <c r="E1232" i="7"/>
  <c r="D1232" i="7"/>
  <c r="D1204" i="7"/>
  <c r="E1204" i="7"/>
  <c r="D1236" i="7"/>
  <c r="E1236" i="7"/>
  <c r="D1192" i="7"/>
  <c r="E1192" i="7"/>
  <c r="D1234" i="7"/>
  <c r="E1234" i="7"/>
  <c r="D1186" i="7"/>
  <c r="E1186" i="7"/>
  <c r="E1078" i="7"/>
  <c r="D1078" i="7"/>
  <c r="E1169" i="7"/>
  <c r="D1169" i="7"/>
  <c r="E1130" i="7"/>
  <c r="D1130" i="7"/>
  <c r="D1065" i="7"/>
  <c r="E1065" i="7"/>
  <c r="D1179" i="7"/>
  <c r="E1179" i="7"/>
  <c r="D1143" i="7"/>
  <c r="E1143" i="7"/>
  <c r="D1095" i="7"/>
  <c r="E1095" i="7"/>
  <c r="D1183" i="7"/>
  <c r="E1183" i="7"/>
  <c r="D1147" i="7"/>
  <c r="E1147" i="7"/>
  <c r="E1017" i="7"/>
  <c r="D1017" i="7"/>
  <c r="D951" i="7"/>
  <c r="E951" i="7"/>
  <c r="E1115" i="7"/>
  <c r="D1115" i="7"/>
  <c r="E1079" i="7"/>
  <c r="D1079" i="7"/>
  <c r="E1041" i="7"/>
  <c r="D1041" i="7"/>
  <c r="D1019" i="7"/>
  <c r="E1019" i="7"/>
  <c r="D982" i="7"/>
  <c r="E982" i="7"/>
  <c r="E1030" i="7"/>
  <c r="D1030" i="7"/>
  <c r="E994" i="7"/>
  <c r="D994" i="7"/>
  <c r="E949" i="7"/>
  <c r="D949" i="7"/>
  <c r="D954" i="7"/>
  <c r="E954" i="7"/>
  <c r="E962" i="7"/>
  <c r="D962" i="7"/>
  <c r="D893" i="7"/>
  <c r="E893" i="7"/>
  <c r="E913" i="7"/>
  <c r="D913" i="7"/>
  <c r="D917" i="7"/>
  <c r="E917" i="7"/>
  <c r="E927" i="7"/>
  <c r="D927" i="7"/>
  <c r="D896" i="7"/>
  <c r="E896" i="7"/>
  <c r="E898" i="7"/>
  <c r="D898" i="7"/>
  <c r="E865" i="7"/>
  <c r="D865" i="7"/>
  <c r="D826" i="7"/>
  <c r="E826" i="7"/>
  <c r="E836" i="7"/>
  <c r="D836" i="7"/>
  <c r="D822" i="7"/>
  <c r="E822" i="7"/>
  <c r="D814" i="7"/>
  <c r="E814" i="7"/>
  <c r="D789" i="7"/>
  <c r="E789" i="7"/>
  <c r="D782" i="7"/>
  <c r="E782" i="7"/>
  <c r="D737" i="7"/>
  <c r="E737" i="7"/>
  <c r="D770" i="7"/>
  <c r="E770" i="7"/>
  <c r="E720" i="7"/>
  <c r="D720" i="7"/>
  <c r="E736" i="7"/>
  <c r="D736" i="7"/>
  <c r="E732" i="7"/>
  <c r="D732" i="7"/>
  <c r="E723" i="7"/>
  <c r="D723" i="7"/>
  <c r="D719" i="7"/>
  <c r="E719" i="7"/>
  <c r="E696" i="7"/>
  <c r="D696" i="7"/>
  <c r="E667" i="7"/>
  <c r="D667" i="7"/>
  <c r="D675" i="7"/>
  <c r="E675" i="7"/>
  <c r="E649" i="7"/>
  <c r="D649" i="7"/>
  <c r="D629" i="7"/>
  <c r="E629" i="7"/>
  <c r="E633" i="7"/>
  <c r="D633" i="7"/>
  <c r="E634" i="7"/>
  <c r="D634" i="7"/>
  <c r="E1497" i="7"/>
  <c r="D1497" i="7"/>
  <c r="D1480" i="7"/>
  <c r="E1480" i="7"/>
  <c r="D1468" i="7"/>
  <c r="E1468" i="7"/>
  <c r="D1432" i="7"/>
  <c r="E1432" i="7"/>
  <c r="D1448" i="7"/>
  <c r="E1448" i="7"/>
  <c r="D1464" i="7"/>
  <c r="E1464" i="7"/>
  <c r="D1434" i="7"/>
  <c r="E1434" i="7"/>
  <c r="E1427" i="7"/>
  <c r="D1427" i="7"/>
  <c r="E1391" i="7"/>
  <c r="D1391" i="7"/>
  <c r="E1361" i="7"/>
  <c r="D1361" i="7"/>
  <c r="D1410" i="7"/>
  <c r="E1410" i="7"/>
  <c r="D1374" i="7"/>
  <c r="E1374" i="7"/>
  <c r="E1334" i="7"/>
  <c r="D1334" i="7"/>
  <c r="D1393" i="7"/>
  <c r="E1393" i="7"/>
  <c r="D1260" i="7"/>
  <c r="E1260" i="7"/>
  <c r="E1344" i="7"/>
  <c r="D1344" i="7"/>
  <c r="D1308" i="7"/>
  <c r="E1308" i="7"/>
  <c r="D1266" i="7"/>
  <c r="E1266" i="7"/>
  <c r="D1324" i="7"/>
  <c r="E1324" i="7"/>
  <c r="D1285" i="7"/>
  <c r="E1285" i="7"/>
  <c r="E1265" i="7"/>
  <c r="D1265" i="7"/>
  <c r="E1229" i="7"/>
  <c r="D1229" i="7"/>
  <c r="D1203" i="7"/>
  <c r="E1203" i="7"/>
  <c r="D1233" i="7"/>
  <c r="E1233" i="7"/>
  <c r="D1197" i="7"/>
  <c r="E1197" i="7"/>
  <c r="D1231" i="7"/>
  <c r="E1231" i="7"/>
  <c r="D1129" i="7"/>
  <c r="E1129" i="7"/>
  <c r="E1069" i="7"/>
  <c r="D1069" i="7"/>
  <c r="E1166" i="7"/>
  <c r="D1166" i="7"/>
  <c r="E1126" i="7"/>
  <c r="D1126" i="7"/>
  <c r="D1061" i="7"/>
  <c r="E1061" i="7"/>
  <c r="D1176" i="7"/>
  <c r="E1176" i="7"/>
  <c r="D1140" i="7"/>
  <c r="E1140" i="7"/>
  <c r="D1086" i="7"/>
  <c r="E1086" i="7"/>
  <c r="D1180" i="7"/>
  <c r="E1180" i="7"/>
  <c r="D1144" i="7"/>
  <c r="E1144" i="7"/>
  <c r="E1008" i="7"/>
  <c r="D1008" i="7"/>
  <c r="E1047" i="7"/>
  <c r="D1047" i="7"/>
  <c r="E1112" i="7"/>
  <c r="D1112" i="7"/>
  <c r="E1076" i="7"/>
  <c r="D1076" i="7"/>
  <c r="E1032" i="7"/>
  <c r="D1032" i="7"/>
  <c r="D1010" i="7"/>
  <c r="E1010" i="7"/>
  <c r="E964" i="7"/>
  <c r="D964" i="7"/>
  <c r="E1027" i="7"/>
  <c r="D1027" i="7"/>
  <c r="D991" i="7"/>
  <c r="E991" i="7"/>
  <c r="D935" i="7"/>
  <c r="E935" i="7"/>
  <c r="D945" i="7"/>
  <c r="E945" i="7"/>
  <c r="E959" i="7"/>
  <c r="D959" i="7"/>
  <c r="E894" i="7"/>
  <c r="D894" i="7"/>
  <c r="E910" i="7"/>
  <c r="D910" i="7"/>
  <c r="D914" i="7"/>
  <c r="E914" i="7"/>
  <c r="E924" i="7"/>
  <c r="D924" i="7"/>
  <c r="D887" i="7"/>
  <c r="E887" i="7"/>
  <c r="E895" i="7"/>
  <c r="D895" i="7"/>
  <c r="E856" i="7"/>
  <c r="D856" i="7"/>
  <c r="E866" i="7"/>
  <c r="D866" i="7"/>
  <c r="D835" i="7"/>
  <c r="E835" i="7"/>
  <c r="D819" i="7"/>
  <c r="E819" i="7"/>
  <c r="D811" i="7"/>
  <c r="E811" i="7"/>
  <c r="E827" i="7"/>
  <c r="D827" i="7"/>
  <c r="D776" i="7"/>
  <c r="E776" i="7"/>
  <c r="D725" i="7"/>
  <c r="E725" i="7"/>
  <c r="D767" i="7"/>
  <c r="E767" i="7"/>
  <c r="D704" i="7"/>
  <c r="E704" i="7"/>
  <c r="D709" i="7"/>
  <c r="E709" i="7"/>
  <c r="D728" i="7"/>
  <c r="E728" i="7"/>
  <c r="E717" i="7"/>
  <c r="D717" i="7"/>
  <c r="D716" i="7"/>
  <c r="E716" i="7"/>
  <c r="E693" i="7"/>
  <c r="D693" i="7"/>
  <c r="D656" i="7"/>
  <c r="E656" i="7"/>
  <c r="D669" i="7"/>
  <c r="E669" i="7"/>
  <c r="E648" i="7"/>
  <c r="D648" i="7"/>
  <c r="D626" i="7"/>
  <c r="E626" i="7"/>
  <c r="E630" i="7"/>
  <c r="D630" i="7"/>
  <c r="E631" i="7"/>
  <c r="D631" i="7"/>
  <c r="E1494" i="7"/>
  <c r="D1494" i="7"/>
  <c r="D1499" i="7"/>
  <c r="E1499" i="7"/>
  <c r="D1465" i="7"/>
  <c r="E1465" i="7"/>
  <c r="D1423" i="7"/>
  <c r="E1423" i="7"/>
  <c r="D1445" i="7"/>
  <c r="E1445" i="7"/>
  <c r="D1461" i="7"/>
  <c r="E1461" i="7"/>
  <c r="D1429" i="7"/>
  <c r="E1429" i="7"/>
  <c r="E1424" i="7"/>
  <c r="D1424" i="7"/>
  <c r="E1388" i="7"/>
  <c r="D1388" i="7"/>
  <c r="E1358" i="7"/>
  <c r="D1358" i="7"/>
  <c r="D1407" i="7"/>
  <c r="E1407" i="7"/>
  <c r="E1307" i="7"/>
  <c r="D1307" i="7"/>
  <c r="E1325" i="7"/>
  <c r="D1325" i="7"/>
  <c r="D1390" i="7"/>
  <c r="E1390" i="7"/>
  <c r="D1279" i="7"/>
  <c r="E1279" i="7"/>
  <c r="E1341" i="7"/>
  <c r="D1341" i="7"/>
  <c r="D1305" i="7"/>
  <c r="E1305" i="7"/>
  <c r="D1357" i="7"/>
  <c r="E1357" i="7"/>
  <c r="D1321" i="7"/>
  <c r="E1321" i="7"/>
  <c r="D1281" i="7"/>
  <c r="E1281" i="7"/>
  <c r="E1262" i="7"/>
  <c r="D1262" i="7"/>
  <c r="E1226" i="7"/>
  <c r="D1226" i="7"/>
  <c r="E1199" i="7"/>
  <c r="D1199" i="7"/>
  <c r="D1230" i="7"/>
  <c r="E1230" i="7"/>
  <c r="E1123" i="7"/>
  <c r="D1123" i="7"/>
  <c r="D1228" i="7"/>
  <c r="E1228" i="7"/>
  <c r="D1116" i="7"/>
  <c r="E1116" i="7"/>
  <c r="D1007" i="7"/>
  <c r="E1007" i="7"/>
  <c r="E1163" i="7"/>
  <c r="D1163" i="7"/>
  <c r="D1058" i="7"/>
  <c r="E1058" i="7"/>
  <c r="D1134" i="7"/>
  <c r="E1134" i="7"/>
  <c r="D1173" i="7"/>
  <c r="E1173" i="7"/>
  <c r="D1137" i="7"/>
  <c r="E1137" i="7"/>
  <c r="D1077" i="7"/>
  <c r="E1077" i="7"/>
  <c r="D1177" i="7"/>
  <c r="E1177" i="7"/>
  <c r="D1141" i="7"/>
  <c r="E1141" i="7"/>
  <c r="E999" i="7"/>
  <c r="D999" i="7"/>
  <c r="E1038" i="7"/>
  <c r="D1038" i="7"/>
  <c r="E1109" i="7"/>
  <c r="D1109" i="7"/>
  <c r="E1073" i="7"/>
  <c r="D1073" i="7"/>
  <c r="E1023" i="7"/>
  <c r="D1023" i="7"/>
  <c r="D1001" i="7"/>
  <c r="E1001" i="7"/>
  <c r="E955" i="7"/>
  <c r="D955" i="7"/>
  <c r="E1024" i="7"/>
  <c r="D1024" i="7"/>
  <c r="D988" i="7"/>
  <c r="E988" i="7"/>
  <c r="D834" i="7"/>
  <c r="E834" i="7"/>
  <c r="E888" i="7"/>
  <c r="D888" i="7"/>
  <c r="E956" i="7"/>
  <c r="D956" i="7"/>
  <c r="E885" i="7"/>
  <c r="D885" i="7"/>
  <c r="E907" i="7"/>
  <c r="D907" i="7"/>
  <c r="D911" i="7"/>
  <c r="E911" i="7"/>
  <c r="E921" i="7"/>
  <c r="D921" i="7"/>
  <c r="D878" i="7"/>
  <c r="E878" i="7"/>
  <c r="E892" i="7"/>
  <c r="D892" i="7"/>
  <c r="E847" i="7"/>
  <c r="D847" i="7"/>
  <c r="E863" i="7"/>
  <c r="D863" i="7"/>
  <c r="D829" i="7"/>
  <c r="E829" i="7"/>
  <c r="D816" i="7"/>
  <c r="E816" i="7"/>
  <c r="D808" i="7"/>
  <c r="E808" i="7"/>
  <c r="E824" i="7"/>
  <c r="D824" i="7"/>
  <c r="E762" i="7"/>
  <c r="D762" i="7"/>
  <c r="D761" i="7"/>
  <c r="E761" i="7"/>
  <c r="D764" i="7"/>
  <c r="E764" i="7"/>
  <c r="E658" i="7"/>
  <c r="D658" i="7"/>
  <c r="D750" i="7"/>
  <c r="E750" i="7"/>
  <c r="D710" i="7"/>
  <c r="E710" i="7"/>
  <c r="E702" i="7"/>
  <c r="D702" i="7"/>
  <c r="D713" i="7"/>
  <c r="E713" i="7"/>
  <c r="E690" i="7"/>
  <c r="D690" i="7"/>
  <c r="D706" i="7"/>
  <c r="E706" i="7"/>
  <c r="E646" i="7"/>
  <c r="D646" i="7"/>
  <c r="D638" i="7"/>
  <c r="E638" i="7"/>
  <c r="D623" i="7"/>
  <c r="E623" i="7"/>
  <c r="E627" i="7"/>
  <c r="D627" i="7"/>
  <c r="E628" i="7"/>
  <c r="D628" i="7"/>
  <c r="E1491" i="7"/>
  <c r="D1491" i="7"/>
  <c r="D1496" i="7"/>
  <c r="E1496" i="7"/>
  <c r="D1462" i="7"/>
  <c r="E1462" i="7"/>
  <c r="D1478" i="7"/>
  <c r="E1478" i="7"/>
  <c r="E1442" i="7"/>
  <c r="D1442" i="7"/>
  <c r="D1458" i="7"/>
  <c r="E1458" i="7"/>
  <c r="E1295" i="7"/>
  <c r="D1295" i="7"/>
  <c r="E1421" i="7"/>
  <c r="D1421" i="7"/>
  <c r="E1385" i="7"/>
  <c r="D1385" i="7"/>
  <c r="E1349" i="7"/>
  <c r="D1349" i="7"/>
  <c r="D1404" i="7"/>
  <c r="E1404" i="7"/>
  <c r="E1304" i="7"/>
  <c r="D1304" i="7"/>
  <c r="E1316" i="7"/>
  <c r="D1316" i="7"/>
  <c r="D1387" i="7"/>
  <c r="E1387" i="7"/>
  <c r="D1267" i="7"/>
  <c r="E1267" i="7"/>
  <c r="E1338" i="7"/>
  <c r="D1338" i="7"/>
  <c r="D1302" i="7"/>
  <c r="E1302" i="7"/>
  <c r="D1354" i="7"/>
  <c r="E1354" i="7"/>
  <c r="D1318" i="7"/>
  <c r="E1318" i="7"/>
  <c r="E1271" i="7"/>
  <c r="D1271" i="7"/>
  <c r="E1259" i="7"/>
  <c r="D1259" i="7"/>
  <c r="E1223" i="7"/>
  <c r="D1223" i="7"/>
  <c r="D1194" i="7"/>
  <c r="E1194" i="7"/>
  <c r="D1227" i="7"/>
  <c r="E1227" i="7"/>
  <c r="D1188" i="7"/>
  <c r="E1188" i="7"/>
  <c r="D1225" i="7"/>
  <c r="E1225" i="7"/>
  <c r="D1107" i="7"/>
  <c r="E1107" i="7"/>
  <c r="E1196" i="7"/>
  <c r="D1196" i="7"/>
  <c r="E1160" i="7"/>
  <c r="D1160" i="7"/>
  <c r="D1016" i="7"/>
  <c r="E1016" i="7"/>
  <c r="E1117" i="7"/>
  <c r="D1117" i="7"/>
  <c r="D1170" i="7"/>
  <c r="E1170" i="7"/>
  <c r="E1133" i="7"/>
  <c r="D1133" i="7"/>
  <c r="D1068" i="7"/>
  <c r="E1068" i="7"/>
  <c r="D1174" i="7"/>
  <c r="E1174" i="7"/>
  <c r="D1138" i="7"/>
  <c r="E1138" i="7"/>
  <c r="E1057" i="7"/>
  <c r="D1057" i="7"/>
  <c r="E1029" i="7"/>
  <c r="D1029" i="7"/>
  <c r="E1106" i="7"/>
  <c r="D1106" i="7"/>
  <c r="E1070" i="7"/>
  <c r="D1070" i="7"/>
  <c r="E1014" i="7"/>
  <c r="D1014" i="7"/>
  <c r="E970" i="7"/>
  <c r="D970" i="7"/>
  <c r="E946" i="7"/>
  <c r="D946" i="7"/>
  <c r="E1021" i="7"/>
  <c r="D1021" i="7"/>
  <c r="D985" i="7"/>
  <c r="E985" i="7"/>
  <c r="D989" i="7"/>
  <c r="E989" i="7"/>
  <c r="D943" i="7"/>
  <c r="E943" i="7"/>
  <c r="E953" i="7"/>
  <c r="D953" i="7"/>
  <c r="E876" i="7"/>
  <c r="D876" i="7"/>
  <c r="D899" i="7"/>
  <c r="E899" i="7"/>
  <c r="D908" i="7"/>
  <c r="E908" i="7"/>
  <c r="E918" i="7"/>
  <c r="D918" i="7"/>
  <c r="E859" i="7"/>
  <c r="D859" i="7"/>
  <c r="E889" i="7"/>
  <c r="D889" i="7"/>
  <c r="E838" i="7"/>
  <c r="D838" i="7"/>
  <c r="E860" i="7"/>
  <c r="D860" i="7"/>
  <c r="E830" i="7"/>
  <c r="D830" i="7"/>
  <c r="D813" i="7"/>
  <c r="E813" i="7"/>
  <c r="D805" i="7"/>
  <c r="E805" i="7"/>
  <c r="E821" i="7"/>
  <c r="D821" i="7"/>
  <c r="E735" i="7"/>
  <c r="D735" i="7"/>
  <c r="D749" i="7"/>
  <c r="E749" i="7"/>
  <c r="D760" i="7"/>
  <c r="E760" i="7"/>
  <c r="D783" i="7"/>
  <c r="E783" i="7"/>
  <c r="D747" i="7"/>
  <c r="E747" i="7"/>
  <c r="D757" i="7"/>
  <c r="E757" i="7"/>
  <c r="D692" i="7"/>
  <c r="E692" i="7"/>
  <c r="D680" i="7"/>
  <c r="E680" i="7"/>
  <c r="E687" i="7"/>
  <c r="D687" i="7"/>
  <c r="E703" i="7"/>
  <c r="D703" i="7"/>
  <c r="D641" i="7"/>
  <c r="E641" i="7"/>
  <c r="D663" i="7"/>
  <c r="E663" i="7"/>
  <c r="D620" i="7"/>
  <c r="E620" i="7"/>
  <c r="D624" i="7"/>
  <c r="E624" i="7"/>
  <c r="E625" i="7"/>
  <c r="D625" i="7"/>
  <c r="E1488" i="7"/>
  <c r="D1488" i="7"/>
  <c r="D1493" i="7"/>
  <c r="E1493" i="7"/>
  <c r="D1459" i="7"/>
  <c r="E1459" i="7"/>
  <c r="D1475" i="7"/>
  <c r="E1475" i="7"/>
  <c r="D1428" i="7"/>
  <c r="E1428" i="7"/>
  <c r="D1455" i="7"/>
  <c r="E1455" i="7"/>
  <c r="E1364" i="7"/>
  <c r="D1364" i="7"/>
  <c r="E1418" i="7"/>
  <c r="D1418" i="7"/>
  <c r="E1382" i="7"/>
  <c r="D1382" i="7"/>
  <c r="E1340" i="7"/>
  <c r="D1340" i="7"/>
  <c r="D1401" i="7"/>
  <c r="E1401" i="7"/>
  <c r="D1372" i="7"/>
  <c r="E1372" i="7"/>
  <c r="D1420" i="7"/>
  <c r="E1420" i="7"/>
  <c r="D1384" i="7"/>
  <c r="E1384" i="7"/>
  <c r="D1276" i="7"/>
  <c r="E1276" i="7"/>
  <c r="E1335" i="7"/>
  <c r="D1335" i="7"/>
  <c r="D1299" i="7"/>
  <c r="E1299" i="7"/>
  <c r="D1351" i="7"/>
  <c r="E1351" i="7"/>
  <c r="D1315" i="7"/>
  <c r="E1315" i="7"/>
  <c r="D1278" i="7"/>
  <c r="E1278" i="7"/>
  <c r="E1256" i="7"/>
  <c r="D1256" i="7"/>
  <c r="E1220" i="7"/>
  <c r="D1220" i="7"/>
  <c r="D1185" i="7"/>
  <c r="E1185" i="7"/>
  <c r="D1224" i="7"/>
  <c r="E1224" i="7"/>
  <c r="D1258" i="7"/>
  <c r="E1258" i="7"/>
  <c r="D1222" i="7"/>
  <c r="E1222" i="7"/>
  <c r="D1098" i="7"/>
  <c r="E1098" i="7"/>
  <c r="E1193" i="7"/>
  <c r="D1193" i="7"/>
  <c r="E1157" i="7"/>
  <c r="D1157" i="7"/>
  <c r="D969" i="7"/>
  <c r="E969" i="7"/>
  <c r="E1108" i="7"/>
  <c r="D1108" i="7"/>
  <c r="D1167" i="7"/>
  <c r="E1167" i="7"/>
  <c r="D1132" i="7"/>
  <c r="E1132" i="7"/>
  <c r="E1120" i="7"/>
  <c r="D1120" i="7"/>
  <c r="D1171" i="7"/>
  <c r="E1171" i="7"/>
  <c r="D1135" i="7"/>
  <c r="E1135" i="7"/>
  <c r="E1054" i="7"/>
  <c r="D1054" i="7"/>
  <c r="E1020" i="7"/>
  <c r="D1020" i="7"/>
  <c r="E1103" i="7"/>
  <c r="D1103" i="7"/>
  <c r="E1067" i="7"/>
  <c r="D1067" i="7"/>
  <c r="E1005" i="7"/>
  <c r="D1005" i="7"/>
  <c r="E961" i="7"/>
  <c r="D961" i="7"/>
  <c r="E897" i="7"/>
  <c r="D897" i="7"/>
  <c r="E1018" i="7"/>
  <c r="D1018" i="7"/>
  <c r="D981" i="7"/>
  <c r="E981" i="7"/>
  <c r="D986" i="7"/>
  <c r="E986" i="7"/>
  <c r="E853" i="7"/>
  <c r="D853" i="7"/>
  <c r="E950" i="7"/>
  <c r="D950" i="7"/>
  <c r="E937" i="7"/>
  <c r="D937" i="7"/>
  <c r="D858" i="7"/>
  <c r="E858" i="7"/>
  <c r="D871" i="7"/>
  <c r="E871" i="7"/>
  <c r="E915" i="7"/>
  <c r="D915" i="7"/>
  <c r="E850" i="7"/>
  <c r="D850" i="7"/>
  <c r="E886" i="7"/>
  <c r="D886" i="7"/>
  <c r="D828" i="7"/>
  <c r="E828" i="7"/>
  <c r="E857" i="7"/>
  <c r="D857" i="7"/>
  <c r="D786" i="7"/>
  <c r="E786" i="7"/>
  <c r="D810" i="7"/>
  <c r="E810" i="7"/>
  <c r="D802" i="7"/>
  <c r="E802" i="7"/>
  <c r="E818" i="7"/>
  <c r="D818" i="7"/>
  <c r="D701" i="7"/>
  <c r="E701" i="7"/>
  <c r="D765" i="7"/>
  <c r="E765" i="7"/>
  <c r="D740" i="7"/>
  <c r="E740" i="7"/>
  <c r="D780" i="7"/>
  <c r="E780" i="7"/>
  <c r="D744" i="7"/>
  <c r="E744" i="7"/>
  <c r="D754" i="7"/>
  <c r="E754" i="7"/>
  <c r="D695" i="7"/>
  <c r="E695" i="7"/>
  <c r="D647" i="7"/>
  <c r="E647" i="7"/>
  <c r="E684" i="7"/>
  <c r="D684" i="7"/>
  <c r="E700" i="7"/>
  <c r="D700" i="7"/>
  <c r="E664" i="7"/>
  <c r="D664" i="7"/>
  <c r="D660" i="7"/>
  <c r="E660" i="7"/>
  <c r="D617" i="7"/>
  <c r="E617" i="7"/>
  <c r="D621" i="7"/>
  <c r="E621" i="7"/>
  <c r="E622" i="7"/>
  <c r="D622" i="7"/>
  <c r="E1485" i="7"/>
  <c r="D1485" i="7"/>
  <c r="D1490" i="7"/>
  <c r="E1490" i="7"/>
  <c r="D1456" i="7"/>
  <c r="E1456" i="7"/>
  <c r="D1472" i="7"/>
  <c r="E1472" i="7"/>
  <c r="D1443" i="7"/>
  <c r="E1443" i="7"/>
  <c r="D1452" i="7"/>
  <c r="E1452" i="7"/>
  <c r="D1360" i="7"/>
  <c r="E1360" i="7"/>
  <c r="E1415" i="7"/>
  <c r="D1415" i="7"/>
  <c r="E1379" i="7"/>
  <c r="D1379" i="7"/>
  <c r="E1331" i="7"/>
  <c r="D1331" i="7"/>
  <c r="D1398" i="7"/>
  <c r="E1398" i="7"/>
  <c r="E1367" i="7"/>
  <c r="D1367" i="7"/>
  <c r="D1417" i="7"/>
  <c r="E1417" i="7"/>
  <c r="D1381" i="7"/>
  <c r="E1381" i="7"/>
  <c r="D1273" i="7"/>
  <c r="E1273" i="7"/>
  <c r="E1332" i="7"/>
  <c r="D1332" i="7"/>
  <c r="D1296" i="7"/>
  <c r="E1296" i="7"/>
  <c r="D1348" i="7"/>
  <c r="E1348" i="7"/>
  <c r="D1312" i="7"/>
  <c r="E1312" i="7"/>
  <c r="D1264" i="7"/>
  <c r="E1264" i="7"/>
  <c r="E1253" i="7"/>
  <c r="D1253" i="7"/>
  <c r="D1217" i="7"/>
  <c r="E1217" i="7"/>
  <c r="D1257" i="7"/>
  <c r="E1257" i="7"/>
  <c r="D1221" i="7"/>
  <c r="E1221" i="7"/>
  <c r="D1255" i="7"/>
  <c r="E1255" i="7"/>
  <c r="D1219" i="7"/>
  <c r="E1219" i="7"/>
  <c r="D1089" i="7"/>
  <c r="E1089" i="7"/>
  <c r="E1190" i="7"/>
  <c r="D1190" i="7"/>
  <c r="E1154" i="7"/>
  <c r="D1154" i="7"/>
  <c r="D1131" i="7"/>
  <c r="E1131" i="7"/>
  <c r="E1099" i="7"/>
  <c r="D1099" i="7"/>
  <c r="D1164" i="7"/>
  <c r="E1164" i="7"/>
  <c r="E1127" i="7"/>
  <c r="D1127" i="7"/>
  <c r="E1111" i="7"/>
  <c r="D1111" i="7"/>
  <c r="D1168" i="7"/>
  <c r="E1168" i="7"/>
  <c r="D1128" i="7"/>
  <c r="E1128" i="7"/>
  <c r="D1049" i="7"/>
  <c r="E1049" i="7"/>
  <c r="E1011" i="7"/>
  <c r="D1011" i="7"/>
  <c r="E1100" i="7"/>
  <c r="D1100" i="7"/>
  <c r="E1064" i="7"/>
  <c r="D1064" i="7"/>
  <c r="E996" i="7"/>
  <c r="D996" i="7"/>
  <c r="E952" i="7"/>
  <c r="D952" i="7"/>
  <c r="E1051" i="7"/>
  <c r="D1051" i="7"/>
  <c r="E1015" i="7"/>
  <c r="D1015" i="7"/>
  <c r="E979" i="7"/>
  <c r="D979" i="7"/>
  <c r="D983" i="7"/>
  <c r="E983" i="7"/>
  <c r="D875" i="7"/>
  <c r="E875" i="7"/>
  <c r="E947" i="7"/>
  <c r="D947" i="7"/>
  <c r="E934" i="7"/>
  <c r="D934" i="7"/>
  <c r="D890" i="7"/>
  <c r="E890" i="7"/>
  <c r="D867" i="7"/>
  <c r="E867" i="7"/>
  <c r="E912" i="7"/>
  <c r="D912" i="7"/>
  <c r="E841" i="7"/>
  <c r="D841" i="7"/>
  <c r="E883" i="7"/>
  <c r="D883" i="7"/>
  <c r="E868" i="7"/>
  <c r="D868" i="7"/>
  <c r="E854" i="7"/>
  <c r="D854" i="7"/>
  <c r="D831" i="7"/>
  <c r="E831" i="7"/>
  <c r="D807" i="7"/>
  <c r="E807" i="7"/>
  <c r="D799" i="7"/>
  <c r="E799" i="7"/>
  <c r="E815" i="7"/>
  <c r="D815" i="7"/>
  <c r="D778" i="7"/>
  <c r="E778" i="7"/>
  <c r="D753" i="7"/>
  <c r="E753" i="7"/>
  <c r="D724" i="7"/>
  <c r="E724" i="7"/>
  <c r="D777" i="7"/>
  <c r="E777" i="7"/>
  <c r="D741" i="7"/>
  <c r="E741" i="7"/>
  <c r="D751" i="7"/>
  <c r="E751" i="7"/>
  <c r="D681" i="7"/>
  <c r="E681" i="7"/>
  <c r="E711" i="7"/>
  <c r="D711" i="7"/>
  <c r="E679" i="7"/>
  <c r="D679" i="7"/>
  <c r="E697" i="7"/>
  <c r="D697" i="7"/>
  <c r="D677" i="7"/>
  <c r="E677" i="7"/>
  <c r="D657" i="7"/>
  <c r="E657" i="7"/>
  <c r="D614" i="7"/>
  <c r="E614" i="7"/>
  <c r="D618" i="7"/>
  <c r="E618" i="7"/>
  <c r="E619" i="7"/>
  <c r="D619" i="7"/>
  <c r="D1479" i="7"/>
  <c r="E1479" i="7"/>
  <c r="D1487" i="7"/>
  <c r="E1487" i="7"/>
  <c r="D1453" i="7"/>
  <c r="E1453" i="7"/>
  <c r="D1469" i="7"/>
  <c r="E1469" i="7"/>
  <c r="E1439" i="7"/>
  <c r="D1439" i="7"/>
  <c r="D1449" i="7"/>
  <c r="E1449" i="7"/>
  <c r="E1355" i="7"/>
  <c r="D1355" i="7"/>
  <c r="E1412" i="7"/>
  <c r="D1412" i="7"/>
  <c r="E1376" i="7"/>
  <c r="D1376" i="7"/>
  <c r="E1322" i="7"/>
  <c r="D1322" i="7"/>
  <c r="D1395" i="7"/>
  <c r="E1395" i="7"/>
  <c r="E1371" i="7"/>
  <c r="D1371" i="7"/>
  <c r="D1414" i="7"/>
  <c r="E1414" i="7"/>
  <c r="D1378" i="7"/>
  <c r="E1378" i="7"/>
  <c r="D1263" i="7"/>
  <c r="E1263" i="7"/>
  <c r="E1329" i="7"/>
  <c r="D1329" i="7"/>
  <c r="D1293" i="7"/>
  <c r="E1293" i="7"/>
  <c r="D1345" i="7"/>
  <c r="E1345" i="7"/>
  <c r="D1309" i="7"/>
  <c r="E1309" i="7"/>
  <c r="D1288" i="7"/>
  <c r="E1288" i="7"/>
  <c r="E1250" i="7"/>
  <c r="D1250" i="7"/>
  <c r="D1214" i="7"/>
  <c r="E1214" i="7"/>
  <c r="D1254" i="7"/>
  <c r="E1254" i="7"/>
  <c r="D1218" i="7"/>
  <c r="E1218" i="7"/>
  <c r="D1252" i="7"/>
  <c r="E1252" i="7"/>
  <c r="D1216" i="7"/>
  <c r="E1216" i="7"/>
  <c r="D1080" i="7"/>
  <c r="E1080" i="7"/>
  <c r="E1187" i="7"/>
  <c r="D1187" i="7"/>
  <c r="E1151" i="7"/>
  <c r="D1151" i="7"/>
  <c r="D1119" i="7"/>
  <c r="E1119" i="7"/>
  <c r="E1090" i="7"/>
  <c r="D1090" i="7"/>
  <c r="D1161" i="7"/>
  <c r="E1161" i="7"/>
  <c r="D1052" i="7"/>
  <c r="E1052" i="7"/>
  <c r="E1102" i="7"/>
  <c r="D1102" i="7"/>
  <c r="D1165" i="7"/>
  <c r="E1165" i="7"/>
  <c r="D1125" i="7"/>
  <c r="E1125" i="7"/>
  <c r="D1040" i="7"/>
  <c r="E1040" i="7"/>
  <c r="E1002" i="7"/>
  <c r="D1002" i="7"/>
  <c r="E1097" i="7"/>
  <c r="D1097" i="7"/>
  <c r="D960" i="7"/>
  <c r="E960" i="7"/>
  <c r="D992" i="7"/>
  <c r="E992" i="7"/>
  <c r="D929" i="7"/>
  <c r="E929" i="7"/>
  <c r="E1048" i="7"/>
  <c r="D1048" i="7"/>
  <c r="E1012" i="7"/>
  <c r="D1012" i="7"/>
  <c r="E936" i="7"/>
  <c r="D936" i="7"/>
  <c r="D975" i="7"/>
  <c r="E975" i="7"/>
  <c r="E942" i="7"/>
  <c r="D942" i="7"/>
  <c r="E944" i="7"/>
  <c r="D944" i="7"/>
  <c r="E931" i="7"/>
  <c r="D931" i="7"/>
  <c r="D881" i="7"/>
  <c r="E881" i="7"/>
  <c r="D840" i="7"/>
  <c r="E840" i="7"/>
  <c r="E909" i="7"/>
  <c r="D909" i="7"/>
  <c r="E869" i="7"/>
  <c r="D869" i="7"/>
  <c r="E880" i="7"/>
  <c r="D880" i="7"/>
  <c r="D861" i="7"/>
  <c r="E861" i="7"/>
  <c r="E851" i="7"/>
  <c r="D851" i="7"/>
  <c r="D791" i="7"/>
  <c r="E791" i="7"/>
  <c r="D804" i="7"/>
  <c r="E804" i="7"/>
  <c r="D796" i="7"/>
  <c r="E796" i="7"/>
  <c r="E812" i="7"/>
  <c r="D812" i="7"/>
  <c r="D775" i="7"/>
  <c r="E775" i="7"/>
  <c r="D746" i="7"/>
  <c r="E746" i="7"/>
  <c r="D721" i="7"/>
  <c r="E721" i="7"/>
  <c r="D774" i="7"/>
  <c r="E774" i="7"/>
  <c r="D734" i="7"/>
  <c r="E734" i="7"/>
  <c r="D748" i="7"/>
  <c r="E748" i="7"/>
  <c r="E708" i="7"/>
  <c r="D708" i="7"/>
  <c r="D659" i="7"/>
  <c r="E659" i="7"/>
  <c r="D678" i="7"/>
  <c r="E678" i="7"/>
  <c r="E694" i="7"/>
  <c r="D694" i="7"/>
  <c r="D671" i="7"/>
  <c r="E671" i="7"/>
  <c r="D654" i="7"/>
  <c r="E654" i="7"/>
  <c r="D611" i="7"/>
  <c r="E611" i="7"/>
  <c r="D615" i="7"/>
  <c r="E615" i="7"/>
  <c r="E616" i="7"/>
  <c r="D616" i="7"/>
  <c r="D1498" i="7"/>
  <c r="E1498" i="7"/>
  <c r="D1484" i="7"/>
  <c r="E1484" i="7"/>
  <c r="D1450" i="7"/>
  <c r="E1450" i="7"/>
  <c r="D1466" i="7"/>
  <c r="E1466" i="7"/>
  <c r="E1436" i="7"/>
  <c r="D1436" i="7"/>
  <c r="D1446" i="7"/>
  <c r="E1446" i="7"/>
  <c r="E1346" i="7"/>
  <c r="D1346" i="7"/>
  <c r="E1409" i="7"/>
  <c r="D1409" i="7"/>
  <c r="D1373" i="7"/>
  <c r="E1373" i="7"/>
  <c r="E1313" i="7"/>
  <c r="D1313" i="7"/>
  <c r="D1392" i="7"/>
  <c r="E1392" i="7"/>
  <c r="E1368" i="7"/>
  <c r="D1368" i="7"/>
  <c r="D1411" i="7"/>
  <c r="E1411" i="7"/>
  <c r="D1375" i="7"/>
  <c r="E1375" i="7"/>
  <c r="E1362" i="7"/>
  <c r="D1362" i="7"/>
  <c r="E1326" i="7"/>
  <c r="D1326" i="7"/>
  <c r="D1290" i="7"/>
  <c r="E1290" i="7"/>
  <c r="D1342" i="7"/>
  <c r="E1342" i="7"/>
  <c r="D1306" i="7"/>
  <c r="E1306" i="7"/>
  <c r="D1287" i="7"/>
  <c r="E1287" i="7"/>
  <c r="E1247" i="7"/>
  <c r="D1247" i="7"/>
  <c r="D1211" i="7"/>
  <c r="E1211" i="7"/>
  <c r="D1251" i="7"/>
  <c r="E1251" i="7"/>
  <c r="D1215" i="7"/>
  <c r="E1215" i="7"/>
  <c r="D1249" i="7"/>
  <c r="E1249" i="7"/>
  <c r="D1213" i="7"/>
  <c r="E1213" i="7"/>
  <c r="D1071" i="7"/>
  <c r="E1071" i="7"/>
  <c r="E1184" i="7"/>
  <c r="D1184" i="7"/>
  <c r="E1148" i="7"/>
  <c r="D1148" i="7"/>
  <c r="D1110" i="7"/>
  <c r="E1110" i="7"/>
  <c r="E1081" i="7"/>
  <c r="D1081" i="7"/>
  <c r="D1158" i="7"/>
  <c r="E1158" i="7"/>
  <c r="D1034" i="7"/>
  <c r="E1034" i="7"/>
  <c r="E1093" i="7"/>
  <c r="D1093" i="7"/>
  <c r="D1162" i="7"/>
  <c r="E1162" i="7"/>
  <c r="D1055" i="7"/>
  <c r="E1055" i="7"/>
  <c r="D1031" i="7"/>
  <c r="E1031" i="7"/>
  <c r="E993" i="7"/>
  <c r="D993" i="7"/>
  <c r="E1094" i="7"/>
  <c r="D1094" i="7"/>
  <c r="D1059" i="7"/>
  <c r="E1059" i="7"/>
  <c r="E1056" i="7"/>
  <c r="D1056" i="7"/>
  <c r="D978" i="7"/>
  <c r="E978" i="7"/>
  <c r="E1045" i="7"/>
  <c r="D1045" i="7"/>
  <c r="E1009" i="7"/>
  <c r="D1009" i="7"/>
  <c r="E980" i="7"/>
  <c r="D980" i="7"/>
  <c r="D941" i="7"/>
  <c r="E941" i="7"/>
  <c r="E977" i="7"/>
  <c r="D977" i="7"/>
  <c r="E879" i="7"/>
  <c r="D879" i="7"/>
  <c r="E928" i="7"/>
  <c r="D928" i="7"/>
  <c r="E900" i="7"/>
  <c r="D900" i="7"/>
  <c r="E906" i="7"/>
  <c r="D906" i="7"/>
  <c r="D905" i="7"/>
  <c r="E905" i="7"/>
  <c r="D820" i="7"/>
  <c r="E820" i="7"/>
  <c r="E877" i="7"/>
  <c r="D877" i="7"/>
  <c r="D852" i="7"/>
  <c r="E852" i="7"/>
  <c r="E848" i="7"/>
  <c r="D848" i="7"/>
  <c r="D823" i="7"/>
  <c r="E823" i="7"/>
  <c r="D801" i="7"/>
  <c r="E801" i="7"/>
  <c r="D785" i="7"/>
  <c r="E785" i="7"/>
  <c r="E809" i="7"/>
  <c r="D809" i="7"/>
  <c r="D772" i="7"/>
  <c r="E772" i="7"/>
  <c r="D730" i="7"/>
  <c r="E730" i="7"/>
  <c r="E714" i="7"/>
  <c r="D714" i="7"/>
  <c r="D771" i="7"/>
  <c r="E771" i="7"/>
  <c r="D727" i="7"/>
  <c r="E727" i="7"/>
  <c r="D745" i="7"/>
  <c r="E745" i="7"/>
  <c r="D686" i="7"/>
  <c r="E686" i="7"/>
  <c r="E652" i="7"/>
  <c r="D652" i="7"/>
  <c r="D672" i="7"/>
  <c r="E672" i="7"/>
  <c r="E691" i="7"/>
  <c r="D691" i="7"/>
  <c r="D665" i="7"/>
  <c r="E665" i="7"/>
  <c r="D644" i="7"/>
  <c r="E644" i="7"/>
  <c r="D608" i="7"/>
  <c r="E608" i="7"/>
  <c r="D612" i="7"/>
  <c r="E612" i="7"/>
  <c r="E613" i="7"/>
  <c r="D613" i="7"/>
  <c r="D1495" i="7"/>
  <c r="E1495" i="7"/>
  <c r="D1482" i="7"/>
  <c r="E1482" i="7"/>
  <c r="D1447" i="7"/>
  <c r="E1447" i="7"/>
  <c r="D1463" i="7"/>
  <c r="E1463" i="7"/>
  <c r="D1426" i="7"/>
  <c r="E1426" i="7"/>
  <c r="D1444" i="7"/>
  <c r="E1444" i="7"/>
  <c r="E1337" i="7"/>
  <c r="D1337" i="7"/>
  <c r="E1406" i="7"/>
  <c r="D1406" i="7"/>
  <c r="E1298" i="7"/>
  <c r="D1298" i="7"/>
  <c r="D1284" i="7"/>
  <c r="E1284" i="7"/>
  <c r="D1389" i="7"/>
  <c r="E1389" i="7"/>
  <c r="D1282" i="7"/>
  <c r="E1282" i="7"/>
  <c r="D1408" i="7"/>
  <c r="E1408" i="7"/>
  <c r="E1292" i="7"/>
  <c r="D1292" i="7"/>
  <c r="E1359" i="7"/>
  <c r="D1359" i="7"/>
  <c r="E1323" i="7"/>
  <c r="D1323" i="7"/>
  <c r="E1283" i="7"/>
  <c r="D1283" i="7"/>
  <c r="D1339" i="7"/>
  <c r="E1339" i="7"/>
  <c r="D1303" i="7"/>
  <c r="E1303" i="7"/>
  <c r="E1286" i="7"/>
  <c r="D1286" i="7"/>
  <c r="E1244" i="7"/>
  <c r="D1244" i="7"/>
  <c r="D1208" i="7"/>
  <c r="E1208" i="7"/>
  <c r="D1248" i="7"/>
  <c r="E1248" i="7"/>
  <c r="D1212" i="7"/>
  <c r="E1212" i="7"/>
  <c r="D1246" i="7"/>
  <c r="E1246" i="7"/>
  <c r="D1210" i="7"/>
  <c r="E1210" i="7"/>
  <c r="E1114" i="7"/>
  <c r="D1114" i="7"/>
  <c r="E1181" i="7"/>
  <c r="D1181" i="7"/>
  <c r="E1145" i="7"/>
  <c r="D1145" i="7"/>
  <c r="D1101" i="7"/>
  <c r="E1101" i="7"/>
  <c r="E1072" i="7"/>
  <c r="D1072" i="7"/>
  <c r="D1155" i="7"/>
  <c r="E1155" i="7"/>
  <c r="E990" i="7"/>
  <c r="D990" i="7"/>
  <c r="E1084" i="7"/>
  <c r="D1084" i="7"/>
  <c r="D1159" i="7"/>
  <c r="E1159" i="7"/>
  <c r="D998" i="7"/>
  <c r="E998" i="7"/>
  <c r="D1022" i="7"/>
  <c r="E1022" i="7"/>
  <c r="E984" i="7"/>
  <c r="D984" i="7"/>
  <c r="E1091" i="7"/>
  <c r="D1091" i="7"/>
  <c r="E987" i="7"/>
  <c r="D987" i="7"/>
  <c r="E1053" i="7"/>
  <c r="D1053" i="7"/>
  <c r="E973" i="7"/>
  <c r="D973" i="7"/>
  <c r="E1042" i="7"/>
  <c r="D1042" i="7"/>
  <c r="E1006" i="7"/>
  <c r="D1006" i="7"/>
  <c r="E939" i="7"/>
  <c r="D939" i="7"/>
  <c r="D938" i="7"/>
  <c r="E938" i="7"/>
  <c r="E974" i="7"/>
  <c r="D974" i="7"/>
  <c r="D940" i="7"/>
  <c r="E940" i="7"/>
  <c r="E925" i="7"/>
  <c r="D925" i="7"/>
  <c r="E862" i="7"/>
  <c r="D862" i="7"/>
  <c r="E891" i="7"/>
  <c r="D891" i="7"/>
  <c r="E904" i="7"/>
  <c r="D904" i="7"/>
  <c r="D864" i="7"/>
  <c r="E864" i="7"/>
  <c r="E874" i="7"/>
  <c r="D874" i="7"/>
  <c r="D843" i="7"/>
  <c r="E843" i="7"/>
  <c r="E845" i="7"/>
  <c r="D845" i="7"/>
  <c r="E790" i="7"/>
  <c r="D790" i="7"/>
  <c r="D798" i="7"/>
  <c r="E798" i="7"/>
  <c r="D766" i="7"/>
  <c r="E766" i="7"/>
  <c r="E806" i="7"/>
  <c r="D806" i="7"/>
  <c r="D769" i="7"/>
  <c r="E769" i="7"/>
  <c r="E645" i="7"/>
  <c r="D645" i="7"/>
  <c r="D698" i="7"/>
  <c r="E698" i="7"/>
  <c r="D768" i="7"/>
  <c r="E768" i="7"/>
  <c r="D715" i="7"/>
  <c r="E715" i="7"/>
  <c r="D742" i="7"/>
  <c r="E742" i="7"/>
  <c r="D653" i="7"/>
  <c r="E653" i="7"/>
  <c r="E682" i="7"/>
  <c r="D682" i="7"/>
  <c r="D666" i="7"/>
  <c r="E666" i="7"/>
  <c r="E688" i="7"/>
  <c r="D688" i="7"/>
  <c r="E655" i="7"/>
  <c r="D655" i="7"/>
  <c r="E643" i="7"/>
  <c r="D643" i="7"/>
  <c r="D605" i="7"/>
  <c r="E605" i="7"/>
  <c r="D609" i="7"/>
  <c r="E609" i="7"/>
  <c r="E610" i="7"/>
  <c r="D610" i="7"/>
  <c r="D1492" i="7"/>
  <c r="E1492" i="7"/>
  <c r="D1481" i="7"/>
  <c r="E1481" i="7"/>
  <c r="D1441" i="7"/>
  <c r="E1441" i="7"/>
  <c r="D1460" i="7"/>
  <c r="E1460" i="7"/>
  <c r="D1476" i="7"/>
  <c r="E1476" i="7"/>
  <c r="E1433" i="7"/>
  <c r="D1433" i="7"/>
  <c r="E1328" i="7"/>
  <c r="D1328" i="7"/>
  <c r="E1403" i="7"/>
  <c r="D1403" i="7"/>
  <c r="E1365" i="7"/>
  <c r="D1365" i="7"/>
  <c r="D1422" i="7"/>
  <c r="E1422" i="7"/>
  <c r="D1386" i="7"/>
  <c r="E1386" i="7"/>
  <c r="E1370" i="7"/>
  <c r="D1370" i="7"/>
  <c r="D1405" i="7"/>
  <c r="E1405" i="7"/>
  <c r="D1363" i="7"/>
  <c r="E1363" i="7"/>
  <c r="E1356" i="7"/>
  <c r="D1356" i="7"/>
  <c r="E1320" i="7"/>
  <c r="D1320" i="7"/>
  <c r="D1270" i="7"/>
  <c r="E1270" i="7"/>
  <c r="D1336" i="7"/>
  <c r="E1336" i="7"/>
  <c r="D1300" i="7"/>
  <c r="E1300" i="7"/>
  <c r="D1275" i="7"/>
  <c r="E1275" i="7"/>
  <c r="E1241" i="7"/>
  <c r="D1241" i="7"/>
  <c r="D1205" i="7"/>
  <c r="E1205" i="7"/>
  <c r="D1245" i="7"/>
  <c r="E1245" i="7"/>
  <c r="D1209" i="7"/>
  <c r="E1209" i="7"/>
  <c r="D1243" i="7"/>
  <c r="E1243" i="7"/>
  <c r="D1207" i="7"/>
  <c r="E1207" i="7"/>
  <c r="E1105" i="7"/>
  <c r="D1105" i="7"/>
  <c r="E1178" i="7"/>
  <c r="D1178" i="7"/>
  <c r="E1142" i="7"/>
  <c r="D1142" i="7"/>
  <c r="D1092" i="7"/>
  <c r="E1092" i="7"/>
  <c r="E1063" i="7"/>
  <c r="D1063" i="7"/>
  <c r="D1152" i="7"/>
  <c r="E1152" i="7"/>
  <c r="D1122" i="7"/>
  <c r="E1122" i="7"/>
  <c r="E1075" i="7"/>
  <c r="D1075" i="7"/>
  <c r="D1156" i="7"/>
  <c r="E1156" i="7"/>
  <c r="E1044" i="7"/>
  <c r="D1044" i="7"/>
  <c r="D1013" i="7"/>
  <c r="E1013" i="7"/>
  <c r="E1124" i="7"/>
  <c r="D1124" i="7"/>
  <c r="E1088" i="7"/>
  <c r="D1088" i="7"/>
  <c r="D1062" i="7"/>
  <c r="E1062" i="7"/>
  <c r="D1046" i="7"/>
  <c r="E1046" i="7"/>
  <c r="D966" i="7"/>
  <c r="E966" i="7"/>
  <c r="E1039" i="7"/>
  <c r="D1039" i="7"/>
  <c r="E1003" i="7"/>
  <c r="D1003" i="7"/>
  <c r="E844" i="7"/>
  <c r="D844" i="7"/>
  <c r="E976" i="7"/>
  <c r="D976" i="7"/>
  <c r="E971" i="7"/>
  <c r="D971" i="7"/>
  <c r="D932" i="7"/>
  <c r="E932" i="7"/>
  <c r="E922" i="7"/>
  <c r="D922" i="7"/>
  <c r="D926" i="7"/>
  <c r="E926" i="7"/>
  <c r="E882" i="7"/>
  <c r="D882" i="7"/>
  <c r="E903" i="7"/>
  <c r="D903" i="7"/>
  <c r="D855" i="7"/>
  <c r="E855" i="7"/>
  <c r="E872" i="7"/>
  <c r="D872" i="7"/>
  <c r="D832" i="7"/>
  <c r="E832" i="7"/>
  <c r="E842" i="7"/>
  <c r="D842" i="7"/>
  <c r="D784" i="7"/>
  <c r="E784" i="7"/>
  <c r="D787" i="7"/>
  <c r="E787" i="7"/>
  <c r="D792" i="7"/>
  <c r="E792" i="7"/>
  <c r="E803" i="7"/>
  <c r="D803" i="7"/>
  <c r="D756" i="7"/>
  <c r="E756" i="7"/>
  <c r="D743" i="7"/>
  <c r="E743" i="7"/>
  <c r="D689" i="7"/>
  <c r="E689" i="7"/>
  <c r="D759" i="7"/>
  <c r="E759" i="7"/>
  <c r="D733" i="7"/>
  <c r="E733" i="7"/>
  <c r="D739" i="7"/>
  <c r="E739" i="7"/>
  <c r="D707" i="7"/>
  <c r="E707" i="7"/>
  <c r="E676" i="7"/>
  <c r="D676" i="7"/>
  <c r="D662" i="7"/>
  <c r="E662" i="7"/>
  <c r="E685" i="7"/>
  <c r="D685" i="7"/>
  <c r="E640" i="7"/>
  <c r="D640" i="7"/>
  <c r="E642" i="7"/>
  <c r="D642" i="7"/>
  <c r="D602" i="7"/>
  <c r="E602" i="7"/>
  <c r="D606" i="7"/>
  <c r="E606" i="7"/>
  <c r="E607" i="7"/>
  <c r="D607" i="7"/>
  <c r="D1489" i="7"/>
  <c r="E1489" i="7"/>
  <c r="D1477" i="7"/>
  <c r="E1477" i="7"/>
  <c r="D1425" i="7"/>
  <c r="E1425" i="7"/>
  <c r="D1457" i="7"/>
  <c r="E1457" i="7"/>
  <c r="D1473" i="7"/>
  <c r="E1473" i="7"/>
  <c r="D1440" i="7"/>
  <c r="E1440" i="7"/>
  <c r="E1319" i="7"/>
  <c r="D1319" i="7"/>
  <c r="E1400" i="7"/>
  <c r="D1400" i="7"/>
  <c r="E1277" i="7"/>
  <c r="D1277" i="7"/>
  <c r="D1419" i="7"/>
  <c r="E1419" i="7"/>
  <c r="D1383" i="7"/>
  <c r="E1383" i="7"/>
  <c r="D1369" i="7"/>
  <c r="E1369" i="7"/>
  <c r="D1402" i="7"/>
  <c r="E1402" i="7"/>
  <c r="E1289" i="7"/>
  <c r="D1289" i="7"/>
  <c r="E1353" i="7"/>
  <c r="D1353" i="7"/>
  <c r="E1317" i="7"/>
  <c r="D1317" i="7"/>
  <c r="E1280" i="7"/>
  <c r="D1280" i="7"/>
  <c r="D1333" i="7"/>
  <c r="E1333" i="7"/>
  <c r="D1297" i="7"/>
  <c r="E1297" i="7"/>
  <c r="D1198" i="7"/>
  <c r="E1198" i="7"/>
  <c r="E1238" i="7"/>
  <c r="D1238" i="7"/>
  <c r="E1202" i="7"/>
  <c r="D1202" i="7"/>
  <c r="D1242" i="7"/>
  <c r="E1242" i="7"/>
  <c r="D1206" i="7"/>
  <c r="E1206" i="7"/>
  <c r="D1240" i="7"/>
  <c r="E1240" i="7"/>
  <c r="D1201" i="7"/>
  <c r="E1201" i="7"/>
  <c r="E1096" i="7"/>
  <c r="D1096" i="7"/>
  <c r="E1175" i="7"/>
  <c r="D1175" i="7"/>
  <c r="E1139" i="7"/>
  <c r="D1139" i="7"/>
  <c r="D1083" i="7"/>
  <c r="E1083" i="7"/>
  <c r="D1025" i="7"/>
  <c r="E1025" i="7"/>
  <c r="D1149" i="7"/>
  <c r="E1149" i="7"/>
  <c r="D1113" i="7"/>
  <c r="E1113" i="7"/>
  <c r="E1066" i="7"/>
  <c r="D1066" i="7"/>
  <c r="D1153" i="7"/>
  <c r="E1153" i="7"/>
  <c r="E1035" i="7"/>
  <c r="D1035" i="7"/>
  <c r="D1004" i="7"/>
  <c r="E1004" i="7"/>
  <c r="E1121" i="7"/>
  <c r="D1121" i="7"/>
  <c r="E1085" i="7"/>
  <c r="D1085" i="7"/>
  <c r="E1060" i="7"/>
  <c r="D1060" i="7"/>
  <c r="D1037" i="7"/>
  <c r="E1037" i="7"/>
  <c r="D957" i="7"/>
  <c r="E957" i="7"/>
  <c r="E1036" i="7"/>
  <c r="D1036" i="7"/>
  <c r="E1000" i="7"/>
  <c r="D1000" i="7"/>
  <c r="E967" i="7"/>
  <c r="D967" i="7"/>
  <c r="D972" i="7"/>
  <c r="E972" i="7"/>
  <c r="E968" i="7"/>
  <c r="D968" i="7"/>
  <c r="D884" i="7"/>
  <c r="E884" i="7"/>
  <c r="E919" i="7"/>
  <c r="D919" i="7"/>
  <c r="D923" i="7"/>
  <c r="E923" i="7"/>
  <c r="E873" i="7"/>
  <c r="D873" i="7"/>
  <c r="D902" i="7"/>
  <c r="E902" i="7"/>
  <c r="D846" i="7"/>
  <c r="E846" i="7"/>
  <c r="D781" i="7"/>
  <c r="E781" i="7"/>
  <c r="E833" i="7"/>
  <c r="D833" i="7"/>
  <c r="E839" i="7"/>
  <c r="D839" i="7"/>
  <c r="D779" i="7"/>
  <c r="E779" i="7"/>
  <c r="D788" i="7"/>
  <c r="E788" i="7"/>
  <c r="D795" i="7"/>
  <c r="E795" i="7"/>
  <c r="E800" i="7"/>
  <c r="D800" i="7"/>
  <c r="D755" i="7"/>
  <c r="E755" i="7"/>
  <c r="D718" i="7"/>
  <c r="E718" i="7"/>
  <c r="E738" i="7"/>
  <c r="D738" i="7"/>
  <c r="D758" i="7"/>
  <c r="E758" i="7"/>
  <c r="D712" i="7"/>
  <c r="E712" i="7"/>
  <c r="D731" i="7"/>
  <c r="E731" i="7"/>
  <c r="E705" i="7"/>
  <c r="D705" i="7"/>
  <c r="E661" i="7"/>
  <c r="D661" i="7"/>
  <c r="E683" i="7"/>
  <c r="D683" i="7"/>
  <c r="D674" i="7"/>
  <c r="E674" i="7"/>
  <c r="E651" i="7"/>
  <c r="D651" i="7"/>
  <c r="D635" i="7"/>
  <c r="E635" i="7"/>
  <c r="E639" i="7"/>
  <c r="D639" i="7"/>
  <c r="D603" i="7"/>
  <c r="E603" i="7"/>
  <c r="E604" i="7"/>
  <c r="D604" i="7"/>
  <c r="D1486" i="7"/>
  <c r="E1486" i="7"/>
  <c r="D1474" i="7"/>
  <c r="E1474" i="7"/>
  <c r="D1438" i="7"/>
  <c r="E1438" i="7"/>
  <c r="D1454" i="7"/>
  <c r="E1454" i="7"/>
  <c r="D1470" i="7"/>
  <c r="E1470" i="7"/>
  <c r="D1431" i="7"/>
  <c r="E1431" i="7"/>
  <c r="E1310" i="7"/>
  <c r="D1310" i="7"/>
  <c r="E1397" i="7"/>
  <c r="D1397" i="7"/>
  <c r="E1301" i="7"/>
  <c r="D1301" i="7"/>
  <c r="D1416" i="7"/>
  <c r="E1416" i="7"/>
  <c r="D1380" i="7"/>
  <c r="E1380" i="7"/>
  <c r="E1352" i="7"/>
  <c r="D1352" i="7"/>
  <c r="D1399" i="7"/>
  <c r="E1399" i="7"/>
  <c r="D1272" i="7"/>
  <c r="E1272" i="7"/>
  <c r="E1350" i="7"/>
  <c r="D1350" i="7"/>
  <c r="E1314" i="7"/>
  <c r="D1314" i="7"/>
  <c r="D1261" i="7"/>
  <c r="E1261" i="7"/>
  <c r="D1330" i="7"/>
  <c r="E1330" i="7"/>
  <c r="D1294" i="7"/>
  <c r="E1294" i="7"/>
  <c r="D1191" i="7"/>
  <c r="E1191" i="7"/>
  <c r="E1235" i="7"/>
  <c r="D1235" i="7"/>
  <c r="D1189" i="7"/>
  <c r="E1189" i="7"/>
  <c r="D1239" i="7"/>
  <c r="E1239" i="7"/>
  <c r="D1200" i="7"/>
  <c r="E1200" i="7"/>
  <c r="D1237" i="7"/>
  <c r="E1237" i="7"/>
  <c r="D1195" i="7"/>
  <c r="E1195" i="7"/>
  <c r="E1087" i="7"/>
  <c r="D1087" i="7"/>
  <c r="E1172" i="7"/>
  <c r="D1172" i="7"/>
  <c r="E1136" i="7"/>
  <c r="D1136" i="7"/>
  <c r="D1074" i="7"/>
  <c r="E1074" i="7"/>
  <c r="D1182" i="7"/>
  <c r="E1182" i="7"/>
  <c r="D1146" i="7"/>
  <c r="E1146" i="7"/>
  <c r="D1104" i="7"/>
  <c r="E1104" i="7"/>
  <c r="D1043" i="7"/>
  <c r="E1043" i="7"/>
  <c r="D1150" i="7"/>
  <c r="E1150" i="7"/>
  <c r="E1026" i="7"/>
  <c r="D1026" i="7"/>
  <c r="D995" i="7"/>
  <c r="E995" i="7"/>
  <c r="E1118" i="7"/>
  <c r="D1118" i="7"/>
  <c r="E1082" i="7"/>
  <c r="D1082" i="7"/>
  <c r="E1050" i="7"/>
  <c r="D1050" i="7"/>
  <c r="D1028" i="7"/>
  <c r="E1028" i="7"/>
  <c r="D948" i="7"/>
  <c r="E948" i="7"/>
  <c r="E1033" i="7"/>
  <c r="D1033" i="7"/>
  <c r="E997" i="7"/>
  <c r="D997" i="7"/>
  <c r="E958" i="7"/>
  <c r="D958" i="7"/>
  <c r="D963" i="7"/>
  <c r="E963" i="7"/>
  <c r="E965" i="7"/>
  <c r="D965" i="7"/>
  <c r="E933" i="7"/>
  <c r="D933" i="7"/>
  <c r="E916" i="7"/>
  <c r="D916" i="7"/>
  <c r="D920" i="7"/>
  <c r="E920" i="7"/>
  <c r="E930" i="7"/>
  <c r="D930" i="7"/>
  <c r="D849" i="7"/>
  <c r="E849" i="7"/>
  <c r="E901" i="7"/>
  <c r="D901" i="7"/>
  <c r="D870" i="7"/>
  <c r="E870" i="7"/>
  <c r="D794" i="7"/>
  <c r="E794" i="7"/>
  <c r="E837" i="7"/>
  <c r="D837" i="7"/>
  <c r="D825" i="7"/>
  <c r="E825" i="7"/>
  <c r="D817" i="7"/>
  <c r="E817" i="7"/>
  <c r="D793" i="7"/>
  <c r="E793" i="7"/>
  <c r="E797" i="7"/>
  <c r="D797" i="7"/>
  <c r="D752" i="7"/>
  <c r="E752" i="7"/>
  <c r="D773" i="7"/>
  <c r="E773" i="7"/>
  <c r="D763" i="7"/>
  <c r="E763" i="7"/>
  <c r="E726" i="7"/>
  <c r="D726" i="7"/>
  <c r="E670" i="7"/>
  <c r="D670" i="7"/>
  <c r="E729" i="7"/>
  <c r="D729" i="7"/>
  <c r="D722" i="7"/>
  <c r="E722" i="7"/>
  <c r="E699" i="7"/>
  <c r="D699" i="7"/>
  <c r="E673" i="7"/>
  <c r="D673" i="7"/>
  <c r="D668" i="7"/>
  <c r="E668" i="7"/>
  <c r="D650" i="7"/>
  <c r="E650" i="7"/>
  <c r="D632" i="7"/>
  <c r="E632" i="7"/>
  <c r="E636" i="7"/>
  <c r="D636" i="7"/>
  <c r="E637" i="7"/>
  <c r="D637" i="7"/>
  <c r="E601" i="7"/>
  <c r="D601" i="7"/>
  <c r="D598" i="7"/>
  <c r="E598" i="7"/>
  <c r="D584" i="7"/>
  <c r="E584" i="7"/>
  <c r="D588" i="7"/>
  <c r="E588" i="7"/>
  <c r="D491" i="7"/>
  <c r="E491" i="7"/>
  <c r="D475" i="7"/>
  <c r="E475" i="7"/>
  <c r="E538" i="7"/>
  <c r="D538" i="7"/>
  <c r="D470" i="7"/>
  <c r="E470" i="7"/>
  <c r="D557" i="7"/>
  <c r="E557" i="7"/>
  <c r="E521" i="7"/>
  <c r="D521" i="7"/>
  <c r="D500" i="7"/>
  <c r="E500" i="7"/>
  <c r="E540" i="7"/>
  <c r="D540" i="7"/>
  <c r="E504" i="7"/>
  <c r="D504" i="7"/>
  <c r="D468" i="7"/>
  <c r="E468" i="7"/>
  <c r="D432" i="7"/>
  <c r="E432" i="7"/>
  <c r="D445" i="7"/>
  <c r="E445" i="7"/>
  <c r="E412" i="7"/>
  <c r="D412" i="7"/>
  <c r="D410" i="7"/>
  <c r="E410" i="7"/>
  <c r="E405" i="7"/>
  <c r="D405" i="7"/>
  <c r="E372" i="7"/>
  <c r="D372" i="7"/>
  <c r="E364" i="7"/>
  <c r="D364" i="7"/>
  <c r="D317" i="7"/>
  <c r="E317" i="7"/>
  <c r="E327" i="7"/>
  <c r="D327" i="7"/>
  <c r="D352" i="7"/>
  <c r="E352" i="7"/>
  <c r="E356" i="7"/>
  <c r="D356" i="7"/>
  <c r="E324" i="7"/>
  <c r="D324" i="7"/>
  <c r="E303" i="7"/>
  <c r="D303" i="7"/>
  <c r="D307" i="7"/>
  <c r="E307" i="7"/>
  <c r="D281" i="7"/>
  <c r="E281" i="7"/>
  <c r="E178" i="7"/>
  <c r="D178" i="7"/>
  <c r="D251" i="7"/>
  <c r="E251" i="7"/>
  <c r="D243" i="7"/>
  <c r="E243" i="7"/>
  <c r="D259" i="7"/>
  <c r="E259" i="7"/>
  <c r="E224" i="7"/>
  <c r="D224" i="7"/>
  <c r="E212" i="7"/>
  <c r="D212" i="7"/>
  <c r="D200" i="7"/>
  <c r="E200" i="7"/>
  <c r="D198" i="7"/>
  <c r="E198" i="7"/>
  <c r="D583" i="7"/>
  <c r="E583" i="7"/>
  <c r="D581" i="7"/>
  <c r="E581" i="7"/>
  <c r="D585" i="7"/>
  <c r="E585" i="7"/>
  <c r="E426" i="7"/>
  <c r="D426" i="7"/>
  <c r="D464" i="7"/>
  <c r="E464" i="7"/>
  <c r="E535" i="7"/>
  <c r="D535" i="7"/>
  <c r="D434" i="7"/>
  <c r="E434" i="7"/>
  <c r="D554" i="7"/>
  <c r="E554" i="7"/>
  <c r="D518" i="7"/>
  <c r="E518" i="7"/>
  <c r="D499" i="7"/>
  <c r="E499" i="7"/>
  <c r="E537" i="7"/>
  <c r="D537" i="7"/>
  <c r="D446" i="7"/>
  <c r="E446" i="7"/>
  <c r="D465" i="7"/>
  <c r="E465" i="7"/>
  <c r="D429" i="7"/>
  <c r="E429" i="7"/>
  <c r="D442" i="7"/>
  <c r="E442" i="7"/>
  <c r="E409" i="7"/>
  <c r="D409" i="7"/>
  <c r="D407" i="7"/>
  <c r="E407" i="7"/>
  <c r="E402" i="7"/>
  <c r="D402" i="7"/>
  <c r="E369" i="7"/>
  <c r="D369" i="7"/>
  <c r="E360" i="7"/>
  <c r="D360" i="7"/>
  <c r="D204" i="7"/>
  <c r="E204" i="7"/>
  <c r="D322" i="7"/>
  <c r="E322" i="7"/>
  <c r="D349" i="7"/>
  <c r="E349" i="7"/>
  <c r="E353" i="7"/>
  <c r="D353" i="7"/>
  <c r="D323" i="7"/>
  <c r="E323" i="7"/>
  <c r="E300" i="7"/>
  <c r="D300" i="7"/>
  <c r="D304" i="7"/>
  <c r="E304" i="7"/>
  <c r="E278" i="7"/>
  <c r="D278" i="7"/>
  <c r="D220" i="7"/>
  <c r="E220" i="7"/>
  <c r="D223" i="7"/>
  <c r="E223" i="7"/>
  <c r="D237" i="7"/>
  <c r="E237" i="7"/>
  <c r="D256" i="7"/>
  <c r="E256" i="7"/>
  <c r="E221" i="7"/>
  <c r="D221" i="7"/>
  <c r="E199" i="7"/>
  <c r="D199" i="7"/>
  <c r="D197" i="7"/>
  <c r="E197" i="7"/>
  <c r="D195" i="7"/>
  <c r="E195" i="7"/>
  <c r="D580" i="7"/>
  <c r="E580" i="7"/>
  <c r="D572" i="7"/>
  <c r="E572" i="7"/>
  <c r="D582" i="7"/>
  <c r="E582" i="7"/>
  <c r="E558" i="7"/>
  <c r="D558" i="7"/>
  <c r="D422" i="7"/>
  <c r="E422" i="7"/>
  <c r="E532" i="7"/>
  <c r="D532" i="7"/>
  <c r="D489" i="7"/>
  <c r="E489" i="7"/>
  <c r="D551" i="7"/>
  <c r="E551" i="7"/>
  <c r="D515" i="7"/>
  <c r="E515" i="7"/>
  <c r="D484" i="7"/>
  <c r="E484" i="7"/>
  <c r="E534" i="7"/>
  <c r="D534" i="7"/>
  <c r="E427" i="7"/>
  <c r="D427" i="7"/>
  <c r="D462" i="7"/>
  <c r="E462" i="7"/>
  <c r="E421" i="7"/>
  <c r="D421" i="7"/>
  <c r="D439" i="7"/>
  <c r="E439" i="7"/>
  <c r="E406" i="7"/>
  <c r="D406" i="7"/>
  <c r="D404" i="7"/>
  <c r="E404" i="7"/>
  <c r="E399" i="7"/>
  <c r="D399" i="7"/>
  <c r="E366" i="7"/>
  <c r="D366" i="7"/>
  <c r="E389" i="7"/>
  <c r="D389" i="7"/>
  <c r="E357" i="7"/>
  <c r="D357" i="7"/>
  <c r="D320" i="7"/>
  <c r="E320" i="7"/>
  <c r="D346" i="7"/>
  <c r="E346" i="7"/>
  <c r="E350" i="7"/>
  <c r="D350" i="7"/>
  <c r="D263" i="7"/>
  <c r="E263" i="7"/>
  <c r="E296" i="7"/>
  <c r="D296" i="7"/>
  <c r="D301" i="7"/>
  <c r="E301" i="7"/>
  <c r="D275" i="7"/>
  <c r="E275" i="7"/>
  <c r="D294" i="7"/>
  <c r="E294" i="7"/>
  <c r="D242" i="7"/>
  <c r="E242" i="7"/>
  <c r="E236" i="7"/>
  <c r="D236" i="7"/>
  <c r="D253" i="7"/>
  <c r="E253" i="7"/>
  <c r="E218" i="7"/>
  <c r="D218" i="7"/>
  <c r="E196" i="7"/>
  <c r="D196" i="7"/>
  <c r="D194" i="7"/>
  <c r="E194" i="7"/>
  <c r="D192" i="7"/>
  <c r="E192" i="7"/>
  <c r="D578" i="7"/>
  <c r="E578" i="7"/>
  <c r="D589" i="7"/>
  <c r="E589" i="7"/>
  <c r="D579" i="7"/>
  <c r="E579" i="7"/>
  <c r="E555" i="7"/>
  <c r="D555" i="7"/>
  <c r="E560" i="7"/>
  <c r="D560" i="7"/>
  <c r="E529" i="7"/>
  <c r="D529" i="7"/>
  <c r="D488" i="7"/>
  <c r="E488" i="7"/>
  <c r="D548" i="7"/>
  <c r="E548" i="7"/>
  <c r="D512" i="7"/>
  <c r="E512" i="7"/>
  <c r="D478" i="7"/>
  <c r="E478" i="7"/>
  <c r="E531" i="7"/>
  <c r="D531" i="7"/>
  <c r="D443" i="7"/>
  <c r="E443" i="7"/>
  <c r="D459" i="7"/>
  <c r="E459" i="7"/>
  <c r="E420" i="7"/>
  <c r="D420" i="7"/>
  <c r="D436" i="7"/>
  <c r="E436" i="7"/>
  <c r="E403" i="7"/>
  <c r="D403" i="7"/>
  <c r="E401" i="7"/>
  <c r="D401" i="7"/>
  <c r="E396" i="7"/>
  <c r="D396" i="7"/>
  <c r="E363" i="7"/>
  <c r="D363" i="7"/>
  <c r="E386" i="7"/>
  <c r="D386" i="7"/>
  <c r="E354" i="7"/>
  <c r="D354" i="7"/>
  <c r="D319" i="7"/>
  <c r="E319" i="7"/>
  <c r="D343" i="7"/>
  <c r="E343" i="7"/>
  <c r="E347" i="7"/>
  <c r="D347" i="7"/>
  <c r="D248" i="7"/>
  <c r="E248" i="7"/>
  <c r="D257" i="7"/>
  <c r="E257" i="7"/>
  <c r="D298" i="7"/>
  <c r="E298" i="7"/>
  <c r="E272" i="7"/>
  <c r="D272" i="7"/>
  <c r="D291" i="7"/>
  <c r="E291" i="7"/>
  <c r="D229" i="7"/>
  <c r="E229" i="7"/>
  <c r="D206" i="7"/>
  <c r="E206" i="7"/>
  <c r="D250" i="7"/>
  <c r="E250" i="7"/>
  <c r="E175" i="7"/>
  <c r="D175" i="7"/>
  <c r="E193" i="7"/>
  <c r="D193" i="7"/>
  <c r="D191" i="7"/>
  <c r="E191" i="7"/>
  <c r="D189" i="7"/>
  <c r="E189" i="7"/>
  <c r="D576" i="7"/>
  <c r="E576" i="7"/>
  <c r="D570" i="7"/>
  <c r="E570" i="7"/>
  <c r="D575" i="7"/>
  <c r="E575" i="7"/>
  <c r="D449" i="7"/>
  <c r="E449" i="7"/>
  <c r="D492" i="7"/>
  <c r="E492" i="7"/>
  <c r="E526" i="7"/>
  <c r="D526" i="7"/>
  <c r="D482" i="7"/>
  <c r="E482" i="7"/>
  <c r="D545" i="7"/>
  <c r="E545" i="7"/>
  <c r="D509" i="7"/>
  <c r="E509" i="7"/>
  <c r="D472" i="7"/>
  <c r="E472" i="7"/>
  <c r="E528" i="7"/>
  <c r="D528" i="7"/>
  <c r="E423" i="7"/>
  <c r="D423" i="7"/>
  <c r="D456" i="7"/>
  <c r="E456" i="7"/>
  <c r="D469" i="7"/>
  <c r="E469" i="7"/>
  <c r="D433" i="7"/>
  <c r="E433" i="7"/>
  <c r="E400" i="7"/>
  <c r="D400" i="7"/>
  <c r="D398" i="7"/>
  <c r="E398" i="7"/>
  <c r="E393" i="7"/>
  <c r="D393" i="7"/>
  <c r="E388" i="7"/>
  <c r="D388" i="7"/>
  <c r="E383" i="7"/>
  <c r="D383" i="7"/>
  <c r="E351" i="7"/>
  <c r="D351" i="7"/>
  <c r="D302" i="7"/>
  <c r="E302" i="7"/>
  <c r="D340" i="7"/>
  <c r="E340" i="7"/>
  <c r="E344" i="7"/>
  <c r="D344" i="7"/>
  <c r="D289" i="7"/>
  <c r="E289" i="7"/>
  <c r="D295" i="7"/>
  <c r="E295" i="7"/>
  <c r="D286" i="7"/>
  <c r="E286" i="7"/>
  <c r="D269" i="7"/>
  <c r="E269" i="7"/>
  <c r="D288" i="7"/>
  <c r="E288" i="7"/>
  <c r="D209" i="7"/>
  <c r="E209" i="7"/>
  <c r="D235" i="7"/>
  <c r="E235" i="7"/>
  <c r="D247" i="7"/>
  <c r="E247" i="7"/>
  <c r="E166" i="7"/>
  <c r="D166" i="7"/>
  <c r="E215" i="7"/>
  <c r="D215" i="7"/>
  <c r="D188" i="7"/>
  <c r="E188" i="7"/>
  <c r="D186" i="7"/>
  <c r="E186" i="7"/>
  <c r="D569" i="7"/>
  <c r="E569" i="7"/>
  <c r="E559" i="7"/>
  <c r="D559" i="7"/>
  <c r="D566" i="7"/>
  <c r="E566" i="7"/>
  <c r="E574" i="7"/>
  <c r="D574" i="7"/>
  <c r="D473" i="7"/>
  <c r="E473" i="7"/>
  <c r="E523" i="7"/>
  <c r="D523" i="7"/>
  <c r="D476" i="7"/>
  <c r="E476" i="7"/>
  <c r="E542" i="7"/>
  <c r="D542" i="7"/>
  <c r="E506" i="7"/>
  <c r="D506" i="7"/>
  <c r="D455" i="7"/>
  <c r="E455" i="7"/>
  <c r="E525" i="7"/>
  <c r="D525" i="7"/>
  <c r="D440" i="7"/>
  <c r="E440" i="7"/>
  <c r="D453" i="7"/>
  <c r="E453" i="7"/>
  <c r="D466" i="7"/>
  <c r="E466" i="7"/>
  <c r="D430" i="7"/>
  <c r="E430" i="7"/>
  <c r="E397" i="7"/>
  <c r="D397" i="7"/>
  <c r="D395" i="7"/>
  <c r="E395" i="7"/>
  <c r="E361" i="7"/>
  <c r="D361" i="7"/>
  <c r="D385" i="7"/>
  <c r="E385" i="7"/>
  <c r="E380" i="7"/>
  <c r="D380" i="7"/>
  <c r="E348" i="7"/>
  <c r="D348" i="7"/>
  <c r="D297" i="7"/>
  <c r="E297" i="7"/>
  <c r="D337" i="7"/>
  <c r="E337" i="7"/>
  <c r="E341" i="7"/>
  <c r="D341" i="7"/>
  <c r="D283" i="7"/>
  <c r="E283" i="7"/>
  <c r="D292" i="7"/>
  <c r="E292" i="7"/>
  <c r="D271" i="7"/>
  <c r="E271" i="7"/>
  <c r="D266" i="7"/>
  <c r="E266" i="7"/>
  <c r="D285" i="7"/>
  <c r="E285" i="7"/>
  <c r="E202" i="7"/>
  <c r="D202" i="7"/>
  <c r="D232" i="7"/>
  <c r="E232" i="7"/>
  <c r="D244" i="7"/>
  <c r="E244" i="7"/>
  <c r="D234" i="7"/>
  <c r="E234" i="7"/>
  <c r="D211" i="7"/>
  <c r="E211" i="7"/>
  <c r="D185" i="7"/>
  <c r="E185" i="7"/>
  <c r="D183" i="7"/>
  <c r="E183" i="7"/>
  <c r="D563" i="7"/>
  <c r="E563" i="7"/>
  <c r="D487" i="7"/>
  <c r="E487" i="7"/>
  <c r="D573" i="7"/>
  <c r="E573" i="7"/>
  <c r="E571" i="7"/>
  <c r="D571" i="7"/>
  <c r="E556" i="7"/>
  <c r="D556" i="7"/>
  <c r="E520" i="7"/>
  <c r="D520" i="7"/>
  <c r="D467" i="7"/>
  <c r="E467" i="7"/>
  <c r="D539" i="7"/>
  <c r="E539" i="7"/>
  <c r="D503" i="7"/>
  <c r="E503" i="7"/>
  <c r="D502" i="7"/>
  <c r="E502" i="7"/>
  <c r="E522" i="7"/>
  <c r="D522" i="7"/>
  <c r="D486" i="7"/>
  <c r="E486" i="7"/>
  <c r="D450" i="7"/>
  <c r="E450" i="7"/>
  <c r="D463" i="7"/>
  <c r="E463" i="7"/>
  <c r="D425" i="7"/>
  <c r="E425" i="7"/>
  <c r="E394" i="7"/>
  <c r="D394" i="7"/>
  <c r="D392" i="7"/>
  <c r="E392" i="7"/>
  <c r="E390" i="7"/>
  <c r="D390" i="7"/>
  <c r="D382" i="7"/>
  <c r="E382" i="7"/>
  <c r="E377" i="7"/>
  <c r="D377" i="7"/>
  <c r="E345" i="7"/>
  <c r="D345" i="7"/>
  <c r="D316" i="7"/>
  <c r="E316" i="7"/>
  <c r="D334" i="7"/>
  <c r="E334" i="7"/>
  <c r="E338" i="7"/>
  <c r="D338" i="7"/>
  <c r="D214" i="7"/>
  <c r="E214" i="7"/>
  <c r="D280" i="7"/>
  <c r="E280" i="7"/>
  <c r="D268" i="7"/>
  <c r="E268" i="7"/>
  <c r="E239" i="7"/>
  <c r="D239" i="7"/>
  <c r="D282" i="7"/>
  <c r="E282" i="7"/>
  <c r="D261" i="7"/>
  <c r="E261" i="7"/>
  <c r="E184" i="7"/>
  <c r="D184" i="7"/>
  <c r="D226" i="7"/>
  <c r="E226" i="7"/>
  <c r="D231" i="7"/>
  <c r="E231" i="7"/>
  <c r="D210" i="7"/>
  <c r="E210" i="7"/>
  <c r="D182" i="7"/>
  <c r="E182" i="7"/>
  <c r="D180" i="7"/>
  <c r="E180" i="7"/>
  <c r="D599" i="7"/>
  <c r="E599" i="7"/>
  <c r="D562" i="7"/>
  <c r="E562" i="7"/>
  <c r="D564" i="7"/>
  <c r="E564" i="7"/>
  <c r="E568" i="7"/>
  <c r="D568" i="7"/>
  <c r="E553" i="7"/>
  <c r="D553" i="7"/>
  <c r="E517" i="7"/>
  <c r="D517" i="7"/>
  <c r="D431" i="7"/>
  <c r="E431" i="7"/>
  <c r="D536" i="7"/>
  <c r="E536" i="7"/>
  <c r="D498" i="7"/>
  <c r="E498" i="7"/>
  <c r="D452" i="7"/>
  <c r="E452" i="7"/>
  <c r="E519" i="7"/>
  <c r="D519" i="7"/>
  <c r="D483" i="7"/>
  <c r="E483" i="7"/>
  <c r="D447" i="7"/>
  <c r="E447" i="7"/>
  <c r="D460" i="7"/>
  <c r="E460" i="7"/>
  <c r="E428" i="7"/>
  <c r="D428" i="7"/>
  <c r="E391" i="7"/>
  <c r="D391" i="7"/>
  <c r="D321" i="7"/>
  <c r="E321" i="7"/>
  <c r="E387" i="7"/>
  <c r="D387" i="7"/>
  <c r="E379" i="7"/>
  <c r="D379" i="7"/>
  <c r="E374" i="7"/>
  <c r="D374" i="7"/>
  <c r="E342" i="7"/>
  <c r="D342" i="7"/>
  <c r="D311" i="7"/>
  <c r="E311" i="7"/>
  <c r="D331" i="7"/>
  <c r="E331" i="7"/>
  <c r="E335" i="7"/>
  <c r="D335" i="7"/>
  <c r="D318" i="7"/>
  <c r="E318" i="7"/>
  <c r="D293" i="7"/>
  <c r="E293" i="7"/>
  <c r="E172" i="7"/>
  <c r="D172" i="7"/>
  <c r="D265" i="7"/>
  <c r="E265" i="7"/>
  <c r="D279" i="7"/>
  <c r="E279" i="7"/>
  <c r="E258" i="7"/>
  <c r="D258" i="7"/>
  <c r="D240" i="7"/>
  <c r="E240" i="7"/>
  <c r="D208" i="7"/>
  <c r="E208" i="7"/>
  <c r="D228" i="7"/>
  <c r="E228" i="7"/>
  <c r="D201" i="7"/>
  <c r="E201" i="7"/>
  <c r="D179" i="7"/>
  <c r="E179" i="7"/>
  <c r="D177" i="7"/>
  <c r="E177" i="7"/>
  <c r="D595" i="7"/>
  <c r="E595" i="7"/>
  <c r="D596" i="7"/>
  <c r="E596" i="7"/>
  <c r="D600" i="7"/>
  <c r="E600" i="7"/>
  <c r="D592" i="7"/>
  <c r="E592" i="7"/>
  <c r="E565" i="7"/>
  <c r="D565" i="7"/>
  <c r="E550" i="7"/>
  <c r="D550" i="7"/>
  <c r="E514" i="7"/>
  <c r="D514" i="7"/>
  <c r="D495" i="7"/>
  <c r="E495" i="7"/>
  <c r="D533" i="7"/>
  <c r="E533" i="7"/>
  <c r="D497" i="7"/>
  <c r="E497" i="7"/>
  <c r="E552" i="7"/>
  <c r="D552" i="7"/>
  <c r="E516" i="7"/>
  <c r="D516" i="7"/>
  <c r="D480" i="7"/>
  <c r="E480" i="7"/>
  <c r="D444" i="7"/>
  <c r="E444" i="7"/>
  <c r="D457" i="7"/>
  <c r="E457" i="7"/>
  <c r="E424" i="7"/>
  <c r="D424" i="7"/>
  <c r="D305" i="7"/>
  <c r="E305" i="7"/>
  <c r="E417" i="7"/>
  <c r="D417" i="7"/>
  <c r="E384" i="7"/>
  <c r="D384" i="7"/>
  <c r="D376" i="7"/>
  <c r="E376" i="7"/>
  <c r="E371" i="7"/>
  <c r="D371" i="7"/>
  <c r="E339" i="7"/>
  <c r="D339" i="7"/>
  <c r="D299" i="7"/>
  <c r="E299" i="7"/>
  <c r="D328" i="7"/>
  <c r="E328" i="7"/>
  <c r="E332" i="7"/>
  <c r="D332" i="7"/>
  <c r="E315" i="7"/>
  <c r="D315" i="7"/>
  <c r="D277" i="7"/>
  <c r="E277" i="7"/>
  <c r="D238" i="7"/>
  <c r="E238" i="7"/>
  <c r="D260" i="7"/>
  <c r="E260" i="7"/>
  <c r="D276" i="7"/>
  <c r="E276" i="7"/>
  <c r="D255" i="7"/>
  <c r="E255" i="7"/>
  <c r="E233" i="7"/>
  <c r="D233" i="7"/>
  <c r="D217" i="7"/>
  <c r="E217" i="7"/>
  <c r="D225" i="7"/>
  <c r="E225" i="7"/>
  <c r="E190" i="7"/>
  <c r="D190" i="7"/>
  <c r="D176" i="7"/>
  <c r="E176" i="7"/>
  <c r="D174" i="7"/>
  <c r="E174" i="7"/>
  <c r="D586" i="7"/>
  <c r="E586" i="7"/>
  <c r="D593" i="7"/>
  <c r="E593" i="7"/>
  <c r="D597" i="7"/>
  <c r="E597" i="7"/>
  <c r="D481" i="7"/>
  <c r="E481" i="7"/>
  <c r="D490" i="7"/>
  <c r="E490" i="7"/>
  <c r="E547" i="7"/>
  <c r="D547" i="7"/>
  <c r="E511" i="7"/>
  <c r="D511" i="7"/>
  <c r="D494" i="7"/>
  <c r="E494" i="7"/>
  <c r="E530" i="7"/>
  <c r="D530" i="7"/>
  <c r="D496" i="7"/>
  <c r="E496" i="7"/>
  <c r="E549" i="7"/>
  <c r="D549" i="7"/>
  <c r="E513" i="7"/>
  <c r="D513" i="7"/>
  <c r="D477" i="7"/>
  <c r="E477" i="7"/>
  <c r="D441" i="7"/>
  <c r="E441" i="7"/>
  <c r="D454" i="7"/>
  <c r="E454" i="7"/>
  <c r="D267" i="7"/>
  <c r="E267" i="7"/>
  <c r="D419" i="7"/>
  <c r="E419" i="7"/>
  <c r="E414" i="7"/>
  <c r="D414" i="7"/>
  <c r="E381" i="7"/>
  <c r="D381" i="7"/>
  <c r="D373" i="7"/>
  <c r="E373" i="7"/>
  <c r="E368" i="7"/>
  <c r="D368" i="7"/>
  <c r="E336" i="7"/>
  <c r="D336" i="7"/>
  <c r="D245" i="7"/>
  <c r="E245" i="7"/>
  <c r="D325" i="7"/>
  <c r="E325" i="7"/>
  <c r="E329" i="7"/>
  <c r="D329" i="7"/>
  <c r="E312" i="7"/>
  <c r="D312" i="7"/>
  <c r="D274" i="7"/>
  <c r="E274" i="7"/>
  <c r="D290" i="7"/>
  <c r="E290" i="7"/>
  <c r="D254" i="7"/>
  <c r="E254" i="7"/>
  <c r="D273" i="7"/>
  <c r="E273" i="7"/>
  <c r="E252" i="7"/>
  <c r="D252" i="7"/>
  <c r="D203" i="7"/>
  <c r="E203" i="7"/>
  <c r="E169" i="7"/>
  <c r="D169" i="7"/>
  <c r="D222" i="7"/>
  <c r="E222" i="7"/>
  <c r="D207" i="7"/>
  <c r="E207" i="7"/>
  <c r="D173" i="7"/>
  <c r="E173" i="7"/>
  <c r="D171" i="7"/>
  <c r="E171" i="7"/>
  <c r="E577" i="7"/>
  <c r="D577" i="7"/>
  <c r="D590" i="7"/>
  <c r="E590" i="7"/>
  <c r="D594" i="7"/>
  <c r="E594" i="7"/>
  <c r="D437" i="7"/>
  <c r="E437" i="7"/>
  <c r="D485" i="7"/>
  <c r="E485" i="7"/>
  <c r="E544" i="7"/>
  <c r="D544" i="7"/>
  <c r="E508" i="7"/>
  <c r="D508" i="7"/>
  <c r="D493" i="7"/>
  <c r="E493" i="7"/>
  <c r="D527" i="7"/>
  <c r="E527" i="7"/>
  <c r="D458" i="7"/>
  <c r="E458" i="7"/>
  <c r="E546" i="7"/>
  <c r="D546" i="7"/>
  <c r="E510" i="7"/>
  <c r="D510" i="7"/>
  <c r="D474" i="7"/>
  <c r="E474" i="7"/>
  <c r="D438" i="7"/>
  <c r="E438" i="7"/>
  <c r="D451" i="7"/>
  <c r="E451" i="7"/>
  <c r="E418" i="7"/>
  <c r="D418" i="7"/>
  <c r="E416" i="7"/>
  <c r="D416" i="7"/>
  <c r="E411" i="7"/>
  <c r="D411" i="7"/>
  <c r="E378" i="7"/>
  <c r="D378" i="7"/>
  <c r="D370" i="7"/>
  <c r="E370" i="7"/>
  <c r="E365" i="7"/>
  <c r="D365" i="7"/>
  <c r="E333" i="7"/>
  <c r="D333" i="7"/>
  <c r="D358" i="7"/>
  <c r="E358" i="7"/>
  <c r="D308" i="7"/>
  <c r="E308" i="7"/>
  <c r="E326" i="7"/>
  <c r="D326" i="7"/>
  <c r="E309" i="7"/>
  <c r="D309" i="7"/>
  <c r="D313" i="7"/>
  <c r="E313" i="7"/>
  <c r="E287" i="7"/>
  <c r="D287" i="7"/>
  <c r="D241" i="7"/>
  <c r="E241" i="7"/>
  <c r="D270" i="7"/>
  <c r="E270" i="7"/>
  <c r="D249" i="7"/>
  <c r="E249" i="7"/>
  <c r="E187" i="7"/>
  <c r="D187" i="7"/>
  <c r="E230" i="7"/>
  <c r="D230" i="7"/>
  <c r="D219" i="7"/>
  <c r="E219" i="7"/>
  <c r="E205" i="7"/>
  <c r="D205" i="7"/>
  <c r="D170" i="7"/>
  <c r="E170" i="7"/>
  <c r="D168" i="7"/>
  <c r="E168" i="7"/>
  <c r="D567" i="7"/>
  <c r="E567" i="7"/>
  <c r="D587" i="7"/>
  <c r="E587" i="7"/>
  <c r="D591" i="7"/>
  <c r="E591" i="7"/>
  <c r="D479" i="7"/>
  <c r="E479" i="7"/>
  <c r="E561" i="7"/>
  <c r="D561" i="7"/>
  <c r="E541" i="7"/>
  <c r="D541" i="7"/>
  <c r="E505" i="7"/>
  <c r="D505" i="7"/>
  <c r="D461" i="7"/>
  <c r="E461" i="7"/>
  <c r="D524" i="7"/>
  <c r="E524" i="7"/>
  <c r="D501" i="7"/>
  <c r="E501" i="7"/>
  <c r="E543" i="7"/>
  <c r="D543" i="7"/>
  <c r="E507" i="7"/>
  <c r="D507" i="7"/>
  <c r="D471" i="7"/>
  <c r="E471" i="7"/>
  <c r="D435" i="7"/>
  <c r="E435" i="7"/>
  <c r="D448" i="7"/>
  <c r="E448" i="7"/>
  <c r="E415" i="7"/>
  <c r="D415" i="7"/>
  <c r="D413" i="7"/>
  <c r="E413" i="7"/>
  <c r="E408" i="7"/>
  <c r="D408" i="7"/>
  <c r="E375" i="7"/>
  <c r="D375" i="7"/>
  <c r="D367" i="7"/>
  <c r="E367" i="7"/>
  <c r="E362" i="7"/>
  <c r="D362" i="7"/>
  <c r="E330" i="7"/>
  <c r="D330" i="7"/>
  <c r="D355" i="7"/>
  <c r="E355" i="7"/>
  <c r="E359" i="7"/>
  <c r="D359" i="7"/>
  <c r="D314" i="7"/>
  <c r="E314" i="7"/>
  <c r="E306" i="7"/>
  <c r="D306" i="7"/>
  <c r="D310" i="7"/>
  <c r="E310" i="7"/>
  <c r="D284" i="7"/>
  <c r="E284" i="7"/>
  <c r="D213" i="7"/>
  <c r="E213" i="7"/>
  <c r="D264" i="7"/>
  <c r="E264" i="7"/>
  <c r="E246" i="7"/>
  <c r="D246" i="7"/>
  <c r="D262" i="7"/>
  <c r="E262" i="7"/>
  <c r="E227" i="7"/>
  <c r="D227" i="7"/>
  <c r="D216" i="7"/>
  <c r="E216" i="7"/>
  <c r="E181" i="7"/>
  <c r="D181" i="7"/>
  <c r="D167" i="7"/>
  <c r="E167" i="7"/>
  <c r="D165" i="7"/>
  <c r="E165" i="7"/>
  <c r="D160" i="7"/>
  <c r="E160" i="7"/>
  <c r="D155" i="7"/>
  <c r="E155" i="7"/>
  <c r="D157" i="7"/>
  <c r="E157" i="7"/>
  <c r="D135" i="7"/>
  <c r="E135" i="7"/>
  <c r="E156" i="7"/>
  <c r="D156" i="7"/>
  <c r="D114" i="7"/>
  <c r="E114" i="7"/>
  <c r="D150" i="7"/>
  <c r="E150" i="7"/>
  <c r="D122" i="7"/>
  <c r="E122" i="7"/>
  <c r="D159" i="7"/>
  <c r="E159" i="7"/>
  <c r="D144" i="7"/>
  <c r="E144" i="7"/>
  <c r="D142" i="7"/>
  <c r="E142" i="7"/>
  <c r="D151" i="7"/>
  <c r="E151" i="7"/>
  <c r="D140" i="7"/>
  <c r="E140" i="7"/>
  <c r="D139" i="7"/>
  <c r="E139" i="7"/>
  <c r="D113" i="7"/>
  <c r="E113" i="7"/>
  <c r="D143" i="7"/>
  <c r="E143" i="7"/>
  <c r="D119" i="7"/>
  <c r="E119" i="7"/>
  <c r="D137" i="7"/>
  <c r="E137" i="7"/>
  <c r="D158" i="7"/>
  <c r="E158" i="7"/>
  <c r="D117" i="7"/>
  <c r="E117" i="7"/>
  <c r="D136" i="7"/>
  <c r="E136" i="7"/>
  <c r="D132" i="7"/>
  <c r="E132" i="7"/>
  <c r="D154" i="7"/>
  <c r="E154" i="7"/>
  <c r="D133" i="7"/>
  <c r="E133" i="7"/>
  <c r="D123" i="7"/>
  <c r="E123" i="7"/>
  <c r="D152" i="7"/>
  <c r="E152" i="7"/>
  <c r="D138" i="7"/>
  <c r="E138" i="7"/>
  <c r="D130" i="7"/>
  <c r="E130" i="7"/>
  <c r="D134" i="7"/>
  <c r="E134" i="7"/>
  <c r="D146" i="7"/>
  <c r="E146" i="7"/>
  <c r="D125" i="7"/>
  <c r="E125" i="7"/>
  <c r="D127" i="7"/>
  <c r="E127" i="7"/>
  <c r="D145" i="7"/>
  <c r="E145" i="7"/>
  <c r="D164" i="7"/>
  <c r="E164" i="7"/>
  <c r="D131" i="7"/>
  <c r="E131" i="7"/>
  <c r="D141" i="7"/>
  <c r="E141" i="7"/>
  <c r="D162" i="7"/>
  <c r="E162" i="7"/>
  <c r="D124" i="7"/>
  <c r="E124" i="7"/>
  <c r="D129" i="7"/>
  <c r="E129" i="7"/>
  <c r="D126" i="7"/>
  <c r="E126" i="7"/>
  <c r="D128" i="7"/>
  <c r="E128" i="7"/>
  <c r="D161" i="7"/>
  <c r="E161" i="7"/>
  <c r="D121" i="7"/>
  <c r="E121" i="7"/>
  <c r="D148" i="7"/>
  <c r="E148" i="7"/>
  <c r="E163" i="7"/>
  <c r="D163" i="7"/>
  <c r="D116" i="7"/>
  <c r="E116" i="7"/>
  <c r="D153" i="7"/>
  <c r="E153" i="7"/>
  <c r="D118" i="7"/>
  <c r="E118" i="7"/>
  <c r="D149" i="7"/>
  <c r="E149" i="7"/>
  <c r="D120" i="7"/>
  <c r="E120" i="7"/>
  <c r="D147" i="7"/>
  <c r="E147" i="7"/>
  <c r="D115" i="7"/>
  <c r="E115" i="7"/>
  <c r="D100" i="7"/>
  <c r="E100" i="7"/>
  <c r="D98" i="7"/>
  <c r="E98" i="7"/>
  <c r="E96" i="7"/>
  <c r="D96" i="7"/>
  <c r="E72" i="7"/>
  <c r="D72" i="7"/>
  <c r="E109" i="7"/>
  <c r="D109" i="7"/>
  <c r="E102" i="7"/>
  <c r="D102" i="7"/>
  <c r="D101" i="7"/>
  <c r="E101" i="7"/>
  <c r="E99" i="7"/>
  <c r="D99" i="7"/>
  <c r="E69" i="7"/>
  <c r="D69" i="7"/>
  <c r="D111" i="7"/>
  <c r="E111" i="7"/>
  <c r="E66" i="7"/>
  <c r="D66" i="7"/>
  <c r="E63" i="7"/>
  <c r="D63" i="7"/>
  <c r="E60" i="7"/>
  <c r="D60" i="7"/>
  <c r="D108" i="7"/>
  <c r="E108" i="7"/>
  <c r="D107" i="7"/>
  <c r="E107" i="7"/>
  <c r="E93" i="7"/>
  <c r="D93" i="7"/>
  <c r="D112" i="7"/>
  <c r="E112" i="7"/>
  <c r="D106" i="7"/>
  <c r="E106" i="7"/>
  <c r="E90" i="7"/>
  <c r="D90" i="7"/>
  <c r="E87" i="7"/>
  <c r="D87" i="7"/>
  <c r="E84" i="7"/>
  <c r="D84" i="7"/>
  <c r="D105" i="7"/>
  <c r="E105" i="7"/>
  <c r="D104" i="7"/>
  <c r="E104" i="7"/>
  <c r="E81" i="7"/>
  <c r="D81" i="7"/>
  <c r="D110" i="7"/>
  <c r="E110" i="7"/>
  <c r="D103" i="7"/>
  <c r="E103" i="7"/>
  <c r="E78" i="7"/>
  <c r="D78" i="7"/>
  <c r="D97" i="7"/>
  <c r="E97" i="7"/>
  <c r="D95" i="7"/>
  <c r="E95" i="7"/>
  <c r="E75" i="7"/>
  <c r="D75" i="7"/>
  <c r="D94" i="7"/>
  <c r="E94" i="7"/>
  <c r="D91" i="7"/>
  <c r="E91" i="7"/>
  <c r="D88" i="7"/>
  <c r="E88" i="7"/>
  <c r="D85" i="7"/>
  <c r="E85" i="7"/>
  <c r="D82" i="7"/>
  <c r="E82" i="7"/>
  <c r="D79" i="7"/>
  <c r="E79" i="7"/>
  <c r="D76" i="7"/>
  <c r="E76" i="7"/>
  <c r="D73" i="7"/>
  <c r="E73" i="7"/>
  <c r="D70" i="7"/>
  <c r="E70" i="7"/>
  <c r="D67" i="7"/>
  <c r="E67" i="7"/>
  <c r="D64" i="7"/>
  <c r="E64" i="7"/>
  <c r="D61" i="7"/>
  <c r="E61" i="7"/>
  <c r="D92" i="7"/>
  <c r="E92" i="7"/>
  <c r="D89" i="7"/>
  <c r="E89" i="7"/>
  <c r="D86" i="7"/>
  <c r="E86" i="7"/>
  <c r="D83" i="7"/>
  <c r="E83" i="7"/>
  <c r="D80" i="7"/>
  <c r="E80" i="7"/>
  <c r="D77" i="7"/>
  <c r="E77" i="7"/>
  <c r="D74" i="7"/>
  <c r="E74" i="7"/>
  <c r="D71" i="7"/>
  <c r="E71" i="7"/>
  <c r="D68" i="7"/>
  <c r="E68" i="7"/>
  <c r="D65" i="7"/>
  <c r="E65" i="7"/>
  <c r="D62" i="7"/>
  <c r="E62" i="7"/>
  <c r="D59" i="7"/>
  <c r="E59" i="7"/>
  <c r="F4" i="5"/>
  <c r="E85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3" i="5"/>
  <c r="E82" i="5"/>
  <c r="E81" i="5"/>
  <c r="E80" i="5"/>
  <c r="E79" i="5"/>
  <c r="E78" i="5"/>
  <c r="E77" i="5"/>
  <c r="E76" i="5"/>
  <c r="E75" i="5"/>
  <c r="E72" i="5"/>
  <c r="E71" i="5"/>
  <c r="E68" i="5"/>
  <c r="E67" i="5"/>
  <c r="E66" i="5"/>
  <c r="E65" i="5"/>
  <c r="E64" i="5"/>
  <c r="E63" i="5"/>
  <c r="E62" i="5"/>
  <c r="E61" i="5"/>
  <c r="E60" i="5"/>
  <c r="E56" i="5"/>
  <c r="E55" i="5"/>
  <c r="E52" i="5"/>
  <c r="E50" i="5"/>
  <c r="E49" i="5"/>
  <c r="E48" i="5"/>
  <c r="E42" i="5"/>
  <c r="E38" i="5"/>
  <c r="E37" i="5"/>
  <c r="E36" i="5"/>
  <c r="E35" i="5"/>
  <c r="E69" i="5"/>
  <c r="E58" i="5"/>
  <c r="E44" i="5"/>
  <c r="E59" i="5"/>
  <c r="E57" i="5"/>
  <c r="E54" i="5"/>
  <c r="E34" i="5"/>
  <c r="E19" i="5"/>
  <c r="E33" i="5"/>
  <c r="E31" i="5"/>
  <c r="E51" i="5"/>
  <c r="E47" i="5"/>
  <c r="E53" i="5"/>
  <c r="E45" i="5"/>
  <c r="E40" i="5"/>
  <c r="E23" i="5"/>
  <c r="E16" i="5"/>
  <c r="E41" i="5"/>
  <c r="E39" i="5"/>
  <c r="E30" i="5"/>
  <c r="E24" i="5"/>
  <c r="E84" i="5"/>
  <c r="E74" i="5"/>
  <c r="E73" i="5"/>
  <c r="E70" i="5"/>
  <c r="E46" i="5"/>
  <c r="E43" i="5"/>
  <c r="E32" i="5"/>
  <c r="E29" i="5"/>
  <c r="E28" i="5"/>
  <c r="E27" i="5"/>
  <c r="E25" i="5"/>
  <c r="E22" i="5"/>
  <c r="E21" i="5"/>
  <c r="E20" i="5"/>
  <c r="E18" i="5"/>
  <c r="AB14" i="5"/>
  <c r="G10" i="5"/>
  <c r="P7" i="5"/>
  <c r="J1115" i="7"/>
  <c r="J865" i="7"/>
  <c r="J1069" i="7"/>
  <c r="J1027" i="7"/>
  <c r="J924" i="7"/>
  <c r="J827" i="7"/>
  <c r="J1494" i="7"/>
  <c r="J1388" i="7"/>
  <c r="J1123" i="7"/>
  <c r="J1023" i="7"/>
  <c r="J885" i="7"/>
  <c r="J1223" i="7"/>
  <c r="J1029" i="7"/>
  <c r="J889" i="7"/>
  <c r="J703" i="7"/>
  <c r="J897" i="7"/>
  <c r="J622" i="7"/>
  <c r="J1415" i="7"/>
  <c r="J1332" i="7"/>
  <c r="J1064" i="7"/>
  <c r="J947" i="7"/>
  <c r="J854" i="7"/>
  <c r="J1439" i="7"/>
  <c r="J1250" i="7"/>
  <c r="J1151" i="7"/>
  <c r="J936" i="7"/>
  <c r="J869" i="7"/>
  <c r="J1313" i="7"/>
  <c r="J1093" i="7"/>
  <c r="J900" i="7"/>
  <c r="J1337" i="7"/>
  <c r="J1359" i="7"/>
  <c r="J1072" i="7"/>
  <c r="J1091" i="7"/>
  <c r="J974" i="7"/>
  <c r="J655" i="7"/>
  <c r="J1370" i="7"/>
  <c r="J1178" i="7"/>
  <c r="J1044" i="7"/>
  <c r="J1003" i="7"/>
  <c r="J903" i="7"/>
  <c r="J803" i="7"/>
  <c r="J676" i="7"/>
  <c r="J1277" i="7"/>
  <c r="J1280" i="7"/>
  <c r="J919" i="7"/>
  <c r="J639" i="7"/>
  <c r="J1118" i="7"/>
  <c r="J540" i="7"/>
  <c r="J372" i="7"/>
  <c r="J534" i="7"/>
  <c r="J366" i="7"/>
  <c r="J528" i="7"/>
  <c r="J388" i="7"/>
  <c r="J522" i="7"/>
  <c r="J428" i="7"/>
  <c r="J552" i="7"/>
  <c r="J384" i="7"/>
  <c r="J190" i="7"/>
  <c r="J547" i="7"/>
  <c r="J336" i="7"/>
  <c r="J577" i="7"/>
  <c r="J416" i="7"/>
  <c r="J326" i="7"/>
  <c r="J230" i="7"/>
  <c r="J507" i="7"/>
  <c r="J96" i="7"/>
  <c r="J90" i="7"/>
  <c r="J78" i="7"/>
  <c r="J536" i="7"/>
  <c r="J176" i="7"/>
  <c r="J245" i="7"/>
  <c r="J458" i="7"/>
  <c r="J219" i="7"/>
  <c r="J122" i="7"/>
  <c r="J133" i="7"/>
  <c r="J118" i="7"/>
  <c r="J79" i="7"/>
  <c r="J1236" i="7"/>
  <c r="J1179" i="7"/>
  <c r="J826" i="7"/>
  <c r="J1448" i="7"/>
  <c r="J991" i="7"/>
  <c r="J887" i="7"/>
  <c r="J776" i="7"/>
  <c r="J1499" i="7"/>
  <c r="J1357" i="7"/>
  <c r="J1228" i="7"/>
  <c r="J1077" i="7"/>
  <c r="J1001" i="7"/>
  <c r="J816" i="7"/>
  <c r="J710" i="7"/>
  <c r="J1267" i="7"/>
  <c r="J1194" i="7"/>
  <c r="J943" i="7"/>
  <c r="J760" i="7"/>
  <c r="J641" i="7"/>
  <c r="J1475" i="7"/>
  <c r="J1372" i="7"/>
  <c r="J1278" i="7"/>
  <c r="J1135" i="7"/>
  <c r="J647" i="7"/>
  <c r="J1296" i="7"/>
  <c r="J1255" i="7"/>
  <c r="J831" i="7"/>
  <c r="J741" i="7"/>
  <c r="J614" i="7"/>
  <c r="J1449" i="7"/>
  <c r="J1378" i="7"/>
  <c r="J1214" i="7"/>
  <c r="J1119" i="7"/>
  <c r="J975" i="7"/>
  <c r="J746" i="7"/>
  <c r="J1450" i="7"/>
  <c r="J1392" i="7"/>
  <c r="J1306" i="7"/>
  <c r="J1071" i="7"/>
  <c r="J1162" i="7"/>
  <c r="J785" i="7"/>
  <c r="J686" i="7"/>
  <c r="J1212" i="7"/>
  <c r="J1155" i="7"/>
  <c r="J940" i="7"/>
  <c r="J768" i="7"/>
  <c r="J1476" i="7"/>
  <c r="J1405" i="7"/>
  <c r="J1013" i="7"/>
  <c r="J855" i="7"/>
  <c r="J756" i="7"/>
  <c r="J662" i="7"/>
  <c r="J1477" i="7"/>
  <c r="J1419" i="7"/>
  <c r="J1333" i="7"/>
  <c r="J1201" i="7"/>
  <c r="J957" i="7"/>
  <c r="J923" i="7"/>
  <c r="J788" i="7"/>
  <c r="J731" i="7"/>
  <c r="J603" i="7"/>
  <c r="J1239" i="7"/>
  <c r="J1182" i="7"/>
  <c r="J794" i="7"/>
  <c r="J763" i="7"/>
  <c r="J650" i="7"/>
  <c r="J491" i="7"/>
  <c r="J281" i="7"/>
  <c r="J198" i="7"/>
  <c r="J554" i="7"/>
  <c r="J256" i="7"/>
  <c r="J275" i="7"/>
  <c r="J192" i="7"/>
  <c r="J548" i="7"/>
  <c r="J250" i="7"/>
  <c r="J449" i="7"/>
  <c r="J269" i="7"/>
  <c r="J186" i="7"/>
  <c r="J244" i="7"/>
  <c r="J486" i="7"/>
  <c r="J180" i="7"/>
  <c r="J208" i="7"/>
  <c r="J592" i="7"/>
  <c r="J376" i="7"/>
  <c r="J471" i="7"/>
  <c r="J165" i="7"/>
  <c r="J127" i="7"/>
  <c r="J89" i="7"/>
  <c r="J1430" i="7"/>
  <c r="J1347" i="7"/>
  <c r="J1079" i="7"/>
  <c r="J962" i="7"/>
  <c r="J720" i="7"/>
  <c r="J649" i="7"/>
  <c r="J1334" i="7"/>
  <c r="J1265" i="7"/>
  <c r="J1166" i="7"/>
  <c r="J1008" i="7"/>
  <c r="J693" i="7"/>
  <c r="J1358" i="7"/>
  <c r="J907" i="7"/>
  <c r="J627" i="7"/>
  <c r="J1295" i="7"/>
  <c r="J1117" i="7"/>
  <c r="J1106" i="7"/>
  <c r="J838" i="7"/>
  <c r="J1193" i="7"/>
  <c r="J1018" i="7"/>
  <c r="J915" i="7"/>
  <c r="J818" i="7"/>
  <c r="J1485" i="7"/>
  <c r="J1379" i="7"/>
  <c r="J1127" i="7"/>
  <c r="J996" i="7"/>
  <c r="J934" i="7"/>
  <c r="J1002" i="7"/>
  <c r="J880" i="7"/>
  <c r="J694" i="7"/>
  <c r="J1045" i="7"/>
  <c r="J906" i="7"/>
  <c r="J613" i="7"/>
  <c r="J1406" i="7"/>
  <c r="J1323" i="7"/>
  <c r="J987" i="7"/>
  <c r="J845" i="7"/>
  <c r="J643" i="7"/>
  <c r="J1241" i="7"/>
  <c r="J1142" i="7"/>
  <c r="J844" i="7"/>
  <c r="J1066" i="7"/>
  <c r="J1310" i="7"/>
  <c r="J1350" i="7"/>
  <c r="J1082" i="7"/>
  <c r="J965" i="7"/>
  <c r="J504" i="7"/>
  <c r="J364" i="7"/>
  <c r="J409" i="7"/>
  <c r="J353" i="7"/>
  <c r="J558" i="7"/>
  <c r="J427" i="7"/>
  <c r="J389" i="7"/>
  <c r="J403" i="7"/>
  <c r="J347" i="7"/>
  <c r="J423" i="7"/>
  <c r="J383" i="7"/>
  <c r="J542" i="7"/>
  <c r="J397" i="7"/>
  <c r="J341" i="7"/>
  <c r="J571" i="7"/>
  <c r="J377" i="7"/>
  <c r="J239" i="7"/>
  <c r="J391" i="7"/>
  <c r="J335" i="7"/>
  <c r="J516" i="7"/>
  <c r="J511" i="7"/>
  <c r="J252" i="7"/>
  <c r="J411" i="7"/>
  <c r="J309" i="7"/>
  <c r="J561" i="7"/>
  <c r="J362" i="7"/>
  <c r="J87" i="7"/>
  <c r="J1192" i="7"/>
  <c r="J1143" i="7"/>
  <c r="J893" i="7"/>
  <c r="J629" i="7"/>
  <c r="J1464" i="7"/>
  <c r="J1393" i="7"/>
  <c r="J935" i="7"/>
  <c r="J725" i="7"/>
  <c r="J656" i="7"/>
  <c r="J1465" i="7"/>
  <c r="J1407" i="7"/>
  <c r="J1321" i="7"/>
  <c r="J1116" i="7"/>
  <c r="J1177" i="7"/>
  <c r="J911" i="7"/>
  <c r="J808" i="7"/>
  <c r="J1227" i="7"/>
  <c r="J1170" i="7"/>
  <c r="J783" i="7"/>
  <c r="J663" i="7"/>
  <c r="J1428" i="7"/>
  <c r="J1420" i="7"/>
  <c r="J981" i="7"/>
  <c r="J701" i="7"/>
  <c r="J1490" i="7"/>
  <c r="J1348" i="7"/>
  <c r="J1219" i="7"/>
  <c r="J890" i="7"/>
  <c r="J807" i="7"/>
  <c r="J751" i="7"/>
  <c r="J618" i="7"/>
  <c r="J1263" i="7"/>
  <c r="J1254" i="7"/>
  <c r="J861" i="7"/>
  <c r="J721" i="7"/>
  <c r="J671" i="7"/>
  <c r="J1466" i="7"/>
  <c r="J1287" i="7"/>
  <c r="J1055" i="7"/>
  <c r="J905" i="7"/>
  <c r="J1495" i="7"/>
  <c r="J1246" i="7"/>
  <c r="J715" i="7"/>
  <c r="J605" i="7"/>
  <c r="J1363" i="7"/>
  <c r="J1205" i="7"/>
  <c r="J1092" i="7"/>
  <c r="J743" i="7"/>
  <c r="J1425" i="7"/>
  <c r="J1383" i="7"/>
  <c r="J1297" i="7"/>
  <c r="J1153" i="7"/>
  <c r="J795" i="7"/>
  <c r="J1200" i="7"/>
  <c r="J1146" i="7"/>
  <c r="J632" i="7"/>
  <c r="J475" i="7"/>
  <c r="J468" i="7"/>
  <c r="J317" i="7"/>
  <c r="J583" i="7"/>
  <c r="J518" i="7"/>
  <c r="J407" i="7"/>
  <c r="J323" i="7"/>
  <c r="J422" i="7"/>
  <c r="J462" i="7"/>
  <c r="J294" i="7"/>
  <c r="J578" i="7"/>
  <c r="J512" i="7"/>
  <c r="J248" i="7"/>
  <c r="J492" i="7"/>
  <c r="J456" i="7"/>
  <c r="J288" i="7"/>
  <c r="J569" i="7"/>
  <c r="J395" i="7"/>
  <c r="J283" i="7"/>
  <c r="J234" i="7"/>
  <c r="J450" i="7"/>
  <c r="J282" i="7"/>
  <c r="J599" i="7"/>
  <c r="J498" i="7"/>
  <c r="J321" i="7"/>
  <c r="J318" i="7"/>
  <c r="J228" i="7"/>
  <c r="J480" i="7"/>
  <c r="J260" i="7"/>
  <c r="J174" i="7"/>
  <c r="J494" i="7"/>
  <c r="J267" i="7"/>
  <c r="J325" i="7"/>
  <c r="J203" i="7"/>
  <c r="J594" i="7"/>
  <c r="J313" i="7"/>
  <c r="J435" i="7"/>
  <c r="J264" i="7"/>
  <c r="J160" i="7"/>
  <c r="J159" i="7"/>
  <c r="J119" i="7"/>
  <c r="J123" i="7"/>
  <c r="J145" i="7"/>
  <c r="J76" i="7"/>
  <c r="J1500" i="7"/>
  <c r="J1394" i="7"/>
  <c r="J1311" i="7"/>
  <c r="J1041" i="7"/>
  <c r="J836" i="7"/>
  <c r="J736" i="7"/>
  <c r="J1229" i="7"/>
  <c r="J1126" i="7"/>
  <c r="J1047" i="7"/>
  <c r="J895" i="7"/>
  <c r="J955" i="7"/>
  <c r="J702" i="7"/>
  <c r="J628" i="7"/>
  <c r="J1421" i="7"/>
  <c r="J1338" i="7"/>
  <c r="J1070" i="7"/>
  <c r="J953" i="7"/>
  <c r="J860" i="7"/>
  <c r="J1256" i="7"/>
  <c r="J1157" i="7"/>
  <c r="J1054" i="7"/>
  <c r="J850" i="7"/>
  <c r="J684" i="7"/>
  <c r="J1331" i="7"/>
  <c r="J1111" i="7"/>
  <c r="J952" i="7"/>
  <c r="J1355" i="7"/>
  <c r="J1090" i="7"/>
  <c r="J1097" i="7"/>
  <c r="J942" i="7"/>
  <c r="J1368" i="7"/>
  <c r="J1184" i="7"/>
  <c r="J1009" i="7"/>
  <c r="J809" i="7"/>
  <c r="J652" i="7"/>
  <c r="J1298" i="7"/>
  <c r="J1283" i="7"/>
  <c r="J990" i="7"/>
  <c r="J1053" i="7"/>
  <c r="J925" i="7"/>
  <c r="J790" i="7"/>
  <c r="J1433" i="7"/>
  <c r="J1124" i="7"/>
  <c r="J976" i="7"/>
  <c r="J872" i="7"/>
  <c r="J685" i="7"/>
  <c r="J1096" i="7"/>
  <c r="J1036" i="7"/>
  <c r="J873" i="7"/>
  <c r="J705" i="7"/>
  <c r="J604" i="7"/>
  <c r="J1397" i="7"/>
  <c r="J1314" i="7"/>
  <c r="J1050" i="7"/>
  <c r="J933" i="7"/>
  <c r="J837" i="7"/>
  <c r="J726" i="7"/>
  <c r="J178" i="7"/>
  <c r="J221" i="7"/>
  <c r="J357" i="7"/>
  <c r="J401" i="7"/>
  <c r="J175" i="7"/>
  <c r="J351" i="7"/>
  <c r="J506" i="7"/>
  <c r="J556" i="7"/>
  <c r="J345" i="7"/>
  <c r="J565" i="7"/>
  <c r="J371" i="7"/>
  <c r="J546" i="7"/>
  <c r="J378" i="7"/>
  <c r="J205" i="7"/>
  <c r="J541" i="7"/>
  <c r="J330" i="7"/>
  <c r="J109" i="7"/>
  <c r="J84" i="7"/>
  <c r="J419" i="7"/>
  <c r="J370" i="7"/>
  <c r="J170" i="7"/>
  <c r="J355" i="7"/>
  <c r="J155" i="7"/>
  <c r="J137" i="7"/>
  <c r="J164" i="7"/>
  <c r="J120" i="7"/>
  <c r="J105" i="7"/>
  <c r="J508" i="7"/>
  <c r="J1483" i="7"/>
  <c r="J1366" i="7"/>
  <c r="J1234" i="7"/>
  <c r="J1095" i="7"/>
  <c r="J1019" i="7"/>
  <c r="J822" i="7"/>
  <c r="J1434" i="7"/>
  <c r="J1260" i="7"/>
  <c r="J1203" i="7"/>
  <c r="J1061" i="7"/>
  <c r="J945" i="7"/>
  <c r="J767" i="7"/>
  <c r="J669" i="7"/>
  <c r="J1423" i="7"/>
  <c r="J1281" i="7"/>
  <c r="J1007" i="7"/>
  <c r="J1141" i="7"/>
  <c r="J713" i="7"/>
  <c r="J1302" i="7"/>
  <c r="J1188" i="7"/>
  <c r="J747" i="7"/>
  <c r="J620" i="7"/>
  <c r="J1455" i="7"/>
  <c r="J1384" i="7"/>
  <c r="J969" i="7"/>
  <c r="J986" i="7"/>
  <c r="J765" i="7"/>
  <c r="J1456" i="7"/>
  <c r="J1398" i="7"/>
  <c r="J1312" i="7"/>
  <c r="J1089" i="7"/>
  <c r="J1168" i="7"/>
  <c r="J867" i="7"/>
  <c r="J799" i="7"/>
  <c r="J681" i="7"/>
  <c r="J1218" i="7"/>
  <c r="J1161" i="7"/>
  <c r="J960" i="7"/>
  <c r="J774" i="7"/>
  <c r="J654" i="7"/>
  <c r="J1411" i="7"/>
  <c r="J1031" i="7"/>
  <c r="J820" i="7"/>
  <c r="J772" i="7"/>
  <c r="J672" i="7"/>
  <c r="J1482" i="7"/>
  <c r="J1284" i="7"/>
  <c r="J1339" i="7"/>
  <c r="J1210" i="7"/>
  <c r="J798" i="7"/>
  <c r="J742" i="7"/>
  <c r="J609" i="7"/>
  <c r="J1245" i="7"/>
  <c r="J832" i="7"/>
  <c r="J689" i="7"/>
  <c r="J1457" i="7"/>
  <c r="J1369" i="7"/>
  <c r="J1198" i="7"/>
  <c r="J902" i="7"/>
  <c r="J1486" i="7"/>
  <c r="J1261" i="7"/>
  <c r="J1237" i="7"/>
  <c r="J1104" i="7"/>
  <c r="J1028" i="7"/>
  <c r="J825" i="7"/>
  <c r="J432" i="7"/>
  <c r="J251" i="7"/>
  <c r="J581" i="7"/>
  <c r="J499" i="7"/>
  <c r="J320" i="7"/>
  <c r="J242" i="7"/>
  <c r="J589" i="7"/>
  <c r="J478" i="7"/>
  <c r="J257" i="7"/>
  <c r="J469" i="7"/>
  <c r="J302" i="7"/>
  <c r="J209" i="7"/>
  <c r="J455" i="7"/>
  <c r="J292" i="7"/>
  <c r="J211" i="7"/>
  <c r="J463" i="7"/>
  <c r="J316" i="7"/>
  <c r="J261" i="7"/>
  <c r="J562" i="7"/>
  <c r="J452" i="7"/>
  <c r="J293" i="7"/>
  <c r="J201" i="7"/>
  <c r="J444" i="7"/>
  <c r="J276" i="7"/>
  <c r="J586" i="7"/>
  <c r="J437" i="7"/>
  <c r="J448" i="7"/>
  <c r="J144" i="7"/>
  <c r="J152" i="7"/>
  <c r="J161" i="7"/>
  <c r="J108" i="7"/>
  <c r="J83" i="7"/>
  <c r="J1274" i="7"/>
  <c r="J913" i="7"/>
  <c r="J732" i="7"/>
  <c r="J633" i="7"/>
  <c r="J1112" i="7"/>
  <c r="J856" i="7"/>
  <c r="J1307" i="7"/>
  <c r="J1024" i="7"/>
  <c r="J921" i="7"/>
  <c r="J824" i="7"/>
  <c r="J1491" i="7"/>
  <c r="J1385" i="7"/>
  <c r="J1133" i="7"/>
  <c r="J1014" i="7"/>
  <c r="J876" i="7"/>
  <c r="J830" i="7"/>
  <c r="J1220" i="7"/>
  <c r="J1020" i="7"/>
  <c r="J886" i="7"/>
  <c r="J700" i="7"/>
  <c r="J1051" i="7"/>
  <c r="J619" i="7"/>
  <c r="J1412" i="7"/>
  <c r="J1329" i="7"/>
  <c r="J944" i="7"/>
  <c r="J851" i="7"/>
  <c r="J1436" i="7"/>
  <c r="J1247" i="7"/>
  <c r="J1148" i="7"/>
  <c r="J980" i="7"/>
  <c r="J1084" i="7"/>
  <c r="J973" i="7"/>
  <c r="J862" i="7"/>
  <c r="J1328" i="7"/>
  <c r="J1356" i="7"/>
  <c r="J1063" i="7"/>
  <c r="J1088" i="7"/>
  <c r="J971" i="7"/>
  <c r="J640" i="7"/>
  <c r="J1175" i="7"/>
  <c r="J1035" i="7"/>
  <c r="J1000" i="7"/>
  <c r="J800" i="7"/>
  <c r="J661" i="7"/>
  <c r="J1301" i="7"/>
  <c r="J916" i="7"/>
  <c r="J670" i="7"/>
  <c r="J636" i="7"/>
  <c r="J538" i="7"/>
  <c r="J327" i="7"/>
  <c r="J402" i="7"/>
  <c r="J300" i="7"/>
  <c r="J199" i="7"/>
  <c r="J532" i="7"/>
  <c r="J421" i="7"/>
  <c r="J396" i="7"/>
  <c r="J193" i="7"/>
  <c r="J526" i="7"/>
  <c r="J559" i="7"/>
  <c r="J361" i="7"/>
  <c r="J520" i="7"/>
  <c r="J387" i="7"/>
  <c r="J550" i="7"/>
  <c r="J339" i="7"/>
  <c r="J530" i="7"/>
  <c r="J329" i="7"/>
  <c r="J169" i="7"/>
  <c r="J510" i="7"/>
  <c r="J287" i="7"/>
  <c r="J505" i="7"/>
  <c r="J246" i="7"/>
  <c r="J102" i="7"/>
  <c r="J75" i="7"/>
  <c r="J93" i="7"/>
  <c r="J1471" i="7"/>
  <c r="J1413" i="7"/>
  <c r="J1327" i="7"/>
  <c r="J1186" i="7"/>
  <c r="J1183" i="7"/>
  <c r="J982" i="7"/>
  <c r="J917" i="7"/>
  <c r="J814" i="7"/>
  <c r="J1233" i="7"/>
  <c r="J1176" i="7"/>
  <c r="J704" i="7"/>
  <c r="J1445" i="7"/>
  <c r="J988" i="7"/>
  <c r="J878" i="7"/>
  <c r="J1496" i="7"/>
  <c r="J1354" i="7"/>
  <c r="J1225" i="7"/>
  <c r="J1068" i="7"/>
  <c r="J899" i="7"/>
  <c r="J813" i="7"/>
  <c r="J757" i="7"/>
  <c r="J624" i="7"/>
  <c r="J1276" i="7"/>
  <c r="J1185" i="7"/>
  <c r="J828" i="7"/>
  <c r="J740" i="7"/>
  <c r="J1472" i="7"/>
  <c r="J1264" i="7"/>
  <c r="J1128" i="7"/>
  <c r="J1479" i="7"/>
  <c r="J1293" i="7"/>
  <c r="J1252" i="7"/>
  <c r="J1052" i="7"/>
  <c r="J992" i="7"/>
  <c r="J791" i="7"/>
  <c r="J734" i="7"/>
  <c r="J611" i="7"/>
  <c r="J1446" i="7"/>
  <c r="J1375" i="7"/>
  <c r="J1211" i="7"/>
  <c r="J1110" i="7"/>
  <c r="J941" i="7"/>
  <c r="J730" i="7"/>
  <c r="J1447" i="7"/>
  <c r="J1389" i="7"/>
  <c r="J1303" i="7"/>
  <c r="J1159" i="7"/>
  <c r="J766" i="7"/>
  <c r="J653" i="7"/>
  <c r="J1209" i="7"/>
  <c r="J1152" i="7"/>
  <c r="J1062" i="7"/>
  <c r="J932" i="7"/>
  <c r="J759" i="7"/>
  <c r="J1473" i="7"/>
  <c r="J1402" i="7"/>
  <c r="J1004" i="7"/>
  <c r="J846" i="7"/>
  <c r="J755" i="7"/>
  <c r="J1474" i="7"/>
  <c r="J1416" i="7"/>
  <c r="J1330" i="7"/>
  <c r="J1195" i="7"/>
  <c r="J1043" i="7"/>
  <c r="J948" i="7"/>
  <c r="J920" i="7"/>
  <c r="J817" i="7"/>
  <c r="J470" i="7"/>
  <c r="J445" i="7"/>
  <c r="J352" i="7"/>
  <c r="J243" i="7"/>
  <c r="J585" i="7"/>
  <c r="J304" i="7"/>
  <c r="J197" i="7"/>
  <c r="J489" i="7"/>
  <c r="J439" i="7"/>
  <c r="J346" i="7"/>
  <c r="J579" i="7"/>
  <c r="J298" i="7"/>
  <c r="J191" i="7"/>
  <c r="J482" i="7"/>
  <c r="J433" i="7"/>
  <c r="J340" i="7"/>
  <c r="J235" i="7"/>
  <c r="J566" i="7"/>
  <c r="J385" i="7"/>
  <c r="J271" i="7"/>
  <c r="J185" i="7"/>
  <c r="J467" i="7"/>
  <c r="J425" i="7"/>
  <c r="J334" i="7"/>
  <c r="J564" i="7"/>
  <c r="J179" i="7"/>
  <c r="J457" i="7"/>
  <c r="J299" i="7"/>
  <c r="J255" i="7"/>
  <c r="J593" i="7"/>
  <c r="J496" i="7"/>
  <c r="J222" i="7"/>
  <c r="J485" i="7"/>
  <c r="J474" i="7"/>
  <c r="J241" i="7"/>
  <c r="J168" i="7"/>
  <c r="J461" i="7"/>
  <c r="J262" i="7"/>
  <c r="J157" i="7"/>
  <c r="J142" i="7"/>
  <c r="J158" i="7"/>
  <c r="J138" i="7"/>
  <c r="J131" i="7"/>
  <c r="J121" i="7"/>
  <c r="J147" i="7"/>
  <c r="J101" i="7"/>
  <c r="J107" i="7"/>
  <c r="J104" i="7"/>
  <c r="J94" i="7"/>
  <c r="J80" i="7"/>
  <c r="J365" i="7"/>
  <c r="J359" i="7"/>
  <c r="J99" i="7"/>
  <c r="J306" i="7"/>
  <c r="J86" i="7"/>
  <c r="J723" i="7"/>
  <c r="J634" i="7"/>
  <c r="J1427" i="7"/>
  <c r="J1344" i="7"/>
  <c r="J1076" i="7"/>
  <c r="J959" i="7"/>
  <c r="J866" i="7"/>
  <c r="J648" i="7"/>
  <c r="J1325" i="7"/>
  <c r="J1262" i="7"/>
  <c r="J1163" i="7"/>
  <c r="J999" i="7"/>
  <c r="J762" i="7"/>
  <c r="J690" i="7"/>
  <c r="J1349" i="7"/>
  <c r="J970" i="7"/>
  <c r="J1364" i="7"/>
  <c r="J1108" i="7"/>
  <c r="J1103" i="7"/>
  <c r="J853" i="7"/>
  <c r="J664" i="7"/>
  <c r="J1367" i="7"/>
  <c r="J1190" i="7"/>
  <c r="J1015" i="7"/>
  <c r="J912" i="7"/>
  <c r="J815" i="7"/>
  <c r="J711" i="7"/>
  <c r="J1376" i="7"/>
  <c r="J931" i="7"/>
  <c r="J993" i="7"/>
  <c r="J877" i="7"/>
  <c r="J691" i="7"/>
  <c r="J1114" i="7"/>
  <c r="J1042" i="7"/>
  <c r="J891" i="7"/>
  <c r="J610" i="7"/>
  <c r="J1403" i="7"/>
  <c r="J1320" i="7"/>
  <c r="J842" i="7"/>
  <c r="J642" i="7"/>
  <c r="J1238" i="7"/>
  <c r="J1139" i="7"/>
  <c r="J967" i="7"/>
  <c r="J683" i="7"/>
  <c r="J729" i="7"/>
  <c r="J637" i="7"/>
  <c r="J537" i="7"/>
  <c r="J369" i="7"/>
  <c r="J236" i="7"/>
  <c r="J531" i="7"/>
  <c r="J363" i="7"/>
  <c r="J525" i="7"/>
  <c r="J184" i="7"/>
  <c r="J519" i="7"/>
  <c r="J379" i="7"/>
  <c r="J172" i="7"/>
  <c r="J514" i="7"/>
  <c r="J414" i="7"/>
  <c r="J312" i="7"/>
  <c r="J415" i="7"/>
  <c r="J1435" i="7"/>
  <c r="J1377" i="7"/>
  <c r="J1291" i="7"/>
  <c r="J1147" i="7"/>
  <c r="J789" i="7"/>
  <c r="J719" i="7"/>
  <c r="J1308" i="7"/>
  <c r="J1197" i="7"/>
  <c r="J1140" i="7"/>
  <c r="J835" i="7"/>
  <c r="J709" i="7"/>
  <c r="J626" i="7"/>
  <c r="J1461" i="7"/>
  <c r="J1390" i="7"/>
  <c r="J1058" i="7"/>
  <c r="J834" i="7"/>
  <c r="J761" i="7"/>
  <c r="J706" i="7"/>
  <c r="J1462" i="7"/>
  <c r="J1404" i="7"/>
  <c r="J1318" i="7"/>
  <c r="J1107" i="7"/>
  <c r="J1174" i="7"/>
  <c r="J908" i="7"/>
  <c r="J805" i="7"/>
  <c r="J692" i="7"/>
  <c r="J1224" i="7"/>
  <c r="J1167" i="7"/>
  <c r="J780" i="7"/>
  <c r="J660" i="7"/>
  <c r="J1443" i="7"/>
  <c r="J1417" i="7"/>
  <c r="J1049" i="7"/>
  <c r="J778" i="7"/>
  <c r="J1487" i="7"/>
  <c r="J1345" i="7"/>
  <c r="J1216" i="7"/>
  <c r="J929" i="7"/>
  <c r="J881" i="7"/>
  <c r="J804" i="7"/>
  <c r="J748" i="7"/>
  <c r="J615" i="7"/>
  <c r="J1251" i="7"/>
  <c r="J852" i="7"/>
  <c r="J665" i="7"/>
  <c r="J1463" i="7"/>
  <c r="J1282" i="7"/>
  <c r="J998" i="7"/>
  <c r="J1492" i="7"/>
  <c r="J1270" i="7"/>
  <c r="J1243" i="7"/>
  <c r="J1122" i="7"/>
  <c r="J1046" i="7"/>
  <c r="J784" i="7"/>
  <c r="J733" i="7"/>
  <c r="J602" i="7"/>
  <c r="J1440" i="7"/>
  <c r="J1083" i="7"/>
  <c r="J972" i="7"/>
  <c r="J781" i="7"/>
  <c r="J718" i="7"/>
  <c r="J674" i="7"/>
  <c r="J1438" i="7"/>
  <c r="J1380" i="7"/>
  <c r="J1294" i="7"/>
  <c r="J1150" i="7"/>
  <c r="J793" i="7"/>
  <c r="J722" i="7"/>
  <c r="J557" i="7"/>
  <c r="J259" i="7"/>
  <c r="J446" i="7"/>
  <c r="J195" i="7"/>
  <c r="J551" i="7"/>
  <c r="J253" i="7"/>
  <c r="J443" i="7"/>
  <c r="J189" i="7"/>
  <c r="J545" i="7"/>
  <c r="J247" i="7"/>
  <c r="J440" i="7"/>
  <c r="J266" i="7"/>
  <c r="J183" i="7"/>
  <c r="J539" i="7"/>
  <c r="J226" i="7"/>
  <c r="J483" i="7"/>
  <c r="J265" i="7"/>
  <c r="J177" i="7"/>
  <c r="J495" i="7"/>
  <c r="J328" i="7"/>
  <c r="J597" i="7"/>
  <c r="J274" i="7"/>
  <c r="J207" i="7"/>
  <c r="J438" i="7"/>
  <c r="J270" i="7"/>
  <c r="J567" i="7"/>
  <c r="J524" i="7"/>
  <c r="J413" i="7"/>
  <c r="J314" i="7"/>
  <c r="J135" i="7"/>
  <c r="J151" i="7"/>
  <c r="J117" i="7"/>
  <c r="J130" i="7"/>
  <c r="J141" i="7"/>
  <c r="J148" i="7"/>
  <c r="J115" i="7"/>
  <c r="J91" i="7"/>
  <c r="J77" i="7"/>
  <c r="J544" i="7"/>
  <c r="J333" i="7"/>
  <c r="J227" i="7"/>
  <c r="J81" i="7"/>
  <c r="J332" i="7"/>
  <c r="J149" i="7"/>
  <c r="J1078" i="7"/>
  <c r="J1030" i="7"/>
  <c r="J927" i="7"/>
  <c r="J1497" i="7"/>
  <c r="J1391" i="7"/>
  <c r="J1032" i="7"/>
  <c r="J894" i="7"/>
  <c r="J1226" i="7"/>
  <c r="J1038" i="7"/>
  <c r="J892" i="7"/>
  <c r="J946" i="7"/>
  <c r="J625" i="7"/>
  <c r="J1418" i="7"/>
  <c r="J1335" i="7"/>
  <c r="J1067" i="7"/>
  <c r="J950" i="7"/>
  <c r="J857" i="7"/>
  <c r="J1253" i="7"/>
  <c r="J1154" i="7"/>
  <c r="J979" i="7"/>
  <c r="J841" i="7"/>
  <c r="J679" i="7"/>
  <c r="J1322" i="7"/>
  <c r="J1102" i="7"/>
  <c r="J1346" i="7"/>
  <c r="J1362" i="7"/>
  <c r="J1081" i="7"/>
  <c r="J1094" i="7"/>
  <c r="J977" i="7"/>
  <c r="J714" i="7"/>
  <c r="J1286" i="7"/>
  <c r="J1181" i="7"/>
  <c r="J1006" i="7"/>
  <c r="J904" i="7"/>
  <c r="J806" i="7"/>
  <c r="J682" i="7"/>
  <c r="J1365" i="7"/>
  <c r="J922" i="7"/>
  <c r="J1289" i="7"/>
  <c r="J1202" i="7"/>
  <c r="J1121" i="7"/>
  <c r="J1087" i="7"/>
  <c r="J1033" i="7"/>
  <c r="J930" i="7"/>
  <c r="J601" i="7"/>
  <c r="J412" i="7"/>
  <c r="J356" i="7"/>
  <c r="J426" i="7"/>
  <c r="J360" i="7"/>
  <c r="J278" i="7"/>
  <c r="J406" i="7"/>
  <c r="J350" i="7"/>
  <c r="J555" i="7"/>
  <c r="J386" i="7"/>
  <c r="J272" i="7"/>
  <c r="J400" i="7"/>
  <c r="J344" i="7"/>
  <c r="J574" i="7"/>
  <c r="J380" i="7"/>
  <c r="J394" i="7"/>
  <c r="J338" i="7"/>
  <c r="J568" i="7"/>
  <c r="J374" i="7"/>
  <c r="J424" i="7"/>
  <c r="J233" i="7"/>
  <c r="J549" i="7"/>
  <c r="J381" i="7"/>
  <c r="J513" i="7"/>
  <c r="J156" i="7"/>
  <c r="J95" i="7"/>
  <c r="J1451" i="7"/>
  <c r="J896" i="7"/>
  <c r="J782" i="7"/>
  <c r="J1480" i="7"/>
  <c r="J1266" i="7"/>
  <c r="J1231" i="7"/>
  <c r="J1086" i="7"/>
  <c r="J1010" i="7"/>
  <c r="J819" i="7"/>
  <c r="J728" i="7"/>
  <c r="J1429" i="7"/>
  <c r="J1279" i="7"/>
  <c r="J1134" i="7"/>
  <c r="J764" i="7"/>
  <c r="J1478" i="7"/>
  <c r="J1138" i="7"/>
  <c r="J680" i="7"/>
  <c r="J1299" i="7"/>
  <c r="J1258" i="7"/>
  <c r="J1132" i="7"/>
  <c r="J786" i="7"/>
  <c r="J744" i="7"/>
  <c r="J617" i="7"/>
  <c r="J1452" i="7"/>
  <c r="J1381" i="7"/>
  <c r="J1217" i="7"/>
  <c r="J1131" i="7"/>
  <c r="J983" i="7"/>
  <c r="J753" i="7"/>
  <c r="J1453" i="7"/>
  <c r="J1395" i="7"/>
  <c r="J1309" i="7"/>
  <c r="J1080" i="7"/>
  <c r="J1165" i="7"/>
  <c r="J840" i="7"/>
  <c r="J796" i="7"/>
  <c r="J1215" i="7"/>
  <c r="J1158" i="7"/>
  <c r="J1059" i="7"/>
  <c r="J771" i="7"/>
  <c r="J644" i="7"/>
  <c r="J1426" i="7"/>
  <c r="J1408" i="7"/>
  <c r="J1022" i="7"/>
  <c r="J864" i="7"/>
  <c r="J769" i="7"/>
  <c r="J666" i="7"/>
  <c r="J1481" i="7"/>
  <c r="J1422" i="7"/>
  <c r="J1336" i="7"/>
  <c r="J1207" i="7"/>
  <c r="J966" i="7"/>
  <c r="J926" i="7"/>
  <c r="J787" i="7"/>
  <c r="J739" i="7"/>
  <c r="J606" i="7"/>
  <c r="J1242" i="7"/>
  <c r="J1025" i="7"/>
  <c r="J1454" i="7"/>
  <c r="J1191" i="7"/>
  <c r="J849" i="7"/>
  <c r="J598" i="7"/>
  <c r="J410" i="7"/>
  <c r="J464" i="7"/>
  <c r="J465" i="7"/>
  <c r="J204" i="7"/>
  <c r="J220" i="7"/>
  <c r="J580" i="7"/>
  <c r="J515" i="7"/>
  <c r="J404" i="7"/>
  <c r="J263" i="7"/>
  <c r="J459" i="7"/>
  <c r="J291" i="7"/>
  <c r="J576" i="7"/>
  <c r="J509" i="7"/>
  <c r="J398" i="7"/>
  <c r="J289" i="7"/>
  <c r="J473" i="7"/>
  <c r="J453" i="7"/>
  <c r="J285" i="7"/>
  <c r="J563" i="7"/>
  <c r="J503" i="7"/>
  <c r="J392" i="7"/>
  <c r="J214" i="7"/>
  <c r="J231" i="7"/>
  <c r="J447" i="7"/>
  <c r="J279" i="7"/>
  <c r="J595" i="7"/>
  <c r="J533" i="7"/>
  <c r="J305" i="7"/>
  <c r="J217" i="7"/>
  <c r="J481" i="7"/>
  <c r="J373" i="7"/>
  <c r="J290" i="7"/>
  <c r="J173" i="7"/>
  <c r="J451" i="7"/>
  <c r="J358" i="7"/>
  <c r="J249" i="7"/>
  <c r="J587" i="7"/>
  <c r="J501" i="7"/>
  <c r="J216" i="7"/>
  <c r="J140" i="7"/>
  <c r="J136" i="7"/>
  <c r="J134" i="7"/>
  <c r="J162" i="7"/>
  <c r="J100" i="7"/>
  <c r="J112" i="7"/>
  <c r="J110" i="7"/>
  <c r="J88" i="7"/>
  <c r="J560" i="7"/>
  <c r="J348" i="7"/>
  <c r="J553" i="7"/>
  <c r="J342" i="7"/>
  <c r="J128" i="7"/>
  <c r="J1343" i="7"/>
  <c r="J1268" i="7"/>
  <c r="J1169" i="7"/>
  <c r="J1017" i="7"/>
  <c r="J994" i="7"/>
  <c r="J696" i="7"/>
  <c r="J1361" i="7"/>
  <c r="J910" i="7"/>
  <c r="J630" i="7"/>
  <c r="J1199" i="7"/>
  <c r="J1109" i="7"/>
  <c r="J888" i="7"/>
  <c r="J847" i="7"/>
  <c r="J646" i="7"/>
  <c r="J1304" i="7"/>
  <c r="J1271" i="7"/>
  <c r="J1196" i="7"/>
  <c r="J1021" i="7"/>
  <c r="J918" i="7"/>
  <c r="J821" i="7"/>
  <c r="J1488" i="7"/>
  <c r="J1382" i="7"/>
  <c r="J1005" i="7"/>
  <c r="J937" i="7"/>
  <c r="J1011" i="7"/>
  <c r="J883" i="7"/>
  <c r="J697" i="7"/>
  <c r="J1048" i="7"/>
  <c r="J708" i="7"/>
  <c r="J616" i="7"/>
  <c r="J1409" i="7"/>
  <c r="J1326" i="7"/>
  <c r="J879" i="7"/>
  <c r="J848" i="7"/>
  <c r="J1244" i="7"/>
  <c r="J1145" i="7"/>
  <c r="J939" i="7"/>
  <c r="J1075" i="7"/>
  <c r="J1319" i="7"/>
  <c r="J1353" i="7"/>
  <c r="J1085" i="7"/>
  <c r="J968" i="7"/>
  <c r="J833" i="7"/>
  <c r="J738" i="7"/>
  <c r="J651" i="7"/>
  <c r="J1352" i="7"/>
  <c r="J1172" i="7"/>
  <c r="J1026" i="7"/>
  <c r="J997" i="7"/>
  <c r="J797" i="7"/>
  <c r="J699" i="7"/>
  <c r="J521" i="7"/>
  <c r="J324" i="7"/>
  <c r="J224" i="7"/>
  <c r="J218" i="7"/>
  <c r="J354" i="7"/>
  <c r="J166" i="7"/>
  <c r="J408" i="7"/>
  <c r="J163" i="7"/>
  <c r="J1467" i="7"/>
  <c r="J1396" i="7"/>
  <c r="J951" i="7"/>
  <c r="J737" i="7"/>
  <c r="J1468" i="7"/>
  <c r="J1410" i="7"/>
  <c r="J1324" i="7"/>
  <c r="J1129" i="7"/>
  <c r="J1180" i="7"/>
  <c r="J914" i="7"/>
  <c r="J811" i="7"/>
  <c r="J1230" i="7"/>
  <c r="J1173" i="7"/>
  <c r="J638" i="7"/>
  <c r="J985" i="7"/>
  <c r="J1493" i="7"/>
  <c r="J1351" i="7"/>
  <c r="J1222" i="7"/>
  <c r="J858" i="7"/>
  <c r="J810" i="7"/>
  <c r="J754" i="7"/>
  <c r="J621" i="7"/>
  <c r="J1360" i="7"/>
  <c r="J1273" i="7"/>
  <c r="J1257" i="7"/>
  <c r="J875" i="7"/>
  <c r="J724" i="7"/>
  <c r="J677" i="7"/>
  <c r="J1469" i="7"/>
  <c r="J1288" i="7"/>
  <c r="J1125" i="7"/>
  <c r="J659" i="7"/>
  <c r="J1498" i="7"/>
  <c r="J1373" i="7"/>
  <c r="J1290" i="7"/>
  <c r="J1249" i="7"/>
  <c r="J1034" i="7"/>
  <c r="J823" i="7"/>
  <c r="J727" i="7"/>
  <c r="J608" i="7"/>
  <c r="J1444" i="7"/>
  <c r="J1208" i="7"/>
  <c r="J1101" i="7"/>
  <c r="J938" i="7"/>
  <c r="J1441" i="7"/>
  <c r="J1386" i="7"/>
  <c r="J1300" i="7"/>
  <c r="J1156" i="7"/>
  <c r="J792" i="7"/>
  <c r="J707" i="7"/>
  <c r="J1206" i="7"/>
  <c r="J1149" i="7"/>
  <c r="J884" i="7"/>
  <c r="J758" i="7"/>
  <c r="J635" i="7"/>
  <c r="J1470" i="7"/>
  <c r="J1399" i="7"/>
  <c r="J995" i="7"/>
  <c r="J752" i="7"/>
  <c r="J584" i="7"/>
  <c r="J500" i="7"/>
  <c r="J429" i="7"/>
  <c r="J322" i="7"/>
  <c r="J223" i="7"/>
  <c r="J572" i="7"/>
  <c r="J484" i="7"/>
  <c r="J319" i="7"/>
  <c r="J229" i="7"/>
  <c r="J570" i="7"/>
  <c r="J472" i="7"/>
  <c r="J295" i="7"/>
  <c r="J466" i="7"/>
  <c r="J297" i="7"/>
  <c r="J487" i="7"/>
  <c r="J502" i="7"/>
  <c r="J280" i="7"/>
  <c r="J210" i="7"/>
  <c r="J460" i="7"/>
  <c r="J311" i="7"/>
  <c r="J596" i="7"/>
  <c r="J497" i="7"/>
  <c r="J225" i="7"/>
  <c r="J490" i="7"/>
  <c r="J477" i="7"/>
  <c r="J254" i="7"/>
  <c r="J171" i="7"/>
  <c r="J493" i="7"/>
  <c r="J308" i="7"/>
  <c r="J591" i="7"/>
  <c r="J310" i="7"/>
  <c r="J114" i="7"/>
  <c r="J139" i="7"/>
  <c r="J132" i="7"/>
  <c r="J146" i="7"/>
  <c r="J124" i="7"/>
  <c r="J116" i="7"/>
  <c r="J98" i="7"/>
  <c r="J111" i="7"/>
  <c r="J106" i="7"/>
  <c r="J103" i="7"/>
  <c r="J85" i="7"/>
  <c r="N153" i="7"/>
  <c r="J315" i="7"/>
  <c r="J418" i="7"/>
  <c r="J375" i="7"/>
  <c r="J181" i="7"/>
  <c r="O153" i="7"/>
  <c r="J1232" i="7"/>
  <c r="J1130" i="7"/>
  <c r="J949" i="7"/>
  <c r="J898" i="7"/>
  <c r="J667" i="7"/>
  <c r="J964" i="7"/>
  <c r="J717" i="7"/>
  <c r="J631" i="7"/>
  <c r="J1424" i="7"/>
  <c r="J1341" i="7"/>
  <c r="J1073" i="7"/>
  <c r="J956" i="7"/>
  <c r="J863" i="7"/>
  <c r="J658" i="7"/>
  <c r="J1442" i="7"/>
  <c r="J1316" i="7"/>
  <c r="J1259" i="7"/>
  <c r="J1160" i="7"/>
  <c r="J1057" i="7"/>
  <c r="J859" i="7"/>
  <c r="J735" i="7"/>
  <c r="J687" i="7"/>
  <c r="J1340" i="7"/>
  <c r="J1120" i="7"/>
  <c r="J961" i="7"/>
  <c r="J1099" i="7"/>
  <c r="J1100" i="7"/>
  <c r="J868" i="7"/>
  <c r="J1371" i="7"/>
  <c r="J1187" i="7"/>
  <c r="J1012" i="7"/>
  <c r="J909" i="7"/>
  <c r="J812" i="7"/>
  <c r="J1056" i="7"/>
  <c r="J928" i="7"/>
  <c r="J1292" i="7"/>
  <c r="J984" i="7"/>
  <c r="J874" i="7"/>
  <c r="J645" i="7"/>
  <c r="J688" i="7"/>
  <c r="J1105" i="7"/>
  <c r="J1039" i="7"/>
  <c r="J882" i="7"/>
  <c r="J607" i="7"/>
  <c r="J1400" i="7"/>
  <c r="J1317" i="7"/>
  <c r="J1060" i="7"/>
  <c r="J839" i="7"/>
  <c r="J1235" i="7"/>
  <c r="J1136" i="7"/>
  <c r="J958" i="7"/>
  <c r="J901" i="7"/>
  <c r="J673" i="7"/>
  <c r="J405" i="7"/>
  <c r="J303" i="7"/>
  <c r="J212" i="7"/>
  <c r="J535" i="7"/>
  <c r="J399" i="7"/>
  <c r="J296" i="7"/>
  <c r="J196" i="7"/>
  <c r="J529" i="7"/>
  <c r="J420" i="7"/>
  <c r="J393" i="7"/>
  <c r="J215" i="7"/>
  <c r="J523" i="7"/>
  <c r="J202" i="7"/>
  <c r="J390" i="7"/>
  <c r="J517" i="7"/>
  <c r="J258" i="7"/>
  <c r="J417" i="7"/>
  <c r="J368" i="7"/>
  <c r="J187" i="7"/>
  <c r="J543" i="7"/>
  <c r="J1437" i="7"/>
  <c r="J1269" i="7"/>
  <c r="J1204" i="7"/>
  <c r="J1065" i="7"/>
  <c r="J954" i="7"/>
  <c r="J770" i="7"/>
  <c r="J675" i="7"/>
  <c r="J1432" i="7"/>
  <c r="J1374" i="7"/>
  <c r="J1285" i="7"/>
  <c r="J1144" i="7"/>
  <c r="J716" i="7"/>
  <c r="J1305" i="7"/>
  <c r="J1137" i="7"/>
  <c r="J829" i="7"/>
  <c r="J750" i="7"/>
  <c r="J623" i="7"/>
  <c r="J1458" i="7"/>
  <c r="J1387" i="7"/>
  <c r="J1016" i="7"/>
  <c r="J989" i="7"/>
  <c r="J749" i="7"/>
  <c r="J1459" i="7"/>
  <c r="J1401" i="7"/>
  <c r="J1315" i="7"/>
  <c r="J1098" i="7"/>
  <c r="J1171" i="7"/>
  <c r="J871" i="7"/>
  <c r="J802" i="7"/>
  <c r="J695" i="7"/>
  <c r="J1221" i="7"/>
  <c r="J1164" i="7"/>
  <c r="J777" i="7"/>
  <c r="J657" i="7"/>
  <c r="J1414" i="7"/>
  <c r="J1040" i="7"/>
  <c r="J775" i="7"/>
  <c r="J678" i="7"/>
  <c r="J1484" i="7"/>
  <c r="J1342" i="7"/>
  <c r="J1213" i="7"/>
  <c r="J978" i="7"/>
  <c r="J801" i="7"/>
  <c r="J745" i="7"/>
  <c r="J612" i="7"/>
  <c r="J1248" i="7"/>
  <c r="J843" i="7"/>
  <c r="J698" i="7"/>
  <c r="J1460" i="7"/>
  <c r="J1275" i="7"/>
  <c r="J1489" i="7"/>
  <c r="J1240" i="7"/>
  <c r="J1113" i="7"/>
  <c r="J1037" i="7"/>
  <c r="J779" i="7"/>
  <c r="J712" i="7"/>
  <c r="J1431" i="7"/>
  <c r="J1272" i="7"/>
  <c r="J1189" i="7"/>
  <c r="J1074" i="7"/>
  <c r="J963" i="7"/>
  <c r="J870" i="7"/>
  <c r="J773" i="7"/>
  <c r="J668" i="7"/>
  <c r="J588" i="7"/>
  <c r="J307" i="7"/>
  <c r="J200" i="7"/>
  <c r="J434" i="7"/>
  <c r="J442" i="7"/>
  <c r="J349" i="7"/>
  <c r="J237" i="7"/>
  <c r="J582" i="7"/>
  <c r="J301" i="7"/>
  <c r="J194" i="7"/>
  <c r="J488" i="7"/>
  <c r="J436" i="7"/>
  <c r="J343" i="7"/>
  <c r="J206" i="7"/>
  <c r="J575" i="7"/>
  <c r="J286" i="7"/>
  <c r="J188" i="7"/>
  <c r="J476" i="7"/>
  <c r="J430" i="7"/>
  <c r="J337" i="7"/>
  <c r="J232" i="7"/>
  <c r="J573" i="7"/>
  <c r="J382" i="7"/>
  <c r="J268" i="7"/>
  <c r="J182" i="7"/>
  <c r="J431" i="7"/>
  <c r="J331" i="7"/>
  <c r="J240" i="7"/>
  <c r="J600" i="7"/>
  <c r="J277" i="7"/>
  <c r="J441" i="7"/>
  <c r="J273" i="7"/>
  <c r="J527" i="7"/>
  <c r="J479" i="7"/>
  <c r="J367" i="7"/>
  <c r="J284" i="7"/>
  <c r="J167" i="7"/>
  <c r="J150" i="7"/>
  <c r="J113" i="7"/>
  <c r="J154" i="7"/>
  <c r="J125" i="7"/>
  <c r="J129" i="7"/>
  <c r="J153" i="7"/>
  <c r="J82" i="7"/>
  <c r="J92" i="7"/>
  <c r="J238" i="7"/>
  <c r="J454" i="7"/>
  <c r="J590" i="7"/>
  <c r="J213" i="7"/>
  <c r="J143" i="7"/>
  <c r="J126" i="7"/>
  <c r="J97" i="7"/>
  <c r="N67" i="7"/>
  <c r="J66" i="7"/>
  <c r="J65" i="7"/>
  <c r="J72" i="7"/>
  <c r="J63" i="7"/>
  <c r="J62" i="7"/>
  <c r="J60" i="7"/>
  <c r="J73" i="7"/>
  <c r="J59" i="7"/>
  <c r="J70" i="7"/>
  <c r="J67" i="7"/>
  <c r="J74" i="7"/>
  <c r="J64" i="7"/>
  <c r="J69" i="7"/>
  <c r="J61" i="7"/>
  <c r="J71" i="7"/>
  <c r="J68" i="7"/>
  <c r="I60" i="2"/>
  <c r="H59" i="2"/>
  <c r="R60" i="2"/>
  <c r="J60" i="2"/>
  <c r="R59" i="2"/>
  <c r="K59" i="2" l="1"/>
  <c r="M59" i="2"/>
  <c r="L59" i="2"/>
  <c r="K6" i="5"/>
  <c r="I61" i="2"/>
  <c r="R61" i="2"/>
  <c r="H60" i="2"/>
  <c r="J61" i="2"/>
  <c r="L60" i="2" l="1"/>
  <c r="K60" i="2"/>
  <c r="M60" i="2"/>
  <c r="H39" i="1"/>
  <c r="H55" i="1" l="1"/>
  <c r="M15" i="1"/>
  <c r="M14" i="1"/>
  <c r="E39" i="7" l="1"/>
  <c r="E28" i="7"/>
  <c r="E32" i="7"/>
  <c r="E36" i="7"/>
  <c r="E17" i="7"/>
  <c r="E49" i="7"/>
  <c r="E56" i="7"/>
  <c r="D46" i="7"/>
  <c r="E19" i="7"/>
  <c r="E33" i="7"/>
  <c r="E30" i="7"/>
  <c r="E21" i="7"/>
  <c r="E53" i="7"/>
  <c r="E14" i="7"/>
  <c r="D50" i="7"/>
  <c r="D27" i="7"/>
  <c r="E41" i="7"/>
  <c r="E40" i="7"/>
  <c r="E18" i="7"/>
  <c r="E34" i="7"/>
  <c r="E54" i="7"/>
  <c r="E52" i="7"/>
  <c r="E31" i="7"/>
  <c r="D14" i="7"/>
  <c r="E29" i="7"/>
  <c r="D45" i="7"/>
  <c r="E16" i="7"/>
  <c r="D48" i="7"/>
  <c r="E38" i="7"/>
  <c r="E20" i="7"/>
  <c r="E35" i="7"/>
  <c r="E42" i="7"/>
  <c r="E58" i="7"/>
  <c r="E44" i="7"/>
  <c r="E23" i="7"/>
  <c r="D47" i="7"/>
  <c r="E51" i="7"/>
  <c r="E43" i="7"/>
  <c r="D21" i="7"/>
  <c r="E24" i="7"/>
  <c r="D30" i="7"/>
  <c r="D39" i="7"/>
  <c r="D36" i="7"/>
  <c r="E9" i="5"/>
  <c r="Y15" i="5" s="1"/>
  <c r="J47" i="7"/>
  <c r="J46" i="7"/>
  <c r="J39" i="7"/>
  <c r="J45" i="7"/>
  <c r="J36" i="7"/>
  <c r="J48" i="7"/>
  <c r="J50" i="7"/>
  <c r="J27" i="7"/>
  <c r="J30" i="7"/>
  <c r="J21" i="7"/>
  <c r="J14" i="7"/>
  <c r="E26" i="7" l="1"/>
  <c r="E27" i="7"/>
  <c r="E15" i="7"/>
  <c r="D54" i="7"/>
  <c r="D17" i="7"/>
  <c r="E50" i="7"/>
  <c r="E46" i="7"/>
  <c r="D41" i="7"/>
  <c r="D29" i="7"/>
  <c r="D52" i="7"/>
  <c r="D19" i="7"/>
  <c r="D57" i="7"/>
  <c r="E57" i="7"/>
  <c r="D25" i="7"/>
  <c r="D56" i="7"/>
  <c r="D26" i="7"/>
  <c r="D31" i="7"/>
  <c r="E25" i="7"/>
  <c r="D16" i="7"/>
  <c r="D18" i="7"/>
  <c r="D42" i="7"/>
  <c r="D15" i="7"/>
  <c r="E45" i="7"/>
  <c r="D40" i="7"/>
  <c r="E47" i="7"/>
  <c r="D58" i="7"/>
  <c r="E37" i="7"/>
  <c r="D37" i="7"/>
  <c r="D53" i="7"/>
  <c r="D32" i="7"/>
  <c r="D33" i="7"/>
  <c r="D49" i="7"/>
  <c r="D28" i="7"/>
  <c r="D24" i="7"/>
  <c r="D38" i="7"/>
  <c r="D35" i="7"/>
  <c r="E22" i="7"/>
  <c r="D22" i="7"/>
  <c r="E48" i="7"/>
  <c r="D34" i="7"/>
  <c r="D20" i="7"/>
  <c r="D44" i="7"/>
  <c r="D23" i="7"/>
  <c r="D51" i="7"/>
  <c r="D43" i="7"/>
  <c r="D55" i="7"/>
  <c r="E55" i="7"/>
  <c r="E8" i="5"/>
  <c r="F10" i="5"/>
  <c r="C15" i="5"/>
  <c r="U114" i="1"/>
  <c r="U150" i="1" s="1"/>
  <c r="H71" i="1"/>
  <c r="F38" i="1"/>
  <c r="G9" i="2" s="1"/>
  <c r="J35" i="7"/>
  <c r="J51" i="7"/>
  <c r="J38" i="7"/>
  <c r="J54" i="7"/>
  <c r="J53" i="7"/>
  <c r="J42" i="7"/>
  <c r="J34" i="7"/>
  <c r="J44" i="7"/>
  <c r="J41" i="7"/>
  <c r="J40" i="7"/>
  <c r="J52" i="7"/>
  <c r="J58" i="7"/>
  <c r="J37" i="7"/>
  <c r="J57" i="7"/>
  <c r="J43" i="7"/>
  <c r="J55" i="7"/>
  <c r="J56" i="7"/>
  <c r="J49" i="7"/>
  <c r="J25" i="7"/>
  <c r="J24" i="7"/>
  <c r="J19" i="7"/>
  <c r="J22" i="7"/>
  <c r="J23" i="7"/>
  <c r="J15" i="7"/>
  <c r="J26" i="7"/>
  <c r="J17" i="7"/>
  <c r="J32" i="7"/>
  <c r="J18" i="7"/>
  <c r="J28" i="7"/>
  <c r="J20" i="7"/>
  <c r="J31" i="7"/>
  <c r="J16" i="7"/>
  <c r="J29" i="7"/>
  <c r="J33" i="7"/>
  <c r="P38" i="1" l="1"/>
  <c r="F54" i="1"/>
  <c r="V132" i="1"/>
  <c r="H1428" i="7"/>
  <c r="O1321" i="7"/>
  <c r="M951" i="7"/>
  <c r="K1305" i="7"/>
  <c r="L1377" i="7"/>
  <c r="G1180" i="7"/>
  <c r="L1449" i="7"/>
  <c r="H1476" i="7"/>
  <c r="H1435" i="7"/>
  <c r="O1340" i="7"/>
  <c r="L1106" i="7"/>
  <c r="H1465" i="7"/>
  <c r="P1391" i="7"/>
  <c r="L1346" i="7"/>
  <c r="S1490" i="7"/>
  <c r="L1236" i="7"/>
  <c r="G1390" i="7"/>
  <c r="K1438" i="7"/>
  <c r="I1233" i="7"/>
  <c r="N1130" i="7"/>
  <c r="K1425" i="7"/>
  <c r="K1019" i="7"/>
  <c r="L1491" i="7"/>
  <c r="I829" i="7"/>
  <c r="I675" i="7"/>
  <c r="F1377" i="7"/>
  <c r="K1487" i="7"/>
  <c r="L1352" i="7"/>
  <c r="F856" i="7"/>
  <c r="G1407" i="7"/>
  <c r="P1467" i="7"/>
  <c r="M1331" i="7"/>
  <c r="K1479" i="7"/>
  <c r="L1169" i="7"/>
  <c r="K1361" i="7"/>
  <c r="K1416" i="7"/>
  <c r="I863" i="7"/>
  <c r="G1392" i="7"/>
  <c r="O1435" i="7"/>
  <c r="M1374" i="7"/>
  <c r="I1488" i="7"/>
  <c r="N725" i="7"/>
  <c r="N1488" i="7"/>
  <c r="I1430" i="7"/>
  <c r="O1352" i="7"/>
  <c r="K1491" i="7"/>
  <c r="F1279" i="7"/>
  <c r="N1495" i="7"/>
  <c r="O1401" i="7"/>
  <c r="I1353" i="7"/>
  <c r="H1041" i="7"/>
  <c r="K1236" i="7"/>
  <c r="S1409" i="7"/>
  <c r="K1369" i="7"/>
  <c r="L1500" i="7"/>
  <c r="H907" i="7"/>
  <c r="G1330" i="7"/>
  <c r="K1271" i="7"/>
  <c r="P1126" i="7"/>
  <c r="F1381" i="7"/>
  <c r="S1268" i="7"/>
  <c r="M1429" i="7"/>
  <c r="H1395" i="7"/>
  <c r="F986" i="7"/>
  <c r="P1459" i="7"/>
  <c r="P1413" i="7"/>
  <c r="K1450" i="7"/>
  <c r="G1418" i="7"/>
  <c r="G1024" i="7"/>
  <c r="I1337" i="7"/>
  <c r="L1345" i="7"/>
  <c r="G1448" i="7"/>
  <c r="O1204" i="7"/>
  <c r="F1130" i="7"/>
  <c r="O895" i="7"/>
  <c r="N717" i="7"/>
  <c r="L1383" i="7"/>
  <c r="I1354" i="7"/>
  <c r="H1305" i="7"/>
  <c r="I1334" i="7"/>
  <c r="S1390" i="7"/>
  <c r="K1467" i="7"/>
  <c r="K1364" i="7"/>
  <c r="O1382" i="7"/>
  <c r="G1425" i="7"/>
  <c r="M1386" i="7"/>
  <c r="M737" i="7"/>
  <c r="N1415" i="7"/>
  <c r="S1027" i="7"/>
  <c r="N835" i="7"/>
  <c r="G1466" i="7"/>
  <c r="N836" i="7"/>
  <c r="K1460" i="7"/>
  <c r="O949" i="7"/>
  <c r="H1430" i="7"/>
  <c r="M1176" i="7"/>
  <c r="M1177" i="7"/>
  <c r="H1174" i="7"/>
  <c r="S1345" i="7"/>
  <c r="S1260" i="7"/>
  <c r="F656" i="7"/>
  <c r="P1342" i="7"/>
  <c r="F1353" i="7"/>
  <c r="H1401" i="7"/>
  <c r="P1367" i="7"/>
  <c r="S1463" i="7"/>
  <c r="L1460" i="7"/>
  <c r="G1064" i="7"/>
  <c r="L887" i="7"/>
  <c r="O1177" i="7"/>
  <c r="K1482" i="7"/>
  <c r="S1461" i="7"/>
  <c r="G1274" i="7"/>
  <c r="P1068" i="7"/>
  <c r="N631" i="7"/>
  <c r="G955" i="7"/>
  <c r="P1396" i="7"/>
  <c r="N1038" i="7"/>
  <c r="H892" i="7"/>
  <c r="N1469" i="7"/>
  <c r="G1266" i="7"/>
  <c r="F1425" i="7"/>
  <c r="I723" i="7"/>
  <c r="G924" i="7"/>
  <c r="G761" i="7"/>
  <c r="L1052" i="7"/>
  <c r="L1488" i="7"/>
  <c r="O1374" i="7"/>
  <c r="H767" i="7"/>
  <c r="P1269" i="7"/>
  <c r="K1459" i="7"/>
  <c r="K1107" i="7"/>
  <c r="H1489" i="7"/>
  <c r="N1372" i="7"/>
  <c r="M1484" i="7"/>
  <c r="K1068" i="7"/>
  <c r="N866" i="7"/>
  <c r="G1497" i="7"/>
  <c r="M1360" i="7"/>
  <c r="S1079" i="7"/>
  <c r="S1465" i="7"/>
  <c r="L1259" i="7"/>
  <c r="F1341" i="7"/>
  <c r="M1472" i="7"/>
  <c r="L1427" i="7"/>
  <c r="F1396" i="7"/>
  <c r="L1332" i="7"/>
  <c r="F1430" i="7"/>
  <c r="P1471" i="7"/>
  <c r="K1095" i="7"/>
  <c r="M1461" i="7"/>
  <c r="K1499" i="7"/>
  <c r="F1027" i="7"/>
  <c r="K1483" i="7"/>
  <c r="O1433" i="7"/>
  <c r="H1115" i="7"/>
  <c r="M1382" i="7"/>
  <c r="F693" i="7"/>
  <c r="P1401" i="7"/>
  <c r="O1355" i="7"/>
  <c r="K1453" i="7"/>
  <c r="O1360" i="7"/>
  <c r="G896" i="7"/>
  <c r="P1418" i="7"/>
  <c r="N1186" i="7"/>
  <c r="H1392" i="7"/>
  <c r="I1381" i="7"/>
  <c r="P1274" i="7"/>
  <c r="F1361" i="7"/>
  <c r="I1388" i="7"/>
  <c r="L1274" i="7"/>
  <c r="S1412" i="7"/>
  <c r="H1440" i="7"/>
  <c r="P1372" i="7"/>
  <c r="H1126" i="7"/>
  <c r="N1384" i="7"/>
  <c r="F1473" i="7"/>
  <c r="N1349" i="7"/>
  <c r="I1343" i="7"/>
  <c r="P1483" i="7"/>
  <c r="G1421" i="7"/>
  <c r="N1367" i="7"/>
  <c r="H1375" i="7"/>
  <c r="G646" i="7"/>
  <c r="H1495" i="7"/>
  <c r="I1379" i="7"/>
  <c r="S1473" i="7"/>
  <c r="I1346" i="7"/>
  <c r="G1443" i="7"/>
  <c r="F1078" i="7"/>
  <c r="O1366" i="7"/>
  <c r="G1338" i="7"/>
  <c r="I1428" i="7"/>
  <c r="P994" i="7"/>
  <c r="O1334" i="7"/>
  <c r="M628" i="7"/>
  <c r="M1021" i="7"/>
  <c r="O829" i="7"/>
  <c r="F1492" i="7"/>
  <c r="P982" i="7"/>
  <c r="H723" i="7"/>
  <c r="O1463" i="7"/>
  <c r="I1498" i="7"/>
  <c r="L1441" i="7"/>
  <c r="M736" i="7"/>
  <c r="G1226" i="7"/>
  <c r="S1479" i="7"/>
  <c r="L1434" i="7"/>
  <c r="M1346" i="7"/>
  <c r="O1488" i="7"/>
  <c r="G1458" i="7"/>
  <c r="O1466" i="7"/>
  <c r="G951" i="7"/>
  <c r="O945" i="7"/>
  <c r="G751" i="7"/>
  <c r="G750" i="7"/>
  <c r="O1267" i="7"/>
  <c r="K1412" i="7"/>
  <c r="F1330" i="7"/>
  <c r="P754" i="7"/>
  <c r="P811" i="7"/>
  <c r="S623" i="7"/>
  <c r="P947" i="7"/>
  <c r="L1456" i="7"/>
  <c r="F1364" i="7"/>
  <c r="N914" i="7"/>
  <c r="G1058" i="7"/>
  <c r="G949" i="7"/>
  <c r="S1339" i="7"/>
  <c r="K692" i="7"/>
  <c r="H1220" i="7"/>
  <c r="L1384" i="7"/>
  <c r="I1112" i="7"/>
  <c r="S835" i="7"/>
  <c r="N1173" i="7"/>
  <c r="K934" i="7"/>
  <c r="H1459" i="7"/>
  <c r="S1499" i="7"/>
  <c r="G1223" i="7"/>
  <c r="L1476" i="7"/>
  <c r="M1274" i="7"/>
  <c r="P1453" i="7"/>
  <c r="I1177" i="7"/>
  <c r="M1130" i="7"/>
  <c r="P909" i="7"/>
  <c r="N1426" i="7"/>
  <c r="O1010" i="7"/>
  <c r="G1166" i="7"/>
  <c r="N1471" i="7"/>
  <c r="G1412" i="7"/>
  <c r="M1365" i="7"/>
  <c r="O1256" i="7"/>
  <c r="I1418" i="7"/>
  <c r="M1324" i="7"/>
  <c r="P1489" i="7"/>
  <c r="L1494" i="7"/>
  <c r="P1361" i="7"/>
  <c r="M1401" i="7"/>
  <c r="P1416" i="7"/>
  <c r="G1349" i="7"/>
  <c r="P1411" i="7"/>
  <c r="P1392" i="7"/>
  <c r="P1484" i="7"/>
  <c r="N1364" i="7"/>
  <c r="L1388" i="7"/>
  <c r="P1260" i="7"/>
  <c r="L713" i="7"/>
  <c r="H811" i="7"/>
  <c r="K1384" i="7"/>
  <c r="O1480" i="7"/>
  <c r="K1346" i="7"/>
  <c r="K1436" i="7"/>
  <c r="S629" i="7"/>
  <c r="I736" i="7"/>
  <c r="F895" i="7"/>
  <c r="F1331" i="7"/>
  <c r="P1448" i="7"/>
  <c r="K1423" i="7"/>
  <c r="S1361" i="7"/>
  <c r="H1446" i="7"/>
  <c r="P1032" i="7"/>
  <c r="H1412" i="7"/>
  <c r="N1428" i="7"/>
  <c r="H1443" i="7"/>
  <c r="O1447" i="7"/>
  <c r="L1465" i="7"/>
  <c r="G1451" i="7"/>
  <c r="H1157" i="7"/>
  <c r="N1023" i="7"/>
  <c r="G1391" i="7"/>
  <c r="G723" i="7"/>
  <c r="I1451" i="7"/>
  <c r="P1430" i="7"/>
  <c r="L1428" i="7"/>
  <c r="M1393" i="7"/>
  <c r="S1426" i="7"/>
  <c r="I1338" i="7"/>
  <c r="F1463" i="7"/>
  <c r="S1497" i="7"/>
  <c r="P1349" i="7"/>
  <c r="G1382" i="7"/>
  <c r="S1010" i="7"/>
  <c r="S1349" i="7"/>
  <c r="N1352" i="7"/>
  <c r="H1166" i="7"/>
  <c r="O1365" i="7"/>
  <c r="N1350" i="7"/>
  <c r="I1372" i="7"/>
  <c r="I1396" i="7"/>
  <c r="L1129" i="7"/>
  <c r="H1359" i="7"/>
  <c r="N1477" i="7"/>
  <c r="O1493" i="7"/>
  <c r="H1112" i="7"/>
  <c r="K1430" i="7"/>
  <c r="F1223" i="7"/>
  <c r="L1437" i="7"/>
  <c r="L1461" i="7"/>
  <c r="S1452" i="7"/>
  <c r="H1008" i="7"/>
  <c r="N1453" i="7"/>
  <c r="O1370" i="7"/>
  <c r="F811" i="7"/>
  <c r="S1496" i="7"/>
  <c r="M1475" i="7"/>
  <c r="M1497" i="7"/>
  <c r="O1372" i="7"/>
  <c r="P719" i="7"/>
  <c r="P1371" i="7"/>
  <c r="S1005" i="7"/>
  <c r="K1233" i="7"/>
  <c r="O1381" i="7"/>
  <c r="F1393" i="7"/>
  <c r="H1365" i="7"/>
  <c r="H1439" i="7"/>
  <c r="P1047" i="7"/>
  <c r="S1230" i="7"/>
  <c r="N853" i="7"/>
  <c r="H1384" i="7"/>
  <c r="L1170" i="7"/>
  <c r="N819" i="7"/>
  <c r="H649" i="7"/>
  <c r="P1141" i="7"/>
  <c r="I1041" i="7"/>
  <c r="N917" i="7"/>
  <c r="M1017" i="7"/>
  <c r="M1336" i="7"/>
  <c r="G1424" i="7"/>
  <c r="H1097" i="7"/>
  <c r="K633" i="7"/>
  <c r="K719" i="7"/>
  <c r="H1386" i="7"/>
  <c r="M1350" i="7"/>
  <c r="S767" i="7"/>
  <c r="F1357" i="7"/>
  <c r="N1231" i="7"/>
  <c r="S1173" i="7"/>
  <c r="P690" i="7"/>
  <c r="S1437" i="7"/>
  <c r="S1363" i="7"/>
  <c r="O796" i="7"/>
  <c r="H1474" i="7"/>
  <c r="G1230" i="7"/>
  <c r="H1346" i="7"/>
  <c r="K1230" i="7"/>
  <c r="G1174" i="7"/>
  <c r="O1116" i="7"/>
  <c r="K949" i="7"/>
  <c r="H709" i="7"/>
  <c r="S1179" i="7"/>
  <c r="S1030" i="7"/>
  <c r="S717" i="7"/>
  <c r="P1415" i="7"/>
  <c r="H1285" i="7"/>
  <c r="P1347" i="7"/>
  <c r="K678" i="7"/>
  <c r="S1095" i="7"/>
  <c r="H951" i="7"/>
  <c r="I1335" i="7"/>
  <c r="G1463" i="7"/>
  <c r="P835" i="7"/>
  <c r="I1362" i="7"/>
  <c r="S1115" i="7"/>
  <c r="F1444" i="7"/>
  <c r="K1443" i="7"/>
  <c r="G776" i="7"/>
  <c r="F1450" i="7"/>
  <c r="M1482" i="7"/>
  <c r="O1451" i="7"/>
  <c r="K710" i="7"/>
  <c r="N1491" i="7"/>
  <c r="I1274" i="7"/>
  <c r="G1342" i="7"/>
  <c r="K736" i="7"/>
  <c r="F1358" i="7"/>
  <c r="H1385" i="7"/>
  <c r="I1351" i="7"/>
  <c r="M782" i="7"/>
  <c r="L1471" i="7"/>
  <c r="P1078" i="7"/>
  <c r="S1367" i="7"/>
  <c r="G1398" i="7"/>
  <c r="P1331" i="7"/>
  <c r="I1130" i="7"/>
  <c r="P834" i="7"/>
  <c r="O1443" i="7"/>
  <c r="K1411" i="7"/>
  <c r="P1466" i="7"/>
  <c r="I1407" i="7"/>
  <c r="H1438" i="7"/>
  <c r="O1160" i="7"/>
  <c r="S1223" i="7"/>
  <c r="S1458" i="7"/>
  <c r="O1395" i="7"/>
  <c r="L1496" i="7"/>
  <c r="K1389" i="7"/>
  <c r="L1392" i="7"/>
  <c r="G1499" i="7"/>
  <c r="I1331" i="7"/>
  <c r="N789" i="7"/>
  <c r="M1038" i="7"/>
  <c r="L704" i="7"/>
  <c r="P860" i="7"/>
  <c r="G1474" i="7"/>
  <c r="K1496" i="7"/>
  <c r="K866" i="7"/>
  <c r="L1174" i="7"/>
  <c r="M1353" i="7"/>
  <c r="P1495" i="7"/>
  <c r="O1371" i="7"/>
  <c r="M1307" i="7"/>
  <c r="O907" i="7"/>
  <c r="K1327" i="7"/>
  <c r="M1385" i="7"/>
  <c r="O1112" i="7"/>
  <c r="H1493" i="7"/>
  <c r="L1443" i="7"/>
  <c r="L1393" i="7"/>
  <c r="L1008" i="7"/>
  <c r="F1498" i="7"/>
  <c r="N1078" i="7"/>
  <c r="L1374" i="7"/>
  <c r="N1366" i="7"/>
  <c r="L1376" i="7"/>
  <c r="I962" i="7"/>
  <c r="F1493" i="7"/>
  <c r="P1498" i="7"/>
  <c r="P709" i="7"/>
  <c r="P1406" i="7"/>
  <c r="G1388" i="7"/>
  <c r="P1343" i="7"/>
  <c r="M1494" i="7"/>
  <c r="S935" i="7"/>
  <c r="L1204" i="7"/>
  <c r="G1434" i="7"/>
  <c r="K1226" i="7"/>
  <c r="H706" i="7"/>
  <c r="O1271" i="7"/>
  <c r="L732" i="7"/>
  <c r="I1279" i="7"/>
  <c r="L1373" i="7"/>
  <c r="N1335" i="7"/>
  <c r="G1265" i="7"/>
  <c r="M1480" i="7"/>
  <c r="K1227" i="7"/>
  <c r="L1350" i="7"/>
  <c r="O1375" i="7"/>
  <c r="F1179" i="7"/>
  <c r="I1359" i="7"/>
  <c r="S1274" i="7"/>
  <c r="F983" i="7"/>
  <c r="G1379" i="7"/>
  <c r="I1432" i="7"/>
  <c r="L1324" i="7"/>
  <c r="I834" i="7"/>
  <c r="I669" i="7"/>
  <c r="L830" i="7"/>
  <c r="K720" i="7"/>
  <c r="K1380" i="7"/>
  <c r="F669" i="7"/>
  <c r="G1351" i="7"/>
  <c r="K964" i="7"/>
  <c r="P625" i="7"/>
  <c r="P1086" i="7"/>
  <c r="P1336" i="7"/>
  <c r="P1268" i="7"/>
  <c r="F1061" i="7"/>
  <c r="I1437" i="7"/>
  <c r="P1444" i="7"/>
  <c r="K1199" i="7"/>
  <c r="P1354" i="7"/>
  <c r="G1321" i="7"/>
  <c r="K918" i="7"/>
  <c r="N786" i="7"/>
  <c r="L1472" i="7"/>
  <c r="I835" i="7"/>
  <c r="M1388" i="7"/>
  <c r="N1354" i="7"/>
  <c r="S1170" i="7"/>
  <c r="N1403" i="7"/>
  <c r="O1144" i="7"/>
  <c r="M1466" i="7"/>
  <c r="L1401" i="7"/>
  <c r="F1462" i="7"/>
  <c r="S1398" i="7"/>
  <c r="F1065" i="7"/>
  <c r="G1449" i="7"/>
  <c r="H1338" i="7"/>
  <c r="O1494" i="7"/>
  <c r="M1428" i="7"/>
  <c r="N1027" i="7"/>
  <c r="K1495" i="7"/>
  <c r="I1493" i="7"/>
  <c r="F1349" i="7"/>
  <c r="O1173" i="7"/>
  <c r="F634" i="7"/>
  <c r="L1446" i="7"/>
  <c r="K1458" i="7"/>
  <c r="H1076" i="7"/>
  <c r="P717" i="7"/>
  <c r="N1374" i="7"/>
  <c r="O1437" i="7"/>
  <c r="S1466" i="7"/>
  <c r="S1333" i="7"/>
  <c r="O1269" i="7"/>
  <c r="O1407" i="7"/>
  <c r="H1390" i="7"/>
  <c r="F1352" i="7"/>
  <c r="P1494" i="7"/>
  <c r="F1260" i="7"/>
  <c r="N1452" i="7"/>
  <c r="N1462" i="7"/>
  <c r="K1385" i="7"/>
  <c r="M1285" i="7"/>
  <c r="I1281" i="7"/>
  <c r="N1433" i="7"/>
  <c r="G1426" i="7"/>
  <c r="I783" i="7"/>
  <c r="H1434" i="7"/>
  <c r="P1398" i="7"/>
  <c r="M1465" i="7"/>
  <c r="H927" i="7"/>
  <c r="N1490" i="7"/>
  <c r="N1475" i="7"/>
  <c r="S865" i="7"/>
  <c r="H1448" i="7"/>
  <c r="L1484" i="7"/>
  <c r="I633" i="7"/>
  <c r="N1482" i="7"/>
  <c r="P1445" i="7"/>
  <c r="K1231" i="7"/>
  <c r="M1345" i="7"/>
  <c r="M767" i="7"/>
  <c r="H1421" i="7"/>
  <c r="L1382" i="7"/>
  <c r="K894" i="7"/>
  <c r="G1439" i="7"/>
  <c r="N1413" i="7"/>
  <c r="F1386" i="7"/>
  <c r="O1138" i="7"/>
  <c r="M822" i="7"/>
  <c r="H1409" i="7"/>
  <c r="H1324" i="7"/>
  <c r="G917" i="7"/>
  <c r="K1130" i="7"/>
  <c r="P827" i="7"/>
  <c r="P1432" i="7"/>
  <c r="G1343" i="7"/>
  <c r="I1324" i="7"/>
  <c r="G1347" i="7"/>
  <c r="L1493" i="7"/>
  <c r="L1364" i="7"/>
  <c r="O859" i="7"/>
  <c r="L1331" i="7"/>
  <c r="S1134" i="7"/>
  <c r="I1384" i="7"/>
  <c r="K1360" i="7"/>
  <c r="O1086" i="7"/>
  <c r="M991" i="7"/>
  <c r="F1460" i="7"/>
  <c r="O1449" i="7"/>
  <c r="K1377" i="7"/>
  <c r="F1378" i="7"/>
  <c r="L1445" i="7"/>
  <c r="O822" i="7"/>
  <c r="H1424" i="7"/>
  <c r="G1385" i="7"/>
  <c r="P950" i="7"/>
  <c r="H1073" i="7"/>
  <c r="S1405" i="7"/>
  <c r="G1348" i="7"/>
  <c r="S1007" i="7"/>
  <c r="H982" i="7"/>
  <c r="G1444" i="7"/>
  <c r="L1487" i="7"/>
  <c r="F1487" i="7"/>
  <c r="M1410" i="7"/>
  <c r="F744" i="7"/>
  <c r="M1291" i="7"/>
  <c r="F1335" i="7"/>
  <c r="F807" i="7"/>
  <c r="M1419" i="7"/>
  <c r="I1186" i="7"/>
  <c r="O1496" i="7"/>
  <c r="O982" i="7"/>
  <c r="M1199" i="7"/>
  <c r="G1327" i="7"/>
  <c r="F1312" i="7"/>
  <c r="S866" i="7"/>
  <c r="G799" i="7"/>
  <c r="L959" i="7"/>
  <c r="H1380" i="7"/>
  <c r="K1404" i="7"/>
  <c r="P819" i="7"/>
  <c r="L725" i="7"/>
  <c r="H1291" i="7"/>
  <c r="K1489" i="7"/>
  <c r="O1234" i="7"/>
  <c r="N1446" i="7"/>
  <c r="K1356" i="7"/>
  <c r="P1433" i="7"/>
  <c r="S807" i="7"/>
  <c r="M630" i="7"/>
  <c r="M915" i="7"/>
  <c r="P1395" i="7"/>
  <c r="M1321" i="7"/>
  <c r="S1041" i="7"/>
  <c r="N964" i="7"/>
  <c r="H1224" i="7"/>
  <c r="S1434" i="7"/>
  <c r="P1438" i="7"/>
  <c r="K875" i="7"/>
  <c r="I1397" i="7"/>
  <c r="P1464" i="7"/>
  <c r="O649" i="7"/>
  <c r="K1434" i="7"/>
  <c r="F1433" i="7"/>
  <c r="O1415" i="7"/>
  <c r="M1471" i="7"/>
  <c r="P1285" i="7"/>
  <c r="S1395" i="7"/>
  <c r="F750" i="7"/>
  <c r="N1465" i="7"/>
  <c r="F1461" i="7"/>
  <c r="L1457" i="7"/>
  <c r="K1448" i="7"/>
  <c r="M1058" i="7"/>
  <c r="M1436" i="7"/>
  <c r="N951" i="7"/>
  <c r="K630" i="7"/>
  <c r="K1393" i="7"/>
  <c r="L1396" i="7"/>
  <c r="L634" i="7"/>
  <c r="F709" i="7"/>
  <c r="G1346" i="7"/>
  <c r="P1424" i="7"/>
  <c r="I822" i="7"/>
  <c r="O1367" i="7"/>
  <c r="N816" i="7"/>
  <c r="S1352" i="7"/>
  <c r="G1399" i="7"/>
  <c r="H1378" i="7"/>
  <c r="P1362" i="7"/>
  <c r="K1417" i="7"/>
  <c r="L1489" i="7"/>
  <c r="M1464" i="7"/>
  <c r="F1436" i="7"/>
  <c r="O1338" i="7"/>
  <c r="K1478" i="7"/>
  <c r="N1351" i="7"/>
  <c r="M1500" i="7"/>
  <c r="O1393" i="7"/>
  <c r="G1442" i="7"/>
  <c r="L1367" i="7"/>
  <c r="P856" i="7"/>
  <c r="S910" i="7"/>
  <c r="H1458" i="7"/>
  <c r="G1440" i="7"/>
  <c r="O1364" i="7"/>
  <c r="N762" i="7"/>
  <c r="G1038" i="7"/>
  <c r="S1347" i="7"/>
  <c r="H1262" i="7"/>
  <c r="F1356" i="7"/>
  <c r="P1388" i="7"/>
  <c r="P1030" i="7"/>
  <c r="I713" i="7"/>
  <c r="K1471" i="7"/>
  <c r="H1350" i="7"/>
  <c r="I943" i="7"/>
  <c r="O1337" i="7"/>
  <c r="M1469" i="7"/>
  <c r="K1179" i="7"/>
  <c r="M1337" i="7"/>
  <c r="S1407" i="7"/>
  <c r="I1443" i="7"/>
  <c r="M1448" i="7"/>
  <c r="N736" i="7"/>
  <c r="K667" i="7"/>
  <c r="L1406" i="7"/>
  <c r="K1390" i="7"/>
  <c r="K770" i="7"/>
  <c r="P1394" i="7"/>
  <c r="O1410" i="7"/>
  <c r="K1452" i="7"/>
  <c r="F1338" i="7"/>
  <c r="O1368" i="7"/>
  <c r="M1358" i="7"/>
  <c r="L1422" i="7"/>
  <c r="F1366" i="7"/>
  <c r="K1180" i="7"/>
  <c r="I1483" i="7"/>
  <c r="S1357" i="7"/>
  <c r="N1379" i="7"/>
  <c r="G1268" i="7"/>
  <c r="S1393" i="7"/>
  <c r="N1418" i="7"/>
  <c r="N1420" i="7"/>
  <c r="S1431" i="7"/>
  <c r="F1176" i="7"/>
  <c r="P1407" i="7"/>
  <c r="N1460" i="7"/>
  <c r="G1374" i="7"/>
  <c r="P782" i="7"/>
  <c r="P1333" i="7"/>
  <c r="N1340" i="7"/>
  <c r="N1252" i="7"/>
  <c r="N1338" i="7"/>
  <c r="L1197" i="7"/>
  <c r="M896" i="7"/>
  <c r="M647" i="7"/>
  <c r="S999" i="7"/>
  <c r="P1452" i="7"/>
  <c r="H964" i="7"/>
  <c r="S1019" i="7"/>
  <c r="M1492" i="7"/>
  <c r="G826" i="7"/>
  <c r="N1410" i="7"/>
  <c r="H1414" i="7"/>
  <c r="O1402" i="7"/>
  <c r="K1341" i="7"/>
  <c r="L1144" i="7"/>
  <c r="G1486" i="7"/>
  <c r="K747" i="7"/>
  <c r="G1459" i="7"/>
  <c r="S1500" i="7"/>
  <c r="I1392" i="7"/>
  <c r="F911" i="7"/>
  <c r="M1225" i="7"/>
  <c r="G1387" i="7"/>
  <c r="F1429" i="7"/>
  <c r="M865" i="7"/>
  <c r="S1192" i="7"/>
  <c r="M1421" i="7"/>
  <c r="F1443" i="7"/>
  <c r="F696" i="7"/>
  <c r="G1231" i="7"/>
  <c r="K1485" i="7"/>
  <c r="S1331" i="7"/>
  <c r="N1483" i="7"/>
  <c r="P1387" i="7"/>
  <c r="L1475" i="7"/>
  <c r="M1394" i="7"/>
  <c r="S1335" i="7"/>
  <c r="S1199" i="7"/>
  <c r="S633" i="7"/>
  <c r="I1466" i="7"/>
  <c r="K713" i="7"/>
  <c r="H1147" i="7"/>
  <c r="P1352" i="7"/>
  <c r="P1412" i="7"/>
  <c r="N1345" i="7"/>
  <c r="M1186" i="7"/>
  <c r="O1452" i="7"/>
  <c r="N1375" i="7"/>
  <c r="K1451" i="7"/>
  <c r="N1019" i="7"/>
  <c r="P1487" i="7"/>
  <c r="L706" i="7"/>
  <c r="O1420" i="7"/>
  <c r="M1411" i="7"/>
  <c r="S1387" i="7"/>
  <c r="M1447" i="7"/>
  <c r="S1487" i="7"/>
  <c r="K1376" i="7"/>
  <c r="I770" i="7"/>
  <c r="S1449" i="7"/>
  <c r="P720" i="7"/>
  <c r="H1268" i="7"/>
  <c r="I1429" i="7"/>
  <c r="K1166" i="7"/>
  <c r="F1395" i="7"/>
  <c r="O1359" i="7"/>
  <c r="G1456" i="7"/>
  <c r="S1372" i="7"/>
  <c r="I955" i="7"/>
  <c r="N1470" i="7"/>
  <c r="F1007" i="7"/>
  <c r="G827" i="7"/>
  <c r="O1499" i="7"/>
  <c r="G1457" i="7"/>
  <c r="H1487" i="7"/>
  <c r="S1491" i="7"/>
  <c r="M1377" i="7"/>
  <c r="P1410" i="7"/>
  <c r="S1448" i="7"/>
  <c r="I1086" i="7"/>
  <c r="N1348" i="7"/>
  <c r="L1130" i="7"/>
  <c r="S1401" i="7"/>
  <c r="P1375" i="7"/>
  <c r="N1203" i="7"/>
  <c r="F1424" i="7"/>
  <c r="M1443" i="7"/>
  <c r="H1410" i="7"/>
  <c r="N1439" i="7"/>
  <c r="M1490" i="7"/>
  <c r="K1378" i="7"/>
  <c r="K1295" i="7"/>
  <c r="N887" i="7"/>
  <c r="F1445" i="7"/>
  <c r="S1381" i="7"/>
  <c r="L747" i="7"/>
  <c r="N822" i="7"/>
  <c r="N1390" i="7"/>
  <c r="N1472" i="7"/>
  <c r="H1335" i="7"/>
  <c r="P1475" i="7"/>
  <c r="S1469" i="7"/>
  <c r="F1475" i="7"/>
  <c r="G1423" i="7"/>
  <c r="K1463" i="7"/>
  <c r="H1468" i="7"/>
  <c r="M1485" i="7"/>
  <c r="K1375" i="7"/>
  <c r="O1266" i="7"/>
  <c r="H1382" i="7"/>
  <c r="P1458" i="7"/>
  <c r="G648" i="7"/>
  <c r="P1422" i="7"/>
  <c r="I1469" i="7"/>
  <c r="O720" i="7"/>
  <c r="K924" i="7"/>
  <c r="F1482" i="7"/>
  <c r="O1397" i="7"/>
  <c r="H646" i="7"/>
  <c r="I1394" i="7"/>
  <c r="N625" i="7"/>
  <c r="H865" i="7"/>
  <c r="G1030" i="7"/>
  <c r="S1337" i="7"/>
  <c r="G1452" i="7"/>
  <c r="H1005" i="7"/>
  <c r="N1008" i="7"/>
  <c r="S624" i="7"/>
  <c r="N1169" i="7"/>
  <c r="O629" i="7"/>
  <c r="K1353" i="7"/>
  <c r="F1373" i="7"/>
  <c r="F943" i="7"/>
  <c r="G1368" i="7"/>
  <c r="P962" i="7"/>
  <c r="M1359" i="7"/>
  <c r="K914" i="7"/>
  <c r="P1116" i="7"/>
  <c r="S860" i="7"/>
  <c r="M1446" i="7"/>
  <c r="L1268" i="7"/>
  <c r="O863" i="7"/>
  <c r="P991" i="7"/>
  <c r="M669" i="7"/>
  <c r="L1485" i="7"/>
  <c r="H1420" i="7"/>
  <c r="I1339" i="7"/>
  <c r="S1453" i="7"/>
  <c r="H737" i="7"/>
  <c r="K1455" i="7"/>
  <c r="K1333" i="7"/>
  <c r="O1485" i="7"/>
  <c r="H1485" i="7"/>
  <c r="K1395" i="7"/>
  <c r="F1180" i="7"/>
  <c r="M1459" i="7"/>
  <c r="F1325" i="7"/>
  <c r="O1345" i="7"/>
  <c r="M1435" i="7"/>
  <c r="M1342" i="7"/>
  <c r="H1337" i="7"/>
  <c r="H1377" i="7"/>
  <c r="F1359" i="7"/>
  <c r="S1472" i="7"/>
  <c r="N1363" i="7"/>
  <c r="I898" i="7"/>
  <c r="H954" i="7"/>
  <c r="H1371" i="7"/>
  <c r="K1476" i="7"/>
  <c r="H1331" i="7"/>
  <c r="N1341" i="7"/>
  <c r="G1405" i="7"/>
  <c r="F1458" i="7"/>
  <c r="K816" i="7"/>
  <c r="F1432" i="7"/>
  <c r="S1371" i="7"/>
  <c r="L1224" i="7"/>
  <c r="S1358" i="7"/>
  <c r="I1341" i="7"/>
  <c r="G1332" i="7"/>
  <c r="O1453" i="7"/>
  <c r="K1429" i="7"/>
  <c r="G1078" i="7"/>
  <c r="O630" i="7"/>
  <c r="H959" i="7"/>
  <c r="K1372" i="7"/>
  <c r="H1470" i="7"/>
  <c r="L1342" i="7"/>
  <c r="N1473" i="7"/>
  <c r="S1389" i="7"/>
  <c r="L1399" i="7"/>
  <c r="G1357" i="7"/>
  <c r="H1356" i="7"/>
  <c r="H1355" i="7"/>
  <c r="M814" i="7"/>
  <c r="M1414" i="7"/>
  <c r="O1358" i="7"/>
  <c r="N1492" i="7"/>
  <c r="P1355" i="7"/>
  <c r="O1439" i="7"/>
  <c r="I1499" i="7"/>
  <c r="F1054" i="7"/>
  <c r="O1474" i="7"/>
  <c r="L1231" i="7"/>
  <c r="F1456" i="7"/>
  <c r="M1491" i="7"/>
  <c r="S1451" i="7"/>
  <c r="S1417" i="7"/>
  <c r="L1385" i="7"/>
  <c r="I1481" i="7"/>
  <c r="M1349" i="7"/>
  <c r="F1442" i="7"/>
  <c r="M1499" i="7"/>
  <c r="O1386" i="7"/>
  <c r="H1484" i="7"/>
  <c r="H1437" i="7"/>
  <c r="G1331" i="7"/>
  <c r="M1355" i="7"/>
  <c r="M1373" i="7"/>
  <c r="I1374" i="7"/>
  <c r="I1404" i="7"/>
  <c r="H1370" i="7"/>
  <c r="L1458" i="7"/>
  <c r="G737" i="7"/>
  <c r="H1449" i="7"/>
  <c r="H1361" i="7"/>
  <c r="P1279" i="7"/>
  <c r="P1385" i="7"/>
  <c r="K1367" i="7"/>
  <c r="S1180" i="7"/>
  <c r="L1361" i="7"/>
  <c r="O1339" i="7"/>
  <c r="I1490" i="7"/>
  <c r="S1430" i="7"/>
  <c r="O1404" i="7"/>
  <c r="P954" i="7"/>
  <c r="I1500" i="7"/>
  <c r="O1472" i="7"/>
  <c r="S716" i="7"/>
  <c r="K913" i="7"/>
  <c r="I1329" i="7"/>
  <c r="N1425" i="7"/>
  <c r="N1466" i="7"/>
  <c r="O717" i="7"/>
  <c r="P667" i="7"/>
  <c r="S732" i="7"/>
  <c r="F1479" i="7"/>
  <c r="N728" i="7"/>
  <c r="I1134" i="7"/>
  <c r="F770" i="7"/>
  <c r="F1058" i="7"/>
  <c r="K1397" i="7"/>
  <c r="N1234" i="7"/>
  <c r="K663" i="7"/>
  <c r="L1269" i="7"/>
  <c r="P1481" i="7"/>
  <c r="P629" i="7"/>
  <c r="K1371" i="7"/>
  <c r="M1420" i="7"/>
  <c r="L1151" i="7"/>
  <c r="H850" i="7"/>
  <c r="G1473" i="7"/>
  <c r="I1400" i="7"/>
  <c r="F1192" i="7"/>
  <c r="G1362" i="7"/>
  <c r="H917" i="7"/>
  <c r="I711" i="7"/>
  <c r="K716" i="7"/>
  <c r="P1021" i="7"/>
  <c r="I1333" i="7"/>
  <c r="L1233" i="7"/>
  <c r="H1418" i="7"/>
  <c r="P989" i="7"/>
  <c r="O1233" i="7"/>
  <c r="O789" i="7"/>
  <c r="G999" i="7"/>
  <c r="L1163" i="7"/>
  <c r="M982" i="7"/>
  <c r="N744" i="7"/>
  <c r="L1466" i="7"/>
  <c r="M1371" i="7"/>
  <c r="M1343" i="7"/>
  <c r="L1415" i="7"/>
  <c r="S1047" i="7"/>
  <c r="K1387" i="7"/>
  <c r="P1169" i="7"/>
  <c r="S1017" i="7"/>
  <c r="F1077" i="7"/>
  <c r="H1388" i="7"/>
  <c r="G1445" i="7"/>
  <c r="O1442" i="7"/>
  <c r="H1451" i="7"/>
  <c r="L1358" i="7"/>
  <c r="M1417" i="7"/>
  <c r="F1431" i="7"/>
  <c r="I1203" i="7"/>
  <c r="P1449" i="7"/>
  <c r="P1485" i="7"/>
  <c r="L1448" i="7"/>
  <c r="L1464" i="7"/>
  <c r="P1431" i="7"/>
  <c r="K1069" i="7"/>
  <c r="P1346" i="7"/>
  <c r="L1362" i="7"/>
  <c r="O1441" i="7"/>
  <c r="N1343" i="7"/>
  <c r="H1374" i="7"/>
  <c r="P1404" i="7"/>
  <c r="G1406" i="7"/>
  <c r="M1354" i="7"/>
  <c r="L847" i="7"/>
  <c r="M1112" i="7"/>
  <c r="M1498" i="7"/>
  <c r="M1367" i="7"/>
  <c r="O1445" i="7"/>
  <c r="F1337" i="7"/>
  <c r="O1354" i="7"/>
  <c r="L1291" i="7"/>
  <c r="F1484" i="7"/>
  <c r="F1471" i="7"/>
  <c r="L770" i="7"/>
  <c r="K999" i="7"/>
  <c r="H924" i="7"/>
  <c r="O1482" i="7"/>
  <c r="I1340" i="7"/>
  <c r="O1335" i="7"/>
  <c r="N1427" i="7"/>
  <c r="G1464" i="7"/>
  <c r="G663" i="7"/>
  <c r="S1450" i="7"/>
  <c r="P1460" i="7"/>
  <c r="O1468" i="7"/>
  <c r="H1169" i="7"/>
  <c r="L1450" i="7"/>
  <c r="F1435" i="7"/>
  <c r="I1495" i="7"/>
  <c r="S1435" i="7"/>
  <c r="K1381" i="7"/>
  <c r="I1363" i="7"/>
  <c r="S1375" i="7"/>
  <c r="H735" i="7"/>
  <c r="K970" i="7"/>
  <c r="N1408" i="7"/>
  <c r="M1451" i="7"/>
  <c r="P1468" i="7"/>
  <c r="K1344" i="7"/>
  <c r="P1359" i="7"/>
  <c r="M667" i="7"/>
  <c r="O1017" i="7"/>
  <c r="S1021" i="7"/>
  <c r="S898" i="7"/>
  <c r="O1390" i="7"/>
  <c r="H1116" i="7"/>
  <c r="F1437" i="7"/>
  <c r="O1376" i="7"/>
  <c r="G1408" i="7"/>
  <c r="G1484" i="7"/>
  <c r="M878" i="7"/>
  <c r="O1478" i="7"/>
  <c r="S1432" i="7"/>
  <c r="H630" i="7"/>
  <c r="I1411" i="7"/>
  <c r="F1379" i="7"/>
  <c r="N1414" i="7"/>
  <c r="M1449" i="7"/>
  <c r="G1229" i="7"/>
  <c r="M1478" i="7"/>
  <c r="N1412" i="7"/>
  <c r="G1279" i="7"/>
  <c r="P1373" i="7"/>
  <c r="K675" i="7"/>
  <c r="G656" i="7"/>
  <c r="L1404" i="7"/>
  <c r="P1133" i="7"/>
  <c r="N1435" i="7"/>
  <c r="K1001" i="7"/>
  <c r="M1452" i="7"/>
  <c r="H717" i="7"/>
  <c r="K1437" i="7"/>
  <c r="L1285" i="7"/>
  <c r="L618" i="7"/>
  <c r="G629" i="7"/>
  <c r="M1372" i="7"/>
  <c r="N1183" i="7"/>
  <c r="M1462" i="7"/>
  <c r="F1467" i="7"/>
  <c r="N667" i="7"/>
  <c r="P1330" i="7"/>
  <c r="M1357" i="7"/>
  <c r="K1332" i="7"/>
  <c r="P1076" i="7"/>
  <c r="G802" i="7"/>
  <c r="I1401" i="7"/>
  <c r="M1457" i="7"/>
  <c r="S1438" i="7"/>
  <c r="M908" i="7"/>
  <c r="P1353" i="7"/>
  <c r="I1051" i="7"/>
  <c r="N1362" i="7"/>
  <c r="F1382" i="7"/>
  <c r="I1464" i="7"/>
  <c r="N1329" i="7"/>
  <c r="O1425" i="7"/>
  <c r="K629" i="7"/>
  <c r="M989" i="7"/>
  <c r="L1481" i="7"/>
  <c r="O1476" i="7"/>
  <c r="O1495" i="7"/>
  <c r="S1308" i="7"/>
  <c r="S1379" i="7"/>
  <c r="K819" i="7"/>
  <c r="F1334" i="7"/>
  <c r="L767" i="7"/>
  <c r="H1334" i="7"/>
  <c r="G1461" i="7"/>
  <c r="O1423" i="7"/>
  <c r="S1464" i="7"/>
  <c r="K1445" i="7"/>
  <c r="G1476" i="7"/>
  <c r="G1454" i="7"/>
  <c r="H1423" i="7"/>
  <c r="F638" i="7"/>
  <c r="S1360" i="7"/>
  <c r="G1410" i="7"/>
  <c r="G1429" i="7"/>
  <c r="L1308" i="7"/>
  <c r="I1325" i="7"/>
  <c r="S1373" i="7"/>
  <c r="S1480" i="7"/>
  <c r="F1404" i="7"/>
  <c r="F1459" i="7"/>
  <c r="O1440" i="7"/>
  <c r="I1491" i="7"/>
  <c r="I1391" i="7"/>
  <c r="H1266" i="7"/>
  <c r="L1486" i="7"/>
  <c r="H1349" i="7"/>
  <c r="F732" i="7"/>
  <c r="M895" i="7"/>
  <c r="G1453" i="7"/>
  <c r="P1180" i="7"/>
  <c r="M1334" i="7"/>
  <c r="M1366" i="7"/>
  <c r="O1427" i="7"/>
  <c r="N1474" i="7"/>
  <c r="N1321" i="7"/>
  <c r="P1446" i="7"/>
  <c r="F913" i="7"/>
  <c r="G1354" i="7"/>
  <c r="M1432" i="7"/>
  <c r="L908" i="7"/>
  <c r="L1338" i="7"/>
  <c r="P1338" i="7"/>
  <c r="O1331" i="7"/>
  <c r="G1355" i="7"/>
  <c r="P631" i="7"/>
  <c r="I999" i="7"/>
  <c r="F887" i="7"/>
  <c r="P1368" i="7"/>
  <c r="I1424" i="7"/>
  <c r="K1078" i="7"/>
  <c r="I1422" i="7"/>
  <c r="L1451" i="7"/>
  <c r="I1387" i="7"/>
  <c r="G1395" i="7"/>
  <c r="K1498" i="7"/>
  <c r="I1452" i="7"/>
  <c r="M1387" i="7"/>
  <c r="H725" i="7"/>
  <c r="F1486" i="7"/>
  <c r="N1409" i="7"/>
  <c r="F1488" i="7"/>
  <c r="N1459" i="7"/>
  <c r="O988" i="7"/>
  <c r="N1498" i="7"/>
  <c r="P1435" i="7"/>
  <c r="L633" i="7"/>
  <c r="H1332" i="7"/>
  <c r="M1196" i="7"/>
  <c r="P1339" i="7"/>
  <c r="P1451" i="7"/>
  <c r="O1344" i="7"/>
  <c r="I1023" i="7"/>
  <c r="M1338" i="7"/>
  <c r="K829" i="7"/>
  <c r="S1485" i="7"/>
  <c r="O767" i="7"/>
  <c r="G964" i="7"/>
  <c r="P641" i="7"/>
  <c r="M719" i="7"/>
  <c r="F1480" i="7"/>
  <c r="H1364" i="7"/>
  <c r="L1073" i="7"/>
  <c r="L695" i="7"/>
  <c r="O1222" i="7"/>
  <c r="F1344" i="7"/>
  <c r="I1001" i="7"/>
  <c r="S1126" i="7"/>
  <c r="N1117" i="7"/>
  <c r="S1174" i="7"/>
  <c r="S1477" i="7"/>
  <c r="N1404" i="7"/>
  <c r="G1471" i="7"/>
  <c r="O1347" i="7"/>
  <c r="F1385" i="7"/>
  <c r="M830" i="7"/>
  <c r="G1308" i="7"/>
  <c r="L1273" i="7"/>
  <c r="K1363" i="7"/>
  <c r="O1379" i="7"/>
  <c r="O865" i="7"/>
  <c r="L1355" i="7"/>
  <c r="N924" i="7"/>
  <c r="N986" i="7"/>
  <c r="K1446" i="7"/>
  <c r="O667" i="7"/>
  <c r="I1234" i="7"/>
  <c r="F1417" i="7"/>
  <c r="M692" i="7"/>
  <c r="H696" i="7"/>
  <c r="K1010" i="7"/>
  <c r="G1291" i="7"/>
  <c r="S836" i="7"/>
  <c r="I720" i="7"/>
  <c r="M1474" i="7"/>
  <c r="P1019" i="7"/>
  <c r="H814" i="7"/>
  <c r="S970" i="7"/>
  <c r="G1496" i="7"/>
  <c r="G789" i="7"/>
  <c r="L822" i="7"/>
  <c r="O1023" i="7"/>
  <c r="H1058" i="7"/>
  <c r="N1225" i="7"/>
  <c r="I1421" i="7"/>
  <c r="S776" i="7"/>
  <c r="H1471" i="7"/>
  <c r="H1406" i="7"/>
  <c r="M1364" i="7"/>
  <c r="I1378" i="7"/>
  <c r="G649" i="7"/>
  <c r="M924" i="7"/>
  <c r="H1491" i="7"/>
  <c r="N1030" i="7"/>
  <c r="P770" i="7"/>
  <c r="H1141" i="7"/>
  <c r="I1395" i="7"/>
  <c r="I1364" i="7"/>
  <c r="S1382" i="7"/>
  <c r="M1404" i="7"/>
  <c r="N908" i="7"/>
  <c r="H1394" i="7"/>
  <c r="F1441" i="7"/>
  <c r="L1439" i="7"/>
  <c r="G1415" i="7"/>
  <c r="L1411" i="7"/>
  <c r="M1438" i="7"/>
  <c r="O1465" i="7"/>
  <c r="L1021" i="7"/>
  <c r="G1336" i="7"/>
  <c r="K1373" i="7"/>
  <c r="N1389" i="7"/>
  <c r="I1436" i="7"/>
  <c r="M1406" i="7"/>
  <c r="M935" i="7"/>
  <c r="N1393" i="7"/>
  <c r="S1385" i="7"/>
  <c r="L1478" i="7"/>
  <c r="P1443" i="7"/>
  <c r="F1496" i="7"/>
  <c r="P1386" i="7"/>
  <c r="N1333" i="7"/>
  <c r="H1340" i="7"/>
  <c r="G1358" i="7"/>
  <c r="F1345" i="7"/>
  <c r="F1030" i="7"/>
  <c r="I1268" i="7"/>
  <c r="S1204" i="7"/>
  <c r="H1379" i="7"/>
  <c r="I1478" i="7"/>
  <c r="H1490" i="7"/>
  <c r="M1166" i="7"/>
  <c r="F822" i="7"/>
  <c r="H1462" i="7"/>
  <c r="F1452" i="7"/>
  <c r="L1447" i="7"/>
  <c r="F1448" i="7"/>
  <c r="M1487" i="7"/>
  <c r="L667" i="7"/>
  <c r="I1458" i="7"/>
  <c r="N1226" i="7"/>
  <c r="N1021" i="7"/>
  <c r="P1344" i="7"/>
  <c r="N1456" i="7"/>
  <c r="K626" i="7"/>
  <c r="O1377" i="7"/>
  <c r="I1014" i="7"/>
  <c r="L1391" i="7"/>
  <c r="H1017" i="7"/>
  <c r="H1429" i="7"/>
  <c r="M808" i="7"/>
  <c r="S1351" i="7"/>
  <c r="H1333" i="7"/>
  <c r="S1341" i="7"/>
  <c r="O1341" i="7"/>
  <c r="I1496" i="7"/>
  <c r="P847" i="7"/>
  <c r="N1373" i="7"/>
  <c r="I1456" i="7"/>
  <c r="I1434" i="7"/>
  <c r="N1342" i="7"/>
  <c r="S1355" i="7"/>
  <c r="S1334" i="7"/>
  <c r="H1177" i="7"/>
  <c r="M1496" i="7"/>
  <c r="G1462" i="7"/>
  <c r="P1364" i="7"/>
  <c r="F1447" i="7"/>
  <c r="G1389" i="7"/>
  <c r="M1378" i="7"/>
  <c r="P1305" i="7"/>
  <c r="G1413" i="7"/>
  <c r="S1481" i="7"/>
  <c r="K856" i="7"/>
  <c r="P1454" i="7"/>
  <c r="F1401" i="7"/>
  <c r="O728" i="7"/>
  <c r="G669" i="7"/>
  <c r="M1445" i="7"/>
  <c r="N767" i="7"/>
  <c r="N1311" i="7"/>
  <c r="O1418" i="7"/>
  <c r="S1187" i="7"/>
  <c r="H1482" i="7"/>
  <c r="P1234" i="7"/>
  <c r="G927" i="7"/>
  <c r="S1143" i="7"/>
  <c r="G1098" i="7"/>
  <c r="O1103" i="7"/>
  <c r="O962" i="7"/>
  <c r="N1368" i="7"/>
  <c r="M1467" i="7"/>
  <c r="H1130" i="7"/>
  <c r="I1231" i="7"/>
  <c r="F996" i="7"/>
  <c r="F835" i="7"/>
  <c r="O1077" i="7"/>
  <c r="L989" i="7"/>
  <c r="G713" i="7"/>
  <c r="O1403" i="7"/>
  <c r="G1027" i="7"/>
  <c r="K1077" i="7"/>
  <c r="O910" i="7"/>
  <c r="S1415" i="7"/>
  <c r="S764" i="7"/>
  <c r="N1346" i="7"/>
  <c r="I1179" i="7"/>
  <c r="P898" i="7"/>
  <c r="I1079" i="7"/>
  <c r="L1405" i="7"/>
  <c r="H1413" i="7"/>
  <c r="S856" i="7"/>
  <c r="N1417" i="7"/>
  <c r="I1413" i="7"/>
  <c r="H1455" i="7"/>
  <c r="N1397" i="7"/>
  <c r="K1262" i="7"/>
  <c r="K631" i="7"/>
  <c r="S1445" i="7"/>
  <c r="L1421" i="7"/>
  <c r="K1490" i="7"/>
  <c r="S1343" i="7"/>
  <c r="L1418" i="7"/>
  <c r="H667" i="7"/>
  <c r="H1411" i="7"/>
  <c r="N1353" i="7"/>
  <c r="P1374" i="7"/>
  <c r="F1422" i="7"/>
  <c r="H826" i="7"/>
  <c r="F921" i="7"/>
  <c r="N1332" i="7"/>
  <c r="I1024" i="7"/>
  <c r="H898" i="7"/>
  <c r="F1418" i="7"/>
  <c r="G1010" i="7"/>
  <c r="G1394" i="7"/>
  <c r="I1494" i="7"/>
  <c r="N1380" i="7"/>
  <c r="N949" i="7"/>
  <c r="K1470" i="7"/>
  <c r="G631" i="7"/>
  <c r="S1493" i="7"/>
  <c r="O1431" i="7"/>
  <c r="K767" i="7"/>
  <c r="P1479" i="7"/>
  <c r="L1483" i="7"/>
  <c r="G1061" i="7"/>
  <c r="K1103" i="7"/>
  <c r="L835" i="7"/>
  <c r="M955" i="7"/>
  <c r="O1285" i="7"/>
  <c r="O1462" i="7"/>
  <c r="N1487" i="7"/>
  <c r="M1047" i="7"/>
  <c r="K1065" i="7"/>
  <c r="O1291" i="7"/>
  <c r="K991" i="7"/>
  <c r="O1079" i="7"/>
  <c r="N1166" i="7"/>
  <c r="M1333" i="7"/>
  <c r="O1330" i="7"/>
  <c r="I935" i="7"/>
  <c r="N1176" i="7"/>
  <c r="O1260" i="7"/>
  <c r="H1325" i="7"/>
  <c r="M1395" i="7"/>
  <c r="N1376" i="7"/>
  <c r="G1493" i="7"/>
  <c r="F1485" i="7"/>
  <c r="L1453" i="7"/>
  <c r="S954" i="7"/>
  <c r="M1424" i="7"/>
  <c r="K1279" i="7"/>
  <c r="O1460" i="7"/>
  <c r="O927" i="7"/>
  <c r="K945" i="7"/>
  <c r="P1377" i="7"/>
  <c r="P896" i="7"/>
  <c r="N1086" i="7"/>
  <c r="P1370" i="7"/>
  <c r="P1399" i="7"/>
  <c r="P648" i="7"/>
  <c r="O704" i="7"/>
  <c r="K1414" i="7"/>
  <c r="F1398" i="7"/>
  <c r="I1390" i="7"/>
  <c r="H1387" i="7"/>
  <c r="I1357" i="7"/>
  <c r="S1428" i="7"/>
  <c r="M1422" i="7"/>
  <c r="L1462" i="7"/>
  <c r="O1147" i="7"/>
  <c r="P1229" i="7"/>
  <c r="K789" i="7"/>
  <c r="H935" i="7"/>
  <c r="L1228" i="7"/>
  <c r="F1269" i="7"/>
  <c r="K1486" i="7"/>
  <c r="K1285" i="7"/>
  <c r="O1470" i="7"/>
  <c r="G1333" i="7"/>
  <c r="N1479" i="7"/>
  <c r="S1183" i="7"/>
  <c r="K1338" i="7"/>
  <c r="P1441" i="7"/>
  <c r="O786" i="7"/>
  <c r="N1228" i="7"/>
  <c r="L1436" i="7"/>
  <c r="P710" i="7"/>
  <c r="I1487" i="7"/>
  <c r="O697" i="7"/>
  <c r="N910" i="7"/>
  <c r="P696" i="7"/>
  <c r="H1129" i="7"/>
  <c r="K1350" i="7"/>
  <c r="G994" i="7"/>
  <c r="N675" i="7"/>
  <c r="S1032" i="7"/>
  <c r="P1408" i="7"/>
  <c r="P1017" i="7"/>
  <c r="K1307" i="7"/>
  <c r="G1318" i="7"/>
  <c r="S1330" i="7"/>
  <c r="M1369" i="7"/>
  <c r="S1281" i="7"/>
  <c r="M1281" i="7"/>
  <c r="I1197" i="7"/>
  <c r="S719" i="7"/>
  <c r="G1441" i="7"/>
  <c r="G709" i="7"/>
  <c r="K1086" i="7"/>
  <c r="L1126" i="7"/>
  <c r="K1223" i="7"/>
  <c r="F1116" i="7"/>
  <c r="I899" i="7"/>
  <c r="L1497" i="7"/>
  <c r="G1430" i="7"/>
  <c r="L1407" i="7"/>
  <c r="H1464" i="7"/>
  <c r="M1330" i="7"/>
  <c r="O1389" i="7"/>
  <c r="S1378" i="7"/>
  <c r="G1069" i="7"/>
  <c r="M1143" i="7"/>
  <c r="I1417" i="7"/>
  <c r="K1442" i="7"/>
  <c r="G1236" i="7"/>
  <c r="H1373" i="7"/>
  <c r="H1065" i="7"/>
  <c r="L1409" i="7"/>
  <c r="I1410" i="7"/>
  <c r="H1499" i="7"/>
  <c r="K1413" i="7"/>
  <c r="K749" i="7"/>
  <c r="N1411" i="7"/>
  <c r="F1332" i="7"/>
  <c r="S1376" i="7"/>
  <c r="G1364" i="7"/>
  <c r="G1377" i="7"/>
  <c r="I1444" i="7"/>
  <c r="I1462" i="7"/>
  <c r="N1358" i="7"/>
  <c r="O1115" i="7"/>
  <c r="I887" i="7"/>
  <c r="K1494" i="7"/>
  <c r="K1406" i="7"/>
  <c r="P1440" i="7"/>
  <c r="L1463" i="7"/>
  <c r="G1341" i="7"/>
  <c r="F1483" i="7"/>
  <c r="O1348" i="7"/>
  <c r="G1487" i="7"/>
  <c r="O1432" i="7"/>
  <c r="F1372" i="7"/>
  <c r="L1019" i="7"/>
  <c r="P1469" i="7"/>
  <c r="F1262" i="7"/>
  <c r="P1351" i="7"/>
  <c r="I1336" i="7"/>
  <c r="O1456" i="7"/>
  <c r="F982" i="7"/>
  <c r="N1445" i="7"/>
  <c r="K1299" i="7"/>
  <c r="L1402" i="7"/>
  <c r="O1007" i="7"/>
  <c r="O1186" i="7"/>
  <c r="S1439" i="7"/>
  <c r="F1499" i="7"/>
  <c r="S1396" i="7"/>
  <c r="I1366" i="7"/>
  <c r="F1392" i="7"/>
  <c r="P1135" i="7"/>
  <c r="P1414" i="7"/>
  <c r="H1417" i="7"/>
  <c r="L1499" i="7"/>
  <c r="H1360" i="7"/>
  <c r="L1368" i="7"/>
  <c r="L723" i="7"/>
  <c r="S1411" i="7"/>
  <c r="H1344" i="7"/>
  <c r="N1430" i="7"/>
  <c r="O1405" i="7"/>
  <c r="H1472" i="7"/>
  <c r="P1437" i="7"/>
  <c r="G856" i="7"/>
  <c r="G1491" i="7"/>
  <c r="P859" i="7"/>
  <c r="F1019" i="7"/>
  <c r="L1430" i="7"/>
  <c r="L1423" i="7"/>
  <c r="H1186" i="7"/>
  <c r="H1123" i="7"/>
  <c r="M1340" i="7"/>
  <c r="F1390" i="7"/>
  <c r="L709" i="7"/>
  <c r="K1427" i="7"/>
  <c r="K1388" i="7"/>
  <c r="N911" i="7"/>
  <c r="P917" i="7"/>
  <c r="O1384" i="7"/>
  <c r="S1421" i="7"/>
  <c r="I1482" i="7"/>
  <c r="M1389" i="7"/>
  <c r="L1425" i="7"/>
  <c r="P1496" i="7"/>
  <c r="N1068" i="7"/>
  <c r="I949" i="7"/>
  <c r="I954" i="7"/>
  <c r="S1419" i="7"/>
  <c r="M631" i="7"/>
  <c r="F1263" i="7"/>
  <c r="L737" i="7"/>
  <c r="L1394" i="7"/>
  <c r="O1459" i="7"/>
  <c r="O1041" i="7"/>
  <c r="P1482" i="7"/>
  <c r="O1380" i="7"/>
  <c r="M1380" i="7"/>
  <c r="M1456" i="7"/>
  <c r="N1396" i="7"/>
  <c r="L627" i="7"/>
  <c r="N982" i="7"/>
  <c r="K741" i="7"/>
  <c r="I1420" i="7"/>
  <c r="O1409" i="7"/>
  <c r="H1010" i="7"/>
  <c r="K1477" i="7"/>
  <c r="M695" i="7"/>
  <c r="G1420" i="7"/>
  <c r="G982" i="7"/>
  <c r="S1147" i="7"/>
  <c r="F1402" i="7"/>
  <c r="K1391" i="7"/>
  <c r="H1274" i="7"/>
  <c r="S1117" i="7"/>
  <c r="F1076" i="7"/>
  <c r="N956" i="7"/>
  <c r="P1130" i="7"/>
  <c r="O1262" i="7"/>
  <c r="N1331" i="7"/>
  <c r="O1391" i="7"/>
  <c r="F1368" i="7"/>
  <c r="O1315" i="7"/>
  <c r="P1476" i="7"/>
  <c r="I1412" i="7"/>
  <c r="P1500" i="7"/>
  <c r="H1354" i="7"/>
  <c r="F1388" i="7"/>
  <c r="I1032" i="7"/>
  <c r="L1459" i="7"/>
  <c r="M690" i="7"/>
  <c r="G1498" i="7"/>
  <c r="F1394" i="7"/>
  <c r="F1376" i="7"/>
  <c r="G1396" i="7"/>
  <c r="L1455" i="7"/>
  <c r="P789" i="7"/>
  <c r="F1494" i="7"/>
  <c r="N737" i="7"/>
  <c r="S723" i="7"/>
  <c r="S1366" i="7"/>
  <c r="M888" i="7"/>
  <c r="I1492" i="7"/>
  <c r="P1369" i="7"/>
  <c r="I728" i="7"/>
  <c r="O1385" i="7"/>
  <c r="P1472" i="7"/>
  <c r="S1443" i="7"/>
  <c r="F1400" i="7"/>
  <c r="N1450" i="7"/>
  <c r="N1484" i="7"/>
  <c r="P1450" i="7"/>
  <c r="M1375" i="7"/>
  <c r="L1229" i="7"/>
  <c r="K1224" i="7"/>
  <c r="S1410" i="7"/>
  <c r="N1424" i="7"/>
  <c r="G1371" i="7"/>
  <c r="S1484" i="7"/>
  <c r="L1226" i="7"/>
  <c r="H1432" i="7"/>
  <c r="G702" i="7"/>
  <c r="M1332" i="7"/>
  <c r="P1409" i="7"/>
  <c r="M1368" i="7"/>
  <c r="K1449" i="7"/>
  <c r="L1490" i="7"/>
  <c r="G626" i="7"/>
  <c r="S1402" i="7"/>
  <c r="F1472" i="7"/>
  <c r="S1369" i="7"/>
  <c r="S1354" i="7"/>
  <c r="S893" i="7"/>
  <c r="S1236" i="7"/>
  <c r="S1137" i="7"/>
  <c r="M1384" i="7"/>
  <c r="I924" i="7"/>
  <c r="G1393" i="7"/>
  <c r="H1488" i="7"/>
  <c r="K1480" i="7"/>
  <c r="G1016" i="7"/>
  <c r="O1434" i="7"/>
  <c r="P1358" i="7"/>
  <c r="L1366" i="7"/>
  <c r="O1408" i="7"/>
  <c r="L1203" i="7"/>
  <c r="G1427" i="7"/>
  <c r="G1469" i="7"/>
  <c r="P1179" i="7"/>
  <c r="K1465" i="7"/>
  <c r="N1391" i="7"/>
  <c r="F1411" i="7"/>
  <c r="K687" i="7"/>
  <c r="N1480" i="7"/>
  <c r="F1375" i="7"/>
  <c r="I1448" i="7"/>
  <c r="O633" i="7"/>
  <c r="P1439" i="7"/>
  <c r="N814" i="7"/>
  <c r="H1478" i="7"/>
  <c r="K1334" i="7"/>
  <c r="I1371" i="7"/>
  <c r="L1230" i="7"/>
  <c r="H1447" i="7"/>
  <c r="O1475" i="7"/>
  <c r="N1382" i="7"/>
  <c r="K1426" i="7"/>
  <c r="H1445" i="7"/>
  <c r="P1486" i="7"/>
  <c r="S885" i="7"/>
  <c r="F1302" i="7"/>
  <c r="M1179" i="7"/>
  <c r="I830" i="7"/>
  <c r="I1068" i="7"/>
  <c r="N1406" i="7"/>
  <c r="H680" i="7"/>
  <c r="I1143" i="7"/>
  <c r="P1041" i="7"/>
  <c r="L1186" i="7"/>
  <c r="G1008" i="7"/>
  <c r="I953" i="7"/>
  <c r="K690" i="7"/>
  <c r="O1464" i="7"/>
  <c r="G860" i="7"/>
  <c r="F865" i="7"/>
  <c r="S649" i="7"/>
  <c r="L1403" i="7"/>
  <c r="M1115" i="7"/>
  <c r="F708" i="7"/>
  <c r="L964" i="7"/>
  <c r="S1408" i="7"/>
  <c r="F1014" i="7"/>
  <c r="H856" i="7"/>
  <c r="L1417" i="7"/>
  <c r="K1468" i="7"/>
  <c r="S1392" i="7"/>
  <c r="N1325" i="7"/>
  <c r="N1478" i="7"/>
  <c r="G1378" i="7"/>
  <c r="I1468" i="7"/>
  <c r="K1473" i="7"/>
  <c r="M1147" i="7"/>
  <c r="L1381" i="7"/>
  <c r="L1470" i="7"/>
  <c r="M1040" i="7"/>
  <c r="P1038" i="7"/>
  <c r="K1362" i="7"/>
  <c r="G706" i="7"/>
  <c r="G1482" i="7"/>
  <c r="O1362" i="7"/>
  <c r="F1232" i="7"/>
  <c r="O1483" i="7"/>
  <c r="G1367" i="7"/>
  <c r="H1498" i="7"/>
  <c r="S1482" i="7"/>
  <c r="P1345" i="7"/>
  <c r="H836" i="7"/>
  <c r="F1469" i="7"/>
  <c r="S1404" i="7"/>
  <c r="N1395" i="7"/>
  <c r="N1458" i="7"/>
  <c r="F1446" i="7"/>
  <c r="K1143" i="7"/>
  <c r="S1444" i="7"/>
  <c r="P1065" i="7"/>
  <c r="F1348" i="7"/>
  <c r="G1372" i="7"/>
  <c r="H1229" i="7"/>
  <c r="I1406" i="7"/>
  <c r="O696" i="7"/>
  <c r="O1353" i="7"/>
  <c r="N1344" i="7"/>
  <c r="N1497" i="7"/>
  <c r="I1398" i="7"/>
  <c r="N1421" i="7"/>
  <c r="G1384" i="7"/>
  <c r="N1369" i="7"/>
  <c r="K648" i="7"/>
  <c r="H1480" i="7"/>
  <c r="K1112" i="7"/>
  <c r="K917" i="7"/>
  <c r="L1344" i="7"/>
  <c r="I1349" i="7"/>
  <c r="F1434" i="7"/>
  <c r="I1350" i="7"/>
  <c r="F1421" i="7"/>
  <c r="H1494" i="7"/>
  <c r="N1359" i="7"/>
  <c r="O1479" i="7"/>
  <c r="F1415" i="7"/>
  <c r="P887" i="7"/>
  <c r="I1442" i="7"/>
  <c r="O991" i="7"/>
  <c r="F1304" i="7"/>
  <c r="P1360" i="7"/>
  <c r="S1459" i="7"/>
  <c r="H1061" i="7"/>
  <c r="O1487" i="7"/>
  <c r="N1291" i="7"/>
  <c r="G1344" i="7"/>
  <c r="P1462" i="7"/>
  <c r="G1335" i="7"/>
  <c r="L1339" i="7"/>
  <c r="G1468" i="7"/>
  <c r="S1394" i="7"/>
  <c r="P1334" i="7"/>
  <c r="I1370" i="7"/>
  <c r="S1377" i="7"/>
  <c r="F1229" i="7"/>
  <c r="S1413" i="7"/>
  <c r="L1340" i="7"/>
  <c r="F814" i="7"/>
  <c r="N1360" i="7"/>
  <c r="M1439" i="7"/>
  <c r="L1429" i="7"/>
  <c r="L1335" i="7"/>
  <c r="G732" i="7"/>
  <c r="I1479" i="7"/>
  <c r="N1447" i="7"/>
  <c r="K1340" i="7"/>
  <c r="N1429" i="7"/>
  <c r="F675" i="7"/>
  <c r="I1344" i="7"/>
  <c r="K1347" i="7"/>
  <c r="K1401" i="7"/>
  <c r="P1420" i="7"/>
  <c r="K680" i="7"/>
  <c r="O1361" i="7"/>
  <c r="L1348" i="7"/>
  <c r="K1331" i="7"/>
  <c r="I1480" i="7"/>
  <c r="S949" i="7"/>
  <c r="K1203" i="7"/>
  <c r="F1423" i="7"/>
  <c r="I1453" i="7"/>
  <c r="G647" i="7"/>
  <c r="K826" i="7"/>
  <c r="H1391" i="7"/>
  <c r="M680" i="7"/>
  <c r="O648" i="7"/>
  <c r="I716" i="7"/>
  <c r="N1233" i="7"/>
  <c r="S1353" i="7"/>
  <c r="G1381" i="7"/>
  <c r="I1058" i="7"/>
  <c r="I1236" i="7"/>
  <c r="S1344" i="7"/>
  <c r="I1414" i="7"/>
  <c r="O628" i="7"/>
  <c r="S1462" i="7"/>
  <c r="L696" i="7"/>
  <c r="O1406" i="7"/>
  <c r="H638" i="7"/>
  <c r="O1424" i="7"/>
  <c r="N1457" i="7"/>
  <c r="K1330" i="7"/>
  <c r="L1400" i="7"/>
  <c r="P716" i="7"/>
  <c r="H633" i="7"/>
  <c r="P1079" i="7"/>
  <c r="F1369" i="7"/>
  <c r="S1442" i="7"/>
  <c r="O1426" i="7"/>
  <c r="L1262" i="7"/>
  <c r="O1032" i="7"/>
  <c r="O827" i="7"/>
  <c r="S1016" i="7"/>
  <c r="P1455" i="7"/>
  <c r="I1141" i="7"/>
  <c r="M1065" i="7"/>
  <c r="L762" i="7"/>
  <c r="L1369" i="7"/>
  <c r="M1163" i="7"/>
  <c r="I749" i="7"/>
  <c r="S1311" i="7"/>
  <c r="L1426" i="7"/>
  <c r="H1307" i="7"/>
  <c r="H1436" i="7"/>
  <c r="H1236" i="7"/>
  <c r="I1355" i="7"/>
  <c r="S1069" i="7"/>
  <c r="O1428" i="7"/>
  <c r="O1311" i="7"/>
  <c r="F875" i="7"/>
  <c r="K1355" i="7"/>
  <c r="F1413" i="7"/>
  <c r="M1260" i="7"/>
  <c r="S829" i="7"/>
  <c r="O908" i="7"/>
  <c r="H1353" i="7"/>
  <c r="M1392" i="7"/>
  <c r="K1461" i="7"/>
  <c r="L850" i="7"/>
  <c r="I994" i="7"/>
  <c r="S1429" i="7"/>
  <c r="L1337" i="7"/>
  <c r="L1032" i="7"/>
  <c r="M1440" i="7"/>
  <c r="L1333" i="7"/>
  <c r="K1500" i="7"/>
  <c r="F931" i="7"/>
  <c r="L1329" i="7"/>
  <c r="S693" i="7"/>
  <c r="H867" i="7"/>
  <c r="G1073" i="7"/>
  <c r="K1030" i="7"/>
  <c r="L821" i="7"/>
  <c r="S782" i="7"/>
  <c r="L927" i="7"/>
  <c r="G618" i="7"/>
  <c r="K982" i="7"/>
  <c r="K1403" i="7"/>
  <c r="L1343" i="7"/>
  <c r="K1073" i="7"/>
  <c r="P1381" i="7"/>
  <c r="N1499" i="7"/>
  <c r="H1260" i="7"/>
  <c r="M1311" i="7"/>
  <c r="O836" i="7"/>
  <c r="N1443" i="7"/>
  <c r="G1465" i="7"/>
  <c r="N782" i="7"/>
  <c r="G1475" i="7"/>
  <c r="H1347" i="7"/>
  <c r="F962" i="7"/>
  <c r="M1423" i="7"/>
  <c r="K1493" i="7"/>
  <c r="I747" i="7"/>
  <c r="H687" i="7"/>
  <c r="O1299" i="7"/>
  <c r="K1080" i="7"/>
  <c r="N1347" i="7"/>
  <c r="H1415" i="7"/>
  <c r="F1125" i="7"/>
  <c r="L1316" i="7"/>
  <c r="N1219" i="7"/>
  <c r="M1044" i="7"/>
  <c r="P893" i="7"/>
  <c r="F1457" i="7"/>
  <c r="S1441" i="7"/>
  <c r="L1183" i="7"/>
  <c r="S1276" i="7"/>
  <c r="H955" i="7"/>
  <c r="H1271" i="7"/>
  <c r="I737" i="7"/>
  <c r="H619" i="7"/>
  <c r="K1111" i="7"/>
  <c r="I1069" i="7"/>
  <c r="L1363" i="7"/>
  <c r="L818" i="7"/>
  <c r="L1302" i="7"/>
  <c r="I622" i="7"/>
  <c r="I782" i="7"/>
  <c r="I1204" i="7"/>
  <c r="H822" i="7"/>
  <c r="O656" i="7"/>
  <c r="P646" i="7"/>
  <c r="P1014" i="7"/>
  <c r="N1392" i="7"/>
  <c r="I1265" i="7"/>
  <c r="G1232" i="7"/>
  <c r="L897" i="7"/>
  <c r="F1159" i="7"/>
  <c r="F1230" i="7"/>
  <c r="G782" i="7"/>
  <c r="O1293" i="7"/>
  <c r="P1097" i="7"/>
  <c r="H1399" i="7"/>
  <c r="S1018" i="7"/>
  <c r="F1317" i="7"/>
  <c r="M762" i="7"/>
  <c r="F1204" i="7"/>
  <c r="H876" i="7"/>
  <c r="N1322" i="7"/>
  <c r="S1467" i="7"/>
  <c r="F1188" i="7"/>
  <c r="P943" i="7"/>
  <c r="F1197" i="7"/>
  <c r="H1500" i="7"/>
  <c r="O1486" i="7"/>
  <c r="N1138" i="7"/>
  <c r="L1109" i="7"/>
  <c r="S1312" i="7"/>
  <c r="H1163" i="7"/>
  <c r="O911" i="7"/>
  <c r="P724" i="7"/>
  <c r="N660" i="7"/>
  <c r="P1417" i="7"/>
  <c r="S1342" i="7"/>
  <c r="L827" i="7"/>
  <c r="O1020" i="7"/>
  <c r="L1307" i="7"/>
  <c r="K1415" i="7"/>
  <c r="L786" i="7"/>
  <c r="L1024" i="7"/>
  <c r="H1318" i="7"/>
  <c r="G1315" i="7"/>
  <c r="I1106" i="7"/>
  <c r="K679" i="7"/>
  <c r="O1417" i="7"/>
  <c r="I982" i="7"/>
  <c r="G804" i="7"/>
  <c r="P1109" i="7"/>
  <c r="F871" i="7"/>
  <c r="S1455" i="7"/>
  <c r="O1430" i="7"/>
  <c r="M1403" i="7"/>
  <c r="S1388" i="7"/>
  <c r="M1029" i="7"/>
  <c r="N1467" i="7"/>
  <c r="O1369" i="7"/>
  <c r="P894" i="7"/>
  <c r="N1144" i="7"/>
  <c r="O1163" i="7"/>
  <c r="K1183" i="7"/>
  <c r="I1403" i="7"/>
  <c r="L1023" i="7"/>
  <c r="O1232" i="7"/>
  <c r="M1019" i="7"/>
  <c r="I1439" i="7"/>
  <c r="G625" i="7"/>
  <c r="P1389" i="7"/>
  <c r="N1049" i="7"/>
  <c r="I847" i="7"/>
  <c r="S1038" i="7"/>
  <c r="G865" i="7"/>
  <c r="F1454" i="7"/>
  <c r="H1233" i="7"/>
  <c r="P1327" i="7"/>
  <c r="I1368" i="7"/>
  <c r="L1330" i="7"/>
  <c r="S907" i="7"/>
  <c r="M1141" i="7"/>
  <c r="I1098" i="7"/>
  <c r="H1453" i="7"/>
  <c r="O1454" i="7"/>
  <c r="S1078" i="7"/>
  <c r="M1100" i="7"/>
  <c r="O1458" i="7"/>
  <c r="I1269" i="7"/>
  <c r="G943" i="7"/>
  <c r="K1474" i="7"/>
  <c r="N1188" i="7"/>
  <c r="K1315" i="7"/>
  <c r="G1422" i="7"/>
  <c r="N1385" i="7"/>
  <c r="S1097" i="7"/>
  <c r="K1349" i="7"/>
  <c r="L1234" i="7"/>
  <c r="P955" i="7"/>
  <c r="P822" i="7"/>
  <c r="S631" i="7"/>
  <c r="G962" i="7"/>
  <c r="S728" i="7"/>
  <c r="N811" i="7"/>
  <c r="H1267" i="7"/>
  <c r="O892" i="7"/>
  <c r="P1278" i="7"/>
  <c r="S1362" i="7"/>
  <c r="K1368" i="7"/>
  <c r="O821" i="7"/>
  <c r="G836" i="7"/>
  <c r="G1470" i="7"/>
  <c r="F1380" i="7"/>
  <c r="M656" i="7"/>
  <c r="S1254" i="7"/>
  <c r="G1048" i="7"/>
  <c r="I1285" i="7"/>
  <c r="N776" i="7"/>
  <c r="O1058" i="7"/>
  <c r="N1489" i="7"/>
  <c r="H1032" i="7"/>
  <c r="L917" i="7"/>
  <c r="H641" i="7"/>
  <c r="S669" i="7"/>
  <c r="O868" i="7"/>
  <c r="I1007" i="7"/>
  <c r="N1236" i="7"/>
  <c r="K1188" i="7"/>
  <c r="S890" i="7"/>
  <c r="I1278" i="7"/>
  <c r="H1120" i="7"/>
  <c r="I1489" i="7"/>
  <c r="S887" i="7"/>
  <c r="P1304" i="7"/>
  <c r="I1288" i="7"/>
  <c r="N946" i="7"/>
  <c r="H1171" i="7"/>
  <c r="I1230" i="7"/>
  <c r="O1129" i="7"/>
  <c r="I878" i="7"/>
  <c r="O1378" i="7"/>
  <c r="O777" i="7"/>
  <c r="G1276" i="7"/>
  <c r="G697" i="7"/>
  <c r="K1366" i="7"/>
  <c r="L802" i="7"/>
  <c r="S895" i="7"/>
  <c r="S1129" i="7"/>
  <c r="K1466" i="7"/>
  <c r="M1339" i="7"/>
  <c r="S1220" i="7"/>
  <c r="G791" i="7"/>
  <c r="L819" i="7"/>
  <c r="L1199" i="7"/>
  <c r="N626" i="7"/>
  <c r="I1008" i="7"/>
  <c r="H1083" i="7"/>
  <c r="M751" i="7"/>
  <c r="F1008" i="7"/>
  <c r="S1058" i="7"/>
  <c r="S1471" i="7"/>
  <c r="M1463" i="7"/>
  <c r="H807" i="7"/>
  <c r="K953" i="7"/>
  <c r="P614" i="7"/>
  <c r="M634" i="7"/>
  <c r="F692" i="7"/>
  <c r="N1157" i="7"/>
  <c r="P1393" i="7"/>
  <c r="O687" i="7"/>
  <c r="K1400" i="7"/>
  <c r="M1168" i="7"/>
  <c r="S647" i="7"/>
  <c r="L1213" i="7"/>
  <c r="S956" i="7"/>
  <c r="K1396" i="7"/>
  <c r="I821" i="7"/>
  <c r="P1276" i="7"/>
  <c r="M1299" i="7"/>
  <c r="L1076" i="7"/>
  <c r="S1338" i="7"/>
  <c r="L1473" i="7"/>
  <c r="M1483" i="7"/>
  <c r="M776" i="7"/>
  <c r="H1427" i="7"/>
  <c r="L1398" i="7"/>
  <c r="L895" i="7"/>
  <c r="S1483" i="7"/>
  <c r="P1258" i="7"/>
  <c r="S1265" i="7"/>
  <c r="M1268" i="7"/>
  <c r="S762" i="7"/>
  <c r="H1367" i="7"/>
  <c r="O1274" i="7"/>
  <c r="G814" i="7"/>
  <c r="G1419" i="7"/>
  <c r="F1010" i="7"/>
  <c r="O1467" i="7"/>
  <c r="P1350" i="7"/>
  <c r="I1463" i="7"/>
  <c r="F1023" i="7"/>
  <c r="G829" i="7"/>
  <c r="F836" i="7"/>
  <c r="N1232" i="7"/>
  <c r="P1291" i="7"/>
  <c r="S1340" i="7"/>
  <c r="M1233" i="7"/>
  <c r="F1466" i="7"/>
  <c r="G634" i="7"/>
  <c r="M805" i="7"/>
  <c r="K1308" i="7"/>
  <c r="N1204" i="7"/>
  <c r="H949" i="7"/>
  <c r="F1420" i="7"/>
  <c r="K1106" i="7"/>
  <c r="M1203" i="7"/>
  <c r="F1497" i="7"/>
  <c r="F1367" i="7"/>
  <c r="P725" i="7"/>
  <c r="S988" i="7"/>
  <c r="I627" i="7"/>
  <c r="N1371" i="7"/>
  <c r="H760" i="7"/>
  <c r="I1347" i="7"/>
  <c r="F1412" i="7"/>
  <c r="H1180" i="7"/>
  <c r="H1477" i="7"/>
  <c r="N620" i="7"/>
  <c r="H1343" i="7"/>
  <c r="N912" i="7"/>
  <c r="S741" i="7"/>
  <c r="L838" i="7"/>
  <c r="S1130" i="7"/>
  <c r="M917" i="7"/>
  <c r="S1263" i="7"/>
  <c r="M1391" i="7"/>
  <c r="P747" i="7"/>
  <c r="F1298" i="7"/>
  <c r="S982" i="7"/>
  <c r="N1405" i="7"/>
  <c r="K1169" i="7"/>
  <c r="S748" i="7"/>
  <c r="N1454" i="7"/>
  <c r="P1117" i="7"/>
  <c r="S993" i="7"/>
  <c r="M638" i="7"/>
  <c r="F859" i="7"/>
  <c r="S834" i="7"/>
  <c r="G696" i="7"/>
  <c r="L765" i="7"/>
  <c r="I981" i="7"/>
  <c r="F1311" i="7"/>
  <c r="L1325" i="7"/>
  <c r="I1171" i="7"/>
  <c r="P627" i="7"/>
  <c r="M1493" i="7"/>
  <c r="F625" i="7"/>
  <c r="F808" i="7"/>
  <c r="K1359" i="7"/>
  <c r="S757" i="7"/>
  <c r="L1390" i="7"/>
  <c r="G1363" i="7"/>
  <c r="G1380" i="7"/>
  <c r="L861" i="7"/>
  <c r="O1477" i="7"/>
  <c r="L1414" i="7"/>
  <c r="K1141" i="7"/>
  <c r="S630" i="7"/>
  <c r="P1052" i="7"/>
  <c r="G888" i="7"/>
  <c r="I1474" i="7"/>
  <c r="S687" i="7"/>
  <c r="G913" i="7"/>
  <c r="S990" i="7"/>
  <c r="S1425" i="7"/>
  <c r="G878" i="7"/>
  <c r="S1231" i="7"/>
  <c r="I1360" i="7"/>
  <c r="M1180" i="7"/>
  <c r="F985" i="7"/>
  <c r="P1376" i="7"/>
  <c r="N1442" i="7"/>
  <c r="G961" i="7"/>
  <c r="L885" i="7"/>
  <c r="O1327" i="7"/>
  <c r="N1016" i="7"/>
  <c r="I1089" i="7"/>
  <c r="G1324" i="7"/>
  <c r="M1486" i="7"/>
  <c r="L970" i="7"/>
  <c r="S927" i="7"/>
  <c r="I1180" i="7"/>
  <c r="S1267" i="7"/>
  <c r="K886" i="7"/>
  <c r="L1027" i="7"/>
  <c r="I1054" i="7"/>
  <c r="N692" i="7"/>
  <c r="K1234" i="7"/>
  <c r="F852" i="7"/>
  <c r="M778" i="7"/>
  <c r="I1330" i="7"/>
  <c r="M1097" i="7"/>
  <c r="M815" i="7"/>
  <c r="L648" i="7"/>
  <c r="H913" i="7"/>
  <c r="K623" i="7"/>
  <c r="I750" i="7"/>
  <c r="G1285" i="7"/>
  <c r="N1334" i="7"/>
  <c r="P1491" i="7"/>
  <c r="S896" i="7"/>
  <c r="H1351" i="7"/>
  <c r="G1495" i="7"/>
  <c r="G1233" i="7"/>
  <c r="N716" i="7"/>
  <c r="I1455" i="7"/>
  <c r="L736" i="7"/>
  <c r="S1112" i="7"/>
  <c r="K1354" i="7"/>
  <c r="L962" i="7"/>
  <c r="K994" i="7"/>
  <c r="F1143" i="7"/>
  <c r="O1497" i="7"/>
  <c r="G1455" i="7"/>
  <c r="S943" i="7"/>
  <c r="H776" i="7"/>
  <c r="H1345" i="7"/>
  <c r="S847" i="7"/>
  <c r="G1163" i="7"/>
  <c r="M1041" i="7"/>
  <c r="M732" i="7"/>
  <c r="N706" i="7"/>
  <c r="L1216" i="7"/>
  <c r="K1324" i="7"/>
  <c r="N1069" i="7"/>
  <c r="K1313" i="7"/>
  <c r="F1408" i="7"/>
  <c r="N1108" i="7"/>
  <c r="H1265" i="7"/>
  <c r="L1147" i="7"/>
  <c r="G1079" i="7"/>
  <c r="I1227" i="7"/>
  <c r="L1442" i="7"/>
  <c r="H1068" i="7"/>
  <c r="L924" i="7"/>
  <c r="K834" i="7"/>
  <c r="H838" i="7"/>
  <c r="O898" i="7"/>
  <c r="F1419" i="7"/>
  <c r="P927" i="7"/>
  <c r="L760" i="7"/>
  <c r="N1229" i="7"/>
  <c r="P1402" i="7"/>
  <c r="O917" i="7"/>
  <c r="I1485" i="7"/>
  <c r="G1450" i="7"/>
  <c r="G774" i="7"/>
  <c r="G909" i="7"/>
  <c r="K1225" i="7"/>
  <c r="M1347" i="7"/>
  <c r="S991" i="7"/>
  <c r="L945" i="7"/>
  <c r="O1351" i="7"/>
  <c r="K962" i="7"/>
  <c r="O1446" i="7"/>
  <c r="S1406" i="7"/>
  <c r="G1176" i="7"/>
  <c r="L1031" i="7"/>
  <c r="H945" i="7"/>
  <c r="S937" i="7"/>
  <c r="I1433" i="7"/>
  <c r="L631" i="7"/>
  <c r="N723" i="7"/>
  <c r="K624" i="7"/>
  <c r="H808" i="7"/>
  <c r="F1225" i="7"/>
  <c r="M1032" i="7"/>
  <c r="F753" i="7"/>
  <c r="G954" i="7"/>
  <c r="O776" i="7"/>
  <c r="K1444" i="7"/>
  <c r="N1151" i="7"/>
  <c r="H875" i="7"/>
  <c r="F1233" i="7"/>
  <c r="H1034" i="7"/>
  <c r="H936" i="7"/>
  <c r="M985" i="7"/>
  <c r="N875" i="7"/>
  <c r="F791" i="7"/>
  <c r="S1391" i="7"/>
  <c r="H1381" i="7"/>
  <c r="P1054" i="7"/>
  <c r="I1438" i="7"/>
  <c r="O1411" i="7"/>
  <c r="F860" i="7"/>
  <c r="L1408" i="7"/>
  <c r="G988" i="7"/>
  <c r="L1482" i="7"/>
  <c r="G1490" i="7"/>
  <c r="M1185" i="7"/>
  <c r="S1052" i="7"/>
  <c r="I876" i="7"/>
  <c r="G1183" i="7"/>
  <c r="G858" i="7"/>
  <c r="M1442" i="7"/>
  <c r="O1001" i="7"/>
  <c r="S680" i="7"/>
  <c r="N821" i="7"/>
  <c r="P786" i="7"/>
  <c r="K734" i="7"/>
  <c r="N1020" i="7"/>
  <c r="G1400" i="7"/>
  <c r="I1467" i="7"/>
  <c r="G1305" i="7"/>
  <c r="L912" i="7"/>
  <c r="O1398" i="7"/>
  <c r="K1348" i="7"/>
  <c r="G1077" i="7"/>
  <c r="G934" i="7"/>
  <c r="H1184" i="7"/>
  <c r="I1111" i="7"/>
  <c r="K1229" i="7"/>
  <c r="N1253" i="7"/>
  <c r="I1170" i="7"/>
  <c r="L1266" i="7"/>
  <c r="P633" i="7"/>
  <c r="I1061" i="7"/>
  <c r="P723" i="7"/>
  <c r="K1064" i="7"/>
  <c r="O1412" i="7"/>
  <c r="N890" i="7"/>
  <c r="O732" i="7"/>
  <c r="L1293" i="7"/>
  <c r="I1460" i="7"/>
  <c r="N1336" i="7"/>
  <c r="H1372" i="7"/>
  <c r="F1271" i="7"/>
  <c r="N1423" i="7"/>
  <c r="F1374" i="7"/>
  <c r="F819" i="7"/>
  <c r="F1464" i="7"/>
  <c r="I1305" i="7"/>
  <c r="M1169" i="7"/>
  <c r="F1416" i="7"/>
  <c r="F1343" i="7"/>
  <c r="P1478" i="7"/>
  <c r="N1383" i="7"/>
  <c r="H629" i="7"/>
  <c r="P1447" i="7"/>
  <c r="K1140" i="7"/>
  <c r="P1456" i="7"/>
  <c r="H1473" i="7"/>
  <c r="M1470" i="7"/>
  <c r="M819" i="7"/>
  <c r="L860" i="7"/>
  <c r="S1133" i="7"/>
  <c r="H1197" i="7"/>
  <c r="P1426" i="7"/>
  <c r="L1360" i="7"/>
  <c r="O627" i="7"/>
  <c r="S1494" i="7"/>
  <c r="K1421" i="7"/>
  <c r="M1376" i="7"/>
  <c r="F1048" i="7"/>
  <c r="H1168" i="7"/>
  <c r="L1334" i="7"/>
  <c r="K723" i="7"/>
  <c r="M706" i="7"/>
  <c r="M811" i="7"/>
  <c r="G1438" i="7"/>
  <c r="N1422" i="7"/>
  <c r="M623" i="7"/>
  <c r="N770" i="7"/>
  <c r="P946" i="7"/>
  <c r="M1144" i="7"/>
  <c r="L986" i="7"/>
  <c r="H999" i="7"/>
  <c r="K1382" i="7"/>
  <c r="F1134" i="7"/>
  <c r="O1342" i="7"/>
  <c r="P1322" i="7"/>
  <c r="M1418" i="7"/>
  <c r="P799" i="7"/>
  <c r="I895" i="7"/>
  <c r="H1137" i="7"/>
  <c r="F757" i="7"/>
  <c r="M633" i="7"/>
  <c r="O1109" i="7"/>
  <c r="S704" i="7"/>
  <c r="K1475" i="7"/>
  <c r="G1432" i="7"/>
  <c r="F728" i="7"/>
  <c r="K1067" i="7"/>
  <c r="N657" i="7"/>
  <c r="K911" i="7"/>
  <c r="P1463" i="7"/>
  <c r="N1386" i="7"/>
  <c r="I1165" i="7"/>
  <c r="M1170" i="7"/>
  <c r="L626" i="7"/>
  <c r="N615" i="7"/>
  <c r="S945" i="7"/>
  <c r="H677" i="7"/>
  <c r="I1076" i="7"/>
  <c r="L1218" i="7"/>
  <c r="P914" i="7"/>
  <c r="N679" i="7"/>
  <c r="F1038" i="7"/>
  <c r="N1257" i="7"/>
  <c r="H937" i="7"/>
  <c r="S635" i="7"/>
  <c r="N1077" i="7"/>
  <c r="P945" i="7"/>
  <c r="G1186" i="7"/>
  <c r="O1414" i="7"/>
  <c r="M1204" i="7"/>
  <c r="O1279" i="7"/>
  <c r="G1260" i="7"/>
  <c r="P956" i="7"/>
  <c r="P732" i="7"/>
  <c r="P1425" i="7"/>
  <c r="P1228" i="7"/>
  <c r="N962" i="7"/>
  <c r="H940" i="7"/>
  <c r="I1327" i="7"/>
  <c r="M723" i="7"/>
  <c r="K1027" i="7"/>
  <c r="M1356" i="7"/>
  <c r="P663" i="7"/>
  <c r="H634" i="7"/>
  <c r="L1014" i="7"/>
  <c r="H1256" i="7"/>
  <c r="G1193" i="7"/>
  <c r="G638" i="7"/>
  <c r="O641" i="7"/>
  <c r="H831" i="7"/>
  <c r="L826" i="7"/>
  <c r="N1163" i="7"/>
  <c r="I929" i="7"/>
  <c r="I1078" i="7"/>
  <c r="K1312" i="7"/>
  <c r="O1307" i="7"/>
  <c r="M1030" i="7"/>
  <c r="I1109" i="7"/>
  <c r="N1361" i="7"/>
  <c r="M1481" i="7"/>
  <c r="G1042" i="7"/>
  <c r="L983" i="7"/>
  <c r="I1214" i="7"/>
  <c r="M687" i="7"/>
  <c r="O684" i="7"/>
  <c r="K850" i="7"/>
  <c r="M1008" i="7"/>
  <c r="P1186" i="7"/>
  <c r="F631" i="7"/>
  <c r="F1220" i="7"/>
  <c r="G1197" i="7"/>
  <c r="K1365" i="7"/>
  <c r="N1079" i="7"/>
  <c r="S1386" i="7"/>
  <c r="I1250" i="7"/>
  <c r="M753" i="7"/>
  <c r="N1381" i="7"/>
  <c r="M1455" i="7"/>
  <c r="S1332" i="7"/>
  <c r="N1432" i="7"/>
  <c r="F1453" i="7"/>
  <c r="P1197" i="7"/>
  <c r="M1216" i="7"/>
  <c r="M1103" i="7"/>
  <c r="L1479" i="7"/>
  <c r="O1015" i="7"/>
  <c r="L1327" i="7"/>
  <c r="O736" i="7"/>
  <c r="F893" i="7"/>
  <c r="P1340" i="7"/>
  <c r="P813" i="7"/>
  <c r="F667" i="7"/>
  <c r="P1199" i="7"/>
  <c r="G1106" i="7"/>
  <c r="H1203" i="7"/>
  <c r="H1192" i="7"/>
  <c r="O1024" i="7"/>
  <c r="G1339" i="7"/>
  <c r="G728" i="7"/>
  <c r="I696" i="7"/>
  <c r="P1492" i="7"/>
  <c r="K717" i="7"/>
  <c r="H1311" i="7"/>
  <c r="I1047" i="7"/>
  <c r="G1203" i="7"/>
  <c r="N1398" i="7"/>
  <c r="N1268" i="7"/>
  <c r="P1473" i="7"/>
  <c r="H887" i="7"/>
  <c r="M1262" i="7"/>
  <c r="N1387" i="7"/>
  <c r="H1069" i="7"/>
  <c r="K1109" i="7"/>
  <c r="O1500" i="7"/>
  <c r="I1140" i="7"/>
  <c r="G813" i="7"/>
  <c r="P1095" i="7"/>
  <c r="M1477" i="7"/>
  <c r="N1041" i="7"/>
  <c r="L1495" i="7"/>
  <c r="O1169" i="7"/>
  <c r="N1438" i="7"/>
  <c r="K927" i="7"/>
  <c r="G1185" i="7"/>
  <c r="P1008" i="7"/>
  <c r="G1345" i="7"/>
  <c r="M1453" i="7"/>
  <c r="O887" i="7"/>
  <c r="O1257" i="7"/>
  <c r="F1128" i="7"/>
  <c r="P1223" i="7"/>
  <c r="F1111" i="7"/>
  <c r="K808" i="7"/>
  <c r="K818" i="7"/>
  <c r="S1475" i="7"/>
  <c r="I871" i="7"/>
  <c r="I789" i="7"/>
  <c r="F1295" i="7"/>
  <c r="P951" i="7"/>
  <c r="I1393" i="7"/>
  <c r="S1368" i="7"/>
  <c r="K1250" i="7"/>
  <c r="K827" i="7"/>
  <c r="F827" i="7"/>
  <c r="L1371" i="7"/>
  <c r="P1266" i="7"/>
  <c r="P1321" i="7"/>
  <c r="F1406" i="7"/>
  <c r="G918" i="7"/>
  <c r="I732" i="7"/>
  <c r="S1460" i="7"/>
  <c r="G979" i="7"/>
  <c r="M1218" i="7"/>
  <c r="G1170" i="7"/>
  <c r="O914" i="7"/>
  <c r="S667" i="7"/>
  <c r="O1192" i="7"/>
  <c r="L899" i="7"/>
  <c r="O1308" i="7"/>
  <c r="O1473" i="7"/>
  <c r="I1423" i="7"/>
  <c r="M1226" i="7"/>
  <c r="F1465" i="7"/>
  <c r="H1014" i="7"/>
  <c r="M1450" i="7"/>
  <c r="H970" i="7"/>
  <c r="F649" i="7"/>
  <c r="O695" i="7"/>
  <c r="P949" i="7"/>
  <c r="L1372" i="7"/>
  <c r="N681" i="7"/>
  <c r="K1257" i="7"/>
  <c r="H1079" i="7"/>
  <c r="I630" i="7"/>
  <c r="K1439" i="7"/>
  <c r="N955" i="7"/>
  <c r="K1129" i="7"/>
  <c r="L720" i="7"/>
  <c r="G1375" i="7"/>
  <c r="P1231" i="7"/>
  <c r="N1365" i="7"/>
  <c r="S814" i="7"/>
  <c r="N810" i="7"/>
  <c r="P1129" i="7"/>
  <c r="G1359" i="7"/>
  <c r="L1148" i="7"/>
  <c r="M675" i="7"/>
  <c r="G1116" i="7"/>
  <c r="M1078" i="7"/>
  <c r="M1076" i="7"/>
  <c r="N700" i="7"/>
  <c r="L935" i="7"/>
  <c r="M1057" i="7"/>
  <c r="F917" i="7"/>
  <c r="M856" i="7"/>
  <c r="N1148" i="7"/>
  <c r="O975" i="7"/>
  <c r="I880" i="7"/>
  <c r="S1109" i="7"/>
  <c r="I1465" i="7"/>
  <c r="I1435" i="7"/>
  <c r="I1459" i="7"/>
  <c r="L1410" i="7"/>
  <c r="G1480" i="7"/>
  <c r="I856" i="7"/>
  <c r="L1047" i="7"/>
  <c r="P1188" i="7"/>
  <c r="I1256" i="7"/>
  <c r="G1417" i="7"/>
  <c r="F1391" i="7"/>
  <c r="F720" i="7"/>
  <c r="O913" i="7"/>
  <c r="F1236" i="7"/>
  <c r="I709" i="7"/>
  <c r="G1492" i="7"/>
  <c r="S656" i="7"/>
  <c r="G617" i="7"/>
  <c r="G1447" i="7"/>
  <c r="S1269" i="7"/>
  <c r="G1269" i="7"/>
  <c r="F1495" i="7"/>
  <c r="H747" i="7"/>
  <c r="N1401" i="7"/>
  <c r="F1129" i="7"/>
  <c r="K865" i="7"/>
  <c r="F1079" i="7"/>
  <c r="F897" i="7"/>
  <c r="L1140" i="7"/>
  <c r="G1435" i="7"/>
  <c r="S1307" i="7"/>
  <c r="L764" i="7"/>
  <c r="P634" i="7"/>
  <c r="G1169" i="7"/>
  <c r="H989" i="7"/>
  <c r="G1019" i="7"/>
  <c r="G1115" i="7"/>
  <c r="G835" i="7"/>
  <c r="P1421" i="7"/>
  <c r="P675" i="7"/>
  <c r="F1354" i="7"/>
  <c r="H1352" i="7"/>
  <c r="K1325" i="7"/>
  <c r="M962" i="7"/>
  <c r="H1019" i="7"/>
  <c r="P1332" i="7"/>
  <c r="N1356" i="7"/>
  <c r="F1426" i="7"/>
  <c r="M1086" i="7"/>
  <c r="S1420" i="7"/>
  <c r="N624" i="7"/>
  <c r="H1151" i="7"/>
  <c r="N1402" i="7"/>
  <c r="N892" i="7"/>
  <c r="S783" i="7"/>
  <c r="I1067" i="7"/>
  <c r="M818" i="7"/>
  <c r="F1410" i="7"/>
  <c r="I951" i="7"/>
  <c r="P745" i="7"/>
  <c r="N1339" i="7"/>
  <c r="L1010" i="7"/>
  <c r="N1115" i="7"/>
  <c r="S961" i="7"/>
  <c r="M717" i="7"/>
  <c r="O826" i="7"/>
  <c r="G1136" i="7"/>
  <c r="M1396" i="7"/>
  <c r="M841" i="7"/>
  <c r="P964" i="7"/>
  <c r="K1253" i="7"/>
  <c r="I824" i="7"/>
  <c r="O1498" i="7"/>
  <c r="H1496" i="7"/>
  <c r="O716" i="7"/>
  <c r="O985" i="7"/>
  <c r="N1131" i="7"/>
  <c r="M1220" i="7"/>
  <c r="F749" i="7"/>
  <c r="N1047" i="7"/>
  <c r="P1064" i="7"/>
  <c r="F647" i="7"/>
  <c r="L1467" i="7"/>
  <c r="L1002" i="7"/>
  <c r="I760" i="7"/>
  <c r="I1332" i="7"/>
  <c r="I859" i="7"/>
  <c r="F999" i="7"/>
  <c r="M799" i="7"/>
  <c r="P647" i="7"/>
  <c r="H889" i="7"/>
  <c r="L1253" i="7"/>
  <c r="F863" i="7"/>
  <c r="O694" i="7"/>
  <c r="K824" i="7"/>
  <c r="L746" i="7"/>
  <c r="I1129" i="7"/>
  <c r="K1115" i="7"/>
  <c r="S1423" i="7"/>
  <c r="H1452" i="7"/>
  <c r="G1312" i="7"/>
  <c r="M1344" i="7"/>
  <c r="N1486" i="7"/>
  <c r="I629" i="7"/>
  <c r="L1048" i="7"/>
  <c r="M1437" i="7"/>
  <c r="N1103" i="7"/>
  <c r="M829" i="7"/>
  <c r="I1486" i="7"/>
  <c r="O749" i="7"/>
  <c r="O942" i="7"/>
  <c r="I1476" i="7"/>
  <c r="S1424" i="7"/>
  <c r="L710" i="7"/>
  <c r="G887" i="7"/>
  <c r="H857" i="7"/>
  <c r="M1304" i="7"/>
  <c r="I883" i="7"/>
  <c r="M853" i="7"/>
  <c r="S983" i="7"/>
  <c r="P761" i="7"/>
  <c r="S1020" i="7"/>
  <c r="G981" i="7"/>
  <c r="F1371" i="7"/>
  <c r="O1469" i="7"/>
  <c r="L1498" i="7"/>
  <c r="O1491" i="7"/>
  <c r="P1423" i="7"/>
  <c r="H1016" i="7"/>
  <c r="P1405" i="7"/>
  <c r="K725" i="7"/>
  <c r="F1274" i="7"/>
  <c r="I1229" i="7"/>
  <c r="S1324" i="7"/>
  <c r="K1058" i="7"/>
  <c r="I1192" i="7"/>
  <c r="M1381" i="7"/>
  <c r="S1454" i="7"/>
  <c r="H1426" i="7"/>
  <c r="P1128" i="7"/>
  <c r="S1065" i="7"/>
  <c r="S1227" i="7"/>
  <c r="O964" i="7"/>
  <c r="O889" i="7"/>
  <c r="M893" i="7"/>
  <c r="L1474" i="7"/>
  <c r="F1339" i="7"/>
  <c r="O1027" i="7"/>
  <c r="N1441" i="7"/>
  <c r="L1438" i="7"/>
  <c r="O1229" i="7"/>
  <c r="O811" i="7"/>
  <c r="O1349" i="7"/>
  <c r="O810" i="7"/>
  <c r="P1461" i="7"/>
  <c r="S969" i="7"/>
  <c r="L1431" i="7"/>
  <c r="I1377" i="7"/>
  <c r="P1157" i="7"/>
  <c r="H1144" i="7"/>
  <c r="L1354" i="7"/>
  <c r="P1490" i="7"/>
  <c r="M1412" i="7"/>
  <c r="I1385" i="7"/>
  <c r="G1311" i="7"/>
  <c r="H1405" i="7"/>
  <c r="F1389" i="7"/>
  <c r="K1120" i="7"/>
  <c r="P1307" i="7"/>
  <c r="K1433" i="7"/>
  <c r="L949" i="7"/>
  <c r="N1274" i="7"/>
  <c r="L1196" i="7"/>
  <c r="I1070" i="7"/>
  <c r="O1076" i="7"/>
  <c r="P1480" i="7"/>
  <c r="G1259" i="7"/>
  <c r="H873" i="7"/>
  <c r="L1192" i="7"/>
  <c r="H819" i="7"/>
  <c r="H909" i="7"/>
  <c r="P826" i="7"/>
  <c r="G1329" i="7"/>
  <c r="N1500" i="7"/>
  <c r="M713" i="7"/>
  <c r="O1227" i="7"/>
  <c r="M1129" i="7"/>
  <c r="P767" i="7"/>
  <c r="F1199" i="7"/>
  <c r="K954" i="7"/>
  <c r="L693" i="7"/>
  <c r="S1225" i="7"/>
  <c r="K1469" i="7"/>
  <c r="S1029" i="7"/>
  <c r="L1167" i="7"/>
  <c r="L1166" i="7"/>
  <c r="I765" i="7"/>
  <c r="G1431" i="7"/>
  <c r="P1337" i="7"/>
  <c r="N889" i="7"/>
  <c r="M709" i="7"/>
  <c r="O1019" i="7"/>
  <c r="G1365" i="7"/>
  <c r="K1144" i="7"/>
  <c r="M664" i="7"/>
  <c r="M1264" i="7"/>
  <c r="K898" i="7"/>
  <c r="K1132" i="7"/>
  <c r="F820" i="7"/>
  <c r="I624" i="7"/>
  <c r="N921" i="7"/>
  <c r="K661" i="7"/>
  <c r="N961" i="7"/>
  <c r="K935" i="7"/>
  <c r="S744" i="7"/>
  <c r="K1357" i="7"/>
  <c r="L1029" i="7"/>
  <c r="G1263" i="7"/>
  <c r="O1400" i="7"/>
  <c r="F660" i="7"/>
  <c r="M813" i="7"/>
  <c r="S1488" i="7"/>
  <c r="H802" i="7"/>
  <c r="O937" i="7"/>
  <c r="S1296" i="7"/>
  <c r="L1089" i="7"/>
  <c r="I1147" i="7"/>
  <c r="N1222" i="7"/>
  <c r="G1489" i="7"/>
  <c r="S677" i="7"/>
  <c r="H1400" i="7"/>
  <c r="P838" i="7"/>
  <c r="O1305" i="7"/>
  <c r="F947" i="7"/>
  <c r="G677" i="7"/>
  <c r="K883" i="7"/>
  <c r="O1429" i="7"/>
  <c r="M1460" i="7"/>
  <c r="G1302" i="7"/>
  <c r="P1477" i="7"/>
  <c r="F831" i="7"/>
  <c r="N1171" i="7"/>
  <c r="M1151" i="7"/>
  <c r="F959" i="7"/>
  <c r="F935" i="7"/>
  <c r="O1350" i="7"/>
  <c r="O912" i="7"/>
  <c r="S812" i="7"/>
  <c r="O1444" i="7"/>
  <c r="K1462" i="7"/>
  <c r="O1302" i="7"/>
  <c r="F776" i="7"/>
  <c r="N994" i="7"/>
  <c r="H1336" i="7"/>
  <c r="F1340" i="7"/>
  <c r="K1266" i="7"/>
  <c r="L649" i="7"/>
  <c r="L876" i="7"/>
  <c r="K1339" i="7"/>
  <c r="S1403" i="7"/>
  <c r="M954" i="7"/>
  <c r="S889" i="7"/>
  <c r="N696" i="7"/>
  <c r="N1407" i="7"/>
  <c r="I1447" i="7"/>
  <c r="H1273" i="7"/>
  <c r="G1017" i="7"/>
  <c r="M1027" i="7"/>
  <c r="L914" i="7"/>
  <c r="N1057" i="7"/>
  <c r="K1440" i="7"/>
  <c r="K1041" i="7"/>
  <c r="G898" i="7"/>
  <c r="O1140" i="7"/>
  <c r="O1455" i="7"/>
  <c r="H1330" i="7"/>
  <c r="N680" i="7"/>
  <c r="L782" i="7"/>
  <c r="F1285" i="7"/>
  <c r="G1029" i="7"/>
  <c r="P821" i="7"/>
  <c r="I813" i="7"/>
  <c r="M1383" i="7"/>
  <c r="L811" i="7"/>
  <c r="H669" i="7"/>
  <c r="G1494" i="7"/>
  <c r="I1419" i="7"/>
  <c r="L1440" i="7"/>
  <c r="L656" i="7"/>
  <c r="M1109" i="7"/>
  <c r="L829" i="7"/>
  <c r="F1500" i="7"/>
  <c r="S959" i="7"/>
  <c r="M949" i="7"/>
  <c r="P935" i="7"/>
  <c r="L1232" i="7"/>
  <c r="I1100" i="7"/>
  <c r="G1446" i="7"/>
  <c r="H656" i="7"/>
  <c r="I1310" i="7"/>
  <c r="O828" i="7"/>
  <c r="G894" i="7"/>
  <c r="S618" i="7"/>
  <c r="F1218" i="7"/>
  <c r="S1414" i="7"/>
  <c r="G1020" i="7"/>
  <c r="M1266" i="7"/>
  <c r="H1223" i="7"/>
  <c r="L659" i="7"/>
  <c r="P1348" i="7"/>
  <c r="F848" i="7"/>
  <c r="N1141" i="7"/>
  <c r="M1217" i="7"/>
  <c r="H1100" i="7"/>
  <c r="L1093" i="7"/>
  <c r="N802" i="7"/>
  <c r="F955" i="7"/>
  <c r="N623" i="7"/>
  <c r="N1192" i="7"/>
  <c r="K1032" i="7"/>
  <c r="M1137" i="7"/>
  <c r="N1168" i="7"/>
  <c r="H799" i="7"/>
  <c r="S675" i="7"/>
  <c r="N1355" i="7"/>
  <c r="G1140" i="7"/>
  <c r="O896" i="7"/>
  <c r="L1299" i="7"/>
  <c r="N808" i="7"/>
  <c r="S929" i="7"/>
  <c r="M914" i="7"/>
  <c r="K1456" i="7"/>
  <c r="K836" i="7"/>
  <c r="P1499" i="7"/>
  <c r="F1047" i="7"/>
  <c r="K1342" i="7"/>
  <c r="L868" i="7"/>
  <c r="F969" i="7"/>
  <c r="P1138" i="7"/>
  <c r="N1437" i="7"/>
  <c r="N907" i="7"/>
  <c r="M1224" i="7"/>
  <c r="F1428" i="7"/>
  <c r="H1253" i="7"/>
  <c r="G1286" i="7"/>
  <c r="L828" i="7"/>
  <c r="L1256" i="7"/>
  <c r="K1272" i="7"/>
  <c r="S1400" i="7"/>
  <c r="N878" i="7"/>
  <c r="O634" i="7"/>
  <c r="N1116" i="7"/>
  <c r="I1309" i="7"/>
  <c r="F1138" i="7"/>
  <c r="S720" i="7"/>
  <c r="K1402" i="7"/>
  <c r="S1447" i="7"/>
  <c r="I851" i="7"/>
  <c r="I1262" i="7"/>
  <c r="K1176" i="7"/>
  <c r="M641" i="7"/>
  <c r="N747" i="7"/>
  <c r="I1027" i="7"/>
  <c r="G1228" i="7"/>
  <c r="I780" i="7"/>
  <c r="G991" i="7"/>
  <c r="M894" i="7"/>
  <c r="O1047" i="7"/>
  <c r="K1007" i="7"/>
  <c r="M1190" i="7"/>
  <c r="K1374" i="7"/>
  <c r="P944" i="7"/>
  <c r="K956" i="7"/>
  <c r="M1229" i="7"/>
  <c r="M1407" i="7"/>
  <c r="F1360" i="7"/>
  <c r="H1341" i="7"/>
  <c r="I1302" i="7"/>
  <c r="N991" i="7"/>
  <c r="N1455" i="7"/>
  <c r="O1197" i="7"/>
  <c r="H827" i="7"/>
  <c r="F1476" i="7"/>
  <c r="P1400" i="7"/>
  <c r="S626" i="7"/>
  <c r="O723" i="7"/>
  <c r="F1336" i="7"/>
  <c r="L692" i="7"/>
  <c r="G1309" i="7"/>
  <c r="M1302" i="7"/>
  <c r="N1485" i="7"/>
  <c r="N1295" i="7"/>
  <c r="I1399" i="7"/>
  <c r="M964" i="7"/>
  <c r="H1047" i="7"/>
  <c r="M1495" i="7"/>
  <c r="H1407" i="7"/>
  <c r="M1379" i="7"/>
  <c r="M860" i="7"/>
  <c r="O1236" i="7"/>
  <c r="G1109" i="7"/>
  <c r="F1477" i="7"/>
  <c r="F690" i="7"/>
  <c r="F964" i="7"/>
  <c r="H1403" i="7"/>
  <c r="S813" i="7"/>
  <c r="S838" i="7"/>
  <c r="K1497" i="7"/>
  <c r="G1138" i="7"/>
  <c r="L1454" i="7"/>
  <c r="L1030" i="7"/>
  <c r="I1260" i="7"/>
  <c r="H1383" i="7"/>
  <c r="O1419" i="7"/>
  <c r="O1165" i="7"/>
  <c r="F1427" i="7"/>
  <c r="M1231" i="7"/>
  <c r="K986" i="7"/>
  <c r="H1402" i="7"/>
  <c r="G1467" i="7"/>
  <c r="F1278" i="7"/>
  <c r="S1186" i="7"/>
  <c r="N1265" i="7"/>
  <c r="L1353" i="7"/>
  <c r="K975" i="7"/>
  <c r="G1171" i="7"/>
  <c r="P1134" i="7"/>
  <c r="P780" i="7"/>
  <c r="S1327" i="7"/>
  <c r="I927" i="7"/>
  <c r="G1068" i="7"/>
  <c r="S770" i="7"/>
  <c r="L1132" i="7"/>
  <c r="L1221" i="7"/>
  <c r="P1048" i="7"/>
  <c r="G1051" i="7"/>
  <c r="N658" i="7"/>
  <c r="O1399" i="7"/>
  <c r="N702" i="7"/>
  <c r="L999" i="7"/>
  <c r="G1143" i="7"/>
  <c r="O1416" i="7"/>
  <c r="L1007" i="7"/>
  <c r="S828" i="7"/>
  <c r="H710" i="7"/>
  <c r="I648" i="7"/>
  <c r="O1095" i="7"/>
  <c r="G821" i="7"/>
  <c r="O1484" i="7"/>
  <c r="P1123" i="7"/>
  <c r="O623" i="7"/>
  <c r="N1147" i="7"/>
  <c r="K1484" i="7"/>
  <c r="O1492" i="7"/>
  <c r="L1057" i="7"/>
  <c r="K1345" i="7"/>
  <c r="F620" i="7"/>
  <c r="I730" i="7"/>
  <c r="H1161" i="7"/>
  <c r="L880" i="7"/>
  <c r="L1492" i="7"/>
  <c r="I1228" i="7"/>
  <c r="H1051" i="7"/>
  <c r="M1099" i="7"/>
  <c r="K1089" i="7"/>
  <c r="I959" i="7"/>
  <c r="L789" i="7"/>
  <c r="I1161" i="7"/>
  <c r="P1493" i="7"/>
  <c r="G883" i="7"/>
  <c r="L1412" i="7"/>
  <c r="I865" i="7"/>
  <c r="P1379" i="7"/>
  <c r="O1490" i="7"/>
  <c r="I1065" i="7"/>
  <c r="H847" i="7"/>
  <c r="H783" i="7"/>
  <c r="O625" i="7"/>
  <c r="H1339" i="7"/>
  <c r="L1064" i="7"/>
  <c r="O1396" i="7"/>
  <c r="I815" i="7"/>
  <c r="G1144" i="7"/>
  <c r="K1117" i="7"/>
  <c r="H780" i="7"/>
  <c r="I1373" i="7"/>
  <c r="M1476" i="7"/>
  <c r="F629" i="7"/>
  <c r="F813" i="7"/>
  <c r="S1229" i="7"/>
  <c r="G830" i="7"/>
  <c r="P1366" i="7"/>
  <c r="S952" i="7"/>
  <c r="L1370" i="7"/>
  <c r="O760" i="7"/>
  <c r="N1267" i="7"/>
  <c r="N981" i="7"/>
  <c r="I757" i="7"/>
  <c r="P1262" i="7"/>
  <c r="S894" i="7"/>
  <c r="K1422" i="7"/>
  <c r="F847" i="7"/>
  <c r="O1388" i="7"/>
  <c r="P626" i="7"/>
  <c r="L1378" i="7"/>
  <c r="L1424" i="7"/>
  <c r="N1129" i="7"/>
  <c r="H736" i="7"/>
  <c r="G1134" i="7"/>
  <c r="H994" i="7"/>
  <c r="G1337" i="7"/>
  <c r="N633" i="7"/>
  <c r="K1358" i="7"/>
  <c r="K1147" i="7"/>
  <c r="G1179" i="7"/>
  <c r="S1440" i="7"/>
  <c r="K737" i="7"/>
  <c r="I634" i="7"/>
  <c r="H1404" i="7"/>
  <c r="N1330" i="7"/>
  <c r="P1382" i="7"/>
  <c r="F774" i="7"/>
  <c r="G767" i="7"/>
  <c r="L1336" i="7"/>
  <c r="M1269" i="7"/>
  <c r="M1341" i="7"/>
  <c r="O1346" i="7"/>
  <c r="P776" i="7"/>
  <c r="O762" i="7"/>
  <c r="S1203" i="7"/>
  <c r="S1061" i="7"/>
  <c r="O959" i="7"/>
  <c r="L1038" i="7"/>
  <c r="K1428" i="7"/>
  <c r="S1446" i="7"/>
  <c r="M1126" i="7"/>
  <c r="I1176" i="7"/>
  <c r="O1199" i="7"/>
  <c r="S1291" i="7"/>
  <c r="G1488" i="7"/>
  <c r="N1170" i="7"/>
  <c r="P1436" i="7"/>
  <c r="H728" i="7"/>
  <c r="I1126" i="7"/>
  <c r="N1285" i="7"/>
  <c r="F826" i="7"/>
  <c r="G1369" i="7"/>
  <c r="L1078" i="7"/>
  <c r="M1444" i="7"/>
  <c r="S1197" i="7"/>
  <c r="F1478" i="7"/>
  <c r="K1351" i="7"/>
  <c r="K1335" i="7"/>
  <c r="L1341" i="7"/>
  <c r="S1456" i="7"/>
  <c r="S1076" i="7"/>
  <c r="S918" i="7"/>
  <c r="N648" i="7"/>
  <c r="I1473" i="7"/>
  <c r="K1431" i="7"/>
  <c r="I1382" i="7"/>
  <c r="N1493" i="7"/>
  <c r="K1258" i="7"/>
  <c r="O1336" i="7"/>
  <c r="K1134" i="7"/>
  <c r="H719" i="7"/>
  <c r="G969" i="7"/>
  <c r="N1095" i="7"/>
  <c r="K805" i="7"/>
  <c r="K1408" i="7"/>
  <c r="M1138" i="7"/>
  <c r="S634" i="7"/>
  <c r="M621" i="7"/>
  <c r="I625" i="7"/>
  <c r="H1322" i="7"/>
  <c r="G1199" i="7"/>
  <c r="S986" i="7"/>
  <c r="P677" i="7"/>
  <c r="L1379" i="7"/>
  <c r="F924" i="7"/>
  <c r="K1383" i="7"/>
  <c r="S1185" i="7"/>
  <c r="I680" i="7"/>
  <c r="G720" i="7"/>
  <c r="N1449" i="7"/>
  <c r="M1279" i="7"/>
  <c r="M1316" i="7"/>
  <c r="O624" i="7"/>
  <c r="K1269" i="7"/>
  <c r="M764" i="7"/>
  <c r="M1454" i="7"/>
  <c r="M1073" i="7"/>
  <c r="O1278" i="7"/>
  <c r="O1054" i="7"/>
  <c r="S1492" i="7"/>
  <c r="N753" i="7"/>
  <c r="K627" i="7"/>
  <c r="N1160" i="7"/>
  <c r="M1167" i="7"/>
  <c r="F1190" i="7"/>
  <c r="L1444" i="7"/>
  <c r="P952" i="7"/>
  <c r="I942" i="7"/>
  <c r="P937" i="7"/>
  <c r="M757" i="7"/>
  <c r="S1495" i="7"/>
  <c r="F1160" i="7"/>
  <c r="F1120" i="7"/>
  <c r="S1399" i="7"/>
  <c r="K1276" i="7"/>
  <c r="S1498" i="7"/>
  <c r="G895" i="7"/>
  <c r="K1405" i="7"/>
  <c r="O775" i="7"/>
  <c r="I819" i="7"/>
  <c r="F1174" i="7"/>
  <c r="S799" i="7"/>
  <c r="I1408" i="7"/>
  <c r="N1377" i="7"/>
  <c r="K669" i="7"/>
  <c r="H1183" i="7"/>
  <c r="O1265" i="7"/>
  <c r="L1141" i="7"/>
  <c r="L805" i="7"/>
  <c r="F1490" i="7"/>
  <c r="G1350" i="7"/>
  <c r="F981" i="7"/>
  <c r="M749" i="7"/>
  <c r="F1409" i="7"/>
  <c r="K1418" i="7"/>
  <c r="P999" i="7"/>
  <c r="S1348" i="7"/>
  <c r="M1362" i="7"/>
  <c r="O1383" i="7"/>
  <c r="N1032" i="7"/>
  <c r="G1500" i="7"/>
  <c r="I917" i="7"/>
  <c r="L1420" i="7"/>
  <c r="M1361" i="7"/>
  <c r="L716" i="7"/>
  <c r="S819" i="7"/>
  <c r="M1427" i="7"/>
  <c r="K1337" i="7"/>
  <c r="I1123" i="7"/>
  <c r="N720" i="7"/>
  <c r="P1429" i="7"/>
  <c r="S648" i="7"/>
  <c r="S1418" i="7"/>
  <c r="K893" i="7"/>
  <c r="L1413" i="7"/>
  <c r="K1278" i="7"/>
  <c r="H1416" i="7"/>
  <c r="L863" i="7"/>
  <c r="O1438" i="7"/>
  <c r="I1457" i="7"/>
  <c r="S1177" i="7"/>
  <c r="F1346" i="7"/>
  <c r="P1226" i="7"/>
  <c r="G1112" i="7"/>
  <c r="P1390" i="7"/>
  <c r="F896" i="7"/>
  <c r="M1415" i="7"/>
  <c r="K1370" i="7"/>
  <c r="K1454" i="7"/>
  <c r="K910" i="7"/>
  <c r="P1312" i="7"/>
  <c r="M1425" i="7"/>
  <c r="N1496" i="7"/>
  <c r="H894" i="7"/>
  <c r="P1428" i="7"/>
  <c r="O1448" i="7"/>
  <c r="N1481" i="7"/>
  <c r="K1352" i="7"/>
  <c r="G885" i="7"/>
  <c r="P1341" i="7"/>
  <c r="K1472" i="7"/>
  <c r="S1478" i="7"/>
  <c r="K1343" i="7"/>
  <c r="M697" i="7"/>
  <c r="O713" i="7"/>
  <c r="P1001" i="7"/>
  <c r="P1063" i="7"/>
  <c r="O989" i="7"/>
  <c r="I1083" i="7"/>
  <c r="O1436" i="7"/>
  <c r="N1327" i="7"/>
  <c r="M1327" i="7"/>
  <c r="K860" i="7"/>
  <c r="P857" i="7"/>
  <c r="O1040" i="7"/>
  <c r="O1203" i="7"/>
  <c r="O1135" i="7"/>
  <c r="F713" i="7"/>
  <c r="H1154" i="7"/>
  <c r="O1080" i="7"/>
  <c r="I631" i="7"/>
  <c r="S1326" i="7"/>
  <c r="G1122" i="7"/>
  <c r="M684" i="7"/>
  <c r="N1378" i="7"/>
  <c r="M959" i="7"/>
  <c r="K1219" i="7"/>
  <c r="H1107" i="7"/>
  <c r="I1383" i="7"/>
  <c r="P1137" i="7"/>
  <c r="K1014" i="7"/>
  <c r="O1132" i="7"/>
  <c r="G667" i="7"/>
  <c r="N1400" i="7"/>
  <c r="H953" i="7"/>
  <c r="S811" i="7"/>
  <c r="F754" i="7"/>
  <c r="F723" i="7"/>
  <c r="P850" i="7"/>
  <c r="I893" i="7"/>
  <c r="N945" i="7"/>
  <c r="P1497" i="7"/>
  <c r="I858" i="7"/>
  <c r="K1127" i="7"/>
  <c r="H858" i="7"/>
  <c r="F851" i="7"/>
  <c r="L1179" i="7"/>
  <c r="K1102" i="7"/>
  <c r="G996" i="7"/>
  <c r="F725" i="7"/>
  <c r="O953" i="7"/>
  <c r="S1232" i="7"/>
  <c r="M622" i="7"/>
  <c r="L1395" i="7"/>
  <c r="S994" i="7"/>
  <c r="K1259" i="7"/>
  <c r="L1217" i="7"/>
  <c r="O1097" i="7"/>
  <c r="G1014" i="7"/>
  <c r="H1363" i="7"/>
  <c r="K912" i="7"/>
  <c r="F782" i="7"/>
  <c r="G1250" i="7"/>
  <c r="N693" i="7"/>
  <c r="F1032" i="7"/>
  <c r="L955" i="7"/>
  <c r="O1011" i="7"/>
  <c r="I853" i="7"/>
  <c r="I776" i="7"/>
  <c r="G716" i="7"/>
  <c r="O1051" i="7"/>
  <c r="H1024" i="7"/>
  <c r="K764" i="7"/>
  <c r="M770" i="7"/>
  <c r="G1414" i="7"/>
  <c r="G1481" i="7"/>
  <c r="K724" i="7"/>
  <c r="O1166" i="7"/>
  <c r="P1427" i="7"/>
  <c r="S1427" i="7"/>
  <c r="K1076" i="7"/>
  <c r="N893" i="7"/>
  <c r="G1404" i="7"/>
  <c r="O1332" i="7"/>
  <c r="F1144" i="7"/>
  <c r="L1321" i="7"/>
  <c r="S1397" i="7"/>
  <c r="K754" i="7"/>
  <c r="F1268" i="7"/>
  <c r="H1342" i="7"/>
  <c r="I1427" i="7"/>
  <c r="F1107" i="7"/>
  <c r="K693" i="7"/>
  <c r="K709" i="7"/>
  <c r="P704" i="7"/>
  <c r="K1274" i="7"/>
  <c r="K1047" i="7"/>
  <c r="O834" i="7"/>
  <c r="M702" i="7"/>
  <c r="L1065" i="7"/>
  <c r="I1187" i="7"/>
  <c r="F885" i="7"/>
  <c r="L703" i="7"/>
  <c r="H1086" i="7"/>
  <c r="L776" i="7"/>
  <c r="G1125" i="7"/>
  <c r="F805" i="7"/>
  <c r="L719" i="7"/>
  <c r="H1396" i="7"/>
  <c r="O1008" i="7"/>
  <c r="S1321" i="7"/>
  <c r="I1138" i="7"/>
  <c r="N1109" i="7"/>
  <c r="H991" i="7"/>
  <c r="P1434" i="7"/>
  <c r="M887" i="7"/>
  <c r="O1180" i="7"/>
  <c r="I717" i="7"/>
  <c r="P1357" i="7"/>
  <c r="H782" i="7"/>
  <c r="O1141" i="7"/>
  <c r="K628" i="7"/>
  <c r="F1247" i="7"/>
  <c r="P1308" i="7"/>
  <c r="N627" i="7"/>
  <c r="S1008" i="7"/>
  <c r="K1492" i="7"/>
  <c r="I1253" i="7"/>
  <c r="S789" i="7"/>
  <c r="G1360" i="7"/>
  <c r="L994" i="7"/>
  <c r="N634" i="7"/>
  <c r="S1226" i="7"/>
  <c r="M703" i="7"/>
  <c r="O757" i="7"/>
  <c r="L623" i="7"/>
  <c r="K831" i="7"/>
  <c r="I910" i="7"/>
  <c r="S1293" i="7"/>
  <c r="H961" i="7"/>
  <c r="F1068" i="7"/>
  <c r="G1227" i="7"/>
  <c r="M1018" i="7"/>
  <c r="K1379" i="7"/>
  <c r="O1223" i="7"/>
  <c r="O737" i="7"/>
  <c r="M1054" i="7"/>
  <c r="I687" i="7"/>
  <c r="I1267" i="7"/>
  <c r="F1041" i="7"/>
  <c r="L620" i="7"/>
  <c r="K942" i="7"/>
  <c r="L1389" i="7"/>
  <c r="K1311" i="7"/>
  <c r="N896" i="7"/>
  <c r="G675" i="7"/>
  <c r="F898" i="7"/>
  <c r="G1219" i="7"/>
  <c r="I991" i="7"/>
  <c r="N942" i="7"/>
  <c r="O1290" i="7"/>
  <c r="P1356" i="7"/>
  <c r="K799" i="7"/>
  <c r="M728" i="7"/>
  <c r="O744" i="7"/>
  <c r="I894" i="7"/>
  <c r="O1268" i="7"/>
  <c r="S1194" i="7"/>
  <c r="I698" i="7"/>
  <c r="P1265" i="7"/>
  <c r="H1226" i="7"/>
  <c r="K609" i="7"/>
  <c r="I826" i="7"/>
  <c r="H1143" i="7"/>
  <c r="L824" i="7"/>
  <c r="I1426" i="7"/>
  <c r="G747" i="7"/>
  <c r="S821" i="7"/>
  <c r="K1173" i="7"/>
  <c r="N1014" i="7"/>
  <c r="I1425" i="7"/>
  <c r="O1069" i="7"/>
  <c r="F1012" i="7"/>
  <c r="O1394" i="7"/>
  <c r="S711" i="7"/>
  <c r="O1231" i="7"/>
  <c r="O847" i="7"/>
  <c r="S1468" i="7"/>
  <c r="G1386" i="7"/>
  <c r="S914" i="7"/>
  <c r="S1350" i="7"/>
  <c r="M1335" i="7"/>
  <c r="L894" i="7"/>
  <c r="S1131" i="7"/>
  <c r="F894" i="7"/>
  <c r="L951" i="7"/>
  <c r="M1148" i="7"/>
  <c r="I1365" i="7"/>
  <c r="F1119" i="7"/>
  <c r="O725" i="7"/>
  <c r="O1481" i="7"/>
  <c r="K1441" i="7"/>
  <c r="H956" i="7"/>
  <c r="G719" i="7"/>
  <c r="O830" i="7"/>
  <c r="O1373" i="7"/>
  <c r="L1041" i="7"/>
  <c r="N1126" i="7"/>
  <c r="G1436" i="7"/>
  <c r="H1362" i="7"/>
  <c r="F910" i="7"/>
  <c r="M1405" i="7"/>
  <c r="M1408" i="7"/>
  <c r="O956" i="7"/>
  <c r="I1258" i="7"/>
  <c r="G1437" i="7"/>
  <c r="P1363" i="7"/>
  <c r="G1340" i="7"/>
  <c r="H624" i="7"/>
  <c r="P1311" i="7"/>
  <c r="L1480" i="7"/>
  <c r="F1321" i="7"/>
  <c r="N1337" i="7"/>
  <c r="F945" i="7"/>
  <c r="P1236" i="7"/>
  <c r="K1407" i="7"/>
  <c r="P1183" i="7"/>
  <c r="M1402" i="7"/>
  <c r="K728" i="7"/>
  <c r="K1394" i="7"/>
  <c r="F1387" i="7"/>
  <c r="I1367" i="7"/>
  <c r="N996" i="7"/>
  <c r="S1123" i="7"/>
  <c r="O871" i="7"/>
  <c r="S619" i="7"/>
  <c r="L1435" i="7"/>
  <c r="N865" i="7"/>
  <c r="M629" i="7"/>
  <c r="O1325" i="7"/>
  <c r="N989" i="7"/>
  <c r="K1464" i="7"/>
  <c r="H1483" i="7"/>
  <c r="F1183" i="7"/>
  <c r="F991" i="7"/>
  <c r="K646" i="7"/>
  <c r="O1126" i="7"/>
  <c r="M1265" i="7"/>
  <c r="F1073" i="7"/>
  <c r="K1447" i="7"/>
  <c r="I1472" i="7"/>
  <c r="M1413" i="7"/>
  <c r="F866" i="7"/>
  <c r="M910" i="7"/>
  <c r="H1479" i="7"/>
  <c r="G1428" i="7"/>
  <c r="S921" i="7"/>
  <c r="I1223" i="7"/>
  <c r="I918" i="7"/>
  <c r="M1106" i="7"/>
  <c r="S1285" i="7"/>
  <c r="L1386" i="7"/>
  <c r="P1309" i="7"/>
  <c r="O1002" i="7"/>
  <c r="N1180" i="7"/>
  <c r="S1221" i="7"/>
  <c r="G912" i="7"/>
  <c r="I1108" i="7"/>
  <c r="P1380" i="7"/>
  <c r="H1160" i="7"/>
  <c r="G1288" i="7"/>
  <c r="M1108" i="7"/>
  <c r="P1296" i="7"/>
  <c r="G935" i="7"/>
  <c r="L808" i="7"/>
  <c r="L1477" i="7"/>
  <c r="N850" i="7"/>
  <c r="K989" i="7"/>
  <c r="M994" i="7"/>
  <c r="O679" i="7"/>
  <c r="N950" i="7"/>
  <c r="H1293" i="7"/>
  <c r="M649" i="7"/>
  <c r="P1147" i="7"/>
  <c r="K1398" i="7"/>
  <c r="K1079" i="7"/>
  <c r="O1120" i="7"/>
  <c r="G1477" i="7"/>
  <c r="I1264" i="7"/>
  <c r="P1335" i="7"/>
  <c r="G1366" i="7"/>
  <c r="I1102" i="7"/>
  <c r="I1052" i="7"/>
  <c r="F1273" i="7"/>
  <c r="N799" i="7"/>
  <c r="M1183" i="7"/>
  <c r="L1357" i="7"/>
  <c r="P1058" i="7"/>
  <c r="L1180" i="7"/>
  <c r="O818" i="7"/>
  <c r="F1384" i="7"/>
  <c r="M1308" i="7"/>
  <c r="O838" i="7"/>
  <c r="I1057" i="7"/>
  <c r="P760" i="7"/>
  <c r="N1468" i="7"/>
  <c r="M1398" i="7"/>
  <c r="P1112" i="7"/>
  <c r="I956" i="7"/>
  <c r="O1387" i="7"/>
  <c r="H996" i="7"/>
  <c r="L608" i="7"/>
  <c r="G986" i="7"/>
  <c r="F907" i="7"/>
  <c r="O677" i="7"/>
  <c r="M931" i="7"/>
  <c r="F706" i="7"/>
  <c r="K1410" i="7"/>
  <c r="H1179" i="7"/>
  <c r="P1225" i="7"/>
  <c r="K1070" i="7"/>
  <c r="O741" i="7"/>
  <c r="M1352" i="7"/>
  <c r="M671" i="7"/>
  <c r="H1078" i="7"/>
  <c r="N761" i="7"/>
  <c r="O1450" i="7"/>
  <c r="P1024" i="7"/>
  <c r="K704" i="7"/>
  <c r="I814" i="7"/>
  <c r="I828" i="7"/>
  <c r="L807" i="7"/>
  <c r="O1413" i="7"/>
  <c r="I912" i="7"/>
  <c r="L1079" i="7"/>
  <c r="O1218" i="7"/>
  <c r="G1401" i="7"/>
  <c r="I1446" i="7"/>
  <c r="N1388" i="7"/>
  <c r="P1465" i="7"/>
  <c r="K908" i="7"/>
  <c r="S917" i="7"/>
  <c r="I1415" i="7"/>
  <c r="N732" i="7"/>
  <c r="K835" i="7"/>
  <c r="P1474" i="7"/>
  <c r="I1017" i="7"/>
  <c r="P853" i="7"/>
  <c r="N1394" i="7"/>
  <c r="H1366" i="7"/>
  <c r="F767" i="7"/>
  <c r="M1095" i="7"/>
  <c r="O1421" i="7"/>
  <c r="H1348" i="7"/>
  <c r="S736" i="7"/>
  <c r="L1058" i="7"/>
  <c r="G1361" i="7"/>
  <c r="F1455" i="7"/>
  <c r="K878" i="7"/>
  <c r="I1450" i="7"/>
  <c r="N1076" i="7"/>
  <c r="K1204" i="7"/>
  <c r="N838" i="7"/>
  <c r="L1115" i="7"/>
  <c r="N934" i="7"/>
  <c r="L1001" i="7"/>
  <c r="I827" i="7"/>
  <c r="P728" i="7"/>
  <c r="O1489" i="7"/>
  <c r="F1194" i="7"/>
  <c r="P1106" i="7"/>
  <c r="I964" i="7"/>
  <c r="N1259" i="7"/>
  <c r="K702" i="7"/>
  <c r="F736" i="7"/>
  <c r="I1376" i="7"/>
  <c r="F775" i="7"/>
  <c r="M1052" i="7"/>
  <c r="G921" i="7"/>
  <c r="H866" i="7"/>
  <c r="H1057" i="7"/>
  <c r="P1233" i="7"/>
  <c r="L1349" i="7"/>
  <c r="G630" i="7"/>
  <c r="O1363" i="7"/>
  <c r="S1273" i="7"/>
  <c r="N1293" i="7"/>
  <c r="N628" i="7"/>
  <c r="M1263" i="7"/>
  <c r="M913" i="7"/>
  <c r="K1260" i="7"/>
  <c r="K1126" i="7"/>
  <c r="G859" i="7"/>
  <c r="G1167" i="7"/>
  <c r="P736" i="7"/>
  <c r="H690" i="7"/>
  <c r="I1232" i="7"/>
  <c r="K1264" i="7"/>
  <c r="I1145" i="7"/>
  <c r="I667" i="7"/>
  <c r="N1048" i="7"/>
  <c r="N754" i="7"/>
  <c r="O1133" i="7"/>
  <c r="M979" i="7"/>
  <c r="G1129" i="7"/>
  <c r="F1324" i="7"/>
  <c r="P1069" i="7"/>
  <c r="S824" i="7"/>
  <c r="L865" i="7"/>
  <c r="H770" i="7"/>
  <c r="F648" i="7"/>
  <c r="N614" i="7"/>
  <c r="N703" i="7"/>
  <c r="K1093" i="7"/>
  <c r="H720" i="7"/>
  <c r="M1064" i="7"/>
  <c r="S1278" i="7"/>
  <c r="S981" i="7"/>
  <c r="O866" i="7"/>
  <c r="H829" i="7"/>
  <c r="K961" i="7"/>
  <c r="S1169" i="7"/>
  <c r="P1271" i="7"/>
  <c r="M1416" i="7"/>
  <c r="N1448" i="7"/>
  <c r="H1431" i="7"/>
  <c r="L1185" i="7"/>
  <c r="N1227" i="7"/>
  <c r="K1424" i="7"/>
  <c r="G717" i="7"/>
  <c r="H671" i="7"/>
  <c r="L1397" i="7"/>
  <c r="K852" i="7"/>
  <c r="N1132" i="7"/>
  <c r="K959" i="7"/>
  <c r="H1199" i="7"/>
  <c r="N1005" i="7"/>
  <c r="P1143" i="7"/>
  <c r="L936" i="7"/>
  <c r="I1194" i="7"/>
  <c r="K814" i="7"/>
  <c r="M1430" i="7"/>
  <c r="I692" i="7"/>
  <c r="S964" i="7"/>
  <c r="O878" i="7"/>
  <c r="N719" i="7"/>
  <c r="P865" i="7"/>
  <c r="O996" i="7"/>
  <c r="M1348" i="7"/>
  <c r="M774" i="7"/>
  <c r="O850" i="7"/>
  <c r="O693" i="7"/>
  <c r="L1469" i="7"/>
  <c r="H708" i="7"/>
  <c r="G807" i="7"/>
  <c r="N669" i="7"/>
  <c r="H695" i="7"/>
  <c r="O1220" i="7"/>
  <c r="M1489" i="7"/>
  <c r="G764" i="7"/>
  <c r="G1416" i="7"/>
  <c r="K887" i="7"/>
  <c r="M740" i="7"/>
  <c r="L1416" i="7"/>
  <c r="L1387" i="7"/>
  <c r="S1365" i="7"/>
  <c r="I1358" i="7"/>
  <c r="L1375" i="7"/>
  <c r="I1010" i="7"/>
  <c r="O894" i="7"/>
  <c r="K1098" i="7"/>
  <c r="P630" i="7"/>
  <c r="F829" i="7"/>
  <c r="N1416" i="7"/>
  <c r="L1138" i="7"/>
  <c r="P1015" i="7"/>
  <c r="S1080" i="7"/>
  <c r="I1169" i="7"/>
  <c r="L1315" i="7"/>
  <c r="S996" i="7"/>
  <c r="S1257" i="7"/>
  <c r="L701" i="7"/>
  <c r="O706" i="7"/>
  <c r="P762" i="7"/>
  <c r="N1185" i="7"/>
  <c r="H818" i="7"/>
  <c r="M1400" i="7"/>
  <c r="N1134" i="7"/>
  <c r="G1177" i="7"/>
  <c r="O1461" i="7"/>
  <c r="G652" i="7"/>
  <c r="O952" i="7"/>
  <c r="K809" i="7"/>
  <c r="N647" i="7"/>
  <c r="M780" i="7"/>
  <c r="O622" i="7"/>
  <c r="N1254" i="7"/>
  <c r="S638" i="7"/>
  <c r="N888" i="7"/>
  <c r="O853" i="7"/>
  <c r="H1165" i="7"/>
  <c r="F721" i="7"/>
  <c r="G742" i="7"/>
  <c r="P693" i="7"/>
  <c r="K1018" i="7"/>
  <c r="G641" i="7"/>
  <c r="F1101" i="7"/>
  <c r="O665" i="7"/>
  <c r="H1456" i="7"/>
  <c r="I796" i="7"/>
  <c r="P996" i="7"/>
  <c r="M817" i="7"/>
  <c r="L660" i="7"/>
  <c r="P1442" i="7"/>
  <c r="O1254" i="7"/>
  <c r="I616" i="7"/>
  <c r="L1214" i="7"/>
  <c r="O747" i="7"/>
  <c r="N1179" i="7"/>
  <c r="K985" i="7"/>
  <c r="H929" i="7"/>
  <c r="F1091" i="7"/>
  <c r="H1408" i="7"/>
  <c r="M1397" i="7"/>
  <c r="K769" i="7"/>
  <c r="N988" i="7"/>
  <c r="G1262" i="7"/>
  <c r="O646" i="7"/>
  <c r="O841" i="7"/>
  <c r="M1135" i="7"/>
  <c r="I638" i="7"/>
  <c r="L1154" i="7"/>
  <c r="S1234" i="7"/>
  <c r="S1171" i="7"/>
  <c r="S815" i="7"/>
  <c r="I1311" i="7"/>
  <c r="F1093" i="7"/>
  <c r="F1203" i="7"/>
  <c r="N1031" i="7"/>
  <c r="O751" i="7"/>
  <c r="H1258" i="7"/>
  <c r="S1193" i="7"/>
  <c r="P1256" i="7"/>
  <c r="M1048" i="7"/>
  <c r="F785" i="7"/>
  <c r="K853" i="7"/>
  <c r="I881" i="7"/>
  <c r="F890" i="7"/>
  <c r="I1312" i="7"/>
  <c r="F1231" i="7"/>
  <c r="N1024" i="7"/>
  <c r="F1474" i="7"/>
  <c r="L783" i="7"/>
  <c r="K1270" i="7"/>
  <c r="L892" i="7"/>
  <c r="G853" i="7"/>
  <c r="M918" i="7"/>
  <c r="I619" i="7"/>
  <c r="O820" i="7"/>
  <c r="M1156" i="7"/>
  <c r="F1200" i="7"/>
  <c r="L956" i="7"/>
  <c r="N1318" i="7"/>
  <c r="H572" i="7"/>
  <c r="O798" i="7"/>
  <c r="F1323" i="7"/>
  <c r="S1070" i="7"/>
  <c r="P869" i="7"/>
  <c r="M1059" i="7"/>
  <c r="F1313" i="7"/>
  <c r="P942" i="7"/>
  <c r="P692" i="7"/>
  <c r="H628" i="7"/>
  <c r="O923" i="7"/>
  <c r="S1306" i="7"/>
  <c r="M1153" i="7"/>
  <c r="S1184" i="7"/>
  <c r="S733" i="7"/>
  <c r="S1025" i="7"/>
  <c r="I1019" i="7"/>
  <c r="I1306" i="7"/>
  <c r="M1319" i="7"/>
  <c r="O1356" i="7"/>
  <c r="O730" i="7"/>
  <c r="L944" i="7"/>
  <c r="I1254" i="7"/>
  <c r="L1022" i="7"/>
  <c r="I538" i="7"/>
  <c r="F351" i="7"/>
  <c r="M784" i="7"/>
  <c r="L798" i="7"/>
  <c r="K892" i="7"/>
  <c r="O999" i="7"/>
  <c r="P866" i="7"/>
  <c r="P1488" i="7"/>
  <c r="G1007" i="7"/>
  <c r="O807" i="7"/>
  <c r="N1307" i="7"/>
  <c r="L687" i="7"/>
  <c r="M624" i="7"/>
  <c r="S1190" i="7"/>
  <c r="P1192" i="7"/>
  <c r="G1190" i="7"/>
  <c r="M1296" i="7"/>
  <c r="K1457" i="7"/>
  <c r="K1248" i="7"/>
  <c r="N985" i="7"/>
  <c r="I1225" i="7"/>
  <c r="H1466" i="7"/>
  <c r="K1038" i="7"/>
  <c r="H1022" i="7"/>
  <c r="M704" i="7"/>
  <c r="L1260" i="7"/>
  <c r="S603" i="7"/>
  <c r="G777" i="7"/>
  <c r="K871" i="7"/>
  <c r="P1164" i="7"/>
  <c r="P740" i="7"/>
  <c r="H730" i="7"/>
  <c r="F646" i="7"/>
  <c r="O1065" i="7"/>
  <c r="S1266" i="7"/>
  <c r="O950" i="7"/>
  <c r="L613" i="7"/>
  <c r="H1376" i="7"/>
  <c r="H648" i="7"/>
  <c r="N830" i="7"/>
  <c r="O1183" i="7"/>
  <c r="P809" i="7"/>
  <c r="M892" i="7"/>
  <c r="N641" i="7"/>
  <c r="S1113" i="7"/>
  <c r="S1100" i="7"/>
  <c r="K936" i="7"/>
  <c r="G1290" i="7"/>
  <c r="H1316" i="7"/>
  <c r="F1161" i="7"/>
  <c r="G681" i="7"/>
  <c r="O709" i="7"/>
  <c r="I1454" i="7"/>
  <c r="G946" i="7"/>
  <c r="G819" i="7"/>
  <c r="N935" i="7"/>
  <c r="S1218" i="7"/>
  <c r="M1022" i="7"/>
  <c r="F1036" i="7"/>
  <c r="H1102" i="7"/>
  <c r="I1113" i="7"/>
  <c r="G1089" i="7"/>
  <c r="M961" i="7"/>
  <c r="H1228" i="7"/>
  <c r="L1304" i="7"/>
  <c r="F914" i="7"/>
  <c r="K748" i="7"/>
  <c r="S919" i="7"/>
  <c r="L890" i="7"/>
  <c r="P703" i="7"/>
  <c r="I1342" i="7"/>
  <c r="P1077" i="7"/>
  <c r="S1002" i="7"/>
  <c r="L679" i="7"/>
  <c r="L1261" i="7"/>
  <c r="M956" i="7"/>
  <c r="N709" i="7"/>
  <c r="S850" i="7"/>
  <c r="P808" i="7"/>
  <c r="G1155" i="7"/>
  <c r="L1171" i="7"/>
  <c r="K774" i="7"/>
  <c r="F1350" i="7"/>
  <c r="M1173" i="7"/>
  <c r="K1090" i="7"/>
  <c r="L641" i="7"/>
  <c r="G1264" i="7"/>
  <c r="K1211" i="7"/>
  <c r="P908" i="7"/>
  <c r="O1099" i="7"/>
  <c r="G1216" i="7"/>
  <c r="G1252" i="7"/>
  <c r="L1131" i="7"/>
  <c r="P1146" i="7"/>
  <c r="G619" i="7"/>
  <c r="O1057" i="7"/>
  <c r="K608" i="7"/>
  <c r="S659" i="7"/>
  <c r="I1296" i="7"/>
  <c r="N1155" i="7"/>
  <c r="L647" i="7"/>
  <c r="G455" i="7"/>
  <c r="I811" i="7"/>
  <c r="F1094" i="7"/>
  <c r="S845" i="7"/>
  <c r="L672" i="7"/>
  <c r="F658" i="7"/>
  <c r="F792" i="7"/>
  <c r="F665" i="7"/>
  <c r="H1006" i="7"/>
  <c r="N1193" i="7"/>
  <c r="I1471" i="7"/>
  <c r="F663" i="7"/>
  <c r="S713" i="7"/>
  <c r="H933" i="7"/>
  <c r="K981" i="7"/>
  <c r="I940" i="7"/>
  <c r="O562" i="7"/>
  <c r="P609" i="7"/>
  <c r="G1161" i="7"/>
  <c r="O846" i="7"/>
  <c r="I1133" i="7"/>
  <c r="F762" i="7"/>
  <c r="M1072" i="7"/>
  <c r="F824" i="7"/>
  <c r="H796" i="7"/>
  <c r="N954" i="7"/>
  <c r="M1155" i="7"/>
  <c r="P1221" i="7"/>
  <c r="O862" i="7"/>
  <c r="P652" i="7"/>
  <c r="H601" i="7"/>
  <c r="F714" i="7"/>
  <c r="K899" i="7"/>
  <c r="H1281" i="7"/>
  <c r="O1014" i="7"/>
  <c r="I1375" i="7"/>
  <c r="S1374" i="7"/>
  <c r="M1010" i="7"/>
  <c r="S924" i="7"/>
  <c r="L1161" i="7"/>
  <c r="G1217" i="7"/>
  <c r="M831" i="7"/>
  <c r="P702" i="7"/>
  <c r="H1254" i="7"/>
  <c r="L721" i="7"/>
  <c r="O620" i="7"/>
  <c r="L1018" i="7"/>
  <c r="H1279" i="7"/>
  <c r="H703" i="7"/>
  <c r="F652" i="7"/>
  <c r="G1120" i="7"/>
  <c r="K1420" i="7"/>
  <c r="P1171" i="7"/>
  <c r="H1132" i="7"/>
  <c r="M1325" i="7"/>
  <c r="F1103" i="7"/>
  <c r="L1189" i="7"/>
  <c r="P814" i="7"/>
  <c r="I702" i="7"/>
  <c r="K1164" i="7"/>
  <c r="P644" i="7"/>
  <c r="L1176" i="7"/>
  <c r="P1102" i="7"/>
  <c r="N676" i="7"/>
  <c r="P862" i="7"/>
  <c r="K859" i="7"/>
  <c r="M898" i="7"/>
  <c r="F1040" i="7"/>
  <c r="G1000" i="7"/>
  <c r="H1204" i="7"/>
  <c r="P1011" i="7"/>
  <c r="I1042" i="7"/>
  <c r="M1089" i="7"/>
  <c r="L1056" i="7"/>
  <c r="F1064" i="7"/>
  <c r="S951" i="7"/>
  <c r="H1497" i="7"/>
  <c r="G1117" i="7"/>
  <c r="P1070" i="7"/>
  <c r="I1380" i="7"/>
  <c r="H896" i="7"/>
  <c r="F630" i="7"/>
  <c r="I1103" i="7"/>
  <c r="S1422" i="7"/>
  <c r="H652" i="7"/>
  <c r="H1475" i="7"/>
  <c r="G1397" i="7"/>
  <c r="K1215" i="7"/>
  <c r="I719" i="7"/>
  <c r="H791" i="7"/>
  <c r="P649" i="7"/>
  <c r="I975" i="7"/>
  <c r="I1117" i="7"/>
  <c r="H931" i="7"/>
  <c r="L1212" i="7"/>
  <c r="G877" i="7"/>
  <c r="K1009" i="7"/>
  <c r="H1286" i="7"/>
  <c r="L717" i="7"/>
  <c r="O1088" i="7"/>
  <c r="H851" i="7"/>
  <c r="I908" i="7"/>
  <c r="F1089" i="7"/>
  <c r="K778" i="7"/>
  <c r="F1327" i="7"/>
  <c r="G1065" i="7"/>
  <c r="N970" i="7"/>
  <c r="L918" i="7"/>
  <c r="N759" i="7"/>
  <c r="K1210" i="7"/>
  <c r="I1276" i="7"/>
  <c r="O899" i="7"/>
  <c r="L1077" i="7"/>
  <c r="H756" i="7"/>
  <c r="G692" i="7"/>
  <c r="S911" i="7"/>
  <c r="O1357" i="7"/>
  <c r="K938" i="7"/>
  <c r="K634" i="7"/>
  <c r="H1243" i="7"/>
  <c r="I879" i="7"/>
  <c r="O1072" i="7"/>
  <c r="O971" i="7"/>
  <c r="G1154" i="7"/>
  <c r="H1264" i="7"/>
  <c r="P559" i="7"/>
  <c r="O1113" i="7"/>
  <c r="G1149" i="7"/>
  <c r="O1146" i="7"/>
  <c r="P1189" i="7"/>
  <c r="M998" i="7"/>
  <c r="L1240" i="7"/>
  <c r="M1320" i="7"/>
  <c r="P899" i="7"/>
  <c r="L1114" i="7"/>
  <c r="H874" i="7"/>
  <c r="M1009" i="7"/>
  <c r="H1245" i="7"/>
  <c r="K937" i="7"/>
  <c r="H1247" i="7"/>
  <c r="F1069" i="7"/>
  <c r="H608" i="7"/>
  <c r="L327" i="7"/>
  <c r="F668" i="7"/>
  <c r="H1328" i="7"/>
  <c r="M1230" i="7"/>
  <c r="M1409" i="7"/>
  <c r="G714" i="7"/>
  <c r="I850" i="7"/>
  <c r="K659" i="7"/>
  <c r="L1156" i="7"/>
  <c r="N1224" i="7"/>
  <c r="F1243" i="7"/>
  <c r="N682" i="7"/>
  <c r="K316" i="7"/>
  <c r="F1096" i="7"/>
  <c r="I654" i="7"/>
  <c r="P748" i="7"/>
  <c r="N817" i="7"/>
  <c r="L484" i="7"/>
  <c r="H1368" i="7"/>
  <c r="N704" i="7"/>
  <c r="N1140" i="7"/>
  <c r="K1054" i="7"/>
  <c r="O1068" i="7"/>
  <c r="K876" i="7"/>
  <c r="F1468" i="7"/>
  <c r="M1067" i="7"/>
  <c r="M960" i="7"/>
  <c r="O690" i="7"/>
  <c r="O954" i="7"/>
  <c r="M754" i="7"/>
  <c r="F1009" i="7"/>
  <c r="M1088" i="7"/>
  <c r="H1038" i="7"/>
  <c r="P980" i="7"/>
  <c r="F623" i="7"/>
  <c r="P1002" i="7"/>
  <c r="S1287" i="7"/>
  <c r="I1185" i="7"/>
  <c r="F1137" i="7"/>
  <c r="H891" i="7"/>
  <c r="G822" i="7"/>
  <c r="P1091" i="7"/>
  <c r="L996" i="7"/>
  <c r="L946" i="7"/>
  <c r="F719" i="7"/>
  <c r="O686" i="7"/>
  <c r="I1257" i="7"/>
  <c r="L761" i="7"/>
  <c r="P792" i="7"/>
  <c r="L1351" i="7"/>
  <c r="M1132" i="7"/>
  <c r="H1422" i="7"/>
  <c r="H1109" i="7"/>
  <c r="F1227" i="7"/>
  <c r="N1270" i="7"/>
  <c r="I1475" i="7"/>
  <c r="S802" i="7"/>
  <c r="P1107" i="7"/>
  <c r="S628" i="7"/>
  <c r="N848" i="7"/>
  <c r="N918" i="7"/>
  <c r="K657" i="7"/>
  <c r="P1132" i="7"/>
  <c r="F939" i="7"/>
  <c r="M970" i="7"/>
  <c r="P985" i="7"/>
  <c r="P753" i="7"/>
  <c r="N1034" i="7"/>
  <c r="P976" i="7"/>
  <c r="I1221" i="7"/>
  <c r="M1208" i="7"/>
  <c r="K1049" i="7"/>
  <c r="K1100" i="7"/>
  <c r="N913" i="7"/>
  <c r="N1273" i="7"/>
  <c r="L1034" i="7"/>
  <c r="F1169" i="7"/>
  <c r="H1106" i="7"/>
  <c r="K1099" i="7"/>
  <c r="K1051" i="7"/>
  <c r="P1365" i="7"/>
  <c r="H1023" i="7"/>
  <c r="P961" i="7"/>
  <c r="S1006" i="7"/>
  <c r="H1193" i="7"/>
  <c r="L1160" i="7"/>
  <c r="S875" i="7"/>
  <c r="I913" i="7"/>
  <c r="I1056" i="7"/>
  <c r="G1472" i="7"/>
  <c r="F1126" i="7"/>
  <c r="L728" i="7"/>
  <c r="K1238" i="7"/>
  <c r="I1038" i="7"/>
  <c r="P611" i="7"/>
  <c r="K947" i="7"/>
  <c r="P1259" i="7"/>
  <c r="H871" i="7"/>
  <c r="G1267" i="7"/>
  <c r="K1184" i="7"/>
  <c r="L940" i="7"/>
  <c r="N1101" i="7"/>
  <c r="P796" i="7"/>
  <c r="H675" i="7"/>
  <c r="I841" i="7"/>
  <c r="S1202" i="7"/>
  <c r="L1006" i="7"/>
  <c r="F624" i="7"/>
  <c r="I1142" i="7"/>
  <c r="G1310" i="7"/>
  <c r="K813" i="7"/>
  <c r="L848" i="7"/>
  <c r="M402" i="7"/>
  <c r="S913" i="7"/>
  <c r="I738" i="7"/>
  <c r="G985" i="7"/>
  <c r="M1287" i="7"/>
  <c r="K615" i="7"/>
  <c r="F1053" i="7"/>
  <c r="F772" i="7"/>
  <c r="S1325" i="7"/>
  <c r="S1108" i="7"/>
  <c r="H939" i="7"/>
  <c r="H869" i="7"/>
  <c r="O1119" i="7"/>
  <c r="H1255" i="7"/>
  <c r="P612" i="7"/>
  <c r="S1089" i="7"/>
  <c r="I1210" i="7"/>
  <c r="K1283" i="7"/>
  <c r="K1209" i="7"/>
  <c r="F967" i="7"/>
  <c r="P1219" i="7"/>
  <c r="I937" i="7"/>
  <c r="F900" i="7"/>
  <c r="N707" i="7"/>
  <c r="H363" i="7"/>
  <c r="K1228" i="7"/>
  <c r="S1051" i="7"/>
  <c r="F1099" i="7"/>
  <c r="P504" i="7"/>
  <c r="G703" i="7"/>
  <c r="M771" i="7"/>
  <c r="M1188" i="7"/>
  <c r="L1000" i="7"/>
  <c r="G748" i="7"/>
  <c r="P1177" i="7"/>
  <c r="G893" i="7"/>
  <c r="H952" i="7"/>
  <c r="G1196" i="7"/>
  <c r="F717" i="7"/>
  <c r="H988" i="7"/>
  <c r="F1363" i="7"/>
  <c r="K1194" i="7"/>
  <c r="F1029" i="7"/>
  <c r="O1471" i="7"/>
  <c r="H1111" i="7"/>
  <c r="F1086" i="7"/>
  <c r="L1081" i="7"/>
  <c r="H749" i="7"/>
  <c r="P1148" i="7"/>
  <c r="H1257" i="7"/>
  <c r="K868" i="7"/>
  <c r="M839" i="7"/>
  <c r="H762" i="7"/>
  <c r="O1179" i="7"/>
  <c r="H1457" i="7"/>
  <c r="O681" i="7"/>
  <c r="L1347" i="7"/>
  <c r="F1305" i="7"/>
  <c r="I1137" i="7"/>
  <c r="K1255" i="7"/>
  <c r="P733" i="7"/>
  <c r="G847" i="7"/>
  <c r="L1137" i="7"/>
  <c r="F1403" i="7"/>
  <c r="K1023" i="7"/>
  <c r="N783" i="7"/>
  <c r="S663" i="7"/>
  <c r="K1222" i="7"/>
  <c r="N1100" i="7"/>
  <c r="O1318" i="7"/>
  <c r="P1325" i="7"/>
  <c r="K677" i="7"/>
  <c r="S1224" i="7"/>
  <c r="K1399" i="7"/>
  <c r="H1309" i="7"/>
  <c r="I1120" i="7"/>
  <c r="M897" i="7"/>
  <c r="P1213" i="7"/>
  <c r="N818" i="7"/>
  <c r="F990" i="7"/>
  <c r="G1132" i="7"/>
  <c r="P1066" i="7"/>
  <c r="F988" i="7"/>
  <c r="G805" i="7"/>
  <c r="F679" i="7"/>
  <c r="H1425" i="7"/>
  <c r="F701" i="7"/>
  <c r="L813" i="7"/>
  <c r="N1216" i="7"/>
  <c r="K858" i="7"/>
  <c r="N806" i="7"/>
  <c r="G684" i="7"/>
  <c r="K1024" i="7"/>
  <c r="L612" i="7"/>
  <c r="F626" i="7"/>
  <c r="N746" i="7"/>
  <c r="N1288" i="7"/>
  <c r="G977" i="7"/>
  <c r="M1305" i="7"/>
  <c r="F760" i="7"/>
  <c r="O1061" i="7"/>
  <c r="M1090" i="7"/>
  <c r="H1012" i="7"/>
  <c r="L654" i="7"/>
  <c r="K1256" i="7"/>
  <c r="L1120" i="7"/>
  <c r="N1174" i="7"/>
  <c r="H1176" i="7"/>
  <c r="G1485" i="7"/>
  <c r="S827" i="7"/>
  <c r="G1168" i="7"/>
  <c r="S1188" i="7"/>
  <c r="P695" i="7"/>
  <c r="M1061" i="7"/>
  <c r="N897" i="7"/>
  <c r="O1392" i="7"/>
  <c r="S660" i="7"/>
  <c r="N649" i="7"/>
  <c r="F700" i="7"/>
  <c r="L757" i="7"/>
  <c r="M875" i="7"/>
  <c r="L980" i="7"/>
  <c r="N1211" i="7"/>
  <c r="S730" i="7"/>
  <c r="K750" i="7"/>
  <c r="L904" i="7"/>
  <c r="N1158" i="7"/>
  <c r="M1111" i="7"/>
  <c r="K1075" i="7"/>
  <c r="O652" i="7"/>
  <c r="L948" i="7"/>
  <c r="S620" i="7"/>
  <c r="H1027" i="7"/>
  <c r="H993" i="7"/>
  <c r="M999" i="7"/>
  <c r="I1073" i="7"/>
  <c r="L1039" i="7"/>
  <c r="K1016" i="7"/>
  <c r="K1207" i="7"/>
  <c r="I762" i="7"/>
  <c r="P1165" i="7"/>
  <c r="G1076" i="7"/>
  <c r="I1155" i="7"/>
  <c r="F1242" i="7"/>
  <c r="K1302" i="7"/>
  <c r="F1172" i="7"/>
  <c r="K449" i="7"/>
  <c r="F902" i="7"/>
  <c r="L1311" i="7"/>
  <c r="H1357" i="7"/>
  <c r="K900" i="7"/>
  <c r="F730" i="7"/>
  <c r="F1184" i="7"/>
  <c r="H1270" i="7"/>
  <c r="K1213" i="7"/>
  <c r="H1306" i="7"/>
  <c r="O715" i="7"/>
  <c r="M825" i="7"/>
  <c r="P1073" i="7"/>
  <c r="K1263" i="7"/>
  <c r="S738" i="7"/>
  <c r="H1145" i="7"/>
  <c r="S1103" i="7"/>
  <c r="M1390" i="7"/>
  <c r="I1461" i="7"/>
  <c r="I1445" i="7"/>
  <c r="P656" i="7"/>
  <c r="H886" i="7"/>
  <c r="G1108" i="7"/>
  <c r="L1359" i="7"/>
  <c r="I764" i="7"/>
  <c r="M1473" i="7"/>
  <c r="L658" i="7"/>
  <c r="S1255" i="7"/>
  <c r="L1097" i="7"/>
  <c r="N741" i="7"/>
  <c r="S692" i="7"/>
  <c r="S1313" i="7"/>
  <c r="L749" i="7"/>
  <c r="I1002" i="7"/>
  <c r="H983" i="7"/>
  <c r="N1035" i="7"/>
  <c r="H1110" i="7"/>
  <c r="G973" i="7"/>
  <c r="L1433" i="7"/>
  <c r="O858" i="7"/>
  <c r="S1457" i="7"/>
  <c r="K1198" i="7"/>
  <c r="L1252" i="7"/>
  <c r="N1106" i="7"/>
  <c r="S697" i="7"/>
  <c r="I706" i="7"/>
  <c r="P711" i="7"/>
  <c r="O1224" i="7"/>
  <c r="P1176" i="7"/>
  <c r="P1261" i="7"/>
  <c r="S1207" i="7"/>
  <c r="S861" i="7"/>
  <c r="P1281" i="7"/>
  <c r="K1128" i="7"/>
  <c r="L853" i="7"/>
  <c r="L1112" i="7"/>
  <c r="O748" i="7"/>
  <c r="N1266" i="7"/>
  <c r="L866" i="7"/>
  <c r="O861" i="7"/>
  <c r="O1108" i="7"/>
  <c r="P774" i="7"/>
  <c r="I818" i="7"/>
  <c r="P1144" i="7"/>
  <c r="G1137" i="7"/>
  <c r="I868" i="7"/>
  <c r="I690" i="7"/>
  <c r="M1214" i="7"/>
  <c r="H1398" i="7"/>
  <c r="F1299" i="7"/>
  <c r="H930" i="7"/>
  <c r="K1221" i="7"/>
  <c r="M696" i="7"/>
  <c r="O1075" i="7"/>
  <c r="M907" i="7"/>
  <c r="O815" i="7"/>
  <c r="H926" i="7"/>
  <c r="F681" i="7"/>
  <c r="K1243" i="7"/>
  <c r="O813" i="7"/>
  <c r="H1210" i="7"/>
  <c r="F1291" i="7"/>
  <c r="S1416" i="7"/>
  <c r="P741" i="7"/>
  <c r="P689" i="7"/>
  <c r="O1312" i="7"/>
  <c r="H626" i="7"/>
  <c r="M1005" i="7"/>
  <c r="S826" i="7"/>
  <c r="O797" i="7"/>
  <c r="I665" i="7"/>
  <c r="P1162" i="7"/>
  <c r="O703" i="7"/>
  <c r="L937" i="7"/>
  <c r="L810" i="7"/>
  <c r="N1256" i="7"/>
  <c r="O1005" i="7"/>
  <c r="S1144" i="7"/>
  <c r="N621" i="7"/>
  <c r="L839" i="7"/>
  <c r="L1250" i="7"/>
  <c r="I647" i="7"/>
  <c r="L1009" i="7"/>
  <c r="G1088" i="7"/>
  <c r="L797" i="7"/>
  <c r="P986" i="7"/>
  <c r="S1083" i="7"/>
  <c r="M820" i="7"/>
  <c r="P815" i="7"/>
  <c r="N713" i="7"/>
  <c r="S873" i="7"/>
  <c r="N992" i="7"/>
  <c r="M344" i="7"/>
  <c r="N691" i="7"/>
  <c r="N1251" i="7"/>
  <c r="I1209" i="7"/>
  <c r="H1358" i="7"/>
  <c r="N688" i="7"/>
  <c r="N796" i="7"/>
  <c r="F602" i="7"/>
  <c r="H1467" i="7"/>
  <c r="O1306" i="7"/>
  <c r="K786" i="7"/>
  <c r="I1016" i="7"/>
  <c r="K1012" i="7"/>
  <c r="M836" i="7"/>
  <c r="S1189" i="7"/>
  <c r="M775" i="7"/>
  <c r="G1162" i="7"/>
  <c r="P1170" i="7"/>
  <c r="M1219" i="7"/>
  <c r="G997" i="7"/>
  <c r="M1295" i="7"/>
  <c r="P643" i="7"/>
  <c r="M789" i="7"/>
  <c r="M788" i="7"/>
  <c r="N684" i="7"/>
  <c r="N959" i="7"/>
  <c r="I1043" i="7"/>
  <c r="H1094" i="7"/>
  <c r="N1287" i="7"/>
  <c r="G1211" i="7"/>
  <c r="S870" i="7"/>
  <c r="K1432" i="7"/>
  <c r="H1442" i="7"/>
  <c r="M866" i="7"/>
  <c r="F628" i="7"/>
  <c r="S725" i="7"/>
  <c r="O1170" i="7"/>
  <c r="F1342" i="7"/>
  <c r="P1384" i="7"/>
  <c r="P1166" i="7"/>
  <c r="M1426" i="7"/>
  <c r="N1070" i="7"/>
  <c r="P1111" i="7"/>
  <c r="O669" i="7"/>
  <c r="G1283" i="7"/>
  <c r="F1399" i="7"/>
  <c r="K742" i="7"/>
  <c r="G633" i="7"/>
  <c r="H1486" i="7"/>
  <c r="M899" i="7"/>
  <c r="F1216" i="7"/>
  <c r="O764" i="7"/>
  <c r="P731" i="7"/>
  <c r="F1140" i="7"/>
  <c r="G754" i="7"/>
  <c r="G661" i="7"/>
  <c r="M988" i="7"/>
  <c r="H746" i="7"/>
  <c r="P669" i="7"/>
  <c r="G1281" i="7"/>
  <c r="P1119" i="7"/>
  <c r="O978" i="7"/>
  <c r="P1263" i="7"/>
  <c r="I697" i="7"/>
  <c r="K746" i="7"/>
  <c r="O1021" i="7"/>
  <c r="S944" i="7"/>
  <c r="I1168" i="7"/>
  <c r="P1080" i="7"/>
  <c r="L942" i="7"/>
  <c r="N1120" i="7"/>
  <c r="S946" i="7"/>
  <c r="F733" i="7"/>
  <c r="F1057" i="7"/>
  <c r="I617" i="7"/>
  <c r="P890" i="7"/>
  <c r="M615" i="7"/>
  <c r="P771" i="7"/>
  <c r="P727" i="7"/>
  <c r="G1123" i="7"/>
  <c r="N1196" i="7"/>
  <c r="S616" i="7"/>
  <c r="F633" i="7"/>
  <c r="N898" i="7"/>
  <c r="F937" i="7"/>
  <c r="F1481" i="7"/>
  <c r="M980" i="7"/>
  <c r="N1221" i="7"/>
  <c r="G602" i="7"/>
  <c r="O893" i="7"/>
  <c r="O1038" i="7"/>
  <c r="H1021" i="7"/>
  <c r="M947" i="7"/>
  <c r="N617" i="7"/>
  <c r="O647" i="7"/>
  <c r="L1107" i="7"/>
  <c r="S1163" i="7"/>
  <c r="L1265" i="7"/>
  <c r="S1210" i="7"/>
  <c r="I1266" i="7"/>
  <c r="G959" i="7"/>
  <c r="H985" i="7"/>
  <c r="H1251" i="7"/>
  <c r="H880" i="7"/>
  <c r="N1133" i="7"/>
  <c r="M1282" i="7"/>
  <c r="M648" i="7"/>
  <c r="G725" i="7"/>
  <c r="N859" i="7"/>
  <c r="I838" i="7"/>
  <c r="H824" i="7"/>
  <c r="G1075" i="7"/>
  <c r="O1078" i="7"/>
  <c r="H946" i="7"/>
  <c r="P1007" i="7"/>
  <c r="P608" i="7"/>
  <c r="L1255" i="7"/>
  <c r="M625" i="7"/>
  <c r="F1248" i="7"/>
  <c r="F816" i="7"/>
  <c r="P619" i="7"/>
  <c r="P1075" i="7"/>
  <c r="M827" i="7"/>
  <c r="G914" i="7"/>
  <c r="I1292" i="7"/>
  <c r="L763" i="7"/>
  <c r="K1066" i="7"/>
  <c r="K779" i="7"/>
  <c r="F1092" i="7"/>
  <c r="L911" i="7"/>
  <c r="F787" i="7"/>
  <c r="H1419" i="7"/>
  <c r="M715" i="7"/>
  <c r="M855" i="7"/>
  <c r="K645" i="7"/>
  <c r="G1255" i="7"/>
  <c r="S960" i="7"/>
  <c r="P628" i="7"/>
  <c r="G1201" i="7"/>
  <c r="L607" i="7"/>
  <c r="M835" i="7"/>
  <c r="P1302" i="7"/>
  <c r="P788" i="7"/>
  <c r="N423" i="7"/>
  <c r="P1313" i="7"/>
  <c r="G850" i="7"/>
  <c r="G936" i="7"/>
  <c r="N1058" i="7"/>
  <c r="P685" i="7"/>
  <c r="S780" i="7"/>
  <c r="O874" i="7"/>
  <c r="P1323" i="7"/>
  <c r="K963" i="7"/>
  <c r="H1122" i="7"/>
  <c r="P1122" i="7"/>
  <c r="I963" i="7"/>
  <c r="L849" i="7"/>
  <c r="G922" i="7"/>
  <c r="I649" i="7"/>
  <c r="M1431" i="7"/>
  <c r="N749" i="7"/>
  <c r="P1288" i="7"/>
  <c r="L816" i="7"/>
  <c r="S709" i="7"/>
  <c r="N876" i="7"/>
  <c r="I1321" i="7"/>
  <c r="P1160" i="7"/>
  <c r="P749" i="7"/>
  <c r="P1009" i="7"/>
  <c r="K1318" i="7"/>
  <c r="O929" i="7"/>
  <c r="L616" i="7"/>
  <c r="M1256" i="7"/>
  <c r="M904" i="7"/>
  <c r="I700" i="7"/>
  <c r="N750" i="7"/>
  <c r="H1128" i="7"/>
  <c r="P1167" i="7"/>
  <c r="I791" i="7"/>
  <c r="N1051" i="7"/>
  <c r="S1160" i="7"/>
  <c r="H693" i="7"/>
  <c r="P1222" i="7"/>
  <c r="O1176" i="7"/>
  <c r="F1193" i="7"/>
  <c r="S1284" i="7"/>
  <c r="H1327" i="7"/>
  <c r="P1108" i="7"/>
  <c r="O1190" i="7"/>
  <c r="L851" i="7"/>
  <c r="P1005" i="7"/>
  <c r="I805" i="7"/>
  <c r="H1492" i="7"/>
  <c r="H975" i="7"/>
  <c r="I1020" i="7"/>
  <c r="L834" i="7"/>
  <c r="M1258" i="7"/>
  <c r="I1218" i="7"/>
  <c r="L750" i="7"/>
  <c r="H1067" i="7"/>
  <c r="S749" i="7"/>
  <c r="N1315" i="7"/>
  <c r="I1075" i="7"/>
  <c r="I848" i="7"/>
  <c r="L753" i="7"/>
  <c r="H1190" i="7"/>
  <c r="L1165" i="7"/>
  <c r="M945" i="7"/>
  <c r="I767" i="7"/>
  <c r="I866" i="7"/>
  <c r="S1155" i="7"/>
  <c r="O1246" i="7"/>
  <c r="L878" i="7"/>
  <c r="H888" i="7"/>
  <c r="F886" i="7"/>
  <c r="O664" i="7"/>
  <c r="G1192" i="7"/>
  <c r="S694" i="7"/>
  <c r="M950" i="7"/>
  <c r="M1160" i="7"/>
  <c r="N1309" i="7"/>
  <c r="K880" i="7"/>
  <c r="P701" i="7"/>
  <c r="M1293" i="7"/>
  <c r="K751" i="7"/>
  <c r="G623" i="7"/>
  <c r="L619" i="7"/>
  <c r="M791" i="7"/>
  <c r="L652" i="7"/>
  <c r="O1209" i="7"/>
  <c r="P1290" i="7"/>
  <c r="G910" i="7"/>
  <c r="N622" i="7"/>
  <c r="G693" i="7"/>
  <c r="F1322" i="7"/>
  <c r="I1029" i="7"/>
  <c r="L1015" i="7"/>
  <c r="K1155" i="7"/>
  <c r="K897" i="7"/>
  <c r="G640" i="7"/>
  <c r="G1130" i="7"/>
  <c r="S1270" i="7"/>
  <c r="O1081" i="7"/>
  <c r="H1018" i="7"/>
  <c r="L653" i="7"/>
  <c r="F1489" i="7"/>
  <c r="K972" i="7"/>
  <c r="N1123" i="7"/>
  <c r="I635" i="7"/>
  <c r="K691" i="7"/>
  <c r="S1013" i="7"/>
  <c r="N1029" i="7"/>
  <c r="O718" i="7"/>
  <c r="L1108" i="7"/>
  <c r="S901" i="7"/>
  <c r="S298" i="7"/>
  <c r="M978" i="7"/>
  <c r="G844" i="7"/>
  <c r="H1216" i="7"/>
  <c r="N742" i="7"/>
  <c r="K700" i="7"/>
  <c r="L1072" i="7"/>
  <c r="N710" i="7"/>
  <c r="H1139" i="7"/>
  <c r="G691" i="7"/>
  <c r="F606" i="7"/>
  <c r="L960" i="7"/>
  <c r="N1177" i="7"/>
  <c r="F1281" i="7"/>
  <c r="L977" i="7"/>
  <c r="M1326" i="7"/>
  <c r="H491" i="7"/>
  <c r="H1397" i="7"/>
  <c r="F657" i="7"/>
  <c r="K952" i="7"/>
  <c r="G1213" i="7"/>
  <c r="H787" i="7"/>
  <c r="P804" i="7"/>
  <c r="I800" i="7"/>
  <c r="M1247" i="7"/>
  <c r="P797" i="7"/>
  <c r="S726" i="7"/>
  <c r="F1133" i="7"/>
  <c r="H792" i="7"/>
  <c r="M920" i="7"/>
  <c r="L675" i="7"/>
  <c r="G1032" i="7"/>
  <c r="F1163" i="7"/>
  <c r="M1140" i="7"/>
  <c r="S955" i="7"/>
  <c r="F716" i="7"/>
  <c r="I1416" i="7"/>
  <c r="G660" i="7"/>
  <c r="F1185" i="7"/>
  <c r="F905" i="7"/>
  <c r="L823" i="7"/>
  <c r="F992" i="7"/>
  <c r="S1474" i="7"/>
  <c r="G1218" i="7"/>
  <c r="L1281" i="7"/>
  <c r="M1077" i="7"/>
  <c r="N646" i="7"/>
  <c r="F1407" i="7"/>
  <c r="N1324" i="7"/>
  <c r="L778" i="7"/>
  <c r="P836" i="7"/>
  <c r="K1178" i="7"/>
  <c r="S737" i="7"/>
  <c r="H879" i="7"/>
  <c r="L711" i="7"/>
  <c r="I1441" i="7"/>
  <c r="I663" i="7"/>
  <c r="H914" i="7"/>
  <c r="F745" i="7"/>
  <c r="S1086" i="7"/>
  <c r="H1049" i="7"/>
  <c r="M1084" i="7"/>
  <c r="M1034" i="7"/>
  <c r="P1023" i="7"/>
  <c r="N1081" i="7"/>
  <c r="O1044" i="7"/>
  <c r="K861" i="7"/>
  <c r="K1336" i="7"/>
  <c r="O1297" i="7"/>
  <c r="F1102" i="7"/>
  <c r="F883" i="7"/>
  <c r="M1351" i="7"/>
  <c r="M1252" i="7"/>
  <c r="O970" i="7"/>
  <c r="N1305" i="7"/>
  <c r="H912" i="7"/>
  <c r="O660" i="7"/>
  <c r="S686" i="7"/>
  <c r="M885" i="7"/>
  <c r="G1135" i="7"/>
  <c r="F1214" i="7"/>
  <c r="L1017" i="7"/>
  <c r="S805" i="7"/>
  <c r="F857" i="7"/>
  <c r="N1296" i="7"/>
  <c r="H761" i="7"/>
  <c r="O1309" i="7"/>
  <c r="S765" i="7"/>
  <c r="O1130" i="7"/>
  <c r="N1223" i="7"/>
  <c r="K1160" i="7"/>
  <c r="I1173" i="7"/>
  <c r="F888" i="7"/>
  <c r="I769" i="7"/>
  <c r="S867" i="7"/>
  <c r="G1018" i="7"/>
  <c r="M716" i="7"/>
  <c r="S1014" i="7"/>
  <c r="M698" i="7"/>
  <c r="L881" i="7"/>
  <c r="K1326" i="7"/>
  <c r="N1143" i="7"/>
  <c r="I1224" i="7"/>
  <c r="F1187" i="7"/>
  <c r="G1103" i="7"/>
  <c r="K1232" i="7"/>
  <c r="O1137" i="7"/>
  <c r="M863" i="7"/>
  <c r="N1107" i="7"/>
  <c r="K760" i="7"/>
  <c r="L898" i="7"/>
  <c r="L1091" i="7"/>
  <c r="S1127" i="7"/>
  <c r="F880" i="7"/>
  <c r="N1093" i="7"/>
  <c r="P929" i="7"/>
  <c r="K996" i="7"/>
  <c r="G1221" i="7"/>
  <c r="O1313" i="7"/>
  <c r="O1275" i="7"/>
  <c r="L1254" i="7"/>
  <c r="I861" i="7"/>
  <c r="N881" i="7"/>
  <c r="N1165" i="7"/>
  <c r="S691" i="7"/>
  <c r="L473" i="7"/>
  <c r="H1153" i="7"/>
  <c r="N1201" i="7"/>
  <c r="M694" i="7"/>
  <c r="S1084" i="7"/>
  <c r="P1029" i="7"/>
  <c r="K804" i="7"/>
  <c r="S1093" i="7"/>
  <c r="H1098" i="7"/>
  <c r="N665" i="7"/>
  <c r="N1161" i="7"/>
  <c r="I1295" i="7"/>
  <c r="G628" i="7"/>
  <c r="G645" i="7"/>
  <c r="N612" i="7"/>
  <c r="N828" i="7"/>
  <c r="N1217" i="7"/>
  <c r="K965" i="7"/>
  <c r="L443" i="7"/>
  <c r="N968" i="7"/>
  <c r="G1353" i="7"/>
  <c r="L610" i="7"/>
  <c r="S622" i="7"/>
  <c r="S852" i="7"/>
  <c r="P1306" i="7"/>
  <c r="H841" i="7"/>
  <c r="N1007" i="7"/>
  <c r="N984" i="7"/>
  <c r="I1248" i="7"/>
  <c r="H602" i="7"/>
  <c r="I613" i="7"/>
  <c r="H1300" i="7"/>
  <c r="O814" i="7"/>
  <c r="F1397" i="7"/>
  <c r="S1167" i="7"/>
  <c r="S857" i="7"/>
  <c r="F908" i="7"/>
  <c r="H732" i="7"/>
  <c r="M1399" i="7"/>
  <c r="N1112" i="7"/>
  <c r="P888" i="7"/>
  <c r="O1259" i="7"/>
  <c r="F1326" i="7"/>
  <c r="P1383" i="7"/>
  <c r="O883" i="7"/>
  <c r="N616" i="7"/>
  <c r="M927" i="7"/>
  <c r="F961" i="7"/>
  <c r="K1386" i="7"/>
  <c r="I626" i="7"/>
  <c r="P1098" i="7"/>
  <c r="F1264" i="7"/>
  <c r="F1177" i="7"/>
  <c r="I1118" i="7"/>
  <c r="F1347" i="7"/>
  <c r="G987" i="7"/>
  <c r="I941" i="7"/>
  <c r="S808" i="7"/>
  <c r="I1318" i="7"/>
  <c r="S1310" i="7"/>
  <c r="H1029" i="7"/>
  <c r="G1049" i="7"/>
  <c r="L724" i="7"/>
  <c r="F1017" i="7"/>
  <c r="S1384" i="7"/>
  <c r="S859" i="7"/>
  <c r="K1296" i="7"/>
  <c r="I1071" i="7"/>
  <c r="K622" i="7"/>
  <c r="L1168" i="7"/>
  <c r="N827" i="7"/>
  <c r="I799" i="7"/>
  <c r="I1405" i="7"/>
  <c r="L663" i="7"/>
  <c r="G956" i="7"/>
  <c r="L625" i="7"/>
  <c r="O1225" i="7"/>
  <c r="N1304" i="7"/>
  <c r="O1070" i="7"/>
  <c r="I1304" i="7"/>
  <c r="F929" i="7"/>
  <c r="P802" i="7"/>
  <c r="M869" i="7"/>
  <c r="G828" i="7"/>
  <c r="S853" i="7"/>
  <c r="G627" i="7"/>
  <c r="S627" i="7"/>
  <c r="L1294" i="7"/>
  <c r="P1286" i="7"/>
  <c r="I1386" i="7"/>
  <c r="L630" i="7"/>
  <c r="O994" i="7"/>
  <c r="O924" i="7"/>
  <c r="N1006" i="7"/>
  <c r="K1045" i="7"/>
  <c r="M1234" i="7"/>
  <c r="N735" i="7"/>
  <c r="L714" i="7"/>
  <c r="K1011" i="7"/>
  <c r="S1299" i="7"/>
  <c r="F715" i="7"/>
  <c r="M1159" i="7"/>
  <c r="L775" i="7"/>
  <c r="L1069" i="7"/>
  <c r="F1052" i="7"/>
  <c r="F1383" i="7"/>
  <c r="L814" i="7"/>
  <c r="H1133" i="7"/>
  <c r="M900" i="7"/>
  <c r="N1022" i="7"/>
  <c r="O951" i="7"/>
  <c r="O816" i="7"/>
  <c r="G1095" i="7"/>
  <c r="S1053" i="7"/>
  <c r="F1246" i="7"/>
  <c r="N1276" i="7"/>
  <c r="G736" i="7"/>
  <c r="M646" i="7"/>
  <c r="P1403" i="7"/>
  <c r="H1070" i="7"/>
  <c r="L985" i="7"/>
  <c r="L1313" i="7"/>
  <c r="I1247" i="7"/>
  <c r="I862" i="7"/>
  <c r="M1241" i="7"/>
  <c r="M1016" i="7"/>
  <c r="K1168" i="7"/>
  <c r="O977" i="7"/>
  <c r="I904" i="7"/>
  <c r="N642" i="7"/>
  <c r="N1061" i="7"/>
  <c r="P1292" i="7"/>
  <c r="N1194" i="7"/>
  <c r="K782" i="7"/>
  <c r="I1021" i="7"/>
  <c r="S614" i="7"/>
  <c r="H998" i="7"/>
  <c r="N862" i="7"/>
  <c r="N780" i="7"/>
  <c r="S809" i="7"/>
  <c r="O621" i="7"/>
  <c r="H817" i="7"/>
  <c r="P778" i="7"/>
  <c r="G1261" i="7"/>
  <c r="K727" i="7"/>
  <c r="O781" i="7"/>
  <c r="P1316" i="7"/>
  <c r="G960" i="7"/>
  <c r="M643" i="7"/>
  <c r="F783" i="7"/>
  <c r="I969" i="7"/>
  <c r="G1246" i="7"/>
  <c r="I988" i="7"/>
  <c r="N815" i="7"/>
  <c r="M469" i="7"/>
  <c r="O1117" i="7"/>
  <c r="M804" i="7"/>
  <c r="F873" i="7"/>
  <c r="L833" i="7"/>
  <c r="F1234" i="7"/>
  <c r="O1422" i="7"/>
  <c r="F1221" i="7"/>
  <c r="L1365" i="7"/>
  <c r="F1414" i="7"/>
  <c r="O1457" i="7"/>
  <c r="P1092" i="7"/>
  <c r="N1461" i="7"/>
  <c r="P1257" i="7"/>
  <c r="O1333" i="7"/>
  <c r="M919" i="7"/>
  <c r="L1122" i="7"/>
  <c r="P1419" i="7"/>
  <c r="O1107" i="7"/>
  <c r="L622" i="7"/>
  <c r="N1152" i="7"/>
  <c r="K658" i="7"/>
  <c r="G1001" i="7"/>
  <c r="G1271" i="7"/>
  <c r="P1061" i="7"/>
  <c r="S974" i="7"/>
  <c r="O1296" i="7"/>
  <c r="N839" i="7"/>
  <c r="K950" i="7"/>
  <c r="M1102" i="7"/>
  <c r="O1067" i="7"/>
  <c r="I1226" i="7"/>
  <c r="O831" i="7"/>
  <c r="O879" i="7"/>
  <c r="L1193" i="7"/>
  <c r="L1100" i="7"/>
  <c r="G1012" i="7"/>
  <c r="P1120" i="7"/>
  <c r="P1252" i="7"/>
  <c r="N1054" i="7"/>
  <c r="K1252" i="7"/>
  <c r="N915" i="7"/>
  <c r="G1031" i="7"/>
  <c r="G871" i="7"/>
  <c r="P657" i="7"/>
  <c r="G911" i="7"/>
  <c r="H1227" i="7"/>
  <c r="L1210" i="7"/>
  <c r="P863" i="7"/>
  <c r="L1468" i="7"/>
  <c r="M1254" i="7"/>
  <c r="H1188" i="7"/>
  <c r="S909" i="7"/>
  <c r="I1484" i="7"/>
  <c r="K1043" i="7"/>
  <c r="F1333" i="7"/>
  <c r="K684" i="7"/>
  <c r="M1235" i="7"/>
  <c r="P1089" i="7"/>
  <c r="K1031" i="7"/>
  <c r="N757" i="7"/>
  <c r="O1294" i="7"/>
  <c r="K1254" i="7"/>
  <c r="L857" i="7"/>
  <c r="K674" i="7"/>
  <c r="G695" i="7"/>
  <c r="I614" i="7"/>
  <c r="N1010" i="7"/>
  <c r="K701" i="7"/>
  <c r="L1016" i="7"/>
  <c r="S908" i="7"/>
  <c r="L629" i="7"/>
  <c r="I903" i="7"/>
  <c r="K1321" i="7"/>
  <c r="L617" i="7"/>
  <c r="F861" i="7"/>
  <c r="S953" i="7"/>
  <c r="H1125" i="7"/>
  <c r="H1052" i="7"/>
  <c r="M735" i="7"/>
  <c r="O1322" i="7"/>
  <c r="G1403" i="7"/>
  <c r="P1136" i="7"/>
  <c r="N1431" i="7"/>
  <c r="K1409" i="7"/>
  <c r="I1299" i="7"/>
  <c r="L700" i="7"/>
  <c r="H1249" i="7"/>
  <c r="K1133" i="7"/>
  <c r="H1444" i="7"/>
  <c r="N1269" i="7"/>
  <c r="F909" i="7"/>
  <c r="G823" i="7"/>
  <c r="F610" i="7"/>
  <c r="O909" i="7"/>
  <c r="S1158" i="7"/>
  <c r="L952" i="7"/>
  <c r="G1220" i="7"/>
  <c r="P1142" i="7"/>
  <c r="H986" i="7"/>
  <c r="O1181" i="7"/>
  <c r="M659" i="7"/>
  <c r="K1074" i="7"/>
  <c r="M1042" i="7"/>
  <c r="H701" i="7"/>
  <c r="O791" i="7"/>
  <c r="N664" i="7"/>
  <c r="S801" i="7"/>
  <c r="F735" i="7"/>
  <c r="M993" i="7"/>
  <c r="O761" i="7"/>
  <c r="F718" i="7"/>
  <c r="H1323" i="7"/>
  <c r="F1267" i="7"/>
  <c r="L651" i="7"/>
  <c r="S407" i="7"/>
  <c r="I781" i="7"/>
  <c r="L1286" i="7"/>
  <c r="G965" i="7"/>
  <c r="G880" i="7"/>
  <c r="G864" i="7"/>
  <c r="S1148" i="7"/>
  <c r="L1095" i="7"/>
  <c r="F918" i="7"/>
  <c r="L1272" i="7"/>
  <c r="F1211" i="7"/>
  <c r="M868" i="7"/>
  <c r="M816" i="7"/>
  <c r="P812" i="7"/>
  <c r="K535" i="7"/>
  <c r="O560" i="7"/>
  <c r="S1120" i="7"/>
  <c r="F1147" i="7"/>
  <c r="I914" i="7"/>
  <c r="G1376" i="7"/>
  <c r="N1370" i="7"/>
  <c r="O1343" i="7"/>
  <c r="G950" i="7"/>
  <c r="I1361" i="7"/>
  <c r="P1115" i="7"/>
  <c r="I1497" i="7"/>
  <c r="K1220" i="7"/>
  <c r="H893" i="7"/>
  <c r="L1111" i="7"/>
  <c r="O875" i="7"/>
  <c r="G1352" i="7"/>
  <c r="I1190" i="7"/>
  <c r="S1359" i="7"/>
  <c r="N1434" i="7"/>
  <c r="N998" i="7"/>
  <c r="M934" i="7"/>
  <c r="H1308" i="7"/>
  <c r="H803" i="7"/>
  <c r="G1370" i="7"/>
  <c r="G970" i="7"/>
  <c r="F1217" i="7"/>
  <c r="N1220" i="7"/>
  <c r="I664" i="7"/>
  <c r="I761" i="7"/>
  <c r="I1183" i="7"/>
  <c r="I812" i="7"/>
  <c r="F1491" i="7"/>
  <c r="N1018" i="7"/>
  <c r="P975" i="7"/>
  <c r="P1042" i="7"/>
  <c r="O856" i="7"/>
  <c r="L796" i="7"/>
  <c r="G930" i="7"/>
  <c r="K625" i="7"/>
  <c r="S1073" i="7"/>
  <c r="M812" i="7"/>
  <c r="G1044" i="7"/>
  <c r="S1045" i="7"/>
  <c r="P1220" i="7"/>
  <c r="F1106" i="7"/>
  <c r="I710" i="7"/>
  <c r="O675" i="7"/>
  <c r="G1204" i="7"/>
  <c r="F682" i="7"/>
  <c r="H1460" i="7"/>
  <c r="M617" i="7"/>
  <c r="I1080" i="7"/>
  <c r="F1095" i="7"/>
  <c r="S1159" i="7"/>
  <c r="I977" i="7"/>
  <c r="F1124" i="7"/>
  <c r="M943" i="7"/>
  <c r="H928" i="7"/>
  <c r="N1262" i="7"/>
  <c r="O754" i="7"/>
  <c r="M1458" i="7"/>
  <c r="L688" i="7"/>
  <c r="I1182" i="7"/>
  <c r="H1077" i="7"/>
  <c r="H885" i="7"/>
  <c r="I1128" i="7"/>
  <c r="F975" i="7"/>
  <c r="F1280" i="7"/>
  <c r="P772" i="7"/>
  <c r="K869" i="7"/>
  <c r="O619" i="7"/>
  <c r="G989" i="7"/>
  <c r="F1205" i="7"/>
  <c r="N936" i="7"/>
  <c r="K1190" i="7"/>
  <c r="N1436" i="7"/>
  <c r="P858" i="7"/>
  <c r="K820" i="7"/>
  <c r="I1125" i="7"/>
  <c r="G866" i="7"/>
  <c r="O1281" i="7"/>
  <c r="M877" i="7"/>
  <c r="H1030" i="7"/>
  <c r="M861" i="7"/>
  <c r="P1193" i="7"/>
  <c r="P697" i="7"/>
  <c r="I1307" i="7"/>
  <c r="L1128" i="7"/>
  <c r="O608" i="7"/>
  <c r="G1091" i="7"/>
  <c r="F554" i="7"/>
  <c r="O719" i="7"/>
  <c r="N804" i="7"/>
  <c r="G635" i="7"/>
  <c r="K641" i="7"/>
  <c r="S678" i="7"/>
  <c r="P382" i="7"/>
  <c r="I1222" i="7"/>
  <c r="I1440" i="7"/>
  <c r="P882" i="7"/>
  <c r="K520" i="7"/>
  <c r="F619" i="7"/>
  <c r="F858" i="7"/>
  <c r="F1022" i="7"/>
  <c r="M1329" i="7"/>
  <c r="L691" i="7"/>
  <c r="S1138" i="7"/>
  <c r="P861" i="7"/>
  <c r="L929" i="7"/>
  <c r="L982" i="7"/>
  <c r="O1145" i="7"/>
  <c r="K1301" i="7"/>
  <c r="P1248" i="7"/>
  <c r="O860" i="7"/>
  <c r="F686" i="7"/>
  <c r="N1142" i="7"/>
  <c r="F1112" i="7"/>
  <c r="P1046" i="7"/>
  <c r="H655" i="7"/>
  <c r="I691" i="7"/>
  <c r="M1232" i="7"/>
  <c r="S734" i="7"/>
  <c r="M953" i="7"/>
  <c r="L785" i="7"/>
  <c r="P1249" i="7"/>
  <c r="P555" i="7"/>
  <c r="N1083" i="7"/>
  <c r="P1242" i="7"/>
  <c r="G1090" i="7"/>
  <c r="K656" i="7"/>
  <c r="H750" i="7"/>
  <c r="O1143" i="7"/>
  <c r="L669" i="7"/>
  <c r="S1102" i="7"/>
  <c r="G889" i="7"/>
  <c r="O1106" i="7"/>
  <c r="H1167" i="7"/>
  <c r="L856" i="7"/>
  <c r="M1267" i="7"/>
  <c r="M883" i="7"/>
  <c r="M802" i="7"/>
  <c r="O981" i="7"/>
  <c r="N653" i="7"/>
  <c r="L891" i="7"/>
  <c r="I979" i="7"/>
  <c r="N894" i="7"/>
  <c r="P684" i="7"/>
  <c r="K1163" i="7"/>
  <c r="S823" i="7"/>
  <c r="P604" i="7"/>
  <c r="H1231" i="7"/>
  <c r="S1476" i="7"/>
  <c r="K1131" i="7"/>
  <c r="F622" i="7"/>
  <c r="H660" i="7"/>
  <c r="M1322" i="7"/>
  <c r="F1002" i="7"/>
  <c r="K740" i="7"/>
  <c r="L836" i="7"/>
  <c r="L664" i="7"/>
  <c r="S1154" i="7"/>
  <c r="H960" i="7"/>
  <c r="I1095" i="7"/>
  <c r="F953" i="7"/>
  <c r="F747" i="7"/>
  <c r="F1362" i="7"/>
  <c r="L1116" i="7"/>
  <c r="M1023" i="7"/>
  <c r="S1262" i="7"/>
  <c r="M1441" i="7"/>
  <c r="F764" i="7"/>
  <c r="K647" i="7"/>
  <c r="O724" i="7"/>
  <c r="F954" i="7"/>
  <c r="S1024" i="7"/>
  <c r="K1052" i="7"/>
  <c r="F711" i="7"/>
  <c r="H713" i="7"/>
  <c r="K984" i="7"/>
  <c r="I1252" i="7"/>
  <c r="M1227" i="7"/>
  <c r="O961" i="7"/>
  <c r="G1041" i="7"/>
  <c r="M1259" i="7"/>
  <c r="N724" i="7"/>
  <c r="N1172" i="7"/>
  <c r="L1098" i="7"/>
  <c r="N858" i="7"/>
  <c r="S644" i="7"/>
  <c r="I950" i="7"/>
  <c r="H1099" i="7"/>
  <c r="M1278" i="7"/>
  <c r="G808" i="7"/>
  <c r="P1204" i="7"/>
  <c r="I1352" i="7"/>
  <c r="O992" i="7"/>
  <c r="F664" i="7"/>
  <c r="K757" i="7"/>
  <c r="N1015" i="7"/>
  <c r="O876" i="7"/>
  <c r="G786" i="7"/>
  <c r="K1419" i="7"/>
  <c r="G1284" i="7"/>
  <c r="N1264" i="7"/>
  <c r="I1077" i="7"/>
  <c r="P686" i="7"/>
  <c r="F1127" i="7"/>
  <c r="O1253" i="7"/>
  <c r="I1116" i="7"/>
  <c r="O869" i="7"/>
  <c r="F1255" i="7"/>
  <c r="S611" i="7"/>
  <c r="M880" i="7"/>
  <c r="S754" i="7"/>
  <c r="F1108" i="7"/>
  <c r="G1278" i="7"/>
  <c r="G1240" i="7"/>
  <c r="I1449" i="7"/>
  <c r="N871" i="7"/>
  <c r="F1165" i="7"/>
  <c r="H1315" i="7"/>
  <c r="I1470" i="7"/>
  <c r="F1306" i="7"/>
  <c r="P891" i="7"/>
  <c r="K1084" i="7"/>
  <c r="M1210" i="7"/>
  <c r="S1208" i="7"/>
  <c r="M1284" i="7"/>
  <c r="K1309" i="7"/>
  <c r="N1476" i="7"/>
  <c r="H1075" i="7"/>
  <c r="N697" i="7"/>
  <c r="K613" i="7"/>
  <c r="M983" i="7"/>
  <c r="S779" i="7"/>
  <c r="S445" i="7"/>
  <c r="P340" i="7"/>
  <c r="P1397" i="7"/>
  <c r="M529" i="7"/>
  <c r="N1085" i="7"/>
  <c r="S1258" i="7"/>
  <c r="F748" i="7"/>
  <c r="H1142" i="7"/>
  <c r="M1007" i="7"/>
  <c r="S1168" i="7"/>
  <c r="P889" i="7"/>
  <c r="M1236" i="7"/>
  <c r="S848" i="7"/>
  <c r="P1053" i="7"/>
  <c r="H1045" i="7"/>
  <c r="P694" i="7"/>
  <c r="K1137" i="7"/>
  <c r="L934" i="7"/>
  <c r="K781" i="7"/>
  <c r="O1042" i="7"/>
  <c r="H643" i="7"/>
  <c r="F1115" i="7"/>
  <c r="H813" i="7"/>
  <c r="K1488" i="7"/>
  <c r="M1488" i="7"/>
  <c r="S1364" i="7"/>
  <c r="M1434" i="7"/>
  <c r="K841" i="7"/>
  <c r="O867" i="7"/>
  <c r="M746" i="7"/>
  <c r="K1177" i="7"/>
  <c r="K1170" i="7"/>
  <c r="K1154" i="7"/>
  <c r="N1278" i="7"/>
  <c r="I1316" i="7"/>
  <c r="H942" i="7"/>
  <c r="N695" i="7"/>
  <c r="S1383" i="7"/>
  <c r="O1174" i="7"/>
  <c r="F970" i="7"/>
  <c r="L1070" i="7"/>
  <c r="H1450" i="7"/>
  <c r="P907" i="7"/>
  <c r="H990" i="7"/>
  <c r="I1053" i="7"/>
  <c r="G711" i="7"/>
  <c r="P1203" i="7"/>
  <c r="M1315" i="7"/>
  <c r="H1263" i="7"/>
  <c r="I658" i="7"/>
  <c r="G945" i="7"/>
  <c r="F778" i="7"/>
  <c r="P1173" i="7"/>
  <c r="P1215" i="7"/>
  <c r="I1219" i="7"/>
  <c r="L943" i="7"/>
  <c r="K1174" i="7"/>
  <c r="F934" i="7"/>
  <c r="H1463" i="7"/>
  <c r="S864" i="7"/>
  <c r="P1131" i="7"/>
  <c r="K867" i="7"/>
  <c r="I1166" i="7"/>
  <c r="I1193" i="7"/>
  <c r="O812" i="7"/>
  <c r="M720" i="7"/>
  <c r="S1211" i="7"/>
  <c r="L1380" i="7"/>
  <c r="G756" i="7"/>
  <c r="K1125" i="7"/>
  <c r="K1059" i="7"/>
  <c r="I1348" i="7"/>
  <c r="K895" i="7"/>
  <c r="H704" i="7"/>
  <c r="N1127" i="7"/>
  <c r="G1409" i="7"/>
  <c r="H625" i="7"/>
  <c r="P867" i="7"/>
  <c r="F765" i="7"/>
  <c r="H832" i="7"/>
  <c r="H861" i="7"/>
  <c r="I1389" i="7"/>
  <c r="L1305" i="7"/>
  <c r="M610" i="7"/>
  <c r="G1094" i="7"/>
  <c r="F1109" i="7"/>
  <c r="G1131" i="7"/>
  <c r="I1409" i="7"/>
  <c r="M996" i="7"/>
  <c r="N860" i="7"/>
  <c r="M942" i="7"/>
  <c r="P744" i="7"/>
  <c r="P895" i="7"/>
  <c r="M847" i="7"/>
  <c r="O1049" i="7"/>
  <c r="F1257" i="7"/>
  <c r="F704" i="7"/>
  <c r="S905" i="7"/>
  <c r="G798" i="7"/>
  <c r="H740" i="7"/>
  <c r="P735" i="7"/>
  <c r="H631" i="7"/>
  <c r="L766" i="7"/>
  <c r="N677" i="7"/>
  <c r="S786" i="7"/>
  <c r="F804" i="7"/>
  <c r="M1370" i="7"/>
  <c r="N1053" i="7"/>
  <c r="M1079" i="7"/>
  <c r="G907" i="7"/>
  <c r="P1004" i="7"/>
  <c r="M679" i="7"/>
  <c r="S942" i="7"/>
  <c r="S610" i="7"/>
  <c r="P583" i="7"/>
  <c r="K980" i="7"/>
  <c r="M806" i="7"/>
  <c r="M1301" i="7"/>
  <c r="H487" i="7"/>
  <c r="P823" i="7"/>
  <c r="L1300" i="7"/>
  <c r="N1440" i="7"/>
  <c r="F979" i="7"/>
  <c r="K1022" i="7"/>
  <c r="G940" i="7"/>
  <c r="I1249" i="7"/>
  <c r="F1173" i="7"/>
  <c r="N854" i="7"/>
  <c r="K486" i="7"/>
  <c r="H976" i="7"/>
  <c r="M1273" i="7"/>
  <c r="O429" i="7"/>
  <c r="O1157" i="7"/>
  <c r="L588" i="7"/>
  <c r="N905" i="7"/>
  <c r="I1011" i="7"/>
  <c r="N1200" i="7"/>
  <c r="I618" i="7"/>
  <c r="G1011" i="7"/>
  <c r="M653" i="7"/>
  <c r="K925" i="7"/>
  <c r="I766" i="7"/>
  <c r="M854" i="7"/>
  <c r="P302" i="7"/>
  <c r="M1238" i="7"/>
  <c r="P1121" i="7"/>
  <c r="H968" i="7"/>
  <c r="F1026" i="7"/>
  <c r="I836" i="7"/>
  <c r="L1432" i="7"/>
  <c r="M1011" i="7"/>
  <c r="S1105" i="7"/>
  <c r="K776" i="7"/>
  <c r="F1370" i="7"/>
  <c r="I703" i="7"/>
  <c r="N1214" i="7"/>
  <c r="F1405" i="7"/>
  <c r="I945" i="7"/>
  <c r="O617" i="7"/>
  <c r="O928" i="7"/>
  <c r="S950" i="7"/>
  <c r="H974" i="7"/>
  <c r="K1193" i="7"/>
  <c r="H1054" i="7"/>
  <c r="I746" i="7"/>
  <c r="O1216" i="7"/>
  <c r="H805" i="7"/>
  <c r="K822" i="7"/>
  <c r="S1250" i="7"/>
  <c r="N1302" i="7"/>
  <c r="I671" i="7"/>
  <c r="S841" i="7"/>
  <c r="N1178" i="7"/>
  <c r="H1461" i="7"/>
  <c r="L665" i="7"/>
  <c r="L1278" i="7"/>
  <c r="H716" i="7"/>
  <c r="O1055" i="7"/>
  <c r="I1115" i="7"/>
  <c r="H980" i="7"/>
  <c r="O782" i="7"/>
  <c r="K1161" i="7"/>
  <c r="L871" i="7"/>
  <c r="K1246" i="7"/>
  <c r="M1192" i="7"/>
  <c r="G1080" i="7"/>
  <c r="I645" i="7"/>
  <c r="M693" i="7"/>
  <c r="P769" i="7"/>
  <c r="F1470" i="7"/>
  <c r="K960" i="7"/>
  <c r="H878" i="7"/>
  <c r="F740" i="7"/>
  <c r="I1259" i="7"/>
  <c r="M1255" i="7"/>
  <c r="S987" i="7"/>
  <c r="L893" i="7"/>
  <c r="L1054" i="7"/>
  <c r="F1141" i="7"/>
  <c r="H863" i="7"/>
  <c r="K1435" i="7"/>
  <c r="L1090" i="7"/>
  <c r="K1214" i="7"/>
  <c r="N663" i="7"/>
  <c r="P1028" i="7"/>
  <c r="S881" i="7"/>
  <c r="L896" i="7"/>
  <c r="N1271" i="7"/>
  <c r="O1022" i="7"/>
  <c r="H1020" i="7"/>
  <c r="M1222" i="7"/>
  <c r="K654" i="7"/>
  <c r="H1321" i="7"/>
  <c r="L1419" i="7"/>
  <c r="G876" i="7"/>
  <c r="M1014" i="7"/>
  <c r="O701" i="7"/>
  <c r="M1107" i="7"/>
  <c r="M1276" i="7"/>
  <c r="I1163" i="7"/>
  <c r="S1215" i="7"/>
  <c r="L1084" i="7"/>
  <c r="H1002" i="7"/>
  <c r="S1433" i="7"/>
  <c r="S1157" i="7"/>
  <c r="S1136" i="7"/>
  <c r="L913" i="7"/>
  <c r="M1433" i="7"/>
  <c r="O612" i="7"/>
  <c r="H1011" i="7"/>
  <c r="S791" i="7"/>
  <c r="K851" i="7"/>
  <c r="H692" i="7"/>
  <c r="F621" i="7"/>
  <c r="N953" i="7"/>
  <c r="O616" i="7"/>
  <c r="P941" i="7"/>
  <c r="S455" i="7"/>
  <c r="H1290" i="7"/>
  <c r="G783" i="7"/>
  <c r="G1165" i="7"/>
  <c r="S1092" i="7"/>
  <c r="H610" i="7"/>
  <c r="H1299" i="7"/>
  <c r="K682" i="7"/>
  <c r="I734" i="7"/>
  <c r="I661" i="7"/>
  <c r="H1015" i="7"/>
  <c r="F687" i="7"/>
  <c r="F1034" i="7"/>
  <c r="G1157" i="7"/>
  <c r="K1157" i="7"/>
  <c r="H899" i="7"/>
  <c r="N769" i="7"/>
  <c r="N1080" i="7"/>
  <c r="P400" i="7"/>
  <c r="P1034" i="7"/>
  <c r="H663" i="7"/>
  <c r="G1244" i="7"/>
  <c r="G1402" i="7"/>
  <c r="S936" i="7"/>
  <c r="S1081" i="7"/>
  <c r="G1257" i="7"/>
  <c r="M645" i="7"/>
  <c r="O1089" i="7"/>
  <c r="K1005" i="7"/>
  <c r="F1186" i="7"/>
  <c r="P897" i="7"/>
  <c r="S1300" i="7"/>
  <c r="G1063" i="7"/>
  <c r="K404" i="7"/>
  <c r="G1295" i="7"/>
  <c r="S1256" i="7"/>
  <c r="L580" i="7"/>
  <c r="G606" i="7"/>
  <c r="G704" i="7"/>
  <c r="G1151" i="7"/>
  <c r="F1355" i="7"/>
  <c r="M911" i="7"/>
  <c r="P1140" i="7"/>
  <c r="G1133" i="7"/>
  <c r="O1219" i="7"/>
  <c r="M711" i="7"/>
  <c r="N1128" i="7"/>
  <c r="K992" i="7"/>
  <c r="F989" i="7"/>
  <c r="H739" i="7"/>
  <c r="K612" i="7"/>
  <c r="N1451" i="7"/>
  <c r="P1194" i="7"/>
  <c r="O931" i="7"/>
  <c r="N1255" i="7"/>
  <c r="L694" i="7"/>
  <c r="S1106" i="7"/>
  <c r="S886" i="7"/>
  <c r="F702" i="7"/>
  <c r="K706" i="7"/>
  <c r="P1163" i="7"/>
  <c r="G1411" i="7"/>
  <c r="F695" i="7"/>
  <c r="H1295" i="7"/>
  <c r="M1323" i="7"/>
  <c r="N1111" i="7"/>
  <c r="H1454" i="7"/>
  <c r="H941" i="7"/>
  <c r="O1196" i="7"/>
  <c r="H785" i="7"/>
  <c r="G899" i="7"/>
  <c r="H1320" i="7"/>
  <c r="I1345" i="7"/>
  <c r="H1259" i="7"/>
  <c r="K1151" i="7"/>
  <c r="O1125" i="7"/>
  <c r="S1107" i="7"/>
  <c r="P783" i="7"/>
  <c r="H1317" i="7"/>
  <c r="K1017" i="7"/>
  <c r="S1219" i="7"/>
  <c r="G1083" i="7"/>
  <c r="K1123" i="7"/>
  <c r="L979" i="7"/>
  <c r="I646" i="7"/>
  <c r="K802" i="7"/>
  <c r="I1144" i="7"/>
  <c r="I808" i="7"/>
  <c r="L1143" i="7"/>
  <c r="K788" i="7"/>
  <c r="S695" i="7"/>
  <c r="S646" i="7"/>
  <c r="G1222" i="7"/>
  <c r="F1451" i="7"/>
  <c r="S1198" i="7"/>
  <c r="L1290" i="7"/>
  <c r="M614" i="7"/>
  <c r="S1322" i="7"/>
  <c r="N867" i="7"/>
  <c r="N1399" i="7"/>
  <c r="S854" i="7"/>
  <c r="F703" i="7"/>
  <c r="F956" i="7"/>
  <c r="G621" i="7"/>
  <c r="P910" i="7"/>
  <c r="K896" i="7"/>
  <c r="F1158" i="7"/>
  <c r="I921" i="7"/>
  <c r="F952" i="7"/>
  <c r="H789" i="7"/>
  <c r="P1241" i="7"/>
  <c r="M661" i="7"/>
  <c r="L859" i="7"/>
  <c r="F1365" i="7"/>
  <c r="N1494" i="7"/>
  <c r="N1463" i="7"/>
  <c r="K1040" i="7"/>
  <c r="S750" i="7"/>
  <c r="P1216" i="7"/>
  <c r="F878" i="7"/>
  <c r="O1060" i="7"/>
  <c r="G770" i="7"/>
  <c r="H835" i="7"/>
  <c r="I892" i="7"/>
  <c r="P1010" i="7"/>
  <c r="F862" i="7"/>
  <c r="P1273" i="7"/>
  <c r="S1316" i="7"/>
  <c r="N1320" i="7"/>
  <c r="F654" i="7"/>
  <c r="K621" i="7"/>
  <c r="P1175" i="7"/>
  <c r="F526" i="7"/>
  <c r="N572" i="7"/>
  <c r="I659" i="7"/>
  <c r="L1011" i="7"/>
  <c r="L578" i="7"/>
  <c r="P1202" i="7"/>
  <c r="M1468" i="7"/>
  <c r="K1282" i="7"/>
  <c r="S682" i="7"/>
  <c r="F974" i="7"/>
  <c r="H868" i="7"/>
  <c r="L1227" i="7"/>
  <c r="H1119" i="7"/>
  <c r="I1132" i="7"/>
  <c r="K523" i="7"/>
  <c r="K668" i="7"/>
  <c r="G1243" i="7"/>
  <c r="L831" i="7"/>
  <c r="F1033" i="7"/>
  <c r="L609" i="7"/>
  <c r="P638" i="7"/>
  <c r="I694" i="7"/>
  <c r="S1295" i="7"/>
  <c r="N656" i="7"/>
  <c r="S612" i="7"/>
  <c r="S1057" i="7"/>
  <c r="L1225" i="7"/>
  <c r="H969" i="7"/>
  <c r="L427" i="7"/>
  <c r="M1050" i="7"/>
  <c r="M1288" i="7"/>
  <c r="L360" i="7"/>
  <c r="P354" i="7"/>
  <c r="M1045" i="7"/>
  <c r="M940" i="7"/>
  <c r="M987" i="7"/>
  <c r="O1248" i="7"/>
  <c r="K857" i="7"/>
  <c r="N751" i="7"/>
  <c r="O1300" i="7"/>
  <c r="I952" i="7"/>
  <c r="G1148" i="7"/>
  <c r="K1034" i="7"/>
  <c r="F515" i="7"/>
  <c r="G820" i="7"/>
  <c r="G1067" i="7"/>
  <c r="O1066" i="7"/>
  <c r="G882" i="7"/>
  <c r="L615" i="7"/>
  <c r="O1016" i="7"/>
  <c r="F876" i="7"/>
  <c r="G980" i="7"/>
  <c r="K847" i="7"/>
  <c r="H1039" i="7"/>
  <c r="M1283" i="7"/>
  <c r="N987" i="7"/>
  <c r="O1276" i="7"/>
  <c r="I718" i="7"/>
  <c r="K402" i="7"/>
  <c r="M1261" i="7"/>
  <c r="M1205" i="7"/>
  <c r="M758" i="7"/>
  <c r="H745" i="7"/>
  <c r="N1248" i="7"/>
  <c r="M626" i="7"/>
  <c r="H820" i="7"/>
  <c r="P990" i="7"/>
  <c r="H1284" i="7"/>
  <c r="H860" i="7"/>
  <c r="N960" i="7"/>
  <c r="K620" i="7"/>
  <c r="G1093" i="7"/>
  <c r="S830" i="7"/>
  <c r="M995" i="7"/>
  <c r="O1009" i="7"/>
  <c r="K791" i="7"/>
  <c r="K756" i="7"/>
  <c r="N847" i="7"/>
  <c r="K907" i="7"/>
  <c r="L1223" i="7"/>
  <c r="I906" i="7"/>
  <c r="L1173" i="7"/>
  <c r="P1254" i="7"/>
  <c r="N1063" i="7"/>
  <c r="H612" i="7"/>
  <c r="P777" i="7"/>
  <c r="K670" i="7"/>
  <c r="O707" i="7"/>
  <c r="I1036" i="7"/>
  <c r="O857" i="7"/>
  <c r="K933" i="7"/>
  <c r="F605" i="7"/>
  <c r="H1314" i="7"/>
  <c r="N1299" i="7"/>
  <c r="G978" i="7"/>
  <c r="O1252" i="7"/>
  <c r="G1119" i="7"/>
  <c r="F1090" i="7"/>
  <c r="N906" i="7"/>
  <c r="F1000" i="7"/>
  <c r="G615" i="7"/>
  <c r="I1328" i="7"/>
  <c r="H317" i="7"/>
  <c r="H904" i="7"/>
  <c r="N402" i="7"/>
  <c r="L707" i="7"/>
  <c r="L1046" i="7"/>
  <c r="N694" i="7"/>
  <c r="K672" i="7"/>
  <c r="G790" i="7"/>
  <c r="G757" i="7"/>
  <c r="M1174" i="7"/>
  <c r="S1271" i="7"/>
  <c r="F821" i="7"/>
  <c r="O1114" i="7"/>
  <c r="F304" i="7"/>
  <c r="S963" i="7"/>
  <c r="H654" i="7"/>
  <c r="H859" i="7"/>
  <c r="L624" i="7"/>
  <c r="L915" i="7"/>
  <c r="P1232" i="7"/>
  <c r="S613" i="7"/>
  <c r="P938" i="7"/>
  <c r="F1166" i="7"/>
  <c r="I998" i="7"/>
  <c r="O659" i="7"/>
  <c r="I1255" i="7"/>
  <c r="N966" i="7"/>
  <c r="N526" i="7"/>
  <c r="I1062" i="7"/>
  <c r="O618" i="7"/>
  <c r="O997" i="7"/>
  <c r="S797" i="7"/>
  <c r="S806" i="7"/>
  <c r="K1138" i="7"/>
  <c r="K638" i="7"/>
  <c r="G984" i="7"/>
  <c r="S1023" i="7"/>
  <c r="G809" i="7"/>
  <c r="S1233" i="7"/>
  <c r="F724" i="7"/>
  <c r="O683" i="7"/>
  <c r="F796" i="7"/>
  <c r="H635" i="7"/>
  <c r="S992" i="7"/>
  <c r="F1121" i="7"/>
  <c r="L1195" i="7"/>
  <c r="I897" i="7"/>
  <c r="K575" i="7"/>
  <c r="M642" i="7"/>
  <c r="H1469" i="7"/>
  <c r="M452" i="7"/>
  <c r="N597" i="7"/>
  <c r="F348" i="7"/>
  <c r="F570" i="7"/>
  <c r="H432" i="7"/>
  <c r="O550" i="7"/>
  <c r="F569" i="7"/>
  <c r="I526" i="7"/>
  <c r="L1067" i="7"/>
  <c r="M468" i="7"/>
  <c r="F966" i="7"/>
  <c r="F850" i="7"/>
  <c r="N902" i="7"/>
  <c r="S966" i="7"/>
  <c r="M393" i="7"/>
  <c r="H551" i="7"/>
  <c r="N561" i="7"/>
  <c r="H795" i="7"/>
  <c r="S575" i="7"/>
  <c r="N971" i="7"/>
  <c r="O799" i="7"/>
  <c r="G460" i="7"/>
  <c r="O291" i="7"/>
  <c r="G560" i="7"/>
  <c r="L902" i="7"/>
  <c r="L792" i="7"/>
  <c r="K1322" i="7"/>
  <c r="L280" i="7"/>
  <c r="P376" i="7"/>
  <c r="N338" i="7"/>
  <c r="F699" i="7"/>
  <c r="O1037" i="7"/>
  <c r="F793" i="7"/>
  <c r="M969" i="7"/>
  <c r="N382" i="7"/>
  <c r="I1244" i="7"/>
  <c r="M840" i="7"/>
  <c r="M1246" i="7"/>
  <c r="O1316" i="7"/>
  <c r="O746" i="7"/>
  <c r="H810" i="7"/>
  <c r="F316" i="7"/>
  <c r="F185" i="7"/>
  <c r="H540" i="7"/>
  <c r="I460" i="7"/>
  <c r="F1139" i="7"/>
  <c r="S1248" i="7"/>
  <c r="P603" i="7"/>
  <c r="S1022" i="7"/>
  <c r="F425" i="7"/>
  <c r="F388" i="7"/>
  <c r="G1158" i="7"/>
  <c r="M1139" i="7"/>
  <c r="N1094" i="7"/>
  <c r="I1181" i="7"/>
  <c r="K1088" i="7"/>
  <c r="I446" i="7"/>
  <c r="L405" i="7"/>
  <c r="M977" i="7"/>
  <c r="O322" i="7"/>
  <c r="F497" i="7"/>
  <c r="S517" i="7"/>
  <c r="S625" i="7"/>
  <c r="F308" i="7"/>
  <c r="G673" i="7"/>
  <c r="S753" i="7"/>
  <c r="S796" i="7"/>
  <c r="G1015" i="7"/>
  <c r="L1292" i="7"/>
  <c r="M1031" i="7"/>
  <c r="N1003" i="7"/>
  <c r="O870" i="7"/>
  <c r="S672" i="7"/>
  <c r="G301" i="7"/>
  <c r="S1060" i="7"/>
  <c r="F844" i="7"/>
  <c r="S497" i="7"/>
  <c r="O456" i="7"/>
  <c r="H499" i="7"/>
  <c r="L1317" i="7"/>
  <c r="G311" i="7"/>
  <c r="S1246" i="7"/>
  <c r="H478" i="7"/>
  <c r="H348" i="7"/>
  <c r="L1282" i="7"/>
  <c r="H520" i="7"/>
  <c r="K289" i="7"/>
  <c r="N798" i="7"/>
  <c r="H938" i="7"/>
  <c r="P579" i="7"/>
  <c r="G420" i="7"/>
  <c r="M997" i="7"/>
  <c r="F950" i="7"/>
  <c r="F1072" i="7"/>
  <c r="M761" i="7"/>
  <c r="P1230" i="7"/>
  <c r="O289" i="7"/>
  <c r="I195" i="7"/>
  <c r="O414" i="7"/>
  <c r="O1102" i="7"/>
  <c r="F420" i="7"/>
  <c r="M870" i="7"/>
  <c r="H248" i="7"/>
  <c r="H664" i="7"/>
  <c r="M204" i="7"/>
  <c r="F1244" i="7"/>
  <c r="N1067" i="7"/>
  <c r="F877" i="7"/>
  <c r="K191" i="7"/>
  <c r="M302" i="7"/>
  <c r="L1202" i="7"/>
  <c r="S923" i="7"/>
  <c r="O425" i="7"/>
  <c r="L926" i="7"/>
  <c r="N340" i="7"/>
  <c r="H769" i="7"/>
  <c r="H727" i="7"/>
  <c r="N792" i="7"/>
  <c r="K1048" i="7"/>
  <c r="S1015" i="7"/>
  <c r="N346" i="7"/>
  <c r="G364" i="7"/>
  <c r="S1096" i="7"/>
  <c r="N253" i="7"/>
  <c r="L738" i="7"/>
  <c r="G1242" i="7"/>
  <c r="H852" i="7"/>
  <c r="M984" i="7"/>
  <c r="S689" i="7"/>
  <c r="O1210" i="7"/>
  <c r="H357" i="7"/>
  <c r="L321" i="7"/>
  <c r="M734" i="7"/>
  <c r="K881" i="7"/>
  <c r="H334" i="7"/>
  <c r="F581" i="7"/>
  <c r="I683" i="7"/>
  <c r="K681" i="7"/>
  <c r="F1315" i="7"/>
  <c r="G1270" i="7"/>
  <c r="H1009" i="7"/>
  <c r="I989" i="7"/>
  <c r="N843" i="7"/>
  <c r="I960" i="7"/>
  <c r="K987" i="7"/>
  <c r="G722" i="7"/>
  <c r="M708" i="7"/>
  <c r="I1059" i="7"/>
  <c r="I429" i="7"/>
  <c r="N790" i="7"/>
  <c r="O1092" i="7"/>
  <c r="P766" i="7"/>
  <c r="P1250" i="7"/>
  <c r="O700" i="7"/>
  <c r="I715" i="7"/>
  <c r="H714" i="7"/>
  <c r="K863" i="7"/>
  <c r="G1110" i="7"/>
  <c r="F798" i="7"/>
  <c r="K1039" i="7"/>
  <c r="S1072" i="7"/>
  <c r="F1226" i="7"/>
  <c r="I920" i="7"/>
  <c r="F1015" i="7"/>
  <c r="L1244" i="7"/>
  <c r="P575" i="7"/>
  <c r="G1307" i="7"/>
  <c r="H697" i="7"/>
  <c r="P1243" i="7"/>
  <c r="H777" i="7"/>
  <c r="G816" i="7"/>
  <c r="F965" i="7"/>
  <c r="K1055" i="7"/>
  <c r="P924" i="7"/>
  <c r="I886" i="7"/>
  <c r="P1264" i="7"/>
  <c r="P798" i="7"/>
  <c r="S1212" i="7"/>
  <c r="K1217" i="7"/>
  <c r="H492" i="7"/>
  <c r="O742" i="7"/>
  <c r="H1269" i="7"/>
  <c r="O615" i="7"/>
  <c r="L1323" i="7"/>
  <c r="S710" i="7"/>
  <c r="K929" i="7"/>
  <c r="H1393" i="7"/>
  <c r="F1105" i="7"/>
  <c r="F1208" i="7"/>
  <c r="G632" i="7"/>
  <c r="H327" i="7"/>
  <c r="G1316" i="7"/>
  <c r="I1105" i="7"/>
  <c r="P430" i="7"/>
  <c r="M1131" i="7"/>
  <c r="F1253" i="7"/>
  <c r="S664" i="7"/>
  <c r="F960" i="7"/>
  <c r="I1018" i="7"/>
  <c r="K821" i="7"/>
  <c r="O1134" i="7"/>
  <c r="F1251" i="7"/>
  <c r="O1110" i="7"/>
  <c r="F1270" i="7"/>
  <c r="G363" i="7"/>
  <c r="O1239" i="7"/>
  <c r="L1133" i="7"/>
  <c r="M1191" i="7"/>
  <c r="M295" i="7"/>
  <c r="F841" i="7"/>
  <c r="F936" i="7"/>
  <c r="P1185" i="7"/>
  <c r="M651" i="7"/>
  <c r="H686" i="7"/>
  <c r="K823" i="7"/>
  <c r="P659" i="7"/>
  <c r="M644" i="7"/>
  <c r="L981" i="7"/>
  <c r="M475" i="7"/>
  <c r="F383" i="7"/>
  <c r="F933" i="7"/>
  <c r="S1251" i="7"/>
  <c r="F1213" i="7"/>
  <c r="I704" i="7"/>
  <c r="F928" i="7"/>
  <c r="S1264" i="7"/>
  <c r="F761" i="7"/>
  <c r="S1098" i="7"/>
  <c r="L697" i="7"/>
  <c r="L1283" i="7"/>
  <c r="N947" i="7"/>
  <c r="G1300" i="7"/>
  <c r="M944" i="7"/>
  <c r="H995" i="7"/>
  <c r="F617" i="7"/>
  <c r="F984" i="7"/>
  <c r="S903" i="7"/>
  <c r="P816" i="7"/>
  <c r="H897" i="7"/>
  <c r="H605" i="7"/>
  <c r="I1160" i="7"/>
  <c r="L1275" i="7"/>
  <c r="G1208" i="7"/>
  <c r="F1300" i="7"/>
  <c r="G1052" i="7"/>
  <c r="H1230" i="7"/>
  <c r="P978" i="7"/>
  <c r="I931" i="7"/>
  <c r="L1082" i="7"/>
  <c r="L1267" i="7"/>
  <c r="N468" i="7"/>
  <c r="M580" i="7"/>
  <c r="I439" i="7"/>
  <c r="N772" i="7"/>
  <c r="H672" i="7"/>
  <c r="M785" i="7"/>
  <c r="F303" i="7"/>
  <c r="S1068" i="7"/>
  <c r="I1148" i="7"/>
  <c r="S368" i="7"/>
  <c r="S573" i="7"/>
  <c r="N489" i="7"/>
  <c r="M349" i="7"/>
  <c r="M768" i="7"/>
  <c r="F801" i="7"/>
  <c r="I662" i="7"/>
  <c r="L1187" i="7"/>
  <c r="I411" i="7"/>
  <c r="P921" i="7"/>
  <c r="I529" i="7"/>
  <c r="K643" i="7"/>
  <c r="N366" i="7"/>
  <c r="O699" i="7"/>
  <c r="F457" i="7"/>
  <c r="I1104" i="7"/>
  <c r="O1185" i="7"/>
  <c r="M821" i="7"/>
  <c r="K409" i="7"/>
  <c r="G833" i="7"/>
  <c r="G666" i="7"/>
  <c r="P688" i="7"/>
  <c r="K1288" i="7"/>
  <c r="O511" i="7"/>
  <c r="N721" i="7"/>
  <c r="H828" i="7"/>
  <c r="I907" i="7"/>
  <c r="F1296" i="7"/>
  <c r="F1182" i="7"/>
  <c r="N777" i="7"/>
  <c r="F483" i="7"/>
  <c r="S322" i="7"/>
  <c r="I414" i="7"/>
  <c r="S321" i="7"/>
  <c r="G1053" i="7"/>
  <c r="F1151" i="7"/>
  <c r="I488" i="7"/>
  <c r="L468" i="7"/>
  <c r="S1090" i="7"/>
  <c r="N731" i="7"/>
  <c r="G1293" i="7"/>
  <c r="H906" i="7"/>
  <c r="K1025" i="7"/>
  <c r="M356" i="7"/>
  <c r="I420" i="7"/>
  <c r="K846" i="7"/>
  <c r="O461" i="7"/>
  <c r="N1113" i="7"/>
  <c r="P620" i="7"/>
  <c r="M446" i="7"/>
  <c r="O755" i="7"/>
  <c r="N1028" i="7"/>
  <c r="M242" i="7"/>
  <c r="H823" i="7"/>
  <c r="O1298" i="7"/>
  <c r="L501" i="7"/>
  <c r="H659" i="7"/>
  <c r="L925" i="7"/>
  <c r="O426" i="7"/>
  <c r="M796" i="7"/>
  <c r="M1201" i="7"/>
  <c r="G1460" i="7"/>
  <c r="M522" i="7"/>
  <c r="P1139" i="7"/>
  <c r="I974" i="7"/>
  <c r="M423" i="7"/>
  <c r="P1036" i="7"/>
  <c r="K537" i="7"/>
  <c r="P533" i="7"/>
  <c r="L421" i="7"/>
  <c r="H637" i="7"/>
  <c r="F977" i="7"/>
  <c r="G191" i="7"/>
  <c r="N590" i="7"/>
  <c r="P676" i="7"/>
  <c r="N809" i="7"/>
  <c r="P1088" i="7"/>
  <c r="O433" i="7"/>
  <c r="N413" i="7"/>
  <c r="F1082" i="7"/>
  <c r="F349" i="7"/>
  <c r="N281" i="7"/>
  <c r="O444" i="7"/>
  <c r="F636" i="7"/>
  <c r="M566" i="7"/>
  <c r="N1310" i="7"/>
  <c r="O349" i="7"/>
  <c r="H294" i="7"/>
  <c r="G1188" i="7"/>
  <c r="S724" i="7"/>
  <c r="L843" i="7"/>
  <c r="H790" i="7"/>
  <c r="F369" i="7"/>
  <c r="I1072" i="7"/>
  <c r="G710" i="7"/>
  <c r="P707" i="7"/>
  <c r="N300" i="7"/>
  <c r="M535" i="7"/>
  <c r="L560" i="7"/>
  <c r="O532" i="7"/>
  <c r="S316" i="7"/>
  <c r="P1205" i="7"/>
  <c r="S690" i="7"/>
  <c r="I1154" i="7"/>
  <c r="G315" i="7"/>
  <c r="I539" i="7"/>
  <c r="M288" i="7"/>
  <c r="S673" i="7"/>
  <c r="N166" i="7"/>
  <c r="N372" i="7"/>
  <c r="K554" i="7"/>
  <c r="S868" i="7"/>
  <c r="G531" i="7"/>
  <c r="I673" i="7"/>
  <c r="G1054" i="7"/>
  <c r="O518" i="7"/>
  <c r="F352" i="7"/>
  <c r="H526" i="7"/>
  <c r="L855" i="7"/>
  <c r="M357" i="7"/>
  <c r="K465" i="7"/>
  <c r="K399" i="7"/>
  <c r="G1028" i="7"/>
  <c r="I724" i="7"/>
  <c r="P423" i="7"/>
  <c r="N645" i="7"/>
  <c r="F542" i="7"/>
  <c r="K1028" i="7"/>
  <c r="N1187" i="7"/>
  <c r="M733" i="7"/>
  <c r="I846" i="7"/>
  <c r="L1005" i="7"/>
  <c r="K1208" i="7"/>
  <c r="H711" i="7"/>
  <c r="I1308" i="7"/>
  <c r="I1091" i="7"/>
  <c r="S831" i="7"/>
  <c r="N1247" i="7"/>
  <c r="F1016" i="7"/>
  <c r="I996" i="7"/>
  <c r="M1197" i="7"/>
  <c r="I1178" i="7"/>
  <c r="L841" i="7"/>
  <c r="K1124" i="7"/>
  <c r="N1000" i="7"/>
  <c r="M1006" i="7"/>
  <c r="I1121" i="7"/>
  <c r="G1070" i="7"/>
  <c r="N1011" i="7"/>
  <c r="M1012" i="7"/>
  <c r="G812" i="7"/>
  <c r="O1324" i="7"/>
  <c r="K1033" i="7"/>
  <c r="O1320" i="7"/>
  <c r="N659" i="7"/>
  <c r="I1303" i="7"/>
  <c r="O658" i="7"/>
  <c r="L611" i="7"/>
  <c r="N714" i="7"/>
  <c r="G1383" i="7"/>
  <c r="K456" i="7"/>
  <c r="K1000" i="7"/>
  <c r="H821" i="7"/>
  <c r="I1005" i="7"/>
  <c r="S1166" i="7"/>
  <c r="L858" i="7"/>
  <c r="S608" i="7"/>
  <c r="K753" i="7"/>
  <c r="K1185" i="7"/>
  <c r="P779" i="7"/>
  <c r="H840" i="7"/>
  <c r="H815" i="7"/>
  <c r="S755" i="7"/>
  <c r="N651" i="7"/>
  <c r="I785" i="7"/>
  <c r="F1046" i="7"/>
  <c r="H882" i="7"/>
  <c r="H616" i="7"/>
  <c r="H1298" i="7"/>
  <c r="G1256" i="7"/>
  <c r="H744" i="7"/>
  <c r="O897" i="7"/>
  <c r="M1133" i="7"/>
  <c r="L698" i="7"/>
  <c r="I1356" i="7"/>
  <c r="I1099" i="7"/>
  <c r="G862" i="7"/>
  <c r="O1241" i="7"/>
  <c r="G998" i="7"/>
  <c r="G1035" i="7"/>
  <c r="G1247" i="7"/>
  <c r="S816" i="7"/>
  <c r="G1021" i="7"/>
  <c r="I1431" i="7"/>
  <c r="L640" i="7"/>
  <c r="L1188" i="7"/>
  <c r="S1001" i="7"/>
  <c r="S798" i="7"/>
  <c r="S1152" i="7"/>
  <c r="I1012" i="7"/>
  <c r="F1282" i="7"/>
  <c r="O1052" i="7"/>
  <c r="L939" i="7"/>
  <c r="M449" i="7"/>
  <c r="N1009" i="7"/>
  <c r="L1306" i="7"/>
  <c r="S747" i="7"/>
  <c r="N1249" i="7"/>
  <c r="K906" i="7"/>
  <c r="I807" i="7"/>
  <c r="F993" i="7"/>
  <c r="I919" i="7"/>
  <c r="S874" i="7"/>
  <c r="L677" i="7"/>
  <c r="H576" i="7"/>
  <c r="N618" i="7"/>
  <c r="M612" i="7"/>
  <c r="O1217" i="7"/>
  <c r="P918" i="7"/>
  <c r="M616" i="7"/>
  <c r="P984" i="7"/>
  <c r="S1320" i="7"/>
  <c r="P1105" i="7"/>
  <c r="F1283" i="7"/>
  <c r="H1134" i="7"/>
  <c r="L846" i="7"/>
  <c r="H1053" i="7"/>
  <c r="O768" i="7"/>
  <c r="K353" i="7"/>
  <c r="N699" i="7"/>
  <c r="O689" i="7"/>
  <c r="K1150" i="7"/>
  <c r="M666" i="7"/>
  <c r="M975" i="7"/>
  <c r="K735" i="7"/>
  <c r="M745" i="7"/>
  <c r="H772" i="7"/>
  <c r="O1096" i="7"/>
  <c r="F949" i="7"/>
  <c r="F881" i="7"/>
  <c r="M747" i="7"/>
  <c r="L1326" i="7"/>
  <c r="H352" i="7"/>
  <c r="K504" i="7"/>
  <c r="H1248" i="7"/>
  <c r="P1210" i="7"/>
  <c r="M714" i="7"/>
  <c r="P880" i="7"/>
  <c r="H1215" i="7"/>
  <c r="F1250" i="7"/>
  <c r="M810" i="7"/>
  <c r="O355" i="7"/>
  <c r="M1003" i="7"/>
  <c r="N963" i="7"/>
  <c r="I1283" i="7"/>
  <c r="O419" i="7"/>
  <c r="O183" i="7"/>
  <c r="H302" i="7"/>
  <c r="P262" i="7"/>
  <c r="I584" i="7"/>
  <c r="P1301" i="7"/>
  <c r="M793" i="7"/>
  <c r="H895" i="7"/>
  <c r="K931" i="7"/>
  <c r="F1219" i="7"/>
  <c r="O324" i="7"/>
  <c r="N939" i="7"/>
  <c r="P433" i="7"/>
  <c r="P544" i="7"/>
  <c r="I670" i="7"/>
  <c r="S1091" i="7"/>
  <c r="M1120" i="7"/>
  <c r="G434" i="7"/>
  <c r="O470" i="7"/>
  <c r="K743" i="7"/>
  <c r="L923" i="7"/>
  <c r="F1037" i="7"/>
  <c r="F1146" i="7"/>
  <c r="G592" i="7"/>
  <c r="I431" i="7"/>
  <c r="O930" i="7"/>
  <c r="P1470" i="7"/>
  <c r="I1242" i="7"/>
  <c r="S1181" i="7"/>
  <c r="K272" i="7"/>
  <c r="P637" i="7"/>
  <c r="G1200" i="7"/>
  <c r="K400" i="7"/>
  <c r="K844" i="7"/>
  <c r="N1258" i="7"/>
  <c r="K500" i="7"/>
  <c r="I615" i="7"/>
  <c r="N743" i="7"/>
  <c r="I484" i="7"/>
  <c r="I1045" i="7"/>
  <c r="I1050" i="7"/>
  <c r="L1162" i="7"/>
  <c r="F612" i="7"/>
  <c r="N1146" i="7"/>
  <c r="G1153" i="7"/>
  <c r="K958" i="7"/>
  <c r="I295" i="7"/>
  <c r="M794" i="7"/>
  <c r="O783" i="7"/>
  <c r="O993" i="7"/>
  <c r="H1313" i="7"/>
  <c r="K1237" i="7"/>
  <c r="F281" i="7"/>
  <c r="H369" i="7"/>
  <c r="O195" i="7"/>
  <c r="F320" i="7"/>
  <c r="O531" i="7"/>
  <c r="H636" i="7"/>
  <c r="F573" i="7"/>
  <c r="S643" i="7"/>
  <c r="G920" i="7"/>
  <c r="G1107" i="7"/>
  <c r="F484" i="7"/>
  <c r="P679" i="7"/>
  <c r="P394" i="7"/>
  <c r="G554" i="7"/>
  <c r="F307" i="7"/>
  <c r="K870" i="7"/>
  <c r="H591" i="7"/>
  <c r="N1198" i="7"/>
  <c r="S1282" i="7"/>
  <c r="M292" i="7"/>
  <c r="S509" i="7"/>
  <c r="K422" i="7"/>
  <c r="G773" i="7"/>
  <c r="M1001" i="7"/>
  <c r="F298" i="7"/>
  <c r="M1053" i="7"/>
  <c r="L434" i="7"/>
  <c r="I503" i="7"/>
  <c r="H1195" i="7"/>
  <c r="F773" i="7"/>
  <c r="F957" i="7"/>
  <c r="F295" i="7"/>
  <c r="N514" i="7"/>
  <c r="G607" i="7"/>
  <c r="M654" i="7"/>
  <c r="F1237" i="7"/>
  <c r="F780" i="7"/>
  <c r="H1194" i="7"/>
  <c r="O663" i="7"/>
  <c r="H997" i="7"/>
  <c r="O1105" i="7"/>
  <c r="O1326" i="7"/>
  <c r="F846" i="7"/>
  <c r="S973" i="7"/>
  <c r="K926" i="7"/>
  <c r="H295" i="7"/>
  <c r="H1063" i="7"/>
  <c r="L1182" i="7"/>
  <c r="G792" i="7"/>
  <c r="I695" i="7"/>
  <c r="N1306" i="7"/>
  <c r="P671" i="7"/>
  <c r="L466" i="7"/>
  <c r="K664" i="7"/>
  <c r="G512" i="7"/>
  <c r="L387" i="7"/>
  <c r="L316" i="7"/>
  <c r="N311" i="7"/>
  <c r="H962" i="7"/>
  <c r="I474" i="7"/>
  <c r="K81" i="7"/>
  <c r="O1187" i="7"/>
  <c r="L1243" i="7"/>
  <c r="N937" i="7"/>
  <c r="N1319" i="7"/>
  <c r="M303" i="7"/>
  <c r="M377" i="7"/>
  <c r="I793" i="7"/>
  <c r="O521" i="7"/>
  <c r="K476" i="7"/>
  <c r="H1206" i="7"/>
  <c r="K255" i="7"/>
  <c r="P558" i="7"/>
  <c r="M551" i="7"/>
  <c r="O1155" i="7"/>
  <c r="P488" i="7"/>
  <c r="K563" i="7"/>
  <c r="M889" i="7"/>
  <c r="I600" i="7"/>
  <c r="S244" i="7"/>
  <c r="O957" i="7"/>
  <c r="N1230" i="7"/>
  <c r="O802" i="7"/>
  <c r="L742" i="7"/>
  <c r="S685" i="7"/>
  <c r="P868" i="7"/>
  <c r="N764" i="7"/>
  <c r="H653" i="7"/>
  <c r="O1151" i="7"/>
  <c r="L655" i="7"/>
  <c r="F1286" i="7"/>
  <c r="K637" i="7"/>
  <c r="S1074" i="7"/>
  <c r="G869" i="7"/>
  <c r="M583" i="7"/>
  <c r="L1198" i="7"/>
  <c r="H979" i="7"/>
  <c r="P700" i="7"/>
  <c r="K730" i="7"/>
  <c r="M1165" i="7"/>
  <c r="G1057" i="7"/>
  <c r="H1048" i="7"/>
  <c r="N1218" i="7"/>
  <c r="I672" i="7"/>
  <c r="O288" i="7"/>
  <c r="P1044" i="7"/>
  <c r="F1132" i="7"/>
  <c r="S746" i="7"/>
  <c r="N288" i="7"/>
  <c r="H921" i="7"/>
  <c r="L973" i="7"/>
  <c r="O692" i="7"/>
  <c r="L1119" i="7"/>
  <c r="G1258" i="7"/>
  <c r="F1440" i="7"/>
  <c r="G838" i="7"/>
  <c r="G1056" i="7"/>
  <c r="K1303" i="7"/>
  <c r="G352" i="7"/>
  <c r="I641" i="7"/>
  <c r="P636" i="7"/>
  <c r="N1150" i="7"/>
  <c r="I324" i="7"/>
  <c r="F1228" i="7"/>
  <c r="O772" i="7"/>
  <c r="M750" i="7"/>
  <c r="P1114" i="7"/>
  <c r="P1227" i="7"/>
  <c r="P973" i="7"/>
  <c r="M1162" i="7"/>
  <c r="P958" i="7"/>
  <c r="K780" i="7"/>
  <c r="G653" i="7"/>
  <c r="S810" i="7"/>
  <c r="M364" i="7"/>
  <c r="F1050" i="7"/>
  <c r="H900" i="7"/>
  <c r="O1168" i="7"/>
  <c r="K839" i="7"/>
  <c r="G834" i="7"/>
  <c r="N605" i="7"/>
  <c r="G1184" i="7"/>
  <c r="F1170" i="7"/>
  <c r="S1298" i="7"/>
  <c r="M1070" i="7"/>
  <c r="G678" i="7"/>
  <c r="S696" i="7"/>
  <c r="L671" i="7"/>
  <c r="P775" i="7"/>
  <c r="I1063" i="7"/>
  <c r="P718" i="7"/>
  <c r="P877" i="7"/>
  <c r="G642" i="7"/>
  <c r="G715" i="7"/>
  <c r="O1221" i="7"/>
  <c r="F751" i="7"/>
  <c r="I1270" i="7"/>
  <c r="O640" i="7"/>
  <c r="H1036" i="7"/>
  <c r="G739" i="7"/>
  <c r="H1225" i="7"/>
  <c r="H1080" i="7"/>
  <c r="O765" i="7"/>
  <c r="S939" i="7"/>
  <c r="F1059" i="7"/>
  <c r="N812" i="7"/>
  <c r="F672" i="7"/>
  <c r="L854" i="7"/>
  <c r="F746" i="7"/>
  <c r="N655" i="7"/>
  <c r="S1114" i="7"/>
  <c r="G886" i="7"/>
  <c r="S883" i="7"/>
  <c r="F809" i="7"/>
  <c r="M662" i="7"/>
  <c r="I934" i="7"/>
  <c r="S774" i="7"/>
  <c r="K1119" i="7"/>
  <c r="F677" i="7"/>
  <c r="N607" i="7"/>
  <c r="K518" i="7"/>
  <c r="N775" i="7"/>
  <c r="S1077" i="7"/>
  <c r="N927" i="7"/>
  <c r="L1287" i="7"/>
  <c r="H1108" i="7"/>
  <c r="K862" i="7"/>
  <c r="F1171" i="7"/>
  <c r="M777" i="7"/>
  <c r="O990" i="7"/>
  <c r="S980" i="7"/>
  <c r="F609" i="7"/>
  <c r="O1243" i="7"/>
  <c r="K940" i="7"/>
  <c r="O774" i="7"/>
  <c r="O376" i="7"/>
  <c r="K660" i="7"/>
  <c r="K872" i="7"/>
  <c r="P959" i="7"/>
  <c r="P418" i="7"/>
  <c r="H410" i="7"/>
  <c r="M291" i="7"/>
  <c r="N668" i="7"/>
  <c r="G1111" i="7"/>
  <c r="G250" i="7"/>
  <c r="S294" i="7"/>
  <c r="H903" i="7"/>
  <c r="G186" i="7"/>
  <c r="I1085" i="7"/>
  <c r="L464" i="7"/>
  <c r="N748" i="7"/>
  <c r="K1122" i="7"/>
  <c r="L1113" i="7"/>
  <c r="F794" i="7"/>
  <c r="O585" i="7"/>
  <c r="O525" i="7"/>
  <c r="F254" i="7"/>
  <c r="M532" i="7"/>
  <c r="K499" i="7"/>
  <c r="I722" i="7"/>
  <c r="L541" i="7"/>
  <c r="I790" i="7"/>
  <c r="G366" i="7"/>
  <c r="F283" i="7"/>
  <c r="P436" i="7"/>
  <c r="N1145" i="7"/>
  <c r="P654" i="7"/>
  <c r="I425" i="7"/>
  <c r="M424" i="7"/>
  <c r="N504" i="7"/>
  <c r="S1315" i="7"/>
  <c r="H1060" i="7"/>
  <c r="I1096" i="7"/>
  <c r="L471" i="7"/>
  <c r="N1075" i="7"/>
  <c r="H466" i="7"/>
  <c r="G1182" i="7"/>
  <c r="I1208" i="7"/>
  <c r="M936" i="7"/>
  <c r="H1124" i="7"/>
  <c r="G797" i="7"/>
  <c r="H1189" i="7"/>
  <c r="H309" i="7"/>
  <c r="G558" i="7"/>
  <c r="P552" i="7"/>
  <c r="P482" i="7"/>
  <c r="G482" i="7"/>
  <c r="I990" i="7"/>
  <c r="O186" i="7"/>
  <c r="P218" i="7"/>
  <c r="N449" i="7"/>
  <c r="M613" i="7"/>
  <c r="P1152" i="7"/>
  <c r="H650" i="7"/>
  <c r="F103" i="7"/>
  <c r="G1214" i="7"/>
  <c r="O318" i="7"/>
  <c r="I407" i="7"/>
  <c r="O1202" i="7"/>
  <c r="H598" i="7"/>
  <c r="S431" i="7"/>
  <c r="I1110" i="7"/>
  <c r="P507" i="7"/>
  <c r="N559" i="7"/>
  <c r="G884" i="7"/>
  <c r="S1150" i="7"/>
  <c r="F486" i="7"/>
  <c r="S1039" i="7"/>
  <c r="S700" i="7"/>
  <c r="P901" i="7"/>
  <c r="O512" i="7"/>
  <c r="M1297" i="7"/>
  <c r="P307" i="7"/>
  <c r="N1207" i="7"/>
  <c r="N1208" i="7"/>
  <c r="S191" i="7"/>
  <c r="N599" i="7"/>
  <c r="M477" i="7"/>
  <c r="H468" i="7"/>
  <c r="S688" i="7"/>
  <c r="L459" i="7"/>
  <c r="F421" i="7"/>
  <c r="S1243" i="7"/>
  <c r="H557" i="7"/>
  <c r="K480" i="7"/>
  <c r="P1218" i="7"/>
  <c r="N429" i="7"/>
  <c r="O763" i="7"/>
  <c r="L440" i="7"/>
  <c r="O591" i="7"/>
  <c r="I449" i="7"/>
  <c r="K761" i="7"/>
  <c r="G1118" i="7"/>
  <c r="I1212" i="7"/>
  <c r="G388" i="7"/>
  <c r="G839" i="7"/>
  <c r="S1288" i="7"/>
  <c r="N521" i="7"/>
  <c r="M410" i="7"/>
  <c r="S661" i="7"/>
  <c r="I412" i="7"/>
  <c r="M467" i="7"/>
  <c r="I609" i="7"/>
  <c r="F198" i="7"/>
  <c r="F832" i="7"/>
  <c r="P998" i="7"/>
  <c r="O880" i="7"/>
  <c r="N388" i="7"/>
  <c r="L1045" i="7"/>
  <c r="P842" i="7"/>
  <c r="S285" i="7"/>
  <c r="M502" i="7"/>
  <c r="P1025" i="7"/>
  <c r="S564" i="7"/>
  <c r="S312" i="7"/>
  <c r="O180" i="7"/>
  <c r="P884" i="7"/>
  <c r="N813" i="7"/>
  <c r="K1142" i="7"/>
  <c r="O794" i="7"/>
  <c r="N1303" i="7"/>
  <c r="F582" i="7"/>
  <c r="I485" i="7"/>
  <c r="S825" i="7"/>
  <c r="M509" i="7"/>
  <c r="N351" i="7"/>
  <c r="H575" i="7"/>
  <c r="I639" i="7"/>
  <c r="H1025" i="7"/>
  <c r="M528" i="7"/>
  <c r="O300" i="7"/>
  <c r="O1012" i="7"/>
  <c r="P926" i="7"/>
  <c r="H1088" i="7"/>
  <c r="K445" i="7"/>
  <c r="P874" i="7"/>
  <c r="K915" i="7"/>
  <c r="H816" i="7"/>
  <c r="O702" i="7"/>
  <c r="O672" i="7"/>
  <c r="O1282" i="7"/>
  <c r="H908" i="7"/>
  <c r="G818" i="7"/>
  <c r="N610" i="7"/>
  <c r="G952" i="7"/>
  <c r="G1086" i="7"/>
  <c r="L1068" i="7"/>
  <c r="S1328" i="7"/>
  <c r="I810" i="7"/>
  <c r="G975" i="7"/>
  <c r="P584" i="7"/>
  <c r="N1444" i="7"/>
  <c r="M765" i="7"/>
  <c r="O900" i="7"/>
  <c r="K1145" i="7"/>
  <c r="O1045" i="7"/>
  <c r="F869" i="7"/>
  <c r="G1206" i="7"/>
  <c r="I852" i="7"/>
  <c r="O1251" i="7"/>
  <c r="O1244" i="7"/>
  <c r="F611" i="7"/>
  <c r="M691" i="7"/>
  <c r="L1247" i="7"/>
  <c r="P476" i="7"/>
  <c r="K828" i="7"/>
  <c r="G908" i="7"/>
  <c r="M786" i="7"/>
  <c r="K979" i="7"/>
  <c r="H1250" i="7"/>
  <c r="L1452" i="7"/>
  <c r="I1049" i="7"/>
  <c r="P911" i="7"/>
  <c r="M886" i="7"/>
  <c r="L1215" i="7"/>
  <c r="K653" i="7"/>
  <c r="F707" i="7"/>
  <c r="I1097" i="7"/>
  <c r="I1033" i="7"/>
  <c r="I682" i="7"/>
  <c r="F1308" i="7"/>
  <c r="F1157" i="7"/>
  <c r="G891" i="7"/>
  <c r="P1320" i="7"/>
  <c r="N1114" i="7"/>
  <c r="P1151" i="7"/>
  <c r="I961" i="7"/>
  <c r="P1071" i="7"/>
  <c r="H459" i="7"/>
  <c r="L1178" i="7"/>
  <c r="L781" i="7"/>
  <c r="S297" i="7"/>
  <c r="M1221" i="7"/>
  <c r="L1149" i="7"/>
  <c r="S1161" i="7"/>
  <c r="L1158" i="7"/>
  <c r="G624" i="7"/>
  <c r="M1094" i="7"/>
  <c r="H902" i="7"/>
  <c r="F1131" i="7"/>
  <c r="H883" i="7"/>
  <c r="G875" i="7"/>
  <c r="K771" i="7"/>
  <c r="S1489" i="7"/>
  <c r="M938" i="7"/>
  <c r="G1235" i="7"/>
  <c r="N446" i="7"/>
  <c r="S1470" i="7"/>
  <c r="L988" i="7"/>
  <c r="S1044" i="7"/>
  <c r="S654" i="7"/>
  <c r="K798" i="7"/>
  <c r="H848" i="7"/>
  <c r="L1251" i="7"/>
  <c r="H1191" i="7"/>
  <c r="K983" i="7"/>
  <c r="L500" i="7"/>
  <c r="F399" i="7"/>
  <c r="O824" i="7"/>
  <c r="M665" i="7"/>
  <c r="L978" i="7"/>
  <c r="H1196" i="7"/>
  <c r="P810" i="7"/>
  <c r="N990" i="7"/>
  <c r="H1117" i="7"/>
  <c r="S609" i="7"/>
  <c r="P1191" i="7"/>
  <c r="K1015" i="7"/>
  <c r="F1148" i="7"/>
  <c r="P851" i="7"/>
  <c r="N1205" i="7"/>
  <c r="O691" i="7"/>
  <c r="H1127" i="7"/>
  <c r="F644" i="7"/>
  <c r="M759" i="7"/>
  <c r="L1092" i="7"/>
  <c r="M1104" i="7"/>
  <c r="N1002" i="7"/>
  <c r="I976" i="7"/>
  <c r="P1125" i="7"/>
  <c r="I1039" i="7"/>
  <c r="F1031" i="7"/>
  <c r="O1029" i="7"/>
  <c r="L1153" i="7"/>
  <c r="L799" i="7"/>
  <c r="N979" i="7"/>
  <c r="N1294" i="7"/>
  <c r="F1055" i="7"/>
  <c r="H1212" i="7"/>
  <c r="L1276" i="7"/>
  <c r="P455" i="7"/>
  <c r="F903" i="7"/>
  <c r="I867" i="7"/>
  <c r="S681" i="7"/>
  <c r="G1082" i="7"/>
  <c r="G772" i="7"/>
  <c r="S771" i="7"/>
  <c r="S1275" i="7"/>
  <c r="K758" i="7"/>
  <c r="S515" i="7"/>
  <c r="L381" i="7"/>
  <c r="O297" i="7"/>
  <c r="S552" i="7"/>
  <c r="H388" i="7"/>
  <c r="K707" i="7"/>
  <c r="M601" i="7"/>
  <c r="L1312" i="7"/>
  <c r="G1328" i="7"/>
  <c r="O1201" i="7"/>
  <c r="N432" i="7"/>
  <c r="I1031" i="7"/>
  <c r="G500" i="7"/>
  <c r="P837" i="7"/>
  <c r="G337" i="7"/>
  <c r="M966" i="7"/>
  <c r="G793" i="7"/>
  <c r="S1245" i="7"/>
  <c r="M609" i="7"/>
  <c r="P549" i="7"/>
  <c r="I1263" i="7"/>
  <c r="K1087" i="7"/>
  <c r="I356" i="7"/>
  <c r="H855" i="7"/>
  <c r="G902" i="7"/>
  <c r="S968" i="7"/>
  <c r="I686" i="7"/>
  <c r="P1081" i="7"/>
  <c r="L529" i="7"/>
  <c r="L299" i="7"/>
  <c r="N480" i="7"/>
  <c r="G1050" i="7"/>
  <c r="I456" i="7"/>
  <c r="O1006" i="7"/>
  <c r="H1217" i="7"/>
  <c r="O845" i="7"/>
  <c r="F685" i="7"/>
  <c r="F640" i="7"/>
  <c r="K265" i="7"/>
  <c r="F300" i="7"/>
  <c r="H846" i="7"/>
  <c r="F305" i="7"/>
  <c r="H1222" i="7"/>
  <c r="P465" i="7"/>
  <c r="F545" i="7"/>
  <c r="F1087" i="7"/>
  <c r="L788" i="7"/>
  <c r="S1286" i="7"/>
  <c r="L1020" i="7"/>
  <c r="H657" i="7"/>
  <c r="P680" i="7"/>
  <c r="L436" i="7"/>
  <c r="I499" i="7"/>
  <c r="F901" i="7"/>
  <c r="I816" i="7"/>
  <c r="N537" i="7"/>
  <c r="N773" i="7"/>
  <c r="I755" i="7"/>
  <c r="I307" i="7"/>
  <c r="I583" i="7"/>
  <c r="N872" i="7"/>
  <c r="O389" i="7"/>
  <c r="H566" i="7"/>
  <c r="K541" i="7"/>
  <c r="P1318" i="7"/>
  <c r="O743" i="7"/>
  <c r="I763" i="7"/>
  <c r="P1172" i="7"/>
  <c r="G1249" i="7"/>
  <c r="F544" i="7"/>
  <c r="N606" i="7"/>
  <c r="P492" i="7"/>
  <c r="L1207" i="7"/>
  <c r="G953" i="7"/>
  <c r="L852" i="7"/>
  <c r="F806" i="7"/>
  <c r="P1239" i="7"/>
  <c r="K599" i="7"/>
  <c r="S194" i="7"/>
  <c r="H265" i="7"/>
  <c r="I678" i="7"/>
  <c r="O578" i="7"/>
  <c r="P730" i="7"/>
  <c r="H1207" i="7"/>
  <c r="P326" i="7"/>
  <c r="I806" i="7"/>
  <c r="G582" i="7"/>
  <c r="F1212" i="7"/>
  <c r="L729" i="7"/>
  <c r="S1119" i="7"/>
  <c r="S499" i="7"/>
  <c r="F1303" i="7"/>
  <c r="G536" i="7"/>
  <c r="P323" i="7"/>
  <c r="P939" i="7"/>
  <c r="H784" i="7"/>
  <c r="K1323" i="7"/>
  <c r="O1030" i="7"/>
  <c r="M676" i="7"/>
  <c r="M755" i="7"/>
  <c r="L1071" i="7"/>
  <c r="N785" i="7"/>
  <c r="N842" i="7"/>
  <c r="N484" i="7"/>
  <c r="L1136" i="7"/>
  <c r="K1118" i="7"/>
  <c r="M1096" i="7"/>
  <c r="G474" i="7"/>
  <c r="N1065" i="7"/>
  <c r="M200" i="7"/>
  <c r="K302" i="7"/>
  <c r="I194" i="7"/>
  <c r="H1297" i="7"/>
  <c r="K1029" i="7"/>
  <c r="L1190" i="7"/>
  <c r="N826" i="7"/>
  <c r="K676" i="7"/>
  <c r="O581" i="7"/>
  <c r="F451" i="7"/>
  <c r="I1289" i="7"/>
  <c r="O320" i="7"/>
  <c r="F1085" i="7"/>
  <c r="N1004" i="7"/>
  <c r="G1164" i="7"/>
  <c r="I1135" i="7"/>
  <c r="O454" i="7"/>
  <c r="G1034" i="7"/>
  <c r="F739" i="7"/>
  <c r="M881" i="7"/>
  <c r="H426" i="7"/>
  <c r="G616" i="7"/>
  <c r="O1172" i="7"/>
  <c r="L867" i="7"/>
  <c r="L1222" i="7"/>
  <c r="M672" i="7"/>
  <c r="P979" i="7"/>
  <c r="H809" i="7"/>
  <c r="O976" i="7"/>
  <c r="N1052" i="7"/>
  <c r="N629" i="7"/>
  <c r="H674" i="7"/>
  <c r="P953" i="7"/>
  <c r="K842" i="7"/>
  <c r="K380" i="7"/>
  <c r="N788" i="7"/>
  <c r="N745" i="7"/>
  <c r="K711" i="7"/>
  <c r="G879" i="7"/>
  <c r="P934" i="7"/>
  <c r="O688" i="7"/>
  <c r="G845" i="7"/>
  <c r="L1012" i="7"/>
  <c r="M1117" i="7"/>
  <c r="G925" i="7"/>
  <c r="F987" i="7"/>
  <c r="F558" i="7"/>
  <c r="N1197" i="7"/>
  <c r="I926" i="7"/>
  <c r="P665" i="7"/>
  <c r="F653" i="7"/>
  <c r="P969" i="7"/>
  <c r="S1088" i="7"/>
  <c r="F1011" i="7"/>
  <c r="O804" i="7"/>
  <c r="N1313" i="7"/>
  <c r="P1246" i="7"/>
  <c r="O998" i="7"/>
  <c r="N1250" i="7"/>
  <c r="I1088" i="7"/>
  <c r="K610" i="7"/>
  <c r="K762" i="7"/>
  <c r="S932" i="7"/>
  <c r="F678" i="7"/>
  <c r="G993" i="7"/>
  <c r="O1123" i="7"/>
  <c r="S658" i="7"/>
  <c r="H1218" i="7"/>
  <c r="O947" i="7"/>
  <c r="S1239" i="7"/>
  <c r="N701" i="7"/>
  <c r="G694" i="7"/>
  <c r="S615" i="7"/>
  <c r="O886" i="7"/>
  <c r="H1389" i="7"/>
  <c r="K1108" i="7"/>
  <c r="M1318" i="7"/>
  <c r="G405" i="7"/>
  <c r="S676" i="7"/>
  <c r="H890" i="7"/>
  <c r="M1158" i="7"/>
  <c r="K1265" i="7"/>
  <c r="L971" i="7"/>
  <c r="G701" i="7"/>
  <c r="M627" i="7"/>
  <c r="I957" i="7"/>
  <c r="M981" i="7"/>
  <c r="P912" i="7"/>
  <c r="F651" i="7"/>
  <c r="P1012" i="7"/>
  <c r="I296" i="7"/>
  <c r="K1096" i="7"/>
  <c r="F812" i="7"/>
  <c r="S984" i="7"/>
  <c r="P294" i="7"/>
  <c r="I677" i="7"/>
  <c r="M1194" i="7"/>
  <c r="G622" i="7"/>
  <c r="M1328" i="7"/>
  <c r="F710" i="7"/>
  <c r="K848" i="7"/>
  <c r="P981" i="7"/>
  <c r="I936" i="7"/>
  <c r="F1294" i="7"/>
  <c r="H1208" i="7"/>
  <c r="G779" i="7"/>
  <c r="I1084" i="7"/>
  <c r="P830" i="7"/>
  <c r="K619" i="7"/>
  <c r="L1257" i="7"/>
  <c r="P1293" i="7"/>
  <c r="L748" i="7"/>
  <c r="S1111" i="7"/>
  <c r="P805" i="7"/>
  <c r="S1336" i="7"/>
  <c r="L1309" i="7"/>
  <c r="I1157" i="7"/>
  <c r="F1123" i="7"/>
  <c r="S668" i="7"/>
  <c r="S598" i="7"/>
  <c r="I674" i="7"/>
  <c r="N518" i="7"/>
  <c r="F488" i="7"/>
  <c r="F615" i="7"/>
  <c r="M620" i="7"/>
  <c r="K801" i="7"/>
  <c r="O1226" i="7"/>
  <c r="K777" i="7"/>
  <c r="P623" i="7"/>
  <c r="N687" i="7"/>
  <c r="K1306" i="7"/>
  <c r="H1214" i="7"/>
  <c r="S652" i="7"/>
  <c r="P472" i="7"/>
  <c r="M608" i="7"/>
  <c r="M1098" i="7"/>
  <c r="P1006" i="7"/>
  <c r="M1093" i="7"/>
  <c r="F659" i="7"/>
  <c r="L825" i="7"/>
  <c r="M1002" i="7"/>
  <c r="I773" i="7"/>
  <c r="I366" i="7"/>
  <c r="F1245" i="7"/>
  <c r="H406" i="7"/>
  <c r="G515" i="7"/>
  <c r="P972" i="7"/>
  <c r="L906" i="7"/>
  <c r="P768" i="7"/>
  <c r="S1247" i="7"/>
  <c r="N401" i="7"/>
  <c r="L439" i="7"/>
  <c r="H1312" i="7"/>
  <c r="O1156" i="7"/>
  <c r="I1293" i="7"/>
  <c r="O323" i="7"/>
  <c r="G788" i="7"/>
  <c r="G1126" i="7"/>
  <c r="L1050" i="7"/>
  <c r="K1244" i="7"/>
  <c r="K825" i="7"/>
  <c r="F1316" i="7"/>
  <c r="O393" i="7"/>
  <c r="H1035" i="7"/>
  <c r="F458" i="7"/>
  <c r="L1033" i="7"/>
  <c r="G465" i="7"/>
  <c r="H806" i="7"/>
  <c r="S377" i="7"/>
  <c r="H1202" i="7"/>
  <c r="M454" i="7"/>
  <c r="O412" i="7"/>
  <c r="O373" i="7"/>
  <c r="M1286" i="7"/>
  <c r="O922" i="7"/>
  <c r="M833" i="7"/>
  <c r="H303" i="7"/>
  <c r="F193" i="7"/>
  <c r="L972" i="7"/>
  <c r="K1135" i="7"/>
  <c r="S432" i="7"/>
  <c r="I693" i="7"/>
  <c r="S492" i="7"/>
  <c r="M1013" i="7"/>
  <c r="L478" i="7"/>
  <c r="M1085" i="7"/>
  <c r="K443" i="7"/>
  <c r="P434" i="7"/>
  <c r="L522" i="7"/>
  <c r="K698" i="7"/>
  <c r="O573" i="7"/>
  <c r="I123" i="7"/>
  <c r="L1303" i="7"/>
  <c r="I984" i="7"/>
  <c r="K763" i="7"/>
  <c r="O752" i="7"/>
  <c r="K922" i="7"/>
  <c r="H431" i="7"/>
  <c r="S674" i="7"/>
  <c r="P475" i="7"/>
  <c r="G244" i="7"/>
  <c r="F588" i="7"/>
  <c r="K1026" i="7"/>
  <c r="M385" i="7"/>
  <c r="P311" i="7"/>
  <c r="O415" i="7"/>
  <c r="G674" i="7"/>
  <c r="M974" i="7"/>
  <c r="O432" i="7"/>
  <c r="N470" i="7"/>
  <c r="I933" i="7"/>
  <c r="K1310" i="7"/>
  <c r="H555" i="7"/>
  <c r="N632" i="7"/>
  <c r="M407" i="7"/>
  <c r="O528" i="7"/>
  <c r="O1062" i="7"/>
  <c r="O1310" i="7"/>
  <c r="P502" i="7"/>
  <c r="S1042" i="7"/>
  <c r="M320" i="7"/>
  <c r="O572" i="7"/>
  <c r="I1087" i="7"/>
  <c r="L429" i="7"/>
  <c r="G448" i="7"/>
  <c r="I1206" i="7"/>
  <c r="H461" i="7"/>
  <c r="N1237" i="7"/>
  <c r="I463" i="7"/>
  <c r="S226" i="7"/>
  <c r="N358" i="7"/>
  <c r="P542" i="7"/>
  <c r="I423" i="7"/>
  <c r="S785" i="7"/>
  <c r="I612" i="7"/>
  <c r="M731" i="7"/>
  <c r="L558" i="7"/>
  <c r="G572" i="7"/>
  <c r="H216" i="7"/>
  <c r="H1242" i="7"/>
  <c r="L743" i="7"/>
  <c r="O1280" i="7"/>
  <c r="K794" i="7"/>
  <c r="M311" i="7"/>
  <c r="K175" i="7"/>
  <c r="K602" i="7"/>
  <c r="P1315" i="7"/>
  <c r="M971" i="7"/>
  <c r="F353" i="7"/>
  <c r="H698" i="7"/>
  <c r="N957" i="7"/>
  <c r="M727" i="7"/>
  <c r="N353" i="7"/>
  <c r="I540" i="7"/>
  <c r="O1136" i="7"/>
  <c r="O575" i="7"/>
  <c r="I1215" i="7"/>
  <c r="L289" i="7"/>
  <c r="G995" i="7"/>
  <c r="N823" i="7"/>
  <c r="G470" i="7"/>
  <c r="H943" i="7"/>
  <c r="H1104" i="7"/>
  <c r="F459" i="7"/>
  <c r="S387" i="7"/>
  <c r="P566" i="7"/>
  <c r="N534" i="7"/>
  <c r="N1012" i="7"/>
  <c r="L452" i="7"/>
  <c r="N608" i="7"/>
  <c r="I1313" i="7"/>
  <c r="S1063" i="7"/>
  <c r="S706" i="7"/>
  <c r="K957" i="7"/>
  <c r="P664" i="7"/>
  <c r="I386" i="7"/>
  <c r="S495" i="7"/>
  <c r="M456" i="7"/>
  <c r="S1283" i="7"/>
  <c r="O1250" i="7"/>
  <c r="N1316" i="7"/>
  <c r="G928" i="7"/>
  <c r="L873" i="7"/>
  <c r="H905" i="7"/>
  <c r="G1254" i="7"/>
  <c r="S1075" i="7"/>
  <c r="H627" i="7"/>
  <c r="K944" i="7"/>
  <c r="G392" i="7"/>
  <c r="I653" i="7"/>
  <c r="H901" i="7"/>
  <c r="P875" i="7"/>
  <c r="P936" i="7"/>
  <c r="S822" i="7"/>
  <c r="I1158" i="7"/>
  <c r="S922" i="7"/>
  <c r="S1370" i="7"/>
  <c r="P713" i="7"/>
  <c r="H798" i="7"/>
  <c r="I775" i="7"/>
  <c r="F980" i="7"/>
  <c r="M798" i="7"/>
  <c r="P617" i="7"/>
  <c r="S1280" i="7"/>
  <c r="S519" i="7"/>
  <c r="M1082" i="7"/>
  <c r="M1303" i="7"/>
  <c r="F1351" i="7"/>
  <c r="H724" i="7"/>
  <c r="N730" i="7"/>
  <c r="H1252" i="7"/>
  <c r="G854" i="7"/>
  <c r="L1059" i="7"/>
  <c r="F854" i="7"/>
  <c r="O759" i="7"/>
  <c r="S537" i="7"/>
  <c r="N869" i="7"/>
  <c r="G846" i="7"/>
  <c r="L584" i="7"/>
  <c r="I1211" i="7"/>
  <c r="N978" i="7"/>
  <c r="M923" i="7"/>
  <c r="S888" i="7"/>
  <c r="F1018" i="7"/>
  <c r="M1161" i="7"/>
  <c r="N904" i="7"/>
  <c r="S703" i="7"/>
  <c r="P715" i="7"/>
  <c r="O943" i="7"/>
  <c r="P618" i="7"/>
  <c r="N580" i="7"/>
  <c r="O851" i="7"/>
  <c r="O882" i="7"/>
  <c r="F1042" i="7"/>
  <c r="F766" i="7"/>
  <c r="F1004" i="7"/>
  <c r="O1064" i="7"/>
  <c r="K1197" i="7"/>
  <c r="L1194" i="7"/>
  <c r="S1252" i="7"/>
  <c r="M972" i="7"/>
  <c r="I676" i="7"/>
  <c r="G740" i="7"/>
  <c r="P1099" i="7"/>
  <c r="P750" i="7"/>
  <c r="N708" i="7"/>
  <c r="L1124" i="7"/>
  <c r="M1121" i="7"/>
  <c r="O1053" i="7"/>
  <c r="N781" i="7"/>
  <c r="O1286" i="7"/>
  <c r="M890" i="7"/>
  <c r="L845" i="7"/>
  <c r="P878" i="7"/>
  <c r="N1017" i="7"/>
  <c r="H611" i="7"/>
  <c r="M488" i="7"/>
  <c r="I992" i="7"/>
  <c r="F752" i="7"/>
  <c r="P751" i="7"/>
  <c r="I707" i="7"/>
  <c r="L954" i="7"/>
  <c r="M803" i="7"/>
  <c r="L1157" i="7"/>
  <c r="K1481" i="7"/>
  <c r="I842" i="7"/>
  <c r="M834" i="7"/>
  <c r="O1048" i="7"/>
  <c r="P427" i="7"/>
  <c r="P1057" i="7"/>
  <c r="I1477" i="7"/>
  <c r="I778" i="7"/>
  <c r="G810" i="7"/>
  <c r="S759" i="7"/>
  <c r="N928" i="7"/>
  <c r="L1209" i="7"/>
  <c r="N662" i="7"/>
  <c r="F1100" i="7"/>
  <c r="L1159" i="7"/>
  <c r="L874" i="7"/>
  <c r="O979" i="7"/>
  <c r="L644" i="7"/>
  <c r="G744" i="7"/>
  <c r="K1275" i="7"/>
  <c r="N1040" i="7"/>
  <c r="L969" i="7"/>
  <c r="P1059" i="7"/>
  <c r="H1156" i="7"/>
  <c r="S449" i="7"/>
  <c r="L1220" i="7"/>
  <c r="K317" i="7"/>
  <c r="L1051" i="7"/>
  <c r="I1261" i="7"/>
  <c r="G939" i="7"/>
  <c r="O986" i="7"/>
  <c r="G1160" i="7"/>
  <c r="F453" i="7"/>
  <c r="L1249" i="7"/>
  <c r="H304" i="7"/>
  <c r="L932" i="7"/>
  <c r="O263" i="7"/>
  <c r="O472" i="7"/>
  <c r="G1313" i="7"/>
  <c r="M345" i="7"/>
  <c r="K298" i="7"/>
  <c r="H833" i="7"/>
  <c r="K525" i="7"/>
  <c r="M1081" i="7"/>
  <c r="H661" i="7"/>
  <c r="G303" i="7"/>
  <c r="H1201" i="7"/>
  <c r="I298" i="7"/>
  <c r="I428" i="7"/>
  <c r="O844" i="7"/>
  <c r="M655" i="7"/>
  <c r="M375" i="7"/>
  <c r="L415" i="7"/>
  <c r="F915" i="7"/>
  <c r="F363" i="7"/>
  <c r="S485" i="7"/>
  <c r="G400" i="7"/>
  <c r="L888" i="7"/>
  <c r="G1045" i="7"/>
  <c r="S784" i="7"/>
  <c r="F601" i="7"/>
  <c r="M405" i="7"/>
  <c r="M534" i="7"/>
  <c r="S447" i="7"/>
  <c r="N459" i="7"/>
  <c r="H421" i="7"/>
  <c r="N1277" i="7"/>
  <c r="P705" i="7"/>
  <c r="O738" i="7"/>
  <c r="P734" i="7"/>
  <c r="L905" i="7"/>
  <c r="G967" i="7"/>
  <c r="N831" i="7"/>
  <c r="H384" i="7"/>
  <c r="P1208" i="7"/>
  <c r="H522" i="7"/>
  <c r="O1277" i="7"/>
  <c r="K412" i="7"/>
  <c r="P1104" i="7"/>
  <c r="N1297" i="7"/>
  <c r="N752" i="7"/>
  <c r="H604" i="7"/>
  <c r="I294" i="7"/>
  <c r="K1149" i="7"/>
  <c r="K1158" i="7"/>
  <c r="G763" i="7"/>
  <c r="H678" i="7"/>
  <c r="O864" i="7"/>
  <c r="L490" i="7"/>
  <c r="O839" i="7"/>
  <c r="P321" i="7"/>
  <c r="I576" i="7"/>
  <c r="I235" i="7"/>
  <c r="K1240" i="7"/>
  <c r="S906" i="7"/>
  <c r="M421" i="7"/>
  <c r="F817" i="7"/>
  <c r="S820" i="7"/>
  <c r="I742" i="7"/>
  <c r="P965" i="7"/>
  <c r="G938" i="7"/>
  <c r="I387" i="7"/>
  <c r="M594" i="7"/>
  <c r="M730" i="7"/>
  <c r="O391" i="7"/>
  <c r="K354" i="7"/>
  <c r="N686" i="7"/>
  <c r="O787" i="7"/>
  <c r="K1191" i="7"/>
  <c r="H471" i="7"/>
  <c r="O983" i="7"/>
  <c r="L1301" i="7"/>
  <c r="S684" i="7"/>
  <c r="F487" i="7"/>
  <c r="K849" i="7"/>
  <c r="K370" i="7"/>
  <c r="L1063" i="7"/>
  <c r="G320" i="7"/>
  <c r="H673" i="7"/>
  <c r="N576" i="7"/>
  <c r="O632" i="7"/>
  <c r="L506" i="7"/>
  <c r="S311" i="7"/>
  <c r="I599" i="7"/>
  <c r="L745" i="7"/>
  <c r="L921" i="7"/>
  <c r="O453" i="7"/>
  <c r="I611" i="7"/>
  <c r="G1087" i="7"/>
  <c r="F849" i="7"/>
  <c r="I965" i="7"/>
  <c r="I1294" i="7"/>
  <c r="M581" i="7"/>
  <c r="H517" i="7"/>
  <c r="K752" i="7"/>
  <c r="G288" i="7"/>
  <c r="G753" i="7"/>
  <c r="M1062" i="7"/>
  <c r="F800" i="7"/>
  <c r="P563" i="7"/>
  <c r="H383" i="7"/>
  <c r="O328" i="7"/>
  <c r="I774" i="7"/>
  <c r="O248" i="7"/>
  <c r="G745" i="7"/>
  <c r="O540" i="7"/>
  <c r="F472" i="7"/>
  <c r="F534" i="7"/>
  <c r="K810" i="7"/>
  <c r="S1201" i="7"/>
  <c r="L605" i="7"/>
  <c r="N824" i="7"/>
  <c r="P840" i="7"/>
  <c r="S1317" i="7"/>
  <c r="M367" i="7"/>
  <c r="K468" i="7"/>
  <c r="F422" i="7"/>
  <c r="P1295" i="7"/>
  <c r="K1153" i="7"/>
  <c r="K410" i="7"/>
  <c r="K303" i="7"/>
  <c r="I1275" i="7"/>
  <c r="F1196" i="7"/>
  <c r="H754" i="7"/>
  <c r="G1062" i="7"/>
  <c r="M1245" i="7"/>
  <c r="P615" i="7"/>
  <c r="F518" i="7"/>
  <c r="P449" i="7"/>
  <c r="H1028" i="7"/>
  <c r="I1015" i="7"/>
  <c r="G778" i="7"/>
  <c r="P879" i="7"/>
  <c r="N944" i="7"/>
  <c r="S751" i="7"/>
  <c r="L582" i="7"/>
  <c r="L1117" i="7"/>
  <c r="P621" i="7"/>
  <c r="S998" i="7"/>
  <c r="I521" i="7"/>
  <c r="M1257" i="7"/>
  <c r="F1207" i="7"/>
  <c r="I820" i="7"/>
  <c r="K1061" i="7"/>
  <c r="F927" i="7"/>
  <c r="I656" i="7"/>
  <c r="P1045" i="7"/>
  <c r="L1103" i="7"/>
  <c r="L879" i="7"/>
  <c r="F1189" i="7"/>
  <c r="I885" i="7"/>
  <c r="K1298" i="7"/>
  <c r="G686" i="7"/>
  <c r="N320" i="7"/>
  <c r="K294" i="7"/>
  <c r="L357" i="7"/>
  <c r="L928" i="7"/>
  <c r="G699" i="7"/>
  <c r="M921" i="7"/>
  <c r="M1101" i="7"/>
  <c r="K919" i="7"/>
  <c r="L657" i="7"/>
  <c r="H918" i="7"/>
  <c r="I925" i="7"/>
  <c r="K988" i="7"/>
  <c r="M871" i="7"/>
  <c r="F1256" i="7"/>
  <c r="M442" i="7"/>
  <c r="L1211" i="7"/>
  <c r="M872" i="7"/>
  <c r="L787" i="7"/>
  <c r="N882" i="7"/>
  <c r="O779" i="7"/>
  <c r="F1318" i="7"/>
  <c r="I802" i="7"/>
  <c r="S1486" i="7"/>
  <c r="O819" i="7"/>
  <c r="I1199" i="7"/>
  <c r="N1125" i="7"/>
  <c r="N611" i="7"/>
  <c r="G611" i="7"/>
  <c r="F1210" i="7"/>
  <c r="M957" i="7"/>
  <c r="K662" i="7"/>
  <c r="S671" i="7"/>
  <c r="N1084" i="7"/>
  <c r="L1246" i="7"/>
  <c r="G1306" i="7"/>
  <c r="K1181" i="7"/>
  <c r="O1139" i="7"/>
  <c r="G680" i="7"/>
  <c r="G771" i="7"/>
  <c r="P1040" i="7"/>
  <c r="P645" i="7"/>
  <c r="H764" i="7"/>
  <c r="L646" i="7"/>
  <c r="H563" i="7"/>
  <c r="L491" i="7"/>
  <c r="L583" i="7"/>
  <c r="O1000" i="7"/>
  <c r="S997" i="7"/>
  <c r="S934" i="7"/>
  <c r="S1099" i="7"/>
  <c r="N1202" i="7"/>
  <c r="M986" i="7"/>
  <c r="S1244" i="7"/>
  <c r="S708" i="7"/>
  <c r="I1090" i="7"/>
  <c r="S979" i="7"/>
  <c r="H1103" i="7"/>
  <c r="S503" i="7"/>
  <c r="M862" i="7"/>
  <c r="M729" i="7"/>
  <c r="H351" i="7"/>
  <c r="G690" i="7"/>
  <c r="S839" i="7"/>
  <c r="S1205" i="7"/>
  <c r="H1221" i="7"/>
  <c r="K885" i="7"/>
  <c r="L987" i="7"/>
  <c r="M850" i="7"/>
  <c r="N1298" i="7"/>
  <c r="P824" i="7"/>
  <c r="L1086" i="7"/>
  <c r="S1240" i="7"/>
  <c r="L388" i="7"/>
  <c r="L884" i="7"/>
  <c r="P913" i="7"/>
  <c r="O188" i="7"/>
  <c r="N1013" i="7"/>
  <c r="F882" i="7"/>
  <c r="S989" i="7"/>
  <c r="H1211" i="7"/>
  <c r="S975" i="7"/>
  <c r="H617" i="7"/>
  <c r="G941" i="7"/>
  <c r="H881" i="7"/>
  <c r="F618" i="7"/>
  <c r="M1175" i="7"/>
  <c r="K1268" i="7"/>
  <c r="K783" i="7"/>
  <c r="K295" i="7"/>
  <c r="P1214" i="7"/>
  <c r="H729" i="7"/>
  <c r="M725" i="7"/>
  <c r="K815" i="7"/>
  <c r="K467" i="7"/>
  <c r="H398" i="7"/>
  <c r="G1215" i="7"/>
  <c r="K1186" i="7"/>
  <c r="S1066" i="7"/>
  <c r="F324" i="7"/>
  <c r="O1085" i="7"/>
  <c r="K830" i="7"/>
  <c r="H923" i="7"/>
  <c r="I1060" i="7"/>
  <c r="O1154" i="7"/>
  <c r="I928" i="7"/>
  <c r="O1071" i="7"/>
  <c r="N852" i="7"/>
  <c r="N864" i="7"/>
  <c r="H447" i="7"/>
  <c r="P285" i="7"/>
  <c r="P220" i="7"/>
  <c r="I427" i="7"/>
  <c r="I1035" i="7"/>
  <c r="S212" i="7"/>
  <c r="L372" i="7"/>
  <c r="N711" i="7"/>
  <c r="O465" i="7"/>
  <c r="P905" i="7"/>
  <c r="P1084" i="7"/>
  <c r="M1068" i="7"/>
  <c r="P739" i="7"/>
  <c r="G570" i="7"/>
  <c r="H1056" i="7"/>
  <c r="N1191" i="7"/>
  <c r="P1326" i="7"/>
  <c r="N558" i="7"/>
  <c r="I803" i="7"/>
  <c r="H436" i="7"/>
  <c r="M88" i="7"/>
  <c r="P795" i="7"/>
  <c r="O1206" i="7"/>
  <c r="S347" i="7"/>
  <c r="P1303" i="7"/>
  <c r="F691" i="7"/>
  <c r="M726" i="7"/>
  <c r="S584" i="7"/>
  <c r="L456" i="7"/>
  <c r="M304" i="7"/>
  <c r="F1113" i="7"/>
  <c r="G685" i="7"/>
  <c r="O606" i="7"/>
  <c r="N557" i="7"/>
  <c r="S528" i="7"/>
  <c r="M409" i="7"/>
  <c r="N322" i="7"/>
  <c r="S777" i="7"/>
  <c r="K338" i="7"/>
  <c r="I1319" i="7"/>
  <c r="P967" i="7"/>
  <c r="S1301" i="7"/>
  <c r="I243" i="7"/>
  <c r="O213" i="7"/>
  <c r="P1096" i="7"/>
  <c r="M852" i="7"/>
  <c r="K1206" i="7"/>
  <c r="F469" i="7"/>
  <c r="L777" i="7"/>
  <c r="M874" i="7"/>
  <c r="F1307" i="7"/>
  <c r="I620" i="7"/>
  <c r="G689" i="7"/>
  <c r="P178" i="7"/>
  <c r="F91" i="7"/>
  <c r="N398" i="7"/>
  <c r="F1293" i="7"/>
  <c r="N548" i="7"/>
  <c r="G481" i="7"/>
  <c r="S958" i="7"/>
  <c r="P1016" i="7"/>
  <c r="O392" i="7"/>
  <c r="M553" i="7"/>
  <c r="M1116" i="7"/>
  <c r="S1135" i="7"/>
  <c r="H609" i="7"/>
  <c r="N1099" i="7"/>
  <c r="F833" i="7"/>
  <c r="M516" i="7"/>
  <c r="G1198" i="7"/>
  <c r="L597" i="7"/>
  <c r="L382" i="7"/>
  <c r="S1318" i="7"/>
  <c r="P470" i="7"/>
  <c r="M800" i="7"/>
  <c r="F503" i="7"/>
  <c r="M319" i="7"/>
  <c r="F795" i="7"/>
  <c r="G1178" i="7"/>
  <c r="K1172" i="7"/>
  <c r="O650" i="7"/>
  <c r="N1289" i="7"/>
  <c r="M379" i="7"/>
  <c r="N670" i="7"/>
  <c r="G555" i="7"/>
  <c r="M756" i="7"/>
  <c r="N341" i="7"/>
  <c r="S729" i="7"/>
  <c r="K708" i="7"/>
  <c r="G708" i="7"/>
  <c r="O604" i="7"/>
  <c r="N973" i="7"/>
  <c r="I1320" i="7"/>
  <c r="P498" i="7"/>
  <c r="I518" i="7"/>
  <c r="N403" i="7"/>
  <c r="O440" i="7"/>
  <c r="P446" i="7"/>
  <c r="I430" i="7"/>
  <c r="S602" i="7"/>
  <c r="F392" i="7"/>
  <c r="I512" i="7"/>
  <c r="F797" i="7"/>
  <c r="G445" i="7"/>
  <c r="S1314" i="7"/>
  <c r="K589" i="7"/>
  <c r="I1081" i="7"/>
  <c r="F1241" i="7"/>
  <c r="O1261" i="7"/>
  <c r="F445" i="7"/>
  <c r="F507" i="7"/>
  <c r="H843" i="7"/>
  <c r="G654" i="7"/>
  <c r="G1237" i="7"/>
  <c r="M461" i="7"/>
  <c r="H328" i="7"/>
  <c r="S289" i="7"/>
  <c r="S1153" i="7"/>
  <c r="S319" i="7"/>
  <c r="H1209" i="7"/>
  <c r="N400" i="7"/>
  <c r="M396" i="7"/>
  <c r="S995" i="7"/>
  <c r="H684" i="7"/>
  <c r="M826" i="7"/>
  <c r="N900" i="7"/>
  <c r="M1300" i="7"/>
  <c r="G1373" i="7"/>
  <c r="P655" i="7"/>
  <c r="L545" i="7"/>
  <c r="M838" i="7"/>
  <c r="P352" i="7"/>
  <c r="G1055" i="7"/>
  <c r="L1271" i="7"/>
  <c r="K666" i="7"/>
  <c r="P453" i="7"/>
  <c r="N1154" i="7"/>
  <c r="I1369" i="7"/>
  <c r="G796" i="7"/>
  <c r="L1356" i="7"/>
  <c r="H781" i="7"/>
  <c r="K695" i="7"/>
  <c r="O969" i="7"/>
  <c r="S1176" i="7"/>
  <c r="H854" i="7"/>
  <c r="S897" i="7"/>
  <c r="N899" i="7"/>
  <c r="S707" i="7"/>
  <c r="P848" i="7"/>
  <c r="M1128" i="7"/>
  <c r="O823" i="7"/>
  <c r="P1150" i="7"/>
  <c r="H623" i="7"/>
  <c r="H1287" i="7"/>
  <c r="G1225" i="7"/>
  <c r="H618" i="7"/>
  <c r="O1247" i="7"/>
  <c r="M1310" i="7"/>
  <c r="N674" i="7"/>
  <c r="H1240" i="7"/>
  <c r="O727" i="7"/>
  <c r="P1224" i="7"/>
  <c r="M1213" i="7"/>
  <c r="L307" i="7"/>
  <c r="F346" i="7"/>
  <c r="G843" i="7"/>
  <c r="S1110" i="7"/>
  <c r="S1132" i="7"/>
  <c r="G1322" i="7"/>
  <c r="L812" i="7"/>
  <c r="P992" i="7"/>
  <c r="O1193" i="7"/>
  <c r="M741" i="7"/>
  <c r="S1196" i="7"/>
  <c r="M807" i="7"/>
  <c r="L690" i="7"/>
  <c r="H322" i="7"/>
  <c r="P405" i="7"/>
  <c r="F694" i="7"/>
  <c r="N740" i="7"/>
  <c r="H804" i="7"/>
  <c r="P1457" i="7"/>
  <c r="G861" i="7"/>
  <c r="L864" i="7"/>
  <c r="K1291" i="7"/>
  <c r="I772" i="7"/>
  <c r="M605" i="7"/>
  <c r="L975" i="7"/>
  <c r="P1253" i="7"/>
  <c r="O1084" i="7"/>
  <c r="S421" i="7"/>
  <c r="P403" i="7"/>
  <c r="I1131" i="7"/>
  <c r="L576" i="7"/>
  <c r="L961" i="7"/>
  <c r="K696" i="7"/>
  <c r="F872" i="7"/>
  <c r="S938" i="7"/>
  <c r="M990" i="7"/>
  <c r="S735" i="7"/>
  <c r="N638" i="7"/>
  <c r="P1155" i="7"/>
  <c r="M1248" i="7"/>
  <c r="S1209" i="7"/>
  <c r="O1167" i="7"/>
  <c r="L502" i="7"/>
  <c r="K1286" i="7"/>
  <c r="I833" i="7"/>
  <c r="I915" i="7"/>
  <c r="N845" i="7"/>
  <c r="H1178" i="7"/>
  <c r="F1001" i="7"/>
  <c r="P1324" i="7"/>
  <c r="H801" i="7"/>
  <c r="K811" i="7"/>
  <c r="G762" i="7"/>
  <c r="N925" i="7"/>
  <c r="I983" i="7"/>
  <c r="O661" i="7"/>
  <c r="H753" i="7"/>
  <c r="G398" i="7"/>
  <c r="K1121" i="7"/>
  <c r="P672" i="7"/>
  <c r="K916" i="7"/>
  <c r="P1174" i="7"/>
  <c r="P871" i="7"/>
  <c r="K1216" i="7"/>
  <c r="N1042" i="7"/>
  <c r="P1003" i="7"/>
  <c r="F688" i="7"/>
  <c r="I823" i="7"/>
  <c r="F889" i="7"/>
  <c r="M925" i="7"/>
  <c r="F1168" i="7"/>
  <c r="I388" i="7"/>
  <c r="P904" i="7"/>
  <c r="L1270" i="7"/>
  <c r="P1328" i="7"/>
  <c r="S912" i="7"/>
  <c r="O1073" i="7"/>
  <c r="F741" i="7"/>
  <c r="F412" i="7"/>
  <c r="O1189" i="7"/>
  <c r="M346" i="7"/>
  <c r="F548" i="7"/>
  <c r="S851" i="7"/>
  <c r="L632" i="7"/>
  <c r="S666" i="7"/>
  <c r="O303" i="7"/>
  <c r="L317" i="7"/>
  <c r="O1205" i="7"/>
  <c r="H1172" i="7"/>
  <c r="L938" i="7"/>
  <c r="H1074" i="7"/>
  <c r="H1113" i="7"/>
  <c r="P481" i="7"/>
  <c r="S502" i="7"/>
  <c r="K594" i="7"/>
  <c r="K426" i="7"/>
  <c r="M1181" i="7"/>
  <c r="M797" i="7"/>
  <c r="H502" i="7"/>
  <c r="H538" i="7"/>
  <c r="G787" i="7"/>
  <c r="F413" i="7"/>
  <c r="N1119" i="7"/>
  <c r="K393" i="7"/>
  <c r="O852" i="7"/>
  <c r="N774" i="7"/>
  <c r="I679" i="7"/>
  <c r="K551" i="7"/>
  <c r="I534" i="7"/>
  <c r="G803" i="7"/>
  <c r="F296" i="7"/>
  <c r="K312" i="7"/>
  <c r="L1280" i="7"/>
  <c r="M560" i="7"/>
  <c r="H971" i="7"/>
  <c r="S471" i="7"/>
  <c r="H1272" i="7"/>
  <c r="G1114" i="7"/>
  <c r="O1152" i="7"/>
  <c r="L286" i="7"/>
  <c r="O413" i="7"/>
  <c r="O1164" i="7"/>
  <c r="G559" i="7"/>
  <c r="N339" i="7"/>
  <c r="L1201" i="7"/>
  <c r="O446" i="7"/>
  <c r="I570" i="7"/>
  <c r="N639" i="7"/>
  <c r="K1036" i="7"/>
  <c r="K346" i="7"/>
  <c r="O1213" i="7"/>
  <c r="O1131" i="7"/>
  <c r="S1094" i="7"/>
  <c r="O1004" i="7"/>
  <c r="S328" i="7"/>
  <c r="M399" i="7"/>
  <c r="N1190" i="7"/>
  <c r="M1033" i="7"/>
  <c r="I353" i="7"/>
  <c r="G676" i="7"/>
  <c r="O458" i="7"/>
  <c r="L1042" i="7"/>
  <c r="M867" i="7"/>
  <c r="K1046" i="7"/>
  <c r="O1148" i="7"/>
  <c r="I731" i="7"/>
  <c r="H758" i="7"/>
  <c r="L223" i="7"/>
  <c r="G578" i="7"/>
  <c r="K699" i="7"/>
  <c r="F182" i="7"/>
  <c r="S637" i="7"/>
  <c r="P846" i="7"/>
  <c r="H872" i="7"/>
  <c r="F1320" i="7"/>
  <c r="I553" i="7"/>
  <c r="I1402" i="7"/>
  <c r="G721" i="7"/>
  <c r="G443" i="7"/>
  <c r="P1280" i="7"/>
  <c r="G546" i="7"/>
  <c r="S391" i="7"/>
  <c r="O244" i="7"/>
  <c r="I1003" i="7"/>
  <c r="L392" i="7"/>
  <c r="P350" i="7"/>
  <c r="N436" i="7"/>
  <c r="P548" i="7"/>
  <c r="S538" i="7"/>
  <c r="I555" i="7"/>
  <c r="L572" i="7"/>
  <c r="L804" i="7"/>
  <c r="M332" i="7"/>
  <c r="I434" i="7"/>
  <c r="M171" i="7"/>
  <c r="K703" i="7"/>
  <c r="K873" i="7"/>
  <c r="N976" i="7"/>
  <c r="I1205" i="7"/>
  <c r="L916" i="7"/>
  <c r="K902" i="7"/>
  <c r="S642" i="7"/>
  <c r="G313" i="7"/>
  <c r="S1141" i="7"/>
  <c r="O407" i="7"/>
  <c r="G403" i="7"/>
  <c r="G473" i="7"/>
  <c r="I572" i="7"/>
  <c r="H476" i="7"/>
  <c r="N415" i="7"/>
  <c r="S743" i="7"/>
  <c r="G974" i="7"/>
  <c r="F429" i="7"/>
  <c r="O500" i="7"/>
  <c r="H1198" i="7"/>
  <c r="K1113" i="7"/>
  <c r="G657" i="7"/>
  <c r="P410" i="7"/>
  <c r="G1296" i="7"/>
  <c r="K665" i="7"/>
  <c r="F779" i="7"/>
  <c r="L412" i="7"/>
  <c r="M882" i="7"/>
  <c r="F345" i="7"/>
  <c r="N1280" i="7"/>
  <c r="S531" i="7"/>
  <c r="O637" i="7"/>
  <c r="S758" i="7"/>
  <c r="F500" i="7"/>
  <c r="G874" i="7"/>
  <c r="I787" i="7"/>
  <c r="N974" i="7"/>
  <c r="O685" i="7"/>
  <c r="M1149" i="7"/>
  <c r="K775" i="7"/>
  <c r="N1039" i="7"/>
  <c r="F823" i="7"/>
  <c r="S1162" i="7"/>
  <c r="F1309" i="7"/>
  <c r="P1284" i="7"/>
  <c r="H658" i="7"/>
  <c r="M744" i="7"/>
  <c r="F1145" i="7"/>
  <c r="H323" i="7"/>
  <c r="G1325" i="7"/>
  <c r="M1211" i="7"/>
  <c r="G1006" i="7"/>
  <c r="S307" i="7"/>
  <c r="O944" i="7"/>
  <c r="O1046" i="7"/>
  <c r="O835" i="7"/>
  <c r="S1253" i="7"/>
  <c r="O1263" i="7"/>
  <c r="G700" i="7"/>
  <c r="I1150" i="7"/>
  <c r="M618" i="7"/>
  <c r="K759" i="7"/>
  <c r="N800" i="7"/>
  <c r="I980" i="7"/>
  <c r="M403" i="7"/>
  <c r="O1059" i="7"/>
  <c r="K797" i="7"/>
  <c r="F512" i="7"/>
  <c r="S1151" i="7"/>
  <c r="I1030" i="7"/>
  <c r="S702" i="7"/>
  <c r="F1006" i="7"/>
  <c r="I754" i="7"/>
  <c r="H1283" i="7"/>
  <c r="P928" i="7"/>
  <c r="S879" i="7"/>
  <c r="H1118" i="7"/>
  <c r="G1004" i="7"/>
  <c r="N841" i="7"/>
  <c r="F771" i="7"/>
  <c r="M1184" i="7"/>
  <c r="G857" i="7"/>
  <c r="S1259" i="7"/>
  <c r="S1049" i="7"/>
  <c r="L791" i="7"/>
  <c r="H1031" i="7"/>
  <c r="M1187" i="7"/>
  <c r="P831" i="7"/>
  <c r="G890" i="7"/>
  <c r="K1110" i="7"/>
  <c r="L875" i="7"/>
  <c r="M1024" i="7"/>
  <c r="N1328" i="7"/>
  <c r="F923" i="7"/>
  <c r="L1102" i="7"/>
  <c r="K1277" i="7"/>
  <c r="N1104" i="7"/>
  <c r="M1114" i="7"/>
  <c r="O638" i="7"/>
  <c r="L734" i="7"/>
  <c r="N1167" i="7"/>
  <c r="K905" i="7"/>
  <c r="P864" i="7"/>
  <c r="P785" i="7"/>
  <c r="S1436" i="7"/>
  <c r="O739" i="7"/>
  <c r="M864" i="7"/>
  <c r="M540" i="7"/>
  <c r="O984" i="7"/>
  <c r="I1000" i="7"/>
  <c r="K993" i="7"/>
  <c r="O1150" i="7"/>
  <c r="H765" i="7"/>
  <c r="H1140" i="7"/>
  <c r="K1247" i="7"/>
  <c r="O806" i="7"/>
  <c r="O771" i="7"/>
  <c r="K1042" i="7"/>
  <c r="M1025" i="7"/>
  <c r="F1081" i="7"/>
  <c r="I947" i="7"/>
  <c r="L323" i="7"/>
  <c r="S1118" i="7"/>
  <c r="K1239" i="7"/>
  <c r="I874" i="7"/>
  <c r="I751" i="7"/>
  <c r="L756" i="7"/>
  <c r="M701" i="7"/>
  <c r="N619" i="7"/>
  <c r="I605" i="7"/>
  <c r="H1481" i="7"/>
  <c r="K1281" i="7"/>
  <c r="N1135" i="7"/>
  <c r="G840" i="7"/>
  <c r="I714" i="7"/>
  <c r="O1295" i="7"/>
  <c r="L733" i="7"/>
  <c r="L751" i="7"/>
  <c r="P1245" i="7"/>
  <c r="O317" i="7"/>
  <c r="S334" i="7"/>
  <c r="I1271" i="7"/>
  <c r="M1171" i="7"/>
  <c r="F1222" i="7"/>
  <c r="L886" i="7"/>
  <c r="P1212" i="7"/>
  <c r="F1020" i="7"/>
  <c r="F1084" i="7"/>
  <c r="H812" i="7"/>
  <c r="G679" i="7"/>
  <c r="O534" i="7"/>
  <c r="G724" i="7"/>
  <c r="I589" i="7"/>
  <c r="I301" i="7"/>
  <c r="O605" i="7"/>
  <c r="S775" i="7"/>
  <c r="O780" i="7"/>
  <c r="S1329" i="7"/>
  <c r="K792" i="7"/>
  <c r="H372" i="7"/>
  <c r="F572" i="7"/>
  <c r="P409" i="7"/>
  <c r="K548" i="7"/>
  <c r="G926" i="7"/>
  <c r="H483" i="7"/>
  <c r="L351" i="7"/>
  <c r="I668" i="7"/>
  <c r="K421" i="7"/>
  <c r="M576" i="7"/>
  <c r="M1020" i="7"/>
  <c r="N1238" i="7"/>
  <c r="P1255" i="7"/>
  <c r="I410" i="7"/>
  <c r="G579" i="7"/>
  <c r="G976" i="7"/>
  <c r="H544" i="7"/>
  <c r="K1320" i="7"/>
  <c r="K969" i="7"/>
  <c r="O404" i="7"/>
  <c r="F410" i="7"/>
  <c r="I569" i="7"/>
  <c r="M557" i="7"/>
  <c r="I640" i="7"/>
  <c r="L337" i="7"/>
  <c r="L1123" i="7"/>
  <c r="O932" i="7"/>
  <c r="F292" i="7"/>
  <c r="L844" i="7"/>
  <c r="N601" i="7"/>
  <c r="G436" i="7"/>
  <c r="K406" i="7"/>
  <c r="K1156" i="7"/>
  <c r="F396" i="7"/>
  <c r="L467" i="7"/>
  <c r="O833" i="7"/>
  <c r="L302" i="7"/>
  <c r="F946" i="7"/>
  <c r="M350" i="7"/>
  <c r="L1322" i="7"/>
  <c r="I753" i="7"/>
  <c r="K527" i="7"/>
  <c r="S541" i="7"/>
  <c r="M564" i="7"/>
  <c r="M1069" i="7"/>
  <c r="O564" i="7"/>
  <c r="K1085" i="7"/>
  <c r="L941" i="7"/>
  <c r="P308" i="7"/>
  <c r="N422" i="7"/>
  <c r="P622" i="7"/>
  <c r="S472" i="7"/>
  <c r="F1117" i="7"/>
  <c r="K833" i="7"/>
  <c r="K552" i="7"/>
  <c r="S504" i="7"/>
  <c r="M928" i="7"/>
  <c r="N1098" i="7"/>
  <c r="L919" i="7"/>
  <c r="L758" i="7"/>
  <c r="H291" i="7"/>
  <c r="K569" i="7"/>
  <c r="L361" i="7"/>
  <c r="O946" i="7"/>
  <c r="P1200" i="7"/>
  <c r="M1314" i="7"/>
  <c r="K1249" i="7"/>
  <c r="S651" i="7"/>
  <c r="P1027" i="7"/>
  <c r="S752" i="7"/>
  <c r="N698" i="7"/>
  <c r="I786" i="7"/>
  <c r="P535" i="7"/>
  <c r="O729" i="7"/>
  <c r="G958" i="7"/>
  <c r="N637" i="7"/>
  <c r="O1025" i="7"/>
  <c r="H1084" i="7"/>
  <c r="G992" i="7"/>
  <c r="K649" i="7"/>
  <c r="F1438" i="7"/>
  <c r="G532" i="7"/>
  <c r="M322" i="7"/>
  <c r="F364" i="7"/>
  <c r="G904" i="7"/>
  <c r="L556" i="7"/>
  <c r="N323" i="7"/>
  <c r="G794" i="7"/>
  <c r="P1294" i="7"/>
  <c r="P450" i="7"/>
  <c r="I465" i="7"/>
  <c r="O598" i="7"/>
  <c r="I1136" i="7"/>
  <c r="M837" i="7"/>
  <c r="P843" i="7"/>
  <c r="M1080" i="7"/>
  <c r="M523" i="7"/>
  <c r="F1013" i="7"/>
  <c r="P253" i="7"/>
  <c r="G484" i="7"/>
  <c r="H1246" i="7"/>
  <c r="H531" i="7"/>
  <c r="M513" i="7"/>
  <c r="P670" i="7"/>
  <c r="I854" i="7"/>
  <c r="I554" i="7"/>
  <c r="H699" i="7"/>
  <c r="L433" i="7"/>
  <c r="K299" i="7"/>
  <c r="N1195" i="7"/>
  <c r="S183" i="7"/>
  <c r="I1082" i="7"/>
  <c r="M1063" i="7"/>
  <c r="O494" i="7"/>
  <c r="N820" i="7"/>
  <c r="S405" i="7"/>
  <c r="H449" i="7"/>
  <c r="P738" i="7"/>
  <c r="M1207" i="7"/>
  <c r="M212" i="7"/>
  <c r="I608" i="7"/>
  <c r="N386" i="7"/>
  <c r="M570" i="7"/>
  <c r="H688" i="7"/>
  <c r="S781" i="7"/>
  <c r="I948" i="7"/>
  <c r="L628" i="7"/>
  <c r="P525" i="7"/>
  <c r="I923" i="7"/>
  <c r="N807" i="7"/>
  <c r="K618" i="7"/>
  <c r="N801" i="7"/>
  <c r="L645" i="7"/>
  <c r="L409" i="7"/>
  <c r="H689" i="7"/>
  <c r="L1177" i="7"/>
  <c r="F737" i="7"/>
  <c r="G1145" i="7"/>
  <c r="H1093" i="7"/>
  <c r="L1040" i="7"/>
  <c r="F1224" i="7"/>
  <c r="K928" i="7"/>
  <c r="P940" i="7"/>
  <c r="K1284" i="7"/>
  <c r="L992" i="7"/>
  <c r="O921" i="7"/>
  <c r="L910" i="7"/>
  <c r="H364" i="7"/>
  <c r="H1187" i="7"/>
  <c r="N1159" i="7"/>
  <c r="G863" i="7"/>
  <c r="S1346" i="7"/>
  <c r="O888" i="7"/>
  <c r="K1097" i="7"/>
  <c r="G831" i="7"/>
  <c r="H1003" i="7"/>
  <c r="F1249" i="7"/>
  <c r="H877" i="7"/>
  <c r="S398" i="7"/>
  <c r="I623" i="7"/>
  <c r="L347" i="7"/>
  <c r="L472" i="7"/>
  <c r="K1114" i="7"/>
  <c r="N1210" i="7"/>
  <c r="S1292" i="7"/>
  <c r="P1267" i="7"/>
  <c r="S858" i="7"/>
  <c r="K1195" i="7"/>
  <c r="O1122" i="7"/>
  <c r="N983" i="7"/>
  <c r="M846" i="7"/>
  <c r="O974" i="7"/>
  <c r="H1095" i="7"/>
  <c r="P691" i="7"/>
  <c r="O557" i="7"/>
  <c r="K807" i="7"/>
  <c r="N1235" i="7"/>
  <c r="P1093" i="7"/>
  <c r="G758" i="7"/>
  <c r="H1007" i="7"/>
  <c r="O854" i="7"/>
  <c r="M937" i="7"/>
  <c r="S1125" i="7"/>
  <c r="I809" i="7"/>
  <c r="S869" i="7"/>
  <c r="G1326" i="7"/>
  <c r="F641" i="7"/>
  <c r="O770" i="7"/>
  <c r="F1319" i="7"/>
  <c r="L369" i="7"/>
  <c r="L666" i="7"/>
  <c r="K1280" i="7"/>
  <c r="I759" i="7"/>
  <c r="I889" i="7"/>
  <c r="P757" i="7"/>
  <c r="G687" i="7"/>
  <c r="I1013" i="7"/>
  <c r="N1209" i="7"/>
  <c r="I1151" i="7"/>
  <c r="P1209" i="7"/>
  <c r="G644" i="7"/>
  <c r="I845" i="7"/>
  <c r="K1148" i="7"/>
  <c r="H734" i="7"/>
  <c r="F941" i="7"/>
  <c r="N768" i="7"/>
  <c r="N1300" i="7"/>
  <c r="L993" i="7"/>
  <c r="M1178" i="7"/>
  <c r="P1329" i="7"/>
  <c r="N829" i="7"/>
  <c r="G1187" i="7"/>
  <c r="N952" i="7"/>
  <c r="L1110" i="7"/>
  <c r="N943" i="7"/>
  <c r="P807" i="7"/>
  <c r="G610" i="7"/>
  <c r="G688" i="7"/>
  <c r="S718" i="7"/>
  <c r="K639" i="7"/>
  <c r="N1139" i="7"/>
  <c r="N856" i="7"/>
  <c r="N791" i="7"/>
  <c r="N870" i="7"/>
  <c r="I681" i="7"/>
  <c r="L1277" i="7"/>
  <c r="S1128" i="7"/>
  <c r="O657" i="7"/>
  <c r="N1242" i="7"/>
  <c r="O731" i="7"/>
  <c r="F476" i="7"/>
  <c r="K974" i="7"/>
  <c r="S731" i="7"/>
  <c r="O609" i="7"/>
  <c r="K946" i="7"/>
  <c r="S1222" i="7"/>
  <c r="L426" i="7"/>
  <c r="G620" i="7"/>
  <c r="N421" i="7"/>
  <c r="K655" i="7"/>
  <c r="P1020" i="7"/>
  <c r="S641" i="7"/>
  <c r="O645" i="7"/>
  <c r="L1049" i="7"/>
  <c r="S1011" i="7"/>
  <c r="S763" i="7"/>
  <c r="O906" i="7"/>
  <c r="N1001" i="7"/>
  <c r="F940" i="7"/>
  <c r="N1282" i="7"/>
  <c r="S665" i="7"/>
  <c r="G815" i="7"/>
  <c r="I857" i="7"/>
  <c r="G659" i="7"/>
  <c r="S772" i="7"/>
  <c r="I743" i="7"/>
  <c r="I596" i="7"/>
  <c r="L532" i="7"/>
  <c r="N491" i="7"/>
  <c r="I685" i="7"/>
  <c r="G1150" i="7"/>
  <c r="G906" i="7"/>
  <c r="N771" i="7"/>
  <c r="N220" i="7"/>
  <c r="F879" i="7"/>
  <c r="G557" i="7"/>
  <c r="S1305" i="7"/>
  <c r="K968" i="7"/>
  <c r="P506" i="7"/>
  <c r="L931" i="7"/>
  <c r="F815" i="7"/>
  <c r="P401" i="7"/>
  <c r="K790" i="7"/>
  <c r="O840" i="7"/>
  <c r="I591" i="7"/>
  <c r="O434" i="7"/>
  <c r="S1217" i="7"/>
  <c r="S426" i="7"/>
  <c r="K1292" i="7"/>
  <c r="P1083" i="7"/>
  <c r="S1046" i="7"/>
  <c r="L1105" i="7"/>
  <c r="M351" i="7"/>
  <c r="L550" i="7"/>
  <c r="L331" i="7"/>
  <c r="L676" i="7"/>
  <c r="F1259" i="7"/>
  <c r="G1101" i="7"/>
  <c r="M574" i="7"/>
  <c r="L397" i="7"/>
  <c r="P392" i="7"/>
  <c r="M439" i="7"/>
  <c r="M658" i="7"/>
  <c r="I1107" i="7"/>
  <c r="G1002" i="7"/>
  <c r="G556" i="7"/>
  <c r="S849" i="7"/>
  <c r="P794" i="7"/>
  <c r="I1314" i="7"/>
  <c r="O519" i="7"/>
  <c r="N418" i="7"/>
  <c r="S766" i="7"/>
  <c r="F613" i="7"/>
  <c r="I288" i="7"/>
  <c r="K529" i="7"/>
  <c r="L681" i="7"/>
  <c r="L1066" i="7"/>
  <c r="P687" i="7"/>
  <c r="F1239" i="7"/>
  <c r="P1277" i="7"/>
  <c r="M289" i="7"/>
  <c r="P971" i="7"/>
  <c r="O1159" i="7"/>
  <c r="N635" i="7"/>
  <c r="P1082" i="7"/>
  <c r="S468" i="7"/>
  <c r="M842" i="7"/>
  <c r="H957" i="7"/>
  <c r="K1165" i="7"/>
  <c r="P586" i="7"/>
  <c r="S727" i="7"/>
  <c r="N825" i="7"/>
  <c r="H489" i="7"/>
  <c r="S370" i="7"/>
  <c r="L215" i="7"/>
  <c r="F1238" i="7"/>
  <c r="S214" i="7"/>
  <c r="S118" i="7"/>
  <c r="L538" i="7"/>
  <c r="I995" i="7"/>
  <c r="M1280" i="7"/>
  <c r="O569" i="7"/>
  <c r="G765" i="7"/>
  <c r="F912" i="7"/>
  <c r="F616" i="7"/>
  <c r="S403" i="7"/>
  <c r="L1004" i="7"/>
  <c r="L995" i="7"/>
  <c r="F584" i="7"/>
  <c r="O421" i="7"/>
  <c r="S1043" i="7"/>
  <c r="O636" i="7"/>
  <c r="H1121" i="7"/>
  <c r="L304" i="7"/>
  <c r="G738" i="7"/>
  <c r="K904" i="7"/>
  <c r="S1139" i="7"/>
  <c r="O1272" i="7"/>
  <c r="H530" i="7"/>
  <c r="P342" i="7"/>
  <c r="S1121" i="7"/>
  <c r="M453" i="7"/>
  <c r="S386" i="7"/>
  <c r="I560" i="7"/>
  <c r="I475" i="7"/>
  <c r="G504" i="7"/>
  <c r="H300" i="7"/>
  <c r="P198" i="7"/>
  <c r="H779" i="7"/>
  <c r="P801" i="7"/>
  <c r="N644" i="7"/>
  <c r="L535" i="7"/>
  <c r="G359" i="7"/>
  <c r="O758" i="7"/>
  <c r="H766" i="7"/>
  <c r="I684" i="7"/>
  <c r="F727" i="7"/>
  <c r="F1439" i="7"/>
  <c r="M1074" i="7"/>
  <c r="N874" i="7"/>
  <c r="G488" i="7"/>
  <c r="L442" i="7"/>
  <c r="F1201" i="7"/>
  <c r="N678" i="7"/>
  <c r="M992" i="7"/>
  <c r="N763" i="7"/>
  <c r="S1003" i="7"/>
  <c r="L1104" i="7"/>
  <c r="I1119" i="7"/>
  <c r="F758" i="7"/>
  <c r="I1046" i="7"/>
  <c r="G449" i="7"/>
  <c r="O1200" i="7"/>
  <c r="G551" i="7"/>
  <c r="M1209" i="7"/>
  <c r="O580" i="7"/>
  <c r="S1214" i="7"/>
  <c r="M1055" i="7"/>
  <c r="P825" i="7"/>
  <c r="P602" i="7"/>
  <c r="K765" i="7"/>
  <c r="O805" i="7"/>
  <c r="K1196" i="7"/>
  <c r="H1040" i="7"/>
  <c r="K1200" i="7"/>
  <c r="H977" i="7"/>
  <c r="M912" i="7"/>
  <c r="K890" i="7"/>
  <c r="M688" i="7"/>
  <c r="H1136" i="7"/>
  <c r="I1251" i="7"/>
  <c r="S1009" i="7"/>
  <c r="F532" i="7"/>
  <c r="O1098" i="7"/>
  <c r="L950" i="7"/>
  <c r="L976" i="7"/>
  <c r="G746" i="7"/>
  <c r="F674" i="7"/>
  <c r="S714" i="7"/>
  <c r="O1242" i="7"/>
  <c r="G1334" i="7"/>
  <c r="S679" i="7"/>
  <c r="O939" i="7"/>
  <c r="F1181" i="7"/>
  <c r="G671" i="7"/>
  <c r="K1171" i="7"/>
  <c r="K729" i="7"/>
  <c r="H978" i="7"/>
  <c r="G1156" i="7"/>
  <c r="K1063" i="7"/>
  <c r="F645" i="7"/>
  <c r="K1192" i="7"/>
  <c r="O901" i="7"/>
  <c r="M678" i="7"/>
  <c r="M1071" i="7"/>
  <c r="H1173" i="7"/>
  <c r="H778" i="7"/>
  <c r="F830" i="7"/>
  <c r="G1066" i="7"/>
  <c r="F1287" i="7"/>
  <c r="K1218" i="7"/>
  <c r="F475" i="7"/>
  <c r="H475" i="7"/>
  <c r="O1211" i="7"/>
  <c r="G937" i="7"/>
  <c r="F1258" i="7"/>
  <c r="G1479" i="7"/>
  <c r="N499" i="7"/>
  <c r="G1248" i="7"/>
  <c r="H950" i="7"/>
  <c r="P806" i="7"/>
  <c r="I946" i="7"/>
  <c r="P906" i="7"/>
  <c r="K854" i="7"/>
  <c r="O766" i="7"/>
  <c r="N972" i="7"/>
  <c r="G1060" i="7"/>
  <c r="K617" i="7"/>
  <c r="G780" i="7"/>
  <c r="S760" i="7"/>
  <c r="S899" i="7"/>
  <c r="H916" i="7"/>
  <c r="G1022" i="7"/>
  <c r="O778" i="7"/>
  <c r="H1064" i="7"/>
  <c r="L1080" i="7"/>
  <c r="O673" i="7"/>
  <c r="K1013" i="7"/>
  <c r="N1105" i="7"/>
  <c r="K347" i="7"/>
  <c r="L882" i="7"/>
  <c r="F963" i="7"/>
  <c r="N1097" i="7"/>
  <c r="G1253" i="7"/>
  <c r="I1094" i="7"/>
  <c r="K1187" i="7"/>
  <c r="S931" i="7"/>
  <c r="F1290" i="7"/>
  <c r="N1089" i="7"/>
  <c r="O987" i="7"/>
  <c r="L1164" i="7"/>
  <c r="N1284" i="7"/>
  <c r="O890" i="7"/>
  <c r="N1124" i="7"/>
  <c r="I346" i="7"/>
  <c r="I607" i="7"/>
  <c r="L883" i="7"/>
  <c r="O1127" i="7"/>
  <c r="F1110" i="7"/>
  <c r="S761" i="7"/>
  <c r="N1175" i="7"/>
  <c r="G1224" i="7"/>
  <c r="N1419" i="7"/>
  <c r="P1190" i="7"/>
  <c r="F1135" i="7"/>
  <c r="P765" i="7"/>
  <c r="K977" i="7"/>
  <c r="K1020" i="7"/>
  <c r="K1328" i="7"/>
  <c r="N1102" i="7"/>
  <c r="S1216" i="7"/>
  <c r="P818" i="7"/>
  <c r="L801" i="7"/>
  <c r="F1164" i="7"/>
  <c r="N958" i="7"/>
  <c r="P653" i="7"/>
  <c r="O671" i="7"/>
  <c r="N975" i="7"/>
  <c r="I1164" i="7"/>
  <c r="H1304" i="7"/>
  <c r="G1195" i="7"/>
  <c r="S985" i="7"/>
  <c r="K1003" i="7"/>
  <c r="S842" i="7"/>
  <c r="O613" i="7"/>
  <c r="I890" i="7"/>
  <c r="G1141" i="7"/>
  <c r="P742" i="7"/>
  <c r="S1302" i="7"/>
  <c r="O305" i="7"/>
  <c r="I1153" i="7"/>
  <c r="M392" i="7"/>
  <c r="F845" i="7"/>
  <c r="I185" i="7"/>
  <c r="M1118" i="7"/>
  <c r="G971" i="7"/>
  <c r="P829" i="7"/>
  <c r="O551" i="7"/>
  <c r="O513" i="7"/>
  <c r="M845" i="7"/>
  <c r="O537" i="7"/>
  <c r="G929" i="7"/>
  <c r="N689" i="7"/>
  <c r="P1237" i="7"/>
  <c r="N463" i="7"/>
  <c r="L662" i="7"/>
  <c r="O1094" i="7"/>
  <c r="K1094" i="7"/>
  <c r="S200" i="7"/>
  <c r="G1205" i="7"/>
  <c r="P1270" i="7"/>
  <c r="N378" i="7"/>
  <c r="L589" i="7"/>
  <c r="F1043" i="7"/>
  <c r="H751" i="7"/>
  <c r="K796" i="7"/>
  <c r="L438" i="7"/>
  <c r="O848" i="7"/>
  <c r="S596" i="7"/>
  <c r="O307" i="7"/>
  <c r="G347" i="7"/>
  <c r="H240" i="7"/>
  <c r="O968" i="7"/>
  <c r="L1242" i="7"/>
  <c r="N1272" i="7"/>
  <c r="H651" i="7"/>
  <c r="H603" i="7"/>
  <c r="G655" i="7"/>
  <c r="I938" i="7"/>
  <c r="K1081" i="7"/>
  <c r="M476" i="7"/>
  <c r="S871" i="7"/>
  <c r="N437" i="7"/>
  <c r="I1093" i="7"/>
  <c r="G394" i="7"/>
  <c r="F1066" i="7"/>
  <c r="G459" i="7"/>
  <c r="P445" i="7"/>
  <c r="I393" i="7"/>
  <c r="G317" i="7"/>
  <c r="P1103" i="7"/>
  <c r="P1240" i="7"/>
  <c r="O1101" i="7"/>
  <c r="N1036" i="7"/>
  <c r="I191" i="7"/>
  <c r="S1040" i="7"/>
  <c r="P295" i="7"/>
  <c r="M1145" i="7"/>
  <c r="L281" i="7"/>
  <c r="S229" i="7"/>
  <c r="F386" i="7"/>
  <c r="H221" i="7"/>
  <c r="S459" i="7"/>
  <c r="M1309" i="7"/>
  <c r="S404" i="7"/>
  <c r="O394" i="7"/>
  <c r="G535" i="7"/>
  <c r="L1118" i="7"/>
  <c r="I272" i="7"/>
  <c r="N1044" i="7"/>
  <c r="S579" i="7"/>
  <c r="O351" i="7"/>
  <c r="N439" i="7"/>
  <c r="S1195" i="7"/>
  <c r="I721" i="7"/>
  <c r="N1181" i="7"/>
  <c r="P202" i="7"/>
  <c r="N883" i="7"/>
  <c r="H830" i="7"/>
  <c r="H1114" i="7"/>
  <c r="G230" i="7"/>
  <c r="O958" i="7"/>
  <c r="O601" i="7"/>
  <c r="O396" i="7"/>
  <c r="F293" i="7"/>
  <c r="I602" i="7"/>
  <c r="F1191" i="7"/>
  <c r="H399" i="7"/>
  <c r="F655" i="7"/>
  <c r="H920" i="7"/>
  <c r="M1253" i="7"/>
  <c r="F942" i="7"/>
  <c r="F818" i="7"/>
  <c r="L603" i="7"/>
  <c r="H548" i="7"/>
  <c r="I469" i="7"/>
  <c r="O795" i="7"/>
  <c r="L312" i="7"/>
  <c r="I594" i="7"/>
  <c r="H301" i="7"/>
  <c r="L398" i="7"/>
  <c r="N304" i="7"/>
  <c r="P232" i="7"/>
  <c r="G296" i="7"/>
  <c r="L1088" i="7"/>
  <c r="S1182" i="7"/>
  <c r="S877" i="7"/>
  <c r="P389" i="7"/>
  <c r="S327" i="7"/>
  <c r="M705" i="7"/>
  <c r="O800" i="7"/>
  <c r="H1091" i="7"/>
  <c r="P948" i="7"/>
  <c r="H682" i="7"/>
  <c r="K327" i="7"/>
  <c r="I455" i="7"/>
  <c r="F1198" i="7"/>
  <c r="N1326" i="7"/>
  <c r="O401" i="7"/>
  <c r="F278" i="7"/>
  <c r="O292" i="7"/>
  <c r="K812" i="7"/>
  <c r="F317" i="7"/>
  <c r="O543" i="7"/>
  <c r="M539" i="7"/>
  <c r="H1135" i="7"/>
  <c r="S235" i="7"/>
  <c r="S372" i="7"/>
  <c r="S840" i="7"/>
  <c r="H1062" i="7"/>
  <c r="S1356" i="7"/>
  <c r="N931" i="7"/>
  <c r="F1215" i="7"/>
  <c r="L1155" i="7"/>
  <c r="F409" i="7"/>
  <c r="L1318" i="7"/>
  <c r="P1031" i="7"/>
  <c r="P931" i="7"/>
  <c r="I1009" i="7"/>
  <c r="S740" i="7"/>
  <c r="I1127" i="7"/>
  <c r="H1059" i="7"/>
  <c r="L772" i="7"/>
  <c r="I1122" i="7"/>
  <c r="H849" i="7"/>
  <c r="N1164" i="7"/>
  <c r="I610" i="7"/>
  <c r="G1356" i="7"/>
  <c r="O904" i="7"/>
  <c r="H1310" i="7"/>
  <c r="H845" i="7"/>
  <c r="O626" i="7"/>
  <c r="S1303" i="7"/>
  <c r="K845" i="7"/>
  <c r="I1243" i="7"/>
  <c r="H1433" i="7"/>
  <c r="P1251" i="7"/>
  <c r="I832" i="7"/>
  <c r="L1013" i="7"/>
  <c r="L521" i="7"/>
  <c r="K1304" i="7"/>
  <c r="S1062" i="7"/>
  <c r="N412" i="7"/>
  <c r="P605" i="7"/>
  <c r="M1243" i="7"/>
  <c r="H771" i="7"/>
  <c r="M1250" i="7"/>
  <c r="F684" i="7"/>
  <c r="G824" i="7"/>
  <c r="H647" i="7"/>
  <c r="L1279" i="7"/>
  <c r="S1031" i="7"/>
  <c r="P876" i="7"/>
  <c r="N1059" i="7"/>
  <c r="N1110" i="7"/>
  <c r="I739" i="7"/>
  <c r="I905" i="7"/>
  <c r="O935" i="7"/>
  <c r="G1251" i="7"/>
  <c r="H1282" i="7"/>
  <c r="L639" i="7"/>
  <c r="O653" i="7"/>
  <c r="O1090" i="7"/>
  <c r="S653" i="7"/>
  <c r="P922" i="7"/>
  <c r="L1284" i="7"/>
  <c r="F839" i="7"/>
  <c r="S605" i="7"/>
  <c r="I748" i="7"/>
  <c r="O1264" i="7"/>
  <c r="M1124" i="7"/>
  <c r="N718" i="7"/>
  <c r="O1194" i="7"/>
  <c r="P721" i="7"/>
  <c r="O891" i="7"/>
  <c r="M1142" i="7"/>
  <c r="G682" i="7"/>
  <c r="P883" i="7"/>
  <c r="M809" i="7"/>
  <c r="S1034" i="7"/>
  <c r="H613" i="7"/>
  <c r="N805" i="7"/>
  <c r="N630" i="7"/>
  <c r="O973" i="7"/>
  <c r="I727" i="7"/>
  <c r="O1149" i="7"/>
  <c r="I657" i="7"/>
  <c r="K943" i="7"/>
  <c r="H1441" i="7"/>
  <c r="P1051" i="7"/>
  <c r="P678" i="7"/>
  <c r="H1170" i="7"/>
  <c r="L806" i="7"/>
  <c r="F892" i="7"/>
  <c r="P1154" i="7"/>
  <c r="G851" i="7"/>
  <c r="P610" i="7"/>
  <c r="F446" i="7"/>
  <c r="M1123" i="7"/>
  <c r="I1284" i="7"/>
  <c r="N683" i="7"/>
  <c r="G1299" i="7"/>
  <c r="F1276" i="7"/>
  <c r="H1138" i="7"/>
  <c r="L1134" i="7"/>
  <c r="P1182" i="7"/>
  <c r="N654" i="7"/>
  <c r="G806" i="7"/>
  <c r="M1223" i="7"/>
  <c r="F995" i="7"/>
  <c r="S701" i="7"/>
  <c r="F786" i="7"/>
  <c r="H1090" i="7"/>
  <c r="O801" i="7"/>
  <c r="F789" i="7"/>
  <c r="H484" i="7"/>
  <c r="H1369" i="7"/>
  <c r="S862" i="7"/>
  <c r="P1247" i="7"/>
  <c r="L1310" i="7"/>
  <c r="L366" i="7"/>
  <c r="K838" i="7"/>
  <c r="G672" i="7"/>
  <c r="N690" i="7"/>
  <c r="M743" i="7"/>
  <c r="M1105" i="7"/>
  <c r="O940" i="7"/>
  <c r="L800" i="7"/>
  <c r="O1033" i="7"/>
  <c r="K644" i="7"/>
  <c r="L984" i="7"/>
  <c r="M724" i="7"/>
  <c r="H932" i="7"/>
  <c r="L759" i="7"/>
  <c r="S463" i="7"/>
  <c r="M1172" i="7"/>
  <c r="K1294" i="7"/>
  <c r="I1149" i="7"/>
  <c r="I993" i="7"/>
  <c r="F1292" i="7"/>
  <c r="H1277" i="7"/>
  <c r="O1317" i="7"/>
  <c r="L192" i="7"/>
  <c r="L718" i="7"/>
  <c r="L470" i="7"/>
  <c r="N760" i="7"/>
  <c r="K864" i="7"/>
  <c r="G566" i="7"/>
  <c r="O785" i="7"/>
  <c r="S548" i="7"/>
  <c r="N1213" i="7"/>
  <c r="G583" i="7"/>
  <c r="M506" i="7"/>
  <c r="P662" i="7"/>
  <c r="N457" i="7"/>
  <c r="S477" i="7"/>
  <c r="S1206" i="7"/>
  <c r="F843" i="7"/>
  <c r="O1304" i="7"/>
  <c r="S429" i="7"/>
  <c r="P360" i="7"/>
  <c r="M1312" i="7"/>
  <c r="P1094" i="7"/>
  <c r="S480" i="7"/>
  <c r="H759" i="7"/>
  <c r="L1248" i="7"/>
  <c r="S933" i="7"/>
  <c r="F637" i="7"/>
  <c r="G492" i="7"/>
  <c r="O712" i="7"/>
  <c r="I397" i="7"/>
  <c r="L1146" i="7"/>
  <c r="I797" i="7"/>
  <c r="H645" i="7"/>
  <c r="P388" i="7"/>
  <c r="K604" i="7"/>
  <c r="M843" i="7"/>
  <c r="N903" i="7"/>
  <c r="F1044" i="7"/>
  <c r="F282" i="7"/>
  <c r="G544" i="7"/>
  <c r="S487" i="7"/>
  <c r="M1249" i="7"/>
  <c r="I911" i="7"/>
  <c r="S351" i="7"/>
  <c r="H1055" i="7"/>
  <c r="L842" i="7"/>
  <c r="G421" i="7"/>
  <c r="G372" i="7"/>
  <c r="H715" i="7"/>
  <c r="P1310" i="7"/>
  <c r="H947" i="7"/>
  <c r="O902" i="7"/>
  <c r="P601" i="7"/>
  <c r="O920" i="7"/>
  <c r="O995" i="7"/>
  <c r="H621" i="7"/>
  <c r="G521" i="7"/>
  <c r="L1296" i="7"/>
  <c r="G811" i="7"/>
  <c r="G406" i="7"/>
  <c r="G795" i="7"/>
  <c r="P309" i="7"/>
  <c r="M602" i="7"/>
  <c r="H429" i="7"/>
  <c r="F1051" i="7"/>
  <c r="P1087" i="7"/>
  <c r="I192" i="7"/>
  <c r="G1147" i="7"/>
  <c r="L298" i="7"/>
  <c r="O919" i="7"/>
  <c r="F434" i="7"/>
  <c r="F864" i="7"/>
  <c r="G1023" i="7"/>
  <c r="G1102" i="7"/>
  <c r="F1195" i="7"/>
  <c r="L755" i="7"/>
  <c r="N880" i="7"/>
  <c r="K584" i="7"/>
  <c r="O792" i="7"/>
  <c r="K616" i="7"/>
  <c r="G350" i="7"/>
  <c r="H419" i="7"/>
  <c r="N1121" i="7"/>
  <c r="F391" i="7"/>
  <c r="M760" i="7"/>
  <c r="H757" i="7"/>
  <c r="O936" i="7"/>
  <c r="G707" i="7"/>
  <c r="F731" i="7"/>
  <c r="P1050" i="7"/>
  <c r="H574" i="7"/>
  <c r="N857" i="7"/>
  <c r="P746" i="7"/>
  <c r="F932" i="7"/>
  <c r="F1118" i="7"/>
  <c r="K1241" i="7"/>
  <c r="O529" i="7"/>
  <c r="S1304" i="7"/>
  <c r="M766" i="7"/>
  <c r="G1059" i="7"/>
  <c r="N396" i="7"/>
  <c r="L769" i="7"/>
  <c r="L399" i="7"/>
  <c r="G931" i="7"/>
  <c r="F423" i="7"/>
  <c r="N1066" i="7"/>
  <c r="K522" i="7"/>
  <c r="P346" i="7"/>
  <c r="N1026" i="7"/>
  <c r="S430" i="7"/>
  <c r="K323" i="7"/>
  <c r="F426" i="7"/>
  <c r="S1164" i="7"/>
  <c r="H529" i="7"/>
  <c r="K224" i="7"/>
  <c r="H508" i="7"/>
  <c r="P462" i="7"/>
  <c r="F597" i="7"/>
  <c r="P356" i="7"/>
  <c r="P650" i="7"/>
  <c r="L1074" i="7"/>
  <c r="O312" i="7"/>
  <c r="I458" i="7"/>
  <c r="G446" i="7"/>
  <c r="O1091" i="7"/>
  <c r="I712" i="7"/>
  <c r="K1293" i="7"/>
  <c r="G502" i="7"/>
  <c r="P666" i="7"/>
  <c r="M891" i="7"/>
  <c r="S1279" i="7"/>
  <c r="F1045" i="7"/>
  <c r="P1217" i="7"/>
  <c r="S1309" i="7"/>
  <c r="H1234" i="7"/>
  <c r="K1392" i="7"/>
  <c r="L1094" i="7"/>
  <c r="O1018" i="7"/>
  <c r="N846" i="7"/>
  <c r="H430" i="7"/>
  <c r="P1178" i="7"/>
  <c r="H1303" i="7"/>
  <c r="F671" i="7"/>
  <c r="H366" i="7"/>
  <c r="O960" i="7"/>
  <c r="P706" i="7"/>
  <c r="N1260" i="7"/>
  <c r="N999" i="7"/>
  <c r="H1205" i="7"/>
  <c r="O698" i="7"/>
  <c r="G983" i="7"/>
  <c r="G1152" i="7"/>
  <c r="L739" i="7"/>
  <c r="L1172" i="7"/>
  <c r="S803" i="7"/>
  <c r="L526" i="7"/>
  <c r="I1188" i="7"/>
  <c r="O1288" i="7"/>
  <c r="O644" i="7"/>
  <c r="I1217" i="7"/>
  <c r="O1182" i="7"/>
  <c r="G881" i="7"/>
  <c r="H694" i="7"/>
  <c r="H1081" i="7"/>
  <c r="P885" i="7"/>
  <c r="I978" i="7"/>
  <c r="P1275" i="7"/>
  <c r="G734" i="7"/>
  <c r="L523" i="7"/>
  <c r="I1196" i="7"/>
  <c r="G1005" i="7"/>
  <c r="G842" i="7"/>
  <c r="L1181" i="7"/>
  <c r="O808" i="7"/>
  <c r="I1167" i="7"/>
  <c r="M1037" i="7"/>
  <c r="N1312" i="7"/>
  <c r="F1024" i="7"/>
  <c r="M681" i="7"/>
  <c r="I986" i="7"/>
  <c r="G900" i="7"/>
  <c r="I875" i="7"/>
  <c r="H768" i="7"/>
  <c r="O884" i="7"/>
  <c r="N734" i="7"/>
  <c r="K322" i="7"/>
  <c r="F666" i="7"/>
  <c r="O877" i="7"/>
  <c r="O614" i="7"/>
  <c r="M1051" i="7"/>
  <c r="H679" i="7"/>
  <c r="P1145" i="7"/>
  <c r="I869" i="7"/>
  <c r="H1001" i="7"/>
  <c r="G1173" i="7"/>
  <c r="P966" i="7"/>
  <c r="I840" i="7"/>
  <c r="K581" i="7"/>
  <c r="G518" i="7"/>
  <c r="S742" i="7"/>
  <c r="O1111" i="7"/>
  <c r="O1273" i="7"/>
  <c r="O631" i="7"/>
  <c r="G658" i="7"/>
  <c r="M790" i="7"/>
  <c r="K941" i="7"/>
  <c r="F1162" i="7"/>
  <c r="P960" i="7"/>
  <c r="O1208" i="7"/>
  <c r="N941" i="7"/>
  <c r="O610" i="7"/>
  <c r="P845" i="7"/>
  <c r="O350" i="7"/>
  <c r="O1292" i="7"/>
  <c r="L784" i="7"/>
  <c r="F1167" i="7"/>
  <c r="I1290" i="7"/>
  <c r="H1276" i="7"/>
  <c r="M652" i="7"/>
  <c r="G664" i="7"/>
  <c r="F1275" i="7"/>
  <c r="M1110" i="7"/>
  <c r="M801" i="7"/>
  <c r="H422" i="7"/>
  <c r="H1155" i="7"/>
  <c r="F837" i="7"/>
  <c r="G832" i="7"/>
  <c r="S554" i="7"/>
  <c r="K642" i="7"/>
  <c r="N1286" i="7"/>
  <c r="O710" i="7"/>
  <c r="G1433" i="7"/>
  <c r="F627" i="7"/>
  <c r="M769" i="7"/>
  <c r="G1104" i="7"/>
  <c r="K614" i="7"/>
  <c r="K686" i="7"/>
  <c r="S1048" i="7"/>
  <c r="O1303" i="7"/>
  <c r="K1267" i="7"/>
  <c r="L1219" i="7"/>
  <c r="M433" i="7"/>
  <c r="P324" i="7"/>
  <c r="I1286" i="7"/>
  <c r="O843" i="7"/>
  <c r="P1043" i="7"/>
  <c r="S348" i="7"/>
  <c r="L406" i="7"/>
  <c r="N1056" i="7"/>
  <c r="F359" i="7"/>
  <c r="M1240" i="7"/>
  <c r="L402" i="7"/>
  <c r="L296" i="7"/>
  <c r="F492" i="7"/>
  <c r="K379" i="7"/>
  <c r="O1035" i="7"/>
  <c r="O526" i="7"/>
  <c r="G901" i="7"/>
  <c r="N469" i="7"/>
  <c r="H1182" i="7"/>
  <c r="N895" i="7"/>
  <c r="G916" i="7"/>
  <c r="H329" i="7"/>
  <c r="F321" i="7"/>
  <c r="I372" i="7"/>
  <c r="I864" i="7"/>
  <c r="G932" i="7"/>
  <c r="P334" i="7"/>
  <c r="O487" i="7"/>
  <c r="P560" i="7"/>
  <c r="F1301" i="7"/>
  <c r="P1055" i="7"/>
  <c r="G749" i="7"/>
  <c r="N1082" i="7"/>
  <c r="O873" i="7"/>
  <c r="M739" i="7"/>
  <c r="G575" i="7"/>
  <c r="S452" i="7"/>
  <c r="P192" i="7"/>
  <c r="H289" i="7"/>
  <c r="O344" i="7"/>
  <c r="I1195" i="7"/>
  <c r="M858" i="7"/>
  <c r="H1004" i="7"/>
  <c r="N471" i="7"/>
  <c r="O1328" i="7"/>
  <c r="I745" i="7"/>
  <c r="M1136" i="7"/>
  <c r="L294" i="7"/>
  <c r="G198" i="7"/>
  <c r="L1245" i="7"/>
  <c r="N948" i="7"/>
  <c r="L585" i="7"/>
  <c r="O204" i="7"/>
  <c r="N1046" i="7"/>
  <c r="K745" i="7"/>
  <c r="K420" i="7"/>
  <c r="K998" i="7"/>
  <c r="S512" i="7"/>
  <c r="I1323" i="7"/>
  <c r="L744" i="7"/>
  <c r="M941" i="7"/>
  <c r="K685" i="7"/>
  <c r="P1037" i="7"/>
  <c r="S384" i="7"/>
  <c r="H1087" i="7"/>
  <c r="S484" i="7"/>
  <c r="M763" i="7"/>
  <c r="I758" i="7"/>
  <c r="H465" i="7"/>
  <c r="G1026" i="7"/>
  <c r="G396" i="7"/>
  <c r="L735" i="7"/>
  <c r="I873" i="7"/>
  <c r="S795" i="7"/>
  <c r="K326" i="7"/>
  <c r="P803" i="7"/>
  <c r="O128" i="7"/>
  <c r="N726" i="7"/>
  <c r="K1071" i="7"/>
  <c r="K773" i="7"/>
  <c r="G730" i="7"/>
  <c r="I588" i="7"/>
  <c r="G589" i="7"/>
  <c r="O1258" i="7"/>
  <c r="G581" i="7"/>
  <c r="G867" i="7"/>
  <c r="P988" i="7"/>
  <c r="K714" i="7"/>
  <c r="K478" i="7"/>
  <c r="I306" i="7"/>
  <c r="N794" i="7"/>
  <c r="S817" i="7"/>
  <c r="I1282" i="7"/>
  <c r="L1043" i="7"/>
  <c r="O603" i="7"/>
  <c r="S549" i="7"/>
  <c r="I297" i="7"/>
  <c r="L232" i="7"/>
  <c r="P1299" i="7"/>
  <c r="H722" i="7"/>
  <c r="N901" i="7"/>
  <c r="L559" i="7"/>
  <c r="O410" i="7"/>
  <c r="F403" i="7"/>
  <c r="G612" i="7"/>
  <c r="H287" i="7"/>
  <c r="G1303" i="7"/>
  <c r="G1323" i="7"/>
  <c r="I777" i="7"/>
  <c r="H691" i="7"/>
  <c r="N1263" i="7"/>
  <c r="M906" i="7"/>
  <c r="P539" i="7"/>
  <c r="M1298" i="7"/>
  <c r="K803" i="7"/>
  <c r="G464" i="7"/>
  <c r="H562" i="7"/>
  <c r="F788" i="7"/>
  <c r="M207" i="7"/>
  <c r="P1000" i="7"/>
  <c r="S301" i="7"/>
  <c r="S1380" i="7"/>
  <c r="O337" i="7"/>
  <c r="P254" i="7"/>
  <c r="O1228" i="7"/>
  <c r="P1159" i="7"/>
  <c r="O1212" i="7"/>
  <c r="H389" i="7"/>
  <c r="S518" i="7"/>
  <c r="G1273" i="7"/>
  <c r="H500" i="7"/>
  <c r="L590" i="7"/>
  <c r="G349" i="7"/>
  <c r="G501" i="7"/>
  <c r="G755" i="7"/>
  <c r="H1319" i="7"/>
  <c r="L537" i="7"/>
  <c r="H403" i="7"/>
  <c r="S1055" i="7"/>
  <c r="O1161" i="7"/>
  <c r="L958" i="7"/>
  <c r="F1039" i="7"/>
  <c r="H261" i="7"/>
  <c r="S978" i="7"/>
  <c r="N1055" i="7"/>
  <c r="G1105" i="7"/>
  <c r="H853" i="7"/>
  <c r="H1131" i="7"/>
  <c r="M783" i="7"/>
  <c r="N1281" i="7"/>
  <c r="N603" i="7"/>
  <c r="M859" i="7"/>
  <c r="M1015" i="7"/>
  <c r="O1235" i="7"/>
  <c r="N766" i="7"/>
  <c r="F994" i="7"/>
  <c r="S977" i="7"/>
  <c r="P457" i="7"/>
  <c r="H1288" i="7"/>
  <c r="N778" i="7"/>
  <c r="H915" i="7"/>
  <c r="P828" i="7"/>
  <c r="I922" i="7"/>
  <c r="H614" i="7"/>
  <c r="M857" i="7"/>
  <c r="M607" i="7"/>
  <c r="P1100" i="7"/>
  <c r="P983" i="7"/>
  <c r="M772" i="7"/>
  <c r="I916" i="7"/>
  <c r="O735" i="7"/>
  <c r="P915" i="7"/>
  <c r="M1228" i="7"/>
  <c r="H910" i="7"/>
  <c r="M1127" i="7"/>
  <c r="K888" i="7"/>
  <c r="S926" i="7"/>
  <c r="N393" i="7"/>
  <c r="M851" i="7"/>
  <c r="K772" i="7"/>
  <c r="I628" i="7"/>
  <c r="H1275" i="7"/>
  <c r="F1329" i="7"/>
  <c r="N868" i="7"/>
  <c r="S962" i="7"/>
  <c r="H580" i="7"/>
  <c r="M500" i="7"/>
  <c r="G1210" i="7"/>
  <c r="M1363" i="7"/>
  <c r="K1316" i="7"/>
  <c r="K1116" i="7"/>
  <c r="F904" i="7"/>
  <c r="N1091" i="7"/>
  <c r="H1162" i="7"/>
  <c r="I973" i="7"/>
  <c r="L708" i="7"/>
  <c r="L1258" i="7"/>
  <c r="G1081" i="7"/>
  <c r="O915" i="7"/>
  <c r="L393" i="7"/>
  <c r="O607" i="7"/>
  <c r="L1135" i="7"/>
  <c r="N840" i="7"/>
  <c r="O708" i="7"/>
  <c r="G1100" i="7"/>
  <c r="P737" i="7"/>
  <c r="N756" i="7"/>
  <c r="N1149" i="7"/>
  <c r="M742" i="7"/>
  <c r="L947" i="7"/>
  <c r="P764" i="7"/>
  <c r="G643" i="7"/>
  <c r="H427" i="7"/>
  <c r="P1067" i="7"/>
  <c r="L410" i="7"/>
  <c r="H588" i="7"/>
  <c r="K1167" i="7"/>
  <c r="P660" i="7"/>
  <c r="L740" i="7"/>
  <c r="S1116" i="7"/>
  <c r="F769" i="7"/>
  <c r="L953" i="7"/>
  <c r="F614" i="7"/>
  <c r="K688" i="7"/>
  <c r="K1091" i="7"/>
  <c r="L774" i="7"/>
  <c r="P1018" i="7"/>
  <c r="H670" i="7"/>
  <c r="M1251" i="7"/>
  <c r="G848" i="7"/>
  <c r="H992" i="7"/>
  <c r="G1009" i="7"/>
  <c r="F840" i="7"/>
  <c r="O1034" i="7"/>
  <c r="P1244" i="7"/>
  <c r="O1142" i="7"/>
  <c r="H1164" i="7"/>
  <c r="G1319" i="7"/>
  <c r="P743" i="7"/>
  <c r="N1357" i="7"/>
  <c r="G1282" i="7"/>
  <c r="K603" i="7"/>
  <c r="P708" i="7"/>
  <c r="O1215" i="7"/>
  <c r="N1137" i="7"/>
  <c r="G1072" i="7"/>
  <c r="L817" i="7"/>
  <c r="I855" i="7"/>
  <c r="I1162" i="7"/>
  <c r="L741" i="7"/>
  <c r="M973" i="7"/>
  <c r="I735" i="7"/>
  <c r="F1097" i="7"/>
  <c r="N442" i="7"/>
  <c r="S947" i="7"/>
  <c r="P1049" i="7"/>
  <c r="M301" i="7"/>
  <c r="F1289" i="7"/>
  <c r="M824" i="7"/>
  <c r="K1021" i="7"/>
  <c r="H1066" i="7"/>
  <c r="P624" i="7"/>
  <c r="N739" i="7"/>
  <c r="N527" i="7"/>
  <c r="F306" i="7"/>
  <c r="I971" i="7"/>
  <c r="P351" i="7"/>
  <c r="O642" i="7"/>
  <c r="S292" i="7"/>
  <c r="S1036" i="7"/>
  <c r="K411" i="7"/>
  <c r="I1159" i="7"/>
  <c r="N861" i="7"/>
  <c r="S769" i="7"/>
  <c r="P1127" i="7"/>
  <c r="M486" i="7"/>
  <c r="H1213" i="7"/>
  <c r="G613" i="7"/>
  <c r="P681" i="7"/>
  <c r="N365" i="7"/>
  <c r="L901" i="7"/>
  <c r="K288" i="7"/>
  <c r="L160" i="7"/>
  <c r="O1087" i="7"/>
  <c r="S957" i="7"/>
  <c r="P408" i="7"/>
  <c r="K1057" i="7"/>
  <c r="N515" i="7"/>
  <c r="N1239" i="7"/>
  <c r="O809" i="7"/>
  <c r="I519" i="7"/>
  <c r="H1237" i="7"/>
  <c r="H1301" i="7"/>
  <c r="P997" i="7"/>
  <c r="N462" i="7"/>
  <c r="G493" i="7"/>
  <c r="M1193" i="7"/>
  <c r="P528" i="7"/>
  <c r="H185" i="7"/>
  <c r="H793" i="7"/>
  <c r="F828" i="7"/>
  <c r="L998" i="7"/>
  <c r="N362" i="7"/>
  <c r="F398" i="7"/>
  <c r="G274" i="7"/>
  <c r="H1044" i="7"/>
  <c r="O535" i="7"/>
  <c r="K247" i="7"/>
  <c r="K403" i="7"/>
  <c r="O788" i="7"/>
  <c r="M519" i="7"/>
  <c r="H550" i="7"/>
  <c r="G266" i="7"/>
  <c r="N1290" i="7"/>
  <c r="G944" i="7"/>
  <c r="M823" i="7"/>
  <c r="G775" i="7"/>
  <c r="F325" i="7"/>
  <c r="I394" i="7"/>
  <c r="S420" i="7"/>
  <c r="G662" i="7"/>
  <c r="P426" i="7"/>
  <c r="N574" i="7"/>
  <c r="M256" i="7"/>
  <c r="S698" i="7"/>
  <c r="K578" i="7"/>
  <c r="K721" i="7"/>
  <c r="I1101" i="7"/>
  <c r="P642" i="7"/>
  <c r="G304" i="7"/>
  <c r="H401" i="7"/>
  <c r="H864" i="7"/>
  <c r="L1101" i="7"/>
  <c r="O963" i="7"/>
  <c r="P296" i="7"/>
  <c r="I1239" i="7"/>
  <c r="L375" i="7"/>
  <c r="G1277" i="7"/>
  <c r="S940" i="7"/>
  <c r="H298" i="7"/>
  <c r="L900" i="7"/>
  <c r="P1211" i="7"/>
  <c r="L1298" i="7"/>
  <c r="F1314" i="7"/>
  <c r="L680" i="7"/>
  <c r="P900" i="7"/>
  <c r="L1003" i="7"/>
  <c r="L685" i="7"/>
  <c r="K185" i="7"/>
  <c r="O570" i="7"/>
  <c r="I632" i="7"/>
  <c r="I343" i="7"/>
  <c r="N250" i="7"/>
  <c r="P682" i="7"/>
  <c r="N712" i="7"/>
  <c r="H1158" i="7"/>
  <c r="H834" i="7"/>
  <c r="S705" i="7"/>
  <c r="K521" i="7"/>
  <c r="K297" i="7"/>
  <c r="K600" i="7"/>
  <c r="O406" i="7"/>
  <c r="G369" i="7"/>
  <c r="K517" i="7"/>
  <c r="N1090" i="7"/>
  <c r="G289" i="7"/>
  <c r="F1288" i="7"/>
  <c r="L1295" i="7"/>
  <c r="K1314" i="7"/>
  <c r="N1206" i="7"/>
  <c r="G1084" i="7"/>
  <c r="I1273" i="7"/>
  <c r="N115" i="7"/>
  <c r="N1062" i="7"/>
  <c r="I566" i="7"/>
  <c r="F1209" i="7"/>
  <c r="F524" i="7"/>
  <c r="F566" i="7"/>
  <c r="O1214" i="7"/>
  <c r="L1061" i="7"/>
  <c r="L342" i="7"/>
  <c r="G1483" i="7"/>
  <c r="O602" i="7"/>
  <c r="F405" i="7"/>
  <c r="S433" i="7"/>
  <c r="I1034" i="7"/>
  <c r="F1206" i="7"/>
  <c r="P1110" i="7"/>
  <c r="M494" i="7"/>
  <c r="K889" i="7"/>
  <c r="O390" i="7"/>
  <c r="K671" i="7"/>
  <c r="N1118" i="7"/>
  <c r="I1172" i="7"/>
  <c r="K967" i="7"/>
  <c r="I496" i="7"/>
  <c r="F1152" i="7"/>
  <c r="F608" i="7"/>
  <c r="O1158" i="7"/>
  <c r="I1048" i="7"/>
  <c r="S1140" i="7"/>
  <c r="N969" i="7"/>
  <c r="O934" i="7"/>
  <c r="M1244" i="7"/>
  <c r="L1288" i="7"/>
  <c r="I1315" i="7"/>
  <c r="L638" i="7"/>
  <c r="L1125" i="7"/>
  <c r="G410" i="7"/>
  <c r="G841" i="7"/>
  <c r="G897" i="7"/>
  <c r="F891" i="7"/>
  <c r="P881" i="7"/>
  <c r="H721" i="7"/>
  <c r="G1234" i="7"/>
  <c r="O1329" i="7"/>
  <c r="M1212" i="7"/>
  <c r="N1073" i="7"/>
  <c r="N980" i="7"/>
  <c r="O1013" i="7"/>
  <c r="S787" i="7"/>
  <c r="G1037" i="7"/>
  <c r="I860" i="7"/>
  <c r="K572" i="7"/>
  <c r="N886" i="7"/>
  <c r="M558" i="7"/>
  <c r="H844" i="7"/>
  <c r="F1098" i="7"/>
  <c r="L1208" i="7"/>
  <c r="H1148" i="7"/>
  <c r="H741" i="7"/>
  <c r="I771" i="7"/>
  <c r="F604" i="7"/>
  <c r="I643" i="7"/>
  <c r="M1049" i="7"/>
  <c r="O918" i="7"/>
  <c r="G1040" i="7"/>
  <c r="H470" i="7"/>
  <c r="L771" i="7"/>
  <c r="K1162" i="7"/>
  <c r="N977" i="7"/>
  <c r="G785" i="7"/>
  <c r="K921" i="7"/>
  <c r="M660" i="7"/>
  <c r="K1002" i="7"/>
  <c r="I708" i="7"/>
  <c r="L1328" i="7"/>
  <c r="S892" i="7"/>
  <c r="L1053" i="7"/>
  <c r="F1067" i="7"/>
  <c r="N1162" i="7"/>
  <c r="S353" i="7"/>
  <c r="F834" i="7"/>
  <c r="S876" i="7"/>
  <c r="I900" i="7"/>
  <c r="M673" i="7"/>
  <c r="N1308" i="7"/>
  <c r="I1291" i="7"/>
  <c r="N1072" i="7"/>
  <c r="H700" i="7"/>
  <c r="O885" i="7"/>
  <c r="S1064" i="7"/>
  <c r="M922" i="7"/>
  <c r="I409" i="7"/>
  <c r="N613" i="7"/>
  <c r="N997" i="7"/>
  <c r="N1071" i="7"/>
  <c r="G990" i="7"/>
  <c r="L1096" i="7"/>
  <c r="F1155" i="7"/>
  <c r="P987" i="7"/>
  <c r="F1254" i="7"/>
  <c r="P1378" i="7"/>
  <c r="P855" i="7"/>
  <c r="H788" i="7"/>
  <c r="F978" i="7"/>
  <c r="L1152" i="7"/>
  <c r="O1083" i="7"/>
  <c r="S1165" i="7"/>
  <c r="P1184" i="7"/>
  <c r="K768" i="7"/>
  <c r="N1064" i="7"/>
  <c r="I1280" i="7"/>
  <c r="M700" i="7"/>
  <c r="H1219" i="7"/>
  <c r="M828" i="7"/>
  <c r="S1054" i="7"/>
  <c r="I896" i="7"/>
  <c r="N705" i="7"/>
  <c r="I1175" i="7"/>
  <c r="L686" i="7"/>
  <c r="F777" i="7"/>
  <c r="F397" i="7"/>
  <c r="I660" i="7"/>
  <c r="S972" i="7"/>
  <c r="I1326" i="7"/>
  <c r="F1063" i="7"/>
  <c r="G942" i="7"/>
  <c r="K1329" i="7"/>
  <c r="G1099" i="7"/>
  <c r="S1228" i="7"/>
  <c r="G1159" i="7"/>
  <c r="F838" i="7"/>
  <c r="H702" i="7"/>
  <c r="O955" i="7"/>
  <c r="P658" i="7"/>
  <c r="N1246" i="7"/>
  <c r="S1200" i="7"/>
  <c r="G915" i="7"/>
  <c r="P616" i="7"/>
  <c r="K1273" i="7"/>
  <c r="I768" i="7"/>
  <c r="N291" i="7"/>
  <c r="N885" i="7"/>
  <c r="N1244" i="7"/>
  <c r="K697" i="7"/>
  <c r="M632" i="7"/>
  <c r="S1071" i="7"/>
  <c r="L636" i="7"/>
  <c r="H774" i="7"/>
  <c r="M1182" i="7"/>
  <c r="L445" i="7"/>
  <c r="P366" i="7"/>
  <c r="H1292" i="7"/>
  <c r="F327" i="7"/>
  <c r="L310" i="7"/>
  <c r="M848" i="7"/>
  <c r="L1099" i="7"/>
  <c r="O750" i="7"/>
  <c r="H1185" i="7"/>
  <c r="O1118" i="7"/>
  <c r="N793" i="7"/>
  <c r="G1280" i="7"/>
  <c r="O803" i="7"/>
  <c r="L1035" i="7"/>
  <c r="F958" i="7"/>
  <c r="L731" i="7"/>
  <c r="F579" i="7"/>
  <c r="S400" i="7"/>
  <c r="F1075" i="7"/>
  <c r="N424" i="7"/>
  <c r="F1265" i="7"/>
  <c r="L702" i="7"/>
  <c r="F393" i="7"/>
  <c r="K607" i="7"/>
  <c r="M884" i="7"/>
  <c r="O327" i="7"/>
  <c r="S360" i="7"/>
  <c r="M471" i="7"/>
  <c r="L1037" i="7"/>
  <c r="I376" i="7"/>
  <c r="S650" i="7"/>
  <c r="L1028" i="7"/>
  <c r="K388" i="7"/>
  <c r="M710" i="7"/>
  <c r="P432" i="7"/>
  <c r="O1056" i="7"/>
  <c r="P372" i="7"/>
  <c r="K932" i="7"/>
  <c r="G712" i="7"/>
  <c r="H558" i="7"/>
  <c r="S846" i="7"/>
  <c r="M537" i="7"/>
  <c r="M916" i="7"/>
  <c r="S438" i="7"/>
  <c r="P377" i="7"/>
  <c r="I229" i="7"/>
  <c r="F491" i="7"/>
  <c r="M611" i="7"/>
  <c r="G427" i="7"/>
  <c r="K990" i="7"/>
  <c r="N863" i="7"/>
  <c r="O210" i="7"/>
  <c r="I944" i="7"/>
  <c r="S1237" i="7"/>
  <c r="N536" i="7"/>
  <c r="N501" i="7"/>
  <c r="S1067" i="7"/>
  <c r="M849" i="7"/>
  <c r="P712" i="7"/>
  <c r="F825" i="7"/>
  <c r="M1294" i="7"/>
  <c r="K472" i="7"/>
  <c r="G923" i="7"/>
  <c r="F368" i="7"/>
  <c r="M338" i="7"/>
  <c r="I1213" i="7"/>
  <c r="K843" i="7"/>
  <c r="I1322" i="7"/>
  <c r="O1162" i="7"/>
  <c r="N604" i="7"/>
  <c r="N1323" i="7"/>
  <c r="G354" i="7"/>
  <c r="H1072" i="7"/>
  <c r="G586" i="7"/>
  <c r="O678" i="7"/>
  <c r="H482" i="7"/>
  <c r="N797" i="7"/>
  <c r="H584" i="7"/>
  <c r="G573" i="7"/>
  <c r="O1319" i="7"/>
  <c r="H1241" i="7"/>
  <c r="P193" i="7"/>
  <c r="G705" i="7"/>
  <c r="K550" i="7"/>
  <c r="F377" i="7"/>
  <c r="K328" i="7"/>
  <c r="L565" i="7"/>
  <c r="K951" i="7"/>
  <c r="K473" i="7"/>
  <c r="L907" i="7"/>
  <c r="H681" i="7"/>
  <c r="K955" i="7"/>
  <c r="S428" i="7"/>
  <c r="L209" i="7"/>
  <c r="I482" i="7"/>
  <c r="H1289" i="7"/>
  <c r="I844" i="7"/>
  <c r="F537" i="7"/>
  <c r="G487" i="7"/>
  <c r="F1070" i="7"/>
  <c r="G605" i="7"/>
  <c r="I831" i="7"/>
  <c r="M427" i="7"/>
  <c r="G588" i="7"/>
  <c r="M406" i="7"/>
  <c r="K509" i="7"/>
  <c r="O423" i="7"/>
  <c r="O579" i="7"/>
  <c r="M965" i="7"/>
  <c r="P790" i="7"/>
  <c r="H486" i="7"/>
  <c r="H1042" i="7"/>
  <c r="M773" i="7"/>
  <c r="H1159" i="7"/>
  <c r="I1241" i="7"/>
  <c r="S1145" i="7"/>
  <c r="P540" i="7"/>
  <c r="M538" i="7"/>
  <c r="N666" i="7"/>
  <c r="I504" i="7"/>
  <c r="K559" i="7"/>
  <c r="F868" i="7"/>
  <c r="L780" i="7"/>
  <c r="L974" i="7"/>
  <c r="M781" i="7"/>
  <c r="O1270" i="7"/>
  <c r="K1289" i="7"/>
  <c r="G1043" i="7"/>
  <c r="K806" i="7"/>
  <c r="G852" i="7"/>
  <c r="H773" i="7"/>
  <c r="L1263" i="7"/>
  <c r="L379" i="7"/>
  <c r="O966" i="7"/>
  <c r="I792" i="7"/>
  <c r="K1008" i="7"/>
  <c r="I752" i="7"/>
  <c r="G1245" i="7"/>
  <c r="G837" i="7"/>
  <c r="S617" i="7"/>
  <c r="F527" i="7"/>
  <c r="H1096" i="7"/>
  <c r="L643" i="7"/>
  <c r="O311" i="7"/>
  <c r="G509" i="7"/>
  <c r="I740" i="7"/>
  <c r="O1198" i="7"/>
  <c r="O184" i="7"/>
  <c r="G534" i="7"/>
  <c r="K739" i="7"/>
  <c r="O496" i="7"/>
  <c r="K1245" i="7"/>
  <c r="L85" i="7"/>
  <c r="S550" i="7"/>
  <c r="O1255" i="7"/>
  <c r="F85" i="7"/>
  <c r="M138" i="7"/>
  <c r="P902" i="7"/>
  <c r="P378" i="7"/>
  <c r="S268" i="7"/>
  <c r="N214" i="7"/>
  <c r="P1118" i="7"/>
  <c r="P297" i="7"/>
  <c r="H1278" i="7"/>
  <c r="M321" i="7"/>
  <c r="K439" i="7"/>
  <c r="P422" i="7"/>
  <c r="N553" i="7"/>
  <c r="M232" i="7"/>
  <c r="P172" i="7"/>
  <c r="K519" i="7"/>
  <c r="P396" i="7"/>
  <c r="S401" i="7"/>
  <c r="F531" i="7"/>
  <c r="H532" i="7"/>
  <c r="F529" i="7"/>
  <c r="F400" i="7"/>
  <c r="P852" i="7"/>
  <c r="S489" i="7"/>
  <c r="I571" i="7"/>
  <c r="S621" i="7"/>
  <c r="K234" i="7"/>
  <c r="O79" i="7"/>
  <c r="K290" i="7"/>
  <c r="L239" i="7"/>
  <c r="O442" i="7"/>
  <c r="K455" i="7"/>
  <c r="F496" i="7"/>
  <c r="N224" i="7"/>
  <c r="F213" i="7"/>
  <c r="H335" i="7"/>
  <c r="H292" i="7"/>
  <c r="S571" i="7"/>
  <c r="G1003" i="7"/>
  <c r="S259" i="7"/>
  <c r="M492" i="7"/>
  <c r="K350" i="7"/>
  <c r="K249" i="7"/>
  <c r="F639" i="7"/>
  <c r="N312" i="7"/>
  <c r="O832" i="7"/>
  <c r="F442" i="7"/>
  <c r="G302" i="7"/>
  <c r="G948" i="7"/>
  <c r="P229" i="7"/>
  <c r="G968" i="7"/>
  <c r="I1124" i="7"/>
  <c r="S1261" i="7"/>
  <c r="H733" i="7"/>
  <c r="F264" i="7"/>
  <c r="G334" i="7"/>
  <c r="G276" i="7"/>
  <c r="P1287" i="7"/>
  <c r="I581" i="7"/>
  <c r="P130" i="7"/>
  <c r="K536" i="7"/>
  <c r="K200" i="7"/>
  <c r="P152" i="7"/>
  <c r="S632" i="7"/>
  <c r="I1092" i="7"/>
  <c r="I289" i="7"/>
  <c r="G211" i="7"/>
  <c r="M458" i="7"/>
  <c r="F557" i="7"/>
  <c r="F506" i="7"/>
  <c r="H142" i="7"/>
  <c r="K381" i="7"/>
  <c r="L601" i="7"/>
  <c r="M195" i="7"/>
  <c r="H254" i="7"/>
  <c r="I311" i="7"/>
  <c r="L86" i="7"/>
  <c r="L198" i="7"/>
  <c r="L276" i="7"/>
  <c r="M946" i="7"/>
  <c r="L1062" i="7"/>
  <c r="F291" i="7"/>
  <c r="G603" i="7"/>
  <c r="S565" i="7"/>
  <c r="N581" i="7"/>
  <c r="P1090" i="7"/>
  <c r="O319" i="7"/>
  <c r="F347" i="7"/>
  <c r="L437" i="7"/>
  <c r="O136" i="7"/>
  <c r="P639" i="7"/>
  <c r="N486" i="7"/>
  <c r="O398" i="7"/>
  <c r="M337" i="7"/>
  <c r="H1082" i="7"/>
  <c r="O449" i="7"/>
  <c r="N354" i="7"/>
  <c r="M431" i="7"/>
  <c r="L391" i="7"/>
  <c r="O475" i="7"/>
  <c r="H800" i="7"/>
  <c r="G86" i="7"/>
  <c r="F105" i="7"/>
  <c r="M209" i="7"/>
  <c r="L512" i="7"/>
  <c r="L542" i="7"/>
  <c r="F318" i="7"/>
  <c r="G668" i="7"/>
  <c r="M342" i="7"/>
  <c r="M398" i="7"/>
  <c r="F432" i="7"/>
  <c r="P473" i="7"/>
  <c r="S1323" i="7"/>
  <c r="L267" i="7"/>
  <c r="O372" i="7"/>
  <c r="N464" i="7"/>
  <c r="N310" i="7"/>
  <c r="G585" i="7"/>
  <c r="L682" i="7"/>
  <c r="F553" i="7"/>
  <c r="P331" i="7"/>
  <c r="F973" i="7"/>
  <c r="L1241" i="7"/>
  <c r="N1050" i="7"/>
  <c r="G439" i="7"/>
  <c r="L338" i="7"/>
  <c r="M721" i="7"/>
  <c r="H556" i="7"/>
  <c r="K112" i="7"/>
  <c r="I326" i="7"/>
  <c r="G1127" i="7"/>
  <c r="N595" i="7"/>
  <c r="M326" i="7"/>
  <c r="O1171" i="7"/>
  <c r="I157" i="7"/>
  <c r="P726" i="7"/>
  <c r="G1085" i="7"/>
  <c r="F1122" i="7"/>
  <c r="H596" i="7"/>
  <c r="I196" i="7"/>
  <c r="I373" i="7"/>
  <c r="P129" i="7"/>
  <c r="S266" i="7"/>
  <c r="K640" i="7"/>
  <c r="F498" i="7"/>
  <c r="H408" i="7"/>
  <c r="H141" i="7"/>
  <c r="I459" i="7"/>
  <c r="P89" i="7"/>
  <c r="H443" i="7"/>
  <c r="S1172" i="7"/>
  <c r="K1146" i="7"/>
  <c r="K423" i="7"/>
  <c r="H1000" i="7"/>
  <c r="K457" i="7"/>
  <c r="I165" i="7"/>
  <c r="O240" i="7"/>
  <c r="G432" i="7"/>
  <c r="O380" i="7"/>
  <c r="M300" i="7"/>
  <c r="M240" i="7"/>
  <c r="H676" i="7"/>
  <c r="O817" i="7"/>
  <c r="F926" i="7"/>
  <c r="P195" i="7"/>
  <c r="L114" i="7"/>
  <c r="L477" i="7"/>
  <c r="G214" i="7"/>
  <c r="G903" i="7"/>
  <c r="L99" i="7"/>
  <c r="F217" i="7"/>
  <c r="O600" i="7"/>
  <c r="M738" i="7"/>
  <c r="H110" i="7"/>
  <c r="G128" i="7"/>
  <c r="F147" i="7"/>
  <c r="L968" i="7"/>
  <c r="I1028" i="7"/>
  <c r="M873" i="7"/>
  <c r="F137" i="7"/>
  <c r="M119" i="7"/>
  <c r="S120" i="7"/>
  <c r="S170" i="7"/>
  <c r="F431" i="7"/>
  <c r="P155" i="7"/>
  <c r="L251" i="7"/>
  <c r="L395" i="7"/>
  <c r="P329" i="7"/>
  <c r="F256" i="7"/>
  <c r="L264" i="7"/>
  <c r="P1283" i="7"/>
  <c r="P562" i="7"/>
  <c r="P200" i="7"/>
  <c r="S595" i="7"/>
  <c r="K539" i="7"/>
  <c r="M246" i="7"/>
  <c r="I129" i="7"/>
  <c r="I506" i="7"/>
  <c r="S102" i="7"/>
  <c r="G817" i="7"/>
  <c r="F94" i="7"/>
  <c r="S216" i="7"/>
  <c r="N90" i="7"/>
  <c r="K366" i="7"/>
  <c r="P390" i="7"/>
  <c r="S336" i="7"/>
  <c r="P411" i="7"/>
  <c r="H282" i="7"/>
  <c r="K89" i="7"/>
  <c r="G135" i="7"/>
  <c r="H233" i="7"/>
  <c r="P565" i="7"/>
  <c r="I582" i="7"/>
  <c r="S99" i="7"/>
  <c r="F268" i="7"/>
  <c r="L203" i="7"/>
  <c r="G93" i="7"/>
  <c r="S427" i="7"/>
  <c r="I450" i="7"/>
  <c r="O366" i="7"/>
  <c r="P119" i="7"/>
  <c r="O479" i="7"/>
  <c r="G933" i="7"/>
  <c r="F225" i="7"/>
  <c r="O251" i="7"/>
  <c r="L516" i="7"/>
  <c r="I510" i="7"/>
  <c r="G800" i="7"/>
  <c r="H341" i="7"/>
  <c r="S354" i="7"/>
  <c r="S308" i="7"/>
  <c r="G255" i="7"/>
  <c r="O505" i="7"/>
  <c r="I565" i="7"/>
  <c r="F93" i="7"/>
  <c r="G165" i="7"/>
  <c r="P173" i="7"/>
  <c r="I145" i="7"/>
  <c r="P458" i="7"/>
  <c r="M141" i="7"/>
  <c r="N297" i="7"/>
  <c r="G147" i="7"/>
  <c r="K329" i="7"/>
  <c r="I405" i="7"/>
  <c r="S587" i="7"/>
  <c r="O538" i="7"/>
  <c r="P441" i="7"/>
  <c r="P154" i="7"/>
  <c r="O95" i="7"/>
  <c r="K176" i="7"/>
  <c r="G148" i="7"/>
  <c r="L599" i="7"/>
  <c r="P186" i="7"/>
  <c r="S161" i="7"/>
  <c r="G414" i="7"/>
  <c r="G323" i="7"/>
  <c r="I97" i="7"/>
  <c r="F233" i="7"/>
  <c r="L358" i="7"/>
  <c r="K117" i="7"/>
  <c r="G154" i="7"/>
  <c r="K155" i="7"/>
  <c r="P100" i="7"/>
  <c r="K150" i="7"/>
  <c r="S91" i="7"/>
  <c r="N286" i="7"/>
  <c r="G332" i="7"/>
  <c r="O483" i="7"/>
  <c r="S237" i="7"/>
  <c r="M308" i="7"/>
  <c r="N292" i="7"/>
  <c r="N77" i="7"/>
  <c r="G766" i="7"/>
  <c r="S86" i="7"/>
  <c r="I92" i="7"/>
  <c r="M229" i="7"/>
  <c r="P291" i="7"/>
  <c r="M444" i="7"/>
  <c r="L139" i="7"/>
  <c r="S230" i="7"/>
  <c r="F266" i="7"/>
  <c r="N303" i="7"/>
  <c r="F117" i="7"/>
  <c r="I128" i="7"/>
  <c r="K966" i="7"/>
  <c r="S251" i="7"/>
  <c r="F166" i="7"/>
  <c r="I593" i="7"/>
  <c r="G285" i="7"/>
  <c r="O674" i="7"/>
  <c r="O385" i="7"/>
  <c r="S104" i="7"/>
  <c r="O131" i="7"/>
  <c r="N270" i="7"/>
  <c r="H274" i="7"/>
  <c r="M245" i="7"/>
  <c r="K948" i="7"/>
  <c r="H607" i="7"/>
  <c r="F535" i="7"/>
  <c r="P756" i="7"/>
  <c r="M505" i="7"/>
  <c r="K442" i="7"/>
  <c r="M216" i="7"/>
  <c r="M111" i="7"/>
  <c r="S228" i="7"/>
  <c r="L108" i="7"/>
  <c r="S505" i="7"/>
  <c r="S144" i="7"/>
  <c r="F140" i="7"/>
  <c r="G249" i="7"/>
  <c r="G374" i="7"/>
  <c r="M1083" i="7"/>
  <c r="O267" i="7"/>
  <c r="S524" i="7"/>
  <c r="L284" i="7"/>
  <c r="K156" i="7"/>
  <c r="K131" i="7"/>
  <c r="H91" i="7"/>
  <c r="H134" i="7"/>
  <c r="L348" i="7"/>
  <c r="L129" i="7"/>
  <c r="K270" i="7"/>
  <c r="P116" i="7"/>
  <c r="N940" i="7"/>
  <c r="H200" i="7"/>
  <c r="L793" i="7"/>
  <c r="O276" i="7"/>
  <c r="G514" i="7"/>
  <c r="M595" i="7"/>
  <c r="K225" i="7"/>
  <c r="N314" i="7"/>
  <c r="M100" i="7"/>
  <c r="O566" i="7"/>
  <c r="S124" i="7"/>
  <c r="G336" i="7"/>
  <c r="P276" i="7"/>
  <c r="I382" i="7"/>
  <c r="M582" i="7"/>
  <c r="S317" i="7"/>
  <c r="S510" i="7"/>
  <c r="O745" i="7"/>
  <c r="P698" i="7"/>
  <c r="F853" i="7"/>
  <c r="S863" i="7"/>
  <c r="F925" i="7"/>
  <c r="K489" i="7"/>
  <c r="F214" i="7"/>
  <c r="G604" i="7"/>
  <c r="M1202" i="7"/>
  <c r="P963" i="7"/>
  <c r="O383" i="7"/>
  <c r="H620" i="7"/>
  <c r="I271" i="7"/>
  <c r="G600" i="7"/>
  <c r="O1207" i="7"/>
  <c r="M450" i="7"/>
  <c r="L444" i="7"/>
  <c r="M77" i="7"/>
  <c r="O170" i="7"/>
  <c r="L530" i="7"/>
  <c r="H425" i="7"/>
  <c r="L380" i="7"/>
  <c r="H444" i="7"/>
  <c r="M533" i="7"/>
  <c r="H137" i="7"/>
  <c r="N284" i="7"/>
  <c r="S341" i="7"/>
  <c r="G963" i="7"/>
  <c r="K1050" i="7"/>
  <c r="P561" i="7"/>
  <c r="F867" i="7"/>
  <c r="L699" i="7"/>
  <c r="N722" i="7"/>
  <c r="G107" i="7"/>
  <c r="F590" i="7"/>
  <c r="F562" i="7"/>
  <c r="F96" i="7"/>
  <c r="L180" i="7"/>
  <c r="K309" i="7"/>
  <c r="H525" i="7"/>
  <c r="I325" i="7"/>
  <c r="H355" i="7"/>
  <c r="L553" i="7"/>
  <c r="F1049" i="7"/>
  <c r="M585" i="7"/>
  <c r="M879" i="7"/>
  <c r="G407" i="7"/>
  <c r="F379" i="7"/>
  <c r="S526" i="7"/>
  <c r="O462" i="7"/>
  <c r="L509" i="7"/>
  <c r="N148" i="7"/>
  <c r="F419" i="7"/>
  <c r="L349" i="7"/>
  <c r="S456" i="7"/>
  <c r="S304" i="7"/>
  <c r="O384" i="7"/>
  <c r="O643" i="7"/>
  <c r="S320" i="7"/>
  <c r="P440" i="7"/>
  <c r="O333" i="7"/>
  <c r="F437" i="7"/>
  <c r="H514" i="7"/>
  <c r="P892" i="7"/>
  <c r="L274" i="7"/>
  <c r="K313" i="7"/>
  <c r="N466" i="7"/>
  <c r="H504" i="7"/>
  <c r="H358" i="7"/>
  <c r="H130" i="7"/>
  <c r="L278" i="7"/>
  <c r="K466" i="7"/>
  <c r="M545" i="7"/>
  <c r="N926" i="7"/>
  <c r="S263" i="7"/>
  <c r="S592" i="7"/>
  <c r="N195" i="7"/>
  <c r="H83" i="7"/>
  <c r="N1184" i="7"/>
  <c r="H981" i="7"/>
  <c r="M683" i="7"/>
  <c r="P188" i="7"/>
  <c r="H208" i="7"/>
  <c r="H339" i="7"/>
  <c r="H718" i="7"/>
  <c r="L1289" i="7"/>
  <c r="F1297" i="7"/>
  <c r="K1101" i="7"/>
  <c r="H402" i="7"/>
  <c r="G784" i="7"/>
  <c r="L454" i="7"/>
  <c r="H707" i="7"/>
  <c r="H250" i="7"/>
  <c r="K533" i="7"/>
  <c r="H405" i="7"/>
  <c r="K579" i="7"/>
  <c r="N336" i="7"/>
  <c r="L469" i="7"/>
  <c r="P1317" i="7"/>
  <c r="O345" i="7"/>
  <c r="H469" i="7"/>
  <c r="L555" i="7"/>
  <c r="H731" i="7"/>
  <c r="K530" i="7"/>
  <c r="H273" i="7"/>
  <c r="P361" i="7"/>
  <c r="F1149" i="7"/>
  <c r="M1119" i="7"/>
  <c r="F235" i="7"/>
  <c r="S88" i="7"/>
  <c r="M103" i="7"/>
  <c r="H477" i="7"/>
  <c r="F100" i="7"/>
  <c r="I223" i="7"/>
  <c r="O1043" i="7"/>
  <c r="N223" i="7"/>
  <c r="N364" i="7"/>
  <c r="L803" i="7"/>
  <c r="I359" i="7"/>
  <c r="H524" i="7"/>
  <c r="G423" i="7"/>
  <c r="I187" i="7"/>
  <c r="N212" i="7"/>
  <c r="I183" i="7"/>
  <c r="H104" i="7"/>
  <c r="N355" i="7"/>
  <c r="O75" i="7"/>
  <c r="N877" i="7"/>
  <c r="F1235" i="7"/>
  <c r="N266" i="7"/>
  <c r="P247" i="7"/>
  <c r="N447" i="7"/>
  <c r="P993" i="7"/>
  <c r="P138" i="7"/>
  <c r="N203" i="7"/>
  <c r="G639" i="7"/>
  <c r="I1317" i="7"/>
  <c r="N313" i="7"/>
  <c r="F251" i="7"/>
  <c r="L188" i="7"/>
  <c r="L549" i="7"/>
  <c r="K324" i="7"/>
  <c r="M929" i="7"/>
  <c r="O271" i="7"/>
  <c r="F511" i="7"/>
  <c r="O561" i="7"/>
  <c r="M670" i="7"/>
  <c r="S536" i="7"/>
  <c r="K570" i="7"/>
  <c r="H561" i="7"/>
  <c r="L423" i="7"/>
  <c r="I352" i="7"/>
  <c r="N428" i="7"/>
  <c r="N97" i="7"/>
  <c r="K545" i="7"/>
  <c r="F599" i="7"/>
  <c r="P1161" i="7"/>
  <c r="M1046" i="7"/>
  <c r="N837" i="7"/>
  <c r="N274" i="7"/>
  <c r="K513" i="7"/>
  <c r="M340" i="7"/>
  <c r="I550" i="7"/>
  <c r="K178" i="7"/>
  <c r="P369" i="7"/>
  <c r="F734" i="7"/>
  <c r="M328" i="7"/>
  <c r="M524" i="7"/>
  <c r="G102" i="7"/>
  <c r="G1013" i="7"/>
  <c r="H1050" i="7"/>
  <c r="F1277" i="7"/>
  <c r="G741" i="7"/>
  <c r="G401" i="7"/>
  <c r="P194" i="7"/>
  <c r="M297" i="7"/>
  <c r="S525" i="7"/>
  <c r="L1087" i="7"/>
  <c r="N305" i="7"/>
  <c r="H132" i="7"/>
  <c r="N563" i="7"/>
  <c r="H582" i="7"/>
  <c r="S202" i="7"/>
  <c r="P384" i="7"/>
  <c r="L448" i="7"/>
  <c r="S578" i="7"/>
  <c r="I877" i="7"/>
  <c r="O411" i="7"/>
  <c r="G129" i="7"/>
  <c r="O262" i="7"/>
  <c r="P117" i="7"/>
  <c r="I76" i="7"/>
  <c r="M358" i="7"/>
  <c r="K375" i="7"/>
  <c r="M129" i="7"/>
  <c r="K96" i="7"/>
  <c r="L455" i="7"/>
  <c r="K163" i="7"/>
  <c r="I1272" i="7"/>
  <c r="I1198" i="7"/>
  <c r="P136" i="7"/>
  <c r="K160" i="7"/>
  <c r="L270" i="7"/>
  <c r="F493" i="7"/>
  <c r="M361" i="7"/>
  <c r="I242" i="7"/>
  <c r="O215" i="7"/>
  <c r="F249" i="7"/>
  <c r="L592" i="7"/>
  <c r="L143" i="7"/>
  <c r="K882" i="7"/>
  <c r="M137" i="7"/>
  <c r="K355" i="7"/>
  <c r="P515" i="7"/>
  <c r="M430" i="7"/>
  <c r="G217" i="7"/>
  <c r="H255" i="7"/>
  <c r="K502" i="7"/>
  <c r="L152" i="7"/>
  <c r="M114" i="7"/>
  <c r="G525" i="7"/>
  <c r="O106" i="7"/>
  <c r="L282" i="7"/>
  <c r="P86" i="7"/>
  <c r="N397" i="7"/>
  <c r="P373" i="7"/>
  <c r="M470" i="7"/>
  <c r="H173" i="7"/>
  <c r="K245" i="7"/>
  <c r="P484" i="7"/>
  <c r="K142" i="7"/>
  <c r="G456" i="7"/>
  <c r="O129" i="7"/>
  <c r="S496" i="7"/>
  <c r="K543" i="7"/>
  <c r="H642" i="7"/>
  <c r="P551" i="7"/>
  <c r="H205" i="7"/>
  <c r="I253" i="7"/>
  <c r="K88" i="7"/>
  <c r="H202" i="7"/>
  <c r="O547" i="7"/>
  <c r="I461" i="7"/>
  <c r="M383" i="7"/>
  <c r="I164" i="7"/>
  <c r="P142" i="7"/>
  <c r="M323" i="7"/>
  <c r="I551" i="7"/>
  <c r="M198" i="7"/>
  <c r="I374" i="7"/>
  <c r="S540" i="7"/>
  <c r="P358" i="7"/>
  <c r="K205" i="7"/>
  <c r="I218" i="7"/>
  <c r="P84" i="7"/>
  <c r="H552" i="7"/>
  <c r="N308" i="7"/>
  <c r="G80" i="7"/>
  <c r="S355" i="7"/>
  <c r="F373" i="7"/>
  <c r="S440" i="7"/>
  <c r="O358" i="7"/>
  <c r="S109" i="7"/>
  <c r="S902" i="7"/>
  <c r="N146" i="7"/>
  <c r="F1025" i="7"/>
  <c r="S376" i="7"/>
  <c r="O448" i="7"/>
  <c r="M126" i="7"/>
  <c r="O651" i="7"/>
  <c r="G136" i="7"/>
  <c r="L273" i="7"/>
  <c r="K77" i="7"/>
  <c r="H201" i="7"/>
  <c r="M249" i="7"/>
  <c r="N390" i="7"/>
  <c r="G312" i="7"/>
  <c r="H227" i="7"/>
  <c r="S133" i="7"/>
  <c r="G422" i="7"/>
  <c r="G140" i="7"/>
  <c r="S206" i="7"/>
  <c r="I545" i="7"/>
  <c r="G118" i="7"/>
  <c r="S103" i="7"/>
  <c r="G78" i="7"/>
  <c r="H144" i="7"/>
  <c r="F159" i="7"/>
  <c r="F367" i="7"/>
  <c r="G124" i="7"/>
  <c r="L598" i="7"/>
  <c r="N392" i="7"/>
  <c r="M1150" i="7"/>
  <c r="F98" i="7"/>
  <c r="S326" i="7"/>
  <c r="K444" i="7"/>
  <c r="S435" i="7"/>
  <c r="I203" i="7"/>
  <c r="I172" i="7"/>
  <c r="K432" i="7"/>
  <c r="I273" i="7"/>
  <c r="N374" i="7"/>
  <c r="G549" i="7"/>
  <c r="F1060" i="7"/>
  <c r="G1294" i="7"/>
  <c r="P330" i="7"/>
  <c r="N543" i="7"/>
  <c r="K430" i="7"/>
  <c r="O488" i="7"/>
  <c r="O568" i="7"/>
  <c r="O209" i="7"/>
  <c r="P146" i="7"/>
  <c r="L368" i="7"/>
  <c r="G251" i="7"/>
  <c r="F145" i="7"/>
  <c r="N933" i="7"/>
  <c r="S150" i="7"/>
  <c r="F183" i="7"/>
  <c r="K494" i="7"/>
  <c r="K997" i="7"/>
  <c r="O140" i="7"/>
  <c r="G221" i="7"/>
  <c r="I379" i="7"/>
  <c r="F297" i="7"/>
  <c r="G543" i="7"/>
  <c r="F239" i="7"/>
  <c r="K331" i="7"/>
  <c r="M131" i="7"/>
  <c r="F95" i="7"/>
  <c r="I490" i="7"/>
  <c r="S111" i="7"/>
  <c r="O274" i="7"/>
  <c r="I236" i="7"/>
  <c r="F132" i="7"/>
  <c r="M279" i="7"/>
  <c r="M188" i="7"/>
  <c r="N379" i="7"/>
  <c r="F919" i="7"/>
  <c r="N179" i="7"/>
  <c r="H157" i="7"/>
  <c r="M543" i="7"/>
  <c r="M504" i="7"/>
  <c r="I252" i="7"/>
  <c r="H457" i="7"/>
  <c r="S362" i="7"/>
  <c r="N417" i="7"/>
  <c r="P271" i="7"/>
  <c r="S424" i="7"/>
  <c r="H125" i="7"/>
  <c r="H338" i="7"/>
  <c r="F485" i="7"/>
  <c r="K132" i="7"/>
  <c r="M176" i="7"/>
  <c r="G145" i="7"/>
  <c r="P135" i="7"/>
  <c r="P469" i="7"/>
  <c r="F289" i="7"/>
  <c r="F415" i="7"/>
  <c r="G240" i="7"/>
  <c r="F1071" i="7"/>
  <c r="N993" i="7"/>
  <c r="L489" i="7"/>
  <c r="I725" i="7"/>
  <c r="H1326" i="7"/>
  <c r="F1284" i="7"/>
  <c r="K689" i="7"/>
  <c r="I323" i="7"/>
  <c r="P977" i="7"/>
  <c r="M569" i="7"/>
  <c r="I756" i="7"/>
  <c r="L356" i="7"/>
  <c r="G1142" i="7"/>
  <c r="F922" i="7"/>
  <c r="S482" i="7"/>
  <c r="S570" i="7"/>
  <c r="G873" i="7"/>
  <c r="N275" i="7"/>
  <c r="M501" i="7"/>
  <c r="K204" i="7"/>
  <c r="M1157" i="7"/>
  <c r="L262" i="7"/>
  <c r="I98" i="7"/>
  <c r="N394" i="7"/>
  <c r="I333" i="7"/>
  <c r="O577" i="7"/>
  <c r="O103" i="7"/>
  <c r="L218" i="7"/>
  <c r="F176" i="7"/>
  <c r="P593" i="7"/>
  <c r="K580" i="7"/>
  <c r="K376" i="7"/>
  <c r="N332" i="7"/>
  <c r="L564" i="7"/>
  <c r="P347" i="7"/>
  <c r="P336" i="7"/>
  <c r="L242" i="7"/>
  <c r="I316" i="7"/>
  <c r="G233" i="7"/>
  <c r="S788" i="7"/>
  <c r="S281" i="7"/>
  <c r="I193" i="7"/>
  <c r="K357" i="7"/>
  <c r="I363" i="7"/>
  <c r="I380" i="7"/>
  <c r="F998" i="7"/>
  <c r="L730" i="7"/>
  <c r="S393" i="7"/>
  <c r="L621" i="7"/>
  <c r="P385" i="7"/>
  <c r="K475" i="7"/>
  <c r="I1022" i="7"/>
  <c r="G79" i="7"/>
  <c r="H311" i="7"/>
  <c r="K170" i="7"/>
  <c r="M153" i="7"/>
  <c r="P128" i="7"/>
  <c r="N472" i="7"/>
  <c r="G1209" i="7"/>
  <c r="K784" i="7"/>
  <c r="G314" i="7"/>
  <c r="O515" i="7"/>
  <c r="K635" i="7"/>
  <c r="I523" i="7"/>
  <c r="S441" i="7"/>
  <c r="N116" i="7"/>
  <c r="M318" i="7"/>
  <c r="N498" i="7"/>
  <c r="H437" i="7"/>
  <c r="S382" i="7"/>
  <c r="L668" i="7"/>
  <c r="H533" i="7"/>
  <c r="N443" i="7"/>
  <c r="N1283" i="7"/>
  <c r="F575" i="7"/>
  <c r="H911" i="7"/>
  <c r="O726" i="7"/>
  <c r="F401" i="7"/>
  <c r="I320" i="7"/>
  <c r="H220" i="7"/>
  <c r="G670" i="7"/>
  <c r="O516" i="7"/>
  <c r="F452" i="7"/>
  <c r="S310" i="7"/>
  <c r="G636" i="7"/>
  <c r="P191" i="7"/>
  <c r="O233" i="7"/>
  <c r="K349" i="7"/>
  <c r="H763" i="7"/>
  <c r="I344" i="7"/>
  <c r="L134" i="7"/>
  <c r="G409" i="7"/>
  <c r="I537" i="7"/>
  <c r="F473" i="7"/>
  <c r="I362" i="7"/>
  <c r="G194" i="7"/>
  <c r="S547" i="7"/>
  <c r="N1122" i="7"/>
  <c r="P1297" i="7"/>
  <c r="P115" i="7"/>
  <c r="G553" i="7"/>
  <c r="S491" i="7"/>
  <c r="H1026" i="7"/>
  <c r="K1235" i="7"/>
  <c r="H554" i="7"/>
  <c r="S790" i="7"/>
  <c r="H243" i="7"/>
  <c r="M370" i="7"/>
  <c r="N1033" i="7"/>
  <c r="G733" i="7"/>
  <c r="M432" i="7"/>
  <c r="M76" i="7"/>
  <c r="N190" i="7"/>
  <c r="K151" i="7"/>
  <c r="O223" i="7"/>
  <c r="M269" i="7"/>
  <c r="O1082" i="7"/>
  <c r="K229" i="7"/>
  <c r="M178" i="7"/>
  <c r="N465" i="7"/>
  <c r="S323" i="7"/>
  <c r="K208" i="7"/>
  <c r="K515" i="7"/>
  <c r="H420" i="7"/>
  <c r="I544" i="7"/>
  <c r="G207" i="7"/>
  <c r="M525" i="7"/>
  <c r="M310" i="7"/>
  <c r="L418" i="7"/>
  <c r="M426" i="7"/>
  <c r="F323" i="7"/>
  <c r="K372" i="7"/>
  <c r="P585" i="7"/>
  <c r="S739" i="7"/>
  <c r="L305" i="7"/>
  <c r="P397" i="7"/>
  <c r="K532" i="7"/>
  <c r="H165" i="7"/>
  <c r="N217" i="7"/>
  <c r="O399" i="7"/>
  <c r="H512" i="7"/>
  <c r="N532" i="7"/>
  <c r="O553" i="7"/>
  <c r="K165" i="7"/>
  <c r="P800" i="7"/>
  <c r="I309" i="7"/>
  <c r="F635" i="7"/>
  <c r="K361" i="7"/>
  <c r="O306" i="7"/>
  <c r="G380" i="7"/>
  <c r="S1175" i="7"/>
  <c r="I699" i="7"/>
  <c r="O347" i="7"/>
  <c r="I266" i="7"/>
  <c r="S422" i="7"/>
  <c r="N587" i="7"/>
  <c r="G471" i="7"/>
  <c r="K111" i="7"/>
  <c r="K601" i="7"/>
  <c r="L407" i="7"/>
  <c r="L614" i="7"/>
  <c r="G752" i="7"/>
  <c r="H541" i="7"/>
  <c r="L414" i="7"/>
  <c r="G96" i="7"/>
  <c r="N227" i="7"/>
  <c r="O294" i="7"/>
  <c r="I86" i="7"/>
  <c r="H345" i="7"/>
  <c r="L183" i="7"/>
  <c r="I500" i="7"/>
  <c r="S282" i="7"/>
  <c r="F439" i="7"/>
  <c r="K1152" i="7"/>
  <c r="M335" i="7"/>
  <c r="P607" i="7"/>
  <c r="L476" i="7"/>
  <c r="P595" i="7"/>
  <c r="H644" i="7"/>
  <c r="P1156" i="7"/>
  <c r="G286" i="7"/>
  <c r="O1178" i="7"/>
  <c r="L957" i="7"/>
  <c r="I285" i="7"/>
  <c r="I132" i="7"/>
  <c r="N142" i="7"/>
  <c r="M435" i="7"/>
  <c r="H511" i="7"/>
  <c r="N157" i="7"/>
  <c r="H501" i="7"/>
  <c r="H493" i="7"/>
  <c r="H106" i="7"/>
  <c r="L171" i="7"/>
  <c r="H271" i="7"/>
  <c r="P284" i="7"/>
  <c r="G498" i="7"/>
  <c r="L103" i="7"/>
  <c r="G278" i="7"/>
  <c r="N583" i="7"/>
  <c r="L248" i="7"/>
  <c r="H1146" i="7"/>
  <c r="O192" i="7"/>
  <c r="M183" i="7"/>
  <c r="M314" i="7"/>
  <c r="F258" i="7"/>
  <c r="L475" i="7"/>
  <c r="F124" i="7"/>
  <c r="M1036" i="7"/>
  <c r="F216" i="7"/>
  <c r="L159" i="7"/>
  <c r="I224" i="7"/>
  <c r="S406" i="7"/>
  <c r="O1039" i="7"/>
  <c r="S338" i="7"/>
  <c r="F262" i="7"/>
  <c r="N278" i="7"/>
  <c r="F84" i="7"/>
  <c r="H77" i="7"/>
  <c r="H177" i="7"/>
  <c r="K514" i="7"/>
  <c r="G254" i="7"/>
  <c r="P160" i="7"/>
  <c r="H1033" i="7"/>
  <c r="L199" i="7"/>
  <c r="I127" i="7"/>
  <c r="M98" i="7"/>
  <c r="L309" i="7"/>
  <c r="I577" i="7"/>
  <c r="K1104" i="7"/>
  <c r="N272" i="7"/>
  <c r="K80" i="7"/>
  <c r="S257" i="7"/>
  <c r="F539" i="7"/>
  <c r="F374" i="7"/>
  <c r="G222" i="7"/>
  <c r="G188" i="7"/>
  <c r="L245" i="7"/>
  <c r="G382" i="7"/>
  <c r="M113" i="7"/>
  <c r="L525" i="7"/>
  <c r="I552" i="7"/>
  <c r="G494" i="7"/>
  <c r="O517" i="7"/>
  <c r="I162" i="7"/>
  <c r="K342" i="7"/>
  <c r="O266" i="7"/>
  <c r="P81" i="7"/>
  <c r="P495" i="7"/>
  <c r="F172" i="7"/>
  <c r="S90" i="7"/>
  <c r="O343" i="7"/>
  <c r="G328" i="7"/>
  <c r="F474" i="7"/>
  <c r="S408" i="7"/>
  <c r="F375" i="7"/>
  <c r="P274" i="7"/>
  <c r="S1050" i="7"/>
  <c r="N216" i="7"/>
  <c r="I246" i="7"/>
  <c r="M175" i="7"/>
  <c r="L101" i="7"/>
  <c r="K368" i="7"/>
  <c r="S508" i="7"/>
  <c r="I151" i="7"/>
  <c r="N151" i="7"/>
  <c r="I502" i="7"/>
  <c r="O141" i="7"/>
  <c r="S122" i="7"/>
  <c r="K524" i="7"/>
  <c r="F661" i="7"/>
  <c r="P511" i="7"/>
  <c r="G170" i="7"/>
  <c r="K209" i="7"/>
  <c r="F151" i="7"/>
  <c r="H451" i="7"/>
  <c r="N855" i="7"/>
  <c r="H560" i="7"/>
  <c r="G279" i="7"/>
  <c r="P451" i="7"/>
  <c r="K135" i="7"/>
  <c r="L498" i="7"/>
  <c r="S275" i="7"/>
  <c r="I438" i="7"/>
  <c r="I531" i="7"/>
  <c r="M135" i="7"/>
  <c r="L165" i="7"/>
  <c r="P315" i="7"/>
  <c r="M147" i="7"/>
  <c r="H87" i="7"/>
  <c r="G268" i="7"/>
  <c r="H113" i="7"/>
  <c r="G258" i="7"/>
  <c r="H705" i="7"/>
  <c r="G478" i="7"/>
  <c r="N640" i="7"/>
  <c r="O576" i="7"/>
  <c r="I141" i="7"/>
  <c r="L254" i="7"/>
  <c r="F246" i="7"/>
  <c r="P553" i="7"/>
  <c r="G137" i="7"/>
  <c r="P203" i="7"/>
  <c r="S134" i="7"/>
  <c r="I270" i="7"/>
  <c r="L244" i="7"/>
  <c r="I87" i="7"/>
  <c r="P121" i="7"/>
  <c r="M95" i="7"/>
  <c r="L1206" i="7"/>
  <c r="F288" i="7"/>
  <c r="O1314" i="7"/>
  <c r="K106" i="7"/>
  <c r="O151" i="7"/>
  <c r="G218" i="7"/>
  <c r="I371" i="7"/>
  <c r="K884" i="7"/>
  <c r="N134" i="7"/>
  <c r="F555" i="7"/>
  <c r="K235" i="7"/>
  <c r="K694" i="7"/>
  <c r="M606" i="7"/>
  <c r="O520" i="7"/>
  <c r="L169" i="7"/>
  <c r="G152" i="7"/>
  <c r="G117" i="7"/>
  <c r="P464" i="7"/>
  <c r="O118" i="7"/>
  <c r="O469" i="7"/>
  <c r="H168" i="7"/>
  <c r="M1026" i="7"/>
  <c r="S165" i="7"/>
  <c r="P113" i="7"/>
  <c r="L78" i="7"/>
  <c r="O147" i="7"/>
  <c r="P258" i="7"/>
  <c r="K98" i="7"/>
  <c r="O595" i="7"/>
  <c r="P149" i="7"/>
  <c r="N256" i="7"/>
  <c r="M395" i="7"/>
  <c r="O245" i="7"/>
  <c r="L673" i="7"/>
  <c r="N161" i="7"/>
  <c r="M144" i="7"/>
  <c r="O257" i="7"/>
  <c r="N188" i="7"/>
  <c r="O203" i="7"/>
  <c r="H213" i="7"/>
  <c r="O368" i="7"/>
  <c r="L591" i="7"/>
  <c r="S114" i="7"/>
  <c r="O168" i="7"/>
  <c r="H182" i="7"/>
  <c r="H277" i="7"/>
  <c r="S561" i="7"/>
  <c r="F1272" i="7"/>
  <c r="F221" i="7"/>
  <c r="F390" i="7"/>
  <c r="P596" i="7"/>
  <c r="N150" i="7"/>
  <c r="K508" i="7"/>
  <c r="K437" i="7"/>
  <c r="P335" i="7"/>
  <c r="S768" i="7"/>
  <c r="M1154" i="7"/>
  <c r="O1230" i="7"/>
  <c r="I351" i="7"/>
  <c r="F1154" i="7"/>
  <c r="H296" i="7"/>
  <c r="F479" i="7"/>
  <c r="L570" i="7"/>
  <c r="L189" i="7"/>
  <c r="F449" i="7"/>
  <c r="N562" i="7"/>
  <c r="H445" i="7"/>
  <c r="M363" i="7"/>
  <c r="L446" i="7"/>
  <c r="F592" i="7"/>
  <c r="K583" i="7"/>
  <c r="H578" i="7"/>
  <c r="S804" i="7"/>
  <c r="M686" i="7"/>
  <c r="I574" i="7"/>
  <c r="G166" i="7"/>
  <c r="P773" i="7"/>
  <c r="L211" i="7"/>
  <c r="N231" i="7"/>
  <c r="I1152" i="7"/>
  <c r="P413" i="7"/>
  <c r="M512" i="7"/>
  <c r="N589" i="7"/>
  <c r="N833" i="7"/>
  <c r="L768" i="7"/>
  <c r="F556" i="7"/>
  <c r="N307" i="7"/>
  <c r="L773" i="7"/>
  <c r="M109" i="7"/>
  <c r="G595" i="7"/>
  <c r="P490" i="7"/>
  <c r="I443" i="7"/>
  <c r="L172" i="7"/>
  <c r="H570" i="7"/>
  <c r="H497" i="7"/>
  <c r="M206" i="7"/>
  <c r="M159" i="7"/>
  <c r="H299" i="7"/>
  <c r="O507" i="7"/>
  <c r="H984" i="7"/>
  <c r="K398" i="7"/>
  <c r="N232" i="7"/>
  <c r="H310" i="7"/>
  <c r="L311" i="7"/>
  <c r="O539" i="7"/>
  <c r="I342" i="7"/>
  <c r="O464" i="7"/>
  <c r="I399" i="7"/>
  <c r="S437" i="7"/>
  <c r="P257" i="7"/>
  <c r="M360" i="7"/>
  <c r="S655" i="7"/>
  <c r="O278" i="7"/>
  <c r="I447" i="7"/>
  <c r="H839" i="7"/>
  <c r="G1239" i="7"/>
  <c r="S205" i="7"/>
  <c r="I357" i="7"/>
  <c r="S234" i="7"/>
  <c r="M1000" i="7"/>
  <c r="F241" i="7"/>
  <c r="K718" i="7"/>
  <c r="M136" i="7"/>
  <c r="O556" i="7"/>
  <c r="N178" i="7"/>
  <c r="L319" i="7"/>
  <c r="G506" i="7"/>
  <c r="N787" i="7"/>
  <c r="F372" i="7"/>
  <c r="M636" i="7"/>
  <c r="L726" i="7"/>
  <c r="G180" i="7"/>
  <c r="H510" i="7"/>
  <c r="L386" i="7"/>
  <c r="G425" i="7"/>
  <c r="L997" i="7"/>
  <c r="G458" i="7"/>
  <c r="N342" i="7"/>
  <c r="I573" i="7"/>
  <c r="I870" i="7"/>
  <c r="H1235" i="7"/>
  <c r="G1047" i="7"/>
  <c r="O1124" i="7"/>
  <c r="P930" i="7"/>
  <c r="L966" i="7"/>
  <c r="P122" i="7"/>
  <c r="S211" i="7"/>
  <c r="S222" i="7"/>
  <c r="M339" i="7"/>
  <c r="S721" i="7"/>
  <c r="G235" i="7"/>
  <c r="K1189" i="7"/>
  <c r="K879" i="7"/>
  <c r="L909" i="7"/>
  <c r="I255" i="7"/>
  <c r="G870" i="7"/>
  <c r="G402" i="7"/>
  <c r="P407" i="7"/>
  <c r="I256" i="7"/>
  <c r="M542" i="7"/>
  <c r="N204" i="7"/>
  <c r="H147" i="7"/>
  <c r="O486" i="7"/>
  <c r="I385" i="7"/>
  <c r="F340" i="7"/>
  <c r="F870" i="7"/>
  <c r="I437" i="7"/>
  <c r="F567" i="7"/>
  <c r="M154" i="7"/>
  <c r="L1025" i="7"/>
  <c r="H587" i="7"/>
  <c r="N1241" i="7"/>
  <c r="H1244" i="7"/>
  <c r="F404" i="7"/>
  <c r="L120" i="7"/>
  <c r="L551" i="7"/>
  <c r="O360" i="7"/>
  <c r="G404" i="7"/>
  <c r="S238" i="7"/>
  <c r="G370" i="7"/>
  <c r="H206" i="7"/>
  <c r="O427" i="7"/>
  <c r="K434" i="7"/>
  <c r="N851" i="7"/>
  <c r="S380" i="7"/>
  <c r="N643" i="7"/>
  <c r="L877" i="7"/>
  <c r="F211" i="7"/>
  <c r="G431" i="7"/>
  <c r="O541" i="7"/>
  <c r="O200" i="7"/>
  <c r="L237" i="7"/>
  <c r="G390" i="7"/>
  <c r="I798" i="7"/>
  <c r="N570" i="7"/>
  <c r="O916" i="7"/>
  <c r="S108" i="7"/>
  <c r="S843" i="7"/>
  <c r="L122" i="7"/>
  <c r="N588" i="7"/>
  <c r="N505" i="7"/>
  <c r="P508" i="7"/>
  <c r="L431" i="7"/>
  <c r="I606" i="7"/>
  <c r="F461" i="7"/>
  <c r="O571" i="7"/>
  <c r="K318" i="7"/>
  <c r="I240" i="7"/>
  <c r="S141" i="7"/>
  <c r="M1313" i="7"/>
  <c r="L173" i="7"/>
  <c r="K320" i="7"/>
  <c r="P1158" i="7"/>
  <c r="F944" i="7"/>
  <c r="H1280" i="7"/>
  <c r="F1153" i="7"/>
  <c r="P234" i="7"/>
  <c r="F92" i="7"/>
  <c r="M252" i="7"/>
  <c r="S300" i="7"/>
  <c r="P110" i="7"/>
  <c r="H186" i="7"/>
  <c r="M218" i="7"/>
  <c r="N94" i="7"/>
  <c r="G210" i="7"/>
  <c r="O482" i="7"/>
  <c r="G1212" i="7"/>
  <c r="P501" i="7"/>
  <c r="S645" i="7"/>
  <c r="P275" i="7"/>
  <c r="N733" i="7"/>
  <c r="H223" i="7"/>
  <c r="I174" i="7"/>
  <c r="K705" i="7"/>
  <c r="F414" i="7"/>
  <c r="N535" i="7"/>
  <c r="O353" i="7"/>
  <c r="M315" i="7"/>
  <c r="M1215" i="7"/>
  <c r="L642" i="7"/>
  <c r="O926" i="7"/>
  <c r="M387" i="7"/>
  <c r="I470" i="7"/>
  <c r="S388" i="7"/>
  <c r="K546" i="7"/>
  <c r="M145" i="7"/>
  <c r="K367" i="7"/>
  <c r="O283" i="7"/>
  <c r="O145" i="7"/>
  <c r="S140" i="7"/>
  <c r="L80" i="7"/>
  <c r="K246" i="7"/>
  <c r="S243" i="7"/>
  <c r="G371" i="7"/>
  <c r="L1026" i="7"/>
  <c r="F378" i="7"/>
  <c r="O331" i="7"/>
  <c r="H683" i="7"/>
  <c r="M217" i="7"/>
  <c r="K496" i="7"/>
  <c r="S82" i="7"/>
  <c r="M527" i="7"/>
  <c r="G213" i="7"/>
  <c r="G122" i="7"/>
  <c r="I91" i="7"/>
  <c r="G172" i="7"/>
  <c r="K501" i="7"/>
  <c r="H507" i="7"/>
  <c r="P443" i="7"/>
  <c r="F380" i="7"/>
  <c r="P227" i="7"/>
  <c r="G341" i="7"/>
  <c r="O326" i="7"/>
  <c r="H264" i="7"/>
  <c r="F126" i="7"/>
  <c r="P341" i="7"/>
  <c r="O302" i="7"/>
  <c r="F468" i="7"/>
  <c r="F114" i="7"/>
  <c r="L790" i="7"/>
  <c r="G426" i="7"/>
  <c r="M193" i="7"/>
  <c r="G872" i="7"/>
  <c r="N140" i="7"/>
  <c r="P222" i="7"/>
  <c r="I358" i="7"/>
  <c r="L157" i="7"/>
  <c r="K562" i="7"/>
  <c r="L148" i="7"/>
  <c r="M172" i="7"/>
  <c r="M118" i="7"/>
  <c r="S110" i="7"/>
  <c r="H279" i="7"/>
  <c r="O1301" i="7"/>
  <c r="I1074" i="7"/>
  <c r="H527" i="7"/>
  <c r="H211" i="7"/>
  <c r="L98" i="7"/>
  <c r="S142" i="7"/>
  <c r="M473" i="7"/>
  <c r="P171" i="7"/>
  <c r="P83" i="7"/>
  <c r="N271" i="7"/>
  <c r="S196" i="7"/>
  <c r="M152" i="7"/>
  <c r="M451" i="7"/>
  <c r="F1104" i="7"/>
  <c r="I466" i="7"/>
  <c r="I189" i="7"/>
  <c r="I156" i="7"/>
  <c r="I152" i="7"/>
  <c r="P207" i="7"/>
  <c r="P162" i="7"/>
  <c r="N93" i="7"/>
  <c r="I542" i="7"/>
  <c r="F269" i="7"/>
  <c r="I117" i="7"/>
  <c r="K216" i="7"/>
  <c r="N490" i="7"/>
  <c r="N349" i="7"/>
  <c r="S442" i="7"/>
  <c r="F119" i="7"/>
  <c r="S582" i="7"/>
  <c r="K273" i="7"/>
  <c r="H368" i="7"/>
  <c r="H160" i="7"/>
  <c r="H640" i="7"/>
  <c r="H190" i="7"/>
  <c r="I505" i="7"/>
  <c r="F135" i="7"/>
  <c r="K488" i="7"/>
  <c r="M547" i="7"/>
  <c r="K190" i="7"/>
  <c r="L102" i="7"/>
  <c r="L577" i="7"/>
  <c r="I578" i="7"/>
  <c r="N103" i="7"/>
  <c r="G169" i="7"/>
  <c r="O157" i="7"/>
  <c r="O221" i="7"/>
  <c r="M411" i="7"/>
  <c r="L121" i="7"/>
  <c r="M1292" i="7"/>
  <c r="S523" i="7"/>
  <c r="H371" i="7"/>
  <c r="K574" i="7"/>
  <c r="K358" i="7"/>
  <c r="M596" i="7"/>
  <c r="I204" i="7"/>
  <c r="N315" i="7"/>
  <c r="N172" i="7"/>
  <c r="N1136" i="7"/>
  <c r="K283" i="7"/>
  <c r="S249" i="7"/>
  <c r="I779" i="7"/>
  <c r="L493" i="7"/>
  <c r="M287" i="7"/>
  <c r="L96" i="7"/>
  <c r="M276" i="7"/>
  <c r="S577" i="7"/>
  <c r="L505" i="7"/>
  <c r="I210" i="7"/>
  <c r="P343" i="7"/>
  <c r="N261" i="7"/>
  <c r="O282" i="7"/>
  <c r="L126" i="7"/>
  <c r="P283" i="7"/>
  <c r="S325" i="7"/>
  <c r="H123" i="7"/>
  <c r="N132" i="7"/>
  <c r="K174" i="7"/>
  <c r="P231" i="7"/>
  <c r="S329" i="7"/>
  <c r="O212" i="7"/>
  <c r="M752" i="7"/>
  <c r="M222" i="7"/>
  <c r="L527" i="7"/>
  <c r="I278" i="7"/>
  <c r="O341" i="7"/>
  <c r="L100" i="7"/>
  <c r="P204" i="7"/>
  <c r="P166" i="7"/>
  <c r="G594" i="7"/>
  <c r="K330" i="7"/>
  <c r="M82" i="7"/>
  <c r="F280" i="7"/>
  <c r="K184" i="7"/>
  <c r="O439" i="7"/>
  <c r="G238" i="7"/>
  <c r="I89" i="7"/>
  <c r="N383" i="7"/>
  <c r="O477" i="7"/>
  <c r="F309" i="7"/>
  <c r="H480" i="7"/>
  <c r="K171" i="7"/>
  <c r="I254" i="7"/>
  <c r="G130" i="7"/>
  <c r="P870" i="7"/>
  <c r="M290" i="7"/>
  <c r="L815" i="7"/>
  <c r="S948" i="7"/>
  <c r="O77" i="7"/>
  <c r="M93" i="7"/>
  <c r="I106" i="7"/>
  <c r="G562" i="7"/>
  <c r="P245" i="7"/>
  <c r="M503" i="7"/>
  <c r="M552" i="7"/>
  <c r="P213" i="7"/>
  <c r="L89" i="7"/>
  <c r="M158" i="7"/>
  <c r="H127" i="7"/>
  <c r="F102" i="7"/>
  <c r="S267" i="7"/>
  <c r="K636" i="7"/>
  <c r="P570" i="7"/>
  <c r="G327" i="7"/>
  <c r="H218" i="7"/>
  <c r="P613" i="7"/>
  <c r="O1188" i="7"/>
  <c r="S1104" i="7"/>
  <c r="S1290" i="7"/>
  <c r="K766" i="7"/>
  <c r="K356" i="7"/>
  <c r="O1287" i="7"/>
  <c r="K325" i="7"/>
  <c r="I968" i="7"/>
  <c r="I784" i="7"/>
  <c r="M482" i="7"/>
  <c r="P632" i="7"/>
  <c r="I317" i="7"/>
  <c r="M436" i="7"/>
  <c r="G781" i="7"/>
  <c r="H1046" i="7"/>
  <c r="G1128" i="7"/>
  <c r="O281" i="7"/>
  <c r="I178" i="7"/>
  <c r="L292" i="7"/>
  <c r="K1300" i="7"/>
  <c r="S335" i="7"/>
  <c r="L548" i="7"/>
  <c r="N230" i="7"/>
  <c r="L837" i="7"/>
  <c r="N551" i="7"/>
  <c r="P288" i="7"/>
  <c r="F234" i="7"/>
  <c r="K976" i="7"/>
  <c r="P844" i="7"/>
  <c r="O431" i="7"/>
  <c r="I997" i="7"/>
  <c r="P406" i="7"/>
  <c r="S597" i="7"/>
  <c r="S535" i="7"/>
  <c r="M587" i="7"/>
  <c r="K233" i="7"/>
  <c r="O232" i="7"/>
  <c r="H343" i="7"/>
  <c r="G1175" i="7"/>
  <c r="F229" i="7"/>
  <c r="K395" i="7"/>
  <c r="F810" i="7"/>
  <c r="H361" i="7"/>
  <c r="G768" i="7"/>
  <c r="L554" i="7"/>
  <c r="P1062" i="7"/>
  <c r="M143" i="7"/>
  <c r="N89" i="7"/>
  <c r="S606" i="7"/>
  <c r="H222" i="7"/>
  <c r="F598" i="7"/>
  <c r="P784" i="7"/>
  <c r="K424" i="7"/>
  <c r="L1191" i="7"/>
  <c r="M429" i="7"/>
  <c r="M354" i="7"/>
  <c r="O1003" i="7"/>
  <c r="H665" i="7"/>
  <c r="S248" i="7"/>
  <c r="O162" i="7"/>
  <c r="N884" i="7"/>
  <c r="H743" i="7"/>
  <c r="L150" i="7"/>
  <c r="I472" i="7"/>
  <c r="S589" i="7"/>
  <c r="O156" i="7"/>
  <c r="S217" i="7"/>
  <c r="N219" i="7"/>
  <c r="N1087" i="7"/>
  <c r="N520" i="7"/>
  <c r="S1178" i="7"/>
  <c r="F509" i="7"/>
  <c r="I1200" i="7"/>
  <c r="O120" i="7"/>
  <c r="M132" i="7"/>
  <c r="F169" i="7"/>
  <c r="I621" i="7"/>
  <c r="P303" i="7"/>
  <c r="I546" i="7"/>
  <c r="I579" i="7"/>
  <c r="O237" i="7"/>
  <c r="L967" i="7"/>
  <c r="K785" i="7"/>
  <c r="M967" i="7"/>
  <c r="L374" i="7"/>
  <c r="F334" i="7"/>
  <c r="H535" i="7"/>
  <c r="H1152" i="7"/>
  <c r="K157" i="7"/>
  <c r="M106" i="7"/>
  <c r="G391" i="7"/>
  <c r="K503" i="7"/>
  <c r="G490" i="7"/>
  <c r="S318" i="7"/>
  <c r="L308" i="7"/>
  <c r="F1074" i="7"/>
  <c r="I168" i="7"/>
  <c r="P301" i="7"/>
  <c r="K428" i="7"/>
  <c r="I794" i="7"/>
  <c r="L920" i="7"/>
  <c r="O586" i="7"/>
  <c r="O287" i="7"/>
  <c r="O592" i="7"/>
  <c r="I111" i="7"/>
  <c r="I80" i="7"/>
  <c r="F595" i="7"/>
  <c r="I839" i="7"/>
  <c r="S1000" i="7"/>
  <c r="N295" i="7"/>
  <c r="K386" i="7"/>
  <c r="G539" i="7"/>
  <c r="P1035" i="7"/>
  <c r="H973" i="7"/>
  <c r="F508" i="7"/>
  <c r="G499" i="7"/>
  <c r="L271" i="7"/>
  <c r="S175" i="7"/>
  <c r="G297" i="7"/>
  <c r="S699" i="7"/>
  <c r="P572" i="7"/>
  <c r="H472" i="7"/>
  <c r="M1195" i="7"/>
  <c r="K1105" i="7"/>
  <c r="S412" i="7"/>
  <c r="N302" i="7"/>
  <c r="K348" i="7"/>
  <c r="H837" i="7"/>
  <c r="K427" i="7"/>
  <c r="H1329" i="7"/>
  <c r="L390" i="7"/>
  <c r="G283" i="7"/>
  <c r="K1317" i="7"/>
  <c r="K407" i="7"/>
  <c r="N319" i="7"/>
  <c r="P522" i="7"/>
  <c r="L1150" i="7"/>
  <c r="N1245" i="7"/>
  <c r="H1037" i="7"/>
  <c r="N1261" i="7"/>
  <c r="G360" i="7"/>
  <c r="M748" i="7"/>
  <c r="O558" i="7"/>
  <c r="N919" i="7"/>
  <c r="N333" i="7"/>
  <c r="H360" i="7"/>
  <c r="L371" i="7"/>
  <c r="O84" i="7"/>
  <c r="K104" i="7"/>
  <c r="H794" i="7"/>
  <c r="G376" i="7"/>
  <c r="M1122" i="7"/>
  <c r="M341" i="7"/>
  <c r="O501" i="7"/>
  <c r="N661" i="7"/>
  <c r="K971" i="7"/>
  <c r="O1238" i="7"/>
  <c r="L684" i="7"/>
  <c r="L256" i="7"/>
  <c r="M330" i="7"/>
  <c r="K79" i="7"/>
  <c r="L661" i="7"/>
  <c r="I85" i="7"/>
  <c r="M599" i="7"/>
  <c r="I426" i="7"/>
  <c r="H385" i="7"/>
  <c r="P477" i="7"/>
  <c r="G597" i="7"/>
  <c r="G234" i="7"/>
  <c r="K855" i="7"/>
  <c r="P932" i="7"/>
  <c r="G292" i="7"/>
  <c r="S965" i="7"/>
  <c r="P1289" i="7"/>
  <c r="I184" i="7"/>
  <c r="O117" i="7"/>
  <c r="F1028" i="7"/>
  <c r="M1066" i="7"/>
  <c r="N335" i="7"/>
  <c r="I249" i="7"/>
  <c r="N454" i="7"/>
  <c r="K547" i="7"/>
  <c r="P1201" i="7"/>
  <c r="P179" i="7"/>
  <c r="L112" i="7"/>
  <c r="L93" i="7"/>
  <c r="O127" i="7"/>
  <c r="M381" i="7"/>
  <c r="G176" i="7"/>
  <c r="N99" i="7"/>
  <c r="N967" i="7"/>
  <c r="I83" i="7"/>
  <c r="L563" i="7"/>
  <c r="K477" i="7"/>
  <c r="F587" i="7"/>
  <c r="G185" i="7"/>
  <c r="H256" i="7"/>
  <c r="G212" i="7"/>
  <c r="S201" i="7"/>
  <c r="K78" i="7"/>
  <c r="H224" i="7"/>
  <c r="F101" i="7"/>
  <c r="N185" i="7"/>
  <c r="L422" i="7"/>
  <c r="L227" i="7"/>
  <c r="H545" i="7"/>
  <c r="O382" i="7"/>
  <c r="G590" i="7"/>
  <c r="L524" i="7"/>
  <c r="F204" i="7"/>
  <c r="S1101" i="7"/>
  <c r="M438" i="7"/>
  <c r="S359" i="7"/>
  <c r="I109" i="7"/>
  <c r="F200" i="7"/>
  <c r="S208" i="7"/>
  <c r="G190" i="7"/>
  <c r="I355" i="7"/>
  <c r="K419" i="7"/>
  <c r="N582" i="7"/>
  <c r="I422" i="7"/>
  <c r="H116" i="7"/>
  <c r="L127" i="7"/>
  <c r="S569" i="7"/>
  <c r="G324" i="7"/>
  <c r="L579" i="7"/>
  <c r="I541" i="7"/>
  <c r="P143" i="7"/>
  <c r="F146" i="7"/>
  <c r="G1272" i="7"/>
  <c r="N487" i="7"/>
  <c r="K123" i="7"/>
  <c r="L197" i="7"/>
  <c r="M97" i="7"/>
  <c r="N126" i="7"/>
  <c r="L170" i="7"/>
  <c r="O339" i="7"/>
  <c r="O480" i="7"/>
  <c r="N199" i="7"/>
  <c r="S250" i="7"/>
  <c r="S180" i="7"/>
  <c r="L116" i="7"/>
  <c r="H513" i="7"/>
  <c r="S139" i="7"/>
  <c r="L228" i="7"/>
  <c r="H78" i="7"/>
  <c r="S274" i="7"/>
  <c r="O395" i="7"/>
  <c r="O142" i="7"/>
  <c r="L428" i="7"/>
  <c r="I199" i="7"/>
  <c r="N441" i="7"/>
  <c r="I872" i="7"/>
  <c r="O144" i="7"/>
  <c r="N205" i="7"/>
  <c r="G227" i="7"/>
  <c r="G284" i="7"/>
  <c r="S1056" i="7"/>
  <c r="G231" i="7"/>
  <c r="G115" i="7"/>
  <c r="N485" i="7"/>
  <c r="L130" i="7"/>
  <c r="S278" i="7"/>
  <c r="L182" i="7"/>
  <c r="I825" i="7"/>
  <c r="L424" i="7"/>
  <c r="F257" i="7"/>
  <c r="M173" i="7"/>
  <c r="N229" i="7"/>
  <c r="P85" i="7"/>
  <c r="S80" i="7"/>
  <c r="K213" i="7"/>
  <c r="M248" i="7"/>
  <c r="S123" i="7"/>
  <c r="G287" i="7"/>
  <c r="O463" i="7"/>
  <c r="S855" i="7"/>
  <c r="M498" i="7"/>
  <c r="I361" i="7"/>
  <c r="K310" i="7"/>
  <c r="O202" i="7"/>
  <c r="N995" i="7"/>
  <c r="F471" i="7"/>
  <c r="F192" i="7"/>
  <c r="F662" i="7"/>
  <c r="L225" i="7"/>
  <c r="P456" i="7"/>
  <c r="S1012" i="7"/>
  <c r="F287" i="7"/>
  <c r="F689" i="7"/>
  <c r="I335" i="7"/>
  <c r="N1153" i="7"/>
  <c r="O492" i="7"/>
  <c r="O87" i="7"/>
  <c r="G318" i="7"/>
  <c r="G440" i="7"/>
  <c r="F207" i="7"/>
  <c r="M196" i="7"/>
  <c r="H331" i="7"/>
  <c r="F189" i="7"/>
  <c r="K448" i="7"/>
  <c r="H112" i="7"/>
  <c r="M265" i="7"/>
  <c r="K87" i="7"/>
  <c r="G530" i="7"/>
  <c r="I345" i="7"/>
  <c r="F551" i="7"/>
  <c r="L164" i="7"/>
  <c r="H260" i="7"/>
  <c r="H270" i="7"/>
  <c r="I419" i="7"/>
  <c r="F276" i="7"/>
  <c r="F541" i="7"/>
  <c r="I444" i="7"/>
  <c r="K429" i="7"/>
  <c r="P163" i="7"/>
  <c r="G281" i="7"/>
  <c r="H188" i="7"/>
  <c r="P722" i="7"/>
  <c r="G242" i="7"/>
  <c r="L149" i="7"/>
  <c r="K251" i="7"/>
  <c r="L497" i="7"/>
  <c r="L174" i="7"/>
  <c r="K173" i="7"/>
  <c r="L168" i="7"/>
  <c r="L539" i="7"/>
  <c r="F284" i="7"/>
  <c r="S199" i="7"/>
  <c r="G225" i="7"/>
  <c r="P170" i="7"/>
  <c r="L104" i="7"/>
  <c r="S75" i="7"/>
  <c r="H382" i="7"/>
  <c r="K92" i="7"/>
  <c r="N165" i="7"/>
  <c r="K425" i="7"/>
  <c r="I313" i="7"/>
  <c r="F916" i="7"/>
  <c r="N408" i="7"/>
  <c r="L75" i="7"/>
  <c r="O381" i="7"/>
  <c r="K332" i="7"/>
  <c r="P174" i="7"/>
  <c r="K252" i="7"/>
  <c r="N237" i="7"/>
  <c r="O842" i="7"/>
  <c r="O231" i="7"/>
  <c r="S591" i="7"/>
  <c r="O362" i="7"/>
  <c r="H797" i="7"/>
  <c r="I108" i="7"/>
  <c r="I299" i="7"/>
  <c r="K311" i="7"/>
  <c r="S533" i="7"/>
  <c r="S506" i="7"/>
  <c r="I82" i="7"/>
  <c r="O261" i="7"/>
  <c r="L600" i="7"/>
  <c r="G608" i="7"/>
  <c r="P903" i="7"/>
  <c r="F680" i="7"/>
  <c r="K732" i="7"/>
  <c r="F683" i="7"/>
  <c r="H579" i="7"/>
  <c r="S568" i="7"/>
  <c r="O403" i="7"/>
  <c r="O849" i="7"/>
  <c r="I804" i="7"/>
  <c r="O514" i="7"/>
  <c r="H1013" i="7"/>
  <c r="M832" i="7"/>
  <c r="H925" i="7"/>
  <c r="F1114" i="7"/>
  <c r="H666" i="7"/>
  <c r="P1026" i="7"/>
  <c r="O784" i="7"/>
  <c r="L678" i="7"/>
  <c r="O457" i="7"/>
  <c r="M474" i="7"/>
  <c r="N248" i="7"/>
  <c r="S553" i="7"/>
  <c r="I471" i="7"/>
  <c r="P420" i="7"/>
  <c r="P419" i="7"/>
  <c r="O549" i="7"/>
  <c r="K305" i="7"/>
  <c r="H92" i="7"/>
  <c r="F1080" i="7"/>
  <c r="O793" i="7"/>
  <c r="F712" i="7"/>
  <c r="O443" i="7"/>
  <c r="M699" i="7"/>
  <c r="S314" i="7"/>
  <c r="G321" i="7"/>
  <c r="S143" i="7"/>
  <c r="H593" i="7"/>
  <c r="I515" i="7"/>
  <c r="F248" i="7"/>
  <c r="S254" i="7"/>
  <c r="S900" i="7"/>
  <c r="N244" i="7"/>
  <c r="N849" i="7"/>
  <c r="I212" i="7"/>
  <c r="O790" i="7"/>
  <c r="O1074" i="7"/>
  <c r="G489" i="7"/>
  <c r="H306" i="7"/>
  <c r="H473" i="7"/>
  <c r="L175" i="7"/>
  <c r="H503" i="7"/>
  <c r="M963" i="7"/>
  <c r="P554" i="7"/>
  <c r="P108" i="7"/>
  <c r="L87" i="7"/>
  <c r="K125" i="7"/>
  <c r="N347" i="7"/>
  <c r="L352" i="7"/>
  <c r="O409" i="7"/>
  <c r="L840" i="7"/>
  <c r="K221" i="7"/>
  <c r="S498" i="7"/>
  <c r="P1124" i="7"/>
  <c r="N545" i="7"/>
  <c r="G444" i="7"/>
  <c r="O559" i="7"/>
  <c r="O134" i="7"/>
  <c r="M460" i="7"/>
  <c r="K590" i="7"/>
  <c r="L186" i="7"/>
  <c r="G520" i="7"/>
  <c r="M1479" i="7"/>
  <c r="F743" i="7"/>
  <c r="L722" i="7"/>
  <c r="S271" i="7"/>
  <c r="L520" i="7"/>
  <c r="L354" i="7"/>
  <c r="F650" i="7"/>
  <c r="H528" i="7"/>
  <c r="P556" i="7"/>
  <c r="K573" i="7"/>
  <c r="F874" i="7"/>
  <c r="P94" i="7"/>
  <c r="L574" i="7"/>
  <c r="L247" i="7"/>
  <c r="K920" i="7"/>
  <c r="G451" i="7"/>
  <c r="F1310" i="7"/>
  <c r="O1050" i="7"/>
  <c r="F502" i="7"/>
  <c r="F319" i="7"/>
  <c r="O246" i="7"/>
  <c r="K483" i="7"/>
  <c r="M353" i="7"/>
  <c r="K215" i="7"/>
  <c r="H396" i="7"/>
  <c r="N221" i="7"/>
  <c r="P123" i="7"/>
  <c r="O304" i="7"/>
  <c r="H375" i="7"/>
  <c r="O721" i="7"/>
  <c r="S601" i="7"/>
  <c r="P588" i="7"/>
  <c r="G650" i="7"/>
  <c r="S414" i="7"/>
  <c r="G479" i="7"/>
  <c r="G253" i="7"/>
  <c r="I417" i="7"/>
  <c r="O199" i="7"/>
  <c r="L396" i="7"/>
  <c r="S1238" i="7"/>
  <c r="F263" i="7"/>
  <c r="K257" i="7"/>
  <c r="H120" i="7"/>
  <c r="L457" i="7"/>
  <c r="S560" i="7"/>
  <c r="L965" i="7"/>
  <c r="M281" i="7"/>
  <c r="F313" i="7"/>
  <c r="N343" i="7"/>
  <c r="H597" i="7"/>
  <c r="K154" i="7"/>
  <c r="G257" i="7"/>
  <c r="L460" i="7"/>
  <c r="M199" i="7"/>
  <c r="P88" i="7"/>
  <c r="P577" i="7"/>
  <c r="K416" i="7"/>
  <c r="O275" i="7"/>
  <c r="H236" i="7"/>
  <c r="G849" i="7"/>
  <c r="M420" i="7"/>
  <c r="F756" i="7"/>
  <c r="I1277" i="7"/>
  <c r="L306" i="7"/>
  <c r="O1323" i="7"/>
  <c r="I530" i="7"/>
  <c r="H305" i="7"/>
  <c r="H193" i="7"/>
  <c r="H390" i="7"/>
  <c r="H140" i="7"/>
  <c r="O402" i="7"/>
  <c r="H842" i="7"/>
  <c r="P791" i="7"/>
  <c r="S928" i="7"/>
  <c r="O1284" i="7"/>
  <c r="S558" i="7"/>
  <c r="O325" i="7"/>
  <c r="H485" i="7"/>
  <c r="O773" i="7"/>
  <c r="H523" i="7"/>
  <c r="G259" i="7"/>
  <c r="I190" i="7"/>
  <c r="K253" i="7"/>
  <c r="L569" i="7"/>
  <c r="K484" i="7"/>
  <c r="N1092" i="7"/>
  <c r="F122" i="7"/>
  <c r="H321" i="7"/>
  <c r="F196" i="7"/>
  <c r="F385" i="7"/>
  <c r="P1153" i="7"/>
  <c r="H515" i="7"/>
  <c r="H516" i="7"/>
  <c r="P224" i="7"/>
  <c r="H124" i="7"/>
  <c r="L367" i="7"/>
  <c r="G759" i="7"/>
  <c r="P233" i="7"/>
  <c r="M531" i="7"/>
  <c r="I558" i="7"/>
  <c r="S551" i="7"/>
  <c r="N565" i="7"/>
  <c r="M1277" i="7"/>
  <c r="O473" i="7"/>
  <c r="L265" i="7"/>
  <c r="G461" i="7"/>
  <c r="P150" i="7"/>
  <c r="L195" i="7"/>
  <c r="I483" i="7"/>
  <c r="F607" i="7"/>
  <c r="I517" i="7"/>
  <c r="N83" i="7"/>
  <c r="P425" i="7"/>
  <c r="F411" i="7"/>
  <c r="P512" i="7"/>
  <c r="F520" i="7"/>
  <c r="H1294" i="7"/>
  <c r="O338" i="7"/>
  <c r="M389" i="7"/>
  <c r="F726" i="7"/>
  <c r="I494" i="7"/>
  <c r="N246" i="7"/>
  <c r="H129" i="7"/>
  <c r="K712" i="7"/>
  <c r="M142" i="7"/>
  <c r="N326" i="7"/>
  <c r="F561" i="7"/>
  <c r="P461" i="7"/>
  <c r="G523" i="7"/>
  <c r="M260" i="7"/>
  <c r="L602" i="7"/>
  <c r="M86" i="7"/>
  <c r="L291" i="7"/>
  <c r="H225" i="7"/>
  <c r="L670" i="7"/>
  <c r="I286" i="7"/>
  <c r="G97" i="7"/>
  <c r="O967" i="7"/>
  <c r="K556" i="7"/>
  <c r="F470" i="7"/>
  <c r="H148" i="7"/>
  <c r="I415" i="7"/>
  <c r="F337" i="7"/>
  <c r="H332" i="7"/>
  <c r="N479" i="7"/>
  <c r="O217" i="7"/>
  <c r="N181" i="7"/>
  <c r="S462" i="7"/>
  <c r="H226" i="7"/>
  <c r="I453" i="7"/>
  <c r="N758" i="7"/>
  <c r="O214" i="7"/>
  <c r="O176" i="7"/>
  <c r="G564" i="7"/>
  <c r="P526" i="7"/>
  <c r="K137" i="7"/>
  <c r="K138" i="7"/>
  <c r="S204" i="7"/>
  <c r="S460" i="7"/>
  <c r="K308" i="7"/>
  <c r="G155" i="7"/>
  <c r="O205" i="7"/>
  <c r="F571" i="7"/>
  <c r="K1297" i="7"/>
  <c r="K107" i="7"/>
  <c r="O272" i="7"/>
  <c r="G381" i="7"/>
  <c r="K585" i="7"/>
  <c r="P164" i="7"/>
  <c r="O107" i="7"/>
  <c r="H158" i="7"/>
  <c r="L441" i="7"/>
  <c r="S162" i="7"/>
  <c r="H214" i="7"/>
  <c r="N95" i="7"/>
  <c r="P132" i="7"/>
  <c r="I208" i="7"/>
  <c r="O301" i="7"/>
  <c r="M208" i="7"/>
  <c r="F110" i="7"/>
  <c r="M556" i="7"/>
  <c r="S416" i="7"/>
  <c r="O206" i="7"/>
  <c r="N285" i="7"/>
  <c r="O290" i="7"/>
  <c r="S146" i="7"/>
  <c r="L275" i="7"/>
  <c r="K159" i="7"/>
  <c r="S127" i="7"/>
  <c r="N373" i="7"/>
  <c r="S129" i="7"/>
  <c r="I226" i="7"/>
  <c r="H143" i="7"/>
  <c r="G200" i="7"/>
  <c r="M484" i="7"/>
  <c r="M792" i="7"/>
  <c r="N107" i="7"/>
  <c r="K593" i="7"/>
  <c r="I167" i="7"/>
  <c r="K127" i="7"/>
  <c r="I130" i="7"/>
  <c r="N102" i="7"/>
  <c r="H151" i="7"/>
  <c r="S117" i="7"/>
  <c r="N1043" i="7"/>
  <c r="S95" i="7"/>
  <c r="O705" i="7"/>
  <c r="N269" i="7"/>
  <c r="H288" i="7"/>
  <c r="H1175" i="7"/>
  <c r="H149" i="7"/>
  <c r="P673" i="7"/>
  <c r="L181" i="7"/>
  <c r="P105" i="7"/>
  <c r="P243" i="7"/>
  <c r="G99" i="7"/>
  <c r="M94" i="7"/>
  <c r="G174" i="7"/>
  <c r="K139" i="7"/>
  <c r="O216" i="7"/>
  <c r="N348" i="7"/>
  <c r="M78" i="7"/>
  <c r="H337" i="7"/>
  <c r="O478" i="7"/>
  <c r="I282" i="7"/>
  <c r="G127" i="7"/>
  <c r="G120" i="7"/>
  <c r="P241" i="7"/>
  <c r="I137" i="7"/>
  <c r="G108" i="7"/>
  <c r="G177" i="7"/>
  <c r="I149" i="7"/>
  <c r="O1093" i="7"/>
  <c r="H376" i="7"/>
  <c r="S425" i="7"/>
  <c r="I251" i="7"/>
  <c r="M121" i="7"/>
  <c r="F148" i="7"/>
  <c r="S453" i="7"/>
  <c r="G305" i="7"/>
  <c r="F495" i="7"/>
  <c r="S96" i="7"/>
  <c r="N118" i="7"/>
  <c r="M139" i="7"/>
  <c r="H266" i="7"/>
  <c r="N106" i="7"/>
  <c r="P598" i="7"/>
  <c r="H755" i="7"/>
  <c r="P597" i="7"/>
  <c r="S513" i="7"/>
  <c r="F138" i="7"/>
  <c r="F243" i="7"/>
  <c r="M247" i="7"/>
  <c r="P199" i="7"/>
  <c r="N784" i="7"/>
  <c r="N196" i="7"/>
  <c r="I131" i="7"/>
  <c r="N88" i="7"/>
  <c r="N283" i="7"/>
  <c r="G574" i="7"/>
  <c r="I238" i="7"/>
  <c r="F179" i="7"/>
  <c r="K232" i="7"/>
  <c r="G524" i="7"/>
  <c r="H573" i="7"/>
  <c r="O293" i="7"/>
  <c r="H178" i="7"/>
  <c r="M365" i="7"/>
  <c r="M520" i="7"/>
  <c r="F729" i="7"/>
  <c r="S185" i="7"/>
  <c r="L1083" i="7"/>
  <c r="M333" i="7"/>
  <c r="G156" i="7"/>
  <c r="F184" i="7"/>
  <c r="H590" i="7"/>
  <c r="O159" i="7"/>
  <c r="P523" i="7"/>
  <c r="S486" i="7"/>
  <c r="F290" i="7"/>
  <c r="F206" i="7"/>
  <c r="K287" i="7"/>
  <c r="N507" i="7"/>
  <c r="G424" i="7"/>
  <c r="M101" i="7"/>
  <c r="N309" i="7"/>
  <c r="H257" i="7"/>
  <c r="I520" i="7"/>
  <c r="G1121" i="7"/>
  <c r="L463" i="7"/>
  <c r="P499" i="7"/>
  <c r="F328" i="7"/>
  <c r="M555" i="7"/>
  <c r="P886" i="7"/>
  <c r="F697" i="7"/>
  <c r="K877" i="7"/>
  <c r="F738" i="7"/>
  <c r="N1025" i="7"/>
  <c r="I744" i="7"/>
  <c r="I464" i="7"/>
  <c r="G1181" i="7"/>
  <c r="S363" i="7"/>
  <c r="S832" i="7"/>
  <c r="S209" i="7"/>
  <c r="H407" i="7"/>
  <c r="P77" i="7"/>
  <c r="K795" i="7"/>
  <c r="M939" i="7"/>
  <c r="M588" i="7"/>
  <c r="S520" i="7"/>
  <c r="H237" i="7"/>
  <c r="G261" i="7"/>
  <c r="S197" i="7"/>
  <c r="L606" i="7"/>
  <c r="G801" i="7"/>
  <c r="N426" i="7"/>
  <c r="N381" i="7"/>
  <c r="H179" i="7"/>
  <c r="G263" i="7"/>
  <c r="M593" i="7"/>
  <c r="S559" i="7"/>
  <c r="L499" i="7"/>
  <c r="S756" i="7"/>
  <c r="O234" i="7"/>
  <c r="S128" i="7"/>
  <c r="M567" i="7"/>
  <c r="N409" i="7"/>
  <c r="H197" i="7"/>
  <c r="K166" i="7"/>
  <c r="S221" i="7"/>
  <c r="N673" i="7"/>
  <c r="S585" i="7"/>
  <c r="I402" i="7"/>
  <c r="I454" i="7"/>
  <c r="G1314" i="7"/>
  <c r="G1297" i="7"/>
  <c r="N352" i="7"/>
  <c r="I580" i="7"/>
  <c r="H379" i="7"/>
  <c r="I511" i="7"/>
  <c r="S1213" i="7"/>
  <c r="I90" i="7"/>
  <c r="F465" i="7"/>
  <c r="N108" i="7"/>
  <c r="N110" i="7"/>
  <c r="K564" i="7"/>
  <c r="N539" i="7"/>
  <c r="H413" i="7"/>
  <c r="L809" i="7"/>
  <c r="H884" i="7"/>
  <c r="L297" i="7"/>
  <c r="I391" i="7"/>
  <c r="S530" i="7"/>
  <c r="O466" i="7"/>
  <c r="F948" i="7"/>
  <c r="O555" i="7"/>
  <c r="G189" i="7"/>
  <c r="O229" i="7"/>
  <c r="L449" i="7"/>
  <c r="P250" i="7"/>
  <c r="K596" i="7"/>
  <c r="N1037" i="7"/>
  <c r="H1071" i="7"/>
  <c r="S457" i="7"/>
  <c r="I509" i="7"/>
  <c r="F1005" i="7"/>
  <c r="P114" i="7"/>
  <c r="H411" i="7"/>
  <c r="O135" i="7"/>
  <c r="I585" i="7"/>
  <c r="M1146" i="7"/>
  <c r="I651" i="7"/>
  <c r="M530" i="7"/>
  <c r="M386" i="7"/>
  <c r="H424" i="7"/>
  <c r="N201" i="7"/>
  <c r="N965" i="7"/>
  <c r="I1114" i="7"/>
  <c r="N566" i="7"/>
  <c r="I884" i="7"/>
  <c r="P428" i="7"/>
  <c r="K97" i="7"/>
  <c r="H565" i="7"/>
  <c r="N117" i="7"/>
  <c r="H460" i="7"/>
  <c r="M795" i="7"/>
  <c r="O235" i="7"/>
  <c r="I332" i="7"/>
  <c r="H934" i="7"/>
  <c r="I1240" i="7"/>
  <c r="H453" i="7"/>
  <c r="P916" i="7"/>
  <c r="M689" i="7"/>
  <c r="S475" i="7"/>
  <c r="F1062" i="7"/>
  <c r="N636" i="7"/>
  <c r="F387" i="7"/>
  <c r="I424" i="7"/>
  <c r="N375" i="7"/>
  <c r="G173" i="7"/>
  <c r="K197" i="7"/>
  <c r="S1082" i="7"/>
  <c r="K143" i="7"/>
  <c r="H458" i="7"/>
  <c r="S920" i="7"/>
  <c r="O756" i="7"/>
  <c r="F763" i="7"/>
  <c r="G215" i="7"/>
  <c r="O452" i="7"/>
  <c r="G430" i="7"/>
  <c r="I329" i="7"/>
  <c r="M1056" i="7"/>
  <c r="F180" i="7"/>
  <c r="I547" i="7"/>
  <c r="K136" i="7"/>
  <c r="K493" i="7"/>
  <c r="K344" i="7"/>
  <c r="G496" i="7"/>
  <c r="O1283" i="7"/>
  <c r="O938" i="7"/>
  <c r="I378" i="7"/>
  <c r="G236" i="7"/>
  <c r="L1055" i="7"/>
  <c r="S231" i="7"/>
  <c r="G580" i="7"/>
  <c r="O92" i="7"/>
  <c r="I403" i="7"/>
  <c r="K605" i="7"/>
  <c r="I368" i="7"/>
  <c r="H146" i="7"/>
  <c r="G114" i="7"/>
  <c r="H446" i="7"/>
  <c r="O169" i="7"/>
  <c r="G769" i="7"/>
  <c r="P1298" i="7"/>
  <c r="M926" i="7"/>
  <c r="N321" i="7"/>
  <c r="F467" i="7"/>
  <c r="M317" i="7"/>
  <c r="H181" i="7"/>
  <c r="S599" i="7"/>
  <c r="H161" i="7"/>
  <c r="K1056" i="7"/>
  <c r="M573" i="7"/>
  <c r="I260" i="7"/>
  <c r="F530" i="7"/>
  <c r="G463" i="7"/>
  <c r="N577" i="7"/>
  <c r="I1298" i="7"/>
  <c r="F286" i="7"/>
  <c r="I726" i="7"/>
  <c r="P435" i="7"/>
  <c r="P1072" i="7"/>
  <c r="G468" i="7"/>
  <c r="O654" i="7"/>
  <c r="P467" i="7"/>
  <c r="O481" i="7"/>
  <c r="P468" i="7"/>
  <c r="G87" i="7"/>
  <c r="P483" i="7"/>
  <c r="K458" i="7"/>
  <c r="G825" i="7"/>
  <c r="S342" i="7"/>
  <c r="I888" i="7"/>
  <c r="F343" i="7"/>
  <c r="H442" i="7"/>
  <c r="M282" i="7"/>
  <c r="O96" i="7"/>
  <c r="K258" i="7"/>
  <c r="K383" i="7"/>
  <c r="G1202" i="7"/>
  <c r="S583" i="7"/>
  <c r="N121" i="7"/>
  <c r="N556" i="7"/>
  <c r="M261" i="7"/>
  <c r="L1142" i="7"/>
  <c r="I103" i="7"/>
  <c r="S147" i="7"/>
  <c r="S464" i="7"/>
  <c r="S98" i="7"/>
  <c r="G133" i="7"/>
  <c r="M230" i="7"/>
  <c r="N124" i="7"/>
  <c r="F381" i="7"/>
  <c r="F201" i="7"/>
  <c r="N234" i="7"/>
  <c r="N174" i="7"/>
  <c r="M255" i="7"/>
  <c r="K459" i="7"/>
  <c r="S448" i="7"/>
  <c r="O310" i="7"/>
  <c r="N433" i="7"/>
  <c r="F112" i="7"/>
  <c r="O295" i="7"/>
  <c r="H128" i="7"/>
  <c r="K75" i="7"/>
  <c r="H336" i="7"/>
  <c r="O224" i="7"/>
  <c r="I497" i="7"/>
  <c r="H196" i="7"/>
  <c r="F504" i="7"/>
  <c r="S581" i="7"/>
  <c r="M331" i="7"/>
  <c r="F577" i="7"/>
  <c r="F698" i="7"/>
  <c r="M236" i="7"/>
  <c r="G92" i="7"/>
  <c r="I182" i="7"/>
  <c r="P968" i="7"/>
  <c r="G441" i="7"/>
  <c r="M224" i="7"/>
  <c r="F108" i="7"/>
  <c r="M225" i="7"/>
  <c r="M259" i="7"/>
  <c r="M445" i="7"/>
  <c r="N832" i="7"/>
  <c r="S399" i="7"/>
  <c r="N494" i="7"/>
  <c r="O76" i="7"/>
  <c r="I396" i="7"/>
  <c r="F75" i="7"/>
  <c r="O503" i="7"/>
  <c r="O357" i="7"/>
  <c r="I302" i="7"/>
  <c r="M378" i="7"/>
  <c r="K110" i="7"/>
  <c r="P190" i="7"/>
  <c r="L413" i="7"/>
  <c r="O523" i="7"/>
  <c r="M146" i="7"/>
  <c r="I214" i="7"/>
  <c r="M933" i="7"/>
  <c r="K276" i="7"/>
  <c r="K226" i="7"/>
  <c r="N76" i="7"/>
  <c r="M374" i="7"/>
  <c r="O236" i="7"/>
  <c r="G1124" i="7"/>
  <c r="M177" i="7"/>
  <c r="G377" i="7"/>
  <c r="I144" i="7"/>
  <c r="M376" i="7"/>
  <c r="H381" i="7"/>
  <c r="N243" i="7"/>
  <c r="K218" i="7"/>
  <c r="L212" i="7"/>
  <c r="G326" i="7"/>
  <c r="G193" i="7"/>
  <c r="H105" i="7"/>
  <c r="S163" i="7"/>
  <c r="F118" i="7"/>
  <c r="O94" i="7"/>
  <c r="K259" i="7"/>
  <c r="M508" i="7"/>
  <c r="F436" i="7"/>
  <c r="I489" i="7"/>
  <c r="I689" i="7"/>
  <c r="P237" i="7"/>
  <c r="P242" i="7"/>
  <c r="M270" i="7"/>
  <c r="F125" i="7"/>
  <c r="P431" i="7"/>
  <c r="H506" i="7"/>
  <c r="K378" i="7"/>
  <c r="M448" i="7"/>
  <c r="S277" i="7"/>
  <c r="M368" i="7"/>
  <c r="F315" i="7"/>
  <c r="L389" i="7"/>
  <c r="K292" i="7"/>
  <c r="K451" i="7"/>
  <c r="S101" i="7"/>
  <c r="L258" i="7"/>
  <c r="O227" i="7"/>
  <c r="L153" i="7"/>
  <c r="P279" i="7"/>
  <c r="F365" i="7"/>
  <c r="F242" i="7"/>
  <c r="M1004" i="7"/>
  <c r="N104" i="7"/>
  <c r="L359" i="7"/>
  <c r="N125" i="7"/>
  <c r="K164" i="7"/>
  <c r="M499" i="7"/>
  <c r="I498" i="7"/>
  <c r="G290" i="7"/>
  <c r="S269" i="7"/>
  <c r="N101" i="7"/>
  <c r="N542" i="7"/>
  <c r="L94" i="7"/>
  <c r="K119" i="7"/>
  <c r="O115" i="7"/>
  <c r="H108" i="7"/>
  <c r="I479" i="7"/>
  <c r="K244" i="7"/>
  <c r="M597" i="7"/>
  <c r="G197" i="7"/>
  <c r="I1300" i="7"/>
  <c r="P189" i="7"/>
  <c r="H97" i="7"/>
  <c r="S529" i="7"/>
  <c r="S247" i="7"/>
  <c r="M108" i="7"/>
  <c r="M388" i="7"/>
  <c r="F219" i="7"/>
  <c r="N141" i="7"/>
  <c r="I135" i="7"/>
  <c r="S967" i="7"/>
  <c r="M191" i="7"/>
  <c r="F344" i="7"/>
  <c r="N384" i="7"/>
  <c r="S135" i="7"/>
  <c r="I119" i="7"/>
  <c r="M220" i="7"/>
  <c r="G241" i="7"/>
  <c r="G111" i="7"/>
  <c r="P529" i="7"/>
  <c r="M266" i="7"/>
  <c r="G507" i="7"/>
  <c r="O161" i="7"/>
  <c r="N330" i="7"/>
  <c r="S151" i="7"/>
  <c r="O225" i="7"/>
  <c r="H595" i="7"/>
  <c r="L315" i="7"/>
  <c r="L142" i="7"/>
  <c r="G131" i="7"/>
  <c r="H81" i="7"/>
  <c r="N268" i="7"/>
  <c r="K118" i="7"/>
  <c r="K264" i="7"/>
  <c r="S233" i="7"/>
  <c r="S158" i="7"/>
  <c r="N147" i="7"/>
  <c r="O825" i="7"/>
  <c r="G300" i="7"/>
  <c r="O1289" i="7"/>
  <c r="H145" i="7"/>
  <c r="S239" i="7"/>
  <c r="F301" i="7"/>
  <c r="S166" i="7"/>
  <c r="G584" i="7"/>
  <c r="L107" i="7"/>
  <c r="N240" i="7"/>
  <c r="M226" i="7"/>
  <c r="F78" i="7"/>
  <c r="P306" i="7"/>
  <c r="K731" i="7"/>
  <c r="I442" i="7"/>
  <c r="K891" i="7"/>
  <c r="F1449" i="7"/>
  <c r="M559" i="7"/>
  <c r="G731" i="7"/>
  <c r="G491" i="7"/>
  <c r="O769" i="7"/>
  <c r="N440" i="7"/>
  <c r="K1290" i="7"/>
  <c r="K359" i="7"/>
  <c r="O445" i="7"/>
  <c r="S397" i="7"/>
  <c r="I644" i="7"/>
  <c r="P500" i="7"/>
  <c r="I322" i="7"/>
  <c r="S683" i="7"/>
  <c r="N389" i="7"/>
  <c r="L862" i="7"/>
  <c r="S220" i="7"/>
  <c r="L869" i="7"/>
  <c r="F312" i="7"/>
  <c r="I175" i="7"/>
  <c r="P180" i="7"/>
  <c r="L712" i="7"/>
  <c r="N586" i="7"/>
  <c r="K211" i="7"/>
  <c r="H387" i="7"/>
  <c r="F331" i="7"/>
  <c r="G319" i="7"/>
  <c r="H534" i="7"/>
  <c r="H685" i="7"/>
  <c r="L1036" i="7"/>
  <c r="K120" i="7"/>
  <c r="K606" i="7"/>
  <c r="O881" i="7"/>
  <c r="H347" i="7"/>
  <c r="S303" i="7"/>
  <c r="G415" i="7"/>
  <c r="I327" i="7"/>
  <c r="P569" i="7"/>
  <c r="N592" i="7"/>
  <c r="N280" i="7"/>
  <c r="N569" i="7"/>
  <c r="S1297" i="7"/>
  <c r="F538" i="7"/>
  <c r="S971" i="7"/>
  <c r="K673" i="7"/>
  <c r="F232" i="7"/>
  <c r="K281" i="7"/>
  <c r="O249" i="7"/>
  <c r="I495" i="7"/>
  <c r="N360" i="7"/>
  <c r="I275" i="7"/>
  <c r="L350" i="7"/>
  <c r="N579" i="7"/>
  <c r="M125" i="7"/>
  <c r="I215" i="7"/>
  <c r="K874" i="7"/>
  <c r="M663" i="7"/>
  <c r="M489" i="7"/>
  <c r="P1013" i="7"/>
  <c r="S261" i="7"/>
  <c r="L504" i="7"/>
  <c r="K242" i="7"/>
  <c r="N168" i="7"/>
  <c r="I262" i="7"/>
  <c r="O524" i="7"/>
  <c r="L191" i="7"/>
  <c r="H346" i="7"/>
  <c r="P590" i="7"/>
  <c r="I705" i="7"/>
  <c r="S1146" i="7"/>
  <c r="N290" i="7"/>
  <c r="G718" i="7"/>
  <c r="O460" i="7"/>
  <c r="F930" i="7"/>
  <c r="K256" i="7"/>
  <c r="P787" i="7"/>
  <c r="N329" i="7"/>
  <c r="I107" i="7"/>
  <c r="O265" i="7"/>
  <c r="L184" i="7"/>
  <c r="N215" i="7"/>
  <c r="P532" i="7"/>
  <c r="F1142" i="7"/>
  <c r="O714" i="7"/>
  <c r="P538" i="7"/>
  <c r="F464" i="7"/>
  <c r="P1319" i="7"/>
  <c r="L1175" i="7"/>
  <c r="O1240" i="7"/>
  <c r="K382" i="7"/>
  <c r="P466" i="7"/>
  <c r="L544" i="7"/>
  <c r="P524" i="7"/>
  <c r="K101" i="7"/>
  <c r="L451" i="7"/>
  <c r="P304" i="7"/>
  <c r="L213" i="7"/>
  <c r="F342" i="7"/>
  <c r="N301" i="7"/>
  <c r="O1036" i="7"/>
  <c r="M434" i="7"/>
  <c r="I642" i="7"/>
  <c r="M189" i="7"/>
  <c r="P493" i="7"/>
  <c r="H209" i="7"/>
  <c r="F513" i="7"/>
  <c r="F271" i="7"/>
  <c r="S252" i="7"/>
  <c r="I369" i="7"/>
  <c r="O545" i="7"/>
  <c r="P156" i="7"/>
  <c r="P578" i="7"/>
  <c r="G568" i="7"/>
  <c r="I200" i="7"/>
  <c r="S976" i="7"/>
  <c r="L346" i="7"/>
  <c r="K1037" i="7"/>
  <c r="I522" i="7"/>
  <c r="G162" i="7"/>
  <c r="K230" i="7"/>
  <c r="N162" i="7"/>
  <c r="S594" i="7"/>
  <c r="F643" i="7"/>
  <c r="N444" i="7"/>
  <c r="N328" i="7"/>
  <c r="P574" i="7"/>
  <c r="N1279" i="7"/>
  <c r="O490" i="7"/>
  <c r="I432" i="7"/>
  <c r="O670" i="7"/>
  <c r="K186" i="7"/>
  <c r="S473" i="7"/>
  <c r="K391" i="7"/>
  <c r="L1320" i="7"/>
  <c r="S272" i="7"/>
  <c r="K418" i="7"/>
  <c r="I263" i="7"/>
  <c r="K587" i="7"/>
  <c r="G264" i="7"/>
  <c r="N135" i="7"/>
  <c r="P206" i="7"/>
  <c r="S423" i="7"/>
  <c r="L419" i="7"/>
  <c r="I564" i="7"/>
  <c r="K510" i="7"/>
  <c r="M400" i="7"/>
  <c r="K335" i="7"/>
  <c r="G428" i="7"/>
  <c r="H1085" i="7"/>
  <c r="M577" i="7"/>
  <c r="I486" i="7"/>
  <c r="L329" i="7"/>
  <c r="N1189" i="7"/>
  <c r="L889" i="7"/>
  <c r="G385" i="7"/>
  <c r="K837" i="7"/>
  <c r="P519" i="7"/>
  <c r="H404" i="7"/>
  <c r="O441" i="7"/>
  <c r="H122" i="7"/>
  <c r="K147" i="7"/>
  <c r="S925" i="7"/>
  <c r="L295" i="7"/>
  <c r="S225" i="7"/>
  <c r="P398" i="7"/>
  <c r="P438" i="7"/>
  <c r="L208" i="7"/>
  <c r="N251" i="7"/>
  <c r="S1037" i="7"/>
  <c r="G743" i="7"/>
  <c r="O342" i="7"/>
  <c r="M1237" i="7"/>
  <c r="O126" i="7"/>
  <c r="G486" i="7"/>
  <c r="K507" i="7"/>
  <c r="M635" i="7"/>
  <c r="G316" i="7"/>
  <c r="K1004" i="7"/>
  <c r="L219" i="7"/>
  <c r="F302" i="7"/>
  <c r="M1272" i="7"/>
  <c r="N265" i="7"/>
  <c r="N476" i="7"/>
  <c r="F322" i="7"/>
  <c r="O367" i="7"/>
  <c r="G454" i="7"/>
  <c r="S94" i="7"/>
  <c r="N376" i="7"/>
  <c r="N357" i="7"/>
  <c r="O100" i="7"/>
  <c r="O132" i="7"/>
  <c r="N568" i="7"/>
  <c r="K250" i="7"/>
  <c r="O109" i="7"/>
  <c r="I480" i="7"/>
  <c r="G591" i="7"/>
  <c r="I136" i="7"/>
  <c r="F141" i="7"/>
  <c r="K377" i="7"/>
  <c r="G184" i="7"/>
  <c r="H174" i="7"/>
  <c r="O270" i="7"/>
  <c r="N564" i="7"/>
  <c r="H231" i="7"/>
  <c r="F153" i="7"/>
  <c r="H752" i="7"/>
  <c r="S178" i="7"/>
  <c r="G271" i="7"/>
  <c r="I334" i="7"/>
  <c r="G517" i="7"/>
  <c r="K321" i="7"/>
  <c r="H386" i="7"/>
  <c r="K487" i="7"/>
  <c r="M668" i="7"/>
  <c r="L266" i="7"/>
  <c r="N238" i="7"/>
  <c r="L246" i="7"/>
  <c r="N540" i="7"/>
  <c r="M416" i="7"/>
  <c r="K1212" i="7"/>
  <c r="H82" i="7"/>
  <c r="O197" i="7"/>
  <c r="M366" i="7"/>
  <c r="P568" i="7"/>
  <c r="I170" i="7"/>
  <c r="H84" i="7"/>
  <c r="H252" i="7"/>
  <c r="M162" i="7"/>
  <c r="P111" i="7"/>
  <c r="O255" i="7"/>
  <c r="L408" i="7"/>
  <c r="N345" i="7"/>
  <c r="G330" i="7"/>
  <c r="I169" i="7"/>
  <c r="L257" i="7"/>
  <c r="S1272" i="7"/>
  <c r="L250" i="7"/>
  <c r="M591" i="7"/>
  <c r="G561" i="7"/>
  <c r="O424" i="7"/>
  <c r="P261" i="7"/>
  <c r="F99" i="7"/>
  <c r="P80" i="7"/>
  <c r="G206" i="7"/>
  <c r="S78" i="7"/>
  <c r="H377" i="7"/>
  <c r="P96" i="7"/>
  <c r="K267" i="7"/>
  <c r="N298" i="7"/>
  <c r="I561" i="7"/>
  <c r="P259" i="7"/>
  <c r="H219" i="7"/>
  <c r="G280" i="7"/>
  <c r="S343" i="7"/>
  <c r="H85" i="7"/>
  <c r="H172" i="7"/>
  <c r="I176" i="7"/>
  <c r="M87" i="7"/>
  <c r="I75" i="7"/>
  <c r="N213" i="7"/>
  <c r="I514" i="7"/>
  <c r="H428" i="7"/>
  <c r="S516" i="7"/>
  <c r="K534" i="7"/>
  <c r="N257" i="7"/>
  <c r="G419" i="7"/>
  <c r="L1127" i="7"/>
  <c r="I501" i="7"/>
  <c r="P93" i="7"/>
  <c r="N236" i="7"/>
  <c r="S483" i="7"/>
  <c r="M203" i="7"/>
  <c r="G447" i="7"/>
  <c r="G277" i="7"/>
  <c r="N79" i="7"/>
  <c r="L1184" i="7"/>
  <c r="O459" i="7"/>
  <c r="O467" i="7"/>
  <c r="F231" i="7"/>
  <c r="L217" i="7"/>
  <c r="O207" i="7"/>
  <c r="K109" i="7"/>
  <c r="L97" i="7"/>
  <c r="K153" i="7"/>
  <c r="H479" i="7"/>
  <c r="H93" i="7"/>
  <c r="L161" i="7"/>
  <c r="I592" i="7"/>
  <c r="S365" i="7"/>
  <c r="M324" i="7"/>
  <c r="P640" i="7"/>
  <c r="H249" i="7"/>
  <c r="F129" i="7"/>
  <c r="L233" i="7"/>
  <c r="I125" i="7"/>
  <c r="G1292" i="7"/>
  <c r="S293" i="7"/>
  <c r="L253" i="7"/>
  <c r="P216" i="7"/>
  <c r="I160" i="7"/>
  <c r="F522" i="7"/>
  <c r="I528" i="7"/>
  <c r="I232" i="7"/>
  <c r="H435" i="7"/>
  <c r="I300" i="7"/>
  <c r="L252" i="7"/>
  <c r="P299" i="7"/>
  <c r="P651" i="7"/>
  <c r="F247" i="7"/>
  <c r="S419" i="7"/>
  <c r="G529" i="7"/>
  <c r="H133" i="7"/>
  <c r="H153" i="7"/>
  <c r="G159" i="7"/>
  <c r="I637" i="7"/>
  <c r="O455" i="7"/>
  <c r="O416" i="7"/>
  <c r="P161" i="7"/>
  <c r="H380" i="7"/>
  <c r="P157" i="7"/>
  <c r="P139" i="7"/>
  <c r="G345" i="7"/>
  <c r="I590" i="7"/>
  <c r="P460" i="7"/>
  <c r="I161" i="7"/>
  <c r="K939" i="7"/>
  <c r="M575" i="7"/>
  <c r="G220" i="7"/>
  <c r="F171" i="7"/>
  <c r="I377" i="7"/>
  <c r="K149" i="7"/>
  <c r="O150" i="7"/>
  <c r="H239" i="7"/>
  <c r="I222" i="7"/>
  <c r="G729" i="7"/>
  <c r="K103" i="7"/>
  <c r="K227" i="7"/>
  <c r="O639" i="7"/>
  <c r="O125" i="7"/>
  <c r="G153" i="7"/>
  <c r="N163" i="7"/>
  <c r="K168" i="7"/>
  <c r="L131" i="7"/>
  <c r="M277" i="7"/>
  <c r="L411" i="7"/>
  <c r="I381" i="7"/>
  <c r="S240" i="7"/>
  <c r="I230" i="7"/>
  <c r="G144" i="7"/>
  <c r="F330" i="7"/>
  <c r="M96" i="7"/>
  <c r="F447" i="7"/>
  <c r="S87" i="7"/>
  <c r="F441" i="7"/>
  <c r="O81" i="7"/>
  <c r="H546" i="7"/>
  <c r="K481" i="7"/>
  <c r="I154" i="7"/>
  <c r="M930" i="7"/>
  <c r="O1237" i="7"/>
  <c r="N385" i="7"/>
  <c r="F899" i="7"/>
  <c r="I801" i="7"/>
  <c r="K1205" i="7"/>
  <c r="N938" i="7"/>
  <c r="N350" i="7"/>
  <c r="G307" i="7"/>
  <c r="G340" i="7"/>
  <c r="M1028" i="7"/>
  <c r="P589" i="7"/>
  <c r="L474" i="7"/>
  <c r="S409" i="7"/>
  <c r="I1189" i="7"/>
  <c r="L344" i="7"/>
  <c r="I1025" i="7"/>
  <c r="I350" i="7"/>
  <c r="N1292" i="7"/>
  <c r="P328" i="7"/>
  <c r="K1202" i="7"/>
  <c r="K462" i="7"/>
  <c r="S172" i="7"/>
  <c r="M384" i="7"/>
  <c r="N170" i="7"/>
  <c r="S446" i="7"/>
  <c r="I395" i="7"/>
  <c r="K611" i="7"/>
  <c r="O734" i="7"/>
  <c r="P454" i="7"/>
  <c r="K193" i="7"/>
  <c r="L322" i="7"/>
  <c r="L373" i="7"/>
  <c r="H585" i="7"/>
  <c r="I481" i="7"/>
  <c r="P417" i="7"/>
  <c r="G397" i="7"/>
  <c r="S107" i="7"/>
  <c r="P201" i="7"/>
  <c r="F443" i="7"/>
  <c r="M123" i="7"/>
  <c r="S590" i="7"/>
  <c r="I177" i="7"/>
  <c r="F516" i="7"/>
  <c r="K744" i="7"/>
  <c r="I891" i="7"/>
  <c r="N1243" i="7"/>
  <c r="K352" i="7"/>
  <c r="N512" i="7"/>
  <c r="I487" i="7"/>
  <c r="I1037" i="7"/>
  <c r="K726" i="7"/>
  <c r="O925" i="7"/>
  <c r="L226" i="7"/>
  <c r="S1156" i="7"/>
  <c r="G395" i="7"/>
  <c r="S415" i="7"/>
  <c r="P1039" i="7"/>
  <c r="L518" i="7"/>
  <c r="G226" i="7"/>
  <c r="S521" i="7"/>
  <c r="P755" i="7"/>
  <c r="H1261" i="7"/>
  <c r="P1113" i="7"/>
  <c r="F252" i="7"/>
  <c r="M168" i="7"/>
  <c r="N289" i="7"/>
  <c r="S371" i="7"/>
  <c r="H434" i="7"/>
  <c r="H1238" i="7"/>
  <c r="N483" i="7"/>
  <c r="N287" i="7"/>
  <c r="K1082" i="7"/>
  <c r="G299" i="7"/>
  <c r="I1139" i="7"/>
  <c r="K343" i="7"/>
  <c r="L301" i="7"/>
  <c r="I601" i="7"/>
  <c r="S333" i="7"/>
  <c r="N844" i="7"/>
  <c r="P517" i="7"/>
  <c r="N448" i="7"/>
  <c r="I843" i="7"/>
  <c r="N127" i="7"/>
  <c r="G179" i="7"/>
  <c r="G175" i="7"/>
  <c r="N226" i="7"/>
  <c r="H547" i="7"/>
  <c r="M952" i="7"/>
  <c r="F1083" i="7"/>
  <c r="H251" i="7"/>
  <c r="F755" i="7"/>
  <c r="S160" i="7"/>
  <c r="G110" i="7"/>
  <c r="K482" i="7"/>
  <c r="G383" i="7"/>
  <c r="F89" i="7"/>
  <c r="M205" i="7"/>
  <c r="H284" i="7"/>
  <c r="I303" i="7"/>
  <c r="S586" i="7"/>
  <c r="P1272" i="7"/>
  <c r="S1149" i="7"/>
  <c r="P1198" i="7"/>
  <c r="H307" i="7"/>
  <c r="M1113" i="7"/>
  <c r="K973" i="7"/>
  <c r="L533" i="7"/>
  <c r="H374" i="7"/>
  <c r="P424" i="7"/>
  <c r="I115" i="7"/>
  <c r="N318" i="7"/>
  <c r="L146" i="7"/>
  <c r="P489" i="7"/>
  <c r="M579" i="7"/>
  <c r="N488" i="7"/>
  <c r="M348" i="7"/>
  <c r="F802" i="7"/>
  <c r="S657" i="7"/>
  <c r="F842" i="7"/>
  <c r="I817" i="7"/>
  <c r="S1294" i="7"/>
  <c r="O527" i="7"/>
  <c r="K454" i="7"/>
  <c r="N453" i="7"/>
  <c r="O273" i="7"/>
  <c r="I206" i="7"/>
  <c r="F440" i="7"/>
  <c r="G203" i="7"/>
  <c r="P635" i="7"/>
  <c r="N1215" i="7"/>
  <c r="N600" i="7"/>
  <c r="N929" i="7"/>
  <c r="F1328" i="7"/>
  <c r="O250" i="7"/>
  <c r="M156" i="7"/>
  <c r="L754" i="7"/>
  <c r="L328" i="7"/>
  <c r="H870" i="7"/>
  <c r="M1275" i="7"/>
  <c r="K130" i="7"/>
  <c r="G216" i="7"/>
  <c r="P367" i="7"/>
  <c r="L1085" i="7"/>
  <c r="H1232" i="7"/>
  <c r="L453" i="7"/>
  <c r="P399" i="7"/>
  <c r="M598" i="7"/>
  <c r="S182" i="7"/>
  <c r="N252" i="7"/>
  <c r="G187" i="7"/>
  <c r="G161" i="7"/>
  <c r="L118" i="7"/>
  <c r="S545" i="7"/>
  <c r="F285" i="7"/>
  <c r="K930" i="7"/>
  <c r="S332" i="7"/>
  <c r="G208" i="7"/>
  <c r="M876" i="7"/>
  <c r="L1145" i="7"/>
  <c r="M408" i="7"/>
  <c r="O682" i="7"/>
  <c r="G651" i="7"/>
  <c r="G637" i="7"/>
  <c r="H192" i="7"/>
  <c r="P197" i="7"/>
  <c r="G368" i="7"/>
  <c r="S155" i="7"/>
  <c r="S227" i="7"/>
  <c r="M179" i="7"/>
  <c r="O596" i="7"/>
  <c r="S256" i="7"/>
  <c r="P412" i="7"/>
  <c r="H1302" i="7"/>
  <c r="G329" i="7"/>
  <c r="G511" i="7"/>
  <c r="N765" i="7"/>
  <c r="S357" i="7"/>
  <c r="I237" i="7"/>
  <c r="O196" i="7"/>
  <c r="M296" i="7"/>
  <c r="K683" i="7"/>
  <c r="K549" i="7"/>
  <c r="G1097" i="7"/>
  <c r="O102" i="7"/>
  <c r="M369" i="7"/>
  <c r="O1153" i="7"/>
  <c r="M901" i="7"/>
  <c r="H103" i="7"/>
  <c r="O330" i="7"/>
  <c r="L113" i="7"/>
  <c r="L144" i="7"/>
  <c r="N482" i="7"/>
  <c r="M305" i="7"/>
  <c r="N282" i="7"/>
  <c r="M221" i="7"/>
  <c r="I147" i="7"/>
  <c r="L115" i="7"/>
  <c r="F632" i="7"/>
  <c r="S339" i="7"/>
  <c r="H79" i="7"/>
  <c r="P1300" i="7"/>
  <c r="S567" i="7"/>
  <c r="O298" i="7"/>
  <c r="P365" i="7"/>
  <c r="I532" i="7"/>
  <c r="K471" i="7"/>
  <c r="M166" i="7"/>
  <c r="L336" i="7"/>
  <c r="O498" i="7"/>
  <c r="O138" i="7"/>
  <c r="M238" i="7"/>
  <c r="H726" i="7"/>
  <c r="G81" i="7"/>
  <c r="F543" i="7"/>
  <c r="S89" i="7"/>
  <c r="F82" i="7"/>
  <c r="N164" i="7"/>
  <c r="G126" i="7"/>
  <c r="N84" i="7"/>
  <c r="S149" i="7"/>
  <c r="L483" i="7"/>
  <c r="L272" i="7"/>
  <c r="H156" i="7"/>
  <c r="L519" i="7"/>
  <c r="F202" i="7"/>
  <c r="M590" i="7"/>
  <c r="G1207" i="7"/>
  <c r="S439" i="7"/>
  <c r="G576" i="7"/>
  <c r="M150" i="7"/>
  <c r="I228" i="7"/>
  <c r="I126" i="7"/>
  <c r="P214" i="7"/>
  <c r="I280" i="7"/>
  <c r="L283" i="7"/>
  <c r="O133" i="7"/>
  <c r="I99" i="7"/>
  <c r="L517" i="7"/>
  <c r="M148" i="7"/>
  <c r="S494" i="7"/>
  <c r="O269" i="7"/>
  <c r="H559" i="7"/>
  <c r="G151" i="7"/>
  <c r="K116" i="7"/>
  <c r="K169" i="7"/>
  <c r="N524" i="7"/>
  <c r="K126" i="7"/>
  <c r="N81" i="7"/>
  <c r="M1239" i="7"/>
  <c r="F563" i="7"/>
  <c r="M116" i="7"/>
  <c r="F228" i="7"/>
  <c r="G528" i="7"/>
  <c r="F722" i="7"/>
  <c r="G98" i="7"/>
  <c r="K408" i="7"/>
  <c r="G412" i="7"/>
  <c r="M258" i="7"/>
  <c r="M462" i="7"/>
  <c r="M92" i="7"/>
  <c r="O211" i="7"/>
  <c r="N567" i="7"/>
  <c r="K161" i="7"/>
  <c r="L109" i="7"/>
  <c r="S413" i="7"/>
  <c r="H253" i="7"/>
  <c r="P414" i="7"/>
  <c r="N427" i="7"/>
  <c r="F77" i="7"/>
  <c r="O181" i="7"/>
  <c r="K561" i="7"/>
  <c r="L119" i="7"/>
  <c r="H1101" i="7"/>
  <c r="S241" i="7"/>
  <c r="L221" i="7"/>
  <c r="F505" i="7"/>
  <c r="O1026" i="7"/>
  <c r="S941" i="7"/>
  <c r="G683" i="7"/>
  <c r="H247" i="7"/>
  <c r="M1152" i="7"/>
  <c r="F163" i="7"/>
  <c r="N208" i="7"/>
  <c r="G1036" i="7"/>
  <c r="P153" i="7"/>
  <c r="P148" i="7"/>
  <c r="N593" i="7"/>
  <c r="L178" i="7"/>
  <c r="K254" i="7"/>
  <c r="P322" i="7"/>
  <c r="F191" i="7"/>
  <c r="L325" i="7"/>
  <c r="N175" i="7"/>
  <c r="L83" i="7"/>
  <c r="K167" i="7"/>
  <c r="S132" i="7"/>
  <c r="K306" i="7"/>
  <c r="P246" i="7"/>
  <c r="N254" i="7"/>
  <c r="P230" i="7"/>
  <c r="P79" i="7"/>
  <c r="M263" i="7"/>
  <c r="M155" i="7"/>
  <c r="M149" i="7"/>
  <c r="O335" i="7"/>
  <c r="G109" i="7"/>
  <c r="L820" i="7"/>
  <c r="S532" i="7"/>
  <c r="M219" i="7"/>
  <c r="S270" i="7"/>
  <c r="S79" i="7"/>
  <c r="H441" i="7"/>
  <c r="N344" i="7"/>
  <c r="M104" i="7"/>
  <c r="H519" i="7"/>
  <c r="K461" i="7"/>
  <c r="K219" i="7"/>
  <c r="M161" i="7"/>
  <c r="H474" i="7"/>
  <c r="H416" i="7"/>
  <c r="P516" i="7"/>
  <c r="N194" i="7"/>
  <c r="I113" i="7"/>
  <c r="S92" i="7"/>
  <c r="I217" i="7"/>
  <c r="F97" i="7"/>
  <c r="L259" i="7"/>
  <c r="P429" i="7"/>
  <c r="S187" i="7"/>
  <c r="I94" i="7"/>
  <c r="O668" i="7"/>
  <c r="K238" i="7"/>
  <c r="P1314" i="7"/>
  <c r="G477" i="7"/>
  <c r="G437" i="7"/>
  <c r="M174" i="7"/>
  <c r="S164" i="7"/>
  <c r="F161" i="7"/>
  <c r="N438" i="7"/>
  <c r="K228" i="7"/>
  <c r="N96" i="7"/>
  <c r="P541" i="7"/>
  <c r="K414" i="7"/>
  <c r="L832" i="7"/>
  <c r="S361" i="7"/>
  <c r="O179" i="7"/>
  <c r="O119" i="7"/>
  <c r="H275" i="7"/>
  <c r="H290" i="7"/>
  <c r="K115" i="7"/>
  <c r="G272" i="7"/>
  <c r="I118" i="7"/>
  <c r="P463" i="7"/>
  <c r="L447" i="7"/>
  <c r="L234" i="7"/>
  <c r="L650" i="7"/>
  <c r="I233" i="7"/>
  <c r="I155" i="7"/>
  <c r="S224" i="7"/>
  <c r="I655" i="7"/>
  <c r="L363" i="7"/>
  <c r="I598" i="7"/>
  <c r="H862" i="7"/>
  <c r="M657" i="7"/>
  <c r="L752" i="7"/>
  <c r="G462" i="7"/>
  <c r="F341" i="7"/>
  <c r="P729" i="7"/>
  <c r="M211" i="7"/>
  <c r="H409" i="7"/>
  <c r="K296" i="7"/>
  <c r="N327" i="7"/>
  <c r="G1478" i="7"/>
  <c r="N555" i="7"/>
  <c r="L314" i="7"/>
  <c r="F463" i="7"/>
  <c r="H191" i="7"/>
  <c r="H967" i="7"/>
  <c r="O491" i="7"/>
  <c r="H235" i="7"/>
  <c r="L534" i="7"/>
  <c r="P313" i="7"/>
  <c r="O361" i="7"/>
  <c r="H972" i="7"/>
  <c r="H117" i="7"/>
  <c r="N82" i="7"/>
  <c r="L229" i="7"/>
  <c r="N242" i="7"/>
  <c r="O574" i="7"/>
  <c r="N420" i="7"/>
  <c r="O733" i="7"/>
  <c r="I1238" i="7"/>
  <c r="K506" i="7"/>
  <c r="N434" i="7"/>
  <c r="N241" i="7"/>
  <c r="F250" i="7"/>
  <c r="L187" i="7"/>
  <c r="H135" i="7"/>
  <c r="P474" i="7"/>
  <c r="H539" i="7"/>
  <c r="I837" i="7"/>
  <c r="N334" i="7"/>
  <c r="S778" i="7"/>
  <c r="S837" i="7"/>
  <c r="G1139" i="7"/>
  <c r="G527" i="7"/>
  <c r="S534" i="7"/>
  <c r="S296" i="7"/>
  <c r="M592" i="7"/>
  <c r="H340" i="7"/>
  <c r="H417" i="7"/>
  <c r="G510" i="7"/>
  <c r="K339" i="7"/>
  <c r="H281" i="7"/>
  <c r="H391" i="7"/>
  <c r="S152" i="7"/>
  <c r="P90" i="7"/>
  <c r="S410" i="7"/>
  <c r="S916" i="7"/>
  <c r="I347" i="7"/>
  <c r="G1287" i="7"/>
  <c r="K333" i="7"/>
  <c r="F333" i="7"/>
  <c r="M117" i="7"/>
  <c r="M293" i="7"/>
  <c r="N387" i="7"/>
  <c r="F407" i="7"/>
  <c r="H199" i="7"/>
  <c r="G228" i="7"/>
  <c r="I338" i="7"/>
  <c r="L214" i="7"/>
  <c r="P320" i="7"/>
  <c r="S878" i="7"/>
  <c r="L635" i="7"/>
  <c r="G411" i="7"/>
  <c r="L216" i="7"/>
  <c r="I401" i="7"/>
  <c r="M190" i="7"/>
  <c r="S1028" i="7"/>
  <c r="M329" i="7"/>
  <c r="S574" i="7"/>
  <c r="F1003" i="7"/>
  <c r="L990" i="7"/>
  <c r="I1156" i="7"/>
  <c r="L417" i="7"/>
  <c r="H170" i="7"/>
  <c r="F310" i="7"/>
  <c r="P573" i="7"/>
  <c r="O635" i="7"/>
  <c r="I404" i="7"/>
  <c r="S389" i="7"/>
  <c r="O286" i="7"/>
  <c r="P763" i="7"/>
  <c r="F416" i="7"/>
  <c r="F208" i="7"/>
  <c r="F104" i="7"/>
  <c r="I1246" i="7"/>
  <c r="K516" i="7"/>
  <c r="F424" i="7"/>
  <c r="P325" i="7"/>
  <c r="K1287" i="7"/>
  <c r="S636" i="7"/>
  <c r="H175" i="7"/>
  <c r="P209" i="7"/>
  <c r="F1150" i="7"/>
  <c r="N407" i="7"/>
  <c r="P833" i="7"/>
  <c r="G202" i="7"/>
  <c r="P151" i="7"/>
  <c r="S287" i="7"/>
  <c r="L403" i="7"/>
  <c r="P131" i="7"/>
  <c r="F299" i="7"/>
  <c r="L794" i="7"/>
  <c r="I318" i="7"/>
  <c r="M1075" i="7"/>
  <c r="I688" i="7"/>
  <c r="L1139" i="7"/>
  <c r="O980" i="7"/>
  <c r="H293" i="7"/>
  <c r="M250" i="7"/>
  <c r="O315" i="7"/>
  <c r="P314" i="7"/>
  <c r="O167" i="7"/>
  <c r="I562" i="7"/>
  <c r="O155" i="7"/>
  <c r="N211" i="7"/>
  <c r="S1241" i="7"/>
  <c r="G609" i="7"/>
  <c r="M521" i="7"/>
  <c r="H1150" i="7"/>
  <c r="O418" i="7"/>
  <c r="G232" i="7"/>
  <c r="P1056" i="7"/>
  <c r="F160" i="7"/>
  <c r="S315" i="7"/>
  <c r="O284" i="7"/>
  <c r="N430" i="7"/>
  <c r="O268" i="7"/>
  <c r="S488" i="7"/>
  <c r="P594" i="7"/>
  <c r="L494" i="7"/>
  <c r="M334" i="7"/>
  <c r="F971" i="7"/>
  <c r="K576" i="7"/>
  <c r="F357" i="7"/>
  <c r="S833" i="7"/>
  <c r="S390" i="7"/>
  <c r="F742" i="7"/>
  <c r="G275" i="7"/>
  <c r="H272" i="7"/>
  <c r="L123" i="7"/>
  <c r="P546" i="7"/>
  <c r="L481" i="7"/>
  <c r="F428" i="7"/>
  <c r="O172" i="7"/>
  <c r="L235" i="7"/>
  <c r="I340" i="7"/>
  <c r="N1182" i="7"/>
  <c r="H748" i="7"/>
  <c r="S904" i="7"/>
  <c r="I549" i="7"/>
  <c r="I370" i="7"/>
  <c r="S125" i="7"/>
  <c r="O239" i="7"/>
  <c r="L482" i="7"/>
  <c r="I457" i="7"/>
  <c r="N158" i="7"/>
  <c r="K188" i="7"/>
  <c r="I433" i="7"/>
  <c r="G855" i="7"/>
  <c r="F402" i="7"/>
  <c r="S369" i="7"/>
  <c r="G966" i="7"/>
  <c r="S662" i="7"/>
  <c r="K384" i="7"/>
  <c r="I211" i="7"/>
  <c r="P491" i="7"/>
  <c r="O164" i="7"/>
  <c r="N492" i="7"/>
  <c r="F356" i="7"/>
  <c r="S1289" i="7"/>
  <c r="O346" i="7"/>
  <c r="L345" i="7"/>
  <c r="G438" i="7"/>
  <c r="F454" i="7"/>
  <c r="H963" i="7"/>
  <c r="F210" i="7"/>
  <c r="H542" i="7"/>
  <c r="O313" i="7"/>
  <c r="M479" i="7"/>
  <c r="P102" i="7"/>
  <c r="N80" i="7"/>
  <c r="M239" i="7"/>
  <c r="O123" i="7"/>
  <c r="P272" i="7"/>
  <c r="O222" i="7"/>
  <c r="P182" i="7"/>
  <c r="M390" i="7"/>
  <c r="H567" i="7"/>
  <c r="H119" i="7"/>
  <c r="F336" i="7"/>
  <c r="S467" i="7"/>
  <c r="I305" i="7"/>
  <c r="H536" i="7"/>
  <c r="F273" i="7"/>
  <c r="S262" i="7"/>
  <c r="O522" i="7"/>
  <c r="M192" i="7"/>
  <c r="I284" i="7"/>
  <c r="K108" i="7"/>
  <c r="I849" i="7"/>
  <c r="K431" i="7"/>
  <c r="H94" i="7"/>
  <c r="H359" i="7"/>
  <c r="P240" i="7"/>
  <c r="P103" i="7"/>
  <c r="I202" i="7"/>
  <c r="I188" i="7"/>
  <c r="F83" i="7"/>
  <c r="S1191" i="7"/>
  <c r="M419" i="7"/>
  <c r="H207" i="7"/>
  <c r="M181" i="7"/>
  <c r="I1026" i="7"/>
  <c r="K387" i="7"/>
  <c r="G143" i="7"/>
  <c r="K538" i="7"/>
  <c r="N202" i="7"/>
  <c r="H498" i="7"/>
  <c r="P183" i="7"/>
  <c r="P496" i="7"/>
  <c r="I221" i="7"/>
  <c r="O111" i="7"/>
  <c r="P479" i="7"/>
  <c r="S580" i="7"/>
  <c r="M79" i="7"/>
  <c r="F417" i="7"/>
  <c r="I1287" i="7"/>
  <c r="S1026" i="7"/>
  <c r="L1235" i="7"/>
  <c r="H238" i="7"/>
  <c r="N100" i="7"/>
  <c r="I96" i="7"/>
  <c r="I227" i="7"/>
  <c r="O593" i="7"/>
  <c r="H100" i="7"/>
  <c r="N450" i="7"/>
  <c r="H919" i="7"/>
  <c r="H198" i="7"/>
  <c r="P181" i="7"/>
  <c r="S203" i="7"/>
  <c r="K755" i="7"/>
  <c r="H162" i="7"/>
  <c r="L158" i="7"/>
  <c r="M650" i="7"/>
  <c r="N264" i="7"/>
  <c r="L458" i="7"/>
  <c r="L508" i="7"/>
  <c r="O178" i="7"/>
  <c r="I492" i="7"/>
  <c r="H712" i="7"/>
  <c r="P933" i="7"/>
  <c r="I650" i="7"/>
  <c r="I586" i="7"/>
  <c r="I1235" i="7"/>
  <c r="S1004" i="7"/>
  <c r="G373" i="7"/>
  <c r="M140" i="7"/>
  <c r="K460" i="7"/>
  <c r="P873" i="7"/>
  <c r="K148" i="7"/>
  <c r="S392" i="7"/>
  <c r="S283" i="7"/>
  <c r="L364" i="7"/>
  <c r="H180" i="7"/>
  <c r="M202" i="7"/>
  <c r="K558" i="7"/>
  <c r="I133" i="7"/>
  <c r="M902" i="7"/>
  <c r="S177" i="7"/>
  <c r="H423" i="7"/>
  <c r="P168" i="7"/>
  <c r="N225" i="7"/>
  <c r="O154" i="7"/>
  <c r="K282" i="7"/>
  <c r="G483" i="7"/>
  <c r="F245" i="7"/>
  <c r="H455" i="7"/>
  <c r="O387" i="7"/>
  <c r="F120" i="7"/>
  <c r="L249" i="7"/>
  <c r="F261" i="7"/>
  <c r="P368" i="7"/>
  <c r="G547" i="7"/>
  <c r="L117" i="7"/>
  <c r="P543" i="7"/>
  <c r="L132" i="7"/>
  <c r="F226" i="7"/>
  <c r="I244" i="7"/>
  <c r="H204" i="7"/>
  <c r="K263" i="7"/>
  <c r="I400" i="7"/>
  <c r="N395" i="7"/>
  <c r="K121" i="7"/>
  <c r="F212" i="7"/>
  <c r="F594" i="7"/>
  <c r="H286" i="7"/>
  <c r="F113" i="7"/>
  <c r="H276" i="7"/>
  <c r="N112" i="7"/>
  <c r="F168" i="7"/>
  <c r="N324" i="7"/>
  <c r="F238" i="7"/>
  <c r="L190" i="7"/>
  <c r="I166" i="7"/>
  <c r="L141" i="7"/>
  <c r="N513" i="7"/>
  <c r="I493" i="7"/>
  <c r="S366" i="7"/>
  <c r="F1035" i="7"/>
  <c r="L196" i="7"/>
  <c r="H505" i="7"/>
  <c r="P251" i="7"/>
  <c r="K394" i="7"/>
  <c r="P318" i="7"/>
  <c r="M167" i="7"/>
  <c r="I186" i="7"/>
  <c r="K194" i="7"/>
  <c r="N137" i="7"/>
  <c r="H367" i="7"/>
  <c r="K95" i="7"/>
  <c r="G82" i="7"/>
  <c r="S273" i="7"/>
  <c r="G260" i="7"/>
  <c r="S479" i="7"/>
  <c r="P104" i="7"/>
  <c r="M214" i="7"/>
  <c r="G1092" i="7"/>
  <c r="G181" i="7"/>
  <c r="H569" i="7"/>
  <c r="F128" i="7"/>
  <c r="G467" i="7"/>
  <c r="P668" i="7"/>
  <c r="F220" i="7"/>
  <c r="O163" i="7"/>
  <c r="F360" i="7"/>
  <c r="L378" i="7"/>
  <c r="F190" i="7"/>
  <c r="G450" i="7"/>
  <c r="S305" i="7"/>
  <c r="F162" i="7"/>
  <c r="F549" i="7"/>
  <c r="P112" i="7"/>
  <c r="S478" i="7"/>
  <c r="M115" i="7"/>
  <c r="N239" i="7"/>
  <c r="G480" i="7"/>
  <c r="K76" i="7"/>
  <c r="S555" i="7"/>
  <c r="I413" i="7"/>
  <c r="S396" i="7"/>
  <c r="M428" i="7"/>
  <c r="L922" i="7"/>
  <c r="N671" i="7"/>
  <c r="G1304" i="7"/>
  <c r="F759" i="7"/>
  <c r="F540" i="7"/>
  <c r="P925" i="7"/>
  <c r="F517" i="7"/>
  <c r="I1066" i="7"/>
  <c r="K401" i="7"/>
  <c r="S640" i="7"/>
  <c r="K463" i="7"/>
  <c r="P872" i="7"/>
  <c r="S500" i="7"/>
  <c r="L320" i="7"/>
  <c r="K800" i="7"/>
  <c r="F560" i="7"/>
  <c r="I882" i="7"/>
  <c r="M1271" i="7"/>
  <c r="L341" i="7"/>
  <c r="O340" i="7"/>
  <c r="N523" i="7"/>
  <c r="P144" i="7"/>
  <c r="N578" i="7"/>
  <c r="S190" i="7"/>
  <c r="L277" i="7"/>
  <c r="P699" i="7"/>
  <c r="S358" i="7"/>
  <c r="M83" i="7"/>
  <c r="O309" i="7"/>
  <c r="P286" i="7"/>
  <c r="I652" i="7"/>
  <c r="H464" i="7"/>
  <c r="H109" i="7"/>
  <c r="K319" i="7"/>
  <c r="K469" i="7"/>
  <c r="S192" i="7"/>
  <c r="P974" i="7"/>
  <c r="H318" i="7"/>
  <c r="L727" i="7"/>
  <c r="N87" i="7"/>
  <c r="L991" i="7"/>
  <c r="O408" i="7"/>
  <c r="N452" i="7"/>
  <c r="K540" i="7"/>
  <c r="N405" i="7"/>
  <c r="G1189" i="7"/>
  <c r="S715" i="7"/>
  <c r="K597" i="7"/>
  <c r="O97" i="7"/>
  <c r="M1206" i="7"/>
  <c r="I234" i="7"/>
  <c r="N176" i="7"/>
  <c r="L1060" i="7"/>
  <c r="L318" i="7"/>
  <c r="M299" i="7"/>
  <c r="P599" i="7"/>
  <c r="K650" i="7"/>
  <c r="M1087" i="7"/>
  <c r="P1074" i="7"/>
  <c r="L1264" i="7"/>
  <c r="K179" i="7"/>
  <c r="S331" i="7"/>
  <c r="K793" i="7"/>
  <c r="S378" i="7"/>
  <c r="H568" i="7"/>
  <c r="F550" i="7"/>
  <c r="I462" i="7"/>
  <c r="P395" i="7"/>
  <c r="F1178" i="7"/>
  <c r="I445" i="7"/>
  <c r="K840" i="7"/>
  <c r="N1314" i="7"/>
  <c r="G972" i="7"/>
  <c r="O388" i="7"/>
  <c r="N445" i="7"/>
  <c r="S290" i="7"/>
  <c r="H285" i="7"/>
  <c r="K505" i="7"/>
  <c r="I139" i="7"/>
  <c r="G256" i="7"/>
  <c r="S173" i="7"/>
  <c r="P124" i="7"/>
  <c r="I1220" i="7"/>
  <c r="P534" i="7"/>
  <c r="F332" i="7"/>
  <c r="P919" i="7"/>
  <c r="G351" i="7"/>
  <c r="I436" i="7"/>
  <c r="H966" i="7"/>
  <c r="S130" i="7"/>
  <c r="L400" i="7"/>
  <c r="M273" i="7"/>
  <c r="L496" i="7"/>
  <c r="M497" i="7"/>
  <c r="N128" i="7"/>
  <c r="G139" i="7"/>
  <c r="O279" i="7"/>
  <c r="S236" i="7"/>
  <c r="N171" i="7"/>
  <c r="H775" i="7"/>
  <c r="M480" i="7"/>
  <c r="N425" i="7"/>
  <c r="P1187" i="7"/>
  <c r="N510" i="7"/>
  <c r="N478" i="7"/>
  <c r="P1207" i="7"/>
  <c r="N149" i="7"/>
  <c r="P518" i="7"/>
  <c r="I666" i="7"/>
  <c r="S465" i="7"/>
  <c r="M455" i="7"/>
  <c r="L870" i="7"/>
  <c r="S352" i="7"/>
  <c r="M80" i="7"/>
  <c r="I985" i="7"/>
  <c r="M1290" i="7"/>
  <c r="K978" i="7"/>
  <c r="O582" i="7"/>
  <c r="H242" i="7"/>
  <c r="G265" i="7"/>
  <c r="N130" i="7"/>
  <c r="P415" i="7"/>
  <c r="K114" i="7"/>
  <c r="O259" i="7"/>
  <c r="F294" i="7"/>
  <c r="M84" i="7"/>
  <c r="G192" i="7"/>
  <c r="O1121" i="7"/>
  <c r="H350" i="7"/>
  <c r="K446" i="7"/>
  <c r="G1172" i="7"/>
  <c r="F329" i="7"/>
  <c r="O166" i="7"/>
  <c r="N277" i="7"/>
  <c r="G344" i="7"/>
  <c r="P82" i="7"/>
  <c r="M496" i="7"/>
  <c r="H319" i="7"/>
  <c r="N410" i="7"/>
  <c r="I1301" i="7"/>
  <c r="I1146" i="7"/>
  <c r="P357" i="7"/>
  <c r="M1306" i="7"/>
  <c r="H76" i="7"/>
  <c r="S1122" i="7"/>
  <c r="L689" i="7"/>
  <c r="G386" i="7"/>
  <c r="L303" i="7"/>
  <c r="I527" i="7"/>
  <c r="G508" i="7"/>
  <c r="L513" i="7"/>
  <c r="P280" i="7"/>
  <c r="G342" i="7"/>
  <c r="G587" i="7"/>
  <c r="I468" i="7"/>
  <c r="M685" i="7"/>
  <c r="N891" i="7"/>
  <c r="P363" i="7"/>
  <c r="S884" i="7"/>
  <c r="K243" i="7"/>
  <c r="H245" i="7"/>
  <c r="F533" i="7"/>
  <c r="N1240" i="7"/>
  <c r="O88" i="7"/>
  <c r="I140" i="7"/>
  <c r="P266" i="7"/>
  <c r="G563" i="7"/>
  <c r="P404" i="7"/>
  <c r="H948" i="7"/>
  <c r="N503" i="7"/>
  <c r="F972" i="7"/>
  <c r="P521" i="7"/>
  <c r="L795" i="7"/>
  <c r="G322" i="7"/>
  <c r="I257" i="7"/>
  <c r="G76" i="7"/>
  <c r="F237" i="7"/>
  <c r="L167" i="7"/>
  <c r="O474" i="7"/>
  <c r="O567" i="7"/>
  <c r="O314" i="7"/>
  <c r="L255" i="7"/>
  <c r="N184" i="7"/>
  <c r="H101" i="7"/>
  <c r="L238" i="7"/>
  <c r="I143" i="7"/>
  <c r="G375" i="7"/>
  <c r="L231" i="7"/>
  <c r="G100" i="7"/>
  <c r="H90" i="7"/>
  <c r="I134" i="7"/>
  <c r="L163" i="7"/>
  <c r="L586" i="7"/>
  <c r="S607" i="7"/>
  <c r="S284" i="7"/>
  <c r="M674" i="7"/>
  <c r="S106" i="7"/>
  <c r="G158" i="7"/>
  <c r="M215" i="7"/>
  <c r="K146" i="7"/>
  <c r="K413" i="7"/>
  <c r="H241" i="7"/>
  <c r="N255" i="7"/>
  <c r="P76" i="7"/>
  <c r="O253" i="7"/>
  <c r="S411" i="7"/>
  <c r="M75" i="7"/>
  <c r="O219" i="7"/>
  <c r="L435" i="7"/>
  <c r="F87" i="7"/>
  <c r="F279" i="7"/>
  <c r="K144" i="7"/>
  <c r="F394" i="7"/>
  <c r="N547" i="7"/>
  <c r="H131" i="7"/>
  <c r="K397" i="7"/>
  <c r="N122" i="7"/>
  <c r="G475" i="7"/>
  <c r="P1101" i="7"/>
  <c r="K220" i="7"/>
  <c r="H668" i="7"/>
  <c r="M490" i="7"/>
  <c r="H75" i="7"/>
  <c r="G393" i="7"/>
  <c r="N509" i="7"/>
  <c r="M510" i="7"/>
  <c r="N391" i="7"/>
  <c r="N167" i="7"/>
  <c r="N92" i="7"/>
  <c r="K492" i="7"/>
  <c r="N245" i="7"/>
  <c r="I595" i="7"/>
  <c r="P238" i="7"/>
  <c r="O149" i="7"/>
  <c r="O241" i="7"/>
  <c r="O171" i="7"/>
  <c r="F1175" i="7"/>
  <c r="S340" i="7"/>
  <c r="G196" i="7"/>
  <c r="S255" i="7"/>
  <c r="S562" i="7"/>
  <c r="M151" i="7"/>
  <c r="G282" i="7"/>
  <c r="G545" i="7"/>
  <c r="N136" i="7"/>
  <c r="N361" i="7"/>
  <c r="H217" i="7"/>
  <c r="P236" i="7"/>
  <c r="S156" i="7"/>
  <c r="P109" i="7"/>
  <c r="G596" i="7"/>
  <c r="I477" i="7"/>
  <c r="P353" i="7"/>
  <c r="N316" i="7"/>
  <c r="M231" i="7"/>
  <c r="M182" i="7"/>
  <c r="K315" i="7"/>
  <c r="P317" i="7"/>
  <c r="M184" i="7"/>
  <c r="S563" i="7"/>
  <c r="I548" i="7"/>
  <c r="N91" i="7"/>
  <c r="F358" i="7"/>
  <c r="S189" i="7"/>
  <c r="L340" i="7"/>
  <c r="P494" i="7"/>
  <c r="N159" i="7"/>
  <c r="I279" i="7"/>
  <c r="H1239" i="7"/>
  <c r="I348" i="7"/>
  <c r="L111" i="7"/>
  <c r="I1245" i="7"/>
  <c r="G149" i="7"/>
  <c r="M347" i="7"/>
  <c r="L575" i="7"/>
  <c r="P282" i="7"/>
  <c r="K369" i="7"/>
  <c r="I354" i="7"/>
  <c r="H325" i="7"/>
  <c r="M550" i="7"/>
  <c r="L154" i="7"/>
  <c r="O82" i="7"/>
  <c r="H88" i="7"/>
  <c r="O548" i="7"/>
  <c r="O252" i="7"/>
  <c r="S126" i="7"/>
  <c r="F236" i="7"/>
  <c r="F523" i="7"/>
  <c r="I568" i="7"/>
  <c r="I112" i="7"/>
  <c r="I939" i="7"/>
  <c r="H330" i="7"/>
  <c r="M418" i="7"/>
  <c r="F109" i="7"/>
  <c r="P332" i="7"/>
  <c r="I171" i="7"/>
  <c r="I163" i="7"/>
  <c r="O83" i="7"/>
  <c r="F240" i="7"/>
  <c r="K248" i="7"/>
  <c r="N416" i="7"/>
  <c r="N187" i="7"/>
  <c r="M253" i="7"/>
  <c r="P97" i="7"/>
  <c r="F603" i="7"/>
  <c r="O493" i="7"/>
  <c r="G171" i="7"/>
  <c r="F230" i="7"/>
  <c r="F536" i="7"/>
  <c r="F371" i="7"/>
  <c r="I138" i="7"/>
  <c r="K390" i="7"/>
  <c r="L137" i="7"/>
  <c r="I901" i="7"/>
  <c r="S295" i="7"/>
  <c r="G138" i="7"/>
  <c r="I733" i="7"/>
  <c r="K314" i="7"/>
  <c r="F326" i="7"/>
  <c r="N369" i="7"/>
  <c r="F335" i="7"/>
  <c r="N795" i="7"/>
  <c r="G365" i="7"/>
  <c r="S276" i="7"/>
  <c r="F1240" i="7"/>
  <c r="K433" i="7"/>
  <c r="I292" i="7"/>
  <c r="H344" i="7"/>
  <c r="L594" i="7"/>
  <c r="S395" i="7"/>
  <c r="I148" i="7"/>
  <c r="P256" i="7"/>
  <c r="K158" i="7"/>
  <c r="P239" i="7"/>
  <c r="M466" i="7"/>
  <c r="F565" i="7"/>
  <c r="O174" i="7"/>
  <c r="S469" i="7"/>
  <c r="O258" i="7"/>
  <c r="H615" i="7"/>
  <c r="H115" i="7"/>
  <c r="S373" i="7"/>
  <c r="P165" i="7"/>
  <c r="I110" i="7"/>
  <c r="M578" i="7"/>
  <c r="K189" i="7"/>
  <c r="I231" i="7"/>
  <c r="S213" i="7"/>
  <c r="P514" i="7"/>
  <c r="P127" i="7"/>
  <c r="N177" i="7"/>
  <c r="M275" i="7"/>
  <c r="P158" i="7"/>
  <c r="I261" i="7"/>
  <c r="P167" i="7"/>
  <c r="I250" i="7"/>
  <c r="L933" i="7"/>
  <c r="S604" i="7"/>
  <c r="L334" i="7"/>
  <c r="S891" i="7"/>
  <c r="S291" i="7"/>
  <c r="H438" i="7"/>
  <c r="H1105" i="7"/>
  <c r="G522" i="7"/>
  <c r="I1207" i="7"/>
  <c r="M844" i="7"/>
  <c r="G1039" i="7"/>
  <c r="S1319" i="7"/>
  <c r="G178" i="7"/>
  <c r="K337" i="7"/>
  <c r="S1249" i="7"/>
  <c r="S844" i="7"/>
  <c r="P957" i="7"/>
  <c r="I264" i="7"/>
  <c r="P582" i="7"/>
  <c r="O965" i="7"/>
  <c r="L155" i="7"/>
  <c r="F578" i="7"/>
  <c r="O308" i="7"/>
  <c r="F1252" i="7"/>
  <c r="H586" i="7"/>
  <c r="N715" i="7"/>
  <c r="S346" i="7"/>
  <c r="O89" i="7"/>
  <c r="S1242" i="7"/>
  <c r="G335" i="7"/>
  <c r="K304" i="7"/>
  <c r="K345" i="7"/>
  <c r="I1040" i="7"/>
  <c r="K1261" i="7"/>
  <c r="F481" i="7"/>
  <c r="P1181" i="7"/>
  <c r="G362" i="7"/>
  <c r="K1182" i="7"/>
  <c r="K497" i="7"/>
  <c r="H326" i="7"/>
  <c r="O242" i="7"/>
  <c r="K1242" i="7"/>
  <c r="S179" i="7"/>
  <c r="O502" i="7"/>
  <c r="P1085" i="7"/>
  <c r="L300" i="7"/>
  <c r="N1212" i="7"/>
  <c r="F521" i="7"/>
  <c r="G1113" i="7"/>
  <c r="N544" i="7"/>
  <c r="F90" i="7"/>
  <c r="L293" i="7"/>
  <c r="N571" i="7"/>
  <c r="M267" i="7"/>
  <c r="P832" i="7"/>
  <c r="H362" i="7"/>
  <c r="M437" i="7"/>
  <c r="M515" i="7"/>
  <c r="M637" i="7"/>
  <c r="N1301" i="7"/>
  <c r="M362" i="7"/>
  <c r="P1022" i="7"/>
  <c r="H136" i="7"/>
  <c r="K365" i="7"/>
  <c r="G262" i="7"/>
  <c r="G346" i="7"/>
  <c r="K567" i="7"/>
  <c r="G248" i="7"/>
  <c r="F455" i="7"/>
  <c r="K236" i="7"/>
  <c r="L593" i="7"/>
  <c r="K582" i="7"/>
  <c r="H400" i="7"/>
  <c r="O405" i="7"/>
  <c r="K364" i="7"/>
  <c r="I1006" i="7"/>
  <c r="N331" i="7"/>
  <c r="N169" i="7"/>
  <c r="H111" i="7"/>
  <c r="G237" i="7"/>
  <c r="H583" i="7"/>
  <c r="H194" i="7"/>
  <c r="I213" i="7"/>
  <c r="O565" i="7"/>
  <c r="H397" i="7"/>
  <c r="K1092" i="7"/>
  <c r="H378" i="7"/>
  <c r="G1025" i="7"/>
  <c r="G698" i="7"/>
  <c r="H1181" i="7"/>
  <c r="I304" i="7"/>
  <c r="G209" i="7"/>
  <c r="H412" i="7"/>
  <c r="L77" i="7"/>
  <c r="I636" i="7"/>
  <c r="F260" i="7"/>
  <c r="H313" i="7"/>
  <c r="H622" i="7"/>
  <c r="G116" i="7"/>
  <c r="I319" i="7"/>
  <c r="L133" i="7"/>
  <c r="I970" i="7"/>
  <c r="K1319" i="7"/>
  <c r="P448" i="7"/>
  <c r="S522" i="7"/>
  <c r="S223" i="7"/>
  <c r="I525" i="7"/>
  <c r="K1083" i="7"/>
  <c r="N414" i="7"/>
  <c r="G569" i="7"/>
  <c r="M197" i="7"/>
  <c r="G435" i="7"/>
  <c r="N458" i="7"/>
  <c r="K901" i="7"/>
  <c r="O101" i="7"/>
  <c r="P244" i="7"/>
  <c r="G183" i="7"/>
  <c r="I1237" i="7"/>
  <c r="L540" i="7"/>
  <c r="G1191" i="7"/>
  <c r="L552" i="7"/>
  <c r="K223" i="7"/>
  <c r="M164" i="7"/>
  <c r="I536" i="7"/>
  <c r="M257" i="7"/>
  <c r="H488" i="7"/>
  <c r="H308" i="7"/>
  <c r="L110" i="7"/>
  <c r="K217" i="7"/>
  <c r="K199" i="7"/>
  <c r="M1198" i="7"/>
  <c r="G442" i="7"/>
  <c r="G614" i="7"/>
  <c r="O230" i="7"/>
  <c r="K100" i="7"/>
  <c r="K995" i="7"/>
  <c r="I116" i="7"/>
  <c r="O552" i="7"/>
  <c r="S511" i="7"/>
  <c r="K214" i="7"/>
  <c r="L385" i="7"/>
  <c r="H662" i="7"/>
  <c r="G88" i="7"/>
  <c r="F580" i="7"/>
  <c r="K1175" i="7"/>
  <c r="L637" i="7"/>
  <c r="M491" i="7"/>
  <c r="F583" i="7"/>
  <c r="G1320" i="7"/>
  <c r="K181" i="7"/>
  <c r="L76" i="7"/>
  <c r="O1245" i="7"/>
  <c r="P338" i="7"/>
  <c r="M639" i="7"/>
  <c r="M160" i="7"/>
  <c r="P817" i="7"/>
  <c r="N916" i="7"/>
  <c r="M187" i="7"/>
  <c r="S1235" i="7"/>
  <c r="I478" i="7"/>
  <c r="F803" i="7"/>
  <c r="F546" i="7"/>
  <c r="P581" i="7"/>
  <c r="I197" i="7"/>
  <c r="G291" i="7"/>
  <c r="P1168" i="7"/>
  <c r="O436" i="7"/>
  <c r="S1142" i="7"/>
  <c r="M271" i="7"/>
  <c r="H825" i="7"/>
  <c r="G1317" i="7"/>
  <c r="I389" i="7"/>
  <c r="H229" i="7"/>
  <c r="G1298" i="7"/>
  <c r="K351" i="7"/>
  <c r="N235" i="7"/>
  <c r="P316" i="7"/>
  <c r="G550" i="7"/>
  <c r="O321" i="7"/>
  <c r="I241" i="7"/>
  <c r="H439" i="7"/>
  <c r="L1319" i="7"/>
  <c r="M718" i="7"/>
  <c r="P437" i="7"/>
  <c r="I491" i="7"/>
  <c r="P547" i="7"/>
  <c r="M298" i="7"/>
  <c r="M268" i="7"/>
  <c r="L261" i="7"/>
  <c r="P300" i="7"/>
  <c r="P265" i="7"/>
  <c r="M284" i="7"/>
  <c r="N131" i="7"/>
  <c r="L205" i="7"/>
  <c r="O662" i="7"/>
  <c r="N120" i="7"/>
  <c r="H167" i="7"/>
  <c r="N932" i="7"/>
  <c r="O105" i="7"/>
  <c r="S219" i="7"/>
  <c r="N467" i="7"/>
  <c r="P270" i="7"/>
  <c r="F350" i="7"/>
  <c r="O175" i="7"/>
  <c r="N155" i="7"/>
  <c r="P497" i="7"/>
  <c r="L260" i="7"/>
  <c r="L207" i="7"/>
  <c r="G91" i="7"/>
  <c r="M280" i="7"/>
  <c r="P133" i="7"/>
  <c r="I567" i="7"/>
  <c r="G760" i="7"/>
  <c r="M549" i="7"/>
  <c r="S242" i="7"/>
  <c r="I603" i="7"/>
  <c r="S566" i="7"/>
  <c r="I258" i="7"/>
  <c r="M81" i="7"/>
  <c r="P527" i="7"/>
  <c r="N585" i="7"/>
  <c r="H365" i="7"/>
  <c r="P208" i="7"/>
  <c r="L210" i="7"/>
  <c r="S167" i="7"/>
  <c r="I122" i="7"/>
  <c r="H154" i="7"/>
  <c r="N325" i="7"/>
  <c r="O371" i="7"/>
  <c r="G408" i="7"/>
  <c r="G273" i="7"/>
  <c r="P185" i="7"/>
  <c r="K134" i="7"/>
  <c r="L204" i="7"/>
  <c r="O299" i="7"/>
  <c r="F123" i="7"/>
  <c r="O112" i="7"/>
  <c r="G182" i="7"/>
  <c r="I77" i="7"/>
  <c r="P289" i="7"/>
  <c r="H96" i="7"/>
  <c r="G343" i="7"/>
  <c r="N233" i="7"/>
  <c r="M536" i="7"/>
  <c r="P126" i="7"/>
  <c r="I314" i="7"/>
  <c r="P101" i="7"/>
  <c r="G224" i="7"/>
  <c r="S265" i="7"/>
  <c r="M241" i="7"/>
  <c r="G571" i="7"/>
  <c r="S113" i="7"/>
  <c r="G505" i="7"/>
  <c r="I267" i="7"/>
  <c r="O400" i="7"/>
  <c r="P355" i="7"/>
  <c r="S210" i="7"/>
  <c r="H632" i="7"/>
  <c r="H195" i="7"/>
  <c r="I146" i="7"/>
  <c r="I375" i="7"/>
  <c r="S186" i="7"/>
  <c r="F167" i="7"/>
  <c r="P75" i="7"/>
  <c r="G134" i="7"/>
  <c r="S105" i="7"/>
  <c r="P1235" i="7"/>
  <c r="P571" i="7"/>
  <c r="M507" i="7"/>
  <c r="M234" i="7"/>
  <c r="M603" i="7"/>
  <c r="M278" i="7"/>
  <c r="G298" i="7"/>
  <c r="M105" i="7"/>
  <c r="F88" i="7"/>
  <c r="S136" i="7"/>
  <c r="P567" i="7"/>
  <c r="K300" i="7"/>
  <c r="F384" i="7"/>
  <c r="F559" i="7"/>
  <c r="K285" i="7"/>
  <c r="K490" i="7"/>
  <c r="F450" i="7"/>
  <c r="N154" i="7"/>
  <c r="N114" i="7"/>
  <c r="H268" i="7"/>
  <c r="I179" i="7"/>
  <c r="N207" i="7"/>
  <c r="H496" i="7"/>
  <c r="M244" i="7"/>
  <c r="I114" i="7"/>
  <c r="G293" i="7"/>
  <c r="H353" i="7"/>
  <c r="N359" i="7"/>
  <c r="F1261" i="7"/>
  <c r="K498" i="7"/>
  <c r="H169" i="7"/>
  <c r="N218" i="7"/>
  <c r="L145" i="7"/>
  <c r="N508" i="7"/>
  <c r="P416" i="7"/>
  <c r="P371" i="7"/>
  <c r="G84" i="7"/>
  <c r="P134" i="7"/>
  <c r="P839" i="7"/>
  <c r="G601" i="7"/>
  <c r="O497" i="7"/>
  <c r="G77" i="7"/>
  <c r="M294" i="7"/>
  <c r="S374" i="7"/>
  <c r="H549" i="7"/>
  <c r="F186" i="7"/>
  <c r="G356" i="7"/>
  <c r="S600" i="7"/>
  <c r="I245" i="7"/>
  <c r="S154" i="7"/>
  <c r="O243" i="7"/>
  <c r="M343" i="7"/>
  <c r="I337" i="7"/>
  <c r="G95" i="7"/>
  <c r="N920" i="7"/>
  <c r="M309" i="7"/>
  <c r="N431" i="7"/>
  <c r="K85" i="7"/>
  <c r="I105" i="7"/>
  <c r="G378" i="7"/>
  <c r="G160" i="7"/>
  <c r="L230" i="7"/>
  <c r="G309" i="7"/>
  <c r="M127" i="7"/>
  <c r="N129" i="7"/>
  <c r="H462" i="7"/>
  <c r="K260" i="7"/>
  <c r="N160" i="7"/>
  <c r="P537" i="7"/>
  <c r="M243" i="7"/>
  <c r="L587" i="7"/>
  <c r="O201" i="7"/>
  <c r="N267" i="7"/>
  <c r="K201" i="7"/>
  <c r="P375" i="7"/>
  <c r="G245" i="7"/>
  <c r="G125" i="7"/>
  <c r="M514" i="7"/>
  <c r="F111" i="7"/>
  <c r="K195" i="7"/>
  <c r="M186" i="7"/>
  <c r="O114" i="7"/>
  <c r="M465" i="7"/>
  <c r="M495" i="7"/>
  <c r="N279" i="7"/>
  <c r="O148" i="7"/>
  <c r="L82" i="7"/>
  <c r="N451" i="7"/>
  <c r="S542" i="7"/>
  <c r="P580" i="7"/>
  <c r="N549" i="7"/>
  <c r="G252" i="7"/>
  <c r="M787" i="7"/>
  <c r="H215" i="7"/>
  <c r="O173" i="7"/>
  <c r="G101" i="7"/>
  <c r="G868" i="7"/>
  <c r="N399" i="7"/>
  <c r="N1199" i="7"/>
  <c r="G1071" i="7"/>
  <c r="S1059" i="7"/>
  <c r="F1202" i="7"/>
  <c r="S588" i="7"/>
  <c r="H481" i="7"/>
  <c r="M1039" i="7"/>
  <c r="P576" i="7"/>
  <c r="S350" i="7"/>
  <c r="H639" i="7"/>
  <c r="G1194" i="7"/>
  <c r="P319" i="7"/>
  <c r="K903" i="7"/>
  <c r="F568" i="7"/>
  <c r="K435" i="7"/>
  <c r="K1044" i="7"/>
  <c r="N460" i="7"/>
  <c r="N923" i="7"/>
  <c r="K363" i="7"/>
  <c r="S264" i="7"/>
  <c r="L1297" i="7"/>
  <c r="N455" i="7"/>
  <c r="F480" i="7"/>
  <c r="F157" i="7"/>
  <c r="I930" i="7"/>
  <c r="O194" i="7"/>
  <c r="G348" i="7"/>
  <c r="I701" i="7"/>
  <c r="P1196" i="7"/>
  <c r="I1174" i="7"/>
  <c r="S930" i="7"/>
  <c r="L401" i="7"/>
  <c r="P587" i="7"/>
  <c r="K592" i="7"/>
  <c r="S793" i="7"/>
  <c r="P758" i="7"/>
  <c r="K286" i="7"/>
  <c r="S218" i="7"/>
  <c r="I390" i="7"/>
  <c r="I315" i="7"/>
  <c r="F768" i="7"/>
  <c r="P509" i="7"/>
  <c r="G399" i="7"/>
  <c r="M905" i="7"/>
  <c r="F1056" i="7"/>
  <c r="N528" i="7"/>
  <c r="M1270" i="7"/>
  <c r="P480" i="7"/>
  <c r="N560" i="7"/>
  <c r="O1175" i="7"/>
  <c r="G141" i="7"/>
  <c r="O837" i="7"/>
  <c r="N247" i="7"/>
  <c r="F589" i="7"/>
  <c r="S198" i="7"/>
  <c r="O447" i="7"/>
  <c r="H1296" i="7"/>
  <c r="H456" i="7"/>
  <c r="L1238" i="7"/>
  <c r="M722" i="7"/>
  <c r="P118" i="7"/>
  <c r="S309" i="7"/>
  <c r="O972" i="7"/>
  <c r="N139" i="7"/>
  <c r="L240" i="7"/>
  <c r="I587" i="7"/>
  <c r="F338" i="7"/>
  <c r="K436" i="7"/>
  <c r="M371" i="7"/>
  <c r="M586" i="7"/>
  <c r="S792" i="7"/>
  <c r="L511" i="7"/>
  <c r="P215" i="7"/>
  <c r="M572" i="7"/>
  <c r="I81" i="7"/>
  <c r="P235" i="7"/>
  <c r="M223" i="7"/>
  <c r="N189" i="7"/>
  <c r="P159" i="7"/>
  <c r="I248" i="7"/>
  <c r="F277" i="7"/>
  <c r="H454" i="7"/>
  <c r="P920" i="7"/>
  <c r="G229" i="7"/>
  <c r="F366" i="7"/>
  <c r="S880" i="7"/>
  <c r="N1088" i="7"/>
  <c r="G1241" i="7"/>
  <c r="L370" i="7"/>
  <c r="S1035" i="7"/>
  <c r="S527" i="7"/>
  <c r="P91" i="7"/>
  <c r="I308" i="7"/>
  <c r="L487" i="7"/>
  <c r="L1205" i="7"/>
  <c r="F482" i="7"/>
  <c r="H102" i="7"/>
  <c r="S722" i="7"/>
  <c r="P487" i="7"/>
  <c r="O468" i="7"/>
  <c r="G905" i="7"/>
  <c r="I473" i="7"/>
  <c r="K405" i="7"/>
  <c r="M286" i="7"/>
  <c r="O430" i="7"/>
  <c r="F1021" i="7"/>
  <c r="H312" i="7"/>
  <c r="K210" i="7"/>
  <c r="K262" i="7"/>
  <c r="L480" i="7"/>
  <c r="I349" i="7"/>
  <c r="I435" i="7"/>
  <c r="H577" i="7"/>
  <c r="G355" i="7"/>
  <c r="F477" i="7"/>
  <c r="N602" i="7"/>
  <c r="G947" i="7"/>
  <c r="M1043" i="7"/>
  <c r="L90" i="7"/>
  <c r="P674" i="7"/>
  <c r="F591" i="7"/>
  <c r="M397" i="7"/>
  <c r="L202" i="7"/>
  <c r="M568" i="7"/>
  <c r="S302" i="7"/>
  <c r="L515" i="7"/>
  <c r="G485" i="7"/>
  <c r="M1060" i="7"/>
  <c r="S882" i="7"/>
  <c r="H786" i="7"/>
  <c r="F642" i="7"/>
  <c r="G476" i="7"/>
  <c r="H415" i="7"/>
  <c r="G1238" i="7"/>
  <c r="F164" i="7"/>
  <c r="P379" i="7"/>
  <c r="O146" i="7"/>
  <c r="I559" i="7"/>
  <c r="G472" i="7"/>
  <c r="H452" i="7"/>
  <c r="L416" i="7"/>
  <c r="F799" i="7"/>
  <c r="M976" i="7"/>
  <c r="M472" i="7"/>
  <c r="O352" i="7"/>
  <c r="K1053" i="7"/>
  <c r="I1297" i="7"/>
  <c r="O1031" i="7"/>
  <c r="L963" i="7"/>
  <c r="L596" i="7"/>
  <c r="G503" i="7"/>
  <c r="K447" i="7"/>
  <c r="F490" i="7"/>
  <c r="N182" i="7"/>
  <c r="F585" i="7"/>
  <c r="M307" i="7"/>
  <c r="P557" i="7"/>
  <c r="K1139" i="7"/>
  <c r="H1149" i="7"/>
  <c r="G361" i="7"/>
  <c r="K441" i="7"/>
  <c r="F576" i="7"/>
  <c r="S330" i="7"/>
  <c r="O872" i="7"/>
  <c r="M544" i="7"/>
  <c r="L779" i="7"/>
  <c r="L355" i="7"/>
  <c r="O583" i="7"/>
  <c r="P471" i="7"/>
  <c r="M463" i="7"/>
  <c r="P714" i="7"/>
  <c r="S712" i="7"/>
  <c r="I364" i="7"/>
  <c r="K373" i="7"/>
  <c r="H373" i="7"/>
  <c r="P290" i="7"/>
  <c r="K334" i="7"/>
  <c r="N317" i="7"/>
  <c r="P359" i="7"/>
  <c r="F195" i="7"/>
  <c r="P1149" i="7"/>
  <c r="N531" i="7"/>
  <c r="S593" i="7"/>
  <c r="F976" i="7"/>
  <c r="N554" i="7"/>
  <c r="P452" i="7"/>
  <c r="K495" i="7"/>
  <c r="N85" i="7"/>
  <c r="N517" i="7"/>
  <c r="S402" i="7"/>
  <c r="H171" i="7"/>
  <c r="P273" i="7"/>
  <c r="O264" i="7"/>
  <c r="I181" i="7"/>
  <c r="P107" i="7"/>
  <c r="L105" i="7"/>
  <c r="O91" i="7"/>
  <c r="P970" i="7"/>
  <c r="P759" i="7"/>
  <c r="S306" i="7"/>
  <c r="O948" i="7"/>
  <c r="P391" i="7"/>
  <c r="F494" i="7"/>
  <c r="P513" i="7"/>
  <c r="F181" i="7"/>
  <c r="L492" i="7"/>
  <c r="O1128" i="7"/>
  <c r="F444" i="7"/>
  <c r="F143" i="7"/>
  <c r="O104" i="7"/>
  <c r="L140" i="7"/>
  <c r="N367" i="7"/>
  <c r="N546" i="7"/>
  <c r="P278" i="7"/>
  <c r="G526" i="7"/>
  <c r="K93" i="7"/>
  <c r="M124" i="7"/>
  <c r="H393" i="7"/>
  <c r="F115" i="7"/>
  <c r="K91" i="7"/>
  <c r="N506" i="7"/>
  <c r="K212" i="7"/>
  <c r="M180" i="7"/>
  <c r="S145" i="7"/>
  <c r="G195" i="7"/>
  <c r="M327" i="7"/>
  <c r="I341" i="7"/>
  <c r="I93" i="7"/>
  <c r="P99" i="7"/>
  <c r="S97" i="7"/>
  <c r="K182" i="7"/>
  <c r="L269" i="7"/>
  <c r="F139" i="7"/>
  <c r="G270" i="7"/>
  <c r="G106" i="7"/>
  <c r="O130" i="7"/>
  <c r="L531" i="7"/>
  <c r="N193" i="7"/>
  <c r="O397" i="7"/>
  <c r="K183" i="7"/>
  <c r="P849" i="7"/>
  <c r="P92" i="7"/>
  <c r="I293" i="7"/>
  <c r="O348" i="7"/>
  <c r="N419" i="7"/>
  <c r="L135" i="7"/>
  <c r="S514" i="7"/>
  <c r="F514" i="7"/>
  <c r="G469" i="7"/>
  <c r="I216" i="7"/>
  <c r="K464" i="7"/>
  <c r="N598" i="7"/>
  <c r="P255" i="7"/>
  <c r="O190" i="7"/>
  <c r="L220" i="7"/>
  <c r="H258" i="7"/>
  <c r="P1282" i="7"/>
  <c r="L365" i="7"/>
  <c r="L566" i="7"/>
  <c r="O189" i="7"/>
  <c r="P312" i="7"/>
  <c r="P485" i="7"/>
  <c r="O285" i="7"/>
  <c r="S176" i="7"/>
  <c r="O587" i="7"/>
  <c r="G338" i="7"/>
  <c r="S493" i="7"/>
  <c r="L430" i="7"/>
  <c r="S385" i="7"/>
  <c r="N584" i="7"/>
  <c r="G333" i="7"/>
  <c r="I533" i="7"/>
  <c r="I100" i="7"/>
  <c r="I269" i="7"/>
  <c r="S153" i="7"/>
  <c r="F255" i="7"/>
  <c r="L84" i="7"/>
  <c r="K722" i="7"/>
  <c r="N119" i="7"/>
  <c r="O590" i="7"/>
  <c r="O508" i="7"/>
  <c r="M194" i="7"/>
  <c r="G246" i="7"/>
  <c r="I88" i="7"/>
  <c r="O86" i="7"/>
  <c r="M417" i="7"/>
  <c r="O185" i="7"/>
  <c r="M120" i="7"/>
  <c r="G89" i="7"/>
  <c r="K261" i="7"/>
  <c r="F438" i="7"/>
  <c r="M313" i="7"/>
  <c r="F130" i="7"/>
  <c r="I418" i="7"/>
  <c r="S121" i="7"/>
  <c r="I219" i="7"/>
  <c r="G542" i="7"/>
  <c r="S245" i="7"/>
  <c r="S375" i="7"/>
  <c r="I95" i="7"/>
  <c r="L503" i="7"/>
  <c r="G919" i="7"/>
  <c r="N197" i="7"/>
  <c r="F430" i="7"/>
  <c r="L287" i="7"/>
  <c r="I180" i="7"/>
  <c r="S444" i="7"/>
  <c r="M227" i="7"/>
  <c r="I220" i="7"/>
  <c r="H184" i="7"/>
  <c r="F107" i="7"/>
  <c r="O193" i="7"/>
  <c r="G267" i="7"/>
  <c r="N294" i="7"/>
  <c r="H599" i="7"/>
  <c r="S85" i="7"/>
  <c r="P442" i="7"/>
  <c r="L288" i="7"/>
  <c r="M1242" i="7"/>
  <c r="M201" i="7"/>
  <c r="S93" i="7"/>
  <c r="L326" i="7"/>
  <c r="H592" i="7"/>
  <c r="K415" i="7"/>
  <c r="S356" i="7"/>
  <c r="H244" i="7"/>
  <c r="P545" i="7"/>
  <c r="O329" i="7"/>
  <c r="L461" i="7"/>
  <c r="G325" i="7"/>
  <c r="K340" i="7"/>
  <c r="K389" i="7"/>
  <c r="S193" i="7"/>
  <c r="P402" i="7"/>
  <c r="K113" i="7"/>
  <c r="P600" i="7"/>
  <c r="N299" i="7"/>
  <c r="G201" i="7"/>
  <c r="L136" i="7"/>
  <c r="K140" i="7"/>
  <c r="N228" i="7"/>
  <c r="K240" i="7"/>
  <c r="O277" i="7"/>
  <c r="O437" i="7"/>
  <c r="O187" i="7"/>
  <c r="I104" i="7"/>
  <c r="P106" i="7"/>
  <c r="N262" i="7"/>
  <c r="H228" i="7"/>
  <c r="F173" i="7"/>
  <c r="K542" i="7"/>
  <c r="L330" i="7"/>
  <c r="O177" i="7"/>
  <c r="P249" i="7"/>
  <c r="N368" i="7"/>
  <c r="H342" i="7"/>
  <c r="I556" i="7"/>
  <c r="I265" i="7"/>
  <c r="I274" i="7"/>
  <c r="P287" i="7"/>
  <c r="M1125" i="7"/>
  <c r="S800" i="7"/>
  <c r="F951" i="7"/>
  <c r="S915" i="7"/>
  <c r="P841" i="7"/>
  <c r="M518" i="7"/>
  <c r="N259" i="7"/>
  <c r="L715" i="7"/>
  <c r="M306" i="7"/>
  <c r="M779" i="7"/>
  <c r="I1202" i="7"/>
  <c r="M1200" i="7"/>
  <c r="N461" i="7"/>
  <c r="I1004" i="7"/>
  <c r="M382" i="7"/>
  <c r="K1062" i="7"/>
  <c r="F354" i="7"/>
  <c r="I392" i="7"/>
  <c r="G1046" i="7"/>
  <c r="G1289" i="7"/>
  <c r="N474" i="7"/>
  <c r="O504" i="7"/>
  <c r="L91" i="7"/>
  <c r="H230" i="7"/>
  <c r="H509" i="7"/>
  <c r="P381" i="7"/>
  <c r="H107" i="7"/>
  <c r="F136" i="7"/>
  <c r="M958" i="7"/>
  <c r="O509" i="7"/>
  <c r="S1124" i="7"/>
  <c r="G294" i="7"/>
  <c r="G389" i="7"/>
  <c r="I535" i="7"/>
  <c r="I467" i="7"/>
  <c r="F547" i="7"/>
  <c r="L514" i="7"/>
  <c r="S345" i="7"/>
  <c r="P439" i="7"/>
  <c r="N496" i="7"/>
  <c r="F275" i="7"/>
  <c r="K651" i="7"/>
  <c r="I120" i="7"/>
  <c r="P212" i="7"/>
  <c r="I575" i="7"/>
  <c r="N522" i="7"/>
  <c r="M903" i="7"/>
  <c r="G541" i="7"/>
  <c r="F906" i="7"/>
  <c r="I330" i="7"/>
  <c r="H965" i="7"/>
  <c r="K440" i="7"/>
  <c r="K271" i="7"/>
  <c r="L290" i="7"/>
  <c r="I367" i="7"/>
  <c r="S184" i="7"/>
  <c r="I198" i="7"/>
  <c r="N1060" i="7"/>
  <c r="L495" i="7"/>
  <c r="S544" i="7"/>
  <c r="N873" i="7"/>
  <c r="S443" i="7"/>
  <c r="F209" i="7"/>
  <c r="M316" i="7"/>
  <c r="I795" i="7"/>
  <c r="L674" i="7"/>
  <c r="F223" i="7"/>
  <c r="N263" i="7"/>
  <c r="F596" i="7"/>
  <c r="M325" i="7"/>
  <c r="K526" i="7"/>
  <c r="L339" i="7"/>
  <c r="M932" i="7"/>
  <c r="F174" i="7"/>
  <c r="H738" i="7"/>
  <c r="M604" i="7"/>
  <c r="H958" i="7"/>
  <c r="L488" i="7"/>
  <c r="S490" i="7"/>
  <c r="F784" i="7"/>
  <c r="S434" i="7"/>
  <c r="O594" i="7"/>
  <c r="M948" i="7"/>
  <c r="K544" i="7"/>
  <c r="H518" i="7"/>
  <c r="K371" i="7"/>
  <c r="S773" i="7"/>
  <c r="I1201" i="7"/>
  <c r="I440" i="7"/>
  <c r="L581" i="7"/>
  <c r="H742" i="7"/>
  <c r="S116" i="7"/>
  <c r="K511" i="7"/>
  <c r="O905" i="7"/>
  <c r="N222" i="7"/>
  <c r="N525" i="7"/>
  <c r="O417" i="7"/>
  <c r="K531" i="7"/>
  <c r="G104" i="7"/>
  <c r="S246" i="7"/>
  <c r="O121" i="7"/>
  <c r="S381" i="7"/>
  <c r="I331" i="7"/>
  <c r="H537" i="7"/>
  <c r="O420" i="7"/>
  <c r="K105" i="7"/>
  <c r="G726" i="7"/>
  <c r="F80" i="7"/>
  <c r="L243" i="7"/>
  <c r="S148" i="7"/>
  <c r="N573" i="7"/>
  <c r="K99" i="7"/>
  <c r="G94" i="7"/>
  <c r="L462" i="7"/>
  <c r="F215" i="7"/>
  <c r="G204" i="7"/>
  <c r="S794" i="7"/>
  <c r="O680" i="7"/>
  <c r="L604" i="7"/>
  <c r="O1195" i="7"/>
  <c r="G418" i="7"/>
  <c r="K555" i="7"/>
  <c r="M372" i="7"/>
  <c r="P293" i="7"/>
  <c r="M447" i="7"/>
  <c r="N209" i="7"/>
  <c r="O334" i="7"/>
  <c r="O143" i="7"/>
  <c r="M213" i="7"/>
  <c r="N1096" i="7"/>
  <c r="G433" i="7"/>
  <c r="M380" i="7"/>
  <c r="H356" i="7"/>
  <c r="G599" i="7"/>
  <c r="O208" i="7"/>
  <c r="P333" i="7"/>
  <c r="F781" i="7"/>
  <c r="F382" i="7"/>
  <c r="I406" i="7"/>
  <c r="S556" i="7"/>
  <c r="G577" i="7"/>
  <c r="L567" i="7"/>
  <c r="M640" i="7"/>
  <c r="H1092" i="7"/>
  <c r="I604" i="7"/>
  <c r="G1074" i="7"/>
  <c r="M401" i="7"/>
  <c r="N729" i="7"/>
  <c r="S324" i="7"/>
  <c r="M541" i="7"/>
  <c r="G75" i="7"/>
  <c r="H320" i="7"/>
  <c r="M228" i="7"/>
  <c r="F920" i="7"/>
  <c r="L571" i="7"/>
  <c r="L377" i="7"/>
  <c r="P252" i="7"/>
  <c r="H944" i="7"/>
  <c r="L562" i="7"/>
  <c r="M412" i="7"/>
  <c r="G548" i="7"/>
  <c r="N200" i="7"/>
  <c r="K84" i="7"/>
  <c r="K553" i="7"/>
  <c r="K1136" i="7"/>
  <c r="O563" i="7"/>
  <c r="P281" i="7"/>
  <c r="I1216" i="7"/>
  <c r="K485" i="7"/>
  <c r="S394" i="7"/>
  <c r="H314" i="7"/>
  <c r="M359" i="7"/>
  <c r="I1064" i="7"/>
  <c r="I972" i="7"/>
  <c r="I398" i="7"/>
  <c r="N541" i="7"/>
  <c r="P305" i="7"/>
  <c r="F187" i="7"/>
  <c r="F79" i="7"/>
  <c r="O363" i="7"/>
  <c r="I365" i="7"/>
  <c r="S454" i="7"/>
  <c r="I159" i="7"/>
  <c r="O599" i="7"/>
  <c r="N86" i="7"/>
  <c r="F884" i="7"/>
  <c r="M1035" i="7"/>
  <c r="F1266" i="7"/>
  <c r="G552" i="7"/>
  <c r="K128" i="7"/>
  <c r="M102" i="7"/>
  <c r="F593" i="7"/>
  <c r="I451" i="7"/>
  <c r="K557" i="7"/>
  <c r="P386" i="7"/>
  <c r="O98" i="7"/>
  <c r="S207" i="7"/>
  <c r="M85" i="7"/>
  <c r="O316" i="7"/>
  <c r="H269" i="7"/>
  <c r="L683" i="7"/>
  <c r="S451" i="7"/>
  <c r="G1275" i="7"/>
  <c r="L236" i="7"/>
  <c r="H159" i="7"/>
  <c r="H210" i="7"/>
  <c r="L128" i="7"/>
  <c r="I225" i="7"/>
  <c r="H114" i="7"/>
  <c r="S417" i="7"/>
  <c r="F203" i="7"/>
  <c r="F311" i="7"/>
  <c r="M165" i="7"/>
  <c r="K586" i="7"/>
  <c r="N260" i="7"/>
  <c r="K1251" i="7"/>
  <c r="P140" i="7"/>
  <c r="K591" i="7"/>
  <c r="G164" i="7"/>
  <c r="N206" i="7"/>
  <c r="I158" i="7"/>
  <c r="G416" i="7"/>
  <c r="O254" i="7"/>
  <c r="F435" i="7"/>
  <c r="P268" i="7"/>
  <c r="P221" i="7"/>
  <c r="M1189" i="7"/>
  <c r="M487" i="7"/>
  <c r="H152" i="7"/>
  <c r="O113" i="7"/>
  <c r="G119" i="7"/>
  <c r="G247" i="7"/>
  <c r="G413" i="7"/>
  <c r="G453" i="7"/>
  <c r="K1035" i="7"/>
  <c r="P550" i="7"/>
  <c r="F418" i="7"/>
  <c r="I268" i="7"/>
  <c r="H189" i="7"/>
  <c r="N435" i="7"/>
  <c r="O1104" i="7"/>
  <c r="L147" i="7"/>
  <c r="S77" i="7"/>
  <c r="M122" i="7"/>
  <c r="K453" i="7"/>
  <c r="N337" i="7"/>
  <c r="N481" i="7"/>
  <c r="N406" i="7"/>
  <c r="O226" i="7"/>
  <c r="K269" i="7"/>
  <c r="N145" i="7"/>
  <c r="P177" i="7"/>
  <c r="K284" i="7"/>
  <c r="F1088" i="7"/>
  <c r="M373" i="7"/>
  <c r="H203" i="7"/>
  <c r="F222" i="7"/>
  <c r="I563" i="7"/>
  <c r="I153" i="7"/>
  <c r="O108" i="7"/>
  <c r="K124" i="7"/>
  <c r="K152" i="7"/>
  <c r="P459" i="7"/>
  <c r="O450" i="7"/>
  <c r="H267" i="7"/>
  <c r="L268" i="7"/>
  <c r="I729" i="7"/>
  <c r="O218" i="7"/>
  <c r="L384" i="7"/>
  <c r="F134" i="7"/>
  <c r="L166" i="7"/>
  <c r="M264" i="7"/>
  <c r="H164" i="7"/>
  <c r="S286" i="7"/>
  <c r="O93" i="7"/>
  <c r="P344" i="7"/>
  <c r="N502" i="7"/>
  <c r="I408" i="7"/>
  <c r="O655" i="7"/>
  <c r="F270" i="7"/>
  <c r="K362" i="7"/>
  <c r="N1074" i="7"/>
  <c r="G168" i="7"/>
  <c r="G457" i="7"/>
  <c r="O80" i="7"/>
  <c r="L95" i="7"/>
  <c r="F272" i="7"/>
  <c r="F142" i="7"/>
  <c r="S481" i="7"/>
  <c r="G163" i="7"/>
  <c r="P248" i="7"/>
  <c r="M584" i="7"/>
  <c r="O476" i="7"/>
  <c r="L343" i="7"/>
  <c r="L125" i="7"/>
  <c r="H395" i="7"/>
  <c r="S112" i="7"/>
  <c r="I173" i="7"/>
  <c r="L201" i="7"/>
  <c r="O375" i="7"/>
  <c r="O90" i="7"/>
  <c r="G417" i="7"/>
  <c r="S280" i="7"/>
  <c r="K196" i="7"/>
  <c r="K94" i="7"/>
  <c r="N803" i="7"/>
  <c r="I421" i="7"/>
  <c r="G735" i="7"/>
  <c r="I124" i="7"/>
  <c r="K374" i="7"/>
  <c r="M440" i="7"/>
  <c r="L151" i="7"/>
  <c r="O1028" i="7"/>
  <c r="K206" i="7"/>
  <c r="G121" i="7"/>
  <c r="I336" i="7"/>
  <c r="H922" i="7"/>
  <c r="L79" i="7"/>
  <c r="G516" i="7"/>
  <c r="H262" i="7"/>
  <c r="O510" i="7"/>
  <c r="I966" i="7"/>
  <c r="N133" i="7"/>
  <c r="O165" i="7"/>
  <c r="F188" i="7"/>
  <c r="P120" i="7"/>
  <c r="H494" i="7"/>
  <c r="G150" i="7"/>
  <c r="K560" i="7"/>
  <c r="I360" i="7"/>
  <c r="N672" i="7"/>
  <c r="S418" i="7"/>
  <c r="H183" i="7"/>
  <c r="H433" i="7"/>
  <c r="H98" i="7"/>
  <c r="F314" i="7"/>
  <c r="P520" i="7"/>
  <c r="K336" i="7"/>
  <c r="K207" i="7"/>
  <c r="P444" i="7"/>
  <c r="S131" i="7"/>
  <c r="N497" i="7"/>
  <c r="L546" i="7"/>
  <c r="K566" i="7"/>
  <c r="L568" i="7"/>
  <c r="N173" i="7"/>
  <c r="O220" i="7"/>
  <c r="G199" i="7"/>
  <c r="F205" i="7"/>
  <c r="I416" i="7"/>
  <c r="K571" i="7"/>
  <c r="F586" i="7"/>
  <c r="M336" i="7"/>
  <c r="G567" i="7"/>
  <c r="N591" i="7"/>
  <c r="F170" i="7"/>
  <c r="P226" i="7"/>
  <c r="S76" i="7"/>
  <c r="M233" i="7"/>
  <c r="I507" i="7"/>
  <c r="O933" i="7"/>
  <c r="N879" i="7"/>
  <c r="O753" i="7"/>
  <c r="K909" i="7"/>
  <c r="M1134" i="7"/>
  <c r="L465" i="7"/>
  <c r="M554" i="7"/>
  <c r="H581" i="7"/>
  <c r="P292" i="7"/>
  <c r="K817" i="7"/>
  <c r="S253" i="7"/>
  <c r="N1045" i="7"/>
  <c r="G310" i="7"/>
  <c r="S818" i="7"/>
  <c r="K341" i="7"/>
  <c r="K568" i="7"/>
  <c r="M589" i="7"/>
  <c r="G565" i="7"/>
  <c r="M464" i="7"/>
  <c r="F456" i="7"/>
  <c r="O365" i="7"/>
  <c r="O588" i="7"/>
  <c r="O356" i="7"/>
  <c r="L557" i="7"/>
  <c r="G269" i="7"/>
  <c r="F244" i="7"/>
  <c r="L206" i="7"/>
  <c r="S364" i="7"/>
  <c r="O160" i="7"/>
  <c r="P349" i="7"/>
  <c r="M707" i="7"/>
  <c r="S1033" i="7"/>
  <c r="S450" i="7"/>
  <c r="O386" i="7"/>
  <c r="H121" i="7"/>
  <c r="P223" i="7"/>
  <c r="F1136" i="7"/>
  <c r="N1156" i="7"/>
  <c r="F855" i="7"/>
  <c r="I384" i="7"/>
  <c r="P503" i="7"/>
  <c r="I788" i="7"/>
  <c r="M441" i="7"/>
  <c r="S159" i="7"/>
  <c r="K738" i="7"/>
  <c r="S639" i="7"/>
  <c r="I1184" i="7"/>
  <c r="N909" i="7"/>
  <c r="P95" i="7"/>
  <c r="P225" i="7"/>
  <c r="K1060" i="7"/>
  <c r="N306" i="7"/>
  <c r="M89" i="7"/>
  <c r="G123" i="7"/>
  <c r="H246" i="7"/>
  <c r="O1184" i="7"/>
  <c r="H187" i="7"/>
  <c r="M517" i="7"/>
  <c r="P387" i="7"/>
  <c r="M459" i="7"/>
  <c r="P78" i="7"/>
  <c r="K588" i="7"/>
  <c r="K1201" i="7"/>
  <c r="O158" i="7"/>
  <c r="F478" i="7"/>
  <c r="G1301" i="7"/>
  <c r="I516" i="7"/>
  <c r="P370" i="7"/>
  <c r="N552" i="7"/>
  <c r="S100" i="7"/>
  <c r="P421" i="7"/>
  <c r="N550" i="7"/>
  <c r="O1100" i="7"/>
  <c r="L383" i="7"/>
  <c r="L353" i="7"/>
  <c r="I987" i="7"/>
  <c r="S507" i="7"/>
  <c r="P383" i="7"/>
  <c r="N144" i="7"/>
  <c r="M110" i="7"/>
  <c r="I201" i="7"/>
  <c r="I247" i="7"/>
  <c r="P536" i="7"/>
  <c r="P781" i="7"/>
  <c r="L450" i="7"/>
  <c r="P264" i="7"/>
  <c r="M600" i="7"/>
  <c r="H490" i="7"/>
  <c r="O546" i="7"/>
  <c r="G892" i="7"/>
  <c r="G665" i="7"/>
  <c r="K491" i="7"/>
  <c r="H349" i="7"/>
  <c r="O597" i="7"/>
  <c r="G223" i="7"/>
  <c r="O903" i="7"/>
  <c r="L335" i="7"/>
  <c r="N273" i="7"/>
  <c r="O711" i="7"/>
  <c r="L1237" i="7"/>
  <c r="K241" i="7"/>
  <c r="P995" i="7"/>
  <c r="H450" i="7"/>
  <c r="K1159" i="7"/>
  <c r="I741" i="7"/>
  <c r="M1092" i="7"/>
  <c r="F510" i="7"/>
  <c r="P1195" i="7"/>
  <c r="K528" i="7"/>
  <c r="H571" i="7"/>
  <c r="O364" i="7"/>
  <c r="M134" i="7"/>
  <c r="G466" i="7"/>
  <c r="M235" i="7"/>
  <c r="N755" i="7"/>
  <c r="I339" i="7"/>
  <c r="S383" i="7"/>
  <c r="M548" i="7"/>
  <c r="I1044" i="7"/>
  <c r="H1089" i="7"/>
  <c r="O1063" i="7"/>
  <c r="P393" i="7"/>
  <c r="G103" i="7"/>
  <c r="N191" i="7"/>
  <c r="M485" i="7"/>
  <c r="G1146" i="7"/>
  <c r="F489" i="7"/>
  <c r="I452" i="7"/>
  <c r="I150" i="7"/>
  <c r="O280" i="7"/>
  <c r="I909" i="7"/>
  <c r="L930" i="7"/>
  <c r="L404" i="7"/>
  <c r="G727" i="7"/>
  <c r="K187" i="7"/>
  <c r="I78" i="7"/>
  <c r="N78" i="7"/>
  <c r="H86" i="7"/>
  <c r="I321" i="7"/>
  <c r="S349" i="7"/>
  <c r="G533" i="7"/>
  <c r="N922" i="7"/>
  <c r="N727" i="7"/>
  <c r="P564" i="7"/>
  <c r="H392" i="7"/>
  <c r="L705" i="7"/>
  <c r="F790" i="7"/>
  <c r="S501" i="7"/>
  <c r="N192" i="7"/>
  <c r="F199" i="7"/>
  <c r="H600" i="7"/>
  <c r="N533" i="7"/>
  <c r="K177" i="7"/>
  <c r="M457" i="7"/>
  <c r="F116" i="7"/>
  <c r="G90" i="7"/>
  <c r="G537" i="7"/>
  <c r="G513" i="7"/>
  <c r="O378" i="7"/>
  <c r="L420" i="7"/>
  <c r="K715" i="7"/>
  <c r="L543" i="7"/>
  <c r="N495" i="7"/>
  <c r="F175" i="7"/>
  <c r="F253" i="7"/>
  <c r="O247" i="7"/>
  <c r="O530" i="7"/>
  <c r="G239" i="7"/>
  <c r="S539" i="7"/>
  <c r="P380" i="7"/>
  <c r="L425" i="7"/>
  <c r="M1164" i="7"/>
  <c r="L872" i="7"/>
  <c r="F938" i="7"/>
  <c r="N652" i="7"/>
  <c r="N650" i="7"/>
  <c r="G219" i="7"/>
  <c r="K733" i="7"/>
  <c r="F406" i="7"/>
  <c r="N183" i="7"/>
  <c r="N596" i="7"/>
  <c r="K787" i="7"/>
  <c r="F525" i="7"/>
  <c r="L1314" i="7"/>
  <c r="O435" i="7"/>
  <c r="N370" i="7"/>
  <c r="P1238" i="7"/>
  <c r="F194" i="7"/>
  <c r="P210" i="7"/>
  <c r="P141" i="7"/>
  <c r="S260" i="7"/>
  <c r="S1277" i="7"/>
  <c r="I277" i="7"/>
  <c r="S337" i="7"/>
  <c r="K268" i="7"/>
  <c r="I1191" i="7"/>
  <c r="L194" i="7"/>
  <c r="H232" i="7"/>
  <c r="O471" i="7"/>
  <c r="K479" i="7"/>
  <c r="L1200" i="7"/>
  <c r="L324" i="7"/>
  <c r="M571" i="7"/>
  <c r="N380" i="7"/>
  <c r="F177" i="7"/>
  <c r="K82" i="7"/>
  <c r="S476" i="7"/>
  <c r="M112" i="7"/>
  <c r="S169" i="7"/>
  <c r="M563" i="7"/>
  <c r="F370" i="7"/>
  <c r="O139" i="7"/>
  <c r="O666" i="7"/>
  <c r="G357" i="7"/>
  <c r="N1317" i="7"/>
  <c r="G540" i="7"/>
  <c r="H138" i="7"/>
  <c r="L332" i="7"/>
  <c r="L547" i="7"/>
  <c r="N210" i="7"/>
  <c r="K141" i="7"/>
  <c r="K474" i="7"/>
  <c r="H280" i="7"/>
  <c r="O428" i="7"/>
  <c r="S168" i="7"/>
  <c r="I79" i="7"/>
  <c r="L486" i="7"/>
  <c r="H370" i="7"/>
  <c r="P793" i="7"/>
  <c r="K417" i="7"/>
  <c r="O1191" i="7"/>
  <c r="H234" i="7"/>
  <c r="F600" i="7"/>
  <c r="H564" i="7"/>
  <c r="L362" i="7"/>
  <c r="K452" i="7"/>
  <c r="N529" i="7"/>
  <c r="L200" i="7"/>
  <c r="P531" i="7"/>
  <c r="H521" i="7"/>
  <c r="L179" i="7"/>
  <c r="O554" i="7"/>
  <c r="F259" i="7"/>
  <c r="F267" i="7"/>
  <c r="F339" i="7"/>
  <c r="F86" i="7"/>
  <c r="N930" i="7"/>
  <c r="K198" i="7"/>
  <c r="K385" i="7"/>
  <c r="F552" i="7"/>
  <c r="F144" i="7"/>
  <c r="I121" i="7"/>
  <c r="G132" i="7"/>
  <c r="O1249" i="7"/>
  <c r="S379" i="7"/>
  <c r="S474" i="7"/>
  <c r="G112" i="7"/>
  <c r="K231" i="7"/>
  <c r="H315" i="7"/>
  <c r="O533" i="7"/>
  <c r="F158" i="7"/>
  <c r="H333" i="7"/>
  <c r="G331" i="7"/>
  <c r="F355" i="7"/>
  <c r="K133" i="7"/>
  <c r="N186" i="7"/>
  <c r="O495" i="7"/>
  <c r="G538" i="7"/>
  <c r="S436" i="7"/>
  <c r="K237" i="7"/>
  <c r="M170" i="7"/>
  <c r="S115" i="7"/>
  <c r="I101" i="7"/>
  <c r="P923" i="7"/>
  <c r="L92" i="7"/>
  <c r="L573" i="7"/>
  <c r="H324" i="7"/>
  <c r="O137" i="7"/>
  <c r="L193" i="7"/>
  <c r="O422" i="7"/>
  <c r="O589" i="7"/>
  <c r="K192" i="7"/>
  <c r="O451" i="7"/>
  <c r="M283" i="7"/>
  <c r="M712" i="7"/>
  <c r="P145" i="7"/>
  <c r="L138" i="7"/>
  <c r="O377" i="7"/>
  <c r="S215" i="7"/>
  <c r="M285" i="7"/>
  <c r="H414" i="7"/>
  <c r="M413" i="7"/>
  <c r="K565" i="7"/>
  <c r="I281" i="7"/>
  <c r="N404" i="7"/>
  <c r="S572" i="7"/>
  <c r="M185" i="7"/>
  <c r="G243" i="7"/>
  <c r="P184" i="7"/>
  <c r="P176" i="7"/>
  <c r="I207" i="7"/>
  <c r="N143" i="7"/>
  <c r="I239" i="7"/>
  <c r="G339" i="7"/>
  <c r="M511" i="7"/>
  <c r="G379" i="7"/>
  <c r="N575" i="7"/>
  <c r="F155" i="7"/>
  <c r="P263" i="7"/>
  <c r="M107" i="7"/>
  <c r="F121" i="7"/>
  <c r="M565" i="7"/>
  <c r="O485" i="7"/>
  <c r="G497" i="7"/>
  <c r="H495" i="7"/>
  <c r="K86" i="7"/>
  <c r="L185" i="7"/>
  <c r="O855" i="7"/>
  <c r="H354" i="7"/>
  <c r="G353" i="7"/>
  <c r="P1033" i="7"/>
  <c r="O122" i="7"/>
  <c r="L106" i="7"/>
  <c r="I205" i="7"/>
  <c r="N685" i="7"/>
  <c r="N475" i="7"/>
  <c r="O260" i="7"/>
  <c r="I287" i="7"/>
  <c r="P260" i="7"/>
  <c r="H139" i="7"/>
  <c r="S84" i="7"/>
  <c r="F150" i="7"/>
  <c r="L176" i="7"/>
  <c r="K122" i="7"/>
  <c r="O256" i="7"/>
  <c r="M90" i="7"/>
  <c r="P277" i="7"/>
  <c r="N296" i="7"/>
  <c r="P310" i="7"/>
  <c r="M272" i="7"/>
  <c r="P327" i="7"/>
  <c r="K279" i="7"/>
  <c r="G295" i="7"/>
  <c r="H259" i="7"/>
  <c r="I312" i="7"/>
  <c r="I310" i="7"/>
  <c r="H467" i="7"/>
  <c r="O85" i="7"/>
  <c r="N138" i="7"/>
  <c r="H463" i="7"/>
  <c r="L241" i="7"/>
  <c r="I276" i="7"/>
  <c r="H89" i="7"/>
  <c r="K180" i="7"/>
  <c r="S279" i="7"/>
  <c r="M483" i="7"/>
  <c r="H163" i="7"/>
  <c r="L507" i="7"/>
  <c r="F265" i="7"/>
  <c r="I102" i="7"/>
  <c r="M99" i="7"/>
  <c r="F224" i="7"/>
  <c r="P362" i="7"/>
  <c r="M237" i="7"/>
  <c r="N356" i="7"/>
  <c r="O941" i="7"/>
  <c r="L903" i="7"/>
  <c r="L1044" i="7"/>
  <c r="N538" i="7"/>
  <c r="N371" i="7"/>
  <c r="F376" i="7"/>
  <c r="F433" i="7"/>
  <c r="P606" i="7"/>
  <c r="K632" i="7"/>
  <c r="K396" i="7"/>
  <c r="F673" i="7"/>
  <c r="P661" i="7"/>
  <c r="I932" i="7"/>
  <c r="M443" i="7"/>
  <c r="L1075" i="7"/>
  <c r="N1464" i="7"/>
  <c r="M1289" i="7"/>
  <c r="I291" i="7"/>
  <c r="O99" i="7"/>
  <c r="I902" i="7"/>
  <c r="G957" i="7"/>
  <c r="S232" i="7"/>
  <c r="S745" i="7"/>
  <c r="G105" i="7"/>
  <c r="K360" i="7"/>
  <c r="O438" i="7"/>
  <c r="G598" i="7"/>
  <c r="N519" i="7"/>
  <c r="O499" i="7"/>
  <c r="M422" i="7"/>
  <c r="O740" i="7"/>
  <c r="G1096" i="7"/>
  <c r="O370" i="7"/>
  <c r="F705" i="7"/>
  <c r="P345" i="7"/>
  <c r="P175" i="7"/>
  <c r="P505" i="7"/>
  <c r="L124" i="7"/>
  <c r="K266" i="7"/>
  <c r="L224" i="7"/>
  <c r="K83" i="7"/>
  <c r="M478" i="7"/>
  <c r="S299" i="7"/>
  <c r="M1317" i="7"/>
  <c r="N516" i="7"/>
  <c r="M619" i="7"/>
  <c r="I967" i="7"/>
  <c r="N493" i="7"/>
  <c r="S466" i="7"/>
  <c r="L1121" i="7"/>
  <c r="F462" i="7"/>
  <c r="H283" i="7"/>
  <c r="O116" i="7"/>
  <c r="S543" i="7"/>
  <c r="H589" i="7"/>
  <c r="N377" i="7"/>
  <c r="F968" i="7"/>
  <c r="G384" i="7"/>
  <c r="O354" i="7"/>
  <c r="M677" i="7"/>
  <c r="M355" i="7"/>
  <c r="P374" i="7"/>
  <c r="P591" i="7"/>
  <c r="H155" i="7"/>
  <c r="G429" i="7"/>
  <c r="G157" i="7"/>
  <c r="K392" i="7"/>
  <c r="P592" i="7"/>
  <c r="L222" i="7"/>
  <c r="S195" i="7"/>
  <c r="F574" i="7"/>
  <c r="G308" i="7"/>
  <c r="P1060" i="7"/>
  <c r="F564" i="7"/>
  <c r="I543" i="7"/>
  <c r="N98" i="7"/>
  <c r="P169" i="7"/>
  <c r="O542" i="7"/>
  <c r="K652" i="7"/>
  <c r="F131" i="7"/>
  <c r="F997" i="7"/>
  <c r="K222" i="7"/>
  <c r="G113" i="7"/>
  <c r="H212" i="7"/>
  <c r="F408" i="7"/>
  <c r="I441" i="7"/>
  <c r="P478" i="7"/>
  <c r="N609" i="7"/>
  <c r="F1156" i="7"/>
  <c r="S670" i="7"/>
  <c r="K239" i="7"/>
  <c r="L595" i="7"/>
  <c r="L263" i="7"/>
  <c r="P205" i="7"/>
  <c r="S367" i="7"/>
  <c r="L156" i="7"/>
  <c r="O336" i="7"/>
  <c r="I383" i="7"/>
  <c r="K595" i="7"/>
  <c r="O611" i="7"/>
  <c r="F395" i="7"/>
  <c r="K301" i="7"/>
  <c r="M682" i="7"/>
  <c r="F499" i="7"/>
  <c r="M352" i="7"/>
  <c r="H263" i="7"/>
  <c r="H1043" i="7"/>
  <c r="O536" i="7"/>
  <c r="L432" i="7"/>
  <c r="H440" i="7"/>
  <c r="K129" i="7"/>
  <c r="I1055" i="7"/>
  <c r="M391" i="7"/>
  <c r="H316" i="7"/>
  <c r="O722" i="7"/>
  <c r="N779" i="7"/>
  <c r="I476" i="7"/>
  <c r="M968" i="7"/>
  <c r="N1275" i="7"/>
  <c r="M425" i="7"/>
  <c r="F274" i="7"/>
  <c r="O544" i="7"/>
  <c r="H297" i="7"/>
  <c r="H1200" i="7"/>
  <c r="M251" i="7"/>
  <c r="G1033" i="7"/>
  <c r="P1206" i="7"/>
  <c r="S872" i="7"/>
  <c r="H987" i="7"/>
  <c r="F501" i="7"/>
  <c r="M1091" i="7"/>
  <c r="N738" i="7"/>
  <c r="G142" i="7"/>
  <c r="G387" i="7"/>
  <c r="K470" i="7"/>
  <c r="K450" i="7"/>
  <c r="M254" i="7"/>
  <c r="I328" i="7"/>
  <c r="P228" i="7"/>
  <c r="S1085" i="7"/>
  <c r="K293" i="7"/>
  <c r="L528" i="7"/>
  <c r="S1087" i="7"/>
  <c r="F519" i="7"/>
  <c r="P820" i="7"/>
  <c r="H448" i="7"/>
  <c r="N363" i="7"/>
  <c r="K162" i="7"/>
  <c r="H118" i="7"/>
  <c r="G358" i="7"/>
  <c r="P298" i="7"/>
  <c r="M157" i="7"/>
  <c r="H176" i="7"/>
  <c r="K291" i="7"/>
  <c r="L536" i="7"/>
  <c r="P364" i="7"/>
  <c r="M526" i="7"/>
  <c r="P854" i="7"/>
  <c r="O484" i="7"/>
  <c r="N530" i="7"/>
  <c r="O584" i="7"/>
  <c r="O676" i="7"/>
  <c r="S557" i="7"/>
  <c r="H278" i="7"/>
  <c r="F133" i="7"/>
  <c r="N594" i="7"/>
  <c r="O379" i="7"/>
  <c r="F362" i="7"/>
  <c r="F528" i="7"/>
  <c r="O369" i="7"/>
  <c r="M909" i="7"/>
  <c r="S344" i="7"/>
  <c r="L510" i="7"/>
  <c r="N198" i="7"/>
  <c r="F76" i="7"/>
  <c r="F361" i="7"/>
  <c r="I448" i="7"/>
  <c r="N500" i="7"/>
  <c r="H606" i="7"/>
  <c r="N113" i="7"/>
  <c r="F670" i="7"/>
  <c r="K307" i="7"/>
  <c r="N834" i="7"/>
  <c r="M133" i="7"/>
  <c r="F427" i="7"/>
  <c r="S461" i="7"/>
  <c r="I209" i="7"/>
  <c r="F466" i="7"/>
  <c r="L313" i="7"/>
  <c r="M493" i="7"/>
  <c r="O359" i="7"/>
  <c r="G205" i="7"/>
  <c r="G85" i="7"/>
  <c r="O152" i="7"/>
  <c r="H394" i="7"/>
  <c r="O191" i="7"/>
  <c r="K598" i="7"/>
  <c r="L333" i="7"/>
  <c r="P530" i="7"/>
  <c r="S288" i="7"/>
  <c r="F127" i="7"/>
  <c r="I524" i="7"/>
  <c r="K145" i="7"/>
  <c r="O238" i="7"/>
  <c r="F676" i="7"/>
  <c r="S83" i="7"/>
  <c r="P269" i="7"/>
  <c r="N156" i="7"/>
  <c r="I142" i="7"/>
  <c r="S81" i="7"/>
  <c r="S458" i="7"/>
  <c r="I508" i="7"/>
  <c r="N511" i="7"/>
  <c r="M210" i="7"/>
  <c r="I597" i="7"/>
  <c r="K1006" i="7"/>
  <c r="L376" i="7"/>
  <c r="M169" i="7"/>
  <c r="F156" i="7"/>
  <c r="S258" i="7"/>
  <c r="K274" i="7"/>
  <c r="M312" i="7"/>
  <c r="H95" i="7"/>
  <c r="N75" i="7"/>
  <c r="P752" i="7"/>
  <c r="F218" i="7"/>
  <c r="H543" i="7"/>
  <c r="L561" i="7"/>
  <c r="O198" i="7"/>
  <c r="P217" i="7"/>
  <c r="S576" i="7"/>
  <c r="P211" i="7"/>
  <c r="O110" i="7"/>
  <c r="M561" i="7"/>
  <c r="O374" i="7"/>
  <c r="N276" i="7"/>
  <c r="M404" i="7"/>
  <c r="L479" i="7"/>
  <c r="N456" i="7"/>
  <c r="P337" i="7"/>
  <c r="I84" i="7"/>
  <c r="I283" i="7"/>
  <c r="L394" i="7"/>
  <c r="N477" i="7"/>
  <c r="K277" i="7"/>
  <c r="G452" i="7"/>
  <c r="F460" i="7"/>
  <c r="S171" i="7"/>
  <c r="L88" i="7"/>
  <c r="F389" i="7"/>
  <c r="K280" i="7"/>
  <c r="I513" i="7"/>
  <c r="O332" i="7"/>
  <c r="F448" i="7"/>
  <c r="P486" i="7"/>
  <c r="O182" i="7"/>
  <c r="K203" i="7"/>
  <c r="N249" i="7"/>
  <c r="S119" i="7"/>
  <c r="H553" i="7"/>
  <c r="S157" i="7"/>
  <c r="P348" i="7"/>
  <c r="M414" i="7"/>
  <c r="M415" i="7"/>
  <c r="G495" i="7"/>
  <c r="S188" i="7"/>
  <c r="P87" i="7"/>
  <c r="P196" i="7"/>
  <c r="H418" i="7"/>
  <c r="K275" i="7"/>
  <c r="P137" i="7"/>
  <c r="L162" i="7"/>
  <c r="L279" i="7"/>
  <c r="G367" i="7"/>
  <c r="L1239" i="7"/>
  <c r="H126" i="7"/>
  <c r="M274" i="7"/>
  <c r="N111" i="7"/>
  <c r="K923" i="7"/>
  <c r="P98" i="7"/>
  <c r="L81" i="7"/>
  <c r="G83" i="7"/>
  <c r="O489" i="7"/>
  <c r="P683" i="7"/>
  <c r="I259" i="7"/>
  <c r="N105" i="7"/>
  <c r="S470" i="7"/>
  <c r="K202" i="7"/>
  <c r="P339" i="7"/>
  <c r="N473" i="7"/>
  <c r="G306" i="7"/>
  <c r="M394" i="7"/>
  <c r="L485" i="7"/>
  <c r="O506" i="7"/>
  <c r="O124" i="7"/>
  <c r="S137" i="7"/>
  <c r="H80" i="7"/>
  <c r="P447" i="7"/>
  <c r="G519" i="7"/>
  <c r="K278" i="7"/>
  <c r="S181" i="7"/>
  <c r="M130" i="7"/>
  <c r="S174" i="7"/>
  <c r="M546" i="7"/>
  <c r="S138" i="7"/>
  <c r="P219" i="7"/>
  <c r="F178" i="7"/>
  <c r="S313" i="7"/>
  <c r="N180" i="7"/>
  <c r="K1072" i="7"/>
  <c r="N123" i="7"/>
  <c r="O78" i="7"/>
  <c r="O296" i="7"/>
  <c r="N109" i="7"/>
  <c r="H150" i="7"/>
  <c r="N293" i="7"/>
  <c r="P510" i="7"/>
  <c r="F197" i="7"/>
  <c r="K438" i="7"/>
  <c r="M91" i="7"/>
  <c r="F227" i="7"/>
  <c r="K90" i="7"/>
  <c r="H166" i="7"/>
  <c r="F165" i="7"/>
  <c r="G146" i="7"/>
  <c r="F152" i="7"/>
  <c r="H99" i="7"/>
  <c r="M562" i="7"/>
  <c r="L285" i="7"/>
  <c r="N258" i="7"/>
  <c r="H594" i="7"/>
  <c r="I290" i="7"/>
  <c r="P267" i="7"/>
  <c r="N411" i="7"/>
  <c r="P147" i="7"/>
  <c r="M262" i="7"/>
  <c r="I557" i="7"/>
  <c r="L177" i="7"/>
  <c r="K512" i="7"/>
  <c r="M128" i="7"/>
  <c r="K577" i="7"/>
  <c r="P125" i="7"/>
  <c r="F81" i="7"/>
  <c r="G167" i="7"/>
  <c r="I958" i="7"/>
  <c r="K102" i="7"/>
  <c r="S546" i="7"/>
  <c r="K172" i="7"/>
  <c r="N152" i="7"/>
  <c r="G593" i="7"/>
  <c r="F149" i="7"/>
  <c r="M481" i="7"/>
  <c r="K832" i="7"/>
  <c r="F106" i="7"/>
  <c r="F154" i="7"/>
  <c r="M163" i="7"/>
  <c r="P187" i="7"/>
  <c r="O228" i="7"/>
  <c r="I62" i="7"/>
  <c r="N69" i="7"/>
  <c r="F60" i="7"/>
  <c r="I73" i="7"/>
  <c r="N45" i="7"/>
  <c r="G68" i="7"/>
  <c r="N74" i="7"/>
  <c r="K74" i="7"/>
  <c r="M50" i="7"/>
  <c r="S45" i="7"/>
  <c r="I38" i="7"/>
  <c r="P40" i="7"/>
  <c r="P45" i="7"/>
  <c r="M52" i="7"/>
  <c r="M48" i="7"/>
  <c r="S54" i="7"/>
  <c r="H53" i="7"/>
  <c r="K53" i="7"/>
  <c r="S56" i="7"/>
  <c r="O56" i="7"/>
  <c r="I47" i="7"/>
  <c r="S48" i="7"/>
  <c r="P56" i="7"/>
  <c r="F57" i="7"/>
  <c r="F41" i="7"/>
  <c r="F68" i="7"/>
  <c r="O68" i="7"/>
  <c r="O74" i="7"/>
  <c r="K67" i="7"/>
  <c r="O59" i="7"/>
  <c r="I61" i="7"/>
  <c r="L65" i="7"/>
  <c r="G71" i="7"/>
  <c r="N72" i="7"/>
  <c r="M36" i="7"/>
  <c r="L55" i="7"/>
  <c r="O35" i="7"/>
  <c r="M55" i="7"/>
  <c r="I40" i="7"/>
  <c r="L46" i="7"/>
  <c r="H46" i="7"/>
  <c r="P55" i="7"/>
  <c r="S34" i="7"/>
  <c r="L42" i="7"/>
  <c r="G49" i="7"/>
  <c r="O51" i="7"/>
  <c r="P60" i="7"/>
  <c r="K57" i="7"/>
  <c r="N66" i="7"/>
  <c r="L66" i="7"/>
  <c r="M59" i="7"/>
  <c r="I71" i="7"/>
  <c r="O62" i="7"/>
  <c r="F73" i="7"/>
  <c r="F74" i="7"/>
  <c r="G52" i="7"/>
  <c r="F58" i="7"/>
  <c r="P53" i="7"/>
  <c r="H48" i="7"/>
  <c r="N49" i="7"/>
  <c r="L47" i="7"/>
  <c r="H57" i="7"/>
  <c r="G34" i="7"/>
  <c r="K44" i="7"/>
  <c r="I41" i="7"/>
  <c r="P49" i="7"/>
  <c r="L38" i="7"/>
  <c r="N61" i="7"/>
  <c r="G74" i="7"/>
  <c r="M63" i="7"/>
  <c r="F72" i="7"/>
  <c r="S63" i="7"/>
  <c r="F62" i="7"/>
  <c r="P72" i="7"/>
  <c r="P36" i="7"/>
  <c r="N46" i="7"/>
  <c r="O50" i="7"/>
  <c r="I64" i="7"/>
  <c r="S67" i="7"/>
  <c r="S36" i="7"/>
  <c r="S52" i="7"/>
  <c r="H40" i="7"/>
  <c r="F42" i="7"/>
  <c r="K45" i="7"/>
  <c r="L53" i="7"/>
  <c r="H56" i="7"/>
  <c r="K66" i="7"/>
  <c r="I34" i="7"/>
  <c r="N57" i="7"/>
  <c r="L43" i="7"/>
  <c r="F50" i="7"/>
  <c r="N50" i="7"/>
  <c r="O40" i="7"/>
  <c r="G58" i="7"/>
  <c r="N41" i="7"/>
  <c r="K52" i="7"/>
  <c r="H45" i="7"/>
  <c r="S46" i="7"/>
  <c r="M42" i="7"/>
  <c r="F52" i="7"/>
  <c r="L62" i="7"/>
  <c r="F36" i="7"/>
  <c r="N40" i="7"/>
  <c r="K51" i="7"/>
  <c r="P73" i="7"/>
  <c r="F44" i="7"/>
  <c r="G63" i="7"/>
  <c r="P64" i="7"/>
  <c r="O70" i="7"/>
  <c r="P65" i="7"/>
  <c r="M61" i="7"/>
  <c r="N64" i="7"/>
  <c r="H67" i="7"/>
  <c r="N63" i="7"/>
  <c r="K73" i="7"/>
  <c r="S70" i="7"/>
  <c r="S60" i="7"/>
  <c r="I67" i="7"/>
  <c r="S71" i="7"/>
  <c r="L73" i="7"/>
  <c r="L64" i="7"/>
  <c r="K61" i="7"/>
  <c r="P68" i="7"/>
  <c r="N62" i="7"/>
  <c r="H66" i="7"/>
  <c r="P69" i="7"/>
  <c r="N52" i="7"/>
  <c r="L58" i="7"/>
  <c r="I39" i="7"/>
  <c r="S50" i="7"/>
  <c r="G57" i="7"/>
  <c r="G38" i="7"/>
  <c r="G69" i="7"/>
  <c r="F69" i="7"/>
  <c r="M74" i="7"/>
  <c r="F61" i="7"/>
  <c r="K48" i="7"/>
  <c r="K69" i="7"/>
  <c r="P71" i="7"/>
  <c r="F70" i="7"/>
  <c r="O64" i="7"/>
  <c r="N65" i="7"/>
  <c r="P43" i="7"/>
  <c r="H38" i="7"/>
  <c r="H41" i="7"/>
  <c r="S40" i="7"/>
  <c r="O39" i="7"/>
  <c r="P37" i="7"/>
  <c r="H42" i="7"/>
  <c r="S58" i="7"/>
  <c r="L52" i="7"/>
  <c r="H44" i="7"/>
  <c r="G43" i="7"/>
  <c r="G35" i="7"/>
  <c r="N47" i="7"/>
  <c r="K56" i="7"/>
  <c r="S44" i="7"/>
  <c r="N55" i="7"/>
  <c r="H60" i="7"/>
  <c r="O71" i="7"/>
  <c r="G59" i="7"/>
  <c r="M62" i="7"/>
  <c r="N71" i="7"/>
  <c r="H74" i="7"/>
  <c r="K65" i="7"/>
  <c r="F67" i="7"/>
  <c r="M46" i="7"/>
  <c r="G66" i="7"/>
  <c r="I65" i="7"/>
  <c r="I59" i="7"/>
  <c r="S39" i="7"/>
  <c r="K60" i="7"/>
  <c r="N60" i="7"/>
  <c r="G72" i="7"/>
  <c r="H69" i="7"/>
  <c r="H39" i="7"/>
  <c r="L59" i="7"/>
  <c r="S37" i="7"/>
  <c r="P41" i="7"/>
  <c r="M72" i="7"/>
  <c r="G55" i="7"/>
  <c r="M58" i="7"/>
  <c r="K36" i="7"/>
  <c r="O45" i="7"/>
  <c r="N35" i="7"/>
  <c r="F54" i="7"/>
  <c r="M57" i="7"/>
  <c r="I51" i="7"/>
  <c r="M47" i="7"/>
  <c r="N44" i="7"/>
  <c r="S42" i="7"/>
  <c r="P35" i="7"/>
  <c r="I52" i="7"/>
  <c r="L35" i="7"/>
  <c r="O58" i="7"/>
  <c r="P61" i="7"/>
  <c r="I74" i="7"/>
  <c r="G64" i="7"/>
  <c r="F59" i="7"/>
  <c r="I36" i="7"/>
  <c r="K64" i="7"/>
  <c r="M45" i="7"/>
  <c r="N59" i="7"/>
  <c r="H70" i="7"/>
  <c r="L45" i="7"/>
  <c r="M68" i="7"/>
  <c r="N68" i="7"/>
  <c r="P57" i="7"/>
  <c r="G41" i="7"/>
  <c r="G47" i="7"/>
  <c r="H63" i="7"/>
  <c r="L36" i="7"/>
  <c r="K54" i="7"/>
  <c r="G42" i="7"/>
  <c r="M37" i="7"/>
  <c r="I57" i="7"/>
  <c r="F47" i="7"/>
  <c r="N53" i="7"/>
  <c r="L37" i="7"/>
  <c r="P52" i="7"/>
  <c r="N58" i="7"/>
  <c r="F40" i="7"/>
  <c r="F63" i="7"/>
  <c r="G67" i="7"/>
  <c r="G65" i="7"/>
  <c r="M66" i="7"/>
  <c r="H65" i="7"/>
  <c r="K63" i="7"/>
  <c r="M69" i="7"/>
  <c r="F43" i="7"/>
  <c r="I55" i="7"/>
  <c r="S59" i="7"/>
  <c r="F66" i="7"/>
  <c r="S68" i="7"/>
  <c r="O63" i="7"/>
  <c r="O69" i="7"/>
  <c r="P48" i="7"/>
  <c r="P66" i="7"/>
  <c r="S61" i="7"/>
  <c r="P59" i="7"/>
  <c r="K39" i="7"/>
  <c r="M39" i="7"/>
  <c r="F71" i="7"/>
  <c r="M35" i="7"/>
  <c r="M34" i="7"/>
  <c r="L34" i="7"/>
  <c r="P54" i="7"/>
  <c r="O38" i="7"/>
  <c r="G44" i="7"/>
  <c r="H37" i="7"/>
  <c r="N34" i="7"/>
  <c r="G39" i="7"/>
  <c r="H54" i="7"/>
  <c r="N42" i="7"/>
  <c r="O37" i="7"/>
  <c r="I35" i="7"/>
  <c r="L56" i="7"/>
  <c r="I43" i="7"/>
  <c r="G54" i="7"/>
  <c r="H34" i="7"/>
  <c r="K42" i="7"/>
  <c r="S65" i="7"/>
  <c r="G73" i="7"/>
  <c r="L71" i="7"/>
  <c r="H71" i="7"/>
  <c r="O66" i="7"/>
  <c r="M67" i="7"/>
  <c r="P70" i="7"/>
  <c r="F46" i="7"/>
  <c r="G61" i="7"/>
  <c r="K46" i="7"/>
  <c r="K70" i="7"/>
  <c r="I45" i="7"/>
  <c r="M71" i="7"/>
  <c r="I66" i="7"/>
  <c r="P62" i="7"/>
  <c r="I48" i="7"/>
  <c r="N73" i="7"/>
  <c r="L68" i="7"/>
  <c r="M60" i="7"/>
  <c r="I54" i="7"/>
  <c r="S51" i="7"/>
  <c r="H47" i="7"/>
  <c r="N43" i="7"/>
  <c r="M41" i="7"/>
  <c r="O44" i="7"/>
  <c r="I58" i="7"/>
  <c r="L74" i="7"/>
  <c r="L57" i="7"/>
  <c r="F49" i="7"/>
  <c r="K62" i="7"/>
  <c r="O52" i="7"/>
  <c r="L61" i="7"/>
  <c r="P34" i="7"/>
  <c r="F37" i="7"/>
  <c r="G37" i="7"/>
  <c r="G56" i="7"/>
  <c r="K50" i="7"/>
  <c r="M38" i="7"/>
  <c r="L54" i="7"/>
  <c r="K58" i="7"/>
  <c r="K55" i="7"/>
  <c r="G48" i="7"/>
  <c r="G46" i="7"/>
  <c r="O48" i="7"/>
  <c r="O36" i="7"/>
  <c r="N39" i="7"/>
  <c r="L69" i="7"/>
  <c r="I70" i="7"/>
  <c r="P46" i="7"/>
  <c r="L50" i="7"/>
  <c r="I46" i="7"/>
  <c r="O60" i="7"/>
  <c r="F34" i="7"/>
  <c r="H50" i="7"/>
  <c r="M51" i="7"/>
  <c r="M54" i="7"/>
  <c r="H43" i="7"/>
  <c r="I42" i="7"/>
  <c r="H73" i="7"/>
  <c r="P50" i="7"/>
  <c r="N54" i="7"/>
  <c r="K37" i="7"/>
  <c r="H52" i="7"/>
  <c r="M56" i="7"/>
  <c r="F65" i="7"/>
  <c r="I37" i="7"/>
  <c r="N51" i="7"/>
  <c r="P47" i="7"/>
  <c r="L44" i="7"/>
  <c r="G51" i="7"/>
  <c r="S47" i="7"/>
  <c r="H51" i="7"/>
  <c r="I50" i="7"/>
  <c r="M53" i="7"/>
  <c r="O57" i="7"/>
  <c r="M44" i="7"/>
  <c r="O42" i="7"/>
  <c r="O54" i="7"/>
  <c r="O65" i="7"/>
  <c r="G36" i="7"/>
  <c r="N56" i="7"/>
  <c r="P51" i="7"/>
  <c r="L40" i="7"/>
  <c r="L51" i="7"/>
  <c r="O61" i="7"/>
  <c r="S64" i="7"/>
  <c r="H61" i="7"/>
  <c r="N70" i="7"/>
  <c r="L72" i="7"/>
  <c r="G70" i="7"/>
  <c r="F64" i="7"/>
  <c r="H64" i="7"/>
  <c r="S73" i="7"/>
  <c r="K59" i="7"/>
  <c r="O72" i="7"/>
  <c r="P74" i="7"/>
  <c r="I68" i="7"/>
  <c r="P39" i="7"/>
  <c r="G50" i="7"/>
  <c r="L67" i="7"/>
  <c r="H62" i="7"/>
  <c r="N37" i="7"/>
  <c r="G60" i="7"/>
  <c r="O43" i="7"/>
  <c r="L41" i="7"/>
  <c r="S62" i="7"/>
  <c r="P63" i="7"/>
  <c r="M73" i="7"/>
  <c r="M65" i="7"/>
  <c r="L39" i="7"/>
  <c r="F39" i="7"/>
  <c r="K71" i="7"/>
  <c r="F45" i="7"/>
  <c r="I69" i="7"/>
  <c r="F48" i="7"/>
  <c r="M70" i="7"/>
  <c r="S74" i="7"/>
  <c r="O67" i="7"/>
  <c r="I63" i="7"/>
  <c r="S72" i="7"/>
  <c r="L70" i="7"/>
  <c r="H68" i="7"/>
  <c r="K34" i="7"/>
  <c r="S49" i="7"/>
  <c r="F55" i="7"/>
  <c r="K35" i="7"/>
  <c r="M49" i="7"/>
  <c r="S41" i="7"/>
  <c r="K68" i="7"/>
  <c r="K38" i="7"/>
  <c r="H35" i="7"/>
  <c r="M40" i="7"/>
  <c r="H55" i="7"/>
  <c r="F35" i="7"/>
  <c r="S55" i="7"/>
  <c r="K41" i="7"/>
  <c r="K40" i="7"/>
  <c r="F53" i="7"/>
  <c r="O53" i="7"/>
  <c r="S69" i="7"/>
  <c r="G53" i="7"/>
  <c r="P67" i="7"/>
  <c r="S43" i="7"/>
  <c r="K47" i="7"/>
  <c r="G40" i="7"/>
  <c r="N38" i="7"/>
  <c r="P44" i="7"/>
  <c r="I49" i="7"/>
  <c r="M64" i="7"/>
  <c r="K72" i="7"/>
  <c r="H72" i="7"/>
  <c r="I60" i="7"/>
  <c r="L63" i="7"/>
  <c r="L60" i="7"/>
  <c r="N48" i="7"/>
  <c r="O73" i="7"/>
  <c r="S66" i="7"/>
  <c r="N36" i="7"/>
  <c r="H36" i="7"/>
  <c r="O46" i="7"/>
  <c r="G45" i="7"/>
  <c r="I72" i="7"/>
  <c r="G62" i="7"/>
  <c r="H59" i="7"/>
  <c r="S38" i="7"/>
  <c r="O34" i="7"/>
  <c r="M43" i="7"/>
  <c r="S53" i="7"/>
  <c r="P58" i="7"/>
  <c r="H58" i="7"/>
  <c r="O47" i="7"/>
  <c r="O55" i="7"/>
  <c r="F56" i="7"/>
  <c r="K49" i="7"/>
  <c r="K43" i="7"/>
  <c r="I53" i="7"/>
  <c r="P38" i="7"/>
  <c r="O41" i="7"/>
  <c r="O49" i="7"/>
  <c r="S57" i="7"/>
  <c r="P42" i="7"/>
  <c r="S35" i="7"/>
  <c r="L49" i="7"/>
  <c r="I56" i="7"/>
  <c r="F38" i="7"/>
  <c r="F51" i="7"/>
  <c r="I44" i="7"/>
  <c r="L48" i="7"/>
  <c r="H49" i="7"/>
  <c r="K23" i="7"/>
  <c r="F26" i="7"/>
  <c r="I25" i="7"/>
  <c r="H24" i="7"/>
  <c r="H22" i="7"/>
  <c r="G22" i="7"/>
  <c r="H33" i="7"/>
  <c r="S20" i="7"/>
  <c r="N14" i="7"/>
  <c r="P16" i="7"/>
  <c r="F24" i="7"/>
  <c r="P18" i="7"/>
  <c r="O28" i="7"/>
  <c r="O33" i="7"/>
  <c r="M15" i="7"/>
  <c r="F14" i="7"/>
  <c r="N15" i="7"/>
  <c r="O25" i="7"/>
  <c r="P22" i="7"/>
  <c r="S17" i="7"/>
  <c r="G27" i="7"/>
  <c r="N31" i="7"/>
  <c r="S15" i="7"/>
  <c r="O16" i="7"/>
  <c r="F32" i="7"/>
  <c r="G20" i="7"/>
  <c r="H19" i="7"/>
  <c r="H21" i="7"/>
  <c r="S19" i="7"/>
  <c r="L33" i="7"/>
  <c r="I19" i="7"/>
  <c r="S30" i="7"/>
  <c r="L20" i="7"/>
  <c r="P20" i="7"/>
  <c r="S28" i="7"/>
  <c r="H16" i="7"/>
  <c r="M26" i="7"/>
  <c r="P27" i="7"/>
  <c r="I26" i="7"/>
  <c r="L16" i="7"/>
  <c r="K17" i="7"/>
  <c r="S23" i="7"/>
  <c r="P15" i="7"/>
  <c r="M22" i="7"/>
  <c r="I18" i="7"/>
  <c r="F23" i="7"/>
  <c r="K32" i="7"/>
  <c r="O27" i="7"/>
  <c r="M20" i="7"/>
  <c r="N28" i="7"/>
  <c r="O26" i="7"/>
  <c r="O18" i="7"/>
  <c r="S22" i="7"/>
  <c r="L23" i="7"/>
  <c r="H14" i="7"/>
  <c r="H27" i="7"/>
  <c r="L17" i="7"/>
  <c r="O17" i="7"/>
  <c r="N17" i="7"/>
  <c r="N24" i="7"/>
  <c r="F20" i="7"/>
  <c r="K26" i="7"/>
  <c r="M32" i="7"/>
  <c r="M17" i="7"/>
  <c r="P32" i="7"/>
  <c r="F17" i="7"/>
  <c r="M19" i="7"/>
  <c r="P19" i="7"/>
  <c r="I31" i="7"/>
  <c r="G19" i="7"/>
  <c r="I28" i="7"/>
  <c r="S18" i="7"/>
  <c r="G14" i="7"/>
  <c r="L29" i="7"/>
  <c r="P23" i="7"/>
  <c r="L14" i="7"/>
  <c r="L31" i="7"/>
  <c r="F33" i="7"/>
  <c r="L24" i="7"/>
  <c r="K19" i="7"/>
  <c r="H29" i="7"/>
  <c r="N25" i="7"/>
  <c r="O31" i="7"/>
  <c r="L22" i="7"/>
  <c r="L26" i="7"/>
  <c r="G25" i="7"/>
  <c r="M16" i="7"/>
  <c r="O23" i="7"/>
  <c r="M18" i="7"/>
  <c r="O22" i="7"/>
  <c r="H26" i="7"/>
  <c r="K21" i="7"/>
  <c r="H23" i="7"/>
  <c r="G24" i="7"/>
  <c r="G32" i="7"/>
  <c r="G18" i="7"/>
  <c r="G26" i="7"/>
  <c r="G21" i="7"/>
  <c r="O29" i="7"/>
  <c r="L32" i="7"/>
  <c r="M24" i="7"/>
  <c r="K24" i="7"/>
  <c r="L19" i="7"/>
  <c r="S31" i="7"/>
  <c r="G28" i="7"/>
  <c r="L21" i="7"/>
  <c r="M21" i="7"/>
  <c r="H18" i="7"/>
  <c r="O21" i="7"/>
  <c r="N20" i="7"/>
  <c r="I17" i="7"/>
  <c r="K27" i="7"/>
  <c r="O15" i="7"/>
  <c r="N23" i="7"/>
  <c r="M30" i="7"/>
  <c r="H32" i="7"/>
  <c r="K16" i="7"/>
  <c r="P25" i="7"/>
  <c r="L25" i="7"/>
  <c r="I16" i="7"/>
  <c r="I27" i="7"/>
  <c r="S16" i="7"/>
  <c r="K28" i="7"/>
  <c r="M31" i="7"/>
  <c r="S21" i="7"/>
  <c r="H28" i="7"/>
  <c r="P24" i="7"/>
  <c r="P21" i="7"/>
  <c r="N27" i="7"/>
  <c r="P14" i="7"/>
  <c r="N30" i="7"/>
  <c r="H25" i="7"/>
  <c r="L28" i="7"/>
  <c r="K31" i="7"/>
  <c r="F29" i="7"/>
  <c r="F16" i="7"/>
  <c r="L30" i="7"/>
  <c r="N16" i="7"/>
  <c r="O14" i="7"/>
  <c r="F15" i="7"/>
  <c r="F28" i="7"/>
  <c r="M23" i="7"/>
  <c r="L18" i="7"/>
  <c r="I30" i="7"/>
  <c r="O24" i="7"/>
  <c r="S32" i="7"/>
  <c r="I29" i="7"/>
  <c r="S24" i="7"/>
  <c r="I24" i="7"/>
  <c r="N21" i="7"/>
  <c r="N18" i="7"/>
  <c r="K30" i="7"/>
  <c r="S29" i="7"/>
  <c r="I32" i="7"/>
  <c r="K33" i="7"/>
  <c r="H30" i="7"/>
  <c r="L15" i="7"/>
  <c r="F27" i="7"/>
  <c r="F18" i="7"/>
  <c r="N19" i="7"/>
  <c r="M27" i="7"/>
  <c r="S14" i="7"/>
  <c r="N32" i="7"/>
  <c r="N22" i="7"/>
  <c r="M29" i="7"/>
  <c r="P33" i="7"/>
  <c r="H15" i="7"/>
  <c r="P26" i="7"/>
  <c r="K20" i="7"/>
  <c r="G30" i="7"/>
  <c r="N29" i="7"/>
  <c r="O32" i="7"/>
  <c r="N33" i="7"/>
  <c r="F21" i="7"/>
  <c r="O30" i="7"/>
  <c r="H17" i="7"/>
  <c r="K29" i="7"/>
  <c r="I21" i="7"/>
  <c r="I22" i="7"/>
  <c r="P17" i="7"/>
  <c r="P30" i="7"/>
  <c r="O20" i="7"/>
  <c r="K25" i="7"/>
  <c r="G15" i="7"/>
  <c r="P31" i="7"/>
  <c r="K15" i="7"/>
  <c r="O19" i="7"/>
  <c r="S25" i="7"/>
  <c r="K14" i="7"/>
  <c r="N26" i="7"/>
  <c r="M33" i="7"/>
  <c r="F30" i="7"/>
  <c r="P28" i="7"/>
  <c r="H31" i="7"/>
  <c r="S26" i="7"/>
  <c r="F25" i="7"/>
  <c r="I33" i="7"/>
  <c r="I15" i="7"/>
  <c r="M28" i="7"/>
  <c r="M25" i="7"/>
  <c r="K18" i="7"/>
  <c r="G17" i="7"/>
  <c r="I14" i="7"/>
  <c r="L27" i="7"/>
  <c r="G16" i="7"/>
  <c r="G31" i="7"/>
  <c r="K22" i="7"/>
  <c r="G29" i="7"/>
  <c r="G33" i="7"/>
  <c r="S33" i="7"/>
  <c r="F22" i="7"/>
  <c r="H20" i="7"/>
  <c r="S27" i="7"/>
  <c r="I23" i="7"/>
  <c r="G23" i="7"/>
  <c r="P29" i="7"/>
  <c r="F31" i="7"/>
  <c r="F19" i="7"/>
  <c r="M14" i="7"/>
  <c r="I20" i="7"/>
  <c r="V133" i="1"/>
  <c r="U42" i="1"/>
  <c r="P81" i="5"/>
  <c r="U61" i="1"/>
  <c r="P64" i="5"/>
  <c r="P59" i="5"/>
  <c r="V144" i="1"/>
  <c r="P68" i="5"/>
  <c r="F43" i="1"/>
  <c r="V139" i="1"/>
  <c r="H74" i="1"/>
  <c r="P76" i="5"/>
  <c r="F42" i="1"/>
  <c r="F62" i="1"/>
  <c r="P39" i="5"/>
  <c r="P41" i="5"/>
  <c r="C47" i="1"/>
  <c r="P78" i="5"/>
  <c r="P58" i="5"/>
  <c r="C59" i="1"/>
  <c r="P56" i="5"/>
  <c r="P63" i="5"/>
  <c r="P20" i="5"/>
  <c r="P94" i="5"/>
  <c r="C57" i="1"/>
  <c r="I62" i="2"/>
  <c r="F56" i="1"/>
  <c r="P34" i="5"/>
  <c r="C43" i="1"/>
  <c r="P99" i="5"/>
  <c r="U40" i="1"/>
  <c r="V136" i="1"/>
  <c r="V142" i="1"/>
  <c r="V135" i="1"/>
  <c r="P66" i="5"/>
  <c r="C40" i="1"/>
  <c r="V140" i="1"/>
  <c r="P95" i="5"/>
  <c r="F63" i="1"/>
  <c r="P43" i="5"/>
  <c r="P72" i="5"/>
  <c r="P33" i="5"/>
  <c r="P32" i="5"/>
  <c r="F47" i="1"/>
  <c r="P71" i="5"/>
  <c r="M44" i="1"/>
  <c r="P53" i="5"/>
  <c r="C44" i="1"/>
  <c r="V138" i="1"/>
  <c r="P38" i="5"/>
  <c r="P40" i="1"/>
  <c r="P49" i="1"/>
  <c r="P86" i="5"/>
  <c r="P24" i="5"/>
  <c r="P41" i="1"/>
  <c r="P46" i="1"/>
  <c r="P28" i="5"/>
  <c r="V147" i="1"/>
  <c r="G47" i="1"/>
  <c r="M41" i="1"/>
  <c r="P69" i="5"/>
  <c r="C63" i="1"/>
  <c r="C49" i="1"/>
  <c r="P79" i="5"/>
  <c r="P70" i="5"/>
  <c r="C56" i="1"/>
  <c r="P36" i="5"/>
  <c r="P62" i="5"/>
  <c r="P61" i="5"/>
  <c r="C65" i="1"/>
  <c r="G44" i="1"/>
  <c r="M47" i="1"/>
  <c r="P45" i="5"/>
  <c r="P92" i="5"/>
  <c r="G48" i="1"/>
  <c r="P73" i="5"/>
  <c r="P89" i="5"/>
  <c r="H75" i="1"/>
  <c r="P55" i="5"/>
  <c r="P57" i="5"/>
  <c r="P60" i="5"/>
  <c r="P80" i="5"/>
  <c r="P29" i="5"/>
  <c r="P16" i="5"/>
  <c r="P47" i="5"/>
  <c r="U44" i="1"/>
  <c r="F44" i="1"/>
  <c r="F64" i="1"/>
  <c r="P51" i="5"/>
  <c r="V134" i="1"/>
  <c r="M48" i="1"/>
  <c r="P50" i="5"/>
  <c r="F59" i="1"/>
  <c r="P37" i="5"/>
  <c r="P21" i="5"/>
  <c r="P26" i="5"/>
  <c r="P43" i="1"/>
  <c r="P83" i="5"/>
  <c r="F61" i="1"/>
  <c r="C58" i="1"/>
  <c r="H79" i="1"/>
  <c r="H73" i="1"/>
  <c r="F65" i="1"/>
  <c r="G41" i="1"/>
  <c r="F45" i="1"/>
  <c r="H76" i="1"/>
  <c r="P65" i="5"/>
  <c r="P30" i="5"/>
  <c r="M43" i="1"/>
  <c r="P22" i="5"/>
  <c r="P18" i="5"/>
  <c r="P84" i="5"/>
  <c r="P23" i="5"/>
  <c r="G40" i="1"/>
  <c r="F48" i="1"/>
  <c r="C61" i="1"/>
  <c r="M40" i="1"/>
  <c r="P67" i="5"/>
  <c r="G42" i="1"/>
  <c r="F30" i="5"/>
  <c r="P96" i="5"/>
  <c r="F49" i="1"/>
  <c r="F40" i="1"/>
  <c r="P46" i="5"/>
  <c r="P19" i="5"/>
  <c r="V145" i="1"/>
  <c r="C41" i="1"/>
  <c r="C48" i="1"/>
  <c r="F60" i="1"/>
  <c r="G43" i="1"/>
  <c r="P54" i="5"/>
  <c r="P48" i="1"/>
  <c r="F41" i="1"/>
  <c r="P75" i="5"/>
  <c r="V143" i="1"/>
  <c r="P90" i="5"/>
  <c r="P49" i="5"/>
  <c r="P77" i="5"/>
  <c r="V141" i="1"/>
  <c r="V146" i="1"/>
  <c r="P35" i="5"/>
  <c r="P25" i="5"/>
  <c r="C42" i="1"/>
  <c r="P97" i="5"/>
  <c r="M45" i="1"/>
  <c r="F58" i="1"/>
  <c r="P40" i="5"/>
  <c r="C62" i="1"/>
  <c r="P52" i="5"/>
  <c r="U41" i="1"/>
  <c r="F57" i="1"/>
  <c r="H72" i="1"/>
  <c r="P82" i="5"/>
  <c r="N15" i="1"/>
  <c r="M46" i="1"/>
  <c r="P42" i="5"/>
  <c r="P44" i="1"/>
  <c r="G45" i="1"/>
  <c r="P74" i="5"/>
  <c r="V148" i="1"/>
  <c r="G46" i="1"/>
  <c r="U43" i="1"/>
  <c r="P88" i="5"/>
  <c r="M49" i="1"/>
  <c r="H78" i="1"/>
  <c r="P27" i="5"/>
  <c r="P85" i="5"/>
  <c r="P42" i="1"/>
  <c r="P15" i="5"/>
  <c r="C60" i="1"/>
  <c r="G49" i="1"/>
  <c r="C64" i="1"/>
  <c r="U60" i="1"/>
  <c r="P47" i="1"/>
  <c r="C46" i="1"/>
  <c r="P98" i="5"/>
  <c r="P93" i="5"/>
  <c r="C45" i="1"/>
  <c r="P44" i="5"/>
  <c r="P91" i="5"/>
  <c r="P31" i="5"/>
  <c r="U45" i="1"/>
  <c r="M42" i="1"/>
  <c r="P17" i="5"/>
  <c r="F46" i="1"/>
  <c r="P45" i="1"/>
  <c r="P87" i="5"/>
  <c r="P48" i="5"/>
  <c r="V137" i="1"/>
  <c r="F85" i="1"/>
  <c r="E85" i="1"/>
  <c r="G85" i="1"/>
  <c r="V128" i="1"/>
  <c r="N14" i="1"/>
  <c r="V125" i="1"/>
  <c r="H61" i="2"/>
  <c r="H85" i="1"/>
  <c r="R62" i="2"/>
  <c r="J62" i="2"/>
  <c r="D85" i="1"/>
  <c r="V130" i="1"/>
  <c r="L61" i="2" l="1"/>
  <c r="M61" i="2"/>
  <c r="K61" i="2"/>
  <c r="T415" i="7"/>
  <c r="U415" i="7" s="1"/>
  <c r="T224" i="7"/>
  <c r="U224" i="7" s="1"/>
  <c r="T102" i="7"/>
  <c r="U102" i="7" s="1"/>
  <c r="T289" i="7"/>
  <c r="U289" i="7" s="1"/>
  <c r="T265" i="7"/>
  <c r="U265" i="7" s="1"/>
  <c r="T441" i="7"/>
  <c r="U441" i="7" s="1"/>
  <c r="T78" i="7"/>
  <c r="U78" i="7" s="1"/>
  <c r="T390" i="7"/>
  <c r="U390" i="7" s="1"/>
  <c r="T154" i="7"/>
  <c r="U154" i="7" s="1"/>
  <c r="T221" i="7"/>
  <c r="U221" i="7" s="1"/>
  <c r="T65" i="7"/>
  <c r="U65" i="7" s="1"/>
  <c r="T106" i="7"/>
  <c r="U106" i="7" s="1"/>
  <c r="T170" i="7"/>
  <c r="U170" i="7" s="1"/>
  <c r="T447" i="7"/>
  <c r="U447" i="7" s="1"/>
  <c r="T1272" i="7"/>
  <c r="U1272" i="7" s="1"/>
  <c r="T549" i="7"/>
  <c r="U549" i="7" s="1"/>
  <c r="T330" i="7"/>
  <c r="U330" i="7" s="1"/>
  <c r="T206" i="7"/>
  <c r="U206" i="7" s="1"/>
  <c r="T485" i="7"/>
  <c r="U485" i="7" s="1"/>
  <c r="T149" i="7"/>
  <c r="U149" i="7" s="1"/>
  <c r="T162" i="7"/>
  <c r="U162" i="7" s="1"/>
  <c r="T290" i="7"/>
  <c r="U290" i="7" s="1"/>
  <c r="T586" i="7"/>
  <c r="U586" i="7" s="1"/>
  <c r="T173" i="7"/>
  <c r="U173" i="7" s="1"/>
  <c r="T47" i="7"/>
  <c r="U47" i="7" s="1"/>
  <c r="T301" i="7"/>
  <c r="U301" i="7" s="1"/>
  <c r="T190" i="7"/>
  <c r="U190" i="7" s="1"/>
  <c r="T205" i="7"/>
  <c r="U205" i="7" s="1"/>
  <c r="T360" i="7"/>
  <c r="U360" i="7" s="1"/>
  <c r="T184" i="7"/>
  <c r="U184" i="7" s="1"/>
  <c r="T220" i="7"/>
  <c r="U220" i="7" s="1"/>
  <c r="T81" i="7"/>
  <c r="U81" i="7" s="1"/>
  <c r="T111" i="7"/>
  <c r="U111" i="7" s="1"/>
  <c r="T128" i="7"/>
  <c r="U128" i="7" s="1"/>
  <c r="T729" i="7"/>
  <c r="U729" i="7" s="1"/>
  <c r="T916" i="7"/>
  <c r="U916" i="7" s="1"/>
  <c r="T919" i="7"/>
  <c r="U919" i="7" s="1"/>
  <c r="T309" i="7"/>
  <c r="U309" i="7" s="1"/>
  <c r="T161" i="7"/>
  <c r="U161" i="7" s="1"/>
  <c r="T565" i="7"/>
  <c r="U565" i="7" s="1"/>
  <c r="T132" i="7"/>
  <c r="U132" i="7" s="1"/>
  <c r="T314" i="7"/>
  <c r="U314" i="7" s="1"/>
  <c r="T179" i="7"/>
  <c r="U179" i="7" s="1"/>
  <c r="T171" i="7"/>
  <c r="U171" i="7" s="1"/>
  <c r="T280" i="7"/>
  <c r="U280" i="7" s="1"/>
  <c r="T150" i="7"/>
  <c r="U150" i="7" s="1"/>
  <c r="T284" i="7"/>
  <c r="U284" i="7" s="1"/>
  <c r="T95" i="7"/>
  <c r="U95" i="7" s="1"/>
  <c r="T140" i="7"/>
  <c r="U140" i="7" s="1"/>
  <c r="T239" i="7"/>
  <c r="U239" i="7" s="1"/>
  <c r="T152" i="7"/>
  <c r="U152" i="7" s="1"/>
  <c r="T1240" i="7"/>
  <c r="U1240" i="7" s="1"/>
  <c r="T97" i="7"/>
  <c r="U97" i="7" s="1"/>
  <c r="T297" i="7"/>
  <c r="U297" i="7" s="1"/>
  <c r="T68" i="7"/>
  <c r="U68" i="7" s="1"/>
  <c r="T165" i="7"/>
  <c r="U165" i="7" s="1"/>
  <c r="T188" i="7"/>
  <c r="U188" i="7" s="1"/>
  <c r="T243" i="7"/>
  <c r="U243" i="7" s="1"/>
  <c r="T138" i="7"/>
  <c r="U138" i="7" s="1"/>
  <c r="T227" i="7"/>
  <c r="U227" i="7" s="1"/>
  <c r="T335" i="7"/>
  <c r="U335" i="7" s="1"/>
  <c r="T1035" i="7"/>
  <c r="U1035" i="7" s="1"/>
  <c r="T535" i="7"/>
  <c r="U535" i="7" s="1"/>
  <c r="T326" i="7"/>
  <c r="U326" i="7" s="1"/>
  <c r="T344" i="7"/>
  <c r="U344" i="7" s="1"/>
  <c r="T183" i="7"/>
  <c r="U183" i="7" s="1"/>
  <c r="T197" i="7"/>
  <c r="U197" i="7" s="1"/>
  <c r="T555" i="7"/>
  <c r="U555" i="7" s="1"/>
  <c r="T145" i="7"/>
  <c r="U145" i="7" s="1"/>
  <c r="T74" i="7"/>
  <c r="U74" i="7" s="1"/>
  <c r="T541" i="7"/>
  <c r="U541" i="7" s="1"/>
  <c r="T219" i="7"/>
  <c r="U219" i="7" s="1"/>
  <c r="T276" i="7"/>
  <c r="U276" i="7" s="1"/>
  <c r="T238" i="7"/>
  <c r="U238" i="7" s="1"/>
  <c r="T70" i="7"/>
  <c r="U70" i="7" s="1"/>
  <c r="T495" i="7"/>
  <c r="U495" i="7" s="1"/>
  <c r="T107" i="7"/>
  <c r="U107" i="7" s="1"/>
  <c r="T168" i="7"/>
  <c r="U168" i="7" s="1"/>
  <c r="T247" i="7"/>
  <c r="U247" i="7" s="1"/>
  <c r="T186" i="7"/>
  <c r="U186" i="7" s="1"/>
  <c r="T371" i="7"/>
  <c r="U371" i="7" s="1"/>
  <c r="T121" i="7"/>
  <c r="U121" i="7" s="1"/>
  <c r="T536" i="7"/>
  <c r="U536" i="7" s="1"/>
  <c r="T148" i="7"/>
  <c r="U148" i="7" s="1"/>
  <c r="T551" i="7"/>
  <c r="U551" i="7" s="1"/>
  <c r="T71" i="7"/>
  <c r="U71" i="7" s="1"/>
  <c r="T230" i="7"/>
  <c r="U230" i="7" s="1"/>
  <c r="T113" i="7"/>
  <c r="U113" i="7" s="1"/>
  <c r="T288" i="7"/>
  <c r="U288" i="7" s="1"/>
  <c r="T166" i="7"/>
  <c r="U166" i="7" s="1"/>
  <c r="T178" i="7"/>
  <c r="U178" i="7" s="1"/>
  <c r="T155" i="7"/>
  <c r="U155" i="7" s="1"/>
  <c r="T594" i="7"/>
  <c r="U594" i="7" s="1"/>
  <c r="T603" i="7"/>
  <c r="U603" i="7" s="1"/>
  <c r="T212" i="7"/>
  <c r="U212" i="7" s="1"/>
  <c r="T1060" i="7"/>
  <c r="U1060" i="7" s="1"/>
  <c r="T430" i="7"/>
  <c r="U430" i="7" s="1"/>
  <c r="T117" i="7"/>
  <c r="U117" i="7" s="1"/>
  <c r="T522" i="7"/>
  <c r="U522" i="7" s="1"/>
  <c r="T189" i="7"/>
  <c r="U189" i="7" s="1"/>
  <c r="T266" i="7"/>
  <c r="U266" i="7" s="1"/>
  <c r="T240" i="7"/>
  <c r="U240" i="7" s="1"/>
  <c r="T207" i="7"/>
  <c r="U207" i="7" s="1"/>
  <c r="T226" i="7"/>
  <c r="U226" i="7" s="1"/>
  <c r="T246" i="7"/>
  <c r="U246" i="7" s="1"/>
  <c r="T129" i="7"/>
  <c r="U129" i="7" s="1"/>
  <c r="T98" i="7"/>
  <c r="U98" i="7" s="1"/>
  <c r="T109" i="7"/>
  <c r="U109" i="7" s="1"/>
  <c r="T130" i="7"/>
  <c r="U130" i="7" s="1"/>
  <c r="T1261" i="7"/>
  <c r="U1261" i="7" s="1"/>
  <c r="T261" i="7"/>
  <c r="U261" i="7" s="1"/>
  <c r="T689" i="7"/>
  <c r="U689" i="7" s="1"/>
  <c r="T438" i="7"/>
  <c r="U438" i="7" s="1"/>
  <c r="T287" i="7"/>
  <c r="U287" i="7" s="1"/>
  <c r="T120" i="7"/>
  <c r="U120" i="7" s="1"/>
  <c r="T191" i="7"/>
  <c r="U191" i="7" s="1"/>
  <c r="T367" i="7"/>
  <c r="U367" i="7" s="1"/>
  <c r="T159" i="7"/>
  <c r="U159" i="7" s="1"/>
  <c r="T523" i="7"/>
  <c r="U523" i="7" s="1"/>
  <c r="T236" i="7"/>
  <c r="U236" i="7" s="1"/>
  <c r="T245" i="7"/>
  <c r="U245" i="7" s="1"/>
  <c r="T242" i="7"/>
  <c r="U242" i="7" s="1"/>
  <c r="T662" i="7"/>
  <c r="U662" i="7" s="1"/>
  <c r="T142" i="7"/>
  <c r="U142" i="7" s="1"/>
  <c r="T365" i="7"/>
  <c r="U365" i="7" s="1"/>
  <c r="T192" i="7"/>
  <c r="U192" i="7" s="1"/>
  <c r="T272" i="7"/>
  <c r="U272" i="7" s="1"/>
  <c r="T471" i="7"/>
  <c r="U471" i="7" s="1"/>
  <c r="T450" i="7"/>
  <c r="U450" i="7" s="1"/>
  <c r="T163" i="7"/>
  <c r="U163" i="7" s="1"/>
  <c r="T231" i="7"/>
  <c r="U231" i="7" s="1"/>
  <c r="T233" i="7"/>
  <c r="U233" i="7" s="1"/>
  <c r="T270" i="7"/>
  <c r="U270" i="7" s="1"/>
  <c r="T559" i="7"/>
  <c r="U559" i="7" s="1"/>
  <c r="T384" i="7"/>
  <c r="U384" i="7" s="1"/>
  <c r="T315" i="7"/>
  <c r="U315" i="7" s="1"/>
  <c r="T255" i="7"/>
  <c r="U255" i="7" s="1"/>
  <c r="T505" i="7"/>
  <c r="U505" i="7" s="1"/>
  <c r="T135" i="7"/>
  <c r="U135" i="7" s="1"/>
  <c r="T88" i="7"/>
  <c r="U88" i="7" s="1"/>
  <c r="T151" i="7"/>
  <c r="U151" i="7" s="1"/>
  <c r="T125" i="7"/>
  <c r="U125" i="7" s="1"/>
  <c r="T257" i="7"/>
  <c r="U257" i="7" s="1"/>
  <c r="T134" i="7"/>
  <c r="U134" i="7" s="1"/>
  <c r="T77" i="7"/>
  <c r="U77" i="7" s="1"/>
  <c r="T661" i="7"/>
  <c r="U661" i="7" s="1"/>
  <c r="T119" i="7"/>
  <c r="U119" i="7" s="1"/>
  <c r="T1025" i="7"/>
  <c r="U1025" i="7" s="1"/>
  <c r="T436" i="7"/>
  <c r="U436" i="7" s="1"/>
  <c r="T358" i="7"/>
  <c r="U358" i="7" s="1"/>
  <c r="T355" i="7"/>
  <c r="U355" i="7" s="1"/>
  <c r="T167" i="7"/>
  <c r="U167" i="7" s="1"/>
  <c r="T269" i="7"/>
  <c r="U269" i="7" s="1"/>
  <c r="T373" i="7"/>
  <c r="U373" i="7" s="1"/>
  <c r="T118" i="7"/>
  <c r="U118" i="7" s="1"/>
  <c r="T158" i="7"/>
  <c r="U158" i="7" s="1"/>
  <c r="T73" i="7"/>
  <c r="U73" i="7" s="1"/>
  <c r="T93" i="7"/>
  <c r="U93" i="7" s="1"/>
  <c r="T222" i="7"/>
  <c r="U222" i="7" s="1"/>
  <c r="T448" i="7"/>
  <c r="U448" i="7" s="1"/>
  <c r="T722" i="7"/>
  <c r="U722" i="7" s="1"/>
  <c r="T375" i="7"/>
  <c r="U375" i="7" s="1"/>
  <c r="T1088" i="7"/>
  <c r="U1088" i="7" s="1"/>
  <c r="T1104" i="7"/>
  <c r="U1104" i="7" s="1"/>
  <c r="T228" i="7"/>
  <c r="U228" i="7" s="1"/>
  <c r="T110" i="7"/>
  <c r="U110" i="7" s="1"/>
  <c r="T474" i="7"/>
  <c r="U474" i="7" s="1"/>
  <c r="T389" i="7"/>
  <c r="U389" i="7" s="1"/>
  <c r="T144" i="7"/>
  <c r="U144" i="7" s="1"/>
  <c r="T563" i="7"/>
  <c r="U563" i="7" s="1"/>
  <c r="T552" i="7"/>
  <c r="U552" i="7" s="1"/>
  <c r="T514" i="7"/>
  <c r="U514" i="7" s="1"/>
  <c r="T460" i="7"/>
  <c r="U460" i="7" s="1"/>
  <c r="T172" i="7"/>
  <c r="U172" i="7" s="1"/>
  <c r="T225" i="7"/>
  <c r="U225" i="7" s="1"/>
  <c r="T86" i="7"/>
  <c r="U86" i="7" s="1"/>
  <c r="T99" i="7"/>
  <c r="U99" i="7" s="1"/>
  <c r="T339" i="7"/>
  <c r="U339" i="7" s="1"/>
  <c r="T45" i="7"/>
  <c r="U45" i="7" s="1"/>
  <c r="T267" i="7"/>
  <c r="U267" i="7" s="1"/>
  <c r="T259" i="7"/>
  <c r="U259" i="7" s="1"/>
  <c r="T1175" i="7"/>
  <c r="U1175" i="7" s="1"/>
  <c r="T417" i="7"/>
  <c r="U417" i="7" s="1"/>
  <c r="T268" i="7"/>
  <c r="U268" i="7" s="1"/>
  <c r="T418" i="7"/>
  <c r="U418" i="7" s="1"/>
  <c r="T123" i="7"/>
  <c r="U123" i="7" s="1"/>
  <c r="T571" i="7"/>
  <c r="U571" i="7" s="1"/>
  <c r="T139" i="7"/>
  <c r="U139" i="7" s="1"/>
  <c r="T374" i="7"/>
  <c r="U374" i="7" s="1"/>
  <c r="T600" i="7"/>
  <c r="U600" i="7" s="1"/>
  <c r="T146" i="7"/>
  <c r="U146" i="7" s="1"/>
  <c r="T60" i="7"/>
  <c r="U60" i="7" s="1"/>
  <c r="T539" i="7"/>
  <c r="U539" i="7" s="1"/>
  <c r="T75" i="7"/>
  <c r="U75" i="7" s="1"/>
  <c r="T218" i="7"/>
  <c r="U218" i="7" s="1"/>
  <c r="T202" i="7"/>
  <c r="U202" i="7" s="1"/>
  <c r="T114" i="7"/>
  <c r="U114" i="7" s="1"/>
  <c r="T468" i="7"/>
  <c r="U468" i="7" s="1"/>
  <c r="T435" i="7"/>
  <c r="U435" i="7" s="1"/>
  <c r="T94" i="7"/>
  <c r="U94" i="7" s="1"/>
  <c r="T108" i="7"/>
  <c r="U108" i="7" s="1"/>
  <c r="T126" i="7"/>
  <c r="U126" i="7" s="1"/>
  <c r="T156" i="7"/>
  <c r="U156" i="7" s="1"/>
  <c r="T115" i="7"/>
  <c r="U115" i="7" s="1"/>
  <c r="T83" i="7"/>
  <c r="U83" i="7" s="1"/>
  <c r="T200" i="7"/>
  <c r="U200" i="7" s="1"/>
  <c r="T82" i="7"/>
  <c r="U82" i="7" s="1"/>
  <c r="T380" i="7"/>
  <c r="U380" i="7" s="1"/>
  <c r="T84" i="7"/>
  <c r="U84" i="7" s="1"/>
  <c r="T698" i="7"/>
  <c r="U698" i="7" s="1"/>
  <c r="T337" i="7"/>
  <c r="U337" i="7" s="1"/>
  <c r="T394" i="7"/>
  <c r="U394" i="7" s="1"/>
  <c r="T543" i="7"/>
  <c r="U543" i="7" s="1"/>
  <c r="T577" i="7"/>
  <c r="U577" i="7" s="1"/>
  <c r="T262" i="7"/>
  <c r="U262" i="7" s="1"/>
  <c r="T204" i="7"/>
  <c r="U204" i="7" s="1"/>
  <c r="T279" i="7"/>
  <c r="U279" i="7" s="1"/>
  <c r="T470" i="7"/>
  <c r="U470" i="7" s="1"/>
  <c r="T311" i="7"/>
  <c r="U311" i="7" s="1"/>
  <c r="T87" i="7"/>
  <c r="U87" i="7" s="1"/>
  <c r="T504" i="7"/>
  <c r="U504" i="7" s="1"/>
  <c r="T256" i="7"/>
  <c r="U256" i="7" s="1"/>
  <c r="T370" i="7"/>
  <c r="U370" i="7" s="1"/>
  <c r="T203" i="7"/>
  <c r="U203" i="7" s="1"/>
  <c r="T143" i="7"/>
  <c r="U143" i="7" s="1"/>
  <c r="T249" i="7"/>
  <c r="U249" i="7" s="1"/>
  <c r="T444" i="7"/>
  <c r="U444" i="7" s="1"/>
  <c r="T153" i="7"/>
  <c r="U153" i="7" s="1"/>
  <c r="T216" i="7"/>
  <c r="U216" i="7" s="1"/>
  <c r="T67" i="7"/>
  <c r="U67" i="7" s="1"/>
  <c r="T676" i="7"/>
  <c r="U676" i="7" s="1"/>
  <c r="T181" i="7"/>
  <c r="U181" i="7" s="1"/>
  <c r="T273" i="7"/>
  <c r="U273" i="7" s="1"/>
  <c r="T46" i="7"/>
  <c r="U46" i="7" s="1"/>
  <c r="T124" i="7"/>
  <c r="U124" i="7" s="1"/>
  <c r="T493" i="7"/>
  <c r="U493" i="7" s="1"/>
  <c r="T431" i="7"/>
  <c r="U431" i="7" s="1"/>
  <c r="T101" i="7"/>
  <c r="U101" i="7" s="1"/>
  <c r="T177" i="7"/>
  <c r="U177" i="7" s="1"/>
  <c r="T494" i="7"/>
  <c r="U494" i="7" s="1"/>
  <c r="T258" i="7"/>
  <c r="U258" i="7" s="1"/>
  <c r="T64" i="7"/>
  <c r="U64" i="7" s="1"/>
  <c r="T112" i="7"/>
  <c r="U112" i="7" s="1"/>
  <c r="T127" i="7"/>
  <c r="U127" i="7" s="1"/>
  <c r="T350" i="7"/>
  <c r="U350" i="7" s="1"/>
  <c r="T336" i="7"/>
  <c r="U336" i="7" s="1"/>
  <c r="T378" i="7"/>
  <c r="U378" i="7" s="1"/>
  <c r="T137" i="7"/>
  <c r="U137" i="7" s="1"/>
  <c r="T141" i="7"/>
  <c r="U141" i="7" s="1"/>
  <c r="T62" i="7"/>
  <c r="U62" i="7" s="1"/>
  <c r="T561" i="7"/>
  <c r="U561" i="7" s="1"/>
  <c r="T632" i="7"/>
  <c r="U632" i="7" s="1"/>
  <c r="T587" i="7"/>
  <c r="U587" i="7" s="1"/>
  <c r="T147" i="7"/>
  <c r="U147" i="7" s="1"/>
  <c r="T201" i="7"/>
  <c r="U201" i="7" s="1"/>
  <c r="T381" i="7"/>
  <c r="U381" i="7" s="1"/>
  <c r="T217" i="7"/>
  <c r="U217" i="7" s="1"/>
  <c r="T726" i="7"/>
  <c r="U726" i="7" s="1"/>
  <c r="T593" i="7"/>
  <c r="U593" i="7" s="1"/>
  <c r="T466" i="7"/>
  <c r="U466" i="7" s="1"/>
  <c r="T210" i="7"/>
  <c r="U210" i="7" s="1"/>
  <c r="T520" i="7"/>
  <c r="U520" i="7" s="1"/>
  <c r="T194" i="7"/>
  <c r="U194" i="7" s="1"/>
  <c r="T1266" i="7"/>
  <c r="U1266" i="7" s="1"/>
  <c r="T322" i="7"/>
  <c r="U322" i="7" s="1"/>
  <c r="T427" i="7"/>
  <c r="U427" i="7" s="1"/>
  <c r="T454" i="7"/>
  <c r="U454" i="7" s="1"/>
  <c r="T411" i="7"/>
  <c r="U411" i="7" s="1"/>
  <c r="T926" i="7"/>
  <c r="U926" i="7" s="1"/>
  <c r="T884" i="7"/>
  <c r="U884" i="7" s="1"/>
  <c r="T976" i="7"/>
  <c r="U976" i="7" s="1"/>
  <c r="T302" i="7"/>
  <c r="U302" i="7" s="1"/>
  <c r="T670" i="7"/>
  <c r="U670" i="7" s="1"/>
  <c r="T525" i="7"/>
  <c r="U525" i="7" s="1"/>
  <c r="T607" i="7"/>
  <c r="U607" i="7" s="1"/>
  <c r="T195" i="7"/>
  <c r="U195" i="7" s="1"/>
  <c r="T356" i="7"/>
  <c r="U356" i="7" s="1"/>
  <c r="T414" i="7"/>
  <c r="U414" i="7" s="1"/>
  <c r="T1028" i="7"/>
  <c r="U1028" i="7" s="1"/>
  <c r="T406" i="7"/>
  <c r="U406" i="7" s="1"/>
  <c r="T79" i="7"/>
  <c r="U79" i="7" s="1"/>
  <c r="T237" i="7"/>
  <c r="U237" i="7" s="1"/>
  <c r="T361" i="7"/>
  <c r="U361" i="7" s="1"/>
  <c r="T187" i="7"/>
  <c r="U187" i="7" s="1"/>
  <c r="T76" i="7"/>
  <c r="U76" i="7" s="1"/>
  <c r="T343" i="7"/>
  <c r="U343" i="7" s="1"/>
  <c r="T1277" i="7"/>
  <c r="U1277" i="7" s="1"/>
  <c r="T938" i="7"/>
  <c r="U938" i="7" s="1"/>
  <c r="T972" i="7"/>
  <c r="U972" i="7" s="1"/>
  <c r="T402" i="7"/>
  <c r="U402" i="7" s="1"/>
  <c r="T439" i="7"/>
  <c r="U439" i="7" s="1"/>
  <c r="T528" i="7"/>
  <c r="U528" i="7" s="1"/>
  <c r="T362" i="7"/>
  <c r="U362" i="7" s="1"/>
  <c r="T734" i="7"/>
  <c r="U734" i="7" s="1"/>
  <c r="T498" i="7"/>
  <c r="U498" i="7" s="1"/>
  <c r="T133" i="7"/>
  <c r="U133" i="7" s="1"/>
  <c r="T61" i="7"/>
  <c r="U61" i="7" s="1"/>
  <c r="T253" i="7"/>
  <c r="U253" i="7" s="1"/>
  <c r="T92" i="7"/>
  <c r="U92" i="7" s="1"/>
  <c r="T175" i="7"/>
  <c r="U175" i="7" s="1"/>
  <c r="T576" i="7"/>
  <c r="U576" i="7" s="1"/>
  <c r="T533" i="7"/>
  <c r="U533" i="7" s="1"/>
  <c r="T385" i="7"/>
  <c r="U385" i="7" s="1"/>
  <c r="T1153" i="7"/>
  <c r="U1153" i="7" s="1"/>
  <c r="T546" i="7"/>
  <c r="U546" i="7" s="1"/>
  <c r="T196" i="7"/>
  <c r="U196" i="7" s="1"/>
  <c r="T803" i="7"/>
  <c r="U803" i="7" s="1"/>
  <c r="T286" i="7"/>
  <c r="U286" i="7" s="1"/>
  <c r="T944" i="7"/>
  <c r="U944" i="7" s="1"/>
  <c r="T1122" i="7"/>
  <c r="U1122" i="7" s="1"/>
  <c r="T122" i="7"/>
  <c r="U122" i="7" s="1"/>
  <c r="T599" i="7"/>
  <c r="U599" i="7" s="1"/>
  <c r="T59" i="7"/>
  <c r="U59" i="7" s="1"/>
  <c r="T585" i="7"/>
  <c r="U585" i="7" s="1"/>
  <c r="T530" i="7"/>
  <c r="U530" i="7" s="1"/>
  <c r="T428" i="7"/>
  <c r="U428" i="7" s="1"/>
  <c r="T116" i="7"/>
  <c r="U116" i="7" s="1"/>
  <c r="T490" i="7"/>
  <c r="U490" i="7" s="1"/>
  <c r="T285" i="7"/>
  <c r="U285" i="7" s="1"/>
  <c r="T920" i="7"/>
  <c r="U920" i="7" s="1"/>
  <c r="T461" i="7"/>
  <c r="U461" i="7" s="1"/>
  <c r="T199" i="7"/>
  <c r="U199" i="7" s="1"/>
  <c r="T742" i="7"/>
  <c r="U742" i="7" s="1"/>
  <c r="T467" i="7"/>
  <c r="U467" i="7" s="1"/>
  <c r="T583" i="7"/>
  <c r="U583" i="7" s="1"/>
  <c r="T511" i="7"/>
  <c r="U511" i="7" s="1"/>
  <c r="T790" i="7"/>
  <c r="U790" i="7" s="1"/>
  <c r="T357" i="7"/>
  <c r="U357" i="7" s="1"/>
  <c r="T635" i="7"/>
  <c r="U635" i="7" s="1"/>
  <c r="T519" i="7"/>
  <c r="U519" i="7" s="1"/>
  <c r="T971" i="7"/>
  <c r="U971" i="7" s="1"/>
  <c r="T973" i="7"/>
  <c r="U973" i="7" s="1"/>
  <c r="T799" i="7"/>
  <c r="U799" i="7" s="1"/>
  <c r="T580" i="7"/>
  <c r="U580" i="7" s="1"/>
  <c r="T553" i="7"/>
  <c r="U553" i="7" s="1"/>
  <c r="T251" i="7"/>
  <c r="U251" i="7" s="1"/>
  <c r="T382" i="7"/>
  <c r="U382" i="7" s="1"/>
  <c r="T781" i="7"/>
  <c r="U781" i="7" s="1"/>
  <c r="T164" i="7"/>
  <c r="U164" i="7" s="1"/>
  <c r="T160" i="7"/>
  <c r="U160" i="7" s="1"/>
  <c r="T756" i="7"/>
  <c r="U756" i="7" s="1"/>
  <c r="T211" i="7"/>
  <c r="U211" i="7" s="1"/>
  <c r="T329" i="7"/>
  <c r="U329" i="7" s="1"/>
  <c r="T1328" i="7"/>
  <c r="U1328" i="7" s="1"/>
  <c r="T432" i="7"/>
  <c r="U432" i="7" s="1"/>
  <c r="T642" i="7"/>
  <c r="U642" i="7" s="1"/>
  <c r="T501" i="7"/>
  <c r="U501" i="7" s="1"/>
  <c r="T1235" i="7"/>
  <c r="U1235" i="7" s="1"/>
  <c r="T323" i="7"/>
  <c r="U323" i="7" s="1"/>
  <c r="T318" i="7"/>
  <c r="U318" i="7" s="1"/>
  <c r="T440" i="7"/>
  <c r="U440" i="7" s="1"/>
  <c r="T489" i="7"/>
  <c r="U489" i="7" s="1"/>
  <c r="T294" i="7"/>
  <c r="U294" i="7" s="1"/>
  <c r="T643" i="7"/>
  <c r="U643" i="7" s="1"/>
  <c r="T69" i="7"/>
  <c r="U69" i="7" s="1"/>
  <c r="T105" i="7"/>
  <c r="U105" i="7" s="1"/>
  <c r="T180" i="7"/>
  <c r="U180" i="7" s="1"/>
  <c r="T274" i="7"/>
  <c r="U274" i="7" s="1"/>
  <c r="T591" i="7"/>
  <c r="U591" i="7" s="1"/>
  <c r="T313" i="7"/>
  <c r="U313" i="7" s="1"/>
  <c r="T404" i="7"/>
  <c r="U404" i="7" s="1"/>
  <c r="T842" i="7"/>
  <c r="U842" i="7" s="1"/>
  <c r="T508" i="7"/>
  <c r="U508" i="7" s="1"/>
  <c r="T802" i="7"/>
  <c r="U802" i="7" s="1"/>
  <c r="T763" i="7"/>
  <c r="U763" i="7" s="1"/>
  <c r="T477" i="7"/>
  <c r="U477" i="7" s="1"/>
  <c r="T100" i="7"/>
  <c r="U100" i="7" s="1"/>
  <c r="T215" i="7"/>
  <c r="U215" i="7" s="1"/>
  <c r="T567" i="7"/>
  <c r="U567" i="7" s="1"/>
  <c r="T299" i="7"/>
  <c r="U299" i="7" s="1"/>
  <c r="T263" i="7"/>
  <c r="U263" i="7" s="1"/>
  <c r="T870" i="7"/>
  <c r="U870" i="7" s="1"/>
  <c r="T340" i="7"/>
  <c r="U340" i="7" s="1"/>
  <c r="T235" i="7"/>
  <c r="U235" i="7" s="1"/>
  <c r="T271" i="7"/>
  <c r="U271" i="7" s="1"/>
  <c r="T595" i="7"/>
  <c r="U595" i="7" s="1"/>
  <c r="T347" i="7"/>
  <c r="U347" i="7" s="1"/>
  <c r="T513" i="7"/>
  <c r="U513" i="7" s="1"/>
  <c r="T1149" i="7"/>
  <c r="U1149" i="7" s="1"/>
  <c r="T80" i="7"/>
  <c r="U80" i="7" s="1"/>
  <c r="T1021" i="7"/>
  <c r="U1021" i="7" s="1"/>
  <c r="T387" i="7"/>
  <c r="U387" i="7" s="1"/>
  <c r="T510" i="7"/>
  <c r="U510" i="7" s="1"/>
  <c r="T499" i="7"/>
  <c r="U499" i="7" s="1"/>
  <c r="T1150" i="7"/>
  <c r="U1150" i="7" s="1"/>
  <c r="T1062" i="7"/>
  <c r="U1062" i="7" s="1"/>
  <c r="T291" i="7"/>
  <c r="U291" i="7" s="1"/>
  <c r="T395" i="7"/>
  <c r="U395" i="7" s="1"/>
  <c r="T342" i="7"/>
  <c r="U342" i="7" s="1"/>
  <c r="T424" i="7"/>
  <c r="U424" i="7" s="1"/>
  <c r="T1074" i="7"/>
  <c r="U1074" i="7" s="1"/>
  <c r="T482" i="7"/>
  <c r="U482" i="7" s="1"/>
  <c r="T104" i="7"/>
  <c r="U104" i="7" s="1"/>
  <c r="T89" i="7"/>
  <c r="U89" i="7" s="1"/>
  <c r="T260" i="7"/>
  <c r="U260" i="7" s="1"/>
  <c r="T208" i="7"/>
  <c r="U208" i="7" s="1"/>
  <c r="T416" i="7"/>
  <c r="U416" i="7" s="1"/>
  <c r="T473" i="7"/>
  <c r="U473" i="7" s="1"/>
  <c r="T319" i="7"/>
  <c r="U319" i="7" s="1"/>
  <c r="T506" i="7"/>
  <c r="U506" i="7" s="1"/>
  <c r="T755" i="7"/>
  <c r="U755" i="7" s="1"/>
  <c r="T502" i="7"/>
  <c r="U502" i="7" s="1"/>
  <c r="T557" i="7"/>
  <c r="U557" i="7" s="1"/>
  <c r="T1156" i="7"/>
  <c r="U1156" i="7" s="1"/>
  <c r="T1083" i="7"/>
  <c r="U1083" i="7" s="1"/>
  <c r="T464" i="7"/>
  <c r="U464" i="7" s="1"/>
  <c r="T1310" i="7"/>
  <c r="U1310" i="7" s="1"/>
  <c r="T334" i="7"/>
  <c r="U334" i="7" s="1"/>
  <c r="T1297" i="7"/>
  <c r="U1297" i="7" s="1"/>
  <c r="T310" i="7"/>
  <c r="U310" i="7" s="1"/>
  <c r="T408" i="7"/>
  <c r="U408" i="7" s="1"/>
  <c r="T366" i="7"/>
  <c r="U366" i="7" s="1"/>
  <c r="T332" i="7"/>
  <c r="U332" i="7" s="1"/>
  <c r="T1142" i="7"/>
  <c r="U1142" i="7" s="1"/>
  <c r="T874" i="7"/>
  <c r="U874" i="7" s="1"/>
  <c r="T997" i="7"/>
  <c r="U997" i="7" s="1"/>
  <c r="T277" i="7"/>
  <c r="U277" i="7" s="1"/>
  <c r="T1003" i="7"/>
  <c r="U1003" i="7" s="1"/>
  <c r="T452" i="7"/>
  <c r="U452" i="7" s="1"/>
  <c r="T131" i="7"/>
  <c r="U131" i="7" s="1"/>
  <c r="T784" i="7"/>
  <c r="U784" i="7" s="1"/>
  <c r="T650" i="7"/>
  <c r="U650" i="7" s="1"/>
  <c r="T169" i="7"/>
  <c r="U169" i="7" s="1"/>
  <c r="T930" i="7"/>
  <c r="U930" i="7" s="1"/>
  <c r="T401" i="7"/>
  <c r="U401" i="7" s="1"/>
  <c r="T264" i="7"/>
  <c r="U264" i="7" s="1"/>
  <c r="T1005" i="7"/>
  <c r="U1005" i="7" s="1"/>
  <c r="T564" i="7"/>
  <c r="U564" i="7" s="1"/>
  <c r="T509" i="7"/>
  <c r="U509" i="7" s="1"/>
  <c r="T372" i="7"/>
  <c r="U372" i="7" s="1"/>
  <c r="T743" i="7"/>
  <c r="U743" i="7" s="1"/>
  <c r="T575" i="7"/>
  <c r="U575" i="7" s="1"/>
  <c r="T174" i="7"/>
  <c r="U174" i="7" s="1"/>
  <c r="T574" i="7"/>
  <c r="U574" i="7" s="1"/>
  <c r="T1178" i="7"/>
  <c r="U1178" i="7" s="1"/>
  <c r="T442" i="7"/>
  <c r="U442" i="7" s="1"/>
  <c r="T596" i="7"/>
  <c r="U596" i="7" s="1"/>
  <c r="T338" i="7"/>
  <c r="U338" i="7" s="1"/>
  <c r="T455" i="7"/>
  <c r="U455" i="7" s="1"/>
  <c r="T550" i="7"/>
  <c r="U550" i="7" s="1"/>
  <c r="T407" i="7"/>
  <c r="U407" i="7" s="1"/>
  <c r="T66" i="7"/>
  <c r="U66" i="7" s="1"/>
  <c r="T241" i="7"/>
  <c r="U241" i="7" s="1"/>
  <c r="T223" i="7"/>
  <c r="U223" i="7" s="1"/>
  <c r="T639" i="7"/>
  <c r="U639" i="7" s="1"/>
  <c r="T948" i="7"/>
  <c r="U948" i="7" s="1"/>
  <c r="T478" i="7"/>
  <c r="U478" i="7" s="1"/>
  <c r="T252" i="7"/>
  <c r="U252" i="7" s="1"/>
  <c r="T437" i="7"/>
  <c r="U437" i="7" s="1"/>
  <c r="T333" i="7"/>
  <c r="U333" i="7" s="1"/>
  <c r="T209" i="7"/>
  <c r="U209" i="7" s="1"/>
  <c r="T968" i="7"/>
  <c r="U968" i="7" s="1"/>
  <c r="T63" i="7"/>
  <c r="U63" i="7" s="1"/>
  <c r="T213" i="7"/>
  <c r="U213" i="7" s="1"/>
  <c r="T589" i="7"/>
  <c r="U589" i="7" s="1"/>
  <c r="T419" i="7"/>
  <c r="U419" i="7" s="1"/>
  <c r="T496" i="7"/>
  <c r="U496" i="7" s="1"/>
  <c r="T598" i="7"/>
  <c r="U598" i="7" s="1"/>
  <c r="T72" i="7"/>
  <c r="U72" i="7" s="1"/>
  <c r="T465" i="7"/>
  <c r="U465" i="7" s="1"/>
  <c r="T462" i="7"/>
  <c r="U462" i="7" s="1"/>
  <c r="T90" i="7"/>
  <c r="U90" i="7" s="1"/>
  <c r="T379" i="7"/>
  <c r="U379" i="7" s="1"/>
  <c r="T232" i="7"/>
  <c r="U232" i="7" s="1"/>
  <c r="T906" i="7"/>
  <c r="U906" i="7" s="1"/>
  <c r="T521" i="7"/>
  <c r="U521" i="7" s="1"/>
  <c r="T1056" i="7"/>
  <c r="U1056" i="7" s="1"/>
  <c r="T538" i="7"/>
  <c r="U538" i="7" s="1"/>
  <c r="T1049" i="7"/>
  <c r="U1049" i="7" s="1"/>
  <c r="T810" i="7"/>
  <c r="U810" i="7" s="1"/>
  <c r="T998" i="7"/>
  <c r="U998" i="7" s="1"/>
  <c r="T400" i="7"/>
  <c r="U400" i="7" s="1"/>
  <c r="T516" i="7"/>
  <c r="U516" i="7" s="1"/>
  <c r="T229" i="7"/>
  <c r="U229" i="7" s="1"/>
  <c r="T529" i="7"/>
  <c r="U529" i="7" s="1"/>
  <c r="T768" i="7"/>
  <c r="U768" i="7" s="1"/>
  <c r="T531" i="7"/>
  <c r="U531" i="7" s="1"/>
  <c r="T275" i="7"/>
  <c r="U275" i="7" s="1"/>
  <c r="T248" i="7"/>
  <c r="U248" i="7" s="1"/>
  <c r="T443" i="7"/>
  <c r="U443" i="7" s="1"/>
  <c r="T96" i="7"/>
  <c r="U96" i="7" s="1"/>
  <c r="T855" i="7"/>
  <c r="U855" i="7" s="1"/>
  <c r="T562" i="7"/>
  <c r="U562" i="7" s="1"/>
  <c r="T590" i="7"/>
  <c r="U590" i="7" s="1"/>
  <c r="T1136" i="7"/>
  <c r="U1136" i="7" s="1"/>
  <c r="T250" i="7"/>
  <c r="U250" i="7" s="1"/>
  <c r="T705" i="7"/>
  <c r="U705" i="7" s="1"/>
  <c r="T547" i="7"/>
  <c r="U547" i="7" s="1"/>
  <c r="T481" i="7"/>
  <c r="U481" i="7" s="1"/>
  <c r="T867" i="7"/>
  <c r="U867" i="7" s="1"/>
  <c r="T712" i="7"/>
  <c r="U712" i="7" s="1"/>
  <c r="T556" i="7"/>
  <c r="U556" i="7" s="1"/>
  <c r="T1080" i="7"/>
  <c r="U1080" i="7" s="1"/>
  <c r="T234" i="7"/>
  <c r="U234" i="7" s="1"/>
  <c r="T331" i="7"/>
  <c r="U331" i="7" s="1"/>
  <c r="T176" i="7"/>
  <c r="U176" i="7" s="1"/>
  <c r="T136" i="7"/>
  <c r="U136" i="7" s="1"/>
  <c r="T244" i="7"/>
  <c r="U244" i="7" s="1"/>
  <c r="T157" i="7"/>
  <c r="U157" i="7" s="1"/>
  <c r="T480" i="7"/>
  <c r="U480" i="7" s="1"/>
  <c r="T1252" i="7"/>
  <c r="U1252" i="7" s="1"/>
  <c r="T85" i="7"/>
  <c r="U85" i="7" s="1"/>
  <c r="T312" i="7"/>
  <c r="U312" i="7" s="1"/>
  <c r="T578" i="7"/>
  <c r="U578" i="7" s="1"/>
  <c r="T456" i="7"/>
  <c r="U456" i="7" s="1"/>
  <c r="T560" i="7"/>
  <c r="U560" i="7" s="1"/>
  <c r="T354" i="7"/>
  <c r="U354" i="7" s="1"/>
  <c r="T463" i="7"/>
  <c r="U463" i="7" s="1"/>
  <c r="T592" i="7"/>
  <c r="U592" i="7" s="1"/>
  <c r="T568" i="7"/>
  <c r="U568" i="7" s="1"/>
  <c r="T1114" i="7"/>
  <c r="U1114" i="7" s="1"/>
  <c r="T922" i="7"/>
  <c r="U922" i="7" s="1"/>
  <c r="T673" i="7"/>
  <c r="U673" i="7" s="1"/>
  <c r="T449" i="7"/>
  <c r="U449" i="7" s="1"/>
  <c r="T214" i="7"/>
  <c r="U214" i="7" s="1"/>
  <c r="T433" i="7"/>
  <c r="U433" i="7" s="1"/>
  <c r="T517" i="7"/>
  <c r="U517" i="7" s="1"/>
  <c r="T479" i="7"/>
  <c r="U479" i="7" s="1"/>
  <c r="T527" i="7"/>
  <c r="U527" i="7" s="1"/>
  <c r="T376" i="7"/>
  <c r="U376" i="7" s="1"/>
  <c r="T341" i="7"/>
  <c r="U341" i="7" s="1"/>
  <c r="T738" i="7"/>
  <c r="U738" i="7" s="1"/>
  <c r="T925" i="7"/>
  <c r="U925" i="7" s="1"/>
  <c r="T540" i="7"/>
  <c r="U540" i="7" s="1"/>
  <c r="T1154" i="7"/>
  <c r="U1154" i="7" s="1"/>
  <c r="T1202" i="7"/>
  <c r="U1202" i="7" s="1"/>
  <c r="T759" i="7"/>
  <c r="U759" i="7" s="1"/>
  <c r="T697" i="7"/>
  <c r="U697" i="7" s="1"/>
  <c r="T683" i="7"/>
  <c r="U683" i="7" s="1"/>
  <c r="T1284" i="7"/>
  <c r="U1284" i="7" s="1"/>
  <c r="T853" i="7"/>
  <c r="U853" i="7" s="1"/>
  <c r="T1449" i="7"/>
  <c r="U1449" i="7" s="1"/>
  <c r="T899" i="7"/>
  <c r="U899" i="7" s="1"/>
  <c r="T680" i="7"/>
  <c r="U680" i="7" s="1"/>
  <c r="T951" i="7"/>
  <c r="U951" i="7" s="1"/>
  <c r="T328" i="7"/>
  <c r="U328" i="7" s="1"/>
  <c r="T1071" i="7"/>
  <c r="U1071" i="7" s="1"/>
  <c r="T608" i="7"/>
  <c r="U608" i="7" s="1"/>
  <c r="T409" i="7"/>
  <c r="U409" i="7" s="1"/>
  <c r="T518" i="7"/>
  <c r="U518" i="7" s="1"/>
  <c r="T581" i="7"/>
  <c r="U581" i="7" s="1"/>
  <c r="T1152" i="7"/>
  <c r="U1152" i="7" s="1"/>
  <c r="T1039" i="7"/>
  <c r="U1039" i="7" s="1"/>
  <c r="T1215" i="7"/>
  <c r="U1215" i="7" s="1"/>
  <c r="T739" i="7"/>
  <c r="U739" i="7" s="1"/>
  <c r="T500" i="7"/>
  <c r="U500" i="7" s="1"/>
  <c r="T1196" i="7"/>
  <c r="U1196" i="7" s="1"/>
  <c r="T542" i="7"/>
  <c r="U542" i="7" s="1"/>
  <c r="T1085" i="7"/>
  <c r="U1085" i="7" s="1"/>
  <c r="T868" i="7"/>
  <c r="U868" i="7" s="1"/>
  <c r="T758" i="7"/>
  <c r="U758" i="7" s="1"/>
  <c r="T345" i="7"/>
  <c r="U345" i="7" s="1"/>
  <c r="T1206" i="7"/>
  <c r="U1206" i="7" s="1"/>
  <c r="T597" i="7"/>
  <c r="U597" i="7" s="1"/>
  <c r="T507" i="7"/>
  <c r="U507" i="7" s="1"/>
  <c r="T422" i="7"/>
  <c r="U422" i="7" s="1"/>
  <c r="T317" i="7"/>
  <c r="U317" i="7" s="1"/>
  <c r="T445" i="7"/>
  <c r="U445" i="7" s="1"/>
  <c r="T451" i="7"/>
  <c r="U451" i="7" s="1"/>
  <c r="T779" i="7"/>
  <c r="U779" i="7" s="1"/>
  <c r="T459" i="7"/>
  <c r="U459" i="7" s="1"/>
  <c r="T582" i="7"/>
  <c r="U582" i="7" s="1"/>
  <c r="T405" i="7"/>
  <c r="U405" i="7" s="1"/>
  <c r="T1241" i="7"/>
  <c r="U1241" i="7" s="1"/>
  <c r="T278" i="7"/>
  <c r="U278" i="7" s="1"/>
  <c r="T352" i="7"/>
  <c r="U352" i="7" s="1"/>
  <c r="T426" i="7"/>
  <c r="U426" i="7" s="1"/>
  <c r="T1201" i="7"/>
  <c r="U1201" i="7" s="1"/>
  <c r="T1198" i="7"/>
  <c r="U1198" i="7" s="1"/>
  <c r="T797" i="7"/>
  <c r="U797" i="7" s="1"/>
  <c r="T566" i="7"/>
  <c r="U566" i="7" s="1"/>
  <c r="T534" i="7"/>
  <c r="U534" i="7" s="1"/>
  <c r="T524" i="7"/>
  <c r="U524" i="7" s="1"/>
  <c r="T429" i="7"/>
  <c r="U429" i="7" s="1"/>
  <c r="T392" i="7"/>
  <c r="U392" i="7" s="1"/>
  <c r="T472" i="7"/>
  <c r="U472" i="7" s="1"/>
  <c r="T1209" i="7"/>
  <c r="U1209" i="7" s="1"/>
  <c r="T1439" i="7"/>
  <c r="U1439" i="7" s="1"/>
  <c r="T727" i="7"/>
  <c r="U727" i="7" s="1"/>
  <c r="T423" i="7"/>
  <c r="U423" i="7" s="1"/>
  <c r="T788" i="7"/>
  <c r="U788" i="7" s="1"/>
  <c r="T353" i="7"/>
  <c r="U353" i="7" s="1"/>
  <c r="T877" i="7"/>
  <c r="U877" i="7" s="1"/>
  <c r="T800" i="7"/>
  <c r="U800" i="7" s="1"/>
  <c r="T832" i="7"/>
  <c r="U832" i="7" s="1"/>
  <c r="T1244" i="7"/>
  <c r="U1244" i="7" s="1"/>
  <c r="T1288" i="7"/>
  <c r="U1288" i="7" s="1"/>
  <c r="T198" i="7"/>
  <c r="U198" i="7" s="1"/>
  <c r="T1070" i="7"/>
  <c r="U1070" i="7" s="1"/>
  <c r="T537" i="7"/>
  <c r="U537" i="7" s="1"/>
  <c r="T1118" i="7"/>
  <c r="U1118" i="7" s="1"/>
  <c r="T932" i="7"/>
  <c r="U932" i="7" s="1"/>
  <c r="T420" i="7"/>
  <c r="U420" i="7" s="1"/>
  <c r="T1013" i="7"/>
  <c r="U1013" i="7" s="1"/>
  <c r="T846" i="7"/>
  <c r="U846" i="7" s="1"/>
  <c r="T849" i="7"/>
  <c r="U849" i="7" s="1"/>
  <c r="T403" i="7"/>
  <c r="U403" i="7" s="1"/>
  <c r="T1303" i="7"/>
  <c r="U1303" i="7" s="1"/>
  <c r="T369" i="7"/>
  <c r="U369" i="7" s="1"/>
  <c r="T731" i="7"/>
  <c r="U731" i="7" s="1"/>
  <c r="T818" i="7"/>
  <c r="U818" i="7" s="1"/>
  <c r="T1072" i="7"/>
  <c r="U1072" i="7" s="1"/>
  <c r="T942" i="7"/>
  <c r="U942" i="7" s="1"/>
  <c r="T1212" i="7"/>
  <c r="U1212" i="7" s="1"/>
  <c r="T780" i="7"/>
  <c r="U780" i="7" s="1"/>
  <c r="T950" i="7"/>
  <c r="U950" i="7" s="1"/>
  <c r="T795" i="7"/>
  <c r="U795" i="7" s="1"/>
  <c r="T1237" i="7"/>
  <c r="U1237" i="7" s="1"/>
  <c r="T391" i="7"/>
  <c r="U391" i="7" s="1"/>
  <c r="T655" i="7"/>
  <c r="U655" i="7" s="1"/>
  <c r="T503" i="7"/>
  <c r="U503" i="7" s="1"/>
  <c r="T377" i="7"/>
  <c r="U377" i="7" s="1"/>
  <c r="T1191" i="7"/>
  <c r="U1191" i="7" s="1"/>
  <c r="T295" i="7"/>
  <c r="U295" i="7" s="1"/>
  <c r="T636" i="7"/>
  <c r="U636" i="7" s="1"/>
  <c r="T957" i="7"/>
  <c r="U957" i="7" s="1"/>
  <c r="T293" i="7"/>
  <c r="U293" i="7" s="1"/>
  <c r="T773" i="7"/>
  <c r="U773" i="7" s="1"/>
  <c r="T584" i="7"/>
  <c r="U584" i="7" s="1"/>
  <c r="T364" i="7"/>
  <c r="U364" i="7" s="1"/>
  <c r="T349" i="7"/>
  <c r="U349" i="7" s="1"/>
  <c r="T1082" i="7"/>
  <c r="U1082" i="7" s="1"/>
  <c r="T421" i="7"/>
  <c r="U421" i="7" s="1"/>
  <c r="T1314" i="7"/>
  <c r="U1314" i="7" s="1"/>
  <c r="T1195" i="7"/>
  <c r="U1195" i="7" s="1"/>
  <c r="T1438" i="7"/>
  <c r="U1438" i="7" s="1"/>
  <c r="T833" i="7"/>
  <c r="U833" i="7" s="1"/>
  <c r="T487" i="7"/>
  <c r="U487" i="7" s="1"/>
  <c r="T616" i="7"/>
  <c r="U616" i="7" s="1"/>
  <c r="T806" i="7"/>
  <c r="U806" i="7" s="1"/>
  <c r="T298" i="7"/>
  <c r="U298" i="7" s="1"/>
  <c r="T912" i="7"/>
  <c r="U912" i="7" s="1"/>
  <c r="T864" i="7"/>
  <c r="U864" i="7" s="1"/>
  <c r="T434" i="7"/>
  <c r="U434" i="7" s="1"/>
  <c r="T1320" i="7"/>
  <c r="U1320" i="7" s="1"/>
  <c r="T977" i="7"/>
  <c r="U977" i="7" s="1"/>
  <c r="T844" i="7"/>
  <c r="U844" i="7" s="1"/>
  <c r="T544" i="7"/>
  <c r="U544" i="7" s="1"/>
  <c r="T182" i="7"/>
  <c r="U182" i="7" s="1"/>
  <c r="T1051" i="7"/>
  <c r="U1051" i="7" s="1"/>
  <c r="T1238" i="7"/>
  <c r="U1238" i="7" s="1"/>
  <c r="T1293" i="7"/>
  <c r="U1293" i="7" s="1"/>
  <c r="T307" i="7"/>
  <c r="U307" i="7" s="1"/>
  <c r="T91" i="7"/>
  <c r="U91" i="7" s="1"/>
  <c r="T368" i="7"/>
  <c r="U368" i="7" s="1"/>
  <c r="T486" i="7"/>
  <c r="U486" i="7" s="1"/>
  <c r="T484" i="7"/>
  <c r="U484" i="7" s="1"/>
  <c r="T1307" i="7"/>
  <c r="U1307" i="7" s="1"/>
  <c r="T817" i="7"/>
  <c r="U817" i="7" s="1"/>
  <c r="T825" i="7"/>
  <c r="U825" i="7" s="1"/>
  <c r="T308" i="7"/>
  <c r="U308" i="7" s="1"/>
  <c r="T573" i="7"/>
  <c r="U573" i="7" s="1"/>
  <c r="T386" i="7"/>
  <c r="U386" i="7" s="1"/>
  <c r="T469" i="7"/>
  <c r="U469" i="7" s="1"/>
  <c r="T588" i="7"/>
  <c r="U588" i="7" s="1"/>
  <c r="T497" i="7"/>
  <c r="U497" i="7" s="1"/>
  <c r="T320" i="7"/>
  <c r="U320" i="7" s="1"/>
  <c r="T901" i="7"/>
  <c r="U901" i="7" s="1"/>
  <c r="T281" i="7"/>
  <c r="U281" i="7" s="1"/>
  <c r="T325" i="7"/>
  <c r="U325" i="7" s="1"/>
  <c r="T103" i="7"/>
  <c r="U103" i="7" s="1"/>
  <c r="T1239" i="7"/>
  <c r="U1239" i="7" s="1"/>
  <c r="T1117" i="7"/>
  <c r="U1117" i="7" s="1"/>
  <c r="T491" i="7"/>
  <c r="U491" i="7" s="1"/>
  <c r="T1087" i="7"/>
  <c r="U1087" i="7" s="1"/>
  <c r="T388" i="7"/>
  <c r="U388" i="7" s="1"/>
  <c r="T545" i="7"/>
  <c r="U545" i="7" s="1"/>
  <c r="T425" i="7"/>
  <c r="U425" i="7" s="1"/>
  <c r="T613" i="7"/>
  <c r="U613" i="7" s="1"/>
  <c r="T1066" i="7"/>
  <c r="U1066" i="7" s="1"/>
  <c r="T305" i="7"/>
  <c r="U305" i="7" s="1"/>
  <c r="T612" i="7"/>
  <c r="U612" i="7" s="1"/>
  <c r="T282" i="7"/>
  <c r="U282" i="7" s="1"/>
  <c r="T1139" i="7"/>
  <c r="U1139" i="7" s="1"/>
  <c r="T1044" i="7"/>
  <c r="U1044" i="7" s="1"/>
  <c r="T1113" i="7"/>
  <c r="U1113" i="7" s="1"/>
  <c r="T300" i="7"/>
  <c r="U300" i="7" s="1"/>
  <c r="T640" i="7"/>
  <c r="U640" i="7" s="1"/>
  <c r="T185" i="7"/>
  <c r="U185" i="7" s="1"/>
  <c r="T398" i="7"/>
  <c r="U398" i="7" s="1"/>
  <c r="T685" i="7"/>
  <c r="U685" i="7" s="1"/>
  <c r="T316" i="7"/>
  <c r="U316" i="7" s="1"/>
  <c r="T691" i="7"/>
  <c r="U691" i="7" s="1"/>
  <c r="T1151" i="7"/>
  <c r="U1151" i="7" s="1"/>
  <c r="T828" i="7"/>
  <c r="U828" i="7" s="1"/>
  <c r="T946" i="7"/>
  <c r="U946" i="7" s="1"/>
  <c r="T193" i="7"/>
  <c r="U193" i="7" s="1"/>
  <c r="T396" i="7"/>
  <c r="U396" i="7" s="1"/>
  <c r="T483" i="7"/>
  <c r="U483" i="7" s="1"/>
  <c r="T637" i="7"/>
  <c r="U637" i="7" s="1"/>
  <c r="T1259" i="7"/>
  <c r="U1259" i="7" s="1"/>
  <c r="T296" i="7"/>
  <c r="U296" i="7" s="1"/>
  <c r="T1182" i="7"/>
  <c r="U1182" i="7" s="1"/>
  <c r="T793" i="7"/>
  <c r="U793" i="7" s="1"/>
  <c r="T1296" i="7"/>
  <c r="U1296" i="7" s="1"/>
  <c r="T699" i="7"/>
  <c r="U699" i="7" s="1"/>
  <c r="T292" i="7"/>
  <c r="U292" i="7" s="1"/>
  <c r="T601" i="7"/>
  <c r="U601" i="7" s="1"/>
  <c r="T393" i="7"/>
  <c r="U393" i="7" s="1"/>
  <c r="T1146" i="7"/>
  <c r="U1146" i="7" s="1"/>
  <c r="T1037" i="7"/>
  <c r="U1037" i="7" s="1"/>
  <c r="T1265" i="7"/>
  <c r="U1265" i="7" s="1"/>
  <c r="T1043" i="7"/>
  <c r="U1043" i="7" s="1"/>
  <c r="T283" i="7"/>
  <c r="U283" i="7" s="1"/>
  <c r="T843" i="7"/>
  <c r="U843" i="7" s="1"/>
  <c r="T413" i="7"/>
  <c r="U413" i="7" s="1"/>
  <c r="T458" i="7"/>
  <c r="U458" i="7" s="1"/>
  <c r="T1075" i="7"/>
  <c r="U1075" i="7" s="1"/>
  <c r="T1301" i="7"/>
  <c r="U1301" i="7" s="1"/>
  <c r="T363" i="7"/>
  <c r="U363" i="7" s="1"/>
  <c r="T410" i="7"/>
  <c r="U410" i="7" s="1"/>
  <c r="T915" i="7"/>
  <c r="U915" i="7" s="1"/>
  <c r="T579" i="7"/>
  <c r="U579" i="7" s="1"/>
  <c r="T1316" i="7"/>
  <c r="U1316" i="7" s="1"/>
  <c r="T958" i="7"/>
  <c r="U958" i="7" s="1"/>
  <c r="T457" i="7"/>
  <c r="U457" i="7" s="1"/>
  <c r="T254" i="7"/>
  <c r="U254" i="7" s="1"/>
  <c r="T815" i="7"/>
  <c r="U815" i="7" s="1"/>
  <c r="T321" i="7"/>
  <c r="U321" i="7" s="1"/>
  <c r="T794" i="7"/>
  <c r="U794" i="7" s="1"/>
  <c r="T1219" i="7"/>
  <c r="U1219" i="7" s="1"/>
  <c r="T850" i="7"/>
  <c r="U850" i="7" s="1"/>
  <c r="T879" i="7"/>
  <c r="U879" i="7" s="1"/>
  <c r="T966" i="7"/>
  <c r="U966" i="7" s="1"/>
  <c r="T801" i="7"/>
  <c r="U801" i="7" s="1"/>
  <c r="T327" i="7"/>
  <c r="U327" i="7" s="1"/>
  <c r="T569" i="7"/>
  <c r="U569" i="7" s="1"/>
  <c r="T492" i="7"/>
  <c r="U492" i="7" s="1"/>
  <c r="T1292" i="7"/>
  <c r="U1292" i="7" s="1"/>
  <c r="T324" i="7"/>
  <c r="U324" i="7" s="1"/>
  <c r="T845" i="7"/>
  <c r="U845" i="7" s="1"/>
  <c r="T548" i="7"/>
  <c r="U548" i="7" s="1"/>
  <c r="T570" i="7"/>
  <c r="U570" i="7" s="1"/>
  <c r="T306" i="7"/>
  <c r="U306" i="7" s="1"/>
  <c r="T572" i="7"/>
  <c r="U572" i="7" s="1"/>
  <c r="T1245" i="7"/>
  <c r="U1245" i="7" s="1"/>
  <c r="T348" i="7"/>
  <c r="U348" i="7" s="1"/>
  <c r="T359" i="7"/>
  <c r="U359" i="7" s="1"/>
  <c r="T303" i="7"/>
  <c r="U303" i="7" s="1"/>
  <c r="T412" i="7"/>
  <c r="U412" i="7" s="1"/>
  <c r="T453" i="7"/>
  <c r="U453" i="7" s="1"/>
  <c r="T741" i="7"/>
  <c r="U741" i="7" s="1"/>
  <c r="T1250" i="7"/>
  <c r="U1250" i="7" s="1"/>
  <c r="T659" i="7"/>
  <c r="U659" i="7" s="1"/>
  <c r="T903" i="7"/>
  <c r="U903" i="7" s="1"/>
  <c r="T1289" i="7"/>
  <c r="U1289" i="7" s="1"/>
  <c r="T940" i="7"/>
  <c r="U940" i="7" s="1"/>
  <c r="T1121" i="7"/>
  <c r="U1121" i="7" s="1"/>
  <c r="T1055" i="7"/>
  <c r="U1055" i="7" s="1"/>
  <c r="T1168" i="7"/>
  <c r="U1168" i="7" s="1"/>
  <c r="T609" i="7"/>
  <c r="U609" i="7" s="1"/>
  <c r="T796" i="7"/>
  <c r="U796" i="7" s="1"/>
  <c r="T1097" i="7"/>
  <c r="U1097" i="7" s="1"/>
  <c r="T889" i="7"/>
  <c r="U889" i="7" s="1"/>
  <c r="T618" i="7"/>
  <c r="U618" i="7" s="1"/>
  <c r="T1084" i="7"/>
  <c r="U1084" i="7" s="1"/>
  <c r="T724" i="7"/>
  <c r="U724" i="7" s="1"/>
  <c r="T1020" i="7"/>
  <c r="U1020" i="7" s="1"/>
  <c r="T688" i="7"/>
  <c r="U688" i="7" s="1"/>
  <c r="T1171" i="7"/>
  <c r="U1171" i="7" s="1"/>
  <c r="T881" i="7"/>
  <c r="U881" i="7" s="1"/>
  <c r="T1300" i="7"/>
  <c r="U1300" i="7" s="1"/>
  <c r="T1031" i="7"/>
  <c r="U1031" i="7" s="1"/>
  <c r="T949" i="7"/>
  <c r="U949" i="7" s="1"/>
  <c r="T838" i="7"/>
  <c r="U838" i="7" s="1"/>
  <c r="T1222" i="7"/>
  <c r="U1222" i="7" s="1"/>
  <c r="T627" i="7"/>
  <c r="U627" i="7" s="1"/>
  <c r="T1164" i="7"/>
  <c r="U1164" i="7" s="1"/>
  <c r="T882" i="7"/>
  <c r="U882" i="7" s="1"/>
  <c r="T615" i="7"/>
  <c r="U615" i="7" s="1"/>
  <c r="T1100" i="7"/>
  <c r="U1100" i="7" s="1"/>
  <c r="T488" i="7"/>
  <c r="U488" i="7" s="1"/>
  <c r="T789" i="7"/>
  <c r="U789" i="7" s="1"/>
  <c r="T984" i="7"/>
  <c r="U984" i="7" s="1"/>
  <c r="T1063" i="7"/>
  <c r="U1063" i="7" s="1"/>
  <c r="T644" i="7"/>
  <c r="U644" i="7" s="1"/>
  <c r="T677" i="7"/>
  <c r="U677" i="7" s="1"/>
  <c r="T617" i="7"/>
  <c r="U617" i="7" s="1"/>
  <c r="T837" i="7"/>
  <c r="U837" i="7" s="1"/>
  <c r="T786" i="7"/>
  <c r="U786" i="7" s="1"/>
  <c r="T476" i="7"/>
  <c r="U476" i="7" s="1"/>
  <c r="T1123" i="7"/>
  <c r="U1123" i="7" s="1"/>
  <c r="T397" i="7"/>
  <c r="U397" i="7" s="1"/>
  <c r="T995" i="7"/>
  <c r="U995" i="7" s="1"/>
  <c r="T1135" i="7"/>
  <c r="U1135" i="7" s="1"/>
  <c r="T777" i="7"/>
  <c r="U777" i="7" s="1"/>
  <c r="T1148" i="7"/>
  <c r="U1148" i="7" s="1"/>
  <c r="T809" i="7"/>
  <c r="U809" i="7" s="1"/>
  <c r="T1275" i="7"/>
  <c r="U1275" i="7" s="1"/>
  <c r="T1283" i="7"/>
  <c r="U1283" i="7" s="1"/>
  <c r="T1166" i="7"/>
  <c r="U1166" i="7" s="1"/>
  <c r="T761" i="7"/>
  <c r="U761" i="7" s="1"/>
  <c r="T840" i="7"/>
  <c r="U840" i="7" s="1"/>
  <c r="T1001" i="7"/>
  <c r="U1001" i="7" s="1"/>
  <c r="T1110" i="7"/>
  <c r="U1110" i="7" s="1"/>
  <c r="T746" i="7"/>
  <c r="U746" i="7" s="1"/>
  <c r="T928" i="7"/>
  <c r="U928" i="7" s="1"/>
  <c r="T1276" i="7"/>
  <c r="U1276" i="7" s="1"/>
  <c r="T1167" i="7"/>
  <c r="U1167" i="7" s="1"/>
  <c r="T672" i="7"/>
  <c r="U672" i="7" s="1"/>
  <c r="T1213" i="7"/>
  <c r="U1213" i="7" s="1"/>
  <c r="T1059" i="7"/>
  <c r="U1059" i="7" s="1"/>
  <c r="T933" i="7"/>
  <c r="U933" i="7" s="1"/>
  <c r="T383" i="7"/>
  <c r="U383" i="7" s="1"/>
  <c r="T446" i="7"/>
  <c r="U446" i="7" s="1"/>
  <c r="T399" i="7"/>
  <c r="U399" i="7" s="1"/>
  <c r="T304" i="7"/>
  <c r="U304" i="7" s="1"/>
  <c r="T752" i="7"/>
  <c r="U752" i="7" s="1"/>
  <c r="T1294" i="7"/>
  <c r="U1294" i="7" s="1"/>
  <c r="T1081" i="7"/>
  <c r="U1081" i="7" s="1"/>
  <c r="T821" i="7"/>
  <c r="U821" i="7" s="1"/>
  <c r="T614" i="7"/>
  <c r="U614" i="7" s="1"/>
  <c r="T892" i="7"/>
  <c r="U892" i="7" s="1"/>
  <c r="T993" i="7"/>
  <c r="U993" i="7" s="1"/>
  <c r="T978" i="7"/>
  <c r="U978" i="7" s="1"/>
  <c r="T769" i="7"/>
  <c r="U769" i="7" s="1"/>
  <c r="T1162" i="7"/>
  <c r="U1162" i="7" s="1"/>
  <c r="T1290" i="7"/>
  <c r="U1290" i="7" s="1"/>
  <c r="T710" i="7"/>
  <c r="U710" i="7" s="1"/>
  <c r="T751" i="7"/>
  <c r="U751" i="7" s="1"/>
  <c r="T872" i="7"/>
  <c r="U872" i="7" s="1"/>
  <c r="T936" i="7"/>
  <c r="U936" i="7" s="1"/>
  <c r="T1254" i="7"/>
  <c r="U1254" i="7" s="1"/>
  <c r="T841" i="7"/>
  <c r="U841" i="7" s="1"/>
  <c r="T1155" i="7"/>
  <c r="U1155" i="7" s="1"/>
  <c r="T963" i="7"/>
  <c r="U963" i="7" s="1"/>
  <c r="T812" i="7"/>
  <c r="U812" i="7" s="1"/>
  <c r="T941" i="7"/>
  <c r="U941" i="7" s="1"/>
  <c r="T1282" i="7"/>
  <c r="U1282" i="7" s="1"/>
  <c r="T1270" i="7"/>
  <c r="U1270" i="7" s="1"/>
  <c r="T651" i="7"/>
  <c r="U651" i="7" s="1"/>
  <c r="T1000" i="7"/>
  <c r="U1000" i="7" s="1"/>
  <c r="T1251" i="7"/>
  <c r="U1251" i="7" s="1"/>
  <c r="T1131" i="7"/>
  <c r="U1131" i="7" s="1"/>
  <c r="T1090" i="7"/>
  <c r="U1090" i="7" s="1"/>
  <c r="T1170" i="7"/>
  <c r="U1170" i="7" s="1"/>
  <c r="T960" i="7"/>
  <c r="U960" i="7" s="1"/>
  <c r="T1253" i="7"/>
  <c r="U1253" i="7" s="1"/>
  <c r="T1004" i="7"/>
  <c r="U1004" i="7" s="1"/>
  <c r="T605" i="7"/>
  <c r="U605" i="7" s="1"/>
  <c r="T666" i="7"/>
  <c r="U666" i="7" s="1"/>
  <c r="T766" i="7"/>
  <c r="U766" i="7" s="1"/>
  <c r="T694" i="7"/>
  <c r="U694" i="7" s="1"/>
  <c r="T1042" i="7"/>
  <c r="U1042" i="7" s="1"/>
  <c r="T1050" i="7"/>
  <c r="U1050" i="7" s="1"/>
  <c r="T834" i="7"/>
  <c r="U834" i="7" s="1"/>
  <c r="T923" i="7"/>
  <c r="U923" i="7" s="1"/>
  <c r="T1319" i="7"/>
  <c r="U1319" i="7" s="1"/>
  <c r="T1210" i="7"/>
  <c r="U1210" i="7" s="1"/>
  <c r="T1208" i="7"/>
  <c r="U1208" i="7" s="1"/>
  <c r="T1067" i="7"/>
  <c r="U1067" i="7" s="1"/>
  <c r="T839" i="7"/>
  <c r="U839" i="7" s="1"/>
  <c r="T641" i="7"/>
  <c r="U641" i="7" s="1"/>
  <c r="T1105" i="7"/>
  <c r="U1105" i="7" s="1"/>
  <c r="T904" i="7"/>
  <c r="U904" i="7" s="1"/>
  <c r="T1024" i="7"/>
  <c r="U1024" i="7" s="1"/>
  <c r="T1018" i="7"/>
  <c r="U1018" i="7" s="1"/>
  <c r="T1157" i="7"/>
  <c r="U1157" i="7" s="1"/>
  <c r="T1258" i="7"/>
  <c r="U1258" i="7" s="1"/>
  <c r="T1318" i="7"/>
  <c r="U1318" i="7" s="1"/>
  <c r="T1308" i="7"/>
  <c r="U1308" i="7" s="1"/>
  <c r="T1228" i="7"/>
  <c r="U1228" i="7" s="1"/>
  <c r="T1046" i="7"/>
  <c r="U1046" i="7" s="1"/>
  <c r="T346" i="7"/>
  <c r="U346" i="7" s="1"/>
  <c r="T475" i="7"/>
  <c r="U475" i="7" s="1"/>
  <c r="T678" i="7"/>
  <c r="U678" i="7" s="1"/>
  <c r="T707" i="7"/>
  <c r="U707" i="7" s="1"/>
  <c r="T771" i="7"/>
  <c r="U771" i="7" s="1"/>
  <c r="T1329" i="7"/>
  <c r="U1329" i="7" s="1"/>
  <c r="T1287" i="7"/>
  <c r="U1287" i="7" s="1"/>
  <c r="T1256" i="7"/>
  <c r="U1256" i="7" s="1"/>
  <c r="T830" i="7"/>
  <c r="U830" i="7" s="1"/>
  <c r="T854" i="7"/>
  <c r="U854" i="7" s="1"/>
  <c r="T965" i="7"/>
  <c r="U965" i="7" s="1"/>
  <c r="T604" i="7"/>
  <c r="U604" i="7" s="1"/>
  <c r="T1440" i="7"/>
  <c r="U1440" i="7" s="1"/>
  <c r="T684" i="7"/>
  <c r="U684" i="7" s="1"/>
  <c r="T1006" i="7"/>
  <c r="U1006" i="7" s="1"/>
  <c r="T1011" i="7"/>
  <c r="U1011" i="7" s="1"/>
  <c r="T645" i="7"/>
  <c r="U645" i="7" s="1"/>
  <c r="T1351" i="7"/>
  <c r="U1351" i="7" s="1"/>
  <c r="T1098" i="7"/>
  <c r="U1098" i="7" s="1"/>
  <c r="T512" i="7"/>
  <c r="U512" i="7" s="1"/>
  <c r="T653" i="7"/>
  <c r="U653" i="7" s="1"/>
  <c r="T1015" i="7"/>
  <c r="U1015" i="7" s="1"/>
  <c r="T611" i="7"/>
  <c r="U611" i="7" s="1"/>
  <c r="T1132" i="7"/>
  <c r="U1132" i="7" s="1"/>
  <c r="T1226" i="7"/>
  <c r="U1226" i="7" s="1"/>
  <c r="T558" i="7"/>
  <c r="U558" i="7" s="1"/>
  <c r="T1181" i="7"/>
  <c r="U1181" i="7" s="1"/>
  <c r="T980" i="7"/>
  <c r="U980" i="7" s="1"/>
  <c r="T987" i="7"/>
  <c r="U987" i="7" s="1"/>
  <c r="T798" i="7"/>
  <c r="U798" i="7" s="1"/>
  <c r="T1249" i="7"/>
  <c r="U1249" i="7" s="1"/>
  <c r="T1189" i="7"/>
  <c r="U1189" i="7" s="1"/>
  <c r="T869" i="7"/>
  <c r="U869" i="7" s="1"/>
  <c r="T674" i="7"/>
  <c r="U674" i="7" s="1"/>
  <c r="T876" i="7"/>
  <c r="U876" i="7" s="1"/>
  <c r="T927" i="7"/>
  <c r="U927" i="7" s="1"/>
  <c r="T891" i="7"/>
  <c r="U891" i="7" s="1"/>
  <c r="T671" i="7"/>
  <c r="U671" i="7" s="1"/>
  <c r="T1207" i="7"/>
  <c r="U1207" i="7" s="1"/>
  <c r="T994" i="7"/>
  <c r="U994" i="7" s="1"/>
  <c r="T532" i="7"/>
  <c r="U532" i="7" s="1"/>
  <c r="T1286" i="7"/>
  <c r="U1286" i="7" s="1"/>
  <c r="T515" i="7"/>
  <c r="U515" i="7" s="1"/>
  <c r="T1145" i="7"/>
  <c r="U1145" i="7" s="1"/>
  <c r="T1016" i="7"/>
  <c r="U1016" i="7" s="1"/>
  <c r="T1224" i="7"/>
  <c r="U1224" i="7" s="1"/>
  <c r="T1309" i="7"/>
  <c r="U1309" i="7" s="1"/>
  <c r="T1045" i="7"/>
  <c r="U1045" i="7" s="1"/>
  <c r="T823" i="7"/>
  <c r="U823" i="7" s="1"/>
  <c r="T1315" i="7"/>
  <c r="U1315" i="7" s="1"/>
  <c r="T737" i="7"/>
  <c r="U737" i="7" s="1"/>
  <c r="T714" i="7"/>
  <c r="U714" i="7" s="1"/>
  <c r="T1026" i="7"/>
  <c r="U1026" i="7" s="1"/>
  <c r="T873" i="7"/>
  <c r="U873" i="7" s="1"/>
  <c r="T1133" i="7"/>
  <c r="U1133" i="7" s="1"/>
  <c r="T351" i="7"/>
  <c r="U351" i="7" s="1"/>
  <c r="T1096" i="7"/>
  <c r="U1096" i="7" s="1"/>
  <c r="T1099" i="7"/>
  <c r="U1099" i="7" s="1"/>
  <c r="T1211" i="7"/>
  <c r="U1211" i="7" s="1"/>
  <c r="T1243" i="7"/>
  <c r="U1243" i="7" s="1"/>
  <c r="T824" i="7"/>
  <c r="U824" i="7" s="1"/>
  <c r="T1186" i="7"/>
  <c r="U1186" i="7" s="1"/>
  <c r="T918" i="7"/>
  <c r="U918" i="7" s="1"/>
  <c r="T1184" i="7"/>
  <c r="U1184" i="7" s="1"/>
  <c r="T783" i="7"/>
  <c r="U783" i="7" s="1"/>
  <c r="T730" i="7"/>
  <c r="U730" i="7" s="1"/>
  <c r="T762" i="7"/>
  <c r="U762" i="7" s="1"/>
  <c r="T900" i="7"/>
  <c r="U900" i="7" s="1"/>
  <c r="T657" i="7"/>
  <c r="U657" i="7" s="1"/>
  <c r="T1112" i="7"/>
  <c r="U1112" i="7" s="1"/>
  <c r="T902" i="7"/>
  <c r="U902" i="7" s="1"/>
  <c r="T967" i="7"/>
  <c r="U967" i="7" s="1"/>
  <c r="T1033" i="7"/>
  <c r="U1033" i="7" s="1"/>
  <c r="T748" i="7"/>
  <c r="U748" i="7" s="1"/>
  <c r="T686" i="7"/>
  <c r="U686" i="7" s="1"/>
  <c r="T1172" i="7"/>
  <c r="U1172" i="7" s="1"/>
  <c r="T668" i="7"/>
  <c r="U668" i="7" s="1"/>
  <c r="T1281" i="7"/>
  <c r="U1281" i="7" s="1"/>
  <c r="T1242" i="7"/>
  <c r="U1242" i="7" s="1"/>
  <c r="T1267" i="7"/>
  <c r="U1267" i="7" s="1"/>
  <c r="T1069" i="7"/>
  <c r="U1069" i="7" s="1"/>
  <c r="T606" i="7"/>
  <c r="U606" i="7" s="1"/>
  <c r="T663" i="7"/>
  <c r="U663" i="7" s="1"/>
  <c r="T718" i="7"/>
  <c r="U718" i="7" s="1"/>
  <c r="T1173" i="7"/>
  <c r="U1173" i="7" s="1"/>
  <c r="T1313" i="7"/>
  <c r="U1313" i="7" s="1"/>
  <c r="T974" i="7"/>
  <c r="U974" i="7" s="1"/>
  <c r="T735" i="7"/>
  <c r="U735" i="7" s="1"/>
  <c r="T602" i="7"/>
  <c r="U602" i="7" s="1"/>
  <c r="T665" i="7"/>
  <c r="U665" i="7" s="1"/>
  <c r="T792" i="7"/>
  <c r="U792" i="7" s="1"/>
  <c r="T1034" i="7"/>
  <c r="U1034" i="7" s="1"/>
  <c r="T979" i="7"/>
  <c r="U979" i="7" s="1"/>
  <c r="T1022" i="7"/>
  <c r="U1022" i="7" s="1"/>
  <c r="T772" i="7"/>
  <c r="U772" i="7" s="1"/>
  <c r="T658" i="7"/>
  <c r="U658" i="7" s="1"/>
  <c r="T1323" i="7"/>
  <c r="U1323" i="7" s="1"/>
  <c r="T687" i="7"/>
  <c r="U687" i="7" s="1"/>
  <c r="T858" i="7"/>
  <c r="U858" i="7" s="1"/>
  <c r="T1053" i="7"/>
  <c r="U1053" i="7" s="1"/>
  <c r="T619" i="7"/>
  <c r="U619" i="7" s="1"/>
  <c r="T787" i="7"/>
  <c r="U787" i="7" s="1"/>
  <c r="T1094" i="7"/>
  <c r="U1094" i="7" s="1"/>
  <c r="T1092" i="7"/>
  <c r="U1092" i="7" s="1"/>
  <c r="T1200" i="7"/>
  <c r="U1200" i="7" s="1"/>
  <c r="T526" i="7"/>
  <c r="U526" i="7" s="1"/>
  <c r="T1306" i="7"/>
  <c r="U1306" i="7" s="1"/>
  <c r="T654" i="7"/>
  <c r="U654" i="7" s="1"/>
  <c r="T1165" i="7"/>
  <c r="U1165" i="7" s="1"/>
  <c r="T624" i="7"/>
  <c r="U624" i="7" s="1"/>
  <c r="T554" i="7"/>
  <c r="U554" i="7" s="1"/>
  <c r="T610" i="7"/>
  <c r="U610" i="7" s="1"/>
  <c r="T816" i="7"/>
  <c r="U816" i="7" s="1"/>
  <c r="T862" i="7"/>
  <c r="U862" i="7" s="1"/>
  <c r="T1489" i="7"/>
  <c r="U1489" i="7" s="1"/>
  <c r="T1248" i="7"/>
  <c r="U1248" i="7" s="1"/>
  <c r="T1474" i="7"/>
  <c r="U1474" i="7" s="1"/>
  <c r="T909" i="7"/>
  <c r="U909" i="7" s="1"/>
  <c r="T621" i="7"/>
  <c r="U621" i="7" s="1"/>
  <c r="T1108" i="7"/>
  <c r="U1108" i="7" s="1"/>
  <c r="T1231" i="7"/>
  <c r="U1231" i="7" s="1"/>
  <c r="T804" i="7"/>
  <c r="U804" i="7" s="1"/>
  <c r="T700" i="7"/>
  <c r="U700" i="7" s="1"/>
  <c r="T880" i="7"/>
  <c r="U880" i="7" s="1"/>
  <c r="T890" i="7"/>
  <c r="U890" i="7" s="1"/>
  <c r="T1246" i="7"/>
  <c r="U1246" i="7" s="1"/>
  <c r="T878" i="7"/>
  <c r="U878" i="7" s="1"/>
  <c r="T1255" i="7"/>
  <c r="U1255" i="7" s="1"/>
  <c r="T785" i="7"/>
  <c r="U785" i="7" s="1"/>
  <c r="T1127" i="7"/>
  <c r="U1127" i="7" s="1"/>
  <c r="T1350" i="7"/>
  <c r="U1350" i="7" s="1"/>
  <c r="T1322" i="7"/>
  <c r="U1322" i="7" s="1"/>
  <c r="T1365" i="7"/>
  <c r="U1365" i="7" s="1"/>
  <c r="T704" i="7"/>
  <c r="U704" i="7" s="1"/>
  <c r="T1257" i="7"/>
  <c r="U1257" i="7" s="1"/>
  <c r="T1383" i="7"/>
  <c r="U1383" i="7" s="1"/>
  <c r="T1187" i="7"/>
  <c r="U1187" i="7" s="1"/>
  <c r="T1203" i="7"/>
  <c r="U1203" i="7" s="1"/>
  <c r="T1052" i="7"/>
  <c r="U1052" i="7" s="1"/>
  <c r="T1126" i="7"/>
  <c r="U1126" i="7" s="1"/>
  <c r="T1327" i="7"/>
  <c r="U1327" i="7" s="1"/>
  <c r="T1093" i="7"/>
  <c r="U1093" i="7" s="1"/>
  <c r="T952" i="7"/>
  <c r="U952" i="7" s="1"/>
  <c r="T1205" i="7"/>
  <c r="U1205" i="7" s="1"/>
  <c r="T861" i="7"/>
  <c r="U861" i="7" s="1"/>
  <c r="T1089" i="7"/>
  <c r="U1089" i="7" s="1"/>
  <c r="T1158" i="7"/>
  <c r="U1158" i="7" s="1"/>
  <c r="T715" i="7"/>
  <c r="U715" i="7" s="1"/>
  <c r="T664" i="7"/>
  <c r="U664" i="7" s="1"/>
  <c r="T1280" i="7"/>
  <c r="U1280" i="7" s="1"/>
  <c r="T1291" i="7"/>
  <c r="U1291" i="7" s="1"/>
  <c r="T760" i="7"/>
  <c r="U760" i="7" s="1"/>
  <c r="T956" i="7"/>
  <c r="U956" i="7" s="1"/>
  <c r="T1109" i="7"/>
  <c r="U1109" i="7" s="1"/>
  <c r="T975" i="7"/>
  <c r="U975" i="7" s="1"/>
  <c r="T703" i="7"/>
  <c r="U703" i="7" s="1"/>
  <c r="T888" i="7"/>
  <c r="U888" i="7" s="1"/>
  <c r="T681" i="7"/>
  <c r="U681" i="7" s="1"/>
  <c r="T626" i="7"/>
  <c r="U626" i="7" s="1"/>
  <c r="T914" i="7"/>
  <c r="U914" i="7" s="1"/>
  <c r="T1169" i="7"/>
  <c r="U1169" i="7" s="1"/>
  <c r="T765" i="7"/>
  <c r="U765" i="7" s="1"/>
  <c r="T1091" i="7"/>
  <c r="U1091" i="7" s="1"/>
  <c r="T886" i="7"/>
  <c r="U886" i="7" s="1"/>
  <c r="T1451" i="7"/>
  <c r="U1451" i="7" s="1"/>
  <c r="T1481" i="7"/>
  <c r="U1481" i="7" s="1"/>
  <c r="T1124" i="7"/>
  <c r="U1124" i="7" s="1"/>
  <c r="T857" i="7"/>
  <c r="U857" i="7" s="1"/>
  <c r="T937" i="7"/>
  <c r="U937" i="7" s="1"/>
  <c r="T1299" i="7"/>
  <c r="U1299" i="7" s="1"/>
  <c r="T1036" i="7"/>
  <c r="U1036" i="7" s="1"/>
  <c r="T701" i="7"/>
  <c r="U701" i="7" s="1"/>
  <c r="T633" i="7"/>
  <c r="U633" i="7" s="1"/>
  <c r="T1141" i="7"/>
  <c r="U1141" i="7" s="1"/>
  <c r="T1095" i="7"/>
  <c r="U1095" i="7" s="1"/>
  <c r="T1333" i="7"/>
  <c r="U1333" i="7" s="1"/>
  <c r="T1214" i="7"/>
  <c r="U1214" i="7" s="1"/>
  <c r="T679" i="7"/>
  <c r="U679" i="7" s="1"/>
  <c r="T630" i="7"/>
  <c r="U630" i="7" s="1"/>
  <c r="T929" i="7"/>
  <c r="U929" i="7" s="1"/>
  <c r="T988" i="7"/>
  <c r="U988" i="7" s="1"/>
  <c r="T711" i="7"/>
  <c r="U711" i="7" s="1"/>
  <c r="T682" i="7"/>
  <c r="U682" i="7" s="1"/>
  <c r="T990" i="7"/>
  <c r="U990" i="7" s="1"/>
  <c r="T939" i="7"/>
  <c r="U939" i="7" s="1"/>
  <c r="T740" i="7"/>
  <c r="U740" i="7" s="1"/>
  <c r="T954" i="7"/>
  <c r="U954" i="7" s="1"/>
  <c r="T1161" i="7"/>
  <c r="U1161" i="7" s="1"/>
  <c r="T1106" i="7"/>
  <c r="U1106" i="7" s="1"/>
  <c r="T1057" i="7"/>
  <c r="U1057" i="7" s="1"/>
  <c r="T1064" i="7"/>
  <c r="U1064" i="7" s="1"/>
  <c r="T1101" i="7"/>
  <c r="U1101" i="7" s="1"/>
  <c r="T1470" i="7"/>
  <c r="U1470" i="7" s="1"/>
  <c r="T764" i="7"/>
  <c r="U764" i="7" s="1"/>
  <c r="T733" i="7"/>
  <c r="U733" i="7" s="1"/>
  <c r="T883" i="7"/>
  <c r="U883" i="7" s="1"/>
  <c r="T1102" i="7"/>
  <c r="U1102" i="7" s="1"/>
  <c r="T721" i="7"/>
  <c r="U721" i="7" s="1"/>
  <c r="T934" i="7"/>
  <c r="U934" i="7" s="1"/>
  <c r="T1362" i="7"/>
  <c r="U1362" i="7" s="1"/>
  <c r="T747" i="7"/>
  <c r="U747" i="7" s="1"/>
  <c r="T1227" i="7"/>
  <c r="U1227" i="7" s="1"/>
  <c r="T1040" i="7"/>
  <c r="U1040" i="7" s="1"/>
  <c r="T953" i="7"/>
  <c r="U953" i="7" s="1"/>
  <c r="T1017" i="7"/>
  <c r="U1017" i="7" s="1"/>
  <c r="T778" i="7"/>
  <c r="U778" i="7" s="1"/>
  <c r="T1491" i="7"/>
  <c r="U1491" i="7" s="1"/>
  <c r="T1403" i="7"/>
  <c r="U1403" i="7" s="1"/>
  <c r="T745" i="7"/>
  <c r="U745" i="7" s="1"/>
  <c r="T1002" i="7"/>
  <c r="U1002" i="7" s="1"/>
  <c r="T646" i="7"/>
  <c r="U646" i="7" s="1"/>
  <c r="T1193" i="7"/>
  <c r="U1193" i="7" s="1"/>
  <c r="T719" i="7"/>
  <c r="U719" i="7" s="1"/>
  <c r="T695" i="7"/>
  <c r="U695" i="7" s="1"/>
  <c r="T622" i="7"/>
  <c r="U622" i="7" s="1"/>
  <c r="T1217" i="7"/>
  <c r="U1217" i="7" s="1"/>
  <c r="T1305" i="7"/>
  <c r="U1305" i="7" s="1"/>
  <c r="T1103" i="7"/>
  <c r="U1103" i="7" s="1"/>
  <c r="T1347" i="7"/>
  <c r="U1347" i="7" s="1"/>
  <c r="T1140" i="7"/>
  <c r="U1140" i="7" s="1"/>
  <c r="T702" i="7"/>
  <c r="U702" i="7" s="1"/>
  <c r="T1177" i="7"/>
  <c r="U1177" i="7" s="1"/>
  <c r="T1137" i="7"/>
  <c r="U1137" i="7" s="1"/>
  <c r="T1264" i="7"/>
  <c r="U1264" i="7" s="1"/>
  <c r="T1216" i="7"/>
  <c r="U1216" i="7" s="1"/>
  <c r="T970" i="7"/>
  <c r="U970" i="7" s="1"/>
  <c r="T1407" i="7"/>
  <c r="U1407" i="7" s="1"/>
  <c r="T652" i="7"/>
  <c r="U652" i="7" s="1"/>
  <c r="T623" i="7"/>
  <c r="U623" i="7" s="1"/>
  <c r="T961" i="7"/>
  <c r="U961" i="7" s="1"/>
  <c r="T1399" i="7"/>
  <c r="U1399" i="7" s="1"/>
  <c r="T1009" i="7"/>
  <c r="U1009" i="7" s="1"/>
  <c r="T992" i="7"/>
  <c r="U992" i="7" s="1"/>
  <c r="T1086" i="7"/>
  <c r="U1086" i="7" s="1"/>
  <c r="T989" i="7"/>
  <c r="U989" i="7" s="1"/>
  <c r="T1326" i="7"/>
  <c r="U1326" i="7" s="1"/>
  <c r="T905" i="7"/>
  <c r="U905" i="7" s="1"/>
  <c r="T1405" i="7"/>
  <c r="U1405" i="7" s="1"/>
  <c r="T1185" i="7"/>
  <c r="U1185" i="7" s="1"/>
  <c r="T871" i="7"/>
  <c r="U871" i="7" s="1"/>
  <c r="T981" i="7"/>
  <c r="U981" i="7" s="1"/>
  <c r="T1029" i="7"/>
  <c r="U1029" i="7" s="1"/>
  <c r="T829" i="7"/>
  <c r="U829" i="7" s="1"/>
  <c r="T1490" i="7"/>
  <c r="U1490" i="7" s="1"/>
  <c r="T1220" i="7"/>
  <c r="U1220" i="7" s="1"/>
  <c r="T935" i="7"/>
  <c r="U935" i="7" s="1"/>
  <c r="T631" i="7"/>
  <c r="U631" i="7" s="1"/>
  <c r="T1119" i="7"/>
  <c r="U1119" i="7" s="1"/>
  <c r="T959" i="7"/>
  <c r="U959" i="7" s="1"/>
  <c r="T852" i="7"/>
  <c r="U852" i="7" s="1"/>
  <c r="T831" i="7"/>
  <c r="U831" i="7" s="1"/>
  <c r="T917" i="7"/>
  <c r="U917" i="7" s="1"/>
  <c r="T894" i="7"/>
  <c r="U894" i="7" s="1"/>
  <c r="T1174" i="7"/>
  <c r="U1174" i="7" s="1"/>
  <c r="T813" i="7"/>
  <c r="U813" i="7" s="1"/>
  <c r="T629" i="7"/>
  <c r="U629" i="7" s="1"/>
  <c r="T692" i="7"/>
  <c r="U692" i="7" s="1"/>
  <c r="T1032" i="7"/>
  <c r="U1032" i="7" s="1"/>
  <c r="T947" i="7"/>
  <c r="U947" i="7" s="1"/>
  <c r="T706" i="7"/>
  <c r="U706" i="7" s="1"/>
  <c r="T782" i="7"/>
  <c r="U782" i="7" s="1"/>
  <c r="T907" i="7"/>
  <c r="U907" i="7" s="1"/>
  <c r="T1120" i="7"/>
  <c r="U1120" i="7" s="1"/>
  <c r="T1138" i="7"/>
  <c r="U1138" i="7" s="1"/>
  <c r="T1160" i="7"/>
  <c r="U1160" i="7" s="1"/>
  <c r="T1008" i="7"/>
  <c r="U1008" i="7" s="1"/>
  <c r="T1012" i="7"/>
  <c r="U1012" i="7" s="1"/>
  <c r="T1342" i="7"/>
  <c r="U1342" i="7" s="1"/>
  <c r="T1363" i="7"/>
  <c r="U1363" i="7" s="1"/>
  <c r="T1197" i="7"/>
  <c r="U1197" i="7" s="1"/>
  <c r="T1468" i="7"/>
  <c r="U1468" i="7" s="1"/>
  <c r="T985" i="7"/>
  <c r="U985" i="7" s="1"/>
  <c r="T1190" i="7"/>
  <c r="U1190" i="7" s="1"/>
  <c r="T1188" i="7"/>
  <c r="U1188" i="7" s="1"/>
  <c r="T725" i="7"/>
  <c r="U725" i="7" s="1"/>
  <c r="T660" i="7"/>
  <c r="U660" i="7" s="1"/>
  <c r="T1428" i="7"/>
  <c r="U1428" i="7" s="1"/>
  <c r="T1370" i="7"/>
  <c r="U1370" i="7" s="1"/>
  <c r="T1204" i="7"/>
  <c r="U1204" i="7" s="1"/>
  <c r="T1384" i="7"/>
  <c r="U1384" i="7" s="1"/>
  <c r="T851" i="7"/>
  <c r="U851" i="7" s="1"/>
  <c r="T1317" i="7"/>
  <c r="U1317" i="7" s="1"/>
  <c r="T863" i="7"/>
  <c r="U863" i="7" s="1"/>
  <c r="T969" i="7"/>
  <c r="U969" i="7" s="1"/>
  <c r="T649" i="7"/>
  <c r="U649" i="7" s="1"/>
  <c r="T716" i="7"/>
  <c r="U716" i="7" s="1"/>
  <c r="T1047" i="7"/>
  <c r="U1047" i="7" s="1"/>
  <c r="T860" i="7"/>
  <c r="U860" i="7" s="1"/>
  <c r="T1273" i="7"/>
  <c r="U1273" i="7" s="1"/>
  <c r="T999" i="7"/>
  <c r="U999" i="7" s="1"/>
  <c r="T1465" i="7"/>
  <c r="U1465" i="7" s="1"/>
  <c r="T1230" i="7"/>
  <c r="U1230" i="7" s="1"/>
  <c r="T820" i="7"/>
  <c r="U820" i="7" s="1"/>
  <c r="T1159" i="7"/>
  <c r="U1159" i="7" s="1"/>
  <c r="T723" i="7"/>
  <c r="U723" i="7" s="1"/>
  <c r="T754" i="7"/>
  <c r="U754" i="7" s="1"/>
  <c r="T620" i="7"/>
  <c r="U620" i="7" s="1"/>
  <c r="T791" i="7"/>
  <c r="U791" i="7" s="1"/>
  <c r="T647" i="7"/>
  <c r="U647" i="7" s="1"/>
  <c r="T898" i="7"/>
  <c r="U898" i="7" s="1"/>
  <c r="T924" i="7"/>
  <c r="U924" i="7" s="1"/>
  <c r="T749" i="7"/>
  <c r="U749" i="7" s="1"/>
  <c r="T808" i="7"/>
  <c r="U808" i="7" s="1"/>
  <c r="T1233" i="7"/>
  <c r="U1233" i="7" s="1"/>
  <c r="T625" i="7"/>
  <c r="U625" i="7" s="1"/>
  <c r="T1414" i="7"/>
  <c r="U1414" i="7" s="1"/>
  <c r="T648" i="7"/>
  <c r="U648" i="7" s="1"/>
  <c r="T1038" i="7"/>
  <c r="U1038" i="7" s="1"/>
  <c r="T908" i="7"/>
  <c r="U908" i="7" s="1"/>
  <c r="T1041" i="7"/>
  <c r="U1041" i="7" s="1"/>
  <c r="T1406" i="7"/>
  <c r="U1406" i="7" s="1"/>
  <c r="T1311" i="7"/>
  <c r="U1311" i="7" s="1"/>
  <c r="T753" i="7"/>
  <c r="U753" i="7" s="1"/>
  <c r="T1324" i="7"/>
  <c r="U1324" i="7" s="1"/>
  <c r="T955" i="7"/>
  <c r="U955" i="7" s="1"/>
  <c r="T717" i="7"/>
  <c r="U717" i="7" s="1"/>
  <c r="T1225" i="7"/>
  <c r="U1225" i="7" s="1"/>
  <c r="T827" i="7"/>
  <c r="U827" i="7" s="1"/>
  <c r="T859" i="7"/>
  <c r="U859" i="7" s="1"/>
  <c r="T1199" i="7"/>
  <c r="U1199" i="7" s="1"/>
  <c r="T713" i="7"/>
  <c r="U713" i="7" s="1"/>
  <c r="T848" i="7"/>
  <c r="U848" i="7" s="1"/>
  <c r="T1068" i="7"/>
  <c r="U1068" i="7" s="1"/>
  <c r="T1295" i="7"/>
  <c r="U1295" i="7" s="1"/>
  <c r="T1457" i="7"/>
  <c r="U1457" i="7" s="1"/>
  <c r="T1380" i="7"/>
  <c r="U1380" i="7" s="1"/>
  <c r="T728" i="7"/>
  <c r="U728" i="7" s="1"/>
  <c r="T1298" i="7"/>
  <c r="U1298" i="7" s="1"/>
  <c r="T1218" i="7"/>
  <c r="U1218" i="7" s="1"/>
  <c r="T1410" i="7"/>
  <c r="U1410" i="7" s="1"/>
  <c r="T1125" i="7"/>
  <c r="U1125" i="7" s="1"/>
  <c r="T1111" i="7"/>
  <c r="U1111" i="7" s="1"/>
  <c r="T628" i="7"/>
  <c r="U628" i="7" s="1"/>
  <c r="T1128" i="7"/>
  <c r="U1128" i="7" s="1"/>
  <c r="T757" i="7"/>
  <c r="U757" i="7" s="1"/>
  <c r="T1478" i="7"/>
  <c r="U1478" i="7" s="1"/>
  <c r="T1355" i="7"/>
  <c r="U1355" i="7" s="1"/>
  <c r="T962" i="7"/>
  <c r="U962" i="7" s="1"/>
  <c r="T1278" i="7"/>
  <c r="U1278" i="7" s="1"/>
  <c r="T1426" i="7"/>
  <c r="U1426" i="7" s="1"/>
  <c r="T866" i="7"/>
  <c r="U866" i="7" s="1"/>
  <c r="T1134" i="7"/>
  <c r="U1134" i="7" s="1"/>
  <c r="T1247" i="7"/>
  <c r="U1247" i="7" s="1"/>
  <c r="T826" i="7"/>
  <c r="U826" i="7" s="1"/>
  <c r="T1500" i="7"/>
  <c r="U1500" i="7" s="1"/>
  <c r="T1412" i="7"/>
  <c r="U1412" i="7" s="1"/>
  <c r="T1389" i="7"/>
  <c r="U1389" i="7" s="1"/>
  <c r="T1221" i="7"/>
  <c r="U1221" i="7" s="1"/>
  <c r="T1073" i="7"/>
  <c r="U1073" i="7" s="1"/>
  <c r="T1427" i="7"/>
  <c r="U1427" i="7" s="1"/>
  <c r="T1419" i="7"/>
  <c r="U1419" i="7" s="1"/>
  <c r="T1163" i="7"/>
  <c r="U1163" i="7" s="1"/>
  <c r="T775" i="7"/>
  <c r="U775" i="7" s="1"/>
  <c r="T1354" i="7"/>
  <c r="U1354" i="7" s="1"/>
  <c r="T736" i="7"/>
  <c r="U736" i="7" s="1"/>
  <c r="T991" i="7"/>
  <c r="U991" i="7" s="1"/>
  <c r="T1367" i="7"/>
  <c r="U1367" i="7" s="1"/>
  <c r="T1183" i="7"/>
  <c r="U1183" i="7" s="1"/>
  <c r="T1497" i="7"/>
  <c r="U1497" i="7" s="1"/>
  <c r="T1194" i="7"/>
  <c r="U1194" i="7" s="1"/>
  <c r="T1420" i="7"/>
  <c r="U1420" i="7" s="1"/>
  <c r="T896" i="7"/>
  <c r="U896" i="7" s="1"/>
  <c r="T1285" i="7"/>
  <c r="U1285" i="7" s="1"/>
  <c r="T1048" i="7"/>
  <c r="U1048" i="7" s="1"/>
  <c r="T964" i="7"/>
  <c r="U964" i="7" s="1"/>
  <c r="T1408" i="7"/>
  <c r="U1408" i="7" s="1"/>
  <c r="T805" i="7"/>
  <c r="U805" i="7" s="1"/>
  <c r="T1346" i="7"/>
  <c r="U1346" i="7" s="1"/>
  <c r="T690" i="7"/>
  <c r="U690" i="7" s="1"/>
  <c r="T1477" i="7"/>
  <c r="U1477" i="7" s="1"/>
  <c r="T1466" i="7"/>
  <c r="U1466" i="7" s="1"/>
  <c r="T897" i="7"/>
  <c r="U897" i="7" s="1"/>
  <c r="T1397" i="7"/>
  <c r="U1397" i="7" s="1"/>
  <c r="T1079" i="7"/>
  <c r="U1079" i="7" s="1"/>
  <c r="T1387" i="7"/>
  <c r="U1387" i="7" s="1"/>
  <c r="T885" i="7"/>
  <c r="U885" i="7" s="1"/>
  <c r="T1339" i="7"/>
  <c r="U1339" i="7" s="1"/>
  <c r="T1129" i="7"/>
  <c r="U1129" i="7" s="1"/>
  <c r="T931" i="7"/>
  <c r="U931" i="7" s="1"/>
  <c r="T836" i="7"/>
  <c r="U836" i="7" s="1"/>
  <c r="T1454" i="7"/>
  <c r="U1454" i="7" s="1"/>
  <c r="T1455" i="7"/>
  <c r="U1455" i="7" s="1"/>
  <c r="T774" i="7"/>
  <c r="U774" i="7" s="1"/>
  <c r="T1495" i="7"/>
  <c r="U1495" i="7" s="1"/>
  <c r="T1023" i="7"/>
  <c r="U1023" i="7" s="1"/>
  <c r="T945" i="7"/>
  <c r="U945" i="7" s="1"/>
  <c r="T1010" i="7"/>
  <c r="U1010" i="7" s="1"/>
  <c r="T667" i="7"/>
  <c r="U667" i="7" s="1"/>
  <c r="T767" i="7"/>
  <c r="U767" i="7" s="1"/>
  <c r="T1321" i="7"/>
  <c r="U1321" i="7" s="1"/>
  <c r="T1143" i="7"/>
  <c r="U1143" i="7" s="1"/>
  <c r="T1115" i="7"/>
  <c r="U1115" i="7" s="1"/>
  <c r="T1107" i="7"/>
  <c r="U1107" i="7" s="1"/>
  <c r="T1336" i="7"/>
  <c r="U1336" i="7" s="1"/>
  <c r="T1236" i="7"/>
  <c r="U1236" i="7" s="1"/>
  <c r="T893" i="7"/>
  <c r="U893" i="7" s="1"/>
  <c r="T1147" i="7"/>
  <c r="U1147" i="7" s="1"/>
  <c r="T1343" i="7"/>
  <c r="U1343" i="7" s="1"/>
  <c r="T1234" i="7"/>
  <c r="U1234" i="7" s="1"/>
  <c r="T1268" i="7"/>
  <c r="U1268" i="7" s="1"/>
  <c r="T720" i="7"/>
  <c r="U720" i="7" s="1"/>
  <c r="T1416" i="7"/>
  <c r="U1416" i="7" s="1"/>
  <c r="T1391" i="7"/>
  <c r="U1391" i="7" s="1"/>
  <c r="T1476" i="7"/>
  <c r="U1476" i="7" s="1"/>
  <c r="T1274" i="7"/>
  <c r="U1274" i="7" s="1"/>
  <c r="T1368" i="7"/>
  <c r="U1368" i="7" s="1"/>
  <c r="T1462" i="7"/>
  <c r="U1462" i="7" s="1"/>
  <c r="T1413" i="7"/>
  <c r="U1413" i="7" s="1"/>
  <c r="T1116" i="7"/>
  <c r="U1116" i="7" s="1"/>
  <c r="T1425" i="7"/>
  <c r="U1425" i="7" s="1"/>
  <c r="T1340" i="7"/>
  <c r="U1340" i="7" s="1"/>
  <c r="T1076" i="7"/>
  <c r="U1076" i="7" s="1"/>
  <c r="T1382" i="7"/>
  <c r="U1382" i="7" s="1"/>
  <c r="T1429" i="7"/>
  <c r="U1429" i="7" s="1"/>
  <c r="T1464" i="7"/>
  <c r="U1464" i="7" s="1"/>
  <c r="T1402" i="7"/>
  <c r="U1402" i="7" s="1"/>
  <c r="T911" i="7"/>
  <c r="U911" i="7" s="1"/>
  <c r="T835" i="7"/>
  <c r="U835" i="7" s="1"/>
  <c r="T996" i="7"/>
  <c r="U996" i="7" s="1"/>
  <c r="T1369" i="7"/>
  <c r="U1369" i="7" s="1"/>
  <c r="T1417" i="7"/>
  <c r="U1417" i="7" s="1"/>
  <c r="T1192" i="7"/>
  <c r="U1192" i="7" s="1"/>
  <c r="T1144" i="7"/>
  <c r="U1144" i="7" s="1"/>
  <c r="T1014" i="7"/>
  <c r="U1014" i="7" s="1"/>
  <c r="T1061" i="7"/>
  <c r="U1061" i="7" s="1"/>
  <c r="T943" i="7"/>
  <c r="U943" i="7" s="1"/>
  <c r="T708" i="7"/>
  <c r="U708" i="7" s="1"/>
  <c r="T1467" i="7"/>
  <c r="U1467" i="7" s="1"/>
  <c r="T1373" i="7"/>
  <c r="U1373" i="7" s="1"/>
  <c r="T1357" i="7"/>
  <c r="U1357" i="7" s="1"/>
  <c r="T1353" i="7"/>
  <c r="U1353" i="7" s="1"/>
  <c r="T1312" i="7"/>
  <c r="U1312" i="7" s="1"/>
  <c r="T865" i="7"/>
  <c r="U865" i="7" s="1"/>
  <c r="T669" i="7"/>
  <c r="U669" i="7" s="1"/>
  <c r="T656" i="7"/>
  <c r="U656" i="7" s="1"/>
  <c r="T819" i="7"/>
  <c r="U819" i="7" s="1"/>
  <c r="T1364" i="7"/>
  <c r="U1364" i="7" s="1"/>
  <c r="T1385" i="7"/>
  <c r="U1385" i="7" s="1"/>
  <c r="T1058" i="7"/>
  <c r="U1058" i="7" s="1"/>
  <c r="T875" i="7"/>
  <c r="U875" i="7" s="1"/>
  <c r="T770" i="7"/>
  <c r="U770" i="7" s="1"/>
  <c r="T807" i="7"/>
  <c r="U807" i="7" s="1"/>
  <c r="T1263" i="7"/>
  <c r="U1263" i="7" s="1"/>
  <c r="T1335" i="7"/>
  <c r="U1335" i="7" s="1"/>
  <c r="T1479" i="7"/>
  <c r="U1479" i="7" s="1"/>
  <c r="T1330" i="7"/>
  <c r="U1330" i="7" s="1"/>
  <c r="T1401" i="7"/>
  <c r="U1401" i="7" s="1"/>
  <c r="T744" i="7"/>
  <c r="U744" i="7" s="1"/>
  <c r="T983" i="7"/>
  <c r="U983" i="7" s="1"/>
  <c r="T1482" i="7"/>
  <c r="U1482" i="7" s="1"/>
  <c r="T1487" i="7"/>
  <c r="U1487" i="7" s="1"/>
  <c r="T1179" i="7"/>
  <c r="U1179" i="7" s="1"/>
  <c r="T1344" i="7"/>
  <c r="U1344" i="7" s="1"/>
  <c r="T1302" i="7"/>
  <c r="U1302" i="7" s="1"/>
  <c r="T1269" i="7"/>
  <c r="U1269" i="7" s="1"/>
  <c r="T1176" i="7"/>
  <c r="U1176" i="7" s="1"/>
  <c r="T1374" i="7"/>
  <c r="U1374" i="7" s="1"/>
  <c r="T1447" i="7"/>
  <c r="U1447" i="7" s="1"/>
  <c r="T1423" i="7"/>
  <c r="U1423" i="7" s="1"/>
  <c r="T1480" i="7"/>
  <c r="U1480" i="7" s="1"/>
  <c r="T1379" i="7"/>
  <c r="U1379" i="7" s="1"/>
  <c r="T1393" i="7"/>
  <c r="U1393" i="7" s="1"/>
  <c r="T1390" i="7"/>
  <c r="U1390" i="7" s="1"/>
  <c r="T1366" i="7"/>
  <c r="U1366" i="7" s="1"/>
  <c r="T1378" i="7"/>
  <c r="U1378" i="7" s="1"/>
  <c r="T1475" i="7"/>
  <c r="U1475" i="7" s="1"/>
  <c r="T1398" i="7"/>
  <c r="U1398" i="7" s="1"/>
  <c r="T1460" i="7"/>
  <c r="U1460" i="7" s="1"/>
  <c r="T1130" i="7"/>
  <c r="U1130" i="7" s="1"/>
  <c r="T1437" i="7"/>
  <c r="U1437" i="7" s="1"/>
  <c r="T1338" i="7"/>
  <c r="U1338" i="7" s="1"/>
  <c r="T1492" i="7"/>
  <c r="U1492" i="7" s="1"/>
  <c r="T776" i="7"/>
  <c r="U776" i="7" s="1"/>
  <c r="T675" i="7"/>
  <c r="U675" i="7" s="1"/>
  <c r="T1375" i="7"/>
  <c r="U1375" i="7" s="1"/>
  <c r="T1019" i="7"/>
  <c r="U1019" i="7" s="1"/>
  <c r="T811" i="7"/>
  <c r="U811" i="7" s="1"/>
  <c r="T1453" i="7"/>
  <c r="U1453" i="7" s="1"/>
  <c r="T1411" i="7"/>
  <c r="U1411" i="7" s="1"/>
  <c r="T1445" i="7"/>
  <c r="U1445" i="7" s="1"/>
  <c r="T1493" i="7"/>
  <c r="U1493" i="7" s="1"/>
  <c r="T1488" i="7"/>
  <c r="U1488" i="7" s="1"/>
  <c r="T1223" i="7"/>
  <c r="U1223" i="7" s="1"/>
  <c r="T1078" i="7"/>
  <c r="U1078" i="7" s="1"/>
  <c r="T986" i="7"/>
  <c r="U986" i="7" s="1"/>
  <c r="T1486" i="7"/>
  <c r="U1486" i="7" s="1"/>
  <c r="T910" i="7"/>
  <c r="U910" i="7" s="1"/>
  <c r="T814" i="7"/>
  <c r="U814" i="7" s="1"/>
  <c r="T1498" i="7"/>
  <c r="U1498" i="7" s="1"/>
  <c r="T1381" i="7"/>
  <c r="U1381" i="7" s="1"/>
  <c r="T1485" i="7"/>
  <c r="U1485" i="7" s="1"/>
  <c r="T1424" i="7"/>
  <c r="U1424" i="7" s="1"/>
  <c r="T1229" i="7"/>
  <c r="U1229" i="7" s="1"/>
  <c r="T1442" i="7"/>
  <c r="U1442" i="7" s="1"/>
  <c r="T1392" i="7"/>
  <c r="U1392" i="7" s="1"/>
  <c r="T1435" i="7"/>
  <c r="U1435" i="7" s="1"/>
  <c r="T1448" i="7"/>
  <c r="U1448" i="7" s="1"/>
  <c r="T1386" i="7"/>
  <c r="U1386" i="7" s="1"/>
  <c r="T1271" i="7"/>
  <c r="U1271" i="7" s="1"/>
  <c r="T1499" i="7"/>
  <c r="U1499" i="7" s="1"/>
  <c r="T1452" i="7"/>
  <c r="U1452" i="7" s="1"/>
  <c r="T1456" i="7"/>
  <c r="U1456" i="7" s="1"/>
  <c r="T1356" i="7"/>
  <c r="U1356" i="7" s="1"/>
  <c r="T1473" i="7"/>
  <c r="U1473" i="7" s="1"/>
  <c r="T887" i="7"/>
  <c r="U887" i="7" s="1"/>
  <c r="T822" i="7"/>
  <c r="U822" i="7" s="1"/>
  <c r="T1054" i="7"/>
  <c r="U1054" i="7" s="1"/>
  <c r="T1279" i="7"/>
  <c r="U1279" i="7" s="1"/>
  <c r="T1472" i="7"/>
  <c r="U1472" i="7" s="1"/>
  <c r="T1463" i="7"/>
  <c r="U1463" i="7" s="1"/>
  <c r="T982" i="7"/>
  <c r="U982" i="7" s="1"/>
  <c r="T1007" i="7"/>
  <c r="U1007" i="7" s="1"/>
  <c r="T1304" i="7"/>
  <c r="U1304" i="7" s="1"/>
  <c r="T1361" i="7"/>
  <c r="U1361" i="7" s="1"/>
  <c r="T1030" i="7"/>
  <c r="U1030" i="7" s="1"/>
  <c r="T1345" i="7"/>
  <c r="U1345" i="7" s="1"/>
  <c r="T1262" i="7"/>
  <c r="U1262" i="7" s="1"/>
  <c r="T913" i="7"/>
  <c r="U913" i="7" s="1"/>
  <c r="T1415" i="7"/>
  <c r="U1415" i="7" s="1"/>
  <c r="T1471" i="7"/>
  <c r="U1471" i="7" s="1"/>
  <c r="T1484" i="7"/>
  <c r="U1484" i="7" s="1"/>
  <c r="T1395" i="7"/>
  <c r="U1395" i="7" s="1"/>
  <c r="T1372" i="7"/>
  <c r="U1372" i="7" s="1"/>
  <c r="T1496" i="7"/>
  <c r="U1496" i="7" s="1"/>
  <c r="T1421" i="7"/>
  <c r="U1421" i="7" s="1"/>
  <c r="T1337" i="7"/>
  <c r="U1337" i="7" s="1"/>
  <c r="T1436" i="7"/>
  <c r="U1436" i="7" s="1"/>
  <c r="T1434" i="7"/>
  <c r="U1434" i="7" s="1"/>
  <c r="T1483" i="7"/>
  <c r="U1483" i="7" s="1"/>
  <c r="T693" i="7"/>
  <c r="U693" i="7" s="1"/>
  <c r="T732" i="7"/>
  <c r="U732" i="7" s="1"/>
  <c r="T856" i="7"/>
  <c r="U856" i="7" s="1"/>
  <c r="T1027" i="7"/>
  <c r="U1027" i="7" s="1"/>
  <c r="T1377" i="7"/>
  <c r="U1377" i="7" s="1"/>
  <c r="T1360" i="7"/>
  <c r="U1360" i="7" s="1"/>
  <c r="T1400" i="7"/>
  <c r="U1400" i="7" s="1"/>
  <c r="T1418" i="7"/>
  <c r="U1418" i="7" s="1"/>
  <c r="T1260" i="7"/>
  <c r="U1260" i="7" s="1"/>
  <c r="T1331" i="7"/>
  <c r="U1331" i="7" s="1"/>
  <c r="T1459" i="7"/>
  <c r="U1459" i="7" s="1"/>
  <c r="T895" i="7"/>
  <c r="U895" i="7" s="1"/>
  <c r="T1404" i="7"/>
  <c r="U1404" i="7" s="1"/>
  <c r="T1352" i="7"/>
  <c r="U1352" i="7" s="1"/>
  <c r="T1430" i="7"/>
  <c r="U1430" i="7" s="1"/>
  <c r="T1432" i="7"/>
  <c r="U1432" i="7" s="1"/>
  <c r="T709" i="7"/>
  <c r="U709" i="7" s="1"/>
  <c r="T921" i="7"/>
  <c r="U921" i="7" s="1"/>
  <c r="T1396" i="7"/>
  <c r="U1396" i="7" s="1"/>
  <c r="T1332" i="7"/>
  <c r="U1332" i="7" s="1"/>
  <c r="T1441" i="7"/>
  <c r="U1441" i="7" s="1"/>
  <c r="T1458" i="7"/>
  <c r="U1458" i="7" s="1"/>
  <c r="T1422" i="7"/>
  <c r="U1422" i="7" s="1"/>
  <c r="T1341" i="7"/>
  <c r="U1341" i="7" s="1"/>
  <c r="T1358" i="7"/>
  <c r="U1358" i="7" s="1"/>
  <c r="T1348" i="7"/>
  <c r="U1348" i="7" s="1"/>
  <c r="T1494" i="7"/>
  <c r="U1494" i="7" s="1"/>
  <c r="T638" i="7"/>
  <c r="U638" i="7" s="1"/>
  <c r="T1431" i="7"/>
  <c r="U1431" i="7" s="1"/>
  <c r="T1409" i="7"/>
  <c r="U1409" i="7" s="1"/>
  <c r="T1446" i="7"/>
  <c r="U1446" i="7" s="1"/>
  <c r="T1461" i="7"/>
  <c r="U1461" i="7" s="1"/>
  <c r="T847" i="7"/>
  <c r="U847" i="7" s="1"/>
  <c r="T1376" i="7"/>
  <c r="U1376" i="7" s="1"/>
  <c r="T634" i="7"/>
  <c r="U634" i="7" s="1"/>
  <c r="T1394" i="7"/>
  <c r="U1394" i="7" s="1"/>
  <c r="T1359" i="7"/>
  <c r="U1359" i="7" s="1"/>
  <c r="T750" i="7"/>
  <c r="U750" i="7" s="1"/>
  <c r="T1349" i="7"/>
  <c r="U1349" i="7" s="1"/>
  <c r="T1450" i="7"/>
  <c r="U1450" i="7" s="1"/>
  <c r="T1371" i="7"/>
  <c r="U1371" i="7" s="1"/>
  <c r="T1469" i="7"/>
  <c r="U1469" i="7" s="1"/>
  <c r="T1077" i="7"/>
  <c r="U1077" i="7" s="1"/>
  <c r="T1444" i="7"/>
  <c r="U1444" i="7" s="1"/>
  <c r="T1388" i="7"/>
  <c r="U1388" i="7" s="1"/>
  <c r="T1334" i="7"/>
  <c r="U1334" i="7" s="1"/>
  <c r="T1433" i="7"/>
  <c r="U1433" i="7" s="1"/>
  <c r="T1325" i="7"/>
  <c r="U1325" i="7" s="1"/>
  <c r="T696" i="7"/>
  <c r="U696" i="7" s="1"/>
  <c r="T1180" i="7"/>
  <c r="U1180" i="7" s="1"/>
  <c r="T1443" i="7"/>
  <c r="U1443" i="7" s="1"/>
  <c r="T1232" i="7"/>
  <c r="U1232" i="7" s="1"/>
  <c r="T1065" i="7"/>
  <c r="U1065" i="7" s="1"/>
  <c r="D6" i="2"/>
  <c r="H41" i="1"/>
  <c r="H40" i="1"/>
  <c r="G71" i="1"/>
  <c r="P54" i="1"/>
  <c r="Q114" i="1"/>
  <c r="Q150" i="1" s="1"/>
  <c r="U132" i="1"/>
  <c r="Q301" i="7"/>
  <c r="R438" i="7"/>
  <c r="Q126" i="7"/>
  <c r="Q402" i="7"/>
  <c r="Q299" i="7"/>
  <c r="Q333" i="7"/>
  <c r="Q1284" i="7"/>
  <c r="R950" i="7"/>
  <c r="R111" i="7"/>
  <c r="Q266" i="7"/>
  <c r="R82" i="7"/>
  <c r="Q519" i="7"/>
  <c r="R89" i="7"/>
  <c r="R90" i="7"/>
  <c r="R1202" i="7"/>
  <c r="Q537" i="7"/>
  <c r="Q469" i="7"/>
  <c r="R815" i="7"/>
  <c r="R1123" i="7"/>
  <c r="Q834" i="7"/>
  <c r="R1309" i="7"/>
  <c r="Q554" i="7"/>
  <c r="R1095" i="7"/>
  <c r="Q206" i="7"/>
  <c r="Q82" i="7"/>
  <c r="Q102" i="7"/>
  <c r="Q240" i="7"/>
  <c r="R86" i="7"/>
  <c r="R378" i="7"/>
  <c r="Q530" i="7"/>
  <c r="R260" i="7"/>
  <c r="R248" i="7"/>
  <c r="Q426" i="7"/>
  <c r="Q307" i="7"/>
  <c r="Q183" i="7"/>
  <c r="Q167" i="7"/>
  <c r="Q439" i="7"/>
  <c r="Q591" i="7"/>
  <c r="Q169" i="7"/>
  <c r="R331" i="7"/>
  <c r="Q451" i="7"/>
  <c r="Q421" i="7"/>
  <c r="Q193" i="7"/>
  <c r="Q609" i="7"/>
  <c r="Q978" i="7"/>
  <c r="R1011" i="7"/>
  <c r="Q1267" i="7"/>
  <c r="R1205" i="7"/>
  <c r="Q1403" i="7"/>
  <c r="R261" i="7"/>
  <c r="Q87" i="7"/>
  <c r="Q390" i="7"/>
  <c r="Q98" i="7"/>
  <c r="Q115" i="7"/>
  <c r="R302" i="7"/>
  <c r="R1235" i="7"/>
  <c r="R564" i="7"/>
  <c r="R433" i="7"/>
  <c r="R800" i="7"/>
  <c r="R447" i="7"/>
  <c r="Q230" i="7"/>
  <c r="Q228" i="7"/>
  <c r="R286" i="7"/>
  <c r="Q870" i="7"/>
  <c r="Q442" i="7"/>
  <c r="R480" i="7"/>
  <c r="Q1241" i="7"/>
  <c r="R487" i="7"/>
  <c r="Q296" i="7"/>
  <c r="Q1084" i="7"/>
  <c r="Q751" i="7"/>
  <c r="Q653" i="7"/>
  <c r="Q1173" i="7"/>
  <c r="Q664" i="7"/>
  <c r="R719" i="7"/>
  <c r="R272" i="7"/>
  <c r="R504" i="7"/>
  <c r="R265" i="7"/>
  <c r="Q113" i="7"/>
  <c r="Q563" i="7"/>
  <c r="Q258" i="7"/>
  <c r="Q461" i="7"/>
  <c r="R416" i="7"/>
  <c r="Q96" i="7"/>
  <c r="R317" i="7"/>
  <c r="R864" i="7"/>
  <c r="Q1301" i="7"/>
  <c r="R227" i="7"/>
  <c r="R125" i="7"/>
  <c r="R79" i="7"/>
  <c r="Q294" i="7"/>
  <c r="R277" i="7"/>
  <c r="Q1136" i="7"/>
  <c r="R1206" i="7"/>
  <c r="R293" i="7"/>
  <c r="R685" i="7"/>
  <c r="Q903" i="7"/>
  <c r="R1294" i="7"/>
  <c r="R854" i="7"/>
  <c r="Q748" i="7"/>
  <c r="R1203" i="7"/>
  <c r="Q1227" i="7"/>
  <c r="Q188" i="7"/>
  <c r="Q698" i="7"/>
  <c r="R899" i="7"/>
  <c r="Q872" i="7"/>
  <c r="Q665" i="7"/>
  <c r="Q1002" i="7"/>
  <c r="R1038" i="7"/>
  <c r="Q885" i="7"/>
  <c r="Q1335" i="7"/>
  <c r="R1279" i="7"/>
  <c r="Q1334" i="7"/>
  <c r="R1342" i="7"/>
  <c r="Q1163" i="7"/>
  <c r="Q1492" i="7"/>
  <c r="Q634" i="7"/>
  <c r="Q1117" i="7"/>
  <c r="Q1346" i="7"/>
  <c r="R1499" i="7"/>
  <c r="Q1151" i="7"/>
  <c r="Q1081" i="7"/>
  <c r="Q824" i="7"/>
  <c r="Q1470" i="7"/>
  <c r="Q491" i="7"/>
  <c r="Q981" i="7"/>
  <c r="R625" i="7"/>
  <c r="R1397" i="7"/>
  <c r="Q983" i="7"/>
  <c r="Q1304" i="7"/>
  <c r="Q1433" i="7"/>
  <c r="R512" i="7"/>
  <c r="Q804" i="7"/>
  <c r="Q905" i="7"/>
  <c r="R924" i="7"/>
  <c r="R964" i="7"/>
  <c r="Q1373" i="7"/>
  <c r="Q1027" i="7"/>
  <c r="Q1036" i="7"/>
  <c r="R1319" i="7"/>
  <c r="Q1041" i="7"/>
  <c r="Q1393" i="7"/>
  <c r="R1053" i="7"/>
  <c r="Q807" i="7"/>
  <c r="Q1370" i="7"/>
  <c r="R1352" i="7"/>
  <c r="Q994" i="7"/>
  <c r="Q1465" i="7"/>
  <c r="R757" i="7"/>
  <c r="R1338" i="7"/>
  <c r="Q995" i="7"/>
  <c r="Q947" i="7"/>
  <c r="Q1010" i="7"/>
  <c r="R596" i="7"/>
  <c r="R1028" i="7"/>
  <c r="Q830" i="7"/>
  <c r="Q468" i="7"/>
  <c r="Q1103" i="7"/>
  <c r="Q1143" i="7"/>
  <c r="R75" i="7"/>
  <c r="R199" i="7"/>
  <c r="Q1094" i="7"/>
  <c r="R134" i="7"/>
  <c r="Q1383" i="7"/>
  <c r="R802" i="7"/>
  <c r="R375" i="7"/>
  <c r="Q1213" i="7"/>
  <c r="R1221" i="7"/>
  <c r="Q986" i="7"/>
  <c r="R1015" i="7"/>
  <c r="Q730" i="7"/>
  <c r="Q111" i="7"/>
  <c r="Q236" i="7"/>
  <c r="Q200" i="7"/>
  <c r="Q734" i="7"/>
  <c r="R235" i="7"/>
  <c r="Q213" i="7"/>
  <c r="Q680" i="7"/>
  <c r="R655" i="7"/>
  <c r="R916" i="7"/>
  <c r="Q246" i="7"/>
  <c r="Q262" i="7"/>
  <c r="R580" i="7"/>
  <c r="Q473" i="7"/>
  <c r="Q521" i="7"/>
  <c r="R1284" i="7"/>
  <c r="R1013" i="7"/>
  <c r="Q901" i="7"/>
  <c r="R850" i="7"/>
  <c r="Q777" i="7"/>
  <c r="Q1208" i="7"/>
  <c r="R737" i="7"/>
  <c r="Q1489" i="7"/>
  <c r="R630" i="7"/>
  <c r="R290" i="7"/>
  <c r="Q337" i="7"/>
  <c r="Q78" i="7"/>
  <c r="R129" i="7"/>
  <c r="R267" i="7"/>
  <c r="R561" i="7"/>
  <c r="R285" i="7"/>
  <c r="Q319" i="7"/>
  <c r="R562" i="7"/>
  <c r="R566" i="7"/>
  <c r="R484" i="7"/>
  <c r="R238" i="7"/>
  <c r="R158" i="7"/>
  <c r="Q498" i="7"/>
  <c r="Q508" i="7"/>
  <c r="Q1005" i="7"/>
  <c r="R157" i="7"/>
  <c r="R405" i="7"/>
  <c r="R833" i="7"/>
  <c r="Q1259" i="7"/>
  <c r="Q618" i="7"/>
  <c r="Q710" i="7"/>
  <c r="Q512" i="7"/>
  <c r="Q718" i="7"/>
  <c r="R715" i="7"/>
  <c r="Q1193" i="7"/>
  <c r="R120" i="7"/>
  <c r="R203" i="7"/>
  <c r="Q447" i="7"/>
  <c r="Q159" i="7"/>
  <c r="R380" i="7"/>
  <c r="R195" i="7"/>
  <c r="Q489" i="7"/>
  <c r="R442" i="7"/>
  <c r="Q540" i="7"/>
  <c r="R198" i="7"/>
  <c r="Q549" i="7"/>
  <c r="Q178" i="7"/>
  <c r="R144" i="7"/>
  <c r="Q599" i="7"/>
  <c r="R595" i="7"/>
  <c r="R550" i="7"/>
  <c r="R578" i="7"/>
  <c r="R1201" i="7"/>
  <c r="Q912" i="7"/>
  <c r="Q699" i="7"/>
  <c r="R1171" i="7"/>
  <c r="Q841" i="7"/>
  <c r="Q1226" i="7"/>
  <c r="Q602" i="7"/>
  <c r="R956" i="7"/>
  <c r="Q1305" i="7"/>
  <c r="R163" i="7"/>
  <c r="Q143" i="7"/>
  <c r="Q154" i="7"/>
  <c r="R1060" i="7"/>
  <c r="Q172" i="7"/>
  <c r="R350" i="7"/>
  <c r="R583" i="7"/>
  <c r="Q1083" i="7"/>
  <c r="R1136" i="7"/>
  <c r="R1198" i="7"/>
  <c r="R844" i="7"/>
  <c r="R579" i="7"/>
  <c r="R326" i="7"/>
  <c r="Q661" i="7"/>
  <c r="Q76" i="7"/>
  <c r="Q180" i="7"/>
  <c r="R784" i="7"/>
  <c r="R481" i="7"/>
  <c r="Q317" i="7"/>
  <c r="Q349" i="7"/>
  <c r="Q828" i="7"/>
  <c r="Q1055" i="7"/>
  <c r="R892" i="7"/>
  <c r="R684" i="7"/>
  <c r="R1281" i="7"/>
  <c r="R1093" i="7"/>
  <c r="R778" i="7"/>
  <c r="Q145" i="7"/>
  <c r="Q470" i="7"/>
  <c r="Q877" i="7"/>
  <c r="R812" i="7"/>
  <c r="Q658" i="7"/>
  <c r="Q1177" i="7"/>
  <c r="R1311" i="7"/>
  <c r="Q836" i="7"/>
  <c r="R744" i="7"/>
  <c r="R1007" i="7"/>
  <c r="R1180" i="7"/>
  <c r="Q985" i="7"/>
  <c r="R1194" i="7"/>
  <c r="R1445" i="7"/>
  <c r="R1077" i="7"/>
  <c r="R1066" i="7"/>
  <c r="R885" i="7"/>
  <c r="Q1279" i="7"/>
  <c r="Q283" i="7"/>
  <c r="Q769" i="7"/>
  <c r="Q1033" i="7"/>
  <c r="R934" i="7"/>
  <c r="Q640" i="7"/>
  <c r="Q1220" i="7"/>
  <c r="R908" i="7"/>
  <c r="Q1339" i="7"/>
  <c r="R1344" i="7"/>
  <c r="Q1262" i="7"/>
  <c r="R1443" i="7"/>
  <c r="R1063" i="7"/>
  <c r="Q558" i="7"/>
  <c r="R1255" i="7"/>
  <c r="R981" i="7"/>
  <c r="Q625" i="7"/>
  <c r="Q690" i="7"/>
  <c r="Q865" i="7"/>
  <c r="Q1448" i="7"/>
  <c r="Q895" i="7"/>
  <c r="Q364" i="7"/>
  <c r="R733" i="7"/>
  <c r="Q569" i="7"/>
  <c r="R1105" i="7"/>
  <c r="Q1474" i="7"/>
  <c r="R852" i="7"/>
  <c r="Q1324" i="7"/>
  <c r="Q1416" i="7"/>
  <c r="R1475" i="7"/>
  <c r="Q693" i="7"/>
  <c r="Q961" i="7"/>
  <c r="R1410" i="7"/>
  <c r="Q1482" i="7"/>
  <c r="R1441" i="7"/>
  <c r="R1316" i="7"/>
  <c r="Q999" i="7"/>
  <c r="Q1357" i="7"/>
  <c r="R921" i="7"/>
  <c r="R677" i="7"/>
  <c r="Q1224" i="7"/>
  <c r="Q914" i="7"/>
  <c r="Q1125" i="7"/>
  <c r="R645" i="7"/>
  <c r="Q1120" i="7"/>
  <c r="R1247" i="7"/>
  <c r="Q1340" i="7"/>
  <c r="Q1375" i="7"/>
  <c r="R1260" i="7"/>
  <c r="Q932" i="7"/>
  <c r="Q1283" i="7"/>
  <c r="Q876" i="7"/>
  <c r="Q952" i="7"/>
  <c r="R1120" i="7"/>
  <c r="R728" i="7"/>
  <c r="R1143" i="7"/>
  <c r="R1269" i="7"/>
  <c r="Q1415" i="7"/>
  <c r="R521" i="7"/>
  <c r="Q860" i="7"/>
  <c r="R449" i="7"/>
  <c r="Q124" i="7"/>
  <c r="Q707" i="7"/>
  <c r="R534" i="7"/>
  <c r="Q84" i="7"/>
  <c r="R756" i="7"/>
  <c r="Q754" i="7"/>
  <c r="R136" i="7"/>
  <c r="Q388" i="7"/>
  <c r="R1383" i="7"/>
  <c r="Q1342" i="7"/>
  <c r="Q463" i="7"/>
  <c r="R739" i="7"/>
  <c r="Q1276" i="7"/>
  <c r="Q945" i="7"/>
  <c r="Q488" i="7"/>
  <c r="R140" i="7"/>
  <c r="R142" i="7"/>
  <c r="R698" i="7"/>
  <c r="Q253" i="7"/>
  <c r="Q387" i="7"/>
  <c r="R598" i="7"/>
  <c r="R608" i="7"/>
  <c r="R295" i="7"/>
  <c r="Q919" i="7"/>
  <c r="R367" i="7"/>
  <c r="Q444" i="7"/>
  <c r="Q781" i="7"/>
  <c r="Q502" i="7"/>
  <c r="Q810" i="7"/>
  <c r="R680" i="7"/>
  <c r="R1303" i="7"/>
  <c r="R1239" i="7"/>
  <c r="R327" i="7"/>
  <c r="R1283" i="7"/>
  <c r="Q1105" i="7"/>
  <c r="Q1133" i="7"/>
  <c r="R621" i="7"/>
  <c r="R682" i="7"/>
  <c r="R360" i="7"/>
  <c r="Q311" i="7"/>
  <c r="R190" i="7"/>
  <c r="Q1261" i="7"/>
  <c r="R268" i="7"/>
  <c r="R201" i="7"/>
  <c r="R742" i="7"/>
  <c r="Q557" i="7"/>
  <c r="R705" i="7"/>
  <c r="R392" i="7"/>
  <c r="Q588" i="7"/>
  <c r="Q168" i="7"/>
  <c r="R448" i="7"/>
  <c r="R92" i="7"/>
  <c r="R100" i="7"/>
  <c r="R743" i="7"/>
  <c r="Q312" i="7"/>
  <c r="R426" i="7"/>
  <c r="R298" i="7"/>
  <c r="Q1296" i="7"/>
  <c r="Q688" i="7"/>
  <c r="R1254" i="7"/>
  <c r="Q1132" i="7"/>
  <c r="R735" i="7"/>
  <c r="Q760" i="7"/>
  <c r="Q1217" i="7"/>
  <c r="R159" i="7"/>
  <c r="R153" i="7"/>
  <c r="Q184" i="7"/>
  <c r="R242" i="7"/>
  <c r="Q394" i="7"/>
  <c r="R406" i="7"/>
  <c r="Q313" i="7"/>
  <c r="Q550" i="7"/>
  <c r="Q697" i="7"/>
  <c r="R849" i="7"/>
  <c r="R149" i="7"/>
  <c r="Q212" i="7"/>
  <c r="R460" i="7"/>
  <c r="Q428" i="7"/>
  <c r="R80" i="7"/>
  <c r="R223" i="7"/>
  <c r="R463" i="7"/>
  <c r="Q534" i="7"/>
  <c r="R977" i="7"/>
  <c r="R1146" i="7"/>
  <c r="Q949" i="7"/>
  <c r="R941" i="7"/>
  <c r="Q987" i="7"/>
  <c r="Q979" i="7"/>
  <c r="Q888" i="7"/>
  <c r="Q702" i="7"/>
  <c r="Q559" i="7"/>
  <c r="R216" i="7"/>
  <c r="Q330" i="7"/>
  <c r="Q189" i="7"/>
  <c r="Q1175" i="7"/>
  <c r="R141" i="7"/>
  <c r="Q635" i="7"/>
  <c r="Q1297" i="7"/>
  <c r="Q481" i="7"/>
  <c r="R524" i="7"/>
  <c r="Q1238" i="7"/>
  <c r="R254" i="7"/>
  <c r="R555" i="7"/>
  <c r="R358" i="7"/>
  <c r="R972" i="7"/>
  <c r="R404" i="7"/>
  <c r="Q401" i="7"/>
  <c r="R1080" i="7"/>
  <c r="Q459" i="7"/>
  <c r="R1195" i="7"/>
  <c r="R483" i="7"/>
  <c r="Q1097" i="7"/>
  <c r="R1162" i="7"/>
  <c r="R1351" i="7"/>
  <c r="Q606" i="7"/>
  <c r="R1089" i="7"/>
  <c r="R1002" i="7"/>
  <c r="Q130" i="7"/>
  <c r="Q256" i="7"/>
  <c r="Q1113" i="7"/>
  <c r="Q1004" i="7"/>
  <c r="R787" i="7"/>
  <c r="Q652" i="7"/>
  <c r="Q717" i="7"/>
  <c r="R1495" i="7"/>
  <c r="Q1179" i="7"/>
  <c r="Q1345" i="7"/>
  <c r="Q762" i="7"/>
  <c r="Q660" i="7"/>
  <c r="R1048" i="7"/>
  <c r="R814" i="7"/>
  <c r="Q1443" i="7"/>
  <c r="Q637" i="7"/>
  <c r="Q1495" i="7"/>
  <c r="R1345" i="7"/>
  <c r="Q410" i="7"/>
  <c r="Q936" i="7"/>
  <c r="R1173" i="7"/>
  <c r="R1017" i="7"/>
  <c r="R1259" i="7"/>
  <c r="Q959" i="7"/>
  <c r="Q753" i="7"/>
  <c r="R1454" i="7"/>
  <c r="R1374" i="7"/>
  <c r="R1484" i="7"/>
  <c r="R1469" i="7"/>
  <c r="R476" i="7"/>
  <c r="R1189" i="7"/>
  <c r="Q704" i="7"/>
  <c r="R1220" i="7"/>
  <c r="Q908" i="7"/>
  <c r="Q1397" i="7"/>
  <c r="Q1364" i="7"/>
  <c r="R1452" i="7"/>
  <c r="Q1332" i="7"/>
  <c r="Q1051" i="7"/>
  <c r="R747" i="7"/>
  <c r="Q412" i="7"/>
  <c r="R1318" i="7"/>
  <c r="R785" i="7"/>
  <c r="R1174" i="7"/>
  <c r="R848" i="7"/>
  <c r="R1368" i="7"/>
  <c r="R1437" i="7"/>
  <c r="R1027" i="7"/>
  <c r="Q1086" i="7"/>
  <c r="R962" i="7"/>
  <c r="R1447" i="7"/>
  <c r="Q1358" i="7"/>
  <c r="Q306" i="7"/>
  <c r="R791" i="7"/>
  <c r="Q1385" i="7"/>
  <c r="R1376" i="7"/>
  <c r="R397" i="7"/>
  <c r="Q714" i="7"/>
  <c r="Q1481" i="7"/>
  <c r="R1278" i="7"/>
  <c r="Q1211" i="7"/>
  <c r="Q1012" i="7"/>
  <c r="Q1389" i="7"/>
  <c r="Q1464" i="7"/>
  <c r="Q1411" i="7"/>
  <c r="Q1404" i="7"/>
  <c r="Q103" i="7"/>
  <c r="R746" i="7"/>
  <c r="Q532" i="7"/>
  <c r="Q1124" i="7"/>
  <c r="R1012" i="7"/>
  <c r="R1125" i="7"/>
  <c r="R1236" i="7"/>
  <c r="R1423" i="7"/>
  <c r="R1372" i="7"/>
  <c r="R636" i="7"/>
  <c r="R1111" i="7"/>
  <c r="Q1139" i="7"/>
  <c r="R788" i="7"/>
  <c r="Q1054" i="7"/>
  <c r="Q723" i="7"/>
  <c r="R462" i="7"/>
  <c r="R880" i="7"/>
  <c r="R805" i="7"/>
  <c r="R266" i="7"/>
  <c r="R574" i="7"/>
  <c r="Q288" i="7"/>
  <c r="Q1293" i="7"/>
  <c r="Q1407" i="7"/>
  <c r="Q166" i="7"/>
  <c r="Q297" i="7"/>
  <c r="Q303" i="7"/>
  <c r="R212" i="7"/>
  <c r="R497" i="7"/>
  <c r="R345" i="7"/>
  <c r="R1187" i="7"/>
  <c r="Q1049" i="7"/>
  <c r="Q336" i="7"/>
  <c r="Q928" i="7"/>
  <c r="Q1048" i="7"/>
  <c r="R1426" i="7"/>
  <c r="Q623" i="7"/>
  <c r="Q1273" i="7"/>
  <c r="Q1069" i="7"/>
  <c r="R1377" i="7"/>
  <c r="R859" i="7"/>
  <c r="R631" i="7"/>
  <c r="Q479" i="7"/>
  <c r="Q177" i="7"/>
  <c r="R185" i="7"/>
  <c r="Q289" i="7"/>
  <c r="R668" i="7"/>
  <c r="Q1195" i="7"/>
  <c r="R730" i="7"/>
  <c r="Q1499" i="7"/>
  <c r="Q1095" i="7"/>
  <c r="Q1092" i="7"/>
  <c r="R398" i="7"/>
  <c r="R1041" i="7"/>
  <c r="R1068" i="7"/>
  <c r="Q955" i="7"/>
  <c r="R97" i="7"/>
  <c r="Q471" i="7"/>
  <c r="Q577" i="7"/>
  <c r="R533" i="7"/>
  <c r="R1062" i="7"/>
  <c r="Q90" i="7"/>
  <c r="R1152" i="7"/>
  <c r="R773" i="7"/>
  <c r="Q150" i="7"/>
  <c r="R233" i="7"/>
  <c r="R414" i="7"/>
  <c r="Q211" i="7"/>
  <c r="R464" i="7"/>
  <c r="R229" i="7"/>
  <c r="Q608" i="7"/>
  <c r="Q1072" i="7"/>
  <c r="R388" i="7"/>
  <c r="Q324" i="7"/>
  <c r="R1001" i="7"/>
  <c r="Q1157" i="7"/>
  <c r="R1211" i="7"/>
  <c r="Q700" i="7"/>
  <c r="R954" i="7"/>
  <c r="Q916" i="7"/>
  <c r="R370" i="7"/>
  <c r="Q360" i="7"/>
  <c r="Q287" i="7"/>
  <c r="Q146" i="7"/>
  <c r="R593" i="7"/>
  <c r="Q790" i="7"/>
  <c r="Q1310" i="7"/>
  <c r="R712" i="7"/>
  <c r="Q727" i="7"/>
  <c r="R545" i="7"/>
  <c r="R121" i="7"/>
  <c r="Q1104" i="7"/>
  <c r="Q385" i="7"/>
  <c r="R263" i="7"/>
  <c r="R1178" i="7"/>
  <c r="R354" i="7"/>
  <c r="Q566" i="7"/>
  <c r="R1320" i="7"/>
  <c r="Q393" i="7"/>
  <c r="R1031" i="7"/>
  <c r="Q812" i="7"/>
  <c r="R980" i="7"/>
  <c r="R1034" i="7"/>
  <c r="Q703" i="7"/>
  <c r="Q1140" i="7"/>
  <c r="Q242" i="7"/>
  <c r="Q181" i="7"/>
  <c r="Q309" i="7"/>
  <c r="R151" i="7"/>
  <c r="Q204" i="7"/>
  <c r="Q187" i="7"/>
  <c r="Q802" i="7"/>
  <c r="Q223" i="7"/>
  <c r="R1449" i="7"/>
  <c r="Q731" i="7"/>
  <c r="Q173" i="7"/>
  <c r="Q522" i="7"/>
  <c r="Q99" i="7"/>
  <c r="R920" i="7"/>
  <c r="R499" i="7"/>
  <c r="R252" i="7"/>
  <c r="R922" i="7"/>
  <c r="R472" i="7"/>
  <c r="R1051" i="7"/>
  <c r="R283" i="7"/>
  <c r="R1164" i="7"/>
  <c r="R1000" i="7"/>
  <c r="Q869" i="7"/>
  <c r="R1323" i="7"/>
  <c r="Q1169" i="7"/>
  <c r="R1216" i="7"/>
  <c r="R505" i="7"/>
  <c r="R273" i="7"/>
  <c r="Q81" i="7"/>
  <c r="R226" i="7"/>
  <c r="R123" i="7"/>
  <c r="Q587" i="7"/>
  <c r="R799" i="7"/>
  <c r="Q332" i="7"/>
  <c r="Q1080" i="7"/>
  <c r="Q1209" i="7"/>
  <c r="Q368" i="7"/>
  <c r="R1219" i="7"/>
  <c r="Q219" i="7"/>
  <c r="Q373" i="7"/>
  <c r="R362" i="7"/>
  <c r="R763" i="7"/>
  <c r="R509" i="7"/>
  <c r="R1252" i="7"/>
  <c r="Q278" i="7"/>
  <c r="R616" i="7"/>
  <c r="Q1182" i="7"/>
  <c r="Q724" i="7"/>
  <c r="R872" i="7"/>
  <c r="Q1015" i="7"/>
  <c r="R1313" i="7"/>
  <c r="R1280" i="7"/>
  <c r="R695" i="7"/>
  <c r="Q438" i="7"/>
  <c r="Q249" i="7"/>
  <c r="R699" i="7"/>
  <c r="Q1050" i="7"/>
  <c r="Q654" i="7"/>
  <c r="R1009" i="7"/>
  <c r="Q1199" i="7"/>
  <c r="R667" i="7"/>
  <c r="R1176" i="7"/>
  <c r="Q1471" i="7"/>
  <c r="Q1242" i="7"/>
  <c r="Q1384" i="7"/>
  <c r="R897" i="7"/>
  <c r="R1435" i="7"/>
  <c r="Q1418" i="7"/>
  <c r="R966" i="7"/>
  <c r="R1115" i="7"/>
  <c r="R1496" i="7"/>
  <c r="Q815" i="7"/>
  <c r="R834" i="7"/>
  <c r="Q792" i="7"/>
  <c r="Q646" i="7"/>
  <c r="R601" i="7"/>
  <c r="R894" i="7"/>
  <c r="Q1225" i="7"/>
  <c r="R1023" i="7"/>
  <c r="Q1379" i="7"/>
  <c r="Q1421" i="7"/>
  <c r="R209" i="7"/>
  <c r="R1148" i="7"/>
  <c r="Q671" i="7"/>
  <c r="Q1126" i="7"/>
  <c r="R959" i="7"/>
  <c r="R753" i="7"/>
  <c r="R1339" i="7"/>
  <c r="R770" i="7"/>
  <c r="Q887" i="7"/>
  <c r="R638" i="7"/>
  <c r="Q612" i="7"/>
  <c r="R1029" i="7"/>
  <c r="R1289" i="7"/>
  <c r="Q678" i="7"/>
  <c r="Q1257" i="7"/>
  <c r="R1032" i="7"/>
  <c r="R1380" i="7"/>
  <c r="R1425" i="7"/>
  <c r="R675" i="7"/>
  <c r="R1418" i="7"/>
  <c r="R1405" i="7"/>
  <c r="Q1412" i="7"/>
  <c r="Q1475" i="7"/>
  <c r="R1431" i="7"/>
  <c r="R453" i="7"/>
  <c r="Q1414" i="7"/>
  <c r="Q1330" i="7"/>
  <c r="R1334" i="7"/>
  <c r="R1275" i="7"/>
  <c r="Q1099" i="7"/>
  <c r="Q701" i="7"/>
  <c r="Q104" i="7"/>
  <c r="R816" i="7"/>
  <c r="Q1468" i="7"/>
  <c r="R1419" i="7"/>
  <c r="Q996" i="7"/>
  <c r="Q1223" i="7"/>
  <c r="Q709" i="7"/>
  <c r="Q425" i="7"/>
  <c r="Q1059" i="7"/>
  <c r="Q1309" i="7"/>
  <c r="Q633" i="7"/>
  <c r="R1468" i="7"/>
  <c r="Q757" i="7"/>
  <c r="R1234" i="7"/>
  <c r="R1390" i="7"/>
  <c r="Q1436" i="7"/>
  <c r="Q977" i="7"/>
  <c r="R1155" i="7"/>
  <c r="R808" i="7"/>
  <c r="R602" i="7"/>
  <c r="R1217" i="7"/>
  <c r="R399" i="7"/>
  <c r="Q1075" i="7"/>
  <c r="R889" i="7"/>
  <c r="R1322" i="7"/>
  <c r="Q576" i="7"/>
  <c r="Q1376" i="7"/>
  <c r="R1493" i="7"/>
  <c r="R693" i="7"/>
  <c r="R1058" i="7"/>
  <c r="Q417" i="7"/>
  <c r="Q435" i="7"/>
  <c r="R501" i="7"/>
  <c r="Q536" i="7"/>
  <c r="Q269" i="7"/>
  <c r="Q1017" i="7"/>
  <c r="R1037" i="7"/>
  <c r="R475" i="7"/>
  <c r="Q1243" i="7"/>
  <c r="Q1494" i="7"/>
  <c r="Q964" i="7"/>
  <c r="R1477" i="7"/>
  <c r="R913" i="7"/>
  <c r="Q1292" i="7"/>
  <c r="R831" i="7"/>
  <c r="Q335" i="7"/>
  <c r="R119" i="7"/>
  <c r="R470" i="7"/>
  <c r="Q1122" i="7"/>
  <c r="Q424" i="7"/>
  <c r="R810" i="7"/>
  <c r="R868" i="7"/>
  <c r="Q1082" i="7"/>
  <c r="Q97" i="7"/>
  <c r="R315" i="7"/>
  <c r="R237" i="7"/>
  <c r="Q642" i="7"/>
  <c r="Q310" i="7"/>
  <c r="Q275" i="7"/>
  <c r="Q1152" i="7"/>
  <c r="Q950" i="7"/>
  <c r="Q1066" i="7"/>
  <c r="R306" i="7"/>
  <c r="R1276" i="7"/>
  <c r="Q1228" i="7"/>
  <c r="R918" i="7"/>
  <c r="R878" i="7"/>
  <c r="Q1064" i="7"/>
  <c r="R919" i="7"/>
  <c r="Q676" i="7"/>
  <c r="R132" i="7"/>
  <c r="R245" i="7"/>
  <c r="Q218" i="7"/>
  <c r="R194" i="7"/>
  <c r="Q971" i="7"/>
  <c r="Q408" i="7"/>
  <c r="Q331" i="7"/>
  <c r="R1288" i="7"/>
  <c r="R102" i="7"/>
  <c r="R166" i="7"/>
  <c r="Q389" i="7"/>
  <c r="R803" i="7"/>
  <c r="Q271" i="7"/>
  <c r="Q455" i="7"/>
  <c r="Q1114" i="7"/>
  <c r="Q392" i="7"/>
  <c r="R182" i="7"/>
  <c r="Q1043" i="7"/>
  <c r="R627" i="7"/>
  <c r="Q651" i="7"/>
  <c r="Q1189" i="7"/>
  <c r="R658" i="7"/>
  <c r="R914" i="7"/>
  <c r="R1264" i="7"/>
  <c r="R192" i="7"/>
  <c r="Q493" i="7"/>
  <c r="R314" i="7"/>
  <c r="R77" i="7"/>
  <c r="R87" i="7"/>
  <c r="R938" i="7"/>
  <c r="R215" i="7"/>
  <c r="Q252" i="7"/>
  <c r="R328" i="7"/>
  <c r="R1212" i="7"/>
  <c r="Q205" i="7"/>
  <c r="R98" i="7"/>
  <c r="Q259" i="7"/>
  <c r="R467" i="7"/>
  <c r="Q395" i="7"/>
  <c r="Q968" i="7"/>
  <c r="Q433" i="7"/>
  <c r="R423" i="7"/>
  <c r="R91" i="7"/>
  <c r="R1075" i="7"/>
  <c r="R488" i="7"/>
  <c r="Q1170" i="7"/>
  <c r="Q891" i="7"/>
  <c r="R619" i="7"/>
  <c r="R1451" i="7"/>
  <c r="R415" i="7"/>
  <c r="Q358" i="7"/>
  <c r="R431" i="7"/>
  <c r="R565" i="7"/>
  <c r="R109" i="7"/>
  <c r="Q374" i="7"/>
  <c r="Q217" i="7"/>
  <c r="R382" i="7"/>
  <c r="Q277" i="7"/>
  <c r="Q136" i="7"/>
  <c r="Q832" i="7"/>
  <c r="R817" i="7"/>
  <c r="Q801" i="7"/>
  <c r="Q495" i="7"/>
  <c r="R93" i="7"/>
  <c r="R576" i="7"/>
  <c r="R567" i="7"/>
  <c r="R174" i="7"/>
  <c r="Q456" i="7"/>
  <c r="Q1198" i="7"/>
  <c r="Q864" i="7"/>
  <c r="R292" i="7"/>
  <c r="Q881" i="7"/>
  <c r="Q1155" i="7"/>
  <c r="R558" i="7"/>
  <c r="R665" i="7"/>
  <c r="Q1109" i="7"/>
  <c r="R1103" i="7"/>
  <c r="Q367" i="7"/>
  <c r="Q101" i="7"/>
  <c r="R1043" i="7"/>
  <c r="Q1067" i="7"/>
  <c r="R1108" i="7"/>
  <c r="Q1326" i="7"/>
  <c r="R1295" i="7"/>
  <c r="Q1115" i="7"/>
  <c r="R1480" i="7"/>
  <c r="Q1496" i="7"/>
  <c r="Q1165" i="7"/>
  <c r="Q969" i="7"/>
  <c r="R836" i="7"/>
  <c r="Q1473" i="7"/>
  <c r="R1432" i="7"/>
  <c r="Q1168" i="7"/>
  <c r="Q1268" i="7"/>
  <c r="Q1061" i="7"/>
  <c r="Q845" i="7"/>
  <c r="Q839" i="7"/>
  <c r="Q1323" i="7"/>
  <c r="R1305" i="7"/>
  <c r="R882" i="7"/>
  <c r="Q692" i="7"/>
  <c r="R713" i="7"/>
  <c r="Q1107" i="7"/>
  <c r="R1378" i="7"/>
  <c r="R1483" i="7"/>
  <c r="Q352" i="7"/>
  <c r="R840" i="7"/>
  <c r="R1145" i="7"/>
  <c r="R760" i="7"/>
  <c r="Q894" i="7"/>
  <c r="R1225" i="7"/>
  <c r="Q1454" i="7"/>
  <c r="Q1479" i="7"/>
  <c r="Q1472" i="7"/>
  <c r="R1450" i="7"/>
  <c r="Q185" i="7"/>
  <c r="R827" i="7"/>
  <c r="R1020" i="7"/>
  <c r="R830" i="7"/>
  <c r="Q1327" i="7"/>
  <c r="Q907" i="7"/>
  <c r="Q1410" i="7"/>
  <c r="R1429" i="7"/>
  <c r="Q1453" i="7"/>
  <c r="R895" i="7"/>
  <c r="Q1029" i="7"/>
  <c r="Q1354" i="7"/>
  <c r="Q675" i="7"/>
  <c r="R847" i="7"/>
  <c r="Q940" i="7"/>
  <c r="R1324" i="7"/>
  <c r="Q1302" i="7"/>
  <c r="Q755" i="7"/>
  <c r="R1213" i="7"/>
  <c r="Q1112" i="7"/>
  <c r="R679" i="7"/>
  <c r="Q639" i="7"/>
  <c r="R664" i="7"/>
  <c r="Q725" i="7"/>
  <c r="R736" i="7"/>
  <c r="Q1144" i="7"/>
  <c r="R910" i="7"/>
  <c r="Q1441" i="7"/>
  <c r="R316" i="7"/>
  <c r="R752" i="7"/>
  <c r="R1026" i="7"/>
  <c r="R1040" i="7"/>
  <c r="R725" i="7"/>
  <c r="Q1278" i="7"/>
  <c r="R1391" i="7"/>
  <c r="R1398" i="7"/>
  <c r="Q732" i="7"/>
  <c r="Q91" i="7"/>
  <c r="R1463" i="7"/>
  <c r="R1387" i="7"/>
  <c r="R1497" i="7"/>
  <c r="Q1181" i="7"/>
  <c r="Q1308" i="7"/>
  <c r="Q619" i="7"/>
  <c r="R900" i="7"/>
  <c r="R1308" i="7"/>
  <c r="R1482" i="7"/>
  <c r="Q1303" i="7"/>
  <c r="R389" i="7"/>
  <c r="R1266" i="7"/>
  <c r="Q1150" i="7"/>
  <c r="Q673" i="7"/>
  <c r="Q943" i="7"/>
  <c r="R344" i="7"/>
  <c r="R355" i="7"/>
  <c r="R256" i="7"/>
  <c r="R585" i="7"/>
  <c r="Q89" i="7"/>
  <c r="Q229" i="7"/>
  <c r="Q597" i="7"/>
  <c r="R1438" i="7"/>
  <c r="R188" i="7"/>
  <c r="Q257" i="7"/>
  <c r="Q343" i="7"/>
  <c r="R318" i="7"/>
  <c r="Q1142" i="7"/>
  <c r="Q855" i="7"/>
  <c r="R500" i="7"/>
  <c r="Q655" i="7"/>
  <c r="R1139" i="7"/>
  <c r="R359" i="7"/>
  <c r="R1059" i="7"/>
  <c r="R678" i="7"/>
  <c r="R762" i="7"/>
  <c r="Q1350" i="7"/>
  <c r="Q733" i="7"/>
  <c r="Q132" i="7"/>
  <c r="R124" i="7"/>
  <c r="R150" i="7"/>
  <c r="Q365" i="7"/>
  <c r="R435" i="7"/>
  <c r="R454" i="7"/>
  <c r="R553" i="7"/>
  <c r="R874" i="7"/>
  <c r="R312" i="7"/>
  <c r="Q1118" i="7"/>
  <c r="R78" i="7"/>
  <c r="R603" i="7"/>
  <c r="Q514" i="7"/>
  <c r="Q122" i="7"/>
  <c r="R1149" i="7"/>
  <c r="Q241" i="7"/>
  <c r="R214" i="7"/>
  <c r="R727" i="7"/>
  <c r="R307" i="7"/>
  <c r="R458" i="7"/>
  <c r="R1100" i="7"/>
  <c r="Q1090" i="7"/>
  <c r="R927" i="7"/>
  <c r="Q1053" i="7"/>
  <c r="R886" i="7"/>
  <c r="Q170" i="7"/>
  <c r="R450" i="7"/>
  <c r="R127" i="7"/>
  <c r="R284" i="7"/>
  <c r="Q436" i="7"/>
  <c r="Q153" i="7"/>
  <c r="Q528" i="7"/>
  <c r="R870" i="7"/>
  <c r="R968" i="7"/>
  <c r="Q518" i="7"/>
  <c r="Q1237" i="7"/>
  <c r="Q220" i="7"/>
  <c r="Q261" i="7"/>
  <c r="Q418" i="7"/>
  <c r="Q357" i="7"/>
  <c r="Q482" i="7"/>
  <c r="R419" i="7"/>
  <c r="Q376" i="7"/>
  <c r="Q800" i="7"/>
  <c r="Q1307" i="7"/>
  <c r="Q915" i="7"/>
  <c r="R644" i="7"/>
  <c r="R605" i="7"/>
  <c r="R532" i="7"/>
  <c r="Q1200" i="7"/>
  <c r="R937" i="7"/>
  <c r="R549" i="7"/>
  <c r="R373" i="7"/>
  <c r="R258" i="7"/>
  <c r="R179" i="7"/>
  <c r="Q689" i="7"/>
  <c r="Q539" i="7"/>
  <c r="Q210" i="7"/>
  <c r="Q756" i="7"/>
  <c r="Q784" i="7"/>
  <c r="Q1252" i="7"/>
  <c r="R1070" i="7"/>
  <c r="R386" i="7"/>
  <c r="R570" i="7"/>
  <c r="R186" i="7"/>
  <c r="Q375" i="7"/>
  <c r="Q546" i="7"/>
  <c r="R340" i="7"/>
  <c r="Q596" i="7"/>
  <c r="R592" i="7"/>
  <c r="Q524" i="7"/>
  <c r="Q844" i="7"/>
  <c r="Q1037" i="7"/>
  <c r="Q838" i="7"/>
  <c r="Q1282" i="7"/>
  <c r="Q798" i="7"/>
  <c r="Q1022" i="7"/>
  <c r="Q681" i="7"/>
  <c r="R1177" i="7"/>
  <c r="R236" i="7"/>
  <c r="R336" i="7"/>
  <c r="R363" i="7"/>
  <c r="Q1018" i="7"/>
  <c r="Q1203" i="7"/>
  <c r="R1490" i="7"/>
  <c r="Q1298" i="7"/>
  <c r="R893" i="7"/>
  <c r="R1366" i="7"/>
  <c r="R1434" i="7"/>
  <c r="Q954" i="7"/>
  <c r="R860" i="7"/>
  <c r="Q667" i="7"/>
  <c r="Q1007" i="7"/>
  <c r="R1341" i="7"/>
  <c r="Q941" i="7"/>
  <c r="R1413" i="7"/>
  <c r="Q1422" i="7"/>
  <c r="Q359" i="7"/>
  <c r="R1157" i="7"/>
  <c r="R1094" i="7"/>
  <c r="Q1137" i="7"/>
  <c r="R1167" i="7"/>
  <c r="Q782" i="7"/>
  <c r="R1457" i="7"/>
  <c r="R1147" i="7"/>
  <c r="R1130" i="7"/>
  <c r="Q856" i="7"/>
  <c r="R901" i="7"/>
  <c r="Q446" i="7"/>
  <c r="R1315" i="7"/>
  <c r="R681" i="7"/>
  <c r="R692" i="7"/>
  <c r="Q713" i="7"/>
  <c r="Q1023" i="7"/>
  <c r="R983" i="7"/>
  <c r="R1304" i="7"/>
  <c r="R1232" i="7"/>
  <c r="R296" i="7"/>
  <c r="Q962" i="7"/>
  <c r="R949" i="7"/>
  <c r="Q1006" i="7"/>
  <c r="Q956" i="7"/>
  <c r="R1008" i="7"/>
  <c r="R1128" i="7"/>
  <c r="Q835" i="7"/>
  <c r="R1488" i="7"/>
  <c r="Q1432" i="7"/>
  <c r="R935" i="7"/>
  <c r="R1183" i="7"/>
  <c r="R1453" i="7"/>
  <c r="Q1359" i="7"/>
  <c r="R1097" i="7"/>
  <c r="Q848" i="7"/>
  <c r="R1393" i="7"/>
  <c r="Q409" i="7"/>
  <c r="R710" i="7"/>
  <c r="R1172" i="7"/>
  <c r="Q990" i="7"/>
  <c r="Q589" i="7"/>
  <c r="Q975" i="7"/>
  <c r="R863" i="7"/>
  <c r="Q1497" i="7"/>
  <c r="R708" i="7"/>
  <c r="Q1485" i="7"/>
  <c r="R1358" i="7"/>
  <c r="Q483" i="7"/>
  <c r="Q993" i="7"/>
  <c r="Q783" i="7"/>
  <c r="R745" i="7"/>
  <c r="Q1204" i="7"/>
  <c r="Q1247" i="7"/>
  <c r="Q1462" i="7"/>
  <c r="Q1338" i="7"/>
  <c r="R862" i="7"/>
  <c r="Q691" i="7"/>
  <c r="R945" i="7"/>
  <c r="R1403" i="7"/>
  <c r="Q1253" i="7"/>
  <c r="R503" i="7"/>
  <c r="Q1129" i="7"/>
  <c r="Q696" i="7"/>
  <c r="R1251" i="7"/>
  <c r="R225" i="7"/>
  <c r="R1091" i="7"/>
  <c r="R379" i="7"/>
  <c r="Q248" i="7"/>
  <c r="Q883" i="7"/>
  <c r="Q997" i="7"/>
  <c r="R436" i="7"/>
  <c r="Q398" i="7"/>
  <c r="R76" i="7"/>
  <c r="Q292" i="7"/>
  <c r="R1083" i="7"/>
  <c r="R1246" i="7"/>
  <c r="Q1467" i="7"/>
  <c r="R1019" i="7"/>
  <c r="Q820" i="7"/>
  <c r="R911" i="7"/>
  <c r="Q791" i="7"/>
  <c r="Q852" i="7"/>
  <c r="Q1423" i="7"/>
  <c r="Q1387" i="7"/>
  <c r="R213" i="7"/>
  <c r="Q803" i="7"/>
  <c r="Q304" i="7"/>
  <c r="Q247" i="7"/>
  <c r="R1440" i="7"/>
  <c r="Q516" i="7"/>
  <c r="Q348" i="7"/>
  <c r="Q1294" i="7"/>
  <c r="R1078" i="7"/>
  <c r="Q770" i="7"/>
  <c r="R979" i="7"/>
  <c r="Q1232" i="7"/>
  <c r="Q831" i="7"/>
  <c r="Q890" i="7"/>
  <c r="R276" i="7"/>
  <c r="Q118" i="7"/>
  <c r="R249" i="7"/>
  <c r="Q490" i="7"/>
  <c r="R502" i="7"/>
  <c r="R855" i="7"/>
  <c r="R445" i="7"/>
  <c r="Q806" i="7"/>
  <c r="R335" i="7"/>
  <c r="Q119" i="7"/>
  <c r="R402" i="7"/>
  <c r="R643" i="7"/>
  <c r="R1003" i="7"/>
  <c r="Q250" i="7"/>
  <c r="Q868" i="7"/>
  <c r="Q295" i="7"/>
  <c r="R640" i="7"/>
  <c r="R741" i="7"/>
  <c r="Q399" i="7"/>
  <c r="Q1287" i="7"/>
  <c r="Q902" i="7"/>
  <c r="R1257" i="7"/>
  <c r="Q934" i="7"/>
  <c r="Q121" i="7"/>
  <c r="R177" i="7"/>
  <c r="R239" i="7"/>
  <c r="Q450" i="7"/>
  <c r="Q156" i="7"/>
  <c r="Q976" i="7"/>
  <c r="Q164" i="7"/>
  <c r="R452" i="7"/>
  <c r="Q214" i="7"/>
  <c r="R846" i="7"/>
  <c r="R170" i="7"/>
  <c r="Q117" i="7"/>
  <c r="Q86" i="7"/>
  <c r="R530" i="7"/>
  <c r="Q510" i="7"/>
  <c r="R478" i="7"/>
  <c r="Q527" i="7"/>
  <c r="R877" i="7"/>
  <c r="Q484" i="7"/>
  <c r="R410" i="7"/>
  <c r="Q1063" i="7"/>
  <c r="R1004" i="7"/>
  <c r="R994" i="7"/>
  <c r="R1092" i="7"/>
  <c r="R857" i="7"/>
  <c r="Q485" i="7"/>
  <c r="Q270" i="7"/>
  <c r="R137" i="7"/>
  <c r="R152" i="7"/>
  <c r="R269" i="7"/>
  <c r="R181" i="7"/>
  <c r="Q133" i="7"/>
  <c r="Q80" i="7"/>
  <c r="Q419" i="7"/>
  <c r="R1215" i="7"/>
  <c r="Q377" i="7"/>
  <c r="R128" i="7"/>
  <c r="Q120" i="7"/>
  <c r="Q216" i="7"/>
  <c r="Q973" i="7"/>
  <c r="R208" i="7"/>
  <c r="Q465" i="7"/>
  <c r="R540" i="7"/>
  <c r="Q198" i="7"/>
  <c r="Q573" i="7"/>
  <c r="R457" i="7"/>
  <c r="R786" i="7"/>
  <c r="R1042" i="7"/>
  <c r="R1016" i="7"/>
  <c r="R1165" i="7"/>
  <c r="R633" i="7"/>
  <c r="Q149" i="7"/>
  <c r="Q110" i="7"/>
  <c r="Q350" i="7"/>
  <c r="R280" i="7"/>
  <c r="R191" i="7"/>
  <c r="R114" i="7"/>
  <c r="Q322" i="7"/>
  <c r="R432" i="7"/>
  <c r="R401" i="7"/>
  <c r="R456" i="7"/>
  <c r="Q420" i="7"/>
  <c r="R1087" i="7"/>
  <c r="R348" i="7"/>
  <c r="Q148" i="7"/>
  <c r="R563" i="7"/>
  <c r="R944" i="7"/>
  <c r="R347" i="7"/>
  <c r="Q407" i="7"/>
  <c r="R673" i="7"/>
  <c r="R1209" i="7"/>
  <c r="R1238" i="7"/>
  <c r="R843" i="7"/>
  <c r="Q882" i="7"/>
  <c r="Q1251" i="7"/>
  <c r="R674" i="7"/>
  <c r="Q687" i="7"/>
  <c r="Q765" i="7"/>
  <c r="R970" i="7"/>
  <c r="Q142" i="7"/>
  <c r="R147" i="7"/>
  <c r="R1250" i="7"/>
  <c r="Q1329" i="7"/>
  <c r="Q1205" i="7"/>
  <c r="Q1119" i="7"/>
  <c r="Q1478" i="7"/>
  <c r="R1268" i="7"/>
  <c r="Q1460" i="7"/>
  <c r="Q1360" i="7"/>
  <c r="R652" i="7"/>
  <c r="R1230" i="7"/>
  <c r="Q893" i="7"/>
  <c r="R1471" i="7"/>
  <c r="R1461" i="7"/>
  <c r="R1131" i="7"/>
  <c r="R1402" i="7"/>
  <c r="Q1349" i="7"/>
  <c r="Q659" i="7"/>
  <c r="Q346" i="7"/>
  <c r="R1489" i="7"/>
  <c r="Q1218" i="7"/>
  <c r="Q1254" i="7"/>
  <c r="R1160" i="7"/>
  <c r="R628" i="7"/>
  <c r="R1274" i="7"/>
  <c r="Q776" i="7"/>
  <c r="R1400" i="7"/>
  <c r="R946" i="7"/>
  <c r="Q821" i="7"/>
  <c r="R351" i="7"/>
  <c r="Q886" i="7"/>
  <c r="R782" i="7"/>
  <c r="Q1457" i="7"/>
  <c r="Q767" i="7"/>
  <c r="Q1344" i="7"/>
  <c r="R1262" i="7"/>
  <c r="Q1348" i="7"/>
  <c r="R393" i="7"/>
  <c r="R1427" i="7"/>
  <c r="Q615" i="7"/>
  <c r="R653" i="7"/>
  <c r="Q626" i="7"/>
  <c r="Q1197" i="7"/>
  <c r="R1134" i="7"/>
  <c r="R1192" i="7"/>
  <c r="R1486" i="7"/>
  <c r="R1332" i="7"/>
  <c r="Q1174" i="7"/>
  <c r="Q1408" i="7"/>
  <c r="Q1486" i="7"/>
  <c r="R1371" i="7"/>
  <c r="R1110" i="7"/>
  <c r="Q1128" i="7"/>
  <c r="Q1437" i="7"/>
  <c r="R434" i="7"/>
  <c r="R651" i="7"/>
  <c r="Q735" i="7"/>
  <c r="Q1057" i="7"/>
  <c r="Q562" i="7"/>
  <c r="R1169" i="7"/>
  <c r="Q1047" i="7"/>
  <c r="R1285" i="7"/>
  <c r="Q1353" i="7"/>
  <c r="R1392" i="7"/>
  <c r="Q1431" i="7"/>
  <c r="R1265" i="7"/>
  <c r="R751" i="7"/>
  <c r="R902" i="7"/>
  <c r="Q622" i="7"/>
  <c r="Q863" i="7"/>
  <c r="R1389" i="7"/>
  <c r="R1340" i="7"/>
  <c r="R1375" i="7"/>
  <c r="Q1246" i="7"/>
  <c r="Q457" i="7"/>
  <c r="R896" i="7"/>
  <c r="R610" i="7"/>
  <c r="Q1371" i="7"/>
  <c r="Q910" i="7"/>
  <c r="Q719" i="7"/>
  <c r="Q674" i="7"/>
  <c r="R1487" i="7"/>
  <c r="R1353" i="7"/>
  <c r="Q503" i="7"/>
  <c r="R495" i="7"/>
  <c r="Q740" i="7"/>
  <c r="Q475" i="7"/>
  <c r="Q157" i="7"/>
  <c r="Q1406" i="7"/>
  <c r="Q594" i="7"/>
  <c r="R976" i="7"/>
  <c r="Q758" i="7"/>
  <c r="Q202" i="7"/>
  <c r="R556" i="7"/>
  <c r="Q155" i="7"/>
  <c r="R1240" i="7"/>
  <c r="R1127" i="7"/>
  <c r="R1346" i="7"/>
  <c r="Q320" i="7"/>
  <c r="R887" i="7"/>
  <c r="Q354" i="7"/>
  <c r="R1302" i="7"/>
  <c r="R1185" i="7"/>
  <c r="Q965" i="7"/>
  <c r="R107" i="7"/>
  <c r="R222" i="7"/>
  <c r="R101" i="7"/>
  <c r="Q199" i="7"/>
  <c r="Q464" i="7"/>
  <c r="R250" i="7"/>
  <c r="Q582" i="7"/>
  <c r="Q486" i="7"/>
  <c r="Q344" i="7"/>
  <c r="Q355" i="7"/>
  <c r="R734" i="7"/>
  <c r="Q274" i="7"/>
  <c r="Q650" i="7"/>
  <c r="R867" i="7"/>
  <c r="R597" i="7"/>
  <c r="Q773" i="7"/>
  <c r="Q316" i="7"/>
  <c r="Q1289" i="7"/>
  <c r="R1081" i="7"/>
  <c r="R965" i="7"/>
  <c r="R686" i="7"/>
  <c r="R1052" i="7"/>
  <c r="Q1040" i="7"/>
  <c r="Q245" i="7"/>
  <c r="R112" i="7"/>
  <c r="R297" i="7"/>
  <c r="R270" i="7"/>
  <c r="R337" i="7"/>
  <c r="R607" i="7"/>
  <c r="Q329" i="7"/>
  <c r="R169" i="7"/>
  <c r="R527" i="7"/>
  <c r="Q369" i="7"/>
  <c r="R485" i="7"/>
  <c r="R240" i="7"/>
  <c r="Q267" i="7"/>
  <c r="Q285" i="7"/>
  <c r="Q291" i="7"/>
  <c r="Q209" i="7"/>
  <c r="Q925" i="7"/>
  <c r="Q1288" i="7"/>
  <c r="Q308" i="7"/>
  <c r="R958" i="7"/>
  <c r="Q837" i="7"/>
  <c r="R694" i="7"/>
  <c r="Q1145" i="7"/>
  <c r="R654" i="7"/>
  <c r="R701" i="7"/>
  <c r="Q586" i="7"/>
  <c r="R255" i="7"/>
  <c r="R632" i="7"/>
  <c r="Q138" i="7"/>
  <c r="Q722" i="7"/>
  <c r="R493" i="7"/>
  <c r="R175" i="7"/>
  <c r="Q499" i="7"/>
  <c r="R465" i="7"/>
  <c r="R542" i="7"/>
  <c r="R957" i="7"/>
  <c r="Q179" i="7"/>
  <c r="Q523" i="7"/>
  <c r="R217" i="7"/>
  <c r="R251" i="7"/>
  <c r="Q506" i="7"/>
  <c r="R232" i="7"/>
  <c r="R697" i="7"/>
  <c r="R932" i="7"/>
  <c r="Q497" i="7"/>
  <c r="Q794" i="7"/>
  <c r="R995" i="7"/>
  <c r="Q1319" i="7"/>
  <c r="R823" i="7"/>
  <c r="Q816" i="7"/>
  <c r="Q1214" i="7"/>
  <c r="R173" i="7"/>
  <c r="Q339" i="7"/>
  <c r="Q141" i="7"/>
  <c r="R95" i="7"/>
  <c r="R523" i="7"/>
  <c r="R108" i="7"/>
  <c r="Q926" i="7"/>
  <c r="Q323" i="7"/>
  <c r="Q509" i="7"/>
  <c r="Q592" i="7"/>
  <c r="Q403" i="7"/>
  <c r="R613" i="7"/>
  <c r="Q265" i="7"/>
  <c r="R155" i="7"/>
  <c r="R172" i="7"/>
  <c r="R116" i="7"/>
  <c r="R1021" i="7"/>
  <c r="R639" i="7"/>
  <c r="Q517" i="7"/>
  <c r="Q788" i="7"/>
  <c r="R368" i="7"/>
  <c r="R1301" i="7"/>
  <c r="R789" i="7"/>
  <c r="Q960" i="7"/>
  <c r="R671" i="7"/>
  <c r="Q787" i="7"/>
  <c r="R1481" i="7"/>
  <c r="R224" i="7"/>
  <c r="R471" i="7"/>
  <c r="Q726" i="7"/>
  <c r="R1055" i="7"/>
  <c r="R604" i="7"/>
  <c r="Q1280" i="7"/>
  <c r="Q629" i="7"/>
  <c r="Q1426" i="7"/>
  <c r="R1476" i="7"/>
  <c r="R1492" i="7"/>
  <c r="Q1331" i="7"/>
  <c r="Q1009" i="7"/>
  <c r="Q898" i="7"/>
  <c r="Q1476" i="7"/>
  <c r="Q1434" i="7"/>
  <c r="R1394" i="7"/>
  <c r="Q605" i="7"/>
  <c r="Q1014" i="7"/>
  <c r="R1433" i="7"/>
  <c r="R1084" i="7"/>
  <c r="R1287" i="7"/>
  <c r="Q878" i="7"/>
  <c r="R767" i="7"/>
  <c r="R1090" i="7"/>
  <c r="R1363" i="7"/>
  <c r="Q1355" i="7"/>
  <c r="Q1116" i="7"/>
  <c r="R811" i="7"/>
  <c r="R1459" i="7"/>
  <c r="R413" i="7"/>
  <c r="Q1162" i="7"/>
  <c r="R1186" i="7"/>
  <c r="Q1299" i="7"/>
  <c r="Q1160" i="7"/>
  <c r="R1218" i="7"/>
  <c r="R1107" i="7"/>
  <c r="Q1374" i="7"/>
  <c r="Q1484" i="7"/>
  <c r="Q1180" i="7"/>
  <c r="Q796" i="7"/>
  <c r="R1354" i="7"/>
  <c r="Q644" i="7"/>
  <c r="R869" i="7"/>
  <c r="Q1451" i="7"/>
  <c r="Q1188" i="7"/>
  <c r="R1412" i="7"/>
  <c r="R943" i="7"/>
  <c r="Q1381" i="7"/>
  <c r="Q1341" i="7"/>
  <c r="Q1032" i="7"/>
  <c r="Q1079" i="7"/>
  <c r="R1442" i="7"/>
  <c r="Q1388" i="7"/>
  <c r="R304" i="7"/>
  <c r="Q1134" i="7"/>
  <c r="Q1488" i="7"/>
  <c r="R1293" i="7"/>
  <c r="R960" i="7"/>
  <c r="R1022" i="7"/>
  <c r="R883" i="7"/>
  <c r="R376" i="7"/>
  <c r="Q630" i="7"/>
  <c r="R723" i="7"/>
  <c r="Q805" i="7"/>
  <c r="R656" i="7"/>
  <c r="R1271" i="7"/>
  <c r="Q847" i="7"/>
  <c r="R879" i="7"/>
  <c r="R963" i="7"/>
  <c r="Q668" i="7"/>
  <c r="R702" i="7"/>
  <c r="R1047" i="7"/>
  <c r="Q1419" i="7"/>
  <c r="R1464" i="7"/>
  <c r="R1411" i="7"/>
  <c r="Q1322" i="7"/>
  <c r="R324" i="7"/>
  <c r="R1188" i="7"/>
  <c r="R1064" i="7"/>
  <c r="R1144" i="7"/>
  <c r="R999" i="7"/>
  <c r="R1416" i="7"/>
  <c r="Q1361" i="7"/>
  <c r="R1406" i="7"/>
  <c r="R1208" i="7"/>
  <c r="Q917" i="7"/>
  <c r="Q1013" i="7"/>
  <c r="R615" i="7"/>
  <c r="R385" i="7"/>
  <c r="R1044" i="7"/>
  <c r="R466" i="7"/>
  <c r="R313" i="7"/>
  <c r="R1033" i="7"/>
  <c r="Q739" i="7"/>
  <c r="R516" i="7"/>
  <c r="R1057" i="7"/>
  <c r="R629" i="7"/>
  <c r="R544" i="7"/>
  <c r="R1364" i="7"/>
  <c r="R1086" i="7"/>
  <c r="R1455" i="7"/>
  <c r="Q1343" i="7"/>
  <c r="Q1372" i="7"/>
  <c r="Q1356" i="7"/>
  <c r="Q338" i="7"/>
  <c r="R353" i="7"/>
  <c r="Q1207" i="7"/>
  <c r="R510" i="7"/>
  <c r="Q705" i="7"/>
  <c r="R1256" i="7"/>
  <c r="Q251" i="7"/>
  <c r="Q564" i="7"/>
  <c r="R1327" i="7"/>
  <c r="Q944" i="7"/>
  <c r="R1297" i="7"/>
  <c r="R764" i="7"/>
  <c r="Q1312" i="7"/>
  <c r="Q823" i="7"/>
  <c r="Q1256" i="7"/>
  <c r="Q1270" i="7"/>
  <c r="Q1260" i="7"/>
  <c r="Q1390" i="7"/>
  <c r="R985" i="7"/>
  <c r="Q371" i="7"/>
  <c r="R1088" i="7"/>
  <c r="Q147" i="7"/>
  <c r="R511" i="7"/>
  <c r="R310" i="7"/>
  <c r="Q867" i="7"/>
  <c r="Q797" i="7"/>
  <c r="Q825" i="7"/>
  <c r="R145" i="7"/>
  <c r="R118" i="7"/>
  <c r="R253" i="7"/>
  <c r="R842" i="7"/>
  <c r="R264" i="7"/>
  <c r="Q234" i="7"/>
  <c r="Q445" i="7"/>
  <c r="R1082" i="7"/>
  <c r="Q946" i="7"/>
  <c r="R1168" i="7"/>
  <c r="R993" i="7"/>
  <c r="R1006" i="7"/>
  <c r="R1242" i="7"/>
  <c r="R952" i="7"/>
  <c r="R1491" i="7"/>
  <c r="R365" i="7"/>
  <c r="Q378" i="7"/>
  <c r="R243" i="7"/>
  <c r="R88" i="7"/>
  <c r="R262" i="7"/>
  <c r="Q1028" i="7"/>
  <c r="Q501" i="7"/>
  <c r="R1005" i="7"/>
  <c r="R925" i="7"/>
  <c r="Q942" i="7"/>
  <c r="R586" i="7"/>
  <c r="Q129" i="7"/>
  <c r="Q268" i="7"/>
  <c r="Q742" i="7"/>
  <c r="R1074" i="7"/>
  <c r="R589" i="7"/>
  <c r="Q759" i="7"/>
  <c r="R1118" i="7"/>
  <c r="R588" i="7"/>
  <c r="Q321" i="7"/>
  <c r="Q397" i="7"/>
  <c r="Q923" i="7"/>
  <c r="Q1045" i="7"/>
  <c r="Q610" i="7"/>
  <c r="Q1333" i="7"/>
  <c r="R184" i="7"/>
  <c r="Q151" i="7"/>
  <c r="R381" i="7"/>
  <c r="Q535" i="7"/>
  <c r="R228" i="7"/>
  <c r="Q494" i="7"/>
  <c r="R599" i="7"/>
  <c r="R395" i="7"/>
  <c r="Q232" i="7"/>
  <c r="Q345" i="7"/>
  <c r="R1314" i="7"/>
  <c r="R171" i="7"/>
  <c r="R662" i="7"/>
  <c r="Q195" i="7"/>
  <c r="R160" i="7"/>
  <c r="R1156" i="7"/>
  <c r="Q538" i="7"/>
  <c r="Q1449" i="7"/>
  <c r="Q849" i="7"/>
  <c r="R325" i="7"/>
  <c r="Q966" i="7"/>
  <c r="Q809" i="7"/>
  <c r="R839" i="7"/>
  <c r="Q1026" i="7"/>
  <c r="R1474" i="7"/>
  <c r="Q988" i="7"/>
  <c r="R205" i="7"/>
  <c r="R374" i="7"/>
  <c r="R587" i="7"/>
  <c r="Q1240" i="7"/>
  <c r="Q662" i="7"/>
  <c r="R83" i="7"/>
  <c r="Q670" i="7"/>
  <c r="R294" i="7"/>
  <c r="Q174" i="7"/>
  <c r="R517" i="7"/>
  <c r="Q818" i="7"/>
  <c r="R282" i="7"/>
  <c r="R154" i="7"/>
  <c r="R189" i="7"/>
  <c r="R339" i="7"/>
  <c r="R461" i="7"/>
  <c r="R1150" i="7"/>
  <c r="Q437" i="7"/>
  <c r="R341" i="7"/>
  <c r="R832" i="7"/>
  <c r="Q817" i="7"/>
  <c r="Q579" i="7"/>
  <c r="Q677" i="7"/>
  <c r="Q666" i="7"/>
  <c r="R1286" i="7"/>
  <c r="Q526" i="7"/>
  <c r="R1299" i="7"/>
  <c r="Q441" i="7"/>
  <c r="R384" i="7"/>
  <c r="Q520" i="7"/>
  <c r="R881" i="7"/>
  <c r="Q1351" i="7"/>
  <c r="R703" i="7"/>
  <c r="Q706" i="7"/>
  <c r="Q826" i="7"/>
  <c r="Q1413" i="7"/>
  <c r="Q1019" i="7"/>
  <c r="Q1352" i="7"/>
  <c r="R1326" i="7"/>
  <c r="Q1233" i="7"/>
  <c r="Q1076" i="7"/>
  <c r="Q720" i="7"/>
  <c r="Q1444" i="7"/>
  <c r="Q1231" i="7"/>
  <c r="R1312" i="7"/>
  <c r="R750" i="7"/>
  <c r="R1300" i="7"/>
  <c r="Q1440" i="7"/>
  <c r="Q1365" i="7"/>
  <c r="R1458" i="7"/>
  <c r="R1248" i="7"/>
  <c r="Q1190" i="7"/>
  <c r="Q866" i="7"/>
  <c r="R1382" i="7"/>
  <c r="Q1493" i="7"/>
  <c r="R1430" i="7"/>
  <c r="R915" i="7"/>
  <c r="R1282" i="7"/>
  <c r="Q900" i="7"/>
  <c r="R1333" i="7"/>
  <c r="Q1363" i="7"/>
  <c r="Q628" i="7"/>
  <c r="Q1147" i="7"/>
  <c r="R1379" i="7"/>
  <c r="R1421" i="7"/>
  <c r="Q160" i="7"/>
  <c r="R672" i="7"/>
  <c r="R1325" i="7"/>
  <c r="Q1123" i="7"/>
  <c r="Q1016" i="7"/>
  <c r="R1214" i="7"/>
  <c r="R1370" i="7"/>
  <c r="Q1183" i="7"/>
  <c r="R1357" i="7"/>
  <c r="Q1442" i="7"/>
  <c r="Q638" i="7"/>
  <c r="Q1008" i="7"/>
  <c r="Q1455" i="7"/>
  <c r="Q1456" i="7"/>
  <c r="R696" i="7"/>
  <c r="Q892" i="7"/>
  <c r="Q1427" i="7"/>
  <c r="R1381" i="7"/>
  <c r="Q325" i="7"/>
  <c r="Q694" i="7"/>
  <c r="R526" i="7"/>
  <c r="R1227" i="7"/>
  <c r="R459" i="7"/>
  <c r="Q939" i="7"/>
  <c r="Q647" i="7"/>
  <c r="R1466" i="7"/>
  <c r="Q1058" i="7"/>
  <c r="R1356" i="7"/>
  <c r="R1359" i="7"/>
  <c r="R1245" i="7"/>
  <c r="Q1000" i="7"/>
  <c r="Q663" i="7"/>
  <c r="R1407" i="7"/>
  <c r="R1465" i="7"/>
  <c r="Q736" i="7"/>
  <c r="R996" i="7"/>
  <c r="R1223" i="7"/>
  <c r="R721" i="7"/>
  <c r="R618" i="7"/>
  <c r="R1065" i="7"/>
  <c r="R1263" i="7"/>
  <c r="Q1399" i="7"/>
  <c r="Q1166" i="7"/>
  <c r="R1079" i="7"/>
  <c r="R482" i="7"/>
  <c r="R774" i="7"/>
  <c r="Q808" i="7"/>
  <c r="Q643" i="7"/>
  <c r="R387" i="7"/>
  <c r="R876" i="7"/>
  <c r="R1104" i="7"/>
  <c r="R408" i="7"/>
  <c r="R139" i="7"/>
  <c r="Q957" i="7"/>
  <c r="Q1021" i="7"/>
  <c r="Q1186" i="7"/>
  <c r="Q578" i="7"/>
  <c r="R775" i="7"/>
  <c r="R835" i="7"/>
  <c r="R771" i="7"/>
  <c r="R274" i="7"/>
  <c r="R1253" i="7"/>
  <c r="Q243" i="7"/>
  <c r="Q286" i="7"/>
  <c r="R1121" i="7"/>
  <c r="Q384" i="7"/>
  <c r="R898" i="7"/>
  <c r="R609" i="7"/>
  <c r="Q1093" i="7"/>
  <c r="R551" i="7"/>
  <c r="R474" i="7"/>
  <c r="R726" i="7"/>
  <c r="R781" i="7"/>
  <c r="R1142" i="7"/>
  <c r="R85" i="7"/>
  <c r="R429" i="7"/>
  <c r="R469" i="7"/>
  <c r="Q276" i="7"/>
  <c r="Q222" i="7"/>
  <c r="Q533" i="7"/>
  <c r="Q477" i="7"/>
  <c r="Q372" i="7"/>
  <c r="Q244" i="7"/>
  <c r="R582" i="7"/>
  <c r="Q1438" i="7"/>
  <c r="R637" i="7"/>
  <c r="Q889" i="7"/>
  <c r="Q1290" i="7"/>
  <c r="R1098" i="7"/>
  <c r="R663" i="7"/>
  <c r="Q1158" i="7"/>
  <c r="R646" i="7"/>
  <c r="Q233" i="7"/>
  <c r="Q561" i="7"/>
  <c r="R1035" i="7"/>
  <c r="Q134" i="7"/>
  <c r="R311" i="7"/>
  <c r="R361" i="7"/>
  <c r="R591" i="7"/>
  <c r="Q743" i="7"/>
  <c r="R759" i="7"/>
  <c r="R795" i="7"/>
  <c r="Q190" i="7"/>
  <c r="R1261" i="7"/>
  <c r="Q380" i="7"/>
  <c r="R790" i="7"/>
  <c r="Q260" i="7"/>
  <c r="Q379" i="7"/>
  <c r="R853" i="7"/>
  <c r="Q846" i="7"/>
  <c r="Q281" i="7"/>
  <c r="Q879" i="7"/>
  <c r="Q1148" i="7"/>
  <c r="R1067" i="7"/>
  <c r="R714" i="7"/>
  <c r="Q1248" i="7"/>
  <c r="Q929" i="7"/>
  <c r="R220" i="7"/>
  <c r="R99" i="7"/>
  <c r="Q466" i="7"/>
  <c r="Q197" i="7"/>
  <c r="Q144" i="7"/>
  <c r="Q127" i="7"/>
  <c r="R428" i="7"/>
  <c r="Q208" i="7"/>
  <c r="R400" i="7"/>
  <c r="Q422" i="7"/>
  <c r="Q487" i="7"/>
  <c r="Q152" i="7"/>
  <c r="Q163" i="7"/>
  <c r="Q406" i="7"/>
  <c r="R1328" i="7"/>
  <c r="R334" i="7"/>
  <c r="Q400" i="7"/>
  <c r="Q328" i="7"/>
  <c r="R731" i="7"/>
  <c r="R491" i="7"/>
  <c r="R492" i="7"/>
  <c r="Q761" i="7"/>
  <c r="R1024" i="7"/>
  <c r="R1096" i="7"/>
  <c r="R1231" i="7"/>
  <c r="R939" i="7"/>
  <c r="Q128" i="7"/>
  <c r="R539" i="7"/>
  <c r="R210" i="7"/>
  <c r="R165" i="7"/>
  <c r="Q272" i="7"/>
  <c r="R84" i="7"/>
  <c r="R356" i="7"/>
  <c r="Q404" i="7"/>
  <c r="R407" i="7"/>
  <c r="Q341" i="7"/>
  <c r="R780" i="7"/>
  <c r="R300" i="7"/>
  <c r="R1272" i="7"/>
  <c r="Q226" i="7"/>
  <c r="R1175" i="7"/>
  <c r="Q583" i="7"/>
  <c r="Q342" i="7"/>
  <c r="Q496" i="7"/>
  <c r="R1154" i="7"/>
  <c r="Q1070" i="7"/>
  <c r="Q386" i="7"/>
  <c r="Q254" i="7"/>
  <c r="Q476" i="7"/>
  <c r="R1050" i="7"/>
  <c r="R1224" i="7"/>
  <c r="R624" i="7"/>
  <c r="Q1141" i="7"/>
  <c r="Q1272" i="7"/>
  <c r="R135" i="7"/>
  <c r="Q427" i="7"/>
  <c r="Q627" i="7"/>
  <c r="R1132" i="7"/>
  <c r="R765" i="7"/>
  <c r="R660" i="7"/>
  <c r="Q1221" i="7"/>
  <c r="R1076" i="7"/>
  <c r="Q1445" i="7"/>
  <c r="Q921" i="7"/>
  <c r="R871" i="7"/>
  <c r="Q1038" i="7"/>
  <c r="Q1369" i="7"/>
  <c r="R856" i="7"/>
  <c r="R180" i="7"/>
  <c r="Q1091" i="7"/>
  <c r="Q875" i="7"/>
  <c r="Q1003" i="7"/>
  <c r="Q1164" i="7"/>
  <c r="Q1098" i="7"/>
  <c r="Q1052" i="7"/>
  <c r="Q567" i="7"/>
  <c r="Q1089" i="7"/>
  <c r="R1428" i="7"/>
  <c r="R1500" i="7"/>
  <c r="Q911" i="7"/>
  <c r="R986" i="7"/>
  <c r="R1396" i="7"/>
  <c r="R321" i="7"/>
  <c r="R666" i="7"/>
  <c r="R748" i="7"/>
  <c r="Q764" i="7"/>
  <c r="R1190" i="7"/>
  <c r="R1355" i="7"/>
  <c r="R720" i="7"/>
  <c r="Q1378" i="7"/>
  <c r="Q1483" i="7"/>
  <c r="Q440" i="7"/>
  <c r="R1290" i="7"/>
  <c r="Q263" i="7"/>
  <c r="R809" i="7"/>
  <c r="Q737" i="7"/>
  <c r="R1106" i="7"/>
  <c r="Q1317" i="7"/>
  <c r="Q896" i="7"/>
  <c r="Q669" i="7"/>
  <c r="R1386" i="7"/>
  <c r="Q1461" i="7"/>
  <c r="Q1386" i="7"/>
  <c r="Q1210" i="7"/>
  <c r="Q741" i="7"/>
  <c r="Q396" i="7"/>
  <c r="Q1185" i="7"/>
  <c r="R600" i="7"/>
  <c r="R490" i="7"/>
  <c r="Q858" i="7"/>
  <c r="Q298" i="7"/>
  <c r="R115" i="7"/>
  <c r="R133" i="7"/>
  <c r="Q93" i="7"/>
  <c r="R581" i="7"/>
  <c r="Q1435" i="7"/>
  <c r="Q1420" i="7"/>
  <c r="Q1216" i="7"/>
  <c r="Q958" i="7"/>
  <c r="R246" i="7"/>
  <c r="R206" i="7"/>
  <c r="R984" i="7"/>
  <c r="Q603" i="7"/>
  <c r="Q874" i="7"/>
  <c r="R522" i="7"/>
  <c r="R614" i="7"/>
  <c r="R884" i="7"/>
  <c r="Q1101" i="7"/>
  <c r="R1349" i="7"/>
  <c r="R907" i="7"/>
  <c r="R288" i="7"/>
  <c r="Q552" i="7"/>
  <c r="R520" i="7"/>
  <c r="R211" i="7"/>
  <c r="R650" i="7"/>
  <c r="Q560" i="7"/>
  <c r="Q353" i="7"/>
  <c r="Q1239" i="7"/>
  <c r="Q107" i="7"/>
  <c r="Q1088" i="7"/>
  <c r="R196" i="7"/>
  <c r="R299" i="7"/>
  <c r="Q574" i="7"/>
  <c r="Q85" i="7"/>
  <c r="R352" i="7"/>
  <c r="R806" i="7"/>
  <c r="R793" i="7"/>
  <c r="Q1020" i="7"/>
  <c r="R936" i="7"/>
  <c r="R611" i="7"/>
  <c r="R974" i="7"/>
  <c r="Q1291" i="7"/>
  <c r="R622" i="7"/>
  <c r="Q315" i="7"/>
  <c r="Q201" i="7"/>
  <c r="R183" i="7"/>
  <c r="R1025" i="7"/>
  <c r="Q370" i="7"/>
  <c r="R439" i="7"/>
  <c r="R508" i="7"/>
  <c r="Q1178" i="7"/>
  <c r="Q853" i="7"/>
  <c r="R584" i="7"/>
  <c r="Q161" i="7"/>
  <c r="R287" i="7"/>
  <c r="Q203" i="7"/>
  <c r="R971" i="7"/>
  <c r="R319" i="7"/>
  <c r="Q1056" i="7"/>
  <c r="R951" i="7"/>
  <c r="R369" i="7"/>
  <c r="R1117" i="7"/>
  <c r="R569" i="7"/>
  <c r="R1166" i="7"/>
  <c r="Q904" i="7"/>
  <c r="Q351" i="7"/>
  <c r="Q1108" i="7"/>
  <c r="R990" i="7"/>
  <c r="R309" i="7"/>
  <c r="Q139" i="7"/>
  <c r="Q1266" i="7"/>
  <c r="R541" i="7"/>
  <c r="Q460" i="7"/>
  <c r="Q137" i="7"/>
  <c r="Q920" i="7"/>
  <c r="Q1156" i="7"/>
  <c r="Q768" i="7"/>
  <c r="Q779" i="7"/>
  <c r="R912" i="7"/>
  <c r="R138" i="7"/>
  <c r="R559" i="7"/>
  <c r="R187" i="7"/>
  <c r="Q1235" i="7"/>
  <c r="Q366" i="7"/>
  <c r="R768" i="7"/>
  <c r="R518" i="7"/>
  <c r="Q1212" i="7"/>
  <c r="R425" i="7"/>
  <c r="Q548" i="7"/>
  <c r="Q746" i="7"/>
  <c r="Q1318" i="7"/>
  <c r="R824" i="7"/>
  <c r="R890" i="7"/>
  <c r="Q1106" i="7"/>
  <c r="Q171" i="7"/>
  <c r="Q114" i="7"/>
  <c r="R322" i="7"/>
  <c r="Q227" i="7"/>
  <c r="R231" i="7"/>
  <c r="R543" i="7"/>
  <c r="Q79" i="7"/>
  <c r="Q763" i="7"/>
  <c r="R437" i="7"/>
  <c r="Q683" i="7"/>
  <c r="R391" i="7"/>
  <c r="Q685" i="7"/>
  <c r="Q162" i="7"/>
  <c r="Q109" i="7"/>
  <c r="Q123" i="7"/>
  <c r="R635" i="7"/>
  <c r="R104" i="7"/>
  <c r="Q462" i="7"/>
  <c r="R683" i="7"/>
  <c r="R420" i="7"/>
  <c r="R320" i="7"/>
  <c r="Q1219" i="7"/>
  <c r="R1135" i="7"/>
  <c r="R1210" i="7"/>
  <c r="Q1315" i="7"/>
  <c r="Q862" i="7"/>
  <c r="Q679" i="7"/>
  <c r="R330" i="7"/>
  <c r="R257" i="7"/>
  <c r="Q525" i="7"/>
  <c r="Q789" i="7"/>
  <c r="R798" i="7"/>
  <c r="Q857" i="7"/>
  <c r="R1384" i="7"/>
  <c r="R1163" i="7"/>
  <c r="Q1402" i="7"/>
  <c r="Q1078" i="7"/>
  <c r="Q1458" i="7"/>
  <c r="Q1490" i="7"/>
  <c r="Q1311" i="7"/>
  <c r="R1467" i="7"/>
  <c r="Q1400" i="7"/>
  <c r="R291" i="7"/>
  <c r="R754" i="7"/>
  <c r="R1179" i="7"/>
  <c r="R455" i="7"/>
  <c r="Q984" i="7"/>
  <c r="R1226" i="7"/>
  <c r="R861" i="7"/>
  <c r="R513" i="7"/>
  <c r="R711" i="7"/>
  <c r="Q851" i="7"/>
  <c r="R1073" i="7"/>
  <c r="Q1417" i="7"/>
  <c r="Q1498" i="7"/>
  <c r="R1422" i="7"/>
  <c r="Q327" i="7"/>
  <c r="R923" i="7"/>
  <c r="R1267" i="7"/>
  <c r="Q1362" i="7"/>
  <c r="Q1428" i="7"/>
  <c r="R866" i="7"/>
  <c r="Q1274" i="7"/>
  <c r="Q1130" i="7"/>
  <c r="R700" i="7"/>
  <c r="Q575" i="7"/>
  <c r="R1170" i="7"/>
  <c r="R506" i="7"/>
  <c r="Q1001" i="7"/>
  <c r="Q1096" i="7"/>
  <c r="Q1491" i="7"/>
  <c r="Q716" i="7"/>
  <c r="R1408" i="7"/>
  <c r="R1385" i="7"/>
  <c r="R1456" i="7"/>
  <c r="Q1394" i="7"/>
  <c r="R1317" i="7"/>
  <c r="R1336" i="7"/>
  <c r="Q913" i="7"/>
  <c r="Q842" i="7"/>
  <c r="R707" i="7"/>
  <c r="Q1477" i="7"/>
  <c r="R822" i="7"/>
  <c r="Q793" i="7"/>
  <c r="R904" i="7"/>
  <c r="R909" i="7"/>
  <c r="Q695" i="7"/>
  <c r="Q1044" i="7"/>
  <c r="Q1102" i="7"/>
  <c r="R648" i="7"/>
  <c r="R931" i="7"/>
  <c r="R1401" i="7"/>
  <c r="R982" i="7"/>
  <c r="R1388" i="7"/>
  <c r="Q1121" i="7"/>
  <c r="Q1042" i="7"/>
  <c r="Q772" i="7"/>
  <c r="Q989" i="7"/>
  <c r="R647" i="7"/>
  <c r="Q1285" i="7"/>
  <c r="Q708" i="7"/>
  <c r="R1485" i="7"/>
  <c r="Q871" i="7"/>
  <c r="R933" i="7"/>
  <c r="R1494" i="7"/>
  <c r="R1158" i="7"/>
  <c r="R807" i="7"/>
  <c r="Q1450" i="7"/>
  <c r="R716" i="7"/>
  <c r="R1337" i="7"/>
  <c r="R1140" i="7"/>
  <c r="R1030" i="7"/>
  <c r="Q1392" i="7"/>
  <c r="R1439" i="7"/>
  <c r="Q454" i="7"/>
  <c r="R329" i="7"/>
  <c r="R247" i="7"/>
  <c r="Q480" i="7"/>
  <c r="Q547" i="7"/>
  <c r="Q747" i="7"/>
  <c r="R349" i="7"/>
  <c r="Q780" i="7"/>
  <c r="R928" i="7"/>
  <c r="Q744" i="7"/>
  <c r="Q515" i="7"/>
  <c r="R634" i="7"/>
  <c r="R841" i="7"/>
  <c r="Q749" i="7"/>
  <c r="R1399" i="7"/>
  <c r="Q621" i="7"/>
  <c r="Q363" i="7"/>
  <c r="R451" i="7"/>
  <c r="Q1250" i="7"/>
  <c r="R131" i="7"/>
  <c r="R1151" i="7"/>
  <c r="Q273" i="7"/>
  <c r="R531" i="7"/>
  <c r="R126" i="7"/>
  <c r="Q750" i="7"/>
  <c r="Q992" i="7"/>
  <c r="R1417" i="7"/>
  <c r="R749" i="7"/>
  <c r="R688" i="7"/>
  <c r="R1436" i="7"/>
  <c r="R1054" i="7"/>
  <c r="R594" i="7"/>
  <c r="R417" i="7"/>
  <c r="R427" i="7"/>
  <c r="R642" i="7"/>
  <c r="Q264" i="7"/>
  <c r="Q568" i="7"/>
  <c r="R1244" i="7"/>
  <c r="R441" i="7"/>
  <c r="R371" i="7"/>
  <c r="Q474" i="7"/>
  <c r="R1122" i="7"/>
  <c r="Q235" i="7"/>
  <c r="R338" i="7"/>
  <c r="R560" i="7"/>
  <c r="R797" i="7"/>
  <c r="Q434" i="7"/>
  <c r="Q601" i="7"/>
  <c r="Q1300" i="7"/>
  <c r="Q963" i="7"/>
  <c r="R1181" i="7"/>
  <c r="R792" i="7"/>
  <c r="R975" i="7"/>
  <c r="Q1347" i="7"/>
  <c r="Q158" i="7"/>
  <c r="Q593" i="7"/>
  <c r="Q238" i="7"/>
  <c r="R167" i="7"/>
  <c r="R444" i="7"/>
  <c r="R498" i="7"/>
  <c r="Q100" i="7"/>
  <c r="R241" i="7"/>
  <c r="R1196" i="7"/>
  <c r="R421" i="7"/>
  <c r="Q284" i="7"/>
  <c r="Q192" i="7"/>
  <c r="R494" i="7"/>
  <c r="Q553" i="7"/>
  <c r="R557" i="7"/>
  <c r="R998" i="7"/>
  <c r="R409" i="7"/>
  <c r="R942" i="7"/>
  <c r="Q545" i="7"/>
  <c r="R845" i="7"/>
  <c r="Q1110" i="7"/>
  <c r="R1258" i="7"/>
  <c r="R1243" i="7"/>
  <c r="Q880" i="7"/>
  <c r="Q1161" i="7"/>
  <c r="R161" i="7"/>
  <c r="R202" i="7"/>
  <c r="Q411" i="7"/>
  <c r="R230" i="7"/>
  <c r="R259" i="7"/>
  <c r="Q632" i="7"/>
  <c r="Q467" i="7"/>
  <c r="Q334" i="7"/>
  <c r="R590" i="7"/>
  <c r="R1241" i="7"/>
  <c r="R1307" i="7"/>
  <c r="R535" i="7"/>
  <c r="Q505" i="7"/>
  <c r="Q938" i="7"/>
  <c r="R489" i="7"/>
  <c r="R997" i="7"/>
  <c r="Q443" i="7"/>
  <c r="Q1215" i="7"/>
  <c r="R1237" i="7"/>
  <c r="R612" i="7"/>
  <c r="Q1245" i="7"/>
  <c r="Q672" i="7"/>
  <c r="R346" i="7"/>
  <c r="R783" i="7"/>
  <c r="Q785" i="7"/>
  <c r="R1470" i="7"/>
  <c r="Q95" i="7"/>
  <c r="Q108" i="7"/>
  <c r="R926" i="7"/>
  <c r="Q326" i="7"/>
  <c r="Q125" i="7"/>
  <c r="R279" i="7"/>
  <c r="Q972" i="7"/>
  <c r="Q340" i="7"/>
  <c r="R496" i="7"/>
  <c r="R1071" i="7"/>
  <c r="Q1191" i="7"/>
  <c r="R828" i="7"/>
  <c r="R81" i="7"/>
  <c r="R689" i="7"/>
  <c r="Q600" i="7"/>
  <c r="Q799" i="7"/>
  <c r="Q416" i="7"/>
  <c r="Q906" i="7"/>
  <c r="Q899" i="7"/>
  <c r="R403" i="7"/>
  <c r="R103" i="7"/>
  <c r="R801" i="7"/>
  <c r="Q1275" i="7"/>
  <c r="Q641" i="7"/>
  <c r="Q873" i="7"/>
  <c r="Q909" i="7"/>
  <c r="Q711" i="7"/>
  <c r="R162" i="7"/>
  <c r="Q225" i="7"/>
  <c r="Q237" i="7"/>
  <c r="R837" i="7"/>
  <c r="Q927" i="7"/>
  <c r="R1141" i="7"/>
  <c r="R969" i="7"/>
  <c r="Q991" i="7"/>
  <c r="R1369" i="7"/>
  <c r="Q814" i="7"/>
  <c r="R1348" i="7"/>
  <c r="R1119" i="7"/>
  <c r="R717" i="7"/>
  <c r="Q819" i="7"/>
  <c r="Q1459" i="7"/>
  <c r="R1056" i="7"/>
  <c r="Q1295" i="7"/>
  <c r="Q1480" i="7"/>
  <c r="R275" i="7"/>
  <c r="Q786" i="7"/>
  <c r="R1249" i="7"/>
  <c r="R1291" i="7"/>
  <c r="R473" i="7"/>
  <c r="R1161" i="7"/>
  <c r="R649" i="7"/>
  <c r="Q775" i="7"/>
  <c r="R1373" i="7"/>
  <c r="Q1229" i="7"/>
  <c r="R548" i="7"/>
  <c r="R641" i="7"/>
  <c r="Q1313" i="7"/>
  <c r="Q778" i="7"/>
  <c r="R851" i="7"/>
  <c r="Q1500" i="7"/>
  <c r="R1116" i="7"/>
  <c r="R776" i="7"/>
  <c r="Q918" i="7"/>
  <c r="Q822" i="7"/>
  <c r="R989" i="7"/>
  <c r="Q88" i="7"/>
  <c r="Q752" i="7"/>
  <c r="R729" i="7"/>
  <c r="R687" i="7"/>
  <c r="Q631" i="7"/>
  <c r="Q414" i="7"/>
  <c r="Q1062" i="7"/>
  <c r="R1124" i="7"/>
  <c r="Q361" i="7"/>
  <c r="R1362" i="7"/>
  <c r="Q175" i="7"/>
  <c r="Q186" i="7"/>
  <c r="Q282" i="7"/>
  <c r="Q1176" i="7"/>
  <c r="R820" i="7"/>
  <c r="Q1368" i="7"/>
  <c r="Q1263" i="7"/>
  <c r="Q430" i="7"/>
  <c r="R571" i="7"/>
  <c r="Q884" i="7"/>
  <c r="Q318" i="7"/>
  <c r="R372" i="7"/>
  <c r="Q449" i="7"/>
  <c r="R537" i="7"/>
  <c r="Q221" i="7"/>
  <c r="Q551" i="7"/>
  <c r="R552" i="7"/>
  <c r="Q585" i="7"/>
  <c r="Q513" i="7"/>
  <c r="Q948" i="7"/>
  <c r="R568" i="7"/>
  <c r="Q429" i="7"/>
  <c r="Q544" i="7"/>
  <c r="Q1265" i="7"/>
  <c r="Q1222" i="7"/>
  <c r="R1270" i="7"/>
  <c r="Q1249" i="7"/>
  <c r="R772" i="7"/>
  <c r="R626" i="7"/>
  <c r="R1137" i="7"/>
  <c r="R146" i="7"/>
  <c r="Q194" i="7"/>
  <c r="R168" i="7"/>
  <c r="Q448" i="7"/>
  <c r="R676" i="7"/>
  <c r="Q92" i="7"/>
  <c r="R271" i="7"/>
  <c r="Q478" i="7"/>
  <c r="R758" i="7"/>
  <c r="Q833" i="7"/>
  <c r="Q239" i="7"/>
  <c r="Q255" i="7"/>
  <c r="Q607" i="7"/>
  <c r="R164" i="7"/>
  <c r="R1310" i="7"/>
  <c r="Q529" i="7"/>
  <c r="R1039" i="7"/>
  <c r="Q795" i="7"/>
  <c r="R305" i="7"/>
  <c r="R572" i="7"/>
  <c r="Q1167" i="7"/>
  <c r="Q1046" i="7"/>
  <c r="Q1184" i="7"/>
  <c r="Q1255" i="7"/>
  <c r="R1101" i="7"/>
  <c r="Q314" i="7"/>
  <c r="Q94" i="7"/>
  <c r="Q302" i="7"/>
  <c r="R178" i="7"/>
  <c r="R418" i="7"/>
  <c r="Q381" i="7"/>
  <c r="R357" i="7"/>
  <c r="R366" i="7"/>
  <c r="R547" i="7"/>
  <c r="Q1201" i="7"/>
  <c r="R573" i="7"/>
  <c r="R197" i="7"/>
  <c r="Q77" i="7"/>
  <c r="R528" i="7"/>
  <c r="Q105" i="7"/>
  <c r="Q131" i="7"/>
  <c r="Q590" i="7"/>
  <c r="Q542" i="7"/>
  <c r="R377" i="7"/>
  <c r="R1113" i="7"/>
  <c r="R412" i="7"/>
  <c r="Q383" i="7"/>
  <c r="Q771" i="7"/>
  <c r="Q657" i="7"/>
  <c r="R1365" i="7"/>
  <c r="R1102" i="7"/>
  <c r="R219" i="7"/>
  <c r="Q83" i="7"/>
  <c r="R670" i="7"/>
  <c r="Q555" i="7"/>
  <c r="R661" i="7"/>
  <c r="Q504" i="7"/>
  <c r="Q362" i="7"/>
  <c r="Q347" i="7"/>
  <c r="R906" i="7"/>
  <c r="Q581" i="7"/>
  <c r="Q293" i="7"/>
  <c r="R1182" i="7"/>
  <c r="Q729" i="7"/>
  <c r="Q191" i="7"/>
  <c r="R577" i="7"/>
  <c r="Q382" i="7"/>
  <c r="R755" i="7"/>
  <c r="R1049" i="7"/>
  <c r="Q1071" i="7"/>
  <c r="R818" i="7"/>
  <c r="Q1087" i="7"/>
  <c r="R1292" i="7"/>
  <c r="Q840" i="7"/>
  <c r="R1018" i="7"/>
  <c r="R1099" i="7"/>
  <c r="R804" i="7"/>
  <c r="R740" i="7"/>
  <c r="R301" i="7"/>
  <c r="Q75" i="7"/>
  <c r="Q196" i="7"/>
  <c r="Q1135" i="7"/>
  <c r="Q1286" i="7"/>
  <c r="R929" i="7"/>
  <c r="Q1230" i="7"/>
  <c r="Q1194" i="7"/>
  <c r="R1014" i="7"/>
  <c r="Q1424" i="7"/>
  <c r="R1409" i="7"/>
  <c r="R917" i="7"/>
  <c r="R1199" i="7"/>
  <c r="R1335" i="7"/>
  <c r="Q1430" i="7"/>
  <c r="R176" i="7"/>
  <c r="Q1111" i="7"/>
  <c r="R1460" i="7"/>
  <c r="R278" i="7"/>
  <c r="R777" i="7"/>
  <c r="R891" i="7"/>
  <c r="R888" i="7"/>
  <c r="R538" i="7"/>
  <c r="Q1264" i="7"/>
  <c r="R1273" i="7"/>
  <c r="Q1367" i="7"/>
  <c r="R865" i="7"/>
  <c r="R1448" i="7"/>
  <c r="R1446" i="7"/>
  <c r="R303" i="7"/>
  <c r="Q1258" i="7"/>
  <c r="Q1034" i="7"/>
  <c r="R1193" i="7"/>
  <c r="Q649" i="7"/>
  <c r="Q1073" i="7"/>
  <c r="Q1382" i="7"/>
  <c r="Q811" i="7"/>
  <c r="Q682" i="7"/>
  <c r="R443" i="7"/>
  <c r="R1207" i="7"/>
  <c r="R281" i="7"/>
  <c r="Q614" i="7"/>
  <c r="Q686" i="7"/>
  <c r="R1347" i="7"/>
  <c r="Q1159" i="7"/>
  <c r="R1129" i="7"/>
  <c r="R1330" i="7"/>
  <c r="Q1463" i="7"/>
  <c r="R1444" i="7"/>
  <c r="R1159" i="7"/>
  <c r="Q1425" i="7"/>
  <c r="R1462" i="7"/>
  <c r="Q556" i="7"/>
  <c r="R1184" i="7"/>
  <c r="R1321" i="7"/>
  <c r="R1395" i="7"/>
  <c r="Q850" i="7"/>
  <c r="Q854" i="7"/>
  <c r="Q1127" i="7"/>
  <c r="Q970" i="7"/>
  <c r="R1296" i="7"/>
  <c r="Q829" i="7"/>
  <c r="R955" i="7"/>
  <c r="R1010" i="7"/>
  <c r="Q1269" i="7"/>
  <c r="R1415" i="7"/>
  <c r="Q1065" i="7"/>
  <c r="Q1171" i="7"/>
  <c r="Q1024" i="7"/>
  <c r="R1306" i="7"/>
  <c r="R829" i="7"/>
  <c r="Q648" i="7"/>
  <c r="Q1466" i="7"/>
  <c r="Q656" i="7"/>
  <c r="Q1271" i="7"/>
  <c r="R1138" i="7"/>
  <c r="R1046" i="7"/>
  <c r="R525" i="7"/>
  <c r="Q106" i="7"/>
  <c r="R333" i="7"/>
  <c r="Q413" i="7"/>
  <c r="R218" i="7"/>
  <c r="R507" i="7"/>
  <c r="Q1196" i="7"/>
  <c r="Q1153" i="7"/>
  <c r="Q541" i="7"/>
  <c r="R659" i="7"/>
  <c r="R143" i="7"/>
  <c r="Q231" i="7"/>
  <c r="Q613" i="7"/>
  <c r="R519" i="7"/>
  <c r="R1298" i="7"/>
  <c r="R761" i="7"/>
  <c r="Q1452" i="7"/>
  <c r="R244" i="7"/>
  <c r="R1361" i="7"/>
  <c r="Q1011" i="7"/>
  <c r="R1222" i="7"/>
  <c r="R873" i="7"/>
  <c r="Q998" i="7"/>
  <c r="R394" i="7"/>
  <c r="R422" i="7"/>
  <c r="R546" i="7"/>
  <c r="Q432" i="7"/>
  <c r="Q280" i="7"/>
  <c r="R706" i="7"/>
  <c r="Q1154" i="7"/>
  <c r="R623" i="7"/>
  <c r="Q974" i="7"/>
  <c r="R308" i="7"/>
  <c r="Q1236" i="7"/>
  <c r="Q931" i="7"/>
  <c r="Q224" i="7"/>
  <c r="R130" i="7"/>
  <c r="R468" i="7"/>
  <c r="R343" i="7"/>
  <c r="R477" i="7"/>
  <c r="R948" i="7"/>
  <c r="Q1202" i="7"/>
  <c r="R1072" i="7"/>
  <c r="Q290" i="7"/>
  <c r="R430" i="7"/>
  <c r="Q571" i="7"/>
  <c r="Q511" i="7"/>
  <c r="R424" i="7"/>
  <c r="Q598" i="7"/>
  <c r="Q738" i="7"/>
  <c r="Q1244" i="7"/>
  <c r="R825" i="7"/>
  <c r="Q1316" i="7"/>
  <c r="Q617" i="7"/>
  <c r="Q766" i="7"/>
  <c r="R515" i="7"/>
  <c r="Q1306" i="7"/>
  <c r="R1036" i="7"/>
  <c r="R106" i="7"/>
  <c r="R156" i="7"/>
  <c r="Q1277" i="7"/>
  <c r="R117" i="7"/>
  <c r="R514" i="7"/>
  <c r="Q112" i="7"/>
  <c r="R122" i="7"/>
  <c r="Q1074" i="7"/>
  <c r="R529" i="7"/>
  <c r="Q405" i="7"/>
  <c r="Q182" i="7"/>
  <c r="Q1035" i="7"/>
  <c r="Q1025" i="7"/>
  <c r="R1277" i="7"/>
  <c r="R440" i="7"/>
  <c r="Q452" i="7"/>
  <c r="Q712" i="7"/>
  <c r="Q507" i="7"/>
  <c r="Q584" i="7"/>
  <c r="R691" i="7"/>
  <c r="R940" i="7"/>
  <c r="R821" i="7"/>
  <c r="Q604" i="7"/>
  <c r="Q1172" i="7"/>
  <c r="R1126" i="7"/>
  <c r="R953" i="7"/>
  <c r="Q207" i="7"/>
  <c r="R204" i="7"/>
  <c r="R289" i="7"/>
  <c r="R207" i="7"/>
  <c r="R94" i="7"/>
  <c r="R411" i="7"/>
  <c r="Q1328" i="7"/>
  <c r="R930" i="7"/>
  <c r="Q922" i="7"/>
  <c r="Q423" i="7"/>
  <c r="R390" i="7"/>
  <c r="R536" i="7"/>
  <c r="R722" i="7"/>
  <c r="R1153" i="7"/>
  <c r="Q215" i="7"/>
  <c r="R575" i="7"/>
  <c r="Q176" i="7"/>
  <c r="R779" i="7"/>
  <c r="Q1314" i="7"/>
  <c r="R396" i="7"/>
  <c r="R796" i="7"/>
  <c r="R769" i="7"/>
  <c r="Q645" i="7"/>
  <c r="R1069" i="7"/>
  <c r="Q861" i="7"/>
  <c r="Q745" i="7"/>
  <c r="Q1060" i="7"/>
  <c r="Q279" i="7"/>
  <c r="Q415" i="7"/>
  <c r="R148" i="7"/>
  <c r="R110" i="7"/>
  <c r="Q431" i="7"/>
  <c r="Q116" i="7"/>
  <c r="R342" i="7"/>
  <c r="Q531" i="7"/>
  <c r="Q1206" i="7"/>
  <c r="Q616" i="7"/>
  <c r="Q843" i="7"/>
  <c r="Q165" i="7"/>
  <c r="Q135" i="7"/>
  <c r="Q356" i="7"/>
  <c r="R323" i="7"/>
  <c r="R332" i="7"/>
  <c r="R96" i="7"/>
  <c r="Q1085" i="7"/>
  <c r="R1191" i="7"/>
  <c r="Q300" i="7"/>
  <c r="Q453" i="7"/>
  <c r="R446" i="7"/>
  <c r="R1329" i="7"/>
  <c r="R1112" i="7"/>
  <c r="R704" i="7"/>
  <c r="Q721" i="7"/>
  <c r="Q140" i="7"/>
  <c r="R200" i="7"/>
  <c r="Q595" i="7"/>
  <c r="R978" i="7"/>
  <c r="Q967" i="7"/>
  <c r="Q953" i="7"/>
  <c r="R1233" i="7"/>
  <c r="Q897" i="7"/>
  <c r="R875" i="7"/>
  <c r="R1473" i="7"/>
  <c r="Q1469" i="7"/>
  <c r="Q1138" i="7"/>
  <c r="R826" i="7"/>
  <c r="Q1366" i="7"/>
  <c r="Q1446" i="7"/>
  <c r="Q1039" i="7"/>
  <c r="R991" i="7"/>
  <c r="R1424" i="7"/>
  <c r="Q305" i="7"/>
  <c r="R383" i="7"/>
  <c r="R1133" i="7"/>
  <c r="R988" i="7"/>
  <c r="Q951" i="7"/>
  <c r="R905" i="7"/>
  <c r="Q924" i="7"/>
  <c r="R690" i="7"/>
  <c r="R1479" i="7"/>
  <c r="R1472" i="7"/>
  <c r="Q1077" i="7"/>
  <c r="R724" i="7"/>
  <c r="Q684" i="7"/>
  <c r="Q624" i="7"/>
  <c r="R992" i="7"/>
  <c r="Q620" i="7"/>
  <c r="R1420" i="7"/>
  <c r="R1061" i="7"/>
  <c r="R1498" i="7"/>
  <c r="R1343" i="7"/>
  <c r="Q500" i="7"/>
  <c r="R858" i="7"/>
  <c r="Q1146" i="7"/>
  <c r="R766" i="7"/>
  <c r="R1200" i="7"/>
  <c r="Q1405" i="7"/>
  <c r="R1414" i="7"/>
  <c r="Q1321" i="7"/>
  <c r="Q1447" i="7"/>
  <c r="Q1395" i="7"/>
  <c r="R606" i="7"/>
  <c r="Q827" i="7"/>
  <c r="R669" i="7"/>
  <c r="R1404" i="7"/>
  <c r="R193" i="7"/>
  <c r="R1197" i="7"/>
  <c r="Q1429" i="7"/>
  <c r="R1331" i="7"/>
  <c r="R838" i="7"/>
  <c r="Q980" i="7"/>
  <c r="Q715" i="7"/>
  <c r="R1204" i="7"/>
  <c r="Q572" i="7"/>
  <c r="Q813" i="7"/>
  <c r="Q728" i="7"/>
  <c r="Q1234" i="7"/>
  <c r="Q1398" i="7"/>
  <c r="R732" i="7"/>
  <c r="R234" i="7"/>
  <c r="R617" i="7"/>
  <c r="Q611" i="7"/>
  <c r="R1350" i="7"/>
  <c r="R813" i="7"/>
  <c r="Q859" i="7"/>
  <c r="Q774" i="7"/>
  <c r="Q1401" i="7"/>
  <c r="Q982" i="7"/>
  <c r="R105" i="7"/>
  <c r="Q1281" i="7"/>
  <c r="Q1031" i="7"/>
  <c r="R1229" i="7"/>
  <c r="Q1439" i="7"/>
  <c r="R794" i="7"/>
  <c r="R554" i="7"/>
  <c r="Q935" i="7"/>
  <c r="Q1336" i="7"/>
  <c r="Q1337" i="7"/>
  <c r="Q1380" i="7"/>
  <c r="R709" i="7"/>
  <c r="Q458" i="7"/>
  <c r="Q1192" i="7"/>
  <c r="Q1100" i="7"/>
  <c r="R1109" i="7"/>
  <c r="R1228" i="7"/>
  <c r="R947" i="7"/>
  <c r="Q1391" i="7"/>
  <c r="Q1377" i="7"/>
  <c r="R1114" i="7"/>
  <c r="R987" i="7"/>
  <c r="Q1187" i="7"/>
  <c r="Q1068" i="7"/>
  <c r="Q1487" i="7"/>
  <c r="Q1030" i="7"/>
  <c r="R718" i="7"/>
  <c r="R479" i="7"/>
  <c r="Q1131" i="7"/>
  <c r="Q1149" i="7"/>
  <c r="Q933" i="7"/>
  <c r="R973" i="7"/>
  <c r="Q930" i="7"/>
  <c r="R113" i="7"/>
  <c r="Q565" i="7"/>
  <c r="Q570" i="7"/>
  <c r="R1045" i="7"/>
  <c r="Q1396" i="7"/>
  <c r="Q937" i="7"/>
  <c r="R903" i="7"/>
  <c r="R657" i="7"/>
  <c r="Q1325" i="7"/>
  <c r="Q492" i="7"/>
  <c r="R819" i="7"/>
  <c r="R738" i="7"/>
  <c r="R486" i="7"/>
  <c r="R221" i="7"/>
  <c r="Q1320" i="7"/>
  <c r="Q636" i="7"/>
  <c r="R967" i="7"/>
  <c r="Q472" i="7"/>
  <c r="R364" i="7"/>
  <c r="Q543" i="7"/>
  <c r="R1085" i="7"/>
  <c r="Q391" i="7"/>
  <c r="Q580" i="7"/>
  <c r="R1478" i="7"/>
  <c r="R620" i="7"/>
  <c r="R1367" i="7"/>
  <c r="R961" i="7"/>
  <c r="R1360" i="7"/>
  <c r="Q1409" i="7"/>
  <c r="Q38" i="7"/>
  <c r="R48" i="7"/>
  <c r="Q41" i="7"/>
  <c r="R54" i="7"/>
  <c r="R63" i="7"/>
  <c r="R67" i="7"/>
  <c r="R45" i="7"/>
  <c r="R64" i="7"/>
  <c r="R43" i="7"/>
  <c r="R39" i="7"/>
  <c r="R36" i="7"/>
  <c r="R42" i="7"/>
  <c r="Q65" i="7"/>
  <c r="Q67" i="7"/>
  <c r="Q56" i="7"/>
  <c r="Q62" i="7"/>
  <c r="Q34" i="7"/>
  <c r="Q57" i="7"/>
  <c r="Q42" i="7"/>
  <c r="Q46" i="7"/>
  <c r="R37" i="7"/>
  <c r="Q48" i="7"/>
  <c r="R35" i="7"/>
  <c r="Q40" i="7"/>
  <c r="Q54" i="7"/>
  <c r="Q39" i="7"/>
  <c r="R70" i="7"/>
  <c r="Q64" i="7"/>
  <c r="R49" i="7"/>
  <c r="R55" i="7"/>
  <c r="Q52" i="7"/>
  <c r="R74" i="7"/>
  <c r="Q60" i="7"/>
  <c r="R68" i="7"/>
  <c r="R58" i="7"/>
  <c r="R50" i="7"/>
  <c r="Q69" i="7"/>
  <c r="R47" i="7"/>
  <c r="R73" i="7"/>
  <c r="R56" i="7"/>
  <c r="R62" i="7"/>
  <c r="R34" i="7"/>
  <c r="Q74" i="7"/>
  <c r="Q73" i="7"/>
  <c r="Q37" i="7"/>
  <c r="R44" i="7"/>
  <c r="R69" i="7"/>
  <c r="R57" i="7"/>
  <c r="R52" i="7"/>
  <c r="Q49" i="7"/>
  <c r="R71" i="7"/>
  <c r="Q59" i="7"/>
  <c r="Q61" i="7"/>
  <c r="Q55" i="7"/>
  <c r="Q47" i="7"/>
  <c r="Q66" i="7"/>
  <c r="R38" i="7"/>
  <c r="Q71" i="7"/>
  <c r="R53" i="7"/>
  <c r="Q70" i="7"/>
  <c r="R65" i="7"/>
  <c r="Q58" i="7"/>
  <c r="R66" i="7"/>
  <c r="Q43" i="7"/>
  <c r="Q36" i="7"/>
  <c r="Q63" i="7"/>
  <c r="Q35" i="7"/>
  <c r="Q53" i="7"/>
  <c r="R61" i="7"/>
  <c r="R72" i="7"/>
  <c r="Q50" i="7"/>
  <c r="Q72" i="7"/>
  <c r="R40" i="7"/>
  <c r="Q51" i="7"/>
  <c r="R59" i="7"/>
  <c r="R46" i="7"/>
  <c r="Q45" i="7"/>
  <c r="Q44" i="7"/>
  <c r="R60" i="7"/>
  <c r="Q68" i="7"/>
  <c r="R51" i="7"/>
  <c r="R41" i="7"/>
  <c r="Q25" i="7"/>
  <c r="Q16" i="7"/>
  <c r="Q26" i="7"/>
  <c r="Q30" i="7"/>
  <c r="Q28" i="7"/>
  <c r="Q20" i="7"/>
  <c r="R26" i="7"/>
  <c r="Q27" i="7"/>
  <c r="Q14" i="7"/>
  <c r="R14" i="7"/>
  <c r="R27" i="7"/>
  <c r="R31" i="7"/>
  <c r="Q15" i="7"/>
  <c r="Q22" i="7"/>
  <c r="Q29" i="7"/>
  <c r="Q19" i="7"/>
  <c r="R20" i="7"/>
  <c r="R32" i="7"/>
  <c r="R16" i="7"/>
  <c r="R22" i="7"/>
  <c r="R29" i="7"/>
  <c r="R21" i="7"/>
  <c r="Q31" i="7"/>
  <c r="R24" i="7"/>
  <c r="Q24" i="7"/>
  <c r="Q33" i="7"/>
  <c r="Q17" i="7"/>
  <c r="Q32" i="7"/>
  <c r="R28" i="7"/>
  <c r="R30" i="7"/>
  <c r="R17" i="7"/>
  <c r="R23" i="7"/>
  <c r="R18" i="7"/>
  <c r="R19" i="7"/>
  <c r="R33" i="7"/>
  <c r="Q18" i="7"/>
  <c r="Q21" i="7"/>
  <c r="R15" i="7"/>
  <c r="R25" i="7"/>
  <c r="Q23" i="7"/>
  <c r="M56" i="1"/>
  <c r="U143" i="1"/>
  <c r="U139" i="1"/>
  <c r="M59" i="1"/>
  <c r="P65" i="1"/>
  <c r="I63" i="2"/>
  <c r="P62" i="1"/>
  <c r="U137" i="1"/>
  <c r="M65" i="1"/>
  <c r="U135" i="1"/>
  <c r="G72" i="1"/>
  <c r="M63" i="1"/>
  <c r="G75" i="1"/>
  <c r="P60" i="1"/>
  <c r="G76" i="1"/>
  <c r="U134" i="1"/>
  <c r="U138" i="1"/>
  <c r="U146" i="1"/>
  <c r="G74" i="1"/>
  <c r="U145" i="1"/>
  <c r="G73" i="1"/>
  <c r="P61" i="1"/>
  <c r="P64" i="1"/>
  <c r="P56" i="1"/>
  <c r="U136" i="1"/>
  <c r="U133" i="1"/>
  <c r="U140" i="1"/>
  <c r="U142" i="1"/>
  <c r="M61" i="1"/>
  <c r="U144" i="1"/>
  <c r="U141" i="1"/>
  <c r="M60" i="1"/>
  <c r="M57" i="1"/>
  <c r="M64" i="1"/>
  <c r="U147" i="1"/>
  <c r="M62" i="1"/>
  <c r="U148" i="1"/>
  <c r="G79" i="1"/>
  <c r="G78" i="1"/>
  <c r="M58" i="1"/>
  <c r="P59" i="1"/>
  <c r="P57" i="1"/>
  <c r="P63" i="1"/>
  <c r="P58" i="1"/>
  <c r="F94" i="1"/>
  <c r="U118" i="1"/>
  <c r="D94" i="1"/>
  <c r="H148" i="1"/>
  <c r="U128" i="1"/>
  <c r="H150" i="1"/>
  <c r="H132" i="1"/>
  <c r="H119" i="1"/>
  <c r="U121" i="1"/>
  <c r="H62" i="2"/>
  <c r="U117" i="1"/>
  <c r="U129" i="1"/>
  <c r="U127" i="1"/>
  <c r="H142" i="1"/>
  <c r="U123" i="1"/>
  <c r="H157" i="1"/>
  <c r="H134" i="1"/>
  <c r="H158" i="1"/>
  <c r="H139" i="1"/>
  <c r="H144" i="1"/>
  <c r="H147" i="1"/>
  <c r="R42" i="2"/>
  <c r="H161" i="1"/>
  <c r="H121" i="1"/>
  <c r="H159" i="1"/>
  <c r="H118" i="1"/>
  <c r="H141" i="1"/>
  <c r="H133" i="1"/>
  <c r="H151" i="1"/>
  <c r="H130" i="1"/>
  <c r="H122" i="1"/>
  <c r="H156" i="1"/>
  <c r="U124" i="1"/>
  <c r="H140" i="1"/>
  <c r="H128" i="1"/>
  <c r="H127" i="1"/>
  <c r="H131" i="1"/>
  <c r="H117" i="1"/>
  <c r="H155" i="1"/>
  <c r="U126" i="1"/>
  <c r="R63" i="2"/>
  <c r="H145" i="1"/>
  <c r="H143" i="1"/>
  <c r="U125" i="1"/>
  <c r="H153" i="1"/>
  <c r="H116" i="1"/>
  <c r="H149" i="1"/>
  <c r="H135" i="1"/>
  <c r="J63" i="2"/>
  <c r="U130" i="1"/>
  <c r="H123" i="1"/>
  <c r="E94" i="1"/>
  <c r="H137" i="1"/>
  <c r="H120" i="1"/>
  <c r="H160" i="1"/>
  <c r="U120" i="1"/>
  <c r="U122" i="1"/>
  <c r="H129" i="1"/>
  <c r="R22" i="2"/>
  <c r="H124" i="1"/>
  <c r="H94" i="1"/>
  <c r="U119" i="1"/>
  <c r="G94" i="1"/>
  <c r="U116" i="1"/>
  <c r="H138" i="1"/>
  <c r="H126" i="1"/>
  <c r="H154" i="1"/>
  <c r="D103" i="1" l="1"/>
  <c r="M62" i="2"/>
  <c r="L62" i="2"/>
  <c r="K62" i="2"/>
  <c r="U156" i="1"/>
  <c r="U157" i="1"/>
  <c r="U158" i="1"/>
  <c r="U151" i="1"/>
  <c r="U152" i="1"/>
  <c r="U162" i="1"/>
  <c r="U155" i="1"/>
  <c r="V165" i="1"/>
  <c r="U163" i="1"/>
  <c r="F71" i="1"/>
  <c r="H93" i="1"/>
  <c r="H102" i="1" s="1"/>
  <c r="H114" i="1"/>
  <c r="P114" i="1"/>
  <c r="P150" i="1" s="1"/>
  <c r="G93" i="1"/>
  <c r="G102" i="1" s="1"/>
  <c r="Q132" i="1"/>
  <c r="Q143" i="1"/>
  <c r="Q137" i="1"/>
  <c r="Q145" i="1"/>
  <c r="Q139" i="1"/>
  <c r="Q146" i="1"/>
  <c r="Q147" i="1"/>
  <c r="Q144" i="1"/>
  <c r="F72" i="1"/>
  <c r="Q141" i="1"/>
  <c r="F75" i="1"/>
  <c r="F79" i="1"/>
  <c r="F74" i="1"/>
  <c r="Q138" i="1"/>
  <c r="Q148" i="1"/>
  <c r="Q135" i="1"/>
  <c r="F78" i="1"/>
  <c r="Q140" i="1"/>
  <c r="Q136" i="1"/>
  <c r="Q133" i="1"/>
  <c r="I64" i="2"/>
  <c r="Q142" i="1"/>
  <c r="Q134" i="1"/>
  <c r="F73" i="1"/>
  <c r="F76" i="1"/>
  <c r="G133" i="1"/>
  <c r="G117" i="1"/>
  <c r="Q120" i="1"/>
  <c r="G129" i="1"/>
  <c r="G149" i="1"/>
  <c r="G131" i="1"/>
  <c r="G139" i="1"/>
  <c r="Q127" i="1"/>
  <c r="G145" i="1"/>
  <c r="G118" i="1"/>
  <c r="G154" i="1"/>
  <c r="Q117" i="1"/>
  <c r="H63" i="2"/>
  <c r="G122" i="1"/>
  <c r="G134" i="1"/>
  <c r="G153" i="1"/>
  <c r="G119" i="1"/>
  <c r="G137" i="1"/>
  <c r="G160" i="1"/>
  <c r="G141" i="1"/>
  <c r="Q130" i="1"/>
  <c r="G147" i="1"/>
  <c r="G126" i="1"/>
  <c r="Q122" i="1"/>
  <c r="G124" i="1"/>
  <c r="G123" i="1"/>
  <c r="G150" i="1"/>
  <c r="G161" i="1"/>
  <c r="G128" i="1"/>
  <c r="G135" i="1"/>
  <c r="G148" i="1"/>
  <c r="G151" i="1"/>
  <c r="G159" i="1"/>
  <c r="G155" i="1"/>
  <c r="G140" i="1"/>
  <c r="G142" i="1"/>
  <c r="G116" i="1"/>
  <c r="G120" i="1"/>
  <c r="Q126" i="1"/>
  <c r="G156" i="1"/>
  <c r="G127" i="1"/>
  <c r="Q116" i="1"/>
  <c r="G143" i="1"/>
  <c r="Q125" i="1"/>
  <c r="G158" i="1"/>
  <c r="Q121" i="1"/>
  <c r="G157" i="1"/>
  <c r="Q129" i="1"/>
  <c r="Q123" i="1"/>
  <c r="Q119" i="1"/>
  <c r="G138" i="1"/>
  <c r="Q118" i="1"/>
  <c r="R64" i="2"/>
  <c r="G132" i="1"/>
  <c r="Q128" i="1"/>
  <c r="G130" i="1"/>
  <c r="Q124" i="1"/>
  <c r="G121" i="1"/>
  <c r="J64" i="2"/>
  <c r="G144" i="1"/>
  <c r="N43" i="2" l="1"/>
  <c r="N12" i="2"/>
  <c r="N24" i="2"/>
  <c r="N9" i="2"/>
  <c r="N20" i="2"/>
  <c r="N34" i="2"/>
  <c r="N41" i="2"/>
  <c r="N53" i="2"/>
  <c r="N23" i="2"/>
  <c r="N61" i="2"/>
  <c r="N25" i="2"/>
  <c r="N49" i="2"/>
  <c r="N33" i="2"/>
  <c r="N57" i="2"/>
  <c r="N40" i="2"/>
  <c r="N10" i="2"/>
  <c r="N15" i="2"/>
  <c r="N36" i="2"/>
  <c r="N35" i="2"/>
  <c r="N45" i="2"/>
  <c r="N56" i="2"/>
  <c r="N39" i="2"/>
  <c r="N13" i="2"/>
  <c r="N42" i="2"/>
  <c r="N7" i="2"/>
  <c r="N51" i="2"/>
  <c r="N55" i="2"/>
  <c r="N14" i="2"/>
  <c r="N30" i="2"/>
  <c r="N17" i="2"/>
  <c r="N44" i="2"/>
  <c r="N58" i="2"/>
  <c r="N6" i="2"/>
  <c r="N29" i="2"/>
  <c r="N18" i="2"/>
  <c r="N38" i="2"/>
  <c r="N50" i="2"/>
  <c r="N21" i="2"/>
  <c r="N32" i="2"/>
  <c r="N52" i="2"/>
  <c r="N8" i="2"/>
  <c r="N19" i="2"/>
  <c r="N16" i="2"/>
  <c r="N28" i="2"/>
  <c r="N22" i="2"/>
  <c r="N47" i="2"/>
  <c r="N54" i="2"/>
  <c r="N62" i="2"/>
  <c r="N37" i="2"/>
  <c r="N4" i="2"/>
  <c r="N27" i="2"/>
  <c r="N63" i="2"/>
  <c r="N46" i="2"/>
  <c r="N60" i="2"/>
  <c r="N5" i="2"/>
  <c r="N11" i="2"/>
  <c r="N31" i="2"/>
  <c r="N48" i="2"/>
  <c r="N26" i="2"/>
  <c r="N59" i="2"/>
  <c r="O58" i="2"/>
  <c r="O9" i="2"/>
  <c r="O7" i="2"/>
  <c r="O53" i="2"/>
  <c r="O12" i="2"/>
  <c r="O17" i="2"/>
  <c r="O59" i="2"/>
  <c r="O31" i="2"/>
  <c r="O46" i="2"/>
  <c r="O30" i="2"/>
  <c r="O18" i="2"/>
  <c r="O44" i="2"/>
  <c r="O61" i="2"/>
  <c r="O33" i="2"/>
  <c r="O19" i="2"/>
  <c r="O25" i="2"/>
  <c r="O14" i="2"/>
  <c r="O29" i="2"/>
  <c r="O41" i="2"/>
  <c r="O8" i="2"/>
  <c r="O57" i="2"/>
  <c r="O40" i="2"/>
  <c r="O6" i="2"/>
  <c r="O52" i="2"/>
  <c r="O48" i="2"/>
  <c r="O42" i="2"/>
  <c r="O20" i="2"/>
  <c r="O45" i="2"/>
  <c r="O5" i="2"/>
  <c r="O34" i="2"/>
  <c r="O55" i="2"/>
  <c r="O13" i="2"/>
  <c r="O47" i="2"/>
  <c r="O22" i="2"/>
  <c r="O50" i="2"/>
  <c r="O54" i="2"/>
  <c r="O10" i="2"/>
  <c r="O4" i="2"/>
  <c r="O16" i="2"/>
  <c r="O23" i="2"/>
  <c r="O39" i="2"/>
  <c r="O24" i="2"/>
  <c r="O37" i="2"/>
  <c r="O51" i="2"/>
  <c r="O62" i="2"/>
  <c r="O27" i="2"/>
  <c r="O11" i="2"/>
  <c r="O36" i="2"/>
  <c r="O43" i="2"/>
  <c r="O21" i="2"/>
  <c r="O63" i="2"/>
  <c r="O15" i="2"/>
  <c r="O38" i="2"/>
  <c r="O60" i="2"/>
  <c r="O56" i="2"/>
  <c r="O35" i="2"/>
  <c r="O49" i="2"/>
  <c r="O26" i="2"/>
  <c r="O28" i="2"/>
  <c r="M63" i="2"/>
  <c r="K63" i="2"/>
  <c r="L63" i="2"/>
  <c r="U159" i="1"/>
  <c r="U164" i="1"/>
  <c r="U161" i="1"/>
  <c r="Q162" i="1"/>
  <c r="Q156" i="1"/>
  <c r="Q152" i="1"/>
  <c r="Q158" i="1"/>
  <c r="Q151" i="1"/>
  <c r="Q157" i="1"/>
  <c r="Q155" i="1"/>
  <c r="U165" i="1"/>
  <c r="U160" i="1"/>
  <c r="Q163" i="1"/>
  <c r="E71" i="1"/>
  <c r="H163" i="1"/>
  <c r="G114" i="1"/>
  <c r="O114" i="1"/>
  <c r="O150" i="1" s="1"/>
  <c r="P132" i="1"/>
  <c r="P137" i="1"/>
  <c r="P138" i="1"/>
  <c r="P135" i="1"/>
  <c r="H168" i="1"/>
  <c r="P147" i="1"/>
  <c r="P148" i="1"/>
  <c r="H169" i="1"/>
  <c r="H167" i="1"/>
  <c r="E74" i="1"/>
  <c r="E78" i="1"/>
  <c r="H172" i="1"/>
  <c r="P145" i="1"/>
  <c r="P139" i="1"/>
  <c r="E76" i="1"/>
  <c r="E75" i="1"/>
  <c r="P141" i="1"/>
  <c r="P134" i="1"/>
  <c r="E73" i="1"/>
  <c r="E72" i="1"/>
  <c r="H173" i="1"/>
  <c r="P142" i="1"/>
  <c r="P133" i="1"/>
  <c r="P136" i="1"/>
  <c r="H174" i="1"/>
  <c r="H175" i="1"/>
  <c r="P140" i="1"/>
  <c r="P144" i="1"/>
  <c r="H170" i="1"/>
  <c r="H166" i="1"/>
  <c r="P143" i="1"/>
  <c r="H165" i="1"/>
  <c r="E79" i="1"/>
  <c r="H171" i="1"/>
  <c r="P146" i="1"/>
  <c r="P130" i="1"/>
  <c r="P126" i="1"/>
  <c r="F139" i="1"/>
  <c r="F129" i="1"/>
  <c r="F130" i="1"/>
  <c r="P116" i="1"/>
  <c r="F137" i="1"/>
  <c r="F140" i="1"/>
  <c r="F135" i="1"/>
  <c r="P119" i="1"/>
  <c r="F126" i="1"/>
  <c r="P118" i="1"/>
  <c r="F154" i="1"/>
  <c r="F155" i="1"/>
  <c r="P129" i="1"/>
  <c r="F150" i="1"/>
  <c r="F124" i="1"/>
  <c r="P117" i="1"/>
  <c r="F116" i="1"/>
  <c r="F161" i="1"/>
  <c r="F144" i="1"/>
  <c r="F142" i="1"/>
  <c r="F121" i="1"/>
  <c r="F122" i="1"/>
  <c r="P125" i="1"/>
  <c r="P122" i="1"/>
  <c r="P127" i="1"/>
  <c r="F133" i="1"/>
  <c r="F132" i="1"/>
  <c r="F143" i="1"/>
  <c r="F118" i="1"/>
  <c r="F157" i="1"/>
  <c r="F117" i="1"/>
  <c r="F134" i="1"/>
  <c r="F156" i="1"/>
  <c r="P124" i="1"/>
  <c r="F148" i="1"/>
  <c r="F128" i="1"/>
  <c r="F159" i="1"/>
  <c r="P123" i="1"/>
  <c r="P121" i="1"/>
  <c r="F153" i="1"/>
  <c r="F127" i="1"/>
  <c r="F147" i="1"/>
  <c r="P120" i="1"/>
  <c r="P128" i="1"/>
  <c r="F119" i="1"/>
  <c r="F160" i="1"/>
  <c r="F158" i="1"/>
  <c r="F145" i="1"/>
  <c r="F123" i="1"/>
  <c r="F120" i="1"/>
  <c r="F131" i="1"/>
  <c r="F138" i="1"/>
  <c r="F149" i="1"/>
  <c r="F151" i="1"/>
  <c r="F141" i="1"/>
  <c r="P163" i="1" l="1"/>
  <c r="P155" i="1"/>
  <c r="Q165" i="1"/>
  <c r="P151" i="1"/>
  <c r="P158" i="1"/>
  <c r="P157" i="1"/>
  <c r="Q164" i="1"/>
  <c r="Q161" i="1"/>
  <c r="P156" i="1"/>
  <c r="Q159" i="1"/>
  <c r="U153" i="1"/>
  <c r="P162" i="1"/>
  <c r="Q160" i="1"/>
  <c r="P152" i="1"/>
  <c r="U154" i="1"/>
  <c r="D71" i="1"/>
  <c r="N114" i="1"/>
  <c r="O132" i="1"/>
  <c r="F93" i="1"/>
  <c r="G163" i="1"/>
  <c r="F114" i="1"/>
  <c r="G171" i="1"/>
  <c r="O142" i="1"/>
  <c r="O138" i="1"/>
  <c r="O143" i="1"/>
  <c r="O147" i="1"/>
  <c r="O148" i="1"/>
  <c r="O146" i="1"/>
  <c r="O137" i="1"/>
  <c r="G170" i="1"/>
  <c r="D74" i="1"/>
  <c r="D72" i="1"/>
  <c r="G169" i="1"/>
  <c r="G168" i="1"/>
  <c r="D76" i="1"/>
  <c r="O140" i="1"/>
  <c r="O144" i="1"/>
  <c r="G167" i="1"/>
  <c r="O133" i="1"/>
  <c r="O141" i="1"/>
  <c r="O135" i="1"/>
  <c r="O145" i="1"/>
  <c r="D78" i="1"/>
  <c r="G165" i="1"/>
  <c r="G166" i="1"/>
  <c r="G174" i="1"/>
  <c r="O134" i="1"/>
  <c r="D75" i="1"/>
  <c r="G173" i="1"/>
  <c r="G175" i="1"/>
  <c r="O139" i="1"/>
  <c r="O136" i="1"/>
  <c r="G172" i="1"/>
  <c r="D73" i="1"/>
  <c r="D79" i="1"/>
  <c r="D154" i="1"/>
  <c r="E135" i="1"/>
  <c r="E137" i="1"/>
  <c r="E119" i="1"/>
  <c r="O126" i="1"/>
  <c r="O117" i="1"/>
  <c r="E138" i="1"/>
  <c r="E158" i="1"/>
  <c r="E128" i="1"/>
  <c r="O127" i="1"/>
  <c r="O125" i="1"/>
  <c r="E143" i="1"/>
  <c r="E153" i="1"/>
  <c r="E134" i="1"/>
  <c r="E127" i="1"/>
  <c r="E145" i="1"/>
  <c r="E117" i="1"/>
  <c r="E159" i="1"/>
  <c r="E123" i="1"/>
  <c r="E156" i="1"/>
  <c r="E131" i="1"/>
  <c r="D147" i="1"/>
  <c r="E116" i="1"/>
  <c r="E121" i="1"/>
  <c r="E157" i="1"/>
  <c r="O116" i="1"/>
  <c r="E150" i="1"/>
  <c r="E133" i="1"/>
  <c r="E126" i="1"/>
  <c r="D138" i="1"/>
  <c r="E161" i="1"/>
  <c r="D137" i="1"/>
  <c r="O118" i="1"/>
  <c r="E154" i="1"/>
  <c r="E160" i="1"/>
  <c r="E118" i="1"/>
  <c r="O121" i="1"/>
  <c r="O128" i="1"/>
  <c r="O119" i="1"/>
  <c r="E147" i="1"/>
  <c r="O123" i="1"/>
  <c r="E124" i="1"/>
  <c r="O130" i="1"/>
  <c r="E151" i="1"/>
  <c r="O122" i="1"/>
  <c r="O124" i="1"/>
  <c r="E132" i="1"/>
  <c r="E129" i="1"/>
  <c r="E141" i="1"/>
  <c r="E122" i="1"/>
  <c r="E149" i="1"/>
  <c r="E144" i="1"/>
  <c r="E120" i="1"/>
  <c r="E142" i="1"/>
  <c r="O129" i="1"/>
  <c r="E130" i="1"/>
  <c r="E155" i="1"/>
  <c r="E139" i="1"/>
  <c r="O120" i="1"/>
  <c r="E148" i="1"/>
  <c r="E140" i="1"/>
  <c r="N150" i="1" l="1"/>
  <c r="F102" i="1"/>
  <c r="O152" i="1"/>
  <c r="O158" i="1"/>
  <c r="O151" i="1"/>
  <c r="O157" i="1"/>
  <c r="P160" i="1"/>
  <c r="O162" i="1"/>
  <c r="O163" i="1"/>
  <c r="P161" i="1"/>
  <c r="P164" i="1"/>
  <c r="Q153" i="1"/>
  <c r="Q154" i="1"/>
  <c r="P159" i="1"/>
  <c r="O155" i="1"/>
  <c r="P165" i="1"/>
  <c r="O156" i="1"/>
  <c r="N110" i="1"/>
  <c r="N132" i="1"/>
  <c r="E114" i="1"/>
  <c r="E93" i="1"/>
  <c r="F163" i="1"/>
  <c r="N146" i="1"/>
  <c r="F165" i="1"/>
  <c r="F171" i="1"/>
  <c r="N135" i="1"/>
  <c r="N139" i="1"/>
  <c r="N140" i="1"/>
  <c r="F168" i="1"/>
  <c r="N136" i="1"/>
  <c r="F166" i="1"/>
  <c r="F175" i="1"/>
  <c r="N147" i="1"/>
  <c r="N143" i="1"/>
  <c r="N142" i="1"/>
  <c r="N148" i="1"/>
  <c r="N144" i="1"/>
  <c r="F167" i="1"/>
  <c r="N133" i="1"/>
  <c r="N141" i="1"/>
  <c r="N138" i="1"/>
  <c r="F170" i="1"/>
  <c r="N134" i="1"/>
  <c r="F173" i="1"/>
  <c r="N137" i="1"/>
  <c r="F174" i="1"/>
  <c r="F169" i="1"/>
  <c r="F172" i="1"/>
  <c r="N145" i="1"/>
  <c r="D160" i="1"/>
  <c r="D141" i="1"/>
  <c r="D132" i="1"/>
  <c r="D161" i="1"/>
  <c r="N128" i="1"/>
  <c r="D130" i="1"/>
  <c r="D126" i="1"/>
  <c r="N123" i="1"/>
  <c r="D128" i="1"/>
  <c r="D123" i="1"/>
  <c r="D129" i="1"/>
  <c r="D151" i="1"/>
  <c r="D150" i="1"/>
  <c r="D122" i="1"/>
  <c r="D142" i="1"/>
  <c r="D116" i="1"/>
  <c r="N122" i="1"/>
  <c r="D133" i="1"/>
  <c r="D143" i="1"/>
  <c r="N127" i="1"/>
  <c r="N126" i="1"/>
  <c r="N124" i="1"/>
  <c r="D131" i="1"/>
  <c r="D148" i="1"/>
  <c r="D144" i="1"/>
  <c r="D139" i="1"/>
  <c r="D155" i="1"/>
  <c r="N116" i="1"/>
  <c r="D124" i="1"/>
  <c r="D157" i="1"/>
  <c r="D156" i="1"/>
  <c r="D145" i="1"/>
  <c r="N125" i="1"/>
  <c r="D117" i="1"/>
  <c r="D140" i="1"/>
  <c r="D158" i="1"/>
  <c r="D135" i="1"/>
  <c r="D121" i="1"/>
  <c r="D118" i="1"/>
  <c r="N120" i="1"/>
  <c r="D153" i="1"/>
  <c r="N119" i="1"/>
  <c r="N118" i="1"/>
  <c r="N117" i="1"/>
  <c r="D149" i="1"/>
  <c r="D159" i="1"/>
  <c r="D127" i="1"/>
  <c r="D120" i="1"/>
  <c r="N130" i="1"/>
  <c r="N121" i="1"/>
  <c r="D119" i="1"/>
  <c r="D134" i="1"/>
  <c r="N129" i="1"/>
  <c r="D146" i="1" l="1"/>
  <c r="D125" i="1"/>
  <c r="N163" i="1"/>
  <c r="E102" i="1"/>
  <c r="N155" i="1"/>
  <c r="O165" i="1"/>
  <c r="N152" i="1"/>
  <c r="N162" i="1"/>
  <c r="P154" i="1"/>
  <c r="O164" i="1"/>
  <c r="O161" i="1"/>
  <c r="N156" i="1"/>
  <c r="N157" i="1"/>
  <c r="N158" i="1"/>
  <c r="N151" i="1"/>
  <c r="P153" i="1"/>
  <c r="O160" i="1"/>
  <c r="O159" i="1"/>
  <c r="E152" i="1"/>
  <c r="E125" i="1"/>
  <c r="E136" i="1"/>
  <c r="P166" i="1"/>
  <c r="F152" i="1"/>
  <c r="F125" i="1"/>
  <c r="G61" i="1"/>
  <c r="H152" i="1"/>
  <c r="V167" i="1"/>
  <c r="Q167" i="1"/>
  <c r="G136" i="1"/>
  <c r="H59" i="1"/>
  <c r="F77" i="1"/>
  <c r="G62" i="1"/>
  <c r="H57" i="1"/>
  <c r="H77" i="1"/>
  <c r="P66" i="1"/>
  <c r="G60" i="1"/>
  <c r="P50" i="1"/>
  <c r="H43" i="1"/>
  <c r="E146" i="1"/>
  <c r="E77" i="1"/>
  <c r="G125" i="1"/>
  <c r="G146" i="1"/>
  <c r="G59" i="1"/>
  <c r="H65" i="1"/>
  <c r="H136" i="1"/>
  <c r="P167" i="1"/>
  <c r="F136" i="1"/>
  <c r="F146" i="1"/>
  <c r="Q166" i="1"/>
  <c r="H49" i="1"/>
  <c r="G152" i="1"/>
  <c r="G77" i="1"/>
  <c r="G65" i="1"/>
  <c r="T15" i="7"/>
  <c r="U15" i="7" s="1"/>
  <c r="H61" i="1"/>
  <c r="T17" i="7"/>
  <c r="U17" i="7" s="1"/>
  <c r="T53" i="7"/>
  <c r="U53" i="7" s="1"/>
  <c r="T37" i="7"/>
  <c r="U37" i="7" s="1"/>
  <c r="V166" i="1"/>
  <c r="H45" i="1"/>
  <c r="T30" i="7"/>
  <c r="U30" i="7" s="1"/>
  <c r="G58" i="1"/>
  <c r="T18" i="7"/>
  <c r="U18" i="7" s="1"/>
  <c r="T27" i="7"/>
  <c r="U27" i="7" s="1"/>
  <c r="H46" i="1"/>
  <c r="T51" i="7"/>
  <c r="U51" i="7" s="1"/>
  <c r="T57" i="7"/>
  <c r="U57" i="7" s="1"/>
  <c r="U62" i="1"/>
  <c r="T43" i="7"/>
  <c r="U43" i="7" s="1"/>
  <c r="T52" i="7"/>
  <c r="U52" i="7" s="1"/>
  <c r="T22" i="7"/>
  <c r="U22" i="7" s="1"/>
  <c r="H56" i="1"/>
  <c r="U166" i="1"/>
  <c r="H146" i="1"/>
  <c r="G50" i="1"/>
  <c r="T26" i="7"/>
  <c r="U26" i="7" s="1"/>
  <c r="G103" i="1"/>
  <c r="T56" i="7"/>
  <c r="U56" i="7" s="1"/>
  <c r="T39" i="7"/>
  <c r="U39" i="7" s="1"/>
  <c r="T40" i="7"/>
  <c r="U40" i="7" s="1"/>
  <c r="T44" i="7"/>
  <c r="U44" i="7" s="1"/>
  <c r="T49" i="7"/>
  <c r="U49" i="7" s="1"/>
  <c r="T29" i="7"/>
  <c r="U29" i="7" s="1"/>
  <c r="H103" i="1"/>
  <c r="T55" i="7"/>
  <c r="U55" i="7" s="1"/>
  <c r="G63" i="1"/>
  <c r="H60" i="1"/>
  <c r="T28" i="7"/>
  <c r="U28" i="7" s="1"/>
  <c r="T42" i="7"/>
  <c r="U42" i="7" s="1"/>
  <c r="T31" i="7"/>
  <c r="U31" i="7" s="1"/>
  <c r="T58" i="7"/>
  <c r="U58" i="7" s="1"/>
  <c r="E103" i="1"/>
  <c r="F50" i="1"/>
  <c r="T35" i="7"/>
  <c r="U35" i="7" s="1"/>
  <c r="H64" i="1"/>
  <c r="U167" i="1"/>
  <c r="G57" i="1"/>
  <c r="T48" i="7"/>
  <c r="U48" i="7" s="1"/>
  <c r="T54" i="7"/>
  <c r="U54" i="7" s="1"/>
  <c r="H48" i="1"/>
  <c r="T21" i="7"/>
  <c r="U21" i="7" s="1"/>
  <c r="T33" i="7"/>
  <c r="U33" i="7" s="1"/>
  <c r="T36" i="7"/>
  <c r="U36" i="7" s="1"/>
  <c r="H44" i="1"/>
  <c r="F103" i="1"/>
  <c r="T23" i="7"/>
  <c r="U23" i="7" s="1"/>
  <c r="T24" i="7"/>
  <c r="U24" i="7" s="1"/>
  <c r="H42" i="1"/>
  <c r="T14" i="7"/>
  <c r="U14" i="7" s="1"/>
  <c r="U39" i="1"/>
  <c r="H125" i="1"/>
  <c r="H63" i="1"/>
  <c r="T38" i="7"/>
  <c r="U38" i="7" s="1"/>
  <c r="T20" i="7"/>
  <c r="U20" i="7" s="1"/>
  <c r="T32" i="7"/>
  <c r="U32" i="7" s="1"/>
  <c r="H47" i="1"/>
  <c r="T50" i="7"/>
  <c r="U50" i="7" s="1"/>
  <c r="T34" i="7"/>
  <c r="U34" i="7" s="1"/>
  <c r="H58" i="1"/>
  <c r="F66" i="1"/>
  <c r="G56" i="1"/>
  <c r="G64" i="1"/>
  <c r="T41" i="7"/>
  <c r="U41" i="7" s="1"/>
  <c r="T16" i="7"/>
  <c r="U16" i="7" s="1"/>
  <c r="T25" i="7"/>
  <c r="U25" i="7" s="1"/>
  <c r="T19" i="7"/>
  <c r="U19" i="7" s="1"/>
  <c r="H62" i="1"/>
  <c r="O166" i="1"/>
  <c r="O167" i="1"/>
  <c r="E163" i="1"/>
  <c r="D136" i="1"/>
  <c r="D152" i="1"/>
  <c r="D114" i="1"/>
  <c r="D77" i="1"/>
  <c r="D93" i="1"/>
  <c r="E175" i="1"/>
  <c r="E172" i="1"/>
  <c r="E167" i="1"/>
  <c r="E168" i="1"/>
  <c r="E165" i="1"/>
  <c r="E169" i="1"/>
  <c r="E171" i="1"/>
  <c r="E174" i="1"/>
  <c r="E173" i="1"/>
  <c r="E170" i="1"/>
  <c r="E166" i="1"/>
  <c r="N166" i="1"/>
  <c r="N167" i="1"/>
  <c r="N159" i="1"/>
  <c r="R32" i="2"/>
  <c r="N161" i="1"/>
  <c r="N160" i="1"/>
  <c r="N165" i="1"/>
  <c r="N164" i="1"/>
  <c r="V26" i="7" l="1"/>
  <c r="V1496" i="7"/>
  <c r="V1402" i="7"/>
  <c r="V1487" i="7"/>
  <c r="V1384" i="7"/>
  <c r="V1498" i="7"/>
  <c r="V1418" i="7"/>
  <c r="V1366" i="7"/>
  <c r="V1445" i="7"/>
  <c r="V1440" i="7"/>
  <c r="V1466" i="7"/>
  <c r="V1420" i="7"/>
  <c r="V1480" i="7"/>
  <c r="V1363" i="7"/>
  <c r="V1391" i="7"/>
  <c r="V1354" i="7"/>
  <c r="V1438" i="7"/>
  <c r="V1495" i="7"/>
  <c r="V1335" i="7"/>
  <c r="V1409" i="7"/>
  <c r="V1396" i="7"/>
  <c r="V1421" i="7"/>
  <c r="V1461" i="7"/>
  <c r="V1353" i="7"/>
  <c r="V1473" i="7"/>
  <c r="V1436" i="7"/>
  <c r="V1331" i="7"/>
  <c r="V1462" i="7"/>
  <c r="V1470" i="7"/>
  <c r="V1381" i="7"/>
  <c r="V1451" i="7"/>
  <c r="V1339" i="7"/>
  <c r="V1348" i="7"/>
  <c r="V1361" i="7"/>
  <c r="V1443" i="7"/>
  <c r="V1352" i="7"/>
  <c r="V1474" i="7"/>
  <c r="V1404" i="7"/>
  <c r="V1390" i="7"/>
  <c r="V1500" i="7"/>
  <c r="V1400" i="7"/>
  <c r="V1405" i="7"/>
  <c r="V1469" i="7"/>
  <c r="V1362" i="7"/>
  <c r="V1488" i="7"/>
  <c r="V1393" i="7"/>
  <c r="V1459" i="7"/>
  <c r="V1441" i="7"/>
  <c r="V1419" i="7"/>
  <c r="V1414" i="7"/>
  <c r="V1346" i="7"/>
  <c r="V1424" i="7"/>
  <c r="V1416" i="7"/>
  <c r="V1372" i="7"/>
  <c r="V1351" i="7"/>
  <c r="V1432" i="7"/>
  <c r="V1410" i="7"/>
  <c r="V1435" i="7"/>
  <c r="V1431" i="7"/>
  <c r="V1406" i="7"/>
  <c r="V1472" i="7"/>
  <c r="V1475" i="7"/>
  <c r="V1497" i="7"/>
  <c r="V1387" i="7"/>
  <c r="V1429" i="7"/>
  <c r="V1397" i="7"/>
  <c r="V1412" i="7"/>
  <c r="V1426" i="7"/>
  <c r="V1344" i="7"/>
  <c r="V1408" i="7"/>
  <c r="V1347" i="7"/>
  <c r="V1360" i="7"/>
  <c r="V1422" i="7"/>
  <c r="V1499" i="7"/>
  <c r="V1463" i="7"/>
  <c r="V1468" i="7"/>
  <c r="V1417" i="7"/>
  <c r="V1338" i="7"/>
  <c r="V1437" i="7"/>
  <c r="V1380" i="7"/>
  <c r="V1333" i="7"/>
  <c r="V1355" i="7"/>
  <c r="V1447" i="7"/>
  <c r="V1401" i="7"/>
  <c r="V1494" i="7"/>
  <c r="V1377" i="7"/>
  <c r="V1403" i="7"/>
  <c r="V1486" i="7"/>
  <c r="V1444" i="7"/>
  <c r="V1367" i="7"/>
  <c r="V1399" i="7"/>
  <c r="V1434" i="7"/>
  <c r="V1446" i="7"/>
  <c r="V1483" i="7"/>
  <c r="V1456" i="7"/>
  <c r="V1392" i="7"/>
  <c r="V1478" i="7"/>
  <c r="V1493" i="7"/>
  <c r="V1427" i="7"/>
  <c r="V1442" i="7"/>
  <c r="V1430" i="7"/>
  <c r="V1379" i="7"/>
  <c r="V1342" i="7"/>
  <c r="V1373" i="7"/>
  <c r="V1357" i="7"/>
  <c r="V1411" i="7"/>
  <c r="V1482" i="7"/>
  <c r="V1452" i="7"/>
  <c r="V1334" i="7"/>
  <c r="V1458" i="7"/>
  <c r="V1343" i="7"/>
  <c r="V1350" i="7"/>
  <c r="V1359" i="7"/>
  <c r="V1332" i="7"/>
  <c r="V1398" i="7"/>
  <c r="V1358" i="7"/>
  <c r="V1448" i="7"/>
  <c r="V1477" i="7"/>
  <c r="V1370" i="7"/>
  <c r="V1368" i="7"/>
  <c r="V1485" i="7"/>
  <c r="V1413" i="7"/>
  <c r="V1476" i="7"/>
  <c r="V1340" i="7"/>
  <c r="V1489" i="7"/>
  <c r="V1423" i="7"/>
  <c r="V1356" i="7"/>
  <c r="V1336" i="7"/>
  <c r="V1455" i="7"/>
  <c r="V1449" i="7"/>
  <c r="V1395" i="7"/>
  <c r="V1394" i="7"/>
  <c r="V1388" i="7"/>
  <c r="V1425" i="7"/>
  <c r="V1460" i="7"/>
  <c r="V1375" i="7"/>
  <c r="V1376" i="7"/>
  <c r="V1439" i="7"/>
  <c r="V1467" i="7"/>
  <c r="V1465" i="7"/>
  <c r="V1386" i="7"/>
  <c r="V1389" i="7"/>
  <c r="V1330" i="7"/>
  <c r="V1407" i="7"/>
  <c r="V1428" i="7"/>
  <c r="V1464" i="7"/>
  <c r="V1415" i="7"/>
  <c r="V1369" i="7"/>
  <c r="V1433" i="7"/>
  <c r="V1484" i="7"/>
  <c r="V1382" i="7"/>
  <c r="V1364" i="7"/>
  <c r="V1479" i="7"/>
  <c r="V1349" i="7"/>
  <c r="V1471" i="7"/>
  <c r="V1374" i="7"/>
  <c r="V1492" i="7"/>
  <c r="V1365" i="7"/>
  <c r="V1450" i="7"/>
  <c r="V1453" i="7"/>
  <c r="V1341" i="7"/>
  <c r="V1385" i="7"/>
  <c r="V1481" i="7"/>
  <c r="V1337" i="7"/>
  <c r="V1345" i="7"/>
  <c r="V1371" i="7"/>
  <c r="V1383" i="7"/>
  <c r="V1378" i="7"/>
  <c r="V1454" i="7"/>
  <c r="V1457" i="7"/>
  <c r="V1491" i="7"/>
  <c r="V1490" i="7"/>
  <c r="V699" i="7"/>
  <c r="V901" i="7"/>
  <c r="V670" i="7"/>
  <c r="V763" i="7"/>
  <c r="V968" i="7"/>
  <c r="V1118" i="7"/>
  <c r="V995" i="7"/>
  <c r="V837" i="7"/>
  <c r="V1043" i="7"/>
  <c r="V849" i="7"/>
  <c r="V997" i="7"/>
  <c r="V650" i="7"/>
  <c r="V963" i="7"/>
  <c r="V781" i="7"/>
  <c r="V923" i="7"/>
  <c r="V1297" i="7"/>
  <c r="V793" i="7"/>
  <c r="V817" i="7"/>
  <c r="V636" i="7"/>
  <c r="V601" i="7"/>
  <c r="V870" i="7"/>
  <c r="V795" i="7"/>
  <c r="V1314" i="7"/>
  <c r="V1149" i="7"/>
  <c r="V722" i="7"/>
  <c r="V1153" i="7"/>
  <c r="V1028" i="7"/>
  <c r="V673" i="7"/>
  <c r="V1150" i="7"/>
  <c r="V1033" i="7"/>
  <c r="V930" i="7"/>
  <c r="V825" i="7"/>
  <c r="V630" i="7"/>
  <c r="V692" i="7"/>
  <c r="V1229" i="7"/>
  <c r="V1047" i="7"/>
  <c r="V750" i="7"/>
  <c r="V890" i="7"/>
  <c r="V1108" i="7"/>
  <c r="V695" i="7"/>
  <c r="V767" i="7"/>
  <c r="V702" i="7"/>
  <c r="V1056" i="7"/>
  <c r="V675" i="7"/>
  <c r="V885" i="7"/>
  <c r="V786" i="7"/>
  <c r="V977" i="7"/>
  <c r="V1018" i="7"/>
  <c r="V914" i="7"/>
  <c r="V970" i="7"/>
  <c r="V681" i="7"/>
  <c r="V1140" i="7"/>
  <c r="V1160" i="7"/>
  <c r="V860" i="7"/>
  <c r="V1216" i="7"/>
  <c r="V959" i="7"/>
  <c r="V1184" i="7"/>
  <c r="V747" i="7"/>
  <c r="V1064" i="7"/>
  <c r="V994" i="7"/>
  <c r="V989" i="7"/>
  <c r="V1106" i="7"/>
  <c r="V828" i="7"/>
  <c r="V728" i="7"/>
  <c r="V621" i="7"/>
  <c r="V1142" i="7"/>
  <c r="V604" i="7"/>
  <c r="V855" i="7"/>
  <c r="V952" i="7"/>
  <c r="V733" i="7"/>
  <c r="V1326" i="7"/>
  <c r="V1003" i="7"/>
  <c r="V712" i="7"/>
  <c r="V1075" i="7"/>
  <c r="V660" i="7"/>
  <c r="V778" i="7"/>
  <c r="V1084" i="7"/>
  <c r="V844" i="7"/>
  <c r="V1083" i="7"/>
  <c r="V971" i="7"/>
  <c r="V1248" i="7"/>
  <c r="V756" i="7"/>
  <c r="V929" i="7"/>
  <c r="V611" i="7"/>
  <c r="V848" i="7"/>
  <c r="V1195" i="7"/>
  <c r="V1215" i="7"/>
  <c r="V1110" i="7"/>
  <c r="V1060" i="7"/>
  <c r="V1213" i="7"/>
  <c r="V743" i="7"/>
  <c r="V1080" i="7"/>
  <c r="V1261" i="7"/>
  <c r="V832" i="7"/>
  <c r="V1176" i="7"/>
  <c r="V624" i="7"/>
  <c r="V1023" i="7"/>
  <c r="V717" i="7"/>
  <c r="V889" i="7"/>
  <c r="V1287" i="7"/>
  <c r="V1315" i="7"/>
  <c r="V1015" i="7"/>
  <c r="V1173" i="7"/>
  <c r="V1227" i="7"/>
  <c r="V645" i="7"/>
  <c r="V629" i="7"/>
  <c r="V703" i="7"/>
  <c r="V830" i="7"/>
  <c r="V1233" i="7"/>
  <c r="V878" i="7"/>
  <c r="V1231" i="7"/>
  <c r="V953" i="7"/>
  <c r="V1020" i="7"/>
  <c r="V1169" i="7"/>
  <c r="V911" i="7"/>
  <c r="V1199" i="7"/>
  <c r="V657" i="7"/>
  <c r="V1230" i="7"/>
  <c r="V1266" i="7"/>
  <c r="V824" i="7"/>
  <c r="V810" i="7"/>
  <c r="V1265" i="7"/>
  <c r="V985" i="7"/>
  <c r="V623" i="7"/>
  <c r="V721" i="7"/>
  <c r="V633" i="7"/>
  <c r="V875" i="7"/>
  <c r="V1042" i="7"/>
  <c r="V787" i="7"/>
  <c r="V705" i="7"/>
  <c r="V1093" i="7"/>
  <c r="V919" i="7"/>
  <c r="V772" i="7"/>
  <c r="V637" i="7"/>
  <c r="V1026" i="7"/>
  <c r="V967" i="7"/>
  <c r="V1051" i="7"/>
  <c r="V1214" i="7"/>
  <c r="V1241" i="7"/>
  <c r="V900" i="7"/>
  <c r="V1282" i="7"/>
  <c r="V1004" i="7"/>
  <c r="V1072" i="7"/>
  <c r="V1221" i="7"/>
  <c r="V1269" i="7"/>
  <c r="V764" i="7"/>
  <c r="V1166" i="7"/>
  <c r="V898" i="7"/>
  <c r="V1103" i="7"/>
  <c r="V1303" i="7"/>
  <c r="V647" i="7"/>
  <c r="V1293" i="7"/>
  <c r="V986" i="7"/>
  <c r="V783" i="7"/>
  <c r="V1091" i="7"/>
  <c r="V964" i="7"/>
  <c r="V1057" i="7"/>
  <c r="V749" i="7"/>
  <c r="V631" i="7"/>
  <c r="V1001" i="7"/>
  <c r="V1147" i="7"/>
  <c r="V622" i="7"/>
  <c r="V616" i="7"/>
  <c r="V1130" i="7"/>
  <c r="V625" i="7"/>
  <c r="V646" i="7"/>
  <c r="V1292" i="7"/>
  <c r="V1054" i="7"/>
  <c r="V634" i="7"/>
  <c r="V1226" i="7"/>
  <c r="V1244" i="7"/>
  <c r="V1041" i="7"/>
  <c r="V1167" i="7"/>
  <c r="V641" i="7"/>
  <c r="V984" i="7"/>
  <c r="V927" i="7"/>
  <c r="V818" i="7"/>
  <c r="V980" i="7"/>
  <c r="V779" i="7"/>
  <c r="V920" i="7"/>
  <c r="V613" i="7"/>
  <c r="V932" i="7"/>
  <c r="V654" i="7"/>
  <c r="V1159" i="7"/>
  <c r="V926" i="7"/>
  <c r="V639" i="7"/>
  <c r="V864" i="7"/>
  <c r="V618" i="7"/>
  <c r="V694" i="7"/>
  <c r="V973" i="7"/>
  <c r="V661" i="7"/>
  <c r="V1088" i="7"/>
  <c r="V769" i="7"/>
  <c r="V966" i="7"/>
  <c r="V1217" i="7"/>
  <c r="V891" i="7"/>
  <c r="V1030" i="7"/>
  <c r="V1120" i="7"/>
  <c r="V1017" i="7"/>
  <c r="V1027" i="7"/>
  <c r="V690" i="7"/>
  <c r="V1311" i="7"/>
  <c r="V899" i="7"/>
  <c r="V1168" i="7"/>
  <c r="V1188" i="7"/>
  <c r="V1098" i="7"/>
  <c r="V925" i="7"/>
  <c r="V856" i="7"/>
  <c r="V805" i="7"/>
  <c r="V1157" i="7"/>
  <c r="V822" i="7"/>
  <c r="V713" i="7"/>
  <c r="V782" i="7"/>
  <c r="V1164" i="7"/>
  <c r="V745" i="7"/>
  <c r="V1079" i="7"/>
  <c r="V1070" i="7"/>
  <c r="V1133" i="7"/>
  <c r="V944" i="7"/>
  <c r="V687" i="7"/>
  <c r="V924" i="7"/>
  <c r="V876" i="7"/>
  <c r="V998" i="7"/>
  <c r="V1144" i="7"/>
  <c r="V988" i="7"/>
  <c r="V1257" i="7"/>
  <c r="V990" i="7"/>
  <c r="V1078" i="7"/>
  <c r="V1006" i="7"/>
  <c r="V1114" i="7"/>
  <c r="V972" i="7"/>
  <c r="V1198" i="7"/>
  <c r="V938" i="7"/>
  <c r="V958" i="7"/>
  <c r="V1323" i="7"/>
  <c r="V1306" i="7"/>
  <c r="V1066" i="7"/>
  <c r="V794" i="7"/>
  <c r="V1207" i="7"/>
  <c r="V724" i="7"/>
  <c r="V823" i="7"/>
  <c r="V820" i="7"/>
  <c r="V738" i="7"/>
  <c r="V662" i="7"/>
  <c r="V852" i="7"/>
  <c r="V797" i="7"/>
  <c r="V874" i="7"/>
  <c r="V1289" i="7"/>
  <c r="V1063" i="7"/>
  <c r="V1035" i="7"/>
  <c r="V845" i="7"/>
  <c r="V1189" i="7"/>
  <c r="V1048" i="7"/>
  <c r="V742" i="7"/>
  <c r="V619" i="7"/>
  <c r="V1105" i="7"/>
  <c r="V1208" i="7"/>
  <c r="V790" i="7"/>
  <c r="V1126" i="7"/>
  <c r="V834" i="7"/>
  <c r="V955" i="7"/>
  <c r="V1285" i="7"/>
  <c r="V888" i="7"/>
  <c r="V656" i="7"/>
  <c r="V829" i="7"/>
  <c r="V1071" i="7"/>
  <c r="V908" i="7"/>
  <c r="V1264" i="7"/>
  <c r="V1209" i="7"/>
  <c r="V667" i="7"/>
  <c r="V1304" i="7"/>
  <c r="V1128" i="7"/>
  <c r="V910" i="7"/>
  <c r="V1067" i="7"/>
  <c r="V1132" i="7"/>
  <c r="V1090" i="7"/>
  <c r="V1284" i="7"/>
  <c r="V1095" i="7"/>
  <c r="V1278" i="7"/>
  <c r="V663" i="7"/>
  <c r="V1009" i="7"/>
  <c r="V1123" i="7"/>
  <c r="V1260" i="7"/>
  <c r="V1253" i="7"/>
  <c r="V1081" i="7"/>
  <c r="V827" i="7"/>
  <c r="V1029" i="7"/>
  <c r="V1267" i="7"/>
  <c r="V941" i="7"/>
  <c r="V1115" i="7"/>
  <c r="V877" i="7"/>
  <c r="V671" i="7"/>
  <c r="V1301" i="7"/>
  <c r="V1254" i="7"/>
  <c r="V730" i="7"/>
  <c r="V880" i="7"/>
  <c r="V610" i="7"/>
  <c r="V1270" i="7"/>
  <c r="V1235" i="7"/>
  <c r="V726" i="7"/>
  <c r="V698" i="7"/>
  <c r="V1102" i="7"/>
  <c r="V1152" i="7"/>
  <c r="V766" i="7"/>
  <c r="V1239" i="7"/>
  <c r="V1085" i="7"/>
  <c r="V1022" i="7"/>
  <c r="V802" i="7"/>
  <c r="V843" i="7"/>
  <c r="V1272" i="7"/>
  <c r="V1148" i="7"/>
  <c r="V683" i="7"/>
  <c r="V1211" i="7"/>
  <c r="V965" i="7"/>
  <c r="V1218" i="7"/>
  <c r="V771" i="7"/>
  <c r="V653" i="7"/>
  <c r="V752" i="7"/>
  <c r="V785" i="7"/>
  <c r="V1202" i="7"/>
  <c r="V921" i="7"/>
  <c r="V1318" i="7"/>
  <c r="V1019" i="7"/>
  <c r="V1112" i="7"/>
  <c r="V628" i="7"/>
  <c r="V736" i="7"/>
  <c r="V627" i="7"/>
  <c r="V879" i="7"/>
  <c r="V1305" i="7"/>
  <c r="V861" i="7"/>
  <c r="V1204" i="7"/>
  <c r="V693" i="7"/>
  <c r="V1117" i="7"/>
  <c r="V1016" i="7"/>
  <c r="V649" i="7"/>
  <c r="V1187" i="7"/>
  <c r="V886" i="7"/>
  <c r="V744" i="7"/>
  <c r="V1298" i="7"/>
  <c r="V1302" i="7"/>
  <c r="V847" i="7"/>
  <c r="V969" i="7"/>
  <c r="V1013" i="7"/>
  <c r="V816" i="7"/>
  <c r="V776" i="7"/>
  <c r="V813" i="7"/>
  <c r="V719" i="7"/>
  <c r="V913" i="7"/>
  <c r="V937" i="7"/>
  <c r="V975" i="7"/>
  <c r="V993" i="7"/>
  <c r="V894" i="7"/>
  <c r="V1059" i="7"/>
  <c r="V1031" i="7"/>
  <c r="V607" i="7"/>
  <c r="V851" i="7"/>
  <c r="V644" i="7"/>
  <c r="V1089" i="7"/>
  <c r="V1045" i="7"/>
  <c r="V1283" i="7"/>
  <c r="V792" i="7"/>
  <c r="V632" i="7"/>
  <c r="V606" i="7"/>
  <c r="V1296" i="7"/>
  <c r="V1275" i="7"/>
  <c r="V1034" i="7"/>
  <c r="V1240" i="7"/>
  <c r="V1319" i="7"/>
  <c r="V940" i="7"/>
  <c r="V664" i="7"/>
  <c r="V840" i="7"/>
  <c r="V842" i="7"/>
  <c r="V862" i="7"/>
  <c r="V800" i="7"/>
  <c r="V691" i="7"/>
  <c r="V758" i="7"/>
  <c r="V1322" i="7"/>
  <c r="V1151" i="7"/>
  <c r="V796" i="7"/>
  <c r="V642" i="7"/>
  <c r="V739" i="7"/>
  <c r="V686" i="7"/>
  <c r="V1271" i="7"/>
  <c r="V1250" i="7"/>
  <c r="V1032" i="7"/>
  <c r="V1134" i="7"/>
  <c r="V961" i="7"/>
  <c r="V1325" i="7"/>
  <c r="V1099" i="7"/>
  <c r="V1155" i="7"/>
  <c r="V1225" i="7"/>
  <c r="V883" i="7"/>
  <c r="V1116" i="7"/>
  <c r="V866" i="7"/>
  <c r="V838" i="7"/>
  <c r="V915" i="7"/>
  <c r="V1065" i="7"/>
  <c r="V1309" i="7"/>
  <c r="V907" i="7"/>
  <c r="V1125" i="7"/>
  <c r="V737" i="7"/>
  <c r="V1069" i="7"/>
  <c r="V1068" i="7"/>
  <c r="V680" i="7"/>
  <c r="V1307" i="7"/>
  <c r="V1174" i="7"/>
  <c r="V826" i="7"/>
  <c r="V1276" i="7"/>
  <c r="V1077" i="7"/>
  <c r="V1268" i="7"/>
  <c r="V1038" i="7"/>
  <c r="V1100" i="7"/>
  <c r="V720" i="7"/>
  <c r="V857" i="7"/>
  <c r="V1210" i="7"/>
  <c r="V806" i="7"/>
  <c r="V1294" i="7"/>
  <c r="V1312" i="7"/>
  <c r="V605" i="7"/>
  <c r="V947" i="7"/>
  <c r="V1053" i="7"/>
  <c r="V682" i="7"/>
  <c r="V676" i="7"/>
  <c r="V708" i="7"/>
  <c r="V755" i="7"/>
  <c r="V777" i="7"/>
  <c r="V1124" i="7"/>
  <c r="V798" i="7"/>
  <c r="V1039" i="7"/>
  <c r="V757" i="7"/>
  <c r="V801" i="7"/>
  <c r="V1111" i="7"/>
  <c r="V1243" i="7"/>
  <c r="V1087" i="7"/>
  <c r="V957" i="7"/>
  <c r="V1025" i="7"/>
  <c r="V1205" i="7"/>
  <c r="V1050" i="7"/>
  <c r="V791" i="7"/>
  <c r="V902" i="7"/>
  <c r="V1201" i="7"/>
  <c r="V812" i="7"/>
  <c r="V1171" i="7"/>
  <c r="V933" i="7"/>
  <c r="V897" i="7"/>
  <c r="V909" i="7"/>
  <c r="V991" i="7"/>
  <c r="V638" i="7"/>
  <c r="V761" i="7"/>
  <c r="V896" i="7"/>
  <c r="V1258" i="7"/>
  <c r="V725" i="7"/>
  <c r="V943" i="7"/>
  <c r="V1255" i="7"/>
  <c r="V1192" i="7"/>
  <c r="V1007" i="7"/>
  <c r="V858" i="7"/>
  <c r="V1263" i="7"/>
  <c r="V648" i="7"/>
  <c r="V774" i="7"/>
  <c r="V1177" i="7"/>
  <c r="V1288" i="7"/>
  <c r="V1010" i="7"/>
  <c r="V716" i="7"/>
  <c r="V892" i="7"/>
  <c r="V1109" i="7"/>
  <c r="V1279" i="7"/>
  <c r="V992" i="7"/>
  <c r="V917" i="7"/>
  <c r="V850" i="7"/>
  <c r="V732" i="7"/>
  <c r="V1163" i="7"/>
  <c r="V658" i="7"/>
  <c r="V1135" i="7"/>
  <c r="V819" i="7"/>
  <c r="V1228" i="7"/>
  <c r="V1094" i="7"/>
  <c r="V773" i="7"/>
  <c r="V1175" i="7"/>
  <c r="V746" i="7"/>
  <c r="V715" i="7"/>
  <c r="V1329" i="7"/>
  <c r="V1300" i="7"/>
  <c r="V974" i="7"/>
  <c r="V976" i="7"/>
  <c r="V799" i="7"/>
  <c r="V685" i="7"/>
  <c r="V659" i="7"/>
  <c r="V1146" i="7"/>
  <c r="V734" i="7"/>
  <c r="V960" i="7"/>
  <c r="V707" i="7"/>
  <c r="V689" i="7"/>
  <c r="V1194" i="7"/>
  <c r="V711" i="7"/>
  <c r="V949" i="7"/>
  <c r="V760" i="7"/>
  <c r="V706" i="7"/>
  <c r="V1179" i="7"/>
  <c r="V617" i="7"/>
  <c r="V1197" i="7"/>
  <c r="V1220" i="7"/>
  <c r="V942" i="7"/>
  <c r="V669" i="7"/>
  <c r="V865" i="7"/>
  <c r="V1295" i="7"/>
  <c r="V868" i="7"/>
  <c r="V1274" i="7"/>
  <c r="V748" i="7"/>
  <c r="V918" i="7"/>
  <c r="V740" i="7"/>
  <c r="V1137" i="7"/>
  <c r="V982" i="7"/>
  <c r="V946" i="7"/>
  <c r="V1005" i="7"/>
  <c r="V935" i="7"/>
  <c r="V754" i="7"/>
  <c r="V626" i="7"/>
  <c r="V1011" i="7"/>
  <c r="V1186" i="7"/>
  <c r="V1180" i="7"/>
  <c r="V1021" i="7"/>
  <c r="V881" i="7"/>
  <c r="V1073" i="7"/>
  <c r="V1024" i="7"/>
  <c r="V809" i="7"/>
  <c r="V1096" i="7"/>
  <c r="V731" i="7"/>
  <c r="V1165" i="7"/>
  <c r="V1046" i="7"/>
  <c r="V807" i="7"/>
  <c r="V1242" i="7"/>
  <c r="V615" i="7"/>
  <c r="V1277" i="7"/>
  <c r="V936" i="7"/>
  <c r="V1122" i="7"/>
  <c r="V612" i="7"/>
  <c r="V1156" i="7"/>
  <c r="V1044" i="7"/>
  <c r="V1238" i="7"/>
  <c r="V753" i="7"/>
  <c r="V922" i="7"/>
  <c r="V741" i="7"/>
  <c r="V1206" i="7"/>
  <c r="V1141" i="7"/>
  <c r="V996" i="7"/>
  <c r="V895" i="7"/>
  <c r="V1107" i="7"/>
  <c r="V735" i="7"/>
  <c r="V836" i="7"/>
  <c r="V841" i="7"/>
  <c r="V723" i="7"/>
  <c r="V1058" i="7"/>
  <c r="V979" i="7"/>
  <c r="V954" i="7"/>
  <c r="V696" i="7"/>
  <c r="V821" i="7"/>
  <c r="V931" i="7"/>
  <c r="V1308" i="7"/>
  <c r="V1154" i="7"/>
  <c r="V808" i="7"/>
  <c r="V831" i="7"/>
  <c r="V770" i="7"/>
  <c r="V1203" i="7"/>
  <c r="V1196" i="7"/>
  <c r="V751" i="7"/>
  <c r="V709" i="7"/>
  <c r="V1097" i="7"/>
  <c r="V710" i="7"/>
  <c r="V1002" i="7"/>
  <c r="V1076" i="7"/>
  <c r="V620" i="7"/>
  <c r="V1222" i="7"/>
  <c r="V815" i="7"/>
  <c r="V1262" i="7"/>
  <c r="V1185" i="7"/>
  <c r="V1092" i="7"/>
  <c r="V873" i="7"/>
  <c r="V1320" i="7"/>
  <c r="V804" i="7"/>
  <c r="V939" i="7"/>
  <c r="V1252" i="7"/>
  <c r="V1328" i="7"/>
  <c r="V978" i="7"/>
  <c r="V1037" i="7"/>
  <c r="V1052" i="7"/>
  <c r="V784" i="7"/>
  <c r="V904" i="7"/>
  <c r="V803" i="7"/>
  <c r="V1249" i="7"/>
  <c r="V846" i="7"/>
  <c r="V1119" i="7"/>
  <c r="V1280" i="7"/>
  <c r="V871" i="7"/>
  <c r="V1212" i="7"/>
  <c r="V987" i="7"/>
  <c r="V1121" i="7"/>
  <c r="V1113" i="7"/>
  <c r="V666" i="7"/>
  <c r="V1062" i="7"/>
  <c r="V1251" i="7"/>
  <c r="V916" i="7"/>
  <c r="V839" i="7"/>
  <c r="V1172" i="7"/>
  <c r="V1191" i="7"/>
  <c r="V672" i="7"/>
  <c r="V863" i="7"/>
  <c r="V912" i="7"/>
  <c r="V1291" i="7"/>
  <c r="V859" i="7"/>
  <c r="V765" i="7"/>
  <c r="V1008" i="7"/>
  <c r="V1273" i="7"/>
  <c r="V1327" i="7"/>
  <c r="V1299" i="7"/>
  <c r="V1049" i="7"/>
  <c r="V1232" i="7"/>
  <c r="V1183" i="7"/>
  <c r="V1321" i="7"/>
  <c r="V854" i="7"/>
  <c r="V945" i="7"/>
  <c r="V608" i="7"/>
  <c r="V1170" i="7"/>
  <c r="V869" i="7"/>
  <c r="V962" i="7"/>
  <c r="V1234" i="7"/>
  <c r="V853" i="7"/>
  <c r="V1161" i="7"/>
  <c r="V1061" i="7"/>
  <c r="V1131" i="7"/>
  <c r="V981" i="7"/>
  <c r="V1012" i="7"/>
  <c r="V893" i="7"/>
  <c r="V1256" i="7"/>
  <c r="V999" i="7"/>
  <c r="V1193" i="7"/>
  <c r="V887" i="7"/>
  <c r="V867" i="7"/>
  <c r="V665" i="7"/>
  <c r="V609" i="7"/>
  <c r="V759" i="7"/>
  <c r="V697" i="7"/>
  <c r="V640" i="7"/>
  <c r="V1040" i="7"/>
  <c r="V1200" i="7"/>
  <c r="V674" i="7"/>
  <c r="V884" i="7"/>
  <c r="V775" i="7"/>
  <c r="V1237" i="7"/>
  <c r="V1145" i="7"/>
  <c r="V788" i="7"/>
  <c r="V727" i="7"/>
  <c r="V833" i="7"/>
  <c r="V1247" i="7"/>
  <c r="V872" i="7"/>
  <c r="V1219" i="7"/>
  <c r="V1162" i="7"/>
  <c r="V1055" i="7"/>
  <c r="V602" i="7"/>
  <c r="V668" i="7"/>
  <c r="V1101" i="7"/>
  <c r="V1074" i="7"/>
  <c r="V928" i="7"/>
  <c r="V603" i="7"/>
  <c r="V651" i="7"/>
  <c r="V652" i="7"/>
  <c r="V1286" i="7"/>
  <c r="V762" i="7"/>
  <c r="V1290" i="7"/>
  <c r="V814" i="7"/>
  <c r="V956" i="7"/>
  <c r="V1190" i="7"/>
  <c r="V835" i="7"/>
  <c r="V983" i="7"/>
  <c r="V789" i="7"/>
  <c r="V701" i="7"/>
  <c r="V905" i="7"/>
  <c r="V811" i="7"/>
  <c r="V1223" i="7"/>
  <c r="V1259" i="7"/>
  <c r="V679" i="7"/>
  <c r="V704" i="7"/>
  <c r="V1143" i="7"/>
  <c r="V1224" i="7"/>
  <c r="V677" i="7"/>
  <c r="V1236" i="7"/>
  <c r="V951" i="7"/>
  <c r="V1138" i="7"/>
  <c r="V1127" i="7"/>
  <c r="V1129" i="7"/>
  <c r="V1181" i="7"/>
  <c r="V1281" i="7"/>
  <c r="V700" i="7"/>
  <c r="V1086" i="7"/>
  <c r="V1014" i="7"/>
  <c r="V1316" i="7"/>
  <c r="V934" i="7"/>
  <c r="V1324" i="7"/>
  <c r="V684" i="7"/>
  <c r="V655" i="7"/>
  <c r="V1317" i="7"/>
  <c r="V1000" i="7"/>
  <c r="V780" i="7"/>
  <c r="V1036" i="7"/>
  <c r="V1158" i="7"/>
  <c r="V1182" i="7"/>
  <c r="V1139" i="7"/>
  <c r="V1310" i="7"/>
  <c r="V950" i="7"/>
  <c r="V903" i="7"/>
  <c r="V1313" i="7"/>
  <c r="V948" i="7"/>
  <c r="V643" i="7"/>
  <c r="V1104" i="7"/>
  <c r="V714" i="7"/>
  <c r="V718" i="7"/>
  <c r="V614" i="7"/>
  <c r="V1245" i="7"/>
  <c r="V906" i="7"/>
  <c r="V635" i="7"/>
  <c r="V729" i="7"/>
  <c r="V678" i="7"/>
  <c r="V1136" i="7"/>
  <c r="V768" i="7"/>
  <c r="V1178" i="7"/>
  <c r="V1082" i="7"/>
  <c r="V688" i="7"/>
  <c r="V1246" i="7"/>
  <c r="V882" i="7"/>
  <c r="V468" i="7"/>
  <c r="V494" i="7"/>
  <c r="V427" i="7"/>
  <c r="V333" i="7"/>
  <c r="V393" i="7"/>
  <c r="V405" i="7"/>
  <c r="V519" i="7"/>
  <c r="V335" i="7"/>
  <c r="V572" i="7"/>
  <c r="V315" i="7"/>
  <c r="V443" i="7"/>
  <c r="V325" i="7"/>
  <c r="V488" i="7"/>
  <c r="V517" i="7"/>
  <c r="V376" i="7"/>
  <c r="V290" i="7"/>
  <c r="V509" i="7"/>
  <c r="V570" i="7"/>
  <c r="V317" i="7"/>
  <c r="V329" i="7"/>
  <c r="V401" i="7"/>
  <c r="V415" i="7"/>
  <c r="V467" i="7"/>
  <c r="V484" i="7"/>
  <c r="V592" i="7"/>
  <c r="V301" i="7"/>
  <c r="V446" i="7"/>
  <c r="V416" i="7"/>
  <c r="V532" i="7"/>
  <c r="V413" i="7"/>
  <c r="V562" i="7"/>
  <c r="V389" i="7"/>
  <c r="V578" i="7"/>
  <c r="V357" i="7"/>
  <c r="V516" i="7"/>
  <c r="V575" i="7"/>
  <c r="V408" i="7"/>
  <c r="V563" i="7"/>
  <c r="V396" i="7"/>
  <c r="V544" i="7"/>
  <c r="V459" i="7"/>
  <c r="V434" i="7"/>
  <c r="V450" i="7"/>
  <c r="V422" i="7"/>
  <c r="V547" i="7"/>
  <c r="V397" i="7"/>
  <c r="V406" i="7"/>
  <c r="V435" i="7"/>
  <c r="V573" i="7"/>
  <c r="V407" i="7"/>
  <c r="V292" i="7"/>
  <c r="V583" i="7"/>
  <c r="V460" i="7"/>
  <c r="V499" i="7"/>
  <c r="V288" i="7"/>
  <c r="V543" i="7"/>
  <c r="V298" i="7"/>
  <c r="V433" i="7"/>
  <c r="V507" i="7"/>
  <c r="V436" i="7"/>
  <c r="V475" i="7"/>
  <c r="V553" i="7"/>
  <c r="V302" i="7"/>
  <c r="V419" i="7"/>
  <c r="V536" i="7"/>
  <c r="V404" i="7"/>
  <c r="V411" i="7"/>
  <c r="V392" i="7"/>
  <c r="V534" i="7"/>
  <c r="V490" i="7"/>
  <c r="V588" i="7"/>
  <c r="V596" i="7"/>
  <c r="V504" i="7"/>
  <c r="V332" i="7"/>
  <c r="V579" i="7"/>
  <c r="V491" i="7"/>
  <c r="V520" i="7"/>
  <c r="V398" i="7"/>
  <c r="V476" i="7"/>
  <c r="V307" i="7"/>
  <c r="V424" i="7"/>
  <c r="V377" i="7"/>
  <c r="V557" i="7"/>
  <c r="V374" i="7"/>
  <c r="V464" i="7"/>
  <c r="V497" i="7"/>
  <c r="V593" i="7"/>
  <c r="V550" i="7"/>
  <c r="V576" i="7"/>
  <c r="V442" i="7"/>
  <c r="V511" i="7"/>
  <c r="V458" i="7"/>
  <c r="V586" i="7"/>
  <c r="V344" i="7"/>
  <c r="V426" i="7"/>
  <c r="V539" i="7"/>
  <c r="V399" i="7"/>
  <c r="V414" i="7"/>
  <c r="V294" i="7"/>
  <c r="V323" i="7"/>
  <c r="V391" i="7"/>
  <c r="V366" i="7"/>
  <c r="V585" i="7"/>
  <c r="V297" i="7"/>
  <c r="V327" i="7"/>
  <c r="V318" i="7"/>
  <c r="V531" i="7"/>
  <c r="V552" i="7"/>
  <c r="V492" i="7"/>
  <c r="V368" i="7"/>
  <c r="V469" i="7"/>
  <c r="V540" i="7"/>
  <c r="V522" i="7"/>
  <c r="V342" i="7"/>
  <c r="V600" i="7"/>
  <c r="V481" i="7"/>
  <c r="V386" i="7"/>
  <c r="V501" i="7"/>
  <c r="V299" i="7"/>
  <c r="V300" i="7"/>
  <c r="V447" i="7"/>
  <c r="V518" i="7"/>
  <c r="V322" i="7"/>
  <c r="V319" i="7"/>
  <c r="V336" i="7"/>
  <c r="V455" i="7"/>
  <c r="V364" i="7"/>
  <c r="V466" i="7"/>
  <c r="V420" i="7"/>
  <c r="V360" i="7"/>
  <c r="V380" i="7"/>
  <c r="V554" i="7"/>
  <c r="V535" i="7"/>
  <c r="V515" i="7"/>
  <c r="V533" i="7"/>
  <c r="V291" i="7"/>
  <c r="V334" i="7"/>
  <c r="V456" i="7"/>
  <c r="V400" i="7"/>
  <c r="V548" i="7"/>
  <c r="V444" i="7"/>
  <c r="V385" i="7"/>
  <c r="V293" i="7"/>
  <c r="V590" i="7"/>
  <c r="V454" i="7"/>
  <c r="V390" i="7"/>
  <c r="V412" i="7"/>
  <c r="V381" i="7"/>
  <c r="V449" i="7"/>
  <c r="V378" i="7"/>
  <c r="V599" i="7"/>
  <c r="V551" i="7"/>
  <c r="V358" i="7"/>
  <c r="V428" i="7"/>
  <c r="V356" i="7"/>
  <c r="V595" i="7"/>
  <c r="V403" i="7"/>
  <c r="V546" i="7"/>
  <c r="V354" i="7"/>
  <c r="V418" i="7"/>
  <c r="V295" i="7"/>
  <c r="V451" i="7"/>
  <c r="V513" i="7"/>
  <c r="V558" i="7"/>
  <c r="V496" i="7"/>
  <c r="V355" i="7"/>
  <c r="V453" i="7"/>
  <c r="V351" i="7"/>
  <c r="V421" i="7"/>
  <c r="V541" i="7"/>
  <c r="V527" i="7"/>
  <c r="V346" i="7"/>
  <c r="V370" i="7"/>
  <c r="V324" i="7"/>
  <c r="V470" i="7"/>
  <c r="V348" i="7"/>
  <c r="V566" i="7"/>
  <c r="V480" i="7"/>
  <c r="V320" i="7"/>
  <c r="V313" i="7"/>
  <c r="V597" i="7"/>
  <c r="V352" i="7"/>
  <c r="V417" i="7"/>
  <c r="V363" i="7"/>
  <c r="V359" i="7"/>
  <c r="V542" i="7"/>
  <c r="V289" i="7"/>
  <c r="V549" i="7"/>
  <c r="V331" i="7"/>
  <c r="V582" i="7"/>
  <c r="V328" i="7"/>
  <c r="V523" i="7"/>
  <c r="V375" i="7"/>
  <c r="V555" i="7"/>
  <c r="V306" i="7"/>
  <c r="V425" i="7"/>
  <c r="V521" i="7"/>
  <c r="V371" i="7"/>
  <c r="V545" i="7"/>
  <c r="V438" i="7"/>
  <c r="V589" i="7"/>
  <c r="V598" i="7"/>
  <c r="V373" i="7"/>
  <c r="V560" i="7"/>
  <c r="V571" i="7"/>
  <c r="V353" i="7"/>
  <c r="V445" i="7"/>
  <c r="V463" i="7"/>
  <c r="V330" i="7"/>
  <c r="V439" i="7"/>
  <c r="V526" i="7"/>
  <c r="V482" i="7"/>
  <c r="V383" i="7"/>
  <c r="V347" i="7"/>
  <c r="V304" i="7"/>
  <c r="V477" i="7"/>
  <c r="V472" i="7"/>
  <c r="V530" i="7"/>
  <c r="V341" i="7"/>
  <c r="V369" i="7"/>
  <c r="V316" i="7"/>
  <c r="V569" i="7"/>
  <c r="V538" i="7"/>
  <c r="V514" i="7"/>
  <c r="V423" i="7"/>
  <c r="V314" i="7"/>
  <c r="V395" i="7"/>
  <c r="V312" i="7"/>
  <c r="V379" i="7"/>
  <c r="V465" i="7"/>
  <c r="V503" i="7"/>
  <c r="V321" i="7"/>
  <c r="V437" i="7"/>
  <c r="V474" i="7"/>
  <c r="V388" i="7"/>
  <c r="V448" i="7"/>
  <c r="V462" i="7"/>
  <c r="V483" i="7"/>
  <c r="V402" i="7"/>
  <c r="V487" i="7"/>
  <c r="V594" i="7"/>
  <c r="V409" i="7"/>
  <c r="V495" i="7"/>
  <c r="V471" i="7"/>
  <c r="V350" i="7"/>
  <c r="V508" i="7"/>
  <c r="V478" i="7"/>
  <c r="V506" i="7"/>
  <c r="V338" i="7"/>
  <c r="V556" i="7"/>
  <c r="V528" i="7"/>
  <c r="V559" i="7"/>
  <c r="V498" i="7"/>
  <c r="V493" i="7"/>
  <c r="V587" i="7"/>
  <c r="V473" i="7"/>
  <c r="V485" i="7"/>
  <c r="V367" i="7"/>
  <c r="V432" i="7"/>
  <c r="V410" i="7"/>
  <c r="V591" i="7"/>
  <c r="V574" i="7"/>
  <c r="V387" i="7"/>
  <c r="V345" i="7"/>
  <c r="V502" i="7"/>
  <c r="V311" i="7"/>
  <c r="V308" i="7"/>
  <c r="V580" i="7"/>
  <c r="V365" i="7"/>
  <c r="V500" i="7"/>
  <c r="V394" i="7"/>
  <c r="V372" i="7"/>
  <c r="V565" i="7"/>
  <c r="V305" i="7"/>
  <c r="V337" i="7"/>
  <c r="V441" i="7"/>
  <c r="V457" i="7"/>
  <c r="V479" i="7"/>
  <c r="V568" i="7"/>
  <c r="V430" i="7"/>
  <c r="V362" i="7"/>
  <c r="V309" i="7"/>
  <c r="V382" i="7"/>
  <c r="V581" i="7"/>
  <c r="V349" i="7"/>
  <c r="V512" i="7"/>
  <c r="V440" i="7"/>
  <c r="V510" i="7"/>
  <c r="V529" i="7"/>
  <c r="V584" i="7"/>
  <c r="V577" i="7"/>
  <c r="V525" i="7"/>
  <c r="V561" i="7"/>
  <c r="V524" i="7"/>
  <c r="V384" i="7"/>
  <c r="V310" i="7"/>
  <c r="V431" i="7"/>
  <c r="V343" i="7"/>
  <c r="V340" i="7"/>
  <c r="V567" i="7"/>
  <c r="V296" i="7"/>
  <c r="V339" i="7"/>
  <c r="V486" i="7"/>
  <c r="V452" i="7"/>
  <c r="V303" i="7"/>
  <c r="V326" i="7"/>
  <c r="V461" i="7"/>
  <c r="V564" i="7"/>
  <c r="V505" i="7"/>
  <c r="V489" i="7"/>
  <c r="V361" i="7"/>
  <c r="V537" i="7"/>
  <c r="V429" i="7"/>
  <c r="V218" i="7"/>
  <c r="V283" i="7"/>
  <c r="V236" i="7"/>
  <c r="V180" i="7"/>
  <c r="V239" i="7"/>
  <c r="V200" i="7"/>
  <c r="V285" i="7"/>
  <c r="V264" i="7"/>
  <c r="V241" i="7"/>
  <c r="V230" i="7"/>
  <c r="V229" i="7"/>
  <c r="V247" i="7"/>
  <c r="V210" i="7"/>
  <c r="V222" i="7"/>
  <c r="V284" i="7"/>
  <c r="V250" i="7"/>
  <c r="V226" i="7"/>
  <c r="V249" i="7"/>
  <c r="V227" i="7"/>
  <c r="V204" i="7"/>
  <c r="V186" i="7"/>
  <c r="V170" i="7"/>
  <c r="V171" i="7"/>
  <c r="V275" i="7"/>
  <c r="V235" i="7"/>
  <c r="V207" i="7"/>
  <c r="V268" i="7"/>
  <c r="V165" i="7"/>
  <c r="V212" i="7"/>
  <c r="V221" i="7"/>
  <c r="V203" i="7"/>
  <c r="V219" i="7"/>
  <c r="V193" i="7"/>
  <c r="V182" i="7"/>
  <c r="V206" i="7"/>
  <c r="V258" i="7"/>
  <c r="V251" i="7"/>
  <c r="V191" i="7"/>
  <c r="V192" i="7"/>
  <c r="V263" i="7"/>
  <c r="V183" i="7"/>
  <c r="V178" i="7"/>
  <c r="V169" i="7"/>
  <c r="V166" i="7"/>
  <c r="V242" i="7"/>
  <c r="V243" i="7"/>
  <c r="V213" i="7"/>
  <c r="V271" i="7"/>
  <c r="V225" i="7"/>
  <c r="V168" i="7"/>
  <c r="V198" i="7"/>
  <c r="V231" i="7"/>
  <c r="V273" i="7"/>
  <c r="V173" i="7"/>
  <c r="V194" i="7"/>
  <c r="V199" i="7"/>
  <c r="V259" i="7"/>
  <c r="V254" i="7"/>
  <c r="V286" i="7"/>
  <c r="V238" i="7"/>
  <c r="V279" i="7"/>
  <c r="V208" i="7"/>
  <c r="V266" i="7"/>
  <c r="V281" i="7"/>
  <c r="V174" i="7"/>
  <c r="V287" i="7"/>
  <c r="V196" i="7"/>
  <c r="V261" i="7"/>
  <c r="V257" i="7"/>
  <c r="V187" i="7"/>
  <c r="V190" i="7"/>
  <c r="V215" i="7"/>
  <c r="V220" i="7"/>
  <c r="V216" i="7"/>
  <c r="V201" i="7"/>
  <c r="V176" i="7"/>
  <c r="V223" i="7"/>
  <c r="V217" i="7"/>
  <c r="V185" i="7"/>
  <c r="V167" i="7"/>
  <c r="V228" i="7"/>
  <c r="V256" i="7"/>
  <c r="V262" i="7"/>
  <c r="V272" i="7"/>
  <c r="V252" i="7"/>
  <c r="V209" i="7"/>
  <c r="V244" i="7"/>
  <c r="V233" i="7"/>
  <c r="V211" i="7"/>
  <c r="V278" i="7"/>
  <c r="V175" i="7"/>
  <c r="V181" i="7"/>
  <c r="V184" i="7"/>
  <c r="V245" i="7"/>
  <c r="V202" i="7"/>
  <c r="V260" i="7"/>
  <c r="V253" i="7"/>
  <c r="V179" i="7"/>
  <c r="V246" i="7"/>
  <c r="V277" i="7"/>
  <c r="V195" i="7"/>
  <c r="V240" i="7"/>
  <c r="V248" i="7"/>
  <c r="V232" i="7"/>
  <c r="V189" i="7"/>
  <c r="V265" i="7"/>
  <c r="V177" i="7"/>
  <c r="V197" i="7"/>
  <c r="V282" i="7"/>
  <c r="V214" i="7"/>
  <c r="V276" i="7"/>
  <c r="V267" i="7"/>
  <c r="V269" i="7"/>
  <c r="V255" i="7"/>
  <c r="V172" i="7"/>
  <c r="V280" i="7"/>
  <c r="V270" i="7"/>
  <c r="V234" i="7"/>
  <c r="V188" i="7"/>
  <c r="V224" i="7"/>
  <c r="V205" i="7"/>
  <c r="V274" i="7"/>
  <c r="V237" i="7"/>
  <c r="V124" i="7"/>
  <c r="V135" i="7"/>
  <c r="V148" i="7"/>
  <c r="V134" i="7"/>
  <c r="V149" i="7"/>
  <c r="V114" i="7"/>
  <c r="V162" i="7"/>
  <c r="V137" i="7"/>
  <c r="V123" i="7"/>
  <c r="V117" i="7"/>
  <c r="V160" i="7"/>
  <c r="V161" i="7"/>
  <c r="V131" i="7"/>
  <c r="V118" i="7"/>
  <c r="V139" i="7"/>
  <c r="V142" i="7"/>
  <c r="V113" i="7"/>
  <c r="V126" i="7"/>
  <c r="V156" i="7"/>
  <c r="V121" i="7"/>
  <c r="V155" i="7"/>
  <c r="V122" i="7"/>
  <c r="V154" i="7"/>
  <c r="V120" i="7"/>
  <c r="V136" i="7"/>
  <c r="V157" i="7"/>
  <c r="V127" i="7"/>
  <c r="V143" i="7"/>
  <c r="V146" i="7"/>
  <c r="V159" i="7"/>
  <c r="V152" i="7"/>
  <c r="V138" i="7"/>
  <c r="V140" i="7"/>
  <c r="V132" i="7"/>
  <c r="V128" i="7"/>
  <c r="V129" i="7"/>
  <c r="V164" i="7"/>
  <c r="V141" i="7"/>
  <c r="V150" i="7"/>
  <c r="V133" i="7"/>
  <c r="V163" i="7"/>
  <c r="V153" i="7"/>
  <c r="V130" i="7"/>
  <c r="V119" i="7"/>
  <c r="V145" i="7"/>
  <c r="V115" i="7"/>
  <c r="V125" i="7"/>
  <c r="V151" i="7"/>
  <c r="V144" i="7"/>
  <c r="V158" i="7"/>
  <c r="V116" i="7"/>
  <c r="V147" i="7"/>
  <c r="V108" i="7"/>
  <c r="V78" i="7"/>
  <c r="V111" i="7"/>
  <c r="V95" i="7"/>
  <c r="V82" i="7"/>
  <c r="V68" i="7"/>
  <c r="V90" i="7"/>
  <c r="V106" i="7"/>
  <c r="V100" i="7"/>
  <c r="V72" i="7"/>
  <c r="V89" i="7"/>
  <c r="V69" i="7"/>
  <c r="V60" i="7"/>
  <c r="V88" i="7"/>
  <c r="V63" i="7"/>
  <c r="V107" i="7"/>
  <c r="V94" i="7"/>
  <c r="V76" i="7"/>
  <c r="V101" i="7"/>
  <c r="V85" i="7"/>
  <c r="V67" i="7"/>
  <c r="V84" i="7"/>
  <c r="V61" i="7"/>
  <c r="V109" i="7"/>
  <c r="V59" i="7"/>
  <c r="V64" i="7"/>
  <c r="V80" i="7"/>
  <c r="V91" i="7"/>
  <c r="V74" i="7"/>
  <c r="V79" i="7"/>
  <c r="V71" i="7"/>
  <c r="V97" i="7"/>
  <c r="V103" i="7"/>
  <c r="V96" i="7"/>
  <c r="V93" i="7"/>
  <c r="V99" i="7"/>
  <c r="V62" i="7"/>
  <c r="V81" i="7"/>
  <c r="V73" i="7"/>
  <c r="V86" i="7"/>
  <c r="V102" i="7"/>
  <c r="V98" i="7"/>
  <c r="V83" i="7"/>
  <c r="V66" i="7"/>
  <c r="V112" i="7"/>
  <c r="V77" i="7"/>
  <c r="V75" i="7"/>
  <c r="V104" i="7"/>
  <c r="V70" i="7"/>
  <c r="V110" i="7"/>
  <c r="V92" i="7"/>
  <c r="V87" i="7"/>
  <c r="V105" i="7"/>
  <c r="V65" i="7"/>
  <c r="V14" i="7"/>
  <c r="O32" i="2"/>
  <c r="D102" i="1"/>
  <c r="V47" i="7"/>
  <c r="V46" i="7"/>
  <c r="V45" i="7"/>
  <c r="O153" i="1"/>
  <c r="O154" i="1"/>
  <c r="H50" i="1"/>
  <c r="V32" i="7"/>
  <c r="V52" i="7"/>
  <c r="V58" i="7"/>
  <c r="V22" i="7"/>
  <c r="V48" i="7"/>
  <c r="V54" i="7"/>
  <c r="V37" i="7"/>
  <c r="V38" i="7"/>
  <c r="V28" i="7"/>
  <c r="V40" i="7"/>
  <c r="V34" i="7"/>
  <c r="V33" i="7"/>
  <c r="V42" i="7"/>
  <c r="V30" i="7"/>
  <c r="V27" i="7"/>
  <c r="V43" i="7"/>
  <c r="V36" i="7"/>
  <c r="V56" i="7"/>
  <c r="V31" i="7"/>
  <c r="V39" i="7"/>
  <c r="V24" i="7"/>
  <c r="V51" i="7"/>
  <c r="V55" i="7"/>
  <c r="V41" i="7"/>
  <c r="V23" i="7"/>
  <c r="V44" i="7"/>
  <c r="V53" i="7"/>
  <c r="H66" i="1"/>
  <c r="V16" i="7"/>
  <c r="V19" i="7"/>
  <c r="V17" i="7"/>
  <c r="V21" i="7"/>
  <c r="V15" i="7"/>
  <c r="V29" i="7"/>
  <c r="V18" i="7"/>
  <c r="V20" i="7"/>
  <c r="V49" i="7"/>
  <c r="V25" i="7"/>
  <c r="V50" i="7"/>
  <c r="V57" i="7"/>
  <c r="V35" i="7"/>
  <c r="G66" i="1"/>
  <c r="D163" i="1"/>
  <c r="D165" i="1"/>
  <c r="D170" i="1"/>
  <c r="D172" i="1"/>
  <c r="D171" i="1"/>
  <c r="D174" i="1"/>
  <c r="D173" i="1"/>
  <c r="D166" i="1"/>
  <c r="D168" i="1"/>
  <c r="D167" i="1"/>
  <c r="D169" i="1"/>
  <c r="D175" i="1"/>
  <c r="G4" i="7" l="1"/>
  <c r="N154" i="1"/>
  <c r="N153" i="1"/>
  <c r="N15" i="5"/>
  <c r="H15" i="5"/>
  <c r="J15" i="5"/>
  <c r="K15" i="5"/>
  <c r="M15" i="5"/>
  <c r="L15" i="5"/>
  <c r="I15" i="5"/>
  <c r="G15" i="5"/>
  <c r="O15" i="5"/>
  <c r="F15" i="5"/>
  <c r="Q15" i="5" l="1"/>
  <c r="X15" i="5"/>
  <c r="C16" i="5"/>
  <c r="AB15" i="5"/>
  <c r="Y16" i="5"/>
  <c r="Z15" i="5"/>
  <c r="AA15" i="5" l="1"/>
  <c r="AC15" i="5" s="1"/>
  <c r="H16" i="5"/>
  <c r="N16" i="5"/>
  <c r="I16" i="5"/>
  <c r="J16" i="5"/>
  <c r="O16" i="5"/>
  <c r="K16" i="5"/>
  <c r="L16" i="5"/>
  <c r="F16" i="5"/>
  <c r="M16" i="5"/>
  <c r="G16" i="5"/>
  <c r="Q16" i="5" l="1"/>
  <c r="AB16" i="5"/>
  <c r="Y17" i="5"/>
  <c r="X16" i="5"/>
  <c r="C17" i="5"/>
  <c r="K17" i="5"/>
  <c r="H17" i="5"/>
  <c r="J17" i="5"/>
  <c r="O17" i="5"/>
  <c r="G17" i="5"/>
  <c r="L17" i="5"/>
  <c r="I17" i="5"/>
  <c r="M17" i="5"/>
  <c r="N17" i="5"/>
  <c r="F17" i="5"/>
  <c r="Z16" i="5"/>
  <c r="X17" i="5" l="1"/>
  <c r="Y18" i="5"/>
  <c r="AA16" i="5"/>
  <c r="AC16" i="5" s="1"/>
  <c r="AB17" i="5"/>
  <c r="Q17" i="5"/>
  <c r="C18" i="5"/>
  <c r="Z17" i="5"/>
  <c r="L18" i="5"/>
  <c r="H18" i="5"/>
  <c r="M18" i="5"/>
  <c r="F18" i="5"/>
  <c r="N18" i="5"/>
  <c r="G18" i="5"/>
  <c r="I18" i="5"/>
  <c r="J18" i="5"/>
  <c r="O18" i="5"/>
  <c r="K18" i="5"/>
  <c r="X18" i="5" l="1"/>
  <c r="AA17" i="5"/>
  <c r="AC17" i="5" s="1"/>
  <c r="AB18" i="5"/>
  <c r="Y19" i="5"/>
  <c r="Q18" i="5"/>
  <c r="C19" i="5"/>
  <c r="Z18" i="5"/>
  <c r="AA18" i="5" l="1"/>
  <c r="AC18" i="5" s="1"/>
  <c r="C6" i="9"/>
  <c r="G6" i="9"/>
  <c r="H6" i="9"/>
  <c r="Q6" i="9"/>
  <c r="M6" i="9"/>
  <c r="F6" i="9"/>
  <c r="E6" i="9"/>
  <c r="I6" i="9"/>
  <c r="P6" i="9"/>
  <c r="R6" i="9"/>
  <c r="O6" i="9"/>
  <c r="K6" i="9"/>
  <c r="L6" i="9"/>
  <c r="N6" i="9"/>
  <c r="J6" i="9"/>
  <c r="D6" i="9"/>
  <c r="T6" i="9"/>
  <c r="S6" i="9"/>
  <c r="K10" i="9"/>
  <c r="H7" i="9"/>
  <c r="C12" i="9"/>
  <c r="M15" i="9"/>
  <c r="E8" i="9"/>
  <c r="C13" i="9"/>
  <c r="D14" i="9"/>
  <c r="L17" i="9"/>
  <c r="R15" i="9"/>
  <c r="K16" i="9"/>
  <c r="C11" i="9"/>
  <c r="L10" i="9"/>
  <c r="N14" i="9"/>
  <c r="N8" i="9"/>
  <c r="P12" i="9"/>
  <c r="O13" i="9"/>
  <c r="P16" i="9"/>
  <c r="Q9" i="9"/>
  <c r="P11" i="9"/>
  <c r="H12" i="9"/>
  <c r="M13" i="9"/>
  <c r="J14" i="9"/>
  <c r="J8" i="9"/>
  <c r="K7" i="9"/>
  <c r="S10" i="9"/>
  <c r="G9" i="9"/>
  <c r="S15" i="9"/>
  <c r="S12" i="9"/>
  <c r="N7" i="9"/>
  <c r="K9" i="9"/>
  <c r="F14" i="9"/>
  <c r="R11" i="9"/>
  <c r="N15" i="9"/>
  <c r="I11" i="9"/>
  <c r="Q11" i="9"/>
  <c r="D13" i="9"/>
  <c r="E10" i="9"/>
  <c r="P13" i="9"/>
  <c r="P15" i="9"/>
  <c r="N10" i="9"/>
  <c r="M9" i="9"/>
  <c r="R14" i="9"/>
  <c r="Q7" i="9"/>
  <c r="O8" i="9"/>
  <c r="K14" i="9"/>
  <c r="E13" i="9"/>
  <c r="Q10" i="9"/>
  <c r="R16" i="9"/>
  <c r="T16" i="9"/>
  <c r="P10" i="9"/>
  <c r="O9" i="9"/>
  <c r="F17" i="9"/>
  <c r="E12" i="9"/>
  <c r="T7" i="9"/>
  <c r="P8" i="9"/>
  <c r="F7" i="9"/>
  <c r="I8" i="9"/>
  <c r="E14" i="9"/>
  <c r="P7" i="9"/>
  <c r="J7" i="9"/>
  <c r="O10" i="9"/>
  <c r="T15" i="9"/>
  <c r="L7" i="9"/>
  <c r="I13" i="9"/>
  <c r="H15" i="9"/>
  <c r="K8" i="9"/>
  <c r="I14" i="9"/>
  <c r="G12" i="9"/>
  <c r="O7" i="9"/>
  <c r="Q12" i="9"/>
  <c r="N13" i="9"/>
  <c r="M12" i="9"/>
  <c r="J10" i="9"/>
  <c r="G16" i="9"/>
  <c r="M7" i="9"/>
  <c r="F15" i="9"/>
  <c r="D15" i="9"/>
  <c r="Q8" i="9"/>
  <c r="G7" i="9"/>
  <c r="K12" i="9"/>
  <c r="J9" i="9"/>
  <c r="S11" i="9"/>
  <c r="O14" i="9"/>
  <c r="P14" i="9"/>
  <c r="D8" i="9"/>
  <c r="M16" i="9"/>
  <c r="N16" i="9"/>
  <c r="F16" i="9"/>
  <c r="N12" i="9"/>
  <c r="Q14" i="9"/>
  <c r="L9" i="9"/>
  <c r="Q16" i="9"/>
  <c r="Q17" i="9"/>
  <c r="H14" i="9"/>
  <c r="O15" i="9"/>
  <c r="G10" i="9"/>
  <c r="S8" i="9"/>
  <c r="Q13" i="9"/>
  <c r="H8" i="9"/>
  <c r="M8" i="9"/>
  <c r="J13" i="9"/>
  <c r="K13" i="9"/>
  <c r="R12" i="9"/>
  <c r="C17" i="9"/>
  <c r="K15" i="9"/>
  <c r="C7" i="9"/>
  <c r="E7" i="9"/>
  <c r="C16" i="9"/>
  <c r="I9" i="9"/>
  <c r="L13" i="9"/>
  <c r="E16" i="9"/>
  <c r="F13" i="9"/>
  <c r="T14" i="9"/>
  <c r="T13" i="9"/>
  <c r="N17" i="9"/>
  <c r="J16" i="9"/>
  <c r="C9" i="9"/>
  <c r="G15" i="9"/>
  <c r="M10" i="9"/>
  <c r="O12" i="9"/>
  <c r="F12" i="9"/>
  <c r="N11" i="9"/>
  <c r="K17" i="9"/>
  <c r="E9" i="9"/>
  <c r="L15" i="9"/>
  <c r="N9" i="9"/>
  <c r="E11" i="9"/>
  <c r="T10" i="9"/>
  <c r="F8" i="9"/>
  <c r="C10" i="9"/>
  <c r="L16" i="9"/>
  <c r="I15" i="9"/>
  <c r="R8" i="9"/>
  <c r="J15" i="9"/>
  <c r="S16" i="9"/>
  <c r="D7" i="9"/>
  <c r="M14" i="9"/>
  <c r="D11" i="9"/>
  <c r="S17" i="9"/>
  <c r="T17" i="9"/>
  <c r="J17" i="9"/>
  <c r="I7" i="9"/>
  <c r="G11" i="9"/>
  <c r="I12" i="9"/>
  <c r="C15" i="9"/>
  <c r="Q15" i="9"/>
  <c r="L8" i="9"/>
  <c r="T8" i="9"/>
  <c r="J12" i="9"/>
  <c r="D12" i="9"/>
  <c r="H11" i="9"/>
  <c r="D10" i="9"/>
  <c r="H13" i="9"/>
  <c r="C14" i="9"/>
  <c r="D17" i="9"/>
  <c r="S13" i="9"/>
  <c r="I10" i="9"/>
  <c r="R17" i="9"/>
  <c r="T9" i="9"/>
  <c r="O16" i="9"/>
  <c r="G14" i="9"/>
  <c r="S14" i="9"/>
  <c r="G8" i="9"/>
  <c r="F11" i="9"/>
  <c r="M17" i="9"/>
  <c r="L12" i="9"/>
  <c r="J11" i="9"/>
  <c r="P9" i="9"/>
  <c r="D9" i="9"/>
  <c r="C8" i="9"/>
  <c r="I16" i="9"/>
  <c r="E17" i="9"/>
  <c r="S9" i="9"/>
  <c r="O17" i="9"/>
  <c r="T11" i="9"/>
  <c r="K11" i="9"/>
  <c r="L11" i="9"/>
  <c r="S7" i="9"/>
  <c r="M11" i="9"/>
  <c r="G13" i="9"/>
  <c r="R13" i="9"/>
  <c r="P17" i="9"/>
  <c r="T12" i="9"/>
  <c r="R10" i="9"/>
  <c r="E15" i="9"/>
  <c r="L14" i="9"/>
  <c r="R7" i="9"/>
  <c r="F10" i="9"/>
  <c r="H10" i="9"/>
  <c r="H9" i="9"/>
  <c r="D16" i="9"/>
  <c r="H16" i="9"/>
  <c r="O11" i="9"/>
  <c r="G17" i="9"/>
  <c r="I17" i="9"/>
  <c r="H17" i="9"/>
  <c r="F9" i="9"/>
  <c r="C20" i="9" l="1"/>
  <c r="C26" i="9"/>
  <c r="C95" i="1" s="1"/>
  <c r="C86" i="1"/>
  <c r="C23" i="9"/>
  <c r="C21" i="9"/>
  <c r="C24" i="9"/>
  <c r="C22" i="9"/>
  <c r="I20" i="9" l="1"/>
  <c r="D20" i="9"/>
  <c r="H22" i="9"/>
  <c r="M22" i="9" s="1"/>
  <c r="G90" i="1" s="1"/>
  <c r="I22" i="9"/>
  <c r="H24" i="9"/>
  <c r="M24" i="9" s="1"/>
  <c r="G92" i="1" s="1"/>
  <c r="I24" i="9"/>
  <c r="H21" i="9"/>
  <c r="M21" i="9" s="1"/>
  <c r="G89" i="1" s="1"/>
  <c r="I21" i="9"/>
  <c r="H23" i="9"/>
  <c r="M23" i="9" s="1"/>
  <c r="I23" i="9"/>
  <c r="G20" i="9"/>
  <c r="L20" i="9" s="1"/>
  <c r="H20" i="9"/>
  <c r="M20" i="9" s="1"/>
  <c r="F22" i="9"/>
  <c r="K22" i="9" s="1"/>
  <c r="E90" i="1" s="1"/>
  <c r="G22" i="9"/>
  <c r="F24" i="9"/>
  <c r="K24" i="9" s="1"/>
  <c r="G24" i="9"/>
  <c r="F21" i="9"/>
  <c r="K21" i="9" s="1"/>
  <c r="G21" i="9"/>
  <c r="F23" i="9"/>
  <c r="K23" i="9" s="1"/>
  <c r="E91" i="1" s="1"/>
  <c r="G23" i="9"/>
  <c r="E20" i="9"/>
  <c r="F20" i="9"/>
  <c r="K20" i="9" s="1"/>
  <c r="D22" i="9"/>
  <c r="E22" i="9"/>
  <c r="D24" i="9"/>
  <c r="E24" i="9"/>
  <c r="D21" i="9"/>
  <c r="E21" i="9"/>
  <c r="D23" i="9"/>
  <c r="E23" i="9"/>
  <c r="C31" i="9"/>
  <c r="C28" i="9"/>
  <c r="C27" i="9"/>
  <c r="C29" i="9"/>
  <c r="C30" i="9"/>
  <c r="C88" i="1"/>
  <c r="C97" i="1" s="1"/>
  <c r="C89" i="1"/>
  <c r="C107" i="1" s="1"/>
  <c r="C90" i="1"/>
  <c r="C108" i="1" s="1"/>
  <c r="C92" i="1"/>
  <c r="C101" i="1" s="1"/>
  <c r="C91" i="1"/>
  <c r="C100" i="1" s="1"/>
  <c r="J20" i="9" l="1"/>
  <c r="D88" i="1" s="1"/>
  <c r="H29" i="9"/>
  <c r="M29" i="9" s="1"/>
  <c r="I29" i="9"/>
  <c r="H28" i="9"/>
  <c r="M28" i="9" s="1"/>
  <c r="G98" i="1" s="1"/>
  <c r="G107" i="1" s="1"/>
  <c r="I28" i="9"/>
  <c r="H31" i="9"/>
  <c r="M31" i="9" s="1"/>
  <c r="G101" i="1" s="1"/>
  <c r="G110" i="1" s="1"/>
  <c r="I31" i="9"/>
  <c r="H30" i="9"/>
  <c r="M30" i="9" s="1"/>
  <c r="G100" i="1" s="1"/>
  <c r="I30" i="9"/>
  <c r="H27" i="9"/>
  <c r="M27" i="9" s="1"/>
  <c r="I27" i="9"/>
  <c r="F29" i="9"/>
  <c r="K29" i="9" s="1"/>
  <c r="G29" i="9"/>
  <c r="F28" i="9"/>
  <c r="K28" i="9" s="1"/>
  <c r="E98" i="1" s="1"/>
  <c r="G28" i="9"/>
  <c r="F31" i="9"/>
  <c r="K31" i="9" s="1"/>
  <c r="G31" i="9"/>
  <c r="F30" i="9"/>
  <c r="K30" i="9" s="1"/>
  <c r="E100" i="1" s="1"/>
  <c r="G30" i="9"/>
  <c r="F27" i="9"/>
  <c r="K27" i="9" s="1"/>
  <c r="E97" i="1" s="1"/>
  <c r="G27" i="9"/>
  <c r="D29" i="9"/>
  <c r="E29" i="9"/>
  <c r="D30" i="9"/>
  <c r="E30" i="9"/>
  <c r="D31" i="9"/>
  <c r="E31" i="9"/>
  <c r="D28" i="9"/>
  <c r="E28" i="9"/>
  <c r="D27" i="9"/>
  <c r="E27" i="9"/>
  <c r="N22" i="9"/>
  <c r="H90" i="1" s="1"/>
  <c r="J21" i="9"/>
  <c r="D89" i="1" s="1"/>
  <c r="L21" i="9"/>
  <c r="F89" i="1" s="1"/>
  <c r="J23" i="9"/>
  <c r="D91" i="1" s="1"/>
  <c r="J24" i="9"/>
  <c r="D92" i="1" s="1"/>
  <c r="N23" i="9"/>
  <c r="H91" i="1" s="1"/>
  <c r="J22" i="9"/>
  <c r="D90" i="1" s="1"/>
  <c r="F88" i="1"/>
  <c r="N24" i="9"/>
  <c r="H92" i="1" s="1"/>
  <c r="L22" i="9"/>
  <c r="F90" i="1" s="1"/>
  <c r="L23" i="9"/>
  <c r="F91" i="1" s="1"/>
  <c r="N20" i="9"/>
  <c r="H88" i="1" s="1"/>
  <c r="N21" i="9"/>
  <c r="H89" i="1" s="1"/>
  <c r="L24" i="9"/>
  <c r="F92" i="1" s="1"/>
  <c r="E89" i="1"/>
  <c r="E92" i="1"/>
  <c r="G91" i="1"/>
  <c r="E88" i="1"/>
  <c r="G88" i="1"/>
  <c r="C106" i="1"/>
  <c r="C98" i="1"/>
  <c r="C99" i="1"/>
  <c r="C110" i="1"/>
  <c r="C109" i="1"/>
  <c r="D86" i="1" l="1"/>
  <c r="L27" i="9"/>
  <c r="F97" i="1" s="1"/>
  <c r="L31" i="9"/>
  <c r="F101" i="1" s="1"/>
  <c r="F110" i="1" s="1"/>
  <c r="L29" i="9"/>
  <c r="F99" i="1" s="1"/>
  <c r="F108" i="1" s="1"/>
  <c r="J27" i="9"/>
  <c r="D97" i="1" s="1"/>
  <c r="L30" i="9"/>
  <c r="F100" i="1" s="1"/>
  <c r="J30" i="9"/>
  <c r="D100" i="1" s="1"/>
  <c r="N30" i="9"/>
  <c r="H100" i="1" s="1"/>
  <c r="H109" i="1" s="1"/>
  <c r="N28" i="9"/>
  <c r="H98" i="1" s="1"/>
  <c r="H107" i="1" s="1"/>
  <c r="J29" i="9"/>
  <c r="D99" i="1" s="1"/>
  <c r="N31" i="9"/>
  <c r="H101" i="1" s="1"/>
  <c r="H110" i="1" s="1"/>
  <c r="N29" i="9"/>
  <c r="H99" i="1" s="1"/>
  <c r="H108" i="1" s="1"/>
  <c r="L28" i="9"/>
  <c r="F98" i="1" s="1"/>
  <c r="F107" i="1" s="1"/>
  <c r="J31" i="9"/>
  <c r="D101" i="1" s="1"/>
  <c r="J28" i="9"/>
  <c r="D98" i="1" s="1"/>
  <c r="N27" i="9"/>
  <c r="H97" i="1" s="1"/>
  <c r="H106" i="1" s="1"/>
  <c r="E107" i="1"/>
  <c r="G86" i="1"/>
  <c r="G87" i="1" s="1"/>
  <c r="H86" i="1"/>
  <c r="H87" i="1" s="1"/>
  <c r="F86" i="1"/>
  <c r="G109" i="1"/>
  <c r="E106" i="1"/>
  <c r="E86" i="1"/>
  <c r="E101" i="1"/>
  <c r="G99" i="1"/>
  <c r="G108" i="1" s="1"/>
  <c r="G97" i="1"/>
  <c r="G106" i="1" s="1"/>
  <c r="E99" i="1"/>
  <c r="E109" i="1"/>
  <c r="F19" i="5"/>
  <c r="M19" i="5"/>
  <c r="G19" i="5"/>
  <c r="H19" i="5"/>
  <c r="L19" i="5"/>
  <c r="N19" i="5"/>
  <c r="J19" i="5"/>
  <c r="K19" i="5"/>
  <c r="O19" i="5"/>
  <c r="I19" i="5"/>
  <c r="D95" i="1" l="1"/>
  <c r="D104" i="1" s="1"/>
  <c r="D106" i="1"/>
  <c r="F87" i="1"/>
  <c r="D110" i="1"/>
  <c r="D108" i="1"/>
  <c r="F109" i="1"/>
  <c r="E110" i="1"/>
  <c r="E108" i="1"/>
  <c r="D87" i="1"/>
  <c r="F106" i="1"/>
  <c r="E87" i="1"/>
  <c r="D107" i="1"/>
  <c r="D109" i="1"/>
  <c r="F95" i="1"/>
  <c r="E95" i="1"/>
  <c r="G95" i="1"/>
  <c r="G104" i="1" s="1"/>
  <c r="H95" i="1"/>
  <c r="H96" i="1" s="1"/>
  <c r="H105" i="1" s="1"/>
  <c r="Q19" i="5"/>
  <c r="Y20" i="5"/>
  <c r="AB19" i="5"/>
  <c r="C20" i="5"/>
  <c r="X19" i="5"/>
  <c r="L20" i="5"/>
  <c r="I20" i="5"/>
  <c r="G20" i="5"/>
  <c r="H20" i="5"/>
  <c r="M20" i="5"/>
  <c r="N20" i="5"/>
  <c r="J20" i="5"/>
  <c r="Z19" i="5"/>
  <c r="K20" i="5"/>
  <c r="O20" i="5"/>
  <c r="F20" i="5"/>
  <c r="AA19" i="5" l="1"/>
  <c r="AC19" i="5" s="1"/>
  <c r="D96" i="1"/>
  <c r="D105" i="1" s="1"/>
  <c r="F96" i="1"/>
  <c r="E96" i="1"/>
  <c r="AB20" i="5"/>
  <c r="Y21" i="5"/>
  <c r="Q20" i="5"/>
  <c r="X20" i="5"/>
  <c r="C21" i="5"/>
  <c r="F104" i="1"/>
  <c r="E104" i="1"/>
  <c r="H104" i="1"/>
  <c r="G96" i="1"/>
  <c r="G105" i="1" s="1"/>
  <c r="F21" i="5"/>
  <c r="G21" i="5"/>
  <c r="L21" i="5"/>
  <c r="O21" i="5"/>
  <c r="Z20" i="5"/>
  <c r="H21" i="5"/>
  <c r="J21" i="5"/>
  <c r="M21" i="5"/>
  <c r="K21" i="5"/>
  <c r="I21" i="5"/>
  <c r="N21" i="5"/>
  <c r="AA20" i="5" l="1"/>
  <c r="AC20" i="5" s="1"/>
  <c r="F105" i="1"/>
  <c r="E105" i="1"/>
  <c r="AB21" i="5"/>
  <c r="Y22" i="5"/>
  <c r="Q21" i="5"/>
  <c r="X21" i="5"/>
  <c r="C22" i="5"/>
  <c r="Z21" i="5"/>
  <c r="O22" i="5"/>
  <c r="G22" i="5"/>
  <c r="F22" i="5"/>
  <c r="H22" i="5"/>
  <c r="I22" i="5"/>
  <c r="J22" i="5"/>
  <c r="K22" i="5"/>
  <c r="L22" i="5"/>
  <c r="N22" i="5"/>
  <c r="M22" i="5"/>
  <c r="AA21" i="5" l="1"/>
  <c r="AC21" i="5" s="1"/>
  <c r="AB22" i="5"/>
  <c r="Y23" i="5"/>
  <c r="Q22" i="5"/>
  <c r="X22" i="5"/>
  <c r="C23" i="5"/>
  <c r="I23" i="5"/>
  <c r="L23" i="5"/>
  <c r="H23" i="5"/>
  <c r="N23" i="5"/>
  <c r="G23" i="5"/>
  <c r="Z22" i="5"/>
  <c r="O23" i="5"/>
  <c r="J23" i="5"/>
  <c r="M23" i="5"/>
  <c r="F23" i="5"/>
  <c r="K23" i="5"/>
  <c r="AA22" i="5" l="1"/>
  <c r="AC22" i="5" s="1"/>
  <c r="Y24" i="5"/>
  <c r="AB23" i="5"/>
  <c r="C24" i="5"/>
  <c r="Q23" i="5"/>
  <c r="X23" i="5"/>
  <c r="Z23" i="5"/>
  <c r="O24" i="5"/>
  <c r="F24" i="5"/>
  <c r="N24" i="5"/>
  <c r="L24" i="5"/>
  <c r="K24" i="5"/>
  <c r="J24" i="5"/>
  <c r="I24" i="5"/>
  <c r="G24" i="5"/>
  <c r="H24" i="5"/>
  <c r="M24" i="5"/>
  <c r="AA23" i="5" l="1"/>
  <c r="AC23" i="5" s="1"/>
  <c r="Q24" i="5"/>
  <c r="C25" i="5"/>
  <c r="X24" i="5"/>
  <c r="AB24" i="5"/>
  <c r="Y25" i="5"/>
  <c r="N25" i="5"/>
  <c r="G25" i="5"/>
  <c r="M25" i="5"/>
  <c r="J25" i="5"/>
  <c r="K25" i="5"/>
  <c r="F25" i="5"/>
  <c r="I25" i="5"/>
  <c r="Z24" i="5"/>
  <c r="H25" i="5"/>
  <c r="L25" i="5"/>
  <c r="O25" i="5"/>
  <c r="AA24" i="5" l="1"/>
  <c r="AC24" i="5" s="1"/>
  <c r="Q25" i="5"/>
  <c r="C26" i="5"/>
  <c r="X25" i="5"/>
  <c r="Y26" i="5"/>
  <c r="AB25" i="5"/>
  <c r="G26" i="5"/>
  <c r="J26" i="5"/>
  <c r="N26" i="5"/>
  <c r="I26" i="5"/>
  <c r="O26" i="5"/>
  <c r="H26" i="5"/>
  <c r="F26" i="5"/>
  <c r="M26" i="5"/>
  <c r="Z25" i="5"/>
  <c r="K26" i="5"/>
  <c r="L26" i="5"/>
  <c r="AA25" i="5" l="1"/>
  <c r="AC25" i="5" s="1"/>
  <c r="Q26" i="5"/>
  <c r="X26" i="5"/>
  <c r="C27" i="5"/>
  <c r="Y27" i="5"/>
  <c r="AB26" i="5"/>
  <c r="Z26" i="5"/>
  <c r="N27" i="5"/>
  <c r="G27" i="5"/>
  <c r="M27" i="5"/>
  <c r="O27" i="5"/>
  <c r="K27" i="5"/>
  <c r="J27" i="5"/>
  <c r="F27" i="5"/>
  <c r="I27" i="5"/>
  <c r="L27" i="5"/>
  <c r="H27" i="5"/>
  <c r="AA26" i="5" l="1"/>
  <c r="AC26" i="5" s="1"/>
  <c r="Q27" i="5"/>
  <c r="C28" i="5"/>
  <c r="X27" i="5"/>
  <c r="Y28" i="5"/>
  <c r="AB27" i="5"/>
  <c r="F28" i="5"/>
  <c r="K28" i="5"/>
  <c r="O28" i="5"/>
  <c r="N28" i="5"/>
  <c r="G28" i="5"/>
  <c r="J28" i="5"/>
  <c r="H28" i="5"/>
  <c r="L28" i="5"/>
  <c r="I28" i="5"/>
  <c r="M28" i="5"/>
  <c r="Z27" i="5"/>
  <c r="AA27" i="5" l="1"/>
  <c r="AC27" i="5" s="1"/>
  <c r="Q28" i="5"/>
  <c r="C29" i="5"/>
  <c r="X28" i="5"/>
  <c r="Y29" i="5"/>
  <c r="AB28" i="5"/>
  <c r="Z28" i="5"/>
  <c r="L29" i="5"/>
  <c r="H29" i="5"/>
  <c r="N29" i="5"/>
  <c r="K29" i="5"/>
  <c r="M29" i="5"/>
  <c r="G29" i="5"/>
  <c r="F29" i="5"/>
  <c r="J29" i="5"/>
  <c r="O29" i="5"/>
  <c r="I29" i="5"/>
  <c r="AA28" i="5" l="1"/>
  <c r="AC28" i="5" s="1"/>
  <c r="Q29" i="5"/>
  <c r="C30" i="5"/>
  <c r="X29" i="5"/>
  <c r="AB29" i="5"/>
  <c r="Y30" i="5"/>
  <c r="I30" i="5"/>
  <c r="J30" i="5"/>
  <c r="K30" i="5"/>
  <c r="H30" i="5"/>
  <c r="G30" i="5"/>
  <c r="N30" i="5"/>
  <c r="O30" i="5"/>
  <c r="Z29" i="5"/>
  <c r="M30" i="5"/>
  <c r="L30" i="5"/>
  <c r="AA29" i="5" l="1"/>
  <c r="AC29" i="5" s="1"/>
  <c r="Y31" i="5"/>
  <c r="AB30" i="5"/>
  <c r="Q30" i="5"/>
  <c r="X30" i="5"/>
  <c r="C31" i="5"/>
  <c r="N31" i="5"/>
  <c r="I31" i="5"/>
  <c r="Z30" i="5"/>
  <c r="O31" i="5"/>
  <c r="J31" i="5"/>
  <c r="M31" i="5"/>
  <c r="H31" i="5"/>
  <c r="F31" i="5"/>
  <c r="L31" i="5"/>
  <c r="K31" i="5"/>
  <c r="G31" i="5"/>
  <c r="AA30" i="5" l="1"/>
  <c r="AC30" i="5" s="1"/>
  <c r="AB31" i="5"/>
  <c r="Y32" i="5"/>
  <c r="Q31" i="5"/>
  <c r="C32" i="5"/>
  <c r="X31" i="5"/>
  <c r="L32" i="5"/>
  <c r="K32" i="5"/>
  <c r="F32" i="5"/>
  <c r="O32" i="5"/>
  <c r="N32" i="5"/>
  <c r="J32" i="5"/>
  <c r="Z31" i="5"/>
  <c r="G32" i="5"/>
  <c r="H32" i="5"/>
  <c r="M32" i="5"/>
  <c r="I32" i="5"/>
  <c r="AA31" i="5" l="1"/>
  <c r="AC31" i="5" s="1"/>
  <c r="AB32" i="5"/>
  <c r="Y33" i="5"/>
  <c r="Q32" i="5"/>
  <c r="C33" i="5"/>
  <c r="X32" i="5"/>
  <c r="M33" i="5"/>
  <c r="H33" i="5"/>
  <c r="Z32" i="5"/>
  <c r="N33" i="5"/>
  <c r="F33" i="5"/>
  <c r="O33" i="5"/>
  <c r="G33" i="5"/>
  <c r="J33" i="5"/>
  <c r="L33" i="5"/>
  <c r="I33" i="5"/>
  <c r="K33" i="5"/>
  <c r="AA32" i="5" l="1"/>
  <c r="AC32" i="5" s="1"/>
  <c r="Y34" i="5"/>
  <c r="AB33" i="5"/>
  <c r="Q33" i="5"/>
  <c r="X33" i="5"/>
  <c r="C34" i="5"/>
  <c r="L34" i="5"/>
  <c r="M34" i="5"/>
  <c r="I34" i="5"/>
  <c r="O34" i="5"/>
  <c r="K34" i="5"/>
  <c r="G34" i="5"/>
  <c r="J34" i="5"/>
  <c r="F34" i="5"/>
  <c r="H34" i="5"/>
  <c r="Z33" i="5"/>
  <c r="N34" i="5"/>
  <c r="AA33" i="5" l="1"/>
  <c r="AC33" i="5" s="1"/>
  <c r="Q34" i="5"/>
  <c r="X34" i="5"/>
  <c r="C35" i="5"/>
  <c r="Y35" i="5"/>
  <c r="AB34" i="5"/>
  <c r="Z34" i="5"/>
  <c r="K35" i="5"/>
  <c r="G35" i="5"/>
  <c r="J35" i="5"/>
  <c r="M35" i="5"/>
  <c r="O35" i="5"/>
  <c r="I35" i="5"/>
  <c r="N35" i="5"/>
  <c r="H35" i="5"/>
  <c r="F35" i="5"/>
  <c r="L35" i="5"/>
  <c r="AA34" i="5" l="1"/>
  <c r="AC34" i="5" s="1"/>
  <c r="X35" i="5"/>
  <c r="C36" i="5"/>
  <c r="Q35" i="5"/>
  <c r="Y36" i="5"/>
  <c r="AB35" i="5"/>
  <c r="H36" i="5"/>
  <c r="N36" i="5"/>
  <c r="G36" i="5"/>
  <c r="J36" i="5"/>
  <c r="I36" i="5"/>
  <c r="F36" i="5"/>
  <c r="K36" i="5"/>
  <c r="M36" i="5"/>
  <c r="Z35" i="5"/>
  <c r="O36" i="5"/>
  <c r="L36" i="5"/>
  <c r="AA35" i="5" l="1"/>
  <c r="AC35" i="5" s="1"/>
  <c r="Q36" i="5"/>
  <c r="C37" i="5"/>
  <c r="X36" i="5"/>
  <c r="Y37" i="5"/>
  <c r="AB36" i="5"/>
  <c r="O37" i="5"/>
  <c r="N37" i="5"/>
  <c r="F37" i="5"/>
  <c r="H37" i="5"/>
  <c r="G37" i="5"/>
  <c r="I37" i="5"/>
  <c r="M37" i="5"/>
  <c r="J37" i="5"/>
  <c r="Z36" i="5"/>
  <c r="L37" i="5"/>
  <c r="K37" i="5"/>
  <c r="AA36" i="5" l="1"/>
  <c r="AC36" i="5" s="1"/>
  <c r="C38" i="5"/>
  <c r="X37" i="5"/>
  <c r="Q37" i="5"/>
  <c r="AB37" i="5"/>
  <c r="Y38" i="5"/>
  <c r="K38" i="5"/>
  <c r="H38" i="5"/>
  <c r="Z37" i="5"/>
  <c r="N38" i="5"/>
  <c r="J38" i="5"/>
  <c r="I38" i="5"/>
  <c r="M38" i="5"/>
  <c r="F38" i="5"/>
  <c r="L38" i="5"/>
  <c r="G38" i="5"/>
  <c r="O38" i="5"/>
  <c r="AA37" i="5" l="1"/>
  <c r="AC37" i="5" s="1"/>
  <c r="AB38" i="5"/>
  <c r="Y39" i="5"/>
  <c r="X38" i="5"/>
  <c r="C39" i="5"/>
  <c r="Q38" i="5"/>
  <c r="Z38" i="5"/>
  <c r="F39" i="5"/>
  <c r="O39" i="5"/>
  <c r="I39" i="5"/>
  <c r="K39" i="5"/>
  <c r="L39" i="5"/>
  <c r="H39" i="5"/>
  <c r="J39" i="5"/>
  <c r="M39" i="5"/>
  <c r="N39" i="5"/>
  <c r="G39" i="5"/>
  <c r="AA38" i="5" l="1"/>
  <c r="AC38" i="5" s="1"/>
  <c r="Y40" i="5"/>
  <c r="AB39" i="5"/>
  <c r="Q39" i="5"/>
  <c r="X39" i="5"/>
  <c r="C40" i="5"/>
  <c r="I40" i="5"/>
  <c r="O40" i="5"/>
  <c r="N40" i="5"/>
  <c r="J40" i="5"/>
  <c r="H40" i="5"/>
  <c r="M40" i="5"/>
  <c r="L40" i="5"/>
  <c r="Z39" i="5"/>
  <c r="G40" i="5"/>
  <c r="K40" i="5"/>
  <c r="F40" i="5"/>
  <c r="AA39" i="5" l="1"/>
  <c r="AC39" i="5" s="1"/>
  <c r="Q40" i="5"/>
  <c r="X40" i="5"/>
  <c r="C41" i="5"/>
  <c r="Y41" i="5"/>
  <c r="AB40" i="5"/>
  <c r="F41" i="5"/>
  <c r="J41" i="5"/>
  <c r="L41" i="5"/>
  <c r="M41" i="5"/>
  <c r="O41" i="5"/>
  <c r="H41" i="5"/>
  <c r="I41" i="5"/>
  <c r="N41" i="5"/>
  <c r="Z40" i="5"/>
  <c r="G41" i="5"/>
  <c r="K41" i="5"/>
  <c r="AA40" i="5" l="1"/>
  <c r="AC40" i="5" s="1"/>
  <c r="Q41" i="5"/>
  <c r="C42" i="5"/>
  <c r="X41" i="5"/>
  <c r="AB41" i="5"/>
  <c r="Y42" i="5"/>
  <c r="F42" i="5"/>
  <c r="Z41" i="5"/>
  <c r="G42" i="5"/>
  <c r="N42" i="5"/>
  <c r="L42" i="5"/>
  <c r="I42" i="5"/>
  <c r="M42" i="5"/>
  <c r="K42" i="5"/>
  <c r="O42" i="5"/>
  <c r="J42" i="5"/>
  <c r="H42" i="5"/>
  <c r="AA41" i="5" l="1"/>
  <c r="AC41" i="5" s="1"/>
  <c r="Y43" i="5"/>
  <c r="AB42" i="5"/>
  <c r="C43" i="5"/>
  <c r="Q42" i="5"/>
  <c r="X42" i="5"/>
  <c r="K43" i="5"/>
  <c r="Z42" i="5"/>
  <c r="M43" i="5"/>
  <c r="I43" i="5"/>
  <c r="H43" i="5"/>
  <c r="N43" i="5"/>
  <c r="J43" i="5"/>
  <c r="F43" i="5"/>
  <c r="L43" i="5"/>
  <c r="O43" i="5"/>
  <c r="G43" i="5"/>
  <c r="AA42" i="5" l="1"/>
  <c r="AC42" i="5" s="1"/>
  <c r="Y44" i="5"/>
  <c r="AB43" i="5"/>
  <c r="Q43" i="5"/>
  <c r="X43" i="5"/>
  <c r="C44" i="5"/>
  <c r="I44" i="5"/>
  <c r="F44" i="5"/>
  <c r="Z43" i="5"/>
  <c r="O44" i="5"/>
  <c r="J44" i="5"/>
  <c r="G44" i="5"/>
  <c r="H44" i="5"/>
  <c r="L44" i="5"/>
  <c r="M44" i="5"/>
  <c r="N44" i="5"/>
  <c r="K44" i="5"/>
  <c r="AA43" i="5" l="1"/>
  <c r="AC43" i="5" s="1"/>
  <c r="X44" i="5"/>
  <c r="Q44" i="5"/>
  <c r="C45" i="5"/>
  <c r="Y45" i="5"/>
  <c r="AB44" i="5"/>
  <c r="H45" i="5"/>
  <c r="I45" i="5"/>
  <c r="N45" i="5"/>
  <c r="L45" i="5"/>
  <c r="J45" i="5"/>
  <c r="K45" i="5"/>
  <c r="O45" i="5"/>
  <c r="Z44" i="5"/>
  <c r="F45" i="5"/>
  <c r="G45" i="5"/>
  <c r="M45" i="5"/>
  <c r="AA44" i="5" l="1"/>
  <c r="AC44" i="5" s="1"/>
  <c r="Q45" i="5"/>
  <c r="X45" i="5"/>
  <c r="C46" i="5"/>
  <c r="AB45" i="5"/>
  <c r="Y46" i="5"/>
  <c r="L46" i="5"/>
  <c r="M46" i="5"/>
  <c r="K46" i="5"/>
  <c r="J46" i="5"/>
  <c r="O46" i="5"/>
  <c r="H46" i="5"/>
  <c r="G46" i="5"/>
  <c r="F46" i="5"/>
  <c r="N46" i="5"/>
  <c r="Z45" i="5"/>
  <c r="I46" i="5"/>
  <c r="AA45" i="5" l="1"/>
  <c r="AC45" i="5" s="1"/>
  <c r="Q46" i="5"/>
  <c r="C47" i="5"/>
  <c r="X46" i="5"/>
  <c r="AB46" i="5"/>
  <c r="Y47" i="5"/>
  <c r="M47" i="5"/>
  <c r="J47" i="5"/>
  <c r="Z46" i="5"/>
  <c r="H47" i="5"/>
  <c r="N47" i="5"/>
  <c r="G47" i="5"/>
  <c r="L47" i="5"/>
  <c r="I47" i="5"/>
  <c r="K47" i="5"/>
  <c r="F47" i="5"/>
  <c r="O47" i="5"/>
  <c r="AA46" i="5" l="1"/>
  <c r="AC46" i="5" s="1"/>
  <c r="Q47" i="5"/>
  <c r="C48" i="5"/>
  <c r="X47" i="5"/>
  <c r="AB47" i="5"/>
  <c r="Y48" i="5"/>
  <c r="L48" i="5"/>
  <c r="M48" i="5"/>
  <c r="K48" i="5"/>
  <c r="Z47" i="5"/>
  <c r="O48" i="5"/>
  <c r="G48" i="5"/>
  <c r="N48" i="5"/>
  <c r="H48" i="5"/>
  <c r="I48" i="5"/>
  <c r="F48" i="5"/>
  <c r="J48" i="5"/>
  <c r="AA47" i="5" l="1"/>
  <c r="AC47" i="5" s="1"/>
  <c r="C49" i="5"/>
  <c r="X48" i="5"/>
  <c r="Q48" i="5"/>
  <c r="Y49" i="5"/>
  <c r="AB48" i="5"/>
  <c r="F49" i="5"/>
  <c r="O49" i="5"/>
  <c r="I49" i="5"/>
  <c r="M49" i="5"/>
  <c r="L49" i="5"/>
  <c r="H49" i="5"/>
  <c r="G49" i="5"/>
  <c r="J49" i="5"/>
  <c r="Z48" i="5"/>
  <c r="K49" i="5"/>
  <c r="N49" i="5"/>
  <c r="AA48" i="5" l="1"/>
  <c r="AC48" i="5" s="1"/>
  <c r="X49" i="5"/>
  <c r="C50" i="5"/>
  <c r="Q49" i="5"/>
  <c r="AB49" i="5"/>
  <c r="Y50" i="5"/>
  <c r="H50" i="5"/>
  <c r="G50" i="5"/>
  <c r="J50" i="5"/>
  <c r="I50" i="5"/>
  <c r="F50" i="5"/>
  <c r="Z49" i="5"/>
  <c r="O50" i="5"/>
  <c r="M50" i="5"/>
  <c r="L50" i="5"/>
  <c r="K50" i="5"/>
  <c r="N50" i="5"/>
  <c r="AA49" i="5" l="1"/>
  <c r="AC49" i="5" s="1"/>
  <c r="X50" i="5"/>
  <c r="C51" i="5"/>
  <c r="Q50" i="5"/>
  <c r="Y51" i="5"/>
  <c r="AB50" i="5"/>
  <c r="K51" i="5"/>
  <c r="G51" i="5"/>
  <c r="F51" i="5"/>
  <c r="H51" i="5"/>
  <c r="I51" i="5"/>
  <c r="Z50" i="5"/>
  <c r="O51" i="5"/>
  <c r="L51" i="5"/>
  <c r="J51" i="5"/>
  <c r="M51" i="5"/>
  <c r="N51" i="5"/>
  <c r="AA50" i="5" l="1"/>
  <c r="AC50" i="5" s="1"/>
  <c r="Q51" i="5"/>
  <c r="C52" i="5"/>
  <c r="X51" i="5"/>
  <c r="AB51" i="5"/>
  <c r="Y52" i="5"/>
  <c r="Z51" i="5"/>
  <c r="H52" i="5"/>
  <c r="K52" i="5"/>
  <c r="L52" i="5"/>
  <c r="M52" i="5"/>
  <c r="J52" i="5"/>
  <c r="I52" i="5"/>
  <c r="G52" i="5"/>
  <c r="O52" i="5"/>
  <c r="N52" i="5"/>
  <c r="F52" i="5"/>
  <c r="AA51" i="5" l="1"/>
  <c r="AC51" i="5" s="1"/>
  <c r="C53" i="5"/>
  <c r="X52" i="5"/>
  <c r="Q52" i="5"/>
  <c r="Y53" i="5"/>
  <c r="AB52" i="5"/>
  <c r="Z52" i="5"/>
  <c r="H53" i="5"/>
  <c r="F53" i="5"/>
  <c r="G53" i="5"/>
  <c r="L53" i="5"/>
  <c r="J53" i="5"/>
  <c r="M53" i="5"/>
  <c r="N53" i="5"/>
  <c r="I53" i="5"/>
  <c r="K53" i="5"/>
  <c r="O53" i="5"/>
  <c r="AA52" i="5" l="1"/>
  <c r="AC52" i="5" s="1"/>
  <c r="Q53" i="5"/>
  <c r="X53" i="5"/>
  <c r="C54" i="5"/>
  <c r="AB53" i="5"/>
  <c r="Y54" i="5"/>
  <c r="J54" i="5"/>
  <c r="L54" i="5"/>
  <c r="M54" i="5"/>
  <c r="O54" i="5"/>
  <c r="H54" i="5"/>
  <c r="I54" i="5"/>
  <c r="N54" i="5"/>
  <c r="G54" i="5"/>
  <c r="F54" i="5"/>
  <c r="Z53" i="5"/>
  <c r="K54" i="5"/>
  <c r="AA53" i="5" l="1"/>
  <c r="AC53" i="5" s="1"/>
  <c r="AB54" i="5"/>
  <c r="Y55" i="5"/>
  <c r="Q54" i="5"/>
  <c r="C55" i="5"/>
  <c r="X54" i="5"/>
  <c r="H55" i="5"/>
  <c r="N55" i="5"/>
  <c r="O55" i="5"/>
  <c r="I55" i="5"/>
  <c r="J55" i="5"/>
  <c r="F55" i="5"/>
  <c r="L55" i="5"/>
  <c r="G55" i="5"/>
  <c r="K55" i="5"/>
  <c r="M55" i="5"/>
  <c r="Z54" i="5"/>
  <c r="AA54" i="5" l="1"/>
  <c r="AC54" i="5" s="1"/>
  <c r="Y56" i="5"/>
  <c r="AB55" i="5"/>
  <c r="Q55" i="5"/>
  <c r="C56" i="5"/>
  <c r="X55" i="5"/>
  <c r="K56" i="5"/>
  <c r="M56" i="5"/>
  <c r="N56" i="5"/>
  <c r="F56" i="5"/>
  <c r="L56" i="5"/>
  <c r="J56" i="5"/>
  <c r="I56" i="5"/>
  <c r="H56" i="5"/>
  <c r="G56" i="5"/>
  <c r="O56" i="5"/>
  <c r="Z55" i="5"/>
  <c r="AA55" i="5" l="1"/>
  <c r="AC55" i="5" s="1"/>
  <c r="Y57" i="5"/>
  <c r="AB56" i="5"/>
  <c r="C57" i="5"/>
  <c r="Q56" i="5"/>
  <c r="X56" i="5"/>
  <c r="Z56" i="5"/>
  <c r="J57" i="5"/>
  <c r="O57" i="5"/>
  <c r="L57" i="5"/>
  <c r="H57" i="5"/>
  <c r="I57" i="5"/>
  <c r="K57" i="5"/>
  <c r="M57" i="5"/>
  <c r="G57" i="5"/>
  <c r="N57" i="5"/>
  <c r="F57" i="5"/>
  <c r="AA56" i="5" l="1"/>
  <c r="AC56" i="5" s="1"/>
  <c r="Q57" i="5"/>
  <c r="C58" i="5"/>
  <c r="X57" i="5"/>
  <c r="Y58" i="5"/>
  <c r="AB57" i="5"/>
  <c r="G58" i="5"/>
  <c r="M58" i="5"/>
  <c r="J58" i="5"/>
  <c r="N58" i="5"/>
  <c r="O58" i="5"/>
  <c r="F58" i="5"/>
  <c r="Z57" i="5"/>
  <c r="I58" i="5"/>
  <c r="L58" i="5"/>
  <c r="K58" i="5"/>
  <c r="H58" i="5"/>
  <c r="AA57" i="5" l="1"/>
  <c r="AC57" i="5" s="1"/>
  <c r="Q58" i="5"/>
  <c r="X58" i="5"/>
  <c r="C59" i="5"/>
  <c r="Y59" i="5"/>
  <c r="AB58" i="5"/>
  <c r="Z58" i="5"/>
  <c r="I59" i="5"/>
  <c r="F59" i="5"/>
  <c r="N59" i="5"/>
  <c r="K59" i="5"/>
  <c r="G59" i="5"/>
  <c r="H59" i="5"/>
  <c r="M59" i="5"/>
  <c r="J59" i="5"/>
  <c r="O59" i="5"/>
  <c r="L59" i="5"/>
  <c r="AA58" i="5" l="1"/>
  <c r="AC58" i="5" s="1"/>
  <c r="Q59" i="5"/>
  <c r="X59" i="5"/>
  <c r="C60" i="5"/>
  <c r="Y60" i="5"/>
  <c r="AB59" i="5"/>
  <c r="O60" i="5"/>
  <c r="F60" i="5"/>
  <c r="L60" i="5"/>
  <c r="K60" i="5"/>
  <c r="I60" i="5"/>
  <c r="N60" i="5"/>
  <c r="J60" i="5"/>
  <c r="H60" i="5"/>
  <c r="Z59" i="5"/>
  <c r="G60" i="5"/>
  <c r="M60" i="5"/>
  <c r="AA59" i="5" l="1"/>
  <c r="AC59" i="5" s="1"/>
  <c r="X60" i="5"/>
  <c r="Q60" i="5"/>
  <c r="C61" i="5"/>
  <c r="AB60" i="5"/>
  <c r="Y61" i="5"/>
  <c r="H61" i="5"/>
  <c r="L61" i="5"/>
  <c r="N61" i="5"/>
  <c r="M61" i="5"/>
  <c r="G61" i="5"/>
  <c r="K61" i="5"/>
  <c r="Z60" i="5"/>
  <c r="I61" i="5"/>
  <c r="J61" i="5"/>
  <c r="O61" i="5"/>
  <c r="F61" i="5"/>
  <c r="AA60" i="5" l="1"/>
  <c r="AC60" i="5" s="1"/>
  <c r="C62" i="5"/>
  <c r="Q61" i="5"/>
  <c r="X61" i="5"/>
  <c r="AB61" i="5"/>
  <c r="Y62" i="5"/>
  <c r="I62" i="5"/>
  <c r="J62" i="5"/>
  <c r="F62" i="5"/>
  <c r="Z61" i="5"/>
  <c r="K62" i="5"/>
  <c r="H62" i="5"/>
  <c r="G62" i="5"/>
  <c r="M62" i="5"/>
  <c r="N62" i="5"/>
  <c r="O62" i="5"/>
  <c r="L62" i="5"/>
  <c r="AA61" i="5" l="1"/>
  <c r="AC61" i="5" s="1"/>
  <c r="AB62" i="5"/>
  <c r="Y63" i="5"/>
  <c r="C63" i="5"/>
  <c r="X62" i="5"/>
  <c r="Q62" i="5"/>
  <c r="O63" i="5"/>
  <c r="I63" i="5"/>
  <c r="J63" i="5"/>
  <c r="H63" i="5"/>
  <c r="K63" i="5"/>
  <c r="Z62" i="5"/>
  <c r="L63" i="5"/>
  <c r="N63" i="5"/>
  <c r="F63" i="5"/>
  <c r="G63" i="5"/>
  <c r="M63" i="5"/>
  <c r="AA62" i="5" l="1"/>
  <c r="AC62" i="5" s="1"/>
  <c r="Y64" i="5"/>
  <c r="AB63" i="5"/>
  <c r="C64" i="5"/>
  <c r="X63" i="5"/>
  <c r="Q63" i="5"/>
  <c r="J64" i="5"/>
  <c r="L64" i="5"/>
  <c r="I64" i="5"/>
  <c r="K64" i="5"/>
  <c r="O64" i="5"/>
  <c r="M64" i="5"/>
  <c r="N64" i="5"/>
  <c r="H64" i="5"/>
  <c r="Z63" i="5"/>
  <c r="F64" i="5"/>
  <c r="G64" i="5"/>
  <c r="AA63" i="5" l="1"/>
  <c r="AC63" i="5" s="1"/>
  <c r="AB64" i="5"/>
  <c r="Y65" i="5"/>
  <c r="X64" i="5"/>
  <c r="C65" i="5"/>
  <c r="Q64" i="5"/>
  <c r="L65" i="5"/>
  <c r="N65" i="5"/>
  <c r="I65" i="5"/>
  <c r="O65" i="5"/>
  <c r="M65" i="5"/>
  <c r="K65" i="5"/>
  <c r="G65" i="5"/>
  <c r="J65" i="5"/>
  <c r="H65" i="5"/>
  <c r="Z64" i="5"/>
  <c r="F65" i="5"/>
  <c r="AA64" i="5" l="1"/>
  <c r="AC64" i="5" s="1"/>
  <c r="Y66" i="5"/>
  <c r="AB65" i="5"/>
  <c r="C66" i="5"/>
  <c r="Q65" i="5"/>
  <c r="X65" i="5"/>
  <c r="H66" i="5"/>
  <c r="J66" i="5"/>
  <c r="K66" i="5"/>
  <c r="O66" i="5"/>
  <c r="G66" i="5"/>
  <c r="F66" i="5"/>
  <c r="I66" i="5"/>
  <c r="M66" i="5"/>
  <c r="L66" i="5"/>
  <c r="N66" i="5"/>
  <c r="Z65" i="5"/>
  <c r="AA65" i="5" l="1"/>
  <c r="AC65" i="5" s="1"/>
  <c r="C67" i="5"/>
  <c r="Q66" i="5"/>
  <c r="X66" i="5"/>
  <c r="AB66" i="5"/>
  <c r="Y67" i="5"/>
  <c r="M67" i="5"/>
  <c r="N67" i="5"/>
  <c r="K67" i="5"/>
  <c r="G67" i="5"/>
  <c r="H67" i="5"/>
  <c r="L67" i="5"/>
  <c r="J67" i="5"/>
  <c r="O67" i="5"/>
  <c r="F67" i="5"/>
  <c r="Z66" i="5"/>
  <c r="I67" i="5"/>
  <c r="AA66" i="5" l="1"/>
  <c r="AC66" i="5" s="1"/>
  <c r="Y68" i="5"/>
  <c r="AB67" i="5"/>
  <c r="C68" i="5"/>
  <c r="X67" i="5"/>
  <c r="Q67" i="5"/>
  <c r="G68" i="5"/>
  <c r="J68" i="5"/>
  <c r="M68" i="5"/>
  <c r="I68" i="5"/>
  <c r="O68" i="5"/>
  <c r="N68" i="5"/>
  <c r="F68" i="5"/>
  <c r="Z67" i="5"/>
  <c r="L68" i="5"/>
  <c r="K68" i="5"/>
  <c r="H68" i="5"/>
  <c r="AA67" i="5" l="1"/>
  <c r="AC67" i="5" s="1"/>
  <c r="Y69" i="5"/>
  <c r="AB68" i="5"/>
  <c r="C69" i="5"/>
  <c r="Q68" i="5"/>
  <c r="X68" i="5"/>
  <c r="K69" i="5"/>
  <c r="M69" i="5"/>
  <c r="Z68" i="5"/>
  <c r="J69" i="5"/>
  <c r="F69" i="5"/>
  <c r="I69" i="5"/>
  <c r="N69" i="5"/>
  <c r="L69" i="5"/>
  <c r="O69" i="5"/>
  <c r="G69" i="5"/>
  <c r="H69" i="5"/>
  <c r="AA68" i="5" l="1"/>
  <c r="AC68" i="5" s="1"/>
  <c r="AB69" i="5"/>
  <c r="Y70" i="5"/>
  <c r="Q69" i="5"/>
  <c r="X69" i="5"/>
  <c r="C70" i="5"/>
  <c r="L70" i="5"/>
  <c r="O70" i="5"/>
  <c r="J70" i="5"/>
  <c r="G70" i="5"/>
  <c r="Z69" i="5"/>
  <c r="N70" i="5"/>
  <c r="M70" i="5"/>
  <c r="K70" i="5"/>
  <c r="I70" i="5"/>
  <c r="F70" i="5"/>
  <c r="H70" i="5"/>
  <c r="AA69" i="5" l="1"/>
  <c r="AC69" i="5" s="1"/>
  <c r="Y71" i="5"/>
  <c r="AB70" i="5"/>
  <c r="Q70" i="5"/>
  <c r="C71" i="5"/>
  <c r="X70" i="5"/>
  <c r="O71" i="5"/>
  <c r="I71" i="5"/>
  <c r="J71" i="5"/>
  <c r="K71" i="5"/>
  <c r="G71" i="5"/>
  <c r="M71" i="5"/>
  <c r="H71" i="5"/>
  <c r="L71" i="5"/>
  <c r="Z70" i="5"/>
  <c r="F71" i="5"/>
  <c r="N71" i="5"/>
  <c r="AA70" i="5" l="1"/>
  <c r="AC70" i="5" s="1"/>
  <c r="Q71" i="5"/>
  <c r="X71" i="5"/>
  <c r="C72" i="5"/>
  <c r="Y72" i="5"/>
  <c r="AB71" i="5"/>
  <c r="Z71" i="5"/>
  <c r="L72" i="5"/>
  <c r="M72" i="5"/>
  <c r="I72" i="5"/>
  <c r="J72" i="5"/>
  <c r="H72" i="5"/>
  <c r="G72" i="5"/>
  <c r="K72" i="5"/>
  <c r="N72" i="5"/>
  <c r="O72" i="5"/>
  <c r="F72" i="5"/>
  <c r="AA71" i="5" l="1"/>
  <c r="AC71" i="5" s="1"/>
  <c r="X72" i="5"/>
  <c r="C73" i="5"/>
  <c r="Q72" i="5"/>
  <c r="Y73" i="5"/>
  <c r="AB72" i="5"/>
  <c r="N73" i="5"/>
  <c r="F73" i="5"/>
  <c r="H73" i="5"/>
  <c r="O73" i="5"/>
  <c r="J73" i="5"/>
  <c r="M73" i="5"/>
  <c r="I73" i="5"/>
  <c r="Z72" i="5"/>
  <c r="G73" i="5"/>
  <c r="K73" i="5"/>
  <c r="L73" i="5"/>
  <c r="AA72" i="5" l="1"/>
  <c r="AC72" i="5" s="1"/>
  <c r="Q73" i="5"/>
  <c r="C74" i="5"/>
  <c r="X73" i="5"/>
  <c r="AB73" i="5"/>
  <c r="Y74" i="5"/>
  <c r="N74" i="5"/>
  <c r="L74" i="5"/>
  <c r="G74" i="5"/>
  <c r="K74" i="5"/>
  <c r="M74" i="5"/>
  <c r="F74" i="5"/>
  <c r="H74" i="5"/>
  <c r="O74" i="5"/>
  <c r="J74" i="5"/>
  <c r="I74" i="5"/>
  <c r="Z73" i="5"/>
  <c r="AA73" i="5" l="1"/>
  <c r="AC73" i="5" s="1"/>
  <c r="Q74" i="5"/>
  <c r="X74" i="5"/>
  <c r="C75" i="5"/>
  <c r="Y75" i="5"/>
  <c r="AB74" i="5"/>
  <c r="K75" i="5"/>
  <c r="M75" i="5"/>
  <c r="F75" i="5"/>
  <c r="I75" i="5"/>
  <c r="N75" i="5"/>
  <c r="J75" i="5"/>
  <c r="H75" i="5"/>
  <c r="O75" i="5"/>
  <c r="L75" i="5"/>
  <c r="Z74" i="5"/>
  <c r="G75" i="5"/>
  <c r="AA74" i="5" l="1"/>
  <c r="AC74" i="5" s="1"/>
  <c r="Q75" i="5"/>
  <c r="C76" i="5"/>
  <c r="X75" i="5"/>
  <c r="Y76" i="5"/>
  <c r="AB75" i="5"/>
  <c r="K76" i="5"/>
  <c r="F76" i="5"/>
  <c r="J76" i="5"/>
  <c r="G76" i="5"/>
  <c r="O76" i="5"/>
  <c r="I76" i="5"/>
  <c r="M76" i="5"/>
  <c r="L76" i="5"/>
  <c r="H76" i="5"/>
  <c r="N76" i="5"/>
  <c r="Z75" i="5"/>
  <c r="AA75" i="5" l="1"/>
  <c r="AC75" i="5" s="1"/>
  <c r="C77" i="5"/>
  <c r="X76" i="5"/>
  <c r="Q76" i="5"/>
  <c r="Y77" i="5"/>
  <c r="AB76" i="5"/>
  <c r="I77" i="5"/>
  <c r="F77" i="5"/>
  <c r="J77" i="5"/>
  <c r="K77" i="5"/>
  <c r="G77" i="5"/>
  <c r="O77" i="5"/>
  <c r="H77" i="5"/>
  <c r="L77" i="5"/>
  <c r="M77" i="5"/>
  <c r="N77" i="5"/>
  <c r="Z76" i="5"/>
  <c r="AA76" i="5" l="1"/>
  <c r="AC76" i="5" s="1"/>
  <c r="Q77" i="5"/>
  <c r="C78" i="5"/>
  <c r="X77" i="5"/>
  <c r="Y78" i="5"/>
  <c r="AB77" i="5"/>
  <c r="Z77" i="5"/>
  <c r="M78" i="5"/>
  <c r="K78" i="5"/>
  <c r="L78" i="5"/>
  <c r="H78" i="5"/>
  <c r="F78" i="5"/>
  <c r="G78" i="5"/>
  <c r="I78" i="5"/>
  <c r="O78" i="5"/>
  <c r="J78" i="5"/>
  <c r="N78" i="5"/>
  <c r="AA77" i="5" l="1"/>
  <c r="AC77" i="5" s="1"/>
  <c r="Q78" i="5"/>
  <c r="X78" i="5"/>
  <c r="C79" i="5"/>
  <c r="Y79" i="5"/>
  <c r="AB78" i="5"/>
  <c r="K79" i="5"/>
  <c r="I79" i="5"/>
  <c r="M79" i="5"/>
  <c r="G79" i="5"/>
  <c r="L79" i="5"/>
  <c r="O79" i="5"/>
  <c r="H79" i="5"/>
  <c r="J79" i="5"/>
  <c r="F79" i="5"/>
  <c r="N79" i="5"/>
  <c r="Z78" i="5"/>
  <c r="AA78" i="5" l="1"/>
  <c r="AC78" i="5" s="1"/>
  <c r="C80" i="5"/>
  <c r="X79" i="5"/>
  <c r="Q79" i="5"/>
  <c r="Y80" i="5"/>
  <c r="AB79" i="5"/>
  <c r="O80" i="5"/>
  <c r="J80" i="5"/>
  <c r="N80" i="5"/>
  <c r="F80" i="5"/>
  <c r="L80" i="5"/>
  <c r="M80" i="5"/>
  <c r="Z79" i="5"/>
  <c r="K80" i="5"/>
  <c r="G80" i="5"/>
  <c r="H80" i="5"/>
  <c r="I80" i="5"/>
  <c r="AA79" i="5" l="1"/>
  <c r="AC79" i="5" s="1"/>
  <c r="Q80" i="5"/>
  <c r="C81" i="5"/>
  <c r="X80" i="5"/>
  <c r="Y81" i="5"/>
  <c r="AB80" i="5"/>
  <c r="I81" i="5"/>
  <c r="N81" i="5"/>
  <c r="M81" i="5"/>
  <c r="F81" i="5"/>
  <c r="Z80" i="5"/>
  <c r="K81" i="5"/>
  <c r="H81" i="5"/>
  <c r="O81" i="5"/>
  <c r="L81" i="5"/>
  <c r="G81" i="5"/>
  <c r="J81" i="5"/>
  <c r="AA80" i="5" l="1"/>
  <c r="AC80" i="5" s="1"/>
  <c r="X81" i="5"/>
  <c r="C82" i="5"/>
  <c r="Q81" i="5"/>
  <c r="AB81" i="5"/>
  <c r="Y82" i="5"/>
  <c r="Z81" i="5"/>
  <c r="K82" i="5"/>
  <c r="F82" i="5"/>
  <c r="M82" i="5"/>
  <c r="H82" i="5"/>
  <c r="O82" i="5"/>
  <c r="G82" i="5"/>
  <c r="J82" i="5"/>
  <c r="N82" i="5"/>
  <c r="L82" i="5"/>
  <c r="I82" i="5"/>
  <c r="AA81" i="5" l="1"/>
  <c r="AC81" i="5" s="1"/>
  <c r="AB82" i="5"/>
  <c r="Y83" i="5"/>
  <c r="C83" i="5"/>
  <c r="X82" i="5"/>
  <c r="Q82" i="5"/>
  <c r="Z82" i="5"/>
  <c r="G83" i="5"/>
  <c r="I83" i="5"/>
  <c r="L83" i="5"/>
  <c r="M83" i="5"/>
  <c r="H83" i="5"/>
  <c r="K83" i="5"/>
  <c r="J83" i="5"/>
  <c r="F83" i="5"/>
  <c r="O83" i="5"/>
  <c r="N83" i="5"/>
  <c r="AA82" i="5" l="1"/>
  <c r="AC82" i="5" s="1"/>
  <c r="Y84" i="5"/>
  <c r="AB83" i="5"/>
  <c r="Q83" i="5"/>
  <c r="X83" i="5"/>
  <c r="C84" i="5"/>
  <c r="F84" i="5"/>
  <c r="G84" i="5"/>
  <c r="N84" i="5"/>
  <c r="M84" i="5"/>
  <c r="L84" i="5"/>
  <c r="K84" i="5"/>
  <c r="I84" i="5"/>
  <c r="O84" i="5"/>
  <c r="Z83" i="5"/>
  <c r="H84" i="5"/>
  <c r="J84" i="5"/>
  <c r="AA83" i="5" l="1"/>
  <c r="AC83" i="5" s="1"/>
  <c r="Q84" i="5"/>
  <c r="X84" i="5"/>
  <c r="C85" i="5"/>
  <c r="Y85" i="5"/>
  <c r="AB84" i="5"/>
  <c r="N85" i="5"/>
  <c r="O85" i="5"/>
  <c r="M85" i="5"/>
  <c r="H85" i="5"/>
  <c r="J85" i="5"/>
  <c r="L85" i="5"/>
  <c r="G85" i="5"/>
  <c r="Z84" i="5"/>
  <c r="I85" i="5"/>
  <c r="K85" i="5"/>
  <c r="F85" i="5"/>
  <c r="AA84" i="5" l="1"/>
  <c r="AC84" i="5" s="1"/>
  <c r="Q85" i="5"/>
  <c r="X85" i="5"/>
  <c r="C86" i="5"/>
  <c r="AB85" i="5"/>
  <c r="Y86" i="5"/>
  <c r="M86" i="5"/>
  <c r="G86" i="5"/>
  <c r="J86" i="5"/>
  <c r="H86" i="5"/>
  <c r="K86" i="5"/>
  <c r="I86" i="5"/>
  <c r="L86" i="5"/>
  <c r="N86" i="5"/>
  <c r="F86" i="5"/>
  <c r="Z85" i="5"/>
  <c r="O86" i="5"/>
  <c r="AA85" i="5" l="1"/>
  <c r="AC85" i="5" s="1"/>
  <c r="Y87" i="5"/>
  <c r="AB86" i="5"/>
  <c r="Q86" i="5"/>
  <c r="C87" i="5"/>
  <c r="X86" i="5"/>
  <c r="Z86" i="5"/>
  <c r="G87" i="5"/>
  <c r="F87" i="5"/>
  <c r="L87" i="5"/>
  <c r="K87" i="5"/>
  <c r="O87" i="5"/>
  <c r="I87" i="5"/>
  <c r="H87" i="5"/>
  <c r="N87" i="5"/>
  <c r="M87" i="5"/>
  <c r="J87" i="5"/>
  <c r="AA86" i="5" l="1"/>
  <c r="AC86" i="5" s="1"/>
  <c r="Y88" i="5"/>
  <c r="AB87" i="5"/>
  <c r="C88" i="5"/>
  <c r="X87" i="5"/>
  <c r="Q87" i="5"/>
  <c r="K88" i="5"/>
  <c r="J88" i="5"/>
  <c r="O88" i="5"/>
  <c r="H88" i="5"/>
  <c r="M88" i="5"/>
  <c r="Z87" i="5"/>
  <c r="L88" i="5"/>
  <c r="G88" i="5"/>
  <c r="F88" i="5"/>
  <c r="N88" i="5"/>
  <c r="I88" i="5"/>
  <c r="AA87" i="5" l="1"/>
  <c r="AC87" i="5" s="1"/>
  <c r="Y89" i="5"/>
  <c r="AB88" i="5"/>
  <c r="C89" i="5"/>
  <c r="Q88" i="5"/>
  <c r="X88" i="5"/>
  <c r="F89" i="5"/>
  <c r="M89" i="5"/>
  <c r="Z88" i="5"/>
  <c r="H89" i="5"/>
  <c r="J89" i="5"/>
  <c r="G89" i="5"/>
  <c r="K89" i="5"/>
  <c r="I89" i="5"/>
  <c r="O89" i="5"/>
  <c r="L89" i="5"/>
  <c r="N89" i="5"/>
  <c r="AA88" i="5" l="1"/>
  <c r="AC88" i="5" s="1"/>
  <c r="X89" i="5"/>
  <c r="C90" i="5"/>
  <c r="Q89" i="5"/>
  <c r="Y90" i="5"/>
  <c r="AB89" i="5"/>
  <c r="M90" i="5"/>
  <c r="L90" i="5"/>
  <c r="F90" i="5"/>
  <c r="K90" i="5"/>
  <c r="H90" i="5"/>
  <c r="O90" i="5"/>
  <c r="J90" i="5"/>
  <c r="G90" i="5"/>
  <c r="I90" i="5"/>
  <c r="N90" i="5"/>
  <c r="Z89" i="5"/>
  <c r="AA89" i="5" l="1"/>
  <c r="AC89" i="5" s="1"/>
  <c r="Q90" i="5"/>
  <c r="X90" i="5"/>
  <c r="C91" i="5"/>
  <c r="Y91" i="5"/>
  <c r="AB90" i="5"/>
  <c r="Z90" i="5"/>
  <c r="J91" i="5"/>
  <c r="H91" i="5"/>
  <c r="F91" i="5"/>
  <c r="M91" i="5"/>
  <c r="N91" i="5"/>
  <c r="K91" i="5"/>
  <c r="O91" i="5"/>
  <c r="G91" i="5"/>
  <c r="L91" i="5"/>
  <c r="I91" i="5"/>
  <c r="AA90" i="5" l="1"/>
  <c r="AC90" i="5" s="1"/>
  <c r="Q91" i="5"/>
  <c r="C92" i="5"/>
  <c r="X91" i="5"/>
  <c r="Y92" i="5"/>
  <c r="AB91" i="5"/>
  <c r="L92" i="5"/>
  <c r="I92" i="5"/>
  <c r="G92" i="5"/>
  <c r="K92" i="5"/>
  <c r="H92" i="5"/>
  <c r="N92" i="5"/>
  <c r="Z91" i="5"/>
  <c r="M92" i="5"/>
  <c r="O92" i="5"/>
  <c r="J92" i="5"/>
  <c r="F92" i="5"/>
  <c r="AA91" i="5" l="1"/>
  <c r="AC91" i="5" s="1"/>
  <c r="Q92" i="5"/>
  <c r="X92" i="5"/>
  <c r="C93" i="5"/>
  <c r="Y93" i="5"/>
  <c r="AB92" i="5"/>
  <c r="K93" i="5"/>
  <c r="I93" i="5"/>
  <c r="M93" i="5"/>
  <c r="F93" i="5"/>
  <c r="H93" i="5"/>
  <c r="O93" i="5"/>
  <c r="J93" i="5"/>
  <c r="G93" i="5"/>
  <c r="Z92" i="5"/>
  <c r="N93" i="5"/>
  <c r="L93" i="5"/>
  <c r="AA92" i="5" l="1"/>
  <c r="AC92" i="5" s="1"/>
  <c r="Q93" i="5"/>
  <c r="X93" i="5"/>
  <c r="C94" i="5"/>
  <c r="Y94" i="5"/>
  <c r="AB93" i="5"/>
  <c r="J94" i="5"/>
  <c r="G94" i="5"/>
  <c r="N94" i="5"/>
  <c r="I94" i="5"/>
  <c r="H94" i="5"/>
  <c r="L94" i="5"/>
  <c r="K94" i="5"/>
  <c r="M94" i="5"/>
  <c r="Z93" i="5"/>
  <c r="F94" i="5"/>
  <c r="O94" i="5"/>
  <c r="AA93" i="5" l="1"/>
  <c r="AC93" i="5" s="1"/>
  <c r="C95" i="5"/>
  <c r="X94" i="5"/>
  <c r="Q94" i="5"/>
  <c r="Y95" i="5"/>
  <c r="AB94" i="5"/>
  <c r="M95" i="5"/>
  <c r="K95" i="5"/>
  <c r="Z94" i="5"/>
  <c r="F95" i="5"/>
  <c r="G95" i="5"/>
  <c r="N95" i="5"/>
  <c r="L95" i="5"/>
  <c r="H95" i="5"/>
  <c r="O95" i="5"/>
  <c r="I95" i="5"/>
  <c r="J95" i="5"/>
  <c r="AA94" i="5" l="1"/>
  <c r="AC94" i="5" s="1"/>
  <c r="Q95" i="5"/>
  <c r="C96" i="5"/>
  <c r="X95" i="5"/>
  <c r="Y96" i="5"/>
  <c r="AB95" i="5"/>
  <c r="G96" i="5"/>
  <c r="J96" i="5"/>
  <c r="I96" i="5"/>
  <c r="F96" i="5"/>
  <c r="N96" i="5"/>
  <c r="K96" i="5"/>
  <c r="Z95" i="5"/>
  <c r="H96" i="5"/>
  <c r="L96" i="5"/>
  <c r="O96" i="5"/>
  <c r="M96" i="5"/>
  <c r="AA95" i="5" l="1"/>
  <c r="AC95" i="5" s="1"/>
  <c r="Q96" i="5"/>
  <c r="C97" i="5"/>
  <c r="X96" i="5"/>
  <c r="Y97" i="5"/>
  <c r="AB96" i="5"/>
  <c r="L97" i="5"/>
  <c r="O97" i="5"/>
  <c r="G97" i="5"/>
  <c r="F97" i="5"/>
  <c r="Z96" i="5"/>
  <c r="I97" i="5"/>
  <c r="K97" i="5"/>
  <c r="H97" i="5"/>
  <c r="J97" i="5"/>
  <c r="N97" i="5"/>
  <c r="M97" i="5"/>
  <c r="AA96" i="5" l="1"/>
  <c r="AC96" i="5" s="1"/>
  <c r="C98" i="5"/>
  <c r="Q97" i="5"/>
  <c r="X97" i="5"/>
  <c r="Y98" i="5"/>
  <c r="AB97" i="5"/>
  <c r="K98" i="5"/>
  <c r="I98" i="5"/>
  <c r="O98" i="5"/>
  <c r="F98" i="5"/>
  <c r="N98" i="5"/>
  <c r="Z97" i="5"/>
  <c r="M98" i="5"/>
  <c r="G98" i="5"/>
  <c r="J98" i="5"/>
  <c r="H98" i="5"/>
  <c r="L98" i="5"/>
  <c r="AA97" i="5" l="1"/>
  <c r="AC97" i="5" s="1"/>
  <c r="Q98" i="5"/>
  <c r="C99" i="5"/>
  <c r="X98" i="5"/>
  <c r="AB98" i="5"/>
  <c r="Y99" i="5"/>
  <c r="I99" i="5"/>
  <c r="H99" i="5"/>
  <c r="N99" i="5"/>
  <c r="L99" i="5"/>
  <c r="Z98" i="5"/>
  <c r="K99" i="5"/>
  <c r="M99" i="5"/>
  <c r="G99" i="5"/>
  <c r="J99" i="5"/>
  <c r="O99" i="5"/>
  <c r="F99" i="5"/>
  <c r="AA98" i="5" l="1"/>
  <c r="AC98" i="5" s="1"/>
  <c r="Q99" i="5"/>
  <c r="X99" i="5"/>
  <c r="H11" i="5" s="1"/>
  <c r="K8" i="5"/>
  <c r="K7" i="5"/>
  <c r="K10" i="5"/>
  <c r="K9" i="5"/>
  <c r="K11" i="5"/>
  <c r="AB99" i="5"/>
  <c r="Z99" i="5"/>
  <c r="H7" i="5" l="1"/>
  <c r="H9" i="5"/>
  <c r="AA99" i="5"/>
  <c r="AC99" i="5" s="1"/>
  <c r="H10" i="5"/>
  <c r="H8" i="5"/>
  <c r="P10" i="5" l="1"/>
  <c r="P11" i="5"/>
  <c r="P8" i="5"/>
  <c r="P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4" authorId="0" shapeId="0" xr:uid="{00000000-0006-0000-0100-000001000000}">
      <text>
        <r>
          <rPr>
            <b/>
            <sz val="9"/>
            <color indexed="81"/>
            <rFont val="宋体"/>
            <family val="2"/>
            <charset val="134"/>
          </rPr>
          <t>输入证券代码</t>
        </r>
      </text>
    </comment>
    <comment ref="C6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选择比较行业：
申万、wind、证监会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00000000-0006-0000-0100-000003000000}">
      <text>
        <r>
          <rPr>
            <b/>
            <sz val="9"/>
            <color indexed="81"/>
            <rFont val="宋体"/>
            <family val="3"/>
            <charset val="134"/>
          </rPr>
          <t>选择指标类型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6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右侧输入证券代码</t>
        </r>
      </text>
    </comment>
    <comment ref="D8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输入预测年份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D10" authorId="0" shapeId="0" xr:uid="{00000000-0006-0000-0200-000003000000}">
      <text>
        <r>
          <rPr>
            <b/>
            <sz val="9"/>
            <color indexed="81"/>
            <rFont val="宋体"/>
            <family val="2"/>
            <charset val="134"/>
          </rPr>
          <t>输入计量单位</t>
        </r>
      </text>
    </comment>
    <comment ref="D11" authorId="0" shapeId="0" xr:uid="{00000000-0006-0000-0200-000004000000}">
      <text>
        <r>
          <rPr>
            <b/>
            <sz val="9"/>
            <color indexed="81"/>
            <rFont val="宋体"/>
            <family val="3"/>
            <charset val="134"/>
          </rPr>
          <t>选择统计区间或自设日期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6" authorId="0" shapeId="0" xr:uid="{00000000-0006-0000-0600-000001000000}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<sst xmlns="http://schemas.openxmlformats.org/spreadsheetml/2006/main" count="11500" uniqueCount="11470">
  <si>
    <t>最新报告期</t>
    <phoneticPr fontId="1" type="noConversion"/>
  </si>
  <si>
    <t>上一报告期</t>
    <phoneticPr fontId="1" type="noConversion"/>
  </si>
  <si>
    <t>流通股东持股合计</t>
    <phoneticPr fontId="1" type="noConversion"/>
  </si>
  <si>
    <t>户均持股数量上期</t>
    <phoneticPr fontId="1" type="noConversion"/>
  </si>
  <si>
    <t>图标标题1</t>
    <phoneticPr fontId="1" type="noConversion"/>
  </si>
  <si>
    <t>百万</t>
  </si>
  <si>
    <t>前复权</t>
    <phoneticPr fontId="1" type="noConversion"/>
  </si>
  <si>
    <t>后复权</t>
    <phoneticPr fontId="1" type="noConversion"/>
  </si>
  <si>
    <t>不复权</t>
    <phoneticPr fontId="1" type="noConversion"/>
  </si>
  <si>
    <t>日</t>
  </si>
  <si>
    <t>代码_x0000__x0000_</t>
  </si>
  <si>
    <t>000001.SH</t>
  </si>
  <si>
    <t>000002.SH</t>
  </si>
  <si>
    <t>000003.SH</t>
  </si>
  <si>
    <t>000010.SH</t>
  </si>
  <si>
    <t>000016.SH</t>
  </si>
  <si>
    <t>000017.SH</t>
  </si>
  <si>
    <t>000300.SH</t>
  </si>
  <si>
    <t>000903.SH</t>
  </si>
  <si>
    <t>399001.SZ</t>
  </si>
  <si>
    <t>399004.SZ</t>
  </si>
  <si>
    <t>399005.SZ</t>
  </si>
  <si>
    <t>399006.SZ</t>
  </si>
  <si>
    <t>399100.SZ</t>
  </si>
  <si>
    <t>399101.SZ</t>
  </si>
  <si>
    <t>399106.SZ</t>
  </si>
  <si>
    <t>399107.SZ</t>
  </si>
  <si>
    <t>399108.SZ</t>
  </si>
  <si>
    <t>801001.SI</t>
  </si>
  <si>
    <t>801002.SI</t>
  </si>
  <si>
    <t>801003.SI</t>
  </si>
  <si>
    <t>801005.SI</t>
  </si>
  <si>
    <t>801300.SI</t>
  </si>
  <si>
    <t>801901.SI</t>
  </si>
  <si>
    <t>801903.SI</t>
  </si>
  <si>
    <t>801905.SI</t>
  </si>
  <si>
    <t>816000.CI</t>
  </si>
  <si>
    <t>816050.CI</t>
  </si>
  <si>
    <t>816999.CI</t>
  </si>
  <si>
    <t>830001.XI</t>
  </si>
  <si>
    <t>830002.XI</t>
  </si>
  <si>
    <t>830003.XI</t>
  </si>
  <si>
    <t>830004.XI</t>
  </si>
  <si>
    <t>830009.XI</t>
  </si>
  <si>
    <t>881001.WI</t>
  </si>
  <si>
    <t>881002.WI</t>
  </si>
  <si>
    <t>133333.MI</t>
  </si>
  <si>
    <t>MSCI CHINA A</t>
  </si>
  <si>
    <t>DJCBN600.GI</t>
  </si>
  <si>
    <t>DJCHINA.GI</t>
  </si>
  <si>
    <t>DJCN88.GI</t>
  </si>
  <si>
    <t>日期</t>
  </si>
  <si>
    <t>收盘价</t>
  </si>
  <si>
    <t>区间涨跌幅</t>
  </si>
  <si>
    <t>指数基准</t>
  </si>
  <si>
    <t>千</t>
  </si>
  <si>
    <t>十亿</t>
  </si>
  <si>
    <t>周</t>
  </si>
  <si>
    <t>月</t>
  </si>
  <si>
    <t>单位</t>
    <phoneticPr fontId="1" type="noConversion"/>
  </si>
  <si>
    <t>报告期</t>
    <phoneticPr fontId="1" type="noConversion"/>
  </si>
  <si>
    <t>行情周期</t>
    <phoneticPr fontId="1" type="noConversion"/>
  </si>
  <si>
    <t>股东持股</t>
    <phoneticPr fontId="1" type="noConversion"/>
  </si>
  <si>
    <t>图标</t>
    <phoneticPr fontId="1" type="noConversion"/>
  </si>
  <si>
    <t>股价类型</t>
    <phoneticPr fontId="1" type="noConversion"/>
  </si>
  <si>
    <t>股东持股区间查询</t>
    <phoneticPr fontId="1" type="noConversion"/>
  </si>
  <si>
    <t>1月前</t>
    <phoneticPr fontId="1" type="noConversion"/>
  </si>
  <si>
    <t>1季前</t>
    <phoneticPr fontId="1" type="noConversion"/>
  </si>
  <si>
    <t>半年前</t>
    <phoneticPr fontId="1" type="noConversion"/>
  </si>
  <si>
    <t>1年前</t>
    <phoneticPr fontId="1" type="noConversion"/>
  </si>
  <si>
    <t>报表类型</t>
    <phoneticPr fontId="1" type="noConversion"/>
  </si>
  <si>
    <t>合并报表</t>
    <phoneticPr fontId="1" type="noConversion"/>
  </si>
  <si>
    <t>母公司报表</t>
    <phoneticPr fontId="1" type="noConversion"/>
  </si>
  <si>
    <t>QFII</t>
    <phoneticPr fontId="1" type="noConversion"/>
  </si>
  <si>
    <t>BPS</t>
    <phoneticPr fontId="1" type="noConversion"/>
  </si>
  <si>
    <t>预测与评级明细</t>
    <phoneticPr fontId="1" type="noConversion"/>
  </si>
  <si>
    <t>国泰君安</t>
    <phoneticPr fontId="1" type="noConversion"/>
  </si>
  <si>
    <t>公司代码</t>
    <phoneticPr fontId="1" type="noConversion"/>
  </si>
  <si>
    <t>评级明细</t>
    <phoneticPr fontId="1" type="noConversion"/>
  </si>
  <si>
    <t>预测主营收入</t>
    <phoneticPr fontId="1" type="noConversion"/>
  </si>
  <si>
    <t>买入</t>
    <phoneticPr fontId="1" type="noConversion"/>
  </si>
  <si>
    <t>评级变动</t>
    <phoneticPr fontId="1" type="noConversion"/>
  </si>
  <si>
    <t>预测年份</t>
    <phoneticPr fontId="1" type="noConversion"/>
  </si>
  <si>
    <t>预测净利润</t>
    <phoneticPr fontId="1" type="noConversion"/>
  </si>
  <si>
    <t>增持</t>
    <phoneticPr fontId="1" type="noConversion"/>
  </si>
  <si>
    <t>首次评级</t>
    <phoneticPr fontId="1" type="noConversion"/>
  </si>
  <si>
    <t>交易日期</t>
    <phoneticPr fontId="1" type="noConversion"/>
  </si>
  <si>
    <t>预测每股收益</t>
    <phoneticPr fontId="1" type="noConversion"/>
  </si>
  <si>
    <t>中性</t>
    <phoneticPr fontId="1" type="noConversion"/>
  </si>
  <si>
    <t>评级上调</t>
    <phoneticPr fontId="1" type="noConversion"/>
  </si>
  <si>
    <t>减持</t>
    <phoneticPr fontId="1" type="noConversion"/>
  </si>
  <si>
    <t>评级不变</t>
    <phoneticPr fontId="1" type="noConversion"/>
  </si>
  <si>
    <t>最新报告</t>
    <phoneticPr fontId="1" type="noConversion"/>
  </si>
  <si>
    <t>卖出</t>
    <phoneticPr fontId="1" type="noConversion"/>
  </si>
  <si>
    <t>评级下调</t>
    <phoneticPr fontId="1" type="noConversion"/>
  </si>
  <si>
    <t>预测时间设置</t>
    <phoneticPr fontId="1" type="noConversion"/>
  </si>
  <si>
    <t>机构</t>
    <phoneticPr fontId="1" type="noConversion"/>
  </si>
  <si>
    <t>研究员</t>
    <phoneticPr fontId="1" type="noConversion"/>
  </si>
  <si>
    <t>标准化得分</t>
    <phoneticPr fontId="1" type="noConversion"/>
  </si>
  <si>
    <t>标准化评级</t>
    <phoneticPr fontId="1" type="noConversion"/>
  </si>
  <si>
    <t>预测时间</t>
    <phoneticPr fontId="1" type="noConversion"/>
  </si>
  <si>
    <t>评级时间设置</t>
    <phoneticPr fontId="1" type="noConversion"/>
  </si>
  <si>
    <t>机构上次评级(标准化得分)</t>
    <phoneticPr fontId="1" type="noConversion"/>
  </si>
  <si>
    <t>评级变化</t>
    <phoneticPr fontId="1" type="noConversion"/>
  </si>
  <si>
    <t>&lt;&gt;0</t>
    <phoneticPr fontId="1" type="noConversion"/>
  </si>
  <si>
    <t>&lt;&gt;0</t>
    <phoneticPr fontId="1" type="noConversion"/>
  </si>
  <si>
    <t>申银万国</t>
    <phoneticPr fontId="1" type="noConversion"/>
  </si>
  <si>
    <t>机构代码</t>
    <phoneticPr fontId="1" type="noConversion"/>
  </si>
  <si>
    <t>中银国际</t>
    <phoneticPr fontId="1" type="noConversion"/>
  </si>
  <si>
    <t>中信建投</t>
    <phoneticPr fontId="1" type="noConversion"/>
  </si>
  <si>
    <t>银河证券</t>
    <phoneticPr fontId="1" type="noConversion"/>
  </si>
  <si>
    <t>华泰联合</t>
    <phoneticPr fontId="1" type="noConversion"/>
  </si>
  <si>
    <t>瑞信方正</t>
    <phoneticPr fontId="1" type="noConversion"/>
  </si>
  <si>
    <t>中信万通</t>
    <phoneticPr fontId="1" type="noConversion"/>
  </si>
  <si>
    <t>中金证券</t>
    <phoneticPr fontId="1" type="noConversion"/>
  </si>
  <si>
    <t>新疆证券</t>
    <phoneticPr fontId="1" type="noConversion"/>
  </si>
  <si>
    <t>合并报表</t>
  </si>
  <si>
    <t>评级变动</t>
    <phoneticPr fontId="1" type="noConversion"/>
  </si>
  <si>
    <t>代码</t>
    <phoneticPr fontId="1" type="noConversion"/>
  </si>
  <si>
    <t>PE</t>
    <phoneticPr fontId="1" type="noConversion"/>
  </si>
  <si>
    <t>证券代码</t>
  </si>
  <si>
    <t>证券简称</t>
  </si>
  <si>
    <t>毛利率</t>
    <phoneticPr fontId="1" type="noConversion"/>
  </si>
  <si>
    <t>营业利润率</t>
    <phoneticPr fontId="1" type="noConversion"/>
  </si>
  <si>
    <t>营业利润</t>
    <phoneticPr fontId="1" type="noConversion"/>
  </si>
  <si>
    <t>净利润率</t>
    <phoneticPr fontId="1" type="noConversion"/>
  </si>
  <si>
    <t>CFPS</t>
    <phoneticPr fontId="1" type="noConversion"/>
  </si>
  <si>
    <t>EPS</t>
    <phoneticPr fontId="1" type="noConversion"/>
  </si>
  <si>
    <t>收入</t>
    <phoneticPr fontId="1" type="noConversion"/>
  </si>
  <si>
    <t>总股本</t>
    <phoneticPr fontId="1" type="noConversion"/>
  </si>
  <si>
    <t>总市值</t>
    <phoneticPr fontId="1" type="noConversion"/>
  </si>
  <si>
    <t>利润总额</t>
    <phoneticPr fontId="1" type="noConversion"/>
  </si>
  <si>
    <t>ROE</t>
    <phoneticPr fontId="1" type="noConversion"/>
  </si>
  <si>
    <t>PB</t>
    <phoneticPr fontId="1" type="noConversion"/>
  </si>
  <si>
    <t>ROA</t>
    <phoneticPr fontId="1" type="noConversion"/>
  </si>
  <si>
    <t>财务费用</t>
    <phoneticPr fontId="1" type="noConversion"/>
  </si>
  <si>
    <t>折旧及摊销</t>
    <phoneticPr fontId="1" type="noConversion"/>
  </si>
  <si>
    <t>所得税</t>
    <phoneticPr fontId="1" type="noConversion"/>
  </si>
  <si>
    <t>营运资本</t>
    <phoneticPr fontId="1" type="noConversion"/>
  </si>
  <si>
    <t>计息债务</t>
    <phoneticPr fontId="1" type="noConversion"/>
  </si>
  <si>
    <t>资本支出</t>
    <phoneticPr fontId="1" type="noConversion"/>
  </si>
  <si>
    <t>现金及等价物</t>
    <phoneticPr fontId="1" type="noConversion"/>
  </si>
  <si>
    <t>财务摘要</t>
    <phoneticPr fontId="1" type="noConversion"/>
  </si>
  <si>
    <t>估值分析</t>
    <phoneticPr fontId="1" type="noConversion"/>
  </si>
  <si>
    <t>序号</t>
    <phoneticPr fontId="1" type="noConversion"/>
  </si>
  <si>
    <t>证券代码</t>
    <phoneticPr fontId="1" type="noConversion"/>
  </si>
  <si>
    <t>证券简称</t>
    <phoneticPr fontId="1" type="noConversion"/>
  </si>
  <si>
    <t>收盘价</t>
    <phoneticPr fontId="1" type="noConversion"/>
  </si>
  <si>
    <t>行业比较</t>
    <phoneticPr fontId="1" type="noConversion"/>
  </si>
  <si>
    <t>PE</t>
  </si>
  <si>
    <t>PB</t>
  </si>
  <si>
    <t>总股本</t>
  </si>
  <si>
    <t>总市值</t>
  </si>
  <si>
    <t>处置固定资产、无形资产和其他长期资产收回的现金</t>
    <phoneticPr fontId="1" type="noConversion"/>
  </si>
  <si>
    <t>机构汇总</t>
  </si>
  <si>
    <t>排名</t>
    <phoneticPr fontId="1" type="noConversion"/>
  </si>
  <si>
    <t>经营现金净流入</t>
    <phoneticPr fontId="1" type="noConversion"/>
  </si>
  <si>
    <t>筹资现金净流入</t>
    <phoneticPr fontId="1" type="noConversion"/>
  </si>
  <si>
    <t>投资现金净流入</t>
    <phoneticPr fontId="1" type="noConversion"/>
  </si>
  <si>
    <t>总资产增长率</t>
    <phoneticPr fontId="1" type="noConversion"/>
  </si>
  <si>
    <t>归属母公司股东</t>
    <phoneticPr fontId="1" type="noConversion"/>
  </si>
  <si>
    <t>营收增长率</t>
    <phoneticPr fontId="1" type="noConversion"/>
  </si>
  <si>
    <t>其他</t>
    <phoneticPr fontId="1" type="noConversion"/>
  </si>
  <si>
    <t>返回</t>
    <phoneticPr fontId="1" type="noConversion"/>
  </si>
  <si>
    <t>毛利润[合并报表]</t>
    <phoneticPr fontId="1" type="noConversion"/>
  </si>
  <si>
    <t>PE Band</t>
  </si>
  <si>
    <t>涨跌%[N日]</t>
    <phoneticPr fontId="1" type="noConversion"/>
  </si>
  <si>
    <t>按行业分类</t>
  </si>
  <si>
    <t>统计区间</t>
    <phoneticPr fontId="1" type="noConversion"/>
  </si>
  <si>
    <r>
      <rPr>
        <b/>
        <sz val="9"/>
        <color theme="0"/>
        <rFont val="Palatino Linotype"/>
        <family val="1"/>
      </rPr>
      <t>户均持股</t>
    </r>
    <phoneticPr fontId="1" type="noConversion"/>
  </si>
  <si>
    <t>说明：《公司分析》提供上市公司速览、盈利预测、行业比较等内容。通过本模板，可以快速浏览上市公司的基本信息，股价、股本、股东及财务经营状况；机构的预测明细和进行相关行业的比较，了解公司在行业中的地位。</t>
    <phoneticPr fontId="1" type="noConversion"/>
  </si>
  <si>
    <t>股本结构</t>
    <phoneticPr fontId="1" type="noConversion"/>
  </si>
  <si>
    <t>公司概况</t>
    <phoneticPr fontId="24" type="noConversion"/>
  </si>
  <si>
    <t>年度审计意见</t>
    <phoneticPr fontId="24" type="noConversion"/>
  </si>
  <si>
    <t>交易代码</t>
    <phoneticPr fontId="24" type="noConversion"/>
  </si>
  <si>
    <r>
      <rPr>
        <b/>
        <sz val="10"/>
        <color theme="1"/>
        <rFont val="微软雅黑"/>
        <family val="2"/>
        <charset val="134"/>
      </rPr>
      <t>日期</t>
    </r>
    <phoneticPr fontId="24" type="noConversion"/>
  </si>
  <si>
    <t>单位</t>
    <phoneticPr fontId="24" type="noConversion"/>
  </si>
  <si>
    <t>公司电话</t>
    <phoneticPr fontId="24" type="noConversion"/>
  </si>
  <si>
    <t>公司名称</t>
    <phoneticPr fontId="24" type="noConversion"/>
  </si>
  <si>
    <t>行业(SW/GICS)</t>
    <phoneticPr fontId="24" type="noConversion"/>
  </si>
  <si>
    <t>首发上市日期</t>
    <phoneticPr fontId="24" type="noConversion"/>
  </si>
  <si>
    <t>员工总数</t>
    <phoneticPr fontId="24" type="noConversion"/>
  </si>
  <si>
    <t>公司传真</t>
    <phoneticPr fontId="24" type="noConversion"/>
  </si>
  <si>
    <t>BPS</t>
    <phoneticPr fontId="24" type="noConversion"/>
  </si>
  <si>
    <t>市净率</t>
    <phoneticPr fontId="24" type="noConversion"/>
  </si>
  <si>
    <t>均价</t>
  </si>
  <si>
    <t>60日最高/最低</t>
  </si>
  <si>
    <t>EPS(摊薄)</t>
    <phoneticPr fontId="24" type="noConversion"/>
  </si>
  <si>
    <t>市盈率</t>
    <phoneticPr fontId="24" type="noConversion"/>
  </si>
  <si>
    <t>现价</t>
    <phoneticPr fontId="24" type="noConversion"/>
  </si>
  <si>
    <t>开盘价</t>
    <phoneticPr fontId="24" type="noConversion"/>
  </si>
  <si>
    <t>最高价</t>
    <phoneticPr fontId="24" type="noConversion"/>
  </si>
  <si>
    <t>最低价</t>
    <phoneticPr fontId="24" type="noConversion"/>
  </si>
  <si>
    <t>前收盘价</t>
    <phoneticPr fontId="24" type="noConversion"/>
  </si>
  <si>
    <t>涨跌</t>
    <phoneticPr fontId="24" type="noConversion"/>
  </si>
  <si>
    <t>涨跌幅</t>
    <phoneticPr fontId="24" type="noConversion"/>
  </si>
  <si>
    <t>成交量(万)</t>
    <phoneticPr fontId="24" type="noConversion"/>
  </si>
  <si>
    <t>成交额(万)</t>
    <phoneticPr fontId="1" type="noConversion"/>
  </si>
  <si>
    <t>不复权</t>
  </si>
  <si>
    <t>证券简称</t>
    <phoneticPr fontId="1" type="noConversion"/>
  </si>
  <si>
    <t>机构最近预测时间</t>
  </si>
  <si>
    <t>机构预测主营业务收入</t>
  </si>
  <si>
    <t>机构预测净利润</t>
  </si>
  <si>
    <t>机构预测每股收益</t>
  </si>
  <si>
    <t>机构最近评级时间</t>
  </si>
  <si>
    <t>评级研究员</t>
  </si>
  <si>
    <t>机构投资评级(原始)</t>
  </si>
  <si>
    <t>机构首次评级时间</t>
  </si>
  <si>
    <t>机构预测每股收益</t>
    <phoneticPr fontId="1" type="noConversion"/>
  </si>
  <si>
    <t>机构预测主营业务收入</t>
    <phoneticPr fontId="1" type="noConversion"/>
  </si>
  <si>
    <t>机构预测净利润</t>
    <phoneticPr fontId="1" type="noConversion"/>
  </si>
  <si>
    <t>序号</t>
    <phoneticPr fontId="1" type="noConversion"/>
  </si>
  <si>
    <t>最高/最低/均值</t>
    <phoneticPr fontId="1" type="noConversion"/>
  </si>
  <si>
    <t>市场表现</t>
    <phoneticPr fontId="24" type="noConversion"/>
  </si>
  <si>
    <t>指数基准</t>
    <phoneticPr fontId="1" type="noConversion"/>
  </si>
  <si>
    <t>三个月</t>
  </si>
  <si>
    <t>主要股东分析</t>
    <phoneticPr fontId="1" type="noConversion"/>
  </si>
  <si>
    <t>前10大股东</t>
    <phoneticPr fontId="1" type="noConversion"/>
  </si>
  <si>
    <t>股东名称</t>
    <phoneticPr fontId="1" type="noConversion"/>
  </si>
  <si>
    <t>持股数量</t>
    <phoneticPr fontId="1" type="noConversion"/>
  </si>
  <si>
    <t>持股比例</t>
    <phoneticPr fontId="1" type="noConversion"/>
  </si>
  <si>
    <t>合计</t>
    <phoneticPr fontId="1" type="noConversion"/>
  </si>
  <si>
    <t>按产品分类</t>
  </si>
  <si>
    <t>前10大流通股东</t>
    <phoneticPr fontId="1" type="noConversion"/>
  </si>
  <si>
    <t>合计</t>
    <phoneticPr fontId="1" type="noConversion"/>
  </si>
  <si>
    <t>半年前</t>
    <phoneticPr fontId="1" type="noConversion"/>
  </si>
  <si>
    <t>持股数量</t>
    <phoneticPr fontId="1" type="noConversion"/>
  </si>
  <si>
    <t>股东名称</t>
    <phoneticPr fontId="1" type="noConversion"/>
  </si>
  <si>
    <t>持股数量</t>
    <phoneticPr fontId="1" type="noConversion"/>
  </si>
  <si>
    <t>持股比例</t>
    <phoneticPr fontId="1" type="noConversion"/>
  </si>
  <si>
    <t>持股数量</t>
    <phoneticPr fontId="1" type="noConversion"/>
  </si>
  <si>
    <t>股票速览-行业比较</t>
    <phoneticPr fontId="1" type="noConversion"/>
  </si>
  <si>
    <t>行业属性</t>
    <phoneticPr fontId="24" type="noConversion"/>
  </si>
  <si>
    <t>机构持股</t>
  </si>
  <si>
    <t>机构类型/持股数量</t>
    <phoneticPr fontId="1" type="noConversion"/>
  </si>
  <si>
    <t>总股本</t>
    <phoneticPr fontId="24" type="noConversion"/>
  </si>
  <si>
    <t>流通A股</t>
    <phoneticPr fontId="24" type="noConversion"/>
  </si>
  <si>
    <t>流通B股</t>
    <phoneticPr fontId="24" type="noConversion"/>
  </si>
  <si>
    <t>香港上市股</t>
    <phoneticPr fontId="24" type="noConversion"/>
  </si>
  <si>
    <t>海外上市股</t>
  </si>
  <si>
    <t>流通股合计</t>
  </si>
  <si>
    <t>限售股</t>
    <phoneticPr fontId="24" type="noConversion"/>
  </si>
  <si>
    <t>股东户数</t>
    <phoneticPr fontId="24" type="noConversion"/>
  </si>
  <si>
    <t>变动</t>
    <phoneticPr fontId="24" type="noConversion"/>
  </si>
  <si>
    <t>机构持股合计</t>
    <phoneticPr fontId="1" type="noConversion"/>
  </si>
  <si>
    <t>其他机构</t>
    <phoneticPr fontId="1" type="noConversion"/>
  </si>
  <si>
    <t>基金</t>
    <phoneticPr fontId="1" type="noConversion"/>
  </si>
  <si>
    <t>保险公司</t>
    <phoneticPr fontId="1" type="noConversion"/>
  </si>
  <si>
    <t>社保基金</t>
    <phoneticPr fontId="1" type="noConversion"/>
  </si>
  <si>
    <t>券商理财产品</t>
    <phoneticPr fontId="1" type="noConversion"/>
  </si>
  <si>
    <t>收入与毛利分析</t>
    <phoneticPr fontId="1" type="noConversion"/>
  </si>
  <si>
    <t>收入[合并报表]</t>
    <phoneticPr fontId="1" type="noConversion"/>
  </si>
  <si>
    <t>毛利率[合并报表]</t>
    <phoneticPr fontId="1" type="noConversion"/>
  </si>
  <si>
    <r>
      <rPr>
        <sz val="10"/>
        <color theme="1"/>
        <rFont val="微软雅黑"/>
        <family val="2"/>
        <charset val="134"/>
      </rPr>
      <t>户均持股</t>
    </r>
    <phoneticPr fontId="24" type="noConversion"/>
  </si>
  <si>
    <r>
      <rPr>
        <sz val="10"/>
        <color theme="1"/>
        <rFont val="微软雅黑"/>
        <family val="2"/>
        <charset val="134"/>
      </rPr>
      <t>流通A股</t>
    </r>
    <phoneticPr fontId="1" type="noConversion"/>
  </si>
  <si>
    <t>证券简称</t>
    <phoneticPr fontId="1" type="noConversion"/>
  </si>
  <si>
    <t>报表类型</t>
    <phoneticPr fontId="1" type="noConversion"/>
  </si>
  <si>
    <r>
      <rPr>
        <sz val="10"/>
        <color theme="1"/>
        <rFont val="微软雅黑"/>
        <family val="2"/>
        <charset val="134"/>
      </rPr>
      <t>毛利率[按产品分类</t>
    </r>
    <r>
      <rPr>
        <sz val="10"/>
        <color theme="1"/>
        <rFont val="微软雅黑"/>
        <family val="2"/>
        <charset val="134"/>
      </rPr>
      <t>]</t>
    </r>
    <phoneticPr fontId="1" type="noConversion"/>
  </si>
  <si>
    <t>财务数据</t>
  </si>
  <si>
    <r>
      <rPr>
        <sz val="10"/>
        <color theme="1"/>
        <rFont val="微软雅黑"/>
        <family val="2"/>
        <charset val="134"/>
      </rPr>
      <t>存货</t>
    </r>
    <phoneticPr fontId="1" type="noConversion"/>
  </si>
  <si>
    <r>
      <rPr>
        <sz val="10"/>
        <color theme="1"/>
        <rFont val="微软雅黑"/>
        <family val="2"/>
        <charset val="134"/>
      </rPr>
      <t>待摊费用</t>
    </r>
    <phoneticPr fontId="1" type="noConversion"/>
  </si>
  <si>
    <r>
      <rPr>
        <sz val="10"/>
        <color theme="1"/>
        <rFont val="微软雅黑"/>
        <family val="2"/>
        <charset val="134"/>
      </rPr>
      <t>一年内到期的非流动资产</t>
    </r>
    <phoneticPr fontId="1" type="noConversion"/>
  </si>
  <si>
    <r>
      <rPr>
        <sz val="10"/>
        <color theme="1"/>
        <rFont val="微软雅黑"/>
        <family val="2"/>
        <charset val="134"/>
      </rPr>
      <t>其他流动资产</t>
    </r>
    <phoneticPr fontId="1" type="noConversion"/>
  </si>
  <si>
    <t>流动资产合计</t>
  </si>
  <si>
    <t>资产总计</t>
  </si>
  <si>
    <t>非流动资产合计</t>
    <phoneticPr fontId="1" type="noConversion"/>
  </si>
  <si>
    <t>流动负债合计</t>
    <phoneticPr fontId="1" type="noConversion"/>
  </si>
  <si>
    <t>投资收益</t>
    <phoneticPr fontId="1" type="noConversion"/>
  </si>
  <si>
    <t>负债合计</t>
  </si>
  <si>
    <t>利润总额</t>
  </si>
  <si>
    <t>净利润</t>
  </si>
  <si>
    <t>未分配利润</t>
  </si>
  <si>
    <t>所有者权益合计</t>
  </si>
  <si>
    <t>现金流量表</t>
  </si>
  <si>
    <t>资产减值损失</t>
    <phoneticPr fontId="1" type="noConversion"/>
  </si>
  <si>
    <t>公允价值变动收益</t>
    <phoneticPr fontId="1" type="noConversion"/>
  </si>
  <si>
    <t>购买商品、接受劳务支付的现金</t>
    <phoneticPr fontId="1" type="noConversion"/>
  </si>
  <si>
    <t>长期应付款</t>
    <phoneticPr fontId="1" type="noConversion"/>
  </si>
  <si>
    <t>净现金流</t>
    <phoneticPr fontId="1" type="noConversion"/>
  </si>
  <si>
    <t>长期借款</t>
    <phoneticPr fontId="1" type="noConversion"/>
  </si>
  <si>
    <t>应付债券</t>
    <phoneticPr fontId="1" type="noConversion"/>
  </si>
  <si>
    <t>递延所得税负债</t>
    <phoneticPr fontId="1" type="noConversion"/>
  </si>
  <si>
    <t>其他非流动负债</t>
    <phoneticPr fontId="1" type="noConversion"/>
  </si>
  <si>
    <t>实收资本(或股本)</t>
    <phoneticPr fontId="1" type="noConversion"/>
  </si>
  <si>
    <t>资本公积金</t>
    <phoneticPr fontId="1" type="noConversion"/>
  </si>
  <si>
    <t>盈余公积金</t>
    <phoneticPr fontId="1" type="noConversion"/>
  </si>
  <si>
    <t>少数股东权益</t>
    <phoneticPr fontId="1" type="noConversion"/>
  </si>
  <si>
    <t>归属于母公司所有者权益</t>
    <phoneticPr fontId="1" type="noConversion"/>
  </si>
  <si>
    <t>非流动负债合计</t>
    <phoneticPr fontId="1" type="noConversion"/>
  </si>
  <si>
    <t>销售、劳务现金流入</t>
    <phoneticPr fontId="1" type="noConversion"/>
  </si>
  <si>
    <t>经营活动现金流入</t>
    <phoneticPr fontId="1" type="noConversion"/>
  </si>
  <si>
    <t>支付给职工以及为职工支付的现金</t>
    <phoneticPr fontId="1" type="noConversion"/>
  </si>
  <si>
    <t>经营现金流出</t>
    <phoneticPr fontId="1" type="noConversion"/>
  </si>
  <si>
    <t>购建固定资产、无形资产和其他长期资产支付的现金</t>
    <phoneticPr fontId="1" type="noConversion"/>
  </si>
  <si>
    <t>应收票据</t>
  </si>
  <si>
    <t>应收账款</t>
    <phoneticPr fontId="1" type="noConversion"/>
  </si>
  <si>
    <t>其他应收款</t>
    <phoneticPr fontId="1" type="noConversion"/>
  </si>
  <si>
    <t>货币资金</t>
    <phoneticPr fontId="1" type="noConversion"/>
  </si>
  <si>
    <t>交易性金融资产</t>
    <phoneticPr fontId="1" type="noConversion"/>
  </si>
  <si>
    <t>预付账款</t>
    <phoneticPr fontId="1" type="noConversion"/>
  </si>
  <si>
    <t>固定资产</t>
  </si>
  <si>
    <t>工程物资</t>
    <phoneticPr fontId="1" type="noConversion"/>
  </si>
  <si>
    <t>在建工程</t>
    <phoneticPr fontId="1" type="noConversion"/>
  </si>
  <si>
    <t>无形资产</t>
    <phoneticPr fontId="1" type="noConversion"/>
  </si>
  <si>
    <t>递延所得税负债</t>
    <phoneticPr fontId="1" type="noConversion"/>
  </si>
  <si>
    <t>其他非流动资产</t>
    <phoneticPr fontId="1" type="noConversion"/>
  </si>
  <si>
    <t>长期待摊费用</t>
    <phoneticPr fontId="1" type="noConversion"/>
  </si>
  <si>
    <t>可供出售金融资产</t>
    <phoneticPr fontId="1" type="noConversion"/>
  </si>
  <si>
    <t>持有至到期投资</t>
    <phoneticPr fontId="1" type="noConversion"/>
  </si>
  <si>
    <t>投资性房地产</t>
    <phoneticPr fontId="1" type="noConversion"/>
  </si>
  <si>
    <t>应付账款</t>
  </si>
  <si>
    <t>预收账款</t>
    <phoneticPr fontId="1" type="noConversion"/>
  </si>
  <si>
    <t>其他应付款</t>
    <phoneticPr fontId="1" type="noConversion"/>
  </si>
  <si>
    <t>一年内到期的非流动负债</t>
    <phoneticPr fontId="1" type="noConversion"/>
  </si>
  <si>
    <t>其他流动负债</t>
    <phoneticPr fontId="1" type="noConversion"/>
  </si>
  <si>
    <t>短期借款</t>
    <phoneticPr fontId="1" type="noConversion"/>
  </si>
  <si>
    <t>交易性金融负债</t>
    <phoneticPr fontId="1" type="noConversion"/>
  </si>
  <si>
    <t>应付票据</t>
    <phoneticPr fontId="1" type="noConversion"/>
  </si>
  <si>
    <t>营业外收入</t>
    <phoneticPr fontId="1" type="noConversion"/>
  </si>
  <si>
    <t>营业收入</t>
    <phoneticPr fontId="1" type="noConversion"/>
  </si>
  <si>
    <t>营业成本</t>
    <phoneticPr fontId="1" type="noConversion"/>
  </si>
  <si>
    <t>税金及附加</t>
    <phoneticPr fontId="1" type="noConversion"/>
  </si>
  <si>
    <t>销售费用</t>
    <phoneticPr fontId="1" type="noConversion"/>
  </si>
  <si>
    <t>管理费用</t>
    <phoneticPr fontId="1" type="noConversion"/>
  </si>
  <si>
    <t>财务费用</t>
    <phoneticPr fontId="1" type="noConversion"/>
  </si>
  <si>
    <t>投资收益</t>
    <phoneticPr fontId="1" type="noConversion"/>
  </si>
  <si>
    <t>营业外支出</t>
    <phoneticPr fontId="1" type="noConversion"/>
  </si>
  <si>
    <t>利润表（单季度）</t>
    <phoneticPr fontId="1" type="noConversion"/>
  </si>
  <si>
    <t>归属母公司股东的净利润</t>
    <phoneticPr fontId="1" type="noConversion"/>
  </si>
  <si>
    <t>税金及附加</t>
    <phoneticPr fontId="1" type="noConversion"/>
  </si>
  <si>
    <t>营业成本</t>
    <phoneticPr fontId="1" type="noConversion"/>
  </si>
  <si>
    <t>财务费用</t>
    <phoneticPr fontId="1" type="noConversion"/>
  </si>
  <si>
    <t>财务指标</t>
    <phoneticPr fontId="1" type="noConversion"/>
  </si>
  <si>
    <r>
      <t>每股收益</t>
    </r>
    <r>
      <rPr>
        <b/>
        <sz val="9"/>
        <color theme="1"/>
        <rFont val="Arial"/>
        <family val="2"/>
      </rPr>
      <t/>
    </r>
    <phoneticPr fontId="1" type="noConversion"/>
  </si>
  <si>
    <r>
      <rPr>
        <sz val="10"/>
        <color theme="1"/>
        <rFont val="微软雅黑"/>
        <family val="2"/>
        <charset val="134"/>
      </rPr>
      <t>每股净资产</t>
    </r>
    <phoneticPr fontId="1" type="noConversion"/>
  </si>
  <si>
    <r>
      <rPr>
        <sz val="10"/>
        <color theme="1"/>
        <rFont val="微软雅黑"/>
        <family val="2"/>
        <charset val="134"/>
      </rPr>
      <t>每股经营现金流</t>
    </r>
    <phoneticPr fontId="1" type="noConversion"/>
  </si>
  <si>
    <r>
      <rPr>
        <sz val="10"/>
        <color theme="1"/>
        <rFont val="微软雅黑"/>
        <family val="2"/>
        <charset val="134"/>
      </rPr>
      <t>每股现金流量净额</t>
    </r>
    <phoneticPr fontId="1" type="noConversion"/>
  </si>
  <si>
    <r>
      <rPr>
        <sz val="10"/>
        <color theme="1"/>
        <rFont val="微软雅黑"/>
        <family val="2"/>
        <charset val="134"/>
      </rPr>
      <t>销售毛利率</t>
    </r>
    <phoneticPr fontId="1" type="noConversion"/>
  </si>
  <si>
    <t>净利润率</t>
    <phoneticPr fontId="1" type="noConversion"/>
  </si>
  <si>
    <r>
      <t>净资产收益率</t>
    </r>
    <r>
      <rPr>
        <sz val="9"/>
        <color theme="1"/>
        <rFont val="Arial"/>
        <family val="2"/>
      </rPr>
      <t/>
    </r>
    <phoneticPr fontId="1" type="noConversion"/>
  </si>
  <si>
    <t>存货周转率</t>
    <phoneticPr fontId="1" type="noConversion"/>
  </si>
  <si>
    <t>应收账周转率</t>
    <phoneticPr fontId="1" type="noConversion"/>
  </si>
  <si>
    <t>资产周转率</t>
    <phoneticPr fontId="1" type="noConversion"/>
  </si>
  <si>
    <t>资产负债率</t>
    <phoneticPr fontId="1" type="noConversion"/>
  </si>
  <si>
    <t>流动比率</t>
    <phoneticPr fontId="1" type="noConversion"/>
  </si>
  <si>
    <t>营业利润增长率</t>
    <phoneticPr fontId="1" type="noConversion"/>
  </si>
  <si>
    <t>净利增长率</t>
    <phoneticPr fontId="1" type="noConversion"/>
  </si>
  <si>
    <t>行业排名</t>
    <phoneticPr fontId="24" type="noConversion"/>
  </si>
  <si>
    <t>分析类型</t>
    <phoneticPr fontId="24" type="noConversion"/>
  </si>
  <si>
    <t>财务摘要</t>
  </si>
  <si>
    <t>股票速览-盈利预测</t>
    <phoneticPr fontId="1" type="noConversion"/>
  </si>
  <si>
    <t>股票速览-主营构成基础数据</t>
    <phoneticPr fontId="1" type="noConversion"/>
  </si>
  <si>
    <t>股票速览-参数设置</t>
    <phoneticPr fontId="1" type="noConversion"/>
  </si>
  <si>
    <r>
      <rPr>
        <sz val="10"/>
        <color theme="1"/>
        <rFont val="微软雅黑"/>
        <family val="2"/>
        <charset val="134"/>
      </rPr>
      <t>名称_x0000__x0000_</t>
    </r>
  </si>
  <si>
    <t>申万一级行业</t>
    <phoneticPr fontId="1" type="noConversion"/>
  </si>
  <si>
    <t>行业</t>
    <phoneticPr fontId="1" type="noConversion"/>
  </si>
  <si>
    <r>
      <rPr>
        <sz val="10"/>
        <color theme="1"/>
        <rFont val="微软雅黑"/>
        <family val="2"/>
        <charset val="134"/>
      </rPr>
      <t>上证综合指数_x0000__x0000__x0000__x0000__x0000__x0000_</t>
    </r>
  </si>
  <si>
    <t>申万二级行业</t>
    <phoneticPr fontId="1" type="noConversion"/>
  </si>
  <si>
    <r>
      <rPr>
        <sz val="10"/>
        <color theme="1"/>
        <rFont val="微软雅黑"/>
        <family val="2"/>
        <charset val="134"/>
      </rPr>
      <t>上证A股指数_x0000__x0000__x0000__x0000__x0000_</t>
    </r>
  </si>
  <si>
    <t>申万三级行业</t>
    <phoneticPr fontId="1" type="noConversion"/>
  </si>
  <si>
    <r>
      <rPr>
        <sz val="10"/>
        <color theme="1"/>
        <rFont val="微软雅黑"/>
        <family val="2"/>
        <charset val="134"/>
      </rPr>
      <t>上证B股指数_x0000__x0000__x0000__x0000__x0000_</t>
    </r>
  </si>
  <si>
    <t>wind一级行业</t>
    <phoneticPr fontId="1" type="noConversion"/>
  </si>
  <si>
    <r>
      <rPr>
        <sz val="10"/>
        <color theme="1"/>
        <rFont val="微软雅黑"/>
        <family val="2"/>
        <charset val="134"/>
      </rPr>
      <t>上证180指数_x0000__x0000__x0000__x0000_</t>
    </r>
  </si>
  <si>
    <t>wind二级行业</t>
    <phoneticPr fontId="1" type="noConversion"/>
  </si>
  <si>
    <r>
      <rPr>
        <sz val="10"/>
        <color theme="1"/>
        <rFont val="微软雅黑"/>
        <family val="2"/>
        <charset val="134"/>
      </rPr>
      <t>上证50指数_x0000__x0000__x0000__x0000_</t>
    </r>
  </si>
  <si>
    <t>wind三级行业</t>
    <phoneticPr fontId="1" type="noConversion"/>
  </si>
  <si>
    <r>
      <rPr>
        <sz val="10"/>
        <color theme="1"/>
        <rFont val="微软雅黑"/>
        <family val="2"/>
        <charset val="134"/>
      </rPr>
      <t>新综指_x0000__x0000__x0000_</t>
    </r>
  </si>
  <si>
    <t>wind四级行业</t>
    <phoneticPr fontId="1" type="noConversion"/>
  </si>
  <si>
    <r>
      <rPr>
        <sz val="10"/>
        <color theme="1"/>
        <rFont val="微软雅黑"/>
        <family val="2"/>
        <charset val="134"/>
      </rPr>
      <t>合并报表(调整)</t>
    </r>
    <phoneticPr fontId="1" type="noConversion"/>
  </si>
  <si>
    <r>
      <rPr>
        <sz val="10"/>
        <color theme="1"/>
        <rFont val="微软雅黑"/>
        <family val="2"/>
        <charset val="134"/>
      </rPr>
      <t>母公司报表(调整)</t>
    </r>
    <phoneticPr fontId="1" type="noConversion"/>
  </si>
  <si>
    <r>
      <rPr>
        <sz val="10"/>
        <color theme="1"/>
        <rFont val="微软雅黑"/>
        <family val="2"/>
        <charset val="134"/>
      </rPr>
      <t>沪深300_x0000__x0000_</t>
    </r>
  </si>
  <si>
    <t>证监会门类行业</t>
    <phoneticPr fontId="1" type="noConversion"/>
  </si>
  <si>
    <r>
      <rPr>
        <sz val="10"/>
        <color theme="1"/>
        <rFont val="微软雅黑"/>
        <family val="2"/>
        <charset val="134"/>
      </rPr>
      <t>报表类型1</t>
    </r>
    <phoneticPr fontId="1" type="noConversion"/>
  </si>
  <si>
    <r>
      <rPr>
        <sz val="10"/>
        <color theme="1"/>
        <rFont val="微软雅黑"/>
        <family val="2"/>
        <charset val="134"/>
      </rPr>
      <t>中证100_x0000__x0000_</t>
    </r>
  </si>
  <si>
    <r>
      <rPr>
        <sz val="10"/>
        <color theme="1"/>
        <rFont val="微软雅黑"/>
        <family val="2"/>
        <charset val="134"/>
      </rPr>
      <t>深证成份指数_x0000__x0000__x0000__x0000__x0000__x0000_</t>
    </r>
  </si>
  <si>
    <r>
      <rPr>
        <sz val="10"/>
        <color theme="1"/>
        <rFont val="微软雅黑"/>
        <family val="2"/>
        <charset val="134"/>
      </rPr>
      <t>深证100指数_x0000__x0000__x0000__x0000_</t>
    </r>
  </si>
  <si>
    <r>
      <rPr>
        <sz val="10"/>
        <color theme="1"/>
        <rFont val="微软雅黑"/>
        <family val="2"/>
        <charset val="134"/>
      </rPr>
      <t>中小板指_x0000__x0000__x0000__x0000_</t>
    </r>
  </si>
  <si>
    <t>机构</t>
    <phoneticPr fontId="1" type="noConversion"/>
  </si>
  <si>
    <r>
      <rPr>
        <sz val="10"/>
        <color theme="1"/>
        <rFont val="微软雅黑"/>
        <family val="2"/>
        <charset val="134"/>
      </rPr>
      <t>创业板指_x0000__x0000__x0000__x0000_</t>
    </r>
  </si>
  <si>
    <r>
      <rPr>
        <sz val="10"/>
        <color theme="1"/>
        <rFont val="微软雅黑"/>
        <family val="2"/>
        <charset val="134"/>
      </rPr>
      <t>深证新指数_x0000__x0000__x0000__x0000__x0000_</t>
    </r>
  </si>
  <si>
    <r>
      <rPr>
        <sz val="10"/>
        <color theme="1"/>
        <rFont val="微软雅黑"/>
        <family val="2"/>
        <charset val="134"/>
      </rPr>
      <t>中小板综_x0000__x0000__x0000__x0000_</t>
    </r>
  </si>
  <si>
    <r>
      <rPr>
        <sz val="10"/>
        <color theme="1"/>
        <rFont val="微软雅黑"/>
        <family val="2"/>
        <charset val="134"/>
      </rPr>
      <t>深证综合指数_x0000__x0000__x0000__x0000__x0000__x0000_</t>
    </r>
  </si>
  <si>
    <t>国信证券</t>
    <phoneticPr fontId="1" type="noConversion"/>
  </si>
  <si>
    <r>
      <rPr>
        <sz val="10"/>
        <color theme="1"/>
        <rFont val="微软雅黑"/>
        <family val="2"/>
        <charset val="134"/>
      </rPr>
      <t>深证A股指数_x0000__x0000__x0000__x0000__x0000_</t>
    </r>
  </si>
  <si>
    <t>海通证券</t>
    <phoneticPr fontId="1" type="noConversion"/>
  </si>
  <si>
    <r>
      <rPr>
        <sz val="10"/>
        <color theme="1"/>
        <rFont val="微软雅黑"/>
        <family val="2"/>
        <charset val="134"/>
      </rPr>
      <t>深证B股指数_x0000__x0000__x0000__x0000__x0000_</t>
    </r>
  </si>
  <si>
    <t>招商证券</t>
    <phoneticPr fontId="1" type="noConversion"/>
  </si>
  <si>
    <r>
      <rPr>
        <sz val="10"/>
        <color theme="1"/>
        <rFont val="微软雅黑"/>
        <family val="2"/>
        <charset val="134"/>
      </rPr>
      <t>申万50_x0000__x0000_</t>
    </r>
  </si>
  <si>
    <t>光大证券</t>
    <phoneticPr fontId="1" type="noConversion"/>
  </si>
  <si>
    <r>
      <rPr>
        <sz val="10"/>
        <color theme="1"/>
        <rFont val="微软雅黑"/>
        <family val="2"/>
        <charset val="134"/>
      </rPr>
      <t>申万中小板_x0000__x0000__x0000__x0000__x0000_</t>
    </r>
  </si>
  <si>
    <t>中信证券</t>
    <phoneticPr fontId="1" type="noConversion"/>
  </si>
  <si>
    <r>
      <rPr>
        <sz val="10"/>
        <color theme="1"/>
        <rFont val="微软雅黑"/>
        <family val="2"/>
        <charset val="134"/>
      </rPr>
      <t>申万A股_x0000__x0000__x0000_</t>
    </r>
  </si>
  <si>
    <t>国金证券</t>
    <phoneticPr fontId="1" type="noConversion"/>
  </si>
  <si>
    <r>
      <rPr>
        <sz val="10"/>
        <color theme="1"/>
        <rFont val="微软雅黑"/>
        <family val="2"/>
        <charset val="134"/>
      </rPr>
      <t>申万创业板_x0000__x0000__x0000__x0000__x0000_</t>
    </r>
  </si>
  <si>
    <t>兴业证券</t>
    <phoneticPr fontId="1" type="noConversion"/>
  </si>
  <si>
    <r>
      <rPr>
        <sz val="10"/>
        <color theme="1"/>
        <rFont val="微软雅黑"/>
        <family val="2"/>
        <charset val="134"/>
      </rPr>
      <t>申万300_x0000__x0000_</t>
    </r>
  </si>
  <si>
    <t>东方证券</t>
    <phoneticPr fontId="1" type="noConversion"/>
  </si>
  <si>
    <r>
      <rPr>
        <sz val="10"/>
        <color theme="1"/>
        <rFont val="微软雅黑"/>
        <family val="2"/>
        <charset val="134"/>
      </rPr>
      <t>申万基金重仓_x0000__x0000__x0000__x0000__x0000__x0000_</t>
    </r>
  </si>
  <si>
    <t>长江证券</t>
    <phoneticPr fontId="1" type="noConversion"/>
  </si>
  <si>
    <r>
      <rPr>
        <sz val="10"/>
        <color theme="1"/>
        <rFont val="微软雅黑"/>
        <family val="2"/>
        <charset val="134"/>
      </rPr>
      <t>申万基金核心_x0000__x0000__x0000__x0000__x0000__x0000_</t>
    </r>
  </si>
  <si>
    <t>华泰证券</t>
    <phoneticPr fontId="1" type="noConversion"/>
  </si>
  <si>
    <r>
      <rPr>
        <sz val="10"/>
        <color theme="1"/>
        <rFont val="微软雅黑"/>
        <family val="2"/>
        <charset val="134"/>
      </rPr>
      <t>申万重点_x0000__x0000__x0000__x0000_</t>
    </r>
  </si>
  <si>
    <t>平安证券</t>
    <phoneticPr fontId="1" type="noConversion"/>
  </si>
  <si>
    <r>
      <rPr>
        <sz val="10"/>
        <color theme="1"/>
        <rFont val="微软雅黑"/>
        <family val="2"/>
        <charset val="134"/>
      </rPr>
      <t>中信标普300指数_x0000__x0000__x0000__x0000__x0000__x0000_</t>
    </r>
  </si>
  <si>
    <r>
      <rPr>
        <sz val="10"/>
        <color theme="1"/>
        <rFont val="微软雅黑"/>
        <family val="2"/>
        <charset val="134"/>
      </rPr>
      <t>中信标普50指数_x0000__x0000__x0000__x0000__x0000__x0000_</t>
    </r>
  </si>
  <si>
    <t>中投证券</t>
    <phoneticPr fontId="1" type="noConversion"/>
  </si>
  <si>
    <r>
      <rPr>
        <sz val="10"/>
        <color theme="1"/>
        <rFont val="微软雅黑"/>
        <family val="2"/>
        <charset val="134"/>
      </rPr>
      <t>中信标普A股综合指数_x0000__x0000__x0000__x0000__x0000__x0000__x0000__x0000__x0000_</t>
    </r>
  </si>
  <si>
    <r>
      <rPr>
        <sz val="10"/>
        <color theme="1"/>
        <rFont val="微软雅黑"/>
        <family val="2"/>
        <charset val="134"/>
      </rPr>
      <t>新富A200_x0000__x0000_</t>
    </r>
  </si>
  <si>
    <t>上海证券</t>
    <phoneticPr fontId="1" type="noConversion"/>
  </si>
  <si>
    <r>
      <rPr>
        <sz val="10"/>
        <color theme="1"/>
        <rFont val="微软雅黑"/>
        <family val="2"/>
        <charset val="134"/>
      </rPr>
      <t>新富A指_x0000__x0000__x0000_</t>
    </r>
  </si>
  <si>
    <t>西南证券</t>
    <phoneticPr fontId="1" type="noConversion"/>
  </si>
  <si>
    <r>
      <rPr>
        <sz val="10"/>
        <color theme="1"/>
        <rFont val="微软雅黑"/>
        <family val="2"/>
        <charset val="134"/>
      </rPr>
      <t>新富A600_x0000__x0000_</t>
    </r>
  </si>
  <si>
    <r>
      <rPr>
        <sz val="10"/>
        <color theme="1"/>
        <rFont val="微软雅黑"/>
        <family val="2"/>
        <charset val="134"/>
      </rPr>
      <t>新富A400_x0000__x0000_</t>
    </r>
  </si>
  <si>
    <t>宏源证券</t>
    <phoneticPr fontId="1" type="noConversion"/>
  </si>
  <si>
    <r>
      <rPr>
        <sz val="10"/>
        <color theme="1"/>
        <rFont val="微软雅黑"/>
        <family val="2"/>
        <charset val="134"/>
      </rPr>
      <t>新富A50_x0000__x0000_</t>
    </r>
  </si>
  <si>
    <t>东海证券</t>
    <phoneticPr fontId="1" type="noConversion"/>
  </si>
  <si>
    <r>
      <rPr>
        <sz val="10"/>
        <color theme="1"/>
        <rFont val="微软雅黑"/>
        <family val="2"/>
        <charset val="134"/>
      </rPr>
      <t>万得全A指数_x0000__x0000__x0000__x0000__x0000_</t>
    </r>
  </si>
  <si>
    <t>江南证券</t>
    <phoneticPr fontId="1" type="noConversion"/>
  </si>
  <si>
    <r>
      <rPr>
        <sz val="10"/>
        <color theme="1"/>
        <rFont val="微软雅黑"/>
        <family val="2"/>
        <charset val="134"/>
      </rPr>
      <t>万得蓝筹280指数_x0000__x0000__x0000__x0000__x0000__x0000_</t>
    </r>
  </si>
  <si>
    <t>长城证券</t>
    <phoneticPr fontId="1" type="noConversion"/>
  </si>
  <si>
    <t>广发证券</t>
    <phoneticPr fontId="1" type="noConversion"/>
  </si>
  <si>
    <r>
      <rPr>
        <sz val="10"/>
        <color theme="1"/>
        <rFont val="微软雅黑"/>
        <family val="2"/>
        <charset val="134"/>
      </rPr>
      <t>道中600指数_x0000__x0000__x0000__x0000_</t>
    </r>
  </si>
  <si>
    <t>世纪证券</t>
    <phoneticPr fontId="1" type="noConversion"/>
  </si>
  <si>
    <r>
      <rPr>
        <sz val="10"/>
        <color theme="1"/>
        <rFont val="微软雅黑"/>
        <family val="2"/>
        <charset val="134"/>
      </rPr>
      <t>道中指数_x0000__x0000__x0000__x0000_</t>
    </r>
  </si>
  <si>
    <t>华西证券</t>
    <phoneticPr fontId="1" type="noConversion"/>
  </si>
  <si>
    <r>
      <rPr>
        <sz val="10"/>
        <color theme="1"/>
        <rFont val="微软雅黑"/>
        <family val="2"/>
        <charset val="134"/>
      </rPr>
      <t>道中88指数_x0000__x0000__x0000__x0000_</t>
    </r>
  </si>
  <si>
    <t>国元证券</t>
    <phoneticPr fontId="1" type="noConversion"/>
  </si>
  <si>
    <t>渤海证券</t>
    <phoneticPr fontId="1" type="noConversion"/>
  </si>
  <si>
    <t>爱建证券</t>
    <phoneticPr fontId="1" type="noConversion"/>
  </si>
  <si>
    <t>安信证券</t>
    <phoneticPr fontId="1" type="noConversion"/>
  </si>
  <si>
    <t>财富证券</t>
    <phoneticPr fontId="1" type="noConversion"/>
  </si>
  <si>
    <t>大通证券</t>
    <phoneticPr fontId="1" type="noConversion"/>
  </si>
  <si>
    <t>大同证券</t>
    <phoneticPr fontId="1" type="noConversion"/>
  </si>
  <si>
    <t>德邦证券</t>
    <phoneticPr fontId="1" type="noConversion"/>
  </si>
  <si>
    <t>东北证券</t>
    <phoneticPr fontId="1" type="noConversion"/>
  </si>
  <si>
    <t>东莞证券</t>
    <phoneticPr fontId="1" type="noConversion"/>
  </si>
  <si>
    <t>东吴证券</t>
    <phoneticPr fontId="1" type="noConversion"/>
  </si>
  <si>
    <t>东兴证券</t>
    <phoneticPr fontId="1" type="noConversion"/>
  </si>
  <si>
    <t>方正证券</t>
    <phoneticPr fontId="1" type="noConversion"/>
  </si>
  <si>
    <t>广州证券</t>
    <phoneticPr fontId="1" type="noConversion"/>
  </si>
  <si>
    <t>国都证券</t>
    <phoneticPr fontId="1" type="noConversion"/>
  </si>
  <si>
    <t>国海证券</t>
    <phoneticPr fontId="1" type="noConversion"/>
  </si>
  <si>
    <t>国联证券</t>
    <phoneticPr fontId="1" type="noConversion"/>
  </si>
  <si>
    <t>国盛证券</t>
    <phoneticPr fontId="1" type="noConversion"/>
  </si>
  <si>
    <t>恒泰证券</t>
    <phoneticPr fontId="1" type="noConversion"/>
  </si>
  <si>
    <t>华安证券</t>
    <phoneticPr fontId="1" type="noConversion"/>
  </si>
  <si>
    <t>华创证券</t>
    <phoneticPr fontId="1" type="noConversion"/>
  </si>
  <si>
    <t>华林证券</t>
    <phoneticPr fontId="1" type="noConversion"/>
  </si>
  <si>
    <t>华融证券</t>
    <phoneticPr fontId="1" type="noConversion"/>
  </si>
  <si>
    <t>江海证券</t>
    <phoneticPr fontId="1" type="noConversion"/>
  </si>
  <si>
    <t>金元证券</t>
    <phoneticPr fontId="1" type="noConversion"/>
  </si>
  <si>
    <t>民生证券</t>
    <phoneticPr fontId="1" type="noConversion"/>
  </si>
  <si>
    <t>南京证券</t>
    <phoneticPr fontId="1" type="noConversion"/>
  </si>
  <si>
    <t>齐鲁证券</t>
    <phoneticPr fontId="1" type="noConversion"/>
  </si>
  <si>
    <t>日信证券</t>
    <phoneticPr fontId="1" type="noConversion"/>
  </si>
  <si>
    <t>瑞银证券</t>
    <phoneticPr fontId="1" type="noConversion"/>
  </si>
  <si>
    <t>山西证券</t>
    <phoneticPr fontId="1" type="noConversion"/>
  </si>
  <si>
    <t>万联证券</t>
    <phoneticPr fontId="1" type="noConversion"/>
  </si>
  <si>
    <t>湘财证券</t>
    <phoneticPr fontId="1" type="noConversion"/>
  </si>
  <si>
    <t>新时代证券</t>
    <phoneticPr fontId="1" type="noConversion"/>
  </si>
  <si>
    <t>信达证券</t>
    <phoneticPr fontId="1" type="noConversion"/>
  </si>
  <si>
    <t>英大证券</t>
    <phoneticPr fontId="1" type="noConversion"/>
  </si>
  <si>
    <t>浙商证券</t>
    <phoneticPr fontId="1" type="noConversion"/>
  </si>
  <si>
    <t>中邮证券</t>
    <phoneticPr fontId="1" type="noConversion"/>
  </si>
  <si>
    <t>中原证券</t>
    <phoneticPr fontId="1" type="noConversion"/>
  </si>
  <si>
    <t>年度</t>
  </si>
  <si>
    <t>股票速览-公司分析</t>
    <phoneticPr fontId="49" type="noConversion"/>
  </si>
  <si>
    <t>申万二级行业</t>
  </si>
  <si>
    <t>最新年报</t>
    <phoneticPr fontId="24" type="noConversion"/>
  </si>
  <si>
    <t>中证500</t>
    <phoneticPr fontId="1" type="noConversion"/>
  </si>
  <si>
    <t>中证1000</t>
    <phoneticPr fontId="1" type="noConversion"/>
  </si>
  <si>
    <t>科创50</t>
    <phoneticPr fontId="1" type="noConversion"/>
  </si>
  <si>
    <t>创业板50</t>
    <phoneticPr fontId="1" type="noConversion"/>
  </si>
  <si>
    <t>000905.SH</t>
    <phoneticPr fontId="1" type="noConversion"/>
  </si>
  <si>
    <t>000852.SH</t>
    <phoneticPr fontId="1" type="noConversion"/>
  </si>
  <si>
    <t>000688.SH</t>
    <phoneticPr fontId="1" type="noConversion"/>
  </si>
  <si>
    <t>399673.SZ</t>
    <phoneticPr fontId="1" type="noConversion"/>
  </si>
  <si>
    <t>亿</t>
    <phoneticPr fontId="1" type="noConversion"/>
  </si>
  <si>
    <t>亿</t>
    <phoneticPr fontId="1" type="noConversion"/>
  </si>
  <si>
    <t>数据集名称</t>
  </si>
  <si>
    <t>板块成分</t>
  </si>
  <si>
    <t>板块ID</t>
  </si>
  <si>
    <t>a001010100000000</t>
  </si>
  <si>
    <t>date</t>
  </si>
  <si>
    <t>最新调整日期</t>
  </si>
  <si>
    <t>wind_code</t>
    <phoneticPr fontId="49" type="noConversion"/>
  </si>
  <si>
    <t>Wind代码</t>
  </si>
  <si>
    <t>sec_name</t>
  </si>
  <si>
    <t>证券名称</t>
  </si>
  <si>
    <t>000002.SZ</t>
  </si>
  <si>
    <t>万科A</t>
  </si>
  <si>
    <t>000004.SZ</t>
  </si>
  <si>
    <t>000006.SZ</t>
  </si>
  <si>
    <t>深振业A</t>
  </si>
  <si>
    <t>000007.SZ</t>
  </si>
  <si>
    <t>000008.SZ</t>
  </si>
  <si>
    <t>神州高铁</t>
  </si>
  <si>
    <t>000009.SZ</t>
  </si>
  <si>
    <t>中国宝安</t>
  </si>
  <si>
    <t>000010.SZ</t>
  </si>
  <si>
    <t>美丽生态</t>
  </si>
  <si>
    <t>000011.SZ</t>
  </si>
  <si>
    <t>深物业A</t>
  </si>
  <si>
    <t>000012.SZ</t>
  </si>
  <si>
    <t>南玻A</t>
  </si>
  <si>
    <t>000014.SZ</t>
  </si>
  <si>
    <t>沙河股份</t>
  </si>
  <si>
    <t>000016.SZ</t>
  </si>
  <si>
    <t>深康佳A</t>
  </si>
  <si>
    <t>000017.SZ</t>
  </si>
  <si>
    <t>深中华A</t>
  </si>
  <si>
    <t>000019.SZ</t>
  </si>
  <si>
    <t>深粮控股</t>
  </si>
  <si>
    <t>000020.SZ</t>
  </si>
  <si>
    <t>深华发A</t>
  </si>
  <si>
    <t>000021.SZ</t>
  </si>
  <si>
    <t>深科技</t>
  </si>
  <si>
    <t>000025.SZ</t>
  </si>
  <si>
    <t>特力A</t>
  </si>
  <si>
    <t>000026.SZ</t>
  </si>
  <si>
    <t>飞亚达</t>
  </si>
  <si>
    <t>000027.SZ</t>
  </si>
  <si>
    <t>深圳能源</t>
  </si>
  <si>
    <t>000028.SZ</t>
  </si>
  <si>
    <t>国药一致</t>
  </si>
  <si>
    <t>000029.SZ</t>
  </si>
  <si>
    <t>深深房A</t>
  </si>
  <si>
    <t>000030.SZ</t>
  </si>
  <si>
    <t>富奥股份</t>
  </si>
  <si>
    <t>000031.SZ</t>
  </si>
  <si>
    <t>大悦城</t>
  </si>
  <si>
    <t>000032.SZ</t>
  </si>
  <si>
    <t>深桑达A</t>
  </si>
  <si>
    <t>000034.SZ</t>
  </si>
  <si>
    <t>神州数码</t>
  </si>
  <si>
    <t>000035.SZ</t>
  </si>
  <si>
    <t>中国天楹</t>
  </si>
  <si>
    <t>000036.SZ</t>
  </si>
  <si>
    <t>华联控股</t>
  </si>
  <si>
    <t>000037.SZ</t>
  </si>
  <si>
    <t>深南电A</t>
  </si>
  <si>
    <t>000039.SZ</t>
  </si>
  <si>
    <t>中集集团</t>
  </si>
  <si>
    <t>000042.SZ</t>
  </si>
  <si>
    <t>中洲控股</t>
  </si>
  <si>
    <t>000045.SZ</t>
  </si>
  <si>
    <t>深纺织A</t>
  </si>
  <si>
    <t>000048.SZ</t>
  </si>
  <si>
    <t>京基智农</t>
  </si>
  <si>
    <t>000049.SZ</t>
  </si>
  <si>
    <t>德赛电池</t>
  </si>
  <si>
    <t>000050.SZ</t>
  </si>
  <si>
    <t>深天马A</t>
  </si>
  <si>
    <t>000055.SZ</t>
  </si>
  <si>
    <t>方大集团</t>
  </si>
  <si>
    <t>000056.SZ</t>
  </si>
  <si>
    <t>皇庭国际</t>
  </si>
  <si>
    <t>000058.SZ</t>
  </si>
  <si>
    <t>深赛格</t>
  </si>
  <si>
    <t>000059.SZ</t>
  </si>
  <si>
    <t>华锦股份</t>
  </si>
  <si>
    <t>000060.SZ</t>
  </si>
  <si>
    <t>中金岭南</t>
  </si>
  <si>
    <t>000061.SZ</t>
  </si>
  <si>
    <t>农产品</t>
  </si>
  <si>
    <t>000062.SZ</t>
  </si>
  <si>
    <t>深圳华强</t>
  </si>
  <si>
    <t>000063.SZ</t>
  </si>
  <si>
    <t>中兴通讯</t>
  </si>
  <si>
    <t>000065.SZ</t>
  </si>
  <si>
    <t>北方国际</t>
  </si>
  <si>
    <t>000066.SZ</t>
  </si>
  <si>
    <t>中国长城</t>
  </si>
  <si>
    <t>000068.SZ</t>
  </si>
  <si>
    <t>华控赛格</t>
  </si>
  <si>
    <t>000069.SZ</t>
  </si>
  <si>
    <t>华侨城A</t>
  </si>
  <si>
    <t>000070.SZ</t>
  </si>
  <si>
    <t>特发信息</t>
  </si>
  <si>
    <t>000078.SZ</t>
  </si>
  <si>
    <t>海王生物</t>
  </si>
  <si>
    <t>000088.SZ</t>
  </si>
  <si>
    <t>盐田港</t>
  </si>
  <si>
    <t>000089.SZ</t>
  </si>
  <si>
    <t>深圳机场</t>
  </si>
  <si>
    <t>000090.SZ</t>
  </si>
  <si>
    <t>天健集团</t>
  </si>
  <si>
    <t>000096.SZ</t>
  </si>
  <si>
    <t>广聚能源</t>
  </si>
  <si>
    <t>000099.SZ</t>
  </si>
  <si>
    <t>中信海直</t>
  </si>
  <si>
    <t>000100.SZ</t>
  </si>
  <si>
    <t>TCL科技</t>
  </si>
  <si>
    <t>000151.SZ</t>
  </si>
  <si>
    <t>中成股份</t>
  </si>
  <si>
    <t>000153.SZ</t>
  </si>
  <si>
    <t>丰原药业</t>
  </si>
  <si>
    <t>000155.SZ</t>
  </si>
  <si>
    <t>川能动力</t>
  </si>
  <si>
    <t>000156.SZ</t>
  </si>
  <si>
    <t>华数传媒</t>
  </si>
  <si>
    <t>000157.SZ</t>
  </si>
  <si>
    <t>中联重科</t>
  </si>
  <si>
    <t>000158.SZ</t>
  </si>
  <si>
    <t>常山北明</t>
  </si>
  <si>
    <t>000159.SZ</t>
  </si>
  <si>
    <t>国际实业</t>
  </si>
  <si>
    <t>000166.SZ</t>
  </si>
  <si>
    <t>申万宏源</t>
  </si>
  <si>
    <t>000301.SZ</t>
  </si>
  <si>
    <t>东方盛虹</t>
  </si>
  <si>
    <t>000333.SZ</t>
  </si>
  <si>
    <t>美的集团</t>
  </si>
  <si>
    <t>000338.SZ</t>
  </si>
  <si>
    <t>潍柴动力</t>
  </si>
  <si>
    <t>000400.SZ</t>
  </si>
  <si>
    <t>许继电气</t>
  </si>
  <si>
    <t>000401.SZ</t>
  </si>
  <si>
    <t>000402.SZ</t>
  </si>
  <si>
    <t>金融街</t>
  </si>
  <si>
    <t>000403.SZ</t>
  </si>
  <si>
    <t>派林生物</t>
  </si>
  <si>
    <t>000404.SZ</t>
  </si>
  <si>
    <t>长虹华意</t>
  </si>
  <si>
    <t>000407.SZ</t>
  </si>
  <si>
    <t>胜利股份</t>
  </si>
  <si>
    <t>000408.SZ</t>
  </si>
  <si>
    <t>藏格矿业</t>
  </si>
  <si>
    <t>000409.SZ</t>
  </si>
  <si>
    <t>云鼎科技</t>
  </si>
  <si>
    <t>000410.SZ</t>
  </si>
  <si>
    <t>沈阳机床</t>
  </si>
  <si>
    <t>000411.SZ</t>
  </si>
  <si>
    <t>英特集团</t>
  </si>
  <si>
    <t>000415.SZ</t>
  </si>
  <si>
    <t>渤海租赁</t>
  </si>
  <si>
    <t>000417.SZ</t>
  </si>
  <si>
    <t>000419.SZ</t>
  </si>
  <si>
    <t>通程控股</t>
  </si>
  <si>
    <t>000420.SZ</t>
  </si>
  <si>
    <t>吉林化纤</t>
  </si>
  <si>
    <t>000421.SZ</t>
  </si>
  <si>
    <t>南京公用</t>
  </si>
  <si>
    <t>000422.SZ</t>
  </si>
  <si>
    <t>湖北宜化</t>
  </si>
  <si>
    <t>000423.SZ</t>
  </si>
  <si>
    <t>东阿阿胶</t>
  </si>
  <si>
    <t>000425.SZ</t>
  </si>
  <si>
    <t>徐工机械</t>
  </si>
  <si>
    <t>000426.SZ</t>
  </si>
  <si>
    <t>兴业银锡</t>
  </si>
  <si>
    <t>000428.SZ</t>
  </si>
  <si>
    <t>华天酒店</t>
  </si>
  <si>
    <t>000429.SZ</t>
  </si>
  <si>
    <t>粤高速A</t>
  </si>
  <si>
    <t>000430.SZ</t>
  </si>
  <si>
    <t>000488.SZ</t>
  </si>
  <si>
    <t>000498.SZ</t>
  </si>
  <si>
    <t>山东路桥</t>
  </si>
  <si>
    <t>000501.SZ</t>
  </si>
  <si>
    <t>武商集团</t>
  </si>
  <si>
    <t>000503.SZ</t>
  </si>
  <si>
    <t>国新健康</t>
  </si>
  <si>
    <t>000504.SZ</t>
  </si>
  <si>
    <t>000505.SZ</t>
  </si>
  <si>
    <t>京粮控股</t>
  </si>
  <si>
    <t>000506.SZ</t>
  </si>
  <si>
    <t>000507.SZ</t>
  </si>
  <si>
    <t>珠海港</t>
  </si>
  <si>
    <t>000509.SZ</t>
  </si>
  <si>
    <t>华塑控股</t>
  </si>
  <si>
    <t>000510.SZ</t>
  </si>
  <si>
    <t>新金路</t>
  </si>
  <si>
    <t>000513.SZ</t>
  </si>
  <si>
    <t>丽珠集团</t>
  </si>
  <si>
    <t>000514.SZ</t>
  </si>
  <si>
    <t>渝开发</t>
  </si>
  <si>
    <t>000516.SZ</t>
  </si>
  <si>
    <t>国际医学</t>
  </si>
  <si>
    <t>000517.SZ</t>
  </si>
  <si>
    <t>荣安地产</t>
  </si>
  <si>
    <t>000518.SZ</t>
  </si>
  <si>
    <t>000519.SZ</t>
  </si>
  <si>
    <t>中兵红箭</t>
  </si>
  <si>
    <t>000520.SZ</t>
  </si>
  <si>
    <t>凤凰航运</t>
  </si>
  <si>
    <t>000521.SZ</t>
  </si>
  <si>
    <t>长虹美菱</t>
  </si>
  <si>
    <t>000523.SZ</t>
  </si>
  <si>
    <t>红棉股份</t>
  </si>
  <si>
    <t>000524.SZ</t>
  </si>
  <si>
    <t>岭南控股</t>
  </si>
  <si>
    <t>000525.SZ</t>
  </si>
  <si>
    <t>000526.SZ</t>
  </si>
  <si>
    <t>学大教育</t>
  </si>
  <si>
    <t>000528.SZ</t>
  </si>
  <si>
    <t>柳工</t>
  </si>
  <si>
    <t>000529.SZ</t>
  </si>
  <si>
    <t>广弘控股</t>
  </si>
  <si>
    <t>000530.SZ</t>
  </si>
  <si>
    <t>冰山冷热</t>
  </si>
  <si>
    <t>000531.SZ</t>
  </si>
  <si>
    <t>穗恒运A</t>
  </si>
  <si>
    <t>000532.SZ</t>
  </si>
  <si>
    <t>华金资本</t>
  </si>
  <si>
    <t>000533.SZ</t>
  </si>
  <si>
    <t>顺钠股份</t>
  </si>
  <si>
    <t>000534.SZ</t>
  </si>
  <si>
    <t>万泽股份</t>
  </si>
  <si>
    <t>000536.SZ</t>
  </si>
  <si>
    <t>华映科技</t>
  </si>
  <si>
    <t>000537.SZ</t>
  </si>
  <si>
    <t>000538.SZ</t>
  </si>
  <si>
    <t>云南白药</t>
  </si>
  <si>
    <t>000539.SZ</t>
  </si>
  <si>
    <t>粤电力A</t>
  </si>
  <si>
    <t>000541.SZ</t>
  </si>
  <si>
    <t>佛山照明</t>
  </si>
  <si>
    <t>000543.SZ</t>
  </si>
  <si>
    <t>皖能电力</t>
  </si>
  <si>
    <t>000544.SZ</t>
  </si>
  <si>
    <t>中原环保</t>
  </si>
  <si>
    <t>000545.SZ</t>
  </si>
  <si>
    <t>金浦钛业</t>
  </si>
  <si>
    <t>000546.SZ</t>
  </si>
  <si>
    <t>金圆股份</t>
  </si>
  <si>
    <t>000547.SZ</t>
  </si>
  <si>
    <t>航天发展</t>
  </si>
  <si>
    <t>000548.SZ</t>
  </si>
  <si>
    <t>湖南投资</t>
  </si>
  <si>
    <t>000550.SZ</t>
  </si>
  <si>
    <t>江铃汽车</t>
  </si>
  <si>
    <t>000551.SZ</t>
  </si>
  <si>
    <t>创元科技</t>
  </si>
  <si>
    <t>000552.SZ</t>
  </si>
  <si>
    <t>甘肃能化</t>
  </si>
  <si>
    <t>000553.SZ</t>
  </si>
  <si>
    <t>安道麦A</t>
  </si>
  <si>
    <t>000554.SZ</t>
  </si>
  <si>
    <t>泰山石油</t>
  </si>
  <si>
    <t>000555.SZ</t>
  </si>
  <si>
    <t>神州信息</t>
  </si>
  <si>
    <t>000557.SZ</t>
  </si>
  <si>
    <t>西部创业</t>
  </si>
  <si>
    <t>000558.SZ</t>
  </si>
  <si>
    <t>000559.SZ</t>
  </si>
  <si>
    <t>万向钱潮</t>
  </si>
  <si>
    <t>000560.SZ</t>
  </si>
  <si>
    <t>我爱我家</t>
  </si>
  <si>
    <t>000561.SZ</t>
  </si>
  <si>
    <t>烽火电子</t>
  </si>
  <si>
    <t>000563.SZ</t>
  </si>
  <si>
    <t>陕国投A</t>
  </si>
  <si>
    <t>000564.SZ</t>
  </si>
  <si>
    <t>000565.SZ</t>
  </si>
  <si>
    <t>渝三峡A</t>
  </si>
  <si>
    <t>000566.SZ</t>
  </si>
  <si>
    <t>海南海药</t>
  </si>
  <si>
    <t>000567.SZ</t>
  </si>
  <si>
    <t>海德股份</t>
  </si>
  <si>
    <t>000568.SZ</t>
  </si>
  <si>
    <t>泸州老窖</t>
  </si>
  <si>
    <t>000570.SZ</t>
  </si>
  <si>
    <t>苏常柴A</t>
  </si>
  <si>
    <t>000571.SZ</t>
  </si>
  <si>
    <t>新大洲A</t>
  </si>
  <si>
    <t>000572.SZ</t>
  </si>
  <si>
    <t>海马汽车</t>
  </si>
  <si>
    <t>000573.SZ</t>
  </si>
  <si>
    <t>粤宏远A</t>
  </si>
  <si>
    <t>000576.SZ</t>
  </si>
  <si>
    <t>甘化科工</t>
  </si>
  <si>
    <t>000581.SZ</t>
  </si>
  <si>
    <t>威孚高科</t>
  </si>
  <si>
    <t>000582.SZ</t>
  </si>
  <si>
    <t>北部湾港</t>
  </si>
  <si>
    <t>000586.SZ</t>
  </si>
  <si>
    <t>汇源通信</t>
  </si>
  <si>
    <t>000589.SZ</t>
  </si>
  <si>
    <t>贵州轮胎</t>
  </si>
  <si>
    <t>000590.SZ</t>
  </si>
  <si>
    <t>000591.SZ</t>
  </si>
  <si>
    <t>太阳能</t>
  </si>
  <si>
    <t>000592.SZ</t>
  </si>
  <si>
    <t>平潭发展</t>
  </si>
  <si>
    <t>000593.SZ</t>
  </si>
  <si>
    <t>德龙汇能</t>
  </si>
  <si>
    <t>000595.SZ</t>
  </si>
  <si>
    <t>000596.SZ</t>
  </si>
  <si>
    <t>古井贡酒</t>
  </si>
  <si>
    <t>000597.SZ</t>
  </si>
  <si>
    <t>东北制药</t>
  </si>
  <si>
    <t>000598.SZ</t>
  </si>
  <si>
    <t>兴蓉环境</t>
  </si>
  <si>
    <t>000599.SZ</t>
  </si>
  <si>
    <t>青岛双星</t>
  </si>
  <si>
    <t>000600.SZ</t>
  </si>
  <si>
    <t>建投能源</t>
  </si>
  <si>
    <t>000601.SZ</t>
  </si>
  <si>
    <t>韶能股份</t>
  </si>
  <si>
    <t>000603.SZ</t>
  </si>
  <si>
    <t>盛达资源</t>
  </si>
  <si>
    <t>000605.SZ</t>
  </si>
  <si>
    <t>渤海股份</t>
  </si>
  <si>
    <t>000607.SZ</t>
  </si>
  <si>
    <t>华媒控股</t>
  </si>
  <si>
    <t>000608.SZ</t>
  </si>
  <si>
    <t>000609.SZ</t>
  </si>
  <si>
    <t>000610.SZ</t>
  </si>
  <si>
    <t>西安旅游</t>
  </si>
  <si>
    <t>000612.SZ</t>
  </si>
  <si>
    <t>焦作万方</t>
  </si>
  <si>
    <t>000615.SZ</t>
  </si>
  <si>
    <t>*ST美谷</t>
  </si>
  <si>
    <t>000617.SZ</t>
  </si>
  <si>
    <t>中油资本</t>
  </si>
  <si>
    <t>000619.SZ</t>
  </si>
  <si>
    <t>海螺新材</t>
  </si>
  <si>
    <t>000620.SZ</t>
  </si>
  <si>
    <t>000623.SZ</t>
  </si>
  <si>
    <t>吉林敖东</t>
  </si>
  <si>
    <t>000625.SZ</t>
  </si>
  <si>
    <t>长安汽车</t>
  </si>
  <si>
    <t>000626.SZ</t>
  </si>
  <si>
    <t>远大控股</t>
  </si>
  <si>
    <t>000628.SZ</t>
  </si>
  <si>
    <t>高新发展</t>
  </si>
  <si>
    <t>000629.SZ</t>
  </si>
  <si>
    <t>钒钛股份</t>
  </si>
  <si>
    <t>000630.SZ</t>
  </si>
  <si>
    <t>铜陵有色</t>
  </si>
  <si>
    <t>000631.SZ</t>
  </si>
  <si>
    <t>000632.SZ</t>
  </si>
  <si>
    <t>三木集团</t>
  </si>
  <si>
    <t>000633.SZ</t>
  </si>
  <si>
    <t>合金投资</t>
  </si>
  <si>
    <t>000635.SZ</t>
  </si>
  <si>
    <t>英力特</t>
  </si>
  <si>
    <t>000636.SZ</t>
  </si>
  <si>
    <t>风华高科</t>
  </si>
  <si>
    <t>000637.SZ</t>
  </si>
  <si>
    <t>000638.SZ</t>
  </si>
  <si>
    <t>000639.SZ</t>
  </si>
  <si>
    <t>西王食品</t>
  </si>
  <si>
    <t>000650.SZ</t>
  </si>
  <si>
    <t>仁和药业</t>
  </si>
  <si>
    <t>000651.SZ</t>
  </si>
  <si>
    <t>格力电器</t>
  </si>
  <si>
    <t>000652.SZ</t>
  </si>
  <si>
    <t>泰达股份</t>
  </si>
  <si>
    <t>000655.SZ</t>
  </si>
  <si>
    <t>金岭矿业</t>
  </si>
  <si>
    <t>000656.SZ</t>
  </si>
  <si>
    <t>*ST金科</t>
  </si>
  <si>
    <t>000657.SZ</t>
  </si>
  <si>
    <t>中钨高新</t>
  </si>
  <si>
    <t>000659.SZ</t>
  </si>
  <si>
    <t>珠海中富</t>
  </si>
  <si>
    <t>000661.SZ</t>
  </si>
  <si>
    <t>长春高新</t>
  </si>
  <si>
    <t>000663.SZ</t>
  </si>
  <si>
    <t>永安林业</t>
  </si>
  <si>
    <t>000665.SZ</t>
  </si>
  <si>
    <t>湖北广电</t>
  </si>
  <si>
    <t>000668.SZ</t>
  </si>
  <si>
    <t>000669.SZ</t>
  </si>
  <si>
    <t>ST金鸿</t>
  </si>
  <si>
    <t>000670.SZ</t>
  </si>
  <si>
    <t>盈方微</t>
  </si>
  <si>
    <t>000672.SZ</t>
  </si>
  <si>
    <t>上峰水泥</t>
  </si>
  <si>
    <t>000676.SZ</t>
  </si>
  <si>
    <t>智度股份</t>
  </si>
  <si>
    <t>000677.SZ</t>
  </si>
  <si>
    <t>恒天海龙</t>
  </si>
  <si>
    <t>000678.SZ</t>
  </si>
  <si>
    <t>襄阳轴承</t>
  </si>
  <si>
    <t>000679.SZ</t>
  </si>
  <si>
    <t>大连友谊</t>
  </si>
  <si>
    <t>000680.SZ</t>
  </si>
  <si>
    <t>山推股份</t>
  </si>
  <si>
    <t>000681.SZ</t>
  </si>
  <si>
    <t>视觉中国</t>
  </si>
  <si>
    <t>000682.SZ</t>
  </si>
  <si>
    <t>东方电子</t>
  </si>
  <si>
    <t>000683.SZ</t>
  </si>
  <si>
    <t>000685.SZ</t>
  </si>
  <si>
    <t>中山公用</t>
  </si>
  <si>
    <t>000686.SZ</t>
  </si>
  <si>
    <t>东北证券</t>
  </si>
  <si>
    <t>000688.SZ</t>
  </si>
  <si>
    <t>国城矿业</t>
  </si>
  <si>
    <t>000690.SZ</t>
  </si>
  <si>
    <t>宝新能源</t>
  </si>
  <si>
    <t>000691.SZ</t>
  </si>
  <si>
    <t>000692.SZ</t>
  </si>
  <si>
    <t>000695.SZ</t>
  </si>
  <si>
    <t>滨海能源</t>
  </si>
  <si>
    <t>000697.SZ</t>
  </si>
  <si>
    <t>000698.SZ</t>
  </si>
  <si>
    <t>000700.SZ</t>
  </si>
  <si>
    <t>模塑科技</t>
  </si>
  <si>
    <t>000701.SZ</t>
  </si>
  <si>
    <t>厦门信达</t>
  </si>
  <si>
    <t>000702.SZ</t>
  </si>
  <si>
    <t>正虹科技</t>
  </si>
  <si>
    <t>000703.SZ</t>
  </si>
  <si>
    <t>恒逸石化</t>
  </si>
  <si>
    <t>000705.SZ</t>
  </si>
  <si>
    <t>浙江震元</t>
  </si>
  <si>
    <t>000707.SZ</t>
  </si>
  <si>
    <t>双环科技</t>
  </si>
  <si>
    <t>000708.SZ</t>
  </si>
  <si>
    <t>中信特钢</t>
  </si>
  <si>
    <t>000709.SZ</t>
  </si>
  <si>
    <t>河钢股份</t>
  </si>
  <si>
    <t>000710.SZ</t>
  </si>
  <si>
    <t>贝瑞基因</t>
  </si>
  <si>
    <t>000711.SZ</t>
  </si>
  <si>
    <t>000712.SZ</t>
  </si>
  <si>
    <t>锦龙股份</t>
  </si>
  <si>
    <t>000713.SZ</t>
  </si>
  <si>
    <t>000715.SZ</t>
  </si>
  <si>
    <t>中兴商业</t>
  </si>
  <si>
    <t>000716.SZ</t>
  </si>
  <si>
    <t>黑芝麻</t>
  </si>
  <si>
    <t>000717.SZ</t>
  </si>
  <si>
    <t>中南股份</t>
  </si>
  <si>
    <t>000718.SZ</t>
  </si>
  <si>
    <t>苏宁环球</t>
  </si>
  <si>
    <t>000719.SZ</t>
  </si>
  <si>
    <t>中原传媒</t>
  </si>
  <si>
    <t>000720.SZ</t>
  </si>
  <si>
    <t>新能泰山</t>
  </si>
  <si>
    <t>000721.SZ</t>
  </si>
  <si>
    <t>西安饮食</t>
  </si>
  <si>
    <t>000722.SZ</t>
  </si>
  <si>
    <t>湖南发展</t>
  </si>
  <si>
    <t>000723.SZ</t>
  </si>
  <si>
    <t>美锦能源</t>
  </si>
  <si>
    <t>000725.SZ</t>
  </si>
  <si>
    <t>京东方A</t>
  </si>
  <si>
    <t>000726.SZ</t>
  </si>
  <si>
    <t>鲁泰A</t>
  </si>
  <si>
    <t>000727.SZ</t>
  </si>
  <si>
    <t>冠捷科技</t>
  </si>
  <si>
    <t>000728.SZ</t>
  </si>
  <si>
    <t>国元证券</t>
  </si>
  <si>
    <t>000729.SZ</t>
  </si>
  <si>
    <t>燕京啤酒</t>
  </si>
  <si>
    <t>000731.SZ</t>
  </si>
  <si>
    <t>四川美丰</t>
  </si>
  <si>
    <t>000733.SZ</t>
  </si>
  <si>
    <t>振华科技</t>
  </si>
  <si>
    <t>000735.SZ</t>
  </si>
  <si>
    <t>罗牛山</t>
  </si>
  <si>
    <t>000736.SZ</t>
  </si>
  <si>
    <t>000737.SZ</t>
  </si>
  <si>
    <t>北方铜业</t>
  </si>
  <si>
    <t>000738.SZ</t>
  </si>
  <si>
    <t>航发控制</t>
  </si>
  <si>
    <t>000739.SZ</t>
  </si>
  <si>
    <t>普洛药业</t>
  </si>
  <si>
    <t>000750.SZ</t>
  </si>
  <si>
    <t>国海证券</t>
  </si>
  <si>
    <t>000751.SZ</t>
  </si>
  <si>
    <t>锌业股份</t>
  </si>
  <si>
    <t>000752.SZ</t>
  </si>
  <si>
    <t>000753.SZ</t>
  </si>
  <si>
    <t>漳州发展</t>
  </si>
  <si>
    <t>000755.SZ</t>
  </si>
  <si>
    <t>山西高速</t>
  </si>
  <si>
    <t>000756.SZ</t>
  </si>
  <si>
    <t>新华制药</t>
  </si>
  <si>
    <t>000757.SZ</t>
  </si>
  <si>
    <t>浩物股份</t>
  </si>
  <si>
    <t>000758.SZ</t>
  </si>
  <si>
    <t>中色股份</t>
  </si>
  <si>
    <t>000759.SZ</t>
  </si>
  <si>
    <t>中百集团</t>
  </si>
  <si>
    <t>000761.SZ</t>
  </si>
  <si>
    <t>本钢板材</t>
  </si>
  <si>
    <t>000762.SZ</t>
  </si>
  <si>
    <t>西藏矿业</t>
  </si>
  <si>
    <t>000766.SZ</t>
  </si>
  <si>
    <t>通化金马</t>
  </si>
  <si>
    <t>000767.SZ</t>
  </si>
  <si>
    <t>晋控电力</t>
  </si>
  <si>
    <t>000768.SZ</t>
  </si>
  <si>
    <t>中航西飞</t>
  </si>
  <si>
    <t>000776.SZ</t>
  </si>
  <si>
    <t>广发证券</t>
  </si>
  <si>
    <t>000777.SZ</t>
  </si>
  <si>
    <t>中核科技</t>
  </si>
  <si>
    <t>000778.SZ</t>
  </si>
  <si>
    <t>新兴铸管</t>
  </si>
  <si>
    <t>000779.SZ</t>
  </si>
  <si>
    <t>甘咨询</t>
  </si>
  <si>
    <t>000782.SZ</t>
  </si>
  <si>
    <t>000783.SZ</t>
  </si>
  <si>
    <t>长江证券</t>
  </si>
  <si>
    <t>000785.SZ</t>
  </si>
  <si>
    <t>000786.SZ</t>
  </si>
  <si>
    <t>北新建材</t>
  </si>
  <si>
    <t>000788.SZ</t>
  </si>
  <si>
    <t>北大医药</t>
  </si>
  <si>
    <t>000789.SZ</t>
  </si>
  <si>
    <t>万年青</t>
  </si>
  <si>
    <t>000790.SZ</t>
  </si>
  <si>
    <t>华神科技</t>
  </si>
  <si>
    <t>000791.SZ</t>
  </si>
  <si>
    <t>甘肃能源</t>
  </si>
  <si>
    <t>000792.SZ</t>
  </si>
  <si>
    <t>盐湖股份</t>
  </si>
  <si>
    <t>000793.SZ</t>
  </si>
  <si>
    <t>000795.SZ</t>
  </si>
  <si>
    <t>英洛华</t>
  </si>
  <si>
    <t>000796.SZ</t>
  </si>
  <si>
    <t>000797.SZ</t>
  </si>
  <si>
    <t>中国武夷</t>
  </si>
  <si>
    <t>000798.SZ</t>
  </si>
  <si>
    <t>中水渔业</t>
  </si>
  <si>
    <t>000799.SZ</t>
  </si>
  <si>
    <t>酒鬼酒</t>
  </si>
  <si>
    <t>000800.SZ</t>
  </si>
  <si>
    <t>一汽解放</t>
  </si>
  <si>
    <t>000801.SZ</t>
  </si>
  <si>
    <t>四川九洲</t>
  </si>
  <si>
    <t>000802.SZ</t>
  </si>
  <si>
    <t>北京文化</t>
  </si>
  <si>
    <t>000803.SZ</t>
  </si>
  <si>
    <t>山高环能</t>
  </si>
  <si>
    <t>000807.SZ</t>
  </si>
  <si>
    <t>云铝股份</t>
  </si>
  <si>
    <t>000809.SZ</t>
  </si>
  <si>
    <t>000810.SZ</t>
  </si>
  <si>
    <t>创维数字</t>
  </si>
  <si>
    <t>000811.SZ</t>
  </si>
  <si>
    <t>冰轮环境</t>
  </si>
  <si>
    <t>000812.SZ</t>
  </si>
  <si>
    <t>陕西金叶</t>
  </si>
  <si>
    <t>000813.SZ</t>
  </si>
  <si>
    <t>德展健康</t>
  </si>
  <si>
    <t>000815.SZ</t>
  </si>
  <si>
    <t>美利云</t>
  </si>
  <si>
    <t>000816.SZ</t>
  </si>
  <si>
    <t>智慧农业</t>
  </si>
  <si>
    <t>000818.SZ</t>
  </si>
  <si>
    <t>航锦科技</t>
  </si>
  <si>
    <t>000819.SZ</t>
  </si>
  <si>
    <t>岳阳兴长</t>
  </si>
  <si>
    <t>000820.SZ</t>
  </si>
  <si>
    <t>000821.SZ</t>
  </si>
  <si>
    <t>000822.SZ</t>
  </si>
  <si>
    <t>山东海化</t>
  </si>
  <si>
    <t>000823.SZ</t>
  </si>
  <si>
    <t>超声电子</t>
  </si>
  <si>
    <t>000825.SZ</t>
  </si>
  <si>
    <t>太钢不锈</t>
  </si>
  <si>
    <t>000826.SZ</t>
  </si>
  <si>
    <t>启迪环境</t>
  </si>
  <si>
    <t>000828.SZ</t>
  </si>
  <si>
    <t>东莞控股</t>
  </si>
  <si>
    <t>000829.SZ</t>
  </si>
  <si>
    <t>天音控股</t>
  </si>
  <si>
    <t>000830.SZ</t>
  </si>
  <si>
    <t>鲁西化工</t>
  </si>
  <si>
    <t>000831.SZ</t>
  </si>
  <si>
    <t>中国稀土</t>
  </si>
  <si>
    <t>000833.SZ</t>
  </si>
  <si>
    <t>粤桂股份</t>
  </si>
  <si>
    <t>000837.SZ</t>
  </si>
  <si>
    <t>秦川机床</t>
  </si>
  <si>
    <t>000838.SZ</t>
  </si>
  <si>
    <t>财信发展</t>
  </si>
  <si>
    <t>000839.SZ</t>
  </si>
  <si>
    <t>000848.SZ</t>
  </si>
  <si>
    <t>承德露露</t>
  </si>
  <si>
    <t>000850.SZ</t>
  </si>
  <si>
    <t>华茂股份</t>
  </si>
  <si>
    <t>000852.SZ</t>
  </si>
  <si>
    <t>石化机械</t>
  </si>
  <si>
    <t>000856.SZ</t>
  </si>
  <si>
    <t>冀东装备</t>
  </si>
  <si>
    <t>000858.SZ</t>
  </si>
  <si>
    <t>五粮液</t>
  </si>
  <si>
    <t>000859.SZ</t>
  </si>
  <si>
    <t>国风新材</t>
  </si>
  <si>
    <t>000860.SZ</t>
  </si>
  <si>
    <t>顺鑫农业</t>
  </si>
  <si>
    <t>000862.SZ</t>
  </si>
  <si>
    <t>银星能源</t>
  </si>
  <si>
    <t>000863.SZ</t>
  </si>
  <si>
    <t>三湘印象</t>
  </si>
  <si>
    <t>000868.SZ</t>
  </si>
  <si>
    <t>安凯客车</t>
  </si>
  <si>
    <t>000869.SZ</t>
  </si>
  <si>
    <t>张裕A</t>
  </si>
  <si>
    <t>000875.SZ</t>
  </si>
  <si>
    <t>000876.SZ</t>
  </si>
  <si>
    <t>新希望</t>
  </si>
  <si>
    <t>000877.SZ</t>
  </si>
  <si>
    <t>天山股份</t>
  </si>
  <si>
    <t>000878.SZ</t>
  </si>
  <si>
    <t>云南铜业</t>
  </si>
  <si>
    <t>000880.SZ</t>
  </si>
  <si>
    <t>潍柴重机</t>
  </si>
  <si>
    <t>000881.SZ</t>
  </si>
  <si>
    <t>中广核技</t>
  </si>
  <si>
    <t>000882.SZ</t>
  </si>
  <si>
    <t>华联股份</t>
  </si>
  <si>
    <t>000883.SZ</t>
  </si>
  <si>
    <t>湖北能源</t>
  </si>
  <si>
    <t>000885.SZ</t>
  </si>
  <si>
    <t>城发环境</t>
  </si>
  <si>
    <t>000886.SZ</t>
  </si>
  <si>
    <t>海南高速</t>
  </si>
  <si>
    <t>000887.SZ</t>
  </si>
  <si>
    <t>中鼎股份</t>
  </si>
  <si>
    <t>000888.SZ</t>
  </si>
  <si>
    <t>峨眉山A</t>
  </si>
  <si>
    <t>000889.SZ</t>
  </si>
  <si>
    <t>000890.SZ</t>
  </si>
  <si>
    <t>法尔胜</t>
  </si>
  <si>
    <t>000892.SZ</t>
  </si>
  <si>
    <t>欢瑞世纪</t>
  </si>
  <si>
    <t>000893.SZ</t>
  </si>
  <si>
    <t>亚钾国际</t>
  </si>
  <si>
    <t>000895.SZ</t>
  </si>
  <si>
    <t>双汇发展</t>
  </si>
  <si>
    <t>000897.SZ</t>
  </si>
  <si>
    <t>津滨发展</t>
  </si>
  <si>
    <t>000898.SZ</t>
  </si>
  <si>
    <t>鞍钢股份</t>
  </si>
  <si>
    <t>000899.SZ</t>
  </si>
  <si>
    <t>赣能股份</t>
  </si>
  <si>
    <t>000900.SZ</t>
  </si>
  <si>
    <t>现代投资</t>
  </si>
  <si>
    <t>000901.SZ</t>
  </si>
  <si>
    <t>航天科技</t>
  </si>
  <si>
    <t>000902.SZ</t>
  </si>
  <si>
    <t>新洋丰</t>
  </si>
  <si>
    <t>000903.SZ</t>
  </si>
  <si>
    <t>000905.SZ</t>
  </si>
  <si>
    <t>厦门港务</t>
  </si>
  <si>
    <t>000906.SZ</t>
  </si>
  <si>
    <t>浙商中拓</t>
  </si>
  <si>
    <t>000908.SZ</t>
  </si>
  <si>
    <t>000909.SZ</t>
  </si>
  <si>
    <t>ST数源</t>
  </si>
  <si>
    <t>000910.SZ</t>
  </si>
  <si>
    <t>大亚圣象</t>
  </si>
  <si>
    <t>000911.SZ</t>
  </si>
  <si>
    <t>广农糖业</t>
  </si>
  <si>
    <t>000912.SZ</t>
  </si>
  <si>
    <t>泸天化</t>
  </si>
  <si>
    <t>000913.SZ</t>
  </si>
  <si>
    <t>钱江摩托</t>
  </si>
  <si>
    <t>000915.SZ</t>
  </si>
  <si>
    <t>华特达因</t>
  </si>
  <si>
    <t>000917.SZ</t>
  </si>
  <si>
    <t>电广传媒</t>
  </si>
  <si>
    <t>000919.SZ</t>
  </si>
  <si>
    <t>金陵药业</t>
  </si>
  <si>
    <t>000920.SZ</t>
  </si>
  <si>
    <t>沃顿科技</t>
  </si>
  <si>
    <t>000921.SZ</t>
  </si>
  <si>
    <t>海信家电</t>
  </si>
  <si>
    <t>000922.SZ</t>
  </si>
  <si>
    <t>佳电股份</t>
  </si>
  <si>
    <t>000923.SZ</t>
  </si>
  <si>
    <t>河钢资源</t>
  </si>
  <si>
    <t>000925.SZ</t>
  </si>
  <si>
    <t>众合科技</t>
  </si>
  <si>
    <t>000926.SZ</t>
  </si>
  <si>
    <t>福星股份</t>
  </si>
  <si>
    <t>000927.SZ</t>
  </si>
  <si>
    <t>中国铁物</t>
  </si>
  <si>
    <t>000928.SZ</t>
  </si>
  <si>
    <t>中钢国际</t>
  </si>
  <si>
    <t>000929.SZ</t>
  </si>
  <si>
    <t>000930.SZ</t>
  </si>
  <si>
    <t>中粮科技</t>
  </si>
  <si>
    <t>000931.SZ</t>
  </si>
  <si>
    <t>中关村</t>
  </si>
  <si>
    <t>000932.SZ</t>
  </si>
  <si>
    <t>华菱钢铁</t>
  </si>
  <si>
    <t>000933.SZ</t>
  </si>
  <si>
    <t>神火股份</t>
  </si>
  <si>
    <t>000935.SZ</t>
  </si>
  <si>
    <t>四川双马</t>
  </si>
  <si>
    <t>000936.SZ</t>
  </si>
  <si>
    <t>华西股份</t>
  </si>
  <si>
    <t>000937.SZ</t>
  </si>
  <si>
    <t>冀中能源</t>
  </si>
  <si>
    <t>000938.SZ</t>
  </si>
  <si>
    <t>紫光股份</t>
  </si>
  <si>
    <t>000948.SZ</t>
  </si>
  <si>
    <t>南天信息</t>
  </si>
  <si>
    <t>000949.SZ</t>
  </si>
  <si>
    <t>新乡化纤</t>
  </si>
  <si>
    <t>000950.SZ</t>
  </si>
  <si>
    <t>重药控股</t>
  </si>
  <si>
    <t>000951.SZ</t>
  </si>
  <si>
    <t>中国重汽</t>
  </si>
  <si>
    <t>000952.SZ</t>
  </si>
  <si>
    <t>广济药业</t>
  </si>
  <si>
    <t>000953.SZ</t>
  </si>
  <si>
    <t>河化股份</t>
  </si>
  <si>
    <t>000955.SZ</t>
  </si>
  <si>
    <t>欣龙控股</t>
  </si>
  <si>
    <t>000957.SZ</t>
  </si>
  <si>
    <t>中通客车</t>
  </si>
  <si>
    <t>000958.SZ</t>
  </si>
  <si>
    <t>电投产融</t>
  </si>
  <si>
    <t>000959.SZ</t>
  </si>
  <si>
    <t>首钢股份</t>
  </si>
  <si>
    <t>000960.SZ</t>
  </si>
  <si>
    <t>锡业股份</t>
  </si>
  <si>
    <t>000962.SZ</t>
  </si>
  <si>
    <t>东方钽业</t>
  </si>
  <si>
    <t>000963.SZ</t>
  </si>
  <si>
    <t>华东医药</t>
  </si>
  <si>
    <t>000965.SZ</t>
  </si>
  <si>
    <t>天保基建</t>
  </si>
  <si>
    <t>000966.SZ</t>
  </si>
  <si>
    <t>长源电力</t>
  </si>
  <si>
    <t>000967.SZ</t>
  </si>
  <si>
    <t>盈峰环境</t>
  </si>
  <si>
    <t>000968.SZ</t>
  </si>
  <si>
    <t>蓝焰控股</t>
  </si>
  <si>
    <t>000969.SZ</t>
  </si>
  <si>
    <t>安泰科技</t>
  </si>
  <si>
    <t>000970.SZ</t>
  </si>
  <si>
    <t>中科三环</t>
  </si>
  <si>
    <t>000972.SZ</t>
  </si>
  <si>
    <t>000973.SZ</t>
  </si>
  <si>
    <t>佛塑科技</t>
  </si>
  <si>
    <t>000975.SZ</t>
  </si>
  <si>
    <t>000977.SZ</t>
  </si>
  <si>
    <t>浪潮信息</t>
  </si>
  <si>
    <t>000978.SZ</t>
  </si>
  <si>
    <t>桂林旅游</t>
  </si>
  <si>
    <t>000980.SZ</t>
  </si>
  <si>
    <t>众泰汽车</t>
  </si>
  <si>
    <t>000981.SZ</t>
  </si>
  <si>
    <t>山子高科</t>
  </si>
  <si>
    <t>000983.SZ</t>
  </si>
  <si>
    <t>山西焦煤</t>
  </si>
  <si>
    <t>000985.SZ</t>
  </si>
  <si>
    <t>大庆华科</t>
  </si>
  <si>
    <t>000987.SZ</t>
  </si>
  <si>
    <t>越秀资本</t>
  </si>
  <si>
    <t>000988.SZ</t>
  </si>
  <si>
    <t>华工科技</t>
  </si>
  <si>
    <t>000989.SZ</t>
  </si>
  <si>
    <t>九芝堂</t>
  </si>
  <si>
    <t>000990.SZ</t>
  </si>
  <si>
    <t>诚志股份</t>
  </si>
  <si>
    <t>000993.SZ</t>
  </si>
  <si>
    <t>闽东电力</t>
  </si>
  <si>
    <t>000995.SZ</t>
  </si>
  <si>
    <t>皇台酒业</t>
  </si>
  <si>
    <t>000997.SZ</t>
  </si>
  <si>
    <t>新大陆</t>
  </si>
  <si>
    <t>000998.SZ</t>
  </si>
  <si>
    <t>隆平高科</t>
  </si>
  <si>
    <t>000999.SZ</t>
  </si>
  <si>
    <t>华润三九</t>
  </si>
  <si>
    <t>001201.SZ</t>
  </si>
  <si>
    <t>东瑞股份</t>
  </si>
  <si>
    <t>001202.SZ</t>
  </si>
  <si>
    <t>炬申股份</t>
  </si>
  <si>
    <t>001203.SZ</t>
  </si>
  <si>
    <t>大中矿业</t>
  </si>
  <si>
    <t>001205.SZ</t>
  </si>
  <si>
    <t>盛航股份</t>
  </si>
  <si>
    <t>001206.SZ</t>
  </si>
  <si>
    <t>依依股份</t>
  </si>
  <si>
    <t>001207.SZ</t>
  </si>
  <si>
    <t>联科科技</t>
  </si>
  <si>
    <t>001208.SZ</t>
  </si>
  <si>
    <t>华菱线缆</t>
  </si>
  <si>
    <t>001209.SZ</t>
  </si>
  <si>
    <t>洪兴股份</t>
  </si>
  <si>
    <t>001210.SZ</t>
  </si>
  <si>
    <t>金房能源</t>
  </si>
  <si>
    <t>001211.SZ</t>
  </si>
  <si>
    <t>双枪科技</t>
  </si>
  <si>
    <t>001212.SZ</t>
  </si>
  <si>
    <t>中旗新材</t>
  </si>
  <si>
    <t>001213.SZ</t>
  </si>
  <si>
    <t>中铁特货</t>
  </si>
  <si>
    <t>001215.SZ</t>
  </si>
  <si>
    <t>千味央厨</t>
  </si>
  <si>
    <t>001216.SZ</t>
  </si>
  <si>
    <t>华瓷股份</t>
  </si>
  <si>
    <t>001217.SZ</t>
  </si>
  <si>
    <t>华尔泰</t>
  </si>
  <si>
    <t>001218.SZ</t>
  </si>
  <si>
    <t>丽臣实业</t>
  </si>
  <si>
    <t>001219.SZ</t>
  </si>
  <si>
    <t>青岛食品</t>
  </si>
  <si>
    <t>001222.SZ</t>
  </si>
  <si>
    <t>源飞宠物</t>
  </si>
  <si>
    <t>001223.SZ</t>
  </si>
  <si>
    <t>欧克科技</t>
  </si>
  <si>
    <t>001225.SZ</t>
  </si>
  <si>
    <t>和泰机电</t>
  </si>
  <si>
    <t>001226.SZ</t>
  </si>
  <si>
    <t>拓山重工</t>
  </si>
  <si>
    <t>001227.SZ</t>
  </si>
  <si>
    <t>兰州银行</t>
  </si>
  <si>
    <t>001228.SZ</t>
  </si>
  <si>
    <t>永泰运</t>
  </si>
  <si>
    <t>001229.SZ</t>
  </si>
  <si>
    <t>魅视科技</t>
  </si>
  <si>
    <t>001230.SZ</t>
  </si>
  <si>
    <t>劲旅环境</t>
  </si>
  <si>
    <t>001231.SZ</t>
  </si>
  <si>
    <t>农心科技</t>
  </si>
  <si>
    <t>001234.SZ</t>
  </si>
  <si>
    <t>泰慕士</t>
  </si>
  <si>
    <t>001236.SZ</t>
  </si>
  <si>
    <t>弘业期货</t>
  </si>
  <si>
    <t>001238.SZ</t>
  </si>
  <si>
    <t>浙江正特</t>
  </si>
  <si>
    <t>001239.SZ</t>
  </si>
  <si>
    <t>永达股份</t>
  </si>
  <si>
    <t>001255.SZ</t>
  </si>
  <si>
    <t>博菲电气</t>
  </si>
  <si>
    <t>001256.SZ</t>
  </si>
  <si>
    <t>炜冈科技</t>
  </si>
  <si>
    <t>001258.SZ</t>
  </si>
  <si>
    <t>立新能源</t>
  </si>
  <si>
    <t>001259.SZ</t>
  </si>
  <si>
    <t>利仁科技</t>
  </si>
  <si>
    <t>001260.SZ</t>
  </si>
  <si>
    <t>坤泰股份</t>
  </si>
  <si>
    <t>001266.SZ</t>
  </si>
  <si>
    <t>宏英智能</t>
  </si>
  <si>
    <t>001267.SZ</t>
  </si>
  <si>
    <t>汇绿生态</t>
  </si>
  <si>
    <t>001268.SZ</t>
  </si>
  <si>
    <t>联合精密</t>
  </si>
  <si>
    <t>001269.SZ</t>
  </si>
  <si>
    <t>欧晶科技</t>
  </si>
  <si>
    <t>001270.SZ</t>
  </si>
  <si>
    <t>001278.SZ</t>
  </si>
  <si>
    <t>一彬科技</t>
  </si>
  <si>
    <t>001282.SZ</t>
  </si>
  <si>
    <t>三联锻造</t>
  </si>
  <si>
    <t>001283.SZ</t>
  </si>
  <si>
    <t>豪鹏科技</t>
  </si>
  <si>
    <t>001286.SZ</t>
  </si>
  <si>
    <t>陕西能源</t>
  </si>
  <si>
    <t>001287.SZ</t>
  </si>
  <si>
    <t>中电港</t>
  </si>
  <si>
    <t>001288.SZ</t>
  </si>
  <si>
    <t>运机集团</t>
  </si>
  <si>
    <t>001289.SZ</t>
  </si>
  <si>
    <t>龙源电力</t>
  </si>
  <si>
    <t>001296.SZ</t>
  </si>
  <si>
    <t>长江材料</t>
  </si>
  <si>
    <t>001298.SZ</t>
  </si>
  <si>
    <t>好上好</t>
  </si>
  <si>
    <t>001299.SZ</t>
  </si>
  <si>
    <t>美能能源</t>
  </si>
  <si>
    <t>001300.SZ</t>
  </si>
  <si>
    <t>三柏硕</t>
  </si>
  <si>
    <t>001301.SZ</t>
  </si>
  <si>
    <t>尚太科技</t>
  </si>
  <si>
    <t>001306.SZ</t>
  </si>
  <si>
    <t>夏厦精密</t>
  </si>
  <si>
    <t>001308.SZ</t>
  </si>
  <si>
    <t>康冠科技</t>
  </si>
  <si>
    <t>001309.SZ</t>
  </si>
  <si>
    <t>德明利</t>
  </si>
  <si>
    <t>001311.SZ</t>
  </si>
  <si>
    <t>多利科技</t>
  </si>
  <si>
    <t>001313.SZ</t>
  </si>
  <si>
    <t>粤海饲料</t>
  </si>
  <si>
    <t>001314.SZ</t>
  </si>
  <si>
    <t>亿道信息</t>
  </si>
  <si>
    <t>001316.SZ</t>
  </si>
  <si>
    <t>润贝航科</t>
  </si>
  <si>
    <t>001317.SZ</t>
  </si>
  <si>
    <t>三羊马</t>
  </si>
  <si>
    <t>001318.SZ</t>
  </si>
  <si>
    <t>阳光乳业</t>
  </si>
  <si>
    <t>001319.SZ</t>
  </si>
  <si>
    <t>铭科精技</t>
  </si>
  <si>
    <t>001322.SZ</t>
  </si>
  <si>
    <t>箭牌家居</t>
  </si>
  <si>
    <t>001323.SZ</t>
  </si>
  <si>
    <t>慕思股份</t>
  </si>
  <si>
    <t>001324.SZ</t>
  </si>
  <si>
    <t>长青科技</t>
  </si>
  <si>
    <t>001326.SZ</t>
  </si>
  <si>
    <t>联域股份</t>
  </si>
  <si>
    <t>001328.SZ</t>
  </si>
  <si>
    <t>登康口腔</t>
  </si>
  <si>
    <t>001330.SZ</t>
  </si>
  <si>
    <t>博纳影业</t>
  </si>
  <si>
    <t>001331.SZ</t>
  </si>
  <si>
    <t>胜通能源</t>
  </si>
  <si>
    <t>001332.SZ</t>
  </si>
  <si>
    <t>锡装股份</t>
  </si>
  <si>
    <t>001333.SZ</t>
  </si>
  <si>
    <t>光华股份</t>
  </si>
  <si>
    <t>001336.SZ</t>
  </si>
  <si>
    <t>楚环科技</t>
  </si>
  <si>
    <t>001337.SZ</t>
  </si>
  <si>
    <t>四川黄金</t>
  </si>
  <si>
    <t>001338.SZ</t>
  </si>
  <si>
    <t>永顺泰</t>
  </si>
  <si>
    <t>001339.SZ</t>
  </si>
  <si>
    <t>智微智能</t>
  </si>
  <si>
    <t>001358.SZ</t>
  </si>
  <si>
    <t>兴欣新材</t>
  </si>
  <si>
    <t>001359.SZ</t>
  </si>
  <si>
    <t>平安电工</t>
  </si>
  <si>
    <t>001360.SZ</t>
  </si>
  <si>
    <t>南矿集团</t>
  </si>
  <si>
    <t>001366.SZ</t>
  </si>
  <si>
    <t>播恩集团</t>
  </si>
  <si>
    <t>001367.SZ</t>
  </si>
  <si>
    <t>海森药业</t>
  </si>
  <si>
    <t>001368.SZ</t>
  </si>
  <si>
    <t>通达创智</t>
  </si>
  <si>
    <t>001373.SZ</t>
  </si>
  <si>
    <t>翔腾新材</t>
  </si>
  <si>
    <t>001376.SZ</t>
  </si>
  <si>
    <t>百通能源</t>
  </si>
  <si>
    <t>001378.SZ</t>
  </si>
  <si>
    <t>德冠新材</t>
  </si>
  <si>
    <t>001379.SZ</t>
  </si>
  <si>
    <t>腾达科技</t>
  </si>
  <si>
    <t>001380.SZ</t>
  </si>
  <si>
    <t>华纬科技</t>
  </si>
  <si>
    <t>001387.SZ</t>
  </si>
  <si>
    <t>雪祺电气</t>
  </si>
  <si>
    <t>001389.SZ</t>
  </si>
  <si>
    <t>广合科技</t>
  </si>
  <si>
    <t>001696.SZ</t>
  </si>
  <si>
    <t>宗申动力</t>
  </si>
  <si>
    <t>001872.SZ</t>
  </si>
  <si>
    <t>招商港口</t>
  </si>
  <si>
    <t>001896.SZ</t>
  </si>
  <si>
    <t>豫能控股</t>
  </si>
  <si>
    <t>001914.SZ</t>
  </si>
  <si>
    <t>招商积余</t>
  </si>
  <si>
    <t>001965.SZ</t>
  </si>
  <si>
    <t>招商公路</t>
  </si>
  <si>
    <t>001979.SZ</t>
  </si>
  <si>
    <t>招商蛇口</t>
  </si>
  <si>
    <t>002001.SZ</t>
  </si>
  <si>
    <t>新和成</t>
  </si>
  <si>
    <t>002003.SZ</t>
  </si>
  <si>
    <t>伟星股份</t>
  </si>
  <si>
    <t>002004.SZ</t>
  </si>
  <si>
    <t>华邦健康</t>
  </si>
  <si>
    <t>002005.SZ</t>
  </si>
  <si>
    <t>ST德豪</t>
  </si>
  <si>
    <t>002006.SZ</t>
  </si>
  <si>
    <t>精工科技</t>
  </si>
  <si>
    <t>002007.SZ</t>
  </si>
  <si>
    <t>华兰生物</t>
  </si>
  <si>
    <t>002008.SZ</t>
  </si>
  <si>
    <t>大族激光</t>
  </si>
  <si>
    <t>002009.SZ</t>
  </si>
  <si>
    <t>天奇股份</t>
  </si>
  <si>
    <t>002010.SZ</t>
  </si>
  <si>
    <t>传化智联</t>
  </si>
  <si>
    <t>002011.SZ</t>
  </si>
  <si>
    <t>盾安环境</t>
  </si>
  <si>
    <t>002012.SZ</t>
  </si>
  <si>
    <t>凯恩股份</t>
  </si>
  <si>
    <t>002014.SZ</t>
  </si>
  <si>
    <t>永新股份</t>
  </si>
  <si>
    <t>002015.SZ</t>
  </si>
  <si>
    <t>协鑫能科</t>
  </si>
  <si>
    <t>002016.SZ</t>
  </si>
  <si>
    <t>世荣兆业</t>
  </si>
  <si>
    <t>002017.SZ</t>
  </si>
  <si>
    <t>东信和平</t>
  </si>
  <si>
    <t>002019.SZ</t>
  </si>
  <si>
    <t>亿帆医药</t>
  </si>
  <si>
    <t>002020.SZ</t>
  </si>
  <si>
    <t>京新药业</t>
  </si>
  <si>
    <t>002021.SZ</t>
  </si>
  <si>
    <t>002022.SZ</t>
  </si>
  <si>
    <t>科华生物</t>
  </si>
  <si>
    <t>002023.SZ</t>
  </si>
  <si>
    <t>海特高新</t>
  </si>
  <si>
    <t>002024.SZ</t>
  </si>
  <si>
    <t>ST易购</t>
  </si>
  <si>
    <t>002025.SZ</t>
  </si>
  <si>
    <t>航天电器</t>
  </si>
  <si>
    <t>002026.SZ</t>
  </si>
  <si>
    <t>山东威达</t>
  </si>
  <si>
    <t>002027.SZ</t>
  </si>
  <si>
    <t>分众传媒</t>
  </si>
  <si>
    <t>002028.SZ</t>
  </si>
  <si>
    <t>思源电气</t>
  </si>
  <si>
    <t>002029.SZ</t>
  </si>
  <si>
    <t>七匹狼</t>
  </si>
  <si>
    <t>002030.SZ</t>
  </si>
  <si>
    <t>达安基因</t>
  </si>
  <si>
    <t>002031.SZ</t>
  </si>
  <si>
    <t>巨轮智能</t>
  </si>
  <si>
    <t>002032.SZ</t>
  </si>
  <si>
    <t>苏泊尔</t>
  </si>
  <si>
    <t>002033.SZ</t>
  </si>
  <si>
    <t>丽江股份</t>
  </si>
  <si>
    <t>002034.SZ</t>
  </si>
  <si>
    <t>旺能环境</t>
  </si>
  <si>
    <t>002035.SZ</t>
  </si>
  <si>
    <t>华帝股份</t>
  </si>
  <si>
    <t>002036.SZ</t>
  </si>
  <si>
    <t>联创电子</t>
  </si>
  <si>
    <t>002037.SZ</t>
  </si>
  <si>
    <t>保利联合</t>
  </si>
  <si>
    <t>002038.SZ</t>
  </si>
  <si>
    <t>双鹭药业</t>
  </si>
  <si>
    <t>002039.SZ</t>
  </si>
  <si>
    <t>黔源电力</t>
  </si>
  <si>
    <t>002040.SZ</t>
  </si>
  <si>
    <t>南京港</t>
  </si>
  <si>
    <t>002041.SZ</t>
  </si>
  <si>
    <t>登海种业</t>
  </si>
  <si>
    <t>002042.SZ</t>
  </si>
  <si>
    <t>华孚时尚</t>
  </si>
  <si>
    <t>002043.SZ</t>
  </si>
  <si>
    <t>兔宝宝</t>
  </si>
  <si>
    <t>002044.SZ</t>
  </si>
  <si>
    <t>美年健康</t>
  </si>
  <si>
    <t>002045.SZ</t>
  </si>
  <si>
    <t>国光电器</t>
  </si>
  <si>
    <t>002046.SZ</t>
  </si>
  <si>
    <t>国机精工</t>
  </si>
  <si>
    <t>002047.SZ</t>
  </si>
  <si>
    <t>002048.SZ</t>
  </si>
  <si>
    <t>宁波华翔</t>
  </si>
  <si>
    <t>002049.SZ</t>
  </si>
  <si>
    <t>紫光国微</t>
  </si>
  <si>
    <t>002050.SZ</t>
  </si>
  <si>
    <t>三花智控</t>
  </si>
  <si>
    <t>002051.SZ</t>
  </si>
  <si>
    <t>中工国际</t>
  </si>
  <si>
    <t>002052.SZ</t>
  </si>
  <si>
    <t>002053.SZ</t>
  </si>
  <si>
    <t>云南能投</t>
  </si>
  <si>
    <t>002054.SZ</t>
  </si>
  <si>
    <t>德美化工</t>
  </si>
  <si>
    <t>002055.SZ</t>
  </si>
  <si>
    <t>002056.SZ</t>
  </si>
  <si>
    <t>横店东磁</t>
  </si>
  <si>
    <t>002057.SZ</t>
  </si>
  <si>
    <t>中钢天源</t>
  </si>
  <si>
    <t>002058.SZ</t>
  </si>
  <si>
    <t>002059.SZ</t>
  </si>
  <si>
    <t>云南旅游</t>
  </si>
  <si>
    <t>002060.SZ</t>
  </si>
  <si>
    <t>广东建工</t>
  </si>
  <si>
    <t>002061.SZ</t>
  </si>
  <si>
    <t>浙江交科</t>
  </si>
  <si>
    <t>002062.SZ</t>
  </si>
  <si>
    <t>宏润建设</t>
  </si>
  <si>
    <t>002063.SZ</t>
  </si>
  <si>
    <t>远光软件</t>
  </si>
  <si>
    <t>002064.SZ</t>
  </si>
  <si>
    <t>华峰化学</t>
  </si>
  <si>
    <t>002065.SZ</t>
  </si>
  <si>
    <t>东华软件</t>
  </si>
  <si>
    <t>002066.SZ</t>
  </si>
  <si>
    <t>瑞泰科技</t>
  </si>
  <si>
    <t>002067.SZ</t>
  </si>
  <si>
    <t>景兴纸业</t>
  </si>
  <si>
    <t>002068.SZ</t>
  </si>
  <si>
    <t>黑猫股份</t>
  </si>
  <si>
    <t>002069.SZ</t>
  </si>
  <si>
    <t>獐子岛</t>
  </si>
  <si>
    <t>002072.SZ</t>
  </si>
  <si>
    <t>凯瑞德</t>
  </si>
  <si>
    <t>002073.SZ</t>
  </si>
  <si>
    <t>软控股份</t>
  </si>
  <si>
    <t>002074.SZ</t>
  </si>
  <si>
    <t>国轩高科</t>
  </si>
  <si>
    <t>002075.SZ</t>
  </si>
  <si>
    <t>沙钢股份</t>
  </si>
  <si>
    <t>002076.SZ</t>
  </si>
  <si>
    <t>002077.SZ</t>
  </si>
  <si>
    <t>大港股份</t>
  </si>
  <si>
    <t>002078.SZ</t>
  </si>
  <si>
    <t>太阳纸业</t>
  </si>
  <si>
    <t>002079.SZ</t>
  </si>
  <si>
    <t>苏州固锝</t>
  </si>
  <si>
    <t>002080.SZ</t>
  </si>
  <si>
    <t>中材科技</t>
  </si>
  <si>
    <t>002081.SZ</t>
  </si>
  <si>
    <t>金螳螂</t>
  </si>
  <si>
    <t>002082.SZ</t>
  </si>
  <si>
    <t>万邦德</t>
  </si>
  <si>
    <t>002083.SZ</t>
  </si>
  <si>
    <t>孚日股份</t>
  </si>
  <si>
    <t>002084.SZ</t>
  </si>
  <si>
    <t>海鸥住工</t>
  </si>
  <si>
    <t>002085.SZ</t>
  </si>
  <si>
    <t>万丰奥威</t>
  </si>
  <si>
    <t>002086.SZ</t>
  </si>
  <si>
    <t>002088.SZ</t>
  </si>
  <si>
    <t>鲁阳节能</t>
  </si>
  <si>
    <t>002090.SZ</t>
  </si>
  <si>
    <t>金智科技</t>
  </si>
  <si>
    <t>002091.SZ</t>
  </si>
  <si>
    <t>江苏国泰</t>
  </si>
  <si>
    <t>002092.SZ</t>
  </si>
  <si>
    <t>中泰化学</t>
  </si>
  <si>
    <t>002093.SZ</t>
  </si>
  <si>
    <t>国脉科技</t>
  </si>
  <si>
    <t>002094.SZ</t>
  </si>
  <si>
    <t>青岛金王</t>
  </si>
  <si>
    <t>002095.SZ</t>
  </si>
  <si>
    <t>生意宝</t>
  </si>
  <si>
    <t>002096.SZ</t>
  </si>
  <si>
    <t>易普力</t>
  </si>
  <si>
    <t>002097.SZ</t>
  </si>
  <si>
    <t>山河智能</t>
  </si>
  <si>
    <t>002098.SZ</t>
  </si>
  <si>
    <t>浔兴股份</t>
  </si>
  <si>
    <t>002099.SZ</t>
  </si>
  <si>
    <t>海翔药业</t>
  </si>
  <si>
    <t>002100.SZ</t>
  </si>
  <si>
    <t>天康生物</t>
  </si>
  <si>
    <t>002101.SZ</t>
  </si>
  <si>
    <t>广东鸿图</t>
  </si>
  <si>
    <t>002102.SZ</t>
  </si>
  <si>
    <t>能特科技</t>
  </si>
  <si>
    <t>002103.SZ</t>
  </si>
  <si>
    <t>广博股份</t>
  </si>
  <si>
    <t>002104.SZ</t>
  </si>
  <si>
    <t>恒宝股份</t>
  </si>
  <si>
    <t>002105.SZ</t>
  </si>
  <si>
    <t>信隆健康</t>
  </si>
  <si>
    <t>002106.SZ</t>
  </si>
  <si>
    <t>莱宝高科</t>
  </si>
  <si>
    <t>002107.SZ</t>
  </si>
  <si>
    <t>沃华医药</t>
  </si>
  <si>
    <t>002108.SZ</t>
  </si>
  <si>
    <t>沧州明珠</t>
  </si>
  <si>
    <t>002109.SZ</t>
  </si>
  <si>
    <t>兴化股份</t>
  </si>
  <si>
    <t>002110.SZ</t>
  </si>
  <si>
    <t>三钢闽光</t>
  </si>
  <si>
    <t>002111.SZ</t>
  </si>
  <si>
    <t>威海广泰</t>
  </si>
  <si>
    <t>002112.SZ</t>
  </si>
  <si>
    <t>三变科技</t>
  </si>
  <si>
    <t>002114.SZ</t>
  </si>
  <si>
    <t>罗平锌电</t>
  </si>
  <si>
    <t>002115.SZ</t>
  </si>
  <si>
    <t>三维通信</t>
  </si>
  <si>
    <t>002116.SZ</t>
  </si>
  <si>
    <t>中国海诚</t>
  </si>
  <si>
    <t>002117.SZ</t>
  </si>
  <si>
    <t>东港股份</t>
  </si>
  <si>
    <t>002119.SZ</t>
  </si>
  <si>
    <t>康强电子</t>
  </si>
  <si>
    <t>002120.SZ</t>
  </si>
  <si>
    <t>韵达股份</t>
  </si>
  <si>
    <t>002121.SZ</t>
  </si>
  <si>
    <t>科陆电子</t>
  </si>
  <si>
    <t>002122.SZ</t>
  </si>
  <si>
    <t>002123.SZ</t>
  </si>
  <si>
    <t>梦网科技</t>
  </si>
  <si>
    <t>002124.SZ</t>
  </si>
  <si>
    <t>天邦食品</t>
  </si>
  <si>
    <t>002125.SZ</t>
  </si>
  <si>
    <t>湘潭电化</t>
  </si>
  <si>
    <t>002126.SZ</t>
  </si>
  <si>
    <t>银轮股份</t>
  </si>
  <si>
    <t>002127.SZ</t>
  </si>
  <si>
    <t>南极电商</t>
  </si>
  <si>
    <t>002128.SZ</t>
  </si>
  <si>
    <t>电投能源</t>
  </si>
  <si>
    <t>002129.SZ</t>
  </si>
  <si>
    <t>TCL中环</t>
  </si>
  <si>
    <t>002130.SZ</t>
  </si>
  <si>
    <t>沃尔核材</t>
  </si>
  <si>
    <t>002131.SZ</t>
  </si>
  <si>
    <t>利欧股份</t>
  </si>
  <si>
    <t>002132.SZ</t>
  </si>
  <si>
    <t>恒星科技</t>
  </si>
  <si>
    <t>002133.SZ</t>
  </si>
  <si>
    <t>广宇集团</t>
  </si>
  <si>
    <t>002134.SZ</t>
  </si>
  <si>
    <t>天津普林</t>
  </si>
  <si>
    <t>002135.SZ</t>
  </si>
  <si>
    <t>东南网架</t>
  </si>
  <si>
    <t>002136.SZ</t>
  </si>
  <si>
    <t>安纳达</t>
  </si>
  <si>
    <t>002137.SZ</t>
  </si>
  <si>
    <t>实益达</t>
  </si>
  <si>
    <t>002138.SZ</t>
  </si>
  <si>
    <t>顺络电子</t>
  </si>
  <si>
    <t>002139.SZ</t>
  </si>
  <si>
    <t>拓邦股份</t>
  </si>
  <si>
    <t>002140.SZ</t>
  </si>
  <si>
    <t>东华科技</t>
  </si>
  <si>
    <t>002141.SZ</t>
  </si>
  <si>
    <t>贤丰控股</t>
  </si>
  <si>
    <t>002142.SZ</t>
  </si>
  <si>
    <t>宁波银行</t>
  </si>
  <si>
    <t>002144.SZ</t>
  </si>
  <si>
    <t>宏达高科</t>
  </si>
  <si>
    <t>002145.SZ</t>
  </si>
  <si>
    <t>002146.SZ</t>
  </si>
  <si>
    <t>荣盛发展</t>
  </si>
  <si>
    <t>002148.SZ</t>
  </si>
  <si>
    <t>北纬科技</t>
  </si>
  <si>
    <t>002149.SZ</t>
  </si>
  <si>
    <t>西部材料</t>
  </si>
  <si>
    <t>002150.SZ</t>
  </si>
  <si>
    <t>002151.SZ</t>
  </si>
  <si>
    <t>北斗星通</t>
  </si>
  <si>
    <t>002152.SZ</t>
  </si>
  <si>
    <t>广电运通</t>
  </si>
  <si>
    <t>002153.SZ</t>
  </si>
  <si>
    <t>石基信息</t>
  </si>
  <si>
    <t>002154.SZ</t>
  </si>
  <si>
    <t>报喜鸟</t>
  </si>
  <si>
    <t>002155.SZ</t>
  </si>
  <si>
    <t>湖南黄金</t>
  </si>
  <si>
    <t>002156.SZ</t>
  </si>
  <si>
    <t>通富微电</t>
  </si>
  <si>
    <t>002157.SZ</t>
  </si>
  <si>
    <t>002158.SZ</t>
  </si>
  <si>
    <t>汉钟精机</t>
  </si>
  <si>
    <t>002159.SZ</t>
  </si>
  <si>
    <t>三特索道</t>
  </si>
  <si>
    <t>002160.SZ</t>
  </si>
  <si>
    <t>常铝股份</t>
  </si>
  <si>
    <t>002161.SZ</t>
  </si>
  <si>
    <t>远望谷</t>
  </si>
  <si>
    <t>002162.SZ</t>
  </si>
  <si>
    <t>悦心健康</t>
  </si>
  <si>
    <t>002163.SZ</t>
  </si>
  <si>
    <t>海南发展</t>
  </si>
  <si>
    <t>002164.SZ</t>
  </si>
  <si>
    <t>宁波东力</t>
  </si>
  <si>
    <t>002165.SZ</t>
  </si>
  <si>
    <t>红宝丽</t>
  </si>
  <si>
    <t>002166.SZ</t>
  </si>
  <si>
    <t>莱茵生物</t>
  </si>
  <si>
    <t>002167.SZ</t>
  </si>
  <si>
    <t>东方锆业</t>
  </si>
  <si>
    <t>002168.SZ</t>
  </si>
  <si>
    <t>002169.SZ</t>
  </si>
  <si>
    <t>智光电气</t>
  </si>
  <si>
    <t>002170.SZ</t>
  </si>
  <si>
    <t>芭田股份</t>
  </si>
  <si>
    <t>002171.SZ</t>
  </si>
  <si>
    <t>楚江新材</t>
  </si>
  <si>
    <t>002172.SZ</t>
  </si>
  <si>
    <t>澳洋健康</t>
  </si>
  <si>
    <t>002173.SZ</t>
  </si>
  <si>
    <t>创新医疗</t>
  </si>
  <si>
    <t>002174.SZ</t>
  </si>
  <si>
    <t>游族网络</t>
  </si>
  <si>
    <t>002175.SZ</t>
  </si>
  <si>
    <t>东方智造</t>
  </si>
  <si>
    <t>002176.SZ</t>
  </si>
  <si>
    <t>江特电机</t>
  </si>
  <si>
    <t>002177.SZ</t>
  </si>
  <si>
    <t>御银股份</t>
  </si>
  <si>
    <t>002178.SZ</t>
  </si>
  <si>
    <t>延华智能</t>
  </si>
  <si>
    <t>002179.SZ</t>
  </si>
  <si>
    <t>中航光电</t>
  </si>
  <si>
    <t>002180.SZ</t>
  </si>
  <si>
    <t>纳思达</t>
  </si>
  <si>
    <t>002181.SZ</t>
  </si>
  <si>
    <t>粤传媒</t>
  </si>
  <si>
    <t>002182.SZ</t>
  </si>
  <si>
    <t>宝武镁业</t>
  </si>
  <si>
    <t>002183.SZ</t>
  </si>
  <si>
    <t>怡亚通</t>
  </si>
  <si>
    <t>002184.SZ</t>
  </si>
  <si>
    <t>海得控制</t>
  </si>
  <si>
    <t>002185.SZ</t>
  </si>
  <si>
    <t>华天科技</t>
  </si>
  <si>
    <t>002186.SZ</t>
  </si>
  <si>
    <t>全聚德</t>
  </si>
  <si>
    <t>002187.SZ</t>
  </si>
  <si>
    <t>广百股份</t>
  </si>
  <si>
    <t>002188.SZ</t>
  </si>
  <si>
    <t>中天服务</t>
  </si>
  <si>
    <t>002189.SZ</t>
  </si>
  <si>
    <t>中光学</t>
  </si>
  <si>
    <t>002190.SZ</t>
  </si>
  <si>
    <t>成飞集成</t>
  </si>
  <si>
    <t>002191.SZ</t>
  </si>
  <si>
    <t>劲嘉股份</t>
  </si>
  <si>
    <t>002192.SZ</t>
  </si>
  <si>
    <t>融捷股份</t>
  </si>
  <si>
    <t>002193.SZ</t>
  </si>
  <si>
    <t>如意集团</t>
  </si>
  <si>
    <t>002194.SZ</t>
  </si>
  <si>
    <t>武汉凡谷</t>
  </si>
  <si>
    <t>002195.SZ</t>
  </si>
  <si>
    <t>岩山科技</t>
  </si>
  <si>
    <t>002196.SZ</t>
  </si>
  <si>
    <t>方正电机</t>
  </si>
  <si>
    <t>002197.SZ</t>
  </si>
  <si>
    <t>002198.SZ</t>
  </si>
  <si>
    <t>嘉应制药</t>
  </si>
  <si>
    <t>002199.SZ</t>
  </si>
  <si>
    <t>002200.SZ</t>
  </si>
  <si>
    <t>002201.SZ</t>
  </si>
  <si>
    <t>002202.SZ</t>
  </si>
  <si>
    <t>金风科技</t>
  </si>
  <si>
    <t>002203.SZ</t>
  </si>
  <si>
    <t>海亮股份</t>
  </si>
  <si>
    <t>002204.SZ</t>
  </si>
  <si>
    <t>大连重工</t>
  </si>
  <si>
    <t>002205.SZ</t>
  </si>
  <si>
    <t>国统股份</t>
  </si>
  <si>
    <t>002206.SZ</t>
  </si>
  <si>
    <t>海利得</t>
  </si>
  <si>
    <t>002207.SZ</t>
  </si>
  <si>
    <t>准油股份</t>
  </si>
  <si>
    <t>002208.SZ</t>
  </si>
  <si>
    <t>合肥城建</t>
  </si>
  <si>
    <t>002209.SZ</t>
  </si>
  <si>
    <t>达意隆</t>
  </si>
  <si>
    <t>002210.SZ</t>
  </si>
  <si>
    <t>飞马国际</t>
  </si>
  <si>
    <t>002211.SZ</t>
  </si>
  <si>
    <t>002212.SZ</t>
  </si>
  <si>
    <t>天融信</t>
  </si>
  <si>
    <t>002213.SZ</t>
  </si>
  <si>
    <t>大为股份</t>
  </si>
  <si>
    <t>002214.SZ</t>
  </si>
  <si>
    <t>002215.SZ</t>
  </si>
  <si>
    <t>诺普信</t>
  </si>
  <si>
    <t>002216.SZ</t>
  </si>
  <si>
    <t>三全食品</t>
  </si>
  <si>
    <t>002217.SZ</t>
  </si>
  <si>
    <t>合力泰</t>
  </si>
  <si>
    <t>002218.SZ</t>
  </si>
  <si>
    <t>拓日新能</t>
  </si>
  <si>
    <t>002219.SZ</t>
  </si>
  <si>
    <t>新里程</t>
  </si>
  <si>
    <t>002221.SZ</t>
  </si>
  <si>
    <t>东华能源</t>
  </si>
  <si>
    <t>002222.SZ</t>
  </si>
  <si>
    <t>福晶科技</t>
  </si>
  <si>
    <t>002223.SZ</t>
  </si>
  <si>
    <t>鱼跃医疗</t>
  </si>
  <si>
    <t>002224.SZ</t>
  </si>
  <si>
    <t>三力士</t>
  </si>
  <si>
    <t>002225.SZ</t>
  </si>
  <si>
    <t>濮耐股份</t>
  </si>
  <si>
    <t>002226.SZ</t>
  </si>
  <si>
    <t>江南化工</t>
  </si>
  <si>
    <t>002227.SZ</t>
  </si>
  <si>
    <t>奥特迅</t>
  </si>
  <si>
    <t>002228.SZ</t>
  </si>
  <si>
    <t>合兴包装</t>
  </si>
  <si>
    <t>002229.SZ</t>
  </si>
  <si>
    <t>鸿博股份</t>
  </si>
  <si>
    <t>002230.SZ</t>
  </si>
  <si>
    <t>科大讯飞</t>
  </si>
  <si>
    <t>002231.SZ</t>
  </si>
  <si>
    <t>002232.SZ</t>
  </si>
  <si>
    <t>启明信息</t>
  </si>
  <si>
    <t>002233.SZ</t>
  </si>
  <si>
    <t>塔牌集团</t>
  </si>
  <si>
    <t>002234.SZ</t>
  </si>
  <si>
    <t>民和股份</t>
  </si>
  <si>
    <t>002235.SZ</t>
  </si>
  <si>
    <t>安妮股份</t>
  </si>
  <si>
    <t>002236.SZ</t>
  </si>
  <si>
    <t>大华股份</t>
  </si>
  <si>
    <t>002237.SZ</t>
  </si>
  <si>
    <t>恒邦股份</t>
  </si>
  <si>
    <t>002238.SZ</t>
  </si>
  <si>
    <t>天威视讯</t>
  </si>
  <si>
    <t>002239.SZ</t>
  </si>
  <si>
    <t>奥特佳</t>
  </si>
  <si>
    <t>002240.SZ</t>
  </si>
  <si>
    <t>盛新锂能</t>
  </si>
  <si>
    <t>002241.SZ</t>
  </si>
  <si>
    <t>歌尔股份</t>
  </si>
  <si>
    <t>002242.SZ</t>
  </si>
  <si>
    <t>九阳股份</t>
  </si>
  <si>
    <t>002243.SZ</t>
  </si>
  <si>
    <t>力合科创</t>
  </si>
  <si>
    <t>002244.SZ</t>
  </si>
  <si>
    <t>滨江集团</t>
  </si>
  <si>
    <t>002245.SZ</t>
  </si>
  <si>
    <t>蔚蓝锂芯</t>
  </si>
  <si>
    <t>002246.SZ</t>
  </si>
  <si>
    <t>北化股份</t>
  </si>
  <si>
    <t>002247.SZ</t>
  </si>
  <si>
    <t>聚力文化</t>
  </si>
  <si>
    <t>002248.SZ</t>
  </si>
  <si>
    <t>华东数控</t>
  </si>
  <si>
    <t>002249.SZ</t>
  </si>
  <si>
    <t>大洋电机</t>
  </si>
  <si>
    <t>002250.SZ</t>
  </si>
  <si>
    <t>联化科技</t>
  </si>
  <si>
    <t>002251.SZ</t>
  </si>
  <si>
    <t>002252.SZ</t>
  </si>
  <si>
    <t>上海莱士</t>
  </si>
  <si>
    <t>002253.SZ</t>
  </si>
  <si>
    <t>002254.SZ</t>
  </si>
  <si>
    <t>泰和新材</t>
  </si>
  <si>
    <t>002255.SZ</t>
  </si>
  <si>
    <t>海陆重工</t>
  </si>
  <si>
    <t>002256.SZ</t>
  </si>
  <si>
    <t>兆新股份</t>
  </si>
  <si>
    <t>002258.SZ</t>
  </si>
  <si>
    <t>利尔化学</t>
  </si>
  <si>
    <t>002259.SZ</t>
  </si>
  <si>
    <t>002261.SZ</t>
  </si>
  <si>
    <t>拓维信息</t>
  </si>
  <si>
    <t>002262.SZ</t>
  </si>
  <si>
    <t>恩华药业</t>
  </si>
  <si>
    <t>002263.SZ</t>
  </si>
  <si>
    <t>大东南</t>
  </si>
  <si>
    <t>002264.SZ</t>
  </si>
  <si>
    <t>新华都</t>
  </si>
  <si>
    <t>002265.SZ</t>
  </si>
  <si>
    <t>建设工业</t>
  </si>
  <si>
    <t>002266.SZ</t>
  </si>
  <si>
    <t>浙富控股</t>
  </si>
  <si>
    <t>002267.SZ</t>
  </si>
  <si>
    <t>陕天然气</t>
  </si>
  <si>
    <t>002268.SZ</t>
  </si>
  <si>
    <t>电科网安</t>
  </si>
  <si>
    <t>002269.SZ</t>
  </si>
  <si>
    <t>美邦服饰</t>
  </si>
  <si>
    <t>002270.SZ</t>
  </si>
  <si>
    <t>华明装备</t>
  </si>
  <si>
    <t>002271.SZ</t>
  </si>
  <si>
    <t>东方雨虹</t>
  </si>
  <si>
    <t>002272.SZ</t>
  </si>
  <si>
    <t>川润股份</t>
  </si>
  <si>
    <t>002273.SZ</t>
  </si>
  <si>
    <t>水晶光电</t>
  </si>
  <si>
    <t>002274.SZ</t>
  </si>
  <si>
    <t>华昌化工</t>
  </si>
  <si>
    <t>002275.SZ</t>
  </si>
  <si>
    <t>桂林三金</t>
  </si>
  <si>
    <t>002276.SZ</t>
  </si>
  <si>
    <t>万马股份</t>
  </si>
  <si>
    <t>002277.SZ</t>
  </si>
  <si>
    <t>友阿股份</t>
  </si>
  <si>
    <t>002278.SZ</t>
  </si>
  <si>
    <t>神开股份</t>
  </si>
  <si>
    <t>002279.SZ</t>
  </si>
  <si>
    <t>久其软件</t>
  </si>
  <si>
    <t>002281.SZ</t>
  </si>
  <si>
    <t>光迅科技</t>
  </si>
  <si>
    <t>002282.SZ</t>
  </si>
  <si>
    <t>博深股份</t>
  </si>
  <si>
    <t>002283.SZ</t>
  </si>
  <si>
    <t>天润工业</t>
  </si>
  <si>
    <t>002284.SZ</t>
  </si>
  <si>
    <t>亚太股份</t>
  </si>
  <si>
    <t>002285.SZ</t>
  </si>
  <si>
    <t>世联行</t>
  </si>
  <si>
    <t>002286.SZ</t>
  </si>
  <si>
    <t>保龄宝</t>
  </si>
  <si>
    <t>002287.SZ</t>
  </si>
  <si>
    <t>奇正藏药</t>
  </si>
  <si>
    <t>002289.SZ</t>
  </si>
  <si>
    <t>002290.SZ</t>
  </si>
  <si>
    <t>禾盛新材</t>
  </si>
  <si>
    <t>002291.SZ</t>
  </si>
  <si>
    <t>遥望科技</t>
  </si>
  <si>
    <t>002292.SZ</t>
  </si>
  <si>
    <t>奥飞娱乐</t>
  </si>
  <si>
    <t>002293.SZ</t>
  </si>
  <si>
    <t>罗莱生活</t>
  </si>
  <si>
    <t>002294.SZ</t>
  </si>
  <si>
    <t>信立泰</t>
  </si>
  <si>
    <t>002295.SZ</t>
  </si>
  <si>
    <t>精艺股份</t>
  </si>
  <si>
    <t>002296.SZ</t>
  </si>
  <si>
    <t>辉煌科技</t>
  </si>
  <si>
    <t>002297.SZ</t>
  </si>
  <si>
    <t>博云新材</t>
  </si>
  <si>
    <t>002298.SZ</t>
  </si>
  <si>
    <t>002299.SZ</t>
  </si>
  <si>
    <t>圣农发展</t>
  </si>
  <si>
    <t>002300.SZ</t>
  </si>
  <si>
    <t>太阳电缆</t>
  </si>
  <si>
    <t>002301.SZ</t>
  </si>
  <si>
    <t>齐心集团</t>
  </si>
  <si>
    <t>002302.SZ</t>
  </si>
  <si>
    <t>西部建设</t>
  </si>
  <si>
    <t>002303.SZ</t>
  </si>
  <si>
    <t>美盈森</t>
  </si>
  <si>
    <t>002304.SZ</t>
  </si>
  <si>
    <t>洋河股份</t>
  </si>
  <si>
    <t>002305.SZ</t>
  </si>
  <si>
    <t>002306.SZ</t>
  </si>
  <si>
    <t>002307.SZ</t>
  </si>
  <si>
    <t>北新路桥</t>
  </si>
  <si>
    <t>002309.SZ</t>
  </si>
  <si>
    <t>002310.SZ</t>
  </si>
  <si>
    <t>002311.SZ</t>
  </si>
  <si>
    <t>海大集团</t>
  </si>
  <si>
    <t>002312.SZ</t>
  </si>
  <si>
    <t>川发龙蟒</t>
  </si>
  <si>
    <t>002313.SZ</t>
  </si>
  <si>
    <t>日海智能</t>
  </si>
  <si>
    <t>002314.SZ</t>
  </si>
  <si>
    <t>南山控股</t>
  </si>
  <si>
    <t>002315.SZ</t>
  </si>
  <si>
    <t>焦点科技</t>
  </si>
  <si>
    <t>002316.SZ</t>
  </si>
  <si>
    <t>亚联发展</t>
  </si>
  <si>
    <t>002317.SZ</t>
  </si>
  <si>
    <t>众生药业</t>
  </si>
  <si>
    <t>002318.SZ</t>
  </si>
  <si>
    <t>久立特材</t>
  </si>
  <si>
    <t>002319.SZ</t>
  </si>
  <si>
    <t>乐通股份</t>
  </si>
  <si>
    <t>002320.SZ</t>
  </si>
  <si>
    <t>海峡股份</t>
  </si>
  <si>
    <t>002321.SZ</t>
  </si>
  <si>
    <t>华英农业</t>
  </si>
  <si>
    <t>002322.SZ</t>
  </si>
  <si>
    <t>理工能科</t>
  </si>
  <si>
    <t>002323.SZ</t>
  </si>
  <si>
    <t>雅博股份</t>
  </si>
  <si>
    <t>002324.SZ</t>
  </si>
  <si>
    <t>普利特</t>
  </si>
  <si>
    <t>002326.SZ</t>
  </si>
  <si>
    <t>永太科技</t>
  </si>
  <si>
    <t>002327.SZ</t>
  </si>
  <si>
    <t>富安娜</t>
  </si>
  <si>
    <t>002328.SZ</t>
  </si>
  <si>
    <t>新朋股份</t>
  </si>
  <si>
    <t>002329.SZ</t>
  </si>
  <si>
    <t>皇氏集团</t>
  </si>
  <si>
    <t>002330.SZ</t>
  </si>
  <si>
    <t>得利斯</t>
  </si>
  <si>
    <t>002331.SZ</t>
  </si>
  <si>
    <t>皖通科技</t>
  </si>
  <si>
    <t>002332.SZ</t>
  </si>
  <si>
    <t>仙琚制药</t>
  </si>
  <si>
    <t>002333.SZ</t>
  </si>
  <si>
    <t>罗普斯金</t>
  </si>
  <si>
    <t>002334.SZ</t>
  </si>
  <si>
    <t>英威腾</t>
  </si>
  <si>
    <t>002335.SZ</t>
  </si>
  <si>
    <t>科华数据</t>
  </si>
  <si>
    <t>002337.SZ</t>
  </si>
  <si>
    <t>赛象科技</t>
  </si>
  <si>
    <t>002338.SZ</t>
  </si>
  <si>
    <t>奥普光电</t>
  </si>
  <si>
    <t>002339.SZ</t>
  </si>
  <si>
    <t>积成电子</t>
  </si>
  <si>
    <t>002340.SZ</t>
  </si>
  <si>
    <t>格林美</t>
  </si>
  <si>
    <t>002342.SZ</t>
  </si>
  <si>
    <t>巨力索具</t>
  </si>
  <si>
    <t>002343.SZ</t>
  </si>
  <si>
    <t>慈文传媒</t>
  </si>
  <si>
    <t>002344.SZ</t>
  </si>
  <si>
    <t>海宁皮城</t>
  </si>
  <si>
    <t>002345.SZ</t>
  </si>
  <si>
    <t>潮宏基</t>
  </si>
  <si>
    <t>002346.SZ</t>
  </si>
  <si>
    <t>柘中股份</t>
  </si>
  <si>
    <t>002347.SZ</t>
  </si>
  <si>
    <t>泰尔股份</t>
  </si>
  <si>
    <t>002348.SZ</t>
  </si>
  <si>
    <t>高乐股份</t>
  </si>
  <si>
    <t>002349.SZ</t>
  </si>
  <si>
    <t>精华制药</t>
  </si>
  <si>
    <t>002350.SZ</t>
  </si>
  <si>
    <t>北京科锐</t>
  </si>
  <si>
    <t>002351.SZ</t>
  </si>
  <si>
    <t>漫步者</t>
  </si>
  <si>
    <t>002352.SZ</t>
  </si>
  <si>
    <t>顺丰控股</t>
  </si>
  <si>
    <t>002353.SZ</t>
  </si>
  <si>
    <t>杰瑞股份</t>
  </si>
  <si>
    <t>002354.SZ</t>
  </si>
  <si>
    <t>天娱数科</t>
  </si>
  <si>
    <t>002355.SZ</t>
  </si>
  <si>
    <t>兴民智通</t>
  </si>
  <si>
    <t>002356.SZ</t>
  </si>
  <si>
    <t>赫美集团</t>
  </si>
  <si>
    <t>002357.SZ</t>
  </si>
  <si>
    <t>富临运业</t>
  </si>
  <si>
    <t>002358.SZ</t>
  </si>
  <si>
    <t>森源电气</t>
  </si>
  <si>
    <t>002360.SZ</t>
  </si>
  <si>
    <t>同德化工</t>
  </si>
  <si>
    <t>002361.SZ</t>
  </si>
  <si>
    <t>神剑股份</t>
  </si>
  <si>
    <t>002362.SZ</t>
  </si>
  <si>
    <t>汉王科技</t>
  </si>
  <si>
    <t>002363.SZ</t>
  </si>
  <si>
    <t>隆基机械</t>
  </si>
  <si>
    <t>002364.SZ</t>
  </si>
  <si>
    <t>中恒电气</t>
  </si>
  <si>
    <t>002365.SZ</t>
  </si>
  <si>
    <t>永安药业</t>
  </si>
  <si>
    <t>002366.SZ</t>
  </si>
  <si>
    <t>融发核电</t>
  </si>
  <si>
    <t>002367.SZ</t>
  </si>
  <si>
    <t>康力电梯</t>
  </si>
  <si>
    <t>002368.SZ</t>
  </si>
  <si>
    <t>太极股份</t>
  </si>
  <si>
    <t>002369.SZ</t>
  </si>
  <si>
    <t>卓翼科技</t>
  </si>
  <si>
    <t>002370.SZ</t>
  </si>
  <si>
    <t>亚太药业</t>
  </si>
  <si>
    <t>002371.SZ</t>
  </si>
  <si>
    <t>北方华创</t>
  </si>
  <si>
    <t>002372.SZ</t>
  </si>
  <si>
    <t>伟星新材</t>
  </si>
  <si>
    <t>002373.SZ</t>
  </si>
  <si>
    <t>千方科技</t>
  </si>
  <si>
    <t>002374.SZ</t>
  </si>
  <si>
    <t>中锐股份</t>
  </si>
  <si>
    <t>002375.SZ</t>
  </si>
  <si>
    <t>亚厦股份</t>
  </si>
  <si>
    <t>002376.SZ</t>
  </si>
  <si>
    <t>新北洋</t>
  </si>
  <si>
    <t>002377.SZ</t>
  </si>
  <si>
    <t>国创高新</t>
  </si>
  <si>
    <t>002378.SZ</t>
  </si>
  <si>
    <t>章源钨业</t>
  </si>
  <si>
    <t>002379.SZ</t>
  </si>
  <si>
    <t>002380.SZ</t>
  </si>
  <si>
    <t>科远智慧</t>
  </si>
  <si>
    <t>002381.SZ</t>
  </si>
  <si>
    <t>双箭股份</t>
  </si>
  <si>
    <t>002382.SZ</t>
  </si>
  <si>
    <t>蓝帆医疗</t>
  </si>
  <si>
    <t>002383.SZ</t>
  </si>
  <si>
    <t>合众思壮</t>
  </si>
  <si>
    <t>002384.SZ</t>
  </si>
  <si>
    <t>东山精密</t>
  </si>
  <si>
    <t>002385.SZ</t>
  </si>
  <si>
    <t>大北农</t>
  </si>
  <si>
    <t>002386.SZ</t>
  </si>
  <si>
    <t>天原股份</t>
  </si>
  <si>
    <t>002387.SZ</t>
  </si>
  <si>
    <t>维信诺</t>
  </si>
  <si>
    <t>002388.SZ</t>
  </si>
  <si>
    <t>002389.SZ</t>
  </si>
  <si>
    <t>航天彩虹</t>
  </si>
  <si>
    <t>002390.SZ</t>
  </si>
  <si>
    <t>信邦制药</t>
  </si>
  <si>
    <t>002391.SZ</t>
  </si>
  <si>
    <t>长青股份</t>
  </si>
  <si>
    <t>002392.SZ</t>
  </si>
  <si>
    <t>北京利尔</t>
  </si>
  <si>
    <t>002393.SZ</t>
  </si>
  <si>
    <t>力生制药</t>
  </si>
  <si>
    <t>002394.SZ</t>
  </si>
  <si>
    <t>联发股份</t>
  </si>
  <si>
    <t>002395.SZ</t>
  </si>
  <si>
    <t>双象股份</t>
  </si>
  <si>
    <t>002396.SZ</t>
  </si>
  <si>
    <t>星网锐捷</t>
  </si>
  <si>
    <t>002397.SZ</t>
  </si>
  <si>
    <t>梦洁股份</t>
  </si>
  <si>
    <t>002398.SZ</t>
  </si>
  <si>
    <t>垒知集团</t>
  </si>
  <si>
    <t>002399.SZ</t>
  </si>
  <si>
    <t>海普瑞</t>
  </si>
  <si>
    <t>002400.SZ</t>
  </si>
  <si>
    <t>省广集团</t>
  </si>
  <si>
    <t>002401.SZ</t>
  </si>
  <si>
    <t>中远海科</t>
  </si>
  <si>
    <t>002402.SZ</t>
  </si>
  <si>
    <t>和而泰</t>
  </si>
  <si>
    <t>002403.SZ</t>
  </si>
  <si>
    <t>爱仕达</t>
  </si>
  <si>
    <t>002404.SZ</t>
  </si>
  <si>
    <t>嘉欣丝绸</t>
  </si>
  <si>
    <t>002405.SZ</t>
  </si>
  <si>
    <t>四维图新</t>
  </si>
  <si>
    <t>002406.SZ</t>
  </si>
  <si>
    <t>远东传动</t>
  </si>
  <si>
    <t>002407.SZ</t>
  </si>
  <si>
    <t>多氟多</t>
  </si>
  <si>
    <t>002408.SZ</t>
  </si>
  <si>
    <t>齐翔腾达</t>
  </si>
  <si>
    <t>002409.SZ</t>
  </si>
  <si>
    <t>雅克科技</t>
  </si>
  <si>
    <t>002410.SZ</t>
  </si>
  <si>
    <t>广联达</t>
  </si>
  <si>
    <t>002412.SZ</t>
  </si>
  <si>
    <t>汉森制药</t>
  </si>
  <si>
    <t>002413.SZ</t>
  </si>
  <si>
    <t>雷科防务</t>
  </si>
  <si>
    <t>002414.SZ</t>
  </si>
  <si>
    <t>高德红外</t>
  </si>
  <si>
    <t>002415.SZ</t>
  </si>
  <si>
    <t>海康威视</t>
  </si>
  <si>
    <t>002416.SZ</t>
  </si>
  <si>
    <t>爱施德</t>
  </si>
  <si>
    <t>002418.SZ</t>
  </si>
  <si>
    <t>康盛股份</t>
  </si>
  <si>
    <t>002419.SZ</t>
  </si>
  <si>
    <t>天虹股份</t>
  </si>
  <si>
    <t>002420.SZ</t>
  </si>
  <si>
    <t>毅昌科技</t>
  </si>
  <si>
    <t>002421.SZ</t>
  </si>
  <si>
    <t>达实智能</t>
  </si>
  <si>
    <t>002422.SZ</t>
  </si>
  <si>
    <t>科伦药业</t>
  </si>
  <si>
    <t>002423.SZ</t>
  </si>
  <si>
    <t>中粮资本</t>
  </si>
  <si>
    <t>002424.SZ</t>
  </si>
  <si>
    <t>002425.SZ</t>
  </si>
  <si>
    <t>002426.SZ</t>
  </si>
  <si>
    <t>胜利精密</t>
  </si>
  <si>
    <t>002427.SZ</t>
  </si>
  <si>
    <t>尤夫股份</t>
  </si>
  <si>
    <t>002428.SZ</t>
  </si>
  <si>
    <t>云南锗业</t>
  </si>
  <si>
    <t>002429.SZ</t>
  </si>
  <si>
    <t>兆驰股份</t>
  </si>
  <si>
    <t>002430.SZ</t>
  </si>
  <si>
    <t>杭氧股份</t>
  </si>
  <si>
    <t>002431.SZ</t>
  </si>
  <si>
    <t>棕榈股份</t>
  </si>
  <si>
    <t>002432.SZ</t>
  </si>
  <si>
    <t>九安医疗</t>
  </si>
  <si>
    <t>002434.SZ</t>
  </si>
  <si>
    <t>万里扬</t>
  </si>
  <si>
    <t>002436.SZ</t>
  </si>
  <si>
    <t>兴森科技</t>
  </si>
  <si>
    <t>002437.SZ</t>
  </si>
  <si>
    <t>誉衡药业</t>
  </si>
  <si>
    <t>002438.SZ</t>
  </si>
  <si>
    <t>江苏神通</t>
  </si>
  <si>
    <t>002439.SZ</t>
  </si>
  <si>
    <t>启明星辰</t>
  </si>
  <si>
    <t>002440.SZ</t>
  </si>
  <si>
    <t>闰土股份</t>
  </si>
  <si>
    <t>002441.SZ</t>
  </si>
  <si>
    <t>众业达</t>
  </si>
  <si>
    <t>002442.SZ</t>
  </si>
  <si>
    <t>002443.SZ</t>
  </si>
  <si>
    <t>金洲管道</t>
  </si>
  <si>
    <t>002444.SZ</t>
  </si>
  <si>
    <t>巨星科技</t>
  </si>
  <si>
    <t>002445.SZ</t>
  </si>
  <si>
    <t>中南文化</t>
  </si>
  <si>
    <t>002446.SZ</t>
  </si>
  <si>
    <t>盛路通信</t>
  </si>
  <si>
    <t>002448.SZ</t>
  </si>
  <si>
    <t>中原内配</t>
  </si>
  <si>
    <t>002449.SZ</t>
  </si>
  <si>
    <t>国星光电</t>
  </si>
  <si>
    <t>002451.SZ</t>
  </si>
  <si>
    <t>摩恩电气</t>
  </si>
  <si>
    <t>002452.SZ</t>
  </si>
  <si>
    <t>长高电新</t>
  </si>
  <si>
    <t>002453.SZ</t>
  </si>
  <si>
    <t>华软科技</t>
  </si>
  <si>
    <t>002454.SZ</t>
  </si>
  <si>
    <t>松芝股份</t>
  </si>
  <si>
    <t>002455.SZ</t>
  </si>
  <si>
    <t>百川股份</t>
  </si>
  <si>
    <t>002456.SZ</t>
  </si>
  <si>
    <t>欧菲光</t>
  </si>
  <si>
    <t>002457.SZ</t>
  </si>
  <si>
    <t>青龙管业</t>
  </si>
  <si>
    <t>002458.SZ</t>
  </si>
  <si>
    <t>益生股份</t>
  </si>
  <si>
    <t>002459.SZ</t>
  </si>
  <si>
    <t>晶澳科技</t>
  </si>
  <si>
    <t>002460.SZ</t>
  </si>
  <si>
    <t>赣锋锂业</t>
  </si>
  <si>
    <t>002461.SZ</t>
  </si>
  <si>
    <t>珠江啤酒</t>
  </si>
  <si>
    <t>002462.SZ</t>
  </si>
  <si>
    <t>嘉事堂</t>
  </si>
  <si>
    <t>002463.SZ</t>
  </si>
  <si>
    <t>沪电股份</t>
  </si>
  <si>
    <t>002465.SZ</t>
  </si>
  <si>
    <t>海格通信</t>
  </si>
  <si>
    <t>002466.SZ</t>
  </si>
  <si>
    <t>天齐锂业</t>
  </si>
  <si>
    <t>002467.SZ</t>
  </si>
  <si>
    <t>二六三</t>
  </si>
  <si>
    <t>002468.SZ</t>
  </si>
  <si>
    <t>申通快递</t>
  </si>
  <si>
    <t>002469.SZ</t>
  </si>
  <si>
    <t>三维化学</t>
  </si>
  <si>
    <t>002470.SZ</t>
  </si>
  <si>
    <t>金正大</t>
  </si>
  <si>
    <t>002471.SZ</t>
  </si>
  <si>
    <t>中超控股</t>
  </si>
  <si>
    <t>002472.SZ</t>
  </si>
  <si>
    <t>双环传动</t>
  </si>
  <si>
    <t>002474.SZ</t>
  </si>
  <si>
    <t>榕基软件</t>
  </si>
  <si>
    <t>002475.SZ</t>
  </si>
  <si>
    <t>立讯精密</t>
  </si>
  <si>
    <t>002476.SZ</t>
  </si>
  <si>
    <t>宝莫股份</t>
  </si>
  <si>
    <t>002478.SZ</t>
  </si>
  <si>
    <t>常宝股份</t>
  </si>
  <si>
    <t>002479.SZ</t>
  </si>
  <si>
    <t>富春环保</t>
  </si>
  <si>
    <t>002480.SZ</t>
  </si>
  <si>
    <t>新筑股份</t>
  </si>
  <si>
    <t>002481.SZ</t>
  </si>
  <si>
    <t>双塔食品</t>
  </si>
  <si>
    <t>002482.SZ</t>
  </si>
  <si>
    <t>002483.SZ</t>
  </si>
  <si>
    <t>润邦股份</t>
  </si>
  <si>
    <t>002484.SZ</t>
  </si>
  <si>
    <t>江海股份</t>
  </si>
  <si>
    <t>002485.SZ</t>
  </si>
  <si>
    <t>ST雪发</t>
  </si>
  <si>
    <t>002486.SZ</t>
  </si>
  <si>
    <t>嘉麟杰</t>
  </si>
  <si>
    <t>002487.SZ</t>
  </si>
  <si>
    <t>大金重工</t>
  </si>
  <si>
    <t>002488.SZ</t>
  </si>
  <si>
    <t>金固股份</t>
  </si>
  <si>
    <t>002489.SZ</t>
  </si>
  <si>
    <t>浙江永强</t>
  </si>
  <si>
    <t>002490.SZ</t>
  </si>
  <si>
    <t>002491.SZ</t>
  </si>
  <si>
    <t>通鼎互联</t>
  </si>
  <si>
    <t>002492.SZ</t>
  </si>
  <si>
    <t>恒基达鑫</t>
  </si>
  <si>
    <t>002493.SZ</t>
  </si>
  <si>
    <t>荣盛石化</t>
  </si>
  <si>
    <t>002494.SZ</t>
  </si>
  <si>
    <t>华斯股份</t>
  </si>
  <si>
    <t>002495.SZ</t>
  </si>
  <si>
    <t>佳隆股份</t>
  </si>
  <si>
    <t>002496.SZ</t>
  </si>
  <si>
    <t>002497.SZ</t>
  </si>
  <si>
    <t>雅化集团</t>
  </si>
  <si>
    <t>002498.SZ</t>
  </si>
  <si>
    <t>汉缆股份</t>
  </si>
  <si>
    <t>002500.SZ</t>
  </si>
  <si>
    <t>山西证券</t>
  </si>
  <si>
    <t>002501.SZ</t>
  </si>
  <si>
    <t>利源股份</t>
  </si>
  <si>
    <t>002506.SZ</t>
  </si>
  <si>
    <t>协鑫集成</t>
  </si>
  <si>
    <t>002507.SZ</t>
  </si>
  <si>
    <t>涪陵榨菜</t>
  </si>
  <si>
    <t>002508.SZ</t>
  </si>
  <si>
    <t>老板电器</t>
  </si>
  <si>
    <t>002510.SZ</t>
  </si>
  <si>
    <t>天汽模</t>
  </si>
  <si>
    <t>002511.SZ</t>
  </si>
  <si>
    <t>中顺洁柔</t>
  </si>
  <si>
    <t>002512.SZ</t>
  </si>
  <si>
    <t>002513.SZ</t>
  </si>
  <si>
    <t>蓝丰生化</t>
  </si>
  <si>
    <t>002514.SZ</t>
  </si>
  <si>
    <t>宝馨科技</t>
  </si>
  <si>
    <t>002515.SZ</t>
  </si>
  <si>
    <t>金字火腿</t>
  </si>
  <si>
    <t>002516.SZ</t>
  </si>
  <si>
    <t>旷达科技</t>
  </si>
  <si>
    <t>002517.SZ</t>
  </si>
  <si>
    <t>恺英网络</t>
  </si>
  <si>
    <t>002518.SZ</t>
  </si>
  <si>
    <t>科士达</t>
  </si>
  <si>
    <t>002519.SZ</t>
  </si>
  <si>
    <t>银河电子</t>
  </si>
  <si>
    <t>002520.SZ</t>
  </si>
  <si>
    <t>日发精机</t>
  </si>
  <si>
    <t>002521.SZ</t>
  </si>
  <si>
    <t>齐峰新材</t>
  </si>
  <si>
    <t>002522.SZ</t>
  </si>
  <si>
    <t>浙江众成</t>
  </si>
  <si>
    <t>002523.SZ</t>
  </si>
  <si>
    <t>天桥起重</t>
  </si>
  <si>
    <t>002524.SZ</t>
  </si>
  <si>
    <t>光正眼科</t>
  </si>
  <si>
    <t>002526.SZ</t>
  </si>
  <si>
    <t>山东矿机</t>
  </si>
  <si>
    <t>002527.SZ</t>
  </si>
  <si>
    <t>新时达</t>
  </si>
  <si>
    <t>002528.SZ</t>
  </si>
  <si>
    <t>002529.SZ</t>
  </si>
  <si>
    <t>002530.SZ</t>
  </si>
  <si>
    <t>金财互联</t>
  </si>
  <si>
    <t>002531.SZ</t>
  </si>
  <si>
    <t>天顺风能</t>
  </si>
  <si>
    <t>002532.SZ</t>
  </si>
  <si>
    <t>天山铝业</t>
  </si>
  <si>
    <t>002533.SZ</t>
  </si>
  <si>
    <t>金杯电工</t>
  </si>
  <si>
    <t>002534.SZ</t>
  </si>
  <si>
    <t>西子洁能</t>
  </si>
  <si>
    <t>002535.SZ</t>
  </si>
  <si>
    <t>林州重机</t>
  </si>
  <si>
    <t>002536.SZ</t>
  </si>
  <si>
    <t>飞龙股份</t>
  </si>
  <si>
    <t>002537.SZ</t>
  </si>
  <si>
    <t>海联金汇</t>
  </si>
  <si>
    <t>002538.SZ</t>
  </si>
  <si>
    <t>司尔特</t>
  </si>
  <si>
    <t>002539.SZ</t>
  </si>
  <si>
    <t>云图控股</t>
  </si>
  <si>
    <t>002540.SZ</t>
  </si>
  <si>
    <t>亚太科技</t>
  </si>
  <si>
    <t>002541.SZ</t>
  </si>
  <si>
    <t>鸿路钢构</t>
  </si>
  <si>
    <t>002542.SZ</t>
  </si>
  <si>
    <t>中化岩土</t>
  </si>
  <si>
    <t>002543.SZ</t>
  </si>
  <si>
    <t>万和电气</t>
  </si>
  <si>
    <t>002544.SZ</t>
  </si>
  <si>
    <t>普天科技</t>
  </si>
  <si>
    <t>002545.SZ</t>
  </si>
  <si>
    <t>东方铁塔</t>
  </si>
  <si>
    <t>002546.SZ</t>
  </si>
  <si>
    <t>新联电子</t>
  </si>
  <si>
    <t>002547.SZ</t>
  </si>
  <si>
    <t>春兴精工</t>
  </si>
  <si>
    <t>002548.SZ</t>
  </si>
  <si>
    <t>金新农</t>
  </si>
  <si>
    <t>002549.SZ</t>
  </si>
  <si>
    <t>凯美特气</t>
  </si>
  <si>
    <t>002550.SZ</t>
  </si>
  <si>
    <t>千红制药</t>
  </si>
  <si>
    <t>002551.SZ</t>
  </si>
  <si>
    <t>尚荣医疗</t>
  </si>
  <si>
    <t>002552.SZ</t>
  </si>
  <si>
    <t>宝鼎科技</t>
  </si>
  <si>
    <t>002553.SZ</t>
  </si>
  <si>
    <t>南方精工</t>
  </si>
  <si>
    <t>002554.SZ</t>
  </si>
  <si>
    <t>惠博普</t>
  </si>
  <si>
    <t>002555.SZ</t>
  </si>
  <si>
    <t>三七互娱</t>
  </si>
  <si>
    <t>002556.SZ</t>
  </si>
  <si>
    <t>辉隆股份</t>
  </si>
  <si>
    <t>002557.SZ</t>
  </si>
  <si>
    <t>洽洽食品</t>
  </si>
  <si>
    <t>002558.SZ</t>
  </si>
  <si>
    <t>巨人网络</t>
  </si>
  <si>
    <t>002559.SZ</t>
  </si>
  <si>
    <t>亚威股份</t>
  </si>
  <si>
    <t>002560.SZ</t>
  </si>
  <si>
    <t>通达股份</t>
  </si>
  <si>
    <t>002561.SZ</t>
  </si>
  <si>
    <t>徐家汇</t>
  </si>
  <si>
    <t>002562.SZ</t>
  </si>
  <si>
    <t>兄弟科技</t>
  </si>
  <si>
    <t>002563.SZ</t>
  </si>
  <si>
    <t>森马服饰</t>
  </si>
  <si>
    <t>002564.SZ</t>
  </si>
  <si>
    <t>002565.SZ</t>
  </si>
  <si>
    <t>顺灏股份</t>
  </si>
  <si>
    <t>002566.SZ</t>
  </si>
  <si>
    <t>益盛药业</t>
  </si>
  <si>
    <t>002567.SZ</t>
  </si>
  <si>
    <t>唐人神</t>
  </si>
  <si>
    <t>002568.SZ</t>
  </si>
  <si>
    <t>百润股份</t>
  </si>
  <si>
    <t>002569.SZ</t>
  </si>
  <si>
    <t>002570.SZ</t>
  </si>
  <si>
    <t>贝因美</t>
  </si>
  <si>
    <t>002571.SZ</t>
  </si>
  <si>
    <t>德力股份</t>
  </si>
  <si>
    <t>002572.SZ</t>
  </si>
  <si>
    <t>索菲亚</t>
  </si>
  <si>
    <t>002573.SZ</t>
  </si>
  <si>
    <t>清新环境</t>
  </si>
  <si>
    <t>002574.SZ</t>
  </si>
  <si>
    <t>明牌珠宝</t>
  </si>
  <si>
    <t>002575.SZ</t>
  </si>
  <si>
    <t>群兴玩具</t>
  </si>
  <si>
    <t>002576.SZ</t>
  </si>
  <si>
    <t>通达动力</t>
  </si>
  <si>
    <t>002577.SZ</t>
  </si>
  <si>
    <t>雷柏科技</t>
  </si>
  <si>
    <t>002578.SZ</t>
  </si>
  <si>
    <t>闽发铝业</t>
  </si>
  <si>
    <t>002579.SZ</t>
  </si>
  <si>
    <t>中京电子</t>
  </si>
  <si>
    <t>002580.SZ</t>
  </si>
  <si>
    <t>圣阳股份</t>
  </si>
  <si>
    <t>002581.SZ</t>
  </si>
  <si>
    <t>002582.SZ</t>
  </si>
  <si>
    <t>好想你</t>
  </si>
  <si>
    <t>002583.SZ</t>
  </si>
  <si>
    <t>海能达</t>
  </si>
  <si>
    <t>002584.SZ</t>
  </si>
  <si>
    <t>西陇科学</t>
  </si>
  <si>
    <t>002585.SZ</t>
  </si>
  <si>
    <t>双星新材</t>
  </si>
  <si>
    <t>002586.SZ</t>
  </si>
  <si>
    <t>002587.SZ</t>
  </si>
  <si>
    <t>奥拓电子</t>
  </si>
  <si>
    <t>002588.SZ</t>
  </si>
  <si>
    <t>史丹利</t>
  </si>
  <si>
    <t>002589.SZ</t>
  </si>
  <si>
    <t>瑞康医药</t>
  </si>
  <si>
    <t>002590.SZ</t>
  </si>
  <si>
    <t>万安科技</t>
  </si>
  <si>
    <t>002591.SZ</t>
  </si>
  <si>
    <t>恒大高新</t>
  </si>
  <si>
    <t>002592.SZ</t>
  </si>
  <si>
    <t>ST八菱</t>
  </si>
  <si>
    <t>002593.SZ</t>
  </si>
  <si>
    <t>日上集团</t>
  </si>
  <si>
    <t>002594.SZ</t>
  </si>
  <si>
    <t>比亚迪</t>
  </si>
  <si>
    <t>002595.SZ</t>
  </si>
  <si>
    <t>豪迈科技</t>
  </si>
  <si>
    <t>002596.SZ</t>
  </si>
  <si>
    <t>海南瑞泽</t>
  </si>
  <si>
    <t>002597.SZ</t>
  </si>
  <si>
    <t>金禾实业</t>
  </si>
  <si>
    <t>002598.SZ</t>
  </si>
  <si>
    <t>山东章鼓</t>
  </si>
  <si>
    <t>002599.SZ</t>
  </si>
  <si>
    <t>盛通股份</t>
  </si>
  <si>
    <t>002600.SZ</t>
  </si>
  <si>
    <t>领益智造</t>
  </si>
  <si>
    <t>002601.SZ</t>
  </si>
  <si>
    <t>龙佰集团</t>
  </si>
  <si>
    <t>002602.SZ</t>
  </si>
  <si>
    <t>002603.SZ</t>
  </si>
  <si>
    <t>以岭药业</t>
  </si>
  <si>
    <t>002605.SZ</t>
  </si>
  <si>
    <t>姚记科技</t>
  </si>
  <si>
    <t>002606.SZ</t>
  </si>
  <si>
    <t>大连电瓷</t>
  </si>
  <si>
    <t>002607.SZ</t>
  </si>
  <si>
    <t>中公教育</t>
  </si>
  <si>
    <t>002608.SZ</t>
  </si>
  <si>
    <t>江苏国信</t>
  </si>
  <si>
    <t>002609.SZ</t>
  </si>
  <si>
    <t>捷顺科技</t>
  </si>
  <si>
    <t>002611.SZ</t>
  </si>
  <si>
    <t>东方精工</t>
  </si>
  <si>
    <t>002612.SZ</t>
  </si>
  <si>
    <t>朗姿股份</t>
  </si>
  <si>
    <t>002613.SZ</t>
  </si>
  <si>
    <t>北玻股份</t>
  </si>
  <si>
    <t>002614.SZ</t>
  </si>
  <si>
    <t>奥佳华</t>
  </si>
  <si>
    <t>002615.SZ</t>
  </si>
  <si>
    <t>哈尔斯</t>
  </si>
  <si>
    <t>002616.SZ</t>
  </si>
  <si>
    <t>长青集团</t>
  </si>
  <si>
    <t>002617.SZ</t>
  </si>
  <si>
    <t>露笑科技</t>
  </si>
  <si>
    <t>002620.SZ</t>
  </si>
  <si>
    <t>002622.SZ</t>
  </si>
  <si>
    <t>皓宸医疗</t>
  </si>
  <si>
    <t>002623.SZ</t>
  </si>
  <si>
    <t>亚玛顿</t>
  </si>
  <si>
    <t>002624.SZ</t>
  </si>
  <si>
    <t>完美世界</t>
  </si>
  <si>
    <t>002625.SZ</t>
  </si>
  <si>
    <t>光启技术</t>
  </si>
  <si>
    <t>002626.SZ</t>
  </si>
  <si>
    <t>金达威</t>
  </si>
  <si>
    <t>002627.SZ</t>
  </si>
  <si>
    <t>三峡旅游</t>
  </si>
  <si>
    <t>002628.SZ</t>
  </si>
  <si>
    <t>成都路桥</t>
  </si>
  <si>
    <t>002629.SZ</t>
  </si>
  <si>
    <t>仁智股份</t>
  </si>
  <si>
    <t>002630.SZ</t>
  </si>
  <si>
    <t>002631.SZ</t>
  </si>
  <si>
    <t>德尔未来</t>
  </si>
  <si>
    <t>002632.SZ</t>
  </si>
  <si>
    <t>道明光学</t>
  </si>
  <si>
    <t>002633.SZ</t>
  </si>
  <si>
    <t>申科股份</t>
  </si>
  <si>
    <t>002634.SZ</t>
  </si>
  <si>
    <t>棒杰股份</t>
  </si>
  <si>
    <t>002635.SZ</t>
  </si>
  <si>
    <t>安洁科技</t>
  </si>
  <si>
    <t>002636.SZ</t>
  </si>
  <si>
    <t>金安国纪</t>
  </si>
  <si>
    <t>002637.SZ</t>
  </si>
  <si>
    <t>赞宇科技</t>
  </si>
  <si>
    <t>002638.SZ</t>
  </si>
  <si>
    <t>勤上股份</t>
  </si>
  <si>
    <t>002639.SZ</t>
  </si>
  <si>
    <t>002640.SZ</t>
  </si>
  <si>
    <t>跨境通</t>
  </si>
  <si>
    <t>002641.SZ</t>
  </si>
  <si>
    <t>公元股份</t>
  </si>
  <si>
    <t>002642.SZ</t>
  </si>
  <si>
    <t>荣联科技</t>
  </si>
  <si>
    <t>002643.SZ</t>
  </si>
  <si>
    <t>万润股份</t>
  </si>
  <si>
    <t>002644.SZ</t>
  </si>
  <si>
    <t>佛慈制药</t>
  </si>
  <si>
    <t>002645.SZ</t>
  </si>
  <si>
    <t>华宏科技</t>
  </si>
  <si>
    <t>002646.SZ</t>
  </si>
  <si>
    <t>天佑德酒</t>
  </si>
  <si>
    <t>002647.SZ</t>
  </si>
  <si>
    <t>002648.SZ</t>
  </si>
  <si>
    <t>卫星化学</t>
  </si>
  <si>
    <t>002649.SZ</t>
  </si>
  <si>
    <t>博彦科技</t>
  </si>
  <si>
    <t>002650.SZ</t>
  </si>
  <si>
    <t>002651.SZ</t>
  </si>
  <si>
    <t>利君股份</t>
  </si>
  <si>
    <t>002652.SZ</t>
  </si>
  <si>
    <t>扬子新材</t>
  </si>
  <si>
    <t>002653.SZ</t>
  </si>
  <si>
    <t>海思科</t>
  </si>
  <si>
    <t>002654.SZ</t>
  </si>
  <si>
    <t>万润科技</t>
  </si>
  <si>
    <t>002655.SZ</t>
  </si>
  <si>
    <t>共达电声</t>
  </si>
  <si>
    <t>002656.SZ</t>
  </si>
  <si>
    <t>002657.SZ</t>
  </si>
  <si>
    <t>中科金财</t>
  </si>
  <si>
    <t>002658.SZ</t>
  </si>
  <si>
    <t>雪迪龙</t>
  </si>
  <si>
    <t>002659.SZ</t>
  </si>
  <si>
    <t>凯文教育</t>
  </si>
  <si>
    <t>002660.SZ</t>
  </si>
  <si>
    <t>茂硕电源</t>
  </si>
  <si>
    <t>002661.SZ</t>
  </si>
  <si>
    <t>克明食品</t>
  </si>
  <si>
    <t>002662.SZ</t>
  </si>
  <si>
    <t>002663.SZ</t>
  </si>
  <si>
    <t>普邦股份</t>
  </si>
  <si>
    <t>002664.SZ</t>
  </si>
  <si>
    <t>信质集团</t>
  </si>
  <si>
    <t>002666.SZ</t>
  </si>
  <si>
    <t>德联集团</t>
  </si>
  <si>
    <t>002667.SZ</t>
  </si>
  <si>
    <t>威领股份</t>
  </si>
  <si>
    <t>002668.SZ</t>
  </si>
  <si>
    <t>002669.SZ</t>
  </si>
  <si>
    <t>康达新材</t>
  </si>
  <si>
    <t>002670.SZ</t>
  </si>
  <si>
    <t>002671.SZ</t>
  </si>
  <si>
    <t>龙泉股份</t>
  </si>
  <si>
    <t>002672.SZ</t>
  </si>
  <si>
    <t>东江环保</t>
  </si>
  <si>
    <t>002673.SZ</t>
  </si>
  <si>
    <t>西部证券</t>
  </si>
  <si>
    <t>002674.SZ</t>
  </si>
  <si>
    <t>兴业科技</t>
  </si>
  <si>
    <t>002675.SZ</t>
  </si>
  <si>
    <t>东诚药业</t>
  </si>
  <si>
    <t>002676.SZ</t>
  </si>
  <si>
    <t>顺威股份</t>
  </si>
  <si>
    <t>002677.SZ</t>
  </si>
  <si>
    <t>浙江美大</t>
  </si>
  <si>
    <t>002678.SZ</t>
  </si>
  <si>
    <t>珠江钢琴</t>
  </si>
  <si>
    <t>002679.SZ</t>
  </si>
  <si>
    <t>福建金森</t>
  </si>
  <si>
    <t>002681.SZ</t>
  </si>
  <si>
    <t>奋达科技</t>
  </si>
  <si>
    <t>002682.SZ</t>
  </si>
  <si>
    <t>龙洲股份</t>
  </si>
  <si>
    <t>002683.SZ</t>
  </si>
  <si>
    <t>广东宏大</t>
  </si>
  <si>
    <t>002685.SZ</t>
  </si>
  <si>
    <t>华东重机</t>
  </si>
  <si>
    <t>002686.SZ</t>
  </si>
  <si>
    <t>亿利达</t>
  </si>
  <si>
    <t>002687.SZ</t>
  </si>
  <si>
    <t>乔治白</t>
  </si>
  <si>
    <t>002688.SZ</t>
  </si>
  <si>
    <t>金河生物</t>
  </si>
  <si>
    <t>002689.SZ</t>
  </si>
  <si>
    <t>002690.SZ</t>
  </si>
  <si>
    <t>美亚光电</t>
  </si>
  <si>
    <t>002691.SZ</t>
  </si>
  <si>
    <t>冀凯股份</t>
  </si>
  <si>
    <t>002692.SZ</t>
  </si>
  <si>
    <t>远程股份</t>
  </si>
  <si>
    <t>002693.SZ</t>
  </si>
  <si>
    <t>002694.SZ</t>
  </si>
  <si>
    <t>顾地科技</t>
  </si>
  <si>
    <t>002695.SZ</t>
  </si>
  <si>
    <t>煌上煌</t>
  </si>
  <si>
    <t>002696.SZ</t>
  </si>
  <si>
    <t>百洋股份</t>
  </si>
  <si>
    <t>002697.SZ</t>
  </si>
  <si>
    <t>红旗连锁</t>
  </si>
  <si>
    <t>002698.SZ</t>
  </si>
  <si>
    <t>博实股份</t>
  </si>
  <si>
    <t>002700.SZ</t>
  </si>
  <si>
    <t>002701.SZ</t>
  </si>
  <si>
    <t>奥瑞金</t>
  </si>
  <si>
    <t>002702.SZ</t>
  </si>
  <si>
    <t>海欣食品</t>
  </si>
  <si>
    <t>002703.SZ</t>
  </si>
  <si>
    <t>浙江世宝</t>
  </si>
  <si>
    <t>002705.SZ</t>
  </si>
  <si>
    <t>新宝股份</t>
  </si>
  <si>
    <t>002706.SZ</t>
  </si>
  <si>
    <t>良信股份</t>
  </si>
  <si>
    <t>002707.SZ</t>
  </si>
  <si>
    <t>众信旅游</t>
  </si>
  <si>
    <t>002708.SZ</t>
  </si>
  <si>
    <t>光洋股份</t>
  </si>
  <si>
    <t>002709.SZ</t>
  </si>
  <si>
    <t>天赐材料</t>
  </si>
  <si>
    <t>002712.SZ</t>
  </si>
  <si>
    <t>思美传媒</t>
  </si>
  <si>
    <t>002713.SZ</t>
  </si>
  <si>
    <t>002714.SZ</t>
  </si>
  <si>
    <t>牧原股份</t>
  </si>
  <si>
    <t>002715.SZ</t>
  </si>
  <si>
    <t>登云股份</t>
  </si>
  <si>
    <t>002716.SZ</t>
  </si>
  <si>
    <t>湖南白银</t>
  </si>
  <si>
    <t>002717.SZ</t>
  </si>
  <si>
    <t>002718.SZ</t>
  </si>
  <si>
    <t>友邦吊顶</t>
  </si>
  <si>
    <t>002719.SZ</t>
  </si>
  <si>
    <t>麦趣尔</t>
  </si>
  <si>
    <t>002721.SZ</t>
  </si>
  <si>
    <t>002722.SZ</t>
  </si>
  <si>
    <t>物产金轮</t>
  </si>
  <si>
    <t>002723.SZ</t>
  </si>
  <si>
    <t>小崧股份</t>
  </si>
  <si>
    <t>002724.SZ</t>
  </si>
  <si>
    <t>海洋王</t>
  </si>
  <si>
    <t>002725.SZ</t>
  </si>
  <si>
    <t>跃岭股份</t>
  </si>
  <si>
    <t>002726.SZ</t>
  </si>
  <si>
    <t>龙大美食</t>
  </si>
  <si>
    <t>002727.SZ</t>
  </si>
  <si>
    <t>一心堂</t>
  </si>
  <si>
    <t>002728.SZ</t>
  </si>
  <si>
    <t>特一药业</t>
  </si>
  <si>
    <t>002729.SZ</t>
  </si>
  <si>
    <t>好利科技</t>
  </si>
  <si>
    <t>002730.SZ</t>
  </si>
  <si>
    <t>电光科技</t>
  </si>
  <si>
    <t>002731.SZ</t>
  </si>
  <si>
    <t>002732.SZ</t>
  </si>
  <si>
    <t>燕塘乳业</t>
  </si>
  <si>
    <t>002733.SZ</t>
  </si>
  <si>
    <t>雄韬股份</t>
  </si>
  <si>
    <t>002734.SZ</t>
  </si>
  <si>
    <t>利民股份</t>
  </si>
  <si>
    <t>002735.SZ</t>
  </si>
  <si>
    <t>王子新材</t>
  </si>
  <si>
    <t>002736.SZ</t>
  </si>
  <si>
    <t>国信证券</t>
  </si>
  <si>
    <t>002737.SZ</t>
  </si>
  <si>
    <t>葵花药业</t>
  </si>
  <si>
    <t>002738.SZ</t>
  </si>
  <si>
    <t>中矿资源</t>
  </si>
  <si>
    <t>002739.SZ</t>
  </si>
  <si>
    <t>万达电影</t>
  </si>
  <si>
    <t>002741.SZ</t>
  </si>
  <si>
    <t>光华科技</t>
  </si>
  <si>
    <t>002742.SZ</t>
  </si>
  <si>
    <t>002743.SZ</t>
  </si>
  <si>
    <t>富煌钢构</t>
  </si>
  <si>
    <t>002745.SZ</t>
  </si>
  <si>
    <t>木林森</t>
  </si>
  <si>
    <t>002746.SZ</t>
  </si>
  <si>
    <t>仙坛股份</t>
  </si>
  <si>
    <t>002747.SZ</t>
  </si>
  <si>
    <t>埃斯顿</t>
  </si>
  <si>
    <t>002748.SZ</t>
  </si>
  <si>
    <t>世龙实业</t>
  </si>
  <si>
    <t>002749.SZ</t>
  </si>
  <si>
    <t>国光股份</t>
  </si>
  <si>
    <t>002752.SZ</t>
  </si>
  <si>
    <t>昇兴股份</t>
  </si>
  <si>
    <t>002753.SZ</t>
  </si>
  <si>
    <t>永东股份</t>
  </si>
  <si>
    <t>002755.SZ</t>
  </si>
  <si>
    <t>奥赛康</t>
  </si>
  <si>
    <t>002756.SZ</t>
  </si>
  <si>
    <t>永兴材料</t>
  </si>
  <si>
    <t>002757.SZ</t>
  </si>
  <si>
    <t>南兴股份</t>
  </si>
  <si>
    <t>002758.SZ</t>
  </si>
  <si>
    <t>浙农股份</t>
  </si>
  <si>
    <t>002759.SZ</t>
  </si>
  <si>
    <t>天际股份</t>
  </si>
  <si>
    <t>002760.SZ</t>
  </si>
  <si>
    <t>凤形股份</t>
  </si>
  <si>
    <t>002761.SZ</t>
  </si>
  <si>
    <t>浙江建投</t>
  </si>
  <si>
    <t>002762.SZ</t>
  </si>
  <si>
    <t>002763.SZ</t>
  </si>
  <si>
    <t>汇洁股份</t>
  </si>
  <si>
    <t>002765.SZ</t>
  </si>
  <si>
    <t>蓝黛科技</t>
  </si>
  <si>
    <t>002766.SZ</t>
  </si>
  <si>
    <t>索菱股份</t>
  </si>
  <si>
    <t>002767.SZ</t>
  </si>
  <si>
    <t>先锋电子</t>
  </si>
  <si>
    <t>002768.SZ</t>
  </si>
  <si>
    <t>国恩股份</t>
  </si>
  <si>
    <t>002769.SZ</t>
  </si>
  <si>
    <t>普路通</t>
  </si>
  <si>
    <t>002771.SZ</t>
  </si>
  <si>
    <t>真视通</t>
  </si>
  <si>
    <t>002772.SZ</t>
  </si>
  <si>
    <t>众兴菌业</t>
  </si>
  <si>
    <t>002773.SZ</t>
  </si>
  <si>
    <t>康弘药业</t>
  </si>
  <si>
    <t>002774.SZ</t>
  </si>
  <si>
    <t>快意电梯</t>
  </si>
  <si>
    <t>002775.SZ</t>
  </si>
  <si>
    <t>文科股份</t>
  </si>
  <si>
    <t>002777.SZ</t>
  </si>
  <si>
    <t>久远银海</t>
  </si>
  <si>
    <t>002778.SZ</t>
  </si>
  <si>
    <t>中晟高科</t>
  </si>
  <si>
    <t>002779.SZ</t>
  </si>
  <si>
    <t>中坚科技</t>
  </si>
  <si>
    <t>002780.SZ</t>
  </si>
  <si>
    <t>三夫户外</t>
  </si>
  <si>
    <t>002782.SZ</t>
  </si>
  <si>
    <t>可立克</t>
  </si>
  <si>
    <t>002783.SZ</t>
  </si>
  <si>
    <t>凯龙股份</t>
  </si>
  <si>
    <t>002785.SZ</t>
  </si>
  <si>
    <t>万里石</t>
  </si>
  <si>
    <t>002786.SZ</t>
  </si>
  <si>
    <t>银宝山新</t>
  </si>
  <si>
    <t>002787.SZ</t>
  </si>
  <si>
    <t>华源控股</t>
  </si>
  <si>
    <t>002788.SZ</t>
  </si>
  <si>
    <t>鹭燕医药</t>
  </si>
  <si>
    <t>002789.SZ</t>
  </si>
  <si>
    <t>002790.SZ</t>
  </si>
  <si>
    <t>瑞尔特</t>
  </si>
  <si>
    <t>002791.SZ</t>
  </si>
  <si>
    <t>坚朗五金</t>
  </si>
  <si>
    <t>002792.SZ</t>
  </si>
  <si>
    <t>通宇通讯</t>
  </si>
  <si>
    <t>002793.SZ</t>
  </si>
  <si>
    <t>罗欣药业</t>
  </si>
  <si>
    <t>002795.SZ</t>
  </si>
  <si>
    <t>永和智控</t>
  </si>
  <si>
    <t>002796.SZ</t>
  </si>
  <si>
    <t>世嘉科技</t>
  </si>
  <si>
    <t>002797.SZ</t>
  </si>
  <si>
    <t>第一创业</t>
  </si>
  <si>
    <t>002798.SZ</t>
  </si>
  <si>
    <t>002799.SZ</t>
  </si>
  <si>
    <t>环球印务</t>
  </si>
  <si>
    <t>002800.SZ</t>
  </si>
  <si>
    <t>002801.SZ</t>
  </si>
  <si>
    <t>微光股份</t>
  </si>
  <si>
    <t>002802.SZ</t>
  </si>
  <si>
    <t>洪汇新材</t>
  </si>
  <si>
    <t>002803.SZ</t>
  </si>
  <si>
    <t>吉宏股份</t>
  </si>
  <si>
    <t>002805.SZ</t>
  </si>
  <si>
    <t>丰元股份</t>
  </si>
  <si>
    <t>002806.SZ</t>
  </si>
  <si>
    <t>华锋股份</t>
  </si>
  <si>
    <t>002807.SZ</t>
  </si>
  <si>
    <t>江阴银行</t>
  </si>
  <si>
    <t>002808.SZ</t>
  </si>
  <si>
    <t>002809.SZ</t>
  </si>
  <si>
    <t>红墙股份</t>
  </si>
  <si>
    <t>002810.SZ</t>
  </si>
  <si>
    <t>山东赫达</t>
  </si>
  <si>
    <t>002811.SZ</t>
  </si>
  <si>
    <t>郑中设计</t>
  </si>
  <si>
    <t>002812.SZ</t>
  </si>
  <si>
    <t>恩捷股份</t>
  </si>
  <si>
    <t>002813.SZ</t>
  </si>
  <si>
    <t>路畅科技</t>
  </si>
  <si>
    <t>002815.SZ</t>
  </si>
  <si>
    <t>崇达技术</t>
  </si>
  <si>
    <t>002816.SZ</t>
  </si>
  <si>
    <t>*ST和科</t>
  </si>
  <si>
    <t>002817.SZ</t>
  </si>
  <si>
    <t>黄山胶囊</t>
  </si>
  <si>
    <t>002818.SZ</t>
  </si>
  <si>
    <t>富森美</t>
  </si>
  <si>
    <t>002819.SZ</t>
  </si>
  <si>
    <t>东方中科</t>
  </si>
  <si>
    <t>002820.SZ</t>
  </si>
  <si>
    <t>桂发祥</t>
  </si>
  <si>
    <t>002821.SZ</t>
  </si>
  <si>
    <t>凯莱英</t>
  </si>
  <si>
    <t>002822.SZ</t>
  </si>
  <si>
    <t>002823.SZ</t>
  </si>
  <si>
    <t>凯中精密</t>
  </si>
  <si>
    <t>002824.SZ</t>
  </si>
  <si>
    <t>和胜股份</t>
  </si>
  <si>
    <t>002825.SZ</t>
  </si>
  <si>
    <t>纳尔股份</t>
  </si>
  <si>
    <t>002826.SZ</t>
  </si>
  <si>
    <t>易明医药</t>
  </si>
  <si>
    <t>002827.SZ</t>
  </si>
  <si>
    <t>高争民爆</t>
  </si>
  <si>
    <t>002828.SZ</t>
  </si>
  <si>
    <t>贝肯能源</t>
  </si>
  <si>
    <t>002829.SZ</t>
  </si>
  <si>
    <t>星网宇达</t>
  </si>
  <si>
    <t>002830.SZ</t>
  </si>
  <si>
    <t>名雕股份</t>
  </si>
  <si>
    <t>002831.SZ</t>
  </si>
  <si>
    <t>裕同科技</t>
  </si>
  <si>
    <t>002832.SZ</t>
  </si>
  <si>
    <t>比音勒芬</t>
  </si>
  <si>
    <t>002833.SZ</t>
  </si>
  <si>
    <t>弘亚数控</t>
  </si>
  <si>
    <t>002835.SZ</t>
  </si>
  <si>
    <t>同为股份</t>
  </si>
  <si>
    <t>002836.SZ</t>
  </si>
  <si>
    <t>新宏泽</t>
  </si>
  <si>
    <t>002837.SZ</t>
  </si>
  <si>
    <t>英维克</t>
  </si>
  <si>
    <t>002838.SZ</t>
  </si>
  <si>
    <t>道恩股份</t>
  </si>
  <si>
    <t>002839.SZ</t>
  </si>
  <si>
    <t>张家港行</t>
  </si>
  <si>
    <t>002840.SZ</t>
  </si>
  <si>
    <t>华统股份</t>
  </si>
  <si>
    <t>002841.SZ</t>
  </si>
  <si>
    <t>视源股份</t>
  </si>
  <si>
    <t>002842.SZ</t>
  </si>
  <si>
    <t>翔鹭钨业</t>
  </si>
  <si>
    <t>002843.SZ</t>
  </si>
  <si>
    <t>泰嘉股份</t>
  </si>
  <si>
    <t>002845.SZ</t>
  </si>
  <si>
    <t>同兴达</t>
  </si>
  <si>
    <t>002846.SZ</t>
  </si>
  <si>
    <t>英联股份</t>
  </si>
  <si>
    <t>002847.SZ</t>
  </si>
  <si>
    <t>盐津铺子</t>
  </si>
  <si>
    <t>002848.SZ</t>
  </si>
  <si>
    <t>002849.SZ</t>
  </si>
  <si>
    <t>威星智能</t>
  </si>
  <si>
    <t>002850.SZ</t>
  </si>
  <si>
    <t>科达利</t>
  </si>
  <si>
    <t>002851.SZ</t>
  </si>
  <si>
    <t>麦格米特</t>
  </si>
  <si>
    <t>002852.SZ</t>
  </si>
  <si>
    <t>道道全</t>
  </si>
  <si>
    <t>002853.SZ</t>
  </si>
  <si>
    <t>皮阿诺</t>
  </si>
  <si>
    <t>002855.SZ</t>
  </si>
  <si>
    <t>捷荣技术</t>
  </si>
  <si>
    <t>002856.SZ</t>
  </si>
  <si>
    <t>美芝股份</t>
  </si>
  <si>
    <t>002857.SZ</t>
  </si>
  <si>
    <t>三晖电气</t>
  </si>
  <si>
    <t>002858.SZ</t>
  </si>
  <si>
    <t>力盛体育</t>
  </si>
  <si>
    <t>002859.SZ</t>
  </si>
  <si>
    <t>洁美科技</t>
  </si>
  <si>
    <t>002860.SZ</t>
  </si>
  <si>
    <t>星帅尔</t>
  </si>
  <si>
    <t>002861.SZ</t>
  </si>
  <si>
    <t>瀛通通讯</t>
  </si>
  <si>
    <t>002862.SZ</t>
  </si>
  <si>
    <t>实丰文化</t>
  </si>
  <si>
    <t>002863.SZ</t>
  </si>
  <si>
    <t>今飞凯达</t>
  </si>
  <si>
    <t>002864.SZ</t>
  </si>
  <si>
    <t>盘龙药业</t>
  </si>
  <si>
    <t>002865.SZ</t>
  </si>
  <si>
    <t>钧达股份</t>
  </si>
  <si>
    <t>002866.SZ</t>
  </si>
  <si>
    <t>传艺科技</t>
  </si>
  <si>
    <t>002867.SZ</t>
  </si>
  <si>
    <t>周大生</t>
  </si>
  <si>
    <t>002868.SZ</t>
  </si>
  <si>
    <t>002869.SZ</t>
  </si>
  <si>
    <t>金溢科技</t>
  </si>
  <si>
    <t>002870.SZ</t>
  </si>
  <si>
    <t>香山股份</t>
  </si>
  <si>
    <t>002871.SZ</t>
  </si>
  <si>
    <t>伟隆股份</t>
  </si>
  <si>
    <t>002872.SZ</t>
  </si>
  <si>
    <t>ST天圣</t>
  </si>
  <si>
    <t>002873.SZ</t>
  </si>
  <si>
    <t>新天药业</t>
  </si>
  <si>
    <t>002875.SZ</t>
  </si>
  <si>
    <t>安奈儿</t>
  </si>
  <si>
    <t>002876.SZ</t>
  </si>
  <si>
    <t>三利谱</t>
  </si>
  <si>
    <t>002877.SZ</t>
  </si>
  <si>
    <t>智能自控</t>
  </si>
  <si>
    <t>002878.SZ</t>
  </si>
  <si>
    <t>元隆雅图</t>
  </si>
  <si>
    <t>002879.SZ</t>
  </si>
  <si>
    <t>长缆科技</t>
  </si>
  <si>
    <t>002880.SZ</t>
  </si>
  <si>
    <t>卫光生物</t>
  </si>
  <si>
    <t>002881.SZ</t>
  </si>
  <si>
    <t>美格智能</t>
  </si>
  <si>
    <t>002882.SZ</t>
  </si>
  <si>
    <t>金龙羽</t>
  </si>
  <si>
    <t>002883.SZ</t>
  </si>
  <si>
    <t>中设股份</t>
  </si>
  <si>
    <t>002884.SZ</t>
  </si>
  <si>
    <t>凌霄泵业</t>
  </si>
  <si>
    <t>002885.SZ</t>
  </si>
  <si>
    <t>京泉华</t>
  </si>
  <si>
    <t>002886.SZ</t>
  </si>
  <si>
    <t>沃特股份</t>
  </si>
  <si>
    <t>002887.SZ</t>
  </si>
  <si>
    <t>绿茵生态</t>
  </si>
  <si>
    <t>002888.SZ</t>
  </si>
  <si>
    <t>惠威科技</t>
  </si>
  <si>
    <t>002889.SZ</t>
  </si>
  <si>
    <t>东方嘉盛</t>
  </si>
  <si>
    <t>002890.SZ</t>
  </si>
  <si>
    <t>弘宇股份</t>
  </si>
  <si>
    <t>002891.SZ</t>
  </si>
  <si>
    <t>中宠股份</t>
  </si>
  <si>
    <t>002892.SZ</t>
  </si>
  <si>
    <t>科力尔</t>
  </si>
  <si>
    <t>002893.SZ</t>
  </si>
  <si>
    <t>京能热力</t>
  </si>
  <si>
    <t>002895.SZ</t>
  </si>
  <si>
    <t>川恒股份</t>
  </si>
  <si>
    <t>002896.SZ</t>
  </si>
  <si>
    <t>中大力德</t>
  </si>
  <si>
    <t>002897.SZ</t>
  </si>
  <si>
    <t>意华股份</t>
  </si>
  <si>
    <t>002898.SZ</t>
  </si>
  <si>
    <t>002899.SZ</t>
  </si>
  <si>
    <t>英派斯</t>
  </si>
  <si>
    <t>002900.SZ</t>
  </si>
  <si>
    <t>哈三联</t>
  </si>
  <si>
    <t>002901.SZ</t>
  </si>
  <si>
    <t>大博医疗</t>
  </si>
  <si>
    <t>002902.SZ</t>
  </si>
  <si>
    <t>铭普光磁</t>
  </si>
  <si>
    <t>002903.SZ</t>
  </si>
  <si>
    <t>宇环数控</t>
  </si>
  <si>
    <t>002905.SZ</t>
  </si>
  <si>
    <t>金逸影视</t>
  </si>
  <si>
    <t>002906.SZ</t>
  </si>
  <si>
    <t>华阳集团</t>
  </si>
  <si>
    <t>002907.SZ</t>
  </si>
  <si>
    <t>华森制药</t>
  </si>
  <si>
    <t>002908.SZ</t>
  </si>
  <si>
    <t>德生科技</t>
  </si>
  <si>
    <t>002909.SZ</t>
  </si>
  <si>
    <t>集泰股份</t>
  </si>
  <si>
    <t>002910.SZ</t>
  </si>
  <si>
    <t>庄园牧场</t>
  </si>
  <si>
    <t>002911.SZ</t>
  </si>
  <si>
    <t>佛燃能源</t>
  </si>
  <si>
    <t>002912.SZ</t>
  </si>
  <si>
    <t>中新赛克</t>
  </si>
  <si>
    <t>002913.SZ</t>
  </si>
  <si>
    <t>奥士康</t>
  </si>
  <si>
    <t>002915.SZ</t>
  </si>
  <si>
    <t>中欣氟材</t>
  </si>
  <si>
    <t>002916.SZ</t>
  </si>
  <si>
    <t>深南电路</t>
  </si>
  <si>
    <t>002917.SZ</t>
  </si>
  <si>
    <t>金奥博</t>
  </si>
  <si>
    <t>002918.SZ</t>
  </si>
  <si>
    <t>蒙娜丽莎</t>
  </si>
  <si>
    <t>002919.SZ</t>
  </si>
  <si>
    <t>名臣健康</t>
  </si>
  <si>
    <t>002920.SZ</t>
  </si>
  <si>
    <t>德赛西威</t>
  </si>
  <si>
    <t>002921.SZ</t>
  </si>
  <si>
    <t>联诚精密</t>
  </si>
  <si>
    <t>002922.SZ</t>
  </si>
  <si>
    <t>伊戈尔</t>
  </si>
  <si>
    <t>002923.SZ</t>
  </si>
  <si>
    <t>润都股份</t>
  </si>
  <si>
    <t>002925.SZ</t>
  </si>
  <si>
    <t>盈趣科技</t>
  </si>
  <si>
    <t>002926.SZ</t>
  </si>
  <si>
    <t>华西证券</t>
  </si>
  <si>
    <t>002927.SZ</t>
  </si>
  <si>
    <t>泰永长征</t>
  </si>
  <si>
    <t>002928.SZ</t>
  </si>
  <si>
    <t>华夏航空</t>
  </si>
  <si>
    <t>002929.SZ</t>
  </si>
  <si>
    <t>润建股份</t>
  </si>
  <si>
    <t>002930.SZ</t>
  </si>
  <si>
    <t>宏川智慧</t>
  </si>
  <si>
    <t>002931.SZ</t>
  </si>
  <si>
    <t>锋龙股份</t>
  </si>
  <si>
    <t>002932.SZ</t>
  </si>
  <si>
    <t>明德生物</t>
  </si>
  <si>
    <t>002933.SZ</t>
  </si>
  <si>
    <t>新兴装备</t>
  </si>
  <si>
    <t>002935.SZ</t>
  </si>
  <si>
    <t>天奥电子</t>
  </si>
  <si>
    <t>002936.SZ</t>
  </si>
  <si>
    <t>郑州银行</t>
  </si>
  <si>
    <t>002937.SZ</t>
  </si>
  <si>
    <t>兴瑞科技</t>
  </si>
  <si>
    <t>002938.SZ</t>
  </si>
  <si>
    <t>鹏鼎控股</t>
  </si>
  <si>
    <t>002939.SZ</t>
  </si>
  <si>
    <t>长城证券</t>
  </si>
  <si>
    <t>002940.SZ</t>
  </si>
  <si>
    <t>昂利康</t>
  </si>
  <si>
    <t>002941.SZ</t>
  </si>
  <si>
    <t>新疆交建</t>
  </si>
  <si>
    <t>002942.SZ</t>
  </si>
  <si>
    <t>新农股份</t>
  </si>
  <si>
    <t>002943.SZ</t>
  </si>
  <si>
    <t>宇晶股份</t>
  </si>
  <si>
    <t>002945.SZ</t>
  </si>
  <si>
    <t>华林证券</t>
  </si>
  <si>
    <t>002946.SZ</t>
  </si>
  <si>
    <t>新乳业</t>
  </si>
  <si>
    <t>002947.SZ</t>
  </si>
  <si>
    <t>恒铭达</t>
  </si>
  <si>
    <t>002948.SZ</t>
  </si>
  <si>
    <t>青岛银行</t>
  </si>
  <si>
    <t>002949.SZ</t>
  </si>
  <si>
    <t>华阳国际</t>
  </si>
  <si>
    <t>002950.SZ</t>
  </si>
  <si>
    <t>奥美医疗</t>
  </si>
  <si>
    <t>002951.SZ</t>
  </si>
  <si>
    <t>002952.SZ</t>
  </si>
  <si>
    <t>亚世光电</t>
  </si>
  <si>
    <t>002953.SZ</t>
  </si>
  <si>
    <t>日丰股份</t>
  </si>
  <si>
    <t>002955.SZ</t>
  </si>
  <si>
    <t>鸿合科技</t>
  </si>
  <si>
    <t>002956.SZ</t>
  </si>
  <si>
    <t>西麦食品</t>
  </si>
  <si>
    <t>002957.SZ</t>
  </si>
  <si>
    <t>科瑞技术</t>
  </si>
  <si>
    <t>002958.SZ</t>
  </si>
  <si>
    <t>青农商行</t>
  </si>
  <si>
    <t>002959.SZ</t>
  </si>
  <si>
    <t>小熊电器</t>
  </si>
  <si>
    <t>002960.SZ</t>
  </si>
  <si>
    <t>青鸟消防</t>
  </si>
  <si>
    <t>002961.SZ</t>
  </si>
  <si>
    <t>瑞达期货</t>
  </si>
  <si>
    <t>002962.SZ</t>
  </si>
  <si>
    <t>五方光电</t>
  </si>
  <si>
    <t>002963.SZ</t>
  </si>
  <si>
    <t>豪尔赛</t>
  </si>
  <si>
    <t>002965.SZ</t>
  </si>
  <si>
    <t>祥鑫科技</t>
  </si>
  <si>
    <t>002966.SZ</t>
  </si>
  <si>
    <t>苏州银行</t>
  </si>
  <si>
    <t>002967.SZ</t>
  </si>
  <si>
    <t>广电计量</t>
  </si>
  <si>
    <t>002968.SZ</t>
  </si>
  <si>
    <t>新大正</t>
  </si>
  <si>
    <t>002969.SZ</t>
  </si>
  <si>
    <t>嘉美包装</t>
  </si>
  <si>
    <t>002970.SZ</t>
  </si>
  <si>
    <t>锐明技术</t>
  </si>
  <si>
    <t>002971.SZ</t>
  </si>
  <si>
    <t>和远气体</t>
  </si>
  <si>
    <t>002972.SZ</t>
  </si>
  <si>
    <t>科安达</t>
  </si>
  <si>
    <t>002973.SZ</t>
  </si>
  <si>
    <t>侨银股份</t>
  </si>
  <si>
    <t>002975.SZ</t>
  </si>
  <si>
    <t>博杰股份</t>
  </si>
  <si>
    <t>002976.SZ</t>
  </si>
  <si>
    <t>瑞玛精密</t>
  </si>
  <si>
    <t>002977.SZ</t>
  </si>
  <si>
    <t>天箭科技</t>
  </si>
  <si>
    <t>002978.SZ</t>
  </si>
  <si>
    <t>安宁股份</t>
  </si>
  <si>
    <t>002979.SZ</t>
  </si>
  <si>
    <t>雷赛智能</t>
  </si>
  <si>
    <t>002980.SZ</t>
  </si>
  <si>
    <t>华盛昌</t>
  </si>
  <si>
    <t>002981.SZ</t>
  </si>
  <si>
    <t>朝阳科技</t>
  </si>
  <si>
    <t>002982.SZ</t>
  </si>
  <si>
    <t>湘佳股份</t>
  </si>
  <si>
    <t>002983.SZ</t>
  </si>
  <si>
    <t>芯瑞达</t>
  </si>
  <si>
    <t>002984.SZ</t>
  </si>
  <si>
    <t>森麒麟</t>
  </si>
  <si>
    <t>002985.SZ</t>
  </si>
  <si>
    <t>北摩高科</t>
  </si>
  <si>
    <t>002986.SZ</t>
  </si>
  <si>
    <t>宇新股份</t>
  </si>
  <si>
    <t>002987.SZ</t>
  </si>
  <si>
    <t>京北方</t>
  </si>
  <si>
    <t>002988.SZ</t>
  </si>
  <si>
    <t>豪美新材</t>
  </si>
  <si>
    <t>002989.SZ</t>
  </si>
  <si>
    <t>中天精装</t>
  </si>
  <si>
    <t>002990.SZ</t>
  </si>
  <si>
    <t>盛视科技</t>
  </si>
  <si>
    <t>002991.SZ</t>
  </si>
  <si>
    <t>甘源食品</t>
  </si>
  <si>
    <t>002992.SZ</t>
  </si>
  <si>
    <t>宝明科技</t>
  </si>
  <si>
    <t>002993.SZ</t>
  </si>
  <si>
    <t>奥海科技</t>
  </si>
  <si>
    <t>002995.SZ</t>
  </si>
  <si>
    <t>天地在线</t>
  </si>
  <si>
    <t>002996.SZ</t>
  </si>
  <si>
    <t>顺博合金</t>
  </si>
  <si>
    <t>002997.SZ</t>
  </si>
  <si>
    <t>瑞鹄模具</t>
  </si>
  <si>
    <t>002998.SZ</t>
  </si>
  <si>
    <t>优彩资源</t>
  </si>
  <si>
    <t>002999.SZ</t>
  </si>
  <si>
    <t>天禾股份</t>
  </si>
  <si>
    <t>003000.SZ</t>
  </si>
  <si>
    <t>劲仔食品</t>
  </si>
  <si>
    <t>003001.SZ</t>
  </si>
  <si>
    <t>中岩大地</t>
  </si>
  <si>
    <t>003002.SZ</t>
  </si>
  <si>
    <t>壶化股份</t>
  </si>
  <si>
    <t>003003.SZ</t>
  </si>
  <si>
    <t>天元股份</t>
  </si>
  <si>
    <t>003004.SZ</t>
  </si>
  <si>
    <t>003005.SZ</t>
  </si>
  <si>
    <t>竞业达</t>
  </si>
  <si>
    <t>003006.SZ</t>
  </si>
  <si>
    <t>百亚股份</t>
  </si>
  <si>
    <t>003007.SZ</t>
  </si>
  <si>
    <t>直真科技</t>
  </si>
  <si>
    <t>003008.SZ</t>
  </si>
  <si>
    <t>开普检测</t>
  </si>
  <si>
    <t>003009.SZ</t>
  </si>
  <si>
    <t>中天火箭</t>
  </si>
  <si>
    <t>003010.SZ</t>
  </si>
  <si>
    <t>若羽臣</t>
  </si>
  <si>
    <t>003011.SZ</t>
  </si>
  <si>
    <t>海象新材</t>
  </si>
  <si>
    <t>003012.SZ</t>
  </si>
  <si>
    <t>东鹏控股</t>
  </si>
  <si>
    <t>003013.SZ</t>
  </si>
  <si>
    <t>地铁设计</t>
  </si>
  <si>
    <t>003015.SZ</t>
  </si>
  <si>
    <t>日久光电</t>
  </si>
  <si>
    <t>003016.SZ</t>
  </si>
  <si>
    <t>欣贺股份</t>
  </si>
  <si>
    <t>003017.SZ</t>
  </si>
  <si>
    <t>大洋生物</t>
  </si>
  <si>
    <t>003018.SZ</t>
  </si>
  <si>
    <t>金富科技</t>
  </si>
  <si>
    <t>003019.SZ</t>
  </si>
  <si>
    <t>宸展光电</t>
  </si>
  <si>
    <t>003020.SZ</t>
  </si>
  <si>
    <t>立方制药</t>
  </si>
  <si>
    <t>003021.SZ</t>
  </si>
  <si>
    <t>兆威机电</t>
  </si>
  <si>
    <t>003022.SZ</t>
  </si>
  <si>
    <t>联泓新科</t>
  </si>
  <si>
    <t>003023.SZ</t>
  </si>
  <si>
    <t>彩虹集团</t>
  </si>
  <si>
    <t>003025.SZ</t>
  </si>
  <si>
    <t>思进智能</t>
  </si>
  <si>
    <t>003026.SZ</t>
  </si>
  <si>
    <t>中晶科技</t>
  </si>
  <si>
    <t>003027.SZ</t>
  </si>
  <si>
    <t>003028.SZ</t>
  </si>
  <si>
    <t>振邦智能</t>
  </si>
  <si>
    <t>003029.SZ</t>
  </si>
  <si>
    <t>吉大正元</t>
  </si>
  <si>
    <t>003030.SZ</t>
  </si>
  <si>
    <t>祖名股份</t>
  </si>
  <si>
    <t>003031.SZ</t>
  </si>
  <si>
    <t>中瓷电子</t>
  </si>
  <si>
    <t>003032.SZ</t>
  </si>
  <si>
    <t>003033.SZ</t>
  </si>
  <si>
    <t>征和工业</t>
  </si>
  <si>
    <t>003035.SZ</t>
  </si>
  <si>
    <t>南网能源</t>
  </si>
  <si>
    <t>003036.SZ</t>
  </si>
  <si>
    <t>泰坦股份</t>
  </si>
  <si>
    <t>003037.SZ</t>
  </si>
  <si>
    <t>三和管桩</t>
  </si>
  <si>
    <t>003038.SZ</t>
  </si>
  <si>
    <t>鑫铂股份</t>
  </si>
  <si>
    <t>003039.SZ</t>
  </si>
  <si>
    <t>顺控发展</t>
  </si>
  <si>
    <t>003040.SZ</t>
  </si>
  <si>
    <t>楚天龙</t>
  </si>
  <si>
    <t>003041.SZ</t>
  </si>
  <si>
    <t>真爱美家</t>
  </si>
  <si>
    <t>003042.SZ</t>
  </si>
  <si>
    <t>中农联合</t>
  </si>
  <si>
    <t>003043.SZ</t>
  </si>
  <si>
    <t>华亚智能</t>
  </si>
  <si>
    <t>003816.SZ</t>
  </si>
  <si>
    <t>中国广核</t>
  </si>
  <si>
    <t>300001.SZ</t>
  </si>
  <si>
    <t>特锐德</t>
  </si>
  <si>
    <t>300002.SZ</t>
  </si>
  <si>
    <t>神州泰岳</t>
  </si>
  <si>
    <t>300003.SZ</t>
  </si>
  <si>
    <t>乐普医疗</t>
  </si>
  <si>
    <t>300004.SZ</t>
  </si>
  <si>
    <t>南风股份</t>
  </si>
  <si>
    <t>300005.SZ</t>
  </si>
  <si>
    <t>探路者</t>
  </si>
  <si>
    <t>300006.SZ</t>
  </si>
  <si>
    <t>莱美药业</t>
  </si>
  <si>
    <t>300007.SZ</t>
  </si>
  <si>
    <t>汉威科技</t>
  </si>
  <si>
    <t>300008.SZ</t>
  </si>
  <si>
    <t>天海防务</t>
  </si>
  <si>
    <t>300009.SZ</t>
  </si>
  <si>
    <t>安科生物</t>
  </si>
  <si>
    <t>300010.SZ</t>
  </si>
  <si>
    <t>300011.SZ</t>
  </si>
  <si>
    <t>鼎汉技术</t>
  </si>
  <si>
    <t>300012.SZ</t>
  </si>
  <si>
    <t>华测检测</t>
  </si>
  <si>
    <t>300013.SZ</t>
  </si>
  <si>
    <t>新宁物流</t>
  </si>
  <si>
    <t>300014.SZ</t>
  </si>
  <si>
    <t>亿纬锂能</t>
  </si>
  <si>
    <t>300015.SZ</t>
  </si>
  <si>
    <t>爱尔眼科</t>
  </si>
  <si>
    <t>300016.SZ</t>
  </si>
  <si>
    <t>北陆药业</t>
  </si>
  <si>
    <t>300017.SZ</t>
  </si>
  <si>
    <t>网宿科技</t>
  </si>
  <si>
    <t>300018.SZ</t>
  </si>
  <si>
    <t>中元股份</t>
  </si>
  <si>
    <t>300019.SZ</t>
  </si>
  <si>
    <t>硅宝科技</t>
  </si>
  <si>
    <t>300020.SZ</t>
  </si>
  <si>
    <t>300021.SZ</t>
  </si>
  <si>
    <t>大禹节水</t>
  </si>
  <si>
    <t>300022.SZ</t>
  </si>
  <si>
    <t>吉峰科技</t>
  </si>
  <si>
    <t>300024.SZ</t>
  </si>
  <si>
    <t>机器人</t>
  </si>
  <si>
    <t>300025.SZ</t>
  </si>
  <si>
    <t>华星创业</t>
  </si>
  <si>
    <t>300026.SZ</t>
  </si>
  <si>
    <t>红日药业</t>
  </si>
  <si>
    <t>300027.SZ</t>
  </si>
  <si>
    <t>华谊兄弟</t>
  </si>
  <si>
    <t>300029.SZ</t>
  </si>
  <si>
    <t>300030.SZ</t>
  </si>
  <si>
    <t>阳普医疗</t>
  </si>
  <si>
    <t>300031.SZ</t>
  </si>
  <si>
    <t>宝通科技</t>
  </si>
  <si>
    <t>300032.SZ</t>
  </si>
  <si>
    <t>金龙机电</t>
  </si>
  <si>
    <t>300033.SZ</t>
  </si>
  <si>
    <t>同花顺</t>
  </si>
  <si>
    <t>300034.SZ</t>
  </si>
  <si>
    <t>钢研高纳</t>
  </si>
  <si>
    <t>300035.SZ</t>
  </si>
  <si>
    <t>中科电气</t>
  </si>
  <si>
    <t>300036.SZ</t>
  </si>
  <si>
    <t>超图软件</t>
  </si>
  <si>
    <t>300037.SZ</t>
  </si>
  <si>
    <t>新宙邦</t>
  </si>
  <si>
    <t>300039.SZ</t>
  </si>
  <si>
    <t>上海凯宝</t>
  </si>
  <si>
    <t>300040.SZ</t>
  </si>
  <si>
    <t>九洲集团</t>
  </si>
  <si>
    <t>300041.SZ</t>
  </si>
  <si>
    <t>回天新材</t>
  </si>
  <si>
    <t>300042.SZ</t>
  </si>
  <si>
    <t>朗科科技</t>
  </si>
  <si>
    <t>300043.SZ</t>
  </si>
  <si>
    <t>星辉娱乐</t>
  </si>
  <si>
    <t>300044.SZ</t>
  </si>
  <si>
    <t>300045.SZ</t>
  </si>
  <si>
    <t>华力创通</t>
  </si>
  <si>
    <t>300046.SZ</t>
  </si>
  <si>
    <t>台基股份</t>
  </si>
  <si>
    <t>300047.SZ</t>
  </si>
  <si>
    <t>天源迪科</t>
  </si>
  <si>
    <t>300048.SZ</t>
  </si>
  <si>
    <t>合康新能</t>
  </si>
  <si>
    <t>300049.SZ</t>
  </si>
  <si>
    <t>300050.SZ</t>
  </si>
  <si>
    <t>世纪鼎利</t>
  </si>
  <si>
    <t>300051.SZ</t>
  </si>
  <si>
    <t>琏升科技</t>
  </si>
  <si>
    <t>300052.SZ</t>
  </si>
  <si>
    <t>300053.SZ</t>
  </si>
  <si>
    <t>航宇微</t>
  </si>
  <si>
    <t>300054.SZ</t>
  </si>
  <si>
    <t>鼎龙股份</t>
  </si>
  <si>
    <t>300055.SZ</t>
  </si>
  <si>
    <t>万邦达</t>
  </si>
  <si>
    <t>300056.SZ</t>
  </si>
  <si>
    <t>中创环保</t>
  </si>
  <si>
    <t>300057.SZ</t>
  </si>
  <si>
    <t>万顺新材</t>
  </si>
  <si>
    <t>300058.SZ</t>
  </si>
  <si>
    <t>蓝色光标</t>
  </si>
  <si>
    <t>300059.SZ</t>
  </si>
  <si>
    <t>东方财富</t>
  </si>
  <si>
    <t>300061.SZ</t>
  </si>
  <si>
    <t>旗天科技</t>
  </si>
  <si>
    <t>300062.SZ</t>
  </si>
  <si>
    <t>中能电气</t>
  </si>
  <si>
    <t>300063.SZ</t>
  </si>
  <si>
    <t>天龙集团</t>
  </si>
  <si>
    <t>300065.SZ</t>
  </si>
  <si>
    <t>海兰信</t>
  </si>
  <si>
    <t>300066.SZ</t>
  </si>
  <si>
    <t>三川智慧</t>
  </si>
  <si>
    <t>300067.SZ</t>
  </si>
  <si>
    <t>安诺其</t>
  </si>
  <si>
    <t>300068.SZ</t>
  </si>
  <si>
    <t>南都电源</t>
  </si>
  <si>
    <t>300069.SZ</t>
  </si>
  <si>
    <t>金利华电</t>
  </si>
  <si>
    <t>300070.SZ</t>
  </si>
  <si>
    <t>碧水源</t>
  </si>
  <si>
    <t>300071.SZ</t>
  </si>
  <si>
    <t>福石控股</t>
  </si>
  <si>
    <t>300072.SZ</t>
  </si>
  <si>
    <t>海新能科</t>
  </si>
  <si>
    <t>300073.SZ</t>
  </si>
  <si>
    <t>当升科技</t>
  </si>
  <si>
    <t>300074.SZ</t>
  </si>
  <si>
    <t>华平股份</t>
  </si>
  <si>
    <t>300075.SZ</t>
  </si>
  <si>
    <t>数字政通</t>
  </si>
  <si>
    <t>300076.SZ</t>
  </si>
  <si>
    <t>GQY视讯</t>
  </si>
  <si>
    <t>300077.SZ</t>
  </si>
  <si>
    <t>国民技术</t>
  </si>
  <si>
    <t>300078.SZ</t>
  </si>
  <si>
    <t>300079.SZ</t>
  </si>
  <si>
    <t>数码视讯</t>
  </si>
  <si>
    <t>300080.SZ</t>
  </si>
  <si>
    <t>易成新能</t>
  </si>
  <si>
    <t>300081.SZ</t>
  </si>
  <si>
    <t>恒信东方</t>
  </si>
  <si>
    <t>300082.SZ</t>
  </si>
  <si>
    <t>奥克股份</t>
  </si>
  <si>
    <t>300083.SZ</t>
  </si>
  <si>
    <t>创世纪</t>
  </si>
  <si>
    <t>300084.SZ</t>
  </si>
  <si>
    <t>海默科技</t>
  </si>
  <si>
    <t>300085.SZ</t>
  </si>
  <si>
    <t>银之杰</t>
  </si>
  <si>
    <t>300086.SZ</t>
  </si>
  <si>
    <t>康芝药业</t>
  </si>
  <si>
    <t>300087.SZ</t>
  </si>
  <si>
    <t>荃银高科</t>
  </si>
  <si>
    <t>300088.SZ</t>
  </si>
  <si>
    <t>长信科技</t>
  </si>
  <si>
    <t>300091.SZ</t>
  </si>
  <si>
    <t>300092.SZ</t>
  </si>
  <si>
    <t>科新机电</t>
  </si>
  <si>
    <t>300093.SZ</t>
  </si>
  <si>
    <t>300094.SZ</t>
  </si>
  <si>
    <t>国联水产</t>
  </si>
  <si>
    <t>300095.SZ</t>
  </si>
  <si>
    <t>华伍股份</t>
  </si>
  <si>
    <t>300096.SZ</t>
  </si>
  <si>
    <t>ST易联众</t>
  </si>
  <si>
    <t>300097.SZ</t>
  </si>
  <si>
    <t>300098.SZ</t>
  </si>
  <si>
    <t>高新兴</t>
  </si>
  <si>
    <t>300099.SZ</t>
  </si>
  <si>
    <t>尤洛卡</t>
  </si>
  <si>
    <t>300100.SZ</t>
  </si>
  <si>
    <t>双林股份</t>
  </si>
  <si>
    <t>300101.SZ</t>
  </si>
  <si>
    <t>振芯科技</t>
  </si>
  <si>
    <t>300102.SZ</t>
  </si>
  <si>
    <t>乾照光电</t>
  </si>
  <si>
    <t>300103.SZ</t>
  </si>
  <si>
    <t>达刚控股</t>
  </si>
  <si>
    <t>300105.SZ</t>
  </si>
  <si>
    <t>龙源技术</t>
  </si>
  <si>
    <t>300106.SZ</t>
  </si>
  <si>
    <t>西部牧业</t>
  </si>
  <si>
    <t>300107.SZ</t>
  </si>
  <si>
    <t>建新股份</t>
  </si>
  <si>
    <t>300109.SZ</t>
  </si>
  <si>
    <t>新开源</t>
  </si>
  <si>
    <t>300110.SZ</t>
  </si>
  <si>
    <t>华仁药业</t>
  </si>
  <si>
    <t>300111.SZ</t>
  </si>
  <si>
    <t>向日葵</t>
  </si>
  <si>
    <t>300112.SZ</t>
  </si>
  <si>
    <t>万讯自控</t>
  </si>
  <si>
    <t>300113.SZ</t>
  </si>
  <si>
    <t>顺网科技</t>
  </si>
  <si>
    <t>300115.SZ</t>
  </si>
  <si>
    <t>长盈精密</t>
  </si>
  <si>
    <t>300118.SZ</t>
  </si>
  <si>
    <t>东方日升</t>
  </si>
  <si>
    <t>300119.SZ</t>
  </si>
  <si>
    <t>瑞普生物</t>
  </si>
  <si>
    <t>300120.SZ</t>
  </si>
  <si>
    <t>经纬辉开</t>
  </si>
  <si>
    <t>300121.SZ</t>
  </si>
  <si>
    <t>阳谷华泰</t>
  </si>
  <si>
    <t>300122.SZ</t>
  </si>
  <si>
    <t>智飞生物</t>
  </si>
  <si>
    <t>300123.SZ</t>
  </si>
  <si>
    <t>亚光科技</t>
  </si>
  <si>
    <t>300124.SZ</t>
  </si>
  <si>
    <t>汇川技术</t>
  </si>
  <si>
    <t>300125.SZ</t>
  </si>
  <si>
    <t>300126.SZ</t>
  </si>
  <si>
    <t>锐奇股份</t>
  </si>
  <si>
    <t>300127.SZ</t>
  </si>
  <si>
    <t>银河磁体</t>
  </si>
  <si>
    <t>300128.SZ</t>
  </si>
  <si>
    <t>锦富技术</t>
  </si>
  <si>
    <t>300129.SZ</t>
  </si>
  <si>
    <t>泰胜风能</t>
  </si>
  <si>
    <t>300130.SZ</t>
  </si>
  <si>
    <t>新国都</t>
  </si>
  <si>
    <t>300131.SZ</t>
  </si>
  <si>
    <t>英唐智控</t>
  </si>
  <si>
    <t>300132.SZ</t>
  </si>
  <si>
    <t>青松股份</t>
  </si>
  <si>
    <t>300133.SZ</t>
  </si>
  <si>
    <t>华策影视</t>
  </si>
  <si>
    <t>300134.SZ</t>
  </si>
  <si>
    <t>大富科技</t>
  </si>
  <si>
    <t>300135.SZ</t>
  </si>
  <si>
    <t>宝利国际</t>
  </si>
  <si>
    <t>300136.SZ</t>
  </si>
  <si>
    <t>信维通信</t>
  </si>
  <si>
    <t>300137.SZ</t>
  </si>
  <si>
    <t>300138.SZ</t>
  </si>
  <si>
    <t>晨光生物</t>
  </si>
  <si>
    <t>300139.SZ</t>
  </si>
  <si>
    <t>晓程科技</t>
  </si>
  <si>
    <t>300140.SZ</t>
  </si>
  <si>
    <t>节能环境</t>
  </si>
  <si>
    <t>300141.SZ</t>
  </si>
  <si>
    <t>和顺电气</t>
  </si>
  <si>
    <t>300142.SZ</t>
  </si>
  <si>
    <t>沃森生物</t>
  </si>
  <si>
    <t>300143.SZ</t>
  </si>
  <si>
    <t>盈康生命</t>
  </si>
  <si>
    <t>300144.SZ</t>
  </si>
  <si>
    <t>宋城演艺</t>
  </si>
  <si>
    <t>300145.SZ</t>
  </si>
  <si>
    <t>300146.SZ</t>
  </si>
  <si>
    <t>汤臣倍健</t>
  </si>
  <si>
    <t>300147.SZ</t>
  </si>
  <si>
    <t>300148.SZ</t>
  </si>
  <si>
    <t>天舟文化</t>
  </si>
  <si>
    <t>300149.SZ</t>
  </si>
  <si>
    <t>睿智医药</t>
  </si>
  <si>
    <t>300150.SZ</t>
  </si>
  <si>
    <t>世纪瑞尔</t>
  </si>
  <si>
    <t>300151.SZ</t>
  </si>
  <si>
    <t>昌红科技</t>
  </si>
  <si>
    <t>300152.SZ</t>
  </si>
  <si>
    <t>300153.SZ</t>
  </si>
  <si>
    <t>科泰电源</t>
  </si>
  <si>
    <t>300154.SZ</t>
  </si>
  <si>
    <t>瑞凌股份</t>
  </si>
  <si>
    <t>300155.SZ</t>
  </si>
  <si>
    <t>安居宝</t>
  </si>
  <si>
    <t>300157.SZ</t>
  </si>
  <si>
    <t>新锦动力</t>
  </si>
  <si>
    <t>300158.SZ</t>
  </si>
  <si>
    <t>振东制药</t>
  </si>
  <si>
    <t>300159.SZ</t>
  </si>
  <si>
    <t>300160.SZ</t>
  </si>
  <si>
    <t>秀强股份</t>
  </si>
  <si>
    <t>300161.SZ</t>
  </si>
  <si>
    <t>华中数控</t>
  </si>
  <si>
    <t>300162.SZ</t>
  </si>
  <si>
    <t>雷曼光电</t>
  </si>
  <si>
    <t>300163.SZ</t>
  </si>
  <si>
    <t>先锋新材</t>
  </si>
  <si>
    <t>300164.SZ</t>
  </si>
  <si>
    <t>通源石油</t>
  </si>
  <si>
    <t>300165.SZ</t>
  </si>
  <si>
    <t>300166.SZ</t>
  </si>
  <si>
    <t>东方国信</t>
  </si>
  <si>
    <t>300167.SZ</t>
  </si>
  <si>
    <t>ST迪威迅</t>
  </si>
  <si>
    <t>300168.SZ</t>
  </si>
  <si>
    <t>万达信息</t>
  </si>
  <si>
    <t>300169.SZ</t>
  </si>
  <si>
    <t>天晟新材</t>
  </si>
  <si>
    <t>300170.SZ</t>
  </si>
  <si>
    <t>汉得信息</t>
  </si>
  <si>
    <t>300171.SZ</t>
  </si>
  <si>
    <t>东富龙</t>
  </si>
  <si>
    <t>300172.SZ</t>
  </si>
  <si>
    <t>中电环保</t>
  </si>
  <si>
    <t>300173.SZ</t>
  </si>
  <si>
    <t>300174.SZ</t>
  </si>
  <si>
    <t>元力股份</t>
  </si>
  <si>
    <t>300175.SZ</t>
  </si>
  <si>
    <t>300176.SZ</t>
  </si>
  <si>
    <t>300177.SZ</t>
  </si>
  <si>
    <t>中海达</t>
  </si>
  <si>
    <t>300179.SZ</t>
  </si>
  <si>
    <t>四方达</t>
  </si>
  <si>
    <t>300180.SZ</t>
  </si>
  <si>
    <t>华峰超纤</t>
  </si>
  <si>
    <t>300181.SZ</t>
  </si>
  <si>
    <t>佐力药业</t>
  </si>
  <si>
    <t>300182.SZ</t>
  </si>
  <si>
    <t>捷成股份</t>
  </si>
  <si>
    <t>300183.SZ</t>
  </si>
  <si>
    <t>东软载波</t>
  </si>
  <si>
    <t>300184.SZ</t>
  </si>
  <si>
    <t>力源信息</t>
  </si>
  <si>
    <t>300185.SZ</t>
  </si>
  <si>
    <t>通裕重工</t>
  </si>
  <si>
    <t>300187.SZ</t>
  </si>
  <si>
    <t>永清环保</t>
  </si>
  <si>
    <t>300188.SZ</t>
  </si>
  <si>
    <t>国投智能</t>
  </si>
  <si>
    <t>300189.SZ</t>
  </si>
  <si>
    <t>300190.SZ</t>
  </si>
  <si>
    <t>维尔利</t>
  </si>
  <si>
    <t>300191.SZ</t>
  </si>
  <si>
    <t>潜能恒信</t>
  </si>
  <si>
    <t>300192.SZ</t>
  </si>
  <si>
    <t>科德教育</t>
  </si>
  <si>
    <t>300193.SZ</t>
  </si>
  <si>
    <t>佳士科技</t>
  </si>
  <si>
    <t>300194.SZ</t>
  </si>
  <si>
    <t>福安药业</t>
  </si>
  <si>
    <t>300195.SZ</t>
  </si>
  <si>
    <t>长荣股份</t>
  </si>
  <si>
    <t>300196.SZ</t>
  </si>
  <si>
    <t>长海股份</t>
  </si>
  <si>
    <t>300197.SZ</t>
  </si>
  <si>
    <t>节能铁汉</t>
  </si>
  <si>
    <t>300198.SZ</t>
  </si>
  <si>
    <t>300199.SZ</t>
  </si>
  <si>
    <t>翰宇药业</t>
  </si>
  <si>
    <t>300200.SZ</t>
  </si>
  <si>
    <t>高盟新材</t>
  </si>
  <si>
    <t>300201.SZ</t>
  </si>
  <si>
    <t>海伦哲</t>
  </si>
  <si>
    <t>300203.SZ</t>
  </si>
  <si>
    <t>聚光科技</t>
  </si>
  <si>
    <t>300204.SZ</t>
  </si>
  <si>
    <t>舒泰神</t>
  </si>
  <si>
    <t>300205.SZ</t>
  </si>
  <si>
    <t>300206.SZ</t>
  </si>
  <si>
    <t>理邦仪器</t>
  </si>
  <si>
    <t>300207.SZ</t>
  </si>
  <si>
    <t>欣旺达</t>
  </si>
  <si>
    <t>300209.SZ</t>
  </si>
  <si>
    <t>300210.SZ</t>
  </si>
  <si>
    <t>森远股份</t>
  </si>
  <si>
    <t>300211.SZ</t>
  </si>
  <si>
    <t>300212.SZ</t>
  </si>
  <si>
    <t>易华录</t>
  </si>
  <si>
    <t>300213.SZ</t>
  </si>
  <si>
    <t>佳讯飞鸿</t>
  </si>
  <si>
    <t>300214.SZ</t>
  </si>
  <si>
    <t>日科化学</t>
  </si>
  <si>
    <t>300215.SZ</t>
  </si>
  <si>
    <t>电科院</t>
  </si>
  <si>
    <t>300217.SZ</t>
  </si>
  <si>
    <t>东方电热</t>
  </si>
  <si>
    <t>300218.SZ</t>
  </si>
  <si>
    <t>安利股份</t>
  </si>
  <si>
    <t>300219.SZ</t>
  </si>
  <si>
    <t>鸿利智汇</t>
  </si>
  <si>
    <t>300220.SZ</t>
  </si>
  <si>
    <t>300221.SZ</t>
  </si>
  <si>
    <t>银禧科技</t>
  </si>
  <si>
    <t>300222.SZ</t>
  </si>
  <si>
    <t>科大智能</t>
  </si>
  <si>
    <t>300223.SZ</t>
  </si>
  <si>
    <t>北京君正</t>
  </si>
  <si>
    <t>300224.SZ</t>
  </si>
  <si>
    <t>正海磁材</t>
  </si>
  <si>
    <t>300225.SZ</t>
  </si>
  <si>
    <t>300226.SZ</t>
  </si>
  <si>
    <t>上海钢联</t>
  </si>
  <si>
    <t>300227.SZ</t>
  </si>
  <si>
    <t>光韵达</t>
  </si>
  <si>
    <t>300228.SZ</t>
  </si>
  <si>
    <t>富瑞特装</t>
  </si>
  <si>
    <t>300229.SZ</t>
  </si>
  <si>
    <t>拓尔思</t>
  </si>
  <si>
    <t>300230.SZ</t>
  </si>
  <si>
    <t>永利股份</t>
  </si>
  <si>
    <t>300231.SZ</t>
  </si>
  <si>
    <t>银信科技</t>
  </si>
  <si>
    <t>300232.SZ</t>
  </si>
  <si>
    <t>洲明科技</t>
  </si>
  <si>
    <t>300233.SZ</t>
  </si>
  <si>
    <t>金城医药</t>
  </si>
  <si>
    <t>300234.SZ</t>
  </si>
  <si>
    <t>开尔新材</t>
  </si>
  <si>
    <t>300235.SZ</t>
  </si>
  <si>
    <t>方直科技</t>
  </si>
  <si>
    <t>300236.SZ</t>
  </si>
  <si>
    <t>上海新阳</t>
  </si>
  <si>
    <t>300237.SZ</t>
  </si>
  <si>
    <t>300238.SZ</t>
  </si>
  <si>
    <t>冠昊生物</t>
  </si>
  <si>
    <t>300239.SZ</t>
  </si>
  <si>
    <t>东宝生物</t>
  </si>
  <si>
    <t>300240.SZ</t>
  </si>
  <si>
    <t>飞力达</t>
  </si>
  <si>
    <t>300241.SZ</t>
  </si>
  <si>
    <t>瑞丰光电</t>
  </si>
  <si>
    <t>300242.SZ</t>
  </si>
  <si>
    <t>佳云科技</t>
  </si>
  <si>
    <t>300243.SZ</t>
  </si>
  <si>
    <t>瑞丰高材</t>
  </si>
  <si>
    <t>300244.SZ</t>
  </si>
  <si>
    <t>迪安诊断</t>
  </si>
  <si>
    <t>300245.SZ</t>
  </si>
  <si>
    <t>天玑科技</t>
  </si>
  <si>
    <t>300246.SZ</t>
  </si>
  <si>
    <t>宝莱特</t>
  </si>
  <si>
    <t>300247.SZ</t>
  </si>
  <si>
    <t>融捷健康</t>
  </si>
  <si>
    <t>300248.SZ</t>
  </si>
  <si>
    <t>新开普</t>
  </si>
  <si>
    <t>300249.SZ</t>
  </si>
  <si>
    <t>依米康</t>
  </si>
  <si>
    <t>300250.SZ</t>
  </si>
  <si>
    <t>初灵信息</t>
  </si>
  <si>
    <t>300251.SZ</t>
  </si>
  <si>
    <t>光线传媒</t>
  </si>
  <si>
    <t>300252.SZ</t>
  </si>
  <si>
    <t>金信诺</t>
  </si>
  <si>
    <t>300253.SZ</t>
  </si>
  <si>
    <t>卫宁健康</t>
  </si>
  <si>
    <t>300254.SZ</t>
  </si>
  <si>
    <t>仟源医药</t>
  </si>
  <si>
    <t>300255.SZ</t>
  </si>
  <si>
    <t>常山药业</t>
  </si>
  <si>
    <t>300256.SZ</t>
  </si>
  <si>
    <t>星星科技</t>
  </si>
  <si>
    <t>300257.SZ</t>
  </si>
  <si>
    <t>开山股份</t>
  </si>
  <si>
    <t>300258.SZ</t>
  </si>
  <si>
    <t>精锻科技</t>
  </si>
  <si>
    <t>300259.SZ</t>
  </si>
  <si>
    <t>新天科技</t>
  </si>
  <si>
    <t>300260.SZ</t>
  </si>
  <si>
    <t>新莱应材</t>
  </si>
  <si>
    <t>300261.SZ</t>
  </si>
  <si>
    <t>雅本化学</t>
  </si>
  <si>
    <t>300263.SZ</t>
  </si>
  <si>
    <t>隆华科技</t>
  </si>
  <si>
    <t>300264.SZ</t>
  </si>
  <si>
    <t>佳创视讯</t>
  </si>
  <si>
    <t>300265.SZ</t>
  </si>
  <si>
    <t>通光线缆</t>
  </si>
  <si>
    <t>300266.SZ</t>
  </si>
  <si>
    <t>兴源环境</t>
  </si>
  <si>
    <t>300267.SZ</t>
  </si>
  <si>
    <t>尔康制药</t>
  </si>
  <si>
    <t>300268.SZ</t>
  </si>
  <si>
    <t>*ST佳沃</t>
  </si>
  <si>
    <t>300269.SZ</t>
  </si>
  <si>
    <t>联建光电</t>
  </si>
  <si>
    <t>300270.SZ</t>
  </si>
  <si>
    <t>中威电子</t>
  </si>
  <si>
    <t>300271.SZ</t>
  </si>
  <si>
    <t>华宇软件</t>
  </si>
  <si>
    <t>300272.SZ</t>
  </si>
  <si>
    <t>开能健康</t>
  </si>
  <si>
    <t>300274.SZ</t>
  </si>
  <si>
    <t>阳光电源</t>
  </si>
  <si>
    <t>300275.SZ</t>
  </si>
  <si>
    <t>梅安森</t>
  </si>
  <si>
    <t>300276.SZ</t>
  </si>
  <si>
    <t>三丰智能</t>
  </si>
  <si>
    <t>300277.SZ</t>
  </si>
  <si>
    <t>海联讯</t>
  </si>
  <si>
    <t>300278.SZ</t>
  </si>
  <si>
    <t>华昌达</t>
  </si>
  <si>
    <t>300279.SZ</t>
  </si>
  <si>
    <t>和晶科技</t>
  </si>
  <si>
    <t>300281.SZ</t>
  </si>
  <si>
    <t>金明精机</t>
  </si>
  <si>
    <t>300283.SZ</t>
  </si>
  <si>
    <t>温州宏丰</t>
  </si>
  <si>
    <t>300284.SZ</t>
  </si>
  <si>
    <t>苏交科</t>
  </si>
  <si>
    <t>300285.SZ</t>
  </si>
  <si>
    <t>国瓷材料</t>
  </si>
  <si>
    <t>300286.SZ</t>
  </si>
  <si>
    <t>安科瑞</t>
  </si>
  <si>
    <t>300287.SZ</t>
  </si>
  <si>
    <t>飞利信</t>
  </si>
  <si>
    <t>300288.SZ</t>
  </si>
  <si>
    <t>朗玛信息</t>
  </si>
  <si>
    <t>300289.SZ</t>
  </si>
  <si>
    <t>利德曼</t>
  </si>
  <si>
    <t>300290.SZ</t>
  </si>
  <si>
    <t>荣科科技</t>
  </si>
  <si>
    <t>300291.SZ</t>
  </si>
  <si>
    <t>百纳千成</t>
  </si>
  <si>
    <t>300292.SZ</t>
  </si>
  <si>
    <t>吴通控股</t>
  </si>
  <si>
    <t>300293.SZ</t>
  </si>
  <si>
    <t>蓝英装备</t>
  </si>
  <si>
    <t>300294.SZ</t>
  </si>
  <si>
    <t>博雅生物</t>
  </si>
  <si>
    <t>300295.SZ</t>
  </si>
  <si>
    <t>三六五网</t>
  </si>
  <si>
    <t>300296.SZ</t>
  </si>
  <si>
    <t>利亚德</t>
  </si>
  <si>
    <t>300298.SZ</t>
  </si>
  <si>
    <t>三诺生物</t>
  </si>
  <si>
    <t>300299.SZ</t>
  </si>
  <si>
    <t>富春股份</t>
  </si>
  <si>
    <t>300300.SZ</t>
  </si>
  <si>
    <t>海峡创新</t>
  </si>
  <si>
    <t>300301.SZ</t>
  </si>
  <si>
    <t>300302.SZ</t>
  </si>
  <si>
    <t>同有科技</t>
  </si>
  <si>
    <t>300303.SZ</t>
  </si>
  <si>
    <t>聚飞光电</t>
  </si>
  <si>
    <t>300304.SZ</t>
  </si>
  <si>
    <t>云意电气</t>
  </si>
  <si>
    <t>300305.SZ</t>
  </si>
  <si>
    <t>裕兴股份</t>
  </si>
  <si>
    <t>300306.SZ</t>
  </si>
  <si>
    <t>远方信息</t>
  </si>
  <si>
    <t>300307.SZ</t>
  </si>
  <si>
    <t>慈星股份</t>
  </si>
  <si>
    <t>300308.SZ</t>
  </si>
  <si>
    <t>中际旭创</t>
  </si>
  <si>
    <t>300310.SZ</t>
  </si>
  <si>
    <t>宜通世纪</t>
  </si>
  <si>
    <t>300311.SZ</t>
  </si>
  <si>
    <t>300313.SZ</t>
  </si>
  <si>
    <t>*ST天山</t>
  </si>
  <si>
    <t>300314.SZ</t>
  </si>
  <si>
    <t>戴维医疗</t>
  </si>
  <si>
    <t>300315.SZ</t>
  </si>
  <si>
    <t>掌趣科技</t>
  </si>
  <si>
    <t>300316.SZ</t>
  </si>
  <si>
    <t>晶盛机电</t>
  </si>
  <si>
    <t>300317.SZ</t>
  </si>
  <si>
    <t>珈伟新能</t>
  </si>
  <si>
    <t>300318.SZ</t>
  </si>
  <si>
    <t>博晖创新</t>
  </si>
  <si>
    <t>300319.SZ</t>
  </si>
  <si>
    <t>麦捷科技</t>
  </si>
  <si>
    <t>300320.SZ</t>
  </si>
  <si>
    <t>海达股份</t>
  </si>
  <si>
    <t>300321.SZ</t>
  </si>
  <si>
    <t>同大股份</t>
  </si>
  <si>
    <t>300322.SZ</t>
  </si>
  <si>
    <t>硕贝德</t>
  </si>
  <si>
    <t>300323.SZ</t>
  </si>
  <si>
    <t>华灿光电</t>
  </si>
  <si>
    <t>300324.SZ</t>
  </si>
  <si>
    <t>旋极信息</t>
  </si>
  <si>
    <t>300326.SZ</t>
  </si>
  <si>
    <t>300327.SZ</t>
  </si>
  <si>
    <t>中颖电子</t>
  </si>
  <si>
    <t>300328.SZ</t>
  </si>
  <si>
    <t>宜安科技</t>
  </si>
  <si>
    <t>300329.SZ</t>
  </si>
  <si>
    <t>海伦钢琴</t>
  </si>
  <si>
    <t>300331.SZ</t>
  </si>
  <si>
    <t>苏大维格</t>
  </si>
  <si>
    <t>300332.SZ</t>
  </si>
  <si>
    <t>天壕能源</t>
  </si>
  <si>
    <t>300333.SZ</t>
  </si>
  <si>
    <t>兆日科技</t>
  </si>
  <si>
    <t>300334.SZ</t>
  </si>
  <si>
    <t>津膜科技</t>
  </si>
  <si>
    <t>300335.SZ</t>
  </si>
  <si>
    <t>迪森股份</t>
  </si>
  <si>
    <t>300337.SZ</t>
  </si>
  <si>
    <t>银邦股份</t>
  </si>
  <si>
    <t>300338.SZ</t>
  </si>
  <si>
    <t>300339.SZ</t>
  </si>
  <si>
    <t>润和软件</t>
  </si>
  <si>
    <t>300340.SZ</t>
  </si>
  <si>
    <t>科恒股份</t>
  </si>
  <si>
    <t>300341.SZ</t>
  </si>
  <si>
    <t>麦克奥迪</t>
  </si>
  <si>
    <t>300342.SZ</t>
  </si>
  <si>
    <t>天银机电</t>
  </si>
  <si>
    <t>300343.SZ</t>
  </si>
  <si>
    <t>300344.SZ</t>
  </si>
  <si>
    <t>300345.SZ</t>
  </si>
  <si>
    <t>华民股份</t>
  </si>
  <si>
    <t>300346.SZ</t>
  </si>
  <si>
    <t>南大光电</t>
  </si>
  <si>
    <t>300347.SZ</t>
  </si>
  <si>
    <t>泰格医药</t>
  </si>
  <si>
    <t>300348.SZ</t>
  </si>
  <si>
    <t>长亮科技</t>
  </si>
  <si>
    <t>300349.SZ</t>
  </si>
  <si>
    <t>金卡智能</t>
  </si>
  <si>
    <t>300350.SZ</t>
  </si>
  <si>
    <t>华鹏飞</t>
  </si>
  <si>
    <t>300351.SZ</t>
  </si>
  <si>
    <t>永贵电器</t>
  </si>
  <si>
    <t>300352.SZ</t>
  </si>
  <si>
    <t>北信源</t>
  </si>
  <si>
    <t>300353.SZ</t>
  </si>
  <si>
    <t>东土科技</t>
  </si>
  <si>
    <t>300354.SZ</t>
  </si>
  <si>
    <t>东华测试</t>
  </si>
  <si>
    <t>300355.SZ</t>
  </si>
  <si>
    <t>蒙草生态</t>
  </si>
  <si>
    <t>300357.SZ</t>
  </si>
  <si>
    <t>我武生物</t>
  </si>
  <si>
    <t>300358.SZ</t>
  </si>
  <si>
    <t>楚天科技</t>
  </si>
  <si>
    <t>300359.SZ</t>
  </si>
  <si>
    <t>全通教育</t>
  </si>
  <si>
    <t>300360.SZ</t>
  </si>
  <si>
    <t>炬华科技</t>
  </si>
  <si>
    <t>300363.SZ</t>
  </si>
  <si>
    <t>博腾股份</t>
  </si>
  <si>
    <t>300364.SZ</t>
  </si>
  <si>
    <t>中文在线</t>
  </si>
  <si>
    <t>300365.SZ</t>
  </si>
  <si>
    <t>恒华科技</t>
  </si>
  <si>
    <t>300366.SZ</t>
  </si>
  <si>
    <t>300368.SZ</t>
  </si>
  <si>
    <t>汇金股份</t>
  </si>
  <si>
    <t>300369.SZ</t>
  </si>
  <si>
    <t>绿盟科技</t>
  </si>
  <si>
    <t>300370.SZ</t>
  </si>
  <si>
    <t>安控科技</t>
  </si>
  <si>
    <t>300371.SZ</t>
  </si>
  <si>
    <t>汇中股份</t>
  </si>
  <si>
    <t>300373.SZ</t>
  </si>
  <si>
    <t>扬杰科技</t>
  </si>
  <si>
    <t>300374.SZ</t>
  </si>
  <si>
    <t>中铁装配</t>
  </si>
  <si>
    <t>300375.SZ</t>
  </si>
  <si>
    <t>鹏翎股份</t>
  </si>
  <si>
    <t>300376.SZ</t>
  </si>
  <si>
    <t>300377.SZ</t>
  </si>
  <si>
    <t>赢时胜</t>
  </si>
  <si>
    <t>300378.SZ</t>
  </si>
  <si>
    <t>300380.SZ</t>
  </si>
  <si>
    <t>安硕信息</t>
  </si>
  <si>
    <t>300381.SZ</t>
  </si>
  <si>
    <t>溢多利</t>
  </si>
  <si>
    <t>300382.SZ</t>
  </si>
  <si>
    <t>斯莱克</t>
  </si>
  <si>
    <t>300383.SZ</t>
  </si>
  <si>
    <t>光环新网</t>
  </si>
  <si>
    <t>300384.SZ</t>
  </si>
  <si>
    <t>三联虹普</t>
  </si>
  <si>
    <t>300385.SZ</t>
  </si>
  <si>
    <t>雪浪环境</t>
  </si>
  <si>
    <t>300386.SZ</t>
  </si>
  <si>
    <t>飞天诚信</t>
  </si>
  <si>
    <t>300387.SZ</t>
  </si>
  <si>
    <t>300388.SZ</t>
  </si>
  <si>
    <t>节能国祯</t>
  </si>
  <si>
    <t>300389.SZ</t>
  </si>
  <si>
    <t>艾比森</t>
  </si>
  <si>
    <t>300390.SZ</t>
  </si>
  <si>
    <t>天华新能</t>
  </si>
  <si>
    <t>300391.SZ</t>
  </si>
  <si>
    <t>300393.SZ</t>
  </si>
  <si>
    <t>中来股份</t>
  </si>
  <si>
    <t>300394.SZ</t>
  </si>
  <si>
    <t>天孚通信</t>
  </si>
  <si>
    <t>300395.SZ</t>
  </si>
  <si>
    <t>菲利华</t>
  </si>
  <si>
    <t>300396.SZ</t>
  </si>
  <si>
    <t>迪瑞医疗</t>
  </si>
  <si>
    <t>300397.SZ</t>
  </si>
  <si>
    <t>天和防务</t>
  </si>
  <si>
    <t>300398.SZ</t>
  </si>
  <si>
    <t>飞凯材料</t>
  </si>
  <si>
    <t>300399.SZ</t>
  </si>
  <si>
    <t>天利科技</t>
  </si>
  <si>
    <t>300400.SZ</t>
  </si>
  <si>
    <t>劲拓股份</t>
  </si>
  <si>
    <t>300401.SZ</t>
  </si>
  <si>
    <t>花园生物</t>
  </si>
  <si>
    <t>300402.SZ</t>
  </si>
  <si>
    <t>宝色股份</t>
  </si>
  <si>
    <t>300403.SZ</t>
  </si>
  <si>
    <t>汉宇集团</t>
  </si>
  <si>
    <t>300404.SZ</t>
  </si>
  <si>
    <t>博济医药</t>
  </si>
  <si>
    <t>300405.SZ</t>
  </si>
  <si>
    <t>科隆股份</t>
  </si>
  <si>
    <t>300406.SZ</t>
  </si>
  <si>
    <t>九强生物</t>
  </si>
  <si>
    <t>300407.SZ</t>
  </si>
  <si>
    <t>凯发电气</t>
  </si>
  <si>
    <t>300408.SZ</t>
  </si>
  <si>
    <t>三环集团</t>
  </si>
  <si>
    <t>300409.SZ</t>
  </si>
  <si>
    <t>道氏技术</t>
  </si>
  <si>
    <t>300410.SZ</t>
  </si>
  <si>
    <t>正业科技</t>
  </si>
  <si>
    <t>300411.SZ</t>
  </si>
  <si>
    <t>金盾股份</t>
  </si>
  <si>
    <t>300412.SZ</t>
  </si>
  <si>
    <t>迦南科技</t>
  </si>
  <si>
    <t>300413.SZ</t>
  </si>
  <si>
    <t>芒果超媒</t>
  </si>
  <si>
    <t>300414.SZ</t>
  </si>
  <si>
    <t>中光防雷</t>
  </si>
  <si>
    <t>300415.SZ</t>
  </si>
  <si>
    <t>伊之密</t>
  </si>
  <si>
    <t>300416.SZ</t>
  </si>
  <si>
    <t>苏试试验</t>
  </si>
  <si>
    <t>300417.SZ</t>
  </si>
  <si>
    <t>南华仪器</t>
  </si>
  <si>
    <t>300418.SZ</t>
  </si>
  <si>
    <t>昆仑万维</t>
  </si>
  <si>
    <t>300419.SZ</t>
  </si>
  <si>
    <t>300420.SZ</t>
  </si>
  <si>
    <t>五洋自控</t>
  </si>
  <si>
    <t>300421.SZ</t>
  </si>
  <si>
    <t>力星股份</t>
  </si>
  <si>
    <t>300422.SZ</t>
  </si>
  <si>
    <t>博世科</t>
  </si>
  <si>
    <t>300423.SZ</t>
  </si>
  <si>
    <t>昇辉科技</t>
  </si>
  <si>
    <t>300424.SZ</t>
  </si>
  <si>
    <t>航新科技</t>
  </si>
  <si>
    <t>300425.SZ</t>
  </si>
  <si>
    <t>中建环能</t>
  </si>
  <si>
    <t>300426.SZ</t>
  </si>
  <si>
    <t>300427.SZ</t>
  </si>
  <si>
    <t>300428.SZ</t>
  </si>
  <si>
    <t>立中集团</t>
  </si>
  <si>
    <t>300429.SZ</t>
  </si>
  <si>
    <t>强力新材</t>
  </si>
  <si>
    <t>300430.SZ</t>
  </si>
  <si>
    <t>诚益通</t>
  </si>
  <si>
    <t>300432.SZ</t>
  </si>
  <si>
    <t>富临精工</t>
  </si>
  <si>
    <t>300433.SZ</t>
  </si>
  <si>
    <t>蓝思科技</t>
  </si>
  <si>
    <t>300434.SZ</t>
  </si>
  <si>
    <t>金石亚药</t>
  </si>
  <si>
    <t>300435.SZ</t>
  </si>
  <si>
    <t>中泰股份</t>
  </si>
  <si>
    <t>300436.SZ</t>
  </si>
  <si>
    <t>广生堂</t>
  </si>
  <si>
    <t>300437.SZ</t>
  </si>
  <si>
    <t>清水源</t>
  </si>
  <si>
    <t>300438.SZ</t>
  </si>
  <si>
    <t>鹏辉能源</t>
  </si>
  <si>
    <t>300439.SZ</t>
  </si>
  <si>
    <t>美康生物</t>
  </si>
  <si>
    <t>300440.SZ</t>
  </si>
  <si>
    <t>运达科技</t>
  </si>
  <si>
    <t>300441.SZ</t>
  </si>
  <si>
    <t>鲍斯股份</t>
  </si>
  <si>
    <t>300442.SZ</t>
  </si>
  <si>
    <t>润泽科技</t>
  </si>
  <si>
    <t>300443.SZ</t>
  </si>
  <si>
    <t>金雷股份</t>
  </si>
  <si>
    <t>300444.SZ</t>
  </si>
  <si>
    <t>双杰电气</t>
  </si>
  <si>
    <t>300445.SZ</t>
  </si>
  <si>
    <t>康斯特</t>
  </si>
  <si>
    <t>300446.SZ</t>
  </si>
  <si>
    <t>航天智造</t>
  </si>
  <si>
    <t>300447.SZ</t>
  </si>
  <si>
    <t>全信股份</t>
  </si>
  <si>
    <t>300448.SZ</t>
  </si>
  <si>
    <t>浩云科技</t>
  </si>
  <si>
    <t>300449.SZ</t>
  </si>
  <si>
    <t>汉邦高科</t>
  </si>
  <si>
    <t>300450.SZ</t>
  </si>
  <si>
    <t>先导智能</t>
  </si>
  <si>
    <t>300451.SZ</t>
  </si>
  <si>
    <t>创业慧康</t>
  </si>
  <si>
    <t>300452.SZ</t>
  </si>
  <si>
    <t>山河药辅</t>
  </si>
  <si>
    <t>300453.SZ</t>
  </si>
  <si>
    <t>三鑫医疗</t>
  </si>
  <si>
    <t>300454.SZ</t>
  </si>
  <si>
    <t>深信服</t>
  </si>
  <si>
    <t>300455.SZ</t>
  </si>
  <si>
    <t>航天智装</t>
  </si>
  <si>
    <t>300456.SZ</t>
  </si>
  <si>
    <t>赛微电子</t>
  </si>
  <si>
    <t>300457.SZ</t>
  </si>
  <si>
    <t>赢合科技</t>
  </si>
  <si>
    <t>300458.SZ</t>
  </si>
  <si>
    <t>全志科技</t>
  </si>
  <si>
    <t>300459.SZ</t>
  </si>
  <si>
    <t>汤姆猫</t>
  </si>
  <si>
    <t>300460.SZ</t>
  </si>
  <si>
    <t>300461.SZ</t>
  </si>
  <si>
    <t>田中精机</t>
  </si>
  <si>
    <t>300462.SZ</t>
  </si>
  <si>
    <t>300463.SZ</t>
  </si>
  <si>
    <t>迈克生物</t>
  </si>
  <si>
    <t>300464.SZ</t>
  </si>
  <si>
    <t>星徽股份</t>
  </si>
  <si>
    <t>300465.SZ</t>
  </si>
  <si>
    <t>高伟达</t>
  </si>
  <si>
    <t>300466.SZ</t>
  </si>
  <si>
    <t>赛摩智能</t>
  </si>
  <si>
    <t>300467.SZ</t>
  </si>
  <si>
    <t>迅游科技</t>
  </si>
  <si>
    <t>300468.SZ</t>
  </si>
  <si>
    <t>四方精创</t>
  </si>
  <si>
    <t>300469.SZ</t>
  </si>
  <si>
    <t>信息发展</t>
  </si>
  <si>
    <t>300470.SZ</t>
  </si>
  <si>
    <t>中密控股</t>
  </si>
  <si>
    <t>300471.SZ</t>
  </si>
  <si>
    <t>厚普股份</t>
  </si>
  <si>
    <t>300472.SZ</t>
  </si>
  <si>
    <t>300473.SZ</t>
  </si>
  <si>
    <t>德尔股份</t>
  </si>
  <si>
    <t>300474.SZ</t>
  </si>
  <si>
    <t>景嘉微</t>
  </si>
  <si>
    <t>300475.SZ</t>
  </si>
  <si>
    <t>香农芯创</t>
  </si>
  <si>
    <t>300476.SZ</t>
  </si>
  <si>
    <t>胜宏科技</t>
  </si>
  <si>
    <t>300477.SZ</t>
  </si>
  <si>
    <t>300478.SZ</t>
  </si>
  <si>
    <t>杭州高新</t>
  </si>
  <si>
    <t>300479.SZ</t>
  </si>
  <si>
    <t>神思电子</t>
  </si>
  <si>
    <t>300480.SZ</t>
  </si>
  <si>
    <t>光力科技</t>
  </si>
  <si>
    <t>300481.SZ</t>
  </si>
  <si>
    <t>濮阳惠成</t>
  </si>
  <si>
    <t>300482.SZ</t>
  </si>
  <si>
    <t>万孚生物</t>
  </si>
  <si>
    <t>300483.SZ</t>
  </si>
  <si>
    <t>首华燃气</t>
  </si>
  <si>
    <t>300484.SZ</t>
  </si>
  <si>
    <t>蓝海华腾</t>
  </si>
  <si>
    <t>300485.SZ</t>
  </si>
  <si>
    <t>赛升药业</t>
  </si>
  <si>
    <t>300486.SZ</t>
  </si>
  <si>
    <t>东杰智能</t>
  </si>
  <si>
    <t>300487.SZ</t>
  </si>
  <si>
    <t>蓝晓科技</t>
  </si>
  <si>
    <t>300488.SZ</t>
  </si>
  <si>
    <t>恒锋工具</t>
  </si>
  <si>
    <t>300489.SZ</t>
  </si>
  <si>
    <t>光智科技</t>
  </si>
  <si>
    <t>300490.SZ</t>
  </si>
  <si>
    <t>华自科技</t>
  </si>
  <si>
    <t>300491.SZ</t>
  </si>
  <si>
    <t>通合科技</t>
  </si>
  <si>
    <t>300492.SZ</t>
  </si>
  <si>
    <t>华图山鼎</t>
  </si>
  <si>
    <t>300493.SZ</t>
  </si>
  <si>
    <t>润欣科技</t>
  </si>
  <si>
    <t>300494.SZ</t>
  </si>
  <si>
    <t>盛天网络</t>
  </si>
  <si>
    <t>300496.SZ</t>
  </si>
  <si>
    <t>中科创达</t>
  </si>
  <si>
    <t>300497.SZ</t>
  </si>
  <si>
    <t>富祥药业</t>
  </si>
  <si>
    <t>300498.SZ</t>
  </si>
  <si>
    <t>温氏股份</t>
  </si>
  <si>
    <t>300499.SZ</t>
  </si>
  <si>
    <t>高澜股份</t>
  </si>
  <si>
    <t>300500.SZ</t>
  </si>
  <si>
    <t>启迪设计</t>
  </si>
  <si>
    <t>300501.SZ</t>
  </si>
  <si>
    <t>海顺新材</t>
  </si>
  <si>
    <t>300502.SZ</t>
  </si>
  <si>
    <t>新易盛</t>
  </si>
  <si>
    <t>300503.SZ</t>
  </si>
  <si>
    <t>昊志机电</t>
  </si>
  <si>
    <t>300504.SZ</t>
  </si>
  <si>
    <t>天邑股份</t>
  </si>
  <si>
    <t>300505.SZ</t>
  </si>
  <si>
    <t>川金诺</t>
  </si>
  <si>
    <t>300506.SZ</t>
  </si>
  <si>
    <t>300507.SZ</t>
  </si>
  <si>
    <t>苏奥传感</t>
  </si>
  <si>
    <t>300508.SZ</t>
  </si>
  <si>
    <t>维宏股份</t>
  </si>
  <si>
    <t>300509.SZ</t>
  </si>
  <si>
    <t>新美星</t>
  </si>
  <si>
    <t>300510.SZ</t>
  </si>
  <si>
    <t>金冠股份</t>
  </si>
  <si>
    <t>300511.SZ</t>
  </si>
  <si>
    <t>雪榕生物</t>
  </si>
  <si>
    <t>300512.SZ</t>
  </si>
  <si>
    <t>中亚股份</t>
  </si>
  <si>
    <t>300513.SZ</t>
  </si>
  <si>
    <t>恒实科技</t>
  </si>
  <si>
    <t>300514.SZ</t>
  </si>
  <si>
    <t>友讯达</t>
  </si>
  <si>
    <t>300515.SZ</t>
  </si>
  <si>
    <t>三德科技</t>
  </si>
  <si>
    <t>300516.SZ</t>
  </si>
  <si>
    <t>久之洋</t>
  </si>
  <si>
    <t>300517.SZ</t>
  </si>
  <si>
    <t>海波重科</t>
  </si>
  <si>
    <t>300518.SZ</t>
  </si>
  <si>
    <t>新迅达</t>
  </si>
  <si>
    <t>300519.SZ</t>
  </si>
  <si>
    <t>新光药业</t>
  </si>
  <si>
    <t>300520.SZ</t>
  </si>
  <si>
    <t>科大国创</t>
  </si>
  <si>
    <t>300521.SZ</t>
  </si>
  <si>
    <t>爱司凯</t>
  </si>
  <si>
    <t>300522.SZ</t>
  </si>
  <si>
    <t>世名科技</t>
  </si>
  <si>
    <t>300523.SZ</t>
  </si>
  <si>
    <t>辰安科技</t>
  </si>
  <si>
    <t>300525.SZ</t>
  </si>
  <si>
    <t>博思软件</t>
  </si>
  <si>
    <t>300527.SZ</t>
  </si>
  <si>
    <t>300528.SZ</t>
  </si>
  <si>
    <t>幸福蓝海</t>
  </si>
  <si>
    <t>300529.SZ</t>
  </si>
  <si>
    <t>健帆生物</t>
  </si>
  <si>
    <t>300530.SZ</t>
  </si>
  <si>
    <t>领湃科技</t>
  </si>
  <si>
    <t>300531.SZ</t>
  </si>
  <si>
    <t>优博讯</t>
  </si>
  <si>
    <t>300532.SZ</t>
  </si>
  <si>
    <t>今天国际</t>
  </si>
  <si>
    <t>300533.SZ</t>
  </si>
  <si>
    <t>冰川网络</t>
  </si>
  <si>
    <t>300534.SZ</t>
  </si>
  <si>
    <t>陇神戎发</t>
  </si>
  <si>
    <t>300535.SZ</t>
  </si>
  <si>
    <t>达威股份</t>
  </si>
  <si>
    <t>300536.SZ</t>
  </si>
  <si>
    <t>农尚环境</t>
  </si>
  <si>
    <t>300537.SZ</t>
  </si>
  <si>
    <t>广信材料</t>
  </si>
  <si>
    <t>300538.SZ</t>
  </si>
  <si>
    <t>同益股份</t>
  </si>
  <si>
    <t>300539.SZ</t>
  </si>
  <si>
    <t>横河精密</t>
  </si>
  <si>
    <t>300540.SZ</t>
  </si>
  <si>
    <t>蜀道装备</t>
  </si>
  <si>
    <t>300541.SZ</t>
  </si>
  <si>
    <t>先进数通</t>
  </si>
  <si>
    <t>300542.SZ</t>
  </si>
  <si>
    <t>新晨科技</t>
  </si>
  <si>
    <t>300543.SZ</t>
  </si>
  <si>
    <t>朗科智能</t>
  </si>
  <si>
    <t>300545.SZ</t>
  </si>
  <si>
    <t>联得装备</t>
  </si>
  <si>
    <t>300546.SZ</t>
  </si>
  <si>
    <t>雄帝科技</t>
  </si>
  <si>
    <t>300547.SZ</t>
  </si>
  <si>
    <t>川环科技</t>
  </si>
  <si>
    <t>300548.SZ</t>
  </si>
  <si>
    <t>300549.SZ</t>
  </si>
  <si>
    <t>优德精密</t>
  </si>
  <si>
    <t>300550.SZ</t>
  </si>
  <si>
    <t>和仁科技</t>
  </si>
  <si>
    <t>300551.SZ</t>
  </si>
  <si>
    <t>古鳌科技</t>
  </si>
  <si>
    <t>300552.SZ</t>
  </si>
  <si>
    <t>万集科技</t>
  </si>
  <si>
    <t>300553.SZ</t>
  </si>
  <si>
    <t>集智股份</t>
  </si>
  <si>
    <t>300554.SZ</t>
  </si>
  <si>
    <t>三超新材</t>
  </si>
  <si>
    <t>300555.SZ</t>
  </si>
  <si>
    <t>ST路通</t>
  </si>
  <si>
    <t>300556.SZ</t>
  </si>
  <si>
    <t>丝路视觉</t>
  </si>
  <si>
    <t>300557.SZ</t>
  </si>
  <si>
    <t>理工光科</t>
  </si>
  <si>
    <t>300558.SZ</t>
  </si>
  <si>
    <t>贝达药业</t>
  </si>
  <si>
    <t>300559.SZ</t>
  </si>
  <si>
    <t>佳发教育</t>
  </si>
  <si>
    <t>300560.SZ</t>
  </si>
  <si>
    <t>中富通</t>
  </si>
  <si>
    <t>300561.SZ</t>
  </si>
  <si>
    <t>300562.SZ</t>
  </si>
  <si>
    <t>乐心医疗</t>
  </si>
  <si>
    <t>300563.SZ</t>
  </si>
  <si>
    <t>神宇股份</t>
  </si>
  <si>
    <t>300564.SZ</t>
  </si>
  <si>
    <t>筑博设计</t>
  </si>
  <si>
    <t>300565.SZ</t>
  </si>
  <si>
    <t>科信技术</t>
  </si>
  <si>
    <t>300566.SZ</t>
  </si>
  <si>
    <t>激智科技</t>
  </si>
  <si>
    <t>300567.SZ</t>
  </si>
  <si>
    <t>精测电子</t>
  </si>
  <si>
    <t>300568.SZ</t>
  </si>
  <si>
    <t>星源材质</t>
  </si>
  <si>
    <t>300569.SZ</t>
  </si>
  <si>
    <t>天能重工</t>
  </si>
  <si>
    <t>300570.SZ</t>
  </si>
  <si>
    <t>太辰光</t>
  </si>
  <si>
    <t>300571.SZ</t>
  </si>
  <si>
    <t>平治信息</t>
  </si>
  <si>
    <t>300572.SZ</t>
  </si>
  <si>
    <t>安车检测</t>
  </si>
  <si>
    <t>300573.SZ</t>
  </si>
  <si>
    <t>兴齐眼药</t>
  </si>
  <si>
    <t>300575.SZ</t>
  </si>
  <si>
    <t>中旗股份</t>
  </si>
  <si>
    <t>300576.SZ</t>
  </si>
  <si>
    <t>容大感光</t>
  </si>
  <si>
    <t>300577.SZ</t>
  </si>
  <si>
    <t>开润股份</t>
  </si>
  <si>
    <t>300578.SZ</t>
  </si>
  <si>
    <t>300579.SZ</t>
  </si>
  <si>
    <t>数字认证</t>
  </si>
  <si>
    <t>300580.SZ</t>
  </si>
  <si>
    <t>贝斯特</t>
  </si>
  <si>
    <t>300581.SZ</t>
  </si>
  <si>
    <t>晨曦航空</t>
  </si>
  <si>
    <t>300582.SZ</t>
  </si>
  <si>
    <t>英飞特</t>
  </si>
  <si>
    <t>300583.SZ</t>
  </si>
  <si>
    <t>赛托生物</t>
  </si>
  <si>
    <t>300584.SZ</t>
  </si>
  <si>
    <t>海辰药业</t>
  </si>
  <si>
    <t>300585.SZ</t>
  </si>
  <si>
    <t>奥联电子</t>
  </si>
  <si>
    <t>300586.SZ</t>
  </si>
  <si>
    <t>美联新材</t>
  </si>
  <si>
    <t>300587.SZ</t>
  </si>
  <si>
    <t>300588.SZ</t>
  </si>
  <si>
    <t>熙菱信息</t>
  </si>
  <si>
    <t>300589.SZ</t>
  </si>
  <si>
    <t>江龙船艇</t>
  </si>
  <si>
    <t>300590.SZ</t>
  </si>
  <si>
    <t>移为通信</t>
  </si>
  <si>
    <t>300591.SZ</t>
  </si>
  <si>
    <t>万里马</t>
  </si>
  <si>
    <t>300592.SZ</t>
  </si>
  <si>
    <t>华凯易佰</t>
  </si>
  <si>
    <t>300593.SZ</t>
  </si>
  <si>
    <t>新雷能</t>
  </si>
  <si>
    <t>300594.SZ</t>
  </si>
  <si>
    <t>朗进科技</t>
  </si>
  <si>
    <t>300595.SZ</t>
  </si>
  <si>
    <t>欧普康视</t>
  </si>
  <si>
    <t>300596.SZ</t>
  </si>
  <si>
    <t>利安隆</t>
  </si>
  <si>
    <t>300597.SZ</t>
  </si>
  <si>
    <t>吉大通信</t>
  </si>
  <si>
    <t>300598.SZ</t>
  </si>
  <si>
    <t>诚迈科技</t>
  </si>
  <si>
    <t>300599.SZ</t>
  </si>
  <si>
    <t>雄塑科技</t>
  </si>
  <si>
    <t>300600.SZ</t>
  </si>
  <si>
    <t>国瑞科技</t>
  </si>
  <si>
    <t>300601.SZ</t>
  </si>
  <si>
    <t>康泰生物</t>
  </si>
  <si>
    <t>300602.SZ</t>
  </si>
  <si>
    <t>飞荣达</t>
  </si>
  <si>
    <t>300603.SZ</t>
  </si>
  <si>
    <t>立昂技术</t>
  </si>
  <si>
    <t>300604.SZ</t>
  </si>
  <si>
    <t>长川科技</t>
  </si>
  <si>
    <t>300605.SZ</t>
  </si>
  <si>
    <t>恒锋信息</t>
  </si>
  <si>
    <t>300606.SZ</t>
  </si>
  <si>
    <t>金太阳</t>
  </si>
  <si>
    <t>300607.SZ</t>
  </si>
  <si>
    <t>拓斯达</t>
  </si>
  <si>
    <t>300608.SZ</t>
  </si>
  <si>
    <t>思特奇</t>
  </si>
  <si>
    <t>300609.SZ</t>
  </si>
  <si>
    <t>汇纳科技</t>
  </si>
  <si>
    <t>300610.SZ</t>
  </si>
  <si>
    <t>晨化股份</t>
  </si>
  <si>
    <t>300611.SZ</t>
  </si>
  <si>
    <t>美力科技</t>
  </si>
  <si>
    <t>300612.SZ</t>
  </si>
  <si>
    <t>宣亚国际</t>
  </si>
  <si>
    <t>300613.SZ</t>
  </si>
  <si>
    <t>富瀚微</t>
  </si>
  <si>
    <t>300614.SZ</t>
  </si>
  <si>
    <t>百川畅银</t>
  </si>
  <si>
    <t>300615.SZ</t>
  </si>
  <si>
    <t>欣天科技</t>
  </si>
  <si>
    <t>300616.SZ</t>
  </si>
  <si>
    <t>尚品宅配</t>
  </si>
  <si>
    <t>300617.SZ</t>
  </si>
  <si>
    <t>安靠智电</t>
  </si>
  <si>
    <t>300618.SZ</t>
  </si>
  <si>
    <t>寒锐钴业</t>
  </si>
  <si>
    <t>300619.SZ</t>
  </si>
  <si>
    <t>金银河</t>
  </si>
  <si>
    <t>300620.SZ</t>
  </si>
  <si>
    <t>光库科技</t>
  </si>
  <si>
    <t>300621.SZ</t>
  </si>
  <si>
    <t>维业股份</t>
  </si>
  <si>
    <t>300622.SZ</t>
  </si>
  <si>
    <t>博士眼镜</t>
  </si>
  <si>
    <t>300623.SZ</t>
  </si>
  <si>
    <t>捷捷微电</t>
  </si>
  <si>
    <t>300624.SZ</t>
  </si>
  <si>
    <t>万兴科技</t>
  </si>
  <si>
    <t>300625.SZ</t>
  </si>
  <si>
    <t>三雄极光</t>
  </si>
  <si>
    <t>300626.SZ</t>
  </si>
  <si>
    <t>华瑞股份</t>
  </si>
  <si>
    <t>300627.SZ</t>
  </si>
  <si>
    <t>华测导航</t>
  </si>
  <si>
    <t>300628.SZ</t>
  </si>
  <si>
    <t>亿联网络</t>
  </si>
  <si>
    <t>300629.SZ</t>
  </si>
  <si>
    <t>新劲刚</t>
  </si>
  <si>
    <t>300631.SZ</t>
  </si>
  <si>
    <t>久吾高科</t>
  </si>
  <si>
    <t>300632.SZ</t>
  </si>
  <si>
    <t>光莆股份</t>
  </si>
  <si>
    <t>300633.SZ</t>
  </si>
  <si>
    <t>开立医疗</t>
  </si>
  <si>
    <t>300634.SZ</t>
  </si>
  <si>
    <t>彩讯股份</t>
  </si>
  <si>
    <t>300635.SZ</t>
  </si>
  <si>
    <t>中达安</t>
  </si>
  <si>
    <t>300636.SZ</t>
  </si>
  <si>
    <t>同和药业</t>
  </si>
  <si>
    <t>300637.SZ</t>
  </si>
  <si>
    <t>扬帆新材</t>
  </si>
  <si>
    <t>300638.SZ</t>
  </si>
  <si>
    <t>广和通</t>
  </si>
  <si>
    <t>300639.SZ</t>
  </si>
  <si>
    <t>凯普生物</t>
  </si>
  <si>
    <t>300640.SZ</t>
  </si>
  <si>
    <t>德艺文创</t>
  </si>
  <si>
    <t>300641.SZ</t>
  </si>
  <si>
    <t>正丹股份</t>
  </si>
  <si>
    <t>300642.SZ</t>
  </si>
  <si>
    <t>透景生命</t>
  </si>
  <si>
    <t>300643.SZ</t>
  </si>
  <si>
    <t>万通智控</t>
  </si>
  <si>
    <t>300644.SZ</t>
  </si>
  <si>
    <t>南京聚隆</t>
  </si>
  <si>
    <t>300645.SZ</t>
  </si>
  <si>
    <t>正元智慧</t>
  </si>
  <si>
    <t>300647.SZ</t>
  </si>
  <si>
    <t>超频三</t>
  </si>
  <si>
    <t>300648.SZ</t>
  </si>
  <si>
    <t>星云股份</t>
  </si>
  <si>
    <t>300649.SZ</t>
  </si>
  <si>
    <t>杭州园林</t>
  </si>
  <si>
    <t>300650.SZ</t>
  </si>
  <si>
    <t>太龙股份</t>
  </si>
  <si>
    <t>300651.SZ</t>
  </si>
  <si>
    <t>金陵体育</t>
  </si>
  <si>
    <t>300652.SZ</t>
  </si>
  <si>
    <t>雷迪克</t>
  </si>
  <si>
    <t>300653.SZ</t>
  </si>
  <si>
    <t>正海生物</t>
  </si>
  <si>
    <t>300654.SZ</t>
  </si>
  <si>
    <t>世纪天鸿</t>
  </si>
  <si>
    <t>300655.SZ</t>
  </si>
  <si>
    <t>晶瑞电材</t>
  </si>
  <si>
    <t>300656.SZ</t>
  </si>
  <si>
    <t>民德电子</t>
  </si>
  <si>
    <t>300657.SZ</t>
  </si>
  <si>
    <t>弘信电子</t>
  </si>
  <si>
    <t>300658.SZ</t>
  </si>
  <si>
    <t>延江股份</t>
  </si>
  <si>
    <t>300659.SZ</t>
  </si>
  <si>
    <t>中孚信息</t>
  </si>
  <si>
    <t>300660.SZ</t>
  </si>
  <si>
    <t>江苏雷利</t>
  </si>
  <si>
    <t>300661.SZ</t>
  </si>
  <si>
    <t>圣邦股份</t>
  </si>
  <si>
    <t>300662.SZ</t>
  </si>
  <si>
    <t>科锐国际</t>
  </si>
  <si>
    <t>300663.SZ</t>
  </si>
  <si>
    <t>科蓝软件</t>
  </si>
  <si>
    <t>300664.SZ</t>
  </si>
  <si>
    <t>鹏鹞环保</t>
  </si>
  <si>
    <t>300665.SZ</t>
  </si>
  <si>
    <t>飞鹿股份</t>
  </si>
  <si>
    <t>300666.SZ</t>
  </si>
  <si>
    <t>江丰电子</t>
  </si>
  <si>
    <t>300667.SZ</t>
  </si>
  <si>
    <t>必创科技</t>
  </si>
  <si>
    <t>300668.SZ</t>
  </si>
  <si>
    <t>杰恩设计</t>
  </si>
  <si>
    <t>300669.SZ</t>
  </si>
  <si>
    <t>沪宁股份</t>
  </si>
  <si>
    <t>300670.SZ</t>
  </si>
  <si>
    <t>大烨智能</t>
  </si>
  <si>
    <t>300671.SZ</t>
  </si>
  <si>
    <t>富满微</t>
  </si>
  <si>
    <t>300672.SZ</t>
  </si>
  <si>
    <t>国科微</t>
  </si>
  <si>
    <t>300673.SZ</t>
  </si>
  <si>
    <t>佩蒂股份</t>
  </si>
  <si>
    <t>300674.SZ</t>
  </si>
  <si>
    <t>宇信科技</t>
  </si>
  <si>
    <t>300675.SZ</t>
  </si>
  <si>
    <t>建科院</t>
  </si>
  <si>
    <t>300676.SZ</t>
  </si>
  <si>
    <t>华大基因</t>
  </si>
  <si>
    <t>300677.SZ</t>
  </si>
  <si>
    <t>英科医疗</t>
  </si>
  <si>
    <t>300678.SZ</t>
  </si>
  <si>
    <t>中科信息</t>
  </si>
  <si>
    <t>300679.SZ</t>
  </si>
  <si>
    <t>电连技术</t>
  </si>
  <si>
    <t>300680.SZ</t>
  </si>
  <si>
    <t>隆盛科技</t>
  </si>
  <si>
    <t>300681.SZ</t>
  </si>
  <si>
    <t>英搏尔</t>
  </si>
  <si>
    <t>300682.SZ</t>
  </si>
  <si>
    <t>300683.SZ</t>
  </si>
  <si>
    <t>海特生物</t>
  </si>
  <si>
    <t>300684.SZ</t>
  </si>
  <si>
    <t>中石科技</t>
  </si>
  <si>
    <t>300685.SZ</t>
  </si>
  <si>
    <t>艾德生物</t>
  </si>
  <si>
    <t>300686.SZ</t>
  </si>
  <si>
    <t>智动力</t>
  </si>
  <si>
    <t>300687.SZ</t>
  </si>
  <si>
    <t>赛意信息</t>
  </si>
  <si>
    <t>300688.SZ</t>
  </si>
  <si>
    <t>创业黑马</t>
  </si>
  <si>
    <t>300689.SZ</t>
  </si>
  <si>
    <t>澄天伟业</t>
  </si>
  <si>
    <t>300690.SZ</t>
  </si>
  <si>
    <t>双一科技</t>
  </si>
  <si>
    <t>300691.SZ</t>
  </si>
  <si>
    <t>联合光电</t>
  </si>
  <si>
    <t>300692.SZ</t>
  </si>
  <si>
    <t>300693.SZ</t>
  </si>
  <si>
    <t>盛弘股份</t>
  </si>
  <si>
    <t>300694.SZ</t>
  </si>
  <si>
    <t>蠡湖股份</t>
  </si>
  <si>
    <t>300695.SZ</t>
  </si>
  <si>
    <t>兆丰股份</t>
  </si>
  <si>
    <t>300696.SZ</t>
  </si>
  <si>
    <t>爱乐达</t>
  </si>
  <si>
    <t>300697.SZ</t>
  </si>
  <si>
    <t>电工合金</t>
  </si>
  <si>
    <t>300698.SZ</t>
  </si>
  <si>
    <t>万马科技</t>
  </si>
  <si>
    <t>300699.SZ</t>
  </si>
  <si>
    <t>光威复材</t>
  </si>
  <si>
    <t>300700.SZ</t>
  </si>
  <si>
    <t>岱勒新材</t>
  </si>
  <si>
    <t>300701.SZ</t>
  </si>
  <si>
    <t>森霸传感</t>
  </si>
  <si>
    <t>300702.SZ</t>
  </si>
  <si>
    <t>天宇股份</t>
  </si>
  <si>
    <t>300703.SZ</t>
  </si>
  <si>
    <t>创源股份</t>
  </si>
  <si>
    <t>300705.SZ</t>
  </si>
  <si>
    <t>九典制药</t>
  </si>
  <si>
    <t>300706.SZ</t>
  </si>
  <si>
    <t>阿石创</t>
  </si>
  <si>
    <t>300707.SZ</t>
  </si>
  <si>
    <t>威唐工业</t>
  </si>
  <si>
    <t>300708.SZ</t>
  </si>
  <si>
    <t>聚灿光电</t>
  </si>
  <si>
    <t>300709.SZ</t>
  </si>
  <si>
    <t>精研科技</t>
  </si>
  <si>
    <t>300710.SZ</t>
  </si>
  <si>
    <t>万隆光电</t>
  </si>
  <si>
    <t>300711.SZ</t>
  </si>
  <si>
    <t>广哈通信</t>
  </si>
  <si>
    <t>300712.SZ</t>
  </si>
  <si>
    <t>永福股份</t>
  </si>
  <si>
    <t>300713.SZ</t>
  </si>
  <si>
    <t>英可瑞</t>
  </si>
  <si>
    <t>300715.SZ</t>
  </si>
  <si>
    <t>凯伦股份</t>
  </si>
  <si>
    <t>300716.SZ</t>
  </si>
  <si>
    <t>300717.SZ</t>
  </si>
  <si>
    <t>华信新材</t>
  </si>
  <si>
    <t>300718.SZ</t>
  </si>
  <si>
    <t>长盛轴承</t>
  </si>
  <si>
    <t>300719.SZ</t>
  </si>
  <si>
    <t>安达维尔</t>
  </si>
  <si>
    <t>300720.SZ</t>
  </si>
  <si>
    <t>海川智能</t>
  </si>
  <si>
    <t>300721.SZ</t>
  </si>
  <si>
    <t>怡达股份</t>
  </si>
  <si>
    <t>300722.SZ</t>
  </si>
  <si>
    <t>新余国科</t>
  </si>
  <si>
    <t>300723.SZ</t>
  </si>
  <si>
    <t>一品红</t>
  </si>
  <si>
    <t>300724.SZ</t>
  </si>
  <si>
    <t>捷佳伟创</t>
  </si>
  <si>
    <t>300725.SZ</t>
  </si>
  <si>
    <t>药石科技</t>
  </si>
  <si>
    <t>300726.SZ</t>
  </si>
  <si>
    <t>宏达电子</t>
  </si>
  <si>
    <t>300727.SZ</t>
  </si>
  <si>
    <t>润禾材料</t>
  </si>
  <si>
    <t>300729.SZ</t>
  </si>
  <si>
    <t>乐歌股份</t>
  </si>
  <si>
    <t>300730.SZ</t>
  </si>
  <si>
    <t>科创信息</t>
  </si>
  <si>
    <t>300731.SZ</t>
  </si>
  <si>
    <t>科创新源</t>
  </si>
  <si>
    <t>300732.SZ</t>
  </si>
  <si>
    <t>设研院</t>
  </si>
  <si>
    <t>300733.SZ</t>
  </si>
  <si>
    <t>西菱动力</t>
  </si>
  <si>
    <t>300735.SZ</t>
  </si>
  <si>
    <t>光弘科技</t>
  </si>
  <si>
    <t>300736.SZ</t>
  </si>
  <si>
    <t>百邦科技</t>
  </si>
  <si>
    <t>300737.SZ</t>
  </si>
  <si>
    <t>科顺股份</t>
  </si>
  <si>
    <t>300738.SZ</t>
  </si>
  <si>
    <t>奥飞数据</t>
  </si>
  <si>
    <t>300739.SZ</t>
  </si>
  <si>
    <t>明阳电路</t>
  </si>
  <si>
    <t>300740.SZ</t>
  </si>
  <si>
    <t>水羊股份</t>
  </si>
  <si>
    <t>300741.SZ</t>
  </si>
  <si>
    <t>华宝股份</t>
  </si>
  <si>
    <t>300743.SZ</t>
  </si>
  <si>
    <t>天地数码</t>
  </si>
  <si>
    <t>300745.SZ</t>
  </si>
  <si>
    <t>欣锐科技</t>
  </si>
  <si>
    <t>300746.SZ</t>
  </si>
  <si>
    <t>300747.SZ</t>
  </si>
  <si>
    <t>锐科激光</t>
  </si>
  <si>
    <t>300748.SZ</t>
  </si>
  <si>
    <t>金力永磁</t>
  </si>
  <si>
    <t>300749.SZ</t>
  </si>
  <si>
    <t>顶固集创</t>
  </si>
  <si>
    <t>300750.SZ</t>
  </si>
  <si>
    <t>宁德时代</t>
  </si>
  <si>
    <t>300751.SZ</t>
  </si>
  <si>
    <t>迈为股份</t>
  </si>
  <si>
    <t>300752.SZ</t>
  </si>
  <si>
    <t>隆利科技</t>
  </si>
  <si>
    <t>300753.SZ</t>
  </si>
  <si>
    <t>爱朋医疗</t>
  </si>
  <si>
    <t>300755.SZ</t>
  </si>
  <si>
    <t>华致酒行</t>
  </si>
  <si>
    <t>300756.SZ</t>
  </si>
  <si>
    <t>金马游乐</t>
  </si>
  <si>
    <t>300757.SZ</t>
  </si>
  <si>
    <t>罗博特科</t>
  </si>
  <si>
    <t>300758.SZ</t>
  </si>
  <si>
    <t>七彩化学</t>
  </si>
  <si>
    <t>300759.SZ</t>
  </si>
  <si>
    <t>康龙化成</t>
  </si>
  <si>
    <t>300760.SZ</t>
  </si>
  <si>
    <t>迈瑞医疗</t>
  </si>
  <si>
    <t>300761.SZ</t>
  </si>
  <si>
    <t>立华股份</t>
  </si>
  <si>
    <t>300762.SZ</t>
  </si>
  <si>
    <t>上海瀚讯</t>
  </si>
  <si>
    <t>300763.SZ</t>
  </si>
  <si>
    <t>锦浪科技</t>
  </si>
  <si>
    <t>300765.SZ</t>
  </si>
  <si>
    <t>新诺威</t>
  </si>
  <si>
    <t>300766.SZ</t>
  </si>
  <si>
    <t>每日互动</t>
  </si>
  <si>
    <t>300767.SZ</t>
  </si>
  <si>
    <t>震安科技</t>
  </si>
  <si>
    <t>300768.SZ</t>
  </si>
  <si>
    <t>迪普科技</t>
  </si>
  <si>
    <t>300769.SZ</t>
  </si>
  <si>
    <t>德方纳米</t>
  </si>
  <si>
    <t>300770.SZ</t>
  </si>
  <si>
    <t>新媒股份</t>
  </si>
  <si>
    <t>300771.SZ</t>
  </si>
  <si>
    <t>智莱科技</t>
  </si>
  <si>
    <t>300772.SZ</t>
  </si>
  <si>
    <t>运达股份</t>
  </si>
  <si>
    <t>300773.SZ</t>
  </si>
  <si>
    <t>拉卡拉</t>
  </si>
  <si>
    <t>300774.SZ</t>
  </si>
  <si>
    <t>倍杰特</t>
  </si>
  <si>
    <t>300775.SZ</t>
  </si>
  <si>
    <t>三角防务</t>
  </si>
  <si>
    <t>300776.SZ</t>
  </si>
  <si>
    <t>帝尔激光</t>
  </si>
  <si>
    <t>300777.SZ</t>
  </si>
  <si>
    <t>中简科技</t>
  </si>
  <si>
    <t>300778.SZ</t>
  </si>
  <si>
    <t>新城市</t>
  </si>
  <si>
    <t>300779.SZ</t>
  </si>
  <si>
    <t>惠城环保</t>
  </si>
  <si>
    <t>300780.SZ</t>
  </si>
  <si>
    <t>德恩精工</t>
  </si>
  <si>
    <t>300781.SZ</t>
  </si>
  <si>
    <t>因赛集团</t>
  </si>
  <si>
    <t>300782.SZ</t>
  </si>
  <si>
    <t>卓胜微</t>
  </si>
  <si>
    <t>300783.SZ</t>
  </si>
  <si>
    <t>三只松鼠</t>
  </si>
  <si>
    <t>300785.SZ</t>
  </si>
  <si>
    <t>值得买</t>
  </si>
  <si>
    <t>300786.SZ</t>
  </si>
  <si>
    <t>国林科技</t>
  </si>
  <si>
    <t>300787.SZ</t>
  </si>
  <si>
    <t>海能实业</t>
  </si>
  <si>
    <t>300788.SZ</t>
  </si>
  <si>
    <t>中信出版</t>
  </si>
  <si>
    <t>300789.SZ</t>
  </si>
  <si>
    <t>唐源电气</t>
  </si>
  <si>
    <t>300790.SZ</t>
  </si>
  <si>
    <t>宇瞳光学</t>
  </si>
  <si>
    <t>300791.SZ</t>
  </si>
  <si>
    <t>仙乐健康</t>
  </si>
  <si>
    <t>300792.SZ</t>
  </si>
  <si>
    <t>壹网壹创</t>
  </si>
  <si>
    <t>300793.SZ</t>
  </si>
  <si>
    <t>佳禾智能</t>
  </si>
  <si>
    <t>300795.SZ</t>
  </si>
  <si>
    <t>米奥会展</t>
  </si>
  <si>
    <t>300796.SZ</t>
  </si>
  <si>
    <t>贝斯美</t>
  </si>
  <si>
    <t>300797.SZ</t>
  </si>
  <si>
    <t>钢研纳克</t>
  </si>
  <si>
    <t>300798.SZ</t>
  </si>
  <si>
    <t>锦鸡股份</t>
  </si>
  <si>
    <t>300800.SZ</t>
  </si>
  <si>
    <t>力合科技</t>
  </si>
  <si>
    <t>300801.SZ</t>
  </si>
  <si>
    <t>泰和科技</t>
  </si>
  <si>
    <t>300802.SZ</t>
  </si>
  <si>
    <t>矩子科技</t>
  </si>
  <si>
    <t>300803.SZ</t>
  </si>
  <si>
    <t>指南针</t>
  </si>
  <si>
    <t>300804.SZ</t>
  </si>
  <si>
    <t>广康生化</t>
  </si>
  <si>
    <t>300805.SZ</t>
  </si>
  <si>
    <t>电声股份</t>
  </si>
  <si>
    <t>300806.SZ</t>
  </si>
  <si>
    <t>斯迪克</t>
  </si>
  <si>
    <t>300807.SZ</t>
  </si>
  <si>
    <t>天迈科技</t>
  </si>
  <si>
    <t>300808.SZ</t>
  </si>
  <si>
    <t>久量股份</t>
  </si>
  <si>
    <t>300809.SZ</t>
  </si>
  <si>
    <t>华辰装备</t>
  </si>
  <si>
    <t>300810.SZ</t>
  </si>
  <si>
    <t>中科海讯</t>
  </si>
  <si>
    <t>300811.SZ</t>
  </si>
  <si>
    <t>铂科新材</t>
  </si>
  <si>
    <t>300812.SZ</t>
  </si>
  <si>
    <t>易天股份</t>
  </si>
  <si>
    <t>300813.SZ</t>
  </si>
  <si>
    <t>泰林生物</t>
  </si>
  <si>
    <t>300814.SZ</t>
  </si>
  <si>
    <t>中富电路</t>
  </si>
  <si>
    <t>300815.SZ</t>
  </si>
  <si>
    <t>玉禾田</t>
  </si>
  <si>
    <t>300816.SZ</t>
  </si>
  <si>
    <t>艾可蓝</t>
  </si>
  <si>
    <t>300817.SZ</t>
  </si>
  <si>
    <t>双飞集团</t>
  </si>
  <si>
    <t>300818.SZ</t>
  </si>
  <si>
    <t>耐普矿机</t>
  </si>
  <si>
    <t>300819.SZ</t>
  </si>
  <si>
    <t>聚杰微纤</t>
  </si>
  <si>
    <t>300820.SZ</t>
  </si>
  <si>
    <t>英杰电气</t>
  </si>
  <si>
    <t>300821.SZ</t>
  </si>
  <si>
    <t>东岳硅材</t>
  </si>
  <si>
    <t>300822.SZ</t>
  </si>
  <si>
    <t>贝仕达克</t>
  </si>
  <si>
    <t>300823.SZ</t>
  </si>
  <si>
    <t>300824.SZ</t>
  </si>
  <si>
    <t>北鼎股份</t>
  </si>
  <si>
    <t>300825.SZ</t>
  </si>
  <si>
    <t>阿尔特</t>
  </si>
  <si>
    <t>300826.SZ</t>
  </si>
  <si>
    <t>测绘股份</t>
  </si>
  <si>
    <t>300827.SZ</t>
  </si>
  <si>
    <t>上能电气</t>
  </si>
  <si>
    <t>300828.SZ</t>
  </si>
  <si>
    <t>锐新科技</t>
  </si>
  <si>
    <t>300829.SZ</t>
  </si>
  <si>
    <t>金丹科技</t>
  </si>
  <si>
    <t>300830.SZ</t>
  </si>
  <si>
    <t>金现代</t>
  </si>
  <si>
    <t>300831.SZ</t>
  </si>
  <si>
    <t>派瑞股份</t>
  </si>
  <si>
    <t>300832.SZ</t>
  </si>
  <si>
    <t>新产业</t>
  </si>
  <si>
    <t>300833.SZ</t>
  </si>
  <si>
    <t>浩洋股份</t>
  </si>
  <si>
    <t>300834.SZ</t>
  </si>
  <si>
    <t>星辉环材</t>
  </si>
  <si>
    <t>300835.SZ</t>
  </si>
  <si>
    <t>龙磁科技</t>
  </si>
  <si>
    <t>300836.SZ</t>
  </si>
  <si>
    <t>佰奥智能</t>
  </si>
  <si>
    <t>300837.SZ</t>
  </si>
  <si>
    <t>浙矿股份</t>
  </si>
  <si>
    <t>300838.SZ</t>
  </si>
  <si>
    <t>浙江力诺</t>
  </si>
  <si>
    <t>300839.SZ</t>
  </si>
  <si>
    <t>博汇股份</t>
  </si>
  <si>
    <t>300840.SZ</t>
  </si>
  <si>
    <t>酷特智能</t>
  </si>
  <si>
    <t>300841.SZ</t>
  </si>
  <si>
    <t>康华生物</t>
  </si>
  <si>
    <t>300842.SZ</t>
  </si>
  <si>
    <t>帝科股份</t>
  </si>
  <si>
    <t>300843.SZ</t>
  </si>
  <si>
    <t>胜蓝股份</t>
  </si>
  <si>
    <t>300844.SZ</t>
  </si>
  <si>
    <t>山水比德</t>
  </si>
  <si>
    <t>300845.SZ</t>
  </si>
  <si>
    <t>捷安高科</t>
  </si>
  <si>
    <t>300846.SZ</t>
  </si>
  <si>
    <t>首都在线</t>
  </si>
  <si>
    <t>300847.SZ</t>
  </si>
  <si>
    <t>中船汉光</t>
  </si>
  <si>
    <t>300848.SZ</t>
  </si>
  <si>
    <t>美瑞新材</t>
  </si>
  <si>
    <t>300849.SZ</t>
  </si>
  <si>
    <t>锦盛新材</t>
  </si>
  <si>
    <t>300850.SZ</t>
  </si>
  <si>
    <t>新强联</t>
  </si>
  <si>
    <t>300851.SZ</t>
  </si>
  <si>
    <t>交大思诺</t>
  </si>
  <si>
    <t>300852.SZ</t>
  </si>
  <si>
    <t>四会富仕</t>
  </si>
  <si>
    <t>300853.SZ</t>
  </si>
  <si>
    <t>申昊科技</t>
  </si>
  <si>
    <t>300854.SZ</t>
  </si>
  <si>
    <t>中兰环保</t>
  </si>
  <si>
    <t>300855.SZ</t>
  </si>
  <si>
    <t>图南股份</t>
  </si>
  <si>
    <t>300856.SZ</t>
  </si>
  <si>
    <t>科思股份</t>
  </si>
  <si>
    <t>300857.SZ</t>
  </si>
  <si>
    <t>协创数据</t>
  </si>
  <si>
    <t>300858.SZ</t>
  </si>
  <si>
    <t>科拓生物</t>
  </si>
  <si>
    <t>300859.SZ</t>
  </si>
  <si>
    <t>300860.SZ</t>
  </si>
  <si>
    <t>锋尚文化</t>
  </si>
  <si>
    <t>300861.SZ</t>
  </si>
  <si>
    <t>美畅股份</t>
  </si>
  <si>
    <t>300862.SZ</t>
  </si>
  <si>
    <t>蓝盾光电</t>
  </si>
  <si>
    <t>300863.SZ</t>
  </si>
  <si>
    <t>卡倍亿</t>
  </si>
  <si>
    <t>300864.SZ</t>
  </si>
  <si>
    <t>南大环境</t>
  </si>
  <si>
    <t>300865.SZ</t>
  </si>
  <si>
    <t>大宏立</t>
  </si>
  <si>
    <t>300866.SZ</t>
  </si>
  <si>
    <t>安克创新</t>
  </si>
  <si>
    <t>300867.SZ</t>
  </si>
  <si>
    <t>圣元环保</t>
  </si>
  <si>
    <t>300868.SZ</t>
  </si>
  <si>
    <t>杰美特</t>
  </si>
  <si>
    <t>300869.SZ</t>
  </si>
  <si>
    <t>康泰医学</t>
  </si>
  <si>
    <t>300870.SZ</t>
  </si>
  <si>
    <t>欧陆通</t>
  </si>
  <si>
    <t>300871.SZ</t>
  </si>
  <si>
    <t>回盛生物</t>
  </si>
  <si>
    <t>300872.SZ</t>
  </si>
  <si>
    <t>天阳科技</t>
  </si>
  <si>
    <t>300873.SZ</t>
  </si>
  <si>
    <t>海晨股份</t>
  </si>
  <si>
    <t>300875.SZ</t>
  </si>
  <si>
    <t>捷强装备</t>
  </si>
  <si>
    <t>300876.SZ</t>
  </si>
  <si>
    <t>蒙泰高新</t>
  </si>
  <si>
    <t>300877.SZ</t>
  </si>
  <si>
    <t>金春股份</t>
  </si>
  <si>
    <t>300878.SZ</t>
  </si>
  <si>
    <t>维康药业</t>
  </si>
  <si>
    <t>300879.SZ</t>
  </si>
  <si>
    <t>大叶股份</t>
  </si>
  <si>
    <t>300880.SZ</t>
  </si>
  <si>
    <t>迦南智能</t>
  </si>
  <si>
    <t>300881.SZ</t>
  </si>
  <si>
    <t>盛德鑫泰</t>
  </si>
  <si>
    <t>300882.SZ</t>
  </si>
  <si>
    <t>万胜智能</t>
  </si>
  <si>
    <t>300883.SZ</t>
  </si>
  <si>
    <t>龙利得</t>
  </si>
  <si>
    <t>300884.SZ</t>
  </si>
  <si>
    <t>狄耐克</t>
  </si>
  <si>
    <t>300885.SZ</t>
  </si>
  <si>
    <t>海昌新材</t>
  </si>
  <si>
    <t>300886.SZ</t>
  </si>
  <si>
    <t>华业香料</t>
  </si>
  <si>
    <t>300887.SZ</t>
  </si>
  <si>
    <t>谱尼测试</t>
  </si>
  <si>
    <t>300888.SZ</t>
  </si>
  <si>
    <t>稳健医疗</t>
  </si>
  <si>
    <t>300889.SZ</t>
  </si>
  <si>
    <t>爱克股份</t>
  </si>
  <si>
    <t>300890.SZ</t>
  </si>
  <si>
    <t>翔丰华</t>
  </si>
  <si>
    <t>300891.SZ</t>
  </si>
  <si>
    <t>惠云钛业</t>
  </si>
  <si>
    <t>300892.SZ</t>
  </si>
  <si>
    <t>品渥食品</t>
  </si>
  <si>
    <t>300893.SZ</t>
  </si>
  <si>
    <t>300894.SZ</t>
  </si>
  <si>
    <t>火星人</t>
  </si>
  <si>
    <t>300895.SZ</t>
  </si>
  <si>
    <t>铜牛信息</t>
  </si>
  <si>
    <t>300896.SZ</t>
  </si>
  <si>
    <t>爱美客</t>
  </si>
  <si>
    <t>300897.SZ</t>
  </si>
  <si>
    <t>山科智能</t>
  </si>
  <si>
    <t>300898.SZ</t>
  </si>
  <si>
    <t>熊猫乳品</t>
  </si>
  <si>
    <t>300899.SZ</t>
  </si>
  <si>
    <t>300900.SZ</t>
  </si>
  <si>
    <t>广联航空</t>
  </si>
  <si>
    <t>300901.SZ</t>
  </si>
  <si>
    <t>中胤时尚</t>
  </si>
  <si>
    <t>300902.SZ</t>
  </si>
  <si>
    <t>国安达</t>
  </si>
  <si>
    <t>300903.SZ</t>
  </si>
  <si>
    <t>科翔股份</t>
  </si>
  <si>
    <t>300904.SZ</t>
  </si>
  <si>
    <t>威力传动</t>
  </si>
  <si>
    <t>300905.SZ</t>
  </si>
  <si>
    <t>宝丽迪</t>
  </si>
  <si>
    <t>300906.SZ</t>
  </si>
  <si>
    <t>日月明</t>
  </si>
  <si>
    <t>300907.SZ</t>
  </si>
  <si>
    <t>康平科技</t>
  </si>
  <si>
    <t>300908.SZ</t>
  </si>
  <si>
    <t>仲景食品</t>
  </si>
  <si>
    <t>300909.SZ</t>
  </si>
  <si>
    <t>汇创达</t>
  </si>
  <si>
    <t>300910.SZ</t>
  </si>
  <si>
    <t>瑞丰新材</t>
  </si>
  <si>
    <t>300911.SZ</t>
  </si>
  <si>
    <t>亿田智能</t>
  </si>
  <si>
    <t>300912.SZ</t>
  </si>
  <si>
    <t>凯龙高科</t>
  </si>
  <si>
    <t>300913.SZ</t>
  </si>
  <si>
    <t>兆龙互连</t>
  </si>
  <si>
    <t>300915.SZ</t>
  </si>
  <si>
    <t>海融科技</t>
  </si>
  <si>
    <t>300916.SZ</t>
  </si>
  <si>
    <t>朗特智能</t>
  </si>
  <si>
    <t>300917.SZ</t>
  </si>
  <si>
    <t>特发服务</t>
  </si>
  <si>
    <t>300918.SZ</t>
  </si>
  <si>
    <t>南山智尚</t>
  </si>
  <si>
    <t>300919.SZ</t>
  </si>
  <si>
    <t>300920.SZ</t>
  </si>
  <si>
    <t>润阳科技</t>
  </si>
  <si>
    <t>300921.SZ</t>
  </si>
  <si>
    <t>南凌科技</t>
  </si>
  <si>
    <t>300922.SZ</t>
  </si>
  <si>
    <t>天秦装备</t>
  </si>
  <si>
    <t>300923.SZ</t>
  </si>
  <si>
    <t>研奥股份</t>
  </si>
  <si>
    <t>300925.SZ</t>
  </si>
  <si>
    <t>法本信息</t>
  </si>
  <si>
    <t>300926.SZ</t>
  </si>
  <si>
    <t>博俊科技</t>
  </si>
  <si>
    <t>300927.SZ</t>
  </si>
  <si>
    <t>江天化学</t>
  </si>
  <si>
    <t>300928.SZ</t>
  </si>
  <si>
    <t>华安鑫创</t>
  </si>
  <si>
    <t>300929.SZ</t>
  </si>
  <si>
    <t>华骐环保</t>
  </si>
  <si>
    <t>300930.SZ</t>
  </si>
  <si>
    <t>屹通新材</t>
  </si>
  <si>
    <t>300931.SZ</t>
  </si>
  <si>
    <t>通用电梯</t>
  </si>
  <si>
    <t>300932.SZ</t>
  </si>
  <si>
    <t>三友联众</t>
  </si>
  <si>
    <t>300933.SZ</t>
  </si>
  <si>
    <t>中辰股份</t>
  </si>
  <si>
    <t>300935.SZ</t>
  </si>
  <si>
    <t>盈建科</t>
  </si>
  <si>
    <t>300936.SZ</t>
  </si>
  <si>
    <t>中英科技</t>
  </si>
  <si>
    <t>300937.SZ</t>
  </si>
  <si>
    <t>药易购</t>
  </si>
  <si>
    <t>300938.SZ</t>
  </si>
  <si>
    <t>信测标准</t>
  </si>
  <si>
    <t>300939.SZ</t>
  </si>
  <si>
    <t>秋田微</t>
  </si>
  <si>
    <t>300940.SZ</t>
  </si>
  <si>
    <t>南极光</t>
  </si>
  <si>
    <t>300941.SZ</t>
  </si>
  <si>
    <t>创识科技</t>
  </si>
  <si>
    <t>300942.SZ</t>
  </si>
  <si>
    <t>易瑞生物</t>
  </si>
  <si>
    <t>300943.SZ</t>
  </si>
  <si>
    <t>春晖智控</t>
  </si>
  <si>
    <t>300945.SZ</t>
  </si>
  <si>
    <t>曼卡龙</t>
  </si>
  <si>
    <t>300946.SZ</t>
  </si>
  <si>
    <t>恒而达</t>
  </si>
  <si>
    <t>300947.SZ</t>
  </si>
  <si>
    <t>德必集团</t>
  </si>
  <si>
    <t>300948.SZ</t>
  </si>
  <si>
    <t>冠中生态</t>
  </si>
  <si>
    <t>300949.SZ</t>
  </si>
  <si>
    <t>奥雅股份</t>
  </si>
  <si>
    <t>300950.SZ</t>
  </si>
  <si>
    <t>德固特</t>
  </si>
  <si>
    <t>300951.SZ</t>
  </si>
  <si>
    <t>博硕科技</t>
  </si>
  <si>
    <t>300952.SZ</t>
  </si>
  <si>
    <t>恒辉安防</t>
  </si>
  <si>
    <t>300953.SZ</t>
  </si>
  <si>
    <t>震裕科技</t>
  </si>
  <si>
    <t>300955.SZ</t>
  </si>
  <si>
    <t>嘉亨家化</t>
  </si>
  <si>
    <t>300956.SZ</t>
  </si>
  <si>
    <t>英力股份</t>
  </si>
  <si>
    <t>300957.SZ</t>
  </si>
  <si>
    <t>贝泰妮</t>
  </si>
  <si>
    <t>300958.SZ</t>
  </si>
  <si>
    <t>建工修复</t>
  </si>
  <si>
    <t>300959.SZ</t>
  </si>
  <si>
    <t>线上线下</t>
  </si>
  <si>
    <t>300960.SZ</t>
  </si>
  <si>
    <t>通业科技</t>
  </si>
  <si>
    <t>300961.SZ</t>
  </si>
  <si>
    <t>深水海纳</t>
  </si>
  <si>
    <t>300962.SZ</t>
  </si>
  <si>
    <t>中金辐照</t>
  </si>
  <si>
    <t>300963.SZ</t>
  </si>
  <si>
    <t>中洲特材</t>
  </si>
  <si>
    <t>300964.SZ</t>
  </si>
  <si>
    <t>本川智能</t>
  </si>
  <si>
    <t>300965.SZ</t>
  </si>
  <si>
    <t>恒宇信通</t>
  </si>
  <si>
    <t>300966.SZ</t>
  </si>
  <si>
    <t>共同药业</t>
  </si>
  <si>
    <t>300967.SZ</t>
  </si>
  <si>
    <t>晓鸣股份</t>
  </si>
  <si>
    <t>300968.SZ</t>
  </si>
  <si>
    <t>格林精密</t>
  </si>
  <si>
    <t>300969.SZ</t>
  </si>
  <si>
    <t>恒帅股份</t>
  </si>
  <si>
    <t>300970.SZ</t>
  </si>
  <si>
    <t>华绿生物</t>
  </si>
  <si>
    <t>300971.SZ</t>
  </si>
  <si>
    <t>博亚精工</t>
  </si>
  <si>
    <t>300972.SZ</t>
  </si>
  <si>
    <t>万辰集团</t>
  </si>
  <si>
    <t>300973.SZ</t>
  </si>
  <si>
    <t>立高食品</t>
  </si>
  <si>
    <t>300975.SZ</t>
  </si>
  <si>
    <t>商络电子</t>
  </si>
  <si>
    <t>300976.SZ</t>
  </si>
  <si>
    <t>达瑞电子</t>
  </si>
  <si>
    <t>300977.SZ</t>
  </si>
  <si>
    <t>深圳瑞捷</t>
  </si>
  <si>
    <t>300978.SZ</t>
  </si>
  <si>
    <t>东箭科技</t>
  </si>
  <si>
    <t>300979.SZ</t>
  </si>
  <si>
    <t>华利集团</t>
  </si>
  <si>
    <t>300980.SZ</t>
  </si>
  <si>
    <t>祥源新材</t>
  </si>
  <si>
    <t>300981.SZ</t>
  </si>
  <si>
    <t>中红医疗</t>
  </si>
  <si>
    <t>300982.SZ</t>
  </si>
  <si>
    <t>苏文电能</t>
  </si>
  <si>
    <t>300983.SZ</t>
  </si>
  <si>
    <t>尤安设计</t>
  </si>
  <si>
    <t>300984.SZ</t>
  </si>
  <si>
    <t>金沃股份</t>
  </si>
  <si>
    <t>300985.SZ</t>
  </si>
  <si>
    <t>致远新能</t>
  </si>
  <si>
    <t>300986.SZ</t>
  </si>
  <si>
    <t>志特新材</t>
  </si>
  <si>
    <t>300987.SZ</t>
  </si>
  <si>
    <t>川网传媒</t>
  </si>
  <si>
    <t>300988.SZ</t>
  </si>
  <si>
    <t>津荣天宇</t>
  </si>
  <si>
    <t>300989.SZ</t>
  </si>
  <si>
    <t>蕾奥规划</t>
  </si>
  <si>
    <t>300990.SZ</t>
  </si>
  <si>
    <t>同飞股份</t>
  </si>
  <si>
    <t>300991.SZ</t>
  </si>
  <si>
    <t>创益通</t>
  </si>
  <si>
    <t>300992.SZ</t>
  </si>
  <si>
    <t>泰福泵业</t>
  </si>
  <si>
    <t>300993.SZ</t>
  </si>
  <si>
    <t>300994.SZ</t>
  </si>
  <si>
    <t>久祺股份</t>
  </si>
  <si>
    <t>300995.SZ</t>
  </si>
  <si>
    <t>奇德新材</t>
  </si>
  <si>
    <t>300996.SZ</t>
  </si>
  <si>
    <t>普联软件</t>
  </si>
  <si>
    <t>300997.SZ</t>
  </si>
  <si>
    <t>欢乐家</t>
  </si>
  <si>
    <t>300998.SZ</t>
  </si>
  <si>
    <t>宁波方正</t>
  </si>
  <si>
    <t>300999.SZ</t>
  </si>
  <si>
    <t>金龙鱼</t>
  </si>
  <si>
    <t>301000.SZ</t>
  </si>
  <si>
    <t>肇民科技</t>
  </si>
  <si>
    <t>301001.SZ</t>
  </si>
  <si>
    <t>凯淳股份</t>
  </si>
  <si>
    <t>301002.SZ</t>
  </si>
  <si>
    <t>崧盛股份</t>
  </si>
  <si>
    <t>301003.SZ</t>
  </si>
  <si>
    <t>江苏博云</t>
  </si>
  <si>
    <t>301004.SZ</t>
  </si>
  <si>
    <t>嘉益股份</t>
  </si>
  <si>
    <t>301005.SZ</t>
  </si>
  <si>
    <t>超捷股份</t>
  </si>
  <si>
    <t>301006.SZ</t>
  </si>
  <si>
    <t>迈拓股份</t>
  </si>
  <si>
    <t>301007.SZ</t>
  </si>
  <si>
    <t>德迈仕</t>
  </si>
  <si>
    <t>301008.SZ</t>
  </si>
  <si>
    <t>宏昌科技</t>
  </si>
  <si>
    <t>301009.SZ</t>
  </si>
  <si>
    <t>可靠股份</t>
  </si>
  <si>
    <t>301010.SZ</t>
  </si>
  <si>
    <t>晶雪节能</t>
  </si>
  <si>
    <t>301011.SZ</t>
  </si>
  <si>
    <t>华立科技</t>
  </si>
  <si>
    <t>301012.SZ</t>
  </si>
  <si>
    <t>扬电科技</t>
  </si>
  <si>
    <t>301013.SZ</t>
  </si>
  <si>
    <t>利和兴</t>
  </si>
  <si>
    <t>301015.SZ</t>
  </si>
  <si>
    <t>百洋医药</t>
  </si>
  <si>
    <t>301016.SZ</t>
  </si>
  <si>
    <t>雷尔伟</t>
  </si>
  <si>
    <t>301017.SZ</t>
  </si>
  <si>
    <t>漱玉平民</t>
  </si>
  <si>
    <t>301018.SZ</t>
  </si>
  <si>
    <t>申菱环境</t>
  </si>
  <si>
    <t>301019.SZ</t>
  </si>
  <si>
    <t>宁波色母</t>
  </si>
  <si>
    <t>301020.SZ</t>
  </si>
  <si>
    <t>密封科技</t>
  </si>
  <si>
    <t>301021.SZ</t>
  </si>
  <si>
    <t>英诺激光</t>
  </si>
  <si>
    <t>301022.SZ</t>
  </si>
  <si>
    <t>海泰科</t>
  </si>
  <si>
    <t>301023.SZ</t>
  </si>
  <si>
    <t>301024.SZ</t>
  </si>
  <si>
    <t>霍普股份</t>
  </si>
  <si>
    <t>301025.SZ</t>
  </si>
  <si>
    <t>读客文化</t>
  </si>
  <si>
    <t>301026.SZ</t>
  </si>
  <si>
    <t>浩通科技</t>
  </si>
  <si>
    <t>301027.SZ</t>
  </si>
  <si>
    <t>华蓝集团</t>
  </si>
  <si>
    <t>301028.SZ</t>
  </si>
  <si>
    <t>301029.SZ</t>
  </si>
  <si>
    <t>怡合达</t>
  </si>
  <si>
    <t>301030.SZ</t>
  </si>
  <si>
    <t>仕净科技</t>
  </si>
  <si>
    <t>301031.SZ</t>
  </si>
  <si>
    <t>中熔电气</t>
  </si>
  <si>
    <t>301032.SZ</t>
  </si>
  <si>
    <t>新柴股份</t>
  </si>
  <si>
    <t>301033.SZ</t>
  </si>
  <si>
    <t>迈普医学</t>
  </si>
  <si>
    <t>301035.SZ</t>
  </si>
  <si>
    <t>润丰股份</t>
  </si>
  <si>
    <t>301036.SZ</t>
  </si>
  <si>
    <t>双乐股份</t>
  </si>
  <si>
    <t>301037.SZ</t>
  </si>
  <si>
    <t>保立佳</t>
  </si>
  <si>
    <t>301038.SZ</t>
  </si>
  <si>
    <t>深水规院</t>
  </si>
  <si>
    <t>301039.SZ</t>
  </si>
  <si>
    <t>中集车辆</t>
  </si>
  <si>
    <t>301040.SZ</t>
  </si>
  <si>
    <t>中环海陆</t>
  </si>
  <si>
    <t>301041.SZ</t>
  </si>
  <si>
    <t>金百泽</t>
  </si>
  <si>
    <t>301042.SZ</t>
  </si>
  <si>
    <t>安联锐视</t>
  </si>
  <si>
    <t>301043.SZ</t>
  </si>
  <si>
    <t>绿岛风</t>
  </si>
  <si>
    <t>301045.SZ</t>
  </si>
  <si>
    <t>天禄科技</t>
  </si>
  <si>
    <t>301046.SZ</t>
  </si>
  <si>
    <t>能辉科技</t>
  </si>
  <si>
    <t>301047.SZ</t>
  </si>
  <si>
    <t>义翘神州</t>
  </si>
  <si>
    <t>301048.SZ</t>
  </si>
  <si>
    <t>金鹰重工</t>
  </si>
  <si>
    <t>301049.SZ</t>
  </si>
  <si>
    <t>超越科技</t>
  </si>
  <si>
    <t>301050.SZ</t>
  </si>
  <si>
    <t>雷电微力</t>
  </si>
  <si>
    <t>301051.SZ</t>
  </si>
  <si>
    <t>信濠光电</t>
  </si>
  <si>
    <t>301052.SZ</t>
  </si>
  <si>
    <t>果麦文化</t>
  </si>
  <si>
    <t>301053.SZ</t>
  </si>
  <si>
    <t>远信工业</t>
  </si>
  <si>
    <t>301055.SZ</t>
  </si>
  <si>
    <t>张小泉</t>
  </si>
  <si>
    <t>301056.SZ</t>
  </si>
  <si>
    <t>森赫股份</t>
  </si>
  <si>
    <t>301057.SZ</t>
  </si>
  <si>
    <t>汇隆新材</t>
  </si>
  <si>
    <t>301058.SZ</t>
  </si>
  <si>
    <t>中粮科工</t>
  </si>
  <si>
    <t>301059.SZ</t>
  </si>
  <si>
    <t>金三江</t>
  </si>
  <si>
    <t>301060.SZ</t>
  </si>
  <si>
    <t>兰卫医学</t>
  </si>
  <si>
    <t>301061.SZ</t>
  </si>
  <si>
    <t>匠心家居</t>
  </si>
  <si>
    <t>301062.SZ</t>
  </si>
  <si>
    <t>上海艾录</t>
  </si>
  <si>
    <t>301063.SZ</t>
  </si>
  <si>
    <t>海锅股份</t>
  </si>
  <si>
    <t>301065.SZ</t>
  </si>
  <si>
    <t>本立科技</t>
  </si>
  <si>
    <t>301066.SZ</t>
  </si>
  <si>
    <t>万事利</t>
  </si>
  <si>
    <t>301067.SZ</t>
  </si>
  <si>
    <t>显盈科技</t>
  </si>
  <si>
    <t>301068.SZ</t>
  </si>
  <si>
    <t>大地海洋</t>
  </si>
  <si>
    <t>301069.SZ</t>
  </si>
  <si>
    <t>凯盛新材</t>
  </si>
  <si>
    <t>301070.SZ</t>
  </si>
  <si>
    <t>开勒股份</t>
  </si>
  <si>
    <t>301071.SZ</t>
  </si>
  <si>
    <t>力量钻石</t>
  </si>
  <si>
    <t>301072.SZ</t>
  </si>
  <si>
    <t>中捷精工</t>
  </si>
  <si>
    <t>301073.SZ</t>
  </si>
  <si>
    <t>君亭酒店</t>
  </si>
  <si>
    <t>301075.SZ</t>
  </si>
  <si>
    <t>多瑞医药</t>
  </si>
  <si>
    <t>301076.SZ</t>
  </si>
  <si>
    <t>新瀚新材</t>
  </si>
  <si>
    <t>301077.SZ</t>
  </si>
  <si>
    <t>星华新材</t>
  </si>
  <si>
    <t>301078.SZ</t>
  </si>
  <si>
    <t>孩子王</t>
  </si>
  <si>
    <t>301079.SZ</t>
  </si>
  <si>
    <t>邵阳液压</t>
  </si>
  <si>
    <t>301080.SZ</t>
  </si>
  <si>
    <t>百普赛斯</t>
  </si>
  <si>
    <t>301081.SZ</t>
  </si>
  <si>
    <t>严牌股份</t>
  </si>
  <si>
    <t>301082.SZ</t>
  </si>
  <si>
    <t>久盛电气</t>
  </si>
  <si>
    <t>301083.SZ</t>
  </si>
  <si>
    <t>百胜智能</t>
  </si>
  <si>
    <t>301085.SZ</t>
  </si>
  <si>
    <t>亚康股份</t>
  </si>
  <si>
    <t>301086.SZ</t>
  </si>
  <si>
    <t>鸿富瀚</t>
  </si>
  <si>
    <t>301087.SZ</t>
  </si>
  <si>
    <t>可孚医疗</t>
  </si>
  <si>
    <t>301088.SZ</t>
  </si>
  <si>
    <t>戎美股份</t>
  </si>
  <si>
    <t>301089.SZ</t>
  </si>
  <si>
    <t>拓新药业</t>
  </si>
  <si>
    <t>301090.SZ</t>
  </si>
  <si>
    <t>华润材料</t>
  </si>
  <si>
    <t>301091.SZ</t>
  </si>
  <si>
    <t>深城交</t>
  </si>
  <si>
    <t>301092.SZ</t>
  </si>
  <si>
    <t>争光股份</t>
  </si>
  <si>
    <t>301093.SZ</t>
  </si>
  <si>
    <t>华兰股份</t>
  </si>
  <si>
    <t>301095.SZ</t>
  </si>
  <si>
    <t>广立微</t>
  </si>
  <si>
    <t>301096.SZ</t>
  </si>
  <si>
    <t>百诚医药</t>
  </si>
  <si>
    <t>301097.SZ</t>
  </si>
  <si>
    <t>天益医疗</t>
  </si>
  <si>
    <t>301098.SZ</t>
  </si>
  <si>
    <t>金埔园林</t>
  </si>
  <si>
    <t>301099.SZ</t>
  </si>
  <si>
    <t>雅创电子</t>
  </si>
  <si>
    <t>301100.SZ</t>
  </si>
  <si>
    <t>风光股份</t>
  </si>
  <si>
    <t>301101.SZ</t>
  </si>
  <si>
    <t>明月镜片</t>
  </si>
  <si>
    <t>301102.SZ</t>
  </si>
  <si>
    <t>兆讯传媒</t>
  </si>
  <si>
    <t>301103.SZ</t>
  </si>
  <si>
    <t>何氏眼科</t>
  </si>
  <si>
    <t>301105.SZ</t>
  </si>
  <si>
    <t>鸿铭股份</t>
  </si>
  <si>
    <t>301106.SZ</t>
  </si>
  <si>
    <t>骏成科技</t>
  </si>
  <si>
    <t>301107.SZ</t>
  </si>
  <si>
    <t>瑜欣电子</t>
  </si>
  <si>
    <t>301108.SZ</t>
  </si>
  <si>
    <t>洁雅股份</t>
  </si>
  <si>
    <t>301109.SZ</t>
  </si>
  <si>
    <t>军信股份</t>
  </si>
  <si>
    <t>301110.SZ</t>
  </si>
  <si>
    <t>301111.SZ</t>
  </si>
  <si>
    <t>粤万年青</t>
  </si>
  <si>
    <t>301112.SZ</t>
  </si>
  <si>
    <t>信邦智能</t>
  </si>
  <si>
    <t>301113.SZ</t>
  </si>
  <si>
    <t>雅艺科技</t>
  </si>
  <si>
    <t>301115.SZ</t>
  </si>
  <si>
    <t>301116.SZ</t>
  </si>
  <si>
    <t>益客食品</t>
  </si>
  <si>
    <t>301117.SZ</t>
  </si>
  <si>
    <t>佳缘科技</t>
  </si>
  <si>
    <t>301118.SZ</t>
  </si>
  <si>
    <t>恒光股份</t>
  </si>
  <si>
    <t>301119.SZ</t>
  </si>
  <si>
    <t>正强股份</t>
  </si>
  <si>
    <t>301120.SZ</t>
  </si>
  <si>
    <t>新特电气</t>
  </si>
  <si>
    <t>301121.SZ</t>
  </si>
  <si>
    <t>紫建电子</t>
  </si>
  <si>
    <t>301122.SZ</t>
  </si>
  <si>
    <t>采纳股份</t>
  </si>
  <si>
    <t>301123.SZ</t>
  </si>
  <si>
    <t>奕东电子</t>
  </si>
  <si>
    <t>301125.SZ</t>
  </si>
  <si>
    <t>腾亚精工</t>
  </si>
  <si>
    <t>301126.SZ</t>
  </si>
  <si>
    <t>达嘉维康</t>
  </si>
  <si>
    <t>301127.SZ</t>
  </si>
  <si>
    <t>301128.SZ</t>
  </si>
  <si>
    <t>强瑞技术</t>
  </si>
  <si>
    <t>301129.SZ</t>
  </si>
  <si>
    <t>瑞纳智能</t>
  </si>
  <si>
    <t>301130.SZ</t>
  </si>
  <si>
    <t>西点药业</t>
  </si>
  <si>
    <t>301131.SZ</t>
  </si>
  <si>
    <t>聚赛龙</t>
  </si>
  <si>
    <t>301132.SZ</t>
  </si>
  <si>
    <t>满坤科技</t>
  </si>
  <si>
    <t>301133.SZ</t>
  </si>
  <si>
    <t>金钟股份</t>
  </si>
  <si>
    <t>301135.SZ</t>
  </si>
  <si>
    <t>瑞德智能</t>
  </si>
  <si>
    <t>301136.SZ</t>
  </si>
  <si>
    <t>招标股份</t>
  </si>
  <si>
    <t>301137.SZ</t>
  </si>
  <si>
    <t>哈焊华通</t>
  </si>
  <si>
    <t>301138.SZ</t>
  </si>
  <si>
    <t>华研精机</t>
  </si>
  <si>
    <t>301139.SZ</t>
  </si>
  <si>
    <t>元道通信</t>
  </si>
  <si>
    <t>301141.SZ</t>
  </si>
  <si>
    <t>中科磁业</t>
  </si>
  <si>
    <t>301148.SZ</t>
  </si>
  <si>
    <t>嘉戎技术</t>
  </si>
  <si>
    <t>301149.SZ</t>
  </si>
  <si>
    <t>隆华新材</t>
  </si>
  <si>
    <t>301150.SZ</t>
  </si>
  <si>
    <t>中一科技</t>
  </si>
  <si>
    <t>301151.SZ</t>
  </si>
  <si>
    <t>冠龙节能</t>
  </si>
  <si>
    <t>301152.SZ</t>
  </si>
  <si>
    <t>天力锂能</t>
  </si>
  <si>
    <t>301153.SZ</t>
  </si>
  <si>
    <t>中科江南</t>
  </si>
  <si>
    <t>301155.SZ</t>
  </si>
  <si>
    <t>海力风电</t>
  </si>
  <si>
    <t>301156.SZ</t>
  </si>
  <si>
    <t>美农生物</t>
  </si>
  <si>
    <t>301157.SZ</t>
  </si>
  <si>
    <t>华塑科技</t>
  </si>
  <si>
    <t>301158.SZ</t>
  </si>
  <si>
    <t>德石股份</t>
  </si>
  <si>
    <t>301159.SZ</t>
  </si>
  <si>
    <t>三维天地</t>
  </si>
  <si>
    <t>301160.SZ</t>
  </si>
  <si>
    <t>翔楼新材</t>
  </si>
  <si>
    <t>301161.SZ</t>
  </si>
  <si>
    <t>唯万密封</t>
  </si>
  <si>
    <t>301162.SZ</t>
  </si>
  <si>
    <t>国能日新</t>
  </si>
  <si>
    <t>301163.SZ</t>
  </si>
  <si>
    <t>宏德股份</t>
  </si>
  <si>
    <t>301165.SZ</t>
  </si>
  <si>
    <t>锐捷网络</t>
  </si>
  <si>
    <t>301166.SZ</t>
  </si>
  <si>
    <t>优宁维</t>
  </si>
  <si>
    <t>301167.SZ</t>
  </si>
  <si>
    <t>建研设计</t>
  </si>
  <si>
    <t>301168.SZ</t>
  </si>
  <si>
    <t>通灵股份</t>
  </si>
  <si>
    <t>301169.SZ</t>
  </si>
  <si>
    <t>零点有数</t>
  </si>
  <si>
    <t>301170.SZ</t>
  </si>
  <si>
    <t>锡南科技</t>
  </si>
  <si>
    <t>301171.SZ</t>
  </si>
  <si>
    <t>易点天下</t>
  </si>
  <si>
    <t>301172.SZ</t>
  </si>
  <si>
    <t>君逸数码</t>
  </si>
  <si>
    <t>301175.SZ</t>
  </si>
  <si>
    <t>中科环保</t>
  </si>
  <si>
    <t>301176.SZ</t>
  </si>
  <si>
    <t>逸豪新材</t>
  </si>
  <si>
    <t>301177.SZ</t>
  </si>
  <si>
    <t>迪阿股份</t>
  </si>
  <si>
    <t>301178.SZ</t>
  </si>
  <si>
    <t>天亿马</t>
  </si>
  <si>
    <t>301179.SZ</t>
  </si>
  <si>
    <t>泽宇智能</t>
  </si>
  <si>
    <t>301180.SZ</t>
  </si>
  <si>
    <t>万祥科技</t>
  </si>
  <si>
    <t>301181.SZ</t>
  </si>
  <si>
    <t>标榜股份</t>
  </si>
  <si>
    <t>301182.SZ</t>
  </si>
  <si>
    <t>凯旺科技</t>
  </si>
  <si>
    <t>301183.SZ</t>
  </si>
  <si>
    <t>东田微</t>
  </si>
  <si>
    <t>301185.SZ</t>
  </si>
  <si>
    <t>鸥玛软件</t>
  </si>
  <si>
    <t>301186.SZ</t>
  </si>
  <si>
    <t>超达装备</t>
  </si>
  <si>
    <t>301187.SZ</t>
  </si>
  <si>
    <t>欧圣电气</t>
  </si>
  <si>
    <t>301188.SZ</t>
  </si>
  <si>
    <t>301189.SZ</t>
  </si>
  <si>
    <t>奥尼电子</t>
  </si>
  <si>
    <t>301190.SZ</t>
  </si>
  <si>
    <t>善水科技</t>
  </si>
  <si>
    <t>301191.SZ</t>
  </si>
  <si>
    <t>菲菱科思</t>
  </si>
  <si>
    <t>301192.SZ</t>
  </si>
  <si>
    <t>泰祥股份</t>
  </si>
  <si>
    <t>301193.SZ</t>
  </si>
  <si>
    <t>家联科技</t>
  </si>
  <si>
    <t>301195.SZ</t>
  </si>
  <si>
    <t>北路智控</t>
  </si>
  <si>
    <t>301196.SZ</t>
  </si>
  <si>
    <t>唯科科技</t>
  </si>
  <si>
    <t>301197.SZ</t>
  </si>
  <si>
    <t>工大科雅</t>
  </si>
  <si>
    <t>301198.SZ</t>
  </si>
  <si>
    <t>喜悦智行</t>
  </si>
  <si>
    <t>301199.SZ</t>
  </si>
  <si>
    <t>迈赫股份</t>
  </si>
  <si>
    <t>301200.SZ</t>
  </si>
  <si>
    <t>大族数控</t>
  </si>
  <si>
    <t>301201.SZ</t>
  </si>
  <si>
    <t>诚达药业</t>
  </si>
  <si>
    <t>301202.SZ</t>
  </si>
  <si>
    <t>朗威股份</t>
  </si>
  <si>
    <t>301203.SZ</t>
  </si>
  <si>
    <t>国泰环保</t>
  </si>
  <si>
    <t>301205.SZ</t>
  </si>
  <si>
    <t>联特科技</t>
  </si>
  <si>
    <t>301206.SZ</t>
  </si>
  <si>
    <t>三元生物</t>
  </si>
  <si>
    <t>301207.SZ</t>
  </si>
  <si>
    <t>华兰疫苗</t>
  </si>
  <si>
    <t>301208.SZ</t>
  </si>
  <si>
    <t>中亦科技</t>
  </si>
  <si>
    <t>301209.SZ</t>
  </si>
  <si>
    <t>联合化学</t>
  </si>
  <si>
    <t>301210.SZ</t>
  </si>
  <si>
    <t>301211.SZ</t>
  </si>
  <si>
    <t>亨迪药业</t>
  </si>
  <si>
    <t>301212.SZ</t>
  </si>
  <si>
    <t>联盛化学</t>
  </si>
  <si>
    <t>301213.SZ</t>
  </si>
  <si>
    <t>观想科技</t>
  </si>
  <si>
    <t>301215.SZ</t>
  </si>
  <si>
    <t>中汽股份</t>
  </si>
  <si>
    <t>301216.SZ</t>
  </si>
  <si>
    <t>万凯新材</t>
  </si>
  <si>
    <t>301217.SZ</t>
  </si>
  <si>
    <t>铜冠铜箔</t>
  </si>
  <si>
    <t>301218.SZ</t>
  </si>
  <si>
    <t>华是科技</t>
  </si>
  <si>
    <t>301219.SZ</t>
  </si>
  <si>
    <t>腾远钴业</t>
  </si>
  <si>
    <t>301220.SZ</t>
  </si>
  <si>
    <t>亚香股份</t>
  </si>
  <si>
    <t>301221.SZ</t>
  </si>
  <si>
    <t>光庭信息</t>
  </si>
  <si>
    <t>301222.SZ</t>
  </si>
  <si>
    <t>浙江恒威</t>
  </si>
  <si>
    <t>301223.SZ</t>
  </si>
  <si>
    <t>中荣股份</t>
  </si>
  <si>
    <t>301225.SZ</t>
  </si>
  <si>
    <t>恒勃股份</t>
  </si>
  <si>
    <t>301226.SZ</t>
  </si>
  <si>
    <t>祥明智能</t>
  </si>
  <si>
    <t>301227.SZ</t>
  </si>
  <si>
    <t>森鹰窗业</t>
  </si>
  <si>
    <t>301228.SZ</t>
  </si>
  <si>
    <t>实朴检测</t>
  </si>
  <si>
    <t>301229.SZ</t>
  </si>
  <si>
    <t>纽泰格</t>
  </si>
  <si>
    <t>301230.SZ</t>
  </si>
  <si>
    <t>泓博医药</t>
  </si>
  <si>
    <t>301231.SZ</t>
  </si>
  <si>
    <t>荣信文化</t>
  </si>
  <si>
    <t>301232.SZ</t>
  </si>
  <si>
    <t>飞沃科技</t>
  </si>
  <si>
    <t>301233.SZ</t>
  </si>
  <si>
    <t>盛帮股份</t>
  </si>
  <si>
    <t>301234.SZ</t>
  </si>
  <si>
    <t>五洲医疗</t>
  </si>
  <si>
    <t>301235.SZ</t>
  </si>
  <si>
    <t>301236.SZ</t>
  </si>
  <si>
    <t>软通动力</t>
  </si>
  <si>
    <t>301237.SZ</t>
  </si>
  <si>
    <t>和顺科技</t>
  </si>
  <si>
    <t>301238.SZ</t>
  </si>
  <si>
    <t>瑞泰新材</t>
  </si>
  <si>
    <t>301239.SZ</t>
  </si>
  <si>
    <t>普瑞眼科</t>
  </si>
  <si>
    <t>301246.SZ</t>
  </si>
  <si>
    <t>宏源药业</t>
  </si>
  <si>
    <t>301248.SZ</t>
  </si>
  <si>
    <t>杰创智能</t>
  </si>
  <si>
    <t>301251.SZ</t>
  </si>
  <si>
    <t>威尔高</t>
  </si>
  <si>
    <t>301252.SZ</t>
  </si>
  <si>
    <t>同星科技</t>
  </si>
  <si>
    <t>301255.SZ</t>
  </si>
  <si>
    <t>通力科技</t>
  </si>
  <si>
    <t>301256.SZ</t>
  </si>
  <si>
    <t>华融化学</t>
  </si>
  <si>
    <t>301257.SZ</t>
  </si>
  <si>
    <t>普蕊斯</t>
  </si>
  <si>
    <t>301258.SZ</t>
  </si>
  <si>
    <t>富士莱</t>
  </si>
  <si>
    <t>301259.SZ</t>
  </si>
  <si>
    <t>艾布鲁</t>
  </si>
  <si>
    <t>301260.SZ</t>
  </si>
  <si>
    <t>格力博</t>
  </si>
  <si>
    <t>301261.SZ</t>
  </si>
  <si>
    <t>恒工精密</t>
  </si>
  <si>
    <t>301262.SZ</t>
  </si>
  <si>
    <t>海看股份</t>
  </si>
  <si>
    <t>301263.SZ</t>
  </si>
  <si>
    <t>泰恩康</t>
  </si>
  <si>
    <t>301265.SZ</t>
  </si>
  <si>
    <t>华新环保</t>
  </si>
  <si>
    <t>301266.SZ</t>
  </si>
  <si>
    <t>宇邦新材</t>
  </si>
  <si>
    <t>301267.SZ</t>
  </si>
  <si>
    <t>华厦眼科</t>
  </si>
  <si>
    <t>301268.SZ</t>
  </si>
  <si>
    <t>铭利达</t>
  </si>
  <si>
    <t>301269.SZ</t>
  </si>
  <si>
    <t>华大九天</t>
  </si>
  <si>
    <t>301270.SZ</t>
  </si>
  <si>
    <t>汉仪股份</t>
  </si>
  <si>
    <t>301272.SZ</t>
  </si>
  <si>
    <t>英华特</t>
  </si>
  <si>
    <t>301273.SZ</t>
  </si>
  <si>
    <t>瑞晨环保</t>
  </si>
  <si>
    <t>301276.SZ</t>
  </si>
  <si>
    <t>嘉曼服饰</t>
  </si>
  <si>
    <t>301277.SZ</t>
  </si>
  <si>
    <t>新天地</t>
  </si>
  <si>
    <t>301278.SZ</t>
  </si>
  <si>
    <t>快可电子</t>
  </si>
  <si>
    <t>301279.SZ</t>
  </si>
  <si>
    <t>金道科技</t>
  </si>
  <si>
    <t>301280.SZ</t>
  </si>
  <si>
    <t>珠城科技</t>
  </si>
  <si>
    <t>301281.SZ</t>
  </si>
  <si>
    <t>科源制药</t>
  </si>
  <si>
    <t>301282.SZ</t>
  </si>
  <si>
    <t>金禄电子</t>
  </si>
  <si>
    <t>301283.SZ</t>
  </si>
  <si>
    <t>聚胶股份</t>
  </si>
  <si>
    <t>301285.SZ</t>
  </si>
  <si>
    <t>鸿日达</t>
  </si>
  <si>
    <t>301286.SZ</t>
  </si>
  <si>
    <t>侨源股份</t>
  </si>
  <si>
    <t>301287.SZ</t>
  </si>
  <si>
    <t>康力源</t>
  </si>
  <si>
    <t>301288.SZ</t>
  </si>
  <si>
    <t>301289.SZ</t>
  </si>
  <si>
    <t>国缆检测</t>
  </si>
  <si>
    <t>301290.SZ</t>
  </si>
  <si>
    <t>东星医疗</t>
  </si>
  <si>
    <t>301291.SZ</t>
  </si>
  <si>
    <t>明阳电气</t>
  </si>
  <si>
    <t>301292.SZ</t>
  </si>
  <si>
    <t>海科新源</t>
  </si>
  <si>
    <t>301293.SZ</t>
  </si>
  <si>
    <t>三博脑科</t>
  </si>
  <si>
    <t>301295.SZ</t>
  </si>
  <si>
    <t>美硕科技</t>
  </si>
  <si>
    <t>301296.SZ</t>
  </si>
  <si>
    <t>新巨丰</t>
  </si>
  <si>
    <t>301297.SZ</t>
  </si>
  <si>
    <t>富乐德</t>
  </si>
  <si>
    <t>301298.SZ</t>
  </si>
  <si>
    <t>东利机械</t>
  </si>
  <si>
    <t>301299.SZ</t>
  </si>
  <si>
    <t>卓创资讯</t>
  </si>
  <si>
    <t>301300.SZ</t>
  </si>
  <si>
    <t>远翔新材</t>
  </si>
  <si>
    <t>301301.SZ</t>
  </si>
  <si>
    <t>川宁生物</t>
  </si>
  <si>
    <t>301302.SZ</t>
  </si>
  <si>
    <t>华如科技</t>
  </si>
  <si>
    <t>301303.SZ</t>
  </si>
  <si>
    <t>真兰仪表</t>
  </si>
  <si>
    <t>301305.SZ</t>
  </si>
  <si>
    <t>301306.SZ</t>
  </si>
  <si>
    <t>西测测试</t>
  </si>
  <si>
    <t>301307.SZ</t>
  </si>
  <si>
    <t>美利信</t>
  </si>
  <si>
    <t>301308.SZ</t>
  </si>
  <si>
    <t>江波龙</t>
  </si>
  <si>
    <t>301309.SZ</t>
  </si>
  <si>
    <t>万得凯</t>
  </si>
  <si>
    <t>301310.SZ</t>
  </si>
  <si>
    <t>鑫宏业</t>
  </si>
  <si>
    <t>301311.SZ</t>
  </si>
  <si>
    <t>昆船智能</t>
  </si>
  <si>
    <t>301312.SZ</t>
  </si>
  <si>
    <t>智立方</t>
  </si>
  <si>
    <t>301313.SZ</t>
  </si>
  <si>
    <t>凡拓数创</t>
  </si>
  <si>
    <t>301314.SZ</t>
  </si>
  <si>
    <t>科瑞思</t>
  </si>
  <si>
    <t>301315.SZ</t>
  </si>
  <si>
    <t>威士顿</t>
  </si>
  <si>
    <t>301316.SZ</t>
  </si>
  <si>
    <t>慧博云通</t>
  </si>
  <si>
    <t>301317.SZ</t>
  </si>
  <si>
    <t>鑫磊股份</t>
  </si>
  <si>
    <t>301318.SZ</t>
  </si>
  <si>
    <t>维海德</t>
  </si>
  <si>
    <t>301319.SZ</t>
  </si>
  <si>
    <t>唯特偶</t>
  </si>
  <si>
    <t>301320.SZ</t>
  </si>
  <si>
    <t>豪江智能</t>
  </si>
  <si>
    <t>301321.SZ</t>
  </si>
  <si>
    <t>翰博高新</t>
  </si>
  <si>
    <t>301322.SZ</t>
  </si>
  <si>
    <t>绿通科技</t>
  </si>
  <si>
    <t>301323.SZ</t>
  </si>
  <si>
    <t>新莱福</t>
  </si>
  <si>
    <t>301325.SZ</t>
  </si>
  <si>
    <t>曼恩斯特</t>
  </si>
  <si>
    <t>301326.SZ</t>
  </si>
  <si>
    <t>捷邦科技</t>
  </si>
  <si>
    <t>301327.SZ</t>
  </si>
  <si>
    <t>华宝新能</t>
  </si>
  <si>
    <t>301328.SZ</t>
  </si>
  <si>
    <t>维峰电子</t>
  </si>
  <si>
    <t>301329.SZ</t>
  </si>
  <si>
    <t>信音电子</t>
  </si>
  <si>
    <t>301330.SZ</t>
  </si>
  <si>
    <t>熵基科技</t>
  </si>
  <si>
    <t>301331.SZ</t>
  </si>
  <si>
    <t>恩威医药</t>
  </si>
  <si>
    <t>301332.SZ</t>
  </si>
  <si>
    <t>德尔玛</t>
  </si>
  <si>
    <t>301333.SZ</t>
  </si>
  <si>
    <t>诺思格</t>
  </si>
  <si>
    <t>301335.SZ</t>
  </si>
  <si>
    <t>天元宠物</t>
  </si>
  <si>
    <t>301336.SZ</t>
  </si>
  <si>
    <t>趣睡科技</t>
  </si>
  <si>
    <t>301337.SZ</t>
  </si>
  <si>
    <t>亚华电子</t>
  </si>
  <si>
    <t>301338.SZ</t>
  </si>
  <si>
    <t>凯格精机</t>
  </si>
  <si>
    <t>301339.SZ</t>
  </si>
  <si>
    <t>通行宝</t>
  </si>
  <si>
    <t>301345.SZ</t>
  </si>
  <si>
    <t>涛涛车业</t>
  </si>
  <si>
    <t>301348.SZ</t>
  </si>
  <si>
    <t>蓝箭电子</t>
  </si>
  <si>
    <t>301349.SZ</t>
  </si>
  <si>
    <t>信德新材</t>
  </si>
  <si>
    <t>301353.SZ</t>
  </si>
  <si>
    <t>普莱得</t>
  </si>
  <si>
    <t>301355.SZ</t>
  </si>
  <si>
    <t>南王科技</t>
  </si>
  <si>
    <t>301356.SZ</t>
  </si>
  <si>
    <t>天振股份</t>
  </si>
  <si>
    <t>301357.SZ</t>
  </si>
  <si>
    <t>北方长龙</t>
  </si>
  <si>
    <t>301358.SZ</t>
  </si>
  <si>
    <t>湖南裕能</t>
  </si>
  <si>
    <t>301359.SZ</t>
  </si>
  <si>
    <t>东南电子</t>
  </si>
  <si>
    <t>301360.SZ</t>
  </si>
  <si>
    <t>荣旗科技</t>
  </si>
  <si>
    <t>301361.SZ</t>
  </si>
  <si>
    <t>众智科技</t>
  </si>
  <si>
    <t>301362.SZ</t>
  </si>
  <si>
    <t>民爆光电</t>
  </si>
  <si>
    <t>301363.SZ</t>
  </si>
  <si>
    <t>美好医疗</t>
  </si>
  <si>
    <t>301365.SZ</t>
  </si>
  <si>
    <t>矩阵股份</t>
  </si>
  <si>
    <t>301366.SZ</t>
  </si>
  <si>
    <t>一博科技</t>
  </si>
  <si>
    <t>301367.SZ</t>
  </si>
  <si>
    <t>301368.SZ</t>
  </si>
  <si>
    <t>丰立智能</t>
  </si>
  <si>
    <t>301369.SZ</t>
  </si>
  <si>
    <t>联动科技</t>
  </si>
  <si>
    <t>301370.SZ</t>
  </si>
  <si>
    <t>国科恒泰</t>
  </si>
  <si>
    <t>301371.SZ</t>
  </si>
  <si>
    <t>敷尔佳</t>
  </si>
  <si>
    <t>301372.SZ</t>
  </si>
  <si>
    <t>科净源</t>
  </si>
  <si>
    <t>301373.SZ</t>
  </si>
  <si>
    <t>凌玮科技</t>
  </si>
  <si>
    <t>301376.SZ</t>
  </si>
  <si>
    <t>致欧科技</t>
  </si>
  <si>
    <t>301377.SZ</t>
  </si>
  <si>
    <t>鼎泰高科</t>
  </si>
  <si>
    <t>301378.SZ</t>
  </si>
  <si>
    <t>通达海</t>
  </si>
  <si>
    <t>301379.SZ</t>
  </si>
  <si>
    <t>天山电子</t>
  </si>
  <si>
    <t>301380.SZ</t>
  </si>
  <si>
    <t>挖金客</t>
  </si>
  <si>
    <t>301381.SZ</t>
  </si>
  <si>
    <t>赛维时代</t>
  </si>
  <si>
    <t>301382.SZ</t>
  </si>
  <si>
    <t>蜂助手</t>
  </si>
  <si>
    <t>301383.SZ</t>
  </si>
  <si>
    <t>天键股份</t>
  </si>
  <si>
    <t>301386.SZ</t>
  </si>
  <si>
    <t>未来电器</t>
  </si>
  <si>
    <t>301387.SZ</t>
  </si>
  <si>
    <t>光大同创</t>
  </si>
  <si>
    <t>301388.SZ</t>
  </si>
  <si>
    <t>欣灵电气</t>
  </si>
  <si>
    <t>301389.SZ</t>
  </si>
  <si>
    <t>隆扬电子</t>
  </si>
  <si>
    <t>301390.SZ</t>
  </si>
  <si>
    <t>经纬股份</t>
  </si>
  <si>
    <t>301391.SZ</t>
  </si>
  <si>
    <t>卡莱特</t>
  </si>
  <si>
    <t>301393.SZ</t>
  </si>
  <si>
    <t>昊帆生物</t>
  </si>
  <si>
    <t>301395.SZ</t>
  </si>
  <si>
    <t>仁信新材</t>
  </si>
  <si>
    <t>301396.SZ</t>
  </si>
  <si>
    <t>宏景科技</t>
  </si>
  <si>
    <t>301397.SZ</t>
  </si>
  <si>
    <t>溯联股份</t>
  </si>
  <si>
    <t>301398.SZ</t>
  </si>
  <si>
    <t>星源卓镁</t>
  </si>
  <si>
    <t>301399.SZ</t>
  </si>
  <si>
    <t>英特科技</t>
  </si>
  <si>
    <t>301408.SZ</t>
  </si>
  <si>
    <t>华人健康</t>
  </si>
  <si>
    <t>301413.SZ</t>
  </si>
  <si>
    <t>安培龙</t>
  </si>
  <si>
    <t>301418.SZ</t>
  </si>
  <si>
    <t>协昌科技</t>
  </si>
  <si>
    <t>301419.SZ</t>
  </si>
  <si>
    <t>阿莱德</t>
  </si>
  <si>
    <t>301421.SZ</t>
  </si>
  <si>
    <t>波长光电</t>
  </si>
  <si>
    <t>301428.SZ</t>
  </si>
  <si>
    <t>世纪恒通</t>
  </si>
  <si>
    <t>301429.SZ</t>
  </si>
  <si>
    <t>森泰股份</t>
  </si>
  <si>
    <t>301439.SZ</t>
  </si>
  <si>
    <t>泓淋电力</t>
  </si>
  <si>
    <t>301446.SZ</t>
  </si>
  <si>
    <t>福事特</t>
  </si>
  <si>
    <t>301448.SZ</t>
  </si>
  <si>
    <t>开创电气</t>
  </si>
  <si>
    <t>301456.SZ</t>
  </si>
  <si>
    <t>盘古智能</t>
  </si>
  <si>
    <t>301459.SZ</t>
  </si>
  <si>
    <t>丰茂股份</t>
  </si>
  <si>
    <t>301468.SZ</t>
  </si>
  <si>
    <t>博盈特焊</t>
  </si>
  <si>
    <t>301469.SZ</t>
  </si>
  <si>
    <t>恒达新材</t>
  </si>
  <si>
    <t>301486.SZ</t>
  </si>
  <si>
    <t>致尚科技</t>
  </si>
  <si>
    <t>301487.SZ</t>
  </si>
  <si>
    <t>盟固利</t>
  </si>
  <si>
    <t>301488.SZ</t>
  </si>
  <si>
    <t>豪恩汽电</t>
  </si>
  <si>
    <t>301489.SZ</t>
  </si>
  <si>
    <t>思泉新材</t>
  </si>
  <si>
    <t>301498.SZ</t>
  </si>
  <si>
    <t>乖宝宠物</t>
  </si>
  <si>
    <t>301499.SZ</t>
  </si>
  <si>
    <t>维科精密</t>
  </si>
  <si>
    <t>301500.SZ</t>
  </si>
  <si>
    <t>飞南资源</t>
  </si>
  <si>
    <t>301502.SZ</t>
  </si>
  <si>
    <t>华阳智能</t>
  </si>
  <si>
    <t>301503.SZ</t>
  </si>
  <si>
    <t>智迪科技</t>
  </si>
  <si>
    <t>301505.SZ</t>
  </si>
  <si>
    <t>苏州规划</t>
  </si>
  <si>
    <t>301507.SZ</t>
  </si>
  <si>
    <t>民生健康</t>
  </si>
  <si>
    <t>301508.SZ</t>
  </si>
  <si>
    <t>中机认检</t>
  </si>
  <si>
    <t>301509.SZ</t>
  </si>
  <si>
    <t>金凯生科</t>
  </si>
  <si>
    <t>301510.SZ</t>
  </si>
  <si>
    <t>固高科技</t>
  </si>
  <si>
    <t>301511.SZ</t>
  </si>
  <si>
    <t>德福科技</t>
  </si>
  <si>
    <t>301512.SZ</t>
  </si>
  <si>
    <t>智信精密</t>
  </si>
  <si>
    <t>301515.SZ</t>
  </si>
  <si>
    <t>港通医疗</t>
  </si>
  <si>
    <t>301516.SZ</t>
  </si>
  <si>
    <t>中远通</t>
  </si>
  <si>
    <t>301517.SZ</t>
  </si>
  <si>
    <t>陕西华达</t>
  </si>
  <si>
    <t>301518.SZ</t>
  </si>
  <si>
    <t>长华化学</t>
  </si>
  <si>
    <t>301519.SZ</t>
  </si>
  <si>
    <t>舜禹股份</t>
  </si>
  <si>
    <t>301520.SZ</t>
  </si>
  <si>
    <t>万邦医药</t>
  </si>
  <si>
    <t>301525.SZ</t>
  </si>
  <si>
    <t>儒竞科技</t>
  </si>
  <si>
    <t>301526.SZ</t>
  </si>
  <si>
    <t>国际复材</t>
  </si>
  <si>
    <t>301528.SZ</t>
  </si>
  <si>
    <t>多浦乐</t>
  </si>
  <si>
    <t>301529.SZ</t>
  </si>
  <si>
    <t>福赛科技</t>
  </si>
  <si>
    <t>301533.SZ</t>
  </si>
  <si>
    <t>威马农机</t>
  </si>
  <si>
    <t>301536.SZ</t>
  </si>
  <si>
    <t>星宸科技</t>
  </si>
  <si>
    <t>301538.SZ</t>
  </si>
  <si>
    <t>骏鼎达</t>
  </si>
  <si>
    <t>301539.SZ</t>
  </si>
  <si>
    <t>宏鑫科技</t>
  </si>
  <si>
    <t>301548.SZ</t>
  </si>
  <si>
    <t>崇德科技</t>
  </si>
  <si>
    <t>301550.SZ</t>
  </si>
  <si>
    <t>301555.SZ</t>
  </si>
  <si>
    <t>惠柏新材</t>
  </si>
  <si>
    <t>301558.SZ</t>
  </si>
  <si>
    <t>三态股份</t>
  </si>
  <si>
    <t>301559.SZ</t>
  </si>
  <si>
    <t>中集环科</t>
  </si>
  <si>
    <t>301566.SZ</t>
  </si>
  <si>
    <t>达利凯普</t>
  </si>
  <si>
    <t>301567.SZ</t>
  </si>
  <si>
    <t>贝隆精密</t>
  </si>
  <si>
    <t>301568.SZ</t>
  </si>
  <si>
    <t>思泰克</t>
  </si>
  <si>
    <t>301577.SZ</t>
  </si>
  <si>
    <t>美信科技</t>
  </si>
  <si>
    <t>301578.SZ</t>
  </si>
  <si>
    <t>辰奕智能</t>
  </si>
  <si>
    <t>301587.SZ</t>
  </si>
  <si>
    <t>中瑞股份</t>
  </si>
  <si>
    <t>301588.SZ</t>
  </si>
  <si>
    <t>美新科技</t>
  </si>
  <si>
    <t>301589.SZ</t>
  </si>
  <si>
    <t>诺瓦星云</t>
  </si>
  <si>
    <t>301591.SZ</t>
  </si>
  <si>
    <t>肯特股份</t>
  </si>
  <si>
    <t>星昊医药</t>
  </si>
  <si>
    <t>诺思兰德</t>
  </si>
  <si>
    <t>同辉信息</t>
  </si>
  <si>
    <t>华岭股份</t>
  </si>
  <si>
    <t>微创光电</t>
  </si>
  <si>
    <t>辰光医疗</t>
  </si>
  <si>
    <t>苏轴股份</t>
  </si>
  <si>
    <t>乐创技术</t>
  </si>
  <si>
    <t>海能技术</t>
  </si>
  <si>
    <t>峆一药业</t>
  </si>
  <si>
    <t>佳先股份</t>
  </si>
  <si>
    <t>丰光精密</t>
  </si>
  <si>
    <t>雅达股份</t>
  </si>
  <si>
    <t>天润科技</t>
  </si>
  <si>
    <t>新芝生物</t>
  </si>
  <si>
    <t>合肥高科</t>
  </si>
  <si>
    <t>600000.SH</t>
  </si>
  <si>
    <t>浦发银行</t>
  </si>
  <si>
    <t>600004.SH</t>
  </si>
  <si>
    <t>白云机场</t>
  </si>
  <si>
    <t>600006.SH</t>
  </si>
  <si>
    <t>600007.SH</t>
  </si>
  <si>
    <t>中国国贸</t>
  </si>
  <si>
    <t>600008.SH</t>
  </si>
  <si>
    <t>首创环保</t>
  </si>
  <si>
    <t>600009.SH</t>
  </si>
  <si>
    <t>上海机场</t>
  </si>
  <si>
    <t>600010.SH</t>
  </si>
  <si>
    <t>包钢股份</t>
  </si>
  <si>
    <t>600011.SH</t>
  </si>
  <si>
    <t>华能国际</t>
  </si>
  <si>
    <t>600012.SH</t>
  </si>
  <si>
    <t>皖通高速</t>
  </si>
  <si>
    <t>600015.SH</t>
  </si>
  <si>
    <t>华夏银行</t>
  </si>
  <si>
    <t>600016.SH</t>
  </si>
  <si>
    <t>民生银行</t>
  </si>
  <si>
    <t>600017.SH</t>
  </si>
  <si>
    <t>日照港</t>
  </si>
  <si>
    <t>600018.SH</t>
  </si>
  <si>
    <t>上港集团</t>
  </si>
  <si>
    <t>600019.SH</t>
  </si>
  <si>
    <t>宝钢股份</t>
  </si>
  <si>
    <t>600020.SH</t>
  </si>
  <si>
    <t>中原高速</t>
  </si>
  <si>
    <t>600021.SH</t>
  </si>
  <si>
    <t>上海电力</t>
  </si>
  <si>
    <t>600022.SH</t>
  </si>
  <si>
    <t>山东钢铁</t>
  </si>
  <si>
    <t>600023.SH</t>
  </si>
  <si>
    <t>浙能电力</t>
  </si>
  <si>
    <t>600025.SH</t>
  </si>
  <si>
    <t>华能水电</t>
  </si>
  <si>
    <t>600026.SH</t>
  </si>
  <si>
    <t>中远海能</t>
  </si>
  <si>
    <t>600027.SH</t>
  </si>
  <si>
    <t>华电国际</t>
  </si>
  <si>
    <t>600028.SH</t>
  </si>
  <si>
    <t>中国石化</t>
  </si>
  <si>
    <t>600029.SH</t>
  </si>
  <si>
    <t>南方航空</t>
  </si>
  <si>
    <t>600030.SH</t>
  </si>
  <si>
    <t>中信证券</t>
  </si>
  <si>
    <t>600031.SH</t>
  </si>
  <si>
    <t>三一重工</t>
  </si>
  <si>
    <t>600032.SH</t>
  </si>
  <si>
    <t>浙江新能</t>
  </si>
  <si>
    <t>600033.SH</t>
  </si>
  <si>
    <t>福建高速</t>
  </si>
  <si>
    <t>600035.SH</t>
  </si>
  <si>
    <t>楚天高速</t>
  </si>
  <si>
    <t>600036.SH</t>
  </si>
  <si>
    <t>招商银行</t>
  </si>
  <si>
    <t>600037.SH</t>
  </si>
  <si>
    <t>歌华有线</t>
  </si>
  <si>
    <t>600038.SH</t>
  </si>
  <si>
    <t>中直股份</t>
  </si>
  <si>
    <t>600039.SH</t>
  </si>
  <si>
    <t>四川路桥</t>
  </si>
  <si>
    <t>600048.SH</t>
  </si>
  <si>
    <t>保利发展</t>
  </si>
  <si>
    <t>600050.SH</t>
  </si>
  <si>
    <t>中国联通</t>
  </si>
  <si>
    <t>600051.SH</t>
  </si>
  <si>
    <t>宁波联合</t>
  </si>
  <si>
    <t>600052.SH</t>
  </si>
  <si>
    <t>东望时代</t>
  </si>
  <si>
    <t>600053.SH</t>
  </si>
  <si>
    <t>九鼎投资</t>
  </si>
  <si>
    <t>600054.SH</t>
  </si>
  <si>
    <t>黄山旅游</t>
  </si>
  <si>
    <t>600055.SH</t>
  </si>
  <si>
    <t>万东医疗</t>
  </si>
  <si>
    <t>600056.SH</t>
  </si>
  <si>
    <t>中国医药</t>
  </si>
  <si>
    <t>600057.SH</t>
  </si>
  <si>
    <t>厦门象屿</t>
  </si>
  <si>
    <t>600058.SH</t>
  </si>
  <si>
    <t>五矿发展</t>
  </si>
  <si>
    <t>600059.SH</t>
  </si>
  <si>
    <t>古越龙山</t>
  </si>
  <si>
    <t>600060.SH</t>
  </si>
  <si>
    <t>海信视像</t>
  </si>
  <si>
    <t>600061.SH</t>
  </si>
  <si>
    <t>国投资本</t>
  </si>
  <si>
    <t>600062.SH</t>
  </si>
  <si>
    <t>华润双鹤</t>
  </si>
  <si>
    <t>600063.SH</t>
  </si>
  <si>
    <t>皖维高新</t>
  </si>
  <si>
    <t>600064.SH</t>
  </si>
  <si>
    <t>南京高科</t>
  </si>
  <si>
    <t>600066.SH</t>
  </si>
  <si>
    <t>宇通客车</t>
  </si>
  <si>
    <t>600067.SH</t>
  </si>
  <si>
    <t>600071.SH</t>
  </si>
  <si>
    <t>凤凰光学</t>
  </si>
  <si>
    <t>600072.SH</t>
  </si>
  <si>
    <t>中船科技</t>
  </si>
  <si>
    <t>600073.SH</t>
  </si>
  <si>
    <t>600075.SH</t>
  </si>
  <si>
    <t>新疆天业</t>
  </si>
  <si>
    <t>600076.SH</t>
  </si>
  <si>
    <t>康欣新材</t>
  </si>
  <si>
    <t>600078.SH</t>
  </si>
  <si>
    <t>600079.SH</t>
  </si>
  <si>
    <t>600080.SH</t>
  </si>
  <si>
    <t>金花股份</t>
  </si>
  <si>
    <t>600081.SH</t>
  </si>
  <si>
    <t>东风科技</t>
  </si>
  <si>
    <t>600082.SH</t>
  </si>
  <si>
    <t>海泰发展</t>
  </si>
  <si>
    <t>600084.SH</t>
  </si>
  <si>
    <t>中信尼雅</t>
  </si>
  <si>
    <t>600085.SH</t>
  </si>
  <si>
    <t>同仁堂</t>
  </si>
  <si>
    <t>600088.SH</t>
  </si>
  <si>
    <t>中视传媒</t>
  </si>
  <si>
    <t>600089.SH</t>
  </si>
  <si>
    <t>特变电工</t>
  </si>
  <si>
    <t>600094.SH</t>
  </si>
  <si>
    <t>大名城</t>
  </si>
  <si>
    <t>600095.SH</t>
  </si>
  <si>
    <t>湘财股份</t>
  </si>
  <si>
    <t>600096.SH</t>
  </si>
  <si>
    <t>云天化</t>
  </si>
  <si>
    <t>600097.SH</t>
  </si>
  <si>
    <t>开创国际</t>
  </si>
  <si>
    <t>600098.SH</t>
  </si>
  <si>
    <t>广州发展</t>
  </si>
  <si>
    <t>600099.SH</t>
  </si>
  <si>
    <t>林海股份</t>
  </si>
  <si>
    <t>600100.SH</t>
  </si>
  <si>
    <t>同方股份</t>
  </si>
  <si>
    <t>600101.SH</t>
  </si>
  <si>
    <t>明星电力</t>
  </si>
  <si>
    <t>600103.SH</t>
  </si>
  <si>
    <t>青山纸业</t>
  </si>
  <si>
    <t>600104.SH</t>
  </si>
  <si>
    <t>上汽集团</t>
  </si>
  <si>
    <t>600105.SH</t>
  </si>
  <si>
    <t>永鼎股份</t>
  </si>
  <si>
    <t>600106.SH</t>
  </si>
  <si>
    <t>重庆路桥</t>
  </si>
  <si>
    <t>600107.SH</t>
  </si>
  <si>
    <t>600108.SH</t>
  </si>
  <si>
    <t>亚盛集团</t>
  </si>
  <si>
    <t>600109.SH</t>
  </si>
  <si>
    <t>国金证券</t>
  </si>
  <si>
    <t>600110.SH</t>
  </si>
  <si>
    <t>诺德股份</t>
  </si>
  <si>
    <t>600111.SH</t>
  </si>
  <si>
    <t>北方稀土</t>
  </si>
  <si>
    <t>600113.SH</t>
  </si>
  <si>
    <t>浙江东日</t>
  </si>
  <si>
    <t>600114.SH</t>
  </si>
  <si>
    <t>东睦股份</t>
  </si>
  <si>
    <t>600115.SH</t>
  </si>
  <si>
    <t>中国东航</t>
  </si>
  <si>
    <t>600116.SH</t>
  </si>
  <si>
    <t>三峡水利</t>
  </si>
  <si>
    <t>600117.SH</t>
  </si>
  <si>
    <t>600118.SH</t>
  </si>
  <si>
    <t>中国卫星</t>
  </si>
  <si>
    <t>600119.SH</t>
  </si>
  <si>
    <t>长江投资</t>
  </si>
  <si>
    <t>600120.SH</t>
  </si>
  <si>
    <t>浙江东方</t>
  </si>
  <si>
    <t>600121.SH</t>
  </si>
  <si>
    <t>郑州煤电</t>
  </si>
  <si>
    <t>600123.SH</t>
  </si>
  <si>
    <t>兰花科创</t>
  </si>
  <si>
    <t>600125.SH</t>
  </si>
  <si>
    <t>铁龙物流</t>
  </si>
  <si>
    <t>600126.SH</t>
  </si>
  <si>
    <t>杭钢股份</t>
  </si>
  <si>
    <t>600127.SH</t>
  </si>
  <si>
    <t>金健米业</t>
  </si>
  <si>
    <t>600128.SH</t>
  </si>
  <si>
    <t>苏豪弘业</t>
  </si>
  <si>
    <t>600129.SH</t>
  </si>
  <si>
    <t>太极集团</t>
  </si>
  <si>
    <t>600130.SH</t>
  </si>
  <si>
    <t>600131.SH</t>
  </si>
  <si>
    <t>国网信通</t>
  </si>
  <si>
    <t>600132.SH</t>
  </si>
  <si>
    <t>重庆啤酒</t>
  </si>
  <si>
    <t>600133.SH</t>
  </si>
  <si>
    <t>东湖高新</t>
  </si>
  <si>
    <t>600135.SH</t>
  </si>
  <si>
    <t>乐凯胶片</t>
  </si>
  <si>
    <t>600136.SH</t>
  </si>
  <si>
    <t>600137.SH</t>
  </si>
  <si>
    <t>浪莎股份</t>
  </si>
  <si>
    <t>600138.SH</t>
  </si>
  <si>
    <t>中青旅</t>
  </si>
  <si>
    <t>600141.SH</t>
  </si>
  <si>
    <t>兴发集团</t>
  </si>
  <si>
    <t>600143.SH</t>
  </si>
  <si>
    <t>金发科技</t>
  </si>
  <si>
    <t>600148.SH</t>
  </si>
  <si>
    <t>长春一东</t>
  </si>
  <si>
    <t>600149.SH</t>
  </si>
  <si>
    <t>廊坊发展</t>
  </si>
  <si>
    <t>600150.SH</t>
  </si>
  <si>
    <t>中国船舶</t>
  </si>
  <si>
    <t>600151.SH</t>
  </si>
  <si>
    <t>航天机电</t>
  </si>
  <si>
    <t>600152.SH</t>
  </si>
  <si>
    <t>维科技术</t>
  </si>
  <si>
    <t>600153.SH</t>
  </si>
  <si>
    <t>建发股份</t>
  </si>
  <si>
    <t>600155.SH</t>
  </si>
  <si>
    <t>华创云信</t>
  </si>
  <si>
    <t>600156.SH</t>
  </si>
  <si>
    <t>华升股份</t>
  </si>
  <si>
    <t>600157.SH</t>
  </si>
  <si>
    <t>永泰能源</t>
  </si>
  <si>
    <t>600158.SH</t>
  </si>
  <si>
    <t>中体产业</t>
  </si>
  <si>
    <t>600159.SH</t>
  </si>
  <si>
    <t>大龙地产</t>
  </si>
  <si>
    <t>600160.SH</t>
  </si>
  <si>
    <t>巨化股份</t>
  </si>
  <si>
    <t>600161.SH</t>
  </si>
  <si>
    <t>天坛生物</t>
  </si>
  <si>
    <t>600162.SH</t>
  </si>
  <si>
    <t>香江控股</t>
  </si>
  <si>
    <t>600163.SH</t>
  </si>
  <si>
    <t>中闽能源</t>
  </si>
  <si>
    <t>600165.SH</t>
  </si>
  <si>
    <t>600166.SH</t>
  </si>
  <si>
    <t>福田汽车</t>
  </si>
  <si>
    <t>600167.SH</t>
  </si>
  <si>
    <t>联美控股</t>
  </si>
  <si>
    <t>600168.SH</t>
  </si>
  <si>
    <t>武汉控股</t>
  </si>
  <si>
    <t>600169.SH</t>
  </si>
  <si>
    <t>600170.SH</t>
  </si>
  <si>
    <t>上海建工</t>
  </si>
  <si>
    <t>600171.SH</t>
  </si>
  <si>
    <t>上海贝岭</t>
  </si>
  <si>
    <t>600172.SH</t>
  </si>
  <si>
    <t>黄河旋风</t>
  </si>
  <si>
    <t>600173.SH</t>
  </si>
  <si>
    <t>600176.SH</t>
  </si>
  <si>
    <t>中国巨石</t>
  </si>
  <si>
    <t>600177.SH</t>
  </si>
  <si>
    <t>雅戈尔</t>
  </si>
  <si>
    <t>600178.SH</t>
  </si>
  <si>
    <t>东安动力</t>
  </si>
  <si>
    <t>600179.SH</t>
  </si>
  <si>
    <t>安通控股</t>
  </si>
  <si>
    <t>600180.SH</t>
  </si>
  <si>
    <t>瑞茂通</t>
  </si>
  <si>
    <t>600182.SH</t>
  </si>
  <si>
    <t>S佳通</t>
  </si>
  <si>
    <t>600183.SH</t>
  </si>
  <si>
    <t>生益科技</t>
  </si>
  <si>
    <t>600184.SH</t>
  </si>
  <si>
    <t>光电股份</t>
  </si>
  <si>
    <t>600185.SH</t>
  </si>
  <si>
    <t>600186.SH</t>
  </si>
  <si>
    <t>600187.SH</t>
  </si>
  <si>
    <t>国中水务</t>
  </si>
  <si>
    <t>600188.SH</t>
  </si>
  <si>
    <t>兖矿能源</t>
  </si>
  <si>
    <t>600189.SH</t>
  </si>
  <si>
    <t>泉阳泉</t>
  </si>
  <si>
    <t>600191.SH</t>
  </si>
  <si>
    <t>华资实业</t>
  </si>
  <si>
    <t>600192.SH</t>
  </si>
  <si>
    <t>长城电工</t>
  </si>
  <si>
    <t>600193.SH</t>
  </si>
  <si>
    <t>600195.SH</t>
  </si>
  <si>
    <t>中牧股份</t>
  </si>
  <si>
    <t>600196.SH</t>
  </si>
  <si>
    <t>复星医药</t>
  </si>
  <si>
    <t>600197.SH</t>
  </si>
  <si>
    <t>伊力特</t>
  </si>
  <si>
    <t>600198.SH</t>
  </si>
  <si>
    <t>大唐电信</t>
  </si>
  <si>
    <t>600199.SH</t>
  </si>
  <si>
    <t>金种子酒</t>
  </si>
  <si>
    <t>600201.SH</t>
  </si>
  <si>
    <t>生物股份</t>
  </si>
  <si>
    <t>600202.SH</t>
  </si>
  <si>
    <t>哈空调</t>
  </si>
  <si>
    <t>600203.SH</t>
  </si>
  <si>
    <t>福日电子</t>
  </si>
  <si>
    <t>600206.SH</t>
  </si>
  <si>
    <t>有研新材</t>
  </si>
  <si>
    <t>600207.SH</t>
  </si>
  <si>
    <t>安彩高科</t>
  </si>
  <si>
    <t>600208.SH</t>
  </si>
  <si>
    <t>600210.SH</t>
  </si>
  <si>
    <t>紫江企业</t>
  </si>
  <si>
    <t>600211.SH</t>
  </si>
  <si>
    <t>西藏药业</t>
  </si>
  <si>
    <t>600212.SH</t>
  </si>
  <si>
    <t>绿能慧充</t>
  </si>
  <si>
    <t>600215.SH</t>
  </si>
  <si>
    <t>派斯林</t>
  </si>
  <si>
    <t>600216.SH</t>
  </si>
  <si>
    <t>浙江医药</t>
  </si>
  <si>
    <t>600217.SH</t>
  </si>
  <si>
    <t>中再资环</t>
  </si>
  <si>
    <t>600218.SH</t>
  </si>
  <si>
    <t>全柴动力</t>
  </si>
  <si>
    <t>600219.SH</t>
  </si>
  <si>
    <t>南山铝业</t>
  </si>
  <si>
    <t>600221.SH</t>
  </si>
  <si>
    <t>海航控股</t>
  </si>
  <si>
    <t>600222.SH</t>
  </si>
  <si>
    <t>太龙药业</t>
  </si>
  <si>
    <t>600223.SH</t>
  </si>
  <si>
    <t>福瑞达</t>
  </si>
  <si>
    <t>600226.SH</t>
  </si>
  <si>
    <t>600227.SH</t>
  </si>
  <si>
    <t>赤天化</t>
  </si>
  <si>
    <t>600228.SH</t>
  </si>
  <si>
    <t>600229.SH</t>
  </si>
  <si>
    <t>城市传媒</t>
  </si>
  <si>
    <t>600230.SH</t>
  </si>
  <si>
    <t>沧州大化</t>
  </si>
  <si>
    <t>600231.SH</t>
  </si>
  <si>
    <t>凌钢股份</t>
  </si>
  <si>
    <t>600232.SH</t>
  </si>
  <si>
    <t>金鹰股份</t>
  </si>
  <si>
    <t>600233.SH</t>
  </si>
  <si>
    <t>圆通速递</t>
  </si>
  <si>
    <t>600234.SH</t>
  </si>
  <si>
    <t>科新发展</t>
  </si>
  <si>
    <t>600235.SH</t>
  </si>
  <si>
    <t>民丰特纸</t>
  </si>
  <si>
    <t>600236.SH</t>
  </si>
  <si>
    <t>桂冠电力</t>
  </si>
  <si>
    <t>600237.SH</t>
  </si>
  <si>
    <t>铜峰电子</t>
  </si>
  <si>
    <t>600238.SH</t>
  </si>
  <si>
    <t>600239.SH</t>
  </si>
  <si>
    <t>云南城投</t>
  </si>
  <si>
    <t>600241.SH</t>
  </si>
  <si>
    <t>时代万恒</t>
  </si>
  <si>
    <t>600243.SH</t>
  </si>
  <si>
    <t>600246.SH</t>
  </si>
  <si>
    <t>万通发展</t>
  </si>
  <si>
    <t>600248.SH</t>
  </si>
  <si>
    <t>陕建股份</t>
  </si>
  <si>
    <t>600249.SH</t>
  </si>
  <si>
    <t>两面针</t>
  </si>
  <si>
    <t>600250.SH</t>
  </si>
  <si>
    <t>南京商旅</t>
  </si>
  <si>
    <t>600251.SH</t>
  </si>
  <si>
    <t>冠农股份</t>
  </si>
  <si>
    <t>600252.SH</t>
  </si>
  <si>
    <t>中恒集团</t>
  </si>
  <si>
    <t>600255.SH</t>
  </si>
  <si>
    <t>鑫科材料</t>
  </si>
  <si>
    <t>600256.SH</t>
  </si>
  <si>
    <t>广汇能源</t>
  </si>
  <si>
    <t>600257.SH</t>
  </si>
  <si>
    <t>大湖股份</t>
  </si>
  <si>
    <t>600258.SH</t>
  </si>
  <si>
    <t>首旅酒店</t>
  </si>
  <si>
    <t>600259.SH</t>
  </si>
  <si>
    <t>600261.SH</t>
  </si>
  <si>
    <t>阳光照明</t>
  </si>
  <si>
    <t>600262.SH</t>
  </si>
  <si>
    <t>北方股份</t>
  </si>
  <si>
    <t>600265.SH</t>
  </si>
  <si>
    <t>ST景谷</t>
  </si>
  <si>
    <t>600266.SH</t>
  </si>
  <si>
    <t>城建发展</t>
  </si>
  <si>
    <t>600267.SH</t>
  </si>
  <si>
    <t>海正药业</t>
  </si>
  <si>
    <t>600268.SH</t>
  </si>
  <si>
    <t>国电南自</t>
  </si>
  <si>
    <t>600269.SH</t>
  </si>
  <si>
    <t>赣粤高速</t>
  </si>
  <si>
    <t>600271.SH</t>
  </si>
  <si>
    <t>航天信息</t>
  </si>
  <si>
    <t>600272.SH</t>
  </si>
  <si>
    <t>开开实业</t>
  </si>
  <si>
    <t>600273.SH</t>
  </si>
  <si>
    <t>嘉化能源</t>
  </si>
  <si>
    <t>600276.SH</t>
  </si>
  <si>
    <t>恒瑞医药</t>
  </si>
  <si>
    <t>600278.SH</t>
  </si>
  <si>
    <t>东方创业</t>
  </si>
  <si>
    <t>600279.SH</t>
  </si>
  <si>
    <t>重庆港</t>
  </si>
  <si>
    <t>600280.SH</t>
  </si>
  <si>
    <t>中央商场</t>
  </si>
  <si>
    <t>600281.SH</t>
  </si>
  <si>
    <t>华阳新材</t>
  </si>
  <si>
    <t>600282.SH</t>
  </si>
  <si>
    <t>南钢股份</t>
  </si>
  <si>
    <t>600283.SH</t>
  </si>
  <si>
    <t>钱江水利</t>
  </si>
  <si>
    <t>600284.SH</t>
  </si>
  <si>
    <t>浦东建设</t>
  </si>
  <si>
    <t>600285.SH</t>
  </si>
  <si>
    <t>羚锐制药</t>
  </si>
  <si>
    <t>600287.SH</t>
  </si>
  <si>
    <t>600288.SH</t>
  </si>
  <si>
    <t>大恒科技</t>
  </si>
  <si>
    <t>600289.SH</t>
  </si>
  <si>
    <t>ST信通</t>
  </si>
  <si>
    <t>600292.SH</t>
  </si>
  <si>
    <t>600293.SH</t>
  </si>
  <si>
    <t>三峡新材</t>
  </si>
  <si>
    <t>600295.SH</t>
  </si>
  <si>
    <t>鄂尔多斯</t>
  </si>
  <si>
    <t>600298.SH</t>
  </si>
  <si>
    <t>安琪酵母</t>
  </si>
  <si>
    <t>600299.SH</t>
  </si>
  <si>
    <t>安迪苏</t>
  </si>
  <si>
    <t>600300.SH</t>
  </si>
  <si>
    <t>维维股份</t>
  </si>
  <si>
    <t>600301.SH</t>
  </si>
  <si>
    <t>华锡有色</t>
  </si>
  <si>
    <t>600302.SH</t>
  </si>
  <si>
    <t>标准股份</t>
  </si>
  <si>
    <t>600303.SH</t>
  </si>
  <si>
    <t>600305.SH</t>
  </si>
  <si>
    <t>恒顺醋业</t>
  </si>
  <si>
    <t>600307.SH</t>
  </si>
  <si>
    <t>酒钢宏兴</t>
  </si>
  <si>
    <t>600308.SH</t>
  </si>
  <si>
    <t>华泰股份</t>
  </si>
  <si>
    <t>600309.SH</t>
  </si>
  <si>
    <t>万华化学</t>
  </si>
  <si>
    <t>600310.SH</t>
  </si>
  <si>
    <t>广西能源</t>
  </si>
  <si>
    <t>600312.SH</t>
  </si>
  <si>
    <t>平高电气</t>
  </si>
  <si>
    <t>600313.SH</t>
  </si>
  <si>
    <t>农发种业</t>
  </si>
  <si>
    <t>600315.SH</t>
  </si>
  <si>
    <t>上海家化</t>
  </si>
  <si>
    <t>600316.SH</t>
  </si>
  <si>
    <t>洪都航空</t>
  </si>
  <si>
    <t>600318.SH</t>
  </si>
  <si>
    <t>新力金融</t>
  </si>
  <si>
    <t>600319.SH</t>
  </si>
  <si>
    <t>亚星化学</t>
  </si>
  <si>
    <t>600320.SH</t>
  </si>
  <si>
    <t>振华重工</t>
  </si>
  <si>
    <t>600322.SH</t>
  </si>
  <si>
    <t>津投城开</t>
  </si>
  <si>
    <t>600323.SH</t>
  </si>
  <si>
    <t>瀚蓝环境</t>
  </si>
  <si>
    <t>600325.SH</t>
  </si>
  <si>
    <t>华发股份</t>
  </si>
  <si>
    <t>600326.SH</t>
  </si>
  <si>
    <t>西藏天路</t>
  </si>
  <si>
    <t>600327.SH</t>
  </si>
  <si>
    <t>大东方</t>
  </si>
  <si>
    <t>600328.SH</t>
  </si>
  <si>
    <t>中盐化工</t>
  </si>
  <si>
    <t>600329.SH</t>
  </si>
  <si>
    <t>达仁堂</t>
  </si>
  <si>
    <t>600330.SH</t>
  </si>
  <si>
    <t>天通股份</t>
  </si>
  <si>
    <t>600331.SH</t>
  </si>
  <si>
    <t>宏达股份</t>
  </si>
  <si>
    <t>600332.SH</t>
  </si>
  <si>
    <t>白云山</t>
  </si>
  <si>
    <t>600333.SH</t>
  </si>
  <si>
    <t>长春燃气</t>
  </si>
  <si>
    <t>600335.SH</t>
  </si>
  <si>
    <t>国机汽车</t>
  </si>
  <si>
    <t>600336.SH</t>
  </si>
  <si>
    <t>澳柯玛</t>
  </si>
  <si>
    <t>600337.SH</t>
  </si>
  <si>
    <t>美克家居</t>
  </si>
  <si>
    <t>600338.SH</t>
  </si>
  <si>
    <t>西藏珠峰</t>
  </si>
  <si>
    <t>600339.SH</t>
  </si>
  <si>
    <t>中油工程</t>
  </si>
  <si>
    <t>600340.SH</t>
  </si>
  <si>
    <t>华夏幸福</t>
  </si>
  <si>
    <t>600343.SH</t>
  </si>
  <si>
    <t>航天动力</t>
  </si>
  <si>
    <t>600345.SH</t>
  </si>
  <si>
    <t>长江通信</t>
  </si>
  <si>
    <t>600346.SH</t>
  </si>
  <si>
    <t>恒力石化</t>
  </si>
  <si>
    <t>600348.SH</t>
  </si>
  <si>
    <t>华阳股份</t>
  </si>
  <si>
    <t>600350.SH</t>
  </si>
  <si>
    <t>山东高速</t>
  </si>
  <si>
    <t>600351.SH</t>
  </si>
  <si>
    <t>亚宝药业</t>
  </si>
  <si>
    <t>600352.SH</t>
  </si>
  <si>
    <t>浙江龙盛</t>
  </si>
  <si>
    <t>600353.SH</t>
  </si>
  <si>
    <t>旭光电子</t>
  </si>
  <si>
    <t>600354.SH</t>
  </si>
  <si>
    <t>敦煌种业</t>
  </si>
  <si>
    <t>600355.SH</t>
  </si>
  <si>
    <t>600356.SH</t>
  </si>
  <si>
    <t>恒丰纸业</t>
  </si>
  <si>
    <t>600358.SH</t>
  </si>
  <si>
    <t>600359.SH</t>
  </si>
  <si>
    <t>新农开发</t>
  </si>
  <si>
    <t>600360.SH</t>
  </si>
  <si>
    <t>600361.SH</t>
  </si>
  <si>
    <t>创新新材</t>
  </si>
  <si>
    <t>600362.SH</t>
  </si>
  <si>
    <t>江西铜业</t>
  </si>
  <si>
    <t>600363.SH</t>
  </si>
  <si>
    <t>联创光电</t>
  </si>
  <si>
    <t>600365.SH</t>
  </si>
  <si>
    <t>ST通葡</t>
  </si>
  <si>
    <t>600366.SH</t>
  </si>
  <si>
    <t>宁波韵升</t>
  </si>
  <si>
    <t>600367.SH</t>
  </si>
  <si>
    <t>红星发展</t>
  </si>
  <si>
    <t>600368.SH</t>
  </si>
  <si>
    <t>五洲交通</t>
  </si>
  <si>
    <t>600369.SH</t>
  </si>
  <si>
    <t>西南证券</t>
  </si>
  <si>
    <t>600370.SH</t>
  </si>
  <si>
    <t>三房巷</t>
  </si>
  <si>
    <t>600371.SH</t>
  </si>
  <si>
    <t>万向德农</t>
  </si>
  <si>
    <t>600372.SH</t>
  </si>
  <si>
    <t>中航机载</t>
  </si>
  <si>
    <t>600373.SH</t>
  </si>
  <si>
    <t>中文传媒</t>
  </si>
  <si>
    <t>600375.SH</t>
  </si>
  <si>
    <t>600376.SH</t>
  </si>
  <si>
    <t>首开股份</t>
  </si>
  <si>
    <t>600377.SH</t>
  </si>
  <si>
    <t>宁沪高速</t>
  </si>
  <si>
    <t>600378.SH</t>
  </si>
  <si>
    <t>昊华科技</t>
  </si>
  <si>
    <t>600379.SH</t>
  </si>
  <si>
    <t>宝光股份</t>
  </si>
  <si>
    <t>600380.SH</t>
  </si>
  <si>
    <t>健康元</t>
  </si>
  <si>
    <t>600381.SH</t>
  </si>
  <si>
    <t>600382.SH</t>
  </si>
  <si>
    <t>广东明珠</t>
  </si>
  <si>
    <t>600383.SH</t>
  </si>
  <si>
    <t>金地集团</t>
  </si>
  <si>
    <t>600386.SH</t>
  </si>
  <si>
    <t>北巴传媒</t>
  </si>
  <si>
    <t>600388.SH</t>
  </si>
  <si>
    <t>龙净环保</t>
  </si>
  <si>
    <t>600389.SH</t>
  </si>
  <si>
    <t>江山股份</t>
  </si>
  <si>
    <t>600390.SH</t>
  </si>
  <si>
    <t>五矿资本</t>
  </si>
  <si>
    <t>600391.SH</t>
  </si>
  <si>
    <t>航发科技</t>
  </si>
  <si>
    <t>600392.SH</t>
  </si>
  <si>
    <t>盛和资源</t>
  </si>
  <si>
    <t>600395.SH</t>
  </si>
  <si>
    <t>盘江股份</t>
  </si>
  <si>
    <t>600396.SH</t>
  </si>
  <si>
    <t>600397.SH</t>
  </si>
  <si>
    <t>600398.SH</t>
  </si>
  <si>
    <t>海澜之家</t>
  </si>
  <si>
    <t>600399.SH</t>
  </si>
  <si>
    <t>抚顺特钢</t>
  </si>
  <si>
    <t>600400.SH</t>
  </si>
  <si>
    <t>红豆股份</t>
  </si>
  <si>
    <t>600403.SH</t>
  </si>
  <si>
    <t>大有能源</t>
  </si>
  <si>
    <t>600405.SH</t>
  </si>
  <si>
    <t>动力源</t>
  </si>
  <si>
    <t>600406.SH</t>
  </si>
  <si>
    <t>国电南瑞</t>
  </si>
  <si>
    <t>600408.SH</t>
  </si>
  <si>
    <t>安泰集团</t>
  </si>
  <si>
    <t>600409.SH</t>
  </si>
  <si>
    <t>三友化工</t>
  </si>
  <si>
    <t>600410.SH</t>
  </si>
  <si>
    <t>华胜天成</t>
  </si>
  <si>
    <t>600415.SH</t>
  </si>
  <si>
    <t>小商品城</t>
  </si>
  <si>
    <t>600416.SH</t>
  </si>
  <si>
    <t>湘电股份</t>
  </si>
  <si>
    <t>600418.SH</t>
  </si>
  <si>
    <t>江淮汽车</t>
  </si>
  <si>
    <t>600419.SH</t>
  </si>
  <si>
    <t>天润乳业</t>
  </si>
  <si>
    <t>600420.SH</t>
  </si>
  <si>
    <t>国药现代</t>
  </si>
  <si>
    <t>600421.SH</t>
  </si>
  <si>
    <t>600422.SH</t>
  </si>
  <si>
    <t>昆药集团</t>
  </si>
  <si>
    <t>600423.SH</t>
  </si>
  <si>
    <t>柳化股份</t>
  </si>
  <si>
    <t>600425.SH</t>
  </si>
  <si>
    <t>青松建化</t>
  </si>
  <si>
    <t>600426.SH</t>
  </si>
  <si>
    <t>华鲁恒升</t>
  </si>
  <si>
    <t>600428.SH</t>
  </si>
  <si>
    <t>中远海特</t>
  </si>
  <si>
    <t>600429.SH</t>
  </si>
  <si>
    <t>三元股份</t>
  </si>
  <si>
    <t>600433.SH</t>
  </si>
  <si>
    <t>冠豪高新</t>
  </si>
  <si>
    <t>600435.SH</t>
  </si>
  <si>
    <t>北方导航</t>
  </si>
  <si>
    <t>600436.SH</t>
  </si>
  <si>
    <t>片仔癀</t>
  </si>
  <si>
    <t>600438.SH</t>
  </si>
  <si>
    <t>通威股份</t>
  </si>
  <si>
    <t>600439.SH</t>
  </si>
  <si>
    <t>瑞贝卡</t>
  </si>
  <si>
    <t>600444.SH</t>
  </si>
  <si>
    <t>国机通用</t>
  </si>
  <si>
    <t>600446.SH</t>
  </si>
  <si>
    <t>金证股份</t>
  </si>
  <si>
    <t>600448.SH</t>
  </si>
  <si>
    <t>华纺股份</t>
  </si>
  <si>
    <t>600449.SH</t>
  </si>
  <si>
    <t>宁夏建材</t>
  </si>
  <si>
    <t>600452.SH</t>
  </si>
  <si>
    <t>涪陵电力</t>
  </si>
  <si>
    <t>600455.SH</t>
  </si>
  <si>
    <t>博通股份</t>
  </si>
  <si>
    <t>600456.SH</t>
  </si>
  <si>
    <t>宝钛股份</t>
  </si>
  <si>
    <t>600458.SH</t>
  </si>
  <si>
    <t>时代新材</t>
  </si>
  <si>
    <t>600459.SH</t>
  </si>
  <si>
    <t>贵研铂业</t>
  </si>
  <si>
    <t>600460.SH</t>
  </si>
  <si>
    <t>士兰微</t>
  </si>
  <si>
    <t>600461.SH</t>
  </si>
  <si>
    <t>洪城环境</t>
  </si>
  <si>
    <t>600463.SH</t>
  </si>
  <si>
    <t>空港股份</t>
  </si>
  <si>
    <t>600467.SH</t>
  </si>
  <si>
    <t>好当家</t>
  </si>
  <si>
    <t>600468.SH</t>
  </si>
  <si>
    <t>百利电气</t>
  </si>
  <si>
    <t>600469.SH</t>
  </si>
  <si>
    <t>风神股份</t>
  </si>
  <si>
    <t>600470.SH</t>
  </si>
  <si>
    <t>六国化工</t>
  </si>
  <si>
    <t>600475.SH</t>
  </si>
  <si>
    <t>华光环能</t>
  </si>
  <si>
    <t>600476.SH</t>
  </si>
  <si>
    <t>湘邮科技</t>
  </si>
  <si>
    <t>600477.SH</t>
  </si>
  <si>
    <t>杭萧钢构</t>
  </si>
  <si>
    <t>600478.SH</t>
  </si>
  <si>
    <t>科力远</t>
  </si>
  <si>
    <t>600479.SH</t>
  </si>
  <si>
    <t>千金药业</t>
  </si>
  <si>
    <t>600480.SH</t>
  </si>
  <si>
    <t>凌云股份</t>
  </si>
  <si>
    <t>600481.SH</t>
  </si>
  <si>
    <t>双良节能</t>
  </si>
  <si>
    <t>600482.SH</t>
  </si>
  <si>
    <t>中国动力</t>
  </si>
  <si>
    <t>600483.SH</t>
  </si>
  <si>
    <t>福能股份</t>
  </si>
  <si>
    <t>600486.SH</t>
  </si>
  <si>
    <t>扬农化工</t>
  </si>
  <si>
    <t>600487.SH</t>
  </si>
  <si>
    <t>亨通光电</t>
  </si>
  <si>
    <t>600488.SH</t>
  </si>
  <si>
    <t>津药药业</t>
  </si>
  <si>
    <t>600489.SH</t>
  </si>
  <si>
    <t>中金黄金</t>
  </si>
  <si>
    <t>600490.SH</t>
  </si>
  <si>
    <t>鹏欣资源</t>
  </si>
  <si>
    <t>600491.SH</t>
  </si>
  <si>
    <t>龙元建设</t>
  </si>
  <si>
    <t>600493.SH</t>
  </si>
  <si>
    <t>凤竹纺织</t>
  </si>
  <si>
    <t>600495.SH</t>
  </si>
  <si>
    <t>晋西车轴</t>
  </si>
  <si>
    <t>600496.SH</t>
  </si>
  <si>
    <t>精工钢构</t>
  </si>
  <si>
    <t>600497.SH</t>
  </si>
  <si>
    <t>驰宏锌锗</t>
  </si>
  <si>
    <t>600498.SH</t>
  </si>
  <si>
    <t>烽火通信</t>
  </si>
  <si>
    <t>600499.SH</t>
  </si>
  <si>
    <t>科达制造</t>
  </si>
  <si>
    <t>600500.SH</t>
  </si>
  <si>
    <t>中化国际</t>
  </si>
  <si>
    <t>600501.SH</t>
  </si>
  <si>
    <t>航天晨光</t>
  </si>
  <si>
    <t>600502.SH</t>
  </si>
  <si>
    <t>安徽建工</t>
  </si>
  <si>
    <t>600503.SH</t>
  </si>
  <si>
    <t>华丽家族</t>
  </si>
  <si>
    <t>600505.SH</t>
  </si>
  <si>
    <t>西昌电力</t>
  </si>
  <si>
    <t>600506.SH</t>
  </si>
  <si>
    <t>统一股份</t>
  </si>
  <si>
    <t>600507.SH</t>
  </si>
  <si>
    <t>方大特钢</t>
  </si>
  <si>
    <t>600508.SH</t>
  </si>
  <si>
    <t>上海能源</t>
  </si>
  <si>
    <t>600509.SH</t>
  </si>
  <si>
    <t>天富能源</t>
  </si>
  <si>
    <t>600510.SH</t>
  </si>
  <si>
    <t>黑牡丹</t>
  </si>
  <si>
    <t>600511.SH</t>
  </si>
  <si>
    <t>国药股份</t>
  </si>
  <si>
    <t>600512.SH</t>
  </si>
  <si>
    <t>腾达建设</t>
  </si>
  <si>
    <t>600513.SH</t>
  </si>
  <si>
    <t>联环药业</t>
  </si>
  <si>
    <t>600515.SH</t>
  </si>
  <si>
    <t>海南机场</t>
  </si>
  <si>
    <t>600516.SH</t>
  </si>
  <si>
    <t>方大炭素</t>
  </si>
  <si>
    <t>600517.SH</t>
  </si>
  <si>
    <t>国网英大</t>
  </si>
  <si>
    <t>600518.SH</t>
  </si>
  <si>
    <t>600519.SH</t>
  </si>
  <si>
    <t>贵州茅台</t>
  </si>
  <si>
    <t>600520.SH</t>
  </si>
  <si>
    <t>600521.SH</t>
  </si>
  <si>
    <t>华海药业</t>
  </si>
  <si>
    <t>600522.SH</t>
  </si>
  <si>
    <t>中天科技</t>
  </si>
  <si>
    <t>600523.SH</t>
  </si>
  <si>
    <t>贵航股份</t>
  </si>
  <si>
    <t>600525.SH</t>
  </si>
  <si>
    <t>600526.SH</t>
  </si>
  <si>
    <t>菲达环保</t>
  </si>
  <si>
    <t>600527.SH</t>
  </si>
  <si>
    <t>江南高纤</t>
  </si>
  <si>
    <t>600528.SH</t>
  </si>
  <si>
    <t>中铁工业</t>
  </si>
  <si>
    <t>600529.SH</t>
  </si>
  <si>
    <t>山东药玻</t>
  </si>
  <si>
    <t>600530.SH</t>
  </si>
  <si>
    <t>600531.SH</t>
  </si>
  <si>
    <t>豫光金铅</t>
  </si>
  <si>
    <t>600533.SH</t>
  </si>
  <si>
    <t>栖霞建设</t>
  </si>
  <si>
    <t>600535.SH</t>
  </si>
  <si>
    <t>天士力</t>
  </si>
  <si>
    <t>600536.SH</t>
  </si>
  <si>
    <t>中国软件</t>
  </si>
  <si>
    <t>600537.SH</t>
  </si>
  <si>
    <t>亿晶光电</t>
  </si>
  <si>
    <t>600538.SH</t>
  </si>
  <si>
    <t>国发股份</t>
  </si>
  <si>
    <t>600539.SH</t>
  </si>
  <si>
    <t>狮头股份</t>
  </si>
  <si>
    <t>600540.SH</t>
  </si>
  <si>
    <t>新赛股份</t>
  </si>
  <si>
    <t>600543.SH</t>
  </si>
  <si>
    <t>600545.SH</t>
  </si>
  <si>
    <t>卓郎智能</t>
  </si>
  <si>
    <t>600546.SH</t>
  </si>
  <si>
    <t>山煤国际</t>
  </si>
  <si>
    <t>600547.SH</t>
  </si>
  <si>
    <t>山东黄金</t>
  </si>
  <si>
    <t>600548.SH</t>
  </si>
  <si>
    <t>深高速</t>
  </si>
  <si>
    <t>600549.SH</t>
  </si>
  <si>
    <t>厦门钨业</t>
  </si>
  <si>
    <t>600550.SH</t>
  </si>
  <si>
    <t>保变电气</t>
  </si>
  <si>
    <t>600551.SH</t>
  </si>
  <si>
    <t>时代出版</t>
  </si>
  <si>
    <t>600552.SH</t>
  </si>
  <si>
    <t>凯盛科技</t>
  </si>
  <si>
    <t>600556.SH</t>
  </si>
  <si>
    <t>天下秀</t>
  </si>
  <si>
    <t>600557.SH</t>
  </si>
  <si>
    <t>康缘药业</t>
  </si>
  <si>
    <t>600558.SH</t>
  </si>
  <si>
    <t>大西洋</t>
  </si>
  <si>
    <t>600559.SH</t>
  </si>
  <si>
    <t>老白干酒</t>
  </si>
  <si>
    <t>600560.SH</t>
  </si>
  <si>
    <t>金自天正</t>
  </si>
  <si>
    <t>600561.SH</t>
  </si>
  <si>
    <t>江西长运</t>
  </si>
  <si>
    <t>600562.SH</t>
  </si>
  <si>
    <t>国睿科技</t>
  </si>
  <si>
    <t>600563.SH</t>
  </si>
  <si>
    <t>法拉电子</t>
  </si>
  <si>
    <t>600566.SH</t>
  </si>
  <si>
    <t>济川药业</t>
  </si>
  <si>
    <t>600567.SH</t>
  </si>
  <si>
    <t>山鹰国际</t>
  </si>
  <si>
    <t>600568.SH</t>
  </si>
  <si>
    <t>ST中珠</t>
  </si>
  <si>
    <t>600569.SH</t>
  </si>
  <si>
    <t>安阳钢铁</t>
  </si>
  <si>
    <t>600570.SH</t>
  </si>
  <si>
    <t>恒生电子</t>
  </si>
  <si>
    <t>600571.SH</t>
  </si>
  <si>
    <t>信雅达</t>
  </si>
  <si>
    <t>600572.SH</t>
  </si>
  <si>
    <t>康恩贝</t>
  </si>
  <si>
    <t>600573.SH</t>
  </si>
  <si>
    <t>惠泉啤酒</t>
  </si>
  <si>
    <t>600575.SH</t>
  </si>
  <si>
    <t>淮河能源</t>
  </si>
  <si>
    <t>600576.SH</t>
  </si>
  <si>
    <t>祥源文旅</t>
  </si>
  <si>
    <t>600577.SH</t>
  </si>
  <si>
    <t>精达股份</t>
  </si>
  <si>
    <t>600578.SH</t>
  </si>
  <si>
    <t>京能电力</t>
  </si>
  <si>
    <t>600579.SH</t>
  </si>
  <si>
    <t>600580.SH</t>
  </si>
  <si>
    <t>卧龙电驱</t>
  </si>
  <si>
    <t>600581.SH</t>
  </si>
  <si>
    <t>八一钢铁</t>
  </si>
  <si>
    <t>600582.SH</t>
  </si>
  <si>
    <t>天地科技</t>
  </si>
  <si>
    <t>600583.SH</t>
  </si>
  <si>
    <t>海油工程</t>
  </si>
  <si>
    <t>600584.SH</t>
  </si>
  <si>
    <t>长电科技</t>
  </si>
  <si>
    <t>600585.SH</t>
  </si>
  <si>
    <t>海螺水泥</t>
  </si>
  <si>
    <t>600586.SH</t>
  </si>
  <si>
    <t>金晶科技</t>
  </si>
  <si>
    <t>600587.SH</t>
  </si>
  <si>
    <t>新华医疗</t>
  </si>
  <si>
    <t>600588.SH</t>
  </si>
  <si>
    <t>用友网络</t>
  </si>
  <si>
    <t>600589.SH</t>
  </si>
  <si>
    <t>600590.SH</t>
  </si>
  <si>
    <t>泰豪科技</t>
  </si>
  <si>
    <t>600592.SH</t>
  </si>
  <si>
    <t>龙溪股份</t>
  </si>
  <si>
    <t>600593.SH</t>
  </si>
  <si>
    <t>大连圣亚</t>
  </si>
  <si>
    <t>600594.SH</t>
  </si>
  <si>
    <t>益佰制药</t>
  </si>
  <si>
    <t>600595.SH</t>
  </si>
  <si>
    <t>中孚实业</t>
  </si>
  <si>
    <t>600596.SH</t>
  </si>
  <si>
    <t>新安股份</t>
  </si>
  <si>
    <t>600597.SH</t>
  </si>
  <si>
    <t>光明乳业</t>
  </si>
  <si>
    <t>600598.SH</t>
  </si>
  <si>
    <t>北大荒</t>
  </si>
  <si>
    <t>600599.SH</t>
  </si>
  <si>
    <t>600600.SH</t>
  </si>
  <si>
    <t>青岛啤酒</t>
  </si>
  <si>
    <t>600601.SH</t>
  </si>
  <si>
    <t>方正科技</t>
  </si>
  <si>
    <t>600602.SH</t>
  </si>
  <si>
    <t>云赛智联</t>
  </si>
  <si>
    <t>600603.SH</t>
  </si>
  <si>
    <t>600604.SH</t>
  </si>
  <si>
    <t>市北高新</t>
  </si>
  <si>
    <t>600605.SH</t>
  </si>
  <si>
    <t>汇通能源</t>
  </si>
  <si>
    <t>600606.SH</t>
  </si>
  <si>
    <t>绿地控股</t>
  </si>
  <si>
    <t>600608.SH</t>
  </si>
  <si>
    <t>600609.SH</t>
  </si>
  <si>
    <t>金杯汽车</t>
  </si>
  <si>
    <t>600610.SH</t>
  </si>
  <si>
    <t>中毅达</t>
  </si>
  <si>
    <t>600611.SH</t>
  </si>
  <si>
    <t>大众交通</t>
  </si>
  <si>
    <t>600612.SH</t>
  </si>
  <si>
    <t>老凤祥</t>
  </si>
  <si>
    <t>600613.SH</t>
  </si>
  <si>
    <t>神奇制药</t>
  </si>
  <si>
    <t>600615.SH</t>
  </si>
  <si>
    <t>600616.SH</t>
  </si>
  <si>
    <t>金枫酒业</t>
  </si>
  <si>
    <t>600617.SH</t>
  </si>
  <si>
    <t>国新能源</t>
  </si>
  <si>
    <t>600618.SH</t>
  </si>
  <si>
    <t>氯碱化工</t>
  </si>
  <si>
    <t>600619.SH</t>
  </si>
  <si>
    <t>海立股份</t>
  </si>
  <si>
    <t>600620.SH</t>
  </si>
  <si>
    <t>天宸股份</t>
  </si>
  <si>
    <t>600621.SH</t>
  </si>
  <si>
    <t>华鑫股份</t>
  </si>
  <si>
    <t>600622.SH</t>
  </si>
  <si>
    <t>光大嘉宝</t>
  </si>
  <si>
    <t>600623.SH</t>
  </si>
  <si>
    <t>华谊集团</t>
  </si>
  <si>
    <t>600624.SH</t>
  </si>
  <si>
    <t>600626.SH</t>
  </si>
  <si>
    <t>申达股份</t>
  </si>
  <si>
    <t>600628.SH</t>
  </si>
  <si>
    <t>新世界</t>
  </si>
  <si>
    <t>600629.SH</t>
  </si>
  <si>
    <t>华建集团</t>
  </si>
  <si>
    <t>600630.SH</t>
  </si>
  <si>
    <t>龙头股份</t>
  </si>
  <si>
    <t>600633.SH</t>
  </si>
  <si>
    <t>浙数文化</t>
  </si>
  <si>
    <t>600635.SH</t>
  </si>
  <si>
    <t>大众公用</t>
  </si>
  <si>
    <t>600636.SH</t>
  </si>
  <si>
    <t>600637.SH</t>
  </si>
  <si>
    <t>东方明珠</t>
  </si>
  <si>
    <t>600638.SH</t>
  </si>
  <si>
    <t>新黄浦</t>
  </si>
  <si>
    <t>600639.SH</t>
  </si>
  <si>
    <t>浦东金桥</t>
  </si>
  <si>
    <t>600640.SH</t>
  </si>
  <si>
    <t>国脉文化</t>
  </si>
  <si>
    <t>600641.SH</t>
  </si>
  <si>
    <t>600642.SH</t>
  </si>
  <si>
    <t>申能股份</t>
  </si>
  <si>
    <t>600643.SH</t>
  </si>
  <si>
    <t>爱建集团</t>
  </si>
  <si>
    <t>600644.SH</t>
  </si>
  <si>
    <t>乐山电力</t>
  </si>
  <si>
    <t>600645.SH</t>
  </si>
  <si>
    <t>中源协和</t>
  </si>
  <si>
    <t>600648.SH</t>
  </si>
  <si>
    <t>外高桥</t>
  </si>
  <si>
    <t>600649.SH</t>
  </si>
  <si>
    <t>城投控股</t>
  </si>
  <si>
    <t>600650.SH</t>
  </si>
  <si>
    <t>锦江在线</t>
  </si>
  <si>
    <t>600651.SH</t>
  </si>
  <si>
    <t>飞乐音响</t>
  </si>
  <si>
    <t>600653.SH</t>
  </si>
  <si>
    <t>申华控股</t>
  </si>
  <si>
    <t>600654.SH</t>
  </si>
  <si>
    <t>600655.SH</t>
  </si>
  <si>
    <t>豫园股份</t>
  </si>
  <si>
    <t>600657.SH</t>
  </si>
  <si>
    <t>信达地产</t>
  </si>
  <si>
    <t>600658.SH</t>
  </si>
  <si>
    <t>电子城</t>
  </si>
  <si>
    <t>600660.SH</t>
  </si>
  <si>
    <t>福耀玻璃</t>
  </si>
  <si>
    <t>600661.SH</t>
  </si>
  <si>
    <t>昂立教育</t>
  </si>
  <si>
    <t>600662.SH</t>
  </si>
  <si>
    <t>外服控股</t>
  </si>
  <si>
    <t>600663.SH</t>
  </si>
  <si>
    <t>陆家嘴</t>
  </si>
  <si>
    <t>600664.SH</t>
  </si>
  <si>
    <t>哈药股份</t>
  </si>
  <si>
    <t>600665.SH</t>
  </si>
  <si>
    <t>天地源</t>
  </si>
  <si>
    <t>600666.SH</t>
  </si>
  <si>
    <t>600667.SH</t>
  </si>
  <si>
    <t>太极实业</t>
  </si>
  <si>
    <t>600668.SH</t>
  </si>
  <si>
    <t>尖峰集团</t>
  </si>
  <si>
    <t>600671.SH</t>
  </si>
  <si>
    <t>600673.SH</t>
  </si>
  <si>
    <t>东阳光</t>
  </si>
  <si>
    <t>600674.SH</t>
  </si>
  <si>
    <t>川投能源</t>
  </si>
  <si>
    <t>600675.SH</t>
  </si>
  <si>
    <t>中华企业</t>
  </si>
  <si>
    <t>600676.SH</t>
  </si>
  <si>
    <t>交运股份</t>
  </si>
  <si>
    <t>600678.SH</t>
  </si>
  <si>
    <t>四川金顶</t>
  </si>
  <si>
    <t>600679.SH</t>
  </si>
  <si>
    <t>上海凤凰</t>
  </si>
  <si>
    <t>600681.SH</t>
  </si>
  <si>
    <t>百川能源</t>
  </si>
  <si>
    <t>600682.SH</t>
  </si>
  <si>
    <t>南京新百</t>
  </si>
  <si>
    <t>600683.SH</t>
  </si>
  <si>
    <t>京投发展</t>
  </si>
  <si>
    <t>600684.SH</t>
  </si>
  <si>
    <t>珠江股份</t>
  </si>
  <si>
    <t>600685.SH</t>
  </si>
  <si>
    <t>中船防务</t>
  </si>
  <si>
    <t>600686.SH</t>
  </si>
  <si>
    <t>金龙汽车</t>
  </si>
  <si>
    <t>600688.SH</t>
  </si>
  <si>
    <t>上海石化</t>
  </si>
  <si>
    <t>600689.SH</t>
  </si>
  <si>
    <t>上海三毛</t>
  </si>
  <si>
    <t>600690.SH</t>
  </si>
  <si>
    <t>海尔智家</t>
  </si>
  <si>
    <t>600691.SH</t>
  </si>
  <si>
    <t>600692.SH</t>
  </si>
  <si>
    <t>亚通股份</t>
  </si>
  <si>
    <t>600693.SH</t>
  </si>
  <si>
    <t>东百集团</t>
  </si>
  <si>
    <t>600694.SH</t>
  </si>
  <si>
    <t>大商股份</t>
  </si>
  <si>
    <t>600696.SH</t>
  </si>
  <si>
    <t>600697.SH</t>
  </si>
  <si>
    <t>欧亚集团</t>
  </si>
  <si>
    <t>600698.SH</t>
  </si>
  <si>
    <t>湖南天雁</t>
  </si>
  <si>
    <t>600699.SH</t>
  </si>
  <si>
    <t>均胜电子</t>
  </si>
  <si>
    <t>600702.SH</t>
  </si>
  <si>
    <t>舍得酒业</t>
  </si>
  <si>
    <t>600703.SH</t>
  </si>
  <si>
    <t>三安光电</t>
  </si>
  <si>
    <t>600704.SH</t>
  </si>
  <si>
    <t>物产中大</t>
  </si>
  <si>
    <t>600706.SH</t>
  </si>
  <si>
    <t>曲江文旅</t>
  </si>
  <si>
    <t>600707.SH</t>
  </si>
  <si>
    <t>彩虹股份</t>
  </si>
  <si>
    <t>600708.SH</t>
  </si>
  <si>
    <t>光明地产</t>
  </si>
  <si>
    <t>600710.SH</t>
  </si>
  <si>
    <t>苏美达</t>
  </si>
  <si>
    <t>600711.SH</t>
  </si>
  <si>
    <t>盛屯矿业</t>
  </si>
  <si>
    <t>600712.SH</t>
  </si>
  <si>
    <t>南宁百货</t>
  </si>
  <si>
    <t>600713.SH</t>
  </si>
  <si>
    <t>南京医药</t>
  </si>
  <si>
    <t>600714.SH</t>
  </si>
  <si>
    <t>金瑞矿业</t>
  </si>
  <si>
    <t>600715.SH</t>
  </si>
  <si>
    <t>文投控股</t>
  </si>
  <si>
    <t>600716.SH</t>
  </si>
  <si>
    <t>凤凰股份</t>
  </si>
  <si>
    <t>600717.SH</t>
  </si>
  <si>
    <t>天津港</t>
  </si>
  <si>
    <t>600718.SH</t>
  </si>
  <si>
    <t>东软集团</t>
  </si>
  <si>
    <t>600719.SH</t>
  </si>
  <si>
    <t>大连热电</t>
  </si>
  <si>
    <t>600720.SH</t>
  </si>
  <si>
    <t>中交设计</t>
  </si>
  <si>
    <t>600721.SH</t>
  </si>
  <si>
    <t>百花医药</t>
  </si>
  <si>
    <t>600722.SH</t>
  </si>
  <si>
    <t>金牛化工</t>
  </si>
  <si>
    <t>600724.SH</t>
  </si>
  <si>
    <t>宁波富达</t>
  </si>
  <si>
    <t>600725.SH</t>
  </si>
  <si>
    <t>云维股份</t>
  </si>
  <si>
    <t>600726.SH</t>
  </si>
  <si>
    <t>华电能源</t>
  </si>
  <si>
    <t>600727.SH</t>
  </si>
  <si>
    <t>鲁北化工</t>
  </si>
  <si>
    <t>600728.SH</t>
  </si>
  <si>
    <t>佳都科技</t>
  </si>
  <si>
    <t>600729.SH</t>
  </si>
  <si>
    <t>重庆百货</t>
  </si>
  <si>
    <t>600730.SH</t>
  </si>
  <si>
    <t>中国高科</t>
  </si>
  <si>
    <t>600731.SH</t>
  </si>
  <si>
    <t>湖南海利</t>
  </si>
  <si>
    <t>600732.SH</t>
  </si>
  <si>
    <t>爱旭股份</t>
  </si>
  <si>
    <t>600733.SH</t>
  </si>
  <si>
    <t>北汽蓝谷</t>
  </si>
  <si>
    <t>600734.SH</t>
  </si>
  <si>
    <t>600735.SH</t>
  </si>
  <si>
    <t>600736.SH</t>
  </si>
  <si>
    <t>苏州高新</t>
  </si>
  <si>
    <t>600737.SH</t>
  </si>
  <si>
    <t>中粮糖业</t>
  </si>
  <si>
    <t>600738.SH</t>
  </si>
  <si>
    <t>丽尚国潮</t>
  </si>
  <si>
    <t>600739.SH</t>
  </si>
  <si>
    <t>辽宁成大</t>
  </si>
  <si>
    <t>600740.SH</t>
  </si>
  <si>
    <t>山西焦化</t>
  </si>
  <si>
    <t>600741.SH</t>
  </si>
  <si>
    <t>华域汽车</t>
  </si>
  <si>
    <t>600742.SH</t>
  </si>
  <si>
    <t>600743.SH</t>
  </si>
  <si>
    <t>600744.SH</t>
  </si>
  <si>
    <t>华银电力</t>
  </si>
  <si>
    <t>600745.SH</t>
  </si>
  <si>
    <t>闻泰科技</t>
  </si>
  <si>
    <t>600746.SH</t>
  </si>
  <si>
    <t>江苏索普</t>
  </si>
  <si>
    <t>600748.SH</t>
  </si>
  <si>
    <t>上实发展</t>
  </si>
  <si>
    <t>600749.SH</t>
  </si>
  <si>
    <t>西藏旅游</t>
  </si>
  <si>
    <t>600750.SH</t>
  </si>
  <si>
    <t>600751.SH</t>
  </si>
  <si>
    <t>海航科技</t>
  </si>
  <si>
    <t>600753.SH</t>
  </si>
  <si>
    <t>600754.SH</t>
  </si>
  <si>
    <t>锦江酒店</t>
  </si>
  <si>
    <t>600755.SH</t>
  </si>
  <si>
    <t>厦门国贸</t>
  </si>
  <si>
    <t>600756.SH</t>
  </si>
  <si>
    <t>浪潮软件</t>
  </si>
  <si>
    <t>600757.SH</t>
  </si>
  <si>
    <t>长江传媒</t>
  </si>
  <si>
    <t>600758.SH</t>
  </si>
  <si>
    <t>辽宁能源</t>
  </si>
  <si>
    <t>600759.SH</t>
  </si>
  <si>
    <t>600760.SH</t>
  </si>
  <si>
    <t>中航沈飞</t>
  </si>
  <si>
    <t>600761.SH</t>
  </si>
  <si>
    <t>安徽合力</t>
  </si>
  <si>
    <t>600763.SH</t>
  </si>
  <si>
    <t>通策医疗</t>
  </si>
  <si>
    <t>600764.SH</t>
  </si>
  <si>
    <t>中国海防</t>
  </si>
  <si>
    <t>600765.SH</t>
  </si>
  <si>
    <t>中航重机</t>
  </si>
  <si>
    <t>600768.SH</t>
  </si>
  <si>
    <t>宁波富邦</t>
  </si>
  <si>
    <t>600769.SH</t>
  </si>
  <si>
    <t>祥龙电业</t>
  </si>
  <si>
    <t>600770.SH</t>
  </si>
  <si>
    <t>综艺股份</t>
  </si>
  <si>
    <t>600771.SH</t>
  </si>
  <si>
    <t>广誉远</t>
  </si>
  <si>
    <t>600773.SH</t>
  </si>
  <si>
    <t>西藏城投</t>
  </si>
  <si>
    <t>600774.SH</t>
  </si>
  <si>
    <t>汉商集团</t>
  </si>
  <si>
    <t>600775.SH</t>
  </si>
  <si>
    <t>南京熊猫</t>
  </si>
  <si>
    <t>600776.SH</t>
  </si>
  <si>
    <t>东方通信</t>
  </si>
  <si>
    <t>600777.SH</t>
  </si>
  <si>
    <t>600778.SH</t>
  </si>
  <si>
    <t>友好集团</t>
  </si>
  <si>
    <t>600779.SH</t>
  </si>
  <si>
    <t>水井坊</t>
  </si>
  <si>
    <t>600780.SH</t>
  </si>
  <si>
    <t>通宝能源</t>
  </si>
  <si>
    <t>600782.SH</t>
  </si>
  <si>
    <t>新钢股份</t>
  </si>
  <si>
    <t>600783.SH</t>
  </si>
  <si>
    <t>鲁信创投</t>
  </si>
  <si>
    <t>600784.SH</t>
  </si>
  <si>
    <t>鲁银投资</t>
  </si>
  <si>
    <t>600785.SH</t>
  </si>
  <si>
    <t>新华百货</t>
  </si>
  <si>
    <t>600787.SH</t>
  </si>
  <si>
    <t>中储股份</t>
  </si>
  <si>
    <t>600789.SH</t>
  </si>
  <si>
    <t>鲁抗医药</t>
  </si>
  <si>
    <t>600790.SH</t>
  </si>
  <si>
    <t>轻纺城</t>
  </si>
  <si>
    <t>600791.SH</t>
  </si>
  <si>
    <t>京能置业</t>
  </si>
  <si>
    <t>600792.SH</t>
  </si>
  <si>
    <t>云煤能源</t>
  </si>
  <si>
    <t>600793.SH</t>
  </si>
  <si>
    <t>宜宾纸业</t>
  </si>
  <si>
    <t>600794.SH</t>
  </si>
  <si>
    <t>保税科技</t>
  </si>
  <si>
    <t>600795.SH</t>
  </si>
  <si>
    <t>国电电力</t>
  </si>
  <si>
    <t>600796.SH</t>
  </si>
  <si>
    <t>钱江生化</t>
  </si>
  <si>
    <t>600797.SH</t>
  </si>
  <si>
    <t>浙大网新</t>
  </si>
  <si>
    <t>600798.SH</t>
  </si>
  <si>
    <t>宁波海运</t>
  </si>
  <si>
    <t>600800.SH</t>
  </si>
  <si>
    <t>渤海化学</t>
  </si>
  <si>
    <t>600801.SH</t>
  </si>
  <si>
    <t>600802.SH</t>
  </si>
  <si>
    <t>福建水泥</t>
  </si>
  <si>
    <t>600803.SH</t>
  </si>
  <si>
    <t>新奥股份</t>
  </si>
  <si>
    <t>600805.SH</t>
  </si>
  <si>
    <t>悦达投资</t>
  </si>
  <si>
    <t>600807.SH</t>
  </si>
  <si>
    <t>600808.SH</t>
  </si>
  <si>
    <t>马钢股份</t>
  </si>
  <si>
    <t>600809.SH</t>
  </si>
  <si>
    <t>山西汾酒</t>
  </si>
  <si>
    <t>600810.SH</t>
  </si>
  <si>
    <t>神马股份</t>
  </si>
  <si>
    <t>600812.SH</t>
  </si>
  <si>
    <t>华北制药</t>
  </si>
  <si>
    <t>600814.SH</t>
  </si>
  <si>
    <t>杭州解百</t>
  </si>
  <si>
    <t>600815.SH</t>
  </si>
  <si>
    <t>厦工股份</t>
  </si>
  <si>
    <t>600816.SH</t>
  </si>
  <si>
    <t>建元信托</t>
  </si>
  <si>
    <t>600817.SH</t>
  </si>
  <si>
    <t>宇通重工</t>
  </si>
  <si>
    <t>600818.SH</t>
  </si>
  <si>
    <t>中路股份</t>
  </si>
  <si>
    <t>600819.SH</t>
  </si>
  <si>
    <t>耀皮玻璃</t>
  </si>
  <si>
    <t>600820.SH</t>
  </si>
  <si>
    <t>隧道股份</t>
  </si>
  <si>
    <t>600821.SH</t>
  </si>
  <si>
    <t>金开新能</t>
  </si>
  <si>
    <t>600822.SH</t>
  </si>
  <si>
    <t>上海物贸</t>
  </si>
  <si>
    <t>600824.SH</t>
  </si>
  <si>
    <t>益民集团</t>
  </si>
  <si>
    <t>600825.SH</t>
  </si>
  <si>
    <t>新华传媒</t>
  </si>
  <si>
    <t>600826.SH</t>
  </si>
  <si>
    <t>兰生股份</t>
  </si>
  <si>
    <t>600827.SH</t>
  </si>
  <si>
    <t>百联股份</t>
  </si>
  <si>
    <t>600828.SH</t>
  </si>
  <si>
    <t>茂业商业</t>
  </si>
  <si>
    <t>600829.SH</t>
  </si>
  <si>
    <t>人民同泰</t>
  </si>
  <si>
    <t>600830.SH</t>
  </si>
  <si>
    <t>香溢融通</t>
  </si>
  <si>
    <t>600831.SH</t>
  </si>
  <si>
    <t>600833.SH</t>
  </si>
  <si>
    <t>第一医药</t>
  </si>
  <si>
    <t>600834.SH</t>
  </si>
  <si>
    <t>申通地铁</t>
  </si>
  <si>
    <t>600835.SH</t>
  </si>
  <si>
    <t>上海机电</t>
  </si>
  <si>
    <t>600838.SH</t>
  </si>
  <si>
    <t>上海九百</t>
  </si>
  <si>
    <t>600839.SH</t>
  </si>
  <si>
    <t>四川长虹</t>
  </si>
  <si>
    <t>600841.SH</t>
  </si>
  <si>
    <t>动力新科</t>
  </si>
  <si>
    <t>600843.SH</t>
  </si>
  <si>
    <t>上工申贝</t>
  </si>
  <si>
    <t>600844.SH</t>
  </si>
  <si>
    <t>600845.SH</t>
  </si>
  <si>
    <t>宝信软件</t>
  </si>
  <si>
    <t>600846.SH</t>
  </si>
  <si>
    <t>同济科技</t>
  </si>
  <si>
    <t>600847.SH</t>
  </si>
  <si>
    <t>万里股份</t>
  </si>
  <si>
    <t>600848.SH</t>
  </si>
  <si>
    <t>上海临港</t>
  </si>
  <si>
    <t>600850.SH</t>
  </si>
  <si>
    <t>电科数字</t>
  </si>
  <si>
    <t>600851.SH</t>
  </si>
  <si>
    <t>海欣股份</t>
  </si>
  <si>
    <t>600853.SH</t>
  </si>
  <si>
    <t>龙建股份</t>
  </si>
  <si>
    <t>600854.SH</t>
  </si>
  <si>
    <t>春兰股份</t>
  </si>
  <si>
    <t>600855.SH</t>
  </si>
  <si>
    <t>航天长峰</t>
  </si>
  <si>
    <t>600857.SH</t>
  </si>
  <si>
    <t>宁波中百</t>
  </si>
  <si>
    <t>600858.SH</t>
  </si>
  <si>
    <t>银座股份</t>
  </si>
  <si>
    <t>600859.SH</t>
  </si>
  <si>
    <t>王府井</t>
  </si>
  <si>
    <t>600860.SH</t>
  </si>
  <si>
    <t>京城股份</t>
  </si>
  <si>
    <t>600861.SH</t>
  </si>
  <si>
    <t>北京人力</t>
  </si>
  <si>
    <t>600862.SH</t>
  </si>
  <si>
    <t>中航高科</t>
  </si>
  <si>
    <t>600863.SH</t>
  </si>
  <si>
    <t>600864.SH</t>
  </si>
  <si>
    <t>哈投股份</t>
  </si>
  <si>
    <t>600865.SH</t>
  </si>
  <si>
    <t>百大集团</t>
  </si>
  <si>
    <t>600866.SH</t>
  </si>
  <si>
    <t>星湖科技</t>
  </si>
  <si>
    <t>600867.SH</t>
  </si>
  <si>
    <t>通化东宝</t>
  </si>
  <si>
    <t>600868.SH</t>
  </si>
  <si>
    <t>梅雁吉祥</t>
  </si>
  <si>
    <t>600869.SH</t>
  </si>
  <si>
    <t>远东股份</t>
  </si>
  <si>
    <t>600871.SH</t>
  </si>
  <si>
    <t>石化油服</t>
  </si>
  <si>
    <t>600872.SH</t>
  </si>
  <si>
    <t>中炬高新</t>
  </si>
  <si>
    <t>600873.SH</t>
  </si>
  <si>
    <t>梅花生物</t>
  </si>
  <si>
    <t>600874.SH</t>
  </si>
  <si>
    <t>创业环保</t>
  </si>
  <si>
    <t>600875.SH</t>
  </si>
  <si>
    <t>东方电气</t>
  </si>
  <si>
    <t>600876.SH</t>
  </si>
  <si>
    <t>凯盛新能</t>
  </si>
  <si>
    <t>600877.SH</t>
  </si>
  <si>
    <t>电科芯片</t>
  </si>
  <si>
    <t>600879.SH</t>
  </si>
  <si>
    <t>航天电子</t>
  </si>
  <si>
    <t>600880.SH</t>
  </si>
  <si>
    <t>博瑞传播</t>
  </si>
  <si>
    <t>600881.SH</t>
  </si>
  <si>
    <t>亚泰集团</t>
  </si>
  <si>
    <t>600882.SH</t>
  </si>
  <si>
    <t>妙可蓝多</t>
  </si>
  <si>
    <t>600883.SH</t>
  </si>
  <si>
    <t>博闻科技</t>
  </si>
  <si>
    <t>600884.SH</t>
  </si>
  <si>
    <t>杉杉股份</t>
  </si>
  <si>
    <t>600885.SH</t>
  </si>
  <si>
    <t>宏发股份</t>
  </si>
  <si>
    <t>600886.SH</t>
  </si>
  <si>
    <t>国投电力</t>
  </si>
  <si>
    <t>600887.SH</t>
  </si>
  <si>
    <t>伊利股份</t>
  </si>
  <si>
    <t>600888.SH</t>
  </si>
  <si>
    <t>新疆众和</t>
  </si>
  <si>
    <t>600889.SH</t>
  </si>
  <si>
    <t>南京化纤</t>
  </si>
  <si>
    <t>600892.SH</t>
  </si>
  <si>
    <t>600893.SH</t>
  </si>
  <si>
    <t>航发动力</t>
  </si>
  <si>
    <t>600894.SH</t>
  </si>
  <si>
    <t>广日股份</t>
  </si>
  <si>
    <t>600895.SH</t>
  </si>
  <si>
    <t>张江高科</t>
  </si>
  <si>
    <t>600897.SH</t>
  </si>
  <si>
    <t>厦门空港</t>
  </si>
  <si>
    <t>600900.SH</t>
  </si>
  <si>
    <t>长江电力</t>
  </si>
  <si>
    <t>600901.SH</t>
  </si>
  <si>
    <t>江苏金租</t>
  </si>
  <si>
    <t>600903.SH</t>
  </si>
  <si>
    <t>贵州燃气</t>
  </si>
  <si>
    <t>600905.SH</t>
  </si>
  <si>
    <t>三峡能源</t>
  </si>
  <si>
    <t>600906.SH</t>
  </si>
  <si>
    <t>财达证券</t>
  </si>
  <si>
    <t>600908.SH</t>
  </si>
  <si>
    <t>无锡银行</t>
  </si>
  <si>
    <t>600909.SH</t>
  </si>
  <si>
    <t>华安证券</t>
  </si>
  <si>
    <t>600916.SH</t>
  </si>
  <si>
    <t>中国黄金</t>
  </si>
  <si>
    <t>600917.SH</t>
  </si>
  <si>
    <t>重庆燃气</t>
  </si>
  <si>
    <t>600918.SH</t>
  </si>
  <si>
    <t>中泰证券</t>
  </si>
  <si>
    <t>600919.SH</t>
  </si>
  <si>
    <t>江苏银行</t>
  </si>
  <si>
    <t>600925.SH</t>
  </si>
  <si>
    <t>苏能股份</t>
  </si>
  <si>
    <t>600926.SH</t>
  </si>
  <si>
    <t>杭州银行</t>
  </si>
  <si>
    <t>600927.SH</t>
  </si>
  <si>
    <t>永安期货</t>
  </si>
  <si>
    <t>600928.SH</t>
  </si>
  <si>
    <t>西安银行</t>
  </si>
  <si>
    <t>600929.SH</t>
  </si>
  <si>
    <t>雪天盐业</t>
  </si>
  <si>
    <t>600933.SH</t>
  </si>
  <si>
    <t>爱柯迪</t>
  </si>
  <si>
    <t>600935.SH</t>
  </si>
  <si>
    <t>华塑股份</t>
  </si>
  <si>
    <t>600936.SH</t>
  </si>
  <si>
    <t>600938.SH</t>
  </si>
  <si>
    <t>中国海油</t>
  </si>
  <si>
    <t>600939.SH</t>
  </si>
  <si>
    <t>重庆建工</t>
  </si>
  <si>
    <t>600941.SH</t>
  </si>
  <si>
    <t>中国移动</t>
  </si>
  <si>
    <t>600955.SH</t>
  </si>
  <si>
    <t>维远股份</t>
  </si>
  <si>
    <t>600956.SH</t>
  </si>
  <si>
    <t>新天绿能</t>
  </si>
  <si>
    <t>600958.SH</t>
  </si>
  <si>
    <t>东方证券</t>
  </si>
  <si>
    <t>600959.SH</t>
  </si>
  <si>
    <t>江苏有线</t>
  </si>
  <si>
    <t>600960.SH</t>
  </si>
  <si>
    <t>渤海汽车</t>
  </si>
  <si>
    <t>600961.SH</t>
  </si>
  <si>
    <t>株冶集团</t>
  </si>
  <si>
    <t>600962.SH</t>
  </si>
  <si>
    <t>国投中鲁</t>
  </si>
  <si>
    <t>600963.SH</t>
  </si>
  <si>
    <t>岳阳林纸</t>
  </si>
  <si>
    <t>600965.SH</t>
  </si>
  <si>
    <t>福成股份</t>
  </si>
  <si>
    <t>600966.SH</t>
  </si>
  <si>
    <t>博汇纸业</t>
  </si>
  <si>
    <t>600967.SH</t>
  </si>
  <si>
    <t>内蒙一机</t>
  </si>
  <si>
    <t>600968.SH</t>
  </si>
  <si>
    <t>海油发展</t>
  </si>
  <si>
    <t>600969.SH</t>
  </si>
  <si>
    <t>郴电国际</t>
  </si>
  <si>
    <t>600970.SH</t>
  </si>
  <si>
    <t>中材国际</t>
  </si>
  <si>
    <t>600971.SH</t>
  </si>
  <si>
    <t>恒源煤电</t>
  </si>
  <si>
    <t>600973.SH</t>
  </si>
  <si>
    <t>宝胜股份</t>
  </si>
  <si>
    <t>600975.SH</t>
  </si>
  <si>
    <t>新五丰</t>
  </si>
  <si>
    <t>600976.SH</t>
  </si>
  <si>
    <t>健民集团</t>
  </si>
  <si>
    <t>600977.SH</t>
  </si>
  <si>
    <t>中国电影</t>
  </si>
  <si>
    <t>600979.SH</t>
  </si>
  <si>
    <t>广安爱众</t>
  </si>
  <si>
    <t>600980.SH</t>
  </si>
  <si>
    <t>北矿科技</t>
  </si>
  <si>
    <t>600981.SH</t>
  </si>
  <si>
    <t>600982.SH</t>
  </si>
  <si>
    <t>宁波能源</t>
  </si>
  <si>
    <t>600983.SH</t>
  </si>
  <si>
    <t>惠而浦</t>
  </si>
  <si>
    <t>600984.SH</t>
  </si>
  <si>
    <t>建设机械</t>
  </si>
  <si>
    <t>600985.SH</t>
  </si>
  <si>
    <t>淮北矿业</t>
  </si>
  <si>
    <t>600986.SH</t>
  </si>
  <si>
    <t>浙文互联</t>
  </si>
  <si>
    <t>600987.SH</t>
  </si>
  <si>
    <t>航民股份</t>
  </si>
  <si>
    <t>600988.SH</t>
  </si>
  <si>
    <t>赤峰黄金</t>
  </si>
  <si>
    <t>600989.SH</t>
  </si>
  <si>
    <t>宝丰能源</t>
  </si>
  <si>
    <t>600990.SH</t>
  </si>
  <si>
    <t>四创电子</t>
  </si>
  <si>
    <t>600992.SH</t>
  </si>
  <si>
    <t>贵绳股份</t>
  </si>
  <si>
    <t>600993.SH</t>
  </si>
  <si>
    <t>马应龙</t>
  </si>
  <si>
    <t>600995.SH</t>
  </si>
  <si>
    <t>南网储能</t>
  </si>
  <si>
    <t>600996.SH</t>
  </si>
  <si>
    <t>贵广网络</t>
  </si>
  <si>
    <t>600997.SH</t>
  </si>
  <si>
    <t>开滦股份</t>
  </si>
  <si>
    <t>600998.SH</t>
  </si>
  <si>
    <t>九州通</t>
  </si>
  <si>
    <t>600999.SH</t>
  </si>
  <si>
    <t>招商证券</t>
  </si>
  <si>
    <t>601000.SH</t>
  </si>
  <si>
    <t>唐山港</t>
  </si>
  <si>
    <t>601001.SH</t>
  </si>
  <si>
    <t>晋控煤业</t>
  </si>
  <si>
    <t>601002.SH</t>
  </si>
  <si>
    <t>晋亿实业</t>
  </si>
  <si>
    <t>601003.SH</t>
  </si>
  <si>
    <t>柳钢股份</t>
  </si>
  <si>
    <t>601005.SH</t>
  </si>
  <si>
    <t>重庆钢铁</t>
  </si>
  <si>
    <t>601006.SH</t>
  </si>
  <si>
    <t>大秦铁路</t>
  </si>
  <si>
    <t>601007.SH</t>
  </si>
  <si>
    <t>金陵饭店</t>
  </si>
  <si>
    <t>601008.SH</t>
  </si>
  <si>
    <t>连云港</t>
  </si>
  <si>
    <t>601009.SH</t>
  </si>
  <si>
    <t>南京银行</t>
  </si>
  <si>
    <t>601010.SH</t>
  </si>
  <si>
    <t>文峰股份</t>
  </si>
  <si>
    <t>601011.SH</t>
  </si>
  <si>
    <t>宝泰隆</t>
  </si>
  <si>
    <t>601012.SH</t>
  </si>
  <si>
    <t>隆基绿能</t>
  </si>
  <si>
    <t>601015.SH</t>
  </si>
  <si>
    <t>陕西黑猫</t>
  </si>
  <si>
    <t>601016.SH</t>
  </si>
  <si>
    <t>节能风电</t>
  </si>
  <si>
    <t>601018.SH</t>
  </si>
  <si>
    <t>宁波港</t>
  </si>
  <si>
    <t>601019.SH</t>
  </si>
  <si>
    <t>山东出版</t>
  </si>
  <si>
    <t>601020.SH</t>
  </si>
  <si>
    <t>华钰矿业</t>
  </si>
  <si>
    <t>601021.SH</t>
  </si>
  <si>
    <t>春秋航空</t>
  </si>
  <si>
    <t>601022.SH</t>
  </si>
  <si>
    <t>宁波远洋</t>
  </si>
  <si>
    <t>601033.SH</t>
  </si>
  <si>
    <t>永兴股份</t>
  </si>
  <si>
    <t>601038.SH</t>
  </si>
  <si>
    <t>一拖股份</t>
  </si>
  <si>
    <t>601058.SH</t>
  </si>
  <si>
    <t>赛轮轮胎</t>
  </si>
  <si>
    <t>601059.SH</t>
  </si>
  <si>
    <t>信达证券</t>
  </si>
  <si>
    <t>601061.SH</t>
  </si>
  <si>
    <t>中信金属</t>
  </si>
  <si>
    <t>601065.SH</t>
  </si>
  <si>
    <t>江盐集团</t>
  </si>
  <si>
    <t>601066.SH</t>
  </si>
  <si>
    <t>中信建投</t>
  </si>
  <si>
    <t>601068.SH</t>
  </si>
  <si>
    <t>中铝国际</t>
  </si>
  <si>
    <t>601069.SH</t>
  </si>
  <si>
    <t>西部黄金</t>
  </si>
  <si>
    <t>601077.SH</t>
  </si>
  <si>
    <t>渝农商行</t>
  </si>
  <si>
    <t>601083.SH</t>
  </si>
  <si>
    <t>锦江航运</t>
  </si>
  <si>
    <t>601086.SH</t>
  </si>
  <si>
    <t>国芳集团</t>
  </si>
  <si>
    <t>601088.SH</t>
  </si>
  <si>
    <t>中国神华</t>
  </si>
  <si>
    <t>601089.SH</t>
  </si>
  <si>
    <t>福元医药</t>
  </si>
  <si>
    <t>601096.SH</t>
  </si>
  <si>
    <t>宏盛华源</t>
  </si>
  <si>
    <t>601098.SH</t>
  </si>
  <si>
    <t>中南传媒</t>
  </si>
  <si>
    <t>601099.SH</t>
  </si>
  <si>
    <t>太平洋</t>
  </si>
  <si>
    <t>601100.SH</t>
  </si>
  <si>
    <t>恒立液压</t>
  </si>
  <si>
    <t>601101.SH</t>
  </si>
  <si>
    <t>昊华能源</t>
  </si>
  <si>
    <t>601106.SH</t>
  </si>
  <si>
    <t>中国一重</t>
  </si>
  <si>
    <t>601107.SH</t>
  </si>
  <si>
    <t>四川成渝</t>
  </si>
  <si>
    <t>601108.SH</t>
  </si>
  <si>
    <t>财通证券</t>
  </si>
  <si>
    <t>601111.SH</t>
  </si>
  <si>
    <t>中国国航</t>
  </si>
  <si>
    <t>601113.SH</t>
  </si>
  <si>
    <t>华鼎股份</t>
  </si>
  <si>
    <t>601116.SH</t>
  </si>
  <si>
    <t>三江购物</t>
  </si>
  <si>
    <t>601117.SH</t>
  </si>
  <si>
    <t>中国化学</t>
  </si>
  <si>
    <t>601118.SH</t>
  </si>
  <si>
    <t>海南橡胶</t>
  </si>
  <si>
    <t>601121.SH</t>
  </si>
  <si>
    <t>宝地矿业</t>
  </si>
  <si>
    <t>601126.SH</t>
  </si>
  <si>
    <t>四方股份</t>
  </si>
  <si>
    <t>601127.SH</t>
  </si>
  <si>
    <t>赛力斯</t>
  </si>
  <si>
    <t>601128.SH</t>
  </si>
  <si>
    <t>常熟银行</t>
  </si>
  <si>
    <t>601133.SH</t>
  </si>
  <si>
    <t>柏诚股份</t>
  </si>
  <si>
    <t>601136.SH</t>
  </si>
  <si>
    <t>首创证券</t>
  </si>
  <si>
    <t>601137.SH</t>
  </si>
  <si>
    <t>博威合金</t>
  </si>
  <si>
    <t>601138.SH</t>
  </si>
  <si>
    <t>工业富联</t>
  </si>
  <si>
    <t>601139.SH</t>
  </si>
  <si>
    <t>深圳燃气</t>
  </si>
  <si>
    <t>601155.SH</t>
  </si>
  <si>
    <t>新城控股</t>
  </si>
  <si>
    <t>601156.SH</t>
  </si>
  <si>
    <t>东航物流</t>
  </si>
  <si>
    <t>601158.SH</t>
  </si>
  <si>
    <t>重庆水务</t>
  </si>
  <si>
    <t>601162.SH</t>
  </si>
  <si>
    <t>天风证券</t>
  </si>
  <si>
    <t>601163.SH</t>
  </si>
  <si>
    <t>三角轮胎</t>
  </si>
  <si>
    <t>601166.SH</t>
  </si>
  <si>
    <t>兴业银行</t>
  </si>
  <si>
    <t>601168.SH</t>
  </si>
  <si>
    <t>西部矿业</t>
  </si>
  <si>
    <t>601169.SH</t>
  </si>
  <si>
    <t>北京银行</t>
  </si>
  <si>
    <t>601177.SH</t>
  </si>
  <si>
    <t>杭齿前进</t>
  </si>
  <si>
    <t>601179.SH</t>
  </si>
  <si>
    <t>中国西电</t>
  </si>
  <si>
    <t>601186.SH</t>
  </si>
  <si>
    <t>中国铁建</t>
  </si>
  <si>
    <t>601187.SH</t>
  </si>
  <si>
    <t>厦门银行</t>
  </si>
  <si>
    <t>601188.SH</t>
  </si>
  <si>
    <t>龙江交通</t>
  </si>
  <si>
    <t>601198.SH</t>
  </si>
  <si>
    <t>东兴证券</t>
  </si>
  <si>
    <t>601199.SH</t>
  </si>
  <si>
    <t>江南水务</t>
  </si>
  <si>
    <t>601200.SH</t>
  </si>
  <si>
    <t>上海环境</t>
  </si>
  <si>
    <t>601208.SH</t>
  </si>
  <si>
    <t>东材科技</t>
  </si>
  <si>
    <t>601211.SH</t>
  </si>
  <si>
    <t>601212.SH</t>
  </si>
  <si>
    <t>白银有色</t>
  </si>
  <si>
    <t>601216.SH</t>
  </si>
  <si>
    <t>君正集团</t>
  </si>
  <si>
    <t>601218.SH</t>
  </si>
  <si>
    <t>吉鑫科技</t>
  </si>
  <si>
    <t>601222.SH</t>
  </si>
  <si>
    <t>林洋能源</t>
  </si>
  <si>
    <t>601225.SH</t>
  </si>
  <si>
    <t>陕西煤业</t>
  </si>
  <si>
    <t>601226.SH</t>
  </si>
  <si>
    <t>601228.SH</t>
  </si>
  <si>
    <t>广州港</t>
  </si>
  <si>
    <t>601229.SH</t>
  </si>
  <si>
    <t>上海银行</t>
  </si>
  <si>
    <t>601231.SH</t>
  </si>
  <si>
    <t>环旭电子</t>
  </si>
  <si>
    <t>601233.SH</t>
  </si>
  <si>
    <t>桐昆股份</t>
  </si>
  <si>
    <t>601236.SH</t>
  </si>
  <si>
    <t>红塔证券</t>
  </si>
  <si>
    <t>601238.SH</t>
  </si>
  <si>
    <t>广汽集团</t>
  </si>
  <si>
    <t>601279.SH</t>
  </si>
  <si>
    <t>英利汽车</t>
  </si>
  <si>
    <t>601288.SH</t>
  </si>
  <si>
    <t>农业银行</t>
  </si>
  <si>
    <t>601298.SH</t>
  </si>
  <si>
    <t>青岛港</t>
  </si>
  <si>
    <t>601311.SH</t>
  </si>
  <si>
    <t>骆驼股份</t>
  </si>
  <si>
    <t>601318.SH</t>
  </si>
  <si>
    <t>中国平安</t>
  </si>
  <si>
    <t>601319.SH</t>
  </si>
  <si>
    <t>中国人保</t>
  </si>
  <si>
    <t>601326.SH</t>
  </si>
  <si>
    <t>秦港股份</t>
  </si>
  <si>
    <t>601328.SH</t>
  </si>
  <si>
    <t>交通银行</t>
  </si>
  <si>
    <t>601330.SH</t>
  </si>
  <si>
    <t>绿色动力</t>
  </si>
  <si>
    <t>601333.SH</t>
  </si>
  <si>
    <t>广深铁路</t>
  </si>
  <si>
    <t>601336.SH</t>
  </si>
  <si>
    <t>新华保险</t>
  </si>
  <si>
    <t>601339.SH</t>
  </si>
  <si>
    <t>百隆东方</t>
  </si>
  <si>
    <t>601360.SH</t>
  </si>
  <si>
    <t>三六零</t>
  </si>
  <si>
    <t>601366.SH</t>
  </si>
  <si>
    <t>利群股份</t>
  </si>
  <si>
    <t>601368.SH</t>
  </si>
  <si>
    <t>绿城水务</t>
  </si>
  <si>
    <t>601369.SH</t>
  </si>
  <si>
    <t>陕鼓动力</t>
  </si>
  <si>
    <t>601375.SH</t>
  </si>
  <si>
    <t>中原证券</t>
  </si>
  <si>
    <t>601377.SH</t>
  </si>
  <si>
    <t>兴业证券</t>
  </si>
  <si>
    <t>601388.SH</t>
  </si>
  <si>
    <t>怡球资源</t>
  </si>
  <si>
    <t>601390.SH</t>
  </si>
  <si>
    <t>中国中铁</t>
  </si>
  <si>
    <t>601398.SH</t>
  </si>
  <si>
    <t>工商银行</t>
  </si>
  <si>
    <t>601399.SH</t>
  </si>
  <si>
    <t>国机重装</t>
  </si>
  <si>
    <t>601456.SH</t>
  </si>
  <si>
    <t>601500.SH</t>
  </si>
  <si>
    <t>通用股份</t>
  </si>
  <si>
    <t>601512.SH</t>
  </si>
  <si>
    <t>中新集团</t>
  </si>
  <si>
    <t>601515.SH</t>
  </si>
  <si>
    <t>601518.SH</t>
  </si>
  <si>
    <t>吉林高速</t>
  </si>
  <si>
    <t>601519.SH</t>
  </si>
  <si>
    <t>大智慧</t>
  </si>
  <si>
    <t>601528.SH</t>
  </si>
  <si>
    <t>瑞丰银行</t>
  </si>
  <si>
    <t>601555.SH</t>
  </si>
  <si>
    <t>东吴证券</t>
  </si>
  <si>
    <t>601566.SH</t>
  </si>
  <si>
    <t>九牧王</t>
  </si>
  <si>
    <t>601567.SH</t>
  </si>
  <si>
    <t>三星医疗</t>
  </si>
  <si>
    <t>601568.SH</t>
  </si>
  <si>
    <t>北元集团</t>
  </si>
  <si>
    <t>601577.SH</t>
  </si>
  <si>
    <t>长沙银行</t>
  </si>
  <si>
    <t>601579.SH</t>
  </si>
  <si>
    <t>会稽山</t>
  </si>
  <si>
    <t>601588.SH</t>
  </si>
  <si>
    <t>北辰实业</t>
  </si>
  <si>
    <t>601595.SH</t>
  </si>
  <si>
    <t>上海电影</t>
  </si>
  <si>
    <t>601598.SH</t>
  </si>
  <si>
    <t>中国外运</t>
  </si>
  <si>
    <t>601599.SH</t>
  </si>
  <si>
    <t>浙文影业</t>
  </si>
  <si>
    <t>601600.SH</t>
  </si>
  <si>
    <t>中国铝业</t>
  </si>
  <si>
    <t>601601.SH</t>
  </si>
  <si>
    <t>中国太保</t>
  </si>
  <si>
    <t>601606.SH</t>
  </si>
  <si>
    <t>长城军工</t>
  </si>
  <si>
    <t>601607.SH</t>
  </si>
  <si>
    <t>上海医药</t>
  </si>
  <si>
    <t>601608.SH</t>
  </si>
  <si>
    <t>中信重工</t>
  </si>
  <si>
    <t>601609.SH</t>
  </si>
  <si>
    <t>金田股份</t>
  </si>
  <si>
    <t>601611.SH</t>
  </si>
  <si>
    <t>中国核建</t>
  </si>
  <si>
    <t>601615.SH</t>
  </si>
  <si>
    <t>明阳智能</t>
  </si>
  <si>
    <t>601616.SH</t>
  </si>
  <si>
    <t>广电电气</t>
  </si>
  <si>
    <t>601618.SH</t>
  </si>
  <si>
    <t>中国中冶</t>
  </si>
  <si>
    <t>601619.SH</t>
  </si>
  <si>
    <t>嘉泽新能</t>
  </si>
  <si>
    <t>601628.SH</t>
  </si>
  <si>
    <t>中国人寿</t>
  </si>
  <si>
    <t>601633.SH</t>
  </si>
  <si>
    <t>长城汽车</t>
  </si>
  <si>
    <t>601636.SH</t>
  </si>
  <si>
    <t>旗滨集团</t>
  </si>
  <si>
    <t>601658.SH</t>
  </si>
  <si>
    <t>邮储银行</t>
  </si>
  <si>
    <t>601665.SH</t>
  </si>
  <si>
    <t>齐鲁银行</t>
  </si>
  <si>
    <t>601666.SH</t>
  </si>
  <si>
    <t>平煤股份</t>
  </si>
  <si>
    <t>601668.SH</t>
  </si>
  <si>
    <t>中国建筑</t>
  </si>
  <si>
    <t>601669.SH</t>
  </si>
  <si>
    <t>中国电建</t>
  </si>
  <si>
    <t>601677.SH</t>
  </si>
  <si>
    <t>明泰铝业</t>
  </si>
  <si>
    <t>601678.SH</t>
  </si>
  <si>
    <t>滨化股份</t>
  </si>
  <si>
    <t>601686.SH</t>
  </si>
  <si>
    <t>友发集团</t>
  </si>
  <si>
    <t>601688.SH</t>
  </si>
  <si>
    <t>华泰证券</t>
  </si>
  <si>
    <t>601689.SH</t>
  </si>
  <si>
    <t>拓普集团</t>
  </si>
  <si>
    <t>601696.SH</t>
  </si>
  <si>
    <t>中银证券</t>
  </si>
  <si>
    <t>601698.SH</t>
  </si>
  <si>
    <t>中国卫通</t>
  </si>
  <si>
    <t>601699.SH</t>
  </si>
  <si>
    <t>潞安环能</t>
  </si>
  <si>
    <t>601700.SH</t>
  </si>
  <si>
    <t>风范股份</t>
  </si>
  <si>
    <t>601702.SH</t>
  </si>
  <si>
    <t>华峰铝业</t>
  </si>
  <si>
    <t>601717.SH</t>
  </si>
  <si>
    <t>601718.SH</t>
  </si>
  <si>
    <t>际华集团</t>
  </si>
  <si>
    <t>601727.SH</t>
  </si>
  <si>
    <t>上海电气</t>
  </si>
  <si>
    <t>601728.SH</t>
  </si>
  <si>
    <t>中国电信</t>
  </si>
  <si>
    <t>601766.SH</t>
  </si>
  <si>
    <t>中国中车</t>
  </si>
  <si>
    <t>601777.SH</t>
  </si>
  <si>
    <t>601778.SH</t>
  </si>
  <si>
    <t>晶科科技</t>
  </si>
  <si>
    <t>601788.SH</t>
  </si>
  <si>
    <t>光大证券</t>
  </si>
  <si>
    <t>601789.SH</t>
  </si>
  <si>
    <t>宁波建工</t>
  </si>
  <si>
    <t>601798.SH</t>
  </si>
  <si>
    <t>蓝科高新</t>
  </si>
  <si>
    <t>601799.SH</t>
  </si>
  <si>
    <t>星宇股份</t>
  </si>
  <si>
    <t>601800.SH</t>
  </si>
  <si>
    <t>中国交建</t>
  </si>
  <si>
    <t>601801.SH</t>
  </si>
  <si>
    <t>皖新传媒</t>
  </si>
  <si>
    <t>601808.SH</t>
  </si>
  <si>
    <t>中海油服</t>
  </si>
  <si>
    <t>601811.SH</t>
  </si>
  <si>
    <t>新华文轩</t>
  </si>
  <si>
    <t>601816.SH</t>
  </si>
  <si>
    <t>京沪高铁</t>
  </si>
  <si>
    <t>601818.SH</t>
  </si>
  <si>
    <t>光大银行</t>
  </si>
  <si>
    <t>601825.SH</t>
  </si>
  <si>
    <t>沪农商行</t>
  </si>
  <si>
    <t>601827.SH</t>
  </si>
  <si>
    <t>三峰环境</t>
  </si>
  <si>
    <t>601828.SH</t>
  </si>
  <si>
    <t>美凯龙</t>
  </si>
  <si>
    <t>601838.SH</t>
  </si>
  <si>
    <t>成都银行</t>
  </si>
  <si>
    <t>601857.SH</t>
  </si>
  <si>
    <t>中国石油</t>
  </si>
  <si>
    <t>601858.SH</t>
  </si>
  <si>
    <t>中国科传</t>
  </si>
  <si>
    <t>601860.SH</t>
  </si>
  <si>
    <t>紫金银行</t>
  </si>
  <si>
    <t>601865.SH</t>
  </si>
  <si>
    <t>福莱特</t>
  </si>
  <si>
    <t>601866.SH</t>
  </si>
  <si>
    <t>中远海发</t>
  </si>
  <si>
    <t>601868.SH</t>
  </si>
  <si>
    <t>中国能建</t>
  </si>
  <si>
    <t>601869.SH</t>
  </si>
  <si>
    <t>长飞光纤</t>
  </si>
  <si>
    <t>601872.SH</t>
  </si>
  <si>
    <t>招商轮船</t>
  </si>
  <si>
    <t>601877.SH</t>
  </si>
  <si>
    <t>正泰电器</t>
  </si>
  <si>
    <t>601878.SH</t>
  </si>
  <si>
    <t>浙商证券</t>
  </si>
  <si>
    <t>601880.SH</t>
  </si>
  <si>
    <t>辽港股份</t>
  </si>
  <si>
    <t>601881.SH</t>
  </si>
  <si>
    <t>中国银河</t>
  </si>
  <si>
    <t>601882.SH</t>
  </si>
  <si>
    <t>海天精工</t>
  </si>
  <si>
    <t>601886.SH</t>
  </si>
  <si>
    <t>江河集团</t>
  </si>
  <si>
    <t>601888.SH</t>
  </si>
  <si>
    <t>中国中免</t>
  </si>
  <si>
    <t>601890.SH</t>
  </si>
  <si>
    <t>亚星锚链</t>
  </si>
  <si>
    <t>601898.SH</t>
  </si>
  <si>
    <t>中煤能源</t>
  </si>
  <si>
    <t>601899.SH</t>
  </si>
  <si>
    <t>紫金矿业</t>
  </si>
  <si>
    <t>601900.SH</t>
  </si>
  <si>
    <t>南方传媒</t>
  </si>
  <si>
    <t>601901.SH</t>
  </si>
  <si>
    <t>方正证券</t>
  </si>
  <si>
    <t>601908.SH</t>
  </si>
  <si>
    <t>京运通</t>
  </si>
  <si>
    <t>601916.SH</t>
  </si>
  <si>
    <t>浙商银行</t>
  </si>
  <si>
    <t>601918.SH</t>
  </si>
  <si>
    <t>新集能源</t>
  </si>
  <si>
    <t>601919.SH</t>
  </si>
  <si>
    <t>中远海控</t>
  </si>
  <si>
    <t>601921.SH</t>
  </si>
  <si>
    <t>浙版传媒</t>
  </si>
  <si>
    <t>601928.SH</t>
  </si>
  <si>
    <t>凤凰传媒</t>
  </si>
  <si>
    <t>601929.SH</t>
  </si>
  <si>
    <t>吉视传媒</t>
  </si>
  <si>
    <t>601933.SH</t>
  </si>
  <si>
    <t>永辉超市</t>
  </si>
  <si>
    <t>601939.SH</t>
  </si>
  <si>
    <t>建设银行</t>
  </si>
  <si>
    <t>601949.SH</t>
  </si>
  <si>
    <t>中国出版</t>
  </si>
  <si>
    <t>601952.SH</t>
  </si>
  <si>
    <t>苏垦农发</t>
  </si>
  <si>
    <t>601956.SH</t>
  </si>
  <si>
    <t>东贝集团</t>
  </si>
  <si>
    <t>601958.SH</t>
  </si>
  <si>
    <t>金钼股份</t>
  </si>
  <si>
    <t>601963.SH</t>
  </si>
  <si>
    <t>重庆银行</t>
  </si>
  <si>
    <t>601965.SH</t>
  </si>
  <si>
    <t>中国汽研</t>
  </si>
  <si>
    <t>601966.SH</t>
  </si>
  <si>
    <t>玲珑轮胎</t>
  </si>
  <si>
    <t>601968.SH</t>
  </si>
  <si>
    <t>宝钢包装</t>
  </si>
  <si>
    <t>601969.SH</t>
  </si>
  <si>
    <t>海南矿业</t>
  </si>
  <si>
    <t>601975.SH</t>
  </si>
  <si>
    <t>招商南油</t>
  </si>
  <si>
    <t>601985.SH</t>
  </si>
  <si>
    <t>中国核电</t>
  </si>
  <si>
    <t>601988.SH</t>
  </si>
  <si>
    <t>中国银行</t>
  </si>
  <si>
    <t>601990.SH</t>
  </si>
  <si>
    <t>南京证券</t>
  </si>
  <si>
    <t>601991.SH</t>
  </si>
  <si>
    <t>大唐发电</t>
  </si>
  <si>
    <t>601992.SH</t>
  </si>
  <si>
    <t>金隅集团</t>
  </si>
  <si>
    <t>601995.SH</t>
  </si>
  <si>
    <t>中金公司</t>
  </si>
  <si>
    <t>601996.SH</t>
  </si>
  <si>
    <t>丰林集团</t>
  </si>
  <si>
    <t>601997.SH</t>
  </si>
  <si>
    <t>贵阳银行</t>
  </si>
  <si>
    <t>601998.SH</t>
  </si>
  <si>
    <t>中信银行</t>
  </si>
  <si>
    <t>601999.SH</t>
  </si>
  <si>
    <t>出版传媒</t>
  </si>
  <si>
    <t>603000.SH</t>
  </si>
  <si>
    <t>人民网</t>
  </si>
  <si>
    <t>603001.SH</t>
  </si>
  <si>
    <t>603002.SH</t>
  </si>
  <si>
    <t>宏昌电子</t>
  </si>
  <si>
    <t>603004.SH</t>
  </si>
  <si>
    <t>鼎龙科技</t>
  </si>
  <si>
    <t>603005.SH</t>
  </si>
  <si>
    <t>晶方科技</t>
  </si>
  <si>
    <t>603006.SH</t>
  </si>
  <si>
    <t>联明股份</t>
  </si>
  <si>
    <t>603007.SH</t>
  </si>
  <si>
    <t>603008.SH</t>
  </si>
  <si>
    <t>喜临门</t>
  </si>
  <si>
    <t>603009.SH</t>
  </si>
  <si>
    <t>北特科技</t>
  </si>
  <si>
    <t>603010.SH</t>
  </si>
  <si>
    <t>万盛股份</t>
  </si>
  <si>
    <t>603011.SH</t>
  </si>
  <si>
    <t>合锻智能</t>
  </si>
  <si>
    <t>603012.SH</t>
  </si>
  <si>
    <t>创力集团</t>
  </si>
  <si>
    <t>603013.SH</t>
  </si>
  <si>
    <t>亚普股份</t>
  </si>
  <si>
    <t>603015.SH</t>
  </si>
  <si>
    <t>弘讯科技</t>
  </si>
  <si>
    <t>603016.SH</t>
  </si>
  <si>
    <t>新宏泰</t>
  </si>
  <si>
    <t>603017.SH</t>
  </si>
  <si>
    <t>中衡设计</t>
  </si>
  <si>
    <t>603018.SH</t>
  </si>
  <si>
    <t>华设集团</t>
  </si>
  <si>
    <t>603019.SH</t>
  </si>
  <si>
    <t>中科曙光</t>
  </si>
  <si>
    <t>603020.SH</t>
  </si>
  <si>
    <t>爱普股份</t>
  </si>
  <si>
    <t>603021.SH</t>
  </si>
  <si>
    <t>603022.SH</t>
  </si>
  <si>
    <t>新通联</t>
  </si>
  <si>
    <t>603023.SH</t>
  </si>
  <si>
    <t>威帝股份</t>
  </si>
  <si>
    <t>603025.SH</t>
  </si>
  <si>
    <t>大豪科技</t>
  </si>
  <si>
    <t>603026.SH</t>
  </si>
  <si>
    <t>603027.SH</t>
  </si>
  <si>
    <t>千禾味业</t>
  </si>
  <si>
    <t>603028.SH</t>
  </si>
  <si>
    <t>赛福天</t>
  </si>
  <si>
    <t>603029.SH</t>
  </si>
  <si>
    <t>天鹅股份</t>
  </si>
  <si>
    <t>603030.SH</t>
  </si>
  <si>
    <t>603031.SH</t>
  </si>
  <si>
    <t>安孚科技</t>
  </si>
  <si>
    <t>603032.SH</t>
  </si>
  <si>
    <t>德新科技</t>
  </si>
  <si>
    <t>603033.SH</t>
  </si>
  <si>
    <t>三维股份</t>
  </si>
  <si>
    <t>603035.SH</t>
  </si>
  <si>
    <t>常熟汽饰</t>
  </si>
  <si>
    <t>603036.SH</t>
  </si>
  <si>
    <t>如通股份</t>
  </si>
  <si>
    <t>603037.SH</t>
  </si>
  <si>
    <t>凯众股份</t>
  </si>
  <si>
    <t>603038.SH</t>
  </si>
  <si>
    <t>华立股份</t>
  </si>
  <si>
    <t>603039.SH</t>
  </si>
  <si>
    <t>泛微网络</t>
  </si>
  <si>
    <t>603040.SH</t>
  </si>
  <si>
    <t>新坐标</t>
  </si>
  <si>
    <t>603041.SH</t>
  </si>
  <si>
    <t>美思德</t>
  </si>
  <si>
    <t>603042.SH</t>
  </si>
  <si>
    <t>华脉科技</t>
  </si>
  <si>
    <t>603043.SH</t>
  </si>
  <si>
    <t>广州酒家</t>
  </si>
  <si>
    <t>603045.SH</t>
  </si>
  <si>
    <t>福达合金</t>
  </si>
  <si>
    <t>603048.SH</t>
  </si>
  <si>
    <t>浙江黎明</t>
  </si>
  <si>
    <t>603050.SH</t>
  </si>
  <si>
    <t>科林电气</t>
  </si>
  <si>
    <t>603051.SH</t>
  </si>
  <si>
    <t>鹿山新材</t>
  </si>
  <si>
    <t>603052.SH</t>
  </si>
  <si>
    <t>可川科技</t>
  </si>
  <si>
    <t>603053.SH</t>
  </si>
  <si>
    <t>成都燃气</t>
  </si>
  <si>
    <t>603055.SH</t>
  </si>
  <si>
    <t>台华新材</t>
  </si>
  <si>
    <t>603056.SH</t>
  </si>
  <si>
    <t>德邦股份</t>
  </si>
  <si>
    <t>603057.SH</t>
  </si>
  <si>
    <t>紫燕食品</t>
  </si>
  <si>
    <t>603058.SH</t>
  </si>
  <si>
    <t>永吉股份</t>
  </si>
  <si>
    <t>603059.SH</t>
  </si>
  <si>
    <t>倍加洁</t>
  </si>
  <si>
    <t>603060.SH</t>
  </si>
  <si>
    <t>国检集团</t>
  </si>
  <si>
    <t>603061.SH</t>
  </si>
  <si>
    <t>金海通</t>
  </si>
  <si>
    <t>603062.SH</t>
  </si>
  <si>
    <t>麦加芯彩</t>
  </si>
  <si>
    <t>603063.SH</t>
  </si>
  <si>
    <t>禾望电气</t>
  </si>
  <si>
    <t>603065.SH</t>
  </si>
  <si>
    <t>宿迁联盛</t>
  </si>
  <si>
    <t>603066.SH</t>
  </si>
  <si>
    <t>音飞储存</t>
  </si>
  <si>
    <t>603067.SH</t>
  </si>
  <si>
    <t>振华股份</t>
  </si>
  <si>
    <t>603068.SH</t>
  </si>
  <si>
    <t>博通集成</t>
  </si>
  <si>
    <t>603069.SH</t>
  </si>
  <si>
    <t>海汽集团</t>
  </si>
  <si>
    <t>603070.SH</t>
  </si>
  <si>
    <t>万控智造</t>
  </si>
  <si>
    <t>603071.SH</t>
  </si>
  <si>
    <t>物产环能</t>
  </si>
  <si>
    <t>603073.SH</t>
  </si>
  <si>
    <t>彩蝶实业</t>
  </si>
  <si>
    <t>603075.SH</t>
  </si>
  <si>
    <t>热威股份</t>
  </si>
  <si>
    <t>603076.SH</t>
  </si>
  <si>
    <t>乐惠国际</t>
  </si>
  <si>
    <t>603077.SH</t>
  </si>
  <si>
    <t>和邦生物</t>
  </si>
  <si>
    <t>603078.SH</t>
  </si>
  <si>
    <t>江化微</t>
  </si>
  <si>
    <t>603079.SH</t>
  </si>
  <si>
    <t>圣达生物</t>
  </si>
  <si>
    <t>603080.SH</t>
  </si>
  <si>
    <t>新疆火炬</t>
  </si>
  <si>
    <t>603081.SH</t>
  </si>
  <si>
    <t>大丰实业</t>
  </si>
  <si>
    <t>603082.SH</t>
  </si>
  <si>
    <t>北自科技</t>
  </si>
  <si>
    <t>603083.SH</t>
  </si>
  <si>
    <t>剑桥科技</t>
  </si>
  <si>
    <t>603085.SH</t>
  </si>
  <si>
    <t>天成自控</t>
  </si>
  <si>
    <t>603086.SH</t>
  </si>
  <si>
    <t>先达股份</t>
  </si>
  <si>
    <t>603087.SH</t>
  </si>
  <si>
    <t>甘李药业</t>
  </si>
  <si>
    <t>603088.SH</t>
  </si>
  <si>
    <t>宁波精达</t>
  </si>
  <si>
    <t>603089.SH</t>
  </si>
  <si>
    <t>正裕工业</t>
  </si>
  <si>
    <t>603090.SH</t>
  </si>
  <si>
    <t>宏盛股份</t>
  </si>
  <si>
    <t>603093.SH</t>
  </si>
  <si>
    <t>南华期货</t>
  </si>
  <si>
    <t>603095.SH</t>
  </si>
  <si>
    <t>越剑智能</t>
  </si>
  <si>
    <t>603096.SH</t>
  </si>
  <si>
    <t>新经典</t>
  </si>
  <si>
    <t>603097.SH</t>
  </si>
  <si>
    <t>江苏华辰</t>
  </si>
  <si>
    <t>603098.SH</t>
  </si>
  <si>
    <t>森特股份</t>
  </si>
  <si>
    <t>603099.SH</t>
  </si>
  <si>
    <t>长白山</t>
  </si>
  <si>
    <t>603100.SH</t>
  </si>
  <si>
    <t>川仪股份</t>
  </si>
  <si>
    <t>603101.SH</t>
  </si>
  <si>
    <t>汇嘉时代</t>
  </si>
  <si>
    <t>603102.SH</t>
  </si>
  <si>
    <t>百合股份</t>
  </si>
  <si>
    <t>603103.SH</t>
  </si>
  <si>
    <t>横店影视</t>
  </si>
  <si>
    <t>603105.SH</t>
  </si>
  <si>
    <t>芯能科技</t>
  </si>
  <si>
    <t>603106.SH</t>
  </si>
  <si>
    <t>恒银科技</t>
  </si>
  <si>
    <t>603107.SH</t>
  </si>
  <si>
    <t>上海汽配</t>
  </si>
  <si>
    <t>603108.SH</t>
  </si>
  <si>
    <t>润达医疗</t>
  </si>
  <si>
    <t>603109.SH</t>
  </si>
  <si>
    <t>神驰机电</t>
  </si>
  <si>
    <t>603110.SH</t>
  </si>
  <si>
    <t>东方材料</t>
  </si>
  <si>
    <t>603111.SH</t>
  </si>
  <si>
    <t>康尼机电</t>
  </si>
  <si>
    <t>603112.SH</t>
  </si>
  <si>
    <t>华翔股份</t>
  </si>
  <si>
    <t>603113.SH</t>
  </si>
  <si>
    <t>金能科技</t>
  </si>
  <si>
    <t>603115.SH</t>
  </si>
  <si>
    <t>海星股份</t>
  </si>
  <si>
    <t>603116.SH</t>
  </si>
  <si>
    <t>红蜻蜓</t>
  </si>
  <si>
    <t>603117.SH</t>
  </si>
  <si>
    <t>603118.SH</t>
  </si>
  <si>
    <t>共进股份</t>
  </si>
  <si>
    <t>603119.SH</t>
  </si>
  <si>
    <t>浙江荣泰</t>
  </si>
  <si>
    <t>603121.SH</t>
  </si>
  <si>
    <t>华培动力</t>
  </si>
  <si>
    <t>603122.SH</t>
  </si>
  <si>
    <t>合富中国</t>
  </si>
  <si>
    <t>603123.SH</t>
  </si>
  <si>
    <t>翠微股份</t>
  </si>
  <si>
    <t>603125.SH</t>
  </si>
  <si>
    <t>常青科技</t>
  </si>
  <si>
    <t>603126.SH</t>
  </si>
  <si>
    <t>中材节能</t>
  </si>
  <si>
    <t>603127.SH</t>
  </si>
  <si>
    <t>昭衍新药</t>
  </si>
  <si>
    <t>603128.SH</t>
  </si>
  <si>
    <t>华贸物流</t>
  </si>
  <si>
    <t>603129.SH</t>
  </si>
  <si>
    <t>春风动力</t>
  </si>
  <si>
    <t>603130.SH</t>
  </si>
  <si>
    <t>云中马</t>
  </si>
  <si>
    <t>603131.SH</t>
  </si>
  <si>
    <t>上海沪工</t>
  </si>
  <si>
    <t>603132.SH</t>
  </si>
  <si>
    <t>金徽股份</t>
  </si>
  <si>
    <t>603135.SH</t>
  </si>
  <si>
    <t>中重科技</t>
  </si>
  <si>
    <t>603136.SH</t>
  </si>
  <si>
    <t>天目湖</t>
  </si>
  <si>
    <t>603137.SH</t>
  </si>
  <si>
    <t>恒尚节能</t>
  </si>
  <si>
    <t>603138.SH</t>
  </si>
  <si>
    <t>海量数据</t>
  </si>
  <si>
    <t>603139.SH</t>
  </si>
  <si>
    <t>603150.SH</t>
  </si>
  <si>
    <t>万朗磁塑</t>
  </si>
  <si>
    <t>603151.SH</t>
  </si>
  <si>
    <t>邦基科技</t>
  </si>
  <si>
    <t>603153.SH</t>
  </si>
  <si>
    <t>上海建科</t>
  </si>
  <si>
    <t>603155.SH</t>
  </si>
  <si>
    <t>新亚强</t>
  </si>
  <si>
    <t>603156.SH</t>
  </si>
  <si>
    <t>养元饮品</t>
  </si>
  <si>
    <t>603158.SH</t>
  </si>
  <si>
    <t>腾龙股份</t>
  </si>
  <si>
    <t>603159.SH</t>
  </si>
  <si>
    <t>上海亚虹</t>
  </si>
  <si>
    <t>603160.SH</t>
  </si>
  <si>
    <t>汇顶科技</t>
  </si>
  <si>
    <t>603161.SH</t>
  </si>
  <si>
    <t>科华控股</t>
  </si>
  <si>
    <t>603162.SH</t>
  </si>
  <si>
    <t>海通发展</t>
  </si>
  <si>
    <t>603163.SH</t>
  </si>
  <si>
    <t>圣晖集成</t>
  </si>
  <si>
    <t>603165.SH</t>
  </si>
  <si>
    <t>荣晟环保</t>
  </si>
  <si>
    <t>603166.SH</t>
  </si>
  <si>
    <t>福达股份</t>
  </si>
  <si>
    <t>603167.SH</t>
  </si>
  <si>
    <t>渤海轮渡</t>
  </si>
  <si>
    <t>603168.SH</t>
  </si>
  <si>
    <t>莎普爱思</t>
  </si>
  <si>
    <t>603169.SH</t>
  </si>
  <si>
    <t>兰石重装</t>
  </si>
  <si>
    <t>603170.SH</t>
  </si>
  <si>
    <t>宝立食品</t>
  </si>
  <si>
    <t>603171.SH</t>
  </si>
  <si>
    <t>税友股份</t>
  </si>
  <si>
    <t>603172.SH</t>
  </si>
  <si>
    <t>万丰股份</t>
  </si>
  <si>
    <t>603173.SH</t>
  </si>
  <si>
    <t>福斯达</t>
  </si>
  <si>
    <t>603176.SH</t>
  </si>
  <si>
    <t>汇通集团</t>
  </si>
  <si>
    <t>603177.SH</t>
  </si>
  <si>
    <t>德创环保</t>
  </si>
  <si>
    <t>603178.SH</t>
  </si>
  <si>
    <t>圣龙股份</t>
  </si>
  <si>
    <t>603179.SH</t>
  </si>
  <si>
    <t>新泉股份</t>
  </si>
  <si>
    <t>603180.SH</t>
  </si>
  <si>
    <t>603181.SH</t>
  </si>
  <si>
    <t>皇马科技</t>
  </si>
  <si>
    <t>603182.SH</t>
  </si>
  <si>
    <t>嘉华股份</t>
  </si>
  <si>
    <t>603183.SH</t>
  </si>
  <si>
    <t>建研院</t>
  </si>
  <si>
    <t>603185.SH</t>
  </si>
  <si>
    <t>弘元绿能</t>
  </si>
  <si>
    <t>603186.SH</t>
  </si>
  <si>
    <t>华正新材</t>
  </si>
  <si>
    <t>603187.SH</t>
  </si>
  <si>
    <t>海容冷链</t>
  </si>
  <si>
    <t>603188.SH</t>
  </si>
  <si>
    <t>亚邦股份</t>
  </si>
  <si>
    <t>603189.SH</t>
  </si>
  <si>
    <t>网达软件</t>
  </si>
  <si>
    <t>603190.SH</t>
  </si>
  <si>
    <t>亚通精工</t>
  </si>
  <si>
    <t>603191.SH</t>
  </si>
  <si>
    <t>望变电气</t>
  </si>
  <si>
    <t>603192.SH</t>
  </si>
  <si>
    <t>汇得科技</t>
  </si>
  <si>
    <t>603193.SH</t>
  </si>
  <si>
    <t>润本股份</t>
  </si>
  <si>
    <t>603195.SH</t>
  </si>
  <si>
    <t>公牛集团</t>
  </si>
  <si>
    <t>603196.SH</t>
  </si>
  <si>
    <t>日播时尚</t>
  </si>
  <si>
    <t>603197.SH</t>
  </si>
  <si>
    <t>保隆科技</t>
  </si>
  <si>
    <t>603198.SH</t>
  </si>
  <si>
    <t>迎驾贡酒</t>
  </si>
  <si>
    <t>603199.SH</t>
  </si>
  <si>
    <t>九华旅游</t>
  </si>
  <si>
    <t>603200.SH</t>
  </si>
  <si>
    <t>上海洗霸</t>
  </si>
  <si>
    <t>603201.SH</t>
  </si>
  <si>
    <t>常润股份</t>
  </si>
  <si>
    <t>603203.SH</t>
  </si>
  <si>
    <t>快克智能</t>
  </si>
  <si>
    <t>603206.SH</t>
  </si>
  <si>
    <t>嘉环科技</t>
  </si>
  <si>
    <t>603208.SH</t>
  </si>
  <si>
    <t>江山欧派</t>
  </si>
  <si>
    <t>603209.SH</t>
  </si>
  <si>
    <t>兴通股份</t>
  </si>
  <si>
    <t>603211.SH</t>
  </si>
  <si>
    <t>晋拓股份</t>
  </si>
  <si>
    <t>603212.SH</t>
  </si>
  <si>
    <t>赛伍技术</t>
  </si>
  <si>
    <t>603213.SH</t>
  </si>
  <si>
    <t>镇洋发展</t>
  </si>
  <si>
    <t>603214.SH</t>
  </si>
  <si>
    <t>爱婴室</t>
  </si>
  <si>
    <t>603215.SH</t>
  </si>
  <si>
    <t>比依股份</t>
  </si>
  <si>
    <t>603216.SH</t>
  </si>
  <si>
    <t>梦天家居</t>
  </si>
  <si>
    <t>603217.SH</t>
  </si>
  <si>
    <t>元利科技</t>
  </si>
  <si>
    <t>603218.SH</t>
  </si>
  <si>
    <t>日月股份</t>
  </si>
  <si>
    <t>603219.SH</t>
  </si>
  <si>
    <t>富佳股份</t>
  </si>
  <si>
    <t>603220.SH</t>
  </si>
  <si>
    <t>中贝通信</t>
  </si>
  <si>
    <t>603221.SH</t>
  </si>
  <si>
    <t>爱丽家居</t>
  </si>
  <si>
    <t>603222.SH</t>
  </si>
  <si>
    <t>603223.SH</t>
  </si>
  <si>
    <t>恒通股份</t>
  </si>
  <si>
    <t>603225.SH</t>
  </si>
  <si>
    <t>新凤鸣</t>
  </si>
  <si>
    <t>603226.SH</t>
  </si>
  <si>
    <t>菲林格尔</t>
  </si>
  <si>
    <t>603227.SH</t>
  </si>
  <si>
    <t>雪峰科技</t>
  </si>
  <si>
    <t>603228.SH</t>
  </si>
  <si>
    <t>景旺电子</t>
  </si>
  <si>
    <t>603229.SH</t>
  </si>
  <si>
    <t>奥翔药业</t>
  </si>
  <si>
    <t>603230.SH</t>
  </si>
  <si>
    <t>内蒙新华</t>
  </si>
  <si>
    <t>603231.SH</t>
  </si>
  <si>
    <t>索宝蛋白</t>
  </si>
  <si>
    <t>603232.SH</t>
  </si>
  <si>
    <t>格尔软件</t>
  </si>
  <si>
    <t>603233.SH</t>
  </si>
  <si>
    <t>大参林</t>
  </si>
  <si>
    <t>603235.SH</t>
  </si>
  <si>
    <t>天新药业</t>
  </si>
  <si>
    <t>603236.SH</t>
  </si>
  <si>
    <t>移远通信</t>
  </si>
  <si>
    <t>603237.SH</t>
  </si>
  <si>
    <t>五芳斋</t>
  </si>
  <si>
    <t>603238.SH</t>
  </si>
  <si>
    <t>诺邦股份</t>
  </si>
  <si>
    <t>603239.SH</t>
  </si>
  <si>
    <t>浙江仙通</t>
  </si>
  <si>
    <t>603255.SH</t>
  </si>
  <si>
    <t>鼎际得</t>
  </si>
  <si>
    <t>603256.SH</t>
  </si>
  <si>
    <t>宏和科技</t>
  </si>
  <si>
    <t>603258.SH</t>
  </si>
  <si>
    <t>电魂网络</t>
  </si>
  <si>
    <t>603259.SH</t>
  </si>
  <si>
    <t>药明康德</t>
  </si>
  <si>
    <t>603260.SH</t>
  </si>
  <si>
    <t>合盛硅业</t>
  </si>
  <si>
    <t>603261.SH</t>
  </si>
  <si>
    <t>603266.SH</t>
  </si>
  <si>
    <t>天龙股份</t>
  </si>
  <si>
    <t>603267.SH</t>
  </si>
  <si>
    <t>鸿远电子</t>
  </si>
  <si>
    <t>603268.SH</t>
  </si>
  <si>
    <t>603269.SH</t>
  </si>
  <si>
    <t>海鸥股份</t>
  </si>
  <si>
    <t>603270.SH</t>
  </si>
  <si>
    <t>金帝股份</t>
  </si>
  <si>
    <t>603272.SH</t>
  </si>
  <si>
    <t>联翔股份</t>
  </si>
  <si>
    <t>603273.SH</t>
  </si>
  <si>
    <t>天元智能</t>
  </si>
  <si>
    <t>603275.SH</t>
  </si>
  <si>
    <t>众辰科技</t>
  </si>
  <si>
    <t>603276.SH</t>
  </si>
  <si>
    <t>恒兴新材</t>
  </si>
  <si>
    <t>603277.SH</t>
  </si>
  <si>
    <t>银都股份</t>
  </si>
  <si>
    <t>603278.SH</t>
  </si>
  <si>
    <t>大业股份</t>
  </si>
  <si>
    <t>603279.SH</t>
  </si>
  <si>
    <t>景津装备</t>
  </si>
  <si>
    <t>603280.SH</t>
  </si>
  <si>
    <t>南方路机</t>
  </si>
  <si>
    <t>603281.SH</t>
  </si>
  <si>
    <t>江瀚新材</t>
  </si>
  <si>
    <t>603282.SH</t>
  </si>
  <si>
    <t>亚光股份</t>
  </si>
  <si>
    <t>603283.SH</t>
  </si>
  <si>
    <t>赛腾股份</t>
  </si>
  <si>
    <t>603286.SH</t>
  </si>
  <si>
    <t>日盈电子</t>
  </si>
  <si>
    <t>603288.SH</t>
  </si>
  <si>
    <t>海天味业</t>
  </si>
  <si>
    <t>603289.SH</t>
  </si>
  <si>
    <t>泰瑞机器</t>
  </si>
  <si>
    <t>603290.SH</t>
  </si>
  <si>
    <t>斯达半导</t>
  </si>
  <si>
    <t>603291.SH</t>
  </si>
  <si>
    <t>联合水务</t>
  </si>
  <si>
    <t>603296.SH</t>
  </si>
  <si>
    <t>华勤技术</t>
  </si>
  <si>
    <t>603297.SH</t>
  </si>
  <si>
    <t>永新光学</t>
  </si>
  <si>
    <t>603298.SH</t>
  </si>
  <si>
    <t>杭叉集团</t>
  </si>
  <si>
    <t>603299.SH</t>
  </si>
  <si>
    <t>苏盐井神</t>
  </si>
  <si>
    <t>603300.SH</t>
  </si>
  <si>
    <t>603301.SH</t>
  </si>
  <si>
    <t>振德医疗</t>
  </si>
  <si>
    <t>603303.SH</t>
  </si>
  <si>
    <t>得邦照明</t>
  </si>
  <si>
    <t>603305.SH</t>
  </si>
  <si>
    <t>旭升集团</t>
  </si>
  <si>
    <t>603306.SH</t>
  </si>
  <si>
    <t>华懋科技</t>
  </si>
  <si>
    <t>603307.SH</t>
  </si>
  <si>
    <t>扬州金泉</t>
  </si>
  <si>
    <t>603308.SH</t>
  </si>
  <si>
    <t>应流股份</t>
  </si>
  <si>
    <t>603309.SH</t>
  </si>
  <si>
    <t>维力医疗</t>
  </si>
  <si>
    <t>603311.SH</t>
  </si>
  <si>
    <t>金海高科</t>
  </si>
  <si>
    <t>603312.SH</t>
  </si>
  <si>
    <t>西典新能</t>
  </si>
  <si>
    <t>603313.SH</t>
  </si>
  <si>
    <t>梦百合</t>
  </si>
  <si>
    <t>603315.SH</t>
  </si>
  <si>
    <t>福鞍股份</t>
  </si>
  <si>
    <t>603316.SH</t>
  </si>
  <si>
    <t>诚邦股份</t>
  </si>
  <si>
    <t>603317.SH</t>
  </si>
  <si>
    <t>天味食品</t>
  </si>
  <si>
    <t>603318.SH</t>
  </si>
  <si>
    <t>水发燃气</t>
  </si>
  <si>
    <t>603319.SH</t>
  </si>
  <si>
    <t>603320.SH</t>
  </si>
  <si>
    <t>迪贝电气</t>
  </si>
  <si>
    <t>603321.SH</t>
  </si>
  <si>
    <t>梅轮电梯</t>
  </si>
  <si>
    <t>603322.SH</t>
  </si>
  <si>
    <t>超讯通信</t>
  </si>
  <si>
    <t>603323.SH</t>
  </si>
  <si>
    <t>苏农银行</t>
  </si>
  <si>
    <t>603324.SH</t>
  </si>
  <si>
    <t>603325.SH</t>
  </si>
  <si>
    <t>博隆技术</t>
  </si>
  <si>
    <t>603326.SH</t>
  </si>
  <si>
    <t>我乐家居</t>
  </si>
  <si>
    <t>603327.SH</t>
  </si>
  <si>
    <t>福蓉科技</t>
  </si>
  <si>
    <t>603328.SH</t>
  </si>
  <si>
    <t>依顿电子</t>
  </si>
  <si>
    <t>603329.SH</t>
  </si>
  <si>
    <t>上海雅仕</t>
  </si>
  <si>
    <t>603330.SH</t>
  </si>
  <si>
    <t>天洋新材</t>
  </si>
  <si>
    <t>603331.SH</t>
  </si>
  <si>
    <t>百达精工</t>
  </si>
  <si>
    <t>603332.SH</t>
  </si>
  <si>
    <t>苏州龙杰</t>
  </si>
  <si>
    <t>603333.SH</t>
  </si>
  <si>
    <t>尚纬股份</t>
  </si>
  <si>
    <t>603335.SH</t>
  </si>
  <si>
    <t>迪生力</t>
  </si>
  <si>
    <t>603336.SH</t>
  </si>
  <si>
    <t>宏辉果蔬</t>
  </si>
  <si>
    <t>603337.SH</t>
  </si>
  <si>
    <t>603338.SH</t>
  </si>
  <si>
    <t>浙江鼎力</t>
  </si>
  <si>
    <t>603339.SH</t>
  </si>
  <si>
    <t>四方科技</t>
  </si>
  <si>
    <t>603341.SH</t>
  </si>
  <si>
    <t>龙旗科技</t>
  </si>
  <si>
    <t>603344.SH</t>
  </si>
  <si>
    <t>星德胜</t>
  </si>
  <si>
    <t>603345.SH</t>
  </si>
  <si>
    <t>安井食品</t>
  </si>
  <si>
    <t>603348.SH</t>
  </si>
  <si>
    <t>文灿股份</t>
  </si>
  <si>
    <t>603351.SH</t>
  </si>
  <si>
    <t>威尔药业</t>
  </si>
  <si>
    <t>603353.SH</t>
  </si>
  <si>
    <t>和顺石油</t>
  </si>
  <si>
    <t>603355.SH</t>
  </si>
  <si>
    <t>莱克电气</t>
  </si>
  <si>
    <t>603356.SH</t>
  </si>
  <si>
    <t>华菱精工</t>
  </si>
  <si>
    <t>603357.SH</t>
  </si>
  <si>
    <t>设计总院</t>
  </si>
  <si>
    <t>603358.SH</t>
  </si>
  <si>
    <t>华达科技</t>
  </si>
  <si>
    <t>603359.SH</t>
  </si>
  <si>
    <t>东珠生态</t>
  </si>
  <si>
    <t>603360.SH</t>
  </si>
  <si>
    <t>百傲化学</t>
  </si>
  <si>
    <t>603363.SH</t>
  </si>
  <si>
    <t>傲农生物</t>
  </si>
  <si>
    <t>603365.SH</t>
  </si>
  <si>
    <t>水星家纺</t>
  </si>
  <si>
    <t>603366.SH</t>
  </si>
  <si>
    <t>日出东方</t>
  </si>
  <si>
    <t>603367.SH</t>
  </si>
  <si>
    <t>辰欣药业</t>
  </si>
  <si>
    <t>603368.SH</t>
  </si>
  <si>
    <t>柳药集团</t>
  </si>
  <si>
    <t>603369.SH</t>
  </si>
  <si>
    <t>今世缘</t>
  </si>
  <si>
    <t>603373.SH</t>
  </si>
  <si>
    <t>安邦护卫</t>
  </si>
  <si>
    <t>603375.SH</t>
  </si>
  <si>
    <t>盛景微</t>
  </si>
  <si>
    <t>603377.SH</t>
  </si>
  <si>
    <t>603378.SH</t>
  </si>
  <si>
    <t>亚士创能</t>
  </si>
  <si>
    <t>603379.SH</t>
  </si>
  <si>
    <t>三美股份</t>
  </si>
  <si>
    <t>603380.SH</t>
  </si>
  <si>
    <t>易德龙</t>
  </si>
  <si>
    <t>603383.SH</t>
  </si>
  <si>
    <t>顶点软件</t>
  </si>
  <si>
    <t>603385.SH</t>
  </si>
  <si>
    <t>惠达卫浴</t>
  </si>
  <si>
    <t>603386.SH</t>
  </si>
  <si>
    <t>骏亚科技</t>
  </si>
  <si>
    <t>603387.SH</t>
  </si>
  <si>
    <t>基蛋生物</t>
  </si>
  <si>
    <t>603389.SH</t>
  </si>
  <si>
    <t>603390.SH</t>
  </si>
  <si>
    <t>通达电气</t>
  </si>
  <si>
    <t>603392.SH</t>
  </si>
  <si>
    <t>万泰生物</t>
  </si>
  <si>
    <t>603393.SH</t>
  </si>
  <si>
    <t>新天然气</t>
  </si>
  <si>
    <t>603396.SH</t>
  </si>
  <si>
    <t>金辰股份</t>
  </si>
  <si>
    <t>603398.SH</t>
  </si>
  <si>
    <t>603399.SH</t>
  </si>
  <si>
    <t>603408.SH</t>
  </si>
  <si>
    <t>建霖家居</t>
  </si>
  <si>
    <t>603416.SH</t>
  </si>
  <si>
    <t>信捷电气</t>
  </si>
  <si>
    <t>603421.SH</t>
  </si>
  <si>
    <t>鼎信通讯</t>
  </si>
  <si>
    <t>603429.SH</t>
  </si>
  <si>
    <t>集友股份</t>
  </si>
  <si>
    <t>603439.SH</t>
  </si>
  <si>
    <t>603444.SH</t>
  </si>
  <si>
    <t>吉比特</t>
  </si>
  <si>
    <t>603456.SH</t>
  </si>
  <si>
    <t>九洲药业</t>
  </si>
  <si>
    <t>603458.SH</t>
  </si>
  <si>
    <t>勘设股份</t>
  </si>
  <si>
    <t>603466.SH</t>
  </si>
  <si>
    <t>风语筑</t>
  </si>
  <si>
    <t>603477.SH</t>
  </si>
  <si>
    <t>巨星农牧</t>
  </si>
  <si>
    <t>603486.SH</t>
  </si>
  <si>
    <t>科沃斯</t>
  </si>
  <si>
    <t>603488.SH</t>
  </si>
  <si>
    <t>展鹏科技</t>
  </si>
  <si>
    <t>603489.SH</t>
  </si>
  <si>
    <t>八方股份</t>
  </si>
  <si>
    <t>603496.SH</t>
  </si>
  <si>
    <t>恒为科技</t>
  </si>
  <si>
    <t>603499.SH</t>
  </si>
  <si>
    <t>翔港科技</t>
  </si>
  <si>
    <t>603500.SH</t>
  </si>
  <si>
    <t>祥和实业</t>
  </si>
  <si>
    <t>603501.SH</t>
  </si>
  <si>
    <t>603505.SH</t>
  </si>
  <si>
    <t>金石资源</t>
  </si>
  <si>
    <t>603506.SH</t>
  </si>
  <si>
    <t>南都物业</t>
  </si>
  <si>
    <t>603507.SH</t>
  </si>
  <si>
    <t>振江股份</t>
  </si>
  <si>
    <t>603508.SH</t>
  </si>
  <si>
    <t>思维列控</t>
  </si>
  <si>
    <t>603511.SH</t>
  </si>
  <si>
    <t>爱慕股份</t>
  </si>
  <si>
    <t>603515.SH</t>
  </si>
  <si>
    <t>欧普照明</t>
  </si>
  <si>
    <t>603516.SH</t>
  </si>
  <si>
    <t>淳中科技</t>
  </si>
  <si>
    <t>603517.SH</t>
  </si>
  <si>
    <t>603518.SH</t>
  </si>
  <si>
    <t>锦泓集团</t>
  </si>
  <si>
    <t>603519.SH</t>
  </si>
  <si>
    <t>立霸股份</t>
  </si>
  <si>
    <t>603520.SH</t>
  </si>
  <si>
    <t>司太立</t>
  </si>
  <si>
    <t>603527.SH</t>
  </si>
  <si>
    <t>众源新材</t>
  </si>
  <si>
    <t>603528.SH</t>
  </si>
  <si>
    <t>多伦科技</t>
  </si>
  <si>
    <t>603529.SH</t>
  </si>
  <si>
    <t>爱玛科技</t>
  </si>
  <si>
    <t>603530.SH</t>
  </si>
  <si>
    <t>神马电力</t>
  </si>
  <si>
    <t>603533.SH</t>
  </si>
  <si>
    <t>掌阅科技</t>
  </si>
  <si>
    <t>603535.SH</t>
  </si>
  <si>
    <t>嘉诚国际</t>
  </si>
  <si>
    <t>603536.SH</t>
  </si>
  <si>
    <t>惠发食品</t>
  </si>
  <si>
    <t>603538.SH</t>
  </si>
  <si>
    <t>美诺华</t>
  </si>
  <si>
    <t>603551.SH</t>
  </si>
  <si>
    <t>603556.SH</t>
  </si>
  <si>
    <t>海兴电力</t>
  </si>
  <si>
    <t>603557.SH</t>
  </si>
  <si>
    <t>ST起步</t>
  </si>
  <si>
    <t>603558.SH</t>
  </si>
  <si>
    <t>健盛集团</t>
  </si>
  <si>
    <t>603559.SH</t>
  </si>
  <si>
    <t>ST通脉</t>
  </si>
  <si>
    <t>603565.SH</t>
  </si>
  <si>
    <t>中谷物流</t>
  </si>
  <si>
    <t>603566.SH</t>
  </si>
  <si>
    <t>普莱柯</t>
  </si>
  <si>
    <t>603567.SH</t>
  </si>
  <si>
    <t>珍宝岛</t>
  </si>
  <si>
    <t>603568.SH</t>
  </si>
  <si>
    <t>伟明环保</t>
  </si>
  <si>
    <t>603569.SH</t>
  </si>
  <si>
    <t>长久物流</t>
  </si>
  <si>
    <t>603577.SH</t>
  </si>
  <si>
    <t>汇金通</t>
  </si>
  <si>
    <t>603578.SH</t>
  </si>
  <si>
    <t>三星新材</t>
  </si>
  <si>
    <t>603579.SH</t>
  </si>
  <si>
    <t>荣泰健康</t>
  </si>
  <si>
    <t>603580.SH</t>
  </si>
  <si>
    <t>603583.SH</t>
  </si>
  <si>
    <t>捷昌驱动</t>
  </si>
  <si>
    <t>603585.SH</t>
  </si>
  <si>
    <t>苏利股份</t>
  </si>
  <si>
    <t>603586.SH</t>
  </si>
  <si>
    <t>金麒麟</t>
  </si>
  <si>
    <t>603587.SH</t>
  </si>
  <si>
    <t>地素时尚</t>
  </si>
  <si>
    <t>603588.SH</t>
  </si>
  <si>
    <t>高能环境</t>
  </si>
  <si>
    <t>603589.SH</t>
  </si>
  <si>
    <t>口子窖</t>
  </si>
  <si>
    <t>603590.SH</t>
  </si>
  <si>
    <t>康辰药业</t>
  </si>
  <si>
    <t>603595.SH</t>
  </si>
  <si>
    <t>603596.SH</t>
  </si>
  <si>
    <t>伯特利</t>
  </si>
  <si>
    <t>603598.SH</t>
  </si>
  <si>
    <t>引力传媒</t>
  </si>
  <si>
    <t>603599.SH</t>
  </si>
  <si>
    <t>广信股份</t>
  </si>
  <si>
    <t>603600.SH</t>
  </si>
  <si>
    <t>永艺股份</t>
  </si>
  <si>
    <t>603601.SH</t>
  </si>
  <si>
    <t>再升科技</t>
  </si>
  <si>
    <t>603602.SH</t>
  </si>
  <si>
    <t>纵横通信</t>
  </si>
  <si>
    <t>603605.SH</t>
  </si>
  <si>
    <t>珀莱雅</t>
  </si>
  <si>
    <t>603606.SH</t>
  </si>
  <si>
    <t>东方电缆</t>
  </si>
  <si>
    <t>603607.SH</t>
  </si>
  <si>
    <t>京华激光</t>
  </si>
  <si>
    <t>603608.SH</t>
  </si>
  <si>
    <t>天创时尚</t>
  </si>
  <si>
    <t>603609.SH</t>
  </si>
  <si>
    <t>禾丰股份</t>
  </si>
  <si>
    <t>603610.SH</t>
  </si>
  <si>
    <t>麒盛科技</t>
  </si>
  <si>
    <t>603611.SH</t>
  </si>
  <si>
    <t>诺力股份</t>
  </si>
  <si>
    <t>603612.SH</t>
  </si>
  <si>
    <t>索通发展</t>
  </si>
  <si>
    <t>603613.SH</t>
  </si>
  <si>
    <t>国联股份</t>
  </si>
  <si>
    <t>603615.SH</t>
  </si>
  <si>
    <t>茶花股份</t>
  </si>
  <si>
    <t>603616.SH</t>
  </si>
  <si>
    <t>韩建河山</t>
  </si>
  <si>
    <t>603617.SH</t>
  </si>
  <si>
    <t>君禾股份</t>
  </si>
  <si>
    <t>603618.SH</t>
  </si>
  <si>
    <t>杭电股份</t>
  </si>
  <si>
    <t>603619.SH</t>
  </si>
  <si>
    <t>中曼石油</t>
  </si>
  <si>
    <t>603626.SH</t>
  </si>
  <si>
    <t>科森科技</t>
  </si>
  <si>
    <t>603628.SH</t>
  </si>
  <si>
    <t>清源股份</t>
  </si>
  <si>
    <t>603629.SH</t>
  </si>
  <si>
    <t>利通电子</t>
  </si>
  <si>
    <t>603630.SH</t>
  </si>
  <si>
    <t>拉芳家化</t>
  </si>
  <si>
    <t>603633.SH</t>
  </si>
  <si>
    <t>徕木股份</t>
  </si>
  <si>
    <t>603636.SH</t>
  </si>
  <si>
    <t>南威软件</t>
  </si>
  <si>
    <t>603637.SH</t>
  </si>
  <si>
    <t>镇海股份</t>
  </si>
  <si>
    <t>603638.SH</t>
  </si>
  <si>
    <t>艾迪精密</t>
  </si>
  <si>
    <t>603639.SH</t>
  </si>
  <si>
    <t>海利尔</t>
  </si>
  <si>
    <t>603648.SH</t>
  </si>
  <si>
    <t>畅联股份</t>
  </si>
  <si>
    <t>603650.SH</t>
  </si>
  <si>
    <t>彤程新材</t>
  </si>
  <si>
    <t>603655.SH</t>
  </si>
  <si>
    <t>朗博科技</t>
  </si>
  <si>
    <t>603656.SH</t>
  </si>
  <si>
    <t>泰禾智能</t>
  </si>
  <si>
    <t>603657.SH</t>
  </si>
  <si>
    <t>春光科技</t>
  </si>
  <si>
    <t>603658.SH</t>
  </si>
  <si>
    <t>安图生物</t>
  </si>
  <si>
    <t>603659.SH</t>
  </si>
  <si>
    <t>璞泰来</t>
  </si>
  <si>
    <t>603660.SH</t>
  </si>
  <si>
    <t>苏州科达</t>
  </si>
  <si>
    <t>603661.SH</t>
  </si>
  <si>
    <t>恒林股份</t>
  </si>
  <si>
    <t>603662.SH</t>
  </si>
  <si>
    <t>柯力传感</t>
  </si>
  <si>
    <t>603663.SH</t>
  </si>
  <si>
    <t>三祥新材</t>
  </si>
  <si>
    <t>603665.SH</t>
  </si>
  <si>
    <t>康隆达</t>
  </si>
  <si>
    <t>603666.SH</t>
  </si>
  <si>
    <t>亿嘉和</t>
  </si>
  <si>
    <t>603667.SH</t>
  </si>
  <si>
    <t>五洲新春</t>
  </si>
  <si>
    <t>603668.SH</t>
  </si>
  <si>
    <t>天马科技</t>
  </si>
  <si>
    <t>603669.SH</t>
  </si>
  <si>
    <t>灵康药业</t>
  </si>
  <si>
    <t>603676.SH</t>
  </si>
  <si>
    <t>卫信康</t>
  </si>
  <si>
    <t>603677.SH</t>
  </si>
  <si>
    <t>奇精机械</t>
  </si>
  <si>
    <t>603678.SH</t>
  </si>
  <si>
    <t>火炬电子</t>
  </si>
  <si>
    <t>603679.SH</t>
  </si>
  <si>
    <t>华体科技</t>
  </si>
  <si>
    <t>603680.SH</t>
  </si>
  <si>
    <t>今创集团</t>
  </si>
  <si>
    <t>603681.SH</t>
  </si>
  <si>
    <t>永冠新材</t>
  </si>
  <si>
    <t>603682.SH</t>
  </si>
  <si>
    <t>锦和商管</t>
  </si>
  <si>
    <t>603683.SH</t>
  </si>
  <si>
    <t>晶华新材</t>
  </si>
  <si>
    <t>603685.SH</t>
  </si>
  <si>
    <t>晨丰科技</t>
  </si>
  <si>
    <t>603686.SH</t>
  </si>
  <si>
    <t>福龙马</t>
  </si>
  <si>
    <t>603687.SH</t>
  </si>
  <si>
    <t>大胜达</t>
  </si>
  <si>
    <t>603688.SH</t>
  </si>
  <si>
    <t>石英股份</t>
  </si>
  <si>
    <t>603689.SH</t>
  </si>
  <si>
    <t>皖天然气</t>
  </si>
  <si>
    <t>603690.SH</t>
  </si>
  <si>
    <t>至纯科技</t>
  </si>
  <si>
    <t>603693.SH</t>
  </si>
  <si>
    <t>江苏新能</t>
  </si>
  <si>
    <t>603696.SH</t>
  </si>
  <si>
    <t>安记食品</t>
  </si>
  <si>
    <t>603697.SH</t>
  </si>
  <si>
    <t>有友食品</t>
  </si>
  <si>
    <t>603698.SH</t>
  </si>
  <si>
    <t>航天工程</t>
  </si>
  <si>
    <t>603699.SH</t>
  </si>
  <si>
    <t>纽威股份</t>
  </si>
  <si>
    <t>603700.SH</t>
  </si>
  <si>
    <t>宁水集团</t>
  </si>
  <si>
    <t>603701.SH</t>
  </si>
  <si>
    <t>德宏股份</t>
  </si>
  <si>
    <t>603703.SH</t>
  </si>
  <si>
    <t>盛洋科技</t>
  </si>
  <si>
    <t>603706.SH</t>
  </si>
  <si>
    <t>东方环宇</t>
  </si>
  <si>
    <t>603707.SH</t>
  </si>
  <si>
    <t>健友股份</t>
  </si>
  <si>
    <t>603708.SH</t>
  </si>
  <si>
    <t>家家悦</t>
  </si>
  <si>
    <t>603709.SH</t>
  </si>
  <si>
    <t>中源家居</t>
  </si>
  <si>
    <t>603711.SH</t>
  </si>
  <si>
    <t>香飘飘</t>
  </si>
  <si>
    <t>603712.SH</t>
  </si>
  <si>
    <t>七一二</t>
  </si>
  <si>
    <t>603713.SH</t>
  </si>
  <si>
    <t>密尔克卫</t>
  </si>
  <si>
    <t>603716.SH</t>
  </si>
  <si>
    <t>塞力医疗</t>
  </si>
  <si>
    <t>603717.SH</t>
  </si>
  <si>
    <t>603718.SH</t>
  </si>
  <si>
    <t>海利生物</t>
  </si>
  <si>
    <t>603719.SH</t>
  </si>
  <si>
    <t>良品铺子</t>
  </si>
  <si>
    <t>603721.SH</t>
  </si>
  <si>
    <t>603722.SH</t>
  </si>
  <si>
    <t>阿科力</t>
  </si>
  <si>
    <t>603725.SH</t>
  </si>
  <si>
    <t>天安新材</t>
  </si>
  <si>
    <t>603726.SH</t>
  </si>
  <si>
    <t>朗迪集团</t>
  </si>
  <si>
    <t>603727.SH</t>
  </si>
  <si>
    <t>博迈科</t>
  </si>
  <si>
    <t>603728.SH</t>
  </si>
  <si>
    <t>鸣志电器</t>
  </si>
  <si>
    <t>603729.SH</t>
  </si>
  <si>
    <t>龙韵股份</t>
  </si>
  <si>
    <t>603730.SH</t>
  </si>
  <si>
    <t>岱美股份</t>
  </si>
  <si>
    <t>603733.SH</t>
  </si>
  <si>
    <t>仙鹤股份</t>
  </si>
  <si>
    <t>603737.SH</t>
  </si>
  <si>
    <t>三棵树</t>
  </si>
  <si>
    <t>603738.SH</t>
  </si>
  <si>
    <t>泰晶科技</t>
  </si>
  <si>
    <t>603739.SH</t>
  </si>
  <si>
    <t>蔚蓝生物</t>
  </si>
  <si>
    <t>603755.SH</t>
  </si>
  <si>
    <t>日辰股份</t>
  </si>
  <si>
    <t>603757.SH</t>
  </si>
  <si>
    <t>大元泵业</t>
  </si>
  <si>
    <t>603758.SH</t>
  </si>
  <si>
    <t>秦安股份</t>
  </si>
  <si>
    <t>603759.SH</t>
  </si>
  <si>
    <t>海天股份</t>
  </si>
  <si>
    <t>603766.SH</t>
  </si>
  <si>
    <t>隆鑫通用</t>
  </si>
  <si>
    <t>603767.SH</t>
  </si>
  <si>
    <t>中马传动</t>
  </si>
  <si>
    <t>603768.SH</t>
  </si>
  <si>
    <t>常青股份</t>
  </si>
  <si>
    <t>603773.SH</t>
  </si>
  <si>
    <t>沃格光电</t>
  </si>
  <si>
    <t>603776.SH</t>
  </si>
  <si>
    <t>永安行</t>
  </si>
  <si>
    <t>603777.SH</t>
  </si>
  <si>
    <t>来伊份</t>
  </si>
  <si>
    <t>603778.SH</t>
  </si>
  <si>
    <t>国晟科技</t>
  </si>
  <si>
    <t>603779.SH</t>
  </si>
  <si>
    <t>威龙股份</t>
  </si>
  <si>
    <t>603786.SH</t>
  </si>
  <si>
    <t>科博达</t>
  </si>
  <si>
    <t>603787.SH</t>
  </si>
  <si>
    <t>新日股份</t>
  </si>
  <si>
    <t>603788.SH</t>
  </si>
  <si>
    <t>宁波高发</t>
  </si>
  <si>
    <t>603789.SH</t>
  </si>
  <si>
    <t>603790.SH</t>
  </si>
  <si>
    <t>雅运股份</t>
  </si>
  <si>
    <t>603797.SH</t>
  </si>
  <si>
    <t>联泰环保</t>
  </si>
  <si>
    <t>603798.SH</t>
  </si>
  <si>
    <t>康普顿</t>
  </si>
  <si>
    <t>603799.SH</t>
  </si>
  <si>
    <t>华友钴业</t>
  </si>
  <si>
    <t>603800.SH</t>
  </si>
  <si>
    <t>603801.SH</t>
  </si>
  <si>
    <t>志邦家居</t>
  </si>
  <si>
    <t>603803.SH</t>
  </si>
  <si>
    <t>瑞斯康达</t>
  </si>
  <si>
    <t>603806.SH</t>
  </si>
  <si>
    <t>福斯特</t>
  </si>
  <si>
    <t>603808.SH</t>
  </si>
  <si>
    <t>歌力思</t>
  </si>
  <si>
    <t>603809.SH</t>
  </si>
  <si>
    <t>豪能股份</t>
  </si>
  <si>
    <t>603810.SH</t>
  </si>
  <si>
    <t>丰山集团</t>
  </si>
  <si>
    <t>603811.SH</t>
  </si>
  <si>
    <t>诚意药业</t>
  </si>
  <si>
    <t>603813.SH</t>
  </si>
  <si>
    <t>603815.SH</t>
  </si>
  <si>
    <t>交建股份</t>
  </si>
  <si>
    <t>603816.SH</t>
  </si>
  <si>
    <t>顾家家居</t>
  </si>
  <si>
    <t>603817.SH</t>
  </si>
  <si>
    <t>海峡环保</t>
  </si>
  <si>
    <t>603818.SH</t>
  </si>
  <si>
    <t>曲美家居</t>
  </si>
  <si>
    <t>603819.SH</t>
  </si>
  <si>
    <t>神力股份</t>
  </si>
  <si>
    <t>603822.SH</t>
  </si>
  <si>
    <t>603823.SH</t>
  </si>
  <si>
    <t>百合花</t>
  </si>
  <si>
    <t>603825.SH</t>
  </si>
  <si>
    <t>603826.SH</t>
  </si>
  <si>
    <t>坤彩科技</t>
  </si>
  <si>
    <t>603828.SH</t>
  </si>
  <si>
    <t>603829.SH</t>
  </si>
  <si>
    <t>洛凯股份</t>
  </si>
  <si>
    <t>603833.SH</t>
  </si>
  <si>
    <t>欧派家居</t>
  </si>
  <si>
    <t>603836.SH</t>
  </si>
  <si>
    <t>海程邦达</t>
  </si>
  <si>
    <t>603838.SH</t>
  </si>
  <si>
    <t>603839.SH</t>
  </si>
  <si>
    <t>安正时尚</t>
  </si>
  <si>
    <t>603843.SH</t>
  </si>
  <si>
    <t>603848.SH</t>
  </si>
  <si>
    <t>好太太</t>
  </si>
  <si>
    <t>603855.SH</t>
  </si>
  <si>
    <t>华荣股份</t>
  </si>
  <si>
    <t>603856.SH</t>
  </si>
  <si>
    <t>东宏股份</t>
  </si>
  <si>
    <t>603858.SH</t>
  </si>
  <si>
    <t>步长制药</t>
  </si>
  <si>
    <t>603859.SH</t>
  </si>
  <si>
    <t>能科科技</t>
  </si>
  <si>
    <t>603860.SH</t>
  </si>
  <si>
    <t>中公高科</t>
  </si>
  <si>
    <t>603861.SH</t>
  </si>
  <si>
    <t>白云电器</t>
  </si>
  <si>
    <t>603863.SH</t>
  </si>
  <si>
    <t>松炀资源</t>
  </si>
  <si>
    <t>603866.SH</t>
  </si>
  <si>
    <t>桃李面包</t>
  </si>
  <si>
    <t>603867.SH</t>
  </si>
  <si>
    <t>新化股份</t>
  </si>
  <si>
    <t>603868.SH</t>
  </si>
  <si>
    <t>飞科电器</t>
  </si>
  <si>
    <t>603869.SH</t>
  </si>
  <si>
    <t>603871.SH</t>
  </si>
  <si>
    <t>嘉友国际</t>
  </si>
  <si>
    <t>603876.SH</t>
  </si>
  <si>
    <t>鼎胜新材</t>
  </si>
  <si>
    <t>603877.SH</t>
  </si>
  <si>
    <t>太平鸟</t>
  </si>
  <si>
    <t>603878.SH</t>
  </si>
  <si>
    <t>武进不锈</t>
  </si>
  <si>
    <t>603879.SH</t>
  </si>
  <si>
    <t>永悦科技</t>
  </si>
  <si>
    <t>603880.SH</t>
  </si>
  <si>
    <t>603881.SH</t>
  </si>
  <si>
    <t>数据港</t>
  </si>
  <si>
    <t>603882.SH</t>
  </si>
  <si>
    <t>金域医学</t>
  </si>
  <si>
    <t>603883.SH</t>
  </si>
  <si>
    <t>老百姓</t>
  </si>
  <si>
    <t>603885.SH</t>
  </si>
  <si>
    <t>吉祥航空</t>
  </si>
  <si>
    <t>603886.SH</t>
  </si>
  <si>
    <t>元祖股份</t>
  </si>
  <si>
    <t>603887.SH</t>
  </si>
  <si>
    <t>城地香江</t>
  </si>
  <si>
    <t>603888.SH</t>
  </si>
  <si>
    <t>新华网</t>
  </si>
  <si>
    <t>603889.SH</t>
  </si>
  <si>
    <t>新澳股份</t>
  </si>
  <si>
    <t>603890.SH</t>
  </si>
  <si>
    <t>春秋电子</t>
  </si>
  <si>
    <t>603893.SH</t>
  </si>
  <si>
    <t>瑞芯微</t>
  </si>
  <si>
    <t>603895.SH</t>
  </si>
  <si>
    <t>天永智能</t>
  </si>
  <si>
    <t>603896.SH</t>
  </si>
  <si>
    <t>寿仙谷</t>
  </si>
  <si>
    <t>603897.SH</t>
  </si>
  <si>
    <t>长城科技</t>
  </si>
  <si>
    <t>603898.SH</t>
  </si>
  <si>
    <t>好莱客</t>
  </si>
  <si>
    <t>603899.SH</t>
  </si>
  <si>
    <t>晨光股份</t>
  </si>
  <si>
    <t>603900.SH</t>
  </si>
  <si>
    <t>莱绅通灵</t>
  </si>
  <si>
    <t>603901.SH</t>
  </si>
  <si>
    <t>永创智能</t>
  </si>
  <si>
    <t>603903.SH</t>
  </si>
  <si>
    <t>中持股份</t>
  </si>
  <si>
    <t>603906.SH</t>
  </si>
  <si>
    <t>龙蟠科技</t>
  </si>
  <si>
    <t>603908.SH</t>
  </si>
  <si>
    <t>牧高笛</t>
  </si>
  <si>
    <t>603909.SH</t>
  </si>
  <si>
    <t>建发合诚</t>
  </si>
  <si>
    <t>603912.SH</t>
  </si>
  <si>
    <t>佳力图</t>
  </si>
  <si>
    <t>603915.SH</t>
  </si>
  <si>
    <t>国茂股份</t>
  </si>
  <si>
    <t>603916.SH</t>
  </si>
  <si>
    <t>苏博特</t>
  </si>
  <si>
    <t>603917.SH</t>
  </si>
  <si>
    <t>合力科技</t>
  </si>
  <si>
    <t>603918.SH</t>
  </si>
  <si>
    <t>金桥信息</t>
  </si>
  <si>
    <t>603919.SH</t>
  </si>
  <si>
    <t>金徽酒</t>
  </si>
  <si>
    <t>603920.SH</t>
  </si>
  <si>
    <t>世运电路</t>
  </si>
  <si>
    <t>603922.SH</t>
  </si>
  <si>
    <t>金鸿顺</t>
  </si>
  <si>
    <t>603926.SH</t>
  </si>
  <si>
    <t>铁流股份</t>
  </si>
  <si>
    <t>603927.SH</t>
  </si>
  <si>
    <t>中科软</t>
  </si>
  <si>
    <t>603928.SH</t>
  </si>
  <si>
    <t>兴业股份</t>
  </si>
  <si>
    <t>603929.SH</t>
  </si>
  <si>
    <t>亚翔集成</t>
  </si>
  <si>
    <t>603931.SH</t>
  </si>
  <si>
    <t>格林达</t>
  </si>
  <si>
    <t>603933.SH</t>
  </si>
  <si>
    <t>睿能科技</t>
  </si>
  <si>
    <t>603936.SH</t>
  </si>
  <si>
    <t>博敏电子</t>
  </si>
  <si>
    <t>603937.SH</t>
  </si>
  <si>
    <t>丽岛新材</t>
  </si>
  <si>
    <t>603938.SH</t>
  </si>
  <si>
    <t>三孚股份</t>
  </si>
  <si>
    <t>603939.SH</t>
  </si>
  <si>
    <t>益丰药房</t>
  </si>
  <si>
    <t>603948.SH</t>
  </si>
  <si>
    <t>建业股份</t>
  </si>
  <si>
    <t>603949.SH</t>
  </si>
  <si>
    <t>雪龙集团</t>
  </si>
  <si>
    <t>603950.SH</t>
  </si>
  <si>
    <t>长源东谷</t>
  </si>
  <si>
    <t>603955.SH</t>
  </si>
  <si>
    <t>大千生态</t>
  </si>
  <si>
    <t>603956.SH</t>
  </si>
  <si>
    <t>威派格</t>
  </si>
  <si>
    <t>603958.SH</t>
  </si>
  <si>
    <t>哈森股份</t>
  </si>
  <si>
    <t>603959.SH</t>
  </si>
  <si>
    <t>百利科技</t>
  </si>
  <si>
    <t>603960.SH</t>
  </si>
  <si>
    <t>克来机电</t>
  </si>
  <si>
    <t>603966.SH</t>
  </si>
  <si>
    <t>法兰泰克</t>
  </si>
  <si>
    <t>603967.SH</t>
  </si>
  <si>
    <t>中创物流</t>
  </si>
  <si>
    <t>603968.SH</t>
  </si>
  <si>
    <t>醋化股份</t>
  </si>
  <si>
    <t>603969.SH</t>
  </si>
  <si>
    <t>银龙股份</t>
  </si>
  <si>
    <t>603970.SH</t>
  </si>
  <si>
    <t>中农立华</t>
  </si>
  <si>
    <t>603976.SH</t>
  </si>
  <si>
    <t>正川股份</t>
  </si>
  <si>
    <t>603977.SH</t>
  </si>
  <si>
    <t>国泰集团</t>
  </si>
  <si>
    <t>603978.SH</t>
  </si>
  <si>
    <t>深圳新星</t>
  </si>
  <si>
    <t>603979.SH</t>
  </si>
  <si>
    <t>金诚信</t>
  </si>
  <si>
    <t>603980.SH</t>
  </si>
  <si>
    <t>吉华集团</t>
  </si>
  <si>
    <t>603982.SH</t>
  </si>
  <si>
    <t>泉峰汽车</t>
  </si>
  <si>
    <t>603983.SH</t>
  </si>
  <si>
    <t>603985.SH</t>
  </si>
  <si>
    <t>恒润股份</t>
  </si>
  <si>
    <t>603986.SH</t>
  </si>
  <si>
    <t>兆易创新</t>
  </si>
  <si>
    <t>603987.SH</t>
  </si>
  <si>
    <t>康德莱</t>
  </si>
  <si>
    <t>603988.SH</t>
  </si>
  <si>
    <t>中电电机</t>
  </si>
  <si>
    <t>603989.SH</t>
  </si>
  <si>
    <t>艾华集团</t>
  </si>
  <si>
    <t>603990.SH</t>
  </si>
  <si>
    <t>麦迪科技</t>
  </si>
  <si>
    <t>603991.SH</t>
  </si>
  <si>
    <t>至正股份</t>
  </si>
  <si>
    <t>603992.SH</t>
  </si>
  <si>
    <t>松霖科技</t>
  </si>
  <si>
    <t>603993.SH</t>
  </si>
  <si>
    <t>洛阳钼业</t>
  </si>
  <si>
    <t>603995.SH</t>
  </si>
  <si>
    <t>甬金股份</t>
  </si>
  <si>
    <t>603997.SH</t>
  </si>
  <si>
    <t>继峰股份</t>
  </si>
  <si>
    <t>603998.SH</t>
  </si>
  <si>
    <t>方盛制药</t>
  </si>
  <si>
    <t>603999.SH</t>
  </si>
  <si>
    <t>读者传媒</t>
  </si>
  <si>
    <t>605001.SH</t>
  </si>
  <si>
    <t>威奥股份</t>
  </si>
  <si>
    <t>605003.SH</t>
  </si>
  <si>
    <t>众望布艺</t>
  </si>
  <si>
    <t>605005.SH</t>
  </si>
  <si>
    <t>合兴股份</t>
  </si>
  <si>
    <t>605006.SH</t>
  </si>
  <si>
    <t>山东玻纤</t>
  </si>
  <si>
    <t>605007.SH</t>
  </si>
  <si>
    <t>五洲特纸</t>
  </si>
  <si>
    <t>605008.SH</t>
  </si>
  <si>
    <t>长鸿高科</t>
  </si>
  <si>
    <t>605009.SH</t>
  </si>
  <si>
    <t>豪悦护理</t>
  </si>
  <si>
    <t>605011.SH</t>
  </si>
  <si>
    <t>杭州热电</t>
  </si>
  <si>
    <t>605016.SH</t>
  </si>
  <si>
    <t>百龙创园</t>
  </si>
  <si>
    <t>605018.SH</t>
  </si>
  <si>
    <t>长华集团</t>
  </si>
  <si>
    <t>605020.SH</t>
  </si>
  <si>
    <t>永和股份</t>
  </si>
  <si>
    <t>605028.SH</t>
  </si>
  <si>
    <t>世茂能源</t>
  </si>
  <si>
    <t>605033.SH</t>
  </si>
  <si>
    <t>美邦股份</t>
  </si>
  <si>
    <t>605050.SH</t>
  </si>
  <si>
    <t>福然德</t>
  </si>
  <si>
    <t>605055.SH</t>
  </si>
  <si>
    <t>迎丰股份</t>
  </si>
  <si>
    <t>605056.SH</t>
  </si>
  <si>
    <t>咸亨国际</t>
  </si>
  <si>
    <t>605058.SH</t>
  </si>
  <si>
    <t>澳弘电子</t>
  </si>
  <si>
    <t>605060.SH</t>
  </si>
  <si>
    <t>联德股份</t>
  </si>
  <si>
    <t>605066.SH</t>
  </si>
  <si>
    <t>天正电气</t>
  </si>
  <si>
    <t>605068.SH</t>
  </si>
  <si>
    <t>明新旭腾</t>
  </si>
  <si>
    <t>605069.SH</t>
  </si>
  <si>
    <t>正和生态</t>
  </si>
  <si>
    <t>605077.SH</t>
  </si>
  <si>
    <t>华康股份</t>
  </si>
  <si>
    <t>605080.SH</t>
  </si>
  <si>
    <t>浙江自然</t>
  </si>
  <si>
    <t>605081.SH</t>
  </si>
  <si>
    <t>605086.SH</t>
  </si>
  <si>
    <t>龙高股份</t>
  </si>
  <si>
    <t>605088.SH</t>
  </si>
  <si>
    <t>冠盛股份</t>
  </si>
  <si>
    <t>605089.SH</t>
  </si>
  <si>
    <t>味知香</t>
  </si>
  <si>
    <t>605090.SH</t>
  </si>
  <si>
    <t>九丰能源</t>
  </si>
  <si>
    <t>605098.SH</t>
  </si>
  <si>
    <t>行动教育</t>
  </si>
  <si>
    <t>605099.SH</t>
  </si>
  <si>
    <t>共创草坪</t>
  </si>
  <si>
    <t>605100.SH</t>
  </si>
  <si>
    <t>华丰股份</t>
  </si>
  <si>
    <t>605108.SH</t>
  </si>
  <si>
    <t>同庆楼</t>
  </si>
  <si>
    <t>605111.SH</t>
  </si>
  <si>
    <t>新洁能</t>
  </si>
  <si>
    <t>605116.SH</t>
  </si>
  <si>
    <t>奥锐特</t>
  </si>
  <si>
    <t>605117.SH</t>
  </si>
  <si>
    <t>德业股份</t>
  </si>
  <si>
    <t>605118.SH</t>
  </si>
  <si>
    <t>力鼎光电</t>
  </si>
  <si>
    <t>605122.SH</t>
  </si>
  <si>
    <t>四方新材</t>
  </si>
  <si>
    <t>605123.SH</t>
  </si>
  <si>
    <t>派克新材</t>
  </si>
  <si>
    <t>605128.SH</t>
  </si>
  <si>
    <t>上海沿浦</t>
  </si>
  <si>
    <t>605133.SH</t>
  </si>
  <si>
    <t>嵘泰股份</t>
  </si>
  <si>
    <t>605136.SH</t>
  </si>
  <si>
    <t>丽人丽妆</t>
  </si>
  <si>
    <t>605138.SH</t>
  </si>
  <si>
    <t>盛泰集团</t>
  </si>
  <si>
    <t>605151.SH</t>
  </si>
  <si>
    <t>西上海</t>
  </si>
  <si>
    <t>605155.SH</t>
  </si>
  <si>
    <t>西大门</t>
  </si>
  <si>
    <t>605158.SH</t>
  </si>
  <si>
    <t>华达新材</t>
  </si>
  <si>
    <t>605162.SH</t>
  </si>
  <si>
    <t>新中港</t>
  </si>
  <si>
    <t>605166.SH</t>
  </si>
  <si>
    <t>聚合顺</t>
  </si>
  <si>
    <t>605167.SH</t>
  </si>
  <si>
    <t>利柏特</t>
  </si>
  <si>
    <t>605168.SH</t>
  </si>
  <si>
    <t>三人行</t>
  </si>
  <si>
    <t>605169.SH</t>
  </si>
  <si>
    <t>洪通燃气</t>
  </si>
  <si>
    <t>605177.SH</t>
  </si>
  <si>
    <t>东亚药业</t>
  </si>
  <si>
    <t>605178.SH</t>
  </si>
  <si>
    <t>时空科技</t>
  </si>
  <si>
    <t>605179.SH</t>
  </si>
  <si>
    <t>一鸣食品</t>
  </si>
  <si>
    <t>605180.SH</t>
  </si>
  <si>
    <t>华生科技</t>
  </si>
  <si>
    <t>605183.SH</t>
  </si>
  <si>
    <t>确成股份</t>
  </si>
  <si>
    <t>605186.SH</t>
  </si>
  <si>
    <t>健麾信息</t>
  </si>
  <si>
    <t>605188.SH</t>
  </si>
  <si>
    <t>国光连锁</t>
  </si>
  <si>
    <t>605189.SH</t>
  </si>
  <si>
    <t>富春染织</t>
  </si>
  <si>
    <t>605196.SH</t>
  </si>
  <si>
    <t>华通线缆</t>
  </si>
  <si>
    <t>605198.SH</t>
  </si>
  <si>
    <t>安德利</t>
  </si>
  <si>
    <t>605199.SH</t>
  </si>
  <si>
    <t>605208.SH</t>
  </si>
  <si>
    <t>永茂泰</t>
  </si>
  <si>
    <t>605218.SH</t>
  </si>
  <si>
    <t>伟时电子</t>
  </si>
  <si>
    <t>605222.SH</t>
  </si>
  <si>
    <t>起帆电缆</t>
  </si>
  <si>
    <t>605228.SH</t>
  </si>
  <si>
    <t>神通科技</t>
  </si>
  <si>
    <t>605255.SH</t>
  </si>
  <si>
    <t>天普股份</t>
  </si>
  <si>
    <t>605258.SH</t>
  </si>
  <si>
    <t>协和电子</t>
  </si>
  <si>
    <t>605259.SH</t>
  </si>
  <si>
    <t>绿田机械</t>
  </si>
  <si>
    <t>605266.SH</t>
  </si>
  <si>
    <t>健之佳</t>
  </si>
  <si>
    <t>605268.SH</t>
  </si>
  <si>
    <t>王力安防</t>
  </si>
  <si>
    <t>605277.SH</t>
  </si>
  <si>
    <t>新亚电子</t>
  </si>
  <si>
    <t>605286.SH</t>
  </si>
  <si>
    <t>605287.SH</t>
  </si>
  <si>
    <t>德才股份</t>
  </si>
  <si>
    <t>605288.SH</t>
  </si>
  <si>
    <t>凯迪股份</t>
  </si>
  <si>
    <t>605289.SH</t>
  </si>
  <si>
    <t>罗曼股份</t>
  </si>
  <si>
    <t>605296.SH</t>
  </si>
  <si>
    <t>神农集团</t>
  </si>
  <si>
    <t>605298.SH</t>
  </si>
  <si>
    <t>必得科技</t>
  </si>
  <si>
    <t>605299.SH</t>
  </si>
  <si>
    <t>舒华体育</t>
  </si>
  <si>
    <t>605300.SH</t>
  </si>
  <si>
    <t>佳禾食品</t>
  </si>
  <si>
    <t>605303.SH</t>
  </si>
  <si>
    <t>园林股份</t>
  </si>
  <si>
    <t>605305.SH</t>
  </si>
  <si>
    <t>中际联合</t>
  </si>
  <si>
    <t>605318.SH</t>
  </si>
  <si>
    <t>法狮龙</t>
  </si>
  <si>
    <t>605319.SH</t>
  </si>
  <si>
    <t>无锡振华</t>
  </si>
  <si>
    <t>605333.SH</t>
  </si>
  <si>
    <t>沪光股份</t>
  </si>
  <si>
    <t>605336.SH</t>
  </si>
  <si>
    <t>帅丰电器</t>
  </si>
  <si>
    <t>605337.SH</t>
  </si>
  <si>
    <t>李子园</t>
  </si>
  <si>
    <t>605338.SH</t>
  </si>
  <si>
    <t>巴比食品</t>
  </si>
  <si>
    <t>605339.SH</t>
  </si>
  <si>
    <t>南侨食品</t>
  </si>
  <si>
    <t>605358.SH</t>
  </si>
  <si>
    <t>立昂微</t>
  </si>
  <si>
    <t>605365.SH</t>
  </si>
  <si>
    <t>立达信</t>
  </si>
  <si>
    <t>605366.SH</t>
  </si>
  <si>
    <t>宏柏新材</t>
  </si>
  <si>
    <t>605368.SH</t>
  </si>
  <si>
    <t>蓝天燃气</t>
  </si>
  <si>
    <t>605369.SH</t>
  </si>
  <si>
    <t>拱东医疗</t>
  </si>
  <si>
    <t>605376.SH</t>
  </si>
  <si>
    <t>博迁新材</t>
  </si>
  <si>
    <t>605377.SH</t>
  </si>
  <si>
    <t>华旺科技</t>
  </si>
  <si>
    <t>605378.SH</t>
  </si>
  <si>
    <t>野马电池</t>
  </si>
  <si>
    <t>605388.SH</t>
  </si>
  <si>
    <t>均瑶健康</t>
  </si>
  <si>
    <t>605389.SH</t>
  </si>
  <si>
    <t>长龄液压</t>
  </si>
  <si>
    <t>605398.SH</t>
  </si>
  <si>
    <t>新炬网络</t>
  </si>
  <si>
    <t>605399.SH</t>
  </si>
  <si>
    <t>晨光新材</t>
  </si>
  <si>
    <t>605488.SH</t>
  </si>
  <si>
    <t>福莱新材</t>
  </si>
  <si>
    <t>605499.SH</t>
  </si>
  <si>
    <t>东鹏饮料</t>
  </si>
  <si>
    <t>605500.SH</t>
  </si>
  <si>
    <t>森林包装</t>
  </si>
  <si>
    <t>605507.SH</t>
  </si>
  <si>
    <t>国邦医药</t>
  </si>
  <si>
    <t>605555.SH</t>
  </si>
  <si>
    <t>德昌股份</t>
  </si>
  <si>
    <t>605566.SH</t>
  </si>
  <si>
    <t>福莱蒽特</t>
  </si>
  <si>
    <t>605567.SH</t>
  </si>
  <si>
    <t>春雪食品</t>
  </si>
  <si>
    <t>605577.SH</t>
  </si>
  <si>
    <t>龙版传媒</t>
  </si>
  <si>
    <t>605580.SH</t>
  </si>
  <si>
    <t>恒盛能源</t>
  </si>
  <si>
    <t>605588.SH</t>
  </si>
  <si>
    <t>冠石科技</t>
  </si>
  <si>
    <t>605589.SH</t>
  </si>
  <si>
    <t>圣泉集团</t>
  </si>
  <si>
    <t>605598.SH</t>
  </si>
  <si>
    <t>上海港湾</t>
  </si>
  <si>
    <t>605599.SH</t>
  </si>
  <si>
    <t>菜百股份</t>
  </si>
  <si>
    <t>688001.SH</t>
  </si>
  <si>
    <t>华兴源创</t>
  </si>
  <si>
    <t>688002.SH</t>
  </si>
  <si>
    <t>睿创微纳</t>
  </si>
  <si>
    <t>688003.SH</t>
  </si>
  <si>
    <t>天准科技</t>
  </si>
  <si>
    <t>688004.SH</t>
  </si>
  <si>
    <t>博汇科技</t>
  </si>
  <si>
    <t>688005.SH</t>
  </si>
  <si>
    <t>容百科技</t>
  </si>
  <si>
    <t>688006.SH</t>
  </si>
  <si>
    <t>杭可科技</t>
  </si>
  <si>
    <t>688007.SH</t>
  </si>
  <si>
    <t>光峰科技</t>
  </si>
  <si>
    <t>688008.SH</t>
  </si>
  <si>
    <t>澜起科技</t>
  </si>
  <si>
    <t>688009.SH</t>
  </si>
  <si>
    <t>中国通号</t>
  </si>
  <si>
    <t>688010.SH</t>
  </si>
  <si>
    <t>福光股份</t>
  </si>
  <si>
    <t>688011.SH</t>
  </si>
  <si>
    <t>新光光电</t>
  </si>
  <si>
    <t>688012.SH</t>
  </si>
  <si>
    <t>中微公司</t>
  </si>
  <si>
    <t>688013.SH</t>
  </si>
  <si>
    <t>天臣医疗</t>
  </si>
  <si>
    <t>688015.SH</t>
  </si>
  <si>
    <t>交控科技</t>
  </si>
  <si>
    <t>688016.SH</t>
  </si>
  <si>
    <t>心脉医疗</t>
  </si>
  <si>
    <t>688017.SH</t>
  </si>
  <si>
    <t>绿的谐波</t>
  </si>
  <si>
    <t>688018.SH</t>
  </si>
  <si>
    <t>乐鑫科技</t>
  </si>
  <si>
    <t>688019.SH</t>
  </si>
  <si>
    <t>安集科技</t>
  </si>
  <si>
    <t>688020.SH</t>
  </si>
  <si>
    <t>方邦股份</t>
  </si>
  <si>
    <t>688021.SH</t>
  </si>
  <si>
    <t>688022.SH</t>
  </si>
  <si>
    <t>瀚川智能</t>
  </si>
  <si>
    <t>688023.SH</t>
  </si>
  <si>
    <t>安恒信息</t>
  </si>
  <si>
    <t>688025.SH</t>
  </si>
  <si>
    <t>杰普特</t>
  </si>
  <si>
    <t>688026.SH</t>
  </si>
  <si>
    <t>洁特生物</t>
  </si>
  <si>
    <t>688027.SH</t>
  </si>
  <si>
    <t>国盾量子</t>
  </si>
  <si>
    <t>688028.SH</t>
  </si>
  <si>
    <t>沃尔德</t>
  </si>
  <si>
    <t>688029.SH</t>
  </si>
  <si>
    <t>南微医学</t>
  </si>
  <si>
    <t>688030.SH</t>
  </si>
  <si>
    <t>山石网科</t>
  </si>
  <si>
    <t>688031.SH</t>
  </si>
  <si>
    <t>星环科技-U</t>
  </si>
  <si>
    <t>688032.SH</t>
  </si>
  <si>
    <t>禾迈股份</t>
  </si>
  <si>
    <t>688033.SH</t>
  </si>
  <si>
    <t>688035.SH</t>
  </si>
  <si>
    <t>德邦科技</t>
  </si>
  <si>
    <t>688036.SH</t>
  </si>
  <si>
    <t>传音控股</t>
  </si>
  <si>
    <t>688037.SH</t>
  </si>
  <si>
    <t>芯源微</t>
  </si>
  <si>
    <t>688038.SH</t>
  </si>
  <si>
    <t>中科通达</t>
  </si>
  <si>
    <t>688039.SH</t>
  </si>
  <si>
    <t>当虹科技</t>
  </si>
  <si>
    <t>688041.SH</t>
  </si>
  <si>
    <t>海光信息</t>
  </si>
  <si>
    <t>688045.SH</t>
  </si>
  <si>
    <t>必易微</t>
  </si>
  <si>
    <t>688046.SH</t>
  </si>
  <si>
    <t>药康生物</t>
  </si>
  <si>
    <t>688047.SH</t>
  </si>
  <si>
    <t>龙芯中科</t>
  </si>
  <si>
    <t>688048.SH</t>
  </si>
  <si>
    <t>长光华芯</t>
  </si>
  <si>
    <t>688049.SH</t>
  </si>
  <si>
    <t>炬芯科技</t>
  </si>
  <si>
    <t>688050.SH</t>
  </si>
  <si>
    <t>爱博医疗</t>
  </si>
  <si>
    <t>688051.SH</t>
  </si>
  <si>
    <t>佳华科技</t>
  </si>
  <si>
    <t>688052.SH</t>
  </si>
  <si>
    <t>纳芯微</t>
  </si>
  <si>
    <t>688053.SH</t>
  </si>
  <si>
    <t>688055.SH</t>
  </si>
  <si>
    <t>龙腾光电</t>
  </si>
  <si>
    <t>688056.SH</t>
  </si>
  <si>
    <t>莱伯泰科</t>
  </si>
  <si>
    <t>688057.SH</t>
  </si>
  <si>
    <t>金达莱</t>
  </si>
  <si>
    <t>688058.SH</t>
  </si>
  <si>
    <t>宝兰德</t>
  </si>
  <si>
    <t>688059.SH</t>
  </si>
  <si>
    <t>华锐精密</t>
  </si>
  <si>
    <t>688060.SH</t>
  </si>
  <si>
    <t>云涌科技</t>
  </si>
  <si>
    <t>688061.SH</t>
  </si>
  <si>
    <t>灿瑞科技</t>
  </si>
  <si>
    <t>688062.SH</t>
  </si>
  <si>
    <t>迈威生物-U</t>
  </si>
  <si>
    <t>688063.SH</t>
  </si>
  <si>
    <t>派能科技</t>
  </si>
  <si>
    <t>688065.SH</t>
  </si>
  <si>
    <t>凯赛生物</t>
  </si>
  <si>
    <t>688066.SH</t>
  </si>
  <si>
    <t>航天宏图</t>
  </si>
  <si>
    <t>688067.SH</t>
  </si>
  <si>
    <t>爱威科技</t>
  </si>
  <si>
    <t>688068.SH</t>
  </si>
  <si>
    <t>热景生物</t>
  </si>
  <si>
    <t>688069.SH</t>
  </si>
  <si>
    <t>德林海</t>
  </si>
  <si>
    <t>688070.SH</t>
  </si>
  <si>
    <t>纵横股份</t>
  </si>
  <si>
    <t>688071.SH</t>
  </si>
  <si>
    <t>华依科技</t>
  </si>
  <si>
    <t>688072.SH</t>
  </si>
  <si>
    <t>拓荆科技</t>
  </si>
  <si>
    <t>688073.SH</t>
  </si>
  <si>
    <t>毕得医药</t>
  </si>
  <si>
    <t>688075.SH</t>
  </si>
  <si>
    <t>安旭生物</t>
  </si>
  <si>
    <t>688076.SH</t>
  </si>
  <si>
    <t>688077.SH</t>
  </si>
  <si>
    <t>大地熊</t>
  </si>
  <si>
    <t>688078.SH</t>
  </si>
  <si>
    <t>龙软科技</t>
  </si>
  <si>
    <t>688079.SH</t>
  </si>
  <si>
    <t>美迪凯</t>
  </si>
  <si>
    <t>688080.SH</t>
  </si>
  <si>
    <t>映翰通</t>
  </si>
  <si>
    <t>688081.SH</t>
  </si>
  <si>
    <t>兴图新科</t>
  </si>
  <si>
    <t>688082.SH</t>
  </si>
  <si>
    <t>盛美上海</t>
  </si>
  <si>
    <t>688083.SH</t>
  </si>
  <si>
    <t>中望软件</t>
  </si>
  <si>
    <t>688084.SH</t>
  </si>
  <si>
    <t>晶品特装</t>
  </si>
  <si>
    <t>688085.SH</t>
  </si>
  <si>
    <t>三友医疗</t>
  </si>
  <si>
    <t>688087.SH</t>
  </si>
  <si>
    <t>英科再生</t>
  </si>
  <si>
    <t>688088.SH</t>
  </si>
  <si>
    <t>虹软科技</t>
  </si>
  <si>
    <t>688089.SH</t>
  </si>
  <si>
    <t>嘉必优</t>
  </si>
  <si>
    <t>688090.SH</t>
  </si>
  <si>
    <t>瑞松科技</t>
  </si>
  <si>
    <t>688091.SH</t>
  </si>
  <si>
    <t>上海谊众</t>
  </si>
  <si>
    <t>688092.SH</t>
  </si>
  <si>
    <t>爱科科技</t>
  </si>
  <si>
    <t>688093.SH</t>
  </si>
  <si>
    <t>世华科技</t>
  </si>
  <si>
    <t>688095.SH</t>
  </si>
  <si>
    <t>福昕软件</t>
  </si>
  <si>
    <t>688096.SH</t>
  </si>
  <si>
    <t>京源环保</t>
  </si>
  <si>
    <t>688097.SH</t>
  </si>
  <si>
    <t>博众精工</t>
  </si>
  <si>
    <t>688098.SH</t>
  </si>
  <si>
    <t>申联生物</t>
  </si>
  <si>
    <t>688099.SH</t>
  </si>
  <si>
    <t>晶晨股份</t>
  </si>
  <si>
    <t>688100.SH</t>
  </si>
  <si>
    <t>威胜信息</t>
  </si>
  <si>
    <t>688101.SH</t>
  </si>
  <si>
    <t>三达膜</t>
  </si>
  <si>
    <t>688102.SH</t>
  </si>
  <si>
    <t>斯瑞新材</t>
  </si>
  <si>
    <t>688103.SH</t>
  </si>
  <si>
    <t>688105.SH</t>
  </si>
  <si>
    <t>诺唯赞</t>
  </si>
  <si>
    <t>688106.SH</t>
  </si>
  <si>
    <t>金宏气体</t>
  </si>
  <si>
    <t>688107.SH</t>
  </si>
  <si>
    <t>安路科技</t>
  </si>
  <si>
    <t>688108.SH</t>
  </si>
  <si>
    <t>赛诺医疗</t>
  </si>
  <si>
    <t>688109.SH</t>
  </si>
  <si>
    <t>品茗科技</t>
  </si>
  <si>
    <t>688110.SH</t>
  </si>
  <si>
    <t>东芯股份</t>
  </si>
  <si>
    <t>688111.SH</t>
  </si>
  <si>
    <t>金山办公</t>
  </si>
  <si>
    <t>688112.SH</t>
  </si>
  <si>
    <t>鼎阳科技</t>
  </si>
  <si>
    <t>688113.SH</t>
  </si>
  <si>
    <t>联测科技</t>
  </si>
  <si>
    <t>688114.SH</t>
  </si>
  <si>
    <t>华大智造</t>
  </si>
  <si>
    <t>688115.SH</t>
  </si>
  <si>
    <t>思林杰</t>
  </si>
  <si>
    <t>688116.SH</t>
  </si>
  <si>
    <t>天奈科技</t>
  </si>
  <si>
    <t>688117.SH</t>
  </si>
  <si>
    <t>圣诺生物</t>
  </si>
  <si>
    <t>688118.SH</t>
  </si>
  <si>
    <t>普元信息</t>
  </si>
  <si>
    <t>688119.SH</t>
  </si>
  <si>
    <t>中钢洛耐</t>
  </si>
  <si>
    <t>688120.SH</t>
  </si>
  <si>
    <t>华海清科</t>
  </si>
  <si>
    <t>688121.SH</t>
  </si>
  <si>
    <t>卓然股份</t>
  </si>
  <si>
    <t>688122.SH</t>
  </si>
  <si>
    <t>西部超导</t>
  </si>
  <si>
    <t>688123.SH</t>
  </si>
  <si>
    <t>聚辰股份</t>
  </si>
  <si>
    <t>688125.SH</t>
  </si>
  <si>
    <t>安达智能</t>
  </si>
  <si>
    <t>688126.SH</t>
  </si>
  <si>
    <t>沪硅产业</t>
  </si>
  <si>
    <t>688127.SH</t>
  </si>
  <si>
    <t>蓝特光学</t>
  </si>
  <si>
    <t>688128.SH</t>
  </si>
  <si>
    <t>中国电研</t>
  </si>
  <si>
    <t>688129.SH</t>
  </si>
  <si>
    <t>东来技术</t>
  </si>
  <si>
    <t>688130.SH</t>
  </si>
  <si>
    <t>晶华微</t>
  </si>
  <si>
    <t>688131.SH</t>
  </si>
  <si>
    <t>皓元医药</t>
  </si>
  <si>
    <t>688132.SH</t>
  </si>
  <si>
    <t>邦彦技术</t>
  </si>
  <si>
    <t>688133.SH</t>
  </si>
  <si>
    <t>泰坦科技</t>
  </si>
  <si>
    <t>688135.SH</t>
  </si>
  <si>
    <t>利扬芯片</t>
  </si>
  <si>
    <t>688136.SH</t>
  </si>
  <si>
    <t>科兴制药</t>
  </si>
  <si>
    <t>688137.SH</t>
  </si>
  <si>
    <t>近岸蛋白</t>
  </si>
  <si>
    <t>688138.SH</t>
  </si>
  <si>
    <t>清溢光电</t>
  </si>
  <si>
    <t>688139.SH</t>
  </si>
  <si>
    <t>海尔生物</t>
  </si>
  <si>
    <t>688141.SH</t>
  </si>
  <si>
    <t>杰华特</t>
  </si>
  <si>
    <t>688143.SH</t>
  </si>
  <si>
    <t>长盈通</t>
  </si>
  <si>
    <t>688146.SH</t>
  </si>
  <si>
    <t>中船特气</t>
  </si>
  <si>
    <t>688147.SH</t>
  </si>
  <si>
    <t>微导纳米</t>
  </si>
  <si>
    <t>688148.SH</t>
  </si>
  <si>
    <t>芳源股份</t>
  </si>
  <si>
    <t>688150.SH</t>
  </si>
  <si>
    <t>莱特光电</t>
  </si>
  <si>
    <t>688151.SH</t>
  </si>
  <si>
    <t>华强科技</t>
  </si>
  <si>
    <t>688152.SH</t>
  </si>
  <si>
    <t>麒麟信安</t>
  </si>
  <si>
    <t>688153.SH</t>
  </si>
  <si>
    <t>唯捷创芯</t>
  </si>
  <si>
    <t>688155.SH</t>
  </si>
  <si>
    <t>先惠技术</t>
  </si>
  <si>
    <t>688156.SH</t>
  </si>
  <si>
    <t>688157.SH</t>
  </si>
  <si>
    <t>松井股份</t>
  </si>
  <si>
    <t>688158.SH</t>
  </si>
  <si>
    <t>优刻得-W</t>
  </si>
  <si>
    <t>688159.SH</t>
  </si>
  <si>
    <t>有方科技</t>
  </si>
  <si>
    <t>688160.SH</t>
  </si>
  <si>
    <t>步科股份</t>
  </si>
  <si>
    <t>688161.SH</t>
  </si>
  <si>
    <t>威高骨科</t>
  </si>
  <si>
    <t>688162.SH</t>
  </si>
  <si>
    <t>巨一科技</t>
  </si>
  <si>
    <t>688163.SH</t>
  </si>
  <si>
    <t>赛伦生物</t>
  </si>
  <si>
    <t>688165.SH</t>
  </si>
  <si>
    <t>埃夫特-U</t>
  </si>
  <si>
    <t>688166.SH</t>
  </si>
  <si>
    <t>博瑞医药</t>
  </si>
  <si>
    <t>688167.SH</t>
  </si>
  <si>
    <t>炬光科技</t>
  </si>
  <si>
    <t>688168.SH</t>
  </si>
  <si>
    <t>安博通</t>
  </si>
  <si>
    <t>688169.SH</t>
  </si>
  <si>
    <t>石头科技</t>
  </si>
  <si>
    <t>688170.SH</t>
  </si>
  <si>
    <t>德龙激光</t>
  </si>
  <si>
    <t>688171.SH</t>
  </si>
  <si>
    <t>纬德信息</t>
  </si>
  <si>
    <t>688172.SH</t>
  </si>
  <si>
    <t>燕东微</t>
  </si>
  <si>
    <t>688173.SH</t>
  </si>
  <si>
    <t>希荻微</t>
  </si>
  <si>
    <t>688175.SH</t>
  </si>
  <si>
    <t>高凌信息</t>
  </si>
  <si>
    <t>688176.SH</t>
  </si>
  <si>
    <t>亚虹医药-U</t>
  </si>
  <si>
    <t>688177.SH</t>
  </si>
  <si>
    <t>百奥泰</t>
  </si>
  <si>
    <t>688178.SH</t>
  </si>
  <si>
    <t>万德斯</t>
  </si>
  <si>
    <t>688179.SH</t>
  </si>
  <si>
    <t>阿拉丁</t>
  </si>
  <si>
    <t>688180.SH</t>
  </si>
  <si>
    <t>君实生物-U</t>
  </si>
  <si>
    <t>688181.SH</t>
  </si>
  <si>
    <t>八亿时空</t>
  </si>
  <si>
    <t>688182.SH</t>
  </si>
  <si>
    <t>灿勤科技</t>
  </si>
  <si>
    <t>688183.SH</t>
  </si>
  <si>
    <t>生益电子</t>
  </si>
  <si>
    <t>688184.SH</t>
  </si>
  <si>
    <t>688185.SH</t>
  </si>
  <si>
    <t>康希诺</t>
  </si>
  <si>
    <t>688186.SH</t>
  </si>
  <si>
    <t>广大特材</t>
  </si>
  <si>
    <t>688187.SH</t>
  </si>
  <si>
    <t>时代电气</t>
  </si>
  <si>
    <t>688188.SH</t>
  </si>
  <si>
    <t>柏楚电子</t>
  </si>
  <si>
    <t>688189.SH</t>
  </si>
  <si>
    <t>南新制药</t>
  </si>
  <si>
    <t>688190.SH</t>
  </si>
  <si>
    <t>云路股份</t>
  </si>
  <si>
    <t>688191.SH</t>
  </si>
  <si>
    <t>智洋创新</t>
  </si>
  <si>
    <t>688192.SH</t>
  </si>
  <si>
    <t>迪哲医药-U</t>
  </si>
  <si>
    <t>688193.SH</t>
  </si>
  <si>
    <t>仁度生物</t>
  </si>
  <si>
    <t>688195.SH</t>
  </si>
  <si>
    <t>腾景科技</t>
  </si>
  <si>
    <t>688196.SH</t>
  </si>
  <si>
    <t>卓越新能</t>
  </si>
  <si>
    <t>688197.SH</t>
  </si>
  <si>
    <t>首药控股-U</t>
  </si>
  <si>
    <t>688198.SH</t>
  </si>
  <si>
    <t>佰仁医疗</t>
  </si>
  <si>
    <t>688199.SH</t>
  </si>
  <si>
    <t>久日新材</t>
  </si>
  <si>
    <t>688200.SH</t>
  </si>
  <si>
    <t>华峰测控</t>
  </si>
  <si>
    <t>688201.SH</t>
  </si>
  <si>
    <t>信安世纪</t>
  </si>
  <si>
    <t>688202.SH</t>
  </si>
  <si>
    <t>美迪西</t>
  </si>
  <si>
    <t>688203.SH</t>
  </si>
  <si>
    <t>海正生材</t>
  </si>
  <si>
    <t>688205.SH</t>
  </si>
  <si>
    <t>德科立</t>
  </si>
  <si>
    <t>688206.SH</t>
  </si>
  <si>
    <t>概伦电子</t>
  </si>
  <si>
    <t>688207.SH</t>
  </si>
  <si>
    <t>格灵深瞳</t>
  </si>
  <si>
    <t>688208.SH</t>
  </si>
  <si>
    <t>道通科技</t>
  </si>
  <si>
    <t>688209.SH</t>
  </si>
  <si>
    <t>英集芯</t>
  </si>
  <si>
    <t>688210.SH</t>
  </si>
  <si>
    <t>统联精密</t>
  </si>
  <si>
    <t>688211.SH</t>
  </si>
  <si>
    <t>中科微至</t>
  </si>
  <si>
    <t>688212.SH</t>
  </si>
  <si>
    <t>澳华内镜</t>
  </si>
  <si>
    <t>688213.SH</t>
  </si>
  <si>
    <t>思特威-W</t>
  </si>
  <si>
    <t>688215.SH</t>
  </si>
  <si>
    <t>瑞晟智能</t>
  </si>
  <si>
    <t>688216.SH</t>
  </si>
  <si>
    <t>气派科技</t>
  </si>
  <si>
    <t>688217.SH</t>
  </si>
  <si>
    <t>睿昂基因</t>
  </si>
  <si>
    <t>688218.SH</t>
  </si>
  <si>
    <t>江苏北人</t>
  </si>
  <si>
    <t>688219.SH</t>
  </si>
  <si>
    <t>会通股份</t>
  </si>
  <si>
    <t>688220.SH</t>
  </si>
  <si>
    <t>翱捷科技-U</t>
  </si>
  <si>
    <t>688221.SH</t>
  </si>
  <si>
    <t>前沿生物-U</t>
  </si>
  <si>
    <t>688222.SH</t>
  </si>
  <si>
    <t>成都先导</t>
  </si>
  <si>
    <t>688223.SH</t>
  </si>
  <si>
    <t>晶科能源</t>
  </si>
  <si>
    <t>688225.SH</t>
  </si>
  <si>
    <t>亚信安全</t>
  </si>
  <si>
    <t>688226.SH</t>
  </si>
  <si>
    <t>威腾电气</t>
  </si>
  <si>
    <t>688227.SH</t>
  </si>
  <si>
    <t>品高股份</t>
  </si>
  <si>
    <t>688228.SH</t>
  </si>
  <si>
    <t>开普云</t>
  </si>
  <si>
    <t>688229.SH</t>
  </si>
  <si>
    <t>博睿数据</t>
  </si>
  <si>
    <t>688230.SH</t>
  </si>
  <si>
    <t>芯导科技</t>
  </si>
  <si>
    <t>688231.SH</t>
  </si>
  <si>
    <t>隆达股份</t>
  </si>
  <si>
    <t>688232.SH</t>
  </si>
  <si>
    <t>新点软件</t>
  </si>
  <si>
    <t>688233.SH</t>
  </si>
  <si>
    <t>神工股份</t>
  </si>
  <si>
    <t>688234.SH</t>
  </si>
  <si>
    <t>天岳先进</t>
  </si>
  <si>
    <t>688235.SH</t>
  </si>
  <si>
    <t>百济神州-U</t>
  </si>
  <si>
    <t>688236.SH</t>
  </si>
  <si>
    <t>春立医疗</t>
  </si>
  <si>
    <t>688237.SH</t>
  </si>
  <si>
    <t>超卓航科</t>
  </si>
  <si>
    <t>688238.SH</t>
  </si>
  <si>
    <t>和元生物</t>
  </si>
  <si>
    <t>688239.SH</t>
  </si>
  <si>
    <t>航宇科技</t>
  </si>
  <si>
    <t>688244.SH</t>
  </si>
  <si>
    <t>永信至诚</t>
  </si>
  <si>
    <t>688246.SH</t>
  </si>
  <si>
    <t>嘉和美康</t>
  </si>
  <si>
    <t>688247.SH</t>
  </si>
  <si>
    <t>宣泰医药</t>
  </si>
  <si>
    <t>688248.SH</t>
  </si>
  <si>
    <t>南网科技</t>
  </si>
  <si>
    <t>688249.SH</t>
  </si>
  <si>
    <t>晶合集成</t>
  </si>
  <si>
    <t>688251.SH</t>
  </si>
  <si>
    <t>井松智能</t>
  </si>
  <si>
    <t>688252.SH</t>
  </si>
  <si>
    <t>天德钰</t>
  </si>
  <si>
    <t>688253.SH</t>
  </si>
  <si>
    <t>英诺特</t>
  </si>
  <si>
    <t>688255.SH</t>
  </si>
  <si>
    <t>凯尔达</t>
  </si>
  <si>
    <t>688256.SH</t>
  </si>
  <si>
    <t>寒武纪-U</t>
  </si>
  <si>
    <t>688257.SH</t>
  </si>
  <si>
    <t>新锐股份</t>
  </si>
  <si>
    <t>688258.SH</t>
  </si>
  <si>
    <t>卓易信息</t>
  </si>
  <si>
    <t>688259.SH</t>
  </si>
  <si>
    <t>创耀科技</t>
  </si>
  <si>
    <t>688260.SH</t>
  </si>
  <si>
    <t>昀冢科技</t>
  </si>
  <si>
    <t>688261.SH</t>
  </si>
  <si>
    <t>东微半导</t>
  </si>
  <si>
    <t>688262.SH</t>
  </si>
  <si>
    <t>国芯科技</t>
  </si>
  <si>
    <t>688265.SH</t>
  </si>
  <si>
    <t>南模生物</t>
  </si>
  <si>
    <t>688266.SH</t>
  </si>
  <si>
    <t>泽璟制药-U</t>
  </si>
  <si>
    <t>688267.SH</t>
  </si>
  <si>
    <t>中触媒</t>
  </si>
  <si>
    <t>688268.SH</t>
  </si>
  <si>
    <t>华特气体</t>
  </si>
  <si>
    <t>688269.SH</t>
  </si>
  <si>
    <t>凯立新材</t>
  </si>
  <si>
    <t>688270.SH</t>
  </si>
  <si>
    <t>臻镭科技</t>
  </si>
  <si>
    <t>688271.SH</t>
  </si>
  <si>
    <t>联影医疗</t>
  </si>
  <si>
    <t>688272.SH</t>
  </si>
  <si>
    <t>688273.SH</t>
  </si>
  <si>
    <t>麦澜德</t>
  </si>
  <si>
    <t>688275.SH</t>
  </si>
  <si>
    <t>万润新能</t>
  </si>
  <si>
    <t>688276.SH</t>
  </si>
  <si>
    <t>百克生物</t>
  </si>
  <si>
    <t>688277.SH</t>
  </si>
  <si>
    <t>天智航-U</t>
  </si>
  <si>
    <t>688278.SH</t>
  </si>
  <si>
    <t>特宝生物</t>
  </si>
  <si>
    <t>688279.SH</t>
  </si>
  <si>
    <t>峰岹科技</t>
  </si>
  <si>
    <t>688280.SH</t>
  </si>
  <si>
    <t>精进电动-UW</t>
  </si>
  <si>
    <t>688281.SH</t>
  </si>
  <si>
    <t>华秦科技</t>
  </si>
  <si>
    <t>688282.SH</t>
  </si>
  <si>
    <t>理工导航</t>
  </si>
  <si>
    <t>688283.SH</t>
  </si>
  <si>
    <t>坤恒顺维</t>
  </si>
  <si>
    <t>688285.SH</t>
  </si>
  <si>
    <t>高铁电气</t>
  </si>
  <si>
    <t>688286.SH</t>
  </si>
  <si>
    <t>敏芯股份</t>
  </si>
  <si>
    <t>688287.SH</t>
  </si>
  <si>
    <t>688288.SH</t>
  </si>
  <si>
    <t>688289.SH</t>
  </si>
  <si>
    <t>圣湘生物</t>
  </si>
  <si>
    <t>688290.SH</t>
  </si>
  <si>
    <t>景业智能</t>
  </si>
  <si>
    <t>688291.SH</t>
  </si>
  <si>
    <t>金橙子</t>
  </si>
  <si>
    <t>688292.SH</t>
  </si>
  <si>
    <t>浩瀚深度</t>
  </si>
  <si>
    <t>688293.SH</t>
  </si>
  <si>
    <t>奥浦迈</t>
  </si>
  <si>
    <t>688295.SH</t>
  </si>
  <si>
    <t>中复神鹰</t>
  </si>
  <si>
    <t>688296.SH</t>
  </si>
  <si>
    <t>和达科技</t>
  </si>
  <si>
    <t>688297.SH</t>
  </si>
  <si>
    <t>中无人机</t>
  </si>
  <si>
    <t>688298.SH</t>
  </si>
  <si>
    <t>东方生物</t>
  </si>
  <si>
    <t>688299.SH</t>
  </si>
  <si>
    <t>长阳科技</t>
  </si>
  <si>
    <t>688300.SH</t>
  </si>
  <si>
    <t>联瑞新材</t>
  </si>
  <si>
    <t>688301.SH</t>
  </si>
  <si>
    <t>奕瑞科技</t>
  </si>
  <si>
    <t>688302.SH</t>
  </si>
  <si>
    <t>海创药业-U</t>
  </si>
  <si>
    <t>688303.SH</t>
  </si>
  <si>
    <t>大全能源</t>
  </si>
  <si>
    <t>688305.SH</t>
  </si>
  <si>
    <t>科德数控</t>
  </si>
  <si>
    <t>688306.SH</t>
  </si>
  <si>
    <t>均普智能</t>
  </si>
  <si>
    <t>688307.SH</t>
  </si>
  <si>
    <t>中润光学</t>
  </si>
  <si>
    <t>688308.SH</t>
  </si>
  <si>
    <t>欧科亿</t>
  </si>
  <si>
    <t>688309.SH</t>
  </si>
  <si>
    <t>恒誉环保</t>
  </si>
  <si>
    <t>688310.SH</t>
  </si>
  <si>
    <t>迈得医疗</t>
  </si>
  <si>
    <t>688311.SH</t>
  </si>
  <si>
    <t>盟升电子</t>
  </si>
  <si>
    <t>688312.SH</t>
  </si>
  <si>
    <t>燕麦科技</t>
  </si>
  <si>
    <t>688313.SH</t>
  </si>
  <si>
    <t>仕佳光子</t>
  </si>
  <si>
    <t>688314.SH</t>
  </si>
  <si>
    <t>康拓医疗</t>
  </si>
  <si>
    <t>688315.SH</t>
  </si>
  <si>
    <t>诺禾致源</t>
  </si>
  <si>
    <t>688316.SH</t>
  </si>
  <si>
    <t>青云科技-U</t>
  </si>
  <si>
    <t>688317.SH</t>
  </si>
  <si>
    <t>之江生物</t>
  </si>
  <si>
    <t>688318.SH</t>
  </si>
  <si>
    <t>财富趋势</t>
  </si>
  <si>
    <t>688319.SH</t>
  </si>
  <si>
    <t>欧林生物</t>
  </si>
  <si>
    <t>688320.SH</t>
  </si>
  <si>
    <t>禾川科技</t>
  </si>
  <si>
    <t>688321.SH</t>
  </si>
  <si>
    <t>微芯生物</t>
  </si>
  <si>
    <t>688322.SH</t>
  </si>
  <si>
    <t>奥比中光-UW</t>
  </si>
  <si>
    <t>688323.SH</t>
  </si>
  <si>
    <t>瑞华泰</t>
  </si>
  <si>
    <t>688325.SH</t>
  </si>
  <si>
    <t>赛微微电</t>
  </si>
  <si>
    <t>688326.SH</t>
  </si>
  <si>
    <t>经纬恒润-W</t>
  </si>
  <si>
    <t>688327.SH</t>
  </si>
  <si>
    <t>云从科技-UW</t>
  </si>
  <si>
    <t>688328.SH</t>
  </si>
  <si>
    <t>深科达</t>
  </si>
  <si>
    <t>688329.SH</t>
  </si>
  <si>
    <t>艾隆科技</t>
  </si>
  <si>
    <t>688330.SH</t>
  </si>
  <si>
    <t>宏力达</t>
  </si>
  <si>
    <t>688331.SH</t>
  </si>
  <si>
    <t>荣昌生物</t>
  </si>
  <si>
    <t>688332.SH</t>
  </si>
  <si>
    <t>中科蓝讯</t>
  </si>
  <si>
    <t>688333.SH</t>
  </si>
  <si>
    <t>铂力特</t>
  </si>
  <si>
    <t>688334.SH</t>
  </si>
  <si>
    <t>西高院</t>
  </si>
  <si>
    <t>688335.SH</t>
  </si>
  <si>
    <t>688336.SH</t>
  </si>
  <si>
    <t>三生国健</t>
  </si>
  <si>
    <t>688337.SH</t>
  </si>
  <si>
    <t>普源精电</t>
  </si>
  <si>
    <t>688338.SH</t>
  </si>
  <si>
    <t>赛科希德</t>
  </si>
  <si>
    <t>688339.SH</t>
  </si>
  <si>
    <t>亿华通-U</t>
  </si>
  <si>
    <t>688343.SH</t>
  </si>
  <si>
    <t>云天励飞-U</t>
  </si>
  <si>
    <t>688345.SH</t>
  </si>
  <si>
    <t>博力威</t>
  </si>
  <si>
    <t>688347.SH</t>
  </si>
  <si>
    <t>华虹公司</t>
  </si>
  <si>
    <t>688348.SH</t>
  </si>
  <si>
    <t>昱能科技</t>
  </si>
  <si>
    <t>688349.SH</t>
  </si>
  <si>
    <t>三一重能</t>
  </si>
  <si>
    <t>688350.SH</t>
  </si>
  <si>
    <t>富淼科技</t>
  </si>
  <si>
    <t>688351.SH</t>
  </si>
  <si>
    <t>688352.SH</t>
  </si>
  <si>
    <t>颀中科技</t>
  </si>
  <si>
    <t>688353.SH</t>
  </si>
  <si>
    <t>华盛锂电</t>
  </si>
  <si>
    <t>688355.SH</t>
  </si>
  <si>
    <t>明志科技</t>
  </si>
  <si>
    <t>688356.SH</t>
  </si>
  <si>
    <t>键凯科技</t>
  </si>
  <si>
    <t>688357.SH</t>
  </si>
  <si>
    <t>建龙微纳</t>
  </si>
  <si>
    <t>688358.SH</t>
  </si>
  <si>
    <t>祥生医疗</t>
  </si>
  <si>
    <t>688359.SH</t>
  </si>
  <si>
    <t>三孚新科</t>
  </si>
  <si>
    <t>688360.SH</t>
  </si>
  <si>
    <t>德马科技</t>
  </si>
  <si>
    <t>688361.SH</t>
  </si>
  <si>
    <t>688362.SH</t>
  </si>
  <si>
    <t>甬矽电子</t>
  </si>
  <si>
    <t>688363.SH</t>
  </si>
  <si>
    <t>华熙生物</t>
  </si>
  <si>
    <t>688365.SH</t>
  </si>
  <si>
    <t>光云科技</t>
  </si>
  <si>
    <t>688366.SH</t>
  </si>
  <si>
    <t>昊海生科</t>
  </si>
  <si>
    <t>688367.SH</t>
  </si>
  <si>
    <t>工大高科</t>
  </si>
  <si>
    <t>688368.SH</t>
  </si>
  <si>
    <t>晶丰明源</t>
  </si>
  <si>
    <t>688369.SH</t>
  </si>
  <si>
    <t>致远互联</t>
  </si>
  <si>
    <t>688370.SH</t>
  </si>
  <si>
    <t>丛麟科技</t>
  </si>
  <si>
    <t>688371.SH</t>
  </si>
  <si>
    <t>菲沃泰</t>
  </si>
  <si>
    <t>688372.SH</t>
  </si>
  <si>
    <t>伟测科技</t>
  </si>
  <si>
    <t>688373.SH</t>
  </si>
  <si>
    <t>盟科药业-U</t>
  </si>
  <si>
    <t>688375.SH</t>
  </si>
  <si>
    <t>国博电子</t>
  </si>
  <si>
    <t>688376.SH</t>
  </si>
  <si>
    <t>美埃科技</t>
  </si>
  <si>
    <t>688377.SH</t>
  </si>
  <si>
    <t>迪威尔</t>
  </si>
  <si>
    <t>688378.SH</t>
  </si>
  <si>
    <t>奥来德</t>
  </si>
  <si>
    <t>688379.SH</t>
  </si>
  <si>
    <t>华光新材</t>
  </si>
  <si>
    <t>688380.SH</t>
  </si>
  <si>
    <t>中微半导</t>
  </si>
  <si>
    <t>688381.SH</t>
  </si>
  <si>
    <t>帝奥微</t>
  </si>
  <si>
    <t>688382.SH</t>
  </si>
  <si>
    <t>益方生物-U</t>
  </si>
  <si>
    <t>688383.SH</t>
  </si>
  <si>
    <t>新益昌</t>
  </si>
  <si>
    <t>688385.SH</t>
  </si>
  <si>
    <t>复旦微电</t>
  </si>
  <si>
    <t>688386.SH</t>
  </si>
  <si>
    <t>泛亚微透</t>
  </si>
  <si>
    <t>688387.SH</t>
  </si>
  <si>
    <t>信科移动-U</t>
  </si>
  <si>
    <t>688388.SH</t>
  </si>
  <si>
    <t>嘉元科技</t>
  </si>
  <si>
    <t>688389.SH</t>
  </si>
  <si>
    <t>普门科技</t>
  </si>
  <si>
    <t>688390.SH</t>
  </si>
  <si>
    <t>固德威</t>
  </si>
  <si>
    <t>688391.SH</t>
  </si>
  <si>
    <t>钜泉科技</t>
  </si>
  <si>
    <t>688392.SH</t>
  </si>
  <si>
    <t>骄成超声</t>
  </si>
  <si>
    <t>688393.SH</t>
  </si>
  <si>
    <t>安必平</t>
  </si>
  <si>
    <t>688395.SH</t>
  </si>
  <si>
    <t>正弦电气</t>
  </si>
  <si>
    <t>688396.SH</t>
  </si>
  <si>
    <t>华润微</t>
  </si>
  <si>
    <t>688398.SH</t>
  </si>
  <si>
    <t>赛特新材</t>
  </si>
  <si>
    <t>688399.SH</t>
  </si>
  <si>
    <t>硕世生物</t>
  </si>
  <si>
    <t>688400.SH</t>
  </si>
  <si>
    <t>凌云光</t>
  </si>
  <si>
    <t>688401.SH</t>
  </si>
  <si>
    <t>路维光电</t>
  </si>
  <si>
    <t>688403.SH</t>
  </si>
  <si>
    <t>汇成股份</t>
  </si>
  <si>
    <t>688408.SH</t>
  </si>
  <si>
    <t>中信博</t>
  </si>
  <si>
    <t>688409.SH</t>
  </si>
  <si>
    <t>富创精密</t>
  </si>
  <si>
    <t>688410.SH</t>
  </si>
  <si>
    <t>山外山</t>
  </si>
  <si>
    <t>688416.SH</t>
  </si>
  <si>
    <t>恒烁股份</t>
  </si>
  <si>
    <t>688418.SH</t>
  </si>
  <si>
    <t>震有科技</t>
  </si>
  <si>
    <t>688419.SH</t>
  </si>
  <si>
    <t>耐科装备</t>
  </si>
  <si>
    <t>688420.SH</t>
  </si>
  <si>
    <t>美腾科技</t>
  </si>
  <si>
    <t>688425.SH</t>
  </si>
  <si>
    <t>铁建重工</t>
  </si>
  <si>
    <t>688426.SH</t>
  </si>
  <si>
    <t>康为世纪</t>
  </si>
  <si>
    <t>688428.SH</t>
  </si>
  <si>
    <t>诺诚健华-U</t>
  </si>
  <si>
    <t>688429.SH</t>
  </si>
  <si>
    <t>时创能源</t>
  </si>
  <si>
    <t>688432.SH</t>
  </si>
  <si>
    <t>有研硅</t>
  </si>
  <si>
    <t>688433.SH</t>
  </si>
  <si>
    <t>华曙高科</t>
  </si>
  <si>
    <t>688435.SH</t>
  </si>
  <si>
    <t>英方软件</t>
  </si>
  <si>
    <t>688439.SH</t>
  </si>
  <si>
    <t>振华风光</t>
  </si>
  <si>
    <t>688443.SH</t>
  </si>
  <si>
    <t>智翔金泰-U</t>
  </si>
  <si>
    <t>688448.SH</t>
  </si>
  <si>
    <t>磁谷科技</t>
  </si>
  <si>
    <t>688450.SH</t>
  </si>
  <si>
    <t>光格科技</t>
  </si>
  <si>
    <t>688455.SH</t>
  </si>
  <si>
    <t>科捷智能</t>
  </si>
  <si>
    <t>688456.SH</t>
  </si>
  <si>
    <t>有研粉材</t>
  </si>
  <si>
    <t>688458.SH</t>
  </si>
  <si>
    <t>美芯晟</t>
  </si>
  <si>
    <t>688459.SH</t>
  </si>
  <si>
    <t>哈铁科技</t>
  </si>
  <si>
    <t>688466.SH</t>
  </si>
  <si>
    <t>金科环境</t>
  </si>
  <si>
    <t>688468.SH</t>
  </si>
  <si>
    <t>科美诊断</t>
  </si>
  <si>
    <t>688469.SH</t>
  </si>
  <si>
    <t>芯联集成-U</t>
  </si>
  <si>
    <t>688472.SH</t>
  </si>
  <si>
    <t>阿特斯</t>
  </si>
  <si>
    <t>688475.SH</t>
  </si>
  <si>
    <t>萤石网络</t>
  </si>
  <si>
    <t>688478.SH</t>
  </si>
  <si>
    <t>晶升股份</t>
  </si>
  <si>
    <t>688479.SH</t>
  </si>
  <si>
    <t>友车科技</t>
  </si>
  <si>
    <t>688480.SH</t>
  </si>
  <si>
    <t>赛恩斯</t>
  </si>
  <si>
    <t>688484.SH</t>
  </si>
  <si>
    <t>南芯科技</t>
  </si>
  <si>
    <t>688485.SH</t>
  </si>
  <si>
    <t>九州一轨</t>
  </si>
  <si>
    <t>688486.SH</t>
  </si>
  <si>
    <t>龙迅股份</t>
  </si>
  <si>
    <t>688488.SH</t>
  </si>
  <si>
    <t>艾迪药业</t>
  </si>
  <si>
    <t>688489.SH</t>
  </si>
  <si>
    <t>三未信安</t>
  </si>
  <si>
    <t>688496.SH</t>
  </si>
  <si>
    <t>清越科技</t>
  </si>
  <si>
    <t>688498.SH</t>
  </si>
  <si>
    <t>源杰科技</t>
  </si>
  <si>
    <t>688499.SH</t>
  </si>
  <si>
    <t>利元亨</t>
  </si>
  <si>
    <t>688500.SH</t>
  </si>
  <si>
    <t>688501.SH</t>
  </si>
  <si>
    <t>青达环保</t>
  </si>
  <si>
    <t>688502.SH</t>
  </si>
  <si>
    <t>茂莱光学</t>
  </si>
  <si>
    <t>688503.SH</t>
  </si>
  <si>
    <t>聚和材料</t>
  </si>
  <si>
    <t>688505.SH</t>
  </si>
  <si>
    <t>复旦张江</t>
  </si>
  <si>
    <t>688506.SH</t>
  </si>
  <si>
    <t>688507.SH</t>
  </si>
  <si>
    <t>索辰科技</t>
  </si>
  <si>
    <t>688508.SH</t>
  </si>
  <si>
    <t>芯朋微</t>
  </si>
  <si>
    <t>688509.SH</t>
  </si>
  <si>
    <t>正元地信</t>
  </si>
  <si>
    <t>688510.SH</t>
  </si>
  <si>
    <t>航亚科技</t>
  </si>
  <si>
    <t>688511.SH</t>
  </si>
  <si>
    <t>688512.SH</t>
  </si>
  <si>
    <t>慧智微-U</t>
  </si>
  <si>
    <t>688513.SH</t>
  </si>
  <si>
    <t>苑东生物</t>
  </si>
  <si>
    <t>688515.SH</t>
  </si>
  <si>
    <t>裕太微-U</t>
  </si>
  <si>
    <t>688516.SH</t>
  </si>
  <si>
    <t>奥特维</t>
  </si>
  <si>
    <t>688517.SH</t>
  </si>
  <si>
    <t>金冠电气</t>
  </si>
  <si>
    <t>688518.SH</t>
  </si>
  <si>
    <t>联赢激光</t>
  </si>
  <si>
    <t>688519.SH</t>
  </si>
  <si>
    <t>南亚新材</t>
  </si>
  <si>
    <t>688520.SH</t>
  </si>
  <si>
    <t>688521.SH</t>
  </si>
  <si>
    <t>芯原股份</t>
  </si>
  <si>
    <t>688522.SH</t>
  </si>
  <si>
    <t>纳睿雷达</t>
  </si>
  <si>
    <t>688523.SH</t>
  </si>
  <si>
    <t>航天环宇</t>
  </si>
  <si>
    <t>688525.SH</t>
  </si>
  <si>
    <t>佰维存储</t>
  </si>
  <si>
    <t>688526.SH</t>
  </si>
  <si>
    <t>科前生物</t>
  </si>
  <si>
    <t>688528.SH</t>
  </si>
  <si>
    <t>秦川物联</t>
  </si>
  <si>
    <t>688529.SH</t>
  </si>
  <si>
    <t>豪森智能</t>
  </si>
  <si>
    <t>688531.SH</t>
  </si>
  <si>
    <t>日联科技</t>
  </si>
  <si>
    <t>688533.SH</t>
  </si>
  <si>
    <t>上声电子</t>
  </si>
  <si>
    <t>688535.SH</t>
  </si>
  <si>
    <t>华海诚科</t>
  </si>
  <si>
    <t>688536.SH</t>
  </si>
  <si>
    <t>思瑞浦</t>
  </si>
  <si>
    <t>688538.SH</t>
  </si>
  <si>
    <t>和辉光电-U</t>
  </si>
  <si>
    <t>688539.SH</t>
  </si>
  <si>
    <t>高华科技</t>
  </si>
  <si>
    <t>688543.SH</t>
  </si>
  <si>
    <t>国科军工</t>
  </si>
  <si>
    <t>688548.SH</t>
  </si>
  <si>
    <t>广钢气体</t>
  </si>
  <si>
    <t>688549.SH</t>
  </si>
  <si>
    <t>中巨芯-U</t>
  </si>
  <si>
    <t>688550.SH</t>
  </si>
  <si>
    <t>瑞联新材</t>
  </si>
  <si>
    <t>688551.SH</t>
  </si>
  <si>
    <t>科威尔</t>
  </si>
  <si>
    <t>688552.SH</t>
  </si>
  <si>
    <t>航天南湖</t>
  </si>
  <si>
    <t>688553.SH</t>
  </si>
  <si>
    <t>汇宇制药-W</t>
  </si>
  <si>
    <t>688556.SH</t>
  </si>
  <si>
    <t>高测股份</t>
  </si>
  <si>
    <t>688557.SH</t>
  </si>
  <si>
    <t>兰剑智能</t>
  </si>
  <si>
    <t>688558.SH</t>
  </si>
  <si>
    <t>国盛智科</t>
  </si>
  <si>
    <t>688559.SH</t>
  </si>
  <si>
    <t>海目星</t>
  </si>
  <si>
    <t>688560.SH</t>
  </si>
  <si>
    <t>明冠新材</t>
  </si>
  <si>
    <t>688561.SH</t>
  </si>
  <si>
    <t>奇安信-U</t>
  </si>
  <si>
    <t>688562.SH</t>
  </si>
  <si>
    <t>航天软件</t>
  </si>
  <si>
    <t>688563.SH</t>
  </si>
  <si>
    <t>航材股份</t>
  </si>
  <si>
    <t>688565.SH</t>
  </si>
  <si>
    <t>力源科技</t>
  </si>
  <si>
    <t>688566.SH</t>
  </si>
  <si>
    <t>吉贝尔</t>
  </si>
  <si>
    <t>688567.SH</t>
  </si>
  <si>
    <t>孚能科技</t>
  </si>
  <si>
    <t>688568.SH</t>
  </si>
  <si>
    <t>中科星图</t>
  </si>
  <si>
    <t>688569.SH</t>
  </si>
  <si>
    <t>铁科轨道</t>
  </si>
  <si>
    <t>688570.SH</t>
  </si>
  <si>
    <t>天玛智控</t>
  </si>
  <si>
    <t>688571.SH</t>
  </si>
  <si>
    <t>杭华股份</t>
  </si>
  <si>
    <t>688573.SH</t>
  </si>
  <si>
    <t>信宇人</t>
  </si>
  <si>
    <t>688575.SH</t>
  </si>
  <si>
    <t>亚辉龙</t>
  </si>
  <si>
    <t>688576.SH</t>
  </si>
  <si>
    <t>西山科技</t>
  </si>
  <si>
    <t>688577.SH</t>
  </si>
  <si>
    <t>浙海德曼</t>
  </si>
  <si>
    <t>688578.SH</t>
  </si>
  <si>
    <t>艾力斯</t>
  </si>
  <si>
    <t>688579.SH</t>
  </si>
  <si>
    <t>688580.SH</t>
  </si>
  <si>
    <t>伟思医疗</t>
  </si>
  <si>
    <t>688581.SH</t>
  </si>
  <si>
    <t>安杰思</t>
  </si>
  <si>
    <t>688582.SH</t>
  </si>
  <si>
    <t>芯动联科</t>
  </si>
  <si>
    <t>688584.SH</t>
  </si>
  <si>
    <t>上海合晶</t>
  </si>
  <si>
    <t>688585.SH</t>
  </si>
  <si>
    <t>上纬新材</t>
  </si>
  <si>
    <t>688586.SH</t>
  </si>
  <si>
    <t>江航装备</t>
  </si>
  <si>
    <t>688588.SH</t>
  </si>
  <si>
    <t>凌志软件</t>
  </si>
  <si>
    <t>688589.SH</t>
  </si>
  <si>
    <t>力合微</t>
  </si>
  <si>
    <t>688590.SH</t>
  </si>
  <si>
    <t>新致软件</t>
  </si>
  <si>
    <t>688591.SH</t>
  </si>
  <si>
    <t>泰凌微</t>
  </si>
  <si>
    <t>688592.SH</t>
  </si>
  <si>
    <t>司南导航</t>
  </si>
  <si>
    <t>688593.SH</t>
  </si>
  <si>
    <t>新相微</t>
  </si>
  <si>
    <t>688595.SH</t>
  </si>
  <si>
    <t>芯海科技</t>
  </si>
  <si>
    <t>688596.SH</t>
  </si>
  <si>
    <t>正帆科技</t>
  </si>
  <si>
    <t>688597.SH</t>
  </si>
  <si>
    <t>煜邦电力</t>
  </si>
  <si>
    <t>688598.SH</t>
  </si>
  <si>
    <t>金博股份</t>
  </si>
  <si>
    <t>688599.SH</t>
  </si>
  <si>
    <t>天合光能</t>
  </si>
  <si>
    <t>688600.SH</t>
  </si>
  <si>
    <t>皖仪科技</t>
  </si>
  <si>
    <t>688601.SH</t>
  </si>
  <si>
    <t>力芯微</t>
  </si>
  <si>
    <t>688602.SH</t>
  </si>
  <si>
    <t>康鹏科技</t>
  </si>
  <si>
    <t>688603.SH</t>
  </si>
  <si>
    <t>天承科技</t>
  </si>
  <si>
    <t>688606.SH</t>
  </si>
  <si>
    <t>奥泰生物</t>
  </si>
  <si>
    <t>688607.SH</t>
  </si>
  <si>
    <t>康众医疗</t>
  </si>
  <si>
    <t>688608.SH</t>
  </si>
  <si>
    <t>恒玄科技</t>
  </si>
  <si>
    <t>688609.SH</t>
  </si>
  <si>
    <t>九联科技</t>
  </si>
  <si>
    <t>688610.SH</t>
  </si>
  <si>
    <t>埃科光电</t>
  </si>
  <si>
    <t>688611.SH</t>
  </si>
  <si>
    <t>杭州柯林</t>
  </si>
  <si>
    <t>688612.SH</t>
  </si>
  <si>
    <t>威迈斯</t>
  </si>
  <si>
    <t>688613.SH</t>
  </si>
  <si>
    <t>奥精医疗</t>
  </si>
  <si>
    <t>688616.SH</t>
  </si>
  <si>
    <t>西力科技</t>
  </si>
  <si>
    <t>688617.SH</t>
  </si>
  <si>
    <t>惠泰医疗</t>
  </si>
  <si>
    <t>688618.SH</t>
  </si>
  <si>
    <t>三旺通信</t>
  </si>
  <si>
    <t>688619.SH</t>
  </si>
  <si>
    <t>罗普特</t>
  </si>
  <si>
    <t>688620.SH</t>
  </si>
  <si>
    <t>安凯微</t>
  </si>
  <si>
    <t>688621.SH</t>
  </si>
  <si>
    <t>阳光诺和</t>
  </si>
  <si>
    <t>688622.SH</t>
  </si>
  <si>
    <t>禾信仪器</t>
  </si>
  <si>
    <t>688623.SH</t>
  </si>
  <si>
    <t>双元科技</t>
  </si>
  <si>
    <t>688625.SH</t>
  </si>
  <si>
    <t>呈和科技</t>
  </si>
  <si>
    <t>688626.SH</t>
  </si>
  <si>
    <t>翔宇医疗</t>
  </si>
  <si>
    <t>688627.SH</t>
  </si>
  <si>
    <t>精智达</t>
  </si>
  <si>
    <t>688628.SH</t>
  </si>
  <si>
    <t>优利德</t>
  </si>
  <si>
    <t>688629.SH</t>
  </si>
  <si>
    <t>华丰科技</t>
  </si>
  <si>
    <t>688630.SH</t>
  </si>
  <si>
    <t>芯碁微装</t>
  </si>
  <si>
    <t>688631.SH</t>
  </si>
  <si>
    <t>莱斯信息</t>
  </si>
  <si>
    <t>688633.SH</t>
  </si>
  <si>
    <t>星球石墨</t>
  </si>
  <si>
    <t>688636.SH</t>
  </si>
  <si>
    <t>智明达</t>
  </si>
  <si>
    <t>688638.SH</t>
  </si>
  <si>
    <t>誉辰智能</t>
  </si>
  <si>
    <t>688639.SH</t>
  </si>
  <si>
    <t>华恒生物</t>
  </si>
  <si>
    <t>688646.SH</t>
  </si>
  <si>
    <t>688648.SH</t>
  </si>
  <si>
    <t>中邮科技</t>
  </si>
  <si>
    <t>688651.SH</t>
  </si>
  <si>
    <t>盛邦安全</t>
  </si>
  <si>
    <t>688652.SH</t>
  </si>
  <si>
    <t>京仪装备</t>
  </si>
  <si>
    <t>688653.SH</t>
  </si>
  <si>
    <t>康希通信</t>
  </si>
  <si>
    <t>688655.SH</t>
  </si>
  <si>
    <t>迅捷兴</t>
  </si>
  <si>
    <t>688656.SH</t>
  </si>
  <si>
    <t>浩欧博</t>
  </si>
  <si>
    <t>688657.SH</t>
  </si>
  <si>
    <t>浩辰软件</t>
  </si>
  <si>
    <t>688658.SH</t>
  </si>
  <si>
    <t>悦康药业</t>
  </si>
  <si>
    <t>688659.SH</t>
  </si>
  <si>
    <t>元琛科技</t>
  </si>
  <si>
    <t>688660.SH</t>
  </si>
  <si>
    <t>电气风电</t>
  </si>
  <si>
    <t>688661.SH</t>
  </si>
  <si>
    <t>和林微纳</t>
  </si>
  <si>
    <t>688662.SH</t>
  </si>
  <si>
    <t>富信科技</t>
  </si>
  <si>
    <t>688663.SH</t>
  </si>
  <si>
    <t>新风光</t>
  </si>
  <si>
    <t>688665.SH</t>
  </si>
  <si>
    <t>四方光电</t>
  </si>
  <si>
    <t>688667.SH</t>
  </si>
  <si>
    <t>菱电电控</t>
  </si>
  <si>
    <t>688668.SH</t>
  </si>
  <si>
    <t>鼎通科技</t>
  </si>
  <si>
    <t>688669.SH</t>
  </si>
  <si>
    <t>聚石化学</t>
  </si>
  <si>
    <t>688670.SH</t>
  </si>
  <si>
    <t>金迪克</t>
  </si>
  <si>
    <t>688671.SH</t>
  </si>
  <si>
    <t>碧兴物联</t>
  </si>
  <si>
    <t>688676.SH</t>
  </si>
  <si>
    <t>金盘科技</t>
  </si>
  <si>
    <t>688677.SH</t>
  </si>
  <si>
    <t>海泰新光</t>
  </si>
  <si>
    <t>688678.SH</t>
  </si>
  <si>
    <t>福立旺</t>
  </si>
  <si>
    <t>688679.SH</t>
  </si>
  <si>
    <t>通源环境</t>
  </si>
  <si>
    <t>688680.SH</t>
  </si>
  <si>
    <t>海优新材</t>
  </si>
  <si>
    <t>688681.SH</t>
  </si>
  <si>
    <t>科汇股份</t>
  </si>
  <si>
    <t>688682.SH</t>
  </si>
  <si>
    <t>霍莱沃</t>
  </si>
  <si>
    <t>688683.SH</t>
  </si>
  <si>
    <t>莱尔科技</t>
  </si>
  <si>
    <t>688685.SH</t>
  </si>
  <si>
    <t>迈信林</t>
  </si>
  <si>
    <t>688686.SH</t>
  </si>
  <si>
    <t>奥普特</t>
  </si>
  <si>
    <t>688687.SH</t>
  </si>
  <si>
    <t>凯因科技</t>
  </si>
  <si>
    <t>688689.SH</t>
  </si>
  <si>
    <t>银河微电</t>
  </si>
  <si>
    <t>688690.SH</t>
  </si>
  <si>
    <t>纳微科技</t>
  </si>
  <si>
    <t>688691.SH</t>
  </si>
  <si>
    <t>灿芯股份</t>
  </si>
  <si>
    <t>688693.SH</t>
  </si>
  <si>
    <t>锴威特</t>
  </si>
  <si>
    <t>688695.SH</t>
  </si>
  <si>
    <t>中创股份</t>
  </si>
  <si>
    <t>688696.SH</t>
  </si>
  <si>
    <t>极米科技</t>
  </si>
  <si>
    <t>688697.SH</t>
  </si>
  <si>
    <t>纽威数控</t>
  </si>
  <si>
    <t>688698.SH</t>
  </si>
  <si>
    <t>伟创电气</t>
  </si>
  <si>
    <t>688699.SH</t>
  </si>
  <si>
    <t>明微电子</t>
  </si>
  <si>
    <t>688700.SH</t>
  </si>
  <si>
    <t>东威科技</t>
  </si>
  <si>
    <t>688701.SH</t>
  </si>
  <si>
    <t>卓锦股份</t>
  </si>
  <si>
    <t>688702.SH</t>
  </si>
  <si>
    <t>盛科通信-U</t>
  </si>
  <si>
    <t>688707.SH</t>
  </si>
  <si>
    <t>振华新材</t>
  </si>
  <si>
    <t>688709.SH</t>
  </si>
  <si>
    <t>成都华微</t>
  </si>
  <si>
    <t>688711.SH</t>
  </si>
  <si>
    <t>宏微科技</t>
  </si>
  <si>
    <t>688716.SH</t>
  </si>
  <si>
    <t>中研股份</t>
  </si>
  <si>
    <t>688717.SH</t>
  </si>
  <si>
    <t>艾罗能源</t>
  </si>
  <si>
    <t>688718.SH</t>
  </si>
  <si>
    <t>唯赛勃</t>
  </si>
  <si>
    <t>688719.SH</t>
  </si>
  <si>
    <t>爱科赛博</t>
  </si>
  <si>
    <t>688720.SH</t>
  </si>
  <si>
    <t>艾森股份</t>
  </si>
  <si>
    <t>688722.SH</t>
  </si>
  <si>
    <t>同益中</t>
  </si>
  <si>
    <t>688728.SH</t>
  </si>
  <si>
    <t>格科微</t>
  </si>
  <si>
    <t>688733.SH</t>
  </si>
  <si>
    <t>壹石通</t>
  </si>
  <si>
    <t>688737.SH</t>
  </si>
  <si>
    <t>中自科技</t>
  </si>
  <si>
    <t>688739.SH</t>
  </si>
  <si>
    <t>成大生物</t>
  </si>
  <si>
    <t>688766.SH</t>
  </si>
  <si>
    <t>普冉股份</t>
  </si>
  <si>
    <t>688767.SH</t>
  </si>
  <si>
    <t>博拓生物</t>
  </si>
  <si>
    <t>688768.SH</t>
  </si>
  <si>
    <t>容知日新</t>
  </si>
  <si>
    <t>688772.SH</t>
  </si>
  <si>
    <t>珠海冠宇</t>
  </si>
  <si>
    <t>688776.SH</t>
  </si>
  <si>
    <t>国光电气</t>
  </si>
  <si>
    <t>688777.SH</t>
  </si>
  <si>
    <t>中控技术</t>
  </si>
  <si>
    <t>688778.SH</t>
  </si>
  <si>
    <t>厦钨新能</t>
  </si>
  <si>
    <t>688779.SH</t>
  </si>
  <si>
    <t>688786.SH</t>
  </si>
  <si>
    <t>悦安新材</t>
  </si>
  <si>
    <t>688787.SH</t>
  </si>
  <si>
    <t>海天瑞声</t>
  </si>
  <si>
    <t>688788.SH</t>
  </si>
  <si>
    <t>科思科技</t>
  </si>
  <si>
    <t>688789.SH</t>
  </si>
  <si>
    <t>宏华数科</t>
  </si>
  <si>
    <t>688793.SH</t>
  </si>
  <si>
    <t>倍轻松</t>
  </si>
  <si>
    <t>688798.SH</t>
  </si>
  <si>
    <t>艾为电子</t>
  </si>
  <si>
    <t>688799.SH</t>
  </si>
  <si>
    <t>华纳药厂</t>
  </si>
  <si>
    <t>688800.SH</t>
  </si>
  <si>
    <t>瑞可达</t>
  </si>
  <si>
    <t>688819.SH</t>
  </si>
  <si>
    <t>天能股份</t>
  </si>
  <si>
    <t>688981.SH</t>
  </si>
  <si>
    <t>中芯国际</t>
  </si>
  <si>
    <t>689009.SH</t>
  </si>
  <si>
    <t>九号公司-WD</t>
  </si>
  <si>
    <t>武汉蓝电</t>
  </si>
  <si>
    <t>艾融软件</t>
  </si>
  <si>
    <t>安达科技</t>
  </si>
  <si>
    <t>齐鲁华信</t>
  </si>
  <si>
    <t>万通液压</t>
  </si>
  <si>
    <t>旺成科技</t>
  </si>
  <si>
    <t>森萱医药</t>
  </si>
  <si>
    <t>润农节水</t>
  </si>
  <si>
    <t>凯大催化</t>
  </si>
  <si>
    <t>凯添燃气</t>
  </si>
  <si>
    <t>国义招标</t>
  </si>
  <si>
    <t>秋乐种业</t>
  </si>
  <si>
    <t>昆工科技</t>
  </si>
  <si>
    <t>鑫汇科</t>
  </si>
  <si>
    <t>派诺科技</t>
  </si>
  <si>
    <t>三祥科技</t>
  </si>
  <si>
    <t>泰德股份</t>
  </si>
  <si>
    <t>迪尔化工</t>
  </si>
  <si>
    <t>海希通讯</t>
  </si>
  <si>
    <t>新安洁</t>
  </si>
  <si>
    <t>许昌智能</t>
  </si>
  <si>
    <t>龙竹科技</t>
  </si>
  <si>
    <t>凯华材料</t>
  </si>
  <si>
    <t>力王股份</t>
  </si>
  <si>
    <t>格利尔</t>
  </si>
  <si>
    <t>克莱特</t>
  </si>
  <si>
    <t>朱老六</t>
  </si>
  <si>
    <t>拾比佰</t>
  </si>
  <si>
    <t>科达自控</t>
  </si>
  <si>
    <t>浙江大农</t>
  </si>
  <si>
    <t>浩淼科技</t>
  </si>
  <si>
    <t>舜宇精工</t>
  </si>
  <si>
    <t>创远信科</t>
  </si>
  <si>
    <t>安徽凤凰</t>
  </si>
  <si>
    <t>田野股份</t>
  </si>
  <si>
    <t>禾昌聚合</t>
  </si>
  <si>
    <t>雷特科技</t>
  </si>
  <si>
    <t>恒合股份</t>
  </si>
  <si>
    <t>利尔达</t>
  </si>
  <si>
    <t>志晟信息</t>
  </si>
  <si>
    <t>东方碳素</t>
  </si>
  <si>
    <t>利通科技</t>
  </si>
  <si>
    <t>鹿得医疗</t>
  </si>
  <si>
    <t>路斯股份</t>
  </si>
  <si>
    <t>富恒新材</t>
  </si>
  <si>
    <t>美邦科技</t>
  </si>
  <si>
    <t>奥迪威</t>
  </si>
  <si>
    <t>纳科诺尔</t>
  </si>
  <si>
    <t>梓橦宫</t>
  </si>
  <si>
    <t>天罡股份</t>
  </si>
  <si>
    <t>方盛股份</t>
  </si>
  <si>
    <t>德源药业</t>
  </si>
  <si>
    <t>骑士乳业</t>
  </si>
  <si>
    <t>保丽洁</t>
  </si>
  <si>
    <t>慧为智能</t>
  </si>
  <si>
    <t>星辰科技</t>
  </si>
  <si>
    <t>开特股份</t>
  </si>
  <si>
    <t>锦波生物</t>
  </si>
  <si>
    <t>立方控股</t>
  </si>
  <si>
    <t>柏星龙</t>
  </si>
  <si>
    <t>国航远洋</t>
  </si>
  <si>
    <t>欧康医药</t>
  </si>
  <si>
    <t>生物谷</t>
  </si>
  <si>
    <t>灵鸽科技</t>
  </si>
  <si>
    <t>威贸电子</t>
  </si>
  <si>
    <t>民士达</t>
  </si>
  <si>
    <t>华维设计</t>
  </si>
  <si>
    <t>康比特</t>
  </si>
  <si>
    <t>同心传动</t>
  </si>
  <si>
    <t>汇隆活塞</t>
  </si>
  <si>
    <t>同惠电子</t>
  </si>
  <si>
    <t>德瑞锂电</t>
  </si>
  <si>
    <t>骏创科技</t>
  </si>
  <si>
    <t>康乐卫士</t>
  </si>
  <si>
    <t>科创新材</t>
  </si>
  <si>
    <t>惠同新材</t>
  </si>
  <si>
    <t>瑞奇智造</t>
  </si>
  <si>
    <t>颖泰生物</t>
  </si>
  <si>
    <t>中设咨询</t>
  </si>
  <si>
    <t>远航精密</t>
  </si>
  <si>
    <t>优机股份</t>
  </si>
  <si>
    <t>特瑞斯</t>
  </si>
  <si>
    <t>流金科技</t>
  </si>
  <si>
    <t>康普化学</t>
  </si>
  <si>
    <t>华洋赛车</t>
  </si>
  <si>
    <t>科润智控</t>
  </si>
  <si>
    <t>一诺威</t>
  </si>
  <si>
    <t>驰诚股份</t>
  </si>
  <si>
    <t>恒拓开源</t>
  </si>
  <si>
    <t>三友科技</t>
  </si>
  <si>
    <t>同力股份</t>
  </si>
  <si>
    <t>晨光电缆</t>
  </si>
  <si>
    <t>球冠电缆</t>
  </si>
  <si>
    <t>美之高</t>
  </si>
  <si>
    <t>艾能聚</t>
  </si>
  <si>
    <t>迅安科技</t>
  </si>
  <si>
    <t>五新隧装</t>
  </si>
  <si>
    <t>凯德石英</t>
  </si>
  <si>
    <t>国源科技</t>
  </si>
  <si>
    <t>贝特瑞</t>
  </si>
  <si>
    <t>众诚科技</t>
  </si>
  <si>
    <t>力佳科技</t>
  </si>
  <si>
    <t>连城数控</t>
  </si>
  <si>
    <t>戈碧迦</t>
  </si>
  <si>
    <t>殷图网联</t>
  </si>
  <si>
    <t>机科股份</t>
  </si>
  <si>
    <t>富士达</t>
  </si>
  <si>
    <t>数字人</t>
  </si>
  <si>
    <t>百甲科技</t>
  </si>
  <si>
    <t>中科美菱</t>
  </si>
  <si>
    <t>海泰新能</t>
  </si>
  <si>
    <t>吉林碳谷</t>
  </si>
  <si>
    <t>旭杰科技</t>
  </si>
  <si>
    <t>青矩技术</t>
  </si>
  <si>
    <t>易实精密</t>
  </si>
  <si>
    <t>长虹能源</t>
  </si>
  <si>
    <t>华密新材</t>
  </si>
  <si>
    <t>中寰股份</t>
  </si>
  <si>
    <t>中航泰达</t>
  </si>
  <si>
    <t>天铭科技</t>
  </si>
  <si>
    <t>朗鸿科技</t>
  </si>
  <si>
    <t>欧普泰</t>
  </si>
  <si>
    <t>万德股份</t>
  </si>
  <si>
    <t>润普食品</t>
  </si>
  <si>
    <t>大唐药业</t>
  </si>
  <si>
    <t>博迅生物</t>
  </si>
  <si>
    <t>无锡晶海</t>
  </si>
  <si>
    <t>秉扬科技</t>
  </si>
  <si>
    <t>海达尔</t>
  </si>
  <si>
    <t>瑞星股份</t>
  </si>
  <si>
    <t>吉冈精密</t>
  </si>
  <si>
    <t>奔朗新材</t>
  </si>
  <si>
    <t>盖世食品</t>
  </si>
  <si>
    <t>派特尔</t>
  </si>
  <si>
    <t>广咨国际</t>
  </si>
  <si>
    <t>恒立钻具</t>
  </si>
  <si>
    <t>汉维科技</t>
  </si>
  <si>
    <t>西磁科技</t>
  </si>
  <si>
    <t>晟楠科技</t>
  </si>
  <si>
    <t>芭薇股份</t>
  </si>
  <si>
    <t>亿能电力</t>
  </si>
  <si>
    <t>汉鑫科技</t>
  </si>
  <si>
    <t>宏裕包材</t>
  </si>
  <si>
    <t>智新电子</t>
  </si>
  <si>
    <t>建邦科技</t>
  </si>
  <si>
    <t>三元基因</t>
  </si>
  <si>
    <t>康农种业</t>
  </si>
  <si>
    <t>华信永道</t>
  </si>
  <si>
    <t>明阳科技</t>
  </si>
  <si>
    <t>路桥信息</t>
  </si>
  <si>
    <t>则成电子</t>
  </si>
  <si>
    <t>德众汽车</t>
  </si>
  <si>
    <t>方大新材</t>
  </si>
  <si>
    <t>邦德股份</t>
  </si>
  <si>
    <t>美登科技</t>
  </si>
  <si>
    <t>太湖雪</t>
  </si>
  <si>
    <t>驱动力</t>
  </si>
  <si>
    <t>硅烷科技</t>
  </si>
  <si>
    <t>恒进感应</t>
  </si>
  <si>
    <t>豪声电子</t>
  </si>
  <si>
    <t>华原股份</t>
  </si>
  <si>
    <t>广脉科技</t>
  </si>
  <si>
    <t>天马新材</t>
  </si>
  <si>
    <t>同享科技</t>
  </si>
  <si>
    <t>一致魔芋</t>
  </si>
  <si>
    <t>欧福蛋业</t>
  </si>
  <si>
    <t>并行科技</t>
  </si>
  <si>
    <t>宁新新材</t>
  </si>
  <si>
    <t>惠丰钻石</t>
  </si>
  <si>
    <t>永顺生物</t>
  </si>
  <si>
    <t>联迪信息</t>
  </si>
  <si>
    <t>东和新材</t>
  </si>
  <si>
    <t>华阳变速</t>
  </si>
  <si>
    <t>倍益康</t>
  </si>
  <si>
    <t>沪江材料</t>
  </si>
  <si>
    <t>灿能电力</t>
  </si>
  <si>
    <t>雅葆轩</t>
  </si>
  <si>
    <t>大地电气</t>
  </si>
  <si>
    <t>丰安股份</t>
  </si>
  <si>
    <t>海昇药业</t>
  </si>
  <si>
    <t>鸿智科技</t>
  </si>
  <si>
    <t>绿亨科技</t>
  </si>
  <si>
    <t>视声智能</t>
  </si>
  <si>
    <t>威博液压</t>
  </si>
  <si>
    <t>莱赛激光</t>
  </si>
  <si>
    <t>常辅股份</t>
  </si>
  <si>
    <t>巨能股份</t>
  </si>
  <si>
    <t>凯腾精工</t>
  </si>
  <si>
    <t>新威凌</t>
  </si>
  <si>
    <t>通易航天</t>
  </si>
  <si>
    <t>中裕科技</t>
  </si>
  <si>
    <t>天纺标</t>
  </si>
  <si>
    <t>泓禧科技</t>
  </si>
  <si>
    <t>大禹生物</t>
  </si>
  <si>
    <t>晶赛科技</t>
  </si>
  <si>
    <t>雷神科技</t>
  </si>
  <si>
    <t>华光源海</t>
  </si>
  <si>
    <t>云里物里</t>
  </si>
  <si>
    <t>佳合科技</t>
  </si>
  <si>
    <t>铁大科技</t>
  </si>
  <si>
    <t>曙光数创</t>
  </si>
  <si>
    <t>花溪科技</t>
  </si>
  <si>
    <t>锦好医疗</t>
  </si>
  <si>
    <t>无锡鼎邦</t>
  </si>
  <si>
    <t>国子软件</t>
  </si>
  <si>
    <t>纬达光电</t>
  </si>
  <si>
    <t>中纺标</t>
  </si>
  <si>
    <t>泰鹏智能</t>
  </si>
  <si>
    <t>天宏锂电</t>
  </si>
  <si>
    <t>新赣江</t>
  </si>
  <si>
    <t>七丰精工</t>
  </si>
  <si>
    <t>荣亿精密</t>
  </si>
  <si>
    <t>九菱科技</t>
  </si>
  <si>
    <t>恒太照明</t>
  </si>
  <si>
    <t>夜光明</t>
  </si>
  <si>
    <t>坤博精工</t>
  </si>
  <si>
    <t>天力复合</t>
  </si>
  <si>
    <t>鼎智科技</t>
  </si>
  <si>
    <t>科强股份</t>
  </si>
  <si>
    <t>前进科技</t>
  </si>
  <si>
    <t>捷众科技</t>
  </si>
  <si>
    <t>阿为特</t>
  </si>
  <si>
    <t>广厦环能</t>
  </si>
  <si>
    <t>铁拓机械</t>
  </si>
  <si>
    <t>卓兆点胶</t>
  </si>
  <si>
    <t>云星宇</t>
  </si>
  <si>
    <t>美心翼申</t>
  </si>
  <si>
    <t>000001.SZ</t>
    <phoneticPr fontId="49" type="noConversion"/>
  </si>
  <si>
    <t>股票速览-公司分析(内地股票)</t>
    <phoneticPr fontId="1" type="noConversion"/>
  </si>
  <si>
    <t>平安银行</t>
    <phoneticPr fontId="49" type="noConversion"/>
  </si>
  <si>
    <t>*ST国华</t>
  </si>
  <si>
    <t>全新好</t>
  </si>
  <si>
    <t>金隅冀东</t>
  </si>
  <si>
    <t>合百集团</t>
  </si>
  <si>
    <t>ST张家界</t>
  </si>
  <si>
    <t>ST晨鸣</t>
  </si>
  <si>
    <t>*ST生物</t>
  </si>
  <si>
    <t>招金黄金</t>
  </si>
  <si>
    <t>*ST四环</t>
  </si>
  <si>
    <t>红太阳</t>
  </si>
  <si>
    <t>天府文旅</t>
  </si>
  <si>
    <t>供销大集</t>
  </si>
  <si>
    <t>*ST宝实</t>
  </si>
  <si>
    <t>*ST阳光</t>
  </si>
  <si>
    <t>ST中迪</t>
  </si>
  <si>
    <t>盈新发展</t>
  </si>
  <si>
    <t>顺发恒能</t>
  </si>
  <si>
    <t>茂化实华</t>
  </si>
  <si>
    <t>*ST万方</t>
  </si>
  <si>
    <t>*ST荣控</t>
  </si>
  <si>
    <t>博源化工</t>
  </si>
  <si>
    <t>*ST亚太</t>
  </si>
  <si>
    <t>惠天热电</t>
  </si>
  <si>
    <t>ST炼石</t>
  </si>
  <si>
    <t>ST京蓝</t>
  </si>
  <si>
    <t>国投丰乐</t>
  </si>
  <si>
    <t>*ST中地</t>
  </si>
  <si>
    <t>ST西发</t>
  </si>
  <si>
    <t>恒申新材</t>
  </si>
  <si>
    <t>居然智家</t>
  </si>
  <si>
    <t>凯撒旅业</t>
  </si>
  <si>
    <t>和展能源</t>
  </si>
  <si>
    <t>*ST节能</t>
  </si>
  <si>
    <t>国安股份</t>
  </si>
  <si>
    <t>中嘉博创</t>
  </si>
  <si>
    <t>ST云动</t>
  </si>
  <si>
    <t>*ST兰黄</t>
  </si>
  <si>
    <t>*ST中基</t>
  </si>
  <si>
    <t>山金国际</t>
  </si>
  <si>
    <t>001221.SZ</t>
  </si>
  <si>
    <t>悍高集团</t>
  </si>
  <si>
    <t>*ST铖昌</t>
  </si>
  <si>
    <t>001277.SZ</t>
  </si>
  <si>
    <t>速达股份</t>
  </si>
  <si>
    <t>001279.SZ</t>
  </si>
  <si>
    <t>强邦新材</t>
  </si>
  <si>
    <t>001335.SZ</t>
  </si>
  <si>
    <t>信凯科技</t>
  </si>
  <si>
    <t>001356.SZ</t>
  </si>
  <si>
    <t>富岭股份</t>
  </si>
  <si>
    <t>001382.SZ</t>
  </si>
  <si>
    <t>新亚电缆</t>
  </si>
  <si>
    <t>001388.SZ</t>
  </si>
  <si>
    <t>信通电子</t>
  </si>
  <si>
    <t>001390.SZ</t>
  </si>
  <si>
    <t>古麒绒材</t>
  </si>
  <si>
    <t>001391.SZ</t>
  </si>
  <si>
    <t>国货航</t>
  </si>
  <si>
    <t>001395.SZ</t>
  </si>
  <si>
    <t>亚联机械</t>
  </si>
  <si>
    <t>001400.SZ</t>
  </si>
  <si>
    <t>江顺科技</t>
  </si>
  <si>
    <t>中捷资源</t>
  </si>
  <si>
    <t>*ST宝鹰</t>
  </si>
  <si>
    <t>同洲电子</t>
  </si>
  <si>
    <t>*ST威尔</t>
  </si>
  <si>
    <t>*ST星光</t>
  </si>
  <si>
    <t>东方海洋</t>
  </si>
  <si>
    <t>正邦科技</t>
  </si>
  <si>
    <t>*ST惠程</t>
  </si>
  <si>
    <t>*ST东晶</t>
  </si>
  <si>
    <t>*ST交投</t>
  </si>
  <si>
    <t>九鼎新材</t>
  </si>
  <si>
    <t>ST宏达</t>
  </si>
  <si>
    <t>*ST大立</t>
  </si>
  <si>
    <t>*ST奥维</t>
  </si>
  <si>
    <t>步步高</t>
  </si>
  <si>
    <t>*ST智胜</t>
  </si>
  <si>
    <t>升达林业</t>
  </si>
  <si>
    <t>*ST宇顺</t>
  </si>
  <si>
    <t>中电鑫龙</t>
  </si>
  <si>
    <t>*ST南置</t>
  </si>
  <si>
    <t>*ST云网</t>
  </si>
  <si>
    <t>中利集团</t>
  </si>
  <si>
    <t>龙星科技</t>
  </si>
  <si>
    <t>广田集团</t>
  </si>
  <si>
    <t>山东墨龙</t>
  </si>
  <si>
    <t>*ST辉丰</t>
  </si>
  <si>
    <t>ST英飞拓</t>
  </si>
  <si>
    <t>*ST海源</t>
  </si>
  <si>
    <t>天沃科技</t>
  </si>
  <si>
    <t>*ST步森</t>
  </si>
  <si>
    <t>ST未名</t>
  </si>
  <si>
    <t>ST瑞和</t>
  </si>
  <si>
    <t>ST华西</t>
  </si>
  <si>
    <t>雪人集团</t>
  </si>
  <si>
    <t>*ST仁东</t>
  </si>
  <si>
    <t>ST加加</t>
  </si>
  <si>
    <t>*ST摩登</t>
  </si>
  <si>
    <t>峰璟股份</t>
  </si>
  <si>
    <t>TCL智家</t>
  </si>
  <si>
    <t>*ST双成</t>
  </si>
  <si>
    <t>万憬能源</t>
  </si>
  <si>
    <t>*ST东易</t>
  </si>
  <si>
    <t>ST岭南</t>
  </si>
  <si>
    <t>金一文化</t>
  </si>
  <si>
    <t>*ST三圣</t>
  </si>
  <si>
    <t>*ST金比</t>
  </si>
  <si>
    <t>*ST建艺</t>
  </si>
  <si>
    <t>帝欧水华</t>
  </si>
  <si>
    <t>天顺股份</t>
  </si>
  <si>
    <t>*ST恒久</t>
  </si>
  <si>
    <t>*ST高斯</t>
  </si>
  <si>
    <t>*ST绿康</t>
  </si>
  <si>
    <t>*ST赛隆</t>
  </si>
  <si>
    <t>金时科技</t>
  </si>
  <si>
    <t>*ST声迅</t>
  </si>
  <si>
    <t>同兴科技</t>
  </si>
  <si>
    <t>*ST传智</t>
  </si>
  <si>
    <t>豆神教育</t>
  </si>
  <si>
    <t>ST银江</t>
  </si>
  <si>
    <t>*ST天龙</t>
  </si>
  <si>
    <t>ST赛为</t>
  </si>
  <si>
    <t>ST中青宝</t>
  </si>
  <si>
    <t>*ST金刚</t>
  </si>
  <si>
    <t>ST智云</t>
  </si>
  <si>
    <t>*ST聆达</t>
  </si>
  <si>
    <t>南方泵业</t>
  </si>
  <si>
    <t>ST香雪</t>
  </si>
  <si>
    <t>ST新动力</t>
  </si>
  <si>
    <t>*ST新研</t>
  </si>
  <si>
    <t>ST天瑞</t>
  </si>
  <si>
    <t>ST朗源</t>
  </si>
  <si>
    <t>鸿特科技</t>
  </si>
  <si>
    <t>神农种业</t>
  </si>
  <si>
    <t>ST纳川</t>
  </si>
  <si>
    <t>*ST天喻</t>
  </si>
  <si>
    <t>*ST亿通</t>
  </si>
  <si>
    <t>金运激光</t>
  </si>
  <si>
    <t>*ST金泰</t>
  </si>
  <si>
    <t>ST长方</t>
  </si>
  <si>
    <t>ST任子行</t>
  </si>
  <si>
    <t>ST凯利</t>
  </si>
  <si>
    <t>ST开元</t>
  </si>
  <si>
    <t>ST联创</t>
  </si>
  <si>
    <t>鼎捷数智</t>
  </si>
  <si>
    <t>富邦科技</t>
  </si>
  <si>
    <t>*ST长药</t>
  </si>
  <si>
    <t>ST浩丰</t>
  </si>
  <si>
    <t>华智数媒</t>
  </si>
  <si>
    <t>红相股份</t>
  </si>
  <si>
    <t>ST华铭</t>
  </si>
  <si>
    <t>*ST新元</t>
  </si>
  <si>
    <t>ST合纵</t>
  </si>
  <si>
    <t>ST名家汇</t>
  </si>
  <si>
    <t>ST应急</t>
  </si>
  <si>
    <t>长芯博创</t>
  </si>
  <si>
    <t>*ST汇科</t>
  </si>
  <si>
    <t>天铁科技</t>
  </si>
  <si>
    <t>ST泉为</t>
  </si>
  <si>
    <t>300784.SZ</t>
  </si>
  <si>
    <t>利安科技</t>
  </si>
  <si>
    <t>建科智能</t>
  </si>
  <si>
    <t>西域旅游</t>
  </si>
  <si>
    <t>松原安全</t>
  </si>
  <si>
    <t>*ST凯鑫</t>
  </si>
  <si>
    <t>玉马科技</t>
  </si>
  <si>
    <t>青木科技</t>
  </si>
  <si>
    <t>联检科技</t>
  </si>
  <si>
    <t>武汉天源</t>
  </si>
  <si>
    <t>301173.SZ</t>
  </si>
  <si>
    <t>毓恬冠佳</t>
  </si>
  <si>
    <t>力诺药包</t>
  </si>
  <si>
    <t>华康洁净</t>
  </si>
  <si>
    <t>301275.SZ</t>
  </si>
  <si>
    <t>汉朔科技</t>
  </si>
  <si>
    <t>*ST清研</t>
  </si>
  <si>
    <t>朗坤科技</t>
  </si>
  <si>
    <t>瑞迈特</t>
  </si>
  <si>
    <t>301392.SZ</t>
  </si>
  <si>
    <t>汇成真空</t>
  </si>
  <si>
    <t>301458.SZ</t>
  </si>
  <si>
    <t>钧崴电子</t>
  </si>
  <si>
    <t>301479.SZ</t>
  </si>
  <si>
    <t>弘景光电</t>
  </si>
  <si>
    <t>301491.SZ</t>
  </si>
  <si>
    <t>汉桑科技</t>
  </si>
  <si>
    <t>301501.SZ</t>
  </si>
  <si>
    <t>恒鑫生活</t>
  </si>
  <si>
    <t>301522.SZ</t>
  </si>
  <si>
    <t>上大股份</t>
  </si>
  <si>
    <t>301535.SZ</t>
  </si>
  <si>
    <t>浙江华远</t>
  </si>
  <si>
    <t>301551.SZ</t>
  </si>
  <si>
    <t>无线传媒</t>
  </si>
  <si>
    <t>301552.SZ</t>
  </si>
  <si>
    <t>科力装备</t>
  </si>
  <si>
    <t>301556.SZ</t>
  </si>
  <si>
    <t>托普云农</t>
  </si>
  <si>
    <t>301557.SZ</t>
  </si>
  <si>
    <t>常友科技</t>
  </si>
  <si>
    <t>301560.SZ</t>
  </si>
  <si>
    <t>众捷汽车</t>
  </si>
  <si>
    <t>301565.SZ</t>
  </si>
  <si>
    <t>中仑新材</t>
  </si>
  <si>
    <t>301571.SZ</t>
  </si>
  <si>
    <t>国科天成</t>
  </si>
  <si>
    <t>301575.SZ</t>
  </si>
  <si>
    <t>艾芬达</t>
  </si>
  <si>
    <t>301580.SZ</t>
  </si>
  <si>
    <t>爱迪特</t>
  </si>
  <si>
    <t>301581.SZ</t>
  </si>
  <si>
    <t>黄山谷捷</t>
  </si>
  <si>
    <t>301585.SZ</t>
  </si>
  <si>
    <t>蓝宇股份</t>
  </si>
  <si>
    <t>301586.SZ</t>
  </si>
  <si>
    <t>佳力奇</t>
  </si>
  <si>
    <t>301590.SZ</t>
  </si>
  <si>
    <t>优优绿能</t>
  </si>
  <si>
    <t>301592.SZ</t>
  </si>
  <si>
    <t>六九一二</t>
  </si>
  <si>
    <t>301595.SZ</t>
  </si>
  <si>
    <t>太力科技</t>
  </si>
  <si>
    <t>301596.SZ</t>
  </si>
  <si>
    <t>瑞迪智驱</t>
  </si>
  <si>
    <t>301598.SZ</t>
  </si>
  <si>
    <t>博科测试</t>
  </si>
  <si>
    <t>301600.SZ</t>
  </si>
  <si>
    <t>慧翰股份</t>
  </si>
  <si>
    <t>301601.SZ</t>
  </si>
  <si>
    <t>惠通科技</t>
  </si>
  <si>
    <t>301602.SZ</t>
  </si>
  <si>
    <t>超研股份</t>
  </si>
  <si>
    <t>301603.SZ</t>
  </si>
  <si>
    <t>乔锋智能</t>
  </si>
  <si>
    <t>301606.SZ</t>
  </si>
  <si>
    <t>绿联科技</t>
  </si>
  <si>
    <t>301607.SZ</t>
  </si>
  <si>
    <t>富特科技</t>
  </si>
  <si>
    <t>301608.SZ</t>
  </si>
  <si>
    <t>博实结</t>
  </si>
  <si>
    <t>301609.SZ</t>
  </si>
  <si>
    <t>山大电力</t>
  </si>
  <si>
    <t>301611.SZ</t>
  </si>
  <si>
    <t>珂玛科技</t>
  </si>
  <si>
    <t>301613.SZ</t>
  </si>
  <si>
    <t>新铝时代</t>
  </si>
  <si>
    <t>301616.SZ</t>
  </si>
  <si>
    <t>浙江华业</t>
  </si>
  <si>
    <t>301617.SZ</t>
  </si>
  <si>
    <t>博苑股份</t>
  </si>
  <si>
    <t>301618.SZ</t>
  </si>
  <si>
    <t>长联科技</t>
  </si>
  <si>
    <t>301622.SZ</t>
  </si>
  <si>
    <t>英思特</t>
  </si>
  <si>
    <t>301626.SZ</t>
  </si>
  <si>
    <t>苏州天脉</t>
  </si>
  <si>
    <t>301628.SZ</t>
  </si>
  <si>
    <t>强达电路</t>
  </si>
  <si>
    <t>301629.SZ</t>
  </si>
  <si>
    <t>矽电股份</t>
  </si>
  <si>
    <t>301630.SZ</t>
  </si>
  <si>
    <t>同宇新材</t>
  </si>
  <si>
    <t>301631.SZ</t>
  </si>
  <si>
    <t>壹连科技</t>
  </si>
  <si>
    <t>301632.SZ</t>
  </si>
  <si>
    <t>广东建科</t>
  </si>
  <si>
    <t>301633.SZ</t>
  </si>
  <si>
    <t>港迪技术</t>
  </si>
  <si>
    <t>301636.SZ</t>
  </si>
  <si>
    <t>泽润新能</t>
  </si>
  <si>
    <t>301658.SZ</t>
  </si>
  <si>
    <t>首航新能</t>
  </si>
  <si>
    <t>301662.SZ</t>
  </si>
  <si>
    <t>宏工科技</t>
  </si>
  <si>
    <t>301665.SZ</t>
  </si>
  <si>
    <t>泰禾股份</t>
  </si>
  <si>
    <t>301678.SZ</t>
  </si>
  <si>
    <t>新恒汇</t>
  </si>
  <si>
    <t>302132.SZ</t>
  </si>
  <si>
    <t>中航成飞</t>
  </si>
  <si>
    <t>东风股份</t>
  </si>
  <si>
    <t>冠城新材</t>
  </si>
  <si>
    <t>光明肉业</t>
  </si>
  <si>
    <t>澄星股份</t>
  </si>
  <si>
    <t>ST尔雅</t>
  </si>
  <si>
    <t>西宁特钢</t>
  </si>
  <si>
    <t>*ST波导</t>
  </si>
  <si>
    <t>ST明诚</t>
  </si>
  <si>
    <t>卧龙新能</t>
  </si>
  <si>
    <t>珠免集团</t>
  </si>
  <si>
    <t>莲花控股</t>
  </si>
  <si>
    <t>*ST创兴</t>
  </si>
  <si>
    <t>衢州发展</t>
  </si>
  <si>
    <t>亨通股份</t>
  </si>
  <si>
    <t>*ST返利</t>
  </si>
  <si>
    <t>*ST椰岛</t>
  </si>
  <si>
    <t>*ST海华</t>
  </si>
  <si>
    <t>苏豪时尚</t>
  </si>
  <si>
    <t>曙光股份</t>
  </si>
  <si>
    <t>*ST精伦</t>
  </si>
  <si>
    <t>ST联合</t>
  </si>
  <si>
    <t>*ST华微</t>
  </si>
  <si>
    <t>汉马科技</t>
  </si>
  <si>
    <t>*ST春天</t>
  </si>
  <si>
    <t>华电辽能</t>
  </si>
  <si>
    <t>*ST华嵘</t>
  </si>
  <si>
    <t>康美药业</t>
  </si>
  <si>
    <t>三佳科技</t>
  </si>
  <si>
    <t>ST长园</t>
  </si>
  <si>
    <t>交大昂立</t>
  </si>
  <si>
    <t>莫高股份</t>
  </si>
  <si>
    <t>中化装备</t>
  </si>
  <si>
    <t>大位科技</t>
  </si>
  <si>
    <t>*ST熊猫</t>
  </si>
  <si>
    <t>*ST沪科</t>
  </si>
  <si>
    <t>鑫源智造</t>
  </si>
  <si>
    <t>*ST国化</t>
  </si>
  <si>
    <t>中安科</t>
  </si>
  <si>
    <t>奥瑞德</t>
  </si>
  <si>
    <t>天目药业</t>
  </si>
  <si>
    <t>潞化科技</t>
  </si>
  <si>
    <t>*ST岩石</t>
  </si>
  <si>
    <t>实达集团</t>
  </si>
  <si>
    <t>富维股份</t>
  </si>
  <si>
    <t>华远控股</t>
  </si>
  <si>
    <t>*ST海钦</t>
  </si>
  <si>
    <t>洲际油气</t>
  </si>
  <si>
    <t>*ST新潮</t>
  </si>
  <si>
    <t>济高发展</t>
  </si>
  <si>
    <t>金煤科技</t>
  </si>
  <si>
    <t>*ST大晟</t>
  </si>
  <si>
    <t>600930.SH</t>
  </si>
  <si>
    <t>华电新能</t>
  </si>
  <si>
    <t>苏豪汇鸿</t>
  </si>
  <si>
    <t>国泰海通</t>
  </si>
  <si>
    <t>华电科工</t>
  </si>
  <si>
    <t>国联民生</t>
  </si>
  <si>
    <t>中创智领</t>
  </si>
  <si>
    <t>千里科技</t>
  </si>
  <si>
    <t>奥康国际</t>
  </si>
  <si>
    <t>*ST花王</t>
  </si>
  <si>
    <t>603014.SH</t>
  </si>
  <si>
    <t>威高血净</t>
  </si>
  <si>
    <t>ST华鹏</t>
  </si>
  <si>
    <t>石大胜华</t>
  </si>
  <si>
    <t>全筑股份</t>
  </si>
  <si>
    <t>603049.SH</t>
  </si>
  <si>
    <t>中策橡胶</t>
  </si>
  <si>
    <t>603072.SH</t>
  </si>
  <si>
    <t>天和磁材</t>
  </si>
  <si>
    <t>603091.SH</t>
  </si>
  <si>
    <t>众鑫股份</t>
  </si>
  <si>
    <t>万林物流</t>
  </si>
  <si>
    <t>603120.SH</t>
  </si>
  <si>
    <t>肯特催化</t>
  </si>
  <si>
    <t>603124.SH</t>
  </si>
  <si>
    <t>江南新材</t>
  </si>
  <si>
    <t>金牌家居</t>
  </si>
  <si>
    <t>603194.SH</t>
  </si>
  <si>
    <t>中力股份</t>
  </si>
  <si>
    <t>603202.SH</t>
  </si>
  <si>
    <t>天有为</t>
  </si>
  <si>
    <t>603205.SH</t>
  </si>
  <si>
    <t>健尔康</t>
  </si>
  <si>
    <t>603207.SH</t>
  </si>
  <si>
    <t>小方制药</t>
  </si>
  <si>
    <t>603210.SH</t>
  </si>
  <si>
    <t>泰鸿万立</t>
  </si>
  <si>
    <t>济民健康</t>
  </si>
  <si>
    <t>603257.SH</t>
  </si>
  <si>
    <t>中国瑞林</t>
  </si>
  <si>
    <t>*ST立航</t>
  </si>
  <si>
    <t>603262.SH</t>
  </si>
  <si>
    <t>技源集团</t>
  </si>
  <si>
    <t>*ST松发</t>
  </si>
  <si>
    <t>603271.SH</t>
  </si>
  <si>
    <t>永杰新材</t>
  </si>
  <si>
    <t>603285.SH</t>
  </si>
  <si>
    <t>键邦股份</t>
  </si>
  <si>
    <t>海南华铁</t>
  </si>
  <si>
    <t>603310.SH</t>
  </si>
  <si>
    <t>巍华新材</t>
  </si>
  <si>
    <t>美湖股份</t>
  </si>
  <si>
    <t>盛剑科技</t>
  </si>
  <si>
    <t>杰克科技</t>
  </si>
  <si>
    <t>603350.SH</t>
  </si>
  <si>
    <t>安乃达</t>
  </si>
  <si>
    <t>603370.SH</t>
  </si>
  <si>
    <t>华新精科</t>
  </si>
  <si>
    <t>ST东时</t>
  </si>
  <si>
    <t>603381.SH</t>
  </si>
  <si>
    <t>永臻股份</t>
  </si>
  <si>
    <t>603382.SH</t>
  </si>
  <si>
    <t>海阳科技</t>
  </si>
  <si>
    <t>*ST亚振</t>
  </si>
  <si>
    <t>603391.SH</t>
  </si>
  <si>
    <t>力聚热能</t>
  </si>
  <si>
    <t>603395.SH</t>
  </si>
  <si>
    <t>红四方</t>
  </si>
  <si>
    <t>*ST沐邦</t>
  </si>
  <si>
    <t>永杉锂业</t>
  </si>
  <si>
    <t>603400.SH</t>
  </si>
  <si>
    <t>华之杰</t>
  </si>
  <si>
    <t>603406.SH</t>
  </si>
  <si>
    <t>天富龙</t>
  </si>
  <si>
    <t>603409.SH</t>
  </si>
  <si>
    <t>汇通控股</t>
  </si>
  <si>
    <t>豪威集团</t>
  </si>
  <si>
    <t>奥普科技</t>
  </si>
  <si>
    <t>*ST艾艾</t>
  </si>
  <si>
    <t>天域生物</t>
  </si>
  <si>
    <t>*ST天择</t>
  </si>
  <si>
    <t>*ST星农</t>
  </si>
  <si>
    <t>洪田股份</t>
  </si>
  <si>
    <t>*ST原尚</t>
  </si>
  <si>
    <t>ST华扬</t>
  </si>
  <si>
    <t>ST柯利达</t>
  </si>
  <si>
    <t>*ST四通</t>
  </si>
  <si>
    <t>*ST正平</t>
  </si>
  <si>
    <t>ST智知</t>
  </si>
  <si>
    <t>南卫股份</t>
  </si>
  <si>
    <t>丸美生物</t>
  </si>
  <si>
    <t>*ST太和</t>
  </si>
  <si>
    <t>ST葫芦娃</t>
  </si>
  <si>
    <t>奥福科技</t>
  </si>
  <si>
    <t>天宜新材</t>
  </si>
  <si>
    <t>ST诺泰</t>
  </si>
  <si>
    <t>国力电子</t>
  </si>
  <si>
    <t>ST帕瓦</t>
  </si>
  <si>
    <t>富吉瑞</t>
  </si>
  <si>
    <t>*ST观典</t>
  </si>
  <si>
    <t>微电生理</t>
  </si>
  <si>
    <t>中科飞测</t>
  </si>
  <si>
    <t>688411.SH</t>
  </si>
  <si>
    <t>海博思创</t>
  </si>
  <si>
    <t>688449.SH</t>
  </si>
  <si>
    <t>联芸科技</t>
  </si>
  <si>
    <t>慧辰股份</t>
  </si>
  <si>
    <t>百利天恒</t>
  </si>
  <si>
    <t>*ST天微</t>
  </si>
  <si>
    <t>神州细胞</t>
  </si>
  <si>
    <t>688530.SH</t>
  </si>
  <si>
    <t>欧莱新材</t>
  </si>
  <si>
    <t>688545.SH</t>
  </si>
  <si>
    <t>兴福电子</t>
  </si>
  <si>
    <t>688583.SH</t>
  </si>
  <si>
    <t>思看科技</t>
  </si>
  <si>
    <t>688605.SH</t>
  </si>
  <si>
    <t>先锋精科</t>
  </si>
  <si>
    <t>688615.SH</t>
  </si>
  <si>
    <t>合合信息</t>
  </si>
  <si>
    <t>ST逸飞</t>
  </si>
  <si>
    <t>688692.SH</t>
  </si>
  <si>
    <t>达梦数据</t>
  </si>
  <si>
    <t>688708.SH</t>
  </si>
  <si>
    <t>佳驰科技</t>
  </si>
  <si>
    <t>688710.SH</t>
  </si>
  <si>
    <t>益诺思</t>
  </si>
  <si>
    <t>688721.SH</t>
  </si>
  <si>
    <t>龙图光罩</t>
  </si>
  <si>
    <t>688726.SH</t>
  </si>
  <si>
    <t>拉普拉斯</t>
  </si>
  <si>
    <t>688729.SH</t>
  </si>
  <si>
    <t>屹唐股份</t>
  </si>
  <si>
    <t>688750.SH</t>
  </si>
  <si>
    <t>金天钛业</t>
  </si>
  <si>
    <t>688755.SH</t>
  </si>
  <si>
    <t>汉邦科技</t>
  </si>
  <si>
    <t>688757.SH</t>
  </si>
  <si>
    <t>胜科纳米</t>
  </si>
  <si>
    <t>688758.SH</t>
  </si>
  <si>
    <t>赛分科技</t>
  </si>
  <si>
    <t>688775.SH</t>
  </si>
  <si>
    <t>影石创新</t>
  </si>
  <si>
    <t>五矿新能</t>
  </si>
  <si>
    <t>基康技术</t>
  </si>
  <si>
    <t>三维装备</t>
  </si>
  <si>
    <t>*ST云创</t>
  </si>
  <si>
    <t>春光智能</t>
  </si>
  <si>
    <t>920002.BJ</t>
  </si>
  <si>
    <t>万达轴承</t>
  </si>
  <si>
    <t>920005.BJ</t>
  </si>
  <si>
    <t>鼎佳精密</t>
  </si>
  <si>
    <t>920007.BJ</t>
  </si>
  <si>
    <t>酉立智能</t>
  </si>
  <si>
    <t>920008.BJ</t>
  </si>
  <si>
    <t>成电光信</t>
  </si>
  <si>
    <t>920016.BJ</t>
  </si>
  <si>
    <t>中草香料</t>
  </si>
  <si>
    <t>920018.BJ</t>
  </si>
  <si>
    <t>宏远股份</t>
  </si>
  <si>
    <t>920019.BJ</t>
  </si>
  <si>
    <t>铜冠矿建</t>
  </si>
  <si>
    <t>920022.BJ</t>
  </si>
  <si>
    <t>世昌股份</t>
  </si>
  <si>
    <t>920027.BJ</t>
  </si>
  <si>
    <t>交大铁发</t>
  </si>
  <si>
    <t>920029.BJ</t>
  </si>
  <si>
    <t>开发科技</t>
  </si>
  <si>
    <t>920037.BJ</t>
  </si>
  <si>
    <t>广信科技</t>
  </si>
  <si>
    <t>920056.BJ</t>
  </si>
  <si>
    <t>能之光</t>
  </si>
  <si>
    <t>920060.BJ</t>
  </si>
  <si>
    <t>万源通</t>
  </si>
  <si>
    <t>920066.BJ</t>
  </si>
  <si>
    <t>科拜尔</t>
  </si>
  <si>
    <t>920068.BJ</t>
  </si>
  <si>
    <t>天工股份</t>
  </si>
  <si>
    <t>920082.BJ</t>
  </si>
  <si>
    <t>方正阀门</t>
  </si>
  <si>
    <t>920088.BJ</t>
  </si>
  <si>
    <t>科力股份</t>
  </si>
  <si>
    <t>920098.BJ</t>
  </si>
  <si>
    <t>科隆新材</t>
  </si>
  <si>
    <t>920099.BJ</t>
  </si>
  <si>
    <t>瑞华技术</t>
  </si>
  <si>
    <t>920100.BJ</t>
  </si>
  <si>
    <t>三协电机</t>
  </si>
  <si>
    <t>920101.BJ</t>
  </si>
  <si>
    <t>志高机械</t>
  </si>
  <si>
    <t>920106.BJ</t>
  </si>
  <si>
    <t>林泰新材</t>
  </si>
  <si>
    <t>920108.BJ</t>
  </si>
  <si>
    <t>宏海科技</t>
  </si>
  <si>
    <t>920111.BJ</t>
  </si>
  <si>
    <t>聚星科技</t>
  </si>
  <si>
    <t>920112.BJ</t>
  </si>
  <si>
    <t>巴兰仕</t>
  </si>
  <si>
    <t>920116.BJ</t>
  </si>
  <si>
    <t>星图测控</t>
  </si>
  <si>
    <t>920118.BJ</t>
  </si>
  <si>
    <t>太湖远大</t>
  </si>
  <si>
    <t>920128.BJ</t>
  </si>
  <si>
    <t>胜业电气</t>
  </si>
  <si>
    <t>920167.BJ</t>
  </si>
  <si>
    <t>920445.BJ</t>
  </si>
  <si>
    <t>920489.BJ</t>
  </si>
  <si>
    <t>920682.BJ</t>
  </si>
  <si>
    <t>920799.BJ</t>
  </si>
  <si>
    <t>920819.BJ</t>
  </si>
  <si>
    <t>沪深300_x0000__x0000_</t>
  </si>
  <si>
    <t>绿发电力</t>
  </si>
  <si>
    <t>古汉医药</t>
  </si>
  <si>
    <t>ST沈化</t>
  </si>
  <si>
    <t>*ST华闻</t>
  </si>
  <si>
    <t>ST京机</t>
  </si>
  <si>
    <t>电投绿能</t>
  </si>
  <si>
    <t>*ST景峰</t>
  </si>
  <si>
    <t>001220.SZ</t>
  </si>
  <si>
    <t>世盟股份</t>
  </si>
  <si>
    <t>001233.SZ</t>
  </si>
  <si>
    <t>海安集团</t>
  </si>
  <si>
    <t>001280.SZ</t>
  </si>
  <si>
    <t>中国铀业</t>
  </si>
  <si>
    <t>001285.SZ</t>
  </si>
  <si>
    <t>瑞立科密</t>
  </si>
  <si>
    <t>001325.SZ</t>
  </si>
  <si>
    <t>元创股份</t>
  </si>
  <si>
    <t>001369.SZ</t>
  </si>
  <si>
    <t>双欣材料</t>
  </si>
  <si>
    <t>001386.SZ</t>
  </si>
  <si>
    <t>马可波罗</t>
  </si>
  <si>
    <t>001396.SZ</t>
  </si>
  <si>
    <t>誉帆科技</t>
  </si>
  <si>
    <t>ST得润</t>
  </si>
  <si>
    <t>ST汇洲</t>
  </si>
  <si>
    <t>钛能化学</t>
  </si>
  <si>
    <t>正泰电源</t>
  </si>
  <si>
    <t>证通电子</t>
  </si>
  <si>
    <t>东方新能</t>
  </si>
  <si>
    <t>宏桥控股</t>
  </si>
  <si>
    <t>新亚制程</t>
  </si>
  <si>
    <t>ST百灵</t>
  </si>
  <si>
    <t>凯撒文化</t>
  </si>
  <si>
    <t>ST达华</t>
  </si>
  <si>
    <t>ST围海</t>
  </si>
  <si>
    <t>世纪华通</t>
  </si>
  <si>
    <t>国盛证券</t>
  </si>
  <si>
    <t>ST远智</t>
  </si>
  <si>
    <t>ST萃华</t>
  </si>
  <si>
    <t>ST中装</t>
  </si>
  <si>
    <t>福瑞医科</t>
  </si>
  <si>
    <t>思创智联</t>
  </si>
  <si>
    <t>*ST金灵</t>
  </si>
  <si>
    <t>先河环保</t>
  </si>
  <si>
    <t>ST福能</t>
  </si>
  <si>
    <t>行云科技</t>
  </si>
  <si>
    <t>ST美晨</t>
  </si>
  <si>
    <t>*ST立方</t>
  </si>
  <si>
    <t>ST创意</t>
  </si>
  <si>
    <t>易事特</t>
  </si>
  <si>
    <t>ST惠伦</t>
  </si>
  <si>
    <t>会畅科技</t>
  </si>
  <si>
    <t>朗新科技</t>
  </si>
  <si>
    <t>中赋科技</t>
  </si>
  <si>
    <t>汉嘉数智</t>
  </si>
  <si>
    <t>中伟新材</t>
  </si>
  <si>
    <t>奕帆传动</t>
  </si>
  <si>
    <t>鼎熔岩</t>
  </si>
  <si>
    <t>金杨精密</t>
  </si>
  <si>
    <t>301449.SZ</t>
  </si>
  <si>
    <t>天溯计量</t>
  </si>
  <si>
    <t>斯菱智驱</t>
  </si>
  <si>
    <t>301563.SZ</t>
  </si>
  <si>
    <t>云汉芯城</t>
  </si>
  <si>
    <t>301584.SZ</t>
  </si>
  <si>
    <t>建发致新</t>
  </si>
  <si>
    <t>301638.SZ</t>
  </si>
  <si>
    <t>南网数字</t>
  </si>
  <si>
    <t>301656.SZ</t>
  </si>
  <si>
    <t>联合动力</t>
  </si>
  <si>
    <t>301667.SZ</t>
  </si>
  <si>
    <t>纳百川</t>
  </si>
  <si>
    <t>301668.SZ</t>
  </si>
  <si>
    <t>昊创瑞通</t>
  </si>
  <si>
    <t>301680.SZ</t>
  </si>
  <si>
    <t>C固德电</t>
  </si>
  <si>
    <t>301687.SZ</t>
  </si>
  <si>
    <t>新广益</t>
  </si>
  <si>
    <t>ST人福</t>
  </si>
  <si>
    <t>ST宁科</t>
  </si>
  <si>
    <t>ST太重</t>
  </si>
  <si>
    <t>中稀有色</t>
  </si>
  <si>
    <t>电投水电</t>
  </si>
  <si>
    <t>江钨装备</t>
  </si>
  <si>
    <t>广汇物流</t>
  </si>
  <si>
    <t>ST复华</t>
  </si>
  <si>
    <t>先导基电</t>
  </si>
  <si>
    <t>ST新华锦</t>
  </si>
  <si>
    <t>华润江中</t>
  </si>
  <si>
    <t>华新建材</t>
  </si>
  <si>
    <t>广电网络</t>
  </si>
  <si>
    <t>华能蒙电</t>
  </si>
  <si>
    <t>北投科技</t>
  </si>
  <si>
    <t>601026.SH</t>
  </si>
  <si>
    <t>道生天合</t>
  </si>
  <si>
    <t>601112.SH</t>
  </si>
  <si>
    <t>振石股份</t>
  </si>
  <si>
    <t>衢州东峰</t>
  </si>
  <si>
    <t>603092.SH</t>
  </si>
  <si>
    <t>德力佳</t>
  </si>
  <si>
    <t>康惠股份</t>
  </si>
  <si>
    <t>603175.SH</t>
  </si>
  <si>
    <t>超颖电子</t>
  </si>
  <si>
    <t>603248.SH</t>
  </si>
  <si>
    <t>锡华科技</t>
  </si>
  <si>
    <t>603284.SH</t>
  </si>
  <si>
    <t>林平发展</t>
  </si>
  <si>
    <t>603334.SH</t>
  </si>
  <si>
    <t>丰倍生物</t>
  </si>
  <si>
    <t>603352.SH</t>
  </si>
  <si>
    <t>至信股份</t>
  </si>
  <si>
    <t>603376.SH</t>
  </si>
  <si>
    <t>大明电子</t>
  </si>
  <si>
    <t>603402.SH</t>
  </si>
  <si>
    <t>陕西旅游</t>
  </si>
  <si>
    <t>603418.SH</t>
  </si>
  <si>
    <t>友升股份</t>
  </si>
  <si>
    <t>三力制药</t>
  </si>
  <si>
    <t>ST绝味</t>
  </si>
  <si>
    <t>ST东尼</t>
  </si>
  <si>
    <t>ST嘉澳</t>
  </si>
  <si>
    <t>同力天启</t>
  </si>
  <si>
    <t>ST思科瑞</t>
  </si>
  <si>
    <t>路德科技</t>
  </si>
  <si>
    <t>鸿泉技术</t>
  </si>
  <si>
    <t>复洁科技</t>
  </si>
  <si>
    <t>地纬智能</t>
  </si>
  <si>
    <t>688712.SH</t>
  </si>
  <si>
    <t>北芯生命-U</t>
  </si>
  <si>
    <t>688727.SH</t>
  </si>
  <si>
    <t>恒坤新材</t>
  </si>
  <si>
    <t>688759.SH</t>
  </si>
  <si>
    <t>必贝特-U</t>
  </si>
  <si>
    <t>688765.SH</t>
  </si>
  <si>
    <t>禾元生物-U</t>
  </si>
  <si>
    <t>688783.SH</t>
  </si>
  <si>
    <t>西安奕材-U</t>
  </si>
  <si>
    <t>688785.SH</t>
  </si>
  <si>
    <t>恒运昌</t>
  </si>
  <si>
    <t>688790.SH</t>
  </si>
  <si>
    <t>昂瑞微-UW</t>
  </si>
  <si>
    <t>688795.SH</t>
  </si>
  <si>
    <t>摩尔线程-U</t>
  </si>
  <si>
    <t>688796.SH</t>
  </si>
  <si>
    <t>百奥赛图</t>
  </si>
  <si>
    <t>688802.SH</t>
  </si>
  <si>
    <t>沐曦股份-U</t>
  </si>
  <si>
    <t>688805.SH</t>
  </si>
  <si>
    <t>健信超导</t>
  </si>
  <si>
    <t>688807.SH</t>
  </si>
  <si>
    <t>优迅股份</t>
  </si>
  <si>
    <t>688809.SH</t>
  </si>
  <si>
    <t>强一股份</t>
  </si>
  <si>
    <t>688816.SH</t>
  </si>
  <si>
    <t>易思维</t>
  </si>
  <si>
    <t>688818.SH</t>
  </si>
  <si>
    <t>电科蓝天</t>
  </si>
  <si>
    <t>920000.BJ</t>
  </si>
  <si>
    <t>920001.BJ</t>
  </si>
  <si>
    <t>920003.BJ</t>
  </si>
  <si>
    <t>中诚咨询</t>
  </si>
  <si>
    <t>920006.BJ</t>
  </si>
  <si>
    <t>920009.BJ</t>
  </si>
  <si>
    <t>丹娜生物</t>
  </si>
  <si>
    <t>920010.BJ</t>
  </si>
  <si>
    <t>920014.BJ</t>
  </si>
  <si>
    <t>920015.BJ</t>
  </si>
  <si>
    <t>锦华新材</t>
  </si>
  <si>
    <t>920017.BJ</t>
  </si>
  <si>
    <t>920020.BJ</t>
  </si>
  <si>
    <t>泰凯英</t>
  </si>
  <si>
    <t>920021.BJ</t>
  </si>
  <si>
    <t>920023.BJ</t>
  </si>
  <si>
    <t>920026.BJ</t>
  </si>
  <si>
    <t>920030.BJ</t>
  </si>
  <si>
    <t>920033.BJ</t>
  </si>
  <si>
    <t>920035.BJ</t>
  </si>
  <si>
    <t>精创电气</t>
  </si>
  <si>
    <t>920039.BJ</t>
  </si>
  <si>
    <t>920045.BJ</t>
  </si>
  <si>
    <t>蘅东光</t>
  </si>
  <si>
    <t>920046.BJ</t>
  </si>
  <si>
    <t>920047.BJ</t>
  </si>
  <si>
    <t>920050.BJ</t>
  </si>
  <si>
    <t>爱舍伦</t>
  </si>
  <si>
    <t>920057.BJ</t>
  </si>
  <si>
    <t>920058.BJ</t>
  </si>
  <si>
    <t>920061.BJ</t>
  </si>
  <si>
    <t>920062.BJ</t>
  </si>
  <si>
    <t>920075.BJ</t>
  </si>
  <si>
    <t>920076.BJ</t>
  </si>
  <si>
    <t>国亮新材</t>
  </si>
  <si>
    <t>920077.BJ</t>
  </si>
  <si>
    <t>920080.BJ</t>
  </si>
  <si>
    <t>奥美森</t>
  </si>
  <si>
    <t>920086.BJ</t>
  </si>
  <si>
    <t>科马材料</t>
  </si>
  <si>
    <t>920087.BJ</t>
  </si>
  <si>
    <t>920089.BJ</t>
  </si>
  <si>
    <t>920090.BJ</t>
  </si>
  <si>
    <t>920091.BJ</t>
  </si>
  <si>
    <t>大鹏工业</t>
  </si>
  <si>
    <t>920092.BJ</t>
  </si>
  <si>
    <t>920110.BJ</t>
  </si>
  <si>
    <t>920119.BJ</t>
  </si>
  <si>
    <t>美德乐</t>
  </si>
  <si>
    <t>920121.BJ</t>
  </si>
  <si>
    <t>江天科技</t>
  </si>
  <si>
    <t>920122.BJ</t>
  </si>
  <si>
    <t>920123.BJ</t>
  </si>
  <si>
    <t>920124.BJ</t>
  </si>
  <si>
    <t>南特科技</t>
  </si>
  <si>
    <t>920130.BJ</t>
  </si>
  <si>
    <t>920132.BJ</t>
  </si>
  <si>
    <t>920139.BJ</t>
  </si>
  <si>
    <t>920145.BJ</t>
  </si>
  <si>
    <t>920146.BJ</t>
  </si>
  <si>
    <t>920149.BJ</t>
  </si>
  <si>
    <t>920152.BJ</t>
  </si>
  <si>
    <t>920158.BJ</t>
  </si>
  <si>
    <t>长江能科</t>
  </si>
  <si>
    <t>920159.BJ</t>
  </si>
  <si>
    <t>农大科技</t>
  </si>
  <si>
    <t>920160.BJ</t>
  </si>
  <si>
    <t>北矿检测</t>
  </si>
  <si>
    <t>920163.BJ</t>
  </si>
  <si>
    <t>920166.BJ</t>
  </si>
  <si>
    <t>海圣医疗</t>
  </si>
  <si>
    <t>920168.BJ</t>
  </si>
  <si>
    <t>通宝光电</t>
  </si>
  <si>
    <t>920169.BJ</t>
  </si>
  <si>
    <t>920171.BJ</t>
  </si>
  <si>
    <t>920174.BJ</t>
  </si>
  <si>
    <t>920175.BJ</t>
  </si>
  <si>
    <t>920179.BJ</t>
  </si>
  <si>
    <t>920180.BJ</t>
  </si>
  <si>
    <t>爱得科技</t>
  </si>
  <si>
    <t>920183.BJ</t>
  </si>
  <si>
    <t>海菲曼</t>
  </si>
  <si>
    <t>920184.BJ</t>
  </si>
  <si>
    <t>920185.BJ</t>
  </si>
  <si>
    <t>920187.BJ</t>
  </si>
  <si>
    <t>通领科技</t>
  </si>
  <si>
    <t>920190.BJ</t>
  </si>
  <si>
    <t>920195.BJ</t>
  </si>
  <si>
    <t>920198.BJ</t>
  </si>
  <si>
    <t>920199.BJ</t>
  </si>
  <si>
    <t>920204.BJ</t>
  </si>
  <si>
    <t>920207.BJ</t>
  </si>
  <si>
    <t>920208.BJ</t>
  </si>
  <si>
    <t>920212.BJ</t>
  </si>
  <si>
    <t>920221.BJ</t>
  </si>
  <si>
    <t>920223.BJ</t>
  </si>
  <si>
    <t>920225.BJ</t>
  </si>
  <si>
    <t>920227.BJ</t>
  </si>
  <si>
    <t>920230.BJ</t>
  </si>
  <si>
    <t>920237.BJ</t>
  </si>
  <si>
    <t>920239.BJ</t>
  </si>
  <si>
    <t>920242.BJ</t>
  </si>
  <si>
    <t>920245.BJ</t>
  </si>
  <si>
    <t>920247.BJ</t>
  </si>
  <si>
    <t>920249.BJ</t>
  </si>
  <si>
    <t>920252.BJ</t>
  </si>
  <si>
    <t>920260.BJ</t>
  </si>
  <si>
    <t>920261.BJ</t>
  </si>
  <si>
    <t>920262.BJ</t>
  </si>
  <si>
    <t>920263.BJ</t>
  </si>
  <si>
    <t>920266.BJ</t>
  </si>
  <si>
    <t>920267.BJ</t>
  </si>
  <si>
    <t>920270.BJ</t>
  </si>
  <si>
    <t>920271.BJ</t>
  </si>
  <si>
    <t>920273.BJ</t>
  </si>
  <si>
    <t>920274.BJ</t>
  </si>
  <si>
    <t>920275.BJ</t>
  </si>
  <si>
    <t>920278.BJ</t>
  </si>
  <si>
    <t>920284.BJ</t>
  </si>
  <si>
    <t>920299.BJ</t>
  </si>
  <si>
    <t>920300.BJ</t>
  </si>
  <si>
    <t>920304.BJ</t>
  </si>
  <si>
    <t>920305.BJ</t>
  </si>
  <si>
    <t>920339.BJ</t>
  </si>
  <si>
    <t>920344.BJ</t>
  </si>
  <si>
    <t>920346.BJ</t>
  </si>
  <si>
    <t>920351.BJ</t>
  </si>
  <si>
    <t>920357.BJ</t>
  </si>
  <si>
    <t>920363.BJ</t>
  </si>
  <si>
    <t>920367.BJ</t>
  </si>
  <si>
    <t>920368.BJ</t>
  </si>
  <si>
    <t>920370.BJ</t>
  </si>
  <si>
    <t>920371.BJ</t>
  </si>
  <si>
    <t>920374.BJ</t>
  </si>
  <si>
    <t>920375.BJ</t>
  </si>
  <si>
    <t>920378.BJ</t>
  </si>
  <si>
    <t>920392.BJ</t>
  </si>
  <si>
    <t>920394.BJ</t>
  </si>
  <si>
    <t>920395.BJ</t>
  </si>
  <si>
    <t>920396.BJ</t>
  </si>
  <si>
    <t>920402.BJ</t>
  </si>
  <si>
    <t>920403.BJ</t>
  </si>
  <si>
    <t>920405.BJ</t>
  </si>
  <si>
    <t>920407.BJ</t>
  </si>
  <si>
    <t>920414.BJ</t>
  </si>
  <si>
    <t>920415.BJ</t>
  </si>
  <si>
    <t>920418.BJ</t>
  </si>
  <si>
    <t>920419.BJ</t>
  </si>
  <si>
    <t>920422.BJ</t>
  </si>
  <si>
    <t>920425.BJ</t>
  </si>
  <si>
    <t>920427.BJ</t>
  </si>
  <si>
    <t>920429.BJ</t>
  </si>
  <si>
    <t>920433.BJ</t>
  </si>
  <si>
    <t>920436.BJ</t>
  </si>
  <si>
    <t>920438.BJ</t>
  </si>
  <si>
    <t>920454.BJ</t>
  </si>
  <si>
    <t>920455.BJ</t>
  </si>
  <si>
    <t>920469.BJ</t>
  </si>
  <si>
    <t>920471.BJ</t>
  </si>
  <si>
    <t>920475.BJ</t>
  </si>
  <si>
    <t>920476.BJ</t>
  </si>
  <si>
    <t>920478.BJ</t>
  </si>
  <si>
    <t>920491.BJ</t>
  </si>
  <si>
    <t>920493.BJ</t>
  </si>
  <si>
    <t>920496.BJ</t>
  </si>
  <si>
    <t>920504.BJ</t>
  </si>
  <si>
    <t>920505.BJ</t>
  </si>
  <si>
    <t>920508.BJ</t>
  </si>
  <si>
    <t>920509.BJ</t>
  </si>
  <si>
    <t>920510.BJ</t>
  </si>
  <si>
    <t>920519.BJ</t>
  </si>
  <si>
    <t>920522.BJ</t>
  </si>
  <si>
    <t>920523.BJ</t>
  </si>
  <si>
    <t>920526.BJ</t>
  </si>
  <si>
    <t>920527.BJ</t>
  </si>
  <si>
    <t>920533.BJ</t>
  </si>
  <si>
    <t>920541.BJ</t>
  </si>
  <si>
    <t>920547.BJ</t>
  </si>
  <si>
    <t>920553.BJ</t>
  </si>
  <si>
    <t>920556.BJ</t>
  </si>
  <si>
    <t>920564.BJ</t>
  </si>
  <si>
    <t>920566.BJ</t>
  </si>
  <si>
    <t>920570.BJ</t>
  </si>
  <si>
    <t>920571.BJ</t>
  </si>
  <si>
    <t>920575.BJ</t>
  </si>
  <si>
    <t>920576.BJ</t>
  </si>
  <si>
    <t>920578.BJ</t>
  </si>
  <si>
    <t>920579.BJ</t>
  </si>
  <si>
    <t>920580.BJ</t>
  </si>
  <si>
    <t>920592.BJ</t>
  </si>
  <si>
    <t>920593.BJ</t>
  </si>
  <si>
    <t>920599.BJ</t>
  </si>
  <si>
    <t>920608.BJ</t>
  </si>
  <si>
    <t>920627.BJ</t>
  </si>
  <si>
    <t>920634.BJ</t>
  </si>
  <si>
    <t>920639.BJ</t>
  </si>
  <si>
    <t>920640.BJ</t>
  </si>
  <si>
    <t>920641.BJ</t>
  </si>
  <si>
    <t>920642.BJ</t>
  </si>
  <si>
    <t>920651.BJ</t>
  </si>
  <si>
    <t>920656.BJ</t>
  </si>
  <si>
    <t>920662.BJ</t>
  </si>
  <si>
    <t>920663.BJ</t>
  </si>
  <si>
    <t>920665.BJ</t>
  </si>
  <si>
    <t>920670.BJ</t>
  </si>
  <si>
    <t>920675.BJ</t>
  </si>
  <si>
    <t>920679.BJ</t>
  </si>
  <si>
    <t>920685.BJ</t>
  </si>
  <si>
    <t>920689.BJ</t>
  </si>
  <si>
    <t>920690.BJ</t>
  </si>
  <si>
    <t>920693.BJ</t>
  </si>
  <si>
    <t>920694.BJ</t>
  </si>
  <si>
    <t>920699.BJ</t>
  </si>
  <si>
    <t>920701.BJ</t>
  </si>
  <si>
    <t>920703.BJ</t>
  </si>
  <si>
    <t>920706.BJ</t>
  </si>
  <si>
    <t>920717.BJ</t>
  </si>
  <si>
    <t>920718.BJ</t>
  </si>
  <si>
    <t>920719.BJ</t>
  </si>
  <si>
    <t>920720.BJ</t>
  </si>
  <si>
    <t>920725.BJ</t>
  </si>
  <si>
    <t>920726.BJ</t>
  </si>
  <si>
    <t>920729.BJ</t>
  </si>
  <si>
    <t>920735.BJ</t>
  </si>
  <si>
    <t>920748.BJ</t>
  </si>
  <si>
    <t>920751.BJ</t>
  </si>
  <si>
    <t>920753.BJ</t>
  </si>
  <si>
    <t>920765.BJ</t>
  </si>
  <si>
    <t>920768.BJ</t>
  </si>
  <si>
    <t>920770.BJ</t>
  </si>
  <si>
    <t>920779.BJ</t>
  </si>
  <si>
    <t>920781.BJ</t>
  </si>
  <si>
    <t>920786.BJ</t>
  </si>
  <si>
    <t>920790.BJ</t>
  </si>
  <si>
    <t>920792.BJ</t>
  </si>
  <si>
    <t>920802.BJ</t>
  </si>
  <si>
    <t>920806.BJ</t>
  </si>
  <si>
    <t>920807.BJ</t>
  </si>
  <si>
    <t>920808.BJ</t>
  </si>
  <si>
    <t>920809.BJ</t>
  </si>
  <si>
    <t>920810.BJ</t>
  </si>
  <si>
    <t>920821.BJ</t>
  </si>
  <si>
    <t>920826.BJ</t>
  </si>
  <si>
    <t>920832.BJ</t>
  </si>
  <si>
    <t>920833.BJ</t>
  </si>
  <si>
    <t>920834.BJ</t>
  </si>
  <si>
    <t>920837.BJ</t>
  </si>
  <si>
    <t>920839.BJ</t>
  </si>
  <si>
    <t>920855.BJ</t>
  </si>
  <si>
    <t>920856.BJ</t>
  </si>
  <si>
    <t>920857.BJ</t>
  </si>
  <si>
    <t>920866.BJ</t>
  </si>
  <si>
    <t>920870.BJ</t>
  </si>
  <si>
    <t>920871.BJ</t>
  </si>
  <si>
    <t>920873.BJ</t>
  </si>
  <si>
    <t>920876.BJ</t>
  </si>
  <si>
    <t>920879.BJ</t>
  </si>
  <si>
    <t>920885.BJ</t>
  </si>
  <si>
    <t>920892.BJ</t>
  </si>
  <si>
    <t>920895.BJ</t>
  </si>
  <si>
    <t>920896.BJ</t>
  </si>
  <si>
    <t>920906.BJ</t>
  </si>
  <si>
    <t>920914.BJ</t>
  </si>
  <si>
    <t>920924.BJ</t>
  </si>
  <si>
    <t>920925.BJ</t>
  </si>
  <si>
    <t>920926.BJ</t>
  </si>
  <si>
    <t>920931.BJ</t>
  </si>
  <si>
    <t>920932.BJ</t>
  </si>
  <si>
    <t>920942.BJ</t>
  </si>
  <si>
    <t>920943.BJ</t>
  </si>
  <si>
    <t>920946.BJ</t>
  </si>
  <si>
    <t>920950.BJ</t>
  </si>
  <si>
    <t>920953.BJ</t>
  </si>
  <si>
    <t>920957.BJ</t>
  </si>
  <si>
    <t>920961.BJ</t>
  </si>
  <si>
    <t>920964.BJ</t>
  </si>
  <si>
    <t>920970.BJ</t>
  </si>
  <si>
    <t>920971.BJ</t>
  </si>
  <si>
    <t>920974.BJ</t>
  </si>
  <si>
    <t>920976.BJ</t>
  </si>
  <si>
    <t>920978.BJ</t>
  </si>
  <si>
    <t>920981.BJ</t>
  </si>
  <si>
    <t>920982.BJ</t>
  </si>
  <si>
    <t>920985.BJ</t>
  </si>
  <si>
    <t>920992.BJ</t>
  </si>
  <si>
    <t>601899.SH</t>
    <phoneticPr fontId="47" type="noConversion"/>
  </si>
  <si>
    <t>920036.BJ</t>
  </si>
  <si>
    <t>觅睿科技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</si>
</sst>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76" formatCode="0.0%"/>
    <numFmt numFmtId="177" formatCode="#,##0.00_ "/>
    <numFmt numFmtId="178" formatCode="_ * #,##0_ ;_ * \-#,##0_ ;_ * &quot;-&quot;??_ ;_ @_ "/>
    <numFmt numFmtId="179" formatCode="_ * #,##0.000_ ;_ * \-#,##0.000_ ;_ * &quot;-&quot;??_ ;_ @_ "/>
    <numFmt numFmtId="180" formatCode="0.000_ "/>
    <numFmt numFmtId="181" formatCode="_ * #,##0.0_ ;_ * \-#,##0.0_ ;_ * &quot;-&quot;??_ ;_ @_ "/>
    <numFmt numFmtId="182" formatCode="###,###,##0.0000"/>
    <numFmt numFmtId="183" formatCode="###,###,##0.00"/>
    <numFmt numFmtId="184" formatCode="0.00_ "/>
    <numFmt numFmtId="185" formatCode="yyyy/m/d;@"/>
    <numFmt numFmtId="186" formatCode="#,##0_ "/>
    <numFmt numFmtId="187" formatCode="yyyy\-mm\-dd"/>
  </numFmts>
  <fonts count="51">
    <font>
      <sz val="10"/>
      <color theme="1"/>
      <name val="微软雅黑"/>
      <family val="2"/>
      <charset val="134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name val="Arial"/>
      <family val="2"/>
    </font>
    <font>
      <sz val="9"/>
      <color theme="1"/>
      <name val="Cambria"/>
      <family val="1"/>
    </font>
    <font>
      <sz val="9"/>
      <color theme="0"/>
      <name val="Cambria"/>
      <family val="1"/>
    </font>
    <font>
      <b/>
      <sz val="9"/>
      <color theme="0" tint="-4.9989318521683403E-2"/>
      <name val="Cambria"/>
      <family val="1"/>
    </font>
    <font>
      <sz val="9"/>
      <color theme="0" tint="-4.9989318521683403E-2"/>
      <name val="Cambria"/>
      <family val="1"/>
    </font>
    <font>
      <b/>
      <sz val="9"/>
      <color theme="0"/>
      <name val="Arial"/>
      <family val="2"/>
    </font>
    <font>
      <sz val="9"/>
      <color rgb="FFFF0000"/>
      <name val="Arial"/>
      <family val="2"/>
    </font>
    <font>
      <sz val="11"/>
      <color theme="1"/>
      <name val="Arial"/>
      <family val="2"/>
    </font>
    <font>
      <u/>
      <sz val="11"/>
      <color theme="10"/>
      <name val="宋体"/>
      <family val="3"/>
      <charset val="134"/>
    </font>
    <font>
      <sz val="9"/>
      <color theme="0"/>
      <name val="Arial"/>
      <family val="2"/>
    </font>
    <font>
      <b/>
      <sz val="9"/>
      <color indexed="81"/>
      <name val="宋体"/>
      <family val="3"/>
      <charset val="134"/>
    </font>
    <font>
      <b/>
      <sz val="9"/>
      <color indexed="81"/>
      <name val="Tahoma"/>
      <family val="2"/>
    </font>
    <font>
      <b/>
      <sz val="9"/>
      <color indexed="81"/>
      <name val="宋体"/>
      <family val="2"/>
      <charset val="134"/>
    </font>
    <font>
      <sz val="9"/>
      <color indexed="81"/>
      <name val="Tahoma"/>
      <family val="2"/>
    </font>
    <font>
      <b/>
      <sz val="9"/>
      <color theme="0"/>
      <name val="Palatino Linotype"/>
      <family val="1"/>
    </font>
    <font>
      <b/>
      <sz val="9"/>
      <color theme="0"/>
      <name val="宋体"/>
      <family val="3"/>
      <charset val="134"/>
    </font>
    <font>
      <sz val="14"/>
      <color theme="0"/>
      <name val="微软雅黑"/>
      <family val="2"/>
      <charset val="134"/>
    </font>
    <font>
      <sz val="9"/>
      <name val="宋体"/>
      <family val="3"/>
      <charset val="134"/>
    </font>
    <font>
      <sz val="10"/>
      <color rgb="FF333333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333333"/>
      <name val="Arial"/>
      <family val="2"/>
    </font>
    <font>
      <sz val="9"/>
      <color rgb="FF666666"/>
      <name val="微软雅黑"/>
      <family val="2"/>
      <charset val="134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1"/>
      <color theme="0"/>
      <name val="宋体"/>
      <family val="2"/>
      <charset val="134"/>
      <scheme val="minor"/>
    </font>
    <font>
      <b/>
      <sz val="11"/>
      <color theme="1"/>
      <name val="微软雅黑"/>
      <family val="2"/>
      <charset val="134"/>
    </font>
    <font>
      <sz val="10"/>
      <color theme="0"/>
      <name val="微软雅黑"/>
      <family val="2"/>
      <charset val="134"/>
    </font>
    <font>
      <sz val="10"/>
      <name val="微软雅黑"/>
      <family val="2"/>
      <charset val="134"/>
    </font>
    <font>
      <b/>
      <sz val="10"/>
      <color rgb="FF333333"/>
      <name val="微软雅黑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9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666666"/>
      <name val="Arial"/>
      <family val="2"/>
    </font>
    <font>
      <sz val="11"/>
      <color rgb="FF666666"/>
      <name val="宋体"/>
      <family val="2"/>
      <charset val="134"/>
      <scheme val="minor"/>
    </font>
    <font>
      <sz val="9"/>
      <color rgb="FFFF0000"/>
      <name val="微软雅黑"/>
      <family val="2"/>
      <charset val="134"/>
    </font>
    <font>
      <sz val="8"/>
      <name val="微软雅黑"/>
      <family val="2"/>
      <charset val="134"/>
    </font>
    <font>
      <sz val="9"/>
      <name val="宋体"/>
      <family val="3"/>
      <charset val="134"/>
      <scheme val="minor"/>
    </font>
    <font>
      <sz val="20"/>
      <color theme="0"/>
      <name val="微软雅黑"/>
      <family val="2"/>
      <charset val="134"/>
    </font>
    <font>
      <sz val="9"/>
      <name val="微软雅黑"/>
      <family val="2"/>
      <charset val="134"/>
    </font>
    <font>
      <sz val="12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63636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theme="7"/>
      </patternFill>
    </fill>
    <fill>
      <patternFill patternType="solid">
        <fgColor rgb="FF5FBEC0"/>
        <bgColor indexed="64"/>
      </patternFill>
    </fill>
    <fill>
      <patternFill patternType="solid">
        <fgColor rgb="FFE4C658"/>
        <bgColor indexed="64"/>
      </patternFill>
    </fill>
  </fills>
  <borders count="36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rgb="FFE9E9E9"/>
      </bottom>
      <diagonal/>
    </border>
    <border>
      <left/>
      <right/>
      <top/>
      <bottom style="medium">
        <color rgb="FFE9E9E9"/>
      </bottom>
      <diagonal/>
    </border>
    <border>
      <left/>
      <right/>
      <top style="medium">
        <color rgb="FFE9E9E9"/>
      </top>
      <bottom/>
      <diagonal/>
    </border>
    <border>
      <left/>
      <right style="dashed">
        <color auto="1"/>
      </right>
      <top/>
      <bottom style="double">
        <color auto="1"/>
      </bottom>
      <diagonal/>
    </border>
    <border>
      <left style="dashed">
        <color auto="1"/>
      </left>
      <right style="dashed">
        <color auto="1"/>
      </right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rgb="FFE9E9E9"/>
      </bottom>
      <diagonal/>
    </border>
    <border>
      <left style="thin">
        <color indexed="64"/>
      </left>
      <right/>
      <top/>
      <bottom style="medium">
        <color rgb="FFE9E9E9"/>
      </bottom>
      <diagonal/>
    </border>
  </borders>
  <cellStyleXfs count="5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top"/>
      <protection locked="0"/>
    </xf>
    <xf numFmtId="0" fontId="34" fillId="7" borderId="0" applyNumberFormat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178" fontId="8" fillId="0" borderId="0" xfId="1" applyNumberFormat="1" applyFont="1">
      <alignment vertical="center"/>
    </xf>
    <xf numFmtId="0" fontId="5" fillId="0" borderId="0" xfId="0" applyFont="1">
      <alignment vertical="center"/>
    </xf>
    <xf numFmtId="179" fontId="8" fillId="0" borderId="0" xfId="1" applyNumberFormat="1" applyFont="1">
      <alignment vertical="center"/>
    </xf>
    <xf numFmtId="178" fontId="3" fillId="0" borderId="0" xfId="1" applyNumberFormat="1" applyFont="1">
      <alignment vertical="center"/>
    </xf>
    <xf numFmtId="14" fontId="8" fillId="0" borderId="0" xfId="1" applyNumberFormat="1" applyFont="1">
      <alignment vertical="center"/>
    </xf>
    <xf numFmtId="14" fontId="5" fillId="0" borderId="0" xfId="1" applyNumberFormat="1" applyFont="1">
      <alignment vertical="center"/>
    </xf>
    <xf numFmtId="0" fontId="23" fillId="2" borderId="0" xfId="0" applyFont="1" applyFill="1">
      <alignment vertical="center"/>
    </xf>
    <xf numFmtId="0" fontId="3" fillId="6" borderId="0" xfId="0" applyFont="1" applyFill="1">
      <alignment vertical="center"/>
    </xf>
    <xf numFmtId="14" fontId="3" fillId="6" borderId="0" xfId="0" applyNumberFormat="1" applyFont="1" applyFill="1">
      <alignment vertical="center"/>
    </xf>
    <xf numFmtId="179" fontId="3" fillId="6" borderId="0" xfId="1" applyNumberFormat="1" applyFont="1" applyFill="1">
      <alignment vertical="center"/>
    </xf>
    <xf numFmtId="0" fontId="12" fillId="6" borderId="0" xfId="0" applyFont="1" applyFill="1">
      <alignment vertical="center"/>
    </xf>
    <xf numFmtId="0" fontId="16" fillId="6" borderId="0" xfId="0" applyFont="1" applyFill="1">
      <alignment vertical="center"/>
    </xf>
    <xf numFmtId="0" fontId="4" fillId="6" borderId="0" xfId="0" applyFont="1" applyFill="1">
      <alignment vertical="center"/>
    </xf>
    <xf numFmtId="43" fontId="3" fillId="6" borderId="0" xfId="1" applyFont="1" applyFill="1">
      <alignment vertical="center"/>
    </xf>
    <xf numFmtId="0" fontId="3" fillId="6" borderId="0" xfId="0" applyFont="1" applyFill="1" applyAlignment="1">
      <alignment horizontal="left" vertical="center"/>
    </xf>
    <xf numFmtId="14" fontId="3" fillId="6" borderId="0" xfId="0" applyNumberFormat="1" applyFont="1" applyFill="1" applyAlignment="1">
      <alignment horizontal="left" vertical="center"/>
    </xf>
    <xf numFmtId="43" fontId="3" fillId="6" borderId="0" xfId="1" applyFont="1" applyFill="1" applyBorder="1">
      <alignment vertical="center"/>
    </xf>
    <xf numFmtId="43" fontId="3" fillId="6" borderId="0" xfId="0" applyNumberFormat="1" applyFont="1" applyFill="1">
      <alignment vertical="center"/>
    </xf>
    <xf numFmtId="43" fontId="7" fillId="6" borderId="0" xfId="1" applyFont="1" applyFill="1" applyBorder="1" applyAlignment="1">
      <alignment vertical="center"/>
    </xf>
    <xf numFmtId="176" fontId="3" fillId="6" borderId="0" xfId="2" applyNumberFormat="1" applyFont="1" applyFill="1" applyBorder="1">
      <alignment vertical="center"/>
    </xf>
    <xf numFmtId="181" fontId="3" fillId="6" borderId="0" xfId="1" applyNumberFormat="1" applyFont="1" applyFill="1">
      <alignment vertical="center"/>
    </xf>
    <xf numFmtId="0" fontId="3" fillId="4" borderId="0" xfId="0" applyFont="1" applyFill="1">
      <alignment vertical="center"/>
    </xf>
    <xf numFmtId="0" fontId="25" fillId="4" borderId="0" xfId="0" applyFont="1" applyFill="1" applyAlignment="1">
      <alignment horizontal="right"/>
    </xf>
    <xf numFmtId="0" fontId="27" fillId="3" borderId="0" xfId="0" applyFont="1" applyFill="1" applyAlignment="1"/>
    <xf numFmtId="0" fontId="28" fillId="5" borderId="0" xfId="0" applyFont="1" applyFill="1" applyAlignment="1"/>
    <xf numFmtId="0" fontId="8" fillId="6" borderId="0" xfId="0" applyFont="1" applyFill="1">
      <alignment vertical="center"/>
    </xf>
    <xf numFmtId="0" fontId="22" fillId="6" borderId="0" xfId="0" applyFont="1" applyFill="1">
      <alignment vertical="center"/>
    </xf>
    <xf numFmtId="0" fontId="0" fillId="4" borderId="28" xfId="0" applyFill="1" applyBorder="1" applyAlignment="1"/>
    <xf numFmtId="0" fontId="27" fillId="4" borderId="0" xfId="0" applyFont="1" applyFill="1" applyAlignment="1"/>
    <xf numFmtId="0" fontId="5" fillId="4" borderId="0" xfId="0" applyFont="1" applyFill="1">
      <alignment vertical="center"/>
    </xf>
    <xf numFmtId="0" fontId="0" fillId="4" borderId="0" xfId="0" applyFill="1" applyAlignment="1"/>
    <xf numFmtId="0" fontId="26" fillId="4" borderId="28" xfId="0" applyFont="1" applyFill="1" applyBorder="1">
      <alignment vertical="center"/>
    </xf>
    <xf numFmtId="0" fontId="26" fillId="4" borderId="0" xfId="0" applyFont="1" applyFill="1">
      <alignment vertical="center"/>
    </xf>
    <xf numFmtId="14" fontId="29" fillId="4" borderId="0" xfId="0" applyNumberFormat="1" applyFont="1" applyFill="1" applyAlignment="1">
      <alignment horizontal="right"/>
    </xf>
    <xf numFmtId="0" fontId="30" fillId="6" borderId="0" xfId="0" applyFont="1" applyFill="1">
      <alignment vertical="center"/>
    </xf>
    <xf numFmtId="0" fontId="28" fillId="3" borderId="0" xfId="0" applyFont="1" applyFill="1" applyAlignment="1"/>
    <xf numFmtId="0" fontId="27" fillId="4" borderId="0" xfId="0" applyFont="1" applyFill="1">
      <alignment vertical="center"/>
    </xf>
    <xf numFmtId="0" fontId="31" fillId="4" borderId="0" xfId="0" applyFont="1" applyFill="1" applyAlignment="1">
      <alignment horizontal="left" vertical="center"/>
    </xf>
    <xf numFmtId="0" fontId="25" fillId="5" borderId="0" xfId="0" applyFont="1" applyFill="1" applyAlignment="1">
      <alignment horizontal="left"/>
    </xf>
    <xf numFmtId="180" fontId="31" fillId="4" borderId="0" xfId="0" applyNumberFormat="1" applyFont="1" applyFill="1">
      <alignment vertical="center"/>
    </xf>
    <xf numFmtId="177" fontId="31" fillId="4" borderId="0" xfId="1" applyNumberFormat="1" applyFont="1" applyFill="1" applyBorder="1" applyAlignment="1">
      <alignment horizontal="right"/>
    </xf>
    <xf numFmtId="178" fontId="31" fillId="4" borderId="0" xfId="1" applyNumberFormat="1" applyFont="1" applyFill="1" applyBorder="1" applyAlignment="1">
      <alignment horizontal="right"/>
    </xf>
    <xf numFmtId="0" fontId="31" fillId="5" borderId="0" xfId="0" applyFont="1" applyFill="1" applyAlignment="1">
      <alignment horizontal="left" vertical="center"/>
    </xf>
    <xf numFmtId="179" fontId="31" fillId="5" borderId="0" xfId="1" applyNumberFormat="1" applyFont="1" applyFill="1" applyBorder="1">
      <alignment vertical="center"/>
    </xf>
    <xf numFmtId="177" fontId="31" fillId="5" borderId="0" xfId="1" applyNumberFormat="1" applyFont="1" applyFill="1" applyBorder="1" applyAlignment="1">
      <alignment horizontal="right"/>
    </xf>
    <xf numFmtId="0" fontId="28" fillId="5" borderId="29" xfId="0" applyFont="1" applyFill="1" applyBorder="1" applyAlignment="1"/>
    <xf numFmtId="177" fontId="31" fillId="4" borderId="29" xfId="1" applyNumberFormat="1" applyFont="1" applyFill="1" applyBorder="1" applyAlignment="1">
      <alignment horizontal="right"/>
    </xf>
    <xf numFmtId="178" fontId="3" fillId="4" borderId="29" xfId="1" applyNumberFormat="1" applyFont="1" applyFill="1" applyBorder="1" applyAlignment="1">
      <alignment horizontal="right" wrapText="1"/>
    </xf>
    <xf numFmtId="0" fontId="28" fillId="3" borderId="29" xfId="0" applyFont="1" applyFill="1" applyBorder="1" applyAlignment="1"/>
    <xf numFmtId="0" fontId="25" fillId="5" borderId="29" xfId="0" applyFont="1" applyFill="1" applyBorder="1" applyAlignment="1">
      <alignment horizontal="left"/>
    </xf>
    <xf numFmtId="10" fontId="31" fillId="5" borderId="0" xfId="2" applyNumberFormat="1" applyFont="1" applyFill="1" applyBorder="1" applyAlignment="1">
      <alignment horizontal="right"/>
    </xf>
    <xf numFmtId="178" fontId="31" fillId="5" borderId="0" xfId="1" applyNumberFormat="1" applyFont="1" applyFill="1" applyBorder="1" applyAlignment="1">
      <alignment horizontal="right"/>
    </xf>
    <xf numFmtId="14" fontId="3" fillId="4" borderId="0" xfId="0" applyNumberFormat="1" applyFont="1" applyFill="1">
      <alignment vertical="center"/>
    </xf>
    <xf numFmtId="0" fontId="12" fillId="4" borderId="0" xfId="0" applyFont="1" applyFill="1">
      <alignment vertical="center"/>
    </xf>
    <xf numFmtId="0" fontId="8" fillId="4" borderId="0" xfId="0" applyFont="1" applyFill="1">
      <alignment vertical="center"/>
    </xf>
    <xf numFmtId="0" fontId="11" fillId="4" borderId="0" xfId="0" applyFont="1" applyFill="1">
      <alignment vertical="center"/>
    </xf>
    <xf numFmtId="178" fontId="8" fillId="4" borderId="0" xfId="1" applyNumberFormat="1" applyFont="1" applyFill="1" applyBorder="1">
      <alignment vertical="center"/>
    </xf>
    <xf numFmtId="43" fontId="8" fillId="4" borderId="0" xfId="1" applyFont="1" applyFill="1" applyBorder="1" applyAlignment="1">
      <alignment horizontal="left" vertical="center"/>
    </xf>
    <xf numFmtId="43" fontId="8" fillId="4" borderId="0" xfId="1" applyFont="1" applyFill="1" applyBorder="1" applyAlignment="1">
      <alignment horizontal="right" vertical="center"/>
    </xf>
    <xf numFmtId="43" fontId="8" fillId="4" borderId="0" xfId="1" applyFont="1" applyFill="1" applyBorder="1" applyAlignment="1">
      <alignment vertical="center"/>
    </xf>
    <xf numFmtId="178" fontId="8" fillId="4" borderId="0" xfId="1" applyNumberFormat="1" applyFont="1" applyFill="1" applyBorder="1" applyAlignment="1">
      <alignment horizontal="right" vertical="center"/>
    </xf>
    <xf numFmtId="0" fontId="6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10" fillId="4" borderId="0" xfId="0" applyFont="1" applyFill="1">
      <alignment vertical="center"/>
    </xf>
    <xf numFmtId="14" fontId="8" fillId="4" borderId="0" xfId="0" applyNumberFormat="1" applyFont="1" applyFill="1">
      <alignment vertical="center"/>
    </xf>
    <xf numFmtId="14" fontId="11" fillId="4" borderId="0" xfId="0" applyNumberFormat="1" applyFont="1" applyFill="1">
      <alignment vertical="center"/>
    </xf>
    <xf numFmtId="0" fontId="8" fillId="4" borderId="30" xfId="0" applyFont="1" applyFill="1" applyBorder="1">
      <alignment vertical="center"/>
    </xf>
    <xf numFmtId="178" fontId="8" fillId="4" borderId="30" xfId="1" applyNumberFormat="1" applyFont="1" applyFill="1" applyBorder="1">
      <alignment vertical="center"/>
    </xf>
    <xf numFmtId="0" fontId="8" fillId="4" borderId="31" xfId="0" applyFont="1" applyFill="1" applyBorder="1">
      <alignment vertical="center"/>
    </xf>
    <xf numFmtId="14" fontId="8" fillId="0" borderId="31" xfId="1" applyNumberFormat="1" applyFont="1" applyBorder="1">
      <alignment vertical="center"/>
    </xf>
    <xf numFmtId="0" fontId="8" fillId="0" borderId="31" xfId="0" applyFont="1" applyBorder="1">
      <alignment vertical="center"/>
    </xf>
    <xf numFmtId="178" fontId="8" fillId="0" borderId="31" xfId="1" applyNumberFormat="1" applyFont="1" applyBorder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33" fillId="6" borderId="32" xfId="0" applyFont="1" applyFill="1" applyBorder="1">
      <alignment vertical="center"/>
    </xf>
    <xf numFmtId="0" fontId="27" fillId="6" borderId="33" xfId="0" applyFont="1" applyFill="1" applyBorder="1">
      <alignment vertical="center"/>
    </xf>
    <xf numFmtId="0" fontId="27" fillId="6" borderId="33" xfId="0" applyFont="1" applyFill="1" applyBorder="1" applyAlignment="1">
      <alignment vertical="center" wrapText="1"/>
    </xf>
    <xf numFmtId="179" fontId="27" fillId="6" borderId="33" xfId="1" applyNumberFormat="1" applyFont="1" applyFill="1" applyBorder="1" applyAlignment="1">
      <alignment vertical="center" wrapText="1"/>
    </xf>
    <xf numFmtId="43" fontId="27" fillId="6" borderId="33" xfId="1" applyFont="1" applyFill="1" applyBorder="1" applyAlignment="1">
      <alignment vertical="center" wrapText="1"/>
    </xf>
    <xf numFmtId="0" fontId="27" fillId="6" borderId="5" xfId="0" applyFont="1" applyFill="1" applyBorder="1" applyAlignment="1">
      <alignment vertical="center" wrapText="1"/>
    </xf>
    <xf numFmtId="0" fontId="27" fillId="6" borderId="0" xfId="0" applyFont="1" applyFill="1" applyAlignment="1">
      <alignment vertical="center" wrapText="1"/>
    </xf>
    <xf numFmtId="0" fontId="27" fillId="6" borderId="0" xfId="0" applyFont="1" applyFill="1">
      <alignment vertical="center"/>
    </xf>
    <xf numFmtId="0" fontId="27" fillId="6" borderId="2" xfId="0" applyFont="1" applyFill="1" applyBorder="1" applyAlignment="1">
      <alignment vertical="center" wrapText="1"/>
    </xf>
    <xf numFmtId="0" fontId="31" fillId="5" borderId="0" xfId="0" applyFont="1" applyFill="1" applyAlignment="1">
      <alignment horizontal="right" vertical="center"/>
    </xf>
    <xf numFmtId="14" fontId="31" fillId="4" borderId="0" xfId="0" applyNumberFormat="1" applyFont="1" applyFill="1" applyAlignment="1">
      <alignment horizontal="right" vertical="center"/>
    </xf>
    <xf numFmtId="178" fontId="31" fillId="4" borderId="0" xfId="1" applyNumberFormat="1" applyFont="1" applyFill="1" applyBorder="1" applyAlignment="1">
      <alignment horizontal="right" vertical="center"/>
    </xf>
    <xf numFmtId="178" fontId="31" fillId="5" borderId="0" xfId="1" applyNumberFormat="1" applyFont="1" applyFill="1" applyBorder="1" applyAlignment="1">
      <alignment horizontal="right" vertical="center"/>
    </xf>
    <xf numFmtId="43" fontId="0" fillId="6" borderId="0" xfId="1" applyFont="1" applyFill="1" applyBorder="1" applyAlignment="1">
      <alignment horizontal="left" vertical="center"/>
    </xf>
    <xf numFmtId="43" fontId="0" fillId="5" borderId="0" xfId="1" applyFont="1" applyFill="1" applyBorder="1" applyAlignment="1">
      <alignment horizontal="left" vertical="center"/>
    </xf>
    <xf numFmtId="0" fontId="35" fillId="4" borderId="30" xfId="0" applyFont="1" applyFill="1" applyBorder="1">
      <alignment vertical="center"/>
    </xf>
    <xf numFmtId="178" fontId="0" fillId="5" borderId="0" xfId="1" applyNumberFormat="1" applyFont="1" applyFill="1" applyBorder="1" applyAlignment="1">
      <alignment horizontal="right" vertical="center"/>
    </xf>
    <xf numFmtId="0" fontId="27" fillId="4" borderId="30" xfId="0" applyFont="1" applyFill="1" applyBorder="1">
      <alignment vertical="center"/>
    </xf>
    <xf numFmtId="0" fontId="0" fillId="4" borderId="30" xfId="0" applyFill="1" applyBorder="1">
      <alignment vertical="center"/>
    </xf>
    <xf numFmtId="0" fontId="27" fillId="4" borderId="30" xfId="0" applyFont="1" applyFill="1" applyBorder="1" applyAlignment="1">
      <alignment horizontal="left" vertical="center"/>
    </xf>
    <xf numFmtId="0" fontId="27" fillId="5" borderId="34" xfId="0" applyFont="1" applyFill="1" applyBorder="1" applyAlignment="1" applyProtection="1">
      <alignment horizontal="center" vertical="center"/>
      <protection locked="0"/>
    </xf>
    <xf numFmtId="0" fontId="27" fillId="5" borderId="35" xfId="0" applyFont="1" applyFill="1" applyBorder="1" applyAlignment="1" applyProtection="1">
      <alignment horizontal="left" vertical="center"/>
      <protection locked="0"/>
    </xf>
    <xf numFmtId="0" fontId="4" fillId="5" borderId="30" xfId="0" applyFont="1" applyFill="1" applyBorder="1" applyAlignment="1" applyProtection="1">
      <alignment horizontal="left" vertical="center"/>
      <protection locked="0"/>
    </xf>
    <xf numFmtId="178" fontId="3" fillId="6" borderId="0" xfId="1" applyNumberFormat="1" applyFont="1" applyFill="1">
      <alignment vertical="center"/>
    </xf>
    <xf numFmtId="0" fontId="5" fillId="6" borderId="0" xfId="0" applyFont="1" applyFill="1">
      <alignment vertical="center"/>
    </xf>
    <xf numFmtId="178" fontId="5" fillId="6" borderId="0" xfId="1" applyNumberFormat="1" applyFont="1" applyFill="1">
      <alignment vertical="center"/>
    </xf>
    <xf numFmtId="0" fontId="3" fillId="5" borderId="29" xfId="0" applyFont="1" applyFill="1" applyBorder="1">
      <alignment vertical="center"/>
    </xf>
    <xf numFmtId="0" fontId="16" fillId="4" borderId="0" xfId="0" applyFont="1" applyFill="1">
      <alignment vertical="center"/>
    </xf>
    <xf numFmtId="14" fontId="4" fillId="4" borderId="0" xfId="0" applyNumberFormat="1" applyFont="1" applyFill="1">
      <alignment vertical="center"/>
    </xf>
    <xf numFmtId="0" fontId="4" fillId="4" borderId="0" xfId="0" applyFont="1" applyFill="1">
      <alignment vertical="center"/>
    </xf>
    <xf numFmtId="43" fontId="3" fillId="4" borderId="0" xfId="1" applyFont="1" applyFill="1" applyBorder="1">
      <alignment vertical="center"/>
    </xf>
    <xf numFmtId="43" fontId="3" fillId="4" borderId="0" xfId="1" applyFont="1" applyFill="1">
      <alignment vertical="center"/>
    </xf>
    <xf numFmtId="0" fontId="3" fillId="4" borderId="0" xfId="0" applyFont="1" applyFill="1" applyAlignment="1">
      <alignment horizontal="left" vertical="center"/>
    </xf>
    <xf numFmtId="14" fontId="3" fillId="4" borderId="0" xfId="0" applyNumberFormat="1" applyFont="1" applyFill="1" applyAlignment="1">
      <alignment horizontal="left" vertical="center"/>
    </xf>
    <xf numFmtId="14" fontId="4" fillId="4" borderId="0" xfId="1" applyNumberFormat="1" applyFont="1" applyFill="1" applyAlignment="1">
      <alignment horizontal="left" vertical="center"/>
    </xf>
    <xf numFmtId="43" fontId="3" fillId="4" borderId="0" xfId="0" applyNumberFormat="1" applyFont="1" applyFill="1">
      <alignment vertical="center"/>
    </xf>
    <xf numFmtId="43" fontId="7" fillId="4" borderId="0" xfId="1" applyFont="1" applyFill="1" applyBorder="1" applyAlignment="1">
      <alignment vertical="center"/>
    </xf>
    <xf numFmtId="176" fontId="3" fillId="4" borderId="0" xfId="2" applyNumberFormat="1" applyFont="1" applyFill="1" applyBorder="1">
      <alignment vertical="center"/>
    </xf>
    <xf numFmtId="0" fontId="4" fillId="4" borderId="0" xfId="0" applyFont="1" applyFill="1" applyAlignment="1">
      <alignment horizontal="right" vertical="center"/>
    </xf>
    <xf numFmtId="181" fontId="3" fillId="4" borderId="0" xfId="1" applyNumberFormat="1" applyFont="1" applyFill="1">
      <alignment vertical="center"/>
    </xf>
    <xf numFmtId="181" fontId="3" fillId="4" borderId="0" xfId="1" applyNumberFormat="1" applyFont="1" applyFill="1" applyBorder="1">
      <alignment vertical="center"/>
    </xf>
    <xf numFmtId="183" fontId="3" fillId="4" borderId="0" xfId="0" applyNumberFormat="1" applyFont="1" applyFill="1">
      <alignment vertical="center"/>
    </xf>
    <xf numFmtId="182" fontId="3" fillId="4" borderId="0" xfId="0" applyNumberFormat="1" applyFont="1" applyFill="1">
      <alignment vertical="center"/>
    </xf>
    <xf numFmtId="182" fontId="13" fillId="4" borderId="0" xfId="0" applyNumberFormat="1" applyFont="1" applyFill="1">
      <alignment vertical="center"/>
    </xf>
    <xf numFmtId="0" fontId="0" fillId="4" borderId="0" xfId="0" applyFill="1">
      <alignment vertical="center"/>
    </xf>
    <xf numFmtId="0" fontId="38" fillId="4" borderId="0" xfId="0" applyFont="1" applyFill="1">
      <alignment vertical="center"/>
    </xf>
    <xf numFmtId="0" fontId="25" fillId="4" borderId="0" xfId="0" applyFont="1" applyFill="1">
      <alignment vertical="center"/>
    </xf>
    <xf numFmtId="0" fontId="27" fillId="4" borderId="28" xfId="0" applyFont="1" applyFill="1" applyBorder="1" applyAlignment="1"/>
    <xf numFmtId="0" fontId="27" fillId="4" borderId="28" xfId="0" applyFont="1" applyFill="1" applyBorder="1" applyAlignment="1">
      <alignment horizontal="left" vertical="center"/>
    </xf>
    <xf numFmtId="0" fontId="27" fillId="6" borderId="28" xfId="0" applyFont="1" applyFill="1" applyBorder="1" applyAlignment="1"/>
    <xf numFmtId="0" fontId="27" fillId="6" borderId="0" xfId="0" applyFont="1" applyFill="1" applyAlignment="1">
      <alignment horizontal="left" vertical="center" wrapText="1"/>
    </xf>
    <xf numFmtId="43" fontId="0" fillId="4" borderId="0" xfId="1" applyFont="1" applyFill="1" applyBorder="1">
      <alignment vertical="center"/>
    </xf>
    <xf numFmtId="43" fontId="0" fillId="4" borderId="0" xfId="1" applyFont="1" applyFill="1">
      <alignment vertical="center"/>
    </xf>
    <xf numFmtId="0" fontId="27" fillId="6" borderId="0" xfId="0" applyFont="1" applyFill="1" applyAlignment="1">
      <alignment horizontal="right" vertical="center" wrapText="1"/>
    </xf>
    <xf numFmtId="14" fontId="4" fillId="4" borderId="0" xfId="0" applyNumberFormat="1" applyFont="1" applyFill="1" applyAlignment="1">
      <alignment horizontal="right" vertical="center"/>
    </xf>
    <xf numFmtId="2" fontId="27" fillId="6" borderId="0" xfId="0" applyNumberFormat="1" applyFont="1" applyFill="1" applyAlignment="1">
      <alignment horizontal="right" vertical="center" wrapText="1"/>
    </xf>
    <xf numFmtId="0" fontId="27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6" fillId="6" borderId="0" xfId="3" applyFont="1" applyFill="1" applyAlignment="1" applyProtection="1">
      <alignment vertical="center"/>
    </xf>
    <xf numFmtId="178" fontId="5" fillId="4" borderId="0" xfId="1" applyNumberFormat="1" applyFont="1" applyFill="1">
      <alignment vertical="center"/>
    </xf>
    <xf numFmtId="178" fontId="3" fillId="4" borderId="0" xfId="1" applyNumberFormat="1" applyFont="1" applyFill="1">
      <alignment vertical="center"/>
    </xf>
    <xf numFmtId="178" fontId="3" fillId="4" borderId="0" xfId="1" applyNumberFormat="1" applyFont="1" applyFill="1" applyBorder="1">
      <alignment vertical="center"/>
    </xf>
    <xf numFmtId="0" fontId="14" fillId="4" borderId="0" xfId="0" applyFont="1" applyFill="1">
      <alignment vertical="center"/>
    </xf>
    <xf numFmtId="0" fontId="16" fillId="4" borderId="30" xfId="0" applyFont="1" applyFill="1" applyBorder="1">
      <alignment vertical="center"/>
    </xf>
    <xf numFmtId="0" fontId="3" fillId="4" borderId="30" xfId="0" applyFont="1" applyFill="1" applyBorder="1">
      <alignment vertical="center"/>
    </xf>
    <xf numFmtId="0" fontId="14" fillId="4" borderId="30" xfId="0" applyFont="1" applyFill="1" applyBorder="1">
      <alignment vertical="center"/>
    </xf>
    <xf numFmtId="0" fontId="33" fillId="4" borderId="30" xfId="0" applyFont="1" applyFill="1" applyBorder="1" applyAlignment="1">
      <alignment horizontal="left" vertical="center"/>
    </xf>
    <xf numFmtId="178" fontId="27" fillId="4" borderId="30" xfId="1" applyNumberFormat="1" applyFont="1" applyFill="1" applyBorder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0" fontId="33" fillId="4" borderId="0" xfId="0" applyFont="1" applyFill="1" applyAlignment="1">
      <alignment horizontal="left" vertical="center"/>
    </xf>
    <xf numFmtId="178" fontId="27" fillId="4" borderId="0" xfId="1" applyNumberFormat="1" applyFont="1" applyFill="1" applyBorder="1" applyAlignment="1">
      <alignment horizontal="left" vertical="center"/>
    </xf>
    <xf numFmtId="0" fontId="29" fillId="5" borderId="0" xfId="0" applyFont="1" applyFill="1" applyAlignment="1">
      <alignment horizontal="right"/>
    </xf>
    <xf numFmtId="0" fontId="27" fillId="6" borderId="0" xfId="0" applyFont="1" applyFill="1" applyAlignment="1"/>
    <xf numFmtId="14" fontId="9" fillId="4" borderId="0" xfId="1" applyNumberFormat="1" applyFont="1" applyFill="1" applyBorder="1">
      <alignment vertical="center"/>
    </xf>
    <xf numFmtId="0" fontId="25" fillId="5" borderId="0" xfId="0" applyFont="1" applyFill="1">
      <alignment vertical="center"/>
    </xf>
    <xf numFmtId="43" fontId="29" fillId="5" borderId="0" xfId="1" applyFont="1" applyFill="1" applyBorder="1">
      <alignment vertical="center"/>
    </xf>
    <xf numFmtId="10" fontId="29" fillId="5" borderId="0" xfId="2" applyNumberFormat="1" applyFont="1" applyFill="1" applyBorder="1">
      <alignment vertical="center"/>
    </xf>
    <xf numFmtId="0" fontId="29" fillId="4" borderId="0" xfId="0" applyFont="1" applyFill="1">
      <alignment vertical="center"/>
    </xf>
    <xf numFmtId="43" fontId="29" fillId="4" borderId="0" xfId="1" applyFont="1" applyFill="1">
      <alignment vertical="center"/>
    </xf>
    <xf numFmtId="10" fontId="29" fillId="4" borderId="0" xfId="2" applyNumberFormat="1" applyFont="1" applyFill="1">
      <alignment vertical="center"/>
    </xf>
    <xf numFmtId="0" fontId="25" fillId="5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0" fontId="27" fillId="5" borderId="0" xfId="0" applyFont="1" applyFill="1" applyAlignment="1">
      <alignment horizontal="left" vertical="center"/>
    </xf>
    <xf numFmtId="43" fontId="39" fillId="5" borderId="0" xfId="0" applyNumberFormat="1" applyFont="1" applyFill="1">
      <alignment vertical="center"/>
    </xf>
    <xf numFmtId="10" fontId="39" fillId="5" borderId="0" xfId="2" applyNumberFormat="1" applyFont="1" applyFill="1" applyBorder="1">
      <alignment vertical="center"/>
    </xf>
    <xf numFmtId="2" fontId="25" fillId="5" borderId="0" xfId="0" applyNumberFormat="1" applyFont="1" applyFill="1">
      <alignment vertical="center"/>
    </xf>
    <xf numFmtId="2" fontId="25" fillId="4" borderId="0" xfId="0" applyNumberFormat="1" applyFont="1" applyFill="1">
      <alignment vertical="center"/>
    </xf>
    <xf numFmtId="2" fontId="26" fillId="5" borderId="0" xfId="0" applyNumberFormat="1" applyFont="1" applyFill="1">
      <alignment vertical="center"/>
    </xf>
    <xf numFmtId="0" fontId="0" fillId="3" borderId="0" xfId="0" applyFill="1" applyAlignment="1"/>
    <xf numFmtId="0" fontId="0" fillId="5" borderId="0" xfId="0" applyFill="1" applyAlignment="1"/>
    <xf numFmtId="0" fontId="0" fillId="5" borderId="29" xfId="0" applyFill="1" applyBorder="1" applyAlignment="1"/>
    <xf numFmtId="43" fontId="25" fillId="5" borderId="0" xfId="1" applyFont="1" applyFill="1" applyBorder="1">
      <alignment vertical="center"/>
    </xf>
    <xf numFmtId="10" fontId="25" fillId="5" borderId="0" xfId="2" applyNumberFormat="1" applyFont="1" applyFill="1" applyBorder="1">
      <alignment vertical="center"/>
    </xf>
    <xf numFmtId="43" fontId="25" fillId="4" borderId="0" xfId="1" applyFont="1" applyFill="1">
      <alignment vertical="center"/>
    </xf>
    <xf numFmtId="10" fontId="25" fillId="4" borderId="0" xfId="2" applyNumberFormat="1" applyFont="1" applyFill="1">
      <alignment vertical="center"/>
    </xf>
    <xf numFmtId="43" fontId="26" fillId="5" borderId="0" xfId="0" applyNumberFormat="1" applyFont="1" applyFill="1">
      <alignment vertical="center"/>
    </xf>
    <xf numFmtId="10" fontId="26" fillId="5" borderId="0" xfId="2" applyNumberFormat="1" applyFont="1" applyFill="1" applyBorder="1">
      <alignment vertical="center"/>
    </xf>
    <xf numFmtId="2" fontId="25" fillId="5" borderId="0" xfId="0" applyNumberFormat="1" applyFont="1" applyFill="1" applyAlignment="1">
      <alignment horizontal="right" vertical="center"/>
    </xf>
    <xf numFmtId="2" fontId="25" fillId="4" borderId="0" xfId="0" applyNumberFormat="1" applyFont="1" applyFill="1" applyAlignment="1">
      <alignment horizontal="right" vertical="center"/>
    </xf>
    <xf numFmtId="14" fontId="27" fillId="6" borderId="0" xfId="0" applyNumberFormat="1" applyFont="1" applyFill="1" applyAlignment="1">
      <alignment horizontal="right" vertical="center"/>
    </xf>
    <xf numFmtId="185" fontId="27" fillId="6" borderId="0" xfId="0" applyNumberFormat="1" applyFont="1" applyFill="1" applyAlignment="1">
      <alignment horizontal="right" vertical="center"/>
    </xf>
    <xf numFmtId="0" fontId="27" fillId="6" borderId="0" xfId="0" applyFont="1" applyFill="1" applyAlignment="1">
      <alignment horizontal="right" vertical="center"/>
    </xf>
    <xf numFmtId="43" fontId="29" fillId="5" borderId="0" xfId="0" applyNumberFormat="1" applyFont="1" applyFill="1" applyAlignment="1">
      <alignment horizontal="right" vertical="center"/>
    </xf>
    <xf numFmtId="43" fontId="29" fillId="4" borderId="0" xfId="0" applyNumberFormat="1" applyFont="1" applyFill="1" applyAlignment="1">
      <alignment horizontal="right" vertical="center"/>
    </xf>
    <xf numFmtId="43" fontId="25" fillId="4" borderId="0" xfId="0" applyNumberFormat="1" applyFont="1" applyFill="1" applyAlignment="1">
      <alignment horizontal="right" vertical="center"/>
    </xf>
    <xf numFmtId="176" fontId="27" fillId="4" borderId="30" xfId="2" applyNumberFormat="1" applyFont="1" applyFill="1" applyBorder="1" applyAlignment="1">
      <alignment vertical="center"/>
    </xf>
    <xf numFmtId="43" fontId="25" fillId="5" borderId="0" xfId="0" applyNumberFormat="1" applyFont="1" applyFill="1" applyAlignment="1">
      <alignment horizontal="right" vertical="center"/>
    </xf>
    <xf numFmtId="0" fontId="27" fillId="4" borderId="4" xfId="0" applyFont="1" applyFill="1" applyBorder="1">
      <alignment vertical="center"/>
    </xf>
    <xf numFmtId="0" fontId="38" fillId="5" borderId="0" xfId="0" applyFont="1" applyFill="1">
      <alignment vertical="center"/>
    </xf>
    <xf numFmtId="0" fontId="27" fillId="5" borderId="4" xfId="0" applyFont="1" applyFill="1" applyBorder="1">
      <alignment vertical="center"/>
    </xf>
    <xf numFmtId="0" fontId="27" fillId="5" borderId="20" xfId="0" applyFont="1" applyFill="1" applyBorder="1">
      <alignment vertical="center"/>
    </xf>
    <xf numFmtId="0" fontId="27" fillId="4" borderId="20" xfId="0" applyFont="1" applyFill="1" applyBorder="1">
      <alignment vertical="center"/>
    </xf>
    <xf numFmtId="181" fontId="0" fillId="4" borderId="0" xfId="1" applyNumberFormat="1" applyFont="1" applyFill="1" applyBorder="1">
      <alignment vertical="center"/>
    </xf>
    <xf numFmtId="181" fontId="0" fillId="4" borderId="0" xfId="1" applyNumberFormat="1" applyFont="1" applyFill="1">
      <alignment vertical="center"/>
    </xf>
    <xf numFmtId="43" fontId="0" fillId="4" borderId="0" xfId="1" applyFont="1" applyFill="1" applyBorder="1" applyAlignment="1">
      <alignment horizontal="right" vertical="center"/>
    </xf>
    <xf numFmtId="43" fontId="0" fillId="4" borderId="0" xfId="1" applyFont="1" applyFill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27" fillId="4" borderId="0" xfId="0" applyFont="1" applyFill="1" applyAlignment="1">
      <alignment horizontal="right" vertical="center"/>
    </xf>
    <xf numFmtId="43" fontId="0" fillId="4" borderId="0" xfId="1" applyFont="1" applyFill="1" applyAlignment="1">
      <alignment horizontal="right" vertical="center"/>
    </xf>
    <xf numFmtId="181" fontId="25" fillId="4" borderId="0" xfId="1" applyNumberFormat="1" applyFont="1" applyFill="1" applyBorder="1">
      <alignment vertical="center"/>
    </xf>
    <xf numFmtId="0" fontId="26" fillId="5" borderId="0" xfId="0" applyFont="1" applyFill="1">
      <alignment vertical="center"/>
    </xf>
    <xf numFmtId="0" fontId="26" fillId="4" borderId="4" xfId="0" applyFont="1" applyFill="1" applyBorder="1">
      <alignment vertical="center"/>
    </xf>
    <xf numFmtId="0" fontId="26" fillId="4" borderId="2" xfId="0" applyFont="1" applyFill="1" applyBorder="1">
      <alignment vertical="center"/>
    </xf>
    <xf numFmtId="43" fontId="40" fillId="5" borderId="0" xfId="0" applyNumberFormat="1" applyFont="1" applyFill="1" applyAlignment="1">
      <alignment horizontal="right" vertical="center"/>
    </xf>
    <xf numFmtId="43" fontId="31" fillId="4" borderId="4" xfId="1" applyFont="1" applyFill="1" applyBorder="1">
      <alignment vertical="center"/>
    </xf>
    <xf numFmtId="43" fontId="31" fillId="5" borderId="4" xfId="1" applyFont="1" applyFill="1" applyBorder="1">
      <alignment vertical="center"/>
    </xf>
    <xf numFmtId="43" fontId="31" fillId="4" borderId="20" xfId="1" applyFont="1" applyFill="1" applyBorder="1">
      <alignment vertical="center"/>
    </xf>
    <xf numFmtId="43" fontId="31" fillId="5" borderId="20" xfId="1" applyFont="1" applyFill="1" applyBorder="1">
      <alignment vertical="center"/>
    </xf>
    <xf numFmtId="43" fontId="31" fillId="4" borderId="20" xfId="1" applyFont="1" applyFill="1" applyBorder="1" applyAlignment="1">
      <alignment horizontal="right" vertical="center"/>
    </xf>
    <xf numFmtId="43" fontId="40" fillId="4" borderId="4" xfId="1" applyFont="1" applyFill="1" applyBorder="1">
      <alignment vertical="center"/>
    </xf>
    <xf numFmtId="43" fontId="40" fillId="5" borderId="0" xfId="1" applyFont="1" applyFill="1">
      <alignment vertical="center"/>
    </xf>
    <xf numFmtId="43" fontId="40" fillId="4" borderId="2" xfId="1" applyFont="1" applyFill="1" applyBorder="1">
      <alignment vertical="center"/>
    </xf>
    <xf numFmtId="178" fontId="25" fillId="5" borderId="0" xfId="4" applyNumberFormat="1" applyFont="1" applyFill="1" applyBorder="1">
      <alignment vertical="center"/>
    </xf>
    <xf numFmtId="43" fontId="25" fillId="5" borderId="0" xfId="1" applyFont="1" applyFill="1" applyBorder="1" applyAlignment="1">
      <alignment horizontal="left" vertical="center"/>
    </xf>
    <xf numFmtId="43" fontId="25" fillId="5" borderId="0" xfId="1" applyFont="1" applyFill="1" applyBorder="1" applyAlignment="1">
      <alignment horizontal="right" vertical="center"/>
    </xf>
    <xf numFmtId="43" fontId="25" fillId="5" borderId="0" xfId="1" applyFont="1" applyFill="1" applyBorder="1" applyAlignment="1">
      <alignment vertical="center"/>
    </xf>
    <xf numFmtId="178" fontId="25" fillId="5" borderId="0" xfId="1" applyNumberFormat="1" applyFont="1" applyFill="1" applyBorder="1" applyAlignment="1">
      <alignment horizontal="right" vertical="center"/>
    </xf>
    <xf numFmtId="14" fontId="25" fillId="5" borderId="0" xfId="0" applyNumberFormat="1" applyFont="1" applyFill="1">
      <alignment vertical="center"/>
    </xf>
    <xf numFmtId="178" fontId="25" fillId="5" borderId="0" xfId="1" applyNumberFormat="1" applyFont="1" applyFill="1">
      <alignment vertical="center"/>
    </xf>
    <xf numFmtId="43" fontId="25" fillId="5" borderId="0" xfId="1" applyFont="1" applyFill="1">
      <alignment vertical="center"/>
    </xf>
    <xf numFmtId="178" fontId="25" fillId="4" borderId="0" xfId="4" applyNumberFormat="1" applyFont="1" applyFill="1" applyBorder="1" applyProtection="1">
      <alignment vertical="center"/>
      <protection locked="0"/>
    </xf>
    <xf numFmtId="43" fontId="25" fillId="4" borderId="0" xfId="1" applyFont="1" applyFill="1" applyBorder="1" applyAlignment="1">
      <alignment horizontal="left" vertical="center"/>
    </xf>
    <xf numFmtId="43" fontId="25" fillId="0" borderId="0" xfId="1" applyFont="1" applyBorder="1" applyAlignment="1">
      <alignment horizontal="right" vertical="center"/>
    </xf>
    <xf numFmtId="43" fontId="25" fillId="0" borderId="0" xfId="1" applyFont="1" applyBorder="1" applyAlignment="1">
      <alignment vertical="center"/>
    </xf>
    <xf numFmtId="178" fontId="25" fillId="0" borderId="0" xfId="1" applyNumberFormat="1" applyFont="1" applyBorder="1" applyAlignment="1">
      <alignment horizontal="right" vertical="center"/>
    </xf>
    <xf numFmtId="0" fontId="25" fillId="0" borderId="0" xfId="0" applyFont="1">
      <alignment vertical="center"/>
    </xf>
    <xf numFmtId="14" fontId="25" fillId="0" borderId="0" xfId="0" applyNumberFormat="1" applyFont="1">
      <alignment vertical="center"/>
    </xf>
    <xf numFmtId="178" fontId="25" fillId="0" borderId="0" xfId="1" applyNumberFormat="1" applyFont="1">
      <alignment vertical="center"/>
    </xf>
    <xf numFmtId="43" fontId="25" fillId="0" borderId="0" xfId="1" applyFont="1">
      <alignment vertical="center"/>
    </xf>
    <xf numFmtId="178" fontId="5" fillId="4" borderId="0" xfId="1" applyNumberFormat="1" applyFont="1" applyFill="1" applyBorder="1">
      <alignment vertical="center"/>
    </xf>
    <xf numFmtId="178" fontId="37" fillId="4" borderId="0" xfId="1" applyNumberFormat="1" applyFont="1" applyFill="1" applyBorder="1">
      <alignment vertical="center"/>
    </xf>
    <xf numFmtId="0" fontId="37" fillId="4" borderId="30" xfId="0" applyFont="1" applyFill="1" applyBorder="1">
      <alignment vertical="center"/>
    </xf>
    <xf numFmtId="0" fontId="26" fillId="4" borderId="30" xfId="0" applyFont="1" applyFill="1" applyBorder="1" applyAlignment="1">
      <alignment horizontal="left" vertical="center"/>
    </xf>
    <xf numFmtId="43" fontId="37" fillId="4" borderId="30" xfId="1" applyFont="1" applyFill="1" applyBorder="1">
      <alignment vertical="center"/>
    </xf>
    <xf numFmtId="178" fontId="37" fillId="4" borderId="30" xfId="1" applyNumberFormat="1" applyFont="1" applyFill="1" applyBorder="1">
      <alignment vertical="center"/>
    </xf>
    <xf numFmtId="181" fontId="37" fillId="4" borderId="30" xfId="1" applyNumberFormat="1" applyFont="1" applyFill="1" applyBorder="1">
      <alignment vertical="center"/>
    </xf>
    <xf numFmtId="0" fontId="27" fillId="5" borderId="0" xfId="0" applyFont="1" applyFill="1" applyAlignment="1"/>
    <xf numFmtId="178" fontId="30" fillId="4" borderId="0" xfId="1" applyNumberFormat="1" applyFont="1" applyFill="1" applyAlignment="1">
      <alignment horizontal="center" vertical="center"/>
    </xf>
    <xf numFmtId="0" fontId="37" fillId="4" borderId="0" xfId="0" applyFont="1" applyFill="1">
      <alignment vertical="center"/>
    </xf>
    <xf numFmtId="0" fontId="26" fillId="4" borderId="0" xfId="0" applyFont="1" applyFill="1" applyAlignment="1">
      <alignment horizontal="left" vertical="center"/>
    </xf>
    <xf numFmtId="43" fontId="37" fillId="4" borderId="0" xfId="1" applyFont="1" applyFill="1" applyBorder="1">
      <alignment vertical="center"/>
    </xf>
    <xf numFmtId="181" fontId="37" fillId="4" borderId="0" xfId="1" applyNumberFormat="1" applyFont="1" applyFill="1" applyBorder="1">
      <alignment vertical="center"/>
    </xf>
    <xf numFmtId="0" fontId="6" fillId="4" borderId="0" xfId="0" applyFont="1" applyFill="1" applyAlignment="1">
      <alignment horizontal="center" vertical="center"/>
    </xf>
    <xf numFmtId="43" fontId="27" fillId="6" borderId="0" xfId="1" applyFont="1" applyFill="1" applyBorder="1" applyAlignment="1">
      <alignment horizontal="center" vertical="center"/>
    </xf>
    <xf numFmtId="0" fontId="33" fillId="6" borderId="0" xfId="0" applyFont="1" applyFill="1">
      <alignment vertical="center"/>
    </xf>
    <xf numFmtId="178" fontId="27" fillId="6" borderId="0" xfId="1" applyNumberFormat="1" applyFont="1" applyFill="1" applyBorder="1">
      <alignment vertical="center"/>
    </xf>
    <xf numFmtId="181" fontId="27" fillId="6" borderId="0" xfId="1" applyNumberFormat="1" applyFont="1" applyFill="1" applyBorder="1">
      <alignment vertical="center"/>
    </xf>
    <xf numFmtId="178" fontId="27" fillId="6" borderId="0" xfId="1" applyNumberFormat="1" applyFont="1" applyFill="1" applyBorder="1" applyAlignment="1">
      <alignment vertical="center"/>
    </xf>
    <xf numFmtId="178" fontId="25" fillId="5" borderId="0" xfId="1" applyNumberFormat="1" applyFont="1" applyFill="1" applyBorder="1">
      <alignment vertical="center"/>
    </xf>
    <xf numFmtId="181" fontId="25" fillId="5" borderId="0" xfId="1" applyNumberFormat="1" applyFont="1" applyFill="1" applyBorder="1">
      <alignment vertical="center"/>
    </xf>
    <xf numFmtId="178" fontId="25" fillId="4" borderId="0" xfId="1" applyNumberFormat="1" applyFont="1" applyFill="1">
      <alignment vertical="center"/>
    </xf>
    <xf numFmtId="178" fontId="25" fillId="4" borderId="0" xfId="1" applyNumberFormat="1" applyFont="1" applyFill="1" applyBorder="1">
      <alignment vertical="center"/>
    </xf>
    <xf numFmtId="0" fontId="25" fillId="8" borderId="0" xfId="0" applyFont="1" applyFill="1" applyAlignment="1">
      <alignment horizontal="right"/>
    </xf>
    <xf numFmtId="14" fontId="29" fillId="8" borderId="0" xfId="0" applyNumberFormat="1" applyFont="1" applyFill="1" applyAlignment="1">
      <alignment horizontal="right"/>
    </xf>
    <xf numFmtId="0" fontId="25" fillId="8" borderId="0" xfId="0" applyFont="1" applyFill="1" applyAlignment="1">
      <alignment horizontal="right" vertical="center"/>
    </xf>
    <xf numFmtId="0" fontId="27" fillId="8" borderId="30" xfId="0" applyFont="1" applyFill="1" applyBorder="1" applyAlignment="1" applyProtection="1">
      <alignment horizontal="center" vertical="center"/>
      <protection locked="0"/>
    </xf>
    <xf numFmtId="0" fontId="27" fillId="8" borderId="34" xfId="0" applyFont="1" applyFill="1" applyBorder="1" applyAlignment="1" applyProtection="1">
      <alignment horizontal="center" vertical="center"/>
      <protection locked="0"/>
    </xf>
    <xf numFmtId="0" fontId="27" fillId="8" borderId="30" xfId="0" applyFont="1" applyFill="1" applyBorder="1" applyAlignment="1" applyProtection="1">
      <alignment horizontal="left" vertical="center"/>
      <protection locked="0"/>
    </xf>
    <xf numFmtId="0" fontId="27" fillId="8" borderId="30" xfId="0" applyFont="1" applyFill="1" applyBorder="1" applyAlignment="1">
      <alignment horizontal="left" vertical="center"/>
    </xf>
    <xf numFmtId="43" fontId="27" fillId="6" borderId="0" xfId="1" applyFont="1" applyFill="1" applyBorder="1">
      <alignment vertical="center"/>
    </xf>
    <xf numFmtId="178" fontId="28" fillId="5" borderId="0" xfId="1" applyNumberFormat="1" applyFont="1" applyFill="1" applyBorder="1">
      <alignment vertical="center"/>
    </xf>
    <xf numFmtId="178" fontId="41" fillId="4" borderId="0" xfId="1" applyNumberFormat="1" applyFont="1" applyFill="1" applyBorder="1">
      <alignment vertical="center"/>
    </xf>
    <xf numFmtId="178" fontId="28" fillId="4" borderId="0" xfId="1" applyNumberFormat="1" applyFont="1" applyFill="1" applyBorder="1">
      <alignment vertical="center"/>
    </xf>
    <xf numFmtId="14" fontId="43" fillId="4" borderId="0" xfId="0" applyNumberFormat="1" applyFont="1" applyFill="1" applyAlignment="1">
      <alignment horizontal="left" vertical="center"/>
    </xf>
    <xf numFmtId="0" fontId="44" fillId="4" borderId="0" xfId="0" applyFont="1" applyFill="1">
      <alignment vertical="center"/>
    </xf>
    <xf numFmtId="178" fontId="44" fillId="4" borderId="0" xfId="1" applyNumberFormat="1" applyFont="1" applyFill="1" applyBorder="1">
      <alignment vertical="center"/>
    </xf>
    <xf numFmtId="178" fontId="43" fillId="4" borderId="0" xfId="1" applyNumberFormat="1" applyFont="1" applyFill="1" applyBorder="1">
      <alignment vertical="center"/>
    </xf>
    <xf numFmtId="14" fontId="43" fillId="4" borderId="0" xfId="0" applyNumberFormat="1" applyFont="1" applyFill="1">
      <alignment vertical="center"/>
    </xf>
    <xf numFmtId="178" fontId="28" fillId="5" borderId="0" xfId="1" applyNumberFormat="1" applyFont="1" applyFill="1" applyBorder="1" applyAlignment="1">
      <alignment horizontal="right" vertical="center"/>
    </xf>
    <xf numFmtId="178" fontId="28" fillId="4" borderId="0" xfId="1" applyNumberFormat="1" applyFont="1" applyFill="1" applyBorder="1" applyAlignment="1">
      <alignment horizontal="right" vertical="center"/>
    </xf>
    <xf numFmtId="178" fontId="27" fillId="6" borderId="0" xfId="1" applyNumberFormat="1" applyFont="1" applyFill="1" applyBorder="1" applyAlignment="1">
      <alignment horizontal="center" vertical="center"/>
    </xf>
    <xf numFmtId="0" fontId="27" fillId="8" borderId="0" xfId="0" applyFont="1" applyFill="1">
      <alignment vertical="center"/>
    </xf>
    <xf numFmtId="0" fontId="22" fillId="4" borderId="0" xfId="0" applyFont="1" applyFill="1">
      <alignment vertical="center"/>
    </xf>
    <xf numFmtId="14" fontId="0" fillId="6" borderId="0" xfId="0" applyNumberFormat="1" applyFill="1">
      <alignment vertical="center"/>
    </xf>
    <xf numFmtId="43" fontId="0" fillId="6" borderId="0" xfId="1" applyFont="1" applyFill="1">
      <alignment vertical="center"/>
    </xf>
    <xf numFmtId="176" fontId="0" fillId="6" borderId="0" xfId="2" applyNumberFormat="1" applyFont="1" applyFill="1">
      <alignment vertical="center"/>
    </xf>
    <xf numFmtId="14" fontId="0" fillId="4" borderId="0" xfId="0" applyNumberFormat="1" applyFill="1">
      <alignment vertical="center"/>
    </xf>
    <xf numFmtId="0" fontId="41" fillId="4" borderId="0" xfId="0" applyFont="1" applyFill="1">
      <alignment vertical="center"/>
    </xf>
    <xf numFmtId="184" fontId="0" fillId="4" borderId="0" xfId="0" applyNumberFormat="1" applyFill="1">
      <alignment vertical="center"/>
    </xf>
    <xf numFmtId="0" fontId="0" fillId="4" borderId="21" xfId="0" applyFill="1" applyBorder="1">
      <alignment vertical="center"/>
    </xf>
    <xf numFmtId="0" fontId="0" fillId="4" borderId="23" xfId="0" applyFill="1" applyBorder="1">
      <alignment vertical="center"/>
    </xf>
    <xf numFmtId="0" fontId="27" fillId="4" borderId="24" xfId="0" applyFont="1" applyFill="1" applyBorder="1">
      <alignment vertical="center"/>
    </xf>
    <xf numFmtId="0" fontId="0" fillId="4" borderId="25" xfId="0" applyFill="1" applyBorder="1">
      <alignment vertical="center"/>
    </xf>
    <xf numFmtId="14" fontId="0" fillId="4" borderId="25" xfId="0" applyNumberFormat="1" applyFill="1" applyBorder="1">
      <alignment vertical="center"/>
    </xf>
    <xf numFmtId="0" fontId="0" fillId="4" borderId="24" xfId="0" applyFill="1" applyBorder="1">
      <alignment vertical="center"/>
    </xf>
    <xf numFmtId="0" fontId="0" fillId="4" borderId="26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27" xfId="0" applyFill="1" applyBorder="1">
      <alignment vertical="center"/>
    </xf>
    <xf numFmtId="0" fontId="41" fillId="4" borderId="24" xfId="0" applyFont="1" applyFill="1" applyBorder="1">
      <alignment vertical="center"/>
    </xf>
    <xf numFmtId="0" fontId="41" fillId="4" borderId="26" xfId="0" applyFont="1" applyFill="1" applyBorder="1">
      <alignment vertical="center"/>
    </xf>
    <xf numFmtId="0" fontId="41" fillId="4" borderId="3" xfId="0" applyFont="1" applyFill="1" applyBorder="1">
      <alignment vertical="center"/>
    </xf>
    <xf numFmtId="178" fontId="41" fillId="4" borderId="3" xfId="1" applyNumberFormat="1" applyFont="1" applyFill="1" applyBorder="1">
      <alignment vertical="center"/>
    </xf>
    <xf numFmtId="176" fontId="0" fillId="4" borderId="0" xfId="2" applyNumberFormat="1" applyFont="1" applyFill="1">
      <alignment vertical="center"/>
    </xf>
    <xf numFmtId="0" fontId="41" fillId="4" borderId="6" xfId="0" applyFont="1" applyFill="1" applyBorder="1">
      <alignment vertical="center"/>
    </xf>
    <xf numFmtId="178" fontId="41" fillId="4" borderId="7" xfId="1" applyNumberFormat="1" applyFont="1" applyFill="1" applyBorder="1">
      <alignment vertical="center"/>
    </xf>
    <xf numFmtId="0" fontId="41" fillId="4" borderId="7" xfId="0" applyFont="1" applyFill="1" applyBorder="1">
      <alignment vertical="center"/>
    </xf>
    <xf numFmtId="0" fontId="41" fillId="4" borderId="8" xfId="0" applyFont="1" applyFill="1" applyBorder="1">
      <alignment vertical="center"/>
    </xf>
    <xf numFmtId="0" fontId="41" fillId="4" borderId="12" xfId="0" applyFont="1" applyFill="1" applyBorder="1" applyAlignment="1">
      <alignment horizontal="center" vertical="center"/>
    </xf>
    <xf numFmtId="178" fontId="41" fillId="4" borderId="13" xfId="1" applyNumberFormat="1" applyFont="1" applyFill="1" applyBorder="1" applyAlignment="1">
      <alignment horizontal="center" vertical="center"/>
    </xf>
    <xf numFmtId="0" fontId="41" fillId="4" borderId="13" xfId="0" applyFont="1" applyFill="1" applyBorder="1" applyAlignment="1">
      <alignment horizontal="center" vertical="center"/>
    </xf>
    <xf numFmtId="43" fontId="41" fillId="4" borderId="13" xfId="1" applyFont="1" applyFill="1" applyBorder="1" applyAlignment="1">
      <alignment horizontal="center" vertical="center"/>
    </xf>
    <xf numFmtId="178" fontId="41" fillId="4" borderId="14" xfId="1" applyNumberFormat="1" applyFont="1" applyFill="1" applyBorder="1" applyAlignment="1">
      <alignment horizontal="center" vertical="center"/>
    </xf>
    <xf numFmtId="0" fontId="41" fillId="4" borderId="9" xfId="0" applyFont="1" applyFill="1" applyBorder="1">
      <alignment vertical="center"/>
    </xf>
    <xf numFmtId="0" fontId="41" fillId="4" borderId="10" xfId="0" applyFont="1" applyFill="1" applyBorder="1">
      <alignment vertical="center"/>
    </xf>
    <xf numFmtId="178" fontId="41" fillId="4" borderId="15" xfId="1" applyNumberFormat="1" applyFont="1" applyFill="1" applyBorder="1" applyAlignment="1">
      <alignment horizontal="center" vertical="center"/>
    </xf>
    <xf numFmtId="178" fontId="41" fillId="4" borderId="0" xfId="1" applyNumberFormat="1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43" fontId="45" fillId="4" borderId="0" xfId="1" applyFont="1" applyFill="1" applyBorder="1" applyAlignment="1">
      <alignment horizontal="center" vertical="center"/>
    </xf>
    <xf numFmtId="178" fontId="45" fillId="4" borderId="0" xfId="1" applyNumberFormat="1" applyFont="1" applyFill="1" applyBorder="1" applyAlignment="1">
      <alignment horizontal="center" vertical="center"/>
    </xf>
    <xf numFmtId="178" fontId="45" fillId="4" borderId="16" xfId="1" applyNumberFormat="1" applyFont="1" applyFill="1" applyBorder="1" applyAlignment="1">
      <alignment horizontal="center" vertical="center"/>
    </xf>
    <xf numFmtId="178" fontId="41" fillId="4" borderId="17" xfId="1" applyNumberFormat="1" applyFont="1" applyFill="1" applyBorder="1" applyAlignment="1">
      <alignment horizontal="center" vertical="center"/>
    </xf>
    <xf numFmtId="178" fontId="41" fillId="4" borderId="18" xfId="1" applyNumberFormat="1" applyFont="1" applyFill="1" applyBorder="1" applyAlignment="1">
      <alignment horizontal="center" vertical="center"/>
    </xf>
    <xf numFmtId="178" fontId="41" fillId="4" borderId="18" xfId="1" applyNumberFormat="1" applyFont="1" applyFill="1" applyBorder="1" applyAlignment="1">
      <alignment horizontal="left" vertical="center"/>
    </xf>
    <xf numFmtId="178" fontId="41" fillId="4" borderId="18" xfId="1" applyNumberFormat="1" applyFont="1" applyFill="1" applyBorder="1" applyAlignment="1">
      <alignment vertical="center"/>
    </xf>
    <xf numFmtId="178" fontId="41" fillId="4" borderId="19" xfId="1" applyNumberFormat="1" applyFont="1" applyFill="1" applyBorder="1" applyAlignment="1">
      <alignment horizontal="center" vertical="center"/>
    </xf>
    <xf numFmtId="0" fontId="42" fillId="4" borderId="0" xfId="0" applyFont="1" applyFill="1">
      <alignment vertical="center"/>
    </xf>
    <xf numFmtId="0" fontId="0" fillId="4" borderId="9" xfId="0" applyFill="1" applyBorder="1">
      <alignment vertical="center"/>
    </xf>
    <xf numFmtId="0" fontId="0" fillId="4" borderId="11" xfId="0" applyFill="1" applyBorder="1">
      <alignment vertical="center"/>
    </xf>
    <xf numFmtId="178" fontId="41" fillId="4" borderId="0" xfId="1" applyNumberFormat="1" applyFont="1" applyFill="1">
      <alignment vertical="center"/>
    </xf>
    <xf numFmtId="0" fontId="0" fillId="4" borderId="22" xfId="0" applyFill="1" applyBorder="1">
      <alignment vertical="center"/>
    </xf>
    <xf numFmtId="14" fontId="0" fillId="4" borderId="21" xfId="0" applyNumberFormat="1" applyFill="1" applyBorder="1">
      <alignment vertical="center"/>
    </xf>
    <xf numFmtId="43" fontId="0" fillId="4" borderId="21" xfId="1" applyFont="1" applyFill="1" applyBorder="1">
      <alignment vertical="center"/>
    </xf>
    <xf numFmtId="43" fontId="0" fillId="4" borderId="23" xfId="1" applyFont="1" applyFill="1" applyBorder="1">
      <alignment vertical="center"/>
    </xf>
    <xf numFmtId="43" fontId="0" fillId="4" borderId="25" xfId="1" applyFont="1" applyFill="1" applyBorder="1">
      <alignment vertical="center"/>
    </xf>
    <xf numFmtId="176" fontId="0" fillId="4" borderId="22" xfId="2" applyNumberFormat="1" applyFont="1" applyFill="1" applyBorder="1">
      <alignment vertical="center"/>
    </xf>
    <xf numFmtId="176" fontId="0" fillId="4" borderId="21" xfId="2" applyNumberFormat="1" applyFont="1" applyFill="1" applyBorder="1">
      <alignment vertical="center"/>
    </xf>
    <xf numFmtId="176" fontId="0" fillId="4" borderId="24" xfId="2" applyNumberFormat="1" applyFont="1" applyFill="1" applyBorder="1">
      <alignment vertical="center"/>
    </xf>
    <xf numFmtId="176" fontId="0" fillId="4" borderId="0" xfId="2" applyNumberFormat="1" applyFont="1" applyFill="1" applyBorder="1">
      <alignment vertical="center"/>
    </xf>
    <xf numFmtId="176" fontId="0" fillId="4" borderId="26" xfId="2" applyNumberFormat="1" applyFont="1" applyFill="1" applyBorder="1">
      <alignment vertical="center"/>
    </xf>
    <xf numFmtId="176" fontId="0" fillId="4" borderId="3" xfId="2" applyNumberFormat="1" applyFont="1" applyFill="1" applyBorder="1">
      <alignment vertical="center"/>
    </xf>
    <xf numFmtId="179" fontId="46" fillId="4" borderId="0" xfId="1" applyNumberFormat="1" applyFont="1" applyFill="1" applyBorder="1" applyAlignment="1">
      <alignment horizontal="right"/>
    </xf>
    <xf numFmtId="43" fontId="25" fillId="4" borderId="0" xfId="1" applyFont="1" applyFill="1" applyAlignment="1">
      <alignment vertical="center"/>
    </xf>
    <xf numFmtId="43" fontId="25" fillId="4" borderId="0" xfId="1" applyFont="1" applyFill="1" applyAlignment="1">
      <alignment horizontal="left" vertical="center"/>
    </xf>
    <xf numFmtId="9" fontId="29" fillId="5" borderId="0" xfId="2" applyFont="1" applyFill="1" applyBorder="1" applyAlignment="1">
      <alignment horizontal="right" vertical="center"/>
    </xf>
    <xf numFmtId="9" fontId="29" fillId="4" borderId="0" xfId="2" applyFont="1" applyFill="1" applyAlignment="1">
      <alignment horizontal="right" vertical="center"/>
    </xf>
    <xf numFmtId="0" fontId="31" fillId="4" borderId="0" xfId="0" applyFont="1" applyFill="1">
      <alignment vertical="center"/>
    </xf>
    <xf numFmtId="49" fontId="14" fillId="9" borderId="0" xfId="0" applyNumberFormat="1" applyFont="1" applyFill="1" applyAlignment="1">
      <alignment horizontal="right" vertical="center"/>
    </xf>
    <xf numFmtId="0" fontId="42" fillId="5" borderId="0" xfId="0" applyFont="1" applyFill="1" applyAlignment="1">
      <alignment horizontal="right" vertical="center"/>
    </xf>
    <xf numFmtId="186" fontId="31" fillId="4" borderId="0" xfId="0" applyNumberFormat="1" applyFont="1" applyFill="1" applyAlignment="1">
      <alignment horizontal="left" vertical="center"/>
    </xf>
    <xf numFmtId="0" fontId="48" fillId="2" borderId="0" xfId="0" applyFont="1" applyFill="1">
      <alignment vertical="center"/>
    </xf>
    <xf numFmtId="0" fontId="50" fillId="0" borderId="0" xfId="0" applyFont="1" applyAlignment="1"/>
    <xf numFmtId="178" fontId="3" fillId="0" borderId="0" xfId="0" applyNumberFormat="1" applyFont="1">
      <alignment vertical="center"/>
    </xf>
    <xf numFmtId="0" fontId="36" fillId="4" borderId="0" xfId="2" applyNumberFormat="1" applyFont="1" applyFill="1" applyAlignment="1">
      <alignment horizontal="center" vertical="center"/>
    </xf>
    <xf numFmtId="0" fontId="25" fillId="5" borderId="0" xfId="1" applyNumberFormat="1" applyFont="1" applyFill="1" applyBorder="1">
      <alignment vertical="center"/>
    </xf>
    <xf numFmtId="0" fontId="25" fillId="4" borderId="0" xfId="1" applyNumberFormat="1" applyFont="1" applyFill="1">
      <alignment vertical="center"/>
    </xf>
    <xf numFmtId="0" fontId="0" fillId="4" borderId="25" xfId="0" applyFill="1" applyBorder="1" applyAlignment="1">
      <alignment horizontal="left" vertical="center"/>
    </xf>
    <xf numFmtId="0" fontId="0" fillId="4" borderId="0" xfId="0" applyFill="1" applyAlignment="1">
      <alignment horizontal="left" vertical="center"/>
    </xf>
    <xf numFmtId="49" fontId="0" fillId="0" borderId="0" xfId="0" applyNumberFormat="1" applyAlignment="1">
      <alignment horizontal="right" vertical="center"/>
    </xf>
    <xf numFmtId="187" fontId="0" fillId="0" borderId="0" xfId="0" applyNumberFormat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43" fontId="25" fillId="4" borderId="0" xfId="1" applyFont="1" applyFill="1" applyBorder="1" applyAlignment="1">
      <alignment horizontal="right" vertical="center"/>
    </xf>
    <xf numFmtId="43" fontId="25" fillId="5" borderId="0" xfId="1" applyFont="1" applyFill="1" applyBorder="1" applyAlignment="1">
      <alignment horizontal="right" vertical="center"/>
    </xf>
    <xf numFmtId="43" fontId="26" fillId="5" borderId="0" xfId="1" applyFont="1" applyFill="1" applyBorder="1" applyAlignment="1">
      <alignment horizontal="right" vertical="center"/>
    </xf>
    <xf numFmtId="0" fontId="31" fillId="4" borderId="0" xfId="0" applyFont="1" applyFill="1" applyAlignment="1">
      <alignment horizontal="left" vertical="center"/>
    </xf>
    <xf numFmtId="0" fontId="31" fillId="5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43" fontId="29" fillId="5" borderId="0" xfId="1" applyFont="1" applyFill="1" applyBorder="1" applyAlignment="1">
      <alignment horizontal="center" vertical="center"/>
    </xf>
    <xf numFmtId="43" fontId="29" fillId="4" borderId="0" xfId="1" applyFont="1" applyFill="1" applyBorder="1" applyAlignment="1">
      <alignment horizontal="center" vertical="center"/>
    </xf>
    <xf numFmtId="43" fontId="39" fillId="5" borderId="0" xfId="1" applyFont="1" applyFill="1" applyBorder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43" fontId="31" fillId="4" borderId="0" xfId="0" applyNumberFormat="1" applyFont="1" applyFill="1" applyAlignment="1">
      <alignment horizontal="right" vertical="center"/>
    </xf>
    <xf numFmtId="43" fontId="31" fillId="5" borderId="0" xfId="1" applyFont="1" applyFill="1" applyBorder="1" applyAlignment="1">
      <alignment horizontal="center" vertical="center"/>
    </xf>
    <xf numFmtId="0" fontId="27" fillId="6" borderId="0" xfId="0" applyFont="1" applyFill="1" applyAlignment="1">
      <alignment horizontal="right" vertical="center"/>
    </xf>
    <xf numFmtId="177" fontId="32" fillId="5" borderId="0" xfId="1" applyNumberFormat="1" applyFont="1" applyFill="1" applyBorder="1" applyAlignment="1">
      <alignment horizontal="right"/>
    </xf>
    <xf numFmtId="177" fontId="32" fillId="4" borderId="0" xfId="1" applyNumberFormat="1" applyFont="1" applyFill="1" applyBorder="1" applyAlignment="1">
      <alignment horizontal="right"/>
    </xf>
    <xf numFmtId="0" fontId="3" fillId="4" borderId="1" xfId="0" applyFont="1" applyFill="1" applyBorder="1" applyAlignment="1">
      <alignment horizontal="center" vertical="center"/>
    </xf>
    <xf numFmtId="14" fontId="27" fillId="6" borderId="0" xfId="0" applyNumberFormat="1" applyFont="1" applyFill="1" applyAlignment="1">
      <alignment horizontal="right" vertical="center"/>
    </xf>
    <xf numFmtId="43" fontId="25" fillId="5" borderId="0" xfId="0" applyNumberFormat="1" applyFont="1" applyFill="1" applyAlignment="1">
      <alignment horizontal="right" vertical="center"/>
    </xf>
    <xf numFmtId="43" fontId="29" fillId="4" borderId="0" xfId="0" applyNumberFormat="1" applyFont="1" applyFill="1" applyAlignment="1">
      <alignment horizontal="center" vertical="center"/>
    </xf>
    <xf numFmtId="43" fontId="29" fillId="5" borderId="0" xfId="0" applyNumberFormat="1" applyFont="1" applyFill="1" applyAlignment="1">
      <alignment horizontal="center" vertical="center"/>
    </xf>
    <xf numFmtId="43" fontId="29" fillId="5" borderId="3" xfId="0" applyNumberFormat="1" applyFont="1" applyFill="1" applyBorder="1" applyAlignment="1">
      <alignment horizontal="center" vertical="center"/>
    </xf>
    <xf numFmtId="43" fontId="40" fillId="4" borderId="4" xfId="1" applyFont="1" applyFill="1" applyBorder="1" applyAlignment="1">
      <alignment horizontal="center" vertical="center"/>
    </xf>
    <xf numFmtId="43" fontId="40" fillId="5" borderId="21" xfId="1" applyFont="1" applyFill="1" applyBorder="1" applyAlignment="1">
      <alignment horizontal="center" vertical="center"/>
    </xf>
    <xf numFmtId="43" fontId="40" fillId="4" borderId="2" xfId="1" applyFont="1" applyFill="1" applyBorder="1" applyAlignment="1">
      <alignment horizontal="center" vertical="center"/>
    </xf>
    <xf numFmtId="177" fontId="31" fillId="4" borderId="29" xfId="1" applyNumberFormat="1" applyFont="1" applyFill="1" applyBorder="1" applyAlignment="1">
      <alignment horizontal="right"/>
    </xf>
    <xf numFmtId="0" fontId="3" fillId="4" borderId="31" xfId="0" applyFont="1" applyFill="1" applyBorder="1" applyAlignment="1">
      <alignment horizontal="center" vertical="center"/>
    </xf>
    <xf numFmtId="43" fontId="29" fillId="4" borderId="0" xfId="0" applyNumberFormat="1" applyFont="1" applyFill="1" applyAlignment="1">
      <alignment horizontal="right" vertical="center"/>
    </xf>
    <xf numFmtId="43" fontId="29" fillId="5" borderId="0" xfId="0" applyNumberFormat="1" applyFont="1" applyFill="1" applyAlignment="1">
      <alignment horizontal="right" vertical="center"/>
    </xf>
    <xf numFmtId="43" fontId="40" fillId="5" borderId="0" xfId="0" applyNumberFormat="1" applyFont="1" applyFill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178" fontId="27" fillId="6" borderId="0" xfId="0" applyNumberFormat="1" applyFont="1" applyFill="1" applyAlignment="1">
      <alignment horizontal="center" vertical="center"/>
    </xf>
    <xf numFmtId="43" fontId="27" fillId="6" borderId="0" xfId="1" applyFont="1" applyFill="1" applyBorder="1" applyAlignment="1">
      <alignment horizontal="center" vertical="center"/>
    </xf>
    <xf numFmtId="178" fontId="27" fillId="6" borderId="0" xfId="1" applyNumberFormat="1" applyFont="1" applyFill="1" applyBorder="1" applyAlignment="1">
      <alignment horizontal="left" vertical="center" wrapText="1"/>
    </xf>
    <xf numFmtId="178" fontId="27" fillId="6" borderId="0" xfId="1" applyNumberFormat="1" applyFont="1" applyFill="1" applyBorder="1" applyAlignment="1">
      <alignment horizontal="center" vertical="center" wrapText="1"/>
    </xf>
    <xf numFmtId="181" fontId="27" fillId="6" borderId="0" xfId="1" applyNumberFormat="1" applyFont="1" applyFill="1" applyBorder="1" applyAlignment="1">
      <alignment horizontal="left" vertical="center" wrapText="1"/>
    </xf>
    <xf numFmtId="14" fontId="31" fillId="4" borderId="0" xfId="0" applyNumberFormat="1" applyFont="1" applyFill="1" applyAlignment="1">
      <alignment horizontal="right" vertical="center"/>
    </xf>
    <xf numFmtId="0" fontId="31" fillId="4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43" fontId="31" fillId="4" borderId="0" xfId="1" applyFont="1" applyFill="1" applyBorder="1" applyAlignment="1">
      <alignment horizontal="right" vertical="center"/>
    </xf>
    <xf numFmtId="0" fontId="31" fillId="5" borderId="0" xfId="0" applyFont="1" applyFill="1" applyAlignment="1">
      <alignment horizontal="right" vertical="center"/>
    </xf>
    <xf numFmtId="0" fontId="48" fillId="2" borderId="3" xfId="0" applyFont="1" applyFill="1" applyBorder="1" applyAlignment="1">
      <alignment horizontal="center" vertical="center"/>
    </xf>
  </cellXfs>
  <cellStyles count="5">
    <cellStyle name="百分比" xfId="2" builtinId="5"/>
    <cellStyle name="常规" xfId="0" builtinId="0" customBuiltin="1"/>
    <cellStyle name="超链接" xfId="3" builtinId="8"/>
    <cellStyle name="千位分隔" xfId="1" builtinId="3"/>
    <cellStyle name="着色 4" xfId="4" builtinId="41"/>
  </cellStyles>
  <dxfs count="577"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80" formatCode="0.000_ "/>
    </dxf>
    <dxf>
      <numFmt numFmtId="180" formatCode="0.000_ "/>
    </dxf>
    <dxf>
      <font>
        <color theme="1"/>
      </font>
    </dxf>
    <dxf>
      <font>
        <color theme="1"/>
      </font>
      <fill>
        <patternFill>
          <bgColor theme="3" tint="0.39994506668294322"/>
        </patternFill>
      </fill>
    </dxf>
    <dxf>
      <font>
        <color theme="1"/>
      </font>
      <fill>
        <patternFill>
          <bgColor theme="2" tint="-0.24994659260841701"/>
        </patternFill>
      </fill>
    </dxf>
  </dxfs>
  <tableStyles count="0" defaultTableStyle="TableStyleMedium9" defaultPivotStyle="PivotStyleLight16"/>
  <colors>
    <mruColors>
      <color rgb="FF63636D"/>
      <color rgb="FF5FBEC0"/>
      <color rgb="FF666666"/>
      <color rgb="FFF4F4F4"/>
      <color rgb="FFE9E9E9"/>
      <color rgb="FF2276A1"/>
      <color rgb="FF333333"/>
      <color rgb="FFDF5D5D"/>
      <color rgb="FFF68616"/>
      <color rgb="FF4B58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>
        <v>-1.8900000000000001</v>
        <stp/>
        <stp>601899.SH</stp>
        <stp>27</stp>
        <tr r="U12" s="1"/>
      </tp>
      <tp>
        <v>-0.70000000000000007</v>
        <stp/>
        <stp>601899.SH</stp>
        <stp>26</stp>
        <tr r="U11" s="1"/>
      </tp>
      <tp>
        <v>13905252662</v>
        <stp/>
        <stp>601899.SH</stp>
        <stp>29</stp>
        <tr r="U13" s="1"/>
      </tp>
      <tp>
        <v>35.597000000000001</v>
        <stp/>
        <stp>601899.SH</stp>
        <stp>28</stp>
        <tr r="P14" s="1"/>
      </tp>
      <tp>
        <v>390629022</v>
        <stp/>
        <stp>601899.SH</stp>
        <stp>30</stp>
        <tr r="U14" s="1"/>
      </tp>
      <tp>
        <v>34.86</v>
        <stp/>
        <stp>601899.SH</stp>
        <stp>4</stp>
        <tr r="P13" s="1"/>
      </tp>
      <tp>
        <v>36.4</v>
        <stp/>
        <stp>601899.SH</stp>
        <stp>5</stp>
        <tr r="P10" s="1"/>
      </tp>
      <tp>
        <v>35.93</v>
        <stp/>
        <stp>601899.SH</stp>
        <stp>2</stp>
        <tr r="P11" s="1"/>
      </tp>
      <tp>
        <v>36.67</v>
        <stp/>
        <stp>601899.SH</stp>
        <stp>3</stp>
        <tr r="P1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1798164566139"/>
          <c:y val="0.12180856087356375"/>
          <c:w val="0.85422726838521268"/>
          <c:h val="0.54463751605517396"/>
        </c:manualLayout>
      </c:layout>
      <c:lineChart>
        <c:grouping val="standard"/>
        <c:varyColors val="0"/>
        <c:ser>
          <c:idx val="0"/>
          <c:order val="0"/>
          <c:tx>
            <c:strRef>
              <c:f>参数设置!$N$3</c:f>
              <c:strCache>
                <c:ptCount val="1"/>
                <c:pt idx="0">
                  <c:v>区间涨跌幅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参数设置!$N$4:$N$63</c:f>
              <c:numCache>
                <c:formatCode>0.0%</c:formatCode>
                <c:ptCount val="60"/>
                <c:pt idx="0">
                  <c:v>1.4169381107491859</c:v>
                </c:pt>
                <c:pt idx="1">
                  <c:v>1.5765472312703581</c:v>
                </c:pt>
                <c:pt idx="2">
                  <c:v>1.4612377850162868</c:v>
                </c:pt>
                <c:pt idx="3">
                  <c:v>1.422801302931596</c:v>
                </c:pt>
                <c:pt idx="4">
                  <c:v>1.6149837133550489</c:v>
                </c:pt>
                <c:pt idx="5">
                  <c:v>1.4469055374592834</c:v>
                </c:pt>
                <c:pt idx="6">
                  <c:v>1.4410423452768728</c:v>
                </c:pt>
                <c:pt idx="7">
                  <c:v>1.4247557003257327</c:v>
                </c:pt>
                <c:pt idx="8">
                  <c:v>1.2456026058631924</c:v>
                </c:pt>
                <c:pt idx="9">
                  <c:v>1.1048859934853423</c:v>
                </c:pt>
                <c:pt idx="10">
                  <c:v>1.0110749185667753</c:v>
                </c:pt>
                <c:pt idx="11">
                  <c:v>1.003257328990228</c:v>
                </c:pt>
                <c:pt idx="12">
                  <c:v>0.95244299674267108</c:v>
                </c:pt>
                <c:pt idx="13">
                  <c:v>0.85211726384364828</c:v>
                </c:pt>
                <c:pt idx="14">
                  <c:v>0.91140065146579818</c:v>
                </c:pt>
                <c:pt idx="15">
                  <c:v>0.92117263843648201</c:v>
                </c:pt>
                <c:pt idx="16">
                  <c:v>0.88990228013029338</c:v>
                </c:pt>
                <c:pt idx="17">
                  <c:v>1.0169381107491859</c:v>
                </c:pt>
                <c:pt idx="18">
                  <c:v>0.91856677524429964</c:v>
                </c:pt>
                <c:pt idx="19">
                  <c:v>1.0182410423452768</c:v>
                </c:pt>
                <c:pt idx="20">
                  <c:v>0.91791530944625421</c:v>
                </c:pt>
                <c:pt idx="21">
                  <c:v>0.68208469055374588</c:v>
                </c:pt>
                <c:pt idx="22">
                  <c:v>0.64951140065146595</c:v>
                </c:pt>
                <c:pt idx="23">
                  <c:v>0.64104234527687298</c:v>
                </c:pt>
                <c:pt idx="24">
                  <c:v>0.59022801302931605</c:v>
                </c:pt>
                <c:pt idx="25">
                  <c:v>0.45863192182410439</c:v>
                </c:pt>
                <c:pt idx="26">
                  <c:v>0.32442996742670993</c:v>
                </c:pt>
                <c:pt idx="27">
                  <c:v>0.32247557003257343</c:v>
                </c:pt>
                <c:pt idx="28">
                  <c:v>0.29446254071661238</c:v>
                </c:pt>
                <c:pt idx="29">
                  <c:v>0.27622149837133558</c:v>
                </c:pt>
                <c:pt idx="30">
                  <c:v>0.3192182410423452</c:v>
                </c:pt>
                <c:pt idx="31">
                  <c:v>0.24560260586319238</c:v>
                </c:pt>
                <c:pt idx="32">
                  <c:v>0.29120521172638436</c:v>
                </c:pt>
                <c:pt idx="33">
                  <c:v>0.2964169381107491</c:v>
                </c:pt>
                <c:pt idx="34">
                  <c:v>0.20781758957654728</c:v>
                </c:pt>
                <c:pt idx="35">
                  <c:v>0.22931596091205231</c:v>
                </c:pt>
                <c:pt idx="36">
                  <c:v>0.19022801302931591</c:v>
                </c:pt>
                <c:pt idx="37">
                  <c:v>0.17654723127035821</c:v>
                </c:pt>
                <c:pt idx="38">
                  <c:v>0.16482084690553744</c:v>
                </c:pt>
                <c:pt idx="39">
                  <c:v>0.13745928338762226</c:v>
                </c:pt>
                <c:pt idx="40">
                  <c:v>0.15700325732899034</c:v>
                </c:pt>
                <c:pt idx="41">
                  <c:v>0.15700325732899034</c:v>
                </c:pt>
                <c:pt idx="42">
                  <c:v>0.14853420195439737</c:v>
                </c:pt>
                <c:pt idx="43">
                  <c:v>0.20521172638436491</c:v>
                </c:pt>
                <c:pt idx="44">
                  <c:v>0.14983713355048844</c:v>
                </c:pt>
                <c:pt idx="45">
                  <c:v>3.9087947882736174E-2</c:v>
                </c:pt>
                <c:pt idx="46">
                  <c:v>0.16807817589576546</c:v>
                </c:pt>
                <c:pt idx="47">
                  <c:v>0.19869706840390866</c:v>
                </c:pt>
                <c:pt idx="48">
                  <c:v>0.15700325732899034</c:v>
                </c:pt>
                <c:pt idx="49">
                  <c:v>7.3615635179153038E-2</c:v>
                </c:pt>
                <c:pt idx="50">
                  <c:v>3.7785016286644879E-2</c:v>
                </c:pt>
                <c:pt idx="51">
                  <c:v>2.8013029315960836E-2</c:v>
                </c:pt>
                <c:pt idx="52">
                  <c:v>6.9055374592833951E-2</c:v>
                </c:pt>
                <c:pt idx="53">
                  <c:v>0.12573289902280149</c:v>
                </c:pt>
                <c:pt idx="54">
                  <c:v>5.7980456026058613E-2</c:v>
                </c:pt>
                <c:pt idx="55">
                  <c:v>6.1237785016286628E-2</c:v>
                </c:pt>
                <c:pt idx="56">
                  <c:v>6.8403908794788304E-2</c:v>
                </c:pt>
                <c:pt idx="57">
                  <c:v>9.1205211726383961E-3</c:v>
                </c:pt>
                <c:pt idx="58">
                  <c:v>1.2377850162866411E-2</c:v>
                </c:pt>
                <c:pt idx="59">
                  <c:v>1.0423452768729691E-2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9-4070-8902-0D4C878D9CC3}"/>
            </c:ext>
          </c:extLst>
        </c:ser>
        <c:ser>
          <c:idx val="1"/>
          <c:order val="1"/>
          <c:tx>
            <c:strRef>
              <c:f>参数设置!$O$3</c:f>
              <c:strCache>
                <c:ptCount val="1"/>
                <c:pt idx="0">
                  <c:v>指数基准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参数设置!$O$4:$O$63</c:f>
              <c:numCache>
                <c:formatCode>0.0%</c:formatCode>
                <c:ptCount val="60"/>
                <c:pt idx="0">
                  <c:v>0.19136700218127434</c:v>
                </c:pt>
                <c:pt idx="1">
                  <c:v>0.20420185214043429</c:v>
                </c:pt>
                <c:pt idx="2">
                  <c:v>0.19135846400324596</c:v>
                </c:pt>
                <c:pt idx="3">
                  <c:v>0.18706133193123153</c:v>
                </c:pt>
                <c:pt idx="4">
                  <c:v>0.20310088731609177</c:v>
                </c:pt>
                <c:pt idx="5">
                  <c:v>0.20211835775763531</c:v>
                </c:pt>
                <c:pt idx="6">
                  <c:v>0.20962791540434567</c:v>
                </c:pt>
                <c:pt idx="7">
                  <c:v>0.2165426381272697</c:v>
                </c:pt>
                <c:pt idx="8">
                  <c:v>0.1835702907806902</c:v>
                </c:pt>
                <c:pt idx="9">
                  <c:v>0.18462327308958515</c:v>
                </c:pt>
                <c:pt idx="10">
                  <c:v>0.1707720987475565</c:v>
                </c:pt>
                <c:pt idx="11">
                  <c:v>0.17382751387479489</c:v>
                </c:pt>
                <c:pt idx="12">
                  <c:v>0.15829040725984411</c:v>
                </c:pt>
                <c:pt idx="13">
                  <c:v>0.15485900553846554</c:v>
                </c:pt>
                <c:pt idx="14">
                  <c:v>0.17292382186436162</c:v>
                </c:pt>
                <c:pt idx="15">
                  <c:v>0.18765235790733437</c:v>
                </c:pt>
                <c:pt idx="16">
                  <c:v>0.18288455238064838</c:v>
                </c:pt>
                <c:pt idx="17">
                  <c:v>0.21370911337514276</c:v>
                </c:pt>
                <c:pt idx="18">
                  <c:v>0.17401737330059563</c:v>
                </c:pt>
                <c:pt idx="19">
                  <c:v>0.17752413594660887</c:v>
                </c:pt>
                <c:pt idx="20">
                  <c:v>0.18631937959860134</c:v>
                </c:pt>
                <c:pt idx="21">
                  <c:v>0.15540928344337868</c:v>
                </c:pt>
                <c:pt idx="22">
                  <c:v>0.15631898285452039</c:v>
                </c:pt>
                <c:pt idx="23">
                  <c:v>0.13405880238095524</c:v>
                </c:pt>
                <c:pt idx="24">
                  <c:v>0.14791273757096901</c:v>
                </c:pt>
                <c:pt idx="25">
                  <c:v>0.13823384361984381</c:v>
                </c:pt>
                <c:pt idx="26">
                  <c:v>7.9638321756177355E-2</c:v>
                </c:pt>
                <c:pt idx="27">
                  <c:v>5.9302912469666458E-2</c:v>
                </c:pt>
                <c:pt idx="28">
                  <c:v>4.8981635657231015E-2</c:v>
                </c:pt>
                <c:pt idx="29">
                  <c:v>6.1398984048842697E-2</c:v>
                </c:pt>
                <c:pt idx="30">
                  <c:v>5.2946059983614902E-2</c:v>
                </c:pt>
                <c:pt idx="31">
                  <c:v>2.7409801051249127E-2</c:v>
                </c:pt>
                <c:pt idx="32">
                  <c:v>2.2140748234795504E-2</c:v>
                </c:pt>
                <c:pt idx="33">
                  <c:v>7.9043077817875229E-3</c:v>
                </c:pt>
                <c:pt idx="34">
                  <c:v>-1.9958374592673467E-3</c:v>
                </c:pt>
                <c:pt idx="35">
                  <c:v>-1.0599355556728085E-2</c:v>
                </c:pt>
                <c:pt idx="36">
                  <c:v>-1.1855388009575862E-2</c:v>
                </c:pt>
                <c:pt idx="37">
                  <c:v>-1.5294305372691941E-2</c:v>
                </c:pt>
                <c:pt idx="38">
                  <c:v>-1.8519333707172625E-2</c:v>
                </c:pt>
                <c:pt idx="39">
                  <c:v>-3.4947989714102512E-3</c:v>
                </c:pt>
                <c:pt idx="40">
                  <c:v>-3.9836224452443059E-3</c:v>
                </c:pt>
                <c:pt idx="41">
                  <c:v>-2.64067952035687E-2</c:v>
                </c:pt>
                <c:pt idx="42">
                  <c:v>-3.4961768390621928E-2</c:v>
                </c:pt>
                <c:pt idx="43">
                  <c:v>-3.2692888178294299E-2</c:v>
                </c:pt>
                <c:pt idx="44">
                  <c:v>-3.8500229661650898E-2</c:v>
                </c:pt>
                <c:pt idx="45">
                  <c:v>-6.6741608351422066E-2</c:v>
                </c:pt>
                <c:pt idx="46">
                  <c:v>-6.1754801114647373E-3</c:v>
                </c:pt>
                <c:pt idx="47">
                  <c:v>5.2286115061508376E-3</c:v>
                </c:pt>
                <c:pt idx="48">
                  <c:v>2.4510527215621414E-2</c:v>
                </c:pt>
                <c:pt idx="49">
                  <c:v>7.5601476296995873E-3</c:v>
                </c:pt>
                <c:pt idx="50">
                  <c:v>-6.8051835227684876E-3</c:v>
                </c:pt>
                <c:pt idx="51">
                  <c:v>3.5300253466294951E-3</c:v>
                </c:pt>
                <c:pt idx="52">
                  <c:v>2.4062835264082594E-4</c:v>
                </c:pt>
                <c:pt idx="53">
                  <c:v>-7.3383339448100937E-3</c:v>
                </c:pt>
                <c:pt idx="54">
                  <c:v>-2.4224242617594816E-2</c:v>
                </c:pt>
                <c:pt idx="55">
                  <c:v>-2.1004224710939323E-2</c:v>
                </c:pt>
                <c:pt idx="56">
                  <c:v>-4.8398841098269529E-2</c:v>
                </c:pt>
                <c:pt idx="57">
                  <c:v>-3.6522925672655027E-2</c:v>
                </c:pt>
                <c:pt idx="58">
                  <c:v>2.2294691073380779E-2</c:v>
                </c:pt>
                <c:pt idx="59">
                  <c:v>5.5549795267784141E-3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29-4070-8902-0D4C878D9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32160"/>
        <c:axId val="119133696"/>
      </c:lineChart>
      <c:dateAx>
        <c:axId val="119132160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txPr>
          <a:bodyPr/>
          <a:lstStyle/>
          <a:p>
            <a:pPr>
              <a:defRPr sz="900" spc="0" baseline="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19133696"/>
        <c:crosses val="autoZero"/>
        <c:auto val="1"/>
        <c:lblOffset val="100"/>
        <c:baseTimeUnit val="days"/>
        <c:majorUnit val="1"/>
        <c:majorTimeUnit val="months"/>
      </c:dateAx>
      <c:valAx>
        <c:axId val="119133696"/>
        <c:scaling>
          <c:orientation val="minMax"/>
        </c:scaling>
        <c:delete val="0"/>
        <c:axPos val="l"/>
        <c:majorGridlines>
          <c:spPr>
            <a:ln w="9525">
              <a:solidFill>
                <a:srgbClr val="E9E9E9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913216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8512481560242922E-2"/>
          <c:y val="0.91970424973474074"/>
          <c:w val="0.97697243258606148"/>
          <c:h val="7.8730071404829904E-2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printSettings>
    <c:headerFooter/>
    <c:pageMargins b="0.75000000000000644" l="0.70000000000000062" r="0.70000000000000062" t="0.750000000000006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993518283332867E-2"/>
          <c:y val="9.3755530146807625E-2"/>
          <c:w val="0.87504341527201646"/>
          <c:h val="0.57880883639545055"/>
        </c:manualLayout>
      </c:layout>
      <c:lineChart>
        <c:grouping val="standard"/>
        <c:varyColors val="0"/>
        <c:ser>
          <c:idx val="0"/>
          <c:order val="0"/>
          <c:tx>
            <c:strRef>
              <c:f>参数设置!$J$3</c:f>
              <c:strCache>
                <c:ptCount val="1"/>
                <c:pt idx="0">
                  <c:v> 收盘价 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参数设置!$J$4:$J$63</c:f>
              <c:numCache>
                <c:formatCode>_(* #,##0.00_);_(* \(#,##0.00\);_(* "-"??_);_(@_)</c:formatCode>
                <c:ptCount val="60"/>
                <c:pt idx="0">
                  <c:v>37.1</c:v>
                </c:pt>
                <c:pt idx="1">
                  <c:v>39.549999999999997</c:v>
                </c:pt>
                <c:pt idx="2">
                  <c:v>37.78</c:v>
                </c:pt>
                <c:pt idx="3">
                  <c:v>37.19</c:v>
                </c:pt>
                <c:pt idx="4">
                  <c:v>40.14</c:v>
                </c:pt>
                <c:pt idx="5">
                  <c:v>37.56</c:v>
                </c:pt>
                <c:pt idx="6">
                  <c:v>37.47</c:v>
                </c:pt>
                <c:pt idx="7">
                  <c:v>37.22</c:v>
                </c:pt>
                <c:pt idx="8">
                  <c:v>34.47</c:v>
                </c:pt>
                <c:pt idx="9">
                  <c:v>32.31</c:v>
                </c:pt>
                <c:pt idx="10">
                  <c:v>30.87</c:v>
                </c:pt>
                <c:pt idx="11">
                  <c:v>30.75</c:v>
                </c:pt>
                <c:pt idx="12">
                  <c:v>29.97</c:v>
                </c:pt>
                <c:pt idx="13">
                  <c:v>28.43</c:v>
                </c:pt>
                <c:pt idx="14">
                  <c:v>29.34</c:v>
                </c:pt>
                <c:pt idx="15">
                  <c:v>29.49</c:v>
                </c:pt>
                <c:pt idx="16">
                  <c:v>29.01</c:v>
                </c:pt>
                <c:pt idx="17">
                  <c:v>30.96</c:v>
                </c:pt>
                <c:pt idx="18">
                  <c:v>29.45</c:v>
                </c:pt>
                <c:pt idx="19">
                  <c:v>30.98</c:v>
                </c:pt>
                <c:pt idx="20">
                  <c:v>29.44</c:v>
                </c:pt>
                <c:pt idx="21">
                  <c:v>25.82</c:v>
                </c:pt>
                <c:pt idx="22">
                  <c:v>25.32</c:v>
                </c:pt>
                <c:pt idx="23">
                  <c:v>25.19</c:v>
                </c:pt>
                <c:pt idx="24">
                  <c:v>24.41</c:v>
                </c:pt>
                <c:pt idx="25">
                  <c:v>22.39</c:v>
                </c:pt>
                <c:pt idx="26">
                  <c:v>20.329999999999998</c:v>
                </c:pt>
                <c:pt idx="27">
                  <c:v>20.3</c:v>
                </c:pt>
                <c:pt idx="28">
                  <c:v>19.87</c:v>
                </c:pt>
                <c:pt idx="29">
                  <c:v>19.59</c:v>
                </c:pt>
                <c:pt idx="30">
                  <c:v>20.25</c:v>
                </c:pt>
                <c:pt idx="31">
                  <c:v>19.12</c:v>
                </c:pt>
                <c:pt idx="32">
                  <c:v>19.82</c:v>
                </c:pt>
                <c:pt idx="33">
                  <c:v>19.899999999999999</c:v>
                </c:pt>
                <c:pt idx="34">
                  <c:v>18.54</c:v>
                </c:pt>
                <c:pt idx="35">
                  <c:v>18.87</c:v>
                </c:pt>
                <c:pt idx="36">
                  <c:v>18.27</c:v>
                </c:pt>
                <c:pt idx="37">
                  <c:v>18.059999999999999</c:v>
                </c:pt>
                <c:pt idx="38">
                  <c:v>17.88</c:v>
                </c:pt>
                <c:pt idx="39">
                  <c:v>17.46</c:v>
                </c:pt>
                <c:pt idx="40">
                  <c:v>17.760000000000002</c:v>
                </c:pt>
                <c:pt idx="41">
                  <c:v>17.760000000000002</c:v>
                </c:pt>
                <c:pt idx="42">
                  <c:v>17.63</c:v>
                </c:pt>
                <c:pt idx="43">
                  <c:v>18.5</c:v>
                </c:pt>
                <c:pt idx="44">
                  <c:v>17.649999999999999</c:v>
                </c:pt>
                <c:pt idx="45">
                  <c:v>15.95</c:v>
                </c:pt>
                <c:pt idx="46">
                  <c:v>17.93</c:v>
                </c:pt>
                <c:pt idx="47">
                  <c:v>18.399999999999999</c:v>
                </c:pt>
                <c:pt idx="48">
                  <c:v>17.760000000000002</c:v>
                </c:pt>
                <c:pt idx="49">
                  <c:v>16.48</c:v>
                </c:pt>
                <c:pt idx="50">
                  <c:v>15.93</c:v>
                </c:pt>
                <c:pt idx="51">
                  <c:v>15.78</c:v>
                </c:pt>
                <c:pt idx="52">
                  <c:v>16.41</c:v>
                </c:pt>
                <c:pt idx="53">
                  <c:v>17.28</c:v>
                </c:pt>
                <c:pt idx="54">
                  <c:v>16.239999999999998</c:v>
                </c:pt>
                <c:pt idx="55">
                  <c:v>16.29</c:v>
                </c:pt>
                <c:pt idx="56">
                  <c:v>16.399999999999999</c:v>
                </c:pt>
                <c:pt idx="57">
                  <c:v>15.49</c:v>
                </c:pt>
                <c:pt idx="58">
                  <c:v>15.54</c:v>
                </c:pt>
                <c:pt idx="59">
                  <c:v>15.51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22-42CE-A34C-C480C17E32F7}"/>
            </c:ext>
          </c:extLst>
        </c:ser>
        <c:ser>
          <c:idx val="1"/>
          <c:order val="1"/>
          <c:tx>
            <c:strRef>
              <c:f>参数设置!$K$3</c:f>
              <c:strCache>
                <c:ptCount val="1"/>
                <c:pt idx="0">
                  <c:v> 8X 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参数设置!$K$4:$K$63</c:f>
              <c:numCache>
                <c:formatCode>_(* #,##0.00_);_(* \(#,##0.00\);_(* "-"??_);_(@_)</c:formatCode>
                <c:ptCount val="60"/>
                <c:pt idx="0">
                  <c:v>20.8064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9.643000858488497</c:v>
                </c:pt>
                <c:pt idx="9">
                  <c:v>9.643000858488497</c:v>
                </c:pt>
                <c:pt idx="10">
                  <c:v>9.6429971593701005</c:v>
                </c:pt>
                <c:pt idx="11">
                  <c:v>9.6466069625205009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9.6474236243687397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9.6474125168401272</c:v>
                </c:pt>
                <c:pt idx="56">
                  <c:v>#N/A</c:v>
                </c:pt>
                <c:pt idx="57">
                  <c:v>#N/A</c:v>
                </c:pt>
                <c:pt idx="58">
                  <c:v>6.3569893361139167</c:v>
                </c:pt>
                <c:pt idx="59">
                  <c:v>6.3569893361139167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22-42CE-A34C-C480C17E32F7}"/>
            </c:ext>
          </c:extLst>
        </c:ser>
        <c:ser>
          <c:idx val="2"/>
          <c:order val="2"/>
          <c:tx>
            <c:strRef>
              <c:f>参数设置!$L$3</c:f>
              <c:strCache>
                <c:ptCount val="1"/>
                <c:pt idx="0">
                  <c:v> 20X 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参数设置!$L$4:$L$63</c:f>
              <c:numCache>
                <c:formatCode>_(* #,##0.00_);_(* \(#,##0.00\);_(* "-"??_);_(@_)</c:formatCode>
                <c:ptCount val="60"/>
                <c:pt idx="0">
                  <c:v>52.015999999999998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24.107502146221243</c:v>
                </c:pt>
                <c:pt idx="9">
                  <c:v>24.107502146221243</c:v>
                </c:pt>
                <c:pt idx="10">
                  <c:v>24.107492898425249</c:v>
                </c:pt>
                <c:pt idx="11">
                  <c:v>24.116517406301252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24.11855906092185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24.118531292100318</c:v>
                </c:pt>
                <c:pt idx="56">
                  <c:v>#N/A</c:v>
                </c:pt>
                <c:pt idx="57">
                  <c:v>#N/A</c:v>
                </c:pt>
                <c:pt idx="58">
                  <c:v>15.892473340284791</c:v>
                </c:pt>
                <c:pt idx="59">
                  <c:v>15.892473340284791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22-42CE-A34C-C480C17E32F7}"/>
            </c:ext>
          </c:extLst>
        </c:ser>
        <c:ser>
          <c:idx val="3"/>
          <c:order val="3"/>
          <c:tx>
            <c:strRef>
              <c:f>参数设置!$M$3</c:f>
              <c:strCache>
                <c:ptCount val="1"/>
                <c:pt idx="0">
                  <c:v> 32X 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46087</c:v>
                </c:pt>
                <c:pt idx="1">
                  <c:v>46080</c:v>
                </c:pt>
                <c:pt idx="2">
                  <c:v>46066</c:v>
                </c:pt>
                <c:pt idx="3">
                  <c:v>46059</c:v>
                </c:pt>
                <c:pt idx="4">
                  <c:v>46052</c:v>
                </c:pt>
                <c:pt idx="5">
                  <c:v>46045</c:v>
                </c:pt>
                <c:pt idx="6">
                  <c:v>46038</c:v>
                </c:pt>
                <c:pt idx="7">
                  <c:v>46031</c:v>
                </c:pt>
                <c:pt idx="8">
                  <c:v>46022</c:v>
                </c:pt>
                <c:pt idx="9">
                  <c:v>46015</c:v>
                </c:pt>
                <c:pt idx="10">
                  <c:v>46008</c:v>
                </c:pt>
                <c:pt idx="11">
                  <c:v>46001</c:v>
                </c:pt>
                <c:pt idx="12">
                  <c:v>45994</c:v>
                </c:pt>
                <c:pt idx="13">
                  <c:v>45987</c:v>
                </c:pt>
                <c:pt idx="14">
                  <c:v>45980</c:v>
                </c:pt>
                <c:pt idx="15">
                  <c:v>45973</c:v>
                </c:pt>
                <c:pt idx="16">
                  <c:v>45966</c:v>
                </c:pt>
                <c:pt idx="17">
                  <c:v>45959</c:v>
                </c:pt>
                <c:pt idx="18">
                  <c:v>45952</c:v>
                </c:pt>
                <c:pt idx="19">
                  <c:v>45945</c:v>
                </c:pt>
                <c:pt idx="20">
                  <c:v>45930</c:v>
                </c:pt>
                <c:pt idx="21">
                  <c:v>45923</c:v>
                </c:pt>
                <c:pt idx="22">
                  <c:v>45916</c:v>
                </c:pt>
                <c:pt idx="23">
                  <c:v>45909</c:v>
                </c:pt>
                <c:pt idx="24">
                  <c:v>45902</c:v>
                </c:pt>
                <c:pt idx="25">
                  <c:v>45895</c:v>
                </c:pt>
                <c:pt idx="26">
                  <c:v>45888</c:v>
                </c:pt>
                <c:pt idx="27">
                  <c:v>45881</c:v>
                </c:pt>
                <c:pt idx="28">
                  <c:v>45874</c:v>
                </c:pt>
                <c:pt idx="29">
                  <c:v>45867</c:v>
                </c:pt>
                <c:pt idx="30">
                  <c:v>45860</c:v>
                </c:pt>
                <c:pt idx="31">
                  <c:v>45853</c:v>
                </c:pt>
                <c:pt idx="32">
                  <c:v>45846</c:v>
                </c:pt>
                <c:pt idx="33">
                  <c:v>45839</c:v>
                </c:pt>
                <c:pt idx="34">
                  <c:v>45832</c:v>
                </c:pt>
                <c:pt idx="35">
                  <c:v>45825</c:v>
                </c:pt>
                <c:pt idx="36">
                  <c:v>45818</c:v>
                </c:pt>
                <c:pt idx="37">
                  <c:v>45811</c:v>
                </c:pt>
                <c:pt idx="38">
                  <c:v>45804</c:v>
                </c:pt>
                <c:pt idx="39">
                  <c:v>45797</c:v>
                </c:pt>
                <c:pt idx="40">
                  <c:v>45790</c:v>
                </c:pt>
                <c:pt idx="41">
                  <c:v>45783</c:v>
                </c:pt>
                <c:pt idx="42">
                  <c:v>45776</c:v>
                </c:pt>
                <c:pt idx="43">
                  <c:v>45769</c:v>
                </c:pt>
                <c:pt idx="44">
                  <c:v>45762</c:v>
                </c:pt>
                <c:pt idx="45">
                  <c:v>45755</c:v>
                </c:pt>
                <c:pt idx="46">
                  <c:v>45748</c:v>
                </c:pt>
                <c:pt idx="47">
                  <c:v>45741</c:v>
                </c:pt>
                <c:pt idx="48">
                  <c:v>45734</c:v>
                </c:pt>
                <c:pt idx="49">
                  <c:v>45727</c:v>
                </c:pt>
                <c:pt idx="50">
                  <c:v>45720</c:v>
                </c:pt>
                <c:pt idx="51">
                  <c:v>45713</c:v>
                </c:pt>
                <c:pt idx="52">
                  <c:v>45706</c:v>
                </c:pt>
                <c:pt idx="53">
                  <c:v>45699</c:v>
                </c:pt>
                <c:pt idx="54">
                  <c:v>45684</c:v>
                </c:pt>
                <c:pt idx="55">
                  <c:v>45677</c:v>
                </c:pt>
                <c:pt idx="56">
                  <c:v>45670</c:v>
                </c:pt>
                <c:pt idx="57">
                  <c:v>45663</c:v>
                </c:pt>
                <c:pt idx="58">
                  <c:v>45656</c:v>
                </c:pt>
                <c:pt idx="59">
                  <c:v>45649</c:v>
                </c:pt>
              </c:numCache>
            </c:numRef>
          </c:cat>
          <c:val>
            <c:numRef>
              <c:f>参数设置!$M$4:$M$63</c:f>
              <c:numCache>
                <c:formatCode>_(* #,##0.00_);_(* \(#,##0.00\);_(* "-"??_);_(@_)</c:formatCode>
                <c:ptCount val="60"/>
                <c:pt idx="0">
                  <c:v>83.2256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38.572003433953988</c:v>
                </c:pt>
                <c:pt idx="9">
                  <c:v>38.572003433953988</c:v>
                </c:pt>
                <c:pt idx="10">
                  <c:v>38.571988637480402</c:v>
                </c:pt>
                <c:pt idx="11">
                  <c:v>38.586427850082003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38.589694497474959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38.589650067360509</c:v>
                </c:pt>
                <c:pt idx="56">
                  <c:v>#N/A</c:v>
                </c:pt>
                <c:pt idx="57">
                  <c:v>#N/A</c:v>
                </c:pt>
                <c:pt idx="58">
                  <c:v>25.427957344455667</c:v>
                </c:pt>
                <c:pt idx="59">
                  <c:v>25.427957344455667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22-42CE-A34C-C480C17E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7280"/>
        <c:axId val="154338816"/>
      </c:lineChart>
      <c:dateAx>
        <c:axId val="154337280"/>
        <c:scaling>
          <c:orientation val="minMax"/>
        </c:scaling>
        <c:delete val="0"/>
        <c:axPos val="b"/>
        <c:numFmt formatCode="yyyy/mm/dd" sourceLinked="0"/>
        <c:majorTickMark val="out"/>
        <c:minorTickMark val="none"/>
        <c:tickLblPos val="low"/>
        <c:spPr>
          <a:ln>
            <a:solidFill>
              <a:srgbClr val="E9E9E9"/>
            </a:solidFill>
          </a:ln>
        </c:spPr>
        <c:txPr>
          <a:bodyPr/>
          <a:lstStyle/>
          <a:p>
            <a:pPr>
              <a:defRPr sz="900" baseline="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54338816"/>
        <c:crosses val="autoZero"/>
        <c:auto val="1"/>
        <c:lblOffset val="100"/>
        <c:baseTimeUnit val="days"/>
        <c:majorUnit val="1"/>
        <c:majorTimeUnit val="months"/>
      </c:dateAx>
      <c:valAx>
        <c:axId val="154338816"/>
        <c:scaling>
          <c:orientation val="minMax"/>
        </c:scaling>
        <c:delete val="0"/>
        <c:axPos val="l"/>
        <c:majorGridlines>
          <c:spPr>
            <a:ln w="3175">
              <a:solidFill>
                <a:srgbClr val="E9E9E9"/>
              </a:solidFill>
              <a:prstDash val="solid"/>
            </a:ln>
          </c:spPr>
        </c:majorGridlines>
        <c:numFmt formatCode="#,##0.0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5433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1490660661952776"/>
          <c:y val="0.90132677165354336"/>
          <c:w val="0.55500664883682704"/>
          <c:h val="9.8673185182333686E-2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>
      <a:noFill/>
    </a:ln>
  </c:spPr>
  <c:printSettings>
    <c:headerFooter/>
    <c:pageMargins b="0.75000000000000666" l="0.70000000000000062" r="0.70000000000000062" t="0.7500000000000066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335367019519914"/>
          <c:y val="0.12301626530260359"/>
          <c:w val="0.66938763449270833"/>
          <c:h val="0.7377922102802843"/>
        </c:manualLayout>
      </c:layout>
      <c:pieChart>
        <c:varyColors val="1"/>
        <c:ser>
          <c:idx val="0"/>
          <c:order val="0"/>
          <c:spPr>
            <a:solidFill>
              <a:srgbClr val="F68616"/>
            </a:solidFill>
            <a:ln>
              <a:noFill/>
            </a:ln>
          </c:spPr>
          <c:explosion val="10"/>
          <c:dPt>
            <c:idx val="0"/>
            <c:bubble3D val="0"/>
            <c:spPr>
              <a:solidFill>
                <a:srgbClr val="2276A1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D040-43EC-874C-EF32830816A2}"/>
              </c:ext>
            </c:extLst>
          </c:dPt>
          <c:dPt>
            <c:idx val="2"/>
            <c:bubble3D val="0"/>
            <c:spPr>
              <a:solidFill>
                <a:srgbClr val="5FBEC0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D040-43EC-874C-EF32830816A2}"/>
              </c:ext>
            </c:extLst>
          </c:dPt>
          <c:dPt>
            <c:idx val="3"/>
            <c:bubble3D val="0"/>
            <c:spPr>
              <a:solidFill>
                <a:srgbClr val="DF5D5D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4-D040-43EC-874C-EF32830816A2}"/>
              </c:ext>
            </c:extLst>
          </c:dPt>
          <c:dPt>
            <c:idx val="4"/>
            <c:bubble3D val="0"/>
            <c:spPr>
              <a:solidFill>
                <a:srgbClr val="4B588D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0-8E3A-411D-8DAE-EFEF6C6CC6E4}"/>
              </c:ext>
            </c:extLst>
          </c:dPt>
          <c:dLbls>
            <c:dLbl>
              <c:idx val="0"/>
              <c:layout>
                <c:manualLayout>
                  <c:x val="-1.7660044150110375E-2"/>
                  <c:y val="-0.18004866180048665"/>
                </c:manualLayout>
              </c:layout>
              <c:dLblPos val="bestFit"/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40-43EC-874C-EF32830816A2}"/>
                </c:ext>
              </c:extLst>
            </c:dLbl>
            <c:dLbl>
              <c:idx val="3"/>
              <c:layout>
                <c:manualLayout>
                  <c:x val="0"/>
                  <c:y val="-4.4606135152186835E-17"/>
                </c:manualLayout>
              </c:layout>
              <c:dLblPos val="bestFit"/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40-43EC-874C-EF32830816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zh-CN"/>
              </a:p>
            </c:txPr>
            <c:dLblPos val="outEnd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(公司分析!$T$40:$T$43,公司分析!$T$45)</c:f>
              <c:strCache>
                <c:ptCount val="5"/>
                <c:pt idx="0">
                  <c:v>流通A股</c:v>
                </c:pt>
                <c:pt idx="1">
                  <c:v>流通B股</c:v>
                </c:pt>
                <c:pt idx="2">
                  <c:v>香港上市股</c:v>
                </c:pt>
                <c:pt idx="3">
                  <c:v>海外上市股</c:v>
                </c:pt>
                <c:pt idx="4">
                  <c:v>限售股</c:v>
                </c:pt>
              </c:strCache>
            </c:strRef>
          </c:cat>
          <c:val>
            <c:numRef>
              <c:f>(公司分析!$U$40:$U$43,公司分析!$U$45)</c:f>
              <c:numCache>
                <c:formatCode>_(* #,##0.00_);_(* \(#,##0.00\);_(* "-"??_);_(@_)</c:formatCode>
                <c:ptCount val="5"/>
                <c:pt idx="0">
                  <c:v>206.00893139999999</c:v>
                </c:pt>
                <c:pt idx="1">
                  <c:v>0</c:v>
                </c:pt>
                <c:pt idx="2">
                  <c:v>59.888399999999997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3A-411D-8DAE-EFEF6C6CC6E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40733079828047"/>
          <c:y val="0.11957752907346415"/>
          <c:w val="0.70802559390468023"/>
          <c:h val="0.7720971003026535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公司分析!$C$72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rgbClr val="2276A1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公司分析!$D$72:$H$72</c:f>
              <c:numCache>
                <c:formatCode>_(* #,##0.00_);_(* \(#,##0.00\);_(* "-"??_);_(@_)</c:formatCode>
                <c:ptCount val="5"/>
                <c:pt idx="0">
                  <c:v>33.697740099999997</c:v>
                </c:pt>
                <c:pt idx="1">
                  <c:v>33.584018180000001</c:v>
                </c:pt>
                <c:pt idx="2">
                  <c:v>30.807804910000002</c:v>
                </c:pt>
                <c:pt idx="3">
                  <c:v>33.85740612</c:v>
                </c:pt>
                <c:pt idx="4">
                  <c:v>29.980868789999999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5-4CAD-95FF-E7AF915591BD}"/>
            </c:ext>
          </c:extLst>
        </c:ser>
        <c:ser>
          <c:idx val="1"/>
          <c:order val="1"/>
          <c:tx>
            <c:strRef>
              <c:f>公司分析!$C$73</c:f>
              <c:strCache>
                <c:ptCount val="1"/>
                <c:pt idx="0">
                  <c:v>QFII</c:v>
                </c:pt>
              </c:strCache>
            </c:strRef>
          </c:tx>
          <c:spPr>
            <a:solidFill>
              <a:srgbClr val="F68616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公司分析!$D$73:$H$73</c:f>
              <c:numCache>
                <c:formatCode>_(* #,##0.00_);_(* \(#,##0.00\);_(* "-"??_);_(@_)</c:formatCode>
                <c:ptCount val="5"/>
                <c:pt idx="0">
                  <c:v>1.4299545499999999</c:v>
                </c:pt>
                <c:pt idx="1">
                  <c:v>1.8143310500000001</c:v>
                </c:pt>
                <c:pt idx="2">
                  <c:v>1.6312583899999999</c:v>
                </c:pt>
                <c:pt idx="3">
                  <c:v>1.7346423900000001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E5-4CAD-95FF-E7AF915591BD}"/>
            </c:ext>
          </c:extLst>
        </c:ser>
        <c:ser>
          <c:idx val="2"/>
          <c:order val="2"/>
          <c:tx>
            <c:strRef>
              <c:f>公司分析!$C$74</c:f>
              <c:strCache>
                <c:ptCount val="1"/>
                <c:pt idx="0">
                  <c:v>保险公司</c:v>
                </c:pt>
              </c:strCache>
            </c:strRef>
          </c:tx>
          <c:spPr>
            <a:solidFill>
              <a:srgbClr val="5FBEC0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公司分析!$D$74:$H$74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2.5067499099999999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E5-4CAD-95FF-E7AF915591BD}"/>
            </c:ext>
          </c:extLst>
        </c:ser>
        <c:ser>
          <c:idx val="3"/>
          <c:order val="3"/>
          <c:tx>
            <c:strRef>
              <c:f>公司分析!$C$75</c:f>
              <c:strCache>
                <c:ptCount val="1"/>
                <c:pt idx="0">
                  <c:v>社保基金</c:v>
                </c:pt>
              </c:strCache>
            </c:strRef>
          </c:tx>
          <c:spPr>
            <a:solidFill>
              <a:srgbClr val="DF5D5D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公司分析!$D$75:$H$75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E5-4CAD-95FF-E7AF915591BD}"/>
            </c:ext>
          </c:extLst>
        </c:ser>
        <c:ser>
          <c:idx val="4"/>
          <c:order val="4"/>
          <c:tx>
            <c:strRef>
              <c:f>公司分析!$C$76</c:f>
              <c:strCache>
                <c:ptCount val="1"/>
                <c:pt idx="0">
                  <c:v>券商理财产品</c:v>
                </c:pt>
              </c:strCache>
            </c:strRef>
          </c:tx>
          <c:spPr>
            <a:solidFill>
              <a:srgbClr val="4B588D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公司分析!$D$76:$H$76</c:f>
              <c:numCache>
                <c:formatCode>_(* #,##0.00_);_(* \(#,##0.00\);_(* "-"??_);_(@_)</c:formatCode>
                <c:ptCount val="5"/>
                <c:pt idx="0">
                  <c:v>0.21618092999999999</c:v>
                </c:pt>
                <c:pt idx="1">
                  <c:v>0.13876880999999999</c:v>
                </c:pt>
                <c:pt idx="2">
                  <c:v>0.14035429999999999</c:v>
                </c:pt>
                <c:pt idx="3">
                  <c:v>0.17514566000000001</c:v>
                </c:pt>
                <c:pt idx="4">
                  <c:v>0.25160262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CE5-4CAD-95FF-E7AF915591BD}"/>
            </c:ext>
          </c:extLst>
        </c:ser>
        <c:ser>
          <c:idx val="5"/>
          <c:order val="5"/>
          <c:tx>
            <c:strRef>
              <c:f>公司分析!$C$77</c:f>
              <c:strCache>
                <c:ptCount val="1"/>
                <c:pt idx="0">
                  <c:v>其他机构</c:v>
                </c:pt>
              </c:strCache>
            </c:strRef>
          </c:tx>
          <c:spPr>
            <a:solidFill>
              <a:srgbClr val="E4C658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公司分析!$D$77:$H$77</c:f>
              <c:numCache>
                <c:formatCode>_(* #,##0.00_);_(* \(#,##0.00\);_(* "-"??_);_(@_)</c:formatCode>
                <c:ptCount val="5"/>
                <c:pt idx="0">
                  <c:v>88.401686110000014</c:v>
                </c:pt>
                <c:pt idx="1">
                  <c:v>85.318989729999984</c:v>
                </c:pt>
                <c:pt idx="2">
                  <c:v>84.950527930000007</c:v>
                </c:pt>
                <c:pt idx="3">
                  <c:v>87.300936199999995</c:v>
                </c:pt>
                <c:pt idx="4">
                  <c:v>84.852224899999996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CE5-4CAD-95FF-E7AF91559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155008"/>
        <c:axId val="210156544"/>
      </c:barChart>
      <c:catAx>
        <c:axId val="21015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6544"/>
        <c:crosses val="autoZero"/>
        <c:auto val="0"/>
        <c:lblAlgn val="ctr"/>
        <c:lblOffset val="100"/>
        <c:noMultiLvlLbl val="0"/>
      </c:catAx>
      <c:valAx>
        <c:axId val="210156544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50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3715605396003523"/>
          <c:y val="0.16007283778522899"/>
          <c:w val="0.16057250935626233"/>
          <c:h val="0.67985382209998868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4440733079828047"/>
          <c:y val="0.11957752907346415"/>
          <c:w val="0.68131847604716622"/>
          <c:h val="0.7183515652301288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公司分析!$C$88</c:f>
              <c:strCache>
                <c:ptCount val="1"/>
              </c:strCache>
            </c:strRef>
          </c:tx>
          <c:spPr>
            <a:solidFill>
              <a:srgbClr val="2276A1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公司分析!$D$88:$H$88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5-4CAD-95FF-E7AF915591BD}"/>
            </c:ext>
          </c:extLst>
        </c:ser>
        <c:ser>
          <c:idx val="1"/>
          <c:order val="1"/>
          <c:tx>
            <c:strRef>
              <c:f>公司分析!$C$89</c:f>
              <c:strCache>
                <c:ptCount val="1"/>
              </c:strCache>
            </c:strRef>
          </c:tx>
          <c:spPr>
            <a:solidFill>
              <a:srgbClr val="F68616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公司分析!$D$89:$H$89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E5-4CAD-95FF-E7AF915591BD}"/>
            </c:ext>
          </c:extLst>
        </c:ser>
        <c:ser>
          <c:idx val="2"/>
          <c:order val="2"/>
          <c:tx>
            <c:strRef>
              <c:f>公司分析!$C$90</c:f>
              <c:strCache>
                <c:ptCount val="1"/>
              </c:strCache>
            </c:strRef>
          </c:tx>
          <c:spPr>
            <a:solidFill>
              <a:srgbClr val="5FBEC0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公司分析!$D$90:$H$90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E5-4CAD-95FF-E7AF915591BD}"/>
            </c:ext>
          </c:extLst>
        </c:ser>
        <c:ser>
          <c:idx val="5"/>
          <c:order val="5"/>
          <c:tx>
            <c:strRef>
              <c:f>公司分析!$C$87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rgbClr val="E4C658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公司分析!$D$87:$H$87</c:f>
              <c:numCache>
                <c:formatCode>_(* #,##0.00_);_(* \(#,##0.00\);_(* "-"??_);_(@_)</c:formatCode>
                <c:ptCount val="5"/>
                <c:pt idx="0">
                  <c:v>2251.0248859200001</c:v>
                </c:pt>
                <c:pt idx="1">
                  <c:v>2703.2899845900001</c:v>
                </c:pt>
                <c:pt idx="2">
                  <c:v>2934.0324287799999</c:v>
                </c:pt>
                <c:pt idx="3">
                  <c:v>3036.3995715299998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CE5-4CAD-95FF-E7AF91559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155008"/>
        <c:axId val="210156544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公司分析!$C$91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rgbClr val="DF5D5D"/>
                  </a:solidFill>
                  <a:ln>
                    <a:noFill/>
                  </a:ln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公司分析!$D$91:$H$91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3CE5-4CAD-95FF-E7AF915591BD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公司分析!$C$92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rgbClr val="4B588D"/>
                  </a:solidFill>
                  <a:ln>
                    <a:noFill/>
                  </a:ln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公司分析!$D$92:$H$92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CE5-4CAD-95FF-E7AF915591BD}"/>
                  </c:ext>
                </c:extLst>
              </c15:ser>
            </c15:filteredBarSeries>
          </c:ext>
        </c:extLst>
      </c:barChart>
      <c:catAx>
        <c:axId val="21015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210156544"/>
        <c:crosses val="autoZero"/>
        <c:auto val="0"/>
        <c:lblAlgn val="ctr"/>
        <c:lblOffset val="100"/>
        <c:noMultiLvlLbl val="0"/>
      </c:catAx>
      <c:valAx>
        <c:axId val="210156544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50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396584899704671"/>
          <c:y val="0.16169136942450665"/>
          <c:w val="0.11574310212870838"/>
          <c:h val="0.676616761213229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zero"/>
    <c:showDLblsOverMax val="0"/>
  </c:chart>
  <c:spPr>
    <a:noFill/>
    <a:ln>
      <a:noFill/>
    </a:ln>
    <a:effectLst/>
  </c:sp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strRef>
          <c:f>公司分析!$C$104</c:f>
          <c:strCache>
            <c:ptCount val="1"/>
            <c:pt idx="0">
              <c:v>毛利率[按产品分类]</c:v>
            </c:pt>
          </c:strCache>
        </c:strRef>
      </c:tx>
      <c:layout>
        <c:manualLayout>
          <c:xMode val="edge"/>
          <c:yMode val="edge"/>
          <c:x val="0.39219531179292244"/>
          <c:y val="0"/>
        </c:manualLayout>
      </c:layout>
      <c:overlay val="0"/>
      <c:txPr>
        <a:bodyPr/>
        <a:lstStyle/>
        <a:p>
          <a:pPr>
            <a:defRPr sz="10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0864627301704304"/>
          <c:y val="0.12378517414996272"/>
          <c:w val="0.78211252833161471"/>
          <c:h val="0.60460941031989035"/>
        </c:manualLayout>
      </c:layout>
      <c:lineChart>
        <c:grouping val="standard"/>
        <c:varyColors val="0"/>
        <c:ser>
          <c:idx val="1"/>
          <c:order val="1"/>
          <c:tx>
            <c:strRef>
              <c:f>公司分析!$C$106</c:f>
              <c:strCache>
                <c:ptCount val="1"/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公司分析!$D$106:$H$106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B5-47C7-9FCF-DC4B1FC7F600}"/>
            </c:ext>
          </c:extLst>
        </c:ser>
        <c:ser>
          <c:idx val="2"/>
          <c:order val="2"/>
          <c:tx>
            <c:strRef>
              <c:f>公司分析!$C$107</c:f>
              <c:strCache>
                <c:ptCount val="1"/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公司分析!$D$107:$H$107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B5-47C7-9FCF-DC4B1FC7F600}"/>
            </c:ext>
          </c:extLst>
        </c:ser>
        <c:ser>
          <c:idx val="3"/>
          <c:order val="3"/>
          <c:tx>
            <c:strRef>
              <c:f>公司分析!$C$108</c:f>
              <c:strCache>
                <c:ptCount val="1"/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公司分析!$D$108:$H$108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B5-47C7-9FCF-DC4B1FC7F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19104"/>
        <c:axId val="117929088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公司分析!$C$109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公司分析!$D$109:$H$109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7B5-47C7-9FCF-DC4B1FC7F60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公司分析!$C$110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公司分析!$D$110:$H$110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7B5-47C7-9FCF-DC4B1FC7F600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公司分析!$C$103</c:f>
              <c:strCache>
                <c:ptCount val="1"/>
                <c:pt idx="0">
                  <c:v>毛利率[合并报表]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Ref>
              <c:f>公司分析!$D$102:$H$102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公司分析!$D$103:$H$103</c:f>
              <c:numCache>
                <c:formatCode>0%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B5-47C7-9FCF-DC4B1FC7F600}"/>
            </c:ext>
          </c:extLst>
        </c:ser>
        <c:ser>
          <c:idx val="6"/>
          <c:order val="6"/>
          <c:tx>
            <c:strRef>
              <c:f>公司分析!$C$105</c:f>
              <c:strCache>
                <c:ptCount val="1"/>
                <c:pt idx="0">
                  <c:v>其他</c:v>
                </c:pt>
              </c:strCache>
            </c:strRef>
          </c:tx>
          <c:spPr>
            <a:ln>
              <a:solidFill>
                <a:srgbClr val="4B588D"/>
              </a:solidFill>
            </a:ln>
          </c:spPr>
          <c:marker>
            <c:symbol val="none"/>
          </c:marker>
          <c:cat>
            <c:strRef>
              <c:f>公司分析!$D$102:$H$102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公司分析!$D$105:$H$105</c:f>
              <c:numCache>
                <c:formatCode>0%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7B5-47C7-9FCF-DC4B1FC7F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36512"/>
        <c:axId val="117930624"/>
      </c:lineChart>
      <c:catAx>
        <c:axId val="1179191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17929088"/>
        <c:crosses val="autoZero"/>
        <c:auto val="1"/>
        <c:lblAlgn val="ctr"/>
        <c:lblOffset val="100"/>
        <c:noMultiLvlLbl val="0"/>
      </c:catAx>
      <c:valAx>
        <c:axId val="117929088"/>
        <c:scaling>
          <c:orientation val="minMax"/>
        </c:scaling>
        <c:delete val="0"/>
        <c:axPos val="l"/>
        <c:majorGridlines>
          <c:spPr>
            <a:ln w="6350">
              <a:solidFill>
                <a:srgbClr val="E9E9E9"/>
              </a:solidFill>
              <a:prstDash val="solid"/>
            </a:ln>
          </c:spPr>
        </c:majorGridlines>
        <c:numFmt formatCode="0.0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19104"/>
        <c:crosses val="autoZero"/>
        <c:crossBetween val="between"/>
      </c:valAx>
      <c:valAx>
        <c:axId val="117930624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36512"/>
        <c:crosses val="max"/>
        <c:crossBetween val="between"/>
      </c:valAx>
      <c:catAx>
        <c:axId val="1179365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30624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txPr>
    <a:bodyPr/>
    <a:lstStyle/>
    <a:p>
      <a:pPr>
        <a:defRPr sz="900"/>
      </a:pPr>
      <a:endParaRPr lang="zh-CN"/>
    </a:p>
  </c:txPr>
  <c:printSettings>
    <c:headerFooter/>
    <c:pageMargins b="0.75000000000000411" l="0.70000000000000062" r="0.70000000000000062" t="0.75000000000000411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收入</a:t>
            </a:r>
            <a:r>
              <a:rPr lang="en-US" sz="1000">
                <a:latin typeface="微软雅黑" panose="020B0503020204020204" pitchFamily="34" charset="-122"/>
                <a:ea typeface="微软雅黑" panose="020B0503020204020204" pitchFamily="34" charset="-122"/>
              </a:rPr>
              <a:t>&amp;</a:t>
            </a: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增长率</a:t>
            </a:r>
          </a:p>
        </c:rich>
      </c:tx>
      <c:layout>
        <c:manualLayout>
          <c:xMode val="edge"/>
          <c:yMode val="edge"/>
          <c:x val="0.43973699241039493"/>
          <c:y val="4.7449446438678506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74773173475467"/>
          <c:y val="0.12117494634320436"/>
          <c:w val="0.77302364699431159"/>
          <c:h val="0.61172044112947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公司分析!$M$116</c:f>
              <c:strCache>
                <c:ptCount val="1"/>
                <c:pt idx="0">
                  <c:v>营业收入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公司分析!$N$116:$V$116</c15:sqref>
                  </c15:fullRef>
                </c:ext>
              </c:extLst>
              <c:f>(公司分析!$N$116:$Q$116,公司分析!$U$116:$V$116)</c:f>
              <c:numCache>
                <c:formatCode>_(* #,##0.00_);_(* \(#,##0.00\);_(* "-"??_);_(@_)</c:formatCode>
                <c:ptCount val="6"/>
                <c:pt idx="0">
                  <c:v>2251.0248859200001</c:v>
                </c:pt>
                <c:pt idx="1">
                  <c:v>2703.2899845900001</c:v>
                </c:pt>
                <c:pt idx="2">
                  <c:v>2934.0324287799999</c:v>
                </c:pt>
                <c:pt idx="3">
                  <c:v>3036.3995715299998</c:v>
                </c:pt>
                <c:pt idx="4">
                  <c:v>0</c:v>
                </c:pt>
                <c:pt idx="5">
                  <c:v>4409.0559952399999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公司分析!$S$116</c15:sqref>
                  <c15:spPr xmlns:c15="http://schemas.microsoft.com/office/drawing/2012/chart">
                    <a:solidFill>
                      <a:srgbClr val="2276A1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1-1E61-4677-83D6-B8BA615B8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1"/>
        <c:axId val="117947008"/>
        <c:axId val="117956992"/>
      </c:barChart>
      <c:lineChart>
        <c:grouping val="standard"/>
        <c:varyColors val="0"/>
        <c:ser>
          <c:idx val="3"/>
          <c:order val="1"/>
          <c:tx>
            <c:strRef>
              <c:f>公司分析!$M$165</c:f>
              <c:strCache>
                <c:ptCount val="1"/>
                <c:pt idx="0">
                  <c:v>营收增长率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公司分析!$N$165:$V$165</c15:sqref>
                  </c15:fullRef>
                </c:ext>
              </c:extLst>
              <c:f>(公司分析!$N$165:$Q$165,公司分析!$U$165:$V$165)</c:f>
              <c:numCache>
                <c:formatCode>_(* #,##0.00_);_(* \(#,##0.00\);_(* "-"??_);_(@_)</c:formatCode>
                <c:ptCount val="6"/>
                <c:pt idx="0">
                  <c:v>0.31254071002556882</c:v>
                </c:pt>
                <c:pt idx="1">
                  <c:v>0.20091519267462821</c:v>
                </c:pt>
                <c:pt idx="2">
                  <c:v>8.535615694407106E-2</c:v>
                </c:pt>
                <c:pt idx="3">
                  <c:v>3.4889574411611113E-2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公司分析!$S$165</c15:sqref>
                  <c15:spPr xmlns:c15="http://schemas.microsoft.com/office/drawing/2012/chart">
                    <a:ln>
                      <a:solidFill>
                        <a:srgbClr val="F68616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1E61-4677-83D6-B8BA615B8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60064"/>
        <c:axId val="117958528"/>
      </c:lineChart>
      <c:catAx>
        <c:axId val="1179470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crossAx val="117956992"/>
        <c:crosses val="autoZero"/>
        <c:auto val="1"/>
        <c:lblAlgn val="ctr"/>
        <c:lblOffset val="100"/>
        <c:noMultiLvlLbl val="0"/>
      </c:catAx>
      <c:valAx>
        <c:axId val="117956992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#,##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47008"/>
        <c:crosses val="autoZero"/>
        <c:crossBetween val="between"/>
      </c:valAx>
      <c:valAx>
        <c:axId val="117958528"/>
        <c:scaling>
          <c:orientation val="minMax"/>
        </c:scaling>
        <c:delete val="0"/>
        <c:axPos val="r"/>
        <c:numFmt formatCode="#,##0.00_);[Red]\(#,##0.00\)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60064"/>
        <c:crosses val="max"/>
        <c:crossBetween val="between"/>
      </c:valAx>
      <c:catAx>
        <c:axId val="1179600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58528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7.1600643717125281E-2"/>
          <c:y val="0.86186559617848013"/>
          <c:w val="0.84476502278252263"/>
          <c:h val="0.11110736720840148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 sz="1000"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1000">
                <a:latin typeface="Arial" panose="020B0604020202020204" pitchFamily="34" charset="0"/>
                <a:cs typeface="Arial" panose="020B0604020202020204" pitchFamily="34" charset="0"/>
              </a:rPr>
              <a:t>EPS&amp;ROE</a:t>
            </a:r>
            <a:endParaRPr lang="zh-CN" sz="10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4379535864978902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8252883527174067E-2"/>
          <c:y val="0.12626048338938595"/>
          <c:w val="0.86995628047334861"/>
          <c:h val="0.608181631961150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公司分析!$M$151</c:f>
              <c:strCache>
                <c:ptCount val="1"/>
                <c:pt idx="0">
                  <c:v>每股收益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公司分析!$N$151:$U$151</c15:sqref>
                  </c15:fullRef>
                </c:ext>
              </c:extLst>
              <c:f>(公司分析!$N$151:$Q$151,公司分析!$U$151)</c:f>
              <c:numCache>
                <c:formatCode>_(* #,##0.00_);_(* \(#,##0.00\);_(* "-"??_);_(@_)</c:formatCode>
                <c:ptCount val="5"/>
                <c:pt idx="0">
                  <c:v>5.9524511130606568</c:v>
                </c:pt>
                <c:pt idx="1">
                  <c:v>7.6120658961048502</c:v>
                </c:pt>
                <c:pt idx="2">
                  <c:v>8.0220927284718453</c:v>
                </c:pt>
                <c:pt idx="3">
                  <c:v>12.05912272015085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A1-4CC1-9691-9E033002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7"/>
        <c:axId val="117983104"/>
        <c:axId val="117981568"/>
      </c:barChart>
      <c:lineChart>
        <c:grouping val="standard"/>
        <c:varyColors val="0"/>
        <c:ser>
          <c:idx val="0"/>
          <c:order val="0"/>
          <c:tx>
            <c:strRef>
              <c:f>公司分析!$M$158</c:f>
              <c:strCache>
                <c:ptCount val="1"/>
                <c:pt idx="0">
                  <c:v>净资产收益率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公司分析!$N$158:$U$158</c15:sqref>
                  </c15:fullRef>
                </c:ext>
              </c:extLst>
              <c:f>(公司分析!$N$158:$Q$158,公司分析!$U$158)</c:f>
              <c:numCache>
                <c:formatCode>_(* #,##0.00_);_(* \(#,##0.00\);_(* "-"??_);_(@_)</c:formatCode>
                <c:ptCount val="5"/>
                <c:pt idx="0">
                  <c:v>0.22063785486964693</c:v>
                </c:pt>
                <c:pt idx="1">
                  <c:v>0.22533640015280018</c:v>
                </c:pt>
                <c:pt idx="2">
                  <c:v>0.19644885592554656</c:v>
                </c:pt>
                <c:pt idx="3">
                  <c:v>0.22928412967742628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A1-4CC1-9691-9E033002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78240"/>
        <c:axId val="117979776"/>
      </c:lineChart>
      <c:catAx>
        <c:axId val="1179782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crossAx val="117979776"/>
        <c:crosses val="autoZero"/>
        <c:auto val="1"/>
        <c:lblAlgn val="ctr"/>
        <c:lblOffset val="100"/>
        <c:noMultiLvlLbl val="0"/>
      </c:catAx>
      <c:valAx>
        <c:axId val="117979776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0.0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78240"/>
        <c:crosses val="autoZero"/>
        <c:crossBetween val="between"/>
      </c:valAx>
      <c:valAx>
        <c:axId val="117981568"/>
        <c:scaling>
          <c:orientation val="minMax"/>
        </c:scaling>
        <c:delete val="0"/>
        <c:axPos val="r"/>
        <c:numFmt formatCode="#,##0.00_);[Red]\(#,##0.00\)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83104"/>
        <c:crosses val="max"/>
        <c:crossBetween val="between"/>
      </c:valAx>
      <c:catAx>
        <c:axId val="1179831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81568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5.5555632444846875E-2"/>
          <c:y val="0.83838833177167149"/>
          <c:w val="0.8487127842923875"/>
          <c:h val="0.12999112799015364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营业利润</a:t>
            </a:r>
            <a:r>
              <a:rPr lang="en-US" sz="1000">
                <a:latin typeface="微软雅黑" panose="020B0503020204020204" pitchFamily="34" charset="-122"/>
                <a:ea typeface="微软雅黑" panose="020B0503020204020204" pitchFamily="34" charset="-122"/>
              </a:rPr>
              <a:t>&amp;</a:t>
            </a: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净利润</a:t>
            </a:r>
          </a:p>
        </c:rich>
      </c:tx>
      <c:layout>
        <c:manualLayout>
          <c:xMode val="edge"/>
          <c:yMode val="edge"/>
          <c:x val="0.39403349222554962"/>
          <c:y val="5.7156115995551727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74773173475467"/>
          <c:y val="0.12117494634320441"/>
          <c:w val="0.77302364699431192"/>
          <c:h val="0.611720441129478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公司分析!$M$125</c:f>
              <c:strCache>
                <c:ptCount val="1"/>
                <c:pt idx="0">
                  <c:v>营业利润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公司分析!$N$125:$V$125</c15:sqref>
                  </c15:fullRef>
                </c:ext>
              </c:extLst>
              <c:f>(公司分析!$N$125:$Q$125,公司分析!$U$125:$V$125)</c:f>
              <c:numCache>
                <c:formatCode>_(* #,##0.00_);_(* \(#,##0.00\);_(* "-"??_);_(@_)</c:formatCode>
                <c:ptCount val="6"/>
                <c:pt idx="0">
                  <c:v>250.86505191000001</c:v>
                </c:pt>
                <c:pt idx="1">
                  <c:v>309.45606018000001</c:v>
                </c:pt>
                <c:pt idx="2">
                  <c:v>319.36533004</c:v>
                </c:pt>
                <c:pt idx="3">
                  <c:v>488.26645182999999</c:v>
                </c:pt>
                <c:pt idx="4">
                  <c:v>0</c:v>
                </c:pt>
                <c:pt idx="5">
                  <c:v>1036.4167894699999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公司分析!$S$125</c15:sqref>
                  <c15:spPr xmlns:c15="http://schemas.microsoft.com/office/drawing/2012/chart">
                    <a:solidFill>
                      <a:srgbClr val="2276A1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1-7A7B-439A-90CE-844C20804C3D}"/>
            </c:ext>
          </c:extLst>
        </c:ser>
        <c:ser>
          <c:idx val="1"/>
          <c:order val="1"/>
          <c:tx>
            <c:strRef>
              <c:f>公司分析!$M$130</c:f>
              <c:strCache>
                <c:ptCount val="1"/>
                <c:pt idx="0">
                  <c:v>归属母公司股东</c:v>
                </c:pt>
              </c:strCache>
            </c:strRef>
          </c:tx>
          <c:spPr>
            <a:solidFill>
              <a:srgbClr val="F68616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公司分析!$N$130:$V$130</c15:sqref>
                  </c15:fullRef>
                </c:ext>
              </c:extLst>
              <c:f>(公司分析!$N$130:$Q$130,公司分析!$U$130:$V$130)</c:f>
              <c:numCache>
                <c:formatCode>_(* #,##0.00_);_(* \(#,##0.00\);_(* "-"??_);_(@_)</c:formatCode>
                <c:ptCount val="6"/>
                <c:pt idx="0">
                  <c:v>156.72870591</c:v>
                </c:pt>
                <c:pt idx="1">
                  <c:v>200.42045977000001</c:v>
                </c:pt>
                <c:pt idx="2">
                  <c:v>211.19419571</c:v>
                </c:pt>
                <c:pt idx="3">
                  <c:v>320.50602436999998</c:v>
                </c:pt>
                <c:pt idx="4">
                  <c:v>0</c:v>
                </c:pt>
                <c:pt idx="5">
                  <c:v>691.53682857000001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公司分析!$S$130</c15:sqref>
                  <c15:spPr xmlns:c15="http://schemas.microsoft.com/office/drawing/2012/chart">
                    <a:solidFill>
                      <a:srgbClr val="F68616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7A7B-439A-90CE-844C20804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020736"/>
        <c:axId val="118022528"/>
      </c:barChart>
      <c:lineChart>
        <c:grouping val="standard"/>
        <c:varyColors val="0"/>
        <c:ser>
          <c:idx val="2"/>
          <c:order val="2"/>
          <c:tx>
            <c:strRef>
              <c:f>公司分析!$M$167</c:f>
              <c:strCache>
                <c:ptCount val="1"/>
                <c:pt idx="0">
                  <c:v>净利增长率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公司分析!$N$167:$V$167</c15:sqref>
                  </c15:fullRef>
                </c:ext>
              </c:extLst>
              <c:f>(公司分析!$N$167:$Q$167,公司分析!$U$167:$V$167)</c:f>
              <c:numCache>
                <c:formatCode>_(* #,##0.00_);_(* \(#,##0.00\);_(* "-"??_);_(@_)</c:formatCode>
                <c:ptCount val="6"/>
                <c:pt idx="0">
                  <c:v>1.4080419092320118</c:v>
                </c:pt>
                <c:pt idx="1">
                  <c:v>0.27877314245859708</c:v>
                </c:pt>
                <c:pt idx="2">
                  <c:v>5.375566921842112E-2</c:v>
                </c:pt>
                <c:pt idx="3">
                  <c:v>0.51758917091689782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公司分析!$S$167</c15:sqref>
                  <c15:spPr xmlns:c15="http://schemas.microsoft.com/office/drawing/2012/chart">
                    <a:ln w="25400">
                      <a:solidFill>
                        <a:srgbClr val="5FBEC0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5-7A7B-439A-90CE-844C20804C3D}"/>
            </c:ext>
          </c:extLst>
        </c:ser>
        <c:ser>
          <c:idx val="3"/>
          <c:order val="3"/>
          <c:tx>
            <c:strRef>
              <c:f>公司分析!$M$166</c:f>
              <c:strCache>
                <c:ptCount val="1"/>
                <c:pt idx="0">
                  <c:v>营业利润增长率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Lit>
              <c:ptCount val="6"/>
              <c:pt idx="0">
                <c:v>2021/12/31</c:v>
              </c:pt>
              <c:pt idx="1">
                <c:v>2022/12/31</c:v>
              </c:pt>
              <c:pt idx="2">
                <c:v>2023/12/31</c:v>
              </c:pt>
              <c:pt idx="3">
                <c:v>2024/12/31</c:v>
              </c:pt>
              <c:pt idx="4">
                <c:v>2025/12/31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公司分析!$N$166:$V$166</c15:sqref>
                  </c15:fullRef>
                </c:ext>
              </c:extLst>
              <c:f>(公司分析!$N$166:$Q$166,公司分析!$U$166:$V$166)</c:f>
              <c:numCache>
                <c:formatCode>_(* #,##0.00_);_(* \(#,##0.00\);_(* "-"??_);_(@_)</c:formatCode>
                <c:ptCount val="6"/>
                <c:pt idx="0">
                  <c:v>1.23194660589792</c:v>
                </c:pt>
                <c:pt idx="1">
                  <c:v>0.2335558812353824</c:v>
                </c:pt>
                <c:pt idx="2">
                  <c:v>3.202157312490872E-2</c:v>
                </c:pt>
                <c:pt idx="3">
                  <c:v>0.5288649264741585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公司分析!$S$166</c15:sqref>
                  <c15:spPr xmlns:c15="http://schemas.microsoft.com/office/drawing/2012/chart">
                    <a:ln w="25400">
                      <a:solidFill>
                        <a:srgbClr val="DF5D5D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7-7A7B-439A-90CE-844C20804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25600"/>
        <c:axId val="118024064"/>
      </c:lineChart>
      <c:catAx>
        <c:axId val="118020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2528"/>
        <c:crosses val="autoZero"/>
        <c:auto val="1"/>
        <c:lblAlgn val="ctr"/>
        <c:lblOffset val="100"/>
        <c:noMultiLvlLbl val="0"/>
      </c:catAx>
      <c:valAx>
        <c:axId val="118022528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0736"/>
        <c:crosses val="autoZero"/>
        <c:crossBetween val="between"/>
      </c:valAx>
      <c:valAx>
        <c:axId val="118024064"/>
        <c:scaling>
          <c:orientation val="minMax"/>
        </c:scaling>
        <c:delete val="0"/>
        <c:axPos val="r"/>
        <c:numFmt formatCode="#,##0.0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5600"/>
        <c:crosses val="max"/>
        <c:crossBetween val="between"/>
      </c:valAx>
      <c:catAx>
        <c:axId val="118025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024064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7.1600643717125281E-2"/>
          <c:y val="0.86186559617848058"/>
          <c:w val="0.89999986958149181"/>
          <c:h val="9.4538518511003172E-2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  <a:cs typeface="Arial" panose="020B0604020202020204" pitchFamily="34" charset="0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  <a:cs typeface="Arial" panose="020B0604020202020204" pitchFamily="34" charset="0"/>
              </a:rPr>
              <a:t>盈利能力</a:t>
            </a:r>
          </a:p>
        </c:rich>
      </c:tx>
      <c:layout>
        <c:manualLayout>
          <c:xMode val="edge"/>
          <c:yMode val="edge"/>
          <c:x val="0.46444430056124941"/>
          <c:y val="5.488327117005110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8252883527174067E-2"/>
          <c:y val="0.11476604217576256"/>
          <c:w val="0.84136626196579212"/>
          <c:h val="0.64841162096117322"/>
        </c:manualLayout>
      </c:layout>
      <c:lineChart>
        <c:grouping val="standard"/>
        <c:varyColors val="0"/>
        <c:ser>
          <c:idx val="0"/>
          <c:order val="0"/>
          <c:tx>
            <c:strRef>
              <c:f>公司分析!$M$155</c:f>
              <c:strCache>
                <c:ptCount val="1"/>
                <c:pt idx="0">
                  <c:v>销售毛利率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公司分析!$N$155:$U$155</c15:sqref>
                  </c15:fullRef>
                </c:ext>
              </c:extLst>
              <c:f>(公司分析!$N$155:$Q$155,公司分析!$U$155)</c:f>
              <c:numCache>
                <c:formatCode>_(* #,##0.00_);_(* \(#,##0.00\);_(* "-"??_);_(@_)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FD-4248-8BC8-0E6CD71D7D03}"/>
            </c:ext>
          </c:extLst>
        </c:ser>
        <c:ser>
          <c:idx val="1"/>
          <c:order val="1"/>
          <c:tx>
            <c:strRef>
              <c:f>公司分析!$M$156</c:f>
              <c:strCache>
                <c:ptCount val="1"/>
                <c:pt idx="0">
                  <c:v>营业利润率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公司分析!$N$156:$U$156</c15:sqref>
                  </c15:fullRef>
                </c:ext>
              </c:extLst>
              <c:f>(公司分析!$N$156:$Q$156,公司分析!$U$156)</c:f>
              <c:numCache>
                <c:formatCode>_(* #,##0.00_);_(* \(#,##0.00\);_(* "-"??_);_(@_)</c:formatCode>
                <c:ptCount val="5"/>
                <c:pt idx="0">
                  <c:v>0.11144481497256782</c:v>
                </c:pt>
                <c:pt idx="1">
                  <c:v>0.11447386774783405</c:v>
                </c:pt>
                <c:pt idx="2">
                  <c:v>0.10884860266278491</c:v>
                </c:pt>
                <c:pt idx="3">
                  <c:v>0.16080441336117343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FD-4248-8BC8-0E6CD71D7D03}"/>
            </c:ext>
          </c:extLst>
        </c:ser>
        <c:ser>
          <c:idx val="2"/>
          <c:order val="2"/>
          <c:tx>
            <c:strRef>
              <c:f>公司分析!$M$157</c:f>
              <c:strCache>
                <c:ptCount val="1"/>
                <c:pt idx="0">
                  <c:v>净利润率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公司分析!$N$157:$U$157</c15:sqref>
                  </c15:fullRef>
                </c:ext>
              </c:extLst>
              <c:f>(公司分析!$N$157:$Q$157,公司分析!$U$157)</c:f>
              <c:numCache>
                <c:formatCode>_(* #,##0.00_);_(* \(#,##0.00\);_(* "-"??_);_(@_)</c:formatCode>
                <c:ptCount val="5"/>
                <c:pt idx="0">
                  <c:v>6.9625487879022063E-2</c:v>
                </c:pt>
                <c:pt idx="1">
                  <c:v>7.4139460032955795E-2</c:v>
                </c:pt>
                <c:pt idx="2">
                  <c:v>7.1980866209381558E-2</c:v>
                </c:pt>
                <c:pt idx="3">
                  <c:v>0.10555462705736762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FD-4248-8BC8-0E6CD71D7D03}"/>
            </c:ext>
          </c:extLst>
        </c:ser>
        <c:ser>
          <c:idx val="3"/>
          <c:order val="3"/>
          <c:tx>
            <c:strRef>
              <c:f>公司分析!$M$158</c:f>
              <c:strCache>
                <c:ptCount val="1"/>
                <c:pt idx="0">
                  <c:v>净资产收益率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公司分析!$N$158:$U$158</c15:sqref>
                  </c15:fullRef>
                </c:ext>
              </c:extLst>
              <c:f>(公司分析!$N$158:$Q$158,公司分析!$U$158)</c:f>
              <c:numCache>
                <c:formatCode>_(* #,##0.00_);_(* \(#,##0.00\);_(* "-"??_);_(@_)</c:formatCode>
                <c:ptCount val="5"/>
                <c:pt idx="0">
                  <c:v>0.22063785486964693</c:v>
                </c:pt>
                <c:pt idx="1">
                  <c:v>0.22533640015280018</c:v>
                </c:pt>
                <c:pt idx="2">
                  <c:v>0.19644885592554656</c:v>
                </c:pt>
                <c:pt idx="3">
                  <c:v>0.22928412967742628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FD-4248-8BC8-0E6CD71D7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60928"/>
        <c:axId val="118062464"/>
      </c:lineChart>
      <c:catAx>
        <c:axId val="1180609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62464"/>
        <c:crosses val="autoZero"/>
        <c:auto val="1"/>
        <c:lblAlgn val="ctr"/>
        <c:lblOffset val="100"/>
        <c:noMultiLvlLbl val="0"/>
      </c:catAx>
      <c:valAx>
        <c:axId val="118062464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60928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5.555563244484691E-2"/>
          <c:y val="0.83838833177167149"/>
          <c:w val="0.8487127842923875"/>
          <c:h val="0.12999112799015364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4.0072508921996423E-2"/>
          <c:y val="0.17064441053522647"/>
          <c:w val="0.67720584489004465"/>
          <c:h val="0.663838701818275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276A1"/>
              </a:solidFill>
            </c:spPr>
            <c:extLst>
              <c:ext xmlns:c16="http://schemas.microsoft.com/office/drawing/2014/chart" uri="{C3380CC4-5D6E-409C-BE32-E72D297353CC}">
                <c16:uniqueId val="{00000001-2B5F-4B6D-88C5-9D8D4E901D8A}"/>
              </c:ext>
            </c:extLst>
          </c:dPt>
          <c:dPt>
            <c:idx val="1"/>
            <c:bubble3D val="0"/>
            <c:spPr>
              <a:solidFill>
                <a:srgbClr val="F68616"/>
              </a:solidFill>
            </c:spPr>
            <c:extLst>
              <c:ext xmlns:c16="http://schemas.microsoft.com/office/drawing/2014/chart" uri="{C3380CC4-5D6E-409C-BE32-E72D297353CC}">
                <c16:uniqueId val="{00000000-2B5F-4B6D-88C5-9D8D4E901D8A}"/>
              </c:ext>
            </c:extLst>
          </c:dPt>
          <c:dPt>
            <c:idx val="2"/>
            <c:bubble3D val="0"/>
            <c:spPr>
              <a:solidFill>
                <a:srgbClr val="5FBEC0"/>
              </a:solidFill>
            </c:spPr>
            <c:extLst>
              <c:ext xmlns:c16="http://schemas.microsoft.com/office/drawing/2014/chart" uri="{C3380CC4-5D6E-409C-BE32-E72D297353CC}">
                <c16:uniqueId val="{00000002-2B5F-4B6D-88C5-9D8D4E901D8A}"/>
              </c:ext>
            </c:extLst>
          </c:dPt>
          <c:dPt>
            <c:idx val="3"/>
            <c:bubble3D val="0"/>
            <c:spPr>
              <a:solidFill>
                <a:srgbClr val="DF5D5D"/>
              </a:solidFill>
            </c:spPr>
            <c:extLst>
              <c:ext xmlns:c16="http://schemas.microsoft.com/office/drawing/2014/chart" uri="{C3380CC4-5D6E-409C-BE32-E72D297353CC}">
                <c16:uniqueId val="{00000003-2B5F-4B6D-88C5-9D8D4E901D8A}"/>
              </c:ext>
            </c:extLst>
          </c:dPt>
          <c:dPt>
            <c:idx val="4"/>
            <c:bubble3D val="0"/>
            <c:spPr>
              <a:solidFill>
                <a:srgbClr val="4B588D"/>
              </a:solidFill>
            </c:spPr>
            <c:extLst>
              <c:ext xmlns:c16="http://schemas.microsoft.com/office/drawing/2014/chart" uri="{C3380CC4-5D6E-409C-BE32-E72D297353CC}">
                <c16:uniqueId val="{00000004-2B5F-4B6D-88C5-9D8D4E901D8A}"/>
              </c:ext>
            </c:extLst>
          </c:dPt>
          <c:cat>
            <c:strRef>
              <c:f>盈利预测!$J$7:$J$11</c:f>
              <c:strCache>
                <c:ptCount val="5"/>
                <c:pt idx="0">
                  <c:v> 买入 </c:v>
                </c:pt>
                <c:pt idx="1">
                  <c:v> 增持 </c:v>
                </c:pt>
                <c:pt idx="2">
                  <c:v> 中性 </c:v>
                </c:pt>
                <c:pt idx="3">
                  <c:v> 减持 </c:v>
                </c:pt>
                <c:pt idx="4">
                  <c:v> 卖出 </c:v>
                </c:pt>
              </c:strCache>
            </c:strRef>
          </c:cat>
          <c:val>
            <c:numRef>
              <c:f>盈利预测!$K$7:$K$11</c:f>
              <c:numCache>
                <c:formatCode>_ * #,##0_ ;_ * \-#,##0_ ;_ * "-"??_ ;_ @_ </c:formatCode>
                <c:ptCount val="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DB-4DD4-928F-F31D7C39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71284015894197872"/>
          <c:y val="0.24186552714589798"/>
          <c:w val="0.23683507633939391"/>
          <c:h val="0.58151703510886099"/>
        </c:manualLayout>
      </c:layout>
      <c:overlay val="0"/>
      <c:txPr>
        <a:bodyPr/>
        <a:lstStyle/>
        <a:p>
          <a:pPr>
            <a:defRPr sz="1000">
              <a:solidFill>
                <a:schemeClr val="tx1"/>
              </a:solidFill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000000000000488" l="0.70000000000000062" r="0.70000000000000062" t="0.75000000000000488" header="0.30000000000000032" footer="0.30000000000000032"/>
    <c:pageSetup/>
  </c:printSettings>
</c:chartSpace>
</file>

<file path=xl/ctrlProps/ctrlProp1.xml><?xml version="1.0" encoding="utf-8"?>
<formControlPr xmlns="http://schemas.microsoft.com/office/spreadsheetml/2009/9/main" objectType="Scroll" dx="16" fmlaLink="$H$29" horiz="1" max="20" min="1" noThreeD="1" page="10" val="12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76201</xdr:colOff>
      <xdr:row>19</xdr:row>
      <xdr:rowOff>200024</xdr:rowOff>
    </xdr:from>
    <xdr:to>
      <xdr:col>22</xdr:col>
      <xdr:colOff>1</xdr:colOff>
      <xdr:row>34</xdr:row>
      <xdr:rowOff>47624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114300</xdr:colOff>
      <xdr:row>20</xdr:row>
      <xdr:rowOff>9526</xdr:rowOff>
    </xdr:from>
    <xdr:to>
      <xdr:col>9</xdr:col>
      <xdr:colOff>19050</xdr:colOff>
      <xdr:row>34</xdr:row>
      <xdr:rowOff>104776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66675</xdr:colOff>
      <xdr:row>44</xdr:row>
      <xdr:rowOff>180975</xdr:rowOff>
    </xdr:from>
    <xdr:to>
      <xdr:col>22</xdr:col>
      <xdr:colOff>200025</xdr:colOff>
      <xdr:row>58</xdr:row>
      <xdr:rowOff>161925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133350</xdr:colOff>
      <xdr:row>68</xdr:row>
      <xdr:rowOff>133350</xdr:rowOff>
    </xdr:from>
    <xdr:to>
      <xdr:col>21</xdr:col>
      <xdr:colOff>285750</xdr:colOff>
      <xdr:row>79</xdr:row>
      <xdr:rowOff>95250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123825</xdr:colOff>
      <xdr:row>81</xdr:row>
      <xdr:rowOff>152401</xdr:rowOff>
    </xdr:from>
    <xdr:to>
      <xdr:col>21</xdr:col>
      <xdr:colOff>485775</xdr:colOff>
      <xdr:row>93</xdr:row>
      <xdr:rowOff>142875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123826</xdr:colOff>
      <xdr:row>95</xdr:row>
      <xdr:rowOff>47623</xdr:rowOff>
    </xdr:from>
    <xdr:to>
      <xdr:col>21</xdr:col>
      <xdr:colOff>209551</xdr:colOff>
      <xdr:row>108</xdr:row>
      <xdr:rowOff>85725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123821</xdr:colOff>
      <xdr:row>176</xdr:row>
      <xdr:rowOff>76202</xdr:rowOff>
    </xdr:from>
    <xdr:to>
      <xdr:col>9</xdr:col>
      <xdr:colOff>9525</xdr:colOff>
      <xdr:row>190</xdr:row>
      <xdr:rowOff>85725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142875</xdr:colOff>
      <xdr:row>191</xdr:row>
      <xdr:rowOff>57149</xdr:rowOff>
    </xdr:from>
    <xdr:to>
      <xdr:col>21</xdr:col>
      <xdr:colOff>381000</xdr:colOff>
      <xdr:row>206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1</xdr:colOff>
      <xdr:row>191</xdr:row>
      <xdr:rowOff>19051</xdr:rowOff>
    </xdr:from>
    <xdr:to>
      <xdr:col>9</xdr:col>
      <xdr:colOff>9525</xdr:colOff>
      <xdr:row>206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176</xdr:row>
      <xdr:rowOff>57151</xdr:rowOff>
    </xdr:from>
    <xdr:to>
      <xdr:col>21</xdr:col>
      <xdr:colOff>390524</xdr:colOff>
      <xdr:row>190</xdr:row>
      <xdr:rowOff>95251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6</xdr:col>
          <xdr:colOff>85725</xdr:colOff>
          <xdr:row>18</xdr:row>
          <xdr:rowOff>38100</xdr:rowOff>
        </xdr:from>
        <xdr:to>
          <xdr:col>6</xdr:col>
          <xdr:colOff>952500</xdr:colOff>
          <xdr:row>18</xdr:row>
          <xdr:rowOff>200025</xdr:rowOff>
        </xdr:to>
        <xdr:sp macro="" textlink="">
          <xdr:nvSpPr>
            <xdr:cNvPr id="2051" name="Scroll Bar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oneCellAnchor>
    <xdr:from>
      <xdr:col>0</xdr:col>
      <xdr:colOff>161925</xdr:colOff>
      <xdr:row>0</xdr:row>
      <xdr:rowOff>95250</xdr:rowOff>
    </xdr:from>
    <xdr:ext cx="607152" cy="219075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95250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9527</xdr:colOff>
      <xdr:row>4</xdr:row>
      <xdr:rowOff>57149</xdr:rowOff>
    </xdr:from>
    <xdr:to>
      <xdr:col>14</xdr:col>
      <xdr:colOff>38101</xdr:colOff>
      <xdr:row>12</xdr:row>
      <xdr:rowOff>85725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0</xdr:row>
      <xdr:rowOff>95250</xdr:rowOff>
    </xdr:from>
    <xdr:ext cx="607152" cy="21907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0</xdr:row>
      <xdr:rowOff>85725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85725"/>
          <a:ext cx="607152" cy="219075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85725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85725"/>
          <a:ext cx="607152" cy="2190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DQ_CLOSE"/>
      <definedName name="s_est_avgbps"/>
      <definedName name="s_est_avgebt"/>
      <definedName name="s_est_avgoperatingprofit"/>
      <definedName name="s_est_eps"/>
      <definedName name="S_EST_EPS_INST"/>
      <definedName name="S_EST_ESTANALYST"/>
      <definedName name="S_EST_ESTNEWTIME_INST"/>
      <definedName name="S_EST_FRSTRATINGTIME_INST"/>
      <definedName name="s_est_netprofit"/>
      <definedName name="S_EST_NETPROFIT_INST"/>
      <definedName name="S_EST_NEWRATINGTIME_INST"/>
      <definedName name="S_EST_ORGRATING_INST"/>
      <definedName name="S_EST_RATINGANALYST"/>
      <definedName name="s_est_sales"/>
      <definedName name="S_EST_SALES_INST"/>
      <definedName name="S_EST_SCORERATING_INST"/>
      <definedName name="S_EST_STDRATING_INST"/>
      <definedName name="s_fa_bps"/>
      <definedName name="s_fa_eps_diluted2"/>
      <definedName name="s_fa_lyr_bt"/>
      <definedName name="S_HOLDER_AVGNUM"/>
      <definedName name="s_holder_LIQname"/>
      <definedName name="s_holder_LIQquantity"/>
      <definedName name="s_holder_name"/>
      <definedName name="s_holder_num"/>
      <definedName name="s_holder_pct"/>
      <definedName name="s_holder_quantity"/>
      <definedName name="s_holder_totalbybywmp"/>
      <definedName name="s_holder_totalbyfund"/>
      <definedName name="s_holder_totalbyinst"/>
      <definedName name="s_holder_totalbyinsur"/>
      <definedName name="s_holder_totalbyqfii"/>
      <definedName name="s_holder_totalbyssfund"/>
      <definedName name="s_info_compname"/>
      <definedName name="s_info_employee"/>
      <definedName name="s_info_fax"/>
      <definedName name="s_info_industry_csrc12_n"/>
      <definedName name="s_info_industry_gics"/>
      <definedName name="s_info_industry_sw_2021"/>
      <definedName name="S_Info_Name"/>
      <definedName name="s_info_phone"/>
      <definedName name="s_ipo_listeddate"/>
      <definedName name="s_pq_high"/>
      <definedName name="s_pq_low"/>
      <definedName name="s_pq_pctchange"/>
      <definedName name="S_QSTM07_IS"/>
      <definedName name="s_segment_industry_item"/>
      <definedName name="s_segment_industry_profit"/>
      <definedName name="s_segment_industry_sales"/>
      <definedName name="s_segment_product_item"/>
      <definedName name="s_segment_product_profit"/>
      <definedName name="s_segment_product_sales"/>
      <definedName name="S_SEGMENT_REGION_ITEM"/>
      <definedName name="S_SEGMENT_REGION_PROFIT"/>
      <definedName name="S_SEGMENT_REGION_SALES"/>
      <definedName name="s_share_h"/>
      <definedName name="S_SHARE_LIQA"/>
      <definedName name="s_share_liqb"/>
      <definedName name="s_share_oversea"/>
      <definedName name="S_SHARE_TOTAL"/>
      <definedName name="s_share_totalrestricted"/>
      <definedName name="s_share_totaltradable"/>
      <definedName name="S_STM07_BS"/>
      <definedName name="S_STM07_CS"/>
      <definedName name="S_STM07_IS"/>
      <definedName name="s_stmnote_audit_category"/>
      <definedName name="s_val_mv"/>
      <definedName name="s_val_pb"/>
      <definedName name="s_val_pe"/>
      <definedName name="td"/>
      <definedName name="wset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63636D"/>
  </sheetPr>
  <dimension ref="A1:AM207"/>
  <sheetViews>
    <sheetView showGridLines="0" tabSelected="1" zoomScaleNormal="100" workbookViewId="0">
      <selection activeCell="F4" sqref="F4"/>
    </sheetView>
  </sheetViews>
  <sheetFormatPr defaultColWidth="9" defaultRowHeight="12"/>
  <cols>
    <col min="1" max="1" width="2.625" style="10" customWidth="1"/>
    <col min="2" max="2" width="1.625" style="10" customWidth="1"/>
    <col min="3" max="3" width="13.5" style="10" customWidth="1"/>
    <col min="4" max="8" width="12.625" style="10" customWidth="1"/>
    <col min="9" max="9" width="2.75" style="10" customWidth="1"/>
    <col min="10" max="10" width="2.25" style="10" customWidth="1"/>
    <col min="11" max="11" width="1.5" style="10" customWidth="1"/>
    <col min="12" max="12" width="1.625" style="10" customWidth="1"/>
    <col min="13" max="13" width="12.875" style="10" customWidth="1"/>
    <col min="14" max="14" width="11.75" style="10" customWidth="1"/>
    <col min="15" max="16" width="12" style="10" customWidth="1"/>
    <col min="17" max="17" width="1.125" style="10" customWidth="1"/>
    <col min="18" max="19" width="1" style="10" customWidth="1"/>
    <col min="20" max="20" width="11.125" style="10" customWidth="1"/>
    <col min="21" max="21" width="11.25" style="10" customWidth="1"/>
    <col min="22" max="22" width="11.625" style="10" customWidth="1"/>
    <col min="23" max="23" width="1.625" style="10" customWidth="1"/>
    <col min="24" max="24" width="2.625" style="10" customWidth="1"/>
    <col min="25" max="39" width="8.875" style="24" customWidth="1"/>
    <col min="40" max="16384" width="9" style="24"/>
  </cols>
  <sheetData>
    <row r="1" spans="1:39" ht="30" customHeight="1">
      <c r="A1" s="9"/>
      <c r="B1" s="9"/>
      <c r="C1" s="9"/>
      <c r="D1" s="379" t="s">
        <v>10480</v>
      </c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79"/>
      <c r="R1" s="379"/>
      <c r="S1" s="379"/>
      <c r="T1" s="379"/>
      <c r="U1" s="379"/>
      <c r="V1" s="9"/>
      <c r="W1" s="9"/>
      <c r="X1" s="9"/>
    </row>
    <row r="3" spans="1:39" ht="10.5" customHeight="1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39" ht="16.5">
      <c r="B4" s="24"/>
      <c r="C4" s="26" t="s">
        <v>174</v>
      </c>
      <c r="D4" s="335" t="s">
        <v>11467</v>
      </c>
      <c r="E4" s="85" t="s">
        <v>255</v>
      </c>
      <c r="F4" s="336" t="str">
        <f>[1]!S_Info_Name(D4)</f>
        <v>紫金矿业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39" ht="16.5">
      <c r="B5" s="24"/>
      <c r="C5" s="27" t="s">
        <v>175</v>
      </c>
      <c r="D5" s="36">
        <f ca="1">TODAY()</f>
        <v>46090</v>
      </c>
      <c r="E5" s="26" t="s">
        <v>176</v>
      </c>
      <c r="F5" s="251" t="s">
        <v>478</v>
      </c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55"/>
      <c r="U5" s="55"/>
      <c r="V5" s="55"/>
      <c r="W5" s="55"/>
      <c r="X5" s="11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</row>
    <row r="6" spans="1:39"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113"/>
      <c r="O6" s="24"/>
      <c r="P6" s="24"/>
      <c r="Q6" s="24"/>
      <c r="R6" s="24"/>
      <c r="S6" s="24"/>
      <c r="T6" s="24"/>
      <c r="U6" s="24"/>
      <c r="V6" s="24"/>
      <c r="W6" s="24"/>
    </row>
    <row r="7" spans="1:39" ht="14.25">
      <c r="C7" s="37" t="s">
        <v>170</v>
      </c>
      <c r="N7" s="12"/>
    </row>
    <row r="8" spans="1:39" ht="15.75" customHeight="1">
      <c r="B8" s="30"/>
      <c r="C8" s="34" t="s">
        <v>172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</row>
    <row r="9" spans="1:39" ht="12" customHeight="1">
      <c r="B9" s="33"/>
      <c r="C9" s="35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spans="1:39" ht="16.5">
      <c r="B10" s="24"/>
      <c r="C10" s="38" t="s">
        <v>178</v>
      </c>
      <c r="D10" s="41" t="str">
        <f>[1]!s_info_compname(D4)</f>
        <v>紫金矿业集团股份有限公司</v>
      </c>
      <c r="E10" s="41"/>
      <c r="F10" s="41"/>
      <c r="G10" s="41"/>
      <c r="H10" s="41"/>
      <c r="I10" s="41"/>
      <c r="J10" s="24"/>
      <c r="K10" s="24"/>
      <c r="L10" s="24"/>
      <c r="M10" s="38" t="s">
        <v>187</v>
      </c>
      <c r="N10" s="46">
        <f ca="1">[1]!s_fa_eps_diluted2(D4,YEAR(行业比较!G5)-1&amp;"-12-31")</f>
        <v>0.80220000000000002</v>
      </c>
      <c r="O10" s="38" t="s">
        <v>189</v>
      </c>
      <c r="P10" s="363">
        <f>RTD("wdf.rtq",,D4,5)</f>
        <v>36.4</v>
      </c>
      <c r="Q10" s="363"/>
      <c r="R10" s="363"/>
      <c r="S10" s="363"/>
      <c r="T10" s="38" t="s">
        <v>193</v>
      </c>
      <c r="U10" s="47">
        <f ca="1">[1]!S_DQ_CLOSE(D4,D5,1)</f>
        <v>36.4</v>
      </c>
      <c r="V10" s="24"/>
      <c r="W10" s="24"/>
    </row>
    <row r="11" spans="1:39" ht="16.5">
      <c r="B11" s="24"/>
      <c r="C11" s="27" t="s">
        <v>180</v>
      </c>
      <c r="D11" s="352" t="str">
        <f>[1]!s_ipo_listeddate(D4)</f>
        <v>2008-04-25</v>
      </c>
      <c r="E11" s="352"/>
      <c r="F11" s="352"/>
      <c r="G11" s="352"/>
      <c r="H11" s="352"/>
      <c r="I11" s="40"/>
      <c r="J11" s="24"/>
      <c r="K11" s="24"/>
      <c r="L11" s="24"/>
      <c r="M11" s="27" t="s">
        <v>183</v>
      </c>
      <c r="N11" s="42">
        <f ca="1">[1]!s_fa_bps(D4,YEAR(行业比较!G5)-1&amp;"-12-31")</f>
        <v>4.0835999999999997</v>
      </c>
      <c r="O11" s="27" t="s">
        <v>190</v>
      </c>
      <c r="P11" s="364">
        <f>RTD("wdf.rtq",,D4,2)</f>
        <v>35.93</v>
      </c>
      <c r="Q11" s="364"/>
      <c r="R11" s="364"/>
      <c r="S11" s="364"/>
      <c r="T11" s="27" t="s">
        <v>194</v>
      </c>
      <c r="U11" s="43">
        <f>RTD("wdf.rtq",,D4,26)</f>
        <v>-0.70000000000000007</v>
      </c>
      <c r="V11" s="24"/>
      <c r="W11" s="24"/>
    </row>
    <row r="12" spans="1:39" ht="16.5">
      <c r="B12" s="24"/>
      <c r="C12" s="38" t="s">
        <v>177</v>
      </c>
      <c r="D12" s="353" t="str">
        <f>[1]!s_info_phone(D4)</f>
        <v>86-592-2933668,86-592-2933653</v>
      </c>
      <c r="E12" s="353"/>
      <c r="F12" s="353"/>
      <c r="G12" s="353"/>
      <c r="H12" s="353"/>
      <c r="I12" s="45"/>
      <c r="J12" s="24"/>
      <c r="K12" s="24"/>
      <c r="L12" s="24"/>
      <c r="M12" s="38" t="s">
        <v>188</v>
      </c>
      <c r="N12" s="47">
        <f ca="1">[1]!s_val_pe(D4,D5,1)</f>
        <v>30.198068451239823</v>
      </c>
      <c r="O12" s="38" t="s">
        <v>191</v>
      </c>
      <c r="P12" s="363">
        <f>RTD("wdf.rtq",,D4,3)</f>
        <v>36.67</v>
      </c>
      <c r="Q12" s="363"/>
      <c r="R12" s="363"/>
      <c r="S12" s="363"/>
      <c r="T12" s="38" t="s">
        <v>195</v>
      </c>
      <c r="U12" s="53">
        <f>RTD("wdf.rtq",,D4,27)/100</f>
        <v>-1.89E-2</v>
      </c>
      <c r="V12" s="24"/>
      <c r="W12" s="24"/>
    </row>
    <row r="13" spans="1:39" ht="16.5">
      <c r="B13" s="24"/>
      <c r="C13" s="27" t="s">
        <v>182</v>
      </c>
      <c r="D13" s="352" t="str">
        <f>[1]!s_info_fax(D4)</f>
        <v>86-592-2933580</v>
      </c>
      <c r="E13" s="352"/>
      <c r="F13" s="352"/>
      <c r="G13" s="352"/>
      <c r="H13" s="352"/>
      <c r="I13" s="40"/>
      <c r="J13" s="24"/>
      <c r="K13" s="24"/>
      <c r="L13" s="24"/>
      <c r="M13" s="27" t="s">
        <v>184</v>
      </c>
      <c r="N13" s="43">
        <f ca="1">[1]!s_val_pb(D4,D5,1)</f>
        <v>7.0043952866018548</v>
      </c>
      <c r="O13" s="27" t="s">
        <v>192</v>
      </c>
      <c r="P13" s="364">
        <f>RTD("wdf.rtq",,D4,4)</f>
        <v>34.86</v>
      </c>
      <c r="Q13" s="364"/>
      <c r="R13" s="364"/>
      <c r="S13" s="364"/>
      <c r="T13" s="27" t="s">
        <v>196</v>
      </c>
      <c r="U13" s="44">
        <f>RTD("wdf.rtq",,D4,29)/10000</f>
        <v>1390525.2662</v>
      </c>
      <c r="V13" s="24"/>
      <c r="W13" s="24"/>
    </row>
    <row r="14" spans="1:39" ht="16.5">
      <c r="B14" s="24"/>
      <c r="C14" s="38" t="s">
        <v>179</v>
      </c>
      <c r="D14" s="41" t="str">
        <f ca="1">[1]!s_info_industry_sw_2021(D4,D5,1)&amp;"/"&amp;[1]!s_info_industry_gics(D4)</f>
        <v>有色金属/材料</v>
      </c>
      <c r="E14" s="41"/>
      <c r="F14" s="41"/>
      <c r="G14" s="41"/>
      <c r="H14" s="41"/>
      <c r="I14" s="41"/>
      <c r="J14" s="24"/>
      <c r="K14" s="24"/>
      <c r="L14" s="24"/>
      <c r="M14" s="38" t="str">
        <f>"总股本"&amp;"("&amp;F5&amp;")"</f>
        <v>总股本(亿)</v>
      </c>
      <c r="N14" s="47">
        <f ca="1">[1]!S_SHARE_TOTAL(D4,D5)/CurrencyUnit</f>
        <v>265.89733139999998</v>
      </c>
      <c r="O14" s="38" t="s">
        <v>185</v>
      </c>
      <c r="P14" s="363">
        <f>RTD("wdf.rtq",,D4,28)</f>
        <v>35.597000000000001</v>
      </c>
      <c r="Q14" s="363"/>
      <c r="R14" s="363"/>
      <c r="S14" s="363"/>
      <c r="T14" s="38" t="s">
        <v>197</v>
      </c>
      <c r="U14" s="54">
        <f>RTD("wdf.rtq",,D4,30)/10000</f>
        <v>39062.902199999997</v>
      </c>
      <c r="V14" s="24"/>
      <c r="W14" s="24"/>
    </row>
    <row r="15" spans="1:39" ht="16.5">
      <c r="B15" s="24"/>
      <c r="C15" s="27" t="s">
        <v>181</v>
      </c>
      <c r="D15" s="337">
        <f ca="1">[1]!s_info_employee(D4,YEAR(行业比较!G5)-1&amp;"-12-31")</f>
        <v>55239</v>
      </c>
      <c r="E15" s="334"/>
      <c r="F15" s="334"/>
      <c r="G15" s="334"/>
      <c r="H15" s="334"/>
      <c r="I15" s="40"/>
      <c r="J15" s="24"/>
      <c r="K15" s="24"/>
      <c r="L15" s="24"/>
      <c r="M15" s="48" t="str">
        <f>"总市值"&amp;"("&amp;F5&amp;")"</f>
        <v>总市值(亿)</v>
      </c>
      <c r="N15" s="49">
        <f ca="1">[1]!s_val_mv(D4,D5)/CurrencyUnit</f>
        <v>9678.6628629599982</v>
      </c>
      <c r="O15" s="48" t="s">
        <v>186</v>
      </c>
      <c r="P15" s="374" t="str">
        <f ca="1">[1]!s_pq_high(D4,D5-60,D5,1)&amp;"/"&amp;[1]!s_pq_low(D4,D5-60,D5,1)</f>
        <v>44.94/34.86</v>
      </c>
      <c r="Q15" s="374"/>
      <c r="R15" s="374"/>
      <c r="S15" s="374"/>
      <c r="T15" s="104"/>
      <c r="U15" s="50"/>
      <c r="V15" s="24"/>
      <c r="W15" s="24"/>
    </row>
    <row r="16" spans="1:39" ht="14.25" customHeight="1">
      <c r="B16" s="24"/>
      <c r="C16" s="51" t="s">
        <v>173</v>
      </c>
      <c r="D16" s="52" t="str">
        <f ca="1">[1]!s_stmnote_audit_category(D4,YEAR(行业比较!G5)-1&amp;"-12-31",1)</f>
        <v>标准无保留意见</v>
      </c>
      <c r="E16" s="52"/>
      <c r="F16" s="52"/>
      <c r="G16" s="52"/>
      <c r="H16" s="52"/>
      <c r="I16" s="52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2:26" ht="14.25" customHeight="1">
      <c r="B17" s="24"/>
      <c r="C17" s="31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2:26" ht="7.5" customHeight="1"/>
    <row r="19" spans="2:26" ht="17.25" customHeight="1">
      <c r="B19" s="24"/>
      <c r="C19" s="24"/>
      <c r="D19" s="24"/>
      <c r="E19" s="24"/>
      <c r="F19" s="24"/>
      <c r="G19" s="24"/>
      <c r="H19" s="24"/>
      <c r="I19" s="24"/>
      <c r="J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6" ht="15.75" customHeight="1" thickBot="1">
      <c r="B20" s="96"/>
      <c r="C20" s="97" t="s">
        <v>213</v>
      </c>
      <c r="D20" s="255" t="s">
        <v>198</v>
      </c>
      <c r="E20" s="254" t="s">
        <v>57</v>
      </c>
      <c r="F20" s="98" t="s">
        <v>165</v>
      </c>
      <c r="G20" s="99" t="str">
        <f>LEFT(F20,2)&amp;"最小值=8"</f>
        <v>PE最小值=8</v>
      </c>
      <c r="H20" s="99" t="str">
        <f>LEFT(F20,2)&amp;"间距="&amp;H29</f>
        <v>PE间距=12</v>
      </c>
      <c r="I20" s="100"/>
      <c r="J20" s="96"/>
      <c r="L20" s="96"/>
      <c r="M20" s="95" t="s">
        <v>214</v>
      </c>
      <c r="N20" s="96"/>
      <c r="O20" s="96"/>
      <c r="P20" s="96"/>
      <c r="Q20" s="96"/>
      <c r="R20" s="96"/>
      <c r="S20" s="96"/>
      <c r="T20" s="96"/>
      <c r="U20" s="96"/>
      <c r="V20" s="256" t="s">
        <v>11024</v>
      </c>
      <c r="W20" s="96"/>
    </row>
    <row r="21" spans="2:26">
      <c r="B21" s="24"/>
      <c r="C21" s="24"/>
      <c r="D21" s="24"/>
      <c r="E21" s="24"/>
      <c r="F21" s="24"/>
      <c r="G21" s="24"/>
      <c r="H21" s="24"/>
      <c r="I21" s="24"/>
      <c r="J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6">
      <c r="B22" s="24"/>
      <c r="C22" s="24"/>
      <c r="D22" s="24"/>
      <c r="E22" s="24"/>
      <c r="F22" s="24"/>
      <c r="G22" s="24"/>
      <c r="H22" s="24"/>
      <c r="I22" s="24"/>
      <c r="J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2:26">
      <c r="B23" s="24"/>
      <c r="C23" s="24"/>
      <c r="D23" s="24"/>
      <c r="E23" s="24"/>
      <c r="F23" s="24"/>
      <c r="G23" s="24"/>
      <c r="H23" s="24"/>
      <c r="I23" s="24"/>
      <c r="J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2:26">
      <c r="B24" s="24"/>
      <c r="C24" s="24"/>
      <c r="D24" s="24"/>
      <c r="E24" s="24"/>
      <c r="F24" s="24"/>
      <c r="G24" s="55"/>
      <c r="H24" s="24"/>
      <c r="I24" s="24"/>
      <c r="J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2:26">
      <c r="B25" s="24"/>
      <c r="C25" s="24"/>
      <c r="D25" s="24"/>
      <c r="E25" s="24"/>
      <c r="F25" s="24"/>
      <c r="G25" s="55"/>
      <c r="H25" s="24"/>
      <c r="I25" s="24"/>
      <c r="J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2:26" ht="16.5">
      <c r="B26" s="24"/>
      <c r="C26" s="24"/>
      <c r="D26" s="24"/>
      <c r="E26" s="24"/>
      <c r="F26" s="24"/>
      <c r="G26" s="24"/>
      <c r="H26" s="24"/>
      <c r="I26" s="24"/>
      <c r="J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Z26" s="30"/>
    </row>
    <row r="27" spans="2:26">
      <c r="B27" s="24"/>
      <c r="C27" s="24"/>
      <c r="D27" s="24"/>
      <c r="E27" s="24"/>
      <c r="F27" s="24"/>
      <c r="G27" s="24"/>
      <c r="H27" s="24"/>
      <c r="I27" s="24"/>
      <c r="J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2:26">
      <c r="B28" s="24"/>
      <c r="C28" s="24"/>
      <c r="D28" s="24"/>
      <c r="E28" s="24"/>
      <c r="F28" s="24"/>
      <c r="G28" s="24"/>
      <c r="H28" s="24"/>
      <c r="I28" s="24"/>
      <c r="J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2:26">
      <c r="B29" s="24"/>
      <c r="C29" s="24"/>
      <c r="D29" s="24"/>
      <c r="E29" s="24"/>
      <c r="F29" s="24"/>
      <c r="G29" s="24"/>
      <c r="H29" s="56">
        <v>12</v>
      </c>
      <c r="I29" s="56"/>
      <c r="J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2:26">
      <c r="B30" s="24"/>
      <c r="C30" s="24"/>
      <c r="D30" s="24"/>
      <c r="E30" s="24"/>
      <c r="F30" s="24"/>
      <c r="G30" s="24"/>
      <c r="H30" s="24"/>
      <c r="I30" s="24"/>
      <c r="J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2:26">
      <c r="B31" s="24"/>
      <c r="C31" s="24"/>
      <c r="D31" s="24"/>
      <c r="E31" s="24"/>
      <c r="F31" s="24"/>
      <c r="G31" s="24"/>
      <c r="H31" s="24"/>
      <c r="I31" s="24"/>
      <c r="J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2:26">
      <c r="B32" s="24"/>
      <c r="C32" s="24"/>
      <c r="D32" s="24"/>
      <c r="E32" s="24"/>
      <c r="F32" s="24"/>
      <c r="G32" s="24"/>
      <c r="H32" s="24"/>
      <c r="I32" s="24"/>
      <c r="J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23">
      <c r="B33" s="24"/>
      <c r="C33" s="24"/>
      <c r="D33" s="24"/>
      <c r="E33" s="24"/>
      <c r="F33" s="24"/>
      <c r="G33" s="24"/>
      <c r="H33" s="24"/>
      <c r="I33" s="24"/>
      <c r="J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2:23">
      <c r="B34" s="24"/>
      <c r="C34" s="24"/>
      <c r="D34" s="24"/>
      <c r="E34" s="24"/>
      <c r="F34" s="24"/>
      <c r="G34" s="24"/>
      <c r="H34" s="24"/>
      <c r="I34" s="24"/>
      <c r="J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2:23" ht="11.25" customHeight="1">
      <c r="B35" s="24"/>
      <c r="C35" s="24"/>
      <c r="D35" s="24"/>
      <c r="E35" s="24"/>
      <c r="F35" s="24"/>
      <c r="G35" s="24"/>
      <c r="H35" s="24"/>
      <c r="I35" s="24"/>
      <c r="J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2:23" ht="9" customHeight="1">
      <c r="C36" s="358"/>
      <c r="D36" s="358"/>
      <c r="E36" s="358"/>
      <c r="F36" s="358"/>
      <c r="G36" s="358"/>
      <c r="H36" s="358"/>
      <c r="I36" s="358"/>
      <c r="J36" s="358"/>
      <c r="K36" s="358"/>
      <c r="L36" s="358"/>
      <c r="M36" s="358"/>
      <c r="N36" s="358"/>
      <c r="O36" s="358"/>
      <c r="P36" s="13"/>
      <c r="Q36" s="13"/>
      <c r="R36" s="13"/>
      <c r="S36" s="13"/>
      <c r="T36" s="14"/>
      <c r="U36" s="29"/>
      <c r="V36" s="14"/>
    </row>
    <row r="37" spans="2:23" ht="15.75" customHeight="1">
      <c r="B37" s="34"/>
      <c r="C37" s="126" t="s">
        <v>216</v>
      </c>
      <c r="D37" s="125"/>
      <c r="E37" s="125"/>
      <c r="F37" s="125"/>
      <c r="G37" s="125"/>
      <c r="H37" s="125"/>
      <c r="I37" s="125"/>
      <c r="J37" s="125"/>
      <c r="K37" s="125"/>
      <c r="L37" s="125"/>
      <c r="M37" s="34"/>
      <c r="N37" s="125"/>
      <c r="O37" s="125"/>
      <c r="P37" s="125" t="str">
        <f>"单位:("&amp;F5&amp;")"</f>
        <v>单位:(亿)</v>
      </c>
      <c r="Q37" s="125"/>
      <c r="R37" s="127"/>
      <c r="S37" s="125"/>
      <c r="T37" s="125" t="s">
        <v>171</v>
      </c>
      <c r="U37" s="30"/>
      <c r="V37" s="30"/>
      <c r="W37" s="30"/>
    </row>
    <row r="38" spans="2:23" ht="16.5">
      <c r="B38" s="24"/>
      <c r="C38" s="359" t="s">
        <v>217</v>
      </c>
      <c r="D38" s="359"/>
      <c r="E38" s="359"/>
      <c r="F38" s="106">
        <f ca="1">D5</f>
        <v>46090</v>
      </c>
      <c r="G38" s="24"/>
      <c r="H38" s="24"/>
      <c r="I38" s="24"/>
      <c r="J38" s="24"/>
      <c r="K38" s="24"/>
      <c r="L38" s="24"/>
      <c r="M38" s="359" t="s">
        <v>225</v>
      </c>
      <c r="N38" s="359"/>
      <c r="O38" s="359"/>
      <c r="P38" s="132">
        <f ca="1">holdertime</f>
        <v>45910</v>
      </c>
      <c r="Q38" s="55"/>
      <c r="R38" s="11"/>
      <c r="S38" s="55"/>
      <c r="T38" s="24"/>
      <c r="U38" s="24"/>
      <c r="V38" s="24"/>
      <c r="W38" s="24"/>
    </row>
    <row r="39" spans="2:23" ht="15.75" customHeight="1">
      <c r="B39" s="24"/>
      <c r="C39" s="128" t="s">
        <v>218</v>
      </c>
      <c r="D39" s="128"/>
      <c r="E39" s="128"/>
      <c r="F39" s="131" t="s">
        <v>219</v>
      </c>
      <c r="G39" s="131" t="s">
        <v>220</v>
      </c>
      <c r="H39" s="362" t="str">
        <f>"较"&amp;M38&amp;"变动"</f>
        <v>较半年前变动</v>
      </c>
      <c r="I39" s="362"/>
      <c r="J39" s="107"/>
      <c r="K39" s="107"/>
      <c r="L39" s="107"/>
      <c r="M39" s="135" t="s">
        <v>227</v>
      </c>
      <c r="N39" s="128"/>
      <c r="O39" s="128"/>
      <c r="P39" s="131" t="s">
        <v>226</v>
      </c>
      <c r="Q39" s="107"/>
      <c r="R39" s="15"/>
      <c r="S39" s="107"/>
      <c r="T39" s="167" t="s">
        <v>235</v>
      </c>
      <c r="U39" s="361">
        <f ca="1">N14</f>
        <v>265.89733139999998</v>
      </c>
      <c r="V39" s="361"/>
      <c r="W39" s="24"/>
    </row>
    <row r="40" spans="2:23" ht="15.75" customHeight="1">
      <c r="B40" s="24"/>
      <c r="C40" s="212" t="str">
        <f ca="1">[1]!s_holder_name($D$4,F$38,1)</f>
        <v>闽西兴杭国有资产投资经营有限公司</v>
      </c>
      <c r="D40" s="153"/>
      <c r="E40" s="153"/>
      <c r="F40" s="154">
        <f ca="1">[1]!s_holder_quantity($D$4,F$38,1)/CurrencyUnit</f>
        <v>60.835177039999998</v>
      </c>
      <c r="G40" s="155">
        <f ca="1">[1]!s_holder_pct($D$4,F$38,1)/100</f>
        <v>0.22889999389648438</v>
      </c>
      <c r="H40" s="355">
        <f t="shared" ref="H40:H50" ca="1" si="0">IF(ISNA(VLOOKUP(C40,$M$40:$P$50,4,FALSE)),F40,F40-VLOOKUP(C40,$M$40:$P$50,4,FALSE))</f>
        <v>0</v>
      </c>
      <c r="I40" s="355"/>
      <c r="J40" s="24"/>
      <c r="K40" s="24"/>
      <c r="L40" s="24"/>
      <c r="M40" s="212" t="str">
        <f ca="1">[1]!s_holder_name($D$4,P$38,1)</f>
        <v>闽西兴杭国有资产投资经营有限公司</v>
      </c>
      <c r="N40" s="153"/>
      <c r="O40" s="153"/>
      <c r="P40" s="164">
        <f ca="1">[1]!s_holder_quantity($D$4,P$38,1)/CurrencyUnit</f>
        <v>60.835177039999998</v>
      </c>
      <c r="Q40" s="108"/>
      <c r="R40" s="19"/>
      <c r="S40" s="108"/>
      <c r="T40" s="168" t="s">
        <v>236</v>
      </c>
      <c r="U40" s="360">
        <f ca="1">[1]!S_SHARE_LIQA(D4,D5)/CurrencyUnit</f>
        <v>206.00893139999999</v>
      </c>
      <c r="V40" s="360"/>
      <c r="W40" s="24"/>
    </row>
    <row r="41" spans="2:23" ht="15.75" customHeight="1">
      <c r="B41" s="24"/>
      <c r="C41" s="331" t="str">
        <f ca="1">[1]!s_holder_name($D$4,F$38,2)</f>
        <v>香港中央结算(代理人)有限公司</v>
      </c>
      <c r="D41" s="156"/>
      <c r="E41" s="156"/>
      <c r="F41" s="157">
        <f ca="1">[1]!s_holder_quantity($D$4,F$38,2)/CurrencyUnit</f>
        <v>59.762619809999997</v>
      </c>
      <c r="G41" s="158">
        <f ca="1">[1]!s_holder_pct($D$4,F$38,2)/100</f>
        <v>0.22489999771118163</v>
      </c>
      <c r="H41" s="356">
        <f t="shared" ca="1" si="0"/>
        <v>1.5912099999937368E-3</v>
      </c>
      <c r="I41" s="356"/>
      <c r="J41" s="24"/>
      <c r="K41" s="24"/>
      <c r="L41" s="24"/>
      <c r="M41" s="331" t="str">
        <f ca="1">[1]!s_holder_name($D$4,P$38,2)</f>
        <v>香港中央结算(代理人)有限公司</v>
      </c>
      <c r="N41" s="124"/>
      <c r="O41" s="124"/>
      <c r="P41" s="165">
        <f ca="1">[1]!s_holder_quantity($D$4,P$38,2)/CurrencyUnit</f>
        <v>59.761028600000003</v>
      </c>
      <c r="Q41" s="109"/>
      <c r="R41" s="16"/>
      <c r="S41" s="109"/>
      <c r="T41" s="167" t="s">
        <v>237</v>
      </c>
      <c r="U41" s="361">
        <f ca="1">[1]!s_share_liqb(D4,D5)/CurrencyUnit</f>
        <v>0</v>
      </c>
      <c r="V41" s="361"/>
      <c r="W41" s="24"/>
    </row>
    <row r="42" spans="2:23" ht="15.75" customHeight="1">
      <c r="B42" s="24"/>
      <c r="C42" s="212" t="str">
        <f ca="1">[1]!s_holder_name($D$4,F$38,3)</f>
        <v>香港中央结算有限公司(陆股通)</v>
      </c>
      <c r="D42" s="153"/>
      <c r="E42" s="153"/>
      <c r="F42" s="154">
        <f ca="1">[1]!s_holder_quantity($D$4,F$38,3)/CurrencyUnit</f>
        <v>13.536345969999999</v>
      </c>
      <c r="G42" s="155">
        <f ca="1">[1]!s_holder_pct($D$4,F$38,3)/100</f>
        <v>5.0900001525878903E-2</v>
      </c>
      <c r="H42" s="355">
        <f t="shared" ca="1" si="0"/>
        <v>-2.3539905700000006</v>
      </c>
      <c r="I42" s="355"/>
      <c r="J42" s="24"/>
      <c r="K42" s="24"/>
      <c r="L42" s="24"/>
      <c r="M42" s="212" t="str">
        <f ca="1">[1]!s_holder_name($D$4,P$38,3)</f>
        <v>香港中央结算有限公司(陆股通)</v>
      </c>
      <c r="N42" s="153"/>
      <c r="O42" s="153"/>
      <c r="P42" s="164">
        <f ca="1">[1]!s_holder_quantity($D$4,P$38,3)/CurrencyUnit</f>
        <v>15.89033654</v>
      </c>
      <c r="Q42" s="109"/>
      <c r="R42" s="16"/>
      <c r="S42" s="109"/>
      <c r="T42" s="168" t="s">
        <v>238</v>
      </c>
      <c r="U42" s="360">
        <f ca="1">[1]!s_share_h(D4,D5)/CurrencyUnit</f>
        <v>59.888399999999997</v>
      </c>
      <c r="V42" s="360"/>
      <c r="W42" s="24"/>
    </row>
    <row r="43" spans="2:23" ht="15.75" customHeight="1">
      <c r="B43" s="24"/>
      <c r="C43" s="331" t="str">
        <f ca="1">[1]!s_holder_name($D$4,F$38,4)</f>
        <v>中国证券金融股份有限公司</v>
      </c>
      <c r="D43" s="156"/>
      <c r="E43" s="156"/>
      <c r="F43" s="157">
        <f ca="1">[1]!s_holder_quantity($D$4,F$38,4)/CurrencyUnit</f>
        <v>6.9119077000000004</v>
      </c>
      <c r="G43" s="158">
        <f ca="1">[1]!s_holder_pct($D$4,F$38,4)/100</f>
        <v>2.5999999046325682E-2</v>
      </c>
      <c r="H43" s="356">
        <f t="shared" ca="1" si="0"/>
        <v>0</v>
      </c>
      <c r="I43" s="356"/>
      <c r="J43" s="24"/>
      <c r="K43" s="24"/>
      <c r="L43" s="24"/>
      <c r="M43" s="331" t="str">
        <f ca="1">[1]!s_holder_name($D$4,P$38,4)</f>
        <v>中国证券金融股份有限公司</v>
      </c>
      <c r="N43" s="124"/>
      <c r="O43" s="124"/>
      <c r="P43" s="165">
        <f ca="1">[1]!s_holder_quantity($D$4,P$38,4)/CurrencyUnit</f>
        <v>6.9119077000000004</v>
      </c>
      <c r="Q43" s="109"/>
      <c r="R43" s="16"/>
      <c r="S43" s="109"/>
      <c r="T43" s="167" t="s">
        <v>239</v>
      </c>
      <c r="U43" s="361">
        <f ca="1">[1]!s_share_oversea(D4,D5)/CurrencyUnit</f>
        <v>0</v>
      </c>
      <c r="V43" s="361"/>
      <c r="W43" s="24"/>
    </row>
    <row r="44" spans="2:23" ht="15.75" customHeight="1">
      <c r="B44" s="24"/>
      <c r="C44" s="212" t="str">
        <f ca="1">[1]!s_holder_name($D$4,F$38,5)</f>
        <v>中国工商银行-上证50交易型开放式指数证券投资基金</v>
      </c>
      <c r="D44" s="153"/>
      <c r="E44" s="153"/>
      <c r="F44" s="154">
        <f ca="1">[1]!s_holder_quantity($D$4,F$38,5)/CurrencyUnit</f>
        <v>3.1454694299999999</v>
      </c>
      <c r="G44" s="155">
        <f ca="1">[1]!s_holder_pct($D$4,F$38,5)/100</f>
        <v>1.1799999475479127E-2</v>
      </c>
      <c r="H44" s="355">
        <f t="shared" ca="1" si="0"/>
        <v>-8.3477440000000236E-2</v>
      </c>
      <c r="I44" s="355"/>
      <c r="J44" s="24"/>
      <c r="K44" s="24"/>
      <c r="L44" s="24"/>
      <c r="M44" s="212" t="str">
        <f ca="1">[1]!s_holder_name($D$4,P$38,5)</f>
        <v>中国工商银行-上证50交易型开放式指数证券投资基金</v>
      </c>
      <c r="N44" s="153"/>
      <c r="O44" s="153"/>
      <c r="P44" s="164">
        <f ca="1">[1]!s_holder_quantity($D$4,P$38,5)/CurrencyUnit</f>
        <v>3.2289468700000001</v>
      </c>
      <c r="Q44" s="109"/>
      <c r="R44" s="16"/>
      <c r="S44" s="109"/>
      <c r="T44" s="169" t="s">
        <v>240</v>
      </c>
      <c r="U44" s="360">
        <f ca="1">[1]!s_share_totaltradable(D4,D5)/CurrencyUnit</f>
        <v>265.89733140000004</v>
      </c>
      <c r="V44" s="360"/>
      <c r="W44" s="24"/>
    </row>
    <row r="45" spans="2:23" ht="15.75" customHeight="1">
      <c r="B45" s="24"/>
      <c r="C45" s="331" t="str">
        <f ca="1">[1]!s_holder_name($D$4,F$38,6)</f>
        <v>中国工商银行股份有限公司-华泰柏瑞沪深300交易型开放式指数证券投资基金</v>
      </c>
      <c r="D45" s="156"/>
      <c r="E45" s="156"/>
      <c r="F45" s="157">
        <f ca="1">[1]!s_holder_quantity($D$4,F$38,6)/CurrencyUnit</f>
        <v>2.80661746</v>
      </c>
      <c r="G45" s="158">
        <f ca="1">[1]!s_holder_pct($D$4,F$38,6)/100</f>
        <v>1.0599999427795411E-2</v>
      </c>
      <c r="H45" s="356">
        <f t="shared" ca="1" si="0"/>
        <v>-0.1211122200000001</v>
      </c>
      <c r="I45" s="356"/>
      <c r="J45" s="24"/>
      <c r="K45" s="24"/>
      <c r="L45" s="24"/>
      <c r="M45" s="331" t="str">
        <f ca="1">[1]!s_holder_name($D$4,P$38,6)</f>
        <v>中国工商银行股份有限公司-华泰柏瑞沪深300交易型开放式指数证券投资基金</v>
      </c>
      <c r="N45" s="124"/>
      <c r="O45" s="124"/>
      <c r="P45" s="165">
        <f ca="1">[1]!s_holder_quantity($D$4,P$38,6)/CurrencyUnit</f>
        <v>2.9277296800000001</v>
      </c>
      <c r="Q45" s="109"/>
      <c r="R45" s="16"/>
      <c r="S45" s="109"/>
      <c r="T45" s="167" t="s">
        <v>241</v>
      </c>
      <c r="U45" s="361">
        <f ca="1">[1]!s_share_totalrestricted(D4,D5)/CurrencyUnit</f>
        <v>0</v>
      </c>
      <c r="V45" s="361"/>
      <c r="W45" s="24"/>
    </row>
    <row r="46" spans="2:23" ht="15.75" customHeight="1">
      <c r="B46" s="24"/>
      <c r="C46" s="212" t="str">
        <f ca="1">[1]!s_holder_name($D$4,F$38,7)</f>
        <v>中国人寿保险股份有限公司-传统-普通保险产品-005L-CT001沪</v>
      </c>
      <c r="D46" s="153"/>
      <c r="E46" s="153"/>
      <c r="F46" s="154">
        <f ca="1">[1]!s_holder_quantity($D$4,F$38,7)/CurrencyUnit</f>
        <v>2.5067499099999999</v>
      </c>
      <c r="G46" s="155">
        <f ca="1">[1]!s_holder_pct($D$4,F$38,7)/100</f>
        <v>9.3999999761581413E-3</v>
      </c>
      <c r="H46" s="355">
        <f t="shared" ca="1" si="0"/>
        <v>2.5067499099999999</v>
      </c>
      <c r="I46" s="355"/>
      <c r="J46" s="24"/>
      <c r="K46" s="24"/>
      <c r="L46" s="24"/>
      <c r="M46" s="212" t="str">
        <f ca="1">[1]!s_holder_name($D$4,P$38,7)</f>
        <v>中国建设银行股份有限公司-易方达沪深300交易型开放式指数发起式证券投资基金</v>
      </c>
      <c r="N46" s="153"/>
      <c r="O46" s="153"/>
      <c r="P46" s="164">
        <f ca="1">[1]!s_holder_quantity($D$4,P$38,7)/CurrencyUnit</f>
        <v>2.0919035799999999</v>
      </c>
      <c r="Q46" s="109"/>
      <c r="R46" s="16"/>
      <c r="S46" s="109"/>
      <c r="T46" s="24"/>
      <c r="U46" s="24"/>
      <c r="V46" s="24"/>
      <c r="W46" s="24"/>
    </row>
    <row r="47" spans="2:23" ht="15.75" customHeight="1">
      <c r="B47" s="24"/>
      <c r="C47" s="331" t="str">
        <f ca="1">[1]!s_holder_name($D$4,F$38,8)</f>
        <v>中国建设银行股份有限公司-易方达沪深300交易型开放式指数发起式证券投资基金</v>
      </c>
      <c r="D47" s="156"/>
      <c r="E47" s="156"/>
      <c r="F47" s="157">
        <f ca="1">[1]!s_holder_quantity($D$4,F$38,8)/CurrencyUnit</f>
        <v>2.0271065799999999</v>
      </c>
      <c r="G47" s="158">
        <f ca="1">[1]!s_holder_pct($D$4,F$38,8)/100</f>
        <v>7.5999999046325682E-3</v>
      </c>
      <c r="H47" s="356">
        <f t="shared" ca="1" si="0"/>
        <v>-6.4796999999999993E-2</v>
      </c>
      <c r="I47" s="356"/>
      <c r="J47" s="24"/>
      <c r="K47" s="24"/>
      <c r="L47" s="24"/>
      <c r="M47" s="331" t="str">
        <f ca="1">[1]!s_holder_name($D$4,P$38,8)</f>
        <v>上海高毅资产管理合伙企业(有限合伙)-高毅晓峰2号致信基金</v>
      </c>
      <c r="N47" s="124"/>
      <c r="O47" s="124"/>
      <c r="P47" s="165">
        <f ca="1">[1]!s_holder_quantity($D$4,P$38,8)/CurrencyUnit</f>
        <v>1.9867258999999999</v>
      </c>
      <c r="Q47" s="109"/>
      <c r="R47" s="16"/>
      <c r="S47" s="109"/>
      <c r="T47" s="24"/>
      <c r="U47" s="24"/>
      <c r="V47" s="24"/>
      <c r="W47" s="24"/>
    </row>
    <row r="48" spans="2:23" ht="15.75" customHeight="1">
      <c r="B48" s="24"/>
      <c r="C48" s="212" t="str">
        <f ca="1">[1]!s_holder_name($D$4,F$38,9)</f>
        <v>上海高毅资产管理合伙企业(有限合伙)-高毅晓峰2号致信基金</v>
      </c>
      <c r="D48" s="153"/>
      <c r="E48" s="153"/>
      <c r="F48" s="154">
        <f ca="1">[1]!s_holder_quantity($D$4,F$38,9)/CurrencyUnit</f>
        <v>1.800726</v>
      </c>
      <c r="G48" s="155">
        <f ca="1">[1]!s_holder_pct($D$4,F$38,9)/100</f>
        <v>6.8000000715255741E-3</v>
      </c>
      <c r="H48" s="355">
        <f t="shared" ca="1" si="0"/>
        <v>-0.18599989999999988</v>
      </c>
      <c r="I48" s="355"/>
      <c r="J48" s="24"/>
      <c r="K48" s="24"/>
      <c r="L48" s="24"/>
      <c r="M48" s="212" t="str">
        <f ca="1">[1]!s_holder_name($D$4,P$38,9)</f>
        <v>阿布达比投资局</v>
      </c>
      <c r="N48" s="153"/>
      <c r="O48" s="153"/>
      <c r="P48" s="164">
        <f ca="1">[1]!s_holder_quantity($D$4,P$38,9)/CurrencyUnit</f>
        <v>1.7346423900000001</v>
      </c>
      <c r="Q48" s="109"/>
      <c r="R48" s="16"/>
      <c r="S48" s="109"/>
      <c r="T48" s="24"/>
      <c r="U48" s="24"/>
      <c r="V48" s="24"/>
      <c r="W48" s="24"/>
    </row>
    <row r="49" spans="2:23" ht="16.5">
      <c r="B49" s="24"/>
      <c r="C49" s="220" t="str">
        <f ca="1">[1]!s_holder_name($D$4,F$38,10)</f>
        <v>国新投资有限公司</v>
      </c>
      <c r="D49" s="156"/>
      <c r="E49" s="156"/>
      <c r="F49" s="157">
        <f ca="1">[1]!s_holder_quantity($D$4,F$38,10)/CurrencyUnit</f>
        <v>1.7680681899999999</v>
      </c>
      <c r="G49" s="158">
        <f ca="1">[1]!s_holder_pct($D$4,F$38,10)/100</f>
        <v>6.7000001668930057E-3</v>
      </c>
      <c r="H49" s="356">
        <f t="shared" ca="1" si="0"/>
        <v>1.7680681899999999</v>
      </c>
      <c r="I49" s="356"/>
      <c r="J49" s="24"/>
      <c r="K49" s="24"/>
      <c r="L49" s="24"/>
      <c r="M49" s="331" t="str">
        <f ca="1">[1]!s_holder_name($D$4,P$38,10)</f>
        <v>中国对外经济贸易信托有限公司-外贸信托-高毅晓峰鸿远集合资金信托计划</v>
      </c>
      <c r="N49" s="124"/>
      <c r="O49" s="124"/>
      <c r="P49" s="165">
        <f ca="1">[1]!s_holder_quantity($D$4,$F38,10)/CurrencyUnit</f>
        <v>1.7680681899999999</v>
      </c>
      <c r="Q49" s="109"/>
      <c r="R49" s="16"/>
      <c r="S49" s="109"/>
      <c r="T49" s="24"/>
      <c r="U49" s="24"/>
      <c r="V49" s="24"/>
      <c r="W49" s="24"/>
    </row>
    <row r="50" spans="2:23" ht="16.5">
      <c r="B50" s="24"/>
      <c r="C50" s="161" t="s">
        <v>221</v>
      </c>
      <c r="D50" s="159"/>
      <c r="E50" s="159"/>
      <c r="F50" s="162">
        <f ca="1">SUM(F40:F49)</f>
        <v>155.10078809000001</v>
      </c>
      <c r="G50" s="163">
        <f ca="1">SUM(G40:G49)</f>
        <v>0.58359999120235451</v>
      </c>
      <c r="H50" s="357">
        <f t="shared" ca="1" si="0"/>
        <v>-2.0356783999999948</v>
      </c>
      <c r="I50" s="357"/>
      <c r="J50" s="24"/>
      <c r="K50" s="24"/>
      <c r="L50" s="24"/>
      <c r="M50" s="161" t="s">
        <v>224</v>
      </c>
      <c r="N50" s="153"/>
      <c r="O50" s="153"/>
      <c r="P50" s="166">
        <f ca="1">SUM(P40:P49)</f>
        <v>157.13646649</v>
      </c>
      <c r="Q50" s="113"/>
      <c r="R50" s="20"/>
      <c r="S50" s="113"/>
      <c r="T50" s="24"/>
      <c r="U50" s="24"/>
      <c r="V50" s="24"/>
      <c r="W50" s="24"/>
    </row>
    <row r="51" spans="2:23">
      <c r="B51" s="24"/>
      <c r="C51" s="24"/>
      <c r="D51" s="24"/>
      <c r="E51" s="109"/>
      <c r="F51" s="24"/>
      <c r="G51" s="24"/>
      <c r="H51" s="24"/>
      <c r="I51" s="24"/>
      <c r="J51" s="24"/>
      <c r="K51" s="24"/>
      <c r="L51" s="24"/>
      <c r="M51" s="110"/>
      <c r="N51" s="110"/>
      <c r="O51" s="110"/>
      <c r="P51" s="24"/>
      <c r="Q51" s="24"/>
      <c r="S51" s="24"/>
      <c r="T51" s="24"/>
      <c r="U51" s="24"/>
      <c r="V51" s="24"/>
      <c r="W51" s="24"/>
    </row>
    <row r="52" spans="2:23" ht="4.5" customHeight="1">
      <c r="E52" s="16"/>
      <c r="M52" s="17"/>
      <c r="N52" s="17"/>
      <c r="O52" s="17"/>
      <c r="S52" s="24"/>
      <c r="T52" s="24"/>
      <c r="U52" s="24"/>
      <c r="V52" s="24"/>
      <c r="W52" s="24"/>
    </row>
    <row r="53" spans="2:23" ht="16.5">
      <c r="B53" s="126"/>
      <c r="C53" s="126" t="s">
        <v>223</v>
      </c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 t="str">
        <f>P37</f>
        <v>单位:(亿)</v>
      </c>
      <c r="Q53" s="126"/>
      <c r="R53" s="13"/>
      <c r="S53" s="56"/>
      <c r="T53" s="105"/>
      <c r="U53" s="56" t="s">
        <v>169</v>
      </c>
      <c r="V53" s="105"/>
      <c r="W53" s="105"/>
    </row>
    <row r="54" spans="2:23">
      <c r="B54" s="24"/>
      <c r="C54" s="354"/>
      <c r="D54" s="354"/>
      <c r="E54" s="354"/>
      <c r="F54" s="106">
        <f ca="1">F38</f>
        <v>46090</v>
      </c>
      <c r="G54" s="24"/>
      <c r="H54" s="24"/>
      <c r="I54" s="24"/>
      <c r="J54" s="24"/>
      <c r="K54" s="24"/>
      <c r="L54" s="24"/>
      <c r="M54" s="24"/>
      <c r="N54" s="110"/>
      <c r="O54" s="110"/>
      <c r="P54" s="106">
        <f ca="1">P38</f>
        <v>45910</v>
      </c>
      <c r="Q54" s="111"/>
      <c r="R54" s="18"/>
      <c r="S54" s="111"/>
      <c r="T54" s="24"/>
      <c r="U54" s="24"/>
      <c r="V54" s="24"/>
      <c r="W54" s="24"/>
    </row>
    <row r="55" spans="2:23" ht="16.5">
      <c r="B55" s="24"/>
      <c r="C55" s="128" t="s">
        <v>218</v>
      </c>
      <c r="D55" s="128"/>
      <c r="E55" s="128"/>
      <c r="F55" s="131" t="s">
        <v>228</v>
      </c>
      <c r="G55" s="131" t="s">
        <v>229</v>
      </c>
      <c r="H55" s="362" t="str">
        <f>H39</f>
        <v>较半年前变动</v>
      </c>
      <c r="I55" s="362"/>
      <c r="J55" s="107"/>
      <c r="K55" s="107"/>
      <c r="L55" s="107"/>
      <c r="M55" s="128" t="s">
        <v>218</v>
      </c>
      <c r="N55" s="128"/>
      <c r="O55" s="128"/>
      <c r="P55" s="131" t="s">
        <v>230</v>
      </c>
      <c r="Q55" s="107"/>
      <c r="R55" s="15"/>
      <c r="S55" s="107"/>
      <c r="T55" s="24"/>
      <c r="U55" s="24"/>
      <c r="V55" s="24"/>
      <c r="W55" s="24"/>
    </row>
    <row r="56" spans="2:23" ht="16.5">
      <c r="B56" s="24"/>
      <c r="C56" s="214" t="str">
        <f ca="1">[1]!s_holder_LIQname($D$4,F$54,1)</f>
        <v>闽西兴杭国有资产投资经营有限公司</v>
      </c>
      <c r="D56" s="153"/>
      <c r="E56" s="153"/>
      <c r="F56" s="170">
        <f ca="1">[1]!s_holder_LIQquantity($D$4,F$54,1)/CurrencyUnit</f>
        <v>60.835177039999998</v>
      </c>
      <c r="G56" s="171">
        <f t="shared" ref="G56:G65" ca="1" si="1">F56/$N$14</f>
        <v>0.22879198042226009</v>
      </c>
      <c r="H56" s="350">
        <f t="shared" ref="H56:H66" ca="1" si="2">IF(ISNA(VLOOKUP(C56,$M$56:$P$66,4,FALSE)),F56,F56-VLOOKUP(C56,$M$56:$P$66,4,FALSE))</f>
        <v>0</v>
      </c>
      <c r="I56" s="350"/>
      <c r="J56" s="24"/>
      <c r="K56" s="24"/>
      <c r="L56" s="24"/>
      <c r="M56" s="214" t="str">
        <f ca="1">[1]!s_holder_LIQname($D$4,P$54,1)</f>
        <v>闽西兴杭国有资产投资经营有限公司</v>
      </c>
      <c r="N56" s="153"/>
      <c r="O56" s="153"/>
      <c r="P56" s="176">
        <f ca="1">[1]!s_holder_LIQquantity($D$4,P$54,1)/CurrencyUnit</f>
        <v>60.835177039999998</v>
      </c>
      <c r="Q56" s="108"/>
      <c r="R56" s="19"/>
      <c r="S56" s="108"/>
      <c r="T56" s="24"/>
      <c r="U56" s="24"/>
      <c r="V56" s="24"/>
      <c r="W56" s="24"/>
    </row>
    <row r="57" spans="2:23" ht="16.5">
      <c r="B57" s="24"/>
      <c r="C57" s="330" t="str">
        <f ca="1">[1]!s_holder_LIQname($D$4,F$54,2)</f>
        <v>香港中央结算有限公司(陆股通)</v>
      </c>
      <c r="D57" s="124"/>
      <c r="E57" s="124"/>
      <c r="F57" s="172">
        <f ca="1">[1]!s_holder_LIQquantity($D$4,F$54,2)/CurrencyUnit</f>
        <v>13.536345969999999</v>
      </c>
      <c r="G57" s="173">
        <f t="shared" ca="1" si="1"/>
        <v>5.0908167820747072E-2</v>
      </c>
      <c r="H57" s="349">
        <f t="shared" ca="1" si="2"/>
        <v>-2.3539905700000006</v>
      </c>
      <c r="I57" s="349"/>
      <c r="J57" s="24"/>
      <c r="K57" s="24"/>
      <c r="L57" s="24"/>
      <c r="M57" s="330" t="str">
        <f ca="1">[1]!s_holder_LIQname($D$4,P$54,2)</f>
        <v>香港中央结算有限公司(陆股通)</v>
      </c>
      <c r="N57" s="124"/>
      <c r="O57" s="124"/>
      <c r="P57" s="177">
        <f ca="1">[1]!s_holder_LIQquantity($D$4,P$54,2)/CurrencyUnit</f>
        <v>15.89033654</v>
      </c>
      <c r="Q57" s="108"/>
      <c r="R57" s="19"/>
      <c r="S57" s="108"/>
      <c r="T57" s="24"/>
      <c r="U57" s="24"/>
      <c r="V57" s="24"/>
      <c r="W57" s="24"/>
    </row>
    <row r="58" spans="2:23" ht="16.5">
      <c r="B58" s="24"/>
      <c r="C58" s="214" t="str">
        <f ca="1">[1]!s_holder_LIQname($D$4,F$54,3)</f>
        <v>中国证券金融股份有限公司</v>
      </c>
      <c r="D58" s="153"/>
      <c r="E58" s="153"/>
      <c r="F58" s="170">
        <f ca="1">[1]!s_holder_LIQquantity($D$4,F$54,3)/CurrencyUnit</f>
        <v>6.9119077000000004</v>
      </c>
      <c r="G58" s="171">
        <f t="shared" ca="1" si="1"/>
        <v>2.5994648624743592E-2</v>
      </c>
      <c r="H58" s="350">
        <f t="shared" ca="1" si="2"/>
        <v>0</v>
      </c>
      <c r="I58" s="350"/>
      <c r="J58" s="24"/>
      <c r="K58" s="24"/>
      <c r="L58" s="24"/>
      <c r="M58" s="214" t="str">
        <f ca="1">[1]!s_holder_LIQname($D$4,P$54,3)</f>
        <v>中国证券金融股份有限公司</v>
      </c>
      <c r="N58" s="153"/>
      <c r="O58" s="153"/>
      <c r="P58" s="176">
        <f ca="1">[1]!s_holder_LIQquantity($D$4,P$54,3)/CurrencyUnit</f>
        <v>6.9119077000000004</v>
      </c>
      <c r="Q58" s="108"/>
      <c r="R58" s="19"/>
      <c r="S58" s="108"/>
      <c r="T58" s="24"/>
      <c r="U58" s="24"/>
      <c r="V58" s="24"/>
      <c r="W58" s="24"/>
    </row>
    <row r="59" spans="2:23" ht="16.5">
      <c r="B59" s="24"/>
      <c r="C59" s="330" t="str">
        <f ca="1">[1]!s_holder_LIQname($D$4,F$54,4)</f>
        <v>中国工商银行-上证50交易型开放式指数证券投资基金</v>
      </c>
      <c r="D59" s="124"/>
      <c r="E59" s="124"/>
      <c r="F59" s="172">
        <f ca="1">[1]!s_holder_LIQquantity($D$4,F$54,4)/CurrencyUnit</f>
        <v>3.1454694299999999</v>
      </c>
      <c r="G59" s="173">
        <f t="shared" ca="1" si="1"/>
        <v>1.1829638956654832E-2</v>
      </c>
      <c r="H59" s="349">
        <f t="shared" ca="1" si="2"/>
        <v>-8.3477440000000236E-2</v>
      </c>
      <c r="I59" s="349"/>
      <c r="J59" s="24"/>
      <c r="K59" s="24"/>
      <c r="L59" s="24"/>
      <c r="M59" s="330" t="str">
        <f ca="1">[1]!s_holder_LIQname($D$4,P$54,4)</f>
        <v>中国工商银行-上证50交易型开放式指数证券投资基金</v>
      </c>
      <c r="N59" s="124"/>
      <c r="O59" s="124"/>
      <c r="P59" s="177">
        <f ca="1">[1]!s_holder_LIQquantity($D$4,P$54,4)/CurrencyUnit</f>
        <v>3.2289468700000001</v>
      </c>
      <c r="Q59" s="108"/>
      <c r="R59" s="19"/>
      <c r="S59" s="108"/>
      <c r="T59" s="24"/>
      <c r="U59" s="24"/>
      <c r="V59" s="24"/>
      <c r="W59" s="24"/>
    </row>
    <row r="60" spans="2:23" ht="16.5">
      <c r="B60" s="24"/>
      <c r="C60" s="212" t="str">
        <f ca="1">[1]!s_holder_LIQname($D$4,F$54,5)</f>
        <v>中国工商银行股份有限公司-华泰柏瑞沪深300交易型开放式指数证券投资基金</v>
      </c>
      <c r="D60" s="153"/>
      <c r="E60" s="153"/>
      <c r="F60" s="170">
        <f ca="1">[1]!s_holder_LIQquantity($D$4,F$54,5)/CurrencyUnit</f>
        <v>2.80661746</v>
      </c>
      <c r="G60" s="171">
        <f t="shared" ca="1" si="1"/>
        <v>1.0555267498258164E-2</v>
      </c>
      <c r="H60" s="350">
        <f t="shared" ca="1" si="2"/>
        <v>-0.1211122200000001</v>
      </c>
      <c r="I60" s="350"/>
      <c r="J60" s="24"/>
      <c r="K60" s="24"/>
      <c r="L60" s="24"/>
      <c r="M60" s="212" t="str">
        <f ca="1">[1]!s_holder_LIQname($D$4,P$54,5)</f>
        <v>中国工商银行股份有限公司-华泰柏瑞沪深300交易型开放式指数证券投资基金</v>
      </c>
      <c r="N60" s="153"/>
      <c r="O60" s="153"/>
      <c r="P60" s="176">
        <f ca="1">[1]!s_holder_LIQquantity($D$4,P$54,5)/CurrencyUnit</f>
        <v>2.9277296800000001</v>
      </c>
      <c r="Q60" s="108"/>
      <c r="R60" s="19"/>
      <c r="S60" s="108"/>
      <c r="T60" s="167" t="s">
        <v>242</v>
      </c>
      <c r="U60" s="361">
        <f ca="1">[1]!s_holder_num(D4,recentreportdate)</f>
        <v>529769</v>
      </c>
      <c r="V60" s="361"/>
      <c r="W60" s="24"/>
    </row>
    <row r="61" spans="2:23" ht="16.5">
      <c r="B61" s="24"/>
      <c r="C61" s="331" t="str">
        <f ca="1">[1]!s_holder_LIQname($D$4,F$54,6)</f>
        <v>中国人寿保险股份有限公司-传统-普通保险产品-005L-CT001沪</v>
      </c>
      <c r="D61" s="124"/>
      <c r="E61" s="124"/>
      <c r="F61" s="172">
        <f ca="1">[1]!s_holder_LIQquantity($D$4,F$54,6)/CurrencyUnit</f>
        <v>2.5067499099999999</v>
      </c>
      <c r="G61" s="173">
        <f t="shared" ca="1" si="1"/>
        <v>9.4275105989273574E-3</v>
      </c>
      <c r="H61" s="349">
        <f t="shared" ca="1" si="2"/>
        <v>2.5067499099999999</v>
      </c>
      <c r="I61" s="349"/>
      <c r="J61" s="108"/>
      <c r="K61" s="108"/>
      <c r="L61" s="108"/>
      <c r="M61" s="331" t="str">
        <f ca="1">[1]!s_holder_LIQname($D$4,P$54,6)</f>
        <v>中国建设银行股份有限公司-易方达沪深300交易型开放式指数发起式证券投资基金</v>
      </c>
      <c r="N61" s="124"/>
      <c r="O61" s="124"/>
      <c r="P61" s="177">
        <f ca="1">[1]!s_holder_LIQquantity($D$4,P$54,6)/CurrencyUnit</f>
        <v>2.0919035799999999</v>
      </c>
      <c r="Q61" s="108"/>
      <c r="R61" s="19"/>
      <c r="S61" s="108"/>
      <c r="T61" s="168" t="s">
        <v>253</v>
      </c>
      <c r="U61" s="360">
        <f ca="1">[1]!S_HOLDER_AVGNUM(D4,recentreportdate,2)</f>
        <v>50168.231700986653</v>
      </c>
      <c r="V61" s="360"/>
      <c r="W61" s="24"/>
    </row>
    <row r="62" spans="2:23" ht="16.5">
      <c r="B62" s="24"/>
      <c r="C62" s="212" t="str">
        <f ca="1">[1]!s_holder_LIQname($D$4,F$54,7)</f>
        <v>中国建设银行股份有限公司-易方达沪深300交易型开放式指数发起式证券投资基金</v>
      </c>
      <c r="D62" s="153"/>
      <c r="E62" s="153"/>
      <c r="F62" s="170">
        <f ca="1">[1]!s_holder_LIQquantity($D$4,F$54,7)/CurrencyUnit</f>
        <v>2.0271065799999999</v>
      </c>
      <c r="G62" s="171">
        <f t="shared" ca="1" si="1"/>
        <v>7.6236439430471094E-3</v>
      </c>
      <c r="H62" s="350">
        <f t="shared" ca="1" si="2"/>
        <v>-6.4796999999999993E-2</v>
      </c>
      <c r="I62" s="350"/>
      <c r="J62" s="108"/>
      <c r="K62" s="108"/>
      <c r="L62" s="108"/>
      <c r="M62" s="212" t="str">
        <f ca="1">[1]!s_holder_LIQname($D$4,P$54,7)</f>
        <v>上海高毅资产管理合伙企业(有限合伙)-高毅晓峰2号致信基金</v>
      </c>
      <c r="N62" s="153"/>
      <c r="O62" s="153"/>
      <c r="P62" s="176">
        <f ca="1">[1]!s_holder_LIQquantity($D$4,P$54,7)/CurrencyUnit</f>
        <v>1.9867258999999999</v>
      </c>
      <c r="Q62" s="108"/>
      <c r="R62" s="19"/>
      <c r="S62" s="108"/>
      <c r="T62" s="167" t="s">
        <v>243</v>
      </c>
      <c r="U62" s="361">
        <f ca="1">comparlastrep</f>
        <v>-29012.049298480066</v>
      </c>
      <c r="V62" s="361"/>
      <c r="W62" s="24"/>
    </row>
    <row r="63" spans="2:23" ht="16.5">
      <c r="B63" s="24"/>
      <c r="C63" s="331" t="str">
        <f ca="1">[1]!s_holder_LIQname($D$4,F$54,8)</f>
        <v>上海高毅资产管理合伙企业(有限合伙)-高毅晓峰2号致信基金</v>
      </c>
      <c r="D63" s="124"/>
      <c r="E63" s="124"/>
      <c r="F63" s="172">
        <f ca="1">[1]!s_holder_LIQquantity($D$4,F$54,8)/CurrencyUnit</f>
        <v>1.800726</v>
      </c>
      <c r="G63" s="173">
        <f t="shared" ca="1" si="1"/>
        <v>6.772260520701112E-3</v>
      </c>
      <c r="H63" s="349">
        <f t="shared" ca="1" si="2"/>
        <v>-0.18599989999999988</v>
      </c>
      <c r="I63" s="349"/>
      <c r="J63" s="108"/>
      <c r="K63" s="108"/>
      <c r="L63" s="108"/>
      <c r="M63" s="331" t="str">
        <f ca="1">[1]!s_holder_LIQname($D$4,P$54,8)</f>
        <v>阿布达比投资局</v>
      </c>
      <c r="N63" s="124"/>
      <c r="O63" s="124"/>
      <c r="P63" s="177">
        <f ca="1">[1]!s_holder_LIQquantity($D$4,P$54,8)/CurrencyUnit</f>
        <v>1.7346423900000001</v>
      </c>
      <c r="Q63" s="108"/>
      <c r="R63" s="19"/>
      <c r="S63" s="108"/>
      <c r="T63" s="24"/>
      <c r="U63" s="24"/>
      <c r="V63" s="24"/>
      <c r="W63" s="24"/>
    </row>
    <row r="64" spans="2:23" ht="16.5">
      <c r="B64" s="24"/>
      <c r="C64" s="212" t="str">
        <f ca="1">[1]!s_holder_LIQname($D$4,F$54,9)</f>
        <v>国新投资有限公司</v>
      </c>
      <c r="D64" s="153"/>
      <c r="E64" s="153"/>
      <c r="F64" s="170">
        <f ca="1">[1]!s_holder_LIQquantity($D$4,F$54,9)/CurrencyUnit</f>
        <v>1.7680681899999999</v>
      </c>
      <c r="G64" s="171">
        <f t="shared" ca="1" si="1"/>
        <v>6.6494393933582739E-3</v>
      </c>
      <c r="H64" s="350">
        <f t="shared" ca="1" si="2"/>
        <v>1.7680681899999999</v>
      </c>
      <c r="I64" s="350"/>
      <c r="J64" s="108"/>
      <c r="K64" s="108"/>
      <c r="L64" s="108"/>
      <c r="M64" s="212" t="str">
        <f ca="1">[1]!s_holder_LIQname($D$4,P$54,9)</f>
        <v>中国对外经济贸易信托有限公司-外贸信托-高毅晓峰鸿远集合资金信托计划</v>
      </c>
      <c r="N64" s="153"/>
      <c r="O64" s="153"/>
      <c r="P64" s="176">
        <f ca="1">[1]!s_holder_LIQquantity($D$4,P$54,9)/CurrencyUnit</f>
        <v>1.67678902</v>
      </c>
      <c r="Q64" s="108"/>
      <c r="R64" s="19"/>
      <c r="S64" s="108"/>
      <c r="T64" s="24"/>
      <c r="U64" s="24"/>
      <c r="V64" s="24"/>
      <c r="W64" s="24"/>
    </row>
    <row r="65" spans="2:23" ht="16.5">
      <c r="B65" s="24"/>
      <c r="C65" s="220">
        <f ca="1">[1]!s_holder_LIQname($D$4,F$54,10)</f>
        <v>0</v>
      </c>
      <c r="D65" s="124"/>
      <c r="E65" s="124"/>
      <c r="F65" s="172">
        <f ca="1">[1]!s_holder_LIQquantity($D$4,F$54,10)/CurrencyUnit</f>
        <v>0</v>
      </c>
      <c r="G65" s="173">
        <f t="shared" ca="1" si="1"/>
        <v>0</v>
      </c>
      <c r="H65" s="349">
        <f t="shared" ca="1" si="2"/>
        <v>0</v>
      </c>
      <c r="I65" s="349"/>
      <c r="J65" s="108"/>
      <c r="K65" s="108"/>
      <c r="L65" s="108"/>
      <c r="M65" s="220">
        <f ca="1">[1]!s_holder_LIQname($D$4,P$54,10)</f>
        <v>0</v>
      </c>
      <c r="N65" s="124"/>
      <c r="O65" s="124"/>
      <c r="P65" s="177">
        <f ca="1">[1]!s_holder_LIQquantity($D$4,P$54,10)/CurrencyUnit</f>
        <v>0</v>
      </c>
      <c r="Q65" s="108"/>
      <c r="R65" s="19"/>
      <c r="S65" s="108"/>
      <c r="T65" s="24"/>
      <c r="U65" s="24"/>
      <c r="V65" s="24"/>
      <c r="W65" s="24"/>
    </row>
    <row r="66" spans="2:23" ht="16.5">
      <c r="B66" s="24"/>
      <c r="C66" s="161" t="s">
        <v>224</v>
      </c>
      <c r="D66" s="159"/>
      <c r="E66" s="159"/>
      <c r="F66" s="174">
        <f ca="1">SUM(F56:F65)</f>
        <v>95.338168279999991</v>
      </c>
      <c r="G66" s="175">
        <f ca="1">SUM(G56:G65)</f>
        <v>0.35855255777869766</v>
      </c>
      <c r="H66" s="351">
        <f t="shared" ca="1" si="2"/>
        <v>-1.9459904400000028</v>
      </c>
      <c r="I66" s="351"/>
      <c r="J66" s="108"/>
      <c r="K66" s="108"/>
      <c r="L66" s="108"/>
      <c r="M66" s="128" t="s">
        <v>221</v>
      </c>
      <c r="N66" s="128"/>
      <c r="O66" s="128"/>
      <c r="P66" s="133">
        <f ca="1">SUM(P56:P65)</f>
        <v>97.284158719999994</v>
      </c>
      <c r="Q66" s="113"/>
      <c r="R66" s="20"/>
      <c r="S66" s="113"/>
      <c r="T66" s="24"/>
      <c r="U66" s="24"/>
      <c r="V66" s="24"/>
      <c r="W66" s="24"/>
    </row>
    <row r="67" spans="2:23">
      <c r="B67" s="24"/>
      <c r="C67" s="24"/>
      <c r="D67" s="24"/>
      <c r="E67" s="109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S67" s="24"/>
      <c r="T67" s="24"/>
      <c r="U67" s="24"/>
      <c r="V67" s="24"/>
      <c r="W67" s="24"/>
    </row>
    <row r="68" spans="2:23" ht="8.25" customHeight="1">
      <c r="E68" s="16"/>
    </row>
    <row r="69" spans="2:23" ht="18" customHeight="1" thickBot="1">
      <c r="B69" s="143"/>
      <c r="C69" s="95" t="s">
        <v>233</v>
      </c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3"/>
    </row>
    <row r="70" spans="2:23" ht="8.25" customHeight="1">
      <c r="B70" s="24"/>
      <c r="C70" s="39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24"/>
    </row>
    <row r="71" spans="2:23" ht="16.5">
      <c r="B71" s="24"/>
      <c r="C71" s="85" t="s">
        <v>234</v>
      </c>
      <c r="D71" s="178">
        <f t="shared" ref="D71" ca="1" si="3">--IF(MONTH(E71)=6,YEAR(E71)&amp;"-03-31",IF(MONTH(E71)=9,YEAR(E71)&amp;"-06-30",IF(MONTH(E71)=12,YEAR(E71)&amp;"-09-30",YEAR(E71)-1&amp;"-12-31")))</f>
        <v>45565</v>
      </c>
      <c r="E71" s="178">
        <f ca="1">--IF(MONTH(F71)=6,YEAR(F71)&amp;"-03-31",IF(MONTH(F71)=9,YEAR(F71)&amp;"-06-30",IF(MONTH(F71)=12,YEAR(F71)&amp;"-09-30",YEAR(F71)-1&amp;"-12-31")))</f>
        <v>45657</v>
      </c>
      <c r="F71" s="178">
        <f ca="1">--IF(MONTH(G71)=6,YEAR(G71)&amp;"-03-31",IF(MONTH(G71)=9,YEAR(G71)&amp;"-06-30",IF(MONTH(G71)=12,YEAR(G71)&amp;"-09-30",YEAR(G71)-1&amp;"-12-31")))</f>
        <v>45747</v>
      </c>
      <c r="G71" s="179">
        <f ca="1">--IF(MONTH(H71)=6,YEAR(H71)&amp;"-03-31",IF(MONTH(H71)=9,YEAR(H71)&amp;"-06-30",IF(MONTH(H71)=12,YEAR(H71)&amp;"-09-30",YEAR(H71)-1&amp;"-12-31")))</f>
        <v>45838</v>
      </c>
      <c r="H71" s="180" t="str">
        <f ca="1">recentreportdate</f>
        <v>2025-09-30</v>
      </c>
      <c r="I71" s="112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2:23" ht="16.5">
      <c r="B72" s="24"/>
      <c r="C72" s="153" t="s">
        <v>246</v>
      </c>
      <c r="D72" s="181">
        <f ca="1">[1]!s_holder_totalbyfund(公司分析!$D$4,D71)/CurrencyUnit</f>
        <v>33.697740099999997</v>
      </c>
      <c r="E72" s="181">
        <f ca="1">[1]!s_holder_totalbyfund(公司分析!$D$4,E71)/CurrencyUnit</f>
        <v>33.584018180000001</v>
      </c>
      <c r="F72" s="181">
        <f ca="1">[1]!s_holder_totalbyfund(公司分析!$D$4,F71)/CurrencyUnit</f>
        <v>30.807804910000002</v>
      </c>
      <c r="G72" s="181">
        <f ca="1">[1]!s_holder_totalbyfund(公司分析!$D$4,G71)/CurrencyUnit</f>
        <v>33.85740612</v>
      </c>
      <c r="H72" s="181">
        <f ca="1">[1]!s_holder_totalbyfund(公司分析!$D$4,H71)/CurrencyUnit</f>
        <v>29.980868789999999</v>
      </c>
      <c r="I72" s="108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2:23" ht="15" customHeight="1">
      <c r="B73" s="24"/>
      <c r="C73" s="124" t="s">
        <v>73</v>
      </c>
      <c r="D73" s="182">
        <f ca="1">[1]!s_holder_totalbyqfii(公司分析!$D$4,D71)/CurrencyUnit</f>
        <v>1.4299545499999999</v>
      </c>
      <c r="E73" s="182">
        <f ca="1">[1]!s_holder_totalbyqfii(公司分析!$D$4,E71)/CurrencyUnit</f>
        <v>1.8143310500000001</v>
      </c>
      <c r="F73" s="182">
        <f ca="1">[1]!s_holder_totalbyqfii(公司分析!$D$4,F71)/CurrencyUnit</f>
        <v>1.6312583899999999</v>
      </c>
      <c r="G73" s="182">
        <f ca="1">[1]!s_holder_totalbyqfii(公司分析!$D$4,G71)/CurrencyUnit</f>
        <v>1.7346423900000001</v>
      </c>
      <c r="H73" s="182">
        <f ca="1">[1]!s_holder_totalbyqfii(公司分析!$D$4,H71)/CurrencyUnit</f>
        <v>0</v>
      </c>
      <c r="I73" s="108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2:23" ht="16.5">
      <c r="B74" s="24"/>
      <c r="C74" s="153" t="s">
        <v>247</v>
      </c>
      <c r="D74" s="181">
        <f ca="1">[1]!s_holder_totalbyinsur(公司分析!$D$4,D71)/CurrencyUnit</f>
        <v>0</v>
      </c>
      <c r="E74" s="181">
        <f ca="1">[1]!s_holder_totalbyinsur(公司分析!$D$4,E71)/CurrencyUnit</f>
        <v>0</v>
      </c>
      <c r="F74" s="181">
        <f ca="1">[1]!s_holder_totalbyinsur(公司分析!$D$4,F71)/CurrencyUnit</f>
        <v>0</v>
      </c>
      <c r="G74" s="181">
        <f ca="1">[1]!s_holder_totalbyinsur(公司分析!$D$4,G71)/CurrencyUnit</f>
        <v>0</v>
      </c>
      <c r="H74" s="181">
        <f ca="1">[1]!s_holder_totalbyinsur(公司分析!$D$4,H71)/CurrencyUnit</f>
        <v>2.5067499099999999</v>
      </c>
      <c r="I74" s="108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2:23" ht="16.5">
      <c r="B75" s="24"/>
      <c r="C75" s="124" t="s">
        <v>248</v>
      </c>
      <c r="D75" s="182">
        <f ca="1">[1]!s_holder_totalbyssfund(公司分析!$D$4,D71)/CurrencyUnit</f>
        <v>0</v>
      </c>
      <c r="E75" s="182">
        <f ca="1">[1]!s_holder_totalbyssfund(公司分析!$D$4,E71)/CurrencyUnit</f>
        <v>0</v>
      </c>
      <c r="F75" s="182">
        <f ca="1">[1]!s_holder_totalbyssfund(公司分析!$D$4,F71)/CurrencyUnit</f>
        <v>0</v>
      </c>
      <c r="G75" s="182">
        <f ca="1">[1]!s_holder_totalbyssfund(公司分析!$D$4,G71)/CurrencyUnit</f>
        <v>0</v>
      </c>
      <c r="H75" s="182">
        <f ca="1">[1]!s_holder_totalbyssfund(公司分析!$D$4,H71)/CurrencyUnit</f>
        <v>0</v>
      </c>
      <c r="I75" s="108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2:23" ht="16.5">
      <c r="B76" s="24"/>
      <c r="C76" s="153" t="s">
        <v>249</v>
      </c>
      <c r="D76" s="181">
        <f ca="1">[1]!s_holder_totalbybywmp(公司分析!$D$4,D71)/CurrencyUnit</f>
        <v>0.21618092999999999</v>
      </c>
      <c r="E76" s="181">
        <f ca="1">[1]!s_holder_totalbybywmp(公司分析!$D$4,E71)/CurrencyUnit</f>
        <v>0.13876880999999999</v>
      </c>
      <c r="F76" s="181">
        <f ca="1">[1]!s_holder_totalbybywmp(公司分析!$D$4,F71)/CurrencyUnit</f>
        <v>0.14035429999999999</v>
      </c>
      <c r="G76" s="181">
        <f ca="1">[1]!s_holder_totalbybywmp(公司分析!$D$4,G71)/CurrencyUnit</f>
        <v>0.17514566000000001</v>
      </c>
      <c r="H76" s="181">
        <f ca="1">[1]!s_holder_totalbybywmp(公司分析!$D$4,H71)/CurrencyUnit</f>
        <v>0.25160262</v>
      </c>
      <c r="I76" s="108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2:23" ht="16.5">
      <c r="B77" s="24"/>
      <c r="C77" s="124" t="s">
        <v>245</v>
      </c>
      <c r="D77" s="182">
        <f ca="1">D78-D72-D73-D74-D75-D76</f>
        <v>88.401686110000014</v>
      </c>
      <c r="E77" s="182">
        <f ca="1">E78-E72-E73-E74-E75-E76</f>
        <v>85.318989729999984</v>
      </c>
      <c r="F77" s="182">
        <f ca="1">F78-F72-F73-F74-F75-F76</f>
        <v>84.950527930000007</v>
      </c>
      <c r="G77" s="182">
        <f ca="1">G78-G72-G73-G74-G75-G76</f>
        <v>87.300936199999995</v>
      </c>
      <c r="H77" s="182">
        <f ca="1">H78-H72-H73-H74-H75-H76</f>
        <v>84.852224899999996</v>
      </c>
      <c r="I77" s="108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2:23" ht="18" customHeight="1">
      <c r="B78" s="24"/>
      <c r="C78" s="153" t="s">
        <v>244</v>
      </c>
      <c r="D78" s="181">
        <f ca="1">[1]!s_holder_totalbyinst(公司分析!$D$4,D71)/CurrencyUnit</f>
        <v>123.74556169</v>
      </c>
      <c r="E78" s="181">
        <f ca="1">[1]!s_holder_totalbyinst(公司分析!$D$4,E71)/CurrencyUnit</f>
        <v>120.85610776999999</v>
      </c>
      <c r="F78" s="181">
        <f ca="1">[1]!s_holder_totalbyinst(公司分析!$D$4,F71)/CurrencyUnit</f>
        <v>117.52994553000001</v>
      </c>
      <c r="G78" s="181">
        <f ca="1">[1]!s_holder_totalbyinst(公司分析!$D$4,G71)/CurrencyUnit</f>
        <v>123.06813037000001</v>
      </c>
      <c r="H78" s="181">
        <f ca="1">[1]!s_holder_totalbyinst(公司分析!$D$4,H71)/CurrencyUnit</f>
        <v>117.59144621999999</v>
      </c>
      <c r="I78" s="109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2:23" ht="15" customHeight="1">
      <c r="B79" s="24"/>
      <c r="C79" s="124" t="s">
        <v>254</v>
      </c>
      <c r="D79" s="183">
        <f ca="1">[1]!S_SHARE_LIQA(公司分析!$D$4,D71)/CurrencyUnit</f>
        <v>205.56293036</v>
      </c>
      <c r="E79" s="183">
        <f ca="1">[1]!S_SHARE_LIQA(公司分析!$D$4,E71)/CurrencyUnit</f>
        <v>205.57035536000001</v>
      </c>
      <c r="F79" s="183">
        <f ca="1">[1]!S_SHARE_LIQA(公司分析!$D$4,F71)/CurrencyUnit</f>
        <v>205.87938339999999</v>
      </c>
      <c r="G79" s="183">
        <f ca="1">[1]!S_SHARE_LIQA(公司分析!$D$4,G71)/CurrencyUnit</f>
        <v>205.87938339999999</v>
      </c>
      <c r="H79" s="183">
        <f ca="1">[1]!S_SHARE_LIQA(公司分析!$D$4,H71)/CurrencyUnit</f>
        <v>205.87938339999999</v>
      </c>
      <c r="I79" s="108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2:23" ht="16.5" customHeight="1">
      <c r="B80" s="24"/>
      <c r="C80" s="55"/>
      <c r="D80" s="109"/>
      <c r="E80" s="109"/>
      <c r="F80" s="109"/>
      <c r="G80" s="109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2:23" ht="6.75" customHeight="1"/>
    <row r="82" spans="2:23" ht="15" customHeight="1" thickBot="1">
      <c r="B82" s="24"/>
      <c r="C82" s="95" t="s">
        <v>250</v>
      </c>
      <c r="D82" s="95"/>
      <c r="E82" s="95"/>
      <c r="F82" s="95"/>
      <c r="G82" s="95"/>
      <c r="H82" s="257" t="s">
        <v>465</v>
      </c>
      <c r="I82" s="9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</row>
    <row r="83" spans="2:23" ht="15" customHeight="1">
      <c r="B83" s="24"/>
      <c r="C83" s="39"/>
      <c r="D83" s="39"/>
      <c r="E83" s="39"/>
      <c r="F83" s="39"/>
      <c r="G83" s="39"/>
      <c r="H83" s="147"/>
      <c r="I83" s="147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</row>
    <row r="84" spans="2:23" ht="16.5">
      <c r="B84" s="24"/>
      <c r="C84" s="85" t="s">
        <v>167</v>
      </c>
      <c r="D84" s="178" t="str">
        <f ca="1">IF($H$82="年度",YEAR(E84)-1&amp;"/12/31",IF(MONTH(E84)=6,YEAR(E84)-1&amp;"/12/31",YEAR(E84)&amp;"/6/30"))</f>
        <v>2021/12/31</v>
      </c>
      <c r="E84" s="178" t="str">
        <f ca="1">IF($H$82="年度",YEAR(F84)-1&amp;"/12/31",IF(MONTH(F84)=6,YEAR(F84)-1&amp;"/12-31",YEAR(F84)&amp;"/6/30"))</f>
        <v>2022/12/31</v>
      </c>
      <c r="F84" s="178" t="str">
        <f ca="1">IF($H$82="年度",YEAR(G84)-1&amp;"/12/31",IF(MONTH(G84)=6,YEAR(G84)-1&amp;"/12/31",YEAR(G84)&amp;"/6/30"))</f>
        <v>2023/12/31</v>
      </c>
      <c r="G84" s="179" t="str">
        <f ca="1">IF($H$82="年度",YEAR(H84)-1&amp;"/12/31",IF(MONTH(H84)=6,YEAR(H84)-1&amp;"/12/31",YEAR(H84)&amp;"/6/30"))</f>
        <v>2024/12/31</v>
      </c>
      <c r="H84" s="180" t="str">
        <f ca="1">IF(H82="年度",YEAR(TODAY())-1&amp;"/12/31",IF(MONTH(TODAY())&lt;9,YEAR(TODAY())-1&amp;"/12/31",YEAR(TODAY())&amp;"/06/30"))</f>
        <v>2025/12/31</v>
      </c>
      <c r="I84" s="106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2:23" ht="16.5">
      <c r="B85" s="24"/>
      <c r="C85" s="153" t="s">
        <v>251</v>
      </c>
      <c r="D85" s="181">
        <f ca="1">[1]!S_STM07_IS($D$4,9,D84,1)/CurrencyUnit</f>
        <v>2251.0248859200001</v>
      </c>
      <c r="E85" s="181">
        <f ca="1">[1]!S_STM07_IS($D$4,9,E84,1)/CurrencyUnit</f>
        <v>2703.2899845900001</v>
      </c>
      <c r="F85" s="181">
        <f ca="1">[1]!S_STM07_IS($D$4,9,F84,1)/CurrencyUnit</f>
        <v>2934.0324287799999</v>
      </c>
      <c r="G85" s="181">
        <f ca="1">[1]!S_STM07_IS($D$4,9,G84,1)/CurrencyUnit</f>
        <v>3036.3995715299998</v>
      </c>
      <c r="H85" s="181">
        <f ca="1">[1]!S_STM07_IS($D$4,9,H84,1)/CurrencyUnit</f>
        <v>0</v>
      </c>
      <c r="I85" s="113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2:23" ht="16.5">
      <c r="B86" s="24"/>
      <c r="C86" s="124" t="str">
        <f>主营构成!C19</f>
        <v>收入[按产品分类]</v>
      </c>
      <c r="D86" s="182">
        <f ca="1">SUM(D88:D92)</f>
        <v>0</v>
      </c>
      <c r="E86" s="182">
        <f t="shared" ref="E86:H86" ca="1" si="4">SUM(E88:E92)</f>
        <v>0</v>
      </c>
      <c r="F86" s="182">
        <f t="shared" ca="1" si="4"/>
        <v>0</v>
      </c>
      <c r="G86" s="182">
        <f t="shared" ca="1" si="4"/>
        <v>0</v>
      </c>
      <c r="H86" s="182">
        <f t="shared" ca="1" si="4"/>
        <v>0</v>
      </c>
      <c r="I86" s="113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2:23" ht="16.5">
      <c r="B87" s="24"/>
      <c r="C87" s="153" t="s">
        <v>162</v>
      </c>
      <c r="D87" s="181">
        <f ca="1">D85-D86</f>
        <v>2251.0248859200001</v>
      </c>
      <c r="E87" s="181">
        <f t="shared" ref="E87:H87" ca="1" si="5">E85-E86</f>
        <v>2703.2899845900001</v>
      </c>
      <c r="F87" s="181">
        <f t="shared" ca="1" si="5"/>
        <v>2934.0324287799999</v>
      </c>
      <c r="G87" s="181">
        <f t="shared" ca="1" si="5"/>
        <v>3036.3995715299998</v>
      </c>
      <c r="H87" s="181">
        <f t="shared" ca="1" si="5"/>
        <v>0</v>
      </c>
      <c r="I87" s="113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 spans="2:23" ht="16.5">
      <c r="B88" s="24"/>
      <c r="C88" s="124" t="str">
        <f ca="1">IF(主营构成!C20=0,"",主营构成!C20)</f>
        <v/>
      </c>
      <c r="D88" s="182">
        <f ca="1">IF(ISNA(主营构成!J20),"",主营构成!J20)</f>
        <v>0</v>
      </c>
      <c r="E88" s="182">
        <f ca="1">IF(ISNA(主营构成!K20),"",主营构成!K20)</f>
        <v>0</v>
      </c>
      <c r="F88" s="182">
        <f ca="1">IF(ISNA(主营构成!L20),"",主营构成!L20)</f>
        <v>0</v>
      </c>
      <c r="G88" s="182">
        <f ca="1">IF(ISNA(主营构成!M20),"",主营构成!M20)</f>
        <v>0</v>
      </c>
      <c r="H88" s="182">
        <f ca="1">IF(ISNA(主营构成!N20),"",主营构成!N20)</f>
        <v>0</v>
      </c>
      <c r="I88" s="113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 spans="2:23" ht="16.5">
      <c r="B89" s="24"/>
      <c r="C89" s="153" t="str">
        <f ca="1">IF(主营构成!C21=0,"",主营构成!C21)</f>
        <v/>
      </c>
      <c r="D89" s="181">
        <f ca="1">IF(ISNA(主营构成!J21),"",主营构成!J21)</f>
        <v>0</v>
      </c>
      <c r="E89" s="181">
        <f ca="1">IF(ISNA(主营构成!K21),"",主营构成!K21)</f>
        <v>0</v>
      </c>
      <c r="F89" s="181">
        <f ca="1">IF(ISNA(主营构成!L21),"",主营构成!L21)</f>
        <v>0</v>
      </c>
      <c r="G89" s="181">
        <f ca="1">IF(ISNA(主营构成!M21),"",主营构成!M21)</f>
        <v>0</v>
      </c>
      <c r="H89" s="181">
        <f ca="1">IF(ISNA(主营构成!N21),"",主营构成!N21)</f>
        <v>0</v>
      </c>
      <c r="I89" s="113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 spans="2:23" ht="16.5">
      <c r="B90" s="24"/>
      <c r="C90" s="124" t="str">
        <f ca="1">IF(主营构成!C22=0,"",主营构成!C22)</f>
        <v/>
      </c>
      <c r="D90" s="182">
        <f ca="1">IF(ISNA(主营构成!J22),"",主营构成!J22)</f>
        <v>0</v>
      </c>
      <c r="E90" s="182">
        <f ca="1">IF(ISNA(主营构成!K22),"",主营构成!K22)</f>
        <v>0</v>
      </c>
      <c r="F90" s="182">
        <f ca="1">IF(ISNA(主营构成!L22),"",主营构成!L22)</f>
        <v>0</v>
      </c>
      <c r="G90" s="182">
        <f ca="1">IF(ISNA(主营构成!M22),"",主营构成!M22)</f>
        <v>0</v>
      </c>
      <c r="H90" s="182">
        <f ca="1">IF(ISNA(主营构成!N22),"",主营构成!N22)</f>
        <v>0</v>
      </c>
      <c r="I90" s="113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 spans="2:23" ht="16.5">
      <c r="B91" s="24"/>
      <c r="C91" s="153" t="str">
        <f ca="1">IF(主营构成!C23=0,"",主营构成!C23)</f>
        <v/>
      </c>
      <c r="D91" s="181">
        <f ca="1">IF(ISNA(主营构成!J23),"",主营构成!J23)</f>
        <v>0</v>
      </c>
      <c r="E91" s="181">
        <f ca="1">IF(ISNA(主营构成!K23),"",主营构成!K23)</f>
        <v>0</v>
      </c>
      <c r="F91" s="181">
        <f ca="1">IF(ISNA(主营构成!L23),"",主营构成!L23)</f>
        <v>0</v>
      </c>
      <c r="G91" s="181">
        <f ca="1">IF(ISNA(主营构成!M23),"",主营构成!M23)</f>
        <v>0</v>
      </c>
      <c r="H91" s="181">
        <f ca="1">IF(ISNA(主营构成!N23),"",主营构成!N23)</f>
        <v>0</v>
      </c>
      <c r="I91" s="113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 spans="2:23" ht="16.5">
      <c r="B92" s="24"/>
      <c r="C92" s="124" t="str">
        <f ca="1">IF(主营构成!C24=0,"",主营构成!C24)</f>
        <v/>
      </c>
      <c r="D92" s="182">
        <f ca="1">IF(ISNA(主营构成!J24),"",主营构成!J24)</f>
        <v>0</v>
      </c>
      <c r="E92" s="182">
        <f ca="1">IF(ISNA(主营构成!K24),"",主营构成!K24)</f>
        <v>0</v>
      </c>
      <c r="F92" s="182">
        <f ca="1">IF(ISNA(主营构成!L24),"",主营构成!L24)</f>
        <v>0</v>
      </c>
      <c r="G92" s="182">
        <f ca="1">IF(ISNA(主营构成!M24),"",主营构成!M24)</f>
        <v>0</v>
      </c>
      <c r="H92" s="182">
        <f ca="1">IF(ISNA(主营构成!N24),"",主营构成!N24)</f>
        <v>0</v>
      </c>
      <c r="I92" s="11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 spans="2:23" ht="18.75" customHeight="1">
      <c r="B93" s="24"/>
      <c r="C93" s="85" t="str">
        <f t="shared" ref="C93:H93" si="6">C84</f>
        <v>按行业分类</v>
      </c>
      <c r="D93" s="178" t="str">
        <f t="shared" ca="1" si="6"/>
        <v>2021/12/31</v>
      </c>
      <c r="E93" s="178" t="str">
        <f t="shared" ca="1" si="6"/>
        <v>2022/12/31</v>
      </c>
      <c r="F93" s="178" t="str">
        <f t="shared" ca="1" si="6"/>
        <v>2023/12/31</v>
      </c>
      <c r="G93" s="179" t="str">
        <f t="shared" ca="1" si="6"/>
        <v>2024/12/31</v>
      </c>
      <c r="H93" s="180" t="str">
        <f t="shared" ca="1" si="6"/>
        <v>2025/12/31</v>
      </c>
      <c r="I93" s="106"/>
      <c r="J93" s="24"/>
      <c r="K93" s="24"/>
      <c r="L93" s="24"/>
      <c r="M93" s="24"/>
      <c r="N93" s="108"/>
      <c r="O93" s="108"/>
      <c r="P93" s="108"/>
      <c r="Q93" s="108"/>
      <c r="R93" s="108"/>
      <c r="S93" s="108"/>
      <c r="T93" s="108"/>
      <c r="U93" s="108"/>
      <c r="V93" s="24"/>
      <c r="W93" s="24"/>
    </row>
    <row r="94" spans="2:23" ht="16.5">
      <c r="B94" s="24"/>
      <c r="C94" s="153" t="s">
        <v>164</v>
      </c>
      <c r="D94" s="181">
        <f ca="1">D85-[1]!S_STM07_IS($D$4,10,D84,1)/CurrencyUnit</f>
        <v>347.51367037</v>
      </c>
      <c r="E94" s="181">
        <f ca="1">E85-[1]!S_STM07_IS($D$4,10,E84,1)/CurrencyUnit</f>
        <v>425.44715881999991</v>
      </c>
      <c r="F94" s="181">
        <f ca="1">F85-[1]!S_STM07_IS($D$4,10,F84,1)/CurrencyUnit</f>
        <v>463.79176358999985</v>
      </c>
      <c r="G94" s="181">
        <f ca="1">G85-[1]!S_STM07_IS($D$4,10,G84,1)/CurrencyUnit</f>
        <v>618.63788215999966</v>
      </c>
      <c r="H94" s="181">
        <f ca="1">H85-[1]!S_STM07_IS($D$4,10,H84,1)/CurrencyUnit</f>
        <v>0</v>
      </c>
      <c r="I94" s="113"/>
      <c r="J94" s="24"/>
      <c r="K94" s="24"/>
      <c r="L94" s="24"/>
      <c r="M94" s="24"/>
      <c r="N94" s="108"/>
      <c r="O94" s="108"/>
      <c r="P94" s="108"/>
      <c r="Q94" s="108"/>
      <c r="R94" s="108"/>
      <c r="S94" s="108"/>
      <c r="T94" s="108"/>
      <c r="U94" s="108"/>
      <c r="V94" s="24"/>
      <c r="W94" s="24"/>
    </row>
    <row r="95" spans="2:23" ht="16.5">
      <c r="B95" s="24"/>
      <c r="C95" s="124" t="str">
        <f>主营构成!C26</f>
        <v>利润[按产品分类]</v>
      </c>
      <c r="D95" s="182">
        <f ca="1">SUM(D97:D101)</f>
        <v>0</v>
      </c>
      <c r="E95" s="182">
        <f ca="1">SUM(E97:E101)</f>
        <v>0</v>
      </c>
      <c r="F95" s="182">
        <f ca="1">SUM(F97:F101)</f>
        <v>0</v>
      </c>
      <c r="G95" s="182">
        <f ca="1">SUM(G97:G101)</f>
        <v>0</v>
      </c>
      <c r="H95" s="182">
        <f ca="1">SUM(H97:H101)</f>
        <v>0</v>
      </c>
      <c r="I95" s="113"/>
      <c r="J95" s="24"/>
      <c r="K95" s="24"/>
      <c r="L95" s="24"/>
      <c r="M95" s="24"/>
      <c r="N95" s="108"/>
      <c r="O95" s="108"/>
      <c r="P95" s="108"/>
      <c r="Q95" s="108"/>
      <c r="R95" s="108"/>
      <c r="S95" s="108"/>
      <c r="T95" s="108"/>
      <c r="U95" s="108"/>
      <c r="V95" s="24"/>
      <c r="W95" s="24"/>
    </row>
    <row r="96" spans="2:23" ht="16.5">
      <c r="B96" s="24"/>
      <c r="C96" s="153" t="s">
        <v>162</v>
      </c>
      <c r="D96" s="181">
        <f ca="1">D94-D95</f>
        <v>347.51367037</v>
      </c>
      <c r="E96" s="181">
        <f t="shared" ref="E96:H96" ca="1" si="7">E94-E95</f>
        <v>425.44715881999991</v>
      </c>
      <c r="F96" s="181">
        <f t="shared" ca="1" si="7"/>
        <v>463.79176358999985</v>
      </c>
      <c r="G96" s="181">
        <f t="shared" ca="1" si="7"/>
        <v>618.63788215999966</v>
      </c>
      <c r="H96" s="181">
        <f t="shared" ca="1" si="7"/>
        <v>0</v>
      </c>
      <c r="I96" s="113"/>
      <c r="J96" s="24"/>
      <c r="K96" s="24"/>
      <c r="L96" s="24"/>
      <c r="M96" s="24"/>
      <c r="N96" s="108"/>
      <c r="O96" s="108"/>
      <c r="P96" s="108"/>
      <c r="Q96" s="108"/>
      <c r="R96" s="108"/>
      <c r="S96" s="108"/>
      <c r="T96" s="108"/>
      <c r="U96" s="108"/>
      <c r="V96" s="24"/>
      <c r="W96" s="24"/>
    </row>
    <row r="97" spans="2:23" ht="16.5">
      <c r="B97" s="24"/>
      <c r="C97" s="124" t="str">
        <f ca="1">C88</f>
        <v/>
      </c>
      <c r="D97" s="182">
        <f ca="1">IF(ISNA(主营构成!J27),"",主营构成!J27)</f>
        <v>0</v>
      </c>
      <c r="E97" s="182">
        <f ca="1">IF(ISNA(主营构成!K27),"",主营构成!K27)</f>
        <v>0</v>
      </c>
      <c r="F97" s="182">
        <f ca="1">IF(ISNA(主营构成!L27),"",主营构成!L27)</f>
        <v>0</v>
      </c>
      <c r="G97" s="182">
        <f ca="1">IF(ISNA(主营构成!M27),"",主营构成!M27)</f>
        <v>0</v>
      </c>
      <c r="H97" s="182">
        <f ca="1">IF(ISNA(主营构成!N27),"",主营构成!N27)</f>
        <v>0</v>
      </c>
      <c r="I97" s="113"/>
      <c r="J97" s="24"/>
      <c r="K97" s="24"/>
      <c r="L97" s="24"/>
      <c r="M97" s="24"/>
      <c r="N97" s="108"/>
      <c r="O97" s="108"/>
      <c r="P97" s="108"/>
      <c r="Q97" s="108"/>
      <c r="R97" s="108"/>
      <c r="S97" s="108"/>
      <c r="T97" s="108"/>
      <c r="U97" s="108"/>
      <c r="V97" s="24"/>
      <c r="W97" s="24"/>
    </row>
    <row r="98" spans="2:23" ht="16.5">
      <c r="B98" s="24"/>
      <c r="C98" s="153" t="str">
        <f ca="1">C89</f>
        <v/>
      </c>
      <c r="D98" s="181">
        <f ca="1">IF(ISNA(主营构成!J28),"",主营构成!J28)</f>
        <v>0</v>
      </c>
      <c r="E98" s="181">
        <f ca="1">IF(ISNA(主营构成!K28),"",主营构成!K28)</f>
        <v>0</v>
      </c>
      <c r="F98" s="181">
        <f ca="1">IF(ISNA(主营构成!L28),"",主营构成!L28)</f>
        <v>0</v>
      </c>
      <c r="G98" s="181">
        <f ca="1">IF(ISNA(主营构成!M28),"",主营构成!M28)</f>
        <v>0</v>
      </c>
      <c r="H98" s="181">
        <f ca="1">IF(ISNA(主营构成!N28),"",主营构成!N28)</f>
        <v>0</v>
      </c>
      <c r="I98" s="113"/>
      <c r="J98" s="24"/>
      <c r="K98" s="24"/>
      <c r="L98" s="24"/>
      <c r="M98" s="113"/>
      <c r="N98" s="108"/>
      <c r="O98" s="108"/>
      <c r="P98" s="108"/>
      <c r="Q98" s="108"/>
      <c r="R98" s="108"/>
      <c r="S98" s="108"/>
      <c r="T98" s="108"/>
      <c r="U98" s="108"/>
      <c r="V98" s="24"/>
      <c r="W98" s="24"/>
    </row>
    <row r="99" spans="2:23" ht="16.5">
      <c r="B99" s="24"/>
      <c r="C99" s="124" t="str">
        <f ca="1">C90</f>
        <v/>
      </c>
      <c r="D99" s="182">
        <f ca="1">IF(ISNA(主营构成!J29),"",主营构成!J29)</f>
        <v>0</v>
      </c>
      <c r="E99" s="182">
        <f ca="1">IF(ISNA(主营构成!K29),"",主营构成!K29)</f>
        <v>0</v>
      </c>
      <c r="F99" s="182">
        <f ca="1">IF(ISNA(主营构成!L29),"",主营构成!L29)</f>
        <v>0</v>
      </c>
      <c r="G99" s="182">
        <f ca="1">IF(ISNA(主营构成!M29),"",主营构成!M29)</f>
        <v>0</v>
      </c>
      <c r="H99" s="182">
        <f ca="1">IF(ISNA(主营构成!N29),"",主营构成!N29)</f>
        <v>0</v>
      </c>
      <c r="I99" s="113"/>
      <c r="J99" s="24"/>
      <c r="K99" s="24"/>
      <c r="L99" s="24"/>
      <c r="M99" s="24"/>
      <c r="N99" s="108"/>
      <c r="O99" s="108"/>
      <c r="P99" s="108"/>
      <c r="Q99" s="108"/>
      <c r="R99" s="108"/>
      <c r="S99" s="108"/>
      <c r="T99" s="108"/>
      <c r="U99" s="108"/>
      <c r="V99" s="24"/>
      <c r="W99" s="24"/>
    </row>
    <row r="100" spans="2:23" ht="15.75" customHeight="1">
      <c r="B100" s="24"/>
      <c r="C100" s="153" t="str">
        <f ca="1">C91</f>
        <v/>
      </c>
      <c r="D100" s="181">
        <f ca="1">IF(ISNA(主营构成!J30),"",主营构成!J30)</f>
        <v>0</v>
      </c>
      <c r="E100" s="181">
        <f ca="1">IF(ISNA(主营构成!K30),"",主营构成!K30)</f>
        <v>0</v>
      </c>
      <c r="F100" s="181">
        <f ca="1">IF(ISNA(主营构成!L30),"",主营构成!L30)</f>
        <v>0</v>
      </c>
      <c r="G100" s="181">
        <f ca="1">IF(ISNA(主营构成!M30),"",主营构成!M30)</f>
        <v>0</v>
      </c>
      <c r="H100" s="181">
        <f ca="1">IF(ISNA(主营构成!N30),"",主营构成!N30)</f>
        <v>0</v>
      </c>
      <c r="I100" s="113"/>
      <c r="J100" s="24"/>
      <c r="K100" s="24"/>
      <c r="L100" s="24"/>
      <c r="M100" s="24"/>
      <c r="N100" s="108"/>
      <c r="O100" s="108"/>
      <c r="P100" s="108"/>
      <c r="Q100" s="108"/>
      <c r="R100" s="108"/>
      <c r="S100" s="108"/>
      <c r="T100" s="108"/>
      <c r="U100" s="108"/>
      <c r="V100" s="24"/>
      <c r="W100" s="24"/>
    </row>
    <row r="101" spans="2:23" ht="15" customHeight="1">
      <c r="B101" s="24"/>
      <c r="C101" s="124" t="str">
        <f ca="1">C92</f>
        <v/>
      </c>
      <c r="D101" s="182">
        <f ca="1">IF(ISNA(主营构成!J31),"",主营构成!J31)</f>
        <v>0</v>
      </c>
      <c r="E101" s="182">
        <f ca="1">IF(ISNA(主营构成!K31),"",主营构成!K31)</f>
        <v>0</v>
      </c>
      <c r="F101" s="182">
        <f ca="1">IF(ISNA(主营构成!L31),"",主营构成!L31)</f>
        <v>0</v>
      </c>
      <c r="G101" s="182">
        <f ca="1">IF(ISNA(主营构成!M31),"",主营构成!M31)</f>
        <v>0</v>
      </c>
      <c r="H101" s="182">
        <f ca="1">IF(ISNA(主营构成!N31),"",主营构成!N31)</f>
        <v>0</v>
      </c>
      <c r="I101" s="114"/>
      <c r="J101" s="24"/>
      <c r="K101" s="24"/>
      <c r="L101" s="24"/>
      <c r="M101" s="24"/>
      <c r="N101" s="108"/>
      <c r="O101" s="108"/>
      <c r="P101" s="108"/>
      <c r="Q101" s="108"/>
      <c r="R101" s="108"/>
      <c r="S101" s="108"/>
      <c r="T101" s="108"/>
      <c r="U101" s="108"/>
      <c r="V101" s="24"/>
      <c r="W101" s="24"/>
    </row>
    <row r="102" spans="2:23" ht="16.5">
      <c r="B102" s="24"/>
      <c r="C102" s="85" t="str">
        <f>C84</f>
        <v>按行业分类</v>
      </c>
      <c r="D102" s="178" t="str">
        <f ca="1">D93</f>
        <v>2021/12/31</v>
      </c>
      <c r="E102" s="178" t="str">
        <f ca="1">E93</f>
        <v>2022/12/31</v>
      </c>
      <c r="F102" s="178" t="str">
        <f ca="1">F93</f>
        <v>2023/12/31</v>
      </c>
      <c r="G102" s="179" t="str">
        <f ca="1">G93</f>
        <v>2024/12/31</v>
      </c>
      <c r="H102" s="180" t="str">
        <f ca="1">H93</f>
        <v>2025/12/31</v>
      </c>
      <c r="I102" s="11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</row>
    <row r="103" spans="2:23" ht="16.5">
      <c r="B103" s="24"/>
      <c r="C103" s="153" t="s">
        <v>252</v>
      </c>
      <c r="D103" s="332">
        <f ca="1">IF(OR(D85="",D85=0),"",D94/D85)</f>
        <v>0.15438019923443458</v>
      </c>
      <c r="E103" s="332">
        <f t="shared" ref="D103:H110" ca="1" si="8">IF(OR(E85="",E85=0),"",E94/E85)</f>
        <v>0.15738125071496029</v>
      </c>
      <c r="F103" s="332">
        <f t="shared" ca="1" si="8"/>
        <v>0.15807315523872689</v>
      </c>
      <c r="G103" s="332">
        <f t="shared" ca="1" si="8"/>
        <v>0.2037406038258254</v>
      </c>
      <c r="H103" s="332" t="str">
        <f t="shared" ca="1" si="8"/>
        <v/>
      </c>
      <c r="I103" s="11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 spans="2:23" ht="16.5">
      <c r="B104" s="24"/>
      <c r="C104" s="122" t="s">
        <v>257</v>
      </c>
      <c r="D104" s="333" t="str">
        <f ca="1">IF(OR(D86="",D86=0),"",D95/D86)</f>
        <v/>
      </c>
      <c r="E104" s="333" t="str">
        <f t="shared" ca="1" si="8"/>
        <v/>
      </c>
      <c r="F104" s="333" t="str">
        <f t="shared" ca="1" si="8"/>
        <v/>
      </c>
      <c r="G104" s="333" t="str">
        <f t="shared" ca="1" si="8"/>
        <v/>
      </c>
      <c r="H104" s="333" t="str">
        <f t="shared" ca="1" si="8"/>
        <v/>
      </c>
      <c r="I104" s="106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 spans="2:23" ht="16.5">
      <c r="B105" s="24"/>
      <c r="C105" s="153" t="str">
        <f t="shared" ref="C105:C110" si="9">C87</f>
        <v>其他</v>
      </c>
      <c r="D105" s="332">
        <f ca="1">IF(OR(D87="",D87=0),"",D96/D87)</f>
        <v>0.15438019923443458</v>
      </c>
      <c r="E105" s="332">
        <f t="shared" ca="1" si="8"/>
        <v>0.15738125071496029</v>
      </c>
      <c r="F105" s="332">
        <f t="shared" ca="1" si="8"/>
        <v>0.15807315523872689</v>
      </c>
      <c r="G105" s="332">
        <f t="shared" ca="1" si="8"/>
        <v>0.2037406038258254</v>
      </c>
      <c r="H105" s="332" t="str">
        <f t="shared" ca="1" si="8"/>
        <v/>
      </c>
      <c r="I105" s="115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</row>
    <row r="106" spans="2:23" ht="16.5">
      <c r="B106" s="24"/>
      <c r="C106" s="124" t="str">
        <f t="shared" ca="1" si="9"/>
        <v/>
      </c>
      <c r="D106" s="333" t="str">
        <f ca="1">IF(OR(D88="",D88=0),"",D97/D88)</f>
        <v/>
      </c>
      <c r="E106" s="333" t="str">
        <f t="shared" ca="1" si="8"/>
        <v/>
      </c>
      <c r="F106" s="333" t="str">
        <f t="shared" ca="1" si="8"/>
        <v/>
      </c>
      <c r="G106" s="333" t="str">
        <f t="shared" ca="1" si="8"/>
        <v/>
      </c>
      <c r="H106" s="333" t="str">
        <f t="shared" ca="1" si="8"/>
        <v/>
      </c>
      <c r="I106" s="115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</row>
    <row r="107" spans="2:23" ht="16.5">
      <c r="B107" s="24"/>
      <c r="C107" s="153" t="str">
        <f t="shared" ca="1" si="9"/>
        <v/>
      </c>
      <c r="D107" s="332" t="str">
        <f t="shared" ca="1" si="8"/>
        <v/>
      </c>
      <c r="E107" s="332" t="str">
        <f t="shared" ca="1" si="8"/>
        <v/>
      </c>
      <c r="F107" s="332" t="str">
        <f t="shared" ca="1" si="8"/>
        <v/>
      </c>
      <c r="G107" s="332" t="str">
        <f t="shared" ca="1" si="8"/>
        <v/>
      </c>
      <c r="H107" s="332" t="str">
        <f t="shared" ca="1" si="8"/>
        <v/>
      </c>
      <c r="I107" s="115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</row>
    <row r="108" spans="2:23" ht="16.5">
      <c r="B108" s="24"/>
      <c r="C108" s="124" t="str">
        <f t="shared" ca="1" si="9"/>
        <v/>
      </c>
      <c r="D108" s="333" t="str">
        <f t="shared" ca="1" si="8"/>
        <v/>
      </c>
      <c r="E108" s="333" t="str">
        <f t="shared" ca="1" si="8"/>
        <v/>
      </c>
      <c r="F108" s="333" t="str">
        <f t="shared" ca="1" si="8"/>
        <v/>
      </c>
      <c r="G108" s="333" t="str">
        <f t="shared" ca="1" si="8"/>
        <v/>
      </c>
      <c r="H108" s="333" t="str">
        <f t="shared" ca="1" si="8"/>
        <v/>
      </c>
      <c r="I108" s="115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</row>
    <row r="109" spans="2:23" ht="15" customHeight="1">
      <c r="B109" s="24"/>
      <c r="C109" s="153" t="str">
        <f t="shared" ca="1" si="9"/>
        <v/>
      </c>
      <c r="D109" s="332" t="str">
        <f t="shared" ca="1" si="8"/>
        <v/>
      </c>
      <c r="E109" s="332" t="str">
        <f t="shared" ca="1" si="8"/>
        <v/>
      </c>
      <c r="F109" s="332" t="str">
        <f t="shared" ca="1" si="8"/>
        <v/>
      </c>
      <c r="G109" s="332" t="str">
        <f t="shared" ca="1" si="8"/>
        <v/>
      </c>
      <c r="H109" s="332" t="str">
        <f t="shared" ca="1" si="8"/>
        <v/>
      </c>
      <c r="I109" s="115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 spans="2:23" ht="21" customHeight="1">
      <c r="B110" s="24"/>
      <c r="C110" s="124" t="str">
        <f t="shared" ca="1" si="9"/>
        <v/>
      </c>
      <c r="D110" s="333" t="str">
        <f t="shared" ca="1" si="8"/>
        <v/>
      </c>
      <c r="E110" s="333" t="str">
        <f t="shared" ca="1" si="8"/>
        <v/>
      </c>
      <c r="F110" s="333" t="str">
        <f t="shared" ca="1" si="8"/>
        <v/>
      </c>
      <c r="G110" s="333" t="str">
        <f t="shared" ca="1" si="8"/>
        <v/>
      </c>
      <c r="H110" s="333" t="str">
        <f t="shared" ca="1" si="8"/>
        <v/>
      </c>
      <c r="I110" s="115"/>
      <c r="J110" s="24"/>
      <c r="K110" s="24"/>
      <c r="L110" s="24"/>
      <c r="M110" s="24"/>
      <c r="N110" s="56" t="str">
        <f ca="1">YEAR(N114)-1&amp;"-12-31"</f>
        <v>2020-12-31</v>
      </c>
      <c r="O110" s="24"/>
      <c r="P110" s="24"/>
      <c r="Q110" s="24"/>
      <c r="R110" s="24"/>
      <c r="S110" s="24"/>
      <c r="T110" s="24"/>
      <c r="U110" s="24"/>
      <c r="V110" s="24"/>
      <c r="W110" s="24"/>
    </row>
    <row r="111" spans="2:23" ht="20.25" customHeight="1">
      <c r="D111" s="21"/>
      <c r="E111" s="21"/>
      <c r="F111" s="21"/>
      <c r="G111" s="21"/>
      <c r="H111" s="21"/>
      <c r="I111" s="22"/>
    </row>
    <row r="112" spans="2:23" ht="17.25" thickBot="1">
      <c r="B112" s="95"/>
      <c r="C112" s="95" t="s">
        <v>258</v>
      </c>
      <c r="D112" s="95"/>
      <c r="E112" s="95"/>
      <c r="F112" s="95"/>
      <c r="G112" s="95"/>
      <c r="H112" s="95"/>
      <c r="I112" s="184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</row>
    <row r="113" spans="2:23">
      <c r="B113" s="24"/>
      <c r="C113" s="24"/>
      <c r="D113" s="24"/>
      <c r="E113" s="24"/>
      <c r="F113" s="24"/>
      <c r="G113" s="24"/>
      <c r="H113" s="24"/>
      <c r="I113" s="114"/>
      <c r="J113" s="24"/>
      <c r="K113" s="24"/>
      <c r="L113" s="24"/>
      <c r="M113" s="24"/>
      <c r="N113" s="24"/>
      <c r="O113" s="24"/>
      <c r="P113" s="24"/>
      <c r="Q113" s="375"/>
      <c r="R113" s="375"/>
      <c r="S113" s="375"/>
      <c r="T113" s="375"/>
      <c r="U113" s="24"/>
      <c r="V113" s="24"/>
      <c r="W113" s="24"/>
    </row>
    <row r="114" spans="2:23" ht="16.5">
      <c r="B114" s="24"/>
      <c r="C114" s="85" t="str">
        <f>"资产负债表"&amp;"("&amp;F5&amp;")"</f>
        <v>资产负债表(亿)</v>
      </c>
      <c r="D114" s="178" t="str">
        <f ca="1">N114</f>
        <v>2021/12/31</v>
      </c>
      <c r="E114" s="178" t="str">
        <f ca="1">O114</f>
        <v>2022/12/31</v>
      </c>
      <c r="F114" s="178" t="str">
        <f ca="1">P114</f>
        <v>2023/12/31</v>
      </c>
      <c r="G114" s="179" t="str">
        <f ca="1">Q114</f>
        <v>2024/12/31</v>
      </c>
      <c r="H114" s="180" t="str">
        <f ca="1">U114</f>
        <v>2025/12/31</v>
      </c>
      <c r="I114" s="56"/>
      <c r="J114" s="105"/>
      <c r="K114" s="105"/>
      <c r="L114" s="105"/>
      <c r="M114" s="85" t="str">
        <f>"利润表"&amp;"("&amp;F5&amp;")"</f>
        <v>利润表(亿)</v>
      </c>
      <c r="N114" s="178" t="str">
        <f ca="1">YEAR(O114)-1&amp;"/12/31"</f>
        <v>2021/12/31</v>
      </c>
      <c r="O114" s="178" t="str">
        <f ca="1">YEAR(P114)-1&amp;"/12/31"</f>
        <v>2022/12/31</v>
      </c>
      <c r="P114" s="178" t="str">
        <f ca="1">YEAR(Q114)-1&amp;"/12/31"</f>
        <v>2023/12/31</v>
      </c>
      <c r="Q114" s="366" t="str">
        <f ca="1">YEAR(U114)-1&amp;"/12/31"</f>
        <v>2024/12/31</v>
      </c>
      <c r="R114" s="366"/>
      <c r="S114" s="366"/>
      <c r="T114" s="366"/>
      <c r="U114" s="178" t="str">
        <f ca="1">YEAR(V114)-1&amp;"/12/31"</f>
        <v>2025/12/31</v>
      </c>
      <c r="V114" s="178" t="str">
        <f ca="1">YEAR(D5)&amp;"/12/31"</f>
        <v>2026/12/31</v>
      </c>
      <c r="W114" s="24"/>
    </row>
    <row r="115" spans="2:23" ht="16.5" customHeight="1">
      <c r="B115" s="24"/>
      <c r="C115" s="153" t="s">
        <v>256</v>
      </c>
      <c r="D115" s="185" t="str">
        <f t="shared" ref="D115" si="10">E115</f>
        <v>合并报表</v>
      </c>
      <c r="E115" s="185" t="str">
        <f>F115</f>
        <v>合并报表</v>
      </c>
      <c r="F115" s="185" t="str">
        <f>G115</f>
        <v>合并报表</v>
      </c>
      <c r="G115" s="185" t="s">
        <v>116</v>
      </c>
      <c r="H115" s="185" t="s">
        <v>116</v>
      </c>
      <c r="I115" s="116"/>
      <c r="J115" s="24"/>
      <c r="K115" s="24"/>
      <c r="L115" s="24"/>
      <c r="M115" s="153" t="str">
        <f>C115</f>
        <v>报表类型</v>
      </c>
      <c r="N115" s="185" t="str">
        <f>D115</f>
        <v>合并报表</v>
      </c>
      <c r="O115" s="185" t="str">
        <f>E115</f>
        <v>合并报表</v>
      </c>
      <c r="P115" s="185" t="str">
        <f>F115</f>
        <v>合并报表</v>
      </c>
      <c r="Q115" s="367" t="str">
        <f>G115</f>
        <v>合并报表</v>
      </c>
      <c r="R115" s="367"/>
      <c r="S115" s="367"/>
      <c r="T115" s="367"/>
      <c r="U115" s="185" t="str">
        <f>H115</f>
        <v>合并报表</v>
      </c>
      <c r="V115" s="185"/>
      <c r="W115" s="24"/>
    </row>
    <row r="116" spans="2:23" ht="17.25" customHeight="1">
      <c r="B116" s="24"/>
      <c r="C116" s="124" t="s">
        <v>297</v>
      </c>
      <c r="D116" s="182">
        <f ca="1">[1]!S_STM07_BS($D$4,9,N114,rptype3)/CurrencyUnit</f>
        <v>142.21780251999999</v>
      </c>
      <c r="E116" s="182">
        <f ca="1">[1]!S_STM07_BS($D$4,9,O114,rptype4)/CurrencyUnit</f>
        <v>202.43737052</v>
      </c>
      <c r="F116" s="182">
        <f ca="1">[1]!S_STM07_BS($D$4,9,P114,rptype5)/CurrencyUnit</f>
        <v>184.48716808</v>
      </c>
      <c r="G116" s="182">
        <f ca="1">[1]!S_STM07_BS($D$4,9,Q114,rptype)/CurrencyUnit</f>
        <v>316.90884267000001</v>
      </c>
      <c r="H116" s="182">
        <f ca="1">[1]!S_STM07_BS($D$4,9,U114,rptype2)/CurrencyUnit</f>
        <v>0</v>
      </c>
      <c r="I116" s="116"/>
      <c r="J116" s="109"/>
      <c r="K116" s="109"/>
      <c r="L116" s="109"/>
      <c r="M116" s="124" t="s">
        <v>319</v>
      </c>
      <c r="N116" s="182">
        <f ca="1">[1]!S_STM07_IS($D$4,9,N114,rptype3)/CurrencyUnit</f>
        <v>2251.0248859200001</v>
      </c>
      <c r="O116" s="182">
        <f ca="1">[1]!S_STM07_IS($D$4,9,O114,rptype4)/CurrencyUnit</f>
        <v>2703.2899845900001</v>
      </c>
      <c r="P116" s="182">
        <f ca="1">[1]!S_STM07_IS($D$4,9,P114,rptype5)/CurrencyUnit</f>
        <v>2934.0324287799999</v>
      </c>
      <c r="Q116" s="376">
        <f ca="1">[1]!S_STM07_IS($D$4,9,Q114,rptype)/CurrencyUnit</f>
        <v>3036.3995715299998</v>
      </c>
      <c r="R116" s="376"/>
      <c r="S116" s="376"/>
      <c r="T116" s="376"/>
      <c r="U116" s="182">
        <f ca="1">[1]!S_STM07_IS($D$4,9,U114,rptype2)/CurrencyUnit</f>
        <v>0</v>
      </c>
      <c r="V116" s="182">
        <f ca="1">[1]!s_est_sales($D$4,YEAR(V114),$D$5)/CurrencyUnit</f>
        <v>4409.0559952399999</v>
      </c>
      <c r="W116" s="24"/>
    </row>
    <row r="117" spans="2:23" ht="17.25" customHeight="1">
      <c r="B117" s="24"/>
      <c r="C117" s="153" t="s">
        <v>298</v>
      </c>
      <c r="D117" s="181">
        <f ca="1">[1]!S_STM07_BS($D$4,10,N114,rptype3)/CurrencyUnit</f>
        <v>29.35224582</v>
      </c>
      <c r="E117" s="181">
        <f ca="1">[1]!S_STM07_BS($D$4,10,O114,rptype4)/CurrencyUnit</f>
        <v>50.938083390000003</v>
      </c>
      <c r="F117" s="181">
        <f ca="1">[1]!S_STM07_BS($D$4,10,P114,rptype5)/CurrencyUnit</f>
        <v>53.070446850000003</v>
      </c>
      <c r="G117" s="181">
        <f ca="1">[1]!S_STM07_BS($D$4,10,Q114,rptype)/CurrencyUnit</f>
        <v>59.982629299999999</v>
      </c>
      <c r="H117" s="181">
        <f ca="1">[1]!S_STM07_BS($D$4,10,U114,rptype2)/CurrencyUnit</f>
        <v>0</v>
      </c>
      <c r="I117" s="117"/>
      <c r="J117" s="24"/>
      <c r="K117" s="24"/>
      <c r="L117" s="24"/>
      <c r="M117" s="153" t="s">
        <v>320</v>
      </c>
      <c r="N117" s="181">
        <f ca="1">[1]!S_STM07_IS($D$4,10,N114,rptype3)/CurrencyUnit</f>
        <v>1903.5112155500001</v>
      </c>
      <c r="O117" s="181">
        <f ca="1">[1]!S_STM07_IS($D$4,10,O114,rptype4)/CurrencyUnit</f>
        <v>2277.8428257700002</v>
      </c>
      <c r="P117" s="181">
        <f ca="1">[1]!S_STM07_IS($D$4,10,P114,rptype5)/CurrencyUnit</f>
        <v>2470.2406651900001</v>
      </c>
      <c r="Q117" s="369">
        <f ca="1">[1]!S_STM07_IS($D$4,10,Q114,rptype)/CurrencyUnit</f>
        <v>2417.7616893700001</v>
      </c>
      <c r="R117" s="369"/>
      <c r="S117" s="369"/>
      <c r="T117" s="369"/>
      <c r="U117" s="181">
        <f ca="1">[1]!S_STM07_IS($D$4,10,U114,rptype2)/CurrencyUnit</f>
        <v>0</v>
      </c>
      <c r="V117" s="181"/>
      <c r="W117" s="24"/>
    </row>
    <row r="118" spans="2:23" ht="16.5">
      <c r="B118" s="24"/>
      <c r="C118" s="124" t="s">
        <v>294</v>
      </c>
      <c r="D118" s="182">
        <f ca="1">[1]!S_STM07_BS($D$4,11,N114,rptype3)/CurrencyUnit</f>
        <v>0</v>
      </c>
      <c r="E118" s="182">
        <f ca="1">[1]!S_STM07_BS($D$4,11,O114,rptype4)/CurrencyUnit</f>
        <v>7.2942115300000001</v>
      </c>
      <c r="F118" s="182">
        <f ca="1">[1]!S_STM07_BS($D$4,11,P114,rptype5)/CurrencyUnit</f>
        <v>5.5311945199999997</v>
      </c>
      <c r="G118" s="182">
        <f ca="1">[1]!S_STM07_BS($D$4,11,Q114,rptype)/CurrencyUnit</f>
        <v>1.5403919399999999</v>
      </c>
      <c r="H118" s="182">
        <f ca="1">[1]!S_STM07_BS($D$4,11,U114,rptype2)/CurrencyUnit</f>
        <v>0</v>
      </c>
      <c r="I118" s="117"/>
      <c r="J118" s="109"/>
      <c r="K118" s="109"/>
      <c r="L118" s="109"/>
      <c r="M118" s="124" t="s">
        <v>321</v>
      </c>
      <c r="N118" s="182">
        <f ca="1">[1]!S_STM07_IS($D$4,11,N114,rptype3)/CurrencyUnit</f>
        <v>34.596798980000003</v>
      </c>
      <c r="O118" s="182">
        <f ca="1">[1]!S_STM07_IS($D$4,11,O114,rptype4)/CurrencyUnit</f>
        <v>42.676301670000001</v>
      </c>
      <c r="P118" s="182">
        <f ca="1">[1]!S_STM07_IS($D$4,11,P114,rptype5)/CurrencyUnit</f>
        <v>48.501422009999999</v>
      </c>
      <c r="Q118" s="368">
        <f ca="1">[1]!S_STM07_IS($D$4,11,Q114,rptype)/CurrencyUnit</f>
        <v>58.18762976</v>
      </c>
      <c r="R118" s="368"/>
      <c r="S118" s="368"/>
      <c r="T118" s="368"/>
      <c r="U118" s="182">
        <f ca="1">[1]!S_STM07_IS($D$4,11,U114,rptype2)/CurrencyUnit</f>
        <v>0</v>
      </c>
      <c r="V118" s="182"/>
      <c r="W118" s="24"/>
    </row>
    <row r="119" spans="2:23" ht="16.5">
      <c r="B119" s="24"/>
      <c r="C119" s="153" t="s">
        <v>295</v>
      </c>
      <c r="D119" s="181">
        <f ca="1">[1]!S_STM07_BS($D$4,12,N114,rptype3)/CurrencyUnit</f>
        <v>24.452231009999998</v>
      </c>
      <c r="E119" s="181">
        <f ca="1">[1]!S_STM07_BS($D$4,12,O114,rptype4)/CurrencyUnit</f>
        <v>79.169646060000005</v>
      </c>
      <c r="F119" s="181">
        <f ca="1">[1]!S_STM07_BS($D$4,12,P114,rptype5)/CurrencyUnit</f>
        <v>77.779083200000002</v>
      </c>
      <c r="G119" s="181">
        <f ca="1">[1]!S_STM07_BS($D$4,12,Q114,rptype)/CurrencyUnit</f>
        <v>68.117539550000004</v>
      </c>
      <c r="H119" s="181">
        <f ca="1">[1]!S_STM07_BS($D$4,12,U114,rptype2)/CurrencyUnit</f>
        <v>0</v>
      </c>
      <c r="I119" s="117"/>
      <c r="J119" s="109"/>
      <c r="K119" s="109"/>
      <c r="L119" s="109"/>
      <c r="M119" s="153" t="s">
        <v>322</v>
      </c>
      <c r="N119" s="181">
        <f ca="1">[1]!S_STM07_IS($D$4,12,N114,rptype3)/CurrencyUnit</f>
        <v>4.1227261999999998</v>
      </c>
      <c r="O119" s="181">
        <f ca="1">[1]!S_STM07_IS($D$4,12,O114,rptype4)/CurrencyUnit</f>
        <v>6.1989379700000002</v>
      </c>
      <c r="P119" s="181">
        <f ca="1">[1]!S_STM07_IS($D$4,12,P114,rptype5)/CurrencyUnit</f>
        <v>7.6639125200000002</v>
      </c>
      <c r="Q119" s="369">
        <f ca="1">[1]!S_STM07_IS($D$4,12,Q114,rptype)/CurrencyUnit</f>
        <v>7.3770996499999999</v>
      </c>
      <c r="R119" s="369"/>
      <c r="S119" s="369"/>
      <c r="T119" s="369"/>
      <c r="U119" s="181">
        <f ca="1">[1]!S_STM07_IS($D$4,12,U114,rptype2)/CurrencyUnit</f>
        <v>0</v>
      </c>
      <c r="V119" s="181"/>
      <c r="W119" s="24"/>
    </row>
    <row r="120" spans="2:23" ht="16.5">
      <c r="B120" s="24"/>
      <c r="C120" s="124" t="s">
        <v>296</v>
      </c>
      <c r="D120" s="182">
        <f ca="1">[1]!S_STM07_BS($D$4,13,N114,rptype3)/CurrencyUnit</f>
        <v>13.593590580000001</v>
      </c>
      <c r="E120" s="182">
        <f ca="1">[1]!S_STM07_BS($D$4,13,O114,rptype4)/CurrencyUnit</f>
        <v>36.104783810000001</v>
      </c>
      <c r="F120" s="182">
        <f ca="1">[1]!S_STM07_BS($D$4,13,P114,rptype5)/CurrencyUnit</f>
        <v>27.97510033</v>
      </c>
      <c r="G120" s="182">
        <f ca="1">[1]!S_STM07_BS($D$4,13,Q114,rptype)/CurrencyUnit</f>
        <v>35.420185629999999</v>
      </c>
      <c r="H120" s="182">
        <f ca="1">[1]!S_STM07_BS($D$4,13,U114,rptype2)/CurrencyUnit</f>
        <v>0</v>
      </c>
      <c r="I120" s="117"/>
      <c r="J120" s="108"/>
      <c r="K120" s="108"/>
      <c r="L120" s="108"/>
      <c r="M120" s="124" t="s">
        <v>323</v>
      </c>
      <c r="N120" s="182">
        <f ca="1">[1]!S_STM07_IS($D$4,13,N114,rptype3)/CurrencyUnit</f>
        <v>53.085362789999998</v>
      </c>
      <c r="O120" s="182">
        <f ca="1">[1]!S_STM07_IS($D$4,13,O114,rptype4)/CurrencyUnit</f>
        <v>62.6499022</v>
      </c>
      <c r="P120" s="182">
        <f ca="1">[1]!S_STM07_IS($D$4,13,P114,rptype5)/CurrencyUnit</f>
        <v>75.229887399999996</v>
      </c>
      <c r="Q120" s="368">
        <f ca="1">[1]!S_STM07_IS($D$4,13,Q114,rptype)/CurrencyUnit</f>
        <v>77.288098919999996</v>
      </c>
      <c r="R120" s="368"/>
      <c r="S120" s="368"/>
      <c r="T120" s="368"/>
      <c r="U120" s="182">
        <f ca="1">[1]!S_STM07_IS($D$4,13,U114,rptype2)/CurrencyUnit</f>
        <v>0</v>
      </c>
      <c r="V120" s="182"/>
      <c r="W120" s="24"/>
    </row>
    <row r="121" spans="2:23" ht="16.5">
      <c r="B121" s="24"/>
      <c r="C121" s="153" t="s">
        <v>299</v>
      </c>
      <c r="D121" s="181">
        <f ca="1">[1]!S_STM07_BS($D$4,14,N114,rptype3)/CurrencyUnit</f>
        <v>17.824206660000002</v>
      </c>
      <c r="E121" s="181">
        <f ca="1">[1]!S_STM07_BS($D$4,14,O114,rptype4)/CurrencyUnit</f>
        <v>37.952068619999999</v>
      </c>
      <c r="F121" s="181">
        <f ca="1">[1]!S_STM07_BS($D$4,14,P114,rptype5)/CurrencyUnit</f>
        <v>26.7732189</v>
      </c>
      <c r="G121" s="181">
        <f ca="1">[1]!S_STM07_BS($D$4,14,Q114,rptype)/CurrencyUnit</f>
        <v>42.01249747</v>
      </c>
      <c r="H121" s="181">
        <f ca="1">[1]!S_STM07_BS($D$4,14,U114,rptype2)/CurrencyUnit</f>
        <v>0</v>
      </c>
      <c r="I121" s="117"/>
      <c r="J121" s="109"/>
      <c r="K121" s="109"/>
      <c r="L121" s="109"/>
      <c r="M121" s="153" t="s">
        <v>324</v>
      </c>
      <c r="N121" s="181">
        <f ca="1">[1]!S_STM07_IS($D$4,14,N114,rptype3)/CurrencyUnit</f>
        <v>14.96475674</v>
      </c>
      <c r="O121" s="181">
        <f ca="1">[1]!S_STM07_IS($D$4,14,O114,rptype4)/CurrencyUnit</f>
        <v>19.04994525</v>
      </c>
      <c r="P121" s="181">
        <f ca="1">[1]!S_STM07_IS($D$4,14,P114,rptype5)/CurrencyUnit</f>
        <v>32.684917319999997</v>
      </c>
      <c r="Q121" s="369">
        <f ca="1">[1]!S_STM07_IS($D$4,14,Q114,rptype)/CurrencyUnit</f>
        <v>20.293041049999999</v>
      </c>
      <c r="R121" s="369"/>
      <c r="S121" s="369"/>
      <c r="T121" s="369"/>
      <c r="U121" s="181">
        <f ca="1">[1]!S_STM07_IS($D$4,14,U114,rptype2)/CurrencyUnit</f>
        <v>0</v>
      </c>
      <c r="V121" s="181"/>
      <c r="W121" s="24"/>
    </row>
    <row r="122" spans="2:23" ht="16.5">
      <c r="B122" s="24"/>
      <c r="C122" s="124" t="s">
        <v>259</v>
      </c>
      <c r="D122" s="182">
        <f ca="1">[1]!S_STM07_BS($D$4,17,N114,rptype3)/CurrencyUnit</f>
        <v>193.08800678</v>
      </c>
      <c r="E122" s="182">
        <f ca="1">[1]!S_STM07_BS($D$4,17,O114,rptype4)/CurrencyUnit</f>
        <v>281.03963625</v>
      </c>
      <c r="F122" s="182">
        <f ca="1">[1]!S_STM07_BS($D$4,17,P114,rptype5)/CurrencyUnit</f>
        <v>292.89613313000001</v>
      </c>
      <c r="G122" s="182">
        <f ca="1">[1]!S_STM07_BS($D$4,17,Q114,rptype)/CurrencyUnit</f>
        <v>333.13199379000002</v>
      </c>
      <c r="H122" s="182">
        <f ca="1">[1]!S_STM07_BS($D$4,17,U114,rptype2)/CurrencyUnit</f>
        <v>0</v>
      </c>
      <c r="I122" s="117"/>
      <c r="J122" s="109"/>
      <c r="K122" s="109"/>
      <c r="L122" s="109"/>
      <c r="M122" s="124" t="s">
        <v>274</v>
      </c>
      <c r="N122" s="182">
        <f ca="1">[1]!S_STM07_IS($D$4,15,N114,rptype3)/CurrencyUnit</f>
        <v>-5.9802243199999996</v>
      </c>
      <c r="O122" s="182">
        <f ca="1">[1]!S_STM07_IS($D$4,15,O114,rptype4)/CurrencyUnit</f>
        <v>-0.78711812999999997</v>
      </c>
      <c r="P122" s="182">
        <f ca="1">[1]!S_STM07_IS($D$4,15,P114,rptype5)/CurrencyUnit</f>
        <v>-3.85330847</v>
      </c>
      <c r="Q122" s="368">
        <f ca="1">[1]!S_STM07_IS($D$4,15,Q114,rptype)/CurrencyUnit</f>
        <v>-7.2719177400000001</v>
      </c>
      <c r="R122" s="368"/>
      <c r="S122" s="368"/>
      <c r="T122" s="368"/>
      <c r="U122" s="182">
        <f ca="1">[1]!S_STM07_IS($D$4,15,U114,rptype2)/CurrencyUnit</f>
        <v>0</v>
      </c>
      <c r="V122" s="182"/>
      <c r="W122" s="24"/>
    </row>
    <row r="123" spans="2:23" ht="16.5">
      <c r="B123" s="24"/>
      <c r="C123" s="153" t="s">
        <v>260</v>
      </c>
      <c r="D123" s="181">
        <f ca="1">[1]!S_STM07_BS($D$4,19,N114,rptype3)/CurrencyUnit</f>
        <v>0</v>
      </c>
      <c r="E123" s="181">
        <f ca="1">[1]!S_STM07_BS($D$4,19,O114,rptype4)/CurrencyUnit</f>
        <v>0</v>
      </c>
      <c r="F123" s="181">
        <f ca="1">[1]!S_STM07_BS($D$4,19,P114,rptype5)/CurrencyUnit</f>
        <v>0</v>
      </c>
      <c r="G123" s="181">
        <f ca="1">[1]!S_STM07_BS($D$4,19,Q114,rptype)/CurrencyUnit</f>
        <v>0</v>
      </c>
      <c r="H123" s="181">
        <f ca="1">[1]!S_STM07_BS($D$4,19,U114,rptype2)/CurrencyUnit</f>
        <v>0</v>
      </c>
      <c r="I123" s="117"/>
      <c r="J123" s="109"/>
      <c r="K123" s="109"/>
      <c r="L123" s="109"/>
      <c r="M123" s="153" t="s">
        <v>275</v>
      </c>
      <c r="N123" s="181">
        <f ca="1">[1]!S_STM07_IS($D$4,16,N114,rptype3)/CurrencyUnit</f>
        <v>-2.3186404399999998</v>
      </c>
      <c r="O123" s="181">
        <f ca="1">[1]!S_STM07_IS($D$4,16,O114,rptype4)/CurrencyUnit</f>
        <v>-2.5549246700000001</v>
      </c>
      <c r="P123" s="181">
        <f ca="1">[1]!S_STM07_IS($D$4,16,P114,rptype5)/CurrencyUnit</f>
        <v>-0.18623744</v>
      </c>
      <c r="Q123" s="369">
        <f ca="1">[1]!S_STM07_IS($D$4,16,Q114,rptype)/CurrencyUnit</f>
        <v>9.4844756700000001</v>
      </c>
      <c r="R123" s="369"/>
      <c r="S123" s="369"/>
      <c r="T123" s="369"/>
      <c r="U123" s="181">
        <f ca="1">[1]!S_STM07_IS($D$4,16,U114,rptype2)/CurrencyUnit</f>
        <v>0</v>
      </c>
      <c r="V123" s="181"/>
      <c r="W123" s="24"/>
    </row>
    <row r="124" spans="2:23" ht="16.5">
      <c r="B124" s="24"/>
      <c r="C124" s="124" t="s">
        <v>261</v>
      </c>
      <c r="D124" s="182">
        <f ca="1">[1]!S_STM07_BS($D$4,20,N114,rptype3)/CurrencyUnit</f>
        <v>8.9239669999999993E-2</v>
      </c>
      <c r="E124" s="182">
        <f ca="1">[1]!S_STM07_BS($D$4,20,O114,rptype4)/CurrencyUnit</f>
        <v>6.9344811799999997</v>
      </c>
      <c r="F124" s="182">
        <f ca="1">[1]!S_STM07_BS($D$4,20,P114,rptype5)/CurrencyUnit</f>
        <v>7.0823296200000003</v>
      </c>
      <c r="G124" s="182">
        <f ca="1">[1]!S_STM07_BS($D$4,20,Q114,rptype)/CurrencyUnit</f>
        <v>2.8245280699999999</v>
      </c>
      <c r="H124" s="182">
        <f ca="1">[1]!S_STM07_BS($D$4,20,U114,rptype2)/CurrencyUnit</f>
        <v>0</v>
      </c>
      <c r="I124" s="117"/>
      <c r="J124" s="109"/>
      <c r="K124" s="109"/>
      <c r="L124" s="109"/>
      <c r="M124" s="124" t="s">
        <v>325</v>
      </c>
      <c r="N124" s="182">
        <f ca="1">[1]!S_STM07_IS($D$4,17,N114,rptype3)/CurrencyUnit</f>
        <v>16.916011359999999</v>
      </c>
      <c r="O124" s="182">
        <f ca="1">[1]!S_STM07_IS($D$4,17,O114,rptype4)/CurrencyUnit</f>
        <v>28.74143505</v>
      </c>
      <c r="P124" s="182">
        <f ca="1">[1]!S_STM07_IS($D$4,17,P114,rptype5)/CurrencyUnit</f>
        <v>34.909013360000003</v>
      </c>
      <c r="Q124" s="368">
        <f ca="1">[1]!S_STM07_IS($D$4,17,Q114,rptype)/CurrencyUnit</f>
        <v>40.201380829999998</v>
      </c>
      <c r="R124" s="368"/>
      <c r="S124" s="368"/>
      <c r="T124" s="368"/>
      <c r="U124" s="182">
        <f ca="1">[1]!S_STM07_IS($D$4,17,U114,rptype2)/CurrencyUnit</f>
        <v>0</v>
      </c>
      <c r="V124" s="182"/>
      <c r="W124" s="24"/>
    </row>
    <row r="125" spans="2:23" ht="16.5">
      <c r="B125" s="24"/>
      <c r="C125" s="153" t="s">
        <v>262</v>
      </c>
      <c r="D125" s="181">
        <f ca="1">D126-SUM(D116:D124)</f>
        <v>50.025611370000036</v>
      </c>
      <c r="E125" s="181">
        <f ca="1">E126-SUM(E116:E124)</f>
        <v>94.574313959999927</v>
      </c>
      <c r="F125" s="181">
        <f t="shared" ref="F125:G125" ca="1" si="11">F126-SUM(F116:F124)</f>
        <v>100.69072591999998</v>
      </c>
      <c r="G125" s="181">
        <f t="shared" ca="1" si="11"/>
        <v>129.45173672999999</v>
      </c>
      <c r="H125" s="181">
        <f ca="1">H126-SUM(H116:H124)</f>
        <v>0</v>
      </c>
      <c r="I125" s="117"/>
      <c r="J125" s="109"/>
      <c r="K125" s="109"/>
      <c r="L125" s="109"/>
      <c r="M125" s="199" t="s">
        <v>124</v>
      </c>
      <c r="N125" s="202">
        <f ca="1">[1]!S_STM07_IS($D$4,48,N114,rptype3)/CurrencyUnit</f>
        <v>250.86505191000001</v>
      </c>
      <c r="O125" s="202">
        <f ca="1">[1]!S_STM07_IS($D$4,48,O114,rptype4)/CurrencyUnit</f>
        <v>309.45606018000001</v>
      </c>
      <c r="P125" s="202">
        <f ca="1">[1]!S_STM07_IS($D$4,48,P114,rptype5)/CurrencyUnit</f>
        <v>319.36533004</v>
      </c>
      <c r="Q125" s="369">
        <f ca="1">[1]!S_STM07_IS($D$4,48,Q114,rptype)/CurrencyUnit</f>
        <v>488.26645182999999</v>
      </c>
      <c r="R125" s="369"/>
      <c r="S125" s="369"/>
      <c r="T125" s="369"/>
      <c r="U125" s="202">
        <f ca="1">[1]!S_STM07_IS($D$4,48,U114,rptype2)/CurrencyUnit</f>
        <v>0</v>
      </c>
      <c r="V125" s="202">
        <f ca="1">[1]!s_est_avgoperatingprofit($D$4,YEAR(V114),$D$5)/CurrencyUnit</f>
        <v>1036.4167894699999</v>
      </c>
      <c r="W125" s="24"/>
    </row>
    <row r="126" spans="2:23" ht="16.5">
      <c r="B126" s="24"/>
      <c r="C126" s="186" t="s">
        <v>263</v>
      </c>
      <c r="D126" s="203">
        <f ca="1">[1]!S_STM07_BS($D$4,25,N114,rptype3)/CurrencyUnit</f>
        <v>470.64293441000001</v>
      </c>
      <c r="E126" s="203">
        <f ca="1">[1]!S_STM07_BS($D$4,25,O114,rptype4)/CurrencyUnit</f>
        <v>796.44459531999996</v>
      </c>
      <c r="F126" s="203">
        <f ca="1">[1]!S_STM07_BS($D$4,25,P114,rptype5)/CurrencyUnit</f>
        <v>776.28540054999996</v>
      </c>
      <c r="G126" s="203">
        <f ca="1">[1]!S_STM07_BS($D$4,25,Q114,rptype)/CurrencyUnit</f>
        <v>989.39034515000003</v>
      </c>
      <c r="H126" s="203">
        <f ca="1">[1]!S_STM07_BS($D$4,25,U114,rptype2)/CurrencyUnit</f>
        <v>0</v>
      </c>
      <c r="I126" s="117"/>
      <c r="J126" s="108"/>
      <c r="K126" s="108"/>
      <c r="L126" s="108"/>
      <c r="M126" s="124" t="s">
        <v>318</v>
      </c>
      <c r="N126" s="182">
        <f ca="1">[1]!S_STM07_IS($D$4,49,N114,rptype3)/CurrencyUnit</f>
        <v>1.7808825699999999</v>
      </c>
      <c r="O126" s="182">
        <f ca="1">[1]!S_STM07_IS($D$4,49,O114,rptype4)/CurrencyUnit</f>
        <v>1.08391606</v>
      </c>
      <c r="P126" s="182">
        <f ca="1">[1]!S_STM07_IS($D$4,49,P114,rptype5)/CurrencyUnit</f>
        <v>1.2004859299999999</v>
      </c>
      <c r="Q126" s="368">
        <f ca="1">[1]!S_STM07_IS($D$4,49,Q114,rptype)/CurrencyUnit</f>
        <v>1.4106711300000001</v>
      </c>
      <c r="R126" s="368"/>
      <c r="S126" s="368"/>
      <c r="T126" s="368"/>
      <c r="U126" s="182">
        <f ca="1">[1]!S_STM07_IS($D$4,49,U114,rptype2)/CurrencyUnit</f>
        <v>0</v>
      </c>
      <c r="V126" s="182"/>
      <c r="W126" s="24"/>
    </row>
    <row r="127" spans="2:23" ht="16.5">
      <c r="B127" s="24"/>
      <c r="C127" s="153" t="s">
        <v>307</v>
      </c>
      <c r="D127" s="181">
        <f ca="1">[1]!S_STM07_BS($D$4,26,N114,rptype3)/CurrencyUnit</f>
        <v>0</v>
      </c>
      <c r="E127" s="181">
        <f ca="1">[1]!S_STM07_BS($D$4,26,O114,rptype4)/CurrencyUnit</f>
        <v>0</v>
      </c>
      <c r="F127" s="181">
        <f ca="1">[1]!S_STM07_BS($D$4,26,P114,rptype5)/CurrencyUnit</f>
        <v>0</v>
      </c>
      <c r="G127" s="181">
        <f ca="1">[1]!S_STM07_BS($D$4,26,Q114,rptype)/CurrencyUnit</f>
        <v>0</v>
      </c>
      <c r="H127" s="181">
        <f ca="1">[1]!S_STM07_BS($D$4,26,U114,rptype2)/CurrencyUnit</f>
        <v>0</v>
      </c>
      <c r="I127" s="118"/>
      <c r="J127" s="108"/>
      <c r="K127" s="108"/>
      <c r="L127" s="108"/>
      <c r="M127" s="153" t="s">
        <v>326</v>
      </c>
      <c r="N127" s="181">
        <f ca="1">[1]!S_STM07_IS($D$4,50,N114,rptype3)/CurrencyUnit</f>
        <v>4.7078295600000004</v>
      </c>
      <c r="O127" s="181">
        <f ca="1">[1]!S_STM07_IS($D$4,50,O114,rptype4)/CurrencyUnit</f>
        <v>10.61146651</v>
      </c>
      <c r="P127" s="181">
        <f ca="1">[1]!S_STM07_IS($D$4,50,P114,rptype5)/CurrencyUnit</f>
        <v>7.69110228</v>
      </c>
      <c r="Q127" s="370">
        <f ca="1">[1]!S_STM07_IS($D$4,50,Q114,rptype)/CurrencyUnit</f>
        <v>8.8998714200000002</v>
      </c>
      <c r="R127" s="370"/>
      <c r="S127" s="370"/>
      <c r="T127" s="370"/>
      <c r="U127" s="181">
        <f ca="1">[1]!S_STM07_IS($D$4,50,U114,rptype2)/CurrencyUnit</f>
        <v>0</v>
      </c>
      <c r="V127" s="181"/>
      <c r="W127" s="24"/>
    </row>
    <row r="128" spans="2:23" ht="16.5">
      <c r="B128" s="24"/>
      <c r="C128" s="124" t="s">
        <v>308</v>
      </c>
      <c r="D128" s="182">
        <f ca="1">[1]!S_STM07_BS($D$4,27,N114,rptype3)/CurrencyUnit</f>
        <v>0</v>
      </c>
      <c r="E128" s="182">
        <f ca="1">[1]!S_STM07_BS($D$4,27,O114,rptype4)/CurrencyUnit</f>
        <v>0</v>
      </c>
      <c r="F128" s="182">
        <f ca="1">[1]!S_STM07_BS($D$4,27,P114,rptype5)/CurrencyUnit</f>
        <v>0</v>
      </c>
      <c r="G128" s="182">
        <f ca="1">[1]!S_STM07_BS($D$4,27,Q114,rptype)/CurrencyUnit</f>
        <v>0</v>
      </c>
      <c r="H128" s="182">
        <f ca="1">[1]!S_STM07_BS($D$4,27,U114,rptype2)/CurrencyUnit</f>
        <v>0</v>
      </c>
      <c r="I128" s="118"/>
      <c r="J128" s="108"/>
      <c r="K128" s="108"/>
      <c r="L128" s="108"/>
      <c r="M128" s="200" t="s">
        <v>269</v>
      </c>
      <c r="N128" s="208">
        <f ca="1">[1]!S_STM07_IS($D$4,55,N114,rptype3)/CurrencyUnit</f>
        <v>247.93810492</v>
      </c>
      <c r="O128" s="208">
        <f ca="1">[1]!S_STM07_IS($D$4,55,O114,rptype4)/CurrencyUnit</f>
        <v>299.92850972999997</v>
      </c>
      <c r="P128" s="208">
        <f ca="1">[1]!S_STM07_IS($D$4,55,P114,rptype5)/CurrencyUnit</f>
        <v>312.87471369000002</v>
      </c>
      <c r="Q128" s="371">
        <f ca="1">[1]!S_STM07_IS($D$4,55,Q114,rptype)/CurrencyUnit</f>
        <v>480.77725154000001</v>
      </c>
      <c r="R128" s="371"/>
      <c r="S128" s="371"/>
      <c r="T128" s="371"/>
      <c r="U128" s="208">
        <f ca="1">[1]!S_STM07_IS($D$4,55,U114,rptype2)/CurrencyUnit</f>
        <v>0</v>
      </c>
      <c r="V128" s="208">
        <f ca="1">[1]!s_est_avgebt($D$4,YEAR(V114),$D$5)/CurrencyUnit</f>
        <v>1033.6514500000001</v>
      </c>
      <c r="W128" s="24"/>
    </row>
    <row r="129" spans="2:23" ht="16.5">
      <c r="B129" s="24"/>
      <c r="C129" s="153" t="s">
        <v>309</v>
      </c>
      <c r="D129" s="181">
        <f ca="1">[1]!S_STM07_BS($D$4,28,N114,rptype3)/CurrencyUnit</f>
        <v>1.1747293999999999</v>
      </c>
      <c r="E129" s="181">
        <f ca="1">[1]!S_STM07_BS($D$4,28,O114,rptype4)/CurrencyUnit</f>
        <v>4.4877694899999998</v>
      </c>
      <c r="F129" s="181">
        <f ca="1">[1]!S_STM07_BS($D$4,28,P114,rptype5)/CurrencyUnit</f>
        <v>3.2729598200000001</v>
      </c>
      <c r="G129" s="181">
        <f ca="1">[1]!S_STM07_BS($D$4,28,Q114,rptype)/CurrencyUnit</f>
        <v>3.6720103499999999</v>
      </c>
      <c r="H129" s="181">
        <f ca="1">[1]!S_STM07_BS($D$4,28,U114,rptype2)/CurrencyUnit</f>
        <v>0</v>
      </c>
      <c r="I129" s="118"/>
      <c r="J129" s="108"/>
      <c r="K129" s="108"/>
      <c r="L129" s="108"/>
      <c r="M129" s="199" t="s">
        <v>270</v>
      </c>
      <c r="N129" s="209">
        <f ca="1">[1]!S_STM07_IS($D$4,60,N114,rptype3)/CurrencyUnit</f>
        <v>195.99638351999999</v>
      </c>
      <c r="O129" s="209">
        <f ca="1">[1]!S_STM07_IS($D$4,60,O114,rptype4)/CurrencyUnit</f>
        <v>247.67210123000001</v>
      </c>
      <c r="P129" s="209">
        <f ca="1">[1]!S_STM07_IS($D$4,60,P114,rptype5)/CurrencyUnit</f>
        <v>265.39599469000001</v>
      </c>
      <c r="Q129" s="372">
        <f ca="1">[1]!S_STM07_IS($D$4,60,Q114,rptype)/CurrencyUnit</f>
        <v>393.92864180999999</v>
      </c>
      <c r="R129" s="372"/>
      <c r="S129" s="372"/>
      <c r="T129" s="372"/>
      <c r="U129" s="209">
        <f ca="1">[1]!S_STM07_IS($D$4,60,U114,rptype2)/CurrencyUnit</f>
        <v>0</v>
      </c>
      <c r="V129" s="209"/>
      <c r="W129" s="24"/>
    </row>
    <row r="130" spans="2:23" ht="17.25" thickBot="1">
      <c r="B130" s="24"/>
      <c r="C130" s="124" t="s">
        <v>300</v>
      </c>
      <c r="D130" s="182">
        <f ca="1">[1]!S_STM07_BS($D$4,31,N114,rptype3)/CurrencyUnit</f>
        <v>555.97154905000002</v>
      </c>
      <c r="E130" s="182">
        <f ca="1">[1]!S_STM07_BS($D$4,31,O114,rptype4)/CurrencyUnit</f>
        <v>727.46422791999998</v>
      </c>
      <c r="F130" s="182">
        <f ca="1">[1]!S_STM07_BS($D$4,31,P114,rptype5)/CurrencyUnit</f>
        <v>814.65916360000006</v>
      </c>
      <c r="G130" s="182">
        <f ca="1">[1]!S_STM07_BS($D$4,31,Q114,rptype)/CurrencyUnit</f>
        <v>923.07458161</v>
      </c>
      <c r="H130" s="182">
        <f ca="1">[1]!S_STM07_BS($D$4,31,U114,rptype2)/CurrencyUnit</f>
        <v>0</v>
      </c>
      <c r="I130" s="118"/>
      <c r="J130" s="109"/>
      <c r="K130" s="109"/>
      <c r="L130" s="109"/>
      <c r="M130" s="201" t="s">
        <v>160</v>
      </c>
      <c r="N130" s="210">
        <f ca="1">[1]!S_STM07_IS($D$4,61,N114,rptype3)/CurrencyUnit</f>
        <v>156.72870591</v>
      </c>
      <c r="O130" s="210">
        <f ca="1">[1]!S_STM07_IS($D$4,61,O114,rptype4)/CurrencyUnit</f>
        <v>200.42045977000001</v>
      </c>
      <c r="P130" s="210">
        <f ca="1">[1]!S_STM07_IS($D$4,61,P114,rptype5)/CurrencyUnit</f>
        <v>211.19419571</v>
      </c>
      <c r="Q130" s="373">
        <f ca="1">[1]!S_STM07_IS($D$4,61,Q114,rptype)/CurrencyUnit</f>
        <v>320.50602436999998</v>
      </c>
      <c r="R130" s="373"/>
      <c r="S130" s="373"/>
      <c r="T130" s="373"/>
      <c r="U130" s="210">
        <f ca="1">[1]!S_STM07_IS($D$4,61,U114,rptype2)/CurrencyUnit</f>
        <v>0</v>
      </c>
      <c r="V130" s="210">
        <f ca="1">[1]!s_est_netprofit($D$4,YEAR(V114),$D$5)/CurrencyUnit</f>
        <v>691.53682857000001</v>
      </c>
      <c r="W130" s="24"/>
    </row>
    <row r="131" spans="2:23" ht="17.25" thickTop="1">
      <c r="B131" s="24"/>
      <c r="C131" s="153" t="s">
        <v>301</v>
      </c>
      <c r="D131" s="181">
        <f ca="1">[1]!S_STM07_BS($D$4,32,N114,rptype3)/CurrencyUnit</f>
        <v>0.83692206000000002</v>
      </c>
      <c r="E131" s="181">
        <f ca="1">[1]!S_STM07_BS($D$4,32,O114,rptype4)/CurrencyUnit</f>
        <v>2.4949389100000001</v>
      </c>
      <c r="F131" s="181">
        <f ca="1">[1]!S_STM07_BS($D$4,32,P114,rptype5)/CurrencyUnit</f>
        <v>0</v>
      </c>
      <c r="G131" s="181">
        <f ca="1">[1]!S_STM07_BS($D$4,32,Q114,rptype)/CurrencyUnit</f>
        <v>14.53412674</v>
      </c>
      <c r="H131" s="181">
        <f ca="1">[1]!S_STM07_BS($D$4,32,U114,rptype2)/CurrencyUnit</f>
        <v>0</v>
      </c>
      <c r="I131" s="118"/>
      <c r="J131" s="108"/>
      <c r="K131" s="108"/>
      <c r="L131" s="108"/>
      <c r="M131" s="24"/>
      <c r="N131" s="24"/>
      <c r="O131" s="24"/>
      <c r="P131" s="24"/>
      <c r="Q131" s="365"/>
      <c r="R131" s="365"/>
      <c r="S131" s="365"/>
      <c r="T131" s="365"/>
      <c r="U131" s="24"/>
      <c r="V131" s="24"/>
      <c r="W131" s="24"/>
    </row>
    <row r="132" spans="2:23" ht="16.5">
      <c r="B132" s="24"/>
      <c r="C132" s="124" t="s">
        <v>302</v>
      </c>
      <c r="D132" s="182">
        <f ca="1">[1]!S_STM07_BS($D$4,33,N114,rptype3)/CurrencyUnit</f>
        <v>184.64361194</v>
      </c>
      <c r="E132" s="182">
        <f ca="1">[1]!S_STM07_BS($D$4,33,O114,rptype4)/CurrencyUnit</f>
        <v>216.17160078000001</v>
      </c>
      <c r="F132" s="182">
        <f ca="1">[1]!S_STM07_BS($D$4,33,P114,rptype5)/CurrencyUnit</f>
        <v>359.26774176999999</v>
      </c>
      <c r="G132" s="182">
        <f ca="1">[1]!S_STM07_BS($D$4,33,Q114,rptype)/CurrencyUnit</f>
        <v>386.01486254999998</v>
      </c>
      <c r="H132" s="182">
        <f ca="1">[1]!S_STM07_BS($D$4,33,U114,rptype2)/CurrencyUnit</f>
        <v>0</v>
      </c>
      <c r="I132" s="118"/>
      <c r="J132" s="108"/>
      <c r="K132" s="108"/>
      <c r="L132" s="108"/>
      <c r="M132" s="85" t="s">
        <v>327</v>
      </c>
      <c r="N132" s="178">
        <f ca="1">--IF(MONTH(O132)=6,YEAR(O132)&amp;"-03-31",IF(MONTH(O132)=9,YEAR(O132)&amp;"-06-30",IF(MONTH(O132)=12,YEAR(O132)&amp;"-09-30",YEAR(O132)-1&amp;"-12-31")))</f>
        <v>45473</v>
      </c>
      <c r="O132" s="178">
        <f ca="1">--IF(MONTH(P132)=6,YEAR(P132)&amp;"-03-31",IF(MONTH(P132)=9,YEAR(P132)&amp;"-06-30",IF(MONTH(P132)=12,YEAR(P132)&amp;"-09-30",YEAR(P132)-1&amp;"-12-31")))</f>
        <v>45565</v>
      </c>
      <c r="P132" s="178">
        <f ca="1">--IF(MONTH(Q132)=6,YEAR(Q132)&amp;"-03-31",IF(MONTH(Q132)=9,YEAR(Q132)&amp;"-06-30",IF(MONTH(Q132)=12,YEAR(Q132)&amp;"-09-30",YEAR(Q132)-1&amp;"-12-31")))</f>
        <v>45657</v>
      </c>
      <c r="Q132" s="366">
        <f ca="1">--IF(MONTH(U132)=6,YEAR(U132)&amp;"-03-31",IF(MONTH(U132)=9,YEAR(U132)&amp;"-06-30",IF(MONTH(U132)=12,YEAR(U132)&amp;"-09-30",YEAR(U132)-1&amp;"-12-31")))</f>
        <v>45747</v>
      </c>
      <c r="R132" s="366"/>
      <c r="S132" s="366"/>
      <c r="T132" s="366"/>
      <c r="U132" s="178">
        <f ca="1">--IF(MONTH(V132)=6,YEAR(V132)&amp;"-03-31",IF(MONTH(V132)=9,YEAR(V132)&amp;"-06-30",IF(MONTH(V132)=12,YEAR(V132)&amp;"-09-30",YEAR(V132)-1&amp;"-12-31")))</f>
        <v>45838</v>
      </c>
      <c r="V132" s="178">
        <f ca="1">--recentreportdate</f>
        <v>45930</v>
      </c>
      <c r="W132" s="24"/>
    </row>
    <row r="133" spans="2:23" ht="16.5">
      <c r="B133" s="24"/>
      <c r="C133" s="153" t="s">
        <v>303</v>
      </c>
      <c r="D133" s="181">
        <f ca="1">[1]!S_STM07_BS($D$4,37,N114,rptype3)/CurrencyUnit</f>
        <v>475.31349824</v>
      </c>
      <c r="E133" s="181">
        <f ca="1">[1]!S_STM07_BS($D$4,37,O114,rptype4)/CurrencyUnit</f>
        <v>682.79910055000005</v>
      </c>
      <c r="F133" s="181">
        <f ca="1">[1]!S_STM07_BS($D$4,37,P114,rptype5)/CurrencyUnit</f>
        <v>678.91999037000005</v>
      </c>
      <c r="G133" s="181">
        <f ca="1">[1]!S_STM07_BS($D$4,37,Q114,rptype)/CurrencyUnit</f>
        <v>685.88396650000004</v>
      </c>
      <c r="H133" s="181">
        <f ca="1">[1]!S_STM07_BS($D$4,37,U114,rptype2)/CurrencyUnit</f>
        <v>0</v>
      </c>
      <c r="I133" s="118"/>
      <c r="J133" s="108"/>
      <c r="K133" s="108"/>
      <c r="L133" s="108"/>
      <c r="M133" s="153" t="s">
        <v>70</v>
      </c>
      <c r="N133" s="185" t="str">
        <f ca="1">IF([1]!S_QSTM07_IS($D$4,9,N132,3)=0,"合并报表","合并报表(调整)")</f>
        <v>合并报表(调整)</v>
      </c>
      <c r="O133" s="185" t="str">
        <f ca="1">IF([1]!S_QSTM07_IS($D$4,9,O132,3)=0,"合并报表","合并报表(调整)")</f>
        <v>合并报表(调整)</v>
      </c>
      <c r="P133" s="185" t="str">
        <f ca="1">IF([1]!S_QSTM07_IS($D$4,9,P132,3)=0,"合并报表","合并报表(调整)")</f>
        <v>合并报表</v>
      </c>
      <c r="Q133" s="367" t="str">
        <f ca="1">IF([1]!S_QSTM07_IS($D$4,9,Q132,3)=0,"合并报表","合并报表(调整)")</f>
        <v>合并报表</v>
      </c>
      <c r="R133" s="367"/>
      <c r="S133" s="367"/>
      <c r="T133" s="367"/>
      <c r="U133" s="185" t="str">
        <f ca="1">IF([1]!S_QSTM07_IS($D$4,9,U132,3)=0,"合并报表","合并报表(调整)")</f>
        <v>合并报表</v>
      </c>
      <c r="V133" s="185" t="str">
        <f ca="1">IF([1]!S_QSTM07_IS($D$4,9,V132,3)=0,"合并报表","合并报表(调整)")</f>
        <v>合并报表</v>
      </c>
      <c r="W133" s="24"/>
    </row>
    <row r="134" spans="2:23" ht="16.5">
      <c r="B134" s="24"/>
      <c r="C134" s="124" t="s">
        <v>306</v>
      </c>
      <c r="D134" s="182">
        <f ca="1">[1]!S_STM07_BS($D$4,40,N114,rptype3)/CurrencyUnit</f>
        <v>17.24516259</v>
      </c>
      <c r="E134" s="182">
        <f ca="1">[1]!S_STM07_BS($D$4,40,O114,rptype4)/CurrencyUnit</f>
        <v>20.603152290000001</v>
      </c>
      <c r="F134" s="182">
        <f ca="1">[1]!S_STM07_BS($D$4,40,P114,rptype5)/CurrencyUnit</f>
        <v>25.341837460000001</v>
      </c>
      <c r="G134" s="182">
        <f ca="1">[1]!S_STM07_BS($D$4,40,Q114,rptype)/CurrencyUnit</f>
        <v>36.817401539999999</v>
      </c>
      <c r="H134" s="182">
        <f ca="1">[1]!S_STM07_BS($D$4,40,U114,rptype2)/CurrencyUnit</f>
        <v>0</v>
      </c>
      <c r="I134" s="118"/>
      <c r="J134" s="108"/>
      <c r="K134" s="108"/>
      <c r="L134" s="108"/>
      <c r="M134" s="124" t="s">
        <v>319</v>
      </c>
      <c r="N134" s="182">
        <f ca="1">IF([1]!S_QSTM07_IS($D$4,9,N132,3)/CurrencyUnit=0,[1]!S_QSTM07_IS($D$4,9,N132,1)/CurrencyUnit,[1]!S_QSTM07_IS($D$4,9,N132,3)/CurrencyUnit)</f>
        <v>756.39893065000001</v>
      </c>
      <c r="O134" s="182">
        <f ca="1">IF([1]!S_QSTM07_IS($D$4,9,O132,3)/CurrencyUnit=0,[1]!S_QSTM07_IS($D$4,9,O132,1)/CurrencyUnit,[1]!S_QSTM07_IS($D$4,9,O132,3)/CurrencyUnit)</f>
        <v>799.79965561999995</v>
      </c>
      <c r="P134" s="182">
        <f ca="1">IF([1]!S_QSTM07_IS($D$4,9,P132,3)/CurrencyUnit=0,[1]!S_QSTM07_IS($D$4,9,P132,1)/CurrencyUnit,[1]!S_QSTM07_IS($D$4,9,P132,3)/CurrencyUnit)</f>
        <v>732.43477134</v>
      </c>
      <c r="Q134" s="376">
        <f ca="1">IF([1]!S_QSTM07_IS($D$4,9,Q132,3)/CurrencyUnit=0,[1]!S_QSTM07_IS($D$4,9,Q132,1)/CurrencyUnit,[1]!S_QSTM07_IS($D$4,9,Q132,3)/CurrencyUnit)</f>
        <v>789.28282916000001</v>
      </c>
      <c r="R134" s="376"/>
      <c r="S134" s="376"/>
      <c r="T134" s="376"/>
      <c r="U134" s="182">
        <f ca="1">IF([1]!S_QSTM07_IS($D$4,9,U132,3)/CurrencyUnit=0,[1]!S_QSTM07_IS($D$4,9,U132,1)/CurrencyUnit,[1]!S_QSTM07_IS($D$4,9,U132,3)/CurrencyUnit)</f>
        <v>887.82570314999998</v>
      </c>
      <c r="V134" s="182">
        <f ca="1">IF([1]!S_QSTM07_IS($D$4,9,V132,3)/CurrencyUnit=0,[1]!S_QSTM07_IS($D$4,9,V132,1)/CurrencyUnit,[1]!S_QSTM07_IS($D$4,9,V132,3)/CurrencyUnit)</f>
        <v>864.88690009000004</v>
      </c>
      <c r="W134" s="24"/>
    </row>
    <row r="135" spans="2:23" ht="16.5">
      <c r="B135" s="24"/>
      <c r="C135" s="153" t="s">
        <v>304</v>
      </c>
      <c r="D135" s="181">
        <f ca="1">[1]!S_STM07_BS($D$4,41,N114,rptype3)/CurrencyUnit</f>
        <v>13.25642796</v>
      </c>
      <c r="E135" s="181">
        <f ca="1">[1]!S_STM07_BS($D$4,41,O114,rptype4)/CurrencyUnit</f>
        <v>16.473005100000002</v>
      </c>
      <c r="F135" s="181">
        <f ca="1">[1]!S_STM07_BS($D$4,41,P114,rptype5)/CurrencyUnit</f>
        <v>20.79296604</v>
      </c>
      <c r="G135" s="181">
        <f ca="1">[1]!S_STM07_BS($D$4,41,Q114,rptype)/CurrencyUnit</f>
        <v>21.417830980000002</v>
      </c>
      <c r="H135" s="181">
        <f ca="1">[1]!S_STM07_BS($D$4,41,U114,rptype2)/CurrencyUnit</f>
        <v>0</v>
      </c>
      <c r="I135" s="118"/>
      <c r="J135" s="108"/>
      <c r="K135" s="108"/>
      <c r="L135" s="108"/>
      <c r="M135" s="153" t="s">
        <v>330</v>
      </c>
      <c r="N135" s="181">
        <f ca="1">IF([1]!S_QSTM07_IS($D$4,10,N132,3)/CurrencyUnit=0,[1]!S_QSTM07_IS($D$4,10,N132,1)/CurrencyUnit,[1]!S_QSTM07_IS($D$4,10,N132,3)/CurrencyUnit)</f>
        <v>592.47822971000005</v>
      </c>
      <c r="O135" s="181">
        <f ca="1">IF([1]!S_QSTM07_IS($D$4,10,O132,3)/CurrencyUnit=0,[1]!S_QSTM07_IS($D$4,10,O132,1)/CurrencyUnit,[1]!S_QSTM07_IS($D$4,10,O132,3)/CurrencyUnit)</f>
        <v>637.88718625000001</v>
      </c>
      <c r="P135" s="181">
        <f ca="1">IF([1]!S_QSTM07_IS($D$4,10,P132,3)/CurrencyUnit=0,[1]!S_QSTM07_IS($D$4,10,P132,1)/CurrencyUnit,[1]!S_QSTM07_IS($D$4,10,P132,3)/CurrencyUnit)</f>
        <v>563.79702241999996</v>
      </c>
      <c r="Q135" s="377">
        <f ca="1">IF([1]!S_QSTM07_IS($D$4,10,Q132,3)/CurrencyUnit=0,[1]!S_QSTM07_IS($D$4,10,Q132,1)/CurrencyUnit,[1]!S_QSTM07_IS($D$4,10,Q132,3)/CurrencyUnit)</f>
        <v>608.64779361000001</v>
      </c>
      <c r="R135" s="377"/>
      <c r="S135" s="377"/>
      <c r="T135" s="377"/>
      <c r="U135" s="181">
        <f ca="1">IF([1]!S_QSTM07_IS($D$4,10,U132,3)/CurrencyUnit=0,[1]!S_QSTM07_IS($D$4,10,U132,1)/CurrencyUnit,[1]!S_QSTM07_IS($D$4,10,U132,3)/CurrencyUnit)</f>
        <v>670.13198075000003</v>
      </c>
      <c r="V135" s="181">
        <f ca="1">IF([1]!S_QSTM07_IS($D$4,10,V132,3)/CurrencyUnit=0,[1]!S_QSTM07_IS($D$4,10,V132,1)/CurrencyUnit,[1]!S_QSTM07_IS($D$4,10,V132,3)/CurrencyUnit)</f>
        <v>629.38478070999997</v>
      </c>
      <c r="W135" s="24"/>
    </row>
    <row r="136" spans="2:23" ht="16.5">
      <c r="B136" s="24"/>
      <c r="C136" s="124" t="s">
        <v>305</v>
      </c>
      <c r="D136" s="182">
        <f ca="1">D137-SUM(D127:D135)</f>
        <v>366.86194557999966</v>
      </c>
      <c r="E136" s="182">
        <f ca="1">E137-SUM(E127:E135)</f>
        <v>593.50300434000019</v>
      </c>
      <c r="F136" s="182">
        <f t="shared" ref="F136:H136" ca="1" si="12">F137-SUM(F127:F135)</f>
        <v>751.51700050999966</v>
      </c>
      <c r="G136" s="182">
        <f t="shared" ca="1" si="12"/>
        <v>905.30217484000013</v>
      </c>
      <c r="H136" s="182">
        <f t="shared" ca="1" si="12"/>
        <v>0</v>
      </c>
      <c r="I136" s="118"/>
      <c r="J136" s="108"/>
      <c r="K136" s="108"/>
      <c r="L136" s="108"/>
      <c r="M136" s="124" t="s">
        <v>329</v>
      </c>
      <c r="N136" s="182">
        <f ca="1">IF([1]!S_QSTM07_IS($D$4,11,N132,3)/CurrencyUnit=0,[1]!S_QSTM07_IS($D$4,11,N132,1)/CurrencyUnit,[1]!S_QSTM07_IS($D$4,11,N132,3)/CurrencyUnit)</f>
        <v>14.80705195</v>
      </c>
      <c r="O136" s="182">
        <f ca="1">IF([1]!S_QSTM07_IS($D$4,11,O132,3)/CurrencyUnit=0,[1]!S_QSTM07_IS($D$4,11,O132,1)/CurrencyUnit,[1]!S_QSTM07_IS($D$4,11,O132,3)/CurrencyUnit)</f>
        <v>14.844873570000001</v>
      </c>
      <c r="P136" s="182">
        <f ca="1">IF([1]!S_QSTM07_IS($D$4,11,P132,3)/CurrencyUnit=0,[1]!S_QSTM07_IS($D$4,11,P132,1)/CurrencyUnit,[1]!S_QSTM07_IS($D$4,11,P132,3)/CurrencyUnit)</f>
        <v>16.24770586</v>
      </c>
      <c r="Q136" s="368">
        <f ca="1">IF([1]!S_QSTM07_IS($D$4,11,Q132,3)/CurrencyUnit=0,[1]!S_QSTM07_IS($D$4,11,Q132,1)/CurrencyUnit,[1]!S_QSTM07_IS($D$4,11,Q132,3)/CurrencyUnit)</f>
        <v>17.738668659999998</v>
      </c>
      <c r="R136" s="368"/>
      <c r="S136" s="368"/>
      <c r="T136" s="368"/>
      <c r="U136" s="182">
        <f ca="1">IF([1]!S_QSTM07_IS($D$4,11,U132,3)/CurrencyUnit=0,[1]!S_QSTM07_IS($D$4,11,U132,1)/CurrencyUnit,[1]!S_QSTM07_IS($D$4,11,U132,3)/CurrencyUnit)</f>
        <v>18.005427770000001</v>
      </c>
      <c r="V136" s="182">
        <f ca="1">IF([1]!S_QSTM07_IS($D$4,11,V132,3)/CurrencyUnit=0,[1]!S_QSTM07_IS($D$4,11,V132,1)/CurrencyUnit,[1]!S_QSTM07_IS($D$4,11,V132,3)/CurrencyUnit)</f>
        <v>24.2633592</v>
      </c>
      <c r="W136" s="24"/>
    </row>
    <row r="137" spans="2:23" ht="16.5">
      <c r="B137" s="24"/>
      <c r="C137" s="188" t="s">
        <v>265</v>
      </c>
      <c r="D137" s="204">
        <f ca="1">[1]!S_STM07_BS($D$4,46,N114,rptype3)/CurrencyUnit</f>
        <v>1615.30384682</v>
      </c>
      <c r="E137" s="204">
        <f ca="1">[1]!S_STM07_BS($D$4,46,O114,rptype4)/CurrencyUnit</f>
        <v>2263.9967993800001</v>
      </c>
      <c r="F137" s="204">
        <f ca="1">[1]!S_STM07_BS($D$4,46,P114,rptype5)/CurrencyUnit</f>
        <v>2653.7716595699999</v>
      </c>
      <c r="G137" s="204">
        <f ca="1">[1]!S_STM07_BS($D$4,46,Q114,rptype)/CurrencyUnit</f>
        <v>2976.7169551100001</v>
      </c>
      <c r="H137" s="204">
        <f ca="1">[1]!S_STM07_BS($D$4,46,U114,rptype2)/CurrencyUnit</f>
        <v>0</v>
      </c>
      <c r="I137" s="118"/>
      <c r="J137" s="109"/>
      <c r="K137" s="109"/>
      <c r="L137" s="109"/>
      <c r="M137" s="153" t="s">
        <v>322</v>
      </c>
      <c r="N137" s="181">
        <f ca="1">IF([1]!S_QSTM07_IS($D$4,12,N132,3)/CurrencyUnit=0,[1]!S_QSTM07_IS($D$4,12,N132,1)/CurrencyUnit,[1]!S_QSTM07_IS($D$4,12,N132,3)/CurrencyUnit)</f>
        <v>1.64643546</v>
      </c>
      <c r="O137" s="181">
        <f ca="1">IF([1]!S_QSTM07_IS($D$4,12,O132,3)/CurrencyUnit=0,[1]!S_QSTM07_IS($D$4,12,O132,1)/CurrencyUnit,[1]!S_QSTM07_IS($D$4,12,O132,3)/CurrencyUnit)</f>
        <v>1.78713415</v>
      </c>
      <c r="P137" s="181">
        <f ca="1">IF([1]!S_QSTM07_IS($D$4,12,P132,3)/CurrencyUnit=0,[1]!S_QSTM07_IS($D$4,12,P132,1)/CurrencyUnit,[1]!S_QSTM07_IS($D$4,12,P132,3)/CurrencyUnit)</f>
        <v>2.1505918799999999</v>
      </c>
      <c r="Q137" s="369">
        <f ca="1">IF([1]!S_QSTM07_IS($D$4,12,Q132,3)/CurrencyUnit=0,[1]!S_QSTM07_IS($D$4,12,Q132,1)/CurrencyUnit,[1]!S_QSTM07_IS($D$4,12,Q132,3)/CurrencyUnit)</f>
        <v>1.87370817</v>
      </c>
      <c r="R137" s="369"/>
      <c r="S137" s="369"/>
      <c r="T137" s="369"/>
      <c r="U137" s="181">
        <f ca="1">IF([1]!S_QSTM07_IS($D$4,12,U132,3)/CurrencyUnit=0,[1]!S_QSTM07_IS($D$4,12,U132,1)/CurrencyUnit,[1]!S_QSTM07_IS($D$4,12,U132,3)/CurrencyUnit)</f>
        <v>2.0025273600000002</v>
      </c>
      <c r="V137" s="181">
        <f ca="1">IF([1]!S_QSTM07_IS($D$4,12,V132,3)/CurrencyUnit=0,[1]!S_QSTM07_IS($D$4,12,V132,1)/CurrencyUnit,[1]!S_QSTM07_IS($D$4,12,V132,3)/CurrencyUnit)</f>
        <v>1.99390405</v>
      </c>
      <c r="W137" s="24"/>
    </row>
    <row r="138" spans="2:23" ht="17.25" thickBot="1">
      <c r="B138" s="24"/>
      <c r="C138" s="190" t="s">
        <v>264</v>
      </c>
      <c r="D138" s="205">
        <f ca="1">[1]!S_STM07_BS($D$4,74,N114,rptype3)/CurrencyUnit</f>
        <v>2085.9467812299999</v>
      </c>
      <c r="E138" s="205">
        <f ca="1">[1]!S_STM07_BS($D$4,74,O114,rptype4)/CurrencyUnit</f>
        <v>3060.4413946999998</v>
      </c>
      <c r="F138" s="205">
        <f ca="1">[1]!S_STM07_BS($D$4,74,P114,rptype5)/CurrencyUnit</f>
        <v>3430.0570601200002</v>
      </c>
      <c r="G138" s="205">
        <f ca="1">[1]!S_STM07_BS($D$4,74,Q114,rptype)/CurrencyUnit</f>
        <v>3966.1073002600001</v>
      </c>
      <c r="H138" s="205">
        <f ca="1">[1]!S_STM07_BS($D$4,74,U114,rptype2)/CurrencyUnit</f>
        <v>0</v>
      </c>
      <c r="I138" s="118"/>
      <c r="J138" s="109"/>
      <c r="K138" s="109"/>
      <c r="L138" s="109"/>
      <c r="M138" s="124" t="s">
        <v>323</v>
      </c>
      <c r="N138" s="182">
        <f ca="1">IF([1]!S_QSTM07_IS($D$4,13,N132,3)/CurrencyUnit=0,[1]!S_QSTM07_IS($D$4,13,N132,1)/CurrencyUnit,[1]!S_QSTM07_IS($D$4,13,N132,3)/CurrencyUnit)</f>
        <v>16.37029149</v>
      </c>
      <c r="O138" s="182">
        <f ca="1">IF([1]!S_QSTM07_IS($D$4,13,O132,3)/CurrencyUnit=0,[1]!S_QSTM07_IS($D$4,13,O132,1)/CurrencyUnit,[1]!S_QSTM07_IS($D$4,13,O132,3)/CurrencyUnit)</f>
        <v>17.21536833</v>
      </c>
      <c r="P138" s="182">
        <f ca="1">IF([1]!S_QSTM07_IS($D$4,13,P132,3)/CurrencyUnit=0,[1]!S_QSTM07_IS($D$4,13,P132,1)/CurrencyUnit,[1]!S_QSTM07_IS($D$4,13,P132,3)/CurrencyUnit)</f>
        <v>25.82962461</v>
      </c>
      <c r="Q138" s="368">
        <f ca="1">IF([1]!S_QSTM07_IS($D$4,13,Q132,3)/CurrencyUnit=0,[1]!S_QSTM07_IS($D$4,13,Q132,1)/CurrencyUnit,[1]!S_QSTM07_IS($D$4,13,Q132,3)/CurrencyUnit)</f>
        <v>21.66797086</v>
      </c>
      <c r="R138" s="368"/>
      <c r="S138" s="368"/>
      <c r="T138" s="368"/>
      <c r="U138" s="182">
        <f ca="1">IF([1]!S_QSTM07_IS($D$4,13,U132,3)/CurrencyUnit=0,[1]!S_QSTM07_IS($D$4,13,U132,1)/CurrencyUnit,[1]!S_QSTM07_IS($D$4,13,U132,3)/CurrencyUnit)</f>
        <v>20.877569789999999</v>
      </c>
      <c r="V138" s="182">
        <f ca="1">IF([1]!S_QSTM07_IS($D$4,13,V132,3)/CurrencyUnit=0,[1]!S_QSTM07_IS($D$4,13,V132,1)/CurrencyUnit,[1]!S_QSTM07_IS($D$4,13,V132,3)/CurrencyUnit)</f>
        <v>26.537437099999998</v>
      </c>
      <c r="W138" s="24"/>
    </row>
    <row r="139" spans="2:23" ht="17.25" thickTop="1">
      <c r="B139" s="24"/>
      <c r="C139" s="153" t="s">
        <v>315</v>
      </c>
      <c r="D139" s="181">
        <f ca="1">[1]!S_STM07_BS($D$4,75,N114,rptype3)/CurrencyUnit</f>
        <v>182.29100790999999</v>
      </c>
      <c r="E139" s="181">
        <f ca="1">[1]!S_STM07_BS($D$4,75,O114,rptype4)/CurrencyUnit</f>
        <v>236.66315501</v>
      </c>
      <c r="F139" s="181">
        <f ca="1">[1]!S_STM07_BS($D$4,75,P114,rptype5)/CurrencyUnit</f>
        <v>209.89471669</v>
      </c>
      <c r="G139" s="181">
        <f ca="1">[1]!S_STM07_BS($D$4,75,Q114,rptype)/CurrencyUnit</f>
        <v>307.13247982000001</v>
      </c>
      <c r="H139" s="181">
        <f ca="1">[1]!S_STM07_BS($D$4,75,U114,rptype2)/CurrencyUnit</f>
        <v>0</v>
      </c>
      <c r="I139" s="191"/>
      <c r="J139" s="129"/>
      <c r="K139" s="129"/>
      <c r="L139" s="129"/>
      <c r="M139" s="153" t="s">
        <v>331</v>
      </c>
      <c r="N139" s="181">
        <f ca="1">IF([1]!S_QSTM07_IS($D$4,14,N132,1)/CurrencyUnit=0,[1]!S_QSTM07_IS($D$4,14,N132,1)/CurrencyUnit,[1]!S_QSTM07_IS($D$4,14,N132,1)/CurrencyUnit)</f>
        <v>5.5363918600000002</v>
      </c>
      <c r="O139" s="181">
        <f ca="1">IF([1]!S_QSTM07_IS($D$4,14,O132,1)/CurrencyUnit=0,[1]!S_QSTM07_IS($D$4,14,O132,1)/CurrencyUnit,[1]!S_QSTM07_IS($D$4,14,O132,1)/CurrencyUnit)</f>
        <v>8.9836060900000003</v>
      </c>
      <c r="P139" s="181">
        <f ca="1">IF([1]!S_QSTM07_IS($D$4,14,P132,1)/CurrencyUnit=0,[1]!S_QSTM07_IS($D$4,14,P132,1)/CurrencyUnit,[1]!S_QSTM07_IS($D$4,14,P132,1)/CurrencyUnit)</f>
        <v>-2.2577351800000001</v>
      </c>
      <c r="Q139" s="369">
        <f ca="1">IF([1]!S_QSTM07_IS($D$4,14,Q132,1)/CurrencyUnit=0,[1]!S_QSTM07_IS($D$4,14,Q132,1)/CurrencyUnit,[1]!S_QSTM07_IS($D$4,14,Q132,1)/CurrencyUnit)</f>
        <v>5.5647903400000001</v>
      </c>
      <c r="R139" s="369"/>
      <c r="S139" s="369"/>
      <c r="T139" s="369"/>
      <c r="U139" s="181">
        <f ca="1">IF([1]!S_QSTM07_IS($D$4,14,U132,1)/CurrencyUnit=0,[1]!S_QSTM07_IS($D$4,14,U132,1)/CurrencyUnit,[1]!S_QSTM07_IS($D$4,14,U132,1)/CurrencyUnit)</f>
        <v>6.17689559</v>
      </c>
      <c r="V139" s="181">
        <f ca="1">IF([1]!S_QSTM07_IS($D$4,14,V132,1)/CurrencyUnit=0,[1]!S_QSTM07_IS($D$4,14,V132,1)/CurrencyUnit,[1]!S_QSTM07_IS($D$4,14,V132,1)/CurrencyUnit)</f>
        <v>5.87508432</v>
      </c>
      <c r="W139" s="24"/>
    </row>
    <row r="140" spans="2:23" ht="16.5">
      <c r="B140" s="24"/>
      <c r="C140" s="124" t="s">
        <v>316</v>
      </c>
      <c r="D140" s="182">
        <f ca="1">[1]!S_STM07_BS($D$4,76,N114,rptype3)/CurrencyUnit</f>
        <v>1.5681235600000001</v>
      </c>
      <c r="E140" s="182">
        <f ca="1">[1]!S_STM07_BS($D$4,76,O114,rptype4)/CurrencyUnit</f>
        <v>5.4050347500000004</v>
      </c>
      <c r="F140" s="182">
        <f ca="1">[1]!S_STM07_BS($D$4,76,P114,rptype5)/CurrencyUnit</f>
        <v>16.8882318</v>
      </c>
      <c r="G140" s="182">
        <f ca="1">[1]!S_STM07_BS($D$4,76,Q114,rptype)/CurrencyUnit</f>
        <v>0</v>
      </c>
      <c r="H140" s="182">
        <f ca="1">[1]!S_STM07_BS($D$4,76,U114,rptype2)/CurrencyUnit</f>
        <v>0</v>
      </c>
      <c r="I140" s="192"/>
      <c r="J140" s="130"/>
      <c r="K140" s="130"/>
      <c r="L140" s="130"/>
      <c r="M140" s="124" t="s">
        <v>274</v>
      </c>
      <c r="N140" s="182">
        <f ca="1">IF([1]!S_QSTM07_IS($D$4,15,N132,1)/CurrencyUnit=0,[1]!S_QSTM07_IS($D$4,15,N132,1)/CurrencyUnit,[1]!S_QSTM07_IS($D$4,15,N132,1)/CurrencyUnit)</f>
        <v>-0.27973568999999998</v>
      </c>
      <c r="O140" s="182">
        <f ca="1">IF([1]!S_QSTM07_IS($D$4,15,O132,1)/CurrencyUnit=0,[1]!S_QSTM07_IS($D$4,15,O132,1)/CurrencyUnit,[1]!S_QSTM07_IS($D$4,15,O132,1)/CurrencyUnit)</f>
        <v>-1.0877422400000001</v>
      </c>
      <c r="P140" s="182">
        <f ca="1">IF([1]!S_QSTM07_IS($D$4,15,P132,1)/CurrencyUnit=0,[1]!S_QSTM07_IS($D$4,15,P132,1)/CurrencyUnit,[1]!S_QSTM07_IS($D$4,15,P132,1)/CurrencyUnit)</f>
        <v>-6.0935018799999998</v>
      </c>
      <c r="Q140" s="368">
        <f ca="1">IF([1]!S_QSTM07_IS($D$4,15,Q132,1)/CurrencyUnit=0,[1]!S_QSTM07_IS($D$4,15,Q132,1)/CurrencyUnit,[1]!S_QSTM07_IS($D$4,15,Q132,1)/CurrencyUnit)</f>
        <v>-0.21859327000000001</v>
      </c>
      <c r="R140" s="368"/>
      <c r="S140" s="368"/>
      <c r="T140" s="368"/>
      <c r="U140" s="182">
        <f ca="1">IF([1]!S_QSTM07_IS($D$4,15,U132,1)/CurrencyUnit=0,[1]!S_QSTM07_IS($D$4,15,U132,1)/CurrencyUnit,[1]!S_QSTM07_IS($D$4,15,U132,1)/CurrencyUnit)</f>
        <v>-0.14182310000000001</v>
      </c>
      <c r="V140" s="182">
        <f ca="1">IF([1]!S_QSTM07_IS($D$4,15,V132,1)/CurrencyUnit=0,[1]!S_QSTM07_IS($D$4,15,V132,1)/CurrencyUnit,[1]!S_QSTM07_IS($D$4,15,V132,1)/CurrencyUnit)</f>
        <v>-0.75078168999999995</v>
      </c>
      <c r="W140" s="24"/>
    </row>
    <row r="141" spans="2:23" ht="16.5">
      <c r="B141" s="24"/>
      <c r="C141" s="153" t="s">
        <v>317</v>
      </c>
      <c r="D141" s="181">
        <f ca="1">[1]!S_STM07_BS($D$4,77,N114,rptype3)/CurrencyUnit</f>
        <v>3.9438058800000002</v>
      </c>
      <c r="E141" s="181">
        <f ca="1">[1]!S_STM07_BS($D$4,77,O114,rptype4)/CurrencyUnit</f>
        <v>17.35484847</v>
      </c>
      <c r="F141" s="181">
        <f ca="1">[1]!S_STM07_BS($D$4,77,P114,rptype5)/CurrencyUnit</f>
        <v>18.558103500000001</v>
      </c>
      <c r="G141" s="181">
        <f ca="1">[1]!S_STM07_BS($D$4,77,Q114,rptype)/CurrencyUnit</f>
        <v>24.049434909999999</v>
      </c>
      <c r="H141" s="181">
        <f ca="1">[1]!S_STM07_BS($D$4,77,U114,rptype2)/CurrencyUnit</f>
        <v>0</v>
      </c>
      <c r="I141" s="192"/>
      <c r="J141" s="130"/>
      <c r="K141" s="130"/>
      <c r="L141" s="130"/>
      <c r="M141" s="153" t="s">
        <v>275</v>
      </c>
      <c r="N141" s="181">
        <f ca="1">IF([1]!S_QSTM07_IS($D$4,16,N132,1)/CurrencyUnit=0,[1]!S_QSTM07_IS($D$4,16,N132,1)/CurrencyUnit,[1]!S_QSTM07_IS($D$4,16,N132,1)/CurrencyUnit)</f>
        <v>-6.4108441200000001</v>
      </c>
      <c r="O141" s="181">
        <f ca="1">IF([1]!S_QSTM07_IS($D$4,16,O132,1)/CurrencyUnit=0,[1]!S_QSTM07_IS($D$4,16,O132,1)/CurrencyUnit,[1]!S_QSTM07_IS($D$4,16,O132,1)/CurrencyUnit)</f>
        <v>15.875271550000001</v>
      </c>
      <c r="P141" s="181">
        <f ca="1">IF([1]!S_QSTM07_IS($D$4,16,P132,1)/CurrencyUnit=0,[1]!S_QSTM07_IS($D$4,16,P132,1)/CurrencyUnit,[1]!S_QSTM07_IS($D$4,16,P132,1)/CurrencyUnit)</f>
        <v>-0.59731944000000003</v>
      </c>
      <c r="Q141" s="369">
        <f ca="1">IF([1]!S_QSTM07_IS($D$4,16,Q132,1)/CurrencyUnit=0,[1]!S_QSTM07_IS($D$4,16,Q132,1)/CurrencyUnit,[1]!S_QSTM07_IS($D$4,16,Q132,1)/CurrencyUnit)</f>
        <v>4.7799939599999997</v>
      </c>
      <c r="R141" s="369"/>
      <c r="S141" s="369"/>
      <c r="T141" s="369"/>
      <c r="U141" s="181">
        <f ca="1">IF([1]!S_QSTM07_IS($D$4,16,U132,1)/CurrencyUnit=0,[1]!S_QSTM07_IS($D$4,16,U132,1)/CurrencyUnit,[1]!S_QSTM07_IS($D$4,16,U132,1)/CurrencyUnit)</f>
        <v>7.7274635299999996</v>
      </c>
      <c r="V141" s="181">
        <f ca="1">IF([1]!S_QSTM07_IS($D$4,16,V132,1)/CurrencyUnit=0,[1]!S_QSTM07_IS($D$4,16,V132,1)/CurrencyUnit,[1]!S_QSTM07_IS($D$4,16,V132,1)/CurrencyUnit)</f>
        <v>17.724068890000002</v>
      </c>
      <c r="W141" s="24"/>
    </row>
    <row r="142" spans="2:23" ht="16.5">
      <c r="B142" s="24"/>
      <c r="C142" s="124" t="s">
        <v>310</v>
      </c>
      <c r="D142" s="182">
        <f ca="1">[1]!S_STM07_BS($D$4,78,N114,rptype3)/CurrencyUnit</f>
        <v>74.423184230000004</v>
      </c>
      <c r="E142" s="182">
        <f ca="1">[1]!S_STM07_BS($D$4,78,O114,rptype4)/CurrencyUnit</f>
        <v>117.57464637</v>
      </c>
      <c r="F142" s="182">
        <f ca="1">[1]!S_STM07_BS($D$4,78,P114,rptype5)/CurrencyUnit</f>
        <v>144.28441602000001</v>
      </c>
      <c r="G142" s="182">
        <f ca="1">[1]!S_STM07_BS($D$4,78,Q114,rptype)/CurrencyUnit</f>
        <v>184.22703111999999</v>
      </c>
      <c r="H142" s="182">
        <f ca="1">[1]!S_STM07_BS($D$4,78,U114,rptype2)/CurrencyUnit</f>
        <v>0</v>
      </c>
      <c r="I142" s="192"/>
      <c r="J142" s="130"/>
      <c r="K142" s="130"/>
      <c r="L142" s="130"/>
      <c r="M142" s="124" t="s">
        <v>267</v>
      </c>
      <c r="N142" s="182">
        <f ca="1">IF([1]!S_QSTM07_IS($D$4,17,N132,1)/CurrencyUnit=0,[1]!S_QSTM07_IS($D$4,17,N132,1)/CurrencyUnit,[1]!S_QSTM07_IS($D$4,17,N132,1)/CurrencyUnit)</f>
        <v>12.39714328</v>
      </c>
      <c r="O142" s="182">
        <f ca="1">IF([1]!S_QSTM07_IS($D$4,17,O132,1)/CurrencyUnit=0,[1]!S_QSTM07_IS($D$4,17,O132,1)/CurrencyUnit,[1]!S_QSTM07_IS($D$4,17,O132,1)/CurrencyUnit)</f>
        <v>8.1873550300000009</v>
      </c>
      <c r="P142" s="182">
        <f ca="1">IF([1]!S_QSTM07_IS($D$4,17,P132,1)/CurrencyUnit=0,[1]!S_QSTM07_IS($D$4,17,P132,1)/CurrencyUnit,[1]!S_QSTM07_IS($D$4,17,P132,1)/CurrencyUnit)</f>
        <v>11.709605</v>
      </c>
      <c r="Q142" s="368">
        <f ca="1">IF([1]!S_QSTM07_IS($D$4,17,Q132,1)/CurrencyUnit=0,[1]!S_QSTM07_IS($D$4,17,Q132,1)/CurrencyUnit,[1]!S_QSTM07_IS($D$4,17,Q132,1)/CurrencyUnit)</f>
        <v>15.27054817</v>
      </c>
      <c r="R142" s="368"/>
      <c r="S142" s="368"/>
      <c r="T142" s="368"/>
      <c r="U142" s="182">
        <f ca="1">IF([1]!S_QSTM07_IS($D$4,17,U132,1)/CurrencyUnit=0,[1]!S_QSTM07_IS($D$4,17,U132,1)/CurrencyUnit,[1]!S_QSTM07_IS($D$4,17,U132,1)/CurrencyUnit)</f>
        <v>24.616795580000002</v>
      </c>
      <c r="V142" s="182">
        <f ca="1">IF([1]!S_QSTM07_IS($D$4,17,V132,1)/CurrencyUnit=0,[1]!S_QSTM07_IS($D$4,17,V132,1)/CurrencyUnit,[1]!S_QSTM07_IS($D$4,17,V132,1)/CurrencyUnit)</f>
        <v>22.72506976</v>
      </c>
      <c r="W142" s="24"/>
    </row>
    <row r="143" spans="2:23" ht="16.5">
      <c r="B143" s="24"/>
      <c r="C143" s="153" t="s">
        <v>311</v>
      </c>
      <c r="D143" s="181">
        <f ca="1">[1]!S_STM07_BS($D$4,79,N114,rptype3)/CurrencyUnit</f>
        <v>0</v>
      </c>
      <c r="E143" s="181">
        <f ca="1">[1]!S_STM07_BS($D$4,79,O114,rptype4)/CurrencyUnit</f>
        <v>0.88648941000000003</v>
      </c>
      <c r="F143" s="181">
        <f ca="1">[1]!S_STM07_BS($D$4,79,P114,rptype5)/CurrencyUnit</f>
        <v>0.86862972000000005</v>
      </c>
      <c r="G143" s="181">
        <f ca="1">[1]!S_STM07_BS($D$4,79,Q114,rptype)/CurrencyUnit</f>
        <v>0.84344304000000003</v>
      </c>
      <c r="H143" s="181">
        <f ca="1">[1]!S_STM07_BS($D$4,79,U114,rptype2)/CurrencyUnit</f>
        <v>0</v>
      </c>
      <c r="I143" s="192"/>
      <c r="J143" s="130"/>
      <c r="K143" s="130"/>
      <c r="L143" s="130"/>
      <c r="M143" s="199" t="s">
        <v>124</v>
      </c>
      <c r="N143" s="202">
        <f ca="1">IF([1]!S_QSTM07_IS($D$4,48,N132,3)/CurrencyUnit=0,[1]!S_QSTM07_IS($D$4,48,N132,1)/CurrencyUnit,[1]!S_QSTM07_IS($D$4,48,N132,3)/CurrencyUnit)</f>
        <v>129.0316086</v>
      </c>
      <c r="O143" s="202">
        <f ca="1">IF([1]!S_QSTM07_IS($D$4,48,O132,3)/CurrencyUnit=0,[1]!S_QSTM07_IS($D$4,48,O132,1)/CurrencyUnit,[1]!S_QSTM07_IS($D$4,48,O132,3)/CurrencyUnit)</f>
        <v>138.63778216</v>
      </c>
      <c r="P143" s="202">
        <f ca="1">IF([1]!S_QSTM07_IS($D$4,48,P132,3)/CurrencyUnit=0,[1]!S_QSTM07_IS($D$4,48,P132,1)/CurrencyUnit,[1]!S_QSTM07_IS($D$4,48,P132,3)/CurrencyUnit)</f>
        <v>129.78801892999999</v>
      </c>
      <c r="Q143" s="378">
        <f ca="1">IF([1]!S_QSTM07_IS($D$4,48,Q132,3)/CurrencyUnit=0,[1]!S_QSTM07_IS($D$4,48,Q132,1)/CurrencyUnit,[1]!S_QSTM07_IS($D$4,48,Q132,3)/CurrencyUnit)</f>
        <v>151.41279291000001</v>
      </c>
      <c r="R143" s="378"/>
      <c r="S143" s="378"/>
      <c r="T143" s="378"/>
      <c r="U143" s="202">
        <f ca="1">IF([1]!S_QSTM07_IS($D$4,48,U132,3)/CurrencyUnit=0,[1]!S_QSTM07_IS($D$4,48,U132,1)/CurrencyUnit,[1]!S_QSTM07_IS($D$4,48,U132,3)/CurrencyUnit)</f>
        <v>199.59342294999999</v>
      </c>
      <c r="V143" s="202">
        <f ca="1">IF([1]!S_QSTM07_IS($D$4,48,V132,3)/CurrencyUnit=0,[1]!S_QSTM07_IS($D$4,48,V132,1)/CurrencyUnit,[1]!S_QSTM07_IS($D$4,48,V132,3)/CurrencyUnit)</f>
        <v>213.62389327</v>
      </c>
      <c r="W143" s="24"/>
    </row>
    <row r="144" spans="2:23" ht="16.5">
      <c r="B144" s="24"/>
      <c r="C144" s="124" t="s">
        <v>312</v>
      </c>
      <c r="D144" s="182">
        <f ca="1">[1]!S_STM07_BS($D$4,84,N114,rptype3)/CurrencyUnit</f>
        <v>74.802957180000007</v>
      </c>
      <c r="E144" s="182">
        <f ca="1">[1]!S_STM07_BS($D$4,84,O114,rptype4)/CurrencyUnit</f>
        <v>95.353617839999998</v>
      </c>
      <c r="F144" s="182">
        <f ca="1">[1]!S_STM07_BS($D$4,84,P114,rptype5)/CurrencyUnit</f>
        <v>122.27974807</v>
      </c>
      <c r="G144" s="182">
        <f ca="1">[1]!S_STM07_BS($D$4,84,Q114,rptype)/CurrencyUnit</f>
        <v>124.42374632000001</v>
      </c>
      <c r="H144" s="182">
        <f ca="1">[1]!S_STM07_BS($D$4,84,U114,rptype2)/CurrencyUnit</f>
        <v>0</v>
      </c>
      <c r="I144" s="192"/>
      <c r="J144" s="130"/>
      <c r="K144" s="130"/>
      <c r="L144" s="130"/>
      <c r="M144" s="124" t="s">
        <v>318</v>
      </c>
      <c r="N144" s="182">
        <f ca="1">IF([1]!S_QSTM07_IS($D$4,49,N132,3)/CurrencyUnit=0,[1]!S_QSTM07_IS($D$4,49,N132,1)/CurrencyUnit,[1]!S_QSTM07_IS($D$4,49,N132,3)/CurrencyUnit)</f>
        <v>0.17514899</v>
      </c>
      <c r="O144" s="182">
        <f ca="1">IF([1]!S_QSTM07_IS($D$4,49,O132,3)/CurrencyUnit=0,[1]!S_QSTM07_IS($D$4,49,O132,1)/CurrencyUnit,[1]!S_QSTM07_IS($D$4,49,O132,3)/CurrencyUnit)</f>
        <v>0.29358622000000001</v>
      </c>
      <c r="P144" s="182">
        <f ca="1">IF([1]!S_QSTM07_IS($D$4,49,P132,3)/CurrencyUnit=0,[1]!S_QSTM07_IS($D$4,49,P132,1)/CurrencyUnit,[1]!S_QSTM07_IS($D$4,49,P132,3)/CurrencyUnit)</f>
        <v>0.65911081999999999</v>
      </c>
      <c r="Q144" s="368">
        <f ca="1">IF([1]!S_QSTM07_IS($D$4,49,Q132,3)/CurrencyUnit=0,[1]!S_QSTM07_IS($D$4,49,Q132,1)/CurrencyUnit,[1]!S_QSTM07_IS($D$4,49,Q132,3)/CurrencyUnit)</f>
        <v>0.15707599</v>
      </c>
      <c r="R144" s="368"/>
      <c r="S144" s="368"/>
      <c r="T144" s="368"/>
      <c r="U144" s="182">
        <f ca="1">IF([1]!S_QSTM07_IS($D$4,49,U132,3)/CurrencyUnit=0,[1]!S_QSTM07_IS($D$4,49,U132,1)/CurrencyUnit,[1]!S_QSTM07_IS($D$4,49,U132,3)/CurrencyUnit)</f>
        <v>0.33974322000000001</v>
      </c>
      <c r="V144" s="182">
        <f ca="1">IF([1]!S_QSTM07_IS($D$4,49,V132,3)/CurrencyUnit=0,[1]!S_QSTM07_IS($D$4,49,V132,1)/CurrencyUnit,[1]!S_QSTM07_IS($D$4,49,V132,3)/CurrencyUnit)</f>
        <v>0.33182865</v>
      </c>
      <c r="W144" s="24"/>
    </row>
    <row r="145" spans="2:23" ht="16.5">
      <c r="B145" s="24"/>
      <c r="C145" s="153" t="s">
        <v>313</v>
      </c>
      <c r="D145" s="181">
        <f ca="1">[1]!S_STM07_BS($D$4,88,N114,rptype3)/CurrencyUnit</f>
        <v>94.703505199999995</v>
      </c>
      <c r="E145" s="181">
        <f ca="1">[1]!S_STM07_BS($D$4,88,O114,rptype4)/CurrencyUnit</f>
        <v>76.45305535</v>
      </c>
      <c r="F145" s="181">
        <f ca="1">[1]!S_STM07_BS($D$4,88,P114,rptype5)/CurrencyUnit</f>
        <v>180.28890491000001</v>
      </c>
      <c r="G145" s="181">
        <f ca="1">[1]!S_STM07_BS($D$4,88,Q114,rptype)/CurrencyUnit</f>
        <v>180.34521211000001</v>
      </c>
      <c r="H145" s="181">
        <f ca="1">[1]!S_STM07_BS($D$4,88,U114,rptype2)/CurrencyUnit</f>
        <v>0</v>
      </c>
      <c r="I145" s="192"/>
      <c r="J145" s="130"/>
      <c r="K145" s="130"/>
      <c r="L145" s="130"/>
      <c r="M145" s="153" t="s">
        <v>326</v>
      </c>
      <c r="N145" s="181">
        <f ca="1">IF([1]!S_QSTM07_IS($D$4,50,N132,3)/CurrencyUnit=0,[1]!S_QSTM07_IS($D$4,50,N132,1)/CurrencyUnit,[1]!S_QSTM07_IS($D$4,50,N132,3)/CurrencyUnit)</f>
        <v>1.6134174800000001</v>
      </c>
      <c r="O145" s="181">
        <f ca="1">IF([1]!S_QSTM07_IS($D$4,50,O132,3)/CurrencyUnit=0,[1]!S_QSTM07_IS($D$4,50,O132,1)/CurrencyUnit,[1]!S_QSTM07_IS($D$4,50,O132,3)/CurrencyUnit)</f>
        <v>1.55655074</v>
      </c>
      <c r="P145" s="181">
        <f ca="1">IF([1]!S_QSTM07_IS($D$4,50,P132,3)/CurrencyUnit=0,[1]!S_QSTM07_IS($D$4,50,P132,1)/CurrencyUnit,[1]!S_QSTM07_IS($D$4,50,P132,3)/CurrencyUnit)</f>
        <v>2.9215911000000001</v>
      </c>
      <c r="Q145" s="370">
        <f ca="1">IF([1]!S_QSTM07_IS($D$4,50,Q132,3)/CurrencyUnit=0,[1]!S_QSTM07_IS($D$4,50,Q132,1)/CurrencyUnit,[1]!S_QSTM07_IS($D$4,50,Q132,3)/CurrencyUnit)</f>
        <v>4.6905628899999998</v>
      </c>
      <c r="R145" s="370"/>
      <c r="S145" s="370"/>
      <c r="T145" s="370"/>
      <c r="U145" s="181">
        <f ca="1">IF([1]!S_QSTM07_IS($D$4,50,U132,3)/CurrencyUnit=0,[1]!S_QSTM07_IS($D$4,50,U132,1)/CurrencyUnit,[1]!S_QSTM07_IS($D$4,50,U132,3)/CurrencyUnit)</f>
        <v>1.84711051</v>
      </c>
      <c r="V145" s="181">
        <f ca="1">IF([1]!S_QSTM07_IS($D$4,50,V132,3)/CurrencyUnit=0,[1]!S_QSTM07_IS($D$4,50,V132,1)/CurrencyUnit,[1]!S_QSTM07_IS($D$4,50,V132,3)/CurrencyUnit)</f>
        <v>2.4652688500000002</v>
      </c>
      <c r="W145" s="24"/>
    </row>
    <row r="146" spans="2:23" ht="16.5">
      <c r="B146" s="24"/>
      <c r="C146" s="124" t="s">
        <v>314</v>
      </c>
      <c r="D146" s="182">
        <f ca="1">D147-SUM(D139:D145)</f>
        <v>71.292022849999967</v>
      </c>
      <c r="E146" s="182">
        <f ca="1">E147-SUM(E139:E145)</f>
        <v>162.00819116000002</v>
      </c>
      <c r="F146" s="182">
        <f t="shared" ref="F146:H146" ca="1" si="13">F147-SUM(F139:F145)</f>
        <v>148.76158033999991</v>
      </c>
      <c r="G146" s="182">
        <f t="shared" ca="1" si="13"/>
        <v>176.82184208000001</v>
      </c>
      <c r="H146" s="182">
        <f t="shared" ca="1" si="13"/>
        <v>0</v>
      </c>
      <c r="I146" s="192"/>
      <c r="J146" s="130"/>
      <c r="K146" s="130"/>
      <c r="L146" s="130"/>
      <c r="M146" s="200" t="s">
        <v>269</v>
      </c>
      <c r="N146" s="208">
        <f ca="1">IF([1]!S_QSTM07_IS($D$4,55,N132,3)/CurrencyUnit=0,[1]!S_QSTM07_IS($D$4,55,N132,1)/CurrencyUnit,[1]!S_QSTM07_IS($D$4,55,N132,3)/CurrencyUnit)</f>
        <v>127.59334011</v>
      </c>
      <c r="O146" s="208">
        <f ca="1">IF([1]!S_QSTM07_IS($D$4,55,O132,3)/CurrencyUnit=0,[1]!S_QSTM07_IS($D$4,55,O132,1)/CurrencyUnit,[1]!S_QSTM07_IS($D$4,55,O132,3)/CurrencyUnit)</f>
        <v>137.37481764</v>
      </c>
      <c r="P146" s="208">
        <f ca="1">IF([1]!S_QSTM07_IS($D$4,55,P132,3)/CurrencyUnit=0,[1]!S_QSTM07_IS($D$4,55,P132,1)/CurrencyUnit,[1]!S_QSTM07_IS($D$4,55,P132,3)/CurrencyUnit)</f>
        <v>127.52553865</v>
      </c>
      <c r="Q146" s="371">
        <f ca="1">IF([1]!S_QSTM07_IS($D$4,55,Q132,3)/CurrencyUnit=0,[1]!S_QSTM07_IS($D$4,55,Q132,1)/CurrencyUnit,[1]!S_QSTM07_IS($D$4,55,Q132,3)/CurrencyUnit)</f>
        <v>146.87930600999999</v>
      </c>
      <c r="R146" s="371"/>
      <c r="S146" s="371"/>
      <c r="T146" s="371"/>
      <c r="U146" s="208">
        <f ca="1">IF([1]!S_QSTM07_IS($D$4,55,U132,3)/CurrencyUnit=0,[1]!S_QSTM07_IS($D$4,55,U132,1)/CurrencyUnit,[1]!S_QSTM07_IS($D$4,55,U132,3)/CurrencyUnit)</f>
        <v>198.08605566</v>
      </c>
      <c r="V146" s="208">
        <f ca="1">IF([1]!S_QSTM07_IS($D$4,55,V132,3)/CurrencyUnit=0,[1]!S_QSTM07_IS($D$4,55,V132,1)/CurrencyUnit,[1]!S_QSTM07_IS($D$4,55,V132,3)/CurrencyUnit)</f>
        <v>211.49045307</v>
      </c>
      <c r="W146" s="24"/>
    </row>
    <row r="147" spans="2:23" ht="16.5">
      <c r="B147" s="24"/>
      <c r="C147" s="188" t="s">
        <v>266</v>
      </c>
      <c r="D147" s="204">
        <f ca="1">[1]!S_STM07_BS($D$4,93,N114,rptype4)/CurrencyUnit</f>
        <v>503.02460681000002</v>
      </c>
      <c r="E147" s="204">
        <f ca="1">[1]!S_STM07_BS($D$4,93,O114,rptype4)/CurrencyUnit</f>
        <v>711.69903836000003</v>
      </c>
      <c r="F147" s="204">
        <f ca="1">[1]!S_STM07_BS($D$4,93,P114,rptype5)/CurrencyUnit</f>
        <v>841.82433104999996</v>
      </c>
      <c r="G147" s="204">
        <f ca="1">[1]!S_STM07_BS($D$4,93,Q114,rptype)/CurrencyUnit</f>
        <v>997.84318940000003</v>
      </c>
      <c r="H147" s="204">
        <f ca="1">[1]!S_STM07_BS($D$4,93,U114,rptype2)/CurrencyUnit</f>
        <v>0</v>
      </c>
      <c r="I147" s="192"/>
      <c r="J147" s="130"/>
      <c r="K147" s="130"/>
      <c r="L147" s="130"/>
      <c r="M147" s="199" t="s">
        <v>270</v>
      </c>
      <c r="N147" s="209">
        <f ca="1">IF([1]!S_QSTM07_IS($D$4,60,N132,3)/CurrencyUnit=0,[1]!S_QSTM07_IS($D$4,60,N132,1)/CurrencyUnit,[1]!S_QSTM07_IS($D$4,60,N132,3)/CurrencyUnit)</f>
        <v>108.26903305</v>
      </c>
      <c r="O147" s="209">
        <f ca="1">IF([1]!S_QSTM07_IS($D$4,60,O132,3)/CurrencyUnit=0,[1]!S_QSTM07_IS($D$4,60,O132,1)/CurrencyUnit,[1]!S_QSTM07_IS($D$4,60,O132,3)/CurrencyUnit)</f>
        <v>112.02575598</v>
      </c>
      <c r="P147" s="209">
        <f ca="1">IF([1]!S_QSTM07_IS($D$4,60,P132,3)/CurrencyUnit=0,[1]!S_QSTM07_IS($D$4,60,P132,1)/CurrencyUnit,[1]!S_QSTM07_IS($D$4,60,P132,3)/CurrencyUnit)</f>
        <v>97.145071700000003</v>
      </c>
      <c r="Q147" s="372">
        <f ca="1">IF([1]!S_QSTM07_IS($D$4,60,Q132,3)/CurrencyUnit=0,[1]!S_QSTM07_IS($D$4,60,Q132,1)/CurrencyUnit,[1]!S_QSTM07_IS($D$4,60,Q132,3)/CurrencyUnit)</f>
        <v>124.64616622</v>
      </c>
      <c r="R147" s="372"/>
      <c r="S147" s="372"/>
      <c r="T147" s="372"/>
      <c r="U147" s="209">
        <f ca="1">IF([1]!S_QSTM07_IS($D$4,60,U132,3)/CurrencyUnit=0,[1]!S_QSTM07_IS($D$4,60,U132,1)/CurrencyUnit,[1]!S_QSTM07_IS($D$4,60,U132,3)/CurrencyUnit)</f>
        <v>161.80425127999999</v>
      </c>
      <c r="V147" s="209">
        <f ca="1">IF([1]!S_QSTM07_IS($D$4,60,V132,3)/CurrencyUnit=0,[1]!S_QSTM07_IS($D$4,60,V132,1)/CurrencyUnit,[1]!S_QSTM07_IS($D$4,60,V132,3)/CurrencyUnit)</f>
        <v>170.56118230999999</v>
      </c>
      <c r="W147" s="24"/>
    </row>
    <row r="148" spans="2:23" ht="17.25" thickBot="1">
      <c r="B148" s="24"/>
      <c r="C148" s="124" t="s">
        <v>279</v>
      </c>
      <c r="D148" s="182">
        <f ca="1">[1]!S_STM07_BS($D$4,94,N114,rptype3)/CurrencyUnit</f>
        <v>361.26816893</v>
      </c>
      <c r="E148" s="182">
        <f ca="1">[1]!S_STM07_BS($D$4,94,O114,rptype4)/CurrencyUnit</f>
        <v>688.19578332000003</v>
      </c>
      <c r="F148" s="182">
        <f ca="1">[1]!S_STM07_BS($D$4,94,P114,rptype5)/CurrencyUnit</f>
        <v>775.30909080000004</v>
      </c>
      <c r="G148" s="182">
        <f ca="1">[1]!S_STM07_BS($D$4,94,Q114,rptype)/CurrencyUnit</f>
        <v>614.52661465000006</v>
      </c>
      <c r="H148" s="182">
        <f ca="1">[1]!S_STM07_BS($D$4,94,U114,rptype2)/CurrencyUnit</f>
        <v>0</v>
      </c>
      <c r="I148" s="191"/>
      <c r="J148" s="130"/>
      <c r="K148" s="130"/>
      <c r="L148" s="130"/>
      <c r="M148" s="201" t="s">
        <v>328</v>
      </c>
      <c r="N148" s="210">
        <f ca="1">IF([1]!S_QSTM07_IS($D$4,61,N132,3)/CurrencyUnit=0,[1]!S_QSTM07_IS($D$4,61,N132,1)/CurrencyUnit,[1]!S_QSTM07_IS($D$4,61,N132,3)/CurrencyUnit)</f>
        <v>88.235423850000004</v>
      </c>
      <c r="O148" s="210">
        <f ca="1">IF([1]!S_QSTM07_IS($D$4,61,O132,3)/CurrencyUnit=0,[1]!S_QSTM07_IS($D$4,61,O132,1)/CurrencyUnit,[1]!S_QSTM07_IS($D$4,61,O132,3)/CurrencyUnit)</f>
        <v>92.730732630000006</v>
      </c>
      <c r="P148" s="210">
        <f ca="1">IF([1]!S_QSTM07_IS($D$4,61,P132,3)/CurrencyUnit=0,[1]!S_QSTM07_IS($D$4,61,P132,1)/CurrencyUnit,[1]!S_QSTM07_IS($D$4,61,P132,3)/CurrencyUnit)</f>
        <v>76.931435160000007</v>
      </c>
      <c r="Q148" s="373">
        <f ca="1">IF([1]!S_QSTM07_IS($D$4,61,Q132,3)/CurrencyUnit=0,[1]!S_QSTM07_IS($D$4,61,Q132,1)/CurrencyUnit,[1]!S_QSTM07_IS($D$4,61,Q132,3)/CurrencyUnit)</f>
        <v>101.66777095</v>
      </c>
      <c r="R148" s="373"/>
      <c r="S148" s="373"/>
      <c r="T148" s="373"/>
      <c r="U148" s="210">
        <f ca="1">IF([1]!S_QSTM07_IS($D$4,61,U132,3)/CurrencyUnit=0,[1]!S_QSTM07_IS($D$4,61,U132,1)/CurrencyUnit,[1]!S_QSTM07_IS($D$4,61,U132,3)/CurrencyUnit)</f>
        <v>131.24975376</v>
      </c>
      <c r="V148" s="210">
        <f ca="1">IF([1]!S_QSTM07_IS($D$4,61,V132,3)/CurrencyUnit=0,[1]!S_QSTM07_IS($D$4,61,V132,1)/CurrencyUnit,[1]!S_QSTM07_IS($D$4,61,V132,3)/CurrencyUnit)</f>
        <v>145.71868502999999</v>
      </c>
      <c r="W148" s="24"/>
    </row>
    <row r="149" spans="2:23" ht="17.25" thickTop="1">
      <c r="B149" s="24"/>
      <c r="C149" s="153" t="s">
        <v>280</v>
      </c>
      <c r="D149" s="181">
        <f ca="1">[1]!S_STM07_BS($D$4,95,N114,rptype3)/CurrencyUnit</f>
        <v>142.47474589999999</v>
      </c>
      <c r="E149" s="181">
        <f ca="1">[1]!S_STM07_BS($D$4,95,O114,rptype4)/CurrencyUnit</f>
        <v>238.70516058000001</v>
      </c>
      <c r="F149" s="181">
        <f ca="1">[1]!S_STM07_BS($D$4,95,P114,rptype5)/CurrencyUnit</f>
        <v>252.86676861999999</v>
      </c>
      <c r="G149" s="181">
        <f ca="1">[1]!S_STM07_BS($D$4,95,Q114,rptype)/CurrencyUnit</f>
        <v>386.99919166000001</v>
      </c>
      <c r="H149" s="181">
        <f ca="1">[1]!S_STM07_BS($D$4,95,U114,rptype2)/CurrencyUnit</f>
        <v>0</v>
      </c>
      <c r="I149" s="191"/>
      <c r="J149" s="130"/>
      <c r="K149" s="130"/>
      <c r="L149" s="130"/>
      <c r="M149" s="24"/>
      <c r="N149" s="24"/>
      <c r="O149" s="24"/>
      <c r="P149" s="24"/>
      <c r="Q149" s="365"/>
      <c r="R149" s="365"/>
      <c r="S149" s="365"/>
      <c r="T149" s="365"/>
      <c r="U149" s="24"/>
      <c r="V149" s="24"/>
      <c r="W149" s="24"/>
    </row>
    <row r="150" spans="2:23" ht="16.5">
      <c r="B150" s="24"/>
      <c r="C150" s="124" t="s">
        <v>277</v>
      </c>
      <c r="D150" s="182">
        <f ca="1">[1]!S_STM07_BS($D$4,96,N114,rptype3)/CurrencyUnit</f>
        <v>0</v>
      </c>
      <c r="E150" s="182">
        <f ca="1">[1]!S_STM07_BS($D$4,96,O114,rptype4)/CurrencyUnit</f>
        <v>0</v>
      </c>
      <c r="F150" s="182">
        <f ca="1">[1]!S_STM07_BS($D$4,96,P114,rptype5)/CurrencyUnit</f>
        <v>0</v>
      </c>
      <c r="G150" s="182">
        <f ca="1">[1]!S_STM07_BS($D$4,96,Q114,rptype)/CurrencyUnit</f>
        <v>0</v>
      </c>
      <c r="H150" s="182">
        <f ca="1">[1]!S_STM07_BS($D$4,96,U114,rptype2)/CurrencyUnit</f>
        <v>0</v>
      </c>
      <c r="I150" s="191"/>
      <c r="J150" s="130"/>
      <c r="K150" s="130"/>
      <c r="L150" s="130"/>
      <c r="M150" s="85" t="s">
        <v>332</v>
      </c>
      <c r="N150" s="178" t="str">
        <f ca="1">N114</f>
        <v>2021/12/31</v>
      </c>
      <c r="O150" s="178" t="str">
        <f ca="1">O114</f>
        <v>2022/12/31</v>
      </c>
      <c r="P150" s="178" t="str">
        <f ca="1">P114</f>
        <v>2023/12/31</v>
      </c>
      <c r="Q150" s="366" t="str">
        <f ca="1">Q114</f>
        <v>2024/12/31</v>
      </c>
      <c r="R150" s="366"/>
      <c r="S150" s="366"/>
      <c r="T150" s="366"/>
      <c r="U150" s="178" t="str">
        <f ca="1">U114</f>
        <v>2025/12/31</v>
      </c>
      <c r="V150" s="178" t="str">
        <f ca="1">V114</f>
        <v>2026/12/31</v>
      </c>
      <c r="W150" s="24"/>
    </row>
    <row r="151" spans="2:23" ht="16.5">
      <c r="B151" s="24"/>
      <c r="C151" s="153" t="s">
        <v>281</v>
      </c>
      <c r="D151" s="181">
        <f ca="1">[1]!S_STM07_BS($D$4,98,N114,rptype3)/CurrencyUnit</f>
        <v>63.42164459</v>
      </c>
      <c r="E151" s="181">
        <f ca="1">[1]!S_STM07_BS($D$4,98,O114,rptype4)/CurrencyUnit</f>
        <v>74.820005539999997</v>
      </c>
      <c r="F151" s="181">
        <f ca="1">[1]!S_STM07_BS($D$4,98,P114,rptype5)/CurrencyUnit</f>
        <v>74.706951070000002</v>
      </c>
      <c r="G151" s="181">
        <f ca="1">[1]!S_STM07_BS($D$4,98,Q114,rptype)/CurrencyUnit</f>
        <v>79.739686520000006</v>
      </c>
      <c r="H151" s="181">
        <f ca="1">[1]!S_STM07_BS($D$4,98,U114,rptype2)/CurrencyUnit</f>
        <v>0</v>
      </c>
      <c r="I151" s="191"/>
      <c r="J151" s="130"/>
      <c r="K151" s="130"/>
      <c r="L151" s="130"/>
      <c r="M151" s="153" t="s">
        <v>333</v>
      </c>
      <c r="N151" s="181">
        <f ca="1">N130/D155</f>
        <v>5.9524511130606568</v>
      </c>
      <c r="O151" s="181">
        <f ca="1">O130/E155</f>
        <v>7.6120658961048502</v>
      </c>
      <c r="P151" s="181">
        <f ca="1">P130/F155</f>
        <v>8.0220927284718453</v>
      </c>
      <c r="Q151" s="377">
        <f ca="1">Q130/G155</f>
        <v>12.05912272015085</v>
      </c>
      <c r="R151" s="377"/>
      <c r="S151" s="377"/>
      <c r="T151" s="377"/>
      <c r="U151" s="181" t="e">
        <f ca="1">U130/H155</f>
        <v>#DIV/0!</v>
      </c>
      <c r="V151" s="181"/>
      <c r="W151" s="24"/>
    </row>
    <row r="152" spans="2:23" ht="16.5">
      <c r="B152" s="24"/>
      <c r="C152" s="124" t="s">
        <v>282</v>
      </c>
      <c r="D152" s="182">
        <f ca="1">D153-SUM(D148:D151)</f>
        <v>86.785909559999936</v>
      </c>
      <c r="E152" s="182">
        <f ca="1">E153-SUM(E148:E151)</f>
        <v>102.46695184999987</v>
      </c>
      <c r="F152" s="182">
        <f t="shared" ref="F152:H152" ca="1" si="14">F153-SUM(F148:F151)</f>
        <v>101.72195539999984</v>
      </c>
      <c r="G152" s="182">
        <f t="shared" ca="1" si="14"/>
        <v>109.69132739999986</v>
      </c>
      <c r="H152" s="182">
        <f t="shared" ca="1" si="14"/>
        <v>0</v>
      </c>
      <c r="I152" s="191"/>
      <c r="J152" s="130"/>
      <c r="K152" s="130"/>
      <c r="L152" s="130"/>
      <c r="M152" s="124" t="s">
        <v>334</v>
      </c>
      <c r="N152" s="182">
        <f ca="1">D160/D155</f>
        <v>26.978376473871045</v>
      </c>
      <c r="O152" s="182">
        <f ca="1">E160/E155</f>
        <v>33.780897764156713</v>
      </c>
      <c r="P152" s="182">
        <f ca="1">F160/F155</f>
        <v>40.835527856228346</v>
      </c>
      <c r="Q152" s="376">
        <f ca="1">G160/G155</f>
        <v>52.594668183604796</v>
      </c>
      <c r="R152" s="376"/>
      <c r="S152" s="376"/>
      <c r="T152" s="376"/>
      <c r="U152" s="182" t="e">
        <f ca="1">H160/H155</f>
        <v>#DIV/0!</v>
      </c>
      <c r="V152" s="182"/>
      <c r="W152" s="24"/>
    </row>
    <row r="153" spans="2:23" ht="16.5">
      <c r="B153" s="24"/>
      <c r="C153" s="188" t="s">
        <v>288</v>
      </c>
      <c r="D153" s="204">
        <f ca="1">[1]!S_STM07_BS($D$4,103,N114,rptype3)/CurrencyUnit</f>
        <v>653.95046897999998</v>
      </c>
      <c r="E153" s="204">
        <f ca="1">[1]!S_STM07_BS($D$4,103,O114,rptype4)/CurrencyUnit</f>
        <v>1104.1879012899999</v>
      </c>
      <c r="F153" s="204">
        <f ca="1">[1]!S_STM07_BS($D$4,103,P114,rptype5)/CurrencyUnit</f>
        <v>1204.60476589</v>
      </c>
      <c r="G153" s="204">
        <f ca="1">[1]!S_STM07_BS($D$4,103,Q114,rptype)/CurrencyUnit</f>
        <v>1190.9568202299999</v>
      </c>
      <c r="H153" s="204">
        <f ca="1">[1]!S_STM07_BS($D$4,103,U114,rptype2)/CurrencyUnit</f>
        <v>0</v>
      </c>
      <c r="I153" s="191"/>
      <c r="J153" s="130"/>
      <c r="K153" s="130"/>
      <c r="L153" s="130"/>
      <c r="M153" s="153" t="s">
        <v>335</v>
      </c>
      <c r="N153" s="181">
        <f ca="1">D170/D155</f>
        <v>9.9020609419931596</v>
      </c>
      <c r="O153" s="181">
        <f ca="1">E170/E155</f>
        <v>10.892233757792983</v>
      </c>
      <c r="P153" s="181">
        <f ca="1">F170/F155</f>
        <v>14.001088739955488</v>
      </c>
      <c r="Q153" s="377">
        <f ca="1">G170/G155</f>
        <v>18.383832872995669</v>
      </c>
      <c r="R153" s="377"/>
      <c r="S153" s="377"/>
      <c r="T153" s="377"/>
      <c r="U153" s="181" t="e">
        <f ca="1">H170/H155</f>
        <v>#DIV/0!</v>
      </c>
      <c r="V153" s="181"/>
      <c r="W153" s="24"/>
    </row>
    <row r="154" spans="2:23" ht="17.25" thickBot="1">
      <c r="B154" s="24"/>
      <c r="C154" s="190" t="s">
        <v>268</v>
      </c>
      <c r="D154" s="205">
        <f ca="1">[1]!S_STM07_BS($D$4,128,N114,rptype3)/CurrencyUnit</f>
        <v>1156.9750757899999</v>
      </c>
      <c r="E154" s="205">
        <f ca="1">[1]!S_STM07_BS($D$4,128,O114,rptype4)/CurrencyUnit</f>
        <v>1815.8869396499999</v>
      </c>
      <c r="F154" s="205">
        <f ca="1">[1]!S_STM07_BS($D$4,128,P114,rptype5)/CurrencyUnit</f>
        <v>2046.4290969399999</v>
      </c>
      <c r="G154" s="205">
        <f ca="1">[1]!S_STM07_BS($D$4,128,Q114,rptype)/CurrencyUnit</f>
        <v>2188.8000096300002</v>
      </c>
      <c r="H154" s="205">
        <f ca="1">[1]!S_STM07_BS($D$4,128,U114,rptype2)/CurrencyUnit</f>
        <v>0</v>
      </c>
      <c r="I154" s="191"/>
      <c r="J154" s="130"/>
      <c r="K154" s="130"/>
      <c r="L154" s="130"/>
      <c r="M154" s="124" t="s">
        <v>336</v>
      </c>
      <c r="N154" s="182">
        <f ca="1">D175/D155</f>
        <v>0.70055871854498419</v>
      </c>
      <c r="O154" s="182">
        <f ca="1">E175/E155</f>
        <v>2.2922791427232512</v>
      </c>
      <c r="P154" s="182">
        <f ca="1">F175/F155</f>
        <v>-0.74989313762227705</v>
      </c>
      <c r="Q154" s="376">
        <f ca="1">G175/G155</f>
        <v>4.4983588944893826</v>
      </c>
      <c r="R154" s="376"/>
      <c r="S154" s="376"/>
      <c r="T154" s="376"/>
      <c r="U154" s="182" t="e">
        <f ca="1">H175/H155</f>
        <v>#DIV/0!</v>
      </c>
      <c r="V154" s="182"/>
      <c r="W154" s="24"/>
    </row>
    <row r="155" spans="2:23" ht="17.25" thickTop="1">
      <c r="B155" s="24"/>
      <c r="C155" s="153" t="s">
        <v>283</v>
      </c>
      <c r="D155" s="181">
        <f ca="1">[1]!S_STM07_BS($D$4,129,N114,rptype3)/CurrencyUnit</f>
        <v>26.330112239999998</v>
      </c>
      <c r="E155" s="181">
        <f ca="1">[1]!S_STM07_BS($D$4,129,O114,rptype4)/CurrencyUnit</f>
        <v>26.32931224</v>
      </c>
      <c r="F155" s="181">
        <f ca="1">[1]!S_STM07_BS($D$4,129,P114,rptype5)/CurrencyUnit</f>
        <v>26.32657124</v>
      </c>
      <c r="G155" s="181">
        <f ca="1">[1]!S_STM07_BS($D$4,129,Q114,rptype)/CurrencyUnit</f>
        <v>26.577888940000001</v>
      </c>
      <c r="H155" s="181">
        <f ca="1">[1]!S_STM07_BS($D$4,129,U114,rptype2)/CurrencyUnit</f>
        <v>0</v>
      </c>
      <c r="I155" s="191"/>
      <c r="J155" s="130"/>
      <c r="K155" s="130"/>
      <c r="L155" s="130"/>
      <c r="M155" s="153" t="s">
        <v>337</v>
      </c>
      <c r="N155" s="181">
        <f ca="1">(N116-N117)/N116</f>
        <v>0.15438019923443458</v>
      </c>
      <c r="O155" s="181">
        <f ca="1">(O116-O117)/O116</f>
        <v>0.15738125071496029</v>
      </c>
      <c r="P155" s="181">
        <f ca="1">(P116-P117)/P116</f>
        <v>0.15807315523872689</v>
      </c>
      <c r="Q155" s="377">
        <f ca="1">(Q116-Q117)/Q116</f>
        <v>0.2037406038258254</v>
      </c>
      <c r="R155" s="377"/>
      <c r="S155" s="377"/>
      <c r="T155" s="377"/>
      <c r="U155" s="181" t="e">
        <f ca="1">(U116-U117)/U116</f>
        <v>#DIV/0!</v>
      </c>
      <c r="V155" s="181"/>
      <c r="W155" s="24"/>
    </row>
    <row r="156" spans="2:23" ht="16.5">
      <c r="B156" s="24"/>
      <c r="C156" s="124" t="s">
        <v>284</v>
      </c>
      <c r="D156" s="182">
        <f ca="1">[1]!S_STM07_BS($D$4,130,N114,rptype3)/CurrencyUnit</f>
        <v>252.05642523</v>
      </c>
      <c r="E156" s="182">
        <f ca="1">[1]!S_STM07_BS($D$4,130,O114,rptype4)/CurrencyUnit</f>
        <v>255.51506136</v>
      </c>
      <c r="F156" s="182">
        <f ca="1">[1]!S_STM07_BS($D$4,130,P114,rptype5)/CurrencyUnit</f>
        <v>258.66060606999997</v>
      </c>
      <c r="G156" s="182">
        <f ca="1">[1]!S_STM07_BS($D$4,130,Q114,rptype)/CurrencyUnit</f>
        <v>287.12858237</v>
      </c>
      <c r="H156" s="182">
        <f ca="1">[1]!S_STM07_BS($D$4,130,U114,rptype2)/CurrencyUnit</f>
        <v>0</v>
      </c>
      <c r="I156" s="191"/>
      <c r="J156" s="130"/>
      <c r="K156" s="130"/>
      <c r="L156" s="130"/>
      <c r="M156" s="124" t="s">
        <v>123</v>
      </c>
      <c r="N156" s="182">
        <f ca="1">N125/N116</f>
        <v>0.11144481497256782</v>
      </c>
      <c r="O156" s="182">
        <f ca="1">O125/O116</f>
        <v>0.11447386774783405</v>
      </c>
      <c r="P156" s="182">
        <f ca="1">P125/P116</f>
        <v>0.10884860266278491</v>
      </c>
      <c r="Q156" s="376">
        <f ca="1">Q125/Q116</f>
        <v>0.16080441336117343</v>
      </c>
      <c r="R156" s="376"/>
      <c r="S156" s="376"/>
      <c r="T156" s="376"/>
      <c r="U156" s="182" t="e">
        <f ca="1">U125/U116</f>
        <v>#DIV/0!</v>
      </c>
      <c r="V156" s="182"/>
      <c r="W156" s="24"/>
    </row>
    <row r="157" spans="2:23" ht="16.5">
      <c r="B157" s="24"/>
      <c r="C157" s="153" t="s">
        <v>285</v>
      </c>
      <c r="D157" s="181">
        <f ca="1">[1]!S_STM07_BS($D$4,131,N114,rptype3)/CurrencyUnit</f>
        <v>13.67003719</v>
      </c>
      <c r="E157" s="181">
        <f ca="1">[1]!S_STM07_BS($D$4,131,O114,rptype4)/CurrencyUnit</f>
        <v>13.67003719</v>
      </c>
      <c r="F157" s="181">
        <f ca="1">[1]!S_STM07_BS($D$4,131,P114,rptype5)/CurrencyUnit</f>
        <v>13.67003719</v>
      </c>
      <c r="G157" s="181">
        <f ca="1">[1]!S_STM07_BS($D$4,131,Q114,rptype)/CurrencyUnit</f>
        <v>13.67003719</v>
      </c>
      <c r="H157" s="181">
        <f ca="1">[1]!S_STM07_BS($D$4,131,U114,rptype2)/CurrencyUnit</f>
        <v>0</v>
      </c>
      <c r="I157" s="191"/>
      <c r="J157" s="130"/>
      <c r="K157" s="130"/>
      <c r="L157" s="130"/>
      <c r="M157" s="153" t="s">
        <v>338</v>
      </c>
      <c r="N157" s="181">
        <f ca="1">N130/N116</f>
        <v>6.9625487879022063E-2</v>
      </c>
      <c r="O157" s="181">
        <f ca="1">O130/O116</f>
        <v>7.4139460032955795E-2</v>
      </c>
      <c r="P157" s="181">
        <f ca="1">P130/P116</f>
        <v>7.1980866209381558E-2</v>
      </c>
      <c r="Q157" s="377">
        <f ca="1">Q130/Q116</f>
        <v>0.10555462705736762</v>
      </c>
      <c r="R157" s="377"/>
      <c r="S157" s="377"/>
      <c r="T157" s="377"/>
      <c r="U157" s="181" t="e">
        <f ca="1">U130/U116</f>
        <v>#DIV/0!</v>
      </c>
      <c r="V157" s="181"/>
      <c r="W157" s="24"/>
    </row>
    <row r="158" spans="2:23" ht="16.5">
      <c r="B158" s="24"/>
      <c r="C158" s="124" t="s">
        <v>271</v>
      </c>
      <c r="D158" s="182">
        <f ca="1">[1]!S_STM07_BS($D$4,132,N114,rptype3)/CurrencyUnit</f>
        <v>399.81710325</v>
      </c>
      <c r="E158" s="182">
        <f ca="1">[1]!S_STM07_BS($D$4,132,O114,rptype4)/CurrencyUnit</f>
        <v>547.57893853999997</v>
      </c>
      <c r="F158" s="182">
        <f ca="1">[1]!S_STM07_BS($D$4,132,P114,rptype5)/CurrencyUnit</f>
        <v>692.70211452000001</v>
      </c>
      <c r="G158" s="182">
        <f ca="1">[1]!S_STM07_BS($D$4,132,Q114,rptype)/CurrencyUnit</f>
        <v>930.78110585000002</v>
      </c>
      <c r="H158" s="182">
        <f ca="1">[1]!S_STM07_BS($D$4,132,U114,rptype2)/CurrencyUnit</f>
        <v>0</v>
      </c>
      <c r="I158" s="191"/>
      <c r="J158" s="130"/>
      <c r="K158" s="130"/>
      <c r="L158" s="130"/>
      <c r="M158" s="124" t="s">
        <v>339</v>
      </c>
      <c r="N158" s="182">
        <f ca="1">N130/D160</f>
        <v>0.22063785486964693</v>
      </c>
      <c r="O158" s="182">
        <f ca="1">O130/E160</f>
        <v>0.22533640015280018</v>
      </c>
      <c r="P158" s="182">
        <f ca="1">P130/F160</f>
        <v>0.19644885592554656</v>
      </c>
      <c r="Q158" s="376">
        <f ca="1">Q130/G160</f>
        <v>0.22928412967742628</v>
      </c>
      <c r="R158" s="376"/>
      <c r="S158" s="376"/>
      <c r="T158" s="376"/>
      <c r="U158" s="182" t="e">
        <f ca="1">U130/H160</f>
        <v>#DIV/0!</v>
      </c>
      <c r="V158" s="182"/>
      <c r="W158" s="109"/>
    </row>
    <row r="159" spans="2:23" ht="16.5">
      <c r="B159" s="24"/>
      <c r="C159" s="153" t="s">
        <v>286</v>
      </c>
      <c r="D159" s="181">
        <f ca="1">[1]!S_STM07_BS($D$4,136,N114,rptype3)/CurrencyUnit</f>
        <v>218.62802482999999</v>
      </c>
      <c r="E159" s="181">
        <f ca="1">[1]!S_STM07_BS($D$4,136,O114,rptype4)/CurrencyUnit</f>
        <v>355.12665006999998</v>
      </c>
      <c r="F159" s="181">
        <f ca="1">[1]!S_STM07_BS($D$4,136,P114,rptype5)/CurrencyUnit</f>
        <v>308.56852995000003</v>
      </c>
      <c r="G159" s="181">
        <f ca="1">[1]!S_STM07_BS($D$4,136,Q114,rptype)/CurrencyUnit</f>
        <v>379.45204081000003</v>
      </c>
      <c r="H159" s="181">
        <f ca="1">[1]!S_STM07_BS($D$4,136,U114,rptype2)/CurrencyUnit</f>
        <v>0</v>
      </c>
      <c r="I159" s="191"/>
      <c r="J159" s="130"/>
      <c r="K159" s="130"/>
      <c r="L159" s="130"/>
      <c r="M159" s="153" t="s">
        <v>340</v>
      </c>
      <c r="N159" s="181">
        <f ca="1">N117/(([1]!S_STM07_BS($D$4,17,N110,rptype3)/CurrencyUnit+D122)/2)</f>
        <v>10.186568897008623</v>
      </c>
      <c r="O159" s="181">
        <f ca="1">O117/((D122+E122)/2)</f>
        <v>9.6085636821891516</v>
      </c>
      <c r="P159" s="181">
        <f ca="1">P117/((E122+F122)/2)</f>
        <v>8.6080735754054949</v>
      </c>
      <c r="Q159" s="377">
        <f ca="1">Q117/((F122+G122)/2)</f>
        <v>7.7241311864537536</v>
      </c>
      <c r="R159" s="377"/>
      <c r="S159" s="377"/>
      <c r="T159" s="377"/>
      <c r="U159" s="181">
        <f ca="1">U117/((G122+H122)/2)</f>
        <v>0</v>
      </c>
      <c r="V159" s="181"/>
      <c r="W159" s="24"/>
    </row>
    <row r="160" spans="2:23" ht="16.5">
      <c r="B160" s="24"/>
      <c r="C160" s="124" t="s">
        <v>287</v>
      </c>
      <c r="D160" s="182">
        <f ca="1">[1]!S_STM07_BS($D$4,140,N114,rptype3)/CurrencyUnit</f>
        <v>710.34368060999998</v>
      </c>
      <c r="E160" s="182">
        <f ca="1">[1]!S_STM07_BS($D$4,140,O114,rptype4)/CurrencyUnit</f>
        <v>889.42780498000002</v>
      </c>
      <c r="F160" s="182">
        <f ca="1">[1]!S_STM07_BS($D$4,140,P114,rptype5)/CurrencyUnit</f>
        <v>1075.05943323</v>
      </c>
      <c r="G160" s="182">
        <f ca="1">[1]!S_STM07_BS($D$4,140,Q114,rptype)/CurrencyUnit</f>
        <v>1397.8552498199999</v>
      </c>
      <c r="H160" s="182">
        <f ca="1">[1]!S_STM07_BS($D$4,140,U114,rptype2)/CurrencyUnit</f>
        <v>0</v>
      </c>
      <c r="I160" s="191"/>
      <c r="J160" s="130"/>
      <c r="K160" s="130"/>
      <c r="L160" s="130"/>
      <c r="M160" s="124" t="s">
        <v>341</v>
      </c>
      <c r="N160" s="182">
        <f ca="1">N116/(([1]!S_STM07_BS($D$4,11,N110,rptype3)/CurrencyUnit+D119+[1]!S_STM07_BS($D$4,12,N110,rptype3)/CurrencyUnit+D118)/2)</f>
        <v>125.52162222043303</v>
      </c>
      <c r="O160" s="182">
        <f ca="1">O116/((D119+E119+D118+E118)/2)</f>
        <v>48.744776681387592</v>
      </c>
      <c r="P160" s="182">
        <f ca="1">P116/((E119+F119+E118+F118)/2)</f>
        <v>34.563950785820083</v>
      </c>
      <c r="Q160" s="376">
        <f ca="1">Q116/((F119+G119+F118+G118)/2)</f>
        <v>39.699746597170744</v>
      </c>
      <c r="R160" s="376"/>
      <c r="S160" s="376"/>
      <c r="T160" s="376"/>
      <c r="U160" s="182">
        <f ca="1">U116/((G119+H119+G118+H118)/2)</f>
        <v>0</v>
      </c>
      <c r="V160" s="182"/>
      <c r="W160" s="24"/>
    </row>
    <row r="161" spans="2:23" ht="17.25" thickBot="1">
      <c r="B161" s="24"/>
      <c r="C161" s="189" t="s">
        <v>272</v>
      </c>
      <c r="D161" s="206">
        <f ca="1">[1]!S_STM07_BS($D$4,141,N114,rptype3)/CurrencyUnit</f>
        <v>928.97170544000005</v>
      </c>
      <c r="E161" s="206">
        <f ca="1">[1]!S_STM07_BS($D$4,141,O114,rptype4)/CurrencyUnit</f>
        <v>1244.5544550499999</v>
      </c>
      <c r="F161" s="206">
        <f ca="1">[1]!S_STM07_BS($D$4,141,P114,rptype5)/CurrencyUnit</f>
        <v>1383.6279631800001</v>
      </c>
      <c r="G161" s="206">
        <f ca="1">[1]!S_STM07_BS($D$4,141,Q114,rptype)/CurrencyUnit</f>
        <v>1777.3072906299999</v>
      </c>
      <c r="H161" s="206">
        <f ca="1">[1]!S_STM07_BS($D$4,141,U114,rptype2)/CurrencyUnit</f>
        <v>0</v>
      </c>
      <c r="I161" s="191"/>
      <c r="J161" s="130"/>
      <c r="K161" s="130"/>
      <c r="L161" s="130"/>
      <c r="M161" s="153" t="s">
        <v>342</v>
      </c>
      <c r="N161" s="181">
        <f ca="1">N116/(([1]!S_STM07_BS($D$4,74,N110,rptype3)/CurrencyUnit+D138)/2)</f>
        <v>1.1516905755316653</v>
      </c>
      <c r="O161" s="181">
        <f ca="1">O116/((D138+E138)/2)</f>
        <v>1.0505581359888347</v>
      </c>
      <c r="P161" s="181">
        <f ca="1">P116/((E138+F138)/2)</f>
        <v>0.9041008018732728</v>
      </c>
      <c r="Q161" s="377">
        <f ca="1">Q116/((F138+G138)/2)</f>
        <v>0.8210741199304542</v>
      </c>
      <c r="R161" s="377"/>
      <c r="S161" s="377"/>
      <c r="T161" s="377"/>
      <c r="U161" s="181">
        <f ca="1">U116/((G138+H138)/2)</f>
        <v>0</v>
      </c>
      <c r="V161" s="181"/>
      <c r="W161" s="24"/>
    </row>
    <row r="162" spans="2:23" ht="17.25" thickTop="1">
      <c r="B162" s="24"/>
      <c r="C162" s="194"/>
      <c r="D162" s="122"/>
      <c r="E162" s="122"/>
      <c r="F162" s="122"/>
      <c r="G162" s="122"/>
      <c r="H162" s="122"/>
      <c r="I162" s="191"/>
      <c r="J162" s="130"/>
      <c r="K162" s="130"/>
      <c r="L162" s="130"/>
      <c r="M162" s="124" t="s">
        <v>343</v>
      </c>
      <c r="N162" s="182">
        <f ca="1">D154/D138</f>
        <v>0.55465225009613028</v>
      </c>
      <c r="O162" s="182">
        <f ca="1">E154/E138</f>
        <v>0.59334151694416049</v>
      </c>
      <c r="P162" s="182">
        <f ca="1">F154/F138</f>
        <v>0.59661663379687502</v>
      </c>
      <c r="Q162" s="376">
        <f ca="1">G154/G138</f>
        <v>0.55187614553103803</v>
      </c>
      <c r="R162" s="376"/>
      <c r="S162" s="376"/>
      <c r="T162" s="376"/>
      <c r="U162" s="182" t="e">
        <f ca="1">H154/H138</f>
        <v>#DIV/0!</v>
      </c>
      <c r="V162" s="182"/>
      <c r="W162" s="24"/>
    </row>
    <row r="163" spans="2:23" ht="16.5">
      <c r="B163" s="24"/>
      <c r="C163" s="85" t="s">
        <v>273</v>
      </c>
      <c r="D163" s="178" t="str">
        <f ca="1">D114</f>
        <v>2021/12/31</v>
      </c>
      <c r="E163" s="178" t="str">
        <f ca="1">E114</f>
        <v>2022/12/31</v>
      </c>
      <c r="F163" s="178" t="str">
        <f ca="1">F114</f>
        <v>2023/12/31</v>
      </c>
      <c r="G163" s="179" t="str">
        <f ca="1">G114</f>
        <v>2024/12/31</v>
      </c>
      <c r="H163" s="180" t="str">
        <f ca="1">H114</f>
        <v>2025/12/31</v>
      </c>
      <c r="I163" s="122"/>
      <c r="J163" s="130"/>
      <c r="K163" s="130"/>
      <c r="L163" s="130"/>
      <c r="M163" s="153" t="s">
        <v>344</v>
      </c>
      <c r="N163" s="181">
        <f ca="1">D126/D147</f>
        <v>0.9356260668730445</v>
      </c>
      <c r="O163" s="181">
        <f ca="1">E126/E147</f>
        <v>1.1190749915234997</v>
      </c>
      <c r="P163" s="181">
        <f ca="1">F126/F147</f>
        <v>0.92214654758403825</v>
      </c>
      <c r="Q163" s="377">
        <f ca="1">G126/G147</f>
        <v>0.99152888515971871</v>
      </c>
      <c r="R163" s="377"/>
      <c r="S163" s="377"/>
      <c r="T163" s="377"/>
      <c r="U163" s="181" t="e">
        <f ca="1">H126/H147</f>
        <v>#DIV/0!</v>
      </c>
      <c r="V163" s="181"/>
      <c r="W163" s="24"/>
    </row>
    <row r="164" spans="2:23" ht="16.5">
      <c r="B164" s="24"/>
      <c r="C164" s="153" t="str">
        <f>M115</f>
        <v>报表类型</v>
      </c>
      <c r="D164" s="185" t="str">
        <f>D115</f>
        <v>合并报表</v>
      </c>
      <c r="E164" s="185" t="str">
        <f t="shared" ref="E164:H164" si="15">E115</f>
        <v>合并报表</v>
      </c>
      <c r="F164" s="185" t="str">
        <f t="shared" si="15"/>
        <v>合并报表</v>
      </c>
      <c r="G164" s="185" t="str">
        <f t="shared" si="15"/>
        <v>合并报表</v>
      </c>
      <c r="H164" s="185" t="str">
        <f t="shared" si="15"/>
        <v>合并报表</v>
      </c>
      <c r="I164" s="196"/>
      <c r="J164" s="122"/>
      <c r="K164" s="122"/>
      <c r="L164" s="122"/>
      <c r="M164" s="124" t="s">
        <v>159</v>
      </c>
      <c r="N164" s="182">
        <f ca="1">D138/([1]!S_STM07_BS($D$4,74,N110,rptype3)/CurrencyUnit)-1</f>
        <v>0.14415533518219537</v>
      </c>
      <c r="O164" s="182">
        <f ca="1">E138/D138-1</f>
        <v>0.46717136901037293</v>
      </c>
      <c r="P164" s="182">
        <f ca="1">F138/E138-1</f>
        <v>0.12077201218755307</v>
      </c>
      <c r="Q164" s="376">
        <f ca="1">G138/F138-1</f>
        <v>0.15628026902889092</v>
      </c>
      <c r="R164" s="376"/>
      <c r="S164" s="376"/>
      <c r="T164" s="376"/>
      <c r="U164" s="182">
        <f ca="1">H138/G138-1</f>
        <v>-1</v>
      </c>
      <c r="V164" s="182"/>
      <c r="W164" s="24"/>
    </row>
    <row r="165" spans="2:23" ht="16.5">
      <c r="B165" s="24"/>
      <c r="C165" s="124" t="s">
        <v>289</v>
      </c>
      <c r="D165" s="182">
        <f ca="1">[1]!S_STM07_CS($D$4,9,D163,rptype3)/CurrencyUnit</f>
        <v>2363.4580749199999</v>
      </c>
      <c r="E165" s="182">
        <f ca="1">[1]!S_STM07_CS($D$4,9,E163,rptype4)/CurrencyUnit</f>
        <v>2823.41075714</v>
      </c>
      <c r="F165" s="182">
        <f ca="1">[1]!S_STM07_CS($D$4,9,F163,rptype5)/CurrencyUnit</f>
        <v>3210.7670836699999</v>
      </c>
      <c r="G165" s="182">
        <f ca="1">[1]!S_STM07_CS($D$4,9,G163,rptype)/CurrencyUnit</f>
        <v>3293.8367208700001</v>
      </c>
      <c r="H165" s="182">
        <f ca="1">[1]!S_STM07_CS($D$4,9,H163,rptype2)/CurrencyUnit</f>
        <v>0</v>
      </c>
      <c r="I165" s="195"/>
      <c r="J165" s="122"/>
      <c r="K165" s="122"/>
      <c r="L165" s="122"/>
      <c r="M165" s="153" t="s">
        <v>161</v>
      </c>
      <c r="N165" s="181">
        <f ca="1">N116/([1]!S_STM07_IS($D$4,9,N110,rptype3)/CurrencyUnit)-1</f>
        <v>0.31254071002556882</v>
      </c>
      <c r="O165" s="181">
        <f ca="1">O116/N116-1</f>
        <v>0.20091519267462821</v>
      </c>
      <c r="P165" s="181">
        <f ca="1">P116/O116-1</f>
        <v>8.535615694407106E-2</v>
      </c>
      <c r="Q165" s="377">
        <f ca="1">Q116/P116-1</f>
        <v>3.4889574411611113E-2</v>
      </c>
      <c r="R165" s="377"/>
      <c r="S165" s="377"/>
      <c r="T165" s="377"/>
      <c r="U165" s="181">
        <f ca="1">U116/Q116-1</f>
        <v>-1</v>
      </c>
      <c r="V165" s="181" t="e">
        <f ca="1">V116/U116-1</f>
        <v>#DIV/0!</v>
      </c>
      <c r="W165" s="24"/>
    </row>
    <row r="166" spans="2:23" ht="16.5">
      <c r="B166" s="24"/>
      <c r="C166" s="153" t="s">
        <v>290</v>
      </c>
      <c r="D166" s="181">
        <f ca="1">[1]!S_STM07_CS($D$4,25,D163,rptype3)/CurrencyUnit</f>
        <v>2370.0729900400001</v>
      </c>
      <c r="E166" s="181">
        <f ca="1">[1]!S_STM07_CS($D$4,25,E163,rptype4)/CurrencyUnit</f>
        <v>2834.55159589</v>
      </c>
      <c r="F166" s="181">
        <f ca="1">[1]!S_STM07_CS($D$4,25,F163,rptype5)/CurrencyUnit</f>
        <v>3226.77453311</v>
      </c>
      <c r="G166" s="181">
        <f ca="1">[1]!S_STM07_CS($D$4,25,G163,rptype)/CurrencyUnit</f>
        <v>3312.2193162399999</v>
      </c>
      <c r="H166" s="181">
        <f ca="1">[1]!S_STM07_CS($D$4,25,H163,rptype2)/CurrencyUnit</f>
        <v>0</v>
      </c>
      <c r="I166" s="197"/>
      <c r="J166" s="122"/>
      <c r="K166" s="122"/>
      <c r="L166" s="122"/>
      <c r="M166" s="124" t="s">
        <v>345</v>
      </c>
      <c r="N166" s="182">
        <f ca="1">N125/([1]!S_STM07_IS($D$4,48,N110,rptype3)/CurrencyUnit)-1</f>
        <v>1.23194660589792</v>
      </c>
      <c r="O166" s="182">
        <f ca="1">O125/N125-1</f>
        <v>0.2335558812353824</v>
      </c>
      <c r="P166" s="182">
        <f ca="1">P125/O125-1</f>
        <v>3.202157312490872E-2</v>
      </c>
      <c r="Q166" s="376">
        <f ca="1">Q125/P125-1</f>
        <v>0.5288649264741585</v>
      </c>
      <c r="R166" s="376"/>
      <c r="S166" s="376"/>
      <c r="T166" s="376"/>
      <c r="U166" s="182">
        <f ca="1">U125/Q125-1</f>
        <v>-1</v>
      </c>
      <c r="V166" s="182" t="e">
        <f ca="1">V125/U125-1</f>
        <v>#DIV/0!</v>
      </c>
      <c r="W166" s="24"/>
    </row>
    <row r="167" spans="2:23" ht="16.5">
      <c r="B167" s="24"/>
      <c r="C167" s="124" t="s">
        <v>276</v>
      </c>
      <c r="D167" s="182">
        <f ca="1">[1]!S_STM07_CS($D$4,26,D163,rptype3)/CurrencyUnit</f>
        <v>1905.0416860800001</v>
      </c>
      <c r="E167" s="182">
        <f ca="1">[1]!S_STM07_CS($D$4,26,E163,rptype4)/CurrencyUnit</f>
        <v>2263.4626644999998</v>
      </c>
      <c r="F167" s="182">
        <f ca="1">[1]!S_STM07_CS($D$4,26,F163,rptype5)/CurrencyUnit</f>
        <v>2550.1510523500001</v>
      </c>
      <c r="G167" s="182">
        <f ca="1">[1]!S_STM07_CS($D$4,26,G163,rptype)/CurrencyUnit</f>
        <v>2476.7870137599998</v>
      </c>
      <c r="H167" s="182">
        <f ca="1">[1]!S_STM07_CS($D$4,26,H163,rptype2)/CurrencyUnit</f>
        <v>0</v>
      </c>
      <c r="I167" s="197"/>
      <c r="J167" s="122"/>
      <c r="K167" s="122"/>
      <c r="L167" s="122"/>
      <c r="M167" s="153" t="s">
        <v>346</v>
      </c>
      <c r="N167" s="181">
        <f ca="1">N130/([1]!S_STM07_IS($D$4,61,N110,rptype3)/CurrencyUnit)-1</f>
        <v>1.4080419092320118</v>
      </c>
      <c r="O167" s="181">
        <f ca="1">O130/N130-1</f>
        <v>0.27877314245859708</v>
      </c>
      <c r="P167" s="181">
        <f ca="1">P130/O130-1</f>
        <v>5.375566921842112E-2</v>
      </c>
      <c r="Q167" s="377">
        <f ca="1">Q130/P130-1</f>
        <v>0.51758917091689782</v>
      </c>
      <c r="R167" s="377"/>
      <c r="S167" s="377"/>
      <c r="T167" s="377"/>
      <c r="U167" s="181">
        <f ca="1">U130/Q130-1</f>
        <v>-1</v>
      </c>
      <c r="V167" s="181" t="e">
        <f ca="1">V130/U130-1</f>
        <v>#DIV/0!</v>
      </c>
      <c r="W167" s="24"/>
    </row>
    <row r="168" spans="2:23" ht="16.5">
      <c r="B168" s="24"/>
      <c r="C168" s="153" t="s">
        <v>291</v>
      </c>
      <c r="D168" s="181">
        <f ca="1">[1]!S_STM07_CS($D$4,27,D163,rptype3)/CurrencyUnit</f>
        <v>71.510632099999995</v>
      </c>
      <c r="E168" s="181">
        <f ca="1">[1]!S_STM07_CS($D$4,27,E163,rptype4)/CurrencyUnit</f>
        <v>91.711262309999995</v>
      </c>
      <c r="F168" s="181">
        <f ca="1">[1]!S_STM07_CS($D$4,27,F163,rptype5)/CurrencyUnit</f>
        <v>98.347558579999998</v>
      </c>
      <c r="G168" s="181">
        <f ca="1">[1]!S_STM07_CS($D$4,27,G163,rptype)/CurrencyUnit</f>
        <v>119.28970526000001</v>
      </c>
      <c r="H168" s="181">
        <f ca="1">[1]!S_STM07_CS($D$4,27,H163,rptype2)/CurrencyUnit</f>
        <v>0</v>
      </c>
      <c r="I168" s="193"/>
      <c r="J168" s="122"/>
      <c r="K168" s="122"/>
      <c r="L168" s="122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</row>
    <row r="169" spans="2:23" ht="16.5">
      <c r="B169" s="24"/>
      <c r="C169" s="124" t="s">
        <v>292</v>
      </c>
      <c r="D169" s="182">
        <f ca="1">[1]!S_STM07_CS($D$4,37,D163,rptype3)/CurrencyUnit</f>
        <v>2109.3506140300001</v>
      </c>
      <c r="E169" s="182">
        <f ca="1">[1]!S_STM07_CS($D$4,37,E163,rptype4)/CurrencyUnit</f>
        <v>2547.7665722900001</v>
      </c>
      <c r="F169" s="182">
        <f ca="1">[1]!S_STM07_CS($D$4,37,F163,rptype5)/CurrencyUnit</f>
        <v>2858.1738729600002</v>
      </c>
      <c r="G169" s="182">
        <f ca="1">[1]!S_STM07_CS($D$4,37,G163,rptype)/CurrencyUnit</f>
        <v>2823.6158478500001</v>
      </c>
      <c r="H169" s="182">
        <f ca="1">[1]!S_STM07_CS($D$4,37,H163,rptype2)/CurrencyUnit</f>
        <v>0</v>
      </c>
      <c r="I169" s="193"/>
      <c r="J169" s="122"/>
      <c r="K169" s="122"/>
      <c r="L169" s="122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</row>
    <row r="170" spans="2:23" ht="16.5">
      <c r="B170" s="24"/>
      <c r="C170" s="187" t="s">
        <v>156</v>
      </c>
      <c r="D170" s="181">
        <f ca="1">[1]!S_STM07_CS($D$4,39,D163,rptype3)/CurrencyUnit</f>
        <v>260.72237601</v>
      </c>
      <c r="E170" s="181">
        <f ca="1">[1]!S_STM07_CS($D$4,39,E163,rptype4)/CurrencyUnit</f>
        <v>286.78502359999999</v>
      </c>
      <c r="F170" s="181">
        <f ca="1">[1]!S_STM07_CS($D$4,39,F163,rptype5)/CurrencyUnit</f>
        <v>368.60066015000001</v>
      </c>
      <c r="G170" s="181">
        <f ca="1">[1]!S_STM07_CS($D$4,39,G163,rptype)/CurrencyUnit</f>
        <v>488.60346838999999</v>
      </c>
      <c r="H170" s="181">
        <f ca="1">[1]!S_STM07_CS($D$4,39,H163,rptype2)/CurrencyUnit</f>
        <v>0</v>
      </c>
      <c r="I170" s="193"/>
      <c r="J170" s="122"/>
      <c r="K170" s="122"/>
      <c r="L170" s="122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</row>
    <row r="171" spans="2:23" ht="16.5">
      <c r="B171" s="24"/>
      <c r="C171" s="124" t="s">
        <v>153</v>
      </c>
      <c r="D171" s="182">
        <f ca="1">[1]!S_STM07_CS($D$4,42,D163,rptype3)/CurrencyUnit</f>
        <v>0.17352639</v>
      </c>
      <c r="E171" s="182">
        <f ca="1">[1]!S_STM07_CS($D$4,42,E163,rptype4)/CurrencyUnit</f>
        <v>1.37120931</v>
      </c>
      <c r="F171" s="182">
        <f ca="1">[1]!S_STM07_CS($D$4,42,F163,rptype5)/CurrencyUnit</f>
        <v>0.99817285</v>
      </c>
      <c r="G171" s="182">
        <f ca="1">[1]!S_STM07_CS($D$4,42,G163,rptype)/CurrencyUnit</f>
        <v>3.7194582899999999</v>
      </c>
      <c r="H171" s="182">
        <f ca="1">[1]!S_STM07_CS($D$4,42,H163,rptype2)/CurrencyUnit</f>
        <v>0</v>
      </c>
      <c r="I171" s="193"/>
      <c r="J171" s="122"/>
      <c r="K171" s="122"/>
      <c r="L171" s="122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</row>
    <row r="172" spans="2:23" ht="16.5">
      <c r="B172" s="24"/>
      <c r="C172" s="153" t="s">
        <v>293</v>
      </c>
      <c r="D172" s="181">
        <f ca="1">[1]!S_STM07_CS($D$4,49,D163,rptype3)/CurrencyUnit</f>
        <v>201.48568080000001</v>
      </c>
      <c r="E172" s="181">
        <f ca="1">[1]!S_STM07_CS($D$4,49,E163,rptype4)/CurrencyUnit</f>
        <v>247.94352673</v>
      </c>
      <c r="F172" s="181">
        <f ca="1">[1]!S_STM07_CS($D$4,49,F163,rptype5)/CurrencyUnit</f>
        <v>304.28663663999998</v>
      </c>
      <c r="G172" s="181">
        <f ca="1">[1]!S_STM07_CS($D$4,49,G163,rptype)/CurrencyUnit</f>
        <v>247.97782051999999</v>
      </c>
      <c r="H172" s="181">
        <f ca="1">[1]!S_STM07_CS($D$4,49,H163,rptype2)/CurrencyUnit</f>
        <v>0</v>
      </c>
      <c r="I172" s="193"/>
      <c r="J172" s="122"/>
      <c r="K172" s="122"/>
      <c r="L172" s="122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</row>
    <row r="173" spans="2:23" ht="16.5">
      <c r="B173" s="24"/>
      <c r="C173" s="123" t="s">
        <v>158</v>
      </c>
      <c r="D173" s="182">
        <f ca="1">[1]!S_STM07_CS($D$4,59,D163,rptype3)/CurrencyUnit</f>
        <v>-237.64951478</v>
      </c>
      <c r="E173" s="182">
        <f ca="1">[1]!S_STM07_CS($D$4,59,E163,rptype4)/CurrencyUnit</f>
        <v>-509.80951794999999</v>
      </c>
      <c r="F173" s="182">
        <f ca="1">[1]!S_STM07_CS($D$4,59,F163,rptype5)/CurrencyUnit</f>
        <v>-339.64609455999999</v>
      </c>
      <c r="G173" s="182">
        <f ca="1">[1]!S_STM07_CS($D$4,59,G163,rptype)/CurrencyUnit</f>
        <v>-322.38447067999999</v>
      </c>
      <c r="H173" s="182">
        <f ca="1">[1]!S_STM07_CS($D$4,59,H163,rptype2)/CurrencyUnit</f>
        <v>0</v>
      </c>
      <c r="I173" s="197"/>
      <c r="J173" s="122"/>
      <c r="K173" s="122"/>
      <c r="L173" s="122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</row>
    <row r="174" spans="2:23" ht="16.5">
      <c r="B174" s="24"/>
      <c r="C174" s="187" t="s">
        <v>157</v>
      </c>
      <c r="D174" s="181">
        <f ca="1">[1]!S_STM07_CS($D$4,77,D163,rptype3)/CurrencyUnit</f>
        <v>0.23320387000000001</v>
      </c>
      <c r="E174" s="181">
        <f ca="1">[1]!S_STM07_CS($D$4,77,E163,rptype4)/CurrencyUnit</f>
        <v>272.57976781000002</v>
      </c>
      <c r="F174" s="181">
        <f ca="1">[1]!S_STM07_CS($D$4,77,F163,rptype5)/CurrencyUnit</f>
        <v>-58.169882690000001</v>
      </c>
      <c r="G174" s="181">
        <f ca="1">[1]!S_STM07_CS($D$4,77,G163,rptype)/CurrencyUnit</f>
        <v>-44.288709079999997</v>
      </c>
      <c r="H174" s="181">
        <f ca="1">[1]!S_STM07_CS($D$4,77,H163,rptype2)/CurrencyUnit</f>
        <v>0</v>
      </c>
      <c r="I174" s="197"/>
      <c r="J174" s="122"/>
      <c r="K174" s="122"/>
      <c r="L174" s="122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</row>
    <row r="175" spans="2:23" ht="17.25" thickBot="1">
      <c r="B175" s="24"/>
      <c r="C175" s="190" t="s">
        <v>278</v>
      </c>
      <c r="D175" s="207">
        <f ca="1">[1]!S_STM07_CS($D$4,82,D163,rptype3)/CurrencyUnit</f>
        <v>18.445789690000002</v>
      </c>
      <c r="E175" s="207">
        <f ca="1">[1]!S_STM07_CS($D$4,82,E163,rptype4)/CurrencyUnit</f>
        <v>60.35413329</v>
      </c>
      <c r="F175" s="207">
        <f ca="1">[1]!S_STM07_CS($D$4,82,F163,rptype5)/CurrencyUnit</f>
        <v>-19.74211511</v>
      </c>
      <c r="G175" s="207">
        <f ca="1">[1]!S_STM07_CS($D$4,82,G163,rptype)/CurrencyUnit</f>
        <v>119.55688311</v>
      </c>
      <c r="H175" s="207">
        <f ca="1">[1]!S_STM07_CS($D$4,82,H163,rptype2)/CurrencyUnit</f>
        <v>0</v>
      </c>
      <c r="I175" s="193"/>
      <c r="J175" s="122"/>
      <c r="K175" s="122"/>
      <c r="L175" s="122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</row>
    <row r="176" spans="2:23" ht="17.25" thickTop="1">
      <c r="B176" s="24"/>
      <c r="C176" s="122"/>
      <c r="D176" s="122"/>
      <c r="E176" s="122"/>
      <c r="F176" s="122"/>
      <c r="G176" s="122"/>
      <c r="H176" s="122"/>
      <c r="I176" s="193"/>
      <c r="J176" s="122"/>
      <c r="K176" s="122"/>
      <c r="L176" s="122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</row>
    <row r="177" spans="2:23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</row>
    <row r="178" spans="2:23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</row>
    <row r="179" spans="2:23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119"/>
      <c r="P179" s="119"/>
      <c r="Q179" s="119"/>
      <c r="R179" s="119"/>
      <c r="S179" s="119"/>
      <c r="T179" s="119"/>
      <c r="U179" s="119"/>
      <c r="V179" s="119"/>
      <c r="W179" s="24"/>
    </row>
    <row r="180" spans="2:23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120"/>
      <c r="P180" s="120"/>
      <c r="Q180" s="120"/>
      <c r="R180" s="120"/>
      <c r="S180" s="120"/>
      <c r="T180" s="120"/>
      <c r="U180" s="120"/>
      <c r="V180" s="120"/>
      <c r="W180" s="24"/>
    </row>
    <row r="181" spans="2:23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120"/>
      <c r="P181" s="120"/>
      <c r="Q181" s="120"/>
      <c r="R181" s="120"/>
      <c r="S181" s="120"/>
      <c r="T181" s="120"/>
      <c r="U181" s="120"/>
      <c r="V181" s="120"/>
      <c r="W181" s="24"/>
    </row>
    <row r="182" spans="2:23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119"/>
      <c r="P182" s="119"/>
      <c r="Q182" s="119"/>
      <c r="R182" s="119"/>
      <c r="S182" s="119"/>
      <c r="T182" s="119"/>
      <c r="U182" s="119"/>
      <c r="V182" s="119"/>
      <c r="W182" s="24"/>
    </row>
    <row r="183" spans="2:23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121"/>
      <c r="N183" s="24"/>
      <c r="O183" s="121"/>
      <c r="P183" s="121"/>
      <c r="Q183" s="121"/>
      <c r="R183" s="121"/>
      <c r="S183" s="121"/>
      <c r="T183" s="121"/>
      <c r="U183" s="121"/>
      <c r="V183" s="121"/>
      <c r="W183" s="24"/>
    </row>
    <row r="184" spans="2:23">
      <c r="B184" s="24"/>
      <c r="C184" s="24"/>
      <c r="D184" s="24"/>
      <c r="E184" s="24"/>
      <c r="F184" s="24"/>
      <c r="G184" s="24"/>
      <c r="H184" s="24"/>
      <c r="I184" s="24"/>
      <c r="J184" s="109"/>
      <c r="K184" s="109"/>
      <c r="L184" s="109"/>
      <c r="M184" s="24"/>
      <c r="N184" s="24"/>
      <c r="O184" s="120"/>
      <c r="P184" s="120"/>
      <c r="Q184" s="120"/>
      <c r="R184" s="120"/>
      <c r="S184" s="120"/>
      <c r="T184" s="120"/>
      <c r="U184" s="120"/>
      <c r="V184" s="120"/>
      <c r="W184" s="24"/>
    </row>
    <row r="185" spans="2:23">
      <c r="B185" s="24"/>
      <c r="C185" s="24"/>
      <c r="D185" s="24"/>
      <c r="E185" s="24"/>
      <c r="F185" s="24"/>
      <c r="G185" s="24"/>
      <c r="H185" s="24"/>
      <c r="I185" s="24"/>
      <c r="J185" s="109"/>
      <c r="K185" s="109"/>
      <c r="L185" s="109"/>
      <c r="M185" s="24"/>
      <c r="N185" s="24"/>
      <c r="O185" s="119"/>
      <c r="P185" s="119"/>
      <c r="Q185" s="119"/>
      <c r="R185" s="119"/>
      <c r="S185" s="119"/>
      <c r="T185" s="119"/>
      <c r="U185" s="119"/>
      <c r="V185" s="119"/>
      <c r="W185" s="24"/>
    </row>
    <row r="186" spans="2:23">
      <c r="B186" s="24"/>
      <c r="C186" s="24"/>
      <c r="D186" s="24"/>
      <c r="E186" s="24"/>
      <c r="F186" s="24"/>
      <c r="G186" s="24"/>
      <c r="H186" s="24"/>
      <c r="I186" s="24"/>
      <c r="J186" s="109"/>
      <c r="K186" s="109"/>
      <c r="L186" s="109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</row>
    <row r="187" spans="2:23">
      <c r="B187" s="24"/>
      <c r="C187" s="24"/>
      <c r="D187" s="24"/>
      <c r="E187" s="24"/>
      <c r="F187" s="24"/>
      <c r="G187" s="24"/>
      <c r="H187" s="24"/>
      <c r="I187" s="24"/>
      <c r="J187" s="109"/>
      <c r="K187" s="109"/>
      <c r="L187" s="109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</row>
    <row r="188" spans="2:23">
      <c r="B188" s="24"/>
      <c r="C188" s="24"/>
      <c r="D188" s="24"/>
      <c r="E188" s="24"/>
      <c r="F188" s="24"/>
      <c r="G188" s="24"/>
      <c r="H188" s="24"/>
      <c r="I188" s="24"/>
      <c r="J188" s="109"/>
      <c r="K188" s="109"/>
      <c r="L188" s="109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</row>
    <row r="189" spans="2:23">
      <c r="B189" s="24"/>
      <c r="C189" s="24"/>
      <c r="D189" s="24"/>
      <c r="E189" s="24"/>
      <c r="F189" s="24"/>
      <c r="G189" s="24"/>
      <c r="H189" s="24"/>
      <c r="I189" s="24"/>
      <c r="J189" s="109"/>
      <c r="K189" s="109"/>
      <c r="L189" s="109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</row>
    <row r="190" spans="2:23">
      <c r="B190" s="24"/>
      <c r="C190" s="24"/>
      <c r="D190" s="24"/>
      <c r="E190" s="24"/>
      <c r="F190" s="24"/>
      <c r="G190" s="24"/>
      <c r="H190" s="24"/>
      <c r="I190" s="24"/>
      <c r="J190" s="109"/>
      <c r="K190" s="109"/>
      <c r="L190" s="109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</row>
    <row r="191" spans="2:23">
      <c r="B191" s="24"/>
      <c r="C191" s="24"/>
      <c r="D191" s="24"/>
      <c r="E191" s="24"/>
      <c r="F191" s="24"/>
      <c r="G191" s="24"/>
      <c r="H191" s="24"/>
      <c r="I191" s="24"/>
      <c r="J191" s="109"/>
      <c r="K191" s="109"/>
      <c r="L191" s="109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</row>
    <row r="192" spans="2:23">
      <c r="B192" s="24"/>
      <c r="C192" s="108"/>
      <c r="D192" s="108"/>
      <c r="E192" s="108"/>
      <c r="F192" s="108"/>
      <c r="G192" s="24"/>
      <c r="H192" s="24"/>
      <c r="I192" s="24"/>
      <c r="J192" s="109"/>
      <c r="K192" s="109"/>
      <c r="L192" s="109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</row>
    <row r="193" spans="2:23">
      <c r="B193" s="24"/>
      <c r="C193" s="24"/>
      <c r="D193" s="24"/>
      <c r="E193" s="24"/>
      <c r="F193" s="24"/>
      <c r="G193" s="24"/>
      <c r="H193" s="24"/>
      <c r="I193" s="24"/>
      <c r="J193" s="109"/>
      <c r="K193" s="109"/>
      <c r="L193" s="109"/>
      <c r="M193" s="24"/>
      <c r="N193" s="24"/>
      <c r="O193" s="108"/>
      <c r="P193" s="108"/>
      <c r="Q193" s="108"/>
      <c r="R193" s="108"/>
      <c r="S193" s="108"/>
      <c r="T193" s="108"/>
      <c r="U193" s="108"/>
      <c r="V193" s="108"/>
      <c r="W193" s="24"/>
    </row>
    <row r="194" spans="2:23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</row>
    <row r="195" spans="2:23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</row>
    <row r="196" spans="2:23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</row>
    <row r="197" spans="2:23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</row>
    <row r="198" spans="2:23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</row>
    <row r="199" spans="2:23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</row>
    <row r="200" spans="2:23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</row>
    <row r="201" spans="2:23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</row>
    <row r="202" spans="2:23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</row>
    <row r="203" spans="2:23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</row>
    <row r="204" spans="2:23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</row>
    <row r="205" spans="2:23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</row>
    <row r="206" spans="2:23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</row>
    <row r="207" spans="2:23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</row>
  </sheetData>
  <sheetProtection selectLockedCells="1"/>
  <mergeCells count="103">
    <mergeCell ref="D1:U1"/>
    <mergeCell ref="Q163:T163"/>
    <mergeCell ref="Q164:T164"/>
    <mergeCell ref="Q165:T165"/>
    <mergeCell ref="Q166:T166"/>
    <mergeCell ref="Q167:T167"/>
    <mergeCell ref="Q162:T162"/>
    <mergeCell ref="Q158:T158"/>
    <mergeCell ref="Q159:T159"/>
    <mergeCell ref="Q160:T160"/>
    <mergeCell ref="Q161:T161"/>
    <mergeCell ref="Q138:T138"/>
    <mergeCell ref="Q139:T139"/>
    <mergeCell ref="Q140:T140"/>
    <mergeCell ref="Q157:T157"/>
    <mergeCell ref="Q156:T156"/>
    <mergeCell ref="Q155:T155"/>
    <mergeCell ref="Q154:T154"/>
    <mergeCell ref="Q153:T153"/>
    <mergeCell ref="Q114:T114"/>
    <mergeCell ref="Q115:T115"/>
    <mergeCell ref="Q116:T116"/>
    <mergeCell ref="Q117:T117"/>
    <mergeCell ref="Q121:T121"/>
    <mergeCell ref="Q134:T134"/>
    <mergeCell ref="Q135:T135"/>
    <mergeCell ref="Q144:T144"/>
    <mergeCell ref="Q143:T143"/>
    <mergeCell ref="Q152:T152"/>
    <mergeCell ref="Q151:T151"/>
    <mergeCell ref="Q150:T150"/>
    <mergeCell ref="Q149:T149"/>
    <mergeCell ref="Q148:T148"/>
    <mergeCell ref="Q147:T147"/>
    <mergeCell ref="Q146:T146"/>
    <mergeCell ref="Q145:T145"/>
    <mergeCell ref="Q141:T141"/>
    <mergeCell ref="Q142:T142"/>
    <mergeCell ref="Q136:T136"/>
    <mergeCell ref="Q137:T137"/>
    <mergeCell ref="P10:S10"/>
    <mergeCell ref="P11:S11"/>
    <mergeCell ref="P12:S12"/>
    <mergeCell ref="P13:S13"/>
    <mergeCell ref="P14:S14"/>
    <mergeCell ref="Q131:T131"/>
    <mergeCell ref="Q132:T132"/>
    <mergeCell ref="Q133:T133"/>
    <mergeCell ref="Q118:T118"/>
    <mergeCell ref="Q125:T125"/>
    <mergeCell ref="Q126:T126"/>
    <mergeCell ref="Q127:T127"/>
    <mergeCell ref="Q120:T120"/>
    <mergeCell ref="Q119:T119"/>
    <mergeCell ref="Q124:T124"/>
    <mergeCell ref="Q123:T123"/>
    <mergeCell ref="Q122:T122"/>
    <mergeCell ref="Q128:T128"/>
    <mergeCell ref="Q129:T129"/>
    <mergeCell ref="Q130:T130"/>
    <mergeCell ref="P15:S15"/>
    <mergeCell ref="Q113:T113"/>
    <mergeCell ref="U61:V61"/>
    <mergeCell ref="U62:V62"/>
    <mergeCell ref="H55:I55"/>
    <mergeCell ref="H56:I56"/>
    <mergeCell ref="H57:I57"/>
    <mergeCell ref="U39:V39"/>
    <mergeCell ref="U40:V40"/>
    <mergeCell ref="H39:I39"/>
    <mergeCell ref="H40:I40"/>
    <mergeCell ref="U41:V41"/>
    <mergeCell ref="U42:V42"/>
    <mergeCell ref="U43:V43"/>
    <mergeCell ref="U44:V44"/>
    <mergeCell ref="U45:V45"/>
    <mergeCell ref="H41:I41"/>
    <mergeCell ref="H42:I42"/>
    <mergeCell ref="H43:I43"/>
    <mergeCell ref="U60:V60"/>
    <mergeCell ref="H62:I62"/>
    <mergeCell ref="H63:I63"/>
    <mergeCell ref="H64:I64"/>
    <mergeCell ref="H65:I65"/>
    <mergeCell ref="H66:I66"/>
    <mergeCell ref="H58:I58"/>
    <mergeCell ref="H59:I59"/>
    <mergeCell ref="D11:H11"/>
    <mergeCell ref="D12:H12"/>
    <mergeCell ref="D13:H13"/>
    <mergeCell ref="C54:E54"/>
    <mergeCell ref="H46:I46"/>
    <mergeCell ref="H47:I47"/>
    <mergeCell ref="H48:I48"/>
    <mergeCell ref="H49:I49"/>
    <mergeCell ref="H50:I50"/>
    <mergeCell ref="C36:O36"/>
    <mergeCell ref="C38:E38"/>
    <mergeCell ref="M38:O38"/>
    <mergeCell ref="H60:I60"/>
    <mergeCell ref="H61:I61"/>
    <mergeCell ref="H44:I44"/>
    <mergeCell ref="H45:I45"/>
  </mergeCells>
  <phoneticPr fontId="1" type="noConversion"/>
  <conditionalFormatting sqref="H40:H41">
    <cfRule type="iconSet" priority="133">
      <iconSet iconSet="3Arrows">
        <cfvo type="percent" val="0"/>
        <cfvo type="num" val="0"/>
        <cfvo type="num" val="0" gte="0"/>
      </iconSet>
    </cfRule>
  </conditionalFormatting>
  <conditionalFormatting sqref="H42:H50">
    <cfRule type="iconSet" priority="3">
      <iconSet iconSet="3Arrows">
        <cfvo type="percent" val="0"/>
        <cfvo type="num" val="0"/>
        <cfvo type="num" val="0" gte="0"/>
      </iconSet>
    </cfRule>
  </conditionalFormatting>
  <conditionalFormatting sqref="H56:H57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H58:H66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J61:L66">
    <cfRule type="iconSet" priority="132">
      <iconSet iconSet="3Arrows">
        <cfvo type="percent" val="0"/>
        <cfvo type="num" val="0"/>
        <cfvo type="num" val="0" gte="0"/>
      </iconSet>
    </cfRule>
  </conditionalFormatting>
  <conditionalFormatting sqref="P10:P14">
    <cfRule type="expression" dxfId="564" priority="14">
      <formula>P10&gt;$U$10</formula>
    </cfRule>
    <cfRule type="expression" dxfId="563" priority="15">
      <formula>P10&lt;$U$10</formula>
    </cfRule>
  </conditionalFormatting>
  <conditionalFormatting sqref="U11:U12">
    <cfRule type="cellIs" dxfId="562" priority="26" operator="greaterThan">
      <formula>0</formula>
    </cfRule>
    <cfRule type="cellIs" dxfId="561" priority="27" operator="lessThan">
      <formula>0</formula>
    </cfRule>
  </conditionalFormatting>
  <dataValidations count="9">
    <dataValidation type="list" allowBlank="1" showInputMessage="1" showErrorMessage="1" sqref="V20" xr:uid="{00000000-0002-0000-0000-000000000000}">
      <formula1>benchmark</formula1>
    </dataValidation>
    <dataValidation type="list" allowBlank="1" showInputMessage="1" showErrorMessage="1" sqref="E20" xr:uid="{00000000-0002-0000-0000-000001000000}">
      <formula1>timetype</formula1>
    </dataValidation>
    <dataValidation type="list" allowBlank="1" showInputMessage="1" showErrorMessage="1" sqref="D20" xr:uid="{00000000-0002-0000-0000-000002000000}">
      <formula1>pricetype</formula1>
    </dataValidation>
    <dataValidation type="list" allowBlank="1" showInputMessage="1" showErrorMessage="1" sqref="F20" xr:uid="{00000000-0002-0000-0000-000003000000}">
      <formula1>"PE Band,PB Band"</formula1>
    </dataValidation>
    <dataValidation type="list" allowBlank="1" showInputMessage="1" showErrorMessage="1" sqref="M38" xr:uid="{00000000-0002-0000-0000-000004000000}">
      <formula1>holdertimetype</formula1>
    </dataValidation>
    <dataValidation type="list" allowBlank="1" showInputMessage="1" showErrorMessage="1" sqref="C84" xr:uid="{00000000-0002-0000-0000-000005000000}">
      <formula1>"按产品分类,按行业分类,按地区分类"</formula1>
    </dataValidation>
    <dataValidation type="list" allowBlank="1" showInputMessage="1" showErrorMessage="1" sqref="H82:I83" xr:uid="{00000000-0002-0000-0000-000006000000}">
      <formula1>"年度,半年度"</formula1>
    </dataValidation>
    <dataValidation type="list" allowBlank="1" showInputMessage="1" showErrorMessage="1" sqref="D7 F5" xr:uid="{00000000-0002-0000-0000-000007000000}">
      <formula1>Unit</formula1>
    </dataValidation>
    <dataValidation type="list" allowBlank="1" showInputMessage="1" showErrorMessage="1" sqref="I116 D115:H115" xr:uid="{00000000-0002-0000-0000-000008000000}">
      <formula1>reporttype</formula1>
    </dataValidation>
  </dataValidations>
  <hyperlinks>
    <hyperlink ref="V114" location="盈利预测!C4" tooltip="盈利预测" display="盈利预测!C4" xr:uid="{00000000-0004-0000-0000-000000000000}"/>
    <hyperlink ref="C85" location="收入细分!A1" tooltip="收入细分" display="收入[合并报表]" xr:uid="{00000000-0004-0000-0000-000001000000}"/>
  </hyperlinks>
  <pageMargins left="0.7" right="0.7" top="0.75" bottom="0.75" header="0.3" footer="0.3"/>
  <pageSetup paperSize="9" orientation="portrait" horizontalDpi="200" verticalDpi="200" r:id="rId1"/>
  <ignoredErrors>
    <ignoredError sqref="H20" unlockedFormula="1"/>
    <ignoredError sqref="E84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4" name="Scroll Bar 3">
              <controlPr defaultSize="0" autoPict="0">
                <anchor>
                  <from>
                    <xdr:col>6</xdr:col>
                    <xdr:colOff>85725</xdr:colOff>
                    <xdr:row>18</xdr:row>
                    <xdr:rowOff>38100</xdr:rowOff>
                  </from>
                  <to>
                    <xdr:col>6</xdr:col>
                    <xdr:colOff>952500</xdr:colOff>
                    <xdr:row>18</xdr:row>
                    <xdr:rowOff>200025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63636D"/>
  </sheetPr>
  <dimension ref="A1:AA2173"/>
  <sheetViews>
    <sheetView showGridLines="0" topLeftCell="A13" workbookViewId="0">
      <selection activeCell="G5" sqref="G5"/>
    </sheetView>
  </sheetViews>
  <sheetFormatPr defaultColWidth="9" defaultRowHeight="12" customHeight="1"/>
  <cols>
    <col min="1" max="1" width="1.875" style="10" customWidth="1"/>
    <col min="2" max="2" width="2.625" style="24" customWidth="1"/>
    <col min="3" max="3" width="9" style="110" customWidth="1"/>
    <col min="4" max="4" width="13.375" style="24" customWidth="1"/>
    <col min="5" max="5" width="14.875" style="24" bestFit="1" customWidth="1"/>
    <col min="6" max="6" width="9.25" style="109" bestFit="1" customWidth="1"/>
    <col min="7" max="7" width="10.5" style="24" customWidth="1"/>
    <col min="8" max="8" width="8.875" style="24" bestFit="1" customWidth="1"/>
    <col min="9" max="9" width="7.625" style="139" customWidth="1"/>
    <col min="10" max="10" width="9.125" style="139" customWidth="1"/>
    <col min="11" max="11" width="9.125" style="139" bestFit="1" customWidth="1"/>
    <col min="12" max="12" width="7.625" style="139" customWidth="1"/>
    <col min="13" max="13" width="8.25" style="139" bestFit="1" customWidth="1"/>
    <col min="14" max="14" width="9.375" style="139" bestFit="1" customWidth="1"/>
    <col min="15" max="15" width="7.625" style="139" customWidth="1"/>
    <col min="16" max="16" width="11" style="139" bestFit="1" customWidth="1"/>
    <col min="17" max="17" width="7" style="117" customWidth="1"/>
    <col min="18" max="18" width="6.625" style="117" customWidth="1"/>
    <col min="19" max="19" width="7.625" style="139" customWidth="1"/>
    <col min="20" max="20" width="9.375" style="139" customWidth="1"/>
    <col min="21" max="21" width="15.875" style="24" customWidth="1"/>
    <col min="22" max="22" width="7.5" style="24" customWidth="1"/>
    <col min="23" max="23" width="2.875" style="24" customWidth="1"/>
    <col min="24" max="24" width="5.375" style="10" customWidth="1"/>
    <col min="25" max="25" width="6" style="6" customWidth="1"/>
    <col min="26" max="26" width="11.5" style="1" customWidth="1"/>
    <col min="27" max="27" width="8" style="1" customWidth="1"/>
    <col min="28" max="28" width="12.25" style="1" customWidth="1"/>
    <col min="29" max="29" width="4.5" style="1" customWidth="1"/>
    <col min="30" max="30" width="9.875" style="1" customWidth="1"/>
    <col min="31" max="16384" width="9" style="1"/>
  </cols>
  <sheetData>
    <row r="1" spans="1:27" ht="30" customHeight="1">
      <c r="A1" s="9"/>
      <c r="B1" s="9"/>
      <c r="C1" s="9"/>
      <c r="D1" s="379" t="s">
        <v>231</v>
      </c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79"/>
      <c r="R1" s="379"/>
      <c r="S1" s="379"/>
      <c r="T1" s="338"/>
      <c r="U1" s="9"/>
      <c r="V1" s="9"/>
      <c r="W1" s="9"/>
      <c r="X1" s="9"/>
      <c r="Y1" s="1"/>
    </row>
    <row r="2" spans="1:27" ht="11.25" customHeight="1">
      <c r="B2" s="10"/>
      <c r="C2" s="17"/>
      <c r="D2" s="102"/>
      <c r="E2" s="16"/>
      <c r="F2" s="16"/>
      <c r="G2" s="10"/>
      <c r="H2" s="10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"/>
    </row>
    <row r="3" spans="1:27" ht="11.25" customHeight="1">
      <c r="D3" s="32"/>
      <c r="E3" s="109"/>
      <c r="Q3" s="139"/>
      <c r="R3" s="139"/>
      <c r="U3" s="139"/>
      <c r="V3" s="139"/>
      <c r="W3" s="139"/>
      <c r="X3" s="101"/>
      <c r="Y3" s="1"/>
    </row>
    <row r="4" spans="1:27" ht="16.5">
      <c r="C4" s="151" t="s">
        <v>174</v>
      </c>
      <c r="D4" s="150" t="str">
        <f>公司分析!D4</f>
        <v>601899.SH</v>
      </c>
      <c r="E4" s="236" t="str">
        <f>[1]!S_Info_Name(D4)</f>
        <v>紫金矿业</v>
      </c>
      <c r="F4" s="151" t="s">
        <v>347</v>
      </c>
      <c r="G4" s="150" t="str">
        <f ca="1">VLOOKUP(E4,E14:V20003,18,FALSE)&amp;"/"&amp;MAX(series)</f>
        <v>1/61</v>
      </c>
      <c r="H4" s="236" t="str">
        <f>"("&amp;"按"&amp;V12&amp;")"</f>
        <v>(按总市值)</v>
      </c>
      <c r="Q4" s="139"/>
      <c r="R4" s="139"/>
      <c r="U4" s="139"/>
      <c r="V4" s="139"/>
      <c r="W4" s="139"/>
      <c r="X4" s="101"/>
      <c r="Y4" s="1"/>
    </row>
    <row r="5" spans="1:27" ht="16.5">
      <c r="C5" s="235" t="s">
        <v>176</v>
      </c>
      <c r="D5" s="252" t="s">
        <v>5</v>
      </c>
      <c r="E5" s="341">
        <f>IF(D5="千",1000,IF(D5="百万",1000000,1000000000))</f>
        <v>1000000</v>
      </c>
      <c r="F5" s="235" t="s">
        <v>468</v>
      </c>
      <c r="G5" s="36" t="str">
        <f ca="1">[1]!s_fa_lyr_bt(D4,公司分析!D5)</f>
        <v>2024-12-31</v>
      </c>
      <c r="H5" s="138"/>
      <c r="J5" s="138"/>
      <c r="K5" s="138"/>
      <c r="Q5" s="139"/>
      <c r="R5" s="139"/>
      <c r="U5" s="139"/>
      <c r="V5" s="139"/>
      <c r="W5" s="139"/>
      <c r="X5" s="101"/>
      <c r="Y5" s="1"/>
      <c r="AA5" s="6"/>
    </row>
    <row r="6" spans="1:27" ht="16.5">
      <c r="C6" s="151" t="s">
        <v>232</v>
      </c>
      <c r="D6" s="251" t="s">
        <v>467</v>
      </c>
      <c r="E6" s="236" t="str">
        <f ca="1">IF($D$6="申万一级行业",[1]!s_info_industry_sw_2021(D4,公司分析!D$5,1),IF($D$6="申万二级行业",[1]!s_info_industry_sw_2021(D4,公司分析!D$5,2),IF($D$6="申万三级行业",[1]!s_info_industry_sw_2021(D4,公司分析!D$5,3),IF($D$6="wind一级行业",[1]!s_info_industry_gics(D4,1),IF($D$6="wind二级行业",[1]!s_info_industry_gics(D4,2),IF($D$6="wind三级行业",[1]!s_info_industry_gics(D4,3),IF($D$6="wind四级行业",[1]!s_info_industry_gics(D4,4),IF($D$6="证监会门类行业",[1]!s_info_industry_csrc12_n(D4,公司分析!D$5,1),IF([1]!s_info_industry_csrc12_n(D4,公司分析!D$5,1)="制造业",[1]!s_info_industry_csrc12_n(D4,公司分析!D$5,2),[1]!s_info_industry_csrc12_n(D4,公司分析!D$5,1))))))))))</f>
        <v>工业金属</v>
      </c>
      <c r="F6" s="151" t="s">
        <v>348</v>
      </c>
      <c r="G6" s="251" t="s">
        <v>349</v>
      </c>
      <c r="H6" s="138"/>
      <c r="Q6" s="139"/>
      <c r="R6" s="139"/>
      <c r="U6" s="139"/>
      <c r="V6" s="139"/>
      <c r="W6" s="139"/>
      <c r="X6" s="101"/>
    </row>
    <row r="7" spans="1:27" ht="16.5">
      <c r="C7" s="31"/>
      <c r="D7" s="25"/>
      <c r="E7" s="138"/>
      <c r="F7" s="228"/>
      <c r="G7" s="138"/>
      <c r="H7" s="138"/>
      <c r="Q7" s="139"/>
      <c r="R7" s="139"/>
      <c r="U7" s="139"/>
      <c r="V7" s="139"/>
      <c r="W7" s="139"/>
      <c r="X7" s="101"/>
    </row>
    <row r="8" spans="1:27" ht="3.75" customHeight="1">
      <c r="B8" s="10"/>
      <c r="C8" s="17"/>
      <c r="D8" s="10"/>
      <c r="E8" s="10"/>
      <c r="F8" s="10"/>
      <c r="G8" s="16"/>
      <c r="H8" s="10"/>
      <c r="I8" s="103"/>
      <c r="J8" s="103"/>
      <c r="K8" s="103"/>
      <c r="L8" s="103"/>
      <c r="M8" s="103"/>
      <c r="N8" s="103"/>
      <c r="O8" s="101"/>
      <c r="P8" s="101"/>
      <c r="Q8" s="23"/>
      <c r="R8" s="23"/>
      <c r="S8" s="101"/>
      <c r="T8" s="101"/>
      <c r="U8" s="10"/>
      <c r="V8" s="10"/>
      <c r="W8" s="10"/>
      <c r="Y8" s="1"/>
      <c r="AA8" s="6"/>
    </row>
    <row r="9" spans="1:27" ht="14.25" customHeight="1" thickBot="1">
      <c r="B9" s="230"/>
      <c r="C9" s="231" t="s">
        <v>148</v>
      </c>
      <c r="D9" s="230"/>
      <c r="E9" s="230"/>
      <c r="F9" s="232"/>
      <c r="G9" s="230"/>
      <c r="H9" s="230"/>
      <c r="I9" s="233"/>
      <c r="J9" s="233"/>
      <c r="K9" s="233"/>
      <c r="L9" s="233"/>
      <c r="M9" s="233"/>
      <c r="N9" s="233"/>
      <c r="O9" s="233"/>
      <c r="P9" s="233"/>
      <c r="Q9" s="234"/>
      <c r="R9" s="234"/>
      <c r="S9" s="233"/>
      <c r="T9" s="233"/>
      <c r="U9" s="233"/>
      <c r="V9" s="233"/>
      <c r="W9" s="233"/>
      <c r="Y9" s="1"/>
    </row>
    <row r="10" spans="1:27" ht="14.25" customHeight="1">
      <c r="B10" s="237"/>
      <c r="C10" s="238"/>
      <c r="D10" s="237"/>
      <c r="E10" s="237"/>
      <c r="F10" s="239"/>
      <c r="G10" s="237"/>
      <c r="H10" s="237"/>
      <c r="I10" s="229"/>
      <c r="J10" s="229"/>
      <c r="K10" s="229"/>
      <c r="L10" s="229"/>
      <c r="M10" s="229"/>
      <c r="N10" s="229"/>
      <c r="O10" s="229"/>
      <c r="P10" s="229"/>
      <c r="Q10" s="240"/>
      <c r="R10" s="240"/>
      <c r="S10" s="229"/>
      <c r="T10" s="229"/>
      <c r="U10" s="229"/>
      <c r="V10" s="229"/>
      <c r="W10" s="229"/>
      <c r="Y10" s="1"/>
    </row>
    <row r="11" spans="1:27" ht="18.75" customHeight="1">
      <c r="C11" s="380" t="s">
        <v>144</v>
      </c>
      <c r="D11" s="380" t="s">
        <v>145</v>
      </c>
      <c r="E11" s="381" t="s">
        <v>146</v>
      </c>
      <c r="F11" s="382" t="s">
        <v>147</v>
      </c>
      <c r="G11" s="136" t="s">
        <v>166</v>
      </c>
      <c r="H11" s="85" t="str">
        <f>IF($G$6="财务摘要",参数设置!AC3,IF($G$6="估值分析",参数设置!AC4,参数设置!AC5))</f>
        <v>收入</v>
      </c>
      <c r="I11" s="383" t="str">
        <f>IF($G$6="财务摘要",参数设置!AD3,IF($G$6="估值分析",参数设置!AD4,参数设置!AD5))</f>
        <v>毛利率</v>
      </c>
      <c r="J11" s="384" t="str">
        <f>IF($G$6="财务摘要",参数设置!AE3,IF($G$6="估值分析",参数设置!AE4,参数设置!AE5))</f>
        <v>营业利润率</v>
      </c>
      <c r="K11" s="384" t="str">
        <f>IF($G$6="财务摘要",参数设置!AF3,IF($G$6="估值分析",参数设置!AF4,参数设置!AF5))</f>
        <v>净利润率</v>
      </c>
      <c r="L11" s="383" t="str">
        <f>IF($G$6="财务摘要",参数设置!AG3,IF(G6="估值分析",参数设置!AG4,参数设置!AG5))</f>
        <v>ROA</v>
      </c>
      <c r="M11" s="383" t="str">
        <f>IF($G$6="财务摘要",参数设置!AH3,IF(G6="估值分析",参数设置!AH4,参数设置!AH5))</f>
        <v>ROE</v>
      </c>
      <c r="N11" s="383" t="str">
        <f>IF($G$6="财务摘要",参数设置!AI3,IF($G$6="估值分析",参数设置!AI4,参数设置!AI5))</f>
        <v>EPS</v>
      </c>
      <c r="O11" s="383" t="str">
        <f>IF($G$6="财务摘要",参数设置!AJ3,IF(G6="估值分析",参数设置!AJ4,参数设置!AJ5))</f>
        <v>BPS</v>
      </c>
      <c r="P11" s="383" t="str">
        <f>IF($G$6="财务摘要",参数设置!AK3,IF(G6="估值分析",参数设置!AK4,参数设置!AK5))</f>
        <v>CFPS</v>
      </c>
      <c r="Q11" s="385" t="str">
        <f>IF($G$6="财务摘要",参数设置!AL3,IF(G6="估值分析",参数设置!AL4,参数设置!AL5))</f>
        <v>PE</v>
      </c>
      <c r="R11" s="385" t="str">
        <f>IF($G$6="财务摘要",参数设置!AM3,IF(G6="估值分析",参数设置!AM4,参数设置!AM5))</f>
        <v>PB</v>
      </c>
      <c r="S11" s="383" t="str">
        <f>IF($G$6="财务摘要",参数设置!AN3,IF(G6="估值分析",参数设置!AN4,参数设置!AN5))</f>
        <v>总股本</v>
      </c>
      <c r="T11" s="383" t="str">
        <f>IF($G$6="财务摘要",参数设置!AO3,IF(G6="估值分析",参数设置!AO4,参数设置!AO5))</f>
        <v>总市值</v>
      </c>
      <c r="U11" s="77"/>
      <c r="V11" s="85" t="s">
        <v>155</v>
      </c>
      <c r="W11" s="64"/>
      <c r="Y11" s="1"/>
    </row>
    <row r="12" spans="1:27" ht="12.75" customHeight="1">
      <c r="B12" s="55"/>
      <c r="C12" s="380"/>
      <c r="D12" s="380"/>
      <c r="E12" s="381"/>
      <c r="F12" s="382"/>
      <c r="G12" s="134">
        <v>20</v>
      </c>
      <c r="H12" s="77" t="s">
        <v>116</v>
      </c>
      <c r="I12" s="383"/>
      <c r="J12" s="384"/>
      <c r="K12" s="384"/>
      <c r="L12" s="383"/>
      <c r="M12" s="383"/>
      <c r="N12" s="383"/>
      <c r="O12" s="383"/>
      <c r="P12" s="383"/>
      <c r="Q12" s="385"/>
      <c r="R12" s="385"/>
      <c r="S12" s="383"/>
      <c r="T12" s="383"/>
      <c r="U12" s="77"/>
      <c r="V12" s="85" t="s">
        <v>152</v>
      </c>
      <c r="W12" s="107"/>
      <c r="Y12" s="1"/>
    </row>
    <row r="13" spans="1:27" ht="1.5" customHeight="1">
      <c r="B13" s="55"/>
      <c r="C13" s="380"/>
      <c r="D13" s="380"/>
      <c r="E13" s="381"/>
      <c r="F13" s="382"/>
      <c r="G13" s="85"/>
      <c r="H13" s="243">
        <f>IF(H12="合并报表",1,IF(H12="母公司报表",2,IF(H12="合并报表(调整)",3,4)))</f>
        <v>1</v>
      </c>
      <c r="I13" s="244"/>
      <c r="J13" s="244"/>
      <c r="K13" s="244"/>
      <c r="L13" s="244"/>
      <c r="M13" s="244"/>
      <c r="N13" s="244"/>
      <c r="O13" s="244"/>
      <c r="P13" s="244"/>
      <c r="Q13" s="245"/>
      <c r="R13" s="245"/>
      <c r="S13" s="246"/>
      <c r="T13" s="246"/>
      <c r="U13" s="77"/>
      <c r="V13" s="134"/>
      <c r="W13" s="241"/>
      <c r="Y13" s="1"/>
    </row>
    <row r="14" spans="1:27" ht="11.25" customHeight="1">
      <c r="C14" s="342">
        <f t="shared" ref="C14:C77" ca="1" si="0">IF(ROW()-13&lt;=MAX(series),ROW()-13,"")</f>
        <v>1</v>
      </c>
      <c r="D14" s="153" t="str">
        <f t="shared" ref="D14:D51" ca="1" si="1">IF(C14="","",VLOOKUP(C14,comppool,2,FALSE))</f>
        <v>000060.SZ</v>
      </c>
      <c r="E14" s="153" t="str">
        <f t="shared" ref="E14:E51" ca="1" si="2">IF(C14="","",VLOOKUP(C14,comppool,3,FALSE))</f>
        <v>中金岭南</v>
      </c>
      <c r="F14" s="170">
        <f ca="1">IF(C14="","",[1]!S_DQ_CLOSE(D14,TODAY(),1))</f>
        <v>7.4</v>
      </c>
      <c r="G14" s="171">
        <f ca="1">IF(C14="","",[1]!s_pq_pctchange(D14,TODAY()-$G$12,TODAY())/100)</f>
        <v>4.6676096181046622E-2</v>
      </c>
      <c r="H14" s="247">
        <f ca="1">IF(C14="","",IF($H$11="收入",[1]!S_STM07_IS(D14,9,$G$5,$H$13)/$E$5,[1]!S_STM07_IS(D14,48,$G$5,$H$13)/$E$5))</f>
        <v>59812.478789839995</v>
      </c>
      <c r="I14" s="247">
        <f ca="1">IF(C14="","",IF($I$11="毛利率",([1]!S_STM07_IS(D14,9,$G$5,$H$13)-[1]!S_STM07_IS(D14,10,$G$5,$H$13))/[1]!S_STM07_IS(D14,9,$G$5,$H$13),[1]!S_STM07_IS(D14,14,$G$5,$H$13)/$E$5))</f>
        <v>6.0809302807357017E-2</v>
      </c>
      <c r="J14" s="247">
        <f ca="1">IF(C14="","",IF($J$11="营业利润率",[1]!S_STM07_IS(D14,48,$G$5,$H$13)/[1]!S_STM07_IS(D14,9,$G$5,$H$13),([1]!S_STM07_CS(D14,87,$G$5,$H$13)+[1]!S_STM07_CS(D14,88,$G$5,$H$13)+[1]!S_STM07_CS(D14,89,$G$5,$H$13))/$E$5))</f>
        <v>2.691759064002348E-2</v>
      </c>
      <c r="K14" s="247">
        <f ca="1">IF(C14="","",IF($K$11="净利润率",[1]!S_STM07_IS(D14,61,$G$5,$H$13)/[1]!S_STM07_IS(D14,9,$G$5,$H$13),[1]!S_STM07_IS(D14,55,$G$5,$H$13)/$E$5))</f>
        <v>1.8087655215917431E-2</v>
      </c>
      <c r="L14" s="247">
        <f ca="1">IF(C14="","",IF($L$11="ROA",[1]!S_STM07_IS(D14,61,$G$5,$H$13)/[1]!S_STM07_BS(D14,74,$G$5,$H$13),1-[1]!S_STM07_IS(D14,61,$G$5,$H$13)/[1]!S_STM07_IS(D14,55,$G$5,$H$13)))</f>
        <v>2.3602749559235917E-2</v>
      </c>
      <c r="M14" s="247">
        <f ca="1">IF(C14="","",IF($M$11="ROE",[1]!S_STM07_IS(D14,61,$G$5,$H$13)/[1]!S_STM07_BS(D14,141,$G$5,$H$13),([1]!S_STM07_BS(D14,25,$G$5,$H$13)-[1]!S_STM07_BS(D14,93,$G$5,$H$13))/$E$5))</f>
        <v>6.1512680453630633E-2</v>
      </c>
      <c r="N14" s="247">
        <f ca="1">IF(C14="","",IF($N$11="EPS",[1]!S_STM07_IS(D14,61,$G$5,$H$13)/IF([1]!S_SHARE_TOTAL(D14,$G$5)=0,[1]!S_SHARE_TOTAL(D14,[1]!s_ipo_listeddate(D14)),[1]!S_SHARE_TOTAL(D14,$G$5)),([1]!S_STM07_BS(D14,75,$G$5,$H$13)+[1]!S_STM07_BS(D14,88,$G$5,$H$13)+[1]!S_STM07_BS(D14,94,$G$5,$H$13)+[1]!S_STM07_BS(D14,95,$G$5,$H$13))/$E$5))</f>
        <v>0.28945543011552649</v>
      </c>
      <c r="O14" s="247">
        <f ca="1">IF(C14="","",IF($O$11="BPS",[1]!S_STM07_BS(D14,141,$G$5,$H$13)/IF([1]!S_SHARE_TOTAL(D14,$G$5)=0,[1]!S_SHARE_TOTAL(D14,[1]!s_ipo_listeddate(D14)),[1]!S_SHARE_TOTAL(D14,$G$5)),[1]!S_STM07_CS(D14,49,$G$5,$H$13)/$E$5))</f>
        <v>4.7056221250791239</v>
      </c>
      <c r="P14" s="247">
        <f ca="1">IF(C14="","",IF($P$11="CFPS",[1]!S_STM07_CS(D14,84,$G$5,$H$13)/IF([1]!S_SHARE_TOTAL(D14,$G$5)=0,[1]!S_SHARE_TOTAL(D14,[1]!s_ipo_listeddate(D14)),[1]!S_SHARE_TOTAL(D14,$G$5)),[1]!S_STM07_CS(D14,84,$G$5,$H$13)/$E$5))</f>
        <v>0.65077866848173704</v>
      </c>
      <c r="Q14" s="248">
        <f ca="1">IF(C14="","",F14/([1]!S_STM07_IS(D14,61,$G$5,$H$13)/IF([1]!S_SHARE_TOTAL(D14,$G$5)=0,[1]!S_SHARE_TOTAL(D14,[1]!s_ipo_listeddate(D14)),[1]!S_SHARE_TOTAL(D14,$G$5))))</f>
        <v>25.565248498003776</v>
      </c>
      <c r="R14" s="248">
        <f ca="1">IF(C14="","",F14/([1]!S_STM07_BS(D14,141,$G$5,$H$13)/IF([1]!S_SHARE_TOTAL(D14,$G$5)=0,[1]!S_SHARE_TOTAL(D14,[1]!s_ipo_listeddate(D14)),[1]!S_SHARE_TOTAL(D14,$G$5))))</f>
        <v>1.5725869615753669</v>
      </c>
      <c r="S14" s="247">
        <f ca="1">IF(C14="","",[1]!S_SHARE_TOTAL(D14,TODAY())/$E$5)</f>
        <v>4441.172458</v>
      </c>
      <c r="T14" s="247">
        <f t="shared" ref="T14:T58" ca="1" si="3">IF(C14="","",F14*S14)</f>
        <v>32864.676189199999</v>
      </c>
      <c r="U14" s="218">
        <f ca="1">IF(C14="","",HLOOKUP($V$12,$G$11:$T$20003,ROW()-ROW($G$11)+1,FALSE))</f>
        <v>32864.676189199999</v>
      </c>
      <c r="V14" s="342">
        <f ca="1">IF(C14="","",RANK(U14,U:U,0))</f>
        <v>19</v>
      </c>
      <c r="W14" s="140"/>
      <c r="Y14" s="1"/>
    </row>
    <row r="15" spans="1:27" ht="12" customHeight="1">
      <c r="C15" s="343">
        <f t="shared" ca="1" si="0"/>
        <v>2</v>
      </c>
      <c r="D15" s="124" t="str">
        <f t="shared" ca="1" si="1"/>
        <v>000426.SZ</v>
      </c>
      <c r="E15" s="124" t="str">
        <f t="shared" ca="1" si="2"/>
        <v>兴业银锡</v>
      </c>
      <c r="F15" s="172">
        <f ca="1">IF(C15="","",[1]!S_DQ_CLOSE(D15,TODAY(),1))</f>
        <v>49.68</v>
      </c>
      <c r="G15" s="173">
        <f ca="1">IF(C15="","",[1]!s_pq_pctchange(D15,TODAY()-$G$12,TODAY())/100)</f>
        <v>3.3063006862133371E-2</v>
      </c>
      <c r="H15" s="249">
        <f ca="1">IF(C15="","",IF($H$11="收入",[1]!S_STM07_IS(D15,9,$G$5,$H$13)/$E$5,[1]!S_STM07_IS(D15,48,$G$5,$H$13)/$E$5))</f>
        <v>4270.3872378000005</v>
      </c>
      <c r="I15" s="249">
        <f ca="1">IF(C15="","",IF($I$11="毛利率",([1]!S_STM07_IS(D15,9,$G$5,$H$13)-[1]!S_STM07_IS(D15,10,$G$5,$H$13))/[1]!S_STM07_IS(D15,9,$G$5,$H$13),[1]!S_STM07_IS(D15,14,$G$5,$H$13)/$E$5))</f>
        <v>0.62951726945609221</v>
      </c>
      <c r="J15" s="249">
        <f ca="1">IF(C15="","",IF($J$11="营业利润率",[1]!S_STM07_IS(D15,48,$G$5,$H$13)/[1]!S_STM07_IS(D15,9,$G$5,$H$13),([1]!S_STM07_CS(D15,87,$G$5,$H$13)+[1]!S_STM07_CS(D15,88,$G$5,$H$13)+[1]!S_STM07_CS(D15,89,$G$5,$H$13))/$E$5))</f>
        <v>0.4183927431181777</v>
      </c>
      <c r="K15" s="249">
        <f ca="1">IF(C15="","",IF($K$11="净利润率",[1]!S_STM07_IS(D15,61,$G$5,$H$13)/[1]!S_STM07_IS(D15,9,$G$5,$H$13),[1]!S_STM07_IS(D15,55,$G$5,$H$13)/$E$5))</f>
        <v>0.35824820713171346</v>
      </c>
      <c r="L15" s="249">
        <f ca="1">IF(C15="","",IF($L$11="ROA",[1]!S_STM07_IS(D15,61,$G$5,$H$13)/[1]!S_STM07_BS(D15,74,$G$5,$H$13),1-[1]!S_STM07_IS(D15,61,$G$5,$H$13)/[1]!S_STM07_IS(D15,55,$G$5,$H$13)))</f>
        <v>0.12575639783185447</v>
      </c>
      <c r="M15" s="249">
        <f ca="1">IF(C15="","",IF($M$11="ROE",[1]!S_STM07_IS(D15,61,$G$5,$H$13)/[1]!S_STM07_BS(D15,141,$G$5,$H$13),([1]!S_STM07_BS(D15,25,$G$5,$H$13)-[1]!S_STM07_BS(D15,93,$G$5,$H$13))/$E$5))</f>
        <v>0.19165923749556618</v>
      </c>
      <c r="N15" s="250">
        <f ca="1">IF(C15="","",IF($N$11="EPS",[1]!S_STM07_IS(D15,61,$G$5,$H$13)/IF([1]!S_SHARE_TOTAL(D15,$G$5)=0,[1]!S_SHARE_TOTAL(D15,[1]!s_ipo_listeddate(D15)),[1]!S_SHARE_TOTAL(D15,$G$5)),([1]!S_STM07_BS(D15,75,$G$5,$H$13)+[1]!S_STM07_BS(D15,88,$G$5,$H$13)+[1]!S_STM07_BS(D15,94,$G$5,$H$13)+[1]!S_STM07_BS(D15,95,$G$5,$H$13))/$E$5))</f>
        <v>0.8615835658734734</v>
      </c>
      <c r="O15" s="250">
        <f ca="1">IF(C15="","",IF($O$11="BPS",[1]!S_STM07_BS(D15,141,$G$5,$H$13)/IF([1]!S_SHARE_TOTAL(D15,$G$5)=0,[1]!S_SHARE_TOTAL(D15,[1]!s_ipo_listeddate(D15)),[1]!S_SHARE_TOTAL(D15,$G$5)),[1]!S_STM07_CS(D15,49,$G$5,$H$13)/$E$5))</f>
        <v>4.4953928499971472</v>
      </c>
      <c r="P15" s="250">
        <f ca="1">IF(C15="","",IF($P$11="CFPS",[1]!S_STM07_CS(D15,84,$G$5,$H$13)/IF([1]!S_SHARE_TOTAL(D15,$G$5)=0,[1]!S_SHARE_TOTAL(D15,[1]!s_ipo_listeddate(D15)),[1]!S_SHARE_TOTAL(D15,$G$5)),[1]!S_STM07_CS(D15,84,$G$5,$H$13)/$E$5))</f>
        <v>0.62120430832914197</v>
      </c>
      <c r="Q15" s="198">
        <f ca="1">IF(C15="","",F15/([1]!S_STM07_IS(D15,61,$G$5,$H$13)/IF([1]!S_SHARE_TOTAL(D15,$G$5)=0,[1]!S_SHARE_TOTAL(D15,[1]!s_ipo_listeddate(D15)),[1]!S_SHARE_TOTAL(D15,$G$5))))</f>
        <v>57.66126695979213</v>
      </c>
      <c r="R15" s="198">
        <f ca="1">IF(C15="","",F15/([1]!S_STM07_BS(D15,141,$G$5,$H$13)/IF([1]!S_SHARE_TOTAL(D15,$G$5)=0,[1]!S_SHARE_TOTAL(D15,[1]!s_ipo_listeddate(D15)),[1]!S_SHARE_TOTAL(D15,$G$5))))</f>
        <v>11.051314458542045</v>
      </c>
      <c r="S15" s="249">
        <f ca="1">IF(C15="","",[1]!S_SHARE_TOTAL(D15,TODAY())/$E$5)</f>
        <v>1775.6357390000001</v>
      </c>
      <c r="T15" s="249">
        <f t="shared" ca="1" si="3"/>
        <v>88213.583513520003</v>
      </c>
      <c r="U15" s="172">
        <f t="shared" ref="U15:U58" ca="1" si="4">IF(C15="","",HLOOKUP($V$12,$G$11:$T$20003,ROW()-ROW($G$11)+1,FALSE))</f>
        <v>88213.583513520003</v>
      </c>
      <c r="V15" s="343">
        <f t="shared" ref="V15:V58" ca="1" si="5">IF(C15="","",RANK(U15,U:U,0))</f>
        <v>8</v>
      </c>
      <c r="W15" s="139"/>
      <c r="Y15" s="1"/>
    </row>
    <row r="16" spans="1:27" ht="12" customHeight="1">
      <c r="C16" s="342">
        <f t="shared" ca="1" si="0"/>
        <v>3</v>
      </c>
      <c r="D16" s="153" t="str">
        <f t="shared" ca="1" si="1"/>
        <v>000603.SZ</v>
      </c>
      <c r="E16" s="153" t="str">
        <f t="shared" ca="1" si="2"/>
        <v>盛达资源</v>
      </c>
      <c r="F16" s="170">
        <f ca="1">IF(C16="","",[1]!S_DQ_CLOSE(D16,TODAY(),1))</f>
        <v>46.83</v>
      </c>
      <c r="G16" s="171">
        <f ca="1">IF(C16="","",[1]!s_pq_pctchange(D16,TODAY()-$G$12,TODAY())/100)</f>
        <v>3.6061946902654629E-2</v>
      </c>
      <c r="H16" s="247">
        <f ca="1">IF(C16="","",IF($H$11="收入",[1]!S_STM07_IS(D16,9,$G$5,$H$13)/$E$5,[1]!S_STM07_IS(D16,48,$G$5,$H$13)/$E$5))</f>
        <v>2013.2084178299999</v>
      </c>
      <c r="I16" s="247">
        <f ca="1">IF(C16="","",IF($I$11="毛利率",([1]!S_STM07_IS(D16,9,$G$5,$H$13)-[1]!S_STM07_IS(D16,10,$G$5,$H$13))/[1]!S_STM07_IS(D16,9,$G$5,$H$13),[1]!S_STM07_IS(D16,14,$G$5,$H$13)/$E$5))</f>
        <v>0.48491226198639659</v>
      </c>
      <c r="J16" s="247">
        <f ca="1">IF(C16="","",IF($J$11="营业利润率",[1]!S_STM07_IS(D16,48,$G$5,$H$13)/[1]!S_STM07_IS(D16,9,$G$5,$H$13),([1]!S_STM07_CS(D16,87,$G$5,$H$13)+[1]!S_STM07_CS(D16,88,$G$5,$H$13)+[1]!S_STM07_CS(D16,89,$G$5,$H$13))/$E$5))</f>
        <v>0.21776180987885158</v>
      </c>
      <c r="K16" s="247">
        <f ca="1">IF(C16="","",IF($K$11="净利润率",[1]!S_STM07_IS(D16,61,$G$5,$H$13)/[1]!S_STM07_IS(D16,9,$G$5,$H$13),[1]!S_STM07_IS(D16,55,$G$5,$H$13)/$E$5))</f>
        <v>0.19373821234584937</v>
      </c>
      <c r="L16" s="247">
        <f ca="1">IF(C16="","",IF($L$11="ROA",[1]!S_STM07_IS(D16,61,$G$5,$H$13)/[1]!S_STM07_BS(D16,74,$G$5,$H$13),1-[1]!S_STM07_IS(D16,61,$G$5,$H$13)/[1]!S_STM07_IS(D16,55,$G$5,$H$13)))</f>
        <v>5.9035890647320802E-2</v>
      </c>
      <c r="M16" s="247">
        <f ca="1">IF(C16="","",IF($M$11="ROE",[1]!S_STM07_IS(D16,61,$G$5,$H$13)/[1]!S_STM07_BS(D16,141,$G$5,$H$13),([1]!S_STM07_BS(D16,25,$G$5,$H$13)-[1]!S_STM07_BS(D16,93,$G$5,$H$13))/$E$5))</f>
        <v>0.1093403666028645</v>
      </c>
      <c r="N16" s="247">
        <f ca="1">IF(C16="","",IF($N$11="EPS",[1]!S_STM07_IS(D16,61,$G$5,$H$13)/IF([1]!S_SHARE_TOTAL(D16,$G$5)=0,[1]!S_SHARE_TOTAL(D16,[1]!s_ipo_listeddate(D16)),[1]!S_SHARE_TOTAL(D16,$G$5)),([1]!S_STM07_BS(D16,75,$G$5,$H$13)+[1]!S_STM07_BS(D16,88,$G$5,$H$13)+[1]!S_STM07_BS(D16,94,$G$5,$H$13)+[1]!S_STM07_BS(D16,95,$G$5,$H$13))/$E$5))</f>
        <v>0.56529380937164131</v>
      </c>
      <c r="O16" s="247">
        <f ca="1">IF(C16="","",IF($O$11="BPS",[1]!S_STM07_BS(D16,141,$G$5,$H$13)/IF([1]!S_SHARE_TOTAL(D16,$G$5)=0,[1]!S_SHARE_TOTAL(D16,[1]!s_ipo_listeddate(D16)),[1]!S_SHARE_TOTAL(D16,$G$5)),[1]!S_STM07_CS(D16,49,$G$5,$H$13)/$E$5))</f>
        <v>5.1700376259469367</v>
      </c>
      <c r="P16" s="247">
        <f ca="1">IF(C16="","",IF($P$11="CFPS",[1]!S_STM07_CS(D16,84,$G$5,$H$13)/IF([1]!S_SHARE_TOTAL(D16,$G$5)=0,[1]!S_SHARE_TOTAL(D16,[1]!s_ipo_listeddate(D16)),[1]!S_SHARE_TOTAL(D16,$G$5)),[1]!S_STM07_CS(D16,84,$G$5,$H$13)/$E$5))</f>
        <v>1.378480472565806</v>
      </c>
      <c r="Q16" s="248">
        <f ca="1">IF(C16="","",F16/([1]!S_STM07_IS(D16,61,$G$5,$H$13)/IF([1]!S_SHARE_TOTAL(D16,$G$5)=0,[1]!S_SHARE_TOTAL(D16,[1]!s_ipo_listeddate(D16)),[1]!S_SHARE_TOTAL(D16,$G$5))))</f>
        <v>82.841876602282994</v>
      </c>
      <c r="R16" s="248">
        <f ca="1">IF(C16="","",F16/([1]!S_STM07_BS(D16,141,$G$5,$H$13)/IF([1]!S_SHARE_TOTAL(D16,$G$5)=0,[1]!S_SHARE_TOTAL(D16,[1]!s_ipo_listeddate(D16)),[1]!S_SHARE_TOTAL(D16,$G$5))))</f>
        <v>9.057961157762886</v>
      </c>
      <c r="S16" s="247">
        <f ca="1">IF(C16="","",[1]!S_SHARE_TOTAL(D16,TODAY())/$E$5)</f>
        <v>689.96934599999986</v>
      </c>
      <c r="T16" s="247">
        <f t="shared" ca="1" si="3"/>
        <v>32311.264473179992</v>
      </c>
      <c r="U16" s="218">
        <f t="shared" ca="1" si="4"/>
        <v>32311.264473179992</v>
      </c>
      <c r="V16" s="342">
        <f t="shared" ca="1" si="5"/>
        <v>20</v>
      </c>
      <c r="W16" s="139"/>
      <c r="Y16" s="1"/>
    </row>
    <row r="17" spans="3:26" ht="12" customHeight="1">
      <c r="C17" s="343">
        <f t="shared" ca="1" si="0"/>
        <v>4</v>
      </c>
      <c r="D17" s="124" t="str">
        <f t="shared" ca="1" si="1"/>
        <v>000612.SZ</v>
      </c>
      <c r="E17" s="124" t="str">
        <f t="shared" ca="1" si="2"/>
        <v>焦作万方</v>
      </c>
      <c r="F17" s="172">
        <f ca="1">IF(C17="","",[1]!S_DQ_CLOSE(D17,TODAY(),1))</f>
        <v>14.54</v>
      </c>
      <c r="G17" s="173">
        <f ca="1">IF(C17="","",[1]!s_pq_pctchange(D17,TODAY()-$G$12,TODAY())/100)</f>
        <v>5.6686046511627897E-2</v>
      </c>
      <c r="H17" s="249">
        <f ca="1">IF(C17="","",IF($H$11="收入",[1]!S_STM07_IS(D17,9,$G$5,$H$13)/$E$5,[1]!S_STM07_IS(D17,48,$G$5,$H$13)/$E$5))</f>
        <v>6465.1852981100001</v>
      </c>
      <c r="I17" s="249">
        <f ca="1">IF(C17="","",IF($I$11="毛利率",([1]!S_STM07_IS(D17,9,$G$5,$H$13)-[1]!S_STM07_IS(D17,10,$G$5,$H$13))/[1]!S_STM07_IS(D17,9,$G$5,$H$13),[1]!S_STM07_IS(D17,14,$G$5,$H$13)/$E$5))</f>
        <v>0.1070653121423068</v>
      </c>
      <c r="J17" s="249">
        <f ca="1">IF(C17="","",IF($J$11="营业利润率",[1]!S_STM07_IS(D17,48,$G$5,$H$13)/[1]!S_STM07_IS(D17,9,$G$5,$H$13),([1]!S_STM07_CS(D17,87,$G$5,$H$13)+[1]!S_STM07_CS(D17,88,$G$5,$H$13)+[1]!S_STM07_CS(D17,89,$G$5,$H$13))/$E$5))</f>
        <v>0.11809031846824107</v>
      </c>
      <c r="K17" s="249">
        <f ca="1">IF(C17="","",IF($K$11="净利润率",[1]!S_STM07_IS(D17,61,$G$5,$H$13)/[1]!S_STM07_IS(D17,9,$G$5,$H$13),[1]!S_STM07_IS(D17,55,$G$5,$H$13)/$E$5))</f>
        <v>9.1056594262208843E-2</v>
      </c>
      <c r="L17" s="249">
        <f ca="1">IF(C17="","",IF($L$11="ROA",[1]!S_STM07_IS(D17,61,$G$5,$H$13)/[1]!S_STM07_BS(D17,74,$G$5,$H$13),1-[1]!S_STM07_IS(D17,61,$G$5,$H$13)/[1]!S_STM07_IS(D17,55,$G$5,$H$13)))</f>
        <v>7.3043100075745465E-2</v>
      </c>
      <c r="M17" s="249">
        <f ca="1">IF(C17="","",IF($M$11="ROE",[1]!S_STM07_IS(D17,61,$G$5,$H$13)/[1]!S_STM07_BS(D17,141,$G$5,$H$13),([1]!S_STM07_BS(D17,25,$G$5,$H$13)-[1]!S_STM07_BS(D17,93,$G$5,$H$13))/$E$5))</f>
        <v>9.4422010040248874E-2</v>
      </c>
      <c r="N17" s="250">
        <f ca="1">IF(C17="","",IF($N$11="EPS",[1]!S_STM07_IS(D17,61,$G$5,$H$13)/IF([1]!S_SHARE_TOTAL(D17,$G$5)=0,[1]!S_SHARE_TOTAL(D17,[1]!s_ipo_listeddate(D17)),[1]!S_SHARE_TOTAL(D17,$G$5)),([1]!S_STM07_BS(D17,75,$G$5,$H$13)+[1]!S_STM07_BS(D17,88,$G$5,$H$13)+[1]!S_STM07_BS(D17,94,$G$5,$H$13)+[1]!S_STM07_BS(D17,95,$G$5,$H$13))/$E$5))</f>
        <v>0.49379135527391482</v>
      </c>
      <c r="O17" s="250">
        <f ca="1">IF(C17="","",IF($O$11="BPS",[1]!S_STM07_BS(D17,141,$G$5,$H$13)/IF([1]!S_SHARE_TOTAL(D17,$G$5)=0,[1]!S_SHARE_TOTAL(D17,[1]!s_ipo_listeddate(D17)),[1]!S_SHARE_TOTAL(D17,$G$5)),[1]!S_STM07_CS(D17,49,$G$5,$H$13)/$E$5))</f>
        <v>5.2296213040098225</v>
      </c>
      <c r="P17" s="250">
        <f ca="1">IF(C17="","",IF($P$11="CFPS",[1]!S_STM07_CS(D17,84,$G$5,$H$13)/IF([1]!S_SHARE_TOTAL(D17,$G$5)=0,[1]!S_SHARE_TOTAL(D17,[1]!s_ipo_listeddate(D17)),[1]!S_SHARE_TOTAL(D17,$G$5)),[1]!S_STM07_CS(D17,84,$G$5,$H$13)/$E$5))</f>
        <v>1.2075815515470729</v>
      </c>
      <c r="Q17" s="198">
        <f ca="1">IF(C17="","",F17/([1]!S_STM07_IS(D17,61,$G$5,$H$13)/IF([1]!S_SHARE_TOTAL(D17,$G$5)=0,[1]!S_SHARE_TOTAL(D17,[1]!s_ipo_listeddate(D17)),[1]!S_SHARE_TOTAL(D17,$G$5))))</f>
        <v>29.44563497255719</v>
      </c>
      <c r="R17" s="198">
        <f ca="1">IF(C17="","",F17/([1]!S_STM07_BS(D17,141,$G$5,$H$13)/IF([1]!S_SHARE_TOTAL(D17,$G$5)=0,[1]!S_SHARE_TOTAL(D17,[1]!s_ipo_listeddate(D17)),[1]!S_SHARE_TOTAL(D17,$G$5))))</f>
        <v>2.7803160410202983</v>
      </c>
      <c r="S17" s="249">
        <f ca="1">IF(C17="","",[1]!S_SHARE_TOTAL(D17,TODAY())/$E$5)</f>
        <v>1192.199394</v>
      </c>
      <c r="T17" s="249">
        <f t="shared" ca="1" si="3"/>
        <v>17334.579188759999</v>
      </c>
      <c r="U17" s="172">
        <f t="shared" ca="1" si="4"/>
        <v>17334.579188759999</v>
      </c>
      <c r="V17" s="343">
        <f t="shared" ca="1" si="5"/>
        <v>34</v>
      </c>
      <c r="W17" s="139"/>
      <c r="Y17" s="1"/>
    </row>
    <row r="18" spans="3:26" ht="12" customHeight="1">
      <c r="C18" s="342">
        <f t="shared" ca="1" si="0"/>
        <v>5</v>
      </c>
      <c r="D18" s="153" t="str">
        <f t="shared" ca="1" si="1"/>
        <v>000630.SZ</v>
      </c>
      <c r="E18" s="153" t="str">
        <f t="shared" ca="1" si="2"/>
        <v>铜陵有色</v>
      </c>
      <c r="F18" s="170">
        <f ca="1">IF(C18="","",[1]!S_DQ_CLOSE(D18,TODAY(),1))</f>
        <v>7.28</v>
      </c>
      <c r="G18" s="171">
        <f ca="1">IF(C18="","",[1]!s_pq_pctchange(D18,TODAY()-$G$12,TODAY())/100)</f>
        <v>3.2624113475177241E-2</v>
      </c>
      <c r="H18" s="247">
        <f ca="1">IF(C18="","",IF($H$11="收入",[1]!S_STM07_IS(D18,9,$G$5,$H$13)/$E$5,[1]!S_STM07_IS(D18,48,$G$5,$H$13)/$E$5))</f>
        <v>145531.39928295001</v>
      </c>
      <c r="I18" s="247">
        <f ca="1">IF(C18="","",IF($I$11="毛利率",([1]!S_STM07_IS(D18,9,$G$5,$H$13)-[1]!S_STM07_IS(D18,10,$G$5,$H$13))/[1]!S_STM07_IS(D18,9,$G$5,$H$13),[1]!S_STM07_IS(D18,14,$G$5,$H$13)/$E$5))</f>
        <v>7.0872709025057753E-2</v>
      </c>
      <c r="J18" s="247">
        <f ca="1">IF(C18="","",IF($J$11="营业利润率",[1]!S_STM07_IS(D18,48,$G$5,$H$13)/[1]!S_STM07_IS(D18,9,$G$5,$H$13),([1]!S_STM07_CS(D18,87,$G$5,$H$13)+[1]!S_STM07_CS(D18,88,$G$5,$H$13)+[1]!S_STM07_CS(D18,89,$G$5,$H$13))/$E$5))</f>
        <v>3.7991768897722399E-2</v>
      </c>
      <c r="K18" s="247">
        <f ca="1">IF(C18="","",IF($K$11="净利润率",[1]!S_STM07_IS(D18,61,$G$5,$H$13)/[1]!S_STM07_IS(D18,9,$G$5,$H$13),[1]!S_STM07_IS(D18,55,$G$5,$H$13)/$E$5))</f>
        <v>1.9298898256515602E-2</v>
      </c>
      <c r="L18" s="247">
        <f ca="1">IF(C18="","",IF($L$11="ROA",[1]!S_STM07_IS(D18,61,$G$5,$H$13)/[1]!S_STM07_BS(D18,74,$G$5,$H$13),1-[1]!S_STM07_IS(D18,61,$G$5,$H$13)/[1]!S_STM07_IS(D18,55,$G$5,$H$13)))</f>
        <v>3.4697798565530166E-2</v>
      </c>
      <c r="M18" s="247">
        <f ca="1">IF(C18="","",IF($M$11="ROE",[1]!S_STM07_IS(D18,61,$G$5,$H$13)/[1]!S_STM07_BS(D18,141,$G$5,$H$13),([1]!S_STM07_BS(D18,25,$G$5,$H$13)-[1]!S_STM07_BS(D18,93,$G$5,$H$13))/$E$5))</f>
        <v>6.6465018376313176E-2</v>
      </c>
      <c r="N18" s="247">
        <f ca="1">IF(C18="","",IF($N$11="EPS",[1]!S_STM07_IS(D18,61,$G$5,$H$13)/IF([1]!S_SHARE_TOTAL(D18,$G$5)=0,[1]!S_SHARE_TOTAL(D18,[1]!s_ipo_listeddate(D18)),[1]!S_SHARE_TOTAL(D18,$G$5)),([1]!S_STM07_BS(D18,75,$G$5,$H$13)+[1]!S_STM07_BS(D18,88,$G$5,$H$13)+[1]!S_STM07_BS(D18,94,$G$5,$H$13)+[1]!S_STM07_BS(D18,95,$G$5,$H$13))/$E$5))</f>
        <v>0.21954296437820847</v>
      </c>
      <c r="O18" s="247">
        <f ca="1">IF(C18="","",IF($O$11="BPS",[1]!S_STM07_BS(D18,141,$G$5,$H$13)/IF([1]!S_SHARE_TOTAL(D18,$G$5)=0,[1]!S_SHARE_TOTAL(D18,[1]!s_ipo_listeddate(D18)),[1]!S_SHARE_TOTAL(D18,$G$5)),[1]!S_STM07_CS(D18,49,$G$5,$H$13)/$E$5))</f>
        <v>3.3031355401904059</v>
      </c>
      <c r="P18" s="247">
        <f ca="1">IF(C18="","",IF($P$11="CFPS",[1]!S_STM07_CS(D18,84,$G$5,$H$13)/IF([1]!S_SHARE_TOTAL(D18,$G$5)=0,[1]!S_SHARE_TOTAL(D18,[1]!s_ipo_listeddate(D18)),[1]!S_SHARE_TOTAL(D18,$G$5)),[1]!S_STM07_CS(D18,84,$G$5,$H$13)/$E$5))</f>
        <v>0.49690243848410848</v>
      </c>
      <c r="Q18" s="248">
        <f ca="1">IF(C18="","",F18/([1]!S_STM07_IS(D18,61,$G$5,$H$13)/IF([1]!S_SHARE_TOTAL(D18,$G$5)=0,[1]!S_SHARE_TOTAL(D18,[1]!s_ipo_listeddate(D18)),[1]!S_SHARE_TOTAL(D18,$G$5))))</f>
        <v>33.159796400756818</v>
      </c>
      <c r="R18" s="248">
        <f ca="1">IF(C18="","",F18/([1]!S_STM07_BS(D18,141,$G$5,$H$13)/IF([1]!S_SHARE_TOTAL(D18,$G$5)=0,[1]!S_SHARE_TOTAL(D18,[1]!s_ipo_listeddate(D18)),[1]!S_SHARE_TOTAL(D18,$G$5))))</f>
        <v>2.2039664771311056</v>
      </c>
      <c r="S18" s="247">
        <f ca="1">IF(C18="","",[1]!S_SHARE_TOTAL(D18,TODAY())/$E$5)</f>
        <v>13409.471509999999</v>
      </c>
      <c r="T18" s="247">
        <f t="shared" ca="1" si="3"/>
        <v>97620.952592799993</v>
      </c>
      <c r="U18" s="218">
        <f t="shared" ca="1" si="4"/>
        <v>97620.952592799993</v>
      </c>
      <c r="V18" s="342">
        <f t="shared" ca="1" si="5"/>
        <v>7</v>
      </c>
      <c r="W18" s="140"/>
      <c r="Y18" s="1"/>
    </row>
    <row r="19" spans="3:26" ht="12" customHeight="1">
      <c r="C19" s="343">
        <f t="shared" ca="1" si="0"/>
        <v>6</v>
      </c>
      <c r="D19" s="124" t="str">
        <f t="shared" ca="1" si="1"/>
        <v>000688.SZ</v>
      </c>
      <c r="E19" s="124" t="str">
        <f t="shared" ca="1" si="2"/>
        <v>国城矿业</v>
      </c>
      <c r="F19" s="172">
        <f ca="1">IF(C19="","",[1]!S_DQ_CLOSE(D19,TODAY(),1))</f>
        <v>35.08</v>
      </c>
      <c r="G19" s="173">
        <f ca="1">IF(C19="","",[1]!s_pq_pctchange(D19,TODAY()-$G$12,TODAY())/100)</f>
        <v>8.3384805435453804E-2</v>
      </c>
      <c r="H19" s="249">
        <f ca="1">IF(C19="","",IF($H$11="收入",[1]!S_STM07_IS(D19,9,$G$5,$H$13)/$E$5,[1]!S_STM07_IS(D19,48,$G$5,$H$13)/$E$5))</f>
        <v>1917.7512730399999</v>
      </c>
      <c r="I19" s="249">
        <f ca="1">IF(C19="","",IF($I$11="毛利率",([1]!S_STM07_IS(D19,9,$G$5,$H$13)-[1]!S_STM07_IS(D19,10,$G$5,$H$13))/[1]!S_STM07_IS(D19,9,$G$5,$H$13),[1]!S_STM07_IS(D19,14,$G$5,$H$13)/$E$5))</f>
        <v>0.27922519883986591</v>
      </c>
      <c r="J19" s="249">
        <f ca="1">IF(C19="","",IF($J$11="营业利润率",[1]!S_STM07_IS(D19,48,$G$5,$H$13)/[1]!S_STM07_IS(D19,9,$G$5,$H$13),([1]!S_STM07_CS(D19,87,$G$5,$H$13)+[1]!S_STM07_CS(D19,88,$G$5,$H$13)+[1]!S_STM07_CS(D19,89,$G$5,$H$13))/$E$5))</f>
        <v>-9.8193562245166219E-3</v>
      </c>
      <c r="K19" s="249">
        <f ca="1">IF(C19="","",IF($K$11="净利润率",[1]!S_STM07_IS(D19,61,$G$5,$H$13)/[1]!S_STM07_IS(D19,9,$G$5,$H$13),[1]!S_STM07_IS(D19,55,$G$5,$H$13)/$E$5))</f>
        <v>-5.8703789684644812E-2</v>
      </c>
      <c r="L19" s="249">
        <f ca="1">IF(C19="","",IF($L$11="ROA",[1]!S_STM07_IS(D19,61,$G$5,$H$13)/[1]!S_STM07_BS(D19,74,$G$5,$H$13),1-[1]!S_STM07_IS(D19,61,$G$5,$H$13)/[1]!S_STM07_IS(D19,55,$G$5,$H$13)))</f>
        <v>-1.2142328162792046E-2</v>
      </c>
      <c r="M19" s="249">
        <f ca="1">IF(C19="","",IF($M$11="ROE",[1]!S_STM07_IS(D19,61,$G$5,$H$13)/[1]!S_STM07_BS(D19,141,$G$5,$H$13),([1]!S_STM07_BS(D19,25,$G$5,$H$13)-[1]!S_STM07_BS(D19,93,$G$5,$H$13))/$E$5))</f>
        <v>-3.2811156021750047E-2</v>
      </c>
      <c r="N19" s="250">
        <f ca="1">IF(C19="","",IF($N$11="EPS",[1]!S_STM07_IS(D19,61,$G$5,$H$13)/IF([1]!S_SHARE_TOTAL(D19,$G$5)=0,[1]!S_SHARE_TOTAL(D19,[1]!s_ipo_listeddate(D19)),[1]!S_SHARE_TOTAL(D19,$G$5)),([1]!S_STM07_BS(D19,75,$G$5,$H$13)+[1]!S_STM07_BS(D19,88,$G$5,$H$13)+[1]!S_STM07_BS(D19,94,$G$5,$H$13)+[1]!S_STM07_BS(D19,95,$G$5,$H$13))/$E$5))</f>
        <v>-0.10003519194843863</v>
      </c>
      <c r="O19" s="250">
        <f ca="1">IF(C19="","",IF($O$11="BPS",[1]!S_STM07_BS(D19,141,$G$5,$H$13)/IF([1]!S_SHARE_TOTAL(D19,$G$5)=0,[1]!S_SHARE_TOTAL(D19,[1]!s_ipo_listeddate(D19)),[1]!S_SHARE_TOTAL(D19,$G$5)),[1]!S_STM07_CS(D19,49,$G$5,$H$13)/$E$5))</f>
        <v>3.0488164416434071</v>
      </c>
      <c r="P19" s="250">
        <f ca="1">IF(C19="","",IF($P$11="CFPS",[1]!S_STM07_CS(D19,84,$G$5,$H$13)/IF([1]!S_SHARE_TOTAL(D19,$G$5)=0,[1]!S_SHARE_TOTAL(D19,[1]!s_ipo_listeddate(D19)),[1]!S_SHARE_TOTAL(D19,$G$5)),[1]!S_STM07_CS(D19,84,$G$5,$H$13)/$E$5))</f>
        <v>0.13531001386289035</v>
      </c>
      <c r="Q19" s="198">
        <f ca="1">IF(C19="","",F19/([1]!S_STM07_IS(D19,61,$G$5,$H$13)/IF([1]!S_SHARE_TOTAL(D19,$G$5)=0,[1]!S_SHARE_TOTAL(D19,[1]!s_ipo_listeddate(D19)),[1]!S_SHARE_TOTAL(D19,$G$5))))</f>
        <v>-350.67659007523434</v>
      </c>
      <c r="R19" s="198">
        <f ca="1">IF(C19="","",F19/([1]!S_STM07_BS(D19,141,$G$5,$H$13)/IF([1]!S_SHARE_TOTAL(D19,$G$5)=0,[1]!S_SHARE_TOTAL(D19,[1]!s_ipo_listeddate(D19)),[1]!S_SHARE_TOTAL(D19,$G$5))))</f>
        <v>11.506104310133798</v>
      </c>
      <c r="S19" s="249">
        <f ca="1">IF(C19="","",[1]!S_SHARE_TOTAL(D19,TODAY())/$E$5)</f>
        <v>1185.067706</v>
      </c>
      <c r="T19" s="249">
        <f t="shared" ca="1" si="3"/>
        <v>41572.175126479997</v>
      </c>
      <c r="U19" s="172">
        <f t="shared" ca="1" si="4"/>
        <v>41572.175126479997</v>
      </c>
      <c r="V19" s="343">
        <f t="shared" ca="1" si="5"/>
        <v>16</v>
      </c>
      <c r="W19" s="139"/>
      <c r="Y19" s="1"/>
    </row>
    <row r="20" spans="3:26" ht="12" customHeight="1">
      <c r="C20" s="342">
        <f t="shared" ca="1" si="0"/>
        <v>7</v>
      </c>
      <c r="D20" s="153" t="str">
        <f t="shared" ca="1" si="1"/>
        <v>000737.SZ</v>
      </c>
      <c r="E20" s="153" t="str">
        <f t="shared" ca="1" si="2"/>
        <v>北方铜业</v>
      </c>
      <c r="F20" s="170">
        <f ca="1">IF(C20="","",[1]!S_DQ_CLOSE(D20,TODAY(),1))</f>
        <v>16.190000000000001</v>
      </c>
      <c r="G20" s="171">
        <f ca="1">IF(C20="","",[1]!s_pq_pctchange(D20,TODAY()-$G$12,TODAY())/100)</f>
        <v>8.0946450809464832E-3</v>
      </c>
      <c r="H20" s="247">
        <f ca="1">IF(C20="","",IF($H$11="收入",[1]!S_STM07_IS(D20,9,$G$5,$H$13)/$E$5,[1]!S_STM07_IS(D20,48,$G$5,$H$13)/$E$5))</f>
        <v>24106.9742549</v>
      </c>
      <c r="I20" s="247">
        <f ca="1">IF(C20="","",IF($I$11="毛利率",([1]!S_STM07_IS(D20,9,$G$5,$H$13)-[1]!S_STM07_IS(D20,10,$G$5,$H$13))/[1]!S_STM07_IS(D20,9,$G$5,$H$13),[1]!S_STM07_IS(D20,14,$G$5,$H$13)/$E$5))</f>
        <v>7.1240296687209673E-2</v>
      </c>
      <c r="J20" s="247">
        <f ca="1">IF(C20="","",IF($J$11="营业利润率",[1]!S_STM07_IS(D20,48,$G$5,$H$13)/[1]!S_STM07_IS(D20,9,$G$5,$H$13),([1]!S_STM07_CS(D20,87,$G$5,$H$13)+[1]!S_STM07_CS(D20,88,$G$5,$H$13)+[1]!S_STM07_CS(D20,89,$G$5,$H$13))/$E$5))</f>
        <v>3.1606444213343299E-2</v>
      </c>
      <c r="K20" s="247">
        <f ca="1">IF(C20="","",IF($K$11="净利润率",[1]!S_STM07_IS(D20,61,$G$5,$H$13)/[1]!S_STM07_IS(D20,9,$G$5,$H$13),[1]!S_STM07_IS(D20,55,$G$5,$H$13)/$E$5))</f>
        <v>2.5420796820880085E-2</v>
      </c>
      <c r="L20" s="247">
        <f ca="1">IF(C20="","",IF($L$11="ROA",[1]!S_STM07_IS(D20,61,$G$5,$H$13)/[1]!S_STM07_BS(D20,74,$G$5,$H$13),1-[1]!S_STM07_IS(D20,61,$G$5,$H$13)/[1]!S_STM07_IS(D20,55,$G$5,$H$13)))</f>
        <v>3.4043347226580339E-2</v>
      </c>
      <c r="M20" s="247">
        <f ca="1">IF(C20="","",IF($M$11="ROE",[1]!S_STM07_IS(D20,61,$G$5,$H$13)/[1]!S_STM07_BS(D20,141,$G$5,$H$13),([1]!S_STM07_BS(D20,25,$G$5,$H$13)-[1]!S_STM07_BS(D20,93,$G$5,$H$13))/$E$5))</f>
        <v>9.8327498023518853E-2</v>
      </c>
      <c r="N20" s="247">
        <f ca="1">IF(C20="","",IF($N$11="EPS",[1]!S_STM07_IS(D20,61,$G$5,$H$13)/IF([1]!S_SHARE_TOTAL(D20,$G$5)=0,[1]!S_SHARE_TOTAL(D20,[1]!s_ipo_listeddate(D20)),[1]!S_SHARE_TOTAL(D20,$G$5)),([1]!S_STM07_BS(D20,75,$G$5,$H$13)+[1]!S_STM07_BS(D20,88,$G$5,$H$13)+[1]!S_STM07_BS(D20,94,$G$5,$H$13)+[1]!S_STM07_BS(D20,95,$G$5,$H$13))/$E$5))</f>
        <v>0.34574535941119267</v>
      </c>
      <c r="O20" s="247">
        <f ca="1">IF(C20="","",IF($O$11="BPS",[1]!S_STM07_BS(D20,141,$G$5,$H$13)/IF([1]!S_SHARE_TOTAL(D20,$G$5)=0,[1]!S_SHARE_TOTAL(D20,[1]!s_ipo_listeddate(D20)),[1]!S_SHARE_TOTAL(D20,$G$5)),[1]!S_STM07_CS(D20,49,$G$5,$H$13)/$E$5))</f>
        <v>3.5162631650455927</v>
      </c>
      <c r="P20" s="247">
        <f ca="1">IF(C20="","",IF($P$11="CFPS",[1]!S_STM07_CS(D20,84,$G$5,$H$13)/IF([1]!S_SHARE_TOTAL(D20,$G$5)=0,[1]!S_SHARE_TOTAL(D20,[1]!s_ipo_listeddate(D20)),[1]!S_SHARE_TOTAL(D20,$G$5)),[1]!S_STM07_CS(D20,84,$G$5,$H$13)/$E$5))</f>
        <v>0.30381530376090815</v>
      </c>
      <c r="Q20" s="248">
        <f ca="1">IF(C20="","",F20/([1]!S_STM07_IS(D20,61,$G$5,$H$13)/IF([1]!S_SHARE_TOTAL(D20,$G$5)=0,[1]!S_SHARE_TOTAL(D20,[1]!s_ipo_listeddate(D20)),[1]!S_SHARE_TOTAL(D20,$G$5))))</f>
        <v>46.826369636809332</v>
      </c>
      <c r="R20" s="248">
        <f ca="1">IF(C20="","",F20/([1]!S_STM07_BS(D20,141,$G$5,$H$13)/IF([1]!S_SHARE_TOTAL(D20,$G$5)=0,[1]!S_SHARE_TOTAL(D20,[1]!s_ipo_listeddate(D20)),[1]!S_SHARE_TOTAL(D20,$G$5))))</f>
        <v>4.6043197679119325</v>
      </c>
      <c r="S20" s="247">
        <f ca="1">IF(C20="","",[1]!S_SHARE_TOTAL(D20,TODAY())/$E$5)</f>
        <v>1904.716435</v>
      </c>
      <c r="T20" s="247">
        <f t="shared" ca="1" si="3"/>
        <v>30837.359082650004</v>
      </c>
      <c r="U20" s="218">
        <f t="shared" ca="1" si="4"/>
        <v>30837.359082650004</v>
      </c>
      <c r="V20" s="342">
        <f t="shared" ca="1" si="5"/>
        <v>22</v>
      </c>
      <c r="W20" s="139"/>
      <c r="Y20" s="1"/>
      <c r="Z20" s="340"/>
    </row>
    <row r="21" spans="3:26" ht="12" customHeight="1">
      <c r="C21" s="343">
        <f t="shared" ca="1" si="0"/>
        <v>8</v>
      </c>
      <c r="D21" s="124" t="str">
        <f t="shared" ca="1" si="1"/>
        <v>000751.SZ</v>
      </c>
      <c r="E21" s="124" t="str">
        <f t="shared" ca="1" si="2"/>
        <v>锌业股份</v>
      </c>
      <c r="F21" s="172">
        <f ca="1">IF(C21="","",[1]!S_DQ_CLOSE(D21,TODAY(),1))</f>
        <v>6.54</v>
      </c>
      <c r="G21" s="173">
        <f ca="1">IF(C21="","",[1]!s_pq_pctchange(D21,TODAY()-$G$12,TODAY())/100)</f>
        <v>0.16785714285714312</v>
      </c>
      <c r="H21" s="249">
        <f ca="1">IF(C21="","",IF($H$11="收入",[1]!S_STM07_IS(D21,9,$G$5,$H$13)/$E$5,[1]!S_STM07_IS(D21,48,$G$5,$H$13)/$E$5))</f>
        <v>15604.388863600001</v>
      </c>
      <c r="I21" s="249">
        <f ca="1">IF(C21="","",IF($I$11="毛利率",([1]!S_STM07_IS(D21,9,$G$5,$H$13)-[1]!S_STM07_IS(D21,10,$G$5,$H$13))/[1]!S_STM07_IS(D21,9,$G$5,$H$13),[1]!S_STM07_IS(D21,14,$G$5,$H$13)/$E$5))</f>
        <v>3.3537972114421083E-2</v>
      </c>
      <c r="J21" s="249">
        <f ca="1">IF(C21="","",IF($J$11="营业利润率",[1]!S_STM07_IS(D21,48,$G$5,$H$13)/[1]!S_STM07_IS(D21,9,$G$5,$H$13),([1]!S_STM07_CS(D21,87,$G$5,$H$13)+[1]!S_STM07_CS(D21,88,$G$5,$H$13)+[1]!S_STM07_CS(D21,89,$G$5,$H$13))/$E$5))</f>
        <v>1.9258262173983676E-3</v>
      </c>
      <c r="K21" s="249">
        <f ca="1">IF(C21="","",IF($K$11="净利润率",[1]!S_STM07_IS(D21,61,$G$5,$H$13)/[1]!S_STM07_IS(D21,9,$G$5,$H$13),[1]!S_STM07_IS(D21,55,$G$5,$H$13)/$E$5))</f>
        <v>1.3639829624887765E-3</v>
      </c>
      <c r="L21" s="249">
        <f ca="1">IF(C21="","",IF($L$11="ROA",[1]!S_STM07_IS(D21,61,$G$5,$H$13)/[1]!S_STM07_BS(D21,74,$G$5,$H$13),1-[1]!S_STM07_IS(D21,61,$G$5,$H$13)/[1]!S_STM07_IS(D21,55,$G$5,$H$13)))</f>
        <v>2.3715382021790581E-3</v>
      </c>
      <c r="M21" s="249">
        <f ca="1">IF(C21="","",IF($M$11="ROE",[1]!S_STM07_IS(D21,61,$G$5,$H$13)/[1]!S_STM07_BS(D21,141,$G$5,$H$13),([1]!S_STM07_BS(D21,25,$G$5,$H$13)-[1]!S_STM07_BS(D21,93,$G$5,$H$13))/$E$5))</f>
        <v>5.9901364479938175E-3</v>
      </c>
      <c r="N21" s="250">
        <f ca="1">IF(C21="","",IF($N$11="EPS",[1]!S_STM07_IS(D21,61,$G$5,$H$13)/IF([1]!S_SHARE_TOTAL(D21,$G$5)=0,[1]!S_SHARE_TOTAL(D21,[1]!s_ipo_listeddate(D21)),[1]!S_SHARE_TOTAL(D21,$G$5)),([1]!S_STM07_BS(D21,75,$G$5,$H$13)+[1]!S_STM07_BS(D21,88,$G$5,$H$13)+[1]!S_STM07_BS(D21,94,$G$5,$H$13)+[1]!S_STM07_BS(D21,95,$G$5,$H$13))/$E$5))</f>
        <v>1.3173878122801953E-2</v>
      </c>
      <c r="O21" s="250">
        <f ca="1">IF(C21="","",IF($O$11="BPS",[1]!S_STM07_BS(D21,141,$G$5,$H$13)/IF([1]!S_SHARE_TOTAL(D21,$G$5)=0,[1]!S_SHARE_TOTAL(D21,[1]!s_ipo_listeddate(D21)),[1]!S_SHARE_TOTAL(D21,$G$5)),[1]!S_STM07_CS(D21,49,$G$5,$H$13)/$E$5))</f>
        <v>2.1992617759507085</v>
      </c>
      <c r="P21" s="250">
        <f ca="1">IF(C21="","",IF($P$11="CFPS",[1]!S_STM07_CS(D21,84,$G$5,$H$13)/IF([1]!S_SHARE_TOTAL(D21,$G$5)=0,[1]!S_SHARE_TOTAL(D21,[1]!s_ipo_listeddate(D21)),[1]!S_SHARE_TOTAL(D21,$G$5)),[1]!S_STM07_CS(D21,84,$G$5,$H$13)/$E$5))</f>
        <v>0.27428953052848076</v>
      </c>
      <c r="Q21" s="198">
        <f ca="1">IF(C21="","",F21/([1]!S_STM07_IS(D21,61,$G$5,$H$13)/IF([1]!S_SHARE_TOTAL(D21,$G$5)=0,[1]!S_SHARE_TOTAL(D21,[1]!s_ipo_listeddate(D21)),[1]!S_SHARE_TOTAL(D21,$G$5))))</f>
        <v>496.43695949184985</v>
      </c>
      <c r="R21" s="198">
        <f ca="1">IF(C21="","",F21/([1]!S_STM07_BS(D21,141,$G$5,$H$13)/IF([1]!S_SHARE_TOTAL(D21,$G$5)=0,[1]!S_SHARE_TOTAL(D21,[1]!s_ipo_listeddate(D21)),[1]!S_SHARE_TOTAL(D21,$G$5))))</f>
        <v>2.9737251251833605</v>
      </c>
      <c r="S21" s="249">
        <f ca="1">IF(C21="","",[1]!S_SHARE_TOTAL(D21,TODAY())/$E$5)</f>
        <v>1615.6305950000001</v>
      </c>
      <c r="T21" s="249">
        <f t="shared" ca="1" si="3"/>
        <v>10566.224091300001</v>
      </c>
      <c r="U21" s="172">
        <f t="shared" ca="1" si="4"/>
        <v>10566.224091300001</v>
      </c>
      <c r="V21" s="343">
        <f t="shared" ca="1" si="5"/>
        <v>40</v>
      </c>
      <c r="W21" s="139"/>
      <c r="Y21" s="1"/>
    </row>
    <row r="22" spans="3:26" ht="12" customHeight="1">
      <c r="C22" s="342">
        <f t="shared" ca="1" si="0"/>
        <v>9</v>
      </c>
      <c r="D22" s="153" t="str">
        <f t="shared" ca="1" si="1"/>
        <v>000758.SZ</v>
      </c>
      <c r="E22" s="153" t="str">
        <f t="shared" ca="1" si="2"/>
        <v>中色股份</v>
      </c>
      <c r="F22" s="170">
        <f ca="1">IF(C22="","",[1]!S_DQ_CLOSE(D22,TODAY(),1))</f>
        <v>7.88</v>
      </c>
      <c r="G22" s="171">
        <f ca="1">IF(C22="","",[1]!s_pq_pctchange(D22,TODAY()-$G$12,TODAY())/100)</f>
        <v>7.0652173913043459E-2</v>
      </c>
      <c r="H22" s="247">
        <f ca="1">IF(C22="","",IF($H$11="收入",[1]!S_STM07_IS(D22,9,$G$5,$H$13)/$E$5,[1]!S_STM07_IS(D22,48,$G$5,$H$13)/$E$5))</f>
        <v>8917.8920579799997</v>
      </c>
      <c r="I22" s="247">
        <f ca="1">IF(C22="","",IF($I$11="毛利率",([1]!S_STM07_IS(D22,9,$G$5,$H$13)-[1]!S_STM07_IS(D22,10,$G$5,$H$13))/[1]!S_STM07_IS(D22,9,$G$5,$H$13),[1]!S_STM07_IS(D22,14,$G$5,$H$13)/$E$5))</f>
        <v>0.1462915880622925</v>
      </c>
      <c r="J22" s="247">
        <f ca="1">IF(C22="","",IF($J$11="营业利润率",[1]!S_STM07_IS(D22,48,$G$5,$H$13)/[1]!S_STM07_IS(D22,9,$G$5,$H$13),([1]!S_STM07_CS(D22,87,$G$5,$H$13)+[1]!S_STM07_CS(D22,88,$G$5,$H$13)+[1]!S_STM07_CS(D22,89,$G$5,$H$13))/$E$5))</f>
        <v>7.4461399496958264E-2</v>
      </c>
      <c r="K22" s="247">
        <f ca="1">IF(C22="","",IF($K$11="净利润率",[1]!S_STM07_IS(D22,61,$G$5,$H$13)/[1]!S_STM07_IS(D22,9,$G$5,$H$13),[1]!S_STM07_IS(D22,55,$G$5,$H$13)/$E$5))</f>
        <v>4.5113035762750456E-2</v>
      </c>
      <c r="L22" s="247">
        <f ca="1">IF(C22="","",IF($L$11="ROA",[1]!S_STM07_IS(D22,61,$G$5,$H$13)/[1]!S_STM07_BS(D22,74,$G$5,$H$13),1-[1]!S_STM07_IS(D22,61,$G$5,$H$13)/[1]!S_STM07_IS(D22,55,$G$5,$H$13)))</f>
        <v>1.859616756391758E-2</v>
      </c>
      <c r="M22" s="247">
        <f ca="1">IF(C22="","",IF($M$11="ROE",[1]!S_STM07_IS(D22,61,$G$5,$H$13)/[1]!S_STM07_BS(D22,141,$G$5,$H$13),([1]!S_STM07_BS(D22,25,$G$5,$H$13)-[1]!S_STM07_BS(D22,93,$G$5,$H$13))/$E$5))</f>
        <v>4.4173318310021512E-2</v>
      </c>
      <c r="N22" s="247">
        <f ca="1">IF(C22="","",IF($N$11="EPS",[1]!S_STM07_IS(D22,61,$G$5,$H$13)/IF([1]!S_SHARE_TOTAL(D22,$G$5)=0,[1]!S_SHARE_TOTAL(D22,[1]!s_ipo_listeddate(D22)),[1]!S_SHARE_TOTAL(D22,$G$5)),([1]!S_STM07_BS(D22,75,$G$5,$H$13)+[1]!S_STM07_BS(D22,88,$G$5,$H$13)+[1]!S_STM07_BS(D22,94,$G$5,$H$13)+[1]!S_STM07_BS(D22,95,$G$5,$H$13))/$E$5))</f>
        <v>0.20187918145801795</v>
      </c>
      <c r="O22" s="247">
        <f ca="1">IF(C22="","",IF($O$11="BPS",[1]!S_STM07_BS(D22,141,$G$5,$H$13)/IF([1]!S_SHARE_TOTAL(D22,$G$5)=0,[1]!S_SHARE_TOTAL(D22,[1]!s_ipo_listeddate(D22)),[1]!S_SHARE_TOTAL(D22,$G$5)),[1]!S_STM07_CS(D22,49,$G$5,$H$13)/$E$5))</f>
        <v>4.5701611104053734</v>
      </c>
      <c r="P22" s="247">
        <f ca="1">IF(C22="","",IF($P$11="CFPS",[1]!S_STM07_CS(D22,84,$G$5,$H$13)/IF([1]!S_SHARE_TOTAL(D22,$G$5)=0,[1]!S_SHARE_TOTAL(D22,[1]!s_ipo_listeddate(D22)),[1]!S_SHARE_TOTAL(D22,$G$5)),[1]!S_STM07_CS(D22,84,$G$5,$H$13)/$E$5))</f>
        <v>1.6411486429734705</v>
      </c>
      <c r="Q22" s="248">
        <f ca="1">IF(C22="","",F22/([1]!S_STM07_IS(D22,61,$G$5,$H$13)/IF([1]!S_SHARE_TOTAL(D22,$G$5)=0,[1]!S_SHARE_TOTAL(D22,[1]!s_ipo_listeddate(D22)),[1]!S_SHARE_TOTAL(D22,$G$5))))</f>
        <v>39.033247227816283</v>
      </c>
      <c r="R22" s="248">
        <f ca="1">IF(C22="","",F22/([1]!S_STM07_BS(D22,141,$G$5,$H$13)/IF([1]!S_SHARE_TOTAL(D22,$G$5)=0,[1]!S_SHARE_TOTAL(D22,[1]!s_ipo_listeddate(D22)),[1]!S_SHARE_TOTAL(D22,$G$5))))</f>
        <v>1.7242280544680937</v>
      </c>
      <c r="S22" s="247">
        <f ca="1">IF(C22="","",[1]!S_SHARE_TOTAL(D22,TODAY())/$E$5)</f>
        <v>1990.4399299999998</v>
      </c>
      <c r="T22" s="247">
        <f t="shared" ca="1" si="3"/>
        <v>15684.666648399998</v>
      </c>
      <c r="U22" s="218">
        <f t="shared" ca="1" si="4"/>
        <v>15684.666648399998</v>
      </c>
      <c r="V22" s="342">
        <f t="shared" ca="1" si="5"/>
        <v>36</v>
      </c>
      <c r="W22" s="139"/>
      <c r="Y22" s="1"/>
    </row>
    <row r="23" spans="3:26" ht="12" customHeight="1">
      <c r="C23" s="343">
        <f t="shared" ca="1" si="0"/>
        <v>10</v>
      </c>
      <c r="D23" s="124" t="str">
        <f t="shared" ca="1" si="1"/>
        <v>000807.SZ</v>
      </c>
      <c r="E23" s="124" t="str">
        <f t="shared" ca="1" si="2"/>
        <v>云铝股份</v>
      </c>
      <c r="F23" s="172">
        <f ca="1">IF(C23="","",[1]!S_DQ_CLOSE(D23,TODAY(),1))</f>
        <v>33.6</v>
      </c>
      <c r="G23" s="173">
        <f ca="1">IF(C23="","",[1]!s_pq_pctchange(D23,TODAY()-$G$12,TODAY())/100)</f>
        <v>0.11258278145695355</v>
      </c>
      <c r="H23" s="249">
        <f ca="1">IF(C23="","",IF($H$11="收入",[1]!S_STM07_IS(D23,9,$G$5,$H$13)/$E$5,[1]!S_STM07_IS(D23,48,$G$5,$H$13)/$E$5))</f>
        <v>54450.459133320001</v>
      </c>
      <c r="I23" s="249">
        <f ca="1">IF(C23="","",IF($I$11="毛利率",([1]!S_STM07_IS(D23,9,$G$5,$H$13)-[1]!S_STM07_IS(D23,10,$G$5,$H$13))/[1]!S_STM07_IS(D23,9,$G$5,$H$13),[1]!S_STM07_IS(D23,14,$G$5,$H$13)/$E$5))</f>
        <v>0.13234212235155171</v>
      </c>
      <c r="J23" s="249">
        <f ca="1">IF(C23="","",IF($J$11="营业利润率",[1]!S_STM07_IS(D23,48,$G$5,$H$13)/[1]!S_STM07_IS(D23,9,$G$5,$H$13),([1]!S_STM07_CS(D23,87,$G$5,$H$13)+[1]!S_STM07_CS(D23,88,$G$5,$H$13)+[1]!S_STM07_CS(D23,89,$G$5,$H$13))/$E$5))</f>
        <v>0.10960507608149733</v>
      </c>
      <c r="K23" s="249">
        <f ca="1">IF(C23="","",IF($K$11="净利润率",[1]!S_STM07_IS(D23,61,$G$5,$H$13)/[1]!S_STM07_IS(D23,9,$G$5,$H$13),[1]!S_STM07_IS(D23,55,$G$5,$H$13)/$E$5))</f>
        <v>8.1021737387524717E-2</v>
      </c>
      <c r="L23" s="249">
        <f ca="1">IF(C23="","",IF($L$11="ROA",[1]!S_STM07_IS(D23,61,$G$5,$H$13)/[1]!S_STM07_BS(D23,74,$G$5,$H$13),1-[1]!S_STM07_IS(D23,61,$G$5,$H$13)/[1]!S_STM07_IS(D23,55,$G$5,$H$13)))</f>
        <v>0.10528669322920658</v>
      </c>
      <c r="M23" s="249">
        <f ca="1">IF(C23="","",IF($M$11="ROE",[1]!S_STM07_IS(D23,61,$G$5,$H$13)/[1]!S_STM07_BS(D23,141,$G$5,$H$13),([1]!S_STM07_BS(D23,25,$G$5,$H$13)-[1]!S_STM07_BS(D23,93,$G$5,$H$13))/$E$5))</f>
        <v>0.13723232676648398</v>
      </c>
      <c r="N23" s="250">
        <f ca="1">IF(C23="","",IF($N$11="EPS",[1]!S_STM07_IS(D23,61,$G$5,$H$13)/IF([1]!S_SHARE_TOTAL(D23,$G$5)=0,[1]!S_SHARE_TOTAL(D23,[1]!s_ipo_listeddate(D23)),[1]!S_SHARE_TOTAL(D23,$G$5)),([1]!S_STM07_BS(D23,75,$G$5,$H$13)+[1]!S_STM07_BS(D23,88,$G$5,$H$13)+[1]!S_STM07_BS(D23,94,$G$5,$H$13)+[1]!S_STM07_BS(D23,95,$G$5,$H$13))/$E$5))</f>
        <v>1.2721236985694753</v>
      </c>
      <c r="O23" s="250">
        <f ca="1">IF(C23="","",IF($O$11="BPS",[1]!S_STM07_BS(D23,141,$G$5,$H$13)/IF([1]!S_SHARE_TOTAL(D23,$G$5)=0,[1]!S_SHARE_TOTAL(D23,[1]!s_ipo_listeddate(D23)),[1]!S_SHARE_TOTAL(D23,$G$5)),[1]!S_STM07_CS(D23,49,$G$5,$H$13)/$E$5))</f>
        <v>9.2698544763008712</v>
      </c>
      <c r="P23" s="250">
        <f ca="1">IF(C23="","",IF($P$11="CFPS",[1]!S_STM07_CS(D23,84,$G$5,$H$13)/IF([1]!S_SHARE_TOTAL(D23,$G$5)=0,[1]!S_SHARE_TOTAL(D23,[1]!s_ipo_listeddate(D23)),[1]!S_SHARE_TOTAL(D23,$G$5)),[1]!S_STM07_CS(D23,84,$G$5,$H$13)/$E$5))</f>
        <v>1.7804026088867144</v>
      </c>
      <c r="Q23" s="198">
        <f ca="1">IF(C23="","",F23/([1]!S_STM07_IS(D23,61,$G$5,$H$13)/IF([1]!S_SHARE_TOTAL(D23,$G$5)=0,[1]!S_SHARE_TOTAL(D23,[1]!s_ipo_listeddate(D23)),[1]!S_SHARE_TOTAL(D23,$G$5))))</f>
        <v>26.412525792722651</v>
      </c>
      <c r="R23" s="198">
        <f ca="1">IF(C23="","",F23/([1]!S_STM07_BS(D23,141,$G$5,$H$13)/IF([1]!S_SHARE_TOTAL(D23,$G$5)=0,[1]!S_SHARE_TOTAL(D23,[1]!s_ipo_listeddate(D23)),[1]!S_SHARE_TOTAL(D23,$G$5))))</f>
        <v>3.624652370315101</v>
      </c>
      <c r="S23" s="249">
        <f ca="1">IF(C23="","",[1]!S_SHARE_TOTAL(D23,TODAY())/$E$5)</f>
        <v>3467.9574050000001</v>
      </c>
      <c r="T23" s="249">
        <f t="shared" ca="1" si="3"/>
        <v>116523.36880800001</v>
      </c>
      <c r="U23" s="172">
        <f t="shared" ca="1" si="4"/>
        <v>116523.36880800001</v>
      </c>
      <c r="V23" s="343">
        <f t="shared" ca="1" si="5"/>
        <v>6</v>
      </c>
      <c r="W23" s="140"/>
      <c r="Y23" s="1"/>
    </row>
    <row r="24" spans="3:26" ht="12" customHeight="1">
      <c r="C24" s="342">
        <f t="shared" ca="1" si="0"/>
        <v>11</v>
      </c>
      <c r="D24" s="153" t="str">
        <f t="shared" ca="1" si="1"/>
        <v>000878.SZ</v>
      </c>
      <c r="E24" s="153" t="str">
        <f t="shared" ca="1" si="2"/>
        <v>云南铜业</v>
      </c>
      <c r="F24" s="170">
        <f ca="1">IF(C24="","",[1]!S_DQ_CLOSE(D24,TODAY(),1))</f>
        <v>23.12</v>
      </c>
      <c r="G24" s="171">
        <f ca="1">IF(C24="","",[1]!s_pq_pctchange(D24,TODAY()-$G$12,TODAY())/100)</f>
        <v>3.3065236818587973E-2</v>
      </c>
      <c r="H24" s="247">
        <f ca="1">IF(C24="","",IF($H$11="收入",[1]!S_STM07_IS(D24,9,$G$5,$H$13)/$E$5,[1]!S_STM07_IS(D24,48,$G$5,$H$13)/$E$5))</f>
        <v>178012.27387027</v>
      </c>
      <c r="I24" s="247">
        <f ca="1">IF(C24="","",IF($I$11="毛利率",([1]!S_STM07_IS(D24,9,$G$5,$H$13)-[1]!S_STM07_IS(D24,10,$G$5,$H$13))/[1]!S_STM07_IS(D24,9,$G$5,$H$13),[1]!S_STM07_IS(D24,14,$G$5,$H$13)/$E$5))</f>
        <v>2.8336420235865776E-2</v>
      </c>
      <c r="J24" s="247">
        <f ca="1">IF(C24="","",IF($J$11="营业利润率",[1]!S_STM07_IS(D24,48,$G$5,$H$13)/[1]!S_STM07_IS(D24,9,$G$5,$H$13),([1]!S_STM07_CS(D24,87,$G$5,$H$13)+[1]!S_STM07_CS(D24,88,$G$5,$H$13)+[1]!S_STM07_CS(D24,89,$G$5,$H$13))/$E$5))</f>
        <v>1.3168324559284754E-2</v>
      </c>
      <c r="K24" s="247">
        <f ca="1">IF(C24="","",IF($K$11="净利润率",[1]!S_STM07_IS(D24,61,$G$5,$H$13)/[1]!S_STM07_IS(D24,9,$G$5,$H$13),[1]!S_STM07_IS(D24,55,$G$5,$H$13)/$E$5))</f>
        <v>7.1045112619687583E-3</v>
      </c>
      <c r="L24" s="247">
        <f ca="1">IF(C24="","",IF($L$11="ROA",[1]!S_STM07_IS(D24,61,$G$5,$H$13)/[1]!S_STM07_BS(D24,74,$G$5,$H$13),1-[1]!S_STM07_IS(D24,61,$G$5,$H$13)/[1]!S_STM07_IS(D24,55,$G$5,$H$13)))</f>
        <v>2.903545462655403E-2</v>
      </c>
      <c r="M24" s="247">
        <f ca="1">IF(C24="","",IF($M$11="ROE",[1]!S_STM07_IS(D24,61,$G$5,$H$13)/[1]!S_STM07_BS(D24,141,$G$5,$H$13),([1]!S_STM07_BS(D24,25,$G$5,$H$13)-[1]!S_STM07_BS(D24,93,$G$5,$H$13))/$E$5))</f>
        <v>6.8571887950547736E-2</v>
      </c>
      <c r="N24" s="247">
        <f ca="1">IF(C24="","",IF($N$11="EPS",[1]!S_STM07_IS(D24,61,$G$5,$H$13)/IF([1]!S_SHARE_TOTAL(D24,$G$5)=0,[1]!S_SHARE_TOTAL(D24,[1]!s_ipo_listeddate(D24)),[1]!S_SHARE_TOTAL(D24,$G$5)),([1]!S_STM07_BS(D24,75,$G$5,$H$13)+[1]!S_STM07_BS(D24,88,$G$5,$H$13)+[1]!S_STM07_BS(D24,94,$G$5,$H$13)+[1]!S_STM07_BS(D24,95,$G$5,$H$13))/$E$5))</f>
        <v>0.63120000759023021</v>
      </c>
      <c r="O24" s="247">
        <f ca="1">IF(C24="","",IF($O$11="BPS",[1]!S_STM07_BS(D24,141,$G$5,$H$13)/IF([1]!S_SHARE_TOTAL(D24,$G$5)=0,[1]!S_SHARE_TOTAL(D24,[1]!s_ipo_listeddate(D24)),[1]!S_SHARE_TOTAL(D24,$G$5)),[1]!S_STM07_CS(D24,49,$G$5,$H$13)/$E$5))</f>
        <v>9.2049384442416855</v>
      </c>
      <c r="P24" s="247">
        <f ca="1">IF(C24="","",IF($P$11="CFPS",[1]!S_STM07_CS(D24,84,$G$5,$H$13)/IF([1]!S_SHARE_TOTAL(D24,$G$5)=0,[1]!S_SHARE_TOTAL(D24,[1]!s_ipo_listeddate(D24)),[1]!S_SHARE_TOTAL(D24,$G$5)),[1]!S_STM07_CS(D24,84,$G$5,$H$13)/$E$5))</f>
        <v>0.71602394548917103</v>
      </c>
      <c r="Q24" s="248">
        <f ca="1">IF(C24="","",F24/([1]!S_STM07_IS(D24,61,$G$5,$H$13)/IF([1]!S_SHARE_TOTAL(D24,$G$5)=0,[1]!S_SHARE_TOTAL(D24,[1]!s_ipo_listeddate(D24)),[1]!S_SHARE_TOTAL(D24,$G$5))))</f>
        <v>36.628643412516105</v>
      </c>
      <c r="R24" s="248">
        <f ca="1">IF(C24="","",F24/([1]!S_STM07_BS(D24,141,$G$5,$H$13)/IF([1]!S_SHARE_TOTAL(D24,$G$5)=0,[1]!S_SHARE_TOTAL(D24,[1]!s_ipo_listeddate(D24)),[1]!S_SHARE_TOTAL(D24,$G$5))))</f>
        <v>2.5116952318636234</v>
      </c>
      <c r="S24" s="247">
        <f ca="1">IF(C24="","",[1]!S_SHARE_TOTAL(D24,TODAY())/$E$5)</f>
        <v>2259.8036659999998</v>
      </c>
      <c r="T24" s="247">
        <f t="shared" ca="1" si="3"/>
        <v>52246.660757919999</v>
      </c>
      <c r="U24" s="218">
        <f t="shared" ca="1" si="4"/>
        <v>52246.660757919999</v>
      </c>
      <c r="V24" s="342">
        <f t="shared" ca="1" si="5"/>
        <v>14</v>
      </c>
      <c r="W24" s="139"/>
      <c r="Y24" s="1"/>
    </row>
    <row r="25" spans="3:26" ht="12" customHeight="1">
      <c r="C25" s="343">
        <f t="shared" ca="1" si="0"/>
        <v>12</v>
      </c>
      <c r="D25" s="124" t="str">
        <f t="shared" ca="1" si="1"/>
        <v>000933.SZ</v>
      </c>
      <c r="E25" s="124" t="str">
        <f t="shared" ca="1" si="2"/>
        <v>神火股份</v>
      </c>
      <c r="F25" s="172">
        <f ca="1">IF(C25="","",[1]!S_DQ_CLOSE(D25,TODAY(),1))</f>
        <v>36.26</v>
      </c>
      <c r="G25" s="173">
        <f ca="1">IF(C25="","",[1]!s_pq_pctchange(D25,TODAY()-$G$12,TODAY())/100)</f>
        <v>0.21392701707398706</v>
      </c>
      <c r="H25" s="249">
        <f ca="1">IF(C25="","",IF($H$11="收入",[1]!S_STM07_IS(D25,9,$G$5,$H$13)/$E$5,[1]!S_STM07_IS(D25,48,$G$5,$H$13)/$E$5))</f>
        <v>38372.663537439999</v>
      </c>
      <c r="I25" s="249">
        <f ca="1">IF(C25="","",IF($I$11="毛利率",([1]!S_STM07_IS(D25,9,$G$5,$H$13)-[1]!S_STM07_IS(D25,10,$G$5,$H$13))/[1]!S_STM07_IS(D25,9,$G$5,$H$13),[1]!S_STM07_IS(D25,14,$G$5,$H$13)/$E$5))</f>
        <v>0.21228936217945588</v>
      </c>
      <c r="J25" s="249">
        <f ca="1">IF(C25="","",IF($J$11="营业利润率",[1]!S_STM07_IS(D25,48,$G$5,$H$13)/[1]!S_STM07_IS(D25,9,$G$5,$H$13),([1]!S_STM07_CS(D25,87,$G$5,$H$13)+[1]!S_STM07_CS(D25,88,$G$5,$H$13)+[1]!S_STM07_CS(D25,89,$G$5,$H$13))/$E$5))</f>
        <v>0.17228616623184381</v>
      </c>
      <c r="K25" s="249">
        <f ca="1">IF(C25="","",IF($K$11="净利润率",[1]!S_STM07_IS(D25,61,$G$5,$H$13)/[1]!S_STM07_IS(D25,9,$G$5,$H$13),[1]!S_STM07_IS(D25,55,$G$5,$H$13)/$E$5))</f>
        <v>0.1122356099051581</v>
      </c>
      <c r="L25" s="249">
        <f ca="1">IF(C25="","",IF($L$11="ROA",[1]!S_STM07_IS(D25,61,$G$5,$H$13)/[1]!S_STM07_BS(D25,74,$G$5,$H$13),1-[1]!S_STM07_IS(D25,61,$G$5,$H$13)/[1]!S_STM07_IS(D25,55,$G$5,$H$13)))</f>
        <v>8.5109702775891818E-2</v>
      </c>
      <c r="M25" s="249">
        <f ca="1">IF(C25="","",IF($M$11="ROE",[1]!S_STM07_IS(D25,61,$G$5,$H$13)/[1]!S_STM07_BS(D25,141,$G$5,$H$13),([1]!S_STM07_BS(D25,25,$G$5,$H$13)-[1]!S_STM07_BS(D25,93,$G$5,$H$13))/$E$5))</f>
        <v>0.16548621404128197</v>
      </c>
      <c r="N25" s="250">
        <f ca="1">IF(C25="","",IF($N$11="EPS",[1]!S_STM07_IS(D25,61,$G$5,$H$13)/IF([1]!S_SHARE_TOTAL(D25,$G$5)=0,[1]!S_SHARE_TOTAL(D25,[1]!s_ipo_listeddate(D25)),[1]!S_SHARE_TOTAL(D25,$G$5)),([1]!S_STM07_BS(D25,75,$G$5,$H$13)+[1]!S_STM07_BS(D25,88,$G$5,$H$13)+[1]!S_STM07_BS(D25,94,$G$5,$H$13)+[1]!S_STM07_BS(D25,95,$G$5,$H$13))/$E$5))</f>
        <v>1.9146767761170627</v>
      </c>
      <c r="O25" s="250">
        <f ca="1">IF(C25="","",IF($O$11="BPS",[1]!S_STM07_BS(D25,141,$G$5,$H$13)/IF([1]!S_SHARE_TOTAL(D25,$G$5)=0,[1]!S_SHARE_TOTAL(D25,[1]!s_ipo_listeddate(D25)),[1]!S_SHARE_TOTAL(D25,$G$5)),[1]!S_STM07_CS(D25,49,$G$5,$H$13)/$E$5))</f>
        <v>11.570007732725276</v>
      </c>
      <c r="P25" s="250">
        <f ca="1">IF(C25="","",IF($P$11="CFPS",[1]!S_STM07_CS(D25,84,$G$5,$H$13)/IF([1]!S_SHARE_TOTAL(D25,$G$5)=0,[1]!S_SHARE_TOTAL(D25,[1]!s_ipo_listeddate(D25)),[1]!S_SHARE_TOTAL(D25,$G$5)),[1]!S_STM07_CS(D25,84,$G$5,$H$13)/$E$5))</f>
        <v>0.67383812350950612</v>
      </c>
      <c r="Q25" s="198">
        <f ca="1">IF(C25="","",F25/([1]!S_STM07_IS(D25,61,$G$5,$H$13)/IF([1]!S_SHARE_TOTAL(D25,$G$5)=0,[1]!S_SHARE_TOTAL(D25,[1]!s_ipo_listeddate(D25)),[1]!S_SHARE_TOTAL(D25,$G$5))))</f>
        <v>18.937922291790034</v>
      </c>
      <c r="R25" s="198">
        <f ca="1">IF(C25="","",F25/([1]!S_STM07_BS(D25,141,$G$5,$H$13)/IF([1]!S_SHARE_TOTAL(D25,$G$5)=0,[1]!S_SHARE_TOTAL(D25,[1]!s_ipo_listeddate(D25)),[1]!S_SHARE_TOTAL(D25,$G$5))))</f>
        <v>3.1339650618763311</v>
      </c>
      <c r="S25" s="249">
        <f ca="1">IF(C25="","",[1]!S_SHARE_TOTAL(D25,TODAY())/$E$5)</f>
        <v>2249.0043989999999</v>
      </c>
      <c r="T25" s="249">
        <f t="shared" ca="1" si="3"/>
        <v>81548.899507739989</v>
      </c>
      <c r="U25" s="172">
        <f t="shared" ca="1" si="4"/>
        <v>81548.899507739989</v>
      </c>
      <c r="V25" s="343">
        <f t="shared" ca="1" si="5"/>
        <v>11</v>
      </c>
      <c r="W25" s="139"/>
      <c r="Y25" s="1"/>
    </row>
    <row r="26" spans="3:26" ht="12" customHeight="1">
      <c r="C26" s="342">
        <f t="shared" ca="1" si="0"/>
        <v>13</v>
      </c>
      <c r="D26" s="153" t="str">
        <f t="shared" ca="1" si="1"/>
        <v>002114.SZ</v>
      </c>
      <c r="E26" s="153" t="str">
        <f t="shared" ca="1" si="2"/>
        <v>罗平锌电</v>
      </c>
      <c r="F26" s="170">
        <f ca="1">IF(C26="","",[1]!S_DQ_CLOSE(D26,TODAY(),1))</f>
        <v>10</v>
      </c>
      <c r="G26" s="171">
        <f ca="1">IF(C26="","",[1]!s_pq_pctchange(D26,TODAY()-$G$12,TODAY())/100)</f>
        <v>7.41138560687431E-2</v>
      </c>
      <c r="H26" s="247">
        <f ca="1">IF(C26="","",IF($H$11="收入",[1]!S_STM07_IS(D26,9,$G$5,$H$13)/$E$5,[1]!S_STM07_IS(D26,48,$G$5,$H$13)/$E$5))</f>
        <v>1260.4679724</v>
      </c>
      <c r="I26" s="247">
        <f ca="1">IF(C26="","",IF($I$11="毛利率",([1]!S_STM07_IS(D26,9,$G$5,$H$13)-[1]!S_STM07_IS(D26,10,$G$5,$H$13))/[1]!S_STM07_IS(D26,9,$G$5,$H$13),[1]!S_STM07_IS(D26,14,$G$5,$H$13)/$E$5))</f>
        <v>8.3523763296851669E-2</v>
      </c>
      <c r="J26" s="247">
        <f ca="1">IF(C26="","",IF($J$11="营业利润率",[1]!S_STM07_IS(D26,48,$G$5,$H$13)/[1]!S_STM07_IS(D26,9,$G$5,$H$13),([1]!S_STM07_CS(D26,87,$G$5,$H$13)+[1]!S_STM07_CS(D26,88,$G$5,$H$13)+[1]!S_STM07_CS(D26,89,$G$5,$H$13))/$E$5))</f>
        <v>9.7867668755690479E-4</v>
      </c>
      <c r="K26" s="247">
        <f ca="1">IF(C26="","",IF($K$11="净利润率",[1]!S_STM07_IS(D26,61,$G$5,$H$13)/[1]!S_STM07_IS(D26,9,$G$5,$H$13),[1]!S_STM07_IS(D26,55,$G$5,$H$13)/$E$5))</f>
        <v>-6.2560825936619407E-2</v>
      </c>
      <c r="L26" s="247">
        <f ca="1">IF(C26="","",IF($L$11="ROA",[1]!S_STM07_IS(D26,61,$G$5,$H$13)/[1]!S_STM07_BS(D26,74,$G$5,$H$13),1-[1]!S_STM07_IS(D26,61,$G$5,$H$13)/[1]!S_STM07_IS(D26,55,$G$5,$H$13)))</f>
        <v>-3.3526260174780109E-2</v>
      </c>
      <c r="M26" s="247">
        <f ca="1">IF(C26="","",IF($M$11="ROE",[1]!S_STM07_IS(D26,61,$G$5,$H$13)/[1]!S_STM07_BS(D26,141,$G$5,$H$13),([1]!S_STM07_BS(D26,25,$G$5,$H$13)-[1]!S_STM07_BS(D26,93,$G$5,$H$13))/$E$5))</f>
        <v>-8.3637828240235759E-2</v>
      </c>
      <c r="N26" s="247">
        <f ca="1">IF(C26="","",IF($N$11="EPS",[1]!S_STM07_IS(D26,61,$G$5,$H$13)/IF([1]!S_SHARE_TOTAL(D26,$G$5)=0,[1]!S_SHARE_TOTAL(D26,[1]!s_ipo_listeddate(D26)),[1]!S_SHARE_TOTAL(D26,$G$5)),([1]!S_STM07_BS(D26,75,$G$5,$H$13)+[1]!S_STM07_BS(D26,88,$G$5,$H$13)+[1]!S_STM07_BS(D26,94,$G$5,$H$13)+[1]!S_STM07_BS(D26,95,$G$5,$H$13))/$E$5))</f>
        <v>-0.24383757422151761</v>
      </c>
      <c r="O26" s="247">
        <f ca="1">IF(C26="","",IF($O$11="BPS",[1]!S_STM07_BS(D26,141,$G$5,$H$13)/IF([1]!S_SHARE_TOTAL(D26,$G$5)=0,[1]!S_SHARE_TOTAL(D26,[1]!s_ipo_listeddate(D26)),[1]!S_SHARE_TOTAL(D26,$G$5)),[1]!S_STM07_CS(D26,49,$G$5,$H$13)/$E$5))</f>
        <v>2.9153982038024076</v>
      </c>
      <c r="P26" s="247">
        <f ca="1">IF(C26="","",IF($P$11="CFPS",[1]!S_STM07_CS(D26,84,$G$5,$H$13)/IF([1]!S_SHARE_TOTAL(D26,$G$5)=0,[1]!S_SHARE_TOTAL(D26,[1]!s_ipo_listeddate(D26)),[1]!S_SHARE_TOTAL(D26,$G$5)),[1]!S_STM07_CS(D26,84,$G$5,$H$13)/$E$5))</f>
        <v>0.23791219214101858</v>
      </c>
      <c r="Q26" s="248">
        <f ca="1">IF(C26="","",F26/([1]!S_STM07_IS(D26,61,$G$5,$H$13)/IF([1]!S_SHARE_TOTAL(D26,$G$5)=0,[1]!S_SHARE_TOTAL(D26,[1]!s_ipo_listeddate(D26)),[1]!S_SHARE_TOTAL(D26,$G$5))))</f>
        <v>-41.01090667394584</v>
      </c>
      <c r="R26" s="248">
        <f ca="1">IF(C26="","",F26/([1]!S_STM07_BS(D26,141,$G$5,$H$13)/IF([1]!S_SHARE_TOTAL(D26,$G$5)=0,[1]!S_SHARE_TOTAL(D26,[1]!s_ipo_listeddate(D26)),[1]!S_SHARE_TOTAL(D26,$G$5))))</f>
        <v>3.4300631683718201</v>
      </c>
      <c r="S26" s="247">
        <f ca="1">IF(C26="","",[1]!S_SHARE_TOTAL(D26,TODAY())/$E$5)</f>
        <v>323.39526699999999</v>
      </c>
      <c r="T26" s="247">
        <f t="shared" ca="1" si="3"/>
        <v>3233.9526699999997</v>
      </c>
      <c r="U26" s="218">
        <f t="shared" ca="1" si="4"/>
        <v>3233.9526699999997</v>
      </c>
      <c r="V26" s="342">
        <f ca="1">IF(C26="","",RANK(U26,U:U,0))</f>
        <v>56</v>
      </c>
      <c r="W26" s="139"/>
      <c r="Y26" s="1"/>
    </row>
    <row r="27" spans="3:26" ht="12" customHeight="1">
      <c r="C27" s="343">
        <f t="shared" ca="1" si="0"/>
        <v>14</v>
      </c>
      <c r="D27" s="124" t="str">
        <f ca="1">IF(C27="","",VLOOKUP(C27,comppool,2,FALSE))</f>
        <v>002160.SZ</v>
      </c>
      <c r="E27" s="124" t="str">
        <f t="shared" ca="1" si="2"/>
        <v>常铝股份</v>
      </c>
      <c r="F27" s="172">
        <f ca="1">IF(C27="","",[1]!S_DQ_CLOSE(D27,TODAY(),1))</f>
        <v>5.74</v>
      </c>
      <c r="G27" s="173">
        <f ca="1">IF(C27="","",[1]!s_pq_pctchange(D27,TODAY()-$G$12,TODAY())/100)</f>
        <v>6.0998151571164616E-2</v>
      </c>
      <c r="H27" s="249">
        <f ca="1">IF(C27="","",IF($H$11="收入",[1]!S_STM07_IS(D27,9,$G$5,$H$13)/$E$5,[1]!S_STM07_IS(D27,48,$G$5,$H$13)/$E$5))</f>
        <v>7847.31718086</v>
      </c>
      <c r="I27" s="249">
        <f ca="1">IF(C27="","",IF($I$11="毛利率",([1]!S_STM07_IS(D27,9,$G$5,$H$13)-[1]!S_STM07_IS(D27,10,$G$5,$H$13))/[1]!S_STM07_IS(D27,9,$G$5,$H$13),[1]!S_STM07_IS(D27,14,$G$5,$H$13)/$E$5))</f>
        <v>0.12630343784464926</v>
      </c>
      <c r="J27" s="249">
        <f ca="1">IF(C27="","",IF($J$11="营业利润率",[1]!S_STM07_IS(D27,48,$G$5,$H$13)/[1]!S_STM07_IS(D27,9,$G$5,$H$13),([1]!S_STM07_CS(D27,87,$G$5,$H$13)+[1]!S_STM07_CS(D27,88,$G$5,$H$13)+[1]!S_STM07_CS(D27,89,$G$5,$H$13))/$E$5))</f>
        <v>1.7059246939388914E-2</v>
      </c>
      <c r="K27" s="249">
        <f ca="1">IF(C27="","",IF($K$11="净利润率",[1]!S_STM07_IS(D27,61,$G$5,$H$13)/[1]!S_STM07_IS(D27,9,$G$5,$H$13),[1]!S_STM07_IS(D27,55,$G$5,$H$13)/$E$5))</f>
        <v>8.2808386678309941E-3</v>
      </c>
      <c r="L27" s="249">
        <f ca="1">IF(C27="","",IF($L$11="ROA",[1]!S_STM07_IS(D27,61,$G$5,$H$13)/[1]!S_STM07_BS(D27,74,$G$5,$H$13),1-[1]!S_STM07_IS(D27,61,$G$5,$H$13)/[1]!S_STM07_IS(D27,55,$G$5,$H$13)))</f>
        <v>7.6130875965987315E-3</v>
      </c>
      <c r="M27" s="249">
        <f ca="1">IF(C27="","",IF($M$11="ROE",[1]!S_STM07_IS(D27,61,$G$5,$H$13)/[1]!S_STM07_BS(D27,141,$G$5,$H$13),([1]!S_STM07_BS(D27,25,$G$5,$H$13)-[1]!S_STM07_BS(D27,93,$G$5,$H$13))/$E$5))</f>
        <v>1.753928975040598E-2</v>
      </c>
      <c r="N27" s="250">
        <f ca="1">IF(C27="","",IF($N$11="EPS",[1]!S_STM07_IS(D27,61,$G$5,$H$13)/IF([1]!S_SHARE_TOTAL(D27,$G$5)=0,[1]!S_SHARE_TOTAL(D27,[1]!s_ipo_listeddate(D27)),[1]!S_SHARE_TOTAL(D27,$G$5)),([1]!S_STM07_BS(D27,75,$G$5,$H$13)+[1]!S_STM07_BS(D27,88,$G$5,$H$13)+[1]!S_STM07_BS(D27,94,$G$5,$H$13)+[1]!S_STM07_BS(D27,95,$G$5,$H$13))/$E$5))</f>
        <v>6.2919783615690186E-2</v>
      </c>
      <c r="O27" s="250">
        <f ca="1">IF(C27="","",IF($O$11="BPS",[1]!S_STM07_BS(D27,141,$G$5,$H$13)/IF([1]!S_SHARE_TOTAL(D27,$G$5)=0,[1]!S_SHARE_TOTAL(D27,[1]!s_ipo_listeddate(D27)),[1]!S_SHARE_TOTAL(D27,$G$5)),[1]!S_STM07_CS(D27,49,$G$5,$H$13)/$E$5))</f>
        <v>3.5873621173419403</v>
      </c>
      <c r="P27" s="250">
        <f ca="1">IF(C27="","",IF($P$11="CFPS",[1]!S_STM07_CS(D27,84,$G$5,$H$13)/IF([1]!S_SHARE_TOTAL(D27,$G$5)=0,[1]!S_SHARE_TOTAL(D27,[1]!s_ipo_listeddate(D27)),[1]!S_SHARE_TOTAL(D27,$G$5)),[1]!S_STM07_CS(D27,84,$G$5,$H$13)/$E$5))</f>
        <v>0.34741495568925301</v>
      </c>
      <c r="Q27" s="198">
        <f ca="1">IF(C27="","",F27/([1]!S_STM07_IS(D27,61,$G$5,$H$13)/IF([1]!S_SHARE_TOTAL(D27,$G$5)=0,[1]!S_SHARE_TOTAL(D27,[1]!s_ipo_listeddate(D27)),[1]!S_SHARE_TOTAL(D27,$G$5))))</f>
        <v>91.227268597418174</v>
      </c>
      <c r="R27" s="198">
        <f ca="1">IF(C27="","",F27/([1]!S_STM07_BS(D27,141,$G$5,$H$13)/IF([1]!S_SHARE_TOTAL(D27,$G$5)=0,[1]!S_SHARE_TOTAL(D27,[1]!s_ipo_listeddate(D27)),[1]!S_SHARE_TOTAL(D27,$G$5))))</f>
        <v>1.6000614970682299</v>
      </c>
      <c r="S27" s="249">
        <f ca="1">IF(C27="","",[1]!S_SHARE_TOTAL(D27,TODAY())/$E$5)</f>
        <v>1032.7811670000001</v>
      </c>
      <c r="T27" s="249">
        <f t="shared" ca="1" si="3"/>
        <v>5928.1638985800009</v>
      </c>
      <c r="U27" s="172">
        <f t="shared" ca="1" si="4"/>
        <v>5928.1638985800009</v>
      </c>
      <c r="V27" s="343">
        <f t="shared" ca="1" si="5"/>
        <v>49</v>
      </c>
      <c r="W27" s="139"/>
      <c r="Y27" s="1"/>
    </row>
    <row r="28" spans="3:26" ht="12" customHeight="1">
      <c r="C28" s="342">
        <f t="shared" ca="1" si="0"/>
        <v>15</v>
      </c>
      <c r="D28" s="153" t="str">
        <f t="shared" ca="1" si="1"/>
        <v>002171.SZ</v>
      </c>
      <c r="E28" s="153" t="str">
        <f t="shared" ca="1" si="2"/>
        <v>楚江新材</v>
      </c>
      <c r="F28" s="170">
        <f ca="1">IF(C28="","",[1]!S_DQ_CLOSE(D28,TODAY(),1))</f>
        <v>12.3</v>
      </c>
      <c r="G28" s="171">
        <f ca="1">IF(C28="","",[1]!s_pq_pctchange(D28,TODAY()-$G$12,TODAY())/100)</f>
        <v>-3.2258064516129115E-2</v>
      </c>
      <c r="H28" s="247">
        <f ca="1">IF(C28="","",IF($H$11="收入",[1]!S_STM07_IS(D28,9,$G$5,$H$13)/$E$5,[1]!S_STM07_IS(D28,48,$G$5,$H$13)/$E$5))</f>
        <v>53750.764935560001</v>
      </c>
      <c r="I28" s="247">
        <f ca="1">IF(C28="","",IF($I$11="毛利率",([1]!S_STM07_IS(D28,9,$G$5,$H$13)-[1]!S_STM07_IS(D28,10,$G$5,$H$13))/[1]!S_STM07_IS(D28,9,$G$5,$H$13),[1]!S_STM07_IS(D28,14,$G$5,$H$13)/$E$5))</f>
        <v>2.9952799206488617E-2</v>
      </c>
      <c r="J28" s="247">
        <f ca="1">IF(C28="","",IF($J$11="营业利润率",[1]!S_STM07_IS(D28,48,$G$5,$H$13)/[1]!S_STM07_IS(D28,9,$G$5,$H$13),([1]!S_STM07_CS(D28,87,$G$5,$H$13)+[1]!S_STM07_CS(D28,88,$G$5,$H$13)+[1]!S_STM07_CS(D28,89,$G$5,$H$13))/$E$5))</f>
        <v>5.5418658511579861E-3</v>
      </c>
      <c r="K28" s="247">
        <f ca="1">IF(C28="","",IF($K$11="净利润率",[1]!S_STM07_IS(D28,61,$G$5,$H$13)/[1]!S_STM07_IS(D28,9,$G$5,$H$13),[1]!S_STM07_IS(D28,55,$G$5,$H$13)/$E$5))</f>
        <v>4.2763126300726251E-3</v>
      </c>
      <c r="L28" s="247">
        <f ca="1">IF(C28="","",IF($L$11="ROA",[1]!S_STM07_IS(D28,61,$G$5,$H$13)/[1]!S_STM07_BS(D28,74,$G$5,$H$13),1-[1]!S_STM07_IS(D28,61,$G$5,$H$13)/[1]!S_STM07_IS(D28,55,$G$5,$H$13)))</f>
        <v>1.2061291930518055E-2</v>
      </c>
      <c r="M28" s="247">
        <f ca="1">IF(C28="","",IF($M$11="ROE",[1]!S_STM07_IS(D28,61,$G$5,$H$13)/[1]!S_STM07_BS(D28,141,$G$5,$H$13),([1]!S_STM07_BS(D28,25,$G$5,$H$13)-[1]!S_STM07_BS(D28,93,$G$5,$H$13))/$E$5))</f>
        <v>2.8135629083298454E-2</v>
      </c>
      <c r="N28" s="247">
        <f ca="1">IF(C28="","",IF($N$11="EPS",[1]!S_STM07_IS(D28,61,$G$5,$H$13)/IF([1]!S_SHARE_TOTAL(D28,$G$5)=0,[1]!S_SHARE_TOTAL(D28,[1]!s_ipo_listeddate(D28)),[1]!S_SHARE_TOTAL(D28,$G$5)),([1]!S_STM07_BS(D28,75,$G$5,$H$13)+[1]!S_STM07_BS(D28,88,$G$5,$H$13)+[1]!S_STM07_BS(D28,94,$G$5,$H$13)+[1]!S_STM07_BS(D28,95,$G$5,$H$13))/$E$5))</f>
        <v>0.15236862797984702</v>
      </c>
      <c r="O28" s="247">
        <f ca="1">IF(C28="","",IF($O$11="BPS",[1]!S_STM07_BS(D28,141,$G$5,$H$13)/IF([1]!S_SHARE_TOTAL(D28,$G$5)=0,[1]!S_SHARE_TOTAL(D28,[1]!s_ipo_listeddate(D28)),[1]!S_SHARE_TOTAL(D28,$G$5)),[1]!S_STM07_CS(D28,49,$G$5,$H$13)/$E$5))</f>
        <v>5.4155045735335738</v>
      </c>
      <c r="P28" s="247">
        <f ca="1">IF(C28="","",IF($P$11="CFPS",[1]!S_STM07_CS(D28,84,$G$5,$H$13)/IF([1]!S_SHARE_TOTAL(D28,$G$5)=0,[1]!S_SHARE_TOTAL(D28,[1]!s_ipo_listeddate(D28)),[1]!S_SHARE_TOTAL(D28,$G$5)),[1]!S_STM07_CS(D28,84,$G$5,$H$13)/$E$5))</f>
        <v>1.6233243324915412</v>
      </c>
      <c r="Q28" s="248">
        <f ca="1">IF(C28="","",F28/([1]!S_STM07_IS(D28,61,$G$5,$H$13)/IF([1]!S_SHARE_TOTAL(D28,$G$5)=0,[1]!S_SHARE_TOTAL(D28,[1]!s_ipo_listeddate(D28)),[1]!S_SHARE_TOTAL(D28,$G$5))))</f>
        <v>80.725278970332766</v>
      </c>
      <c r="R28" s="248">
        <f ca="1">IF(C28="","",F28/([1]!S_STM07_BS(D28,141,$G$5,$H$13)/IF([1]!S_SHARE_TOTAL(D28,$G$5)=0,[1]!S_SHARE_TOTAL(D28,[1]!s_ipo_listeddate(D28)),[1]!S_SHARE_TOTAL(D28,$G$5))))</f>
        <v>2.2712565067550758</v>
      </c>
      <c r="S28" s="247">
        <f ca="1">IF(C28="","",[1]!S_SHARE_TOTAL(D28,TODAY())/$E$5)</f>
        <v>1622.937872</v>
      </c>
      <c r="T28" s="247">
        <f t="shared" ca="1" si="3"/>
        <v>19962.135825600002</v>
      </c>
      <c r="U28" s="218">
        <f t="shared" ca="1" si="4"/>
        <v>19962.135825600002</v>
      </c>
      <c r="V28" s="342">
        <f t="shared" ca="1" si="5"/>
        <v>28</v>
      </c>
      <c r="W28" s="140"/>
      <c r="Y28" s="1"/>
    </row>
    <row r="29" spans="3:26" ht="12" customHeight="1">
      <c r="C29" s="343">
        <f t="shared" ca="1" si="0"/>
        <v>16</v>
      </c>
      <c r="D29" s="124" t="str">
        <f t="shared" ca="1" si="1"/>
        <v>002203.SZ</v>
      </c>
      <c r="E29" s="124" t="str">
        <f t="shared" ca="1" si="2"/>
        <v>海亮股份</v>
      </c>
      <c r="F29" s="172">
        <f ca="1">IF(C29="","",[1]!S_DQ_CLOSE(D29,TODAY(),1))</f>
        <v>13.53</v>
      </c>
      <c r="G29" s="173">
        <f ca="1">IF(C29="","",[1]!s_pq_pctchange(D29,TODAY()-$G$12,TODAY())/100)</f>
        <v>-4.1784702549575004E-2</v>
      </c>
      <c r="H29" s="249">
        <f ca="1">IF(C29="","",IF($H$11="收入",[1]!S_STM07_IS(D29,9,$G$5,$H$13)/$E$5,[1]!S_STM07_IS(D29,48,$G$5,$H$13)/$E$5))</f>
        <v>87386.783017599999</v>
      </c>
      <c r="I29" s="249">
        <f ca="1">IF(C29="","",IF($I$11="毛利率",([1]!S_STM07_IS(D29,9,$G$5,$H$13)-[1]!S_STM07_IS(D29,10,$G$5,$H$13))/[1]!S_STM07_IS(D29,9,$G$5,$H$13),[1]!S_STM07_IS(D29,14,$G$5,$H$13)/$E$5))</f>
        <v>3.2137643108734029E-2</v>
      </c>
      <c r="J29" s="249">
        <f ca="1">IF(C29="","",IF($J$11="营业利润率",[1]!S_STM07_IS(D29,48,$G$5,$H$13)/[1]!S_STM07_IS(D29,9,$G$5,$H$13),([1]!S_STM07_CS(D29,87,$G$5,$H$13)+[1]!S_STM07_CS(D29,88,$G$5,$H$13)+[1]!S_STM07_CS(D29,89,$G$5,$H$13))/$E$5))</f>
        <v>6.9730775762425513E-3</v>
      </c>
      <c r="K29" s="249">
        <f ca="1">IF(C29="","",IF($K$11="净利润率",[1]!S_STM07_IS(D29,61,$G$5,$H$13)/[1]!S_STM07_IS(D29,9,$G$5,$H$13),[1]!S_STM07_IS(D29,55,$G$5,$H$13)/$E$5))</f>
        <v>8.0481398245127369E-3</v>
      </c>
      <c r="L29" s="249">
        <f ca="1">IF(C29="","",IF($L$11="ROA",[1]!S_STM07_IS(D29,61,$G$5,$H$13)/[1]!S_STM07_BS(D29,74,$G$5,$H$13),1-[1]!S_STM07_IS(D29,61,$G$5,$H$13)/[1]!S_STM07_IS(D29,55,$G$5,$H$13)))</f>
        <v>1.5811794152741684E-2</v>
      </c>
      <c r="M29" s="249">
        <f ca="1">IF(C29="","",IF($M$11="ROE",[1]!S_STM07_IS(D29,61,$G$5,$H$13)/[1]!S_STM07_BS(D29,141,$G$5,$H$13),([1]!S_STM07_BS(D29,25,$G$5,$H$13)-[1]!S_STM07_BS(D29,93,$G$5,$H$13))/$E$5))</f>
        <v>4.1498550582430467E-2</v>
      </c>
      <c r="N29" s="250">
        <f ca="1">IF(C29="","",IF($N$11="EPS",[1]!S_STM07_IS(D29,61,$G$5,$H$13)/IF([1]!S_SHARE_TOTAL(D29,$G$5)=0,[1]!S_SHARE_TOTAL(D29,[1]!s_ipo_listeddate(D29)),[1]!S_SHARE_TOTAL(D29,$G$5)),([1]!S_STM07_BS(D29,75,$G$5,$H$13)+[1]!S_STM07_BS(D29,88,$G$5,$H$13)+[1]!S_STM07_BS(D29,94,$G$5,$H$13)+[1]!S_STM07_BS(D29,95,$G$5,$H$13))/$E$5))</f>
        <v>0.35194615833911252</v>
      </c>
      <c r="O29" s="250">
        <f ca="1">IF(C29="","",IF($O$11="BPS",[1]!S_STM07_BS(D29,141,$G$5,$H$13)/IF([1]!S_SHARE_TOTAL(D29,$G$5)=0,[1]!S_SHARE_TOTAL(D29,[1]!s_ipo_listeddate(D29)),[1]!S_SHARE_TOTAL(D29,$G$5)),[1]!S_STM07_CS(D29,49,$G$5,$H$13)/$E$5))</f>
        <v>8.4809265239282468</v>
      </c>
      <c r="P29" s="250">
        <f ca="1">IF(C29="","",IF($P$11="CFPS",[1]!S_STM07_CS(D29,84,$G$5,$H$13)/IF([1]!S_SHARE_TOTAL(D29,$G$5)=0,[1]!S_SHARE_TOTAL(D29,[1]!s_ipo_listeddate(D29)),[1]!S_SHARE_TOTAL(D29,$G$5)),[1]!S_STM07_CS(D29,84,$G$5,$H$13)/$E$5))</f>
        <v>2.0069510363966709</v>
      </c>
      <c r="Q29" s="198">
        <f ca="1">IF(C29="","",F29/([1]!S_STM07_IS(D29,61,$G$5,$H$13)/IF([1]!S_SHARE_TOTAL(D29,$G$5)=0,[1]!S_SHARE_TOTAL(D29,[1]!s_ipo_listeddate(D29)),[1]!S_SHARE_TOTAL(D29,$G$5))))</f>
        <v>38.443380271147518</v>
      </c>
      <c r="R29" s="198">
        <f ca="1">IF(C29="","",F29/([1]!S_STM07_BS(D29,141,$G$5,$H$13)/IF([1]!S_SHARE_TOTAL(D29,$G$5)=0,[1]!S_SHARE_TOTAL(D29,[1]!s_ipo_listeddate(D29)),[1]!S_SHARE_TOTAL(D29,$G$5))))</f>
        <v>1.5953445607418248</v>
      </c>
      <c r="S29" s="249">
        <f ca="1">IF(C29="","",[1]!S_SHARE_TOTAL(D29,TODAY())/$E$5)</f>
        <v>2291.7552740000001</v>
      </c>
      <c r="T29" s="249">
        <f t="shared" ca="1" si="3"/>
        <v>31007.448857219999</v>
      </c>
      <c r="U29" s="172">
        <f t="shared" ca="1" si="4"/>
        <v>31007.448857219999</v>
      </c>
      <c r="V29" s="343">
        <f t="shared" ca="1" si="5"/>
        <v>21</v>
      </c>
      <c r="W29" s="139"/>
      <c r="Y29" s="1"/>
    </row>
    <row r="30" spans="3:26" ht="12" customHeight="1">
      <c r="C30" s="342">
        <f t="shared" ca="1" si="0"/>
        <v>17</v>
      </c>
      <c r="D30" s="153" t="str">
        <f t="shared" ca="1" si="1"/>
        <v>002295.SZ</v>
      </c>
      <c r="E30" s="153" t="str">
        <f t="shared" ca="1" si="2"/>
        <v>精艺股份</v>
      </c>
      <c r="F30" s="170">
        <f ca="1">IF(C30="","",[1]!S_DQ_CLOSE(D30,TODAY(),1))</f>
        <v>11.5</v>
      </c>
      <c r="G30" s="171">
        <f ca="1">IF(C30="","",[1]!s_pq_pctchange(D30,TODAY()-$G$12,TODAY())/100)</f>
        <v>-8.6206896551723755E-3</v>
      </c>
      <c r="H30" s="247">
        <f ca="1">IF(C30="","",IF($H$11="收入",[1]!S_STM07_IS(D30,9,$G$5,$H$13)/$E$5,[1]!S_STM07_IS(D30,48,$G$5,$H$13)/$E$5))</f>
        <v>3754.0183117199999</v>
      </c>
      <c r="I30" s="247">
        <f ca="1">IF(C30="","",IF($I$11="毛利率",([1]!S_STM07_IS(D30,9,$G$5,$H$13)-[1]!S_STM07_IS(D30,10,$G$5,$H$13))/[1]!S_STM07_IS(D30,9,$G$5,$H$13),[1]!S_STM07_IS(D30,14,$G$5,$H$13)/$E$5))</f>
        <v>3.3809087173005369E-2</v>
      </c>
      <c r="J30" s="247">
        <f ca="1">IF(C30="","",IF($J$11="营业利润率",[1]!S_STM07_IS(D30,48,$G$5,$H$13)/[1]!S_STM07_IS(D30,9,$G$5,$H$13),([1]!S_STM07_CS(D30,87,$G$5,$H$13)+[1]!S_STM07_CS(D30,88,$G$5,$H$13)+[1]!S_STM07_CS(D30,89,$G$5,$H$13))/$E$5))</f>
        <v>8.8039908880617954E-3</v>
      </c>
      <c r="K30" s="247">
        <f ca="1">IF(C30="","",IF($K$11="净利润率",[1]!S_STM07_IS(D30,61,$G$5,$H$13)/[1]!S_STM07_IS(D30,9,$G$5,$H$13),[1]!S_STM07_IS(D30,55,$G$5,$H$13)/$E$5))</f>
        <v>7.3804469183064887E-3</v>
      </c>
      <c r="L30" s="247">
        <f ca="1">IF(C30="","",IF($L$11="ROA",[1]!S_STM07_IS(D30,61,$G$5,$H$13)/[1]!S_STM07_BS(D30,74,$G$5,$H$13),1-[1]!S_STM07_IS(D30,61,$G$5,$H$13)/[1]!S_STM07_IS(D30,55,$G$5,$H$13)))</f>
        <v>1.3266284923962542E-2</v>
      </c>
      <c r="M30" s="247">
        <f ca="1">IF(C30="","",IF($M$11="ROE",[1]!S_STM07_IS(D30,61,$G$5,$H$13)/[1]!S_STM07_BS(D30,141,$G$5,$H$13),([1]!S_STM07_BS(D30,25,$G$5,$H$13)-[1]!S_STM07_BS(D30,93,$G$5,$H$13))/$E$5))</f>
        <v>2.0420109859668575E-2</v>
      </c>
      <c r="N30" s="247">
        <f ca="1">IF(C30="","",IF($N$11="EPS",[1]!S_STM07_IS(D30,61,$G$5,$H$13)/IF([1]!S_SHARE_TOTAL(D30,$G$5)=0,[1]!S_SHARE_TOTAL(D30,[1]!s_ipo_listeddate(D30)),[1]!S_SHARE_TOTAL(D30,$G$5)),([1]!S_STM07_BS(D30,75,$G$5,$H$13)+[1]!S_STM07_BS(D30,88,$G$5,$H$13)+[1]!S_STM07_BS(D30,94,$G$5,$H$13)+[1]!S_STM07_BS(D30,95,$G$5,$H$13))/$E$5))</f>
        <v>0.11055292910269096</v>
      </c>
      <c r="O30" s="247">
        <f ca="1">IF(C30="","",IF($O$11="BPS",[1]!S_STM07_BS(D30,141,$G$5,$H$13)/IF([1]!S_SHARE_TOTAL(D30,$G$5)=0,[1]!S_SHARE_TOTAL(D30,[1]!s_ipo_listeddate(D30)),[1]!S_SHARE_TOTAL(D30,$G$5)),[1]!S_STM07_CS(D30,49,$G$5,$H$13)/$E$5))</f>
        <v>5.4139243061097462</v>
      </c>
      <c r="P30" s="247">
        <f ca="1">IF(C30="","",IF($P$11="CFPS",[1]!S_STM07_CS(D30,84,$G$5,$H$13)/IF([1]!S_SHARE_TOTAL(D30,$G$5)=0,[1]!S_SHARE_TOTAL(D30,[1]!s_ipo_listeddate(D30)),[1]!S_SHARE_TOTAL(D30,$G$5)),[1]!S_STM07_CS(D30,84,$G$5,$H$13)/$E$5))</f>
        <v>1.4096689906869473</v>
      </c>
      <c r="Q30" s="248">
        <f ca="1">IF(C30="","",F30/([1]!S_STM07_IS(D30,61,$G$5,$H$13)/IF([1]!S_SHARE_TOTAL(D30,$G$5)=0,[1]!S_SHARE_TOTAL(D30,[1]!s_ipo_listeddate(D30)),[1]!S_SHARE_TOTAL(D30,$G$5))))</f>
        <v>104.02257175219502</v>
      </c>
      <c r="R30" s="248">
        <f ca="1">IF(C30="","",F30/([1]!S_STM07_BS(D30,141,$G$5,$H$13)/IF([1]!S_SHARE_TOTAL(D30,$G$5)=0,[1]!S_SHARE_TOTAL(D30,[1]!s_ipo_listeddate(D30)),[1]!S_SHARE_TOTAL(D30,$G$5))))</f>
        <v>2.1241523430650791</v>
      </c>
      <c r="S30" s="247">
        <f ca="1">IF(C30="","",[1]!S_SHARE_TOTAL(D30,TODAY())/$E$5)</f>
        <v>250.61600000000001</v>
      </c>
      <c r="T30" s="247">
        <f t="shared" ca="1" si="3"/>
        <v>2882.0840000000003</v>
      </c>
      <c r="U30" s="218">
        <f t="shared" ca="1" si="4"/>
        <v>2882.0840000000003</v>
      </c>
      <c r="V30" s="342">
        <f t="shared" ca="1" si="5"/>
        <v>57</v>
      </c>
      <c r="W30" s="139"/>
      <c r="Y30" s="1"/>
    </row>
    <row r="31" spans="3:26" ht="12" customHeight="1">
      <c r="C31" s="343">
        <f t="shared" ca="1" si="0"/>
        <v>18</v>
      </c>
      <c r="D31" s="124" t="str">
        <f t="shared" ca="1" si="1"/>
        <v>002379.SZ</v>
      </c>
      <c r="E31" s="124" t="str">
        <f t="shared" ca="1" si="2"/>
        <v>宏桥控股</v>
      </c>
      <c r="F31" s="172">
        <f ca="1">IF(C31="","",[1]!S_DQ_CLOSE(D31,TODAY(),1))</f>
        <v>30.57</v>
      </c>
      <c r="G31" s="173">
        <f ca="1">IF(C31="","",[1]!s_pq_pctchange(D31,TODAY()-$G$12,TODAY())/100)</f>
        <v>1.5277316506144167E-2</v>
      </c>
      <c r="H31" s="249">
        <f ca="1">IF(C31="","",IF($H$11="收入",[1]!S_STM07_IS(D31,9,$G$5,$H$13)/$E$5,[1]!S_STM07_IS(D31,48,$G$5,$H$13)/$E$5))</f>
        <v>3486.2227296399997</v>
      </c>
      <c r="I31" s="249">
        <f ca="1">IF(C31="","",IF($I$11="毛利率",([1]!S_STM07_IS(D31,9,$G$5,$H$13)-[1]!S_STM07_IS(D31,10,$G$5,$H$13))/[1]!S_STM07_IS(D31,9,$G$5,$H$13),[1]!S_STM07_IS(D31,14,$G$5,$H$13)/$E$5))</f>
        <v>1.7228155946364919E-2</v>
      </c>
      <c r="J31" s="249">
        <f ca="1">IF(C31="","",IF($J$11="营业利润率",[1]!S_STM07_IS(D31,48,$G$5,$H$13)/[1]!S_STM07_IS(D31,9,$G$5,$H$13),([1]!S_STM07_CS(D31,87,$G$5,$H$13)+[1]!S_STM07_CS(D31,88,$G$5,$H$13)+[1]!S_STM07_CS(D31,89,$G$5,$H$13))/$E$5))</f>
        <v>-1.8905771409736084E-2</v>
      </c>
      <c r="K31" s="249">
        <f ca="1">IF(C31="","",IF($K$11="净利润率",[1]!S_STM07_IS(D31,61,$G$5,$H$13)/[1]!S_STM07_IS(D31,9,$G$5,$H$13),[1]!S_STM07_IS(D31,55,$G$5,$H$13)/$E$5))</f>
        <v>-1.9786969975702992E-2</v>
      </c>
      <c r="L31" s="249">
        <f ca="1">IF(C31="","",IF($L$11="ROA",[1]!S_STM07_IS(D31,61,$G$5,$H$13)/[1]!S_STM07_BS(D31,74,$G$5,$H$13),1-[1]!S_STM07_IS(D31,61,$G$5,$H$13)/[1]!S_STM07_IS(D31,55,$G$5,$H$13)))</f>
        <v>-2.2059140483541219E-2</v>
      </c>
      <c r="M31" s="249">
        <f ca="1">IF(C31="","",IF($M$11="ROE",[1]!S_STM07_IS(D31,61,$G$5,$H$13)/[1]!S_STM07_BS(D31,141,$G$5,$H$13),([1]!S_STM07_BS(D31,25,$G$5,$H$13)-[1]!S_STM07_BS(D31,93,$G$5,$H$13))/$E$5))</f>
        <v>-3.5197762773939024E-2</v>
      </c>
      <c r="N31" s="250">
        <f ca="1">IF(C31="","",IF($N$11="EPS",[1]!S_STM07_IS(D31,61,$G$5,$H$13)/IF([1]!S_SHARE_TOTAL(D31,$G$5)=0,[1]!S_SHARE_TOTAL(D31,[1]!s_ipo_listeddate(D31)),[1]!S_SHARE_TOTAL(D31,$G$5)),([1]!S_STM07_BS(D31,75,$G$5,$H$13)+[1]!S_STM07_BS(D31,88,$G$5,$H$13)+[1]!S_STM07_BS(D31,94,$G$5,$H$13)+[1]!S_STM07_BS(D31,95,$G$5,$H$13))/$E$5))</f>
        <v>-6.0703429921616647E-2</v>
      </c>
      <c r="O31" s="250">
        <f ca="1">IF(C31="","",IF($O$11="BPS",[1]!S_STM07_BS(D31,141,$G$5,$H$13)/IF([1]!S_SHARE_TOTAL(D31,$G$5)=0,[1]!S_SHARE_TOTAL(D31,[1]!s_ipo_listeddate(D31)),[1]!S_SHARE_TOTAL(D31,$G$5)),[1]!S_STM07_CS(D31,49,$G$5,$H$13)/$E$5))</f>
        <v>1.724638872972984</v>
      </c>
      <c r="P31" s="250">
        <f ca="1">IF(C31="","",IF($P$11="CFPS",[1]!S_STM07_CS(D31,84,$G$5,$H$13)/IF([1]!S_SHARE_TOTAL(D31,$G$5)=0,[1]!S_SHARE_TOTAL(D31,[1]!s_ipo_listeddate(D31)),[1]!S_SHARE_TOTAL(D31,$G$5)),[1]!S_STM07_CS(D31,84,$G$5,$H$13)/$E$5))</f>
        <v>0.35037810772104311</v>
      </c>
      <c r="Q31" s="198">
        <f ca="1">IF(C31="","",F31/([1]!S_STM07_IS(D31,61,$G$5,$H$13)/IF([1]!S_SHARE_TOTAL(D31,$G$5)=0,[1]!S_SHARE_TOTAL(D31,[1]!s_ipo_listeddate(D31)),[1]!S_SHARE_TOTAL(D31,$G$5))))</f>
        <v>-503.59592595465426</v>
      </c>
      <c r="R31" s="198">
        <f ca="1">IF(C31="","",F31/([1]!S_STM07_BS(D31,141,$G$5,$H$13)/IF([1]!S_SHARE_TOTAL(D31,$G$5)=0,[1]!S_SHARE_TOTAL(D31,[1]!s_ipo_listeddate(D31)),[1]!S_SHARE_TOTAL(D31,$G$5))))</f>
        <v>17.725449935674082</v>
      </c>
      <c r="S31" s="249">
        <f ca="1">IF(C31="","",[1]!S_SHARE_TOTAL(D31,TODAY())/$E$5)</f>
        <v>13031.118202</v>
      </c>
      <c r="T31" s="249">
        <f t="shared" ca="1" si="3"/>
        <v>398361.28343513998</v>
      </c>
      <c r="U31" s="172">
        <f t="shared" ca="1" si="4"/>
        <v>398361.28343513998</v>
      </c>
      <c r="V31" s="343">
        <f t="shared" ca="1" si="5"/>
        <v>3</v>
      </c>
      <c r="W31" s="139"/>
      <c r="Y31" s="1"/>
    </row>
    <row r="32" spans="3:26" ht="12" customHeight="1">
      <c r="C32" s="342">
        <f t="shared" ca="1" si="0"/>
        <v>19</v>
      </c>
      <c r="D32" s="153" t="str">
        <f t="shared" ca="1" si="1"/>
        <v>002501.SZ</v>
      </c>
      <c r="E32" s="153" t="str">
        <f t="shared" ca="1" si="2"/>
        <v>利源股份</v>
      </c>
      <c r="F32" s="170">
        <f ca="1">IF(C32="","",[1]!S_DQ_CLOSE(D32,TODAY(),1))</f>
        <v>2</v>
      </c>
      <c r="G32" s="171">
        <f ca="1">IF(C32="","",[1]!s_pq_pctchange(D32,TODAY()-$G$12,TODAY())/100)</f>
        <v>-3.3816425120772875E-2</v>
      </c>
      <c r="H32" s="247">
        <f ca="1">IF(C32="","",IF($H$11="收入",[1]!S_STM07_IS(D32,9,$G$5,$H$13)/$E$5,[1]!S_STM07_IS(D32,48,$G$5,$H$13)/$E$5))</f>
        <v>333.55929622000002</v>
      </c>
      <c r="I32" s="247">
        <f ca="1">IF(C32="","",IF($I$11="毛利率",([1]!S_STM07_IS(D32,9,$G$5,$H$13)-[1]!S_STM07_IS(D32,10,$G$5,$H$13))/[1]!S_STM07_IS(D32,9,$G$5,$H$13),[1]!S_STM07_IS(D32,14,$G$5,$H$13)/$E$5))</f>
        <v>-0.13394762090675322</v>
      </c>
      <c r="J32" s="247">
        <f ca="1">IF(C32="","",IF($J$11="营业利润率",[1]!S_STM07_IS(D32,48,$G$5,$H$13)/[1]!S_STM07_IS(D32,9,$G$5,$H$13),([1]!S_STM07_CS(D32,87,$G$5,$H$13)+[1]!S_STM07_CS(D32,88,$G$5,$H$13)+[1]!S_STM07_CS(D32,89,$G$5,$H$13))/$E$5))</f>
        <v>-1.9010228806867815</v>
      </c>
      <c r="K32" s="247">
        <f ca="1">IF(C32="","",IF($K$11="净利润率",[1]!S_STM07_IS(D32,61,$G$5,$H$13)/[1]!S_STM07_IS(D32,9,$G$5,$H$13),[1]!S_STM07_IS(D32,55,$G$5,$H$13)/$E$5))</f>
        <v>-2.1528444462431477</v>
      </c>
      <c r="L32" s="247">
        <f ca="1">IF(C32="","",IF($L$11="ROA",[1]!S_STM07_IS(D32,61,$G$5,$H$13)/[1]!S_STM07_BS(D32,74,$G$5,$H$13),1-[1]!S_STM07_IS(D32,61,$G$5,$H$13)/[1]!S_STM07_IS(D32,55,$G$5,$H$13)))</f>
        <v>-0.77152880556659331</v>
      </c>
      <c r="M32" s="247">
        <f ca="1">IF(C32="","",IF($M$11="ROE",[1]!S_STM07_IS(D32,61,$G$5,$H$13)/[1]!S_STM07_BS(D32,141,$G$5,$H$13),([1]!S_STM07_BS(D32,25,$G$5,$H$13)-[1]!S_STM07_BS(D32,93,$G$5,$H$13))/$E$5))</f>
        <v>-1.9579979988726754</v>
      </c>
      <c r="N32" s="247">
        <f ca="1">IF(C32="","",IF($N$11="EPS",[1]!S_STM07_IS(D32,61,$G$5,$H$13)/IF([1]!S_SHARE_TOTAL(D32,$G$5)=0,[1]!S_SHARE_TOTAL(D32,[1]!s_ipo_listeddate(D32)),[1]!S_SHARE_TOTAL(D32,$G$5)),([1]!S_STM07_BS(D32,75,$G$5,$H$13)+[1]!S_STM07_BS(D32,88,$G$5,$H$13)+[1]!S_STM07_BS(D32,94,$G$5,$H$13)+[1]!S_STM07_BS(D32,95,$G$5,$H$13))/$E$5))</f>
        <v>-0.20228205024225351</v>
      </c>
      <c r="O32" s="247">
        <f ca="1">IF(C32="","",IF($O$11="BPS",[1]!S_STM07_BS(D32,141,$G$5,$H$13)/IF([1]!S_SHARE_TOTAL(D32,$G$5)=0,[1]!S_SHARE_TOTAL(D32,[1]!s_ipo_listeddate(D32)),[1]!S_SHARE_TOTAL(D32,$G$5)),[1]!S_STM07_CS(D32,49,$G$5,$H$13)/$E$5))</f>
        <v>0.10331065218591549</v>
      </c>
      <c r="P32" s="247">
        <f ca="1">IF(C32="","",IF($P$11="CFPS",[1]!S_STM07_CS(D32,84,$G$5,$H$13)/IF([1]!S_SHARE_TOTAL(D32,$G$5)=0,[1]!S_SHARE_TOTAL(D32,[1]!s_ipo_listeddate(D32)),[1]!S_SHARE_TOTAL(D32,$G$5)),[1]!S_STM07_CS(D32,84,$G$5,$H$13)/$E$5))</f>
        <v>6.3735957633802819E-3</v>
      </c>
      <c r="Q32" s="248">
        <f ca="1">IF(C32="","",F32/([1]!S_STM07_IS(D32,61,$G$5,$H$13)/IF([1]!S_SHARE_TOTAL(D32,$G$5)=0,[1]!S_SHARE_TOTAL(D32,[1]!s_ipo_listeddate(D32)),[1]!S_SHARE_TOTAL(D32,$G$5))))</f>
        <v>-9.8871847383630662</v>
      </c>
      <c r="R32" s="248">
        <f ca="1">IF(C32="","",F32/([1]!S_STM07_BS(D32,141,$G$5,$H$13)/IF([1]!S_SHARE_TOTAL(D32,$G$5)=0,[1]!S_SHARE_TOTAL(D32,[1]!s_ipo_listeddate(D32)),[1]!S_SHARE_TOTAL(D32,$G$5))))</f>
        <v>19.359087932199341</v>
      </c>
      <c r="S32" s="247">
        <f ca="1">IF(C32="","",[1]!S_SHARE_TOTAL(D32,TODAY())/$E$5)</f>
        <v>3550</v>
      </c>
      <c r="T32" s="247">
        <f t="shared" ca="1" si="3"/>
        <v>7100</v>
      </c>
      <c r="U32" s="218">
        <f t="shared" ca="1" si="4"/>
        <v>7100</v>
      </c>
      <c r="V32" s="342">
        <f t="shared" ca="1" si="5"/>
        <v>46</v>
      </c>
      <c r="W32" s="139"/>
      <c r="Y32" s="1"/>
    </row>
    <row r="33" spans="3:25" ht="12" customHeight="1">
      <c r="C33" s="343">
        <f t="shared" ca="1" si="0"/>
        <v>20</v>
      </c>
      <c r="D33" s="124" t="str">
        <f t="shared" ca="1" si="1"/>
        <v>002532.SZ</v>
      </c>
      <c r="E33" s="124" t="str">
        <f t="shared" ca="1" si="2"/>
        <v>天山铝业</v>
      </c>
      <c r="F33" s="172">
        <f ca="1">IF(C33="","",[1]!S_DQ_CLOSE(D33,TODAY(),1))</f>
        <v>18.309999999999999</v>
      </c>
      <c r="G33" s="173">
        <f ca="1">IF(C33="","",[1]!s_pq_pctchange(D33,TODAY()-$G$12,TODAY())/100)</f>
        <v>6.9509345794392274E-2</v>
      </c>
      <c r="H33" s="249">
        <f ca="1">IF(C33="","",IF($H$11="收入",[1]!S_STM07_IS(D33,9,$G$5,$H$13)/$E$5,[1]!S_STM07_IS(D33,48,$G$5,$H$13)/$E$5))</f>
        <v>28089.427344569998</v>
      </c>
      <c r="I33" s="249">
        <f ca="1">IF(C33="","",IF($I$11="毛利率",([1]!S_STM07_IS(D33,9,$G$5,$H$13)-[1]!S_STM07_IS(D33,10,$G$5,$H$13))/[1]!S_STM07_IS(D33,9,$G$5,$H$13),[1]!S_STM07_IS(D33,14,$G$5,$H$13)/$E$5))</f>
        <v>0.23266968101303764</v>
      </c>
      <c r="J33" s="249">
        <f ca="1">IF(C33="","",IF($J$11="营业利润率",[1]!S_STM07_IS(D33,48,$G$5,$H$13)/[1]!S_STM07_IS(D33,9,$G$5,$H$13),([1]!S_STM07_CS(D33,87,$G$5,$H$13)+[1]!S_STM07_CS(D33,88,$G$5,$H$13)+[1]!S_STM07_CS(D33,89,$G$5,$H$13))/$E$5))</f>
        <v>0.18580663390736335</v>
      </c>
      <c r="K33" s="249">
        <f ca="1">IF(C33="","",IF($K$11="净利润率",[1]!S_STM07_IS(D33,61,$G$5,$H$13)/[1]!S_STM07_IS(D33,9,$G$5,$H$13),[1]!S_STM07_IS(D33,55,$G$5,$H$13)/$E$5))</f>
        <v>0.15861512176115189</v>
      </c>
      <c r="L33" s="249">
        <f ca="1">IF(C33="","",IF($L$11="ROA",[1]!S_STM07_IS(D33,61,$G$5,$H$13)/[1]!S_STM07_BS(D33,74,$G$5,$H$13),1-[1]!S_STM07_IS(D33,61,$G$5,$H$13)/[1]!S_STM07_IS(D33,55,$G$5,$H$13)))</f>
        <v>7.8467506577935622E-2</v>
      </c>
      <c r="M33" s="249">
        <f ca="1">IF(C33="","",IF($M$11="ROE",[1]!S_STM07_IS(D33,61,$G$5,$H$13)/[1]!S_STM07_BS(D33,141,$G$5,$H$13),([1]!S_STM07_BS(D33,25,$G$5,$H$13)-[1]!S_STM07_BS(D33,93,$G$5,$H$13))/$E$5))</f>
        <v>0.16603656993561253</v>
      </c>
      <c r="N33" s="250">
        <f ca="1">IF(C33="","",IF($N$11="EPS",[1]!S_STM07_IS(D33,61,$G$5,$H$13)/IF([1]!S_SHARE_TOTAL(D33,$G$5)=0,[1]!S_SHARE_TOTAL(D33,[1]!s_ipo_listeddate(D33)),[1]!S_SHARE_TOTAL(D33,$G$5)),([1]!S_STM07_BS(D33,75,$G$5,$H$13)+[1]!S_STM07_BS(D33,88,$G$5,$H$13)+[1]!S_STM07_BS(D33,94,$G$5,$H$13)+[1]!S_STM07_BS(D33,95,$G$5,$H$13))/$E$5))</f>
        <v>0.957763904522141</v>
      </c>
      <c r="O33" s="250">
        <f ca="1">IF(C33="","",IF($O$11="BPS",[1]!S_STM07_BS(D33,141,$G$5,$H$13)/IF([1]!S_SHARE_TOTAL(D33,$G$5)=0,[1]!S_SHARE_TOTAL(D33,[1]!s_ipo_listeddate(D33)),[1]!S_SHARE_TOTAL(D33,$G$5)),[1]!S_STM07_CS(D33,49,$G$5,$H$13)/$E$5))</f>
        <v>5.7683912941200424</v>
      </c>
      <c r="P33" s="250">
        <f ca="1">IF(C33="","",IF($P$11="CFPS",[1]!S_STM07_CS(D33,84,$G$5,$H$13)/IF([1]!S_SHARE_TOTAL(D33,$G$5)=0,[1]!S_SHARE_TOTAL(D33,[1]!s_ipo_listeddate(D33)),[1]!S_SHARE_TOTAL(D33,$G$5)),[1]!S_STM07_CS(D33,84,$G$5,$H$13)/$E$5))</f>
        <v>0.30267559166222496</v>
      </c>
      <c r="Q33" s="198">
        <f ca="1">IF(C33="","",F33/([1]!S_STM07_IS(D33,61,$G$5,$H$13)/IF([1]!S_SHARE_TOTAL(D33,$G$5)=0,[1]!S_SHARE_TOTAL(D33,[1]!s_ipo_listeddate(D33)),[1]!S_SHARE_TOTAL(D33,$G$5))))</f>
        <v>19.117446286656044</v>
      </c>
      <c r="R33" s="198">
        <f ca="1">IF(C33="","",F33/([1]!S_STM07_BS(D33,141,$G$5,$H$13)/IF([1]!S_SHARE_TOTAL(D33,$G$5)=0,[1]!S_SHARE_TOTAL(D33,[1]!s_ipo_listeddate(D33)),[1]!S_SHARE_TOTAL(D33,$G$5))))</f>
        <v>3.1741952073646829</v>
      </c>
      <c r="S33" s="249">
        <f ca="1">IF(C33="","",[1]!S_SHARE_TOTAL(D33,TODAY())/$E$5)</f>
        <v>4628.7374149999996</v>
      </c>
      <c r="T33" s="249">
        <f t="shared" ca="1" si="3"/>
        <v>84752.182068649985</v>
      </c>
      <c r="U33" s="172">
        <f t="shared" ca="1" si="4"/>
        <v>84752.182068649985</v>
      </c>
      <c r="V33" s="343">
        <f t="shared" ca="1" si="5"/>
        <v>10</v>
      </c>
      <c r="W33" s="140"/>
      <c r="Y33" s="1"/>
    </row>
    <row r="34" spans="3:25" ht="12" customHeight="1">
      <c r="C34" s="342">
        <f t="shared" ca="1" si="0"/>
        <v>21</v>
      </c>
      <c r="D34" s="153" t="str">
        <f t="shared" ca="1" si="1"/>
        <v>002540.SZ</v>
      </c>
      <c r="E34" s="153" t="str">
        <f t="shared" ca="1" si="2"/>
        <v>亚太科技</v>
      </c>
      <c r="F34" s="170">
        <f ca="1">IF(C34="","",[1]!S_DQ_CLOSE(D34,TODAY(),1))</f>
        <v>7.17</v>
      </c>
      <c r="G34" s="171">
        <f ca="1">IF(C34="","",[1]!s_pq_pctchange(D34,TODAY()-$G$12,TODAY())/100)</f>
        <v>-5.5478502080443803E-3</v>
      </c>
      <c r="H34" s="247">
        <f ca="1">IF(C34="","",IF($H$11="收入",[1]!S_STM07_IS(D34,9,$G$5,$H$13)/$E$5,[1]!S_STM07_IS(D34,48,$G$5,$H$13)/$E$5))</f>
        <v>7432.57610561</v>
      </c>
      <c r="I34" s="247">
        <f ca="1">IF(C34="","",IF($I$11="毛利率",([1]!S_STM07_IS(D34,9,$G$5,$H$13)-[1]!S_STM07_IS(D34,10,$G$5,$H$13))/[1]!S_STM07_IS(D34,9,$G$5,$H$13),[1]!S_STM07_IS(D34,14,$G$5,$H$13)/$E$5))</f>
        <v>0.13220910059007762</v>
      </c>
      <c r="J34" s="247">
        <f ca="1">IF(C34="","",IF($J$11="营业利润率",[1]!S_STM07_IS(D34,48,$G$5,$H$13)/[1]!S_STM07_IS(D34,9,$G$5,$H$13),([1]!S_STM07_CS(D34,87,$G$5,$H$13)+[1]!S_STM07_CS(D34,88,$G$5,$H$13)+[1]!S_STM07_CS(D34,89,$G$5,$H$13))/$E$5))</f>
        <v>6.8363736832304942E-2</v>
      </c>
      <c r="K34" s="247">
        <f ca="1">IF(C34="","",IF($K$11="净利润率",[1]!S_STM07_IS(D34,61,$G$5,$H$13)/[1]!S_STM07_IS(D34,9,$G$5,$H$13),[1]!S_STM07_IS(D34,55,$G$5,$H$13)/$E$5))</f>
        <v>6.2277642579484982E-2</v>
      </c>
      <c r="L34" s="247">
        <f ca="1">IF(C34="","",IF($L$11="ROA",[1]!S_STM07_IS(D34,61,$G$5,$H$13)/[1]!S_STM07_BS(D34,74,$G$5,$H$13),1-[1]!S_STM07_IS(D34,61,$G$5,$H$13)/[1]!S_STM07_IS(D34,55,$G$5,$H$13)))</f>
        <v>5.7372585549793548E-2</v>
      </c>
      <c r="M34" s="247">
        <f ca="1">IF(C34="","",IF($M$11="ROE",[1]!S_STM07_IS(D34,61,$G$5,$H$13)/[1]!S_STM07_BS(D34,141,$G$5,$H$13),([1]!S_STM07_BS(D34,25,$G$5,$H$13)-[1]!S_STM07_BS(D34,93,$G$5,$H$13))/$E$5))</f>
        <v>8.3184958765023395E-2</v>
      </c>
      <c r="N34" s="247">
        <f ca="1">IF(C34="","",IF($N$11="EPS",[1]!S_STM07_IS(D34,61,$G$5,$H$13)/IF([1]!S_SHARE_TOTAL(D34,$G$5)=0,[1]!S_SHARE_TOTAL(D34,[1]!s_ipo_listeddate(D34)),[1]!S_SHARE_TOTAL(D34,$G$5)),([1]!S_STM07_BS(D34,75,$G$5,$H$13)+[1]!S_STM07_BS(D34,88,$G$5,$H$13)+[1]!S_STM07_BS(D34,94,$G$5,$H$13)+[1]!S_STM07_BS(D34,95,$G$5,$H$13))/$E$5))</f>
        <v>0.36992613636256017</v>
      </c>
      <c r="O34" s="247">
        <f ca="1">IF(C34="","",IF($O$11="BPS",[1]!S_STM07_BS(D34,141,$G$5,$H$13)/IF([1]!S_SHARE_TOTAL(D34,$G$5)=0,[1]!S_SHARE_TOTAL(D34,[1]!s_ipo_listeddate(D34)),[1]!S_SHARE_TOTAL(D34,$G$5)),[1]!S_STM07_CS(D34,49,$G$5,$H$13)/$E$5))</f>
        <v>4.4470315529939555</v>
      </c>
      <c r="P34" s="247">
        <f ca="1">IF(C34="","",IF($P$11="CFPS",[1]!S_STM07_CS(D34,84,$G$5,$H$13)/IF([1]!S_SHARE_TOTAL(D34,$G$5)=0,[1]!S_SHARE_TOTAL(D34,[1]!s_ipo_listeddate(D34)),[1]!S_SHARE_TOTAL(D34,$G$5)),[1]!S_STM07_CS(D34,84,$G$5,$H$13)/$E$5))</f>
        <v>0.65111501222185619</v>
      </c>
      <c r="Q34" s="248">
        <f ca="1">IF(C34="","",F34/([1]!S_STM07_IS(D34,61,$G$5,$H$13)/IF([1]!S_SHARE_TOTAL(D34,$G$5)=0,[1]!S_SHARE_TOTAL(D34,[1]!s_ipo_listeddate(D34)),[1]!S_SHARE_TOTAL(D34,$G$5))))</f>
        <v>19.382247684637154</v>
      </c>
      <c r="R34" s="248">
        <f ca="1">IF(C34="","",F34/([1]!S_STM07_BS(D34,141,$G$5,$H$13)/IF([1]!S_SHARE_TOTAL(D34,$G$5)=0,[1]!S_SHARE_TOTAL(D34,[1]!s_ipo_listeddate(D34)),[1]!S_SHARE_TOTAL(D34,$G$5))))</f>
        <v>1.612311474420012</v>
      </c>
      <c r="S34" s="247">
        <f ca="1">IF(C34="","",[1]!S_SHARE_TOTAL(D34,TODAY())/$E$5)</f>
        <v>1251.1409630000001</v>
      </c>
      <c r="T34" s="247">
        <f t="shared" ca="1" si="3"/>
        <v>8970.680704710001</v>
      </c>
      <c r="U34" s="218">
        <f t="shared" ca="1" si="4"/>
        <v>8970.680704710001</v>
      </c>
      <c r="V34" s="342">
        <f t="shared" ca="1" si="5"/>
        <v>43</v>
      </c>
      <c r="W34" s="139"/>
      <c r="Y34" s="1"/>
    </row>
    <row r="35" spans="3:25" ht="12" customHeight="1">
      <c r="C35" s="343">
        <f t="shared" ca="1" si="0"/>
        <v>22</v>
      </c>
      <c r="D35" s="124" t="str">
        <f t="shared" ca="1" si="1"/>
        <v>002578.SZ</v>
      </c>
      <c r="E35" s="124" t="str">
        <f t="shared" ca="1" si="2"/>
        <v>闽发铝业</v>
      </c>
      <c r="F35" s="172">
        <f ca="1">IF(C35="","",[1]!S_DQ_CLOSE(D35,TODAY(),1))</f>
        <v>4.43</v>
      </c>
      <c r="G35" s="173">
        <f ca="1">IF(C35="","",[1]!s_pq_pctchange(D35,TODAY()-$G$12,TODAY())/100)</f>
        <v>6.7469879518072151E-2</v>
      </c>
      <c r="H35" s="249">
        <f ca="1">IF(C35="","",IF($H$11="收入",[1]!S_STM07_IS(D35,9,$G$5,$H$13)/$E$5,[1]!S_STM07_IS(D35,48,$G$5,$H$13)/$E$5))</f>
        <v>2229.0732092899998</v>
      </c>
      <c r="I35" s="249">
        <f ca="1">IF(C35="","",IF($I$11="毛利率",([1]!S_STM07_IS(D35,9,$G$5,$H$13)-[1]!S_STM07_IS(D35,10,$G$5,$H$13))/[1]!S_STM07_IS(D35,9,$G$5,$H$13),[1]!S_STM07_IS(D35,14,$G$5,$H$13)/$E$5))</f>
        <v>6.0777398954587038E-2</v>
      </c>
      <c r="J35" s="249">
        <f ca="1">IF(C35="","",IF($J$11="营业利润率",[1]!S_STM07_IS(D35,48,$G$5,$H$13)/[1]!S_STM07_IS(D35,9,$G$5,$H$13),([1]!S_STM07_CS(D35,87,$G$5,$H$13)+[1]!S_STM07_CS(D35,88,$G$5,$H$13)+[1]!S_STM07_CS(D35,89,$G$5,$H$13))/$E$5))</f>
        <v>1.1839329309603934E-2</v>
      </c>
      <c r="K35" s="249">
        <f ca="1">IF(C35="","",IF($K$11="净利润率",[1]!S_STM07_IS(D35,61,$G$5,$H$13)/[1]!S_STM07_IS(D35,9,$G$5,$H$13),[1]!S_STM07_IS(D35,55,$G$5,$H$13)/$E$5))</f>
        <v>9.3196185228106212E-3</v>
      </c>
      <c r="L35" s="249">
        <f ca="1">IF(C35="","",IF($L$11="ROA",[1]!S_STM07_IS(D35,61,$G$5,$H$13)/[1]!S_STM07_BS(D35,74,$G$5,$H$13),1-[1]!S_STM07_IS(D35,61,$G$5,$H$13)/[1]!S_STM07_IS(D35,55,$G$5,$H$13)))</f>
        <v>8.9030080169842946E-3</v>
      </c>
      <c r="M35" s="249">
        <f ca="1">IF(C35="","",IF($M$11="ROE",[1]!S_STM07_IS(D35,61,$G$5,$H$13)/[1]!S_STM07_BS(D35,141,$G$5,$H$13),([1]!S_STM07_BS(D35,25,$G$5,$H$13)-[1]!S_STM07_BS(D35,93,$G$5,$H$13))/$E$5))</f>
        <v>1.3606930731230924E-2</v>
      </c>
      <c r="N35" s="250">
        <f ca="1">IF(C35="","",IF($N$11="EPS",[1]!S_STM07_IS(D35,61,$G$5,$H$13)/IF([1]!S_SHARE_TOTAL(D35,$G$5)=0,[1]!S_SHARE_TOTAL(D35,[1]!s_ipo_listeddate(D35)),[1]!S_SHARE_TOTAL(D35,$G$5)),([1]!S_STM07_BS(D35,75,$G$5,$H$13)+[1]!S_STM07_BS(D35,88,$G$5,$H$13)+[1]!S_STM07_BS(D35,94,$G$5,$H$13)+[1]!S_STM07_BS(D35,95,$G$5,$H$13))/$E$5))</f>
        <v>2.2132371562570984E-2</v>
      </c>
      <c r="O35" s="250">
        <f ca="1">IF(C35="","",IF($O$11="BPS",[1]!S_STM07_BS(D35,141,$G$5,$H$13)/IF([1]!S_SHARE_TOTAL(D35,$G$5)=0,[1]!S_SHARE_TOTAL(D35,[1]!s_ipo_listeddate(D35)),[1]!S_SHARE_TOTAL(D35,$G$5)),[1]!S_STM07_CS(D35,49,$G$5,$H$13)/$E$5))</f>
        <v>1.6265513509062175</v>
      </c>
      <c r="P35" s="250">
        <f ca="1">IF(C35="","",IF($P$11="CFPS",[1]!S_STM07_CS(D35,84,$G$5,$H$13)/IF([1]!S_SHARE_TOTAL(D35,$G$5)=0,[1]!S_SHARE_TOTAL(D35,[1]!s_ipo_listeddate(D35)),[1]!S_SHARE_TOTAL(D35,$G$5)),[1]!S_STM07_CS(D35,84,$G$5,$H$13)/$E$5))</f>
        <v>0.20504482095905496</v>
      </c>
      <c r="Q35" s="198">
        <f ca="1">IF(C35="","",F35/([1]!S_STM07_IS(D35,61,$G$5,$H$13)/IF([1]!S_SHARE_TOTAL(D35,$G$5)=0,[1]!S_SHARE_TOTAL(D35,[1]!s_ipo_listeddate(D35)),[1]!S_SHARE_TOTAL(D35,$G$5))))</f>
        <v>200.15930003144197</v>
      </c>
      <c r="R35" s="198">
        <f ca="1">IF(C35="","",F35/([1]!S_STM07_BS(D35,141,$G$5,$H$13)/IF([1]!S_SHARE_TOTAL(D35,$G$5)=0,[1]!S_SHARE_TOTAL(D35,[1]!s_ipo_listeddate(D35)),[1]!S_SHARE_TOTAL(D35,$G$5))))</f>
        <v>2.7235537307394986</v>
      </c>
      <c r="S35" s="249">
        <f ca="1">IF(C35="","",[1]!S_SHARE_TOTAL(D35,TODAY())/$E$5)</f>
        <v>938.63018299999999</v>
      </c>
      <c r="T35" s="249">
        <f t="shared" ca="1" si="3"/>
        <v>4158.1317106899996</v>
      </c>
      <c r="U35" s="172">
        <f t="shared" ca="1" si="4"/>
        <v>4158.1317106899996</v>
      </c>
      <c r="V35" s="343">
        <f t="shared" ca="1" si="5"/>
        <v>53</v>
      </c>
      <c r="W35" s="139"/>
      <c r="Y35" s="1"/>
    </row>
    <row r="36" spans="3:25" ht="12" customHeight="1">
      <c r="C36" s="342">
        <f t="shared" ca="1" si="0"/>
        <v>23</v>
      </c>
      <c r="D36" s="153" t="str">
        <f t="shared" ca="1" si="1"/>
        <v>002824.SZ</v>
      </c>
      <c r="E36" s="153" t="str">
        <f t="shared" ca="1" si="2"/>
        <v>和胜股份</v>
      </c>
      <c r="F36" s="170">
        <f ca="1">IF(C36="","",[1]!S_DQ_CLOSE(D36,TODAY(),1))</f>
        <v>19.920000000000002</v>
      </c>
      <c r="G36" s="171">
        <f ca="1">IF(C36="","",[1]!s_pq_pctchange(D36,TODAY()-$G$12,TODAY())/100)</f>
        <v>-0.11466666666666668</v>
      </c>
      <c r="H36" s="247">
        <f ca="1">IF(C36="","",IF($H$11="收入",[1]!S_STM07_IS(D36,9,$G$5,$H$13)/$E$5,[1]!S_STM07_IS(D36,48,$G$5,$H$13)/$E$5))</f>
        <v>3333.0748677399997</v>
      </c>
      <c r="I36" s="247">
        <f ca="1">IF(C36="","",IF($I$11="毛利率",([1]!S_STM07_IS(D36,9,$G$5,$H$13)-[1]!S_STM07_IS(D36,10,$G$5,$H$13))/[1]!S_STM07_IS(D36,9,$G$5,$H$13),[1]!S_STM07_IS(D36,14,$G$5,$H$13)/$E$5))</f>
        <v>0.12798865300294146</v>
      </c>
      <c r="J36" s="247">
        <f ca="1">IF(C36="","",IF($J$11="营业利润率",[1]!S_STM07_IS(D36,48,$G$5,$H$13)/[1]!S_STM07_IS(D36,9,$G$5,$H$13),([1]!S_STM07_CS(D36,87,$G$5,$H$13)+[1]!S_STM07_CS(D36,88,$G$5,$H$13)+[1]!S_STM07_CS(D36,89,$G$5,$H$13))/$E$5))</f>
        <v>2.4056903256532189E-2</v>
      </c>
      <c r="K36" s="247">
        <f ca="1">IF(C36="","",IF($K$11="净利润率",[1]!S_STM07_IS(D36,61,$G$5,$H$13)/[1]!S_STM07_IS(D36,9,$G$5,$H$13),[1]!S_STM07_IS(D36,55,$G$5,$H$13)/$E$5))</f>
        <v>2.4141551181105007E-2</v>
      </c>
      <c r="L36" s="247">
        <f ca="1">IF(C36="","",IF($L$11="ROA",[1]!S_STM07_IS(D36,61,$G$5,$H$13)/[1]!S_STM07_BS(D36,74,$G$5,$H$13),1-[1]!S_STM07_IS(D36,61,$G$5,$H$13)/[1]!S_STM07_IS(D36,55,$G$5,$H$13)))</f>
        <v>2.0117454177165053E-2</v>
      </c>
      <c r="M36" s="247">
        <f ca="1">IF(C36="","",IF($M$11="ROE",[1]!S_STM07_IS(D36,61,$G$5,$H$13)/[1]!S_STM07_BS(D36,141,$G$5,$H$13),([1]!S_STM07_BS(D36,25,$G$5,$H$13)-[1]!S_STM07_BS(D36,93,$G$5,$H$13))/$E$5))</f>
        <v>4.6097718514485103E-2</v>
      </c>
      <c r="N36" s="247">
        <f ca="1">IF(C36="","",IF($N$11="EPS",[1]!S_STM07_IS(D36,61,$G$5,$H$13)/IF([1]!S_SHARE_TOTAL(D36,$G$5)=0,[1]!S_SHARE_TOTAL(D36,[1]!s_ipo_listeddate(D36)),[1]!S_SHARE_TOTAL(D36,$G$5)),([1]!S_STM07_BS(D36,75,$G$5,$H$13)+[1]!S_STM07_BS(D36,88,$G$5,$H$13)+[1]!S_STM07_BS(D36,94,$G$5,$H$13)+[1]!S_STM07_BS(D36,95,$G$5,$H$13))/$E$5))</f>
        <v>0.28828928021728867</v>
      </c>
      <c r="O36" s="247">
        <f ca="1">IF(C36="","",IF($O$11="BPS",[1]!S_STM07_BS(D36,141,$G$5,$H$13)/IF([1]!S_SHARE_TOTAL(D36,$G$5)=0,[1]!S_SHARE_TOTAL(D36,[1]!s_ipo_listeddate(D36)),[1]!S_SHARE_TOTAL(D36,$G$5)),[1]!S_STM07_CS(D36,49,$G$5,$H$13)/$E$5))</f>
        <v>6.2538730659023969</v>
      </c>
      <c r="P36" s="247">
        <f ca="1">IF(C36="","",IF($P$11="CFPS",[1]!S_STM07_CS(D36,84,$G$5,$H$13)/IF([1]!S_SHARE_TOTAL(D36,$G$5)=0,[1]!S_SHARE_TOTAL(D36,[1]!s_ipo_listeddate(D36)),[1]!S_SHARE_TOTAL(D36,$G$5)),[1]!S_STM07_CS(D36,84,$G$5,$H$13)/$E$5))</f>
        <v>0.93204963106107142</v>
      </c>
      <c r="Q36" s="248">
        <f ca="1">IF(C36="","",F36/([1]!S_STM07_IS(D36,61,$G$5,$H$13)/IF([1]!S_SHARE_TOTAL(D36,$G$5)=0,[1]!S_SHARE_TOTAL(D36,[1]!s_ipo_listeddate(D36)),[1]!S_SHARE_TOTAL(D36,$G$5))))</f>
        <v>69.09726225333786</v>
      </c>
      <c r="R36" s="248">
        <f ca="1">IF(C36="","",F36/([1]!S_STM07_BS(D36,141,$G$5,$H$13)/IF([1]!S_SHARE_TOTAL(D36,$G$5)=0,[1]!S_SHARE_TOTAL(D36,[1]!s_ipo_listeddate(D36)),[1]!S_SHARE_TOTAL(D36,$G$5))))</f>
        <v>3.1852261454759256</v>
      </c>
      <c r="S36" s="247">
        <f ca="1">IF(C36="","",[1]!S_SHARE_TOTAL(D36,TODAY())/$E$5)</f>
        <v>311.17883799999998</v>
      </c>
      <c r="T36" s="247">
        <f t="shared" ca="1" si="3"/>
        <v>6198.6824529599999</v>
      </c>
      <c r="U36" s="218">
        <f t="shared" ca="1" si="4"/>
        <v>6198.6824529599999</v>
      </c>
      <c r="V36" s="342">
        <f t="shared" ca="1" si="5"/>
        <v>48</v>
      </c>
      <c r="W36" s="139"/>
      <c r="Y36" s="1"/>
    </row>
    <row r="37" spans="3:25" ht="12" customHeight="1">
      <c r="C37" s="343">
        <f t="shared" ca="1" si="0"/>
        <v>24</v>
      </c>
      <c r="D37" s="124" t="str">
        <f t="shared" ca="1" si="1"/>
        <v>002988.SZ</v>
      </c>
      <c r="E37" s="124" t="str">
        <f t="shared" ca="1" si="2"/>
        <v>豪美新材</v>
      </c>
      <c r="F37" s="172">
        <f ca="1">IF(C37="","",[1]!S_DQ_CLOSE(D37,TODAY(),1))</f>
        <v>31.95</v>
      </c>
      <c r="G37" s="173">
        <f ca="1">IF(C37="","",[1]!s_pq_pctchange(D37,TODAY()-$G$12,TODAY())/100)</f>
        <v>-0.15139442231075684</v>
      </c>
      <c r="H37" s="249">
        <f ca="1">IF(C37="","",IF($H$11="收入",[1]!S_STM07_IS(D37,9,$G$5,$H$13)/$E$5,[1]!S_STM07_IS(D37,48,$G$5,$H$13)/$E$5))</f>
        <v>6671.7940078299998</v>
      </c>
      <c r="I37" s="249">
        <f ca="1">IF(C37="","",IF($I$11="毛利率",([1]!S_STM07_IS(D37,9,$G$5,$H$13)-[1]!S_STM07_IS(D37,10,$G$5,$H$13))/[1]!S_STM07_IS(D37,9,$G$5,$H$13),[1]!S_STM07_IS(D37,14,$G$5,$H$13)/$E$5))</f>
        <v>0.12017642872352152</v>
      </c>
      <c r="J37" s="249">
        <f ca="1">IF(C37="","",IF($J$11="营业利润率",[1]!S_STM07_IS(D37,48,$G$5,$H$13)/[1]!S_STM07_IS(D37,9,$G$5,$H$13),([1]!S_STM07_CS(D37,87,$G$5,$H$13)+[1]!S_STM07_CS(D37,88,$G$5,$H$13)+[1]!S_STM07_CS(D37,89,$G$5,$H$13))/$E$5))</f>
        <v>3.5630528187922617E-2</v>
      </c>
      <c r="K37" s="249">
        <f ca="1">IF(C37="","",IF($K$11="净利润率",[1]!S_STM07_IS(D37,61,$G$5,$H$13)/[1]!S_STM07_IS(D37,9,$G$5,$H$13),[1]!S_STM07_IS(D37,55,$G$5,$H$13)/$E$5))</f>
        <v>3.1386536953065911E-2</v>
      </c>
      <c r="L37" s="249">
        <f ca="1">IF(C37="","",IF($L$11="ROA",[1]!S_STM07_IS(D37,61,$G$5,$H$13)/[1]!S_STM07_BS(D37,74,$G$5,$H$13),1-[1]!S_STM07_IS(D37,61,$G$5,$H$13)/[1]!S_STM07_IS(D37,55,$G$5,$H$13)))</f>
        <v>3.2679852257145779E-2</v>
      </c>
      <c r="M37" s="249">
        <f ca="1">IF(C37="","",IF($M$11="ROE",[1]!S_STM07_IS(D37,61,$G$5,$H$13)/[1]!S_STM07_BS(D37,141,$G$5,$H$13),([1]!S_STM07_BS(D37,25,$G$5,$H$13)-[1]!S_STM07_BS(D37,93,$G$5,$H$13))/$E$5))</f>
        <v>7.9383711659388817E-2</v>
      </c>
      <c r="N37" s="250">
        <f ca="1">IF(C37="","",IF($N$11="EPS",[1]!S_STM07_IS(D37,61,$G$5,$H$13)/IF([1]!S_SHARE_TOTAL(D37,$G$5)=0,[1]!S_SHARE_TOTAL(D37,[1]!s_ipo_listeddate(D37)),[1]!S_SHARE_TOTAL(D37,$G$5)),([1]!S_STM07_BS(D37,75,$G$5,$H$13)+[1]!S_STM07_BS(D37,88,$G$5,$H$13)+[1]!S_STM07_BS(D37,94,$G$5,$H$13)+[1]!S_STM07_BS(D37,95,$G$5,$H$13))/$E$5))</f>
        <v>0.84450792417711362</v>
      </c>
      <c r="O37" s="250">
        <f ca="1">IF(C37="","",IF($O$11="BPS",[1]!S_STM07_BS(D37,141,$G$5,$H$13)/IF([1]!S_SHARE_TOTAL(D37,$G$5)=0,[1]!S_SHARE_TOTAL(D37,[1]!s_ipo_listeddate(D37)),[1]!S_SHARE_TOTAL(D37,$G$5)),[1]!S_STM07_CS(D37,49,$G$5,$H$13)/$E$5))</f>
        <v>10.638302323285643</v>
      </c>
      <c r="P37" s="250">
        <f ca="1">IF(C37="","",IF($P$11="CFPS",[1]!S_STM07_CS(D37,84,$G$5,$H$13)/IF([1]!S_SHARE_TOTAL(D37,$G$5)=0,[1]!S_SHARE_TOTAL(D37,[1]!s_ipo_listeddate(D37)),[1]!S_SHARE_TOTAL(D37,$G$5)),[1]!S_STM07_CS(D37,84,$G$5,$H$13)/$E$5))</f>
        <v>2.2182579220396752</v>
      </c>
      <c r="Q37" s="198">
        <f ca="1">IF(C37="","",F37/([1]!S_STM07_IS(D37,61,$G$5,$H$13)/IF([1]!S_SHARE_TOTAL(D37,$G$5)=0,[1]!S_SHARE_TOTAL(D37,[1]!s_ipo_listeddate(D37)),[1]!S_SHARE_TOTAL(D37,$G$5))))</f>
        <v>37.832682305653911</v>
      </c>
      <c r="R37" s="198">
        <f ca="1">IF(C37="","",F37/([1]!S_STM07_BS(D37,141,$G$5,$H$13)/IF([1]!S_SHARE_TOTAL(D37,$G$5)=0,[1]!S_SHARE_TOTAL(D37,[1]!s_ipo_listeddate(D37)),[1]!S_SHARE_TOTAL(D37,$G$5))))</f>
        <v>3.003298743453291</v>
      </c>
      <c r="S37" s="249">
        <f ca="1">IF(C37="","",[1]!S_SHARE_TOTAL(D37,TODAY())/$E$5)</f>
        <v>249.77142799999999</v>
      </c>
      <c r="T37" s="249">
        <f t="shared" ca="1" si="3"/>
        <v>7980.1971245999994</v>
      </c>
      <c r="U37" s="172">
        <f t="shared" ca="1" si="4"/>
        <v>7980.1971245999994</v>
      </c>
      <c r="V37" s="343">
        <f t="shared" ca="1" si="5"/>
        <v>44</v>
      </c>
      <c r="W37" s="139"/>
      <c r="Y37" s="1"/>
    </row>
    <row r="38" spans="3:25" ht="12" customHeight="1">
      <c r="C38" s="342">
        <f t="shared" ca="1" si="0"/>
        <v>25</v>
      </c>
      <c r="D38" s="153" t="str">
        <f t="shared" ca="1" si="1"/>
        <v>002996.SZ</v>
      </c>
      <c r="E38" s="153" t="str">
        <f t="shared" ca="1" si="2"/>
        <v>顺博合金</v>
      </c>
      <c r="F38" s="170">
        <f ca="1">IF(C38="","",[1]!S_DQ_CLOSE(D38,TODAY(),1))</f>
        <v>8.0500000000000007</v>
      </c>
      <c r="G38" s="171">
        <f ca="1">IF(C38="","",[1]!s_pq_pctchange(D38,TODAY()-$G$12,TODAY())/100)</f>
        <v>4.8177083333333481E-2</v>
      </c>
      <c r="H38" s="247">
        <f ca="1">IF(C38="","",IF($H$11="收入",[1]!S_STM07_IS(D38,9,$G$5,$H$13)/$E$5,[1]!S_STM07_IS(D38,48,$G$5,$H$13)/$E$5))</f>
        <v>13976.513430860001</v>
      </c>
      <c r="I38" s="247">
        <f ca="1">IF(C38="","",IF($I$11="毛利率",([1]!S_STM07_IS(D38,9,$G$5,$H$13)-[1]!S_STM07_IS(D38,10,$G$5,$H$13))/[1]!S_STM07_IS(D38,9,$G$5,$H$13),[1]!S_STM07_IS(D38,14,$G$5,$H$13)/$E$5))</f>
        <v>3.1456108162087514E-2</v>
      </c>
      <c r="J38" s="247">
        <f ca="1">IF(C38="","",IF($J$11="营业利润率",[1]!S_STM07_IS(D38,48,$G$5,$H$13)/[1]!S_STM07_IS(D38,9,$G$5,$H$13),([1]!S_STM07_CS(D38,87,$G$5,$H$13)+[1]!S_STM07_CS(D38,88,$G$5,$H$13)+[1]!S_STM07_CS(D38,89,$G$5,$H$13))/$E$5))</f>
        <v>1.4812242201470231E-2</v>
      </c>
      <c r="K38" s="247">
        <f ca="1">IF(C38="","",IF($K$11="净利润率",[1]!S_STM07_IS(D38,61,$G$5,$H$13)/[1]!S_STM07_IS(D38,9,$G$5,$H$13),[1]!S_STM07_IS(D38,55,$G$5,$H$13)/$E$5))</f>
        <v>4.6524098332296976E-3</v>
      </c>
      <c r="L38" s="247">
        <f ca="1">IF(C38="","",IF($L$11="ROA",[1]!S_STM07_IS(D38,61,$G$5,$H$13)/[1]!S_STM07_BS(D38,74,$G$5,$H$13),1-[1]!S_STM07_IS(D38,61,$G$5,$H$13)/[1]!S_STM07_IS(D38,55,$G$5,$H$13)))</f>
        <v>5.005190870442976E-3</v>
      </c>
      <c r="M38" s="247">
        <f ca="1">IF(C38="","",IF($M$11="ROE",[1]!S_STM07_IS(D38,61,$G$5,$H$13)/[1]!S_STM07_BS(D38,141,$G$5,$H$13),([1]!S_STM07_BS(D38,25,$G$5,$H$13)-[1]!S_STM07_BS(D38,93,$G$5,$H$13))/$E$5))</f>
        <v>2.0279892946784436E-2</v>
      </c>
      <c r="N38" s="247">
        <f ca="1">IF(C38="","",IF($N$11="EPS",[1]!S_STM07_IS(D38,61,$G$5,$H$13)/IF([1]!S_SHARE_TOTAL(D38,$G$5)=0,[1]!S_SHARE_TOTAL(D38,[1]!s_ipo_listeddate(D38)),[1]!S_SHARE_TOTAL(D38,$G$5)),([1]!S_STM07_BS(D38,75,$G$5,$H$13)+[1]!S_STM07_BS(D38,88,$G$5,$H$13)+[1]!S_STM07_BS(D38,94,$G$5,$H$13)+[1]!S_STM07_BS(D38,95,$G$5,$H$13))/$E$5))</f>
        <v>9.7133151349606761E-2</v>
      </c>
      <c r="O38" s="247">
        <f ca="1">IF(C38="","",IF($O$11="BPS",[1]!S_STM07_BS(D38,141,$G$5,$H$13)/IF([1]!S_SHARE_TOTAL(D38,$G$5)=0,[1]!S_SHARE_TOTAL(D38,[1]!s_ipo_listeddate(D38)),[1]!S_SHARE_TOTAL(D38,$G$5)),[1]!S_STM07_CS(D38,49,$G$5,$H$13)/$E$5))</f>
        <v>4.7896284070379247</v>
      </c>
      <c r="P38" s="247">
        <f ca="1">IF(C38="","",IF($P$11="CFPS",[1]!S_STM07_CS(D38,84,$G$5,$H$13)/IF([1]!S_SHARE_TOTAL(D38,$G$5)=0,[1]!S_SHARE_TOTAL(D38,[1]!s_ipo_listeddate(D38)),[1]!S_SHARE_TOTAL(D38,$G$5)),[1]!S_STM07_CS(D38,84,$G$5,$H$13)/$E$5))</f>
        <v>1.2580659098415883</v>
      </c>
      <c r="Q38" s="248">
        <f ca="1">IF(C38="","",F38/([1]!S_STM07_IS(D38,61,$G$5,$H$13)/IF([1]!S_SHARE_TOTAL(D38,$G$5)=0,[1]!S_SHARE_TOTAL(D38,[1]!s_ipo_listeddate(D38)),[1]!S_SHARE_TOTAL(D38,$G$5))))</f>
        <v>82.875927406349831</v>
      </c>
      <c r="R38" s="248">
        <f ca="1">IF(C38="","",F38/([1]!S_STM07_BS(D38,141,$G$5,$H$13)/IF([1]!S_SHARE_TOTAL(D38,$G$5)=0,[1]!S_SHARE_TOTAL(D38,[1]!s_ipo_listeddate(D38)),[1]!S_SHARE_TOTAL(D38,$G$5))))</f>
        <v>1.6807149356662525</v>
      </c>
      <c r="S38" s="247">
        <f ca="1">IF(C38="","",[1]!S_SHARE_TOTAL(D38,TODAY())/$E$5)</f>
        <v>669.43683599999997</v>
      </c>
      <c r="T38" s="247">
        <f t="shared" ca="1" si="3"/>
        <v>5388.9665298</v>
      </c>
      <c r="U38" s="218">
        <f t="shared" ca="1" si="4"/>
        <v>5388.9665298</v>
      </c>
      <c r="V38" s="342">
        <f t="shared" ca="1" si="5"/>
        <v>51</v>
      </c>
      <c r="W38" s="140"/>
      <c r="Y38" s="1"/>
    </row>
    <row r="39" spans="3:25" ht="12" customHeight="1">
      <c r="C39" s="343">
        <f t="shared" ca="1" si="0"/>
        <v>26</v>
      </c>
      <c r="D39" s="124" t="str">
        <f t="shared" ca="1" si="1"/>
        <v>003038.SZ</v>
      </c>
      <c r="E39" s="124" t="str">
        <f t="shared" ca="1" si="2"/>
        <v>鑫铂股份</v>
      </c>
      <c r="F39" s="172">
        <f ca="1">IF(C39="","",[1]!S_DQ_CLOSE(D39,TODAY(),1))</f>
        <v>16.63</v>
      </c>
      <c r="G39" s="173">
        <f ca="1">IF(C39="","",[1]!s_pq_pctchange(D39,TODAY()-$G$12,TODAY())/100)</f>
        <v>-5.2421652421652531E-2</v>
      </c>
      <c r="H39" s="249">
        <f ca="1">IF(C39="","",IF($H$11="收入",[1]!S_STM07_IS(D39,9,$G$5,$H$13)/$E$5,[1]!S_STM07_IS(D39,48,$G$5,$H$13)/$E$5))</f>
        <v>8572.4394573699992</v>
      </c>
      <c r="I39" s="249">
        <f ca="1">IF(C39="","",IF($I$11="毛利率",([1]!S_STM07_IS(D39,9,$G$5,$H$13)-[1]!S_STM07_IS(D39,10,$G$5,$H$13))/[1]!S_STM07_IS(D39,9,$G$5,$H$13),[1]!S_STM07_IS(D39,14,$G$5,$H$13)/$E$5))</f>
        <v>7.4085561742170042E-2</v>
      </c>
      <c r="J39" s="249">
        <f ca="1">IF(C39="","",IF($J$11="营业利润率",[1]!S_STM07_IS(D39,48,$G$5,$H$13)/[1]!S_STM07_IS(D39,9,$G$5,$H$13),([1]!S_STM07_CS(D39,87,$G$5,$H$13)+[1]!S_STM07_CS(D39,88,$G$5,$H$13)+[1]!S_STM07_CS(D39,89,$G$5,$H$13))/$E$5))</f>
        <v>1.2537738456419993E-2</v>
      </c>
      <c r="K39" s="249">
        <f ca="1">IF(C39="","",IF($K$11="净利润率",[1]!S_STM07_IS(D39,61,$G$5,$H$13)/[1]!S_STM07_IS(D39,9,$G$5,$H$13),[1]!S_STM07_IS(D39,55,$G$5,$H$13)/$E$5))</f>
        <v>1.9640527059686531E-2</v>
      </c>
      <c r="L39" s="249">
        <f ca="1">IF(C39="","",IF($L$11="ROA",[1]!S_STM07_IS(D39,61,$G$5,$H$13)/[1]!S_STM07_BS(D39,74,$G$5,$H$13),1-[1]!S_STM07_IS(D39,61,$G$5,$H$13)/[1]!S_STM07_IS(D39,55,$G$5,$H$13)))</f>
        <v>1.6638743095098104E-2</v>
      </c>
      <c r="M39" s="249">
        <f ca="1">IF(C39="","",IF($M$11="ROE",[1]!S_STM07_IS(D39,61,$G$5,$H$13)/[1]!S_STM07_BS(D39,141,$G$5,$H$13),([1]!S_STM07_BS(D39,25,$G$5,$H$13)-[1]!S_STM07_BS(D39,93,$G$5,$H$13))/$E$5))</f>
        <v>5.5806642765812452E-2</v>
      </c>
      <c r="N39" s="250">
        <f ca="1">IF(C39="","",IF($N$11="EPS",[1]!S_STM07_IS(D39,61,$G$5,$H$13)/IF([1]!S_SHARE_TOTAL(D39,$G$5)=0,[1]!S_SHARE_TOTAL(D39,[1]!s_ipo_listeddate(D39)),[1]!S_SHARE_TOTAL(D39,$G$5)),([1]!S_STM07_BS(D39,75,$G$5,$H$13)+[1]!S_STM07_BS(D39,88,$G$5,$H$13)+[1]!S_STM07_BS(D39,94,$G$5,$H$13)+[1]!S_STM07_BS(D39,95,$G$5,$H$13))/$E$5))</f>
        <v>0.69089107531269567</v>
      </c>
      <c r="O39" s="250">
        <f ca="1">IF(C39="","",IF($O$11="BPS",[1]!S_STM07_BS(D39,141,$G$5,$H$13)/IF([1]!S_SHARE_TOTAL(D39,$G$5)=0,[1]!S_SHARE_TOTAL(D39,[1]!s_ipo_listeddate(D39)),[1]!S_SHARE_TOTAL(D39,$G$5)),[1]!S_STM07_CS(D39,49,$G$5,$H$13)/$E$5))</f>
        <v>12.380086689893851</v>
      </c>
      <c r="P39" s="250">
        <f ca="1">IF(C39="","",IF($P$11="CFPS",[1]!S_STM07_CS(D39,84,$G$5,$H$13)/IF([1]!S_SHARE_TOTAL(D39,$G$5)=0,[1]!S_SHARE_TOTAL(D39,[1]!s_ipo_listeddate(D39)),[1]!S_SHARE_TOTAL(D39,$G$5)),[1]!S_STM07_CS(D39,84,$G$5,$H$13)/$E$5))</f>
        <v>2.0712349671731061</v>
      </c>
      <c r="Q39" s="198">
        <f ca="1">IF(C39="","",F39/([1]!S_STM07_IS(D39,61,$G$5,$H$13)/IF([1]!S_SHARE_TOTAL(D39,$G$5)=0,[1]!S_SHARE_TOTAL(D39,[1]!s_ipo_listeddate(D39)),[1]!S_SHARE_TOTAL(D39,$G$5))))</f>
        <v>24.070364481800986</v>
      </c>
      <c r="R39" s="198">
        <f ca="1">IF(C39="","",F39/([1]!S_STM07_BS(D39,141,$G$5,$H$13)/IF([1]!S_SHARE_TOTAL(D39,$G$5)=0,[1]!S_SHARE_TOTAL(D39,[1]!s_ipo_listeddate(D39)),[1]!S_SHARE_TOTAL(D39,$G$5))))</f>
        <v>1.3432862318787679</v>
      </c>
      <c r="S39" s="249">
        <f ca="1">IF(C39="","",[1]!S_SHARE_TOTAL(D39,TODAY())/$E$5)</f>
        <v>243.69576499999999</v>
      </c>
      <c r="T39" s="249">
        <f t="shared" ca="1" si="3"/>
        <v>4052.6605719499998</v>
      </c>
      <c r="U39" s="172">
        <f t="shared" ca="1" si="4"/>
        <v>4052.6605719499998</v>
      </c>
      <c r="V39" s="343">
        <f t="shared" ca="1" si="5"/>
        <v>54</v>
      </c>
      <c r="W39" s="139"/>
      <c r="Y39" s="1"/>
    </row>
    <row r="40" spans="3:25" ht="12" customHeight="1">
      <c r="C40" s="342">
        <f t="shared" ca="1" si="0"/>
        <v>27</v>
      </c>
      <c r="D40" s="153" t="str">
        <f t="shared" ca="1" si="1"/>
        <v>300057.SZ</v>
      </c>
      <c r="E40" s="153" t="str">
        <f t="shared" ca="1" si="2"/>
        <v>万顺新材</v>
      </c>
      <c r="F40" s="170">
        <f ca="1">IF(C40="","",[1]!S_DQ_CLOSE(D40,TODAY(),1))</f>
        <v>6.17</v>
      </c>
      <c r="G40" s="171">
        <f ca="1">IF(C40="","",[1]!s_pq_pctchange(D40,TODAY()-$G$12,TODAY())/100)</f>
        <v>6.7474048442906387E-2</v>
      </c>
      <c r="H40" s="247">
        <f ca="1">IF(C40="","",IF($H$11="收入",[1]!S_STM07_IS(D40,9,$G$5,$H$13)/$E$5,[1]!S_STM07_IS(D40,48,$G$5,$H$13)/$E$5))</f>
        <v>6579.1646149399994</v>
      </c>
      <c r="I40" s="247">
        <f ca="1">IF(C40="","",IF($I$11="毛利率",([1]!S_STM07_IS(D40,9,$G$5,$H$13)-[1]!S_STM07_IS(D40,10,$G$5,$H$13))/[1]!S_STM07_IS(D40,9,$G$5,$H$13),[1]!S_STM07_IS(D40,14,$G$5,$H$13)/$E$5))</f>
        <v>5.2054628841829514E-2</v>
      </c>
      <c r="J40" s="247">
        <f ca="1">IF(C40="","",IF($J$11="营业利润率",[1]!S_STM07_IS(D40,48,$G$5,$H$13)/[1]!S_STM07_IS(D40,9,$G$5,$H$13),([1]!S_STM07_CS(D40,87,$G$5,$H$13)+[1]!S_STM07_CS(D40,88,$G$5,$H$13)+[1]!S_STM07_CS(D40,89,$G$5,$H$13))/$E$5))</f>
        <v>-2.5859058366417172E-2</v>
      </c>
      <c r="K40" s="247">
        <f ca="1">IF(C40="","",IF($K$11="净利润率",[1]!S_STM07_IS(D40,61,$G$5,$H$13)/[1]!S_STM07_IS(D40,9,$G$5,$H$13),[1]!S_STM07_IS(D40,55,$G$5,$H$13)/$E$5))</f>
        <v>-2.9222008990841056E-2</v>
      </c>
      <c r="L40" s="247">
        <f ca="1">IF(C40="","",IF($L$11="ROA",[1]!S_STM07_IS(D40,61,$G$5,$H$13)/[1]!S_STM07_BS(D40,74,$G$5,$H$13),1-[1]!S_STM07_IS(D40,61,$G$5,$H$13)/[1]!S_STM07_IS(D40,55,$G$5,$H$13)))</f>
        <v>-1.8700169727160276E-2</v>
      </c>
      <c r="M40" s="247">
        <f ca="1">IF(C40="","",IF($M$11="ROE",[1]!S_STM07_IS(D40,61,$G$5,$H$13)/[1]!S_STM07_BS(D40,141,$G$5,$H$13),([1]!S_STM07_BS(D40,25,$G$5,$H$13)-[1]!S_STM07_BS(D40,93,$G$5,$H$13))/$E$5))</f>
        <v>-3.665656793512808E-2</v>
      </c>
      <c r="N40" s="247">
        <f ca="1">IF(C40="","",IF($N$11="EPS",[1]!S_STM07_IS(D40,61,$G$5,$H$13)/IF([1]!S_SHARE_TOTAL(D40,$G$5)=0,[1]!S_SHARE_TOTAL(D40,[1]!s_ipo_listeddate(D40)),[1]!S_SHARE_TOTAL(D40,$G$5)),([1]!S_STM07_BS(D40,75,$G$5,$H$13)+[1]!S_STM07_BS(D40,88,$G$5,$H$13)+[1]!S_STM07_BS(D40,94,$G$5,$H$13)+[1]!S_STM07_BS(D40,95,$G$5,$H$13))/$E$5))</f>
        <v>-0.21615377683559484</v>
      </c>
      <c r="O40" s="247">
        <f ca="1">IF(C40="","",IF($O$11="BPS",[1]!S_STM07_BS(D40,141,$G$5,$H$13)/IF([1]!S_SHARE_TOTAL(D40,$G$5)=0,[1]!S_SHARE_TOTAL(D40,[1]!s_ipo_listeddate(D40)),[1]!S_SHARE_TOTAL(D40,$G$5)),[1]!S_STM07_CS(D40,49,$G$5,$H$13)/$E$5))</f>
        <v>5.8967270808911199</v>
      </c>
      <c r="P40" s="247">
        <f ca="1">IF(C40="","",IF($P$11="CFPS",[1]!S_STM07_CS(D40,84,$G$5,$H$13)/IF([1]!S_SHARE_TOTAL(D40,$G$5)=0,[1]!S_SHARE_TOTAL(D40,[1]!s_ipo_listeddate(D40)),[1]!S_SHARE_TOTAL(D40,$G$5)),[1]!S_STM07_CS(D40,84,$G$5,$H$13)/$E$5))</f>
        <v>1.4841895956337783</v>
      </c>
      <c r="Q40" s="248">
        <f ca="1">IF(C40="","",F40/([1]!S_STM07_IS(D40,61,$G$5,$H$13)/IF([1]!S_SHARE_TOTAL(D40,$G$5)=0,[1]!S_SHARE_TOTAL(D40,[1]!s_ipo_listeddate(D40)),[1]!S_SHARE_TOTAL(D40,$G$5))))</f>
        <v>-28.544493139682043</v>
      </c>
      <c r="R40" s="248">
        <f ca="1">IF(C40="","",F40/([1]!S_STM07_BS(D40,141,$G$5,$H$13)/IF([1]!S_SHARE_TOTAL(D40,$G$5)=0,[1]!S_SHARE_TOTAL(D40,[1]!s_ipo_listeddate(D40)),[1]!S_SHARE_TOTAL(D40,$G$5))))</f>
        <v>1.0463431519485522</v>
      </c>
      <c r="S40" s="247">
        <f ca="1">IF(C40="","",[1]!S_SHARE_TOTAL(D40,TODAY())/$E$5)</f>
        <v>897.74197900000001</v>
      </c>
      <c r="T40" s="247">
        <f t="shared" ca="1" si="3"/>
        <v>5539.06801043</v>
      </c>
      <c r="U40" s="218">
        <f t="shared" ca="1" si="4"/>
        <v>5539.06801043</v>
      </c>
      <c r="V40" s="342">
        <f t="shared" ca="1" si="5"/>
        <v>50</v>
      </c>
      <c r="W40" s="139"/>
      <c r="Y40" s="1"/>
    </row>
    <row r="41" spans="3:25" ht="12" customHeight="1">
      <c r="C41" s="343">
        <f t="shared" ca="1" si="0"/>
        <v>28</v>
      </c>
      <c r="D41" s="124" t="str">
        <f t="shared" ca="1" si="1"/>
        <v>300328.SZ</v>
      </c>
      <c r="E41" s="124" t="str">
        <f t="shared" ca="1" si="2"/>
        <v>宜安科技</v>
      </c>
      <c r="F41" s="172">
        <f ca="1">IF(C41="","",[1]!S_DQ_CLOSE(D41,TODAY(),1))</f>
        <v>18.059999999999999</v>
      </c>
      <c r="G41" s="173">
        <f ca="1">IF(C41="","",[1]!s_pq_pctchange(D41,TODAY()-$G$12,TODAY())/100)</f>
        <v>0.14376187460418</v>
      </c>
      <c r="H41" s="249">
        <f ca="1">IF(C41="","",IF($H$11="收入",[1]!S_STM07_IS(D41,9,$G$5,$H$13)/$E$5,[1]!S_STM07_IS(D41,48,$G$5,$H$13)/$E$5))</f>
        <v>1652.4944542799999</v>
      </c>
      <c r="I41" s="249">
        <f ca="1">IF(C41="","",IF($I$11="毛利率",([1]!S_STM07_IS(D41,9,$G$5,$H$13)-[1]!S_STM07_IS(D41,10,$G$5,$H$13))/[1]!S_STM07_IS(D41,9,$G$5,$H$13),[1]!S_STM07_IS(D41,14,$G$5,$H$13)/$E$5))</f>
        <v>0.13537337915452718</v>
      </c>
      <c r="J41" s="249">
        <f ca="1">IF(C41="","",IF($J$11="营业利润率",[1]!S_STM07_IS(D41,48,$G$5,$H$13)/[1]!S_STM07_IS(D41,9,$G$5,$H$13),([1]!S_STM07_CS(D41,87,$G$5,$H$13)+[1]!S_STM07_CS(D41,88,$G$5,$H$13)+[1]!S_STM07_CS(D41,89,$G$5,$H$13))/$E$5))</f>
        <v>-1.4759371861630087E-2</v>
      </c>
      <c r="K41" s="249">
        <f ca="1">IF(C41="","",IF($K$11="净利润率",[1]!S_STM07_IS(D41,61,$G$5,$H$13)/[1]!S_STM07_IS(D41,9,$G$5,$H$13),[1]!S_STM07_IS(D41,55,$G$5,$H$13)/$E$5))</f>
        <v>6.0846914638397248E-4</v>
      </c>
      <c r="L41" s="249">
        <f ca="1">IF(C41="","",IF($L$11="ROA",[1]!S_STM07_IS(D41,61,$G$5,$H$13)/[1]!S_STM07_BS(D41,74,$G$5,$H$13),1-[1]!S_STM07_IS(D41,61,$G$5,$H$13)/[1]!S_STM07_IS(D41,55,$G$5,$H$13)))</f>
        <v>3.6670189159670492E-4</v>
      </c>
      <c r="M41" s="249">
        <f ca="1">IF(C41="","",IF($M$11="ROE",[1]!S_STM07_IS(D41,61,$G$5,$H$13)/[1]!S_STM07_BS(D41,141,$G$5,$H$13),([1]!S_STM07_BS(D41,25,$G$5,$H$13)-[1]!S_STM07_BS(D41,93,$G$5,$H$13))/$E$5))</f>
        <v>8.2657075356904754E-4</v>
      </c>
      <c r="N41" s="250">
        <f ca="1">IF(C41="","",IF($N$11="EPS",[1]!S_STM07_IS(D41,61,$G$5,$H$13)/IF([1]!S_SHARE_TOTAL(D41,$G$5)=0,[1]!S_SHARE_TOTAL(D41,[1]!s_ipo_listeddate(D41)),[1]!S_SHARE_TOTAL(D41,$G$5)),([1]!S_STM07_BS(D41,75,$G$5,$H$13)+[1]!S_STM07_BS(D41,88,$G$5,$H$13)+[1]!S_STM07_BS(D41,94,$G$5,$H$13)+[1]!S_STM07_BS(D41,95,$G$5,$H$13))/$E$5))</f>
        <v>1.456340556724886E-3</v>
      </c>
      <c r="O41" s="250">
        <f ca="1">IF(C41="","",IF($O$11="BPS",[1]!S_STM07_BS(D41,141,$G$5,$H$13)/IF([1]!S_SHARE_TOTAL(D41,$G$5)=0,[1]!S_SHARE_TOTAL(D41,[1]!s_ipo_listeddate(D41)),[1]!S_SHARE_TOTAL(D41,$G$5)),[1]!S_STM07_CS(D41,49,$G$5,$H$13)/$E$5))</f>
        <v>1.7619067096634586</v>
      </c>
      <c r="P41" s="250">
        <f ca="1">IF(C41="","",IF($P$11="CFPS",[1]!S_STM07_CS(D41,84,$G$5,$H$13)/IF([1]!S_SHARE_TOTAL(D41,$G$5)=0,[1]!S_SHARE_TOTAL(D41,[1]!s_ipo_listeddate(D41)),[1]!S_SHARE_TOTAL(D41,$G$5)),[1]!S_STM07_CS(D41,84,$G$5,$H$13)/$E$5))</f>
        <v>0.21312881502022815</v>
      </c>
      <c r="Q41" s="198">
        <f ca="1">IF(C41="","",F41/([1]!S_STM07_IS(D41,61,$G$5,$H$13)/IF([1]!S_SHARE_TOTAL(D41,$G$5)=0,[1]!S_SHARE_TOTAL(D41,[1]!s_ipo_listeddate(D41)),[1]!S_SHARE_TOTAL(D41,$G$5))))</f>
        <v>12400.945586940536</v>
      </c>
      <c r="R41" s="198">
        <f ca="1">IF(C41="","",F41/([1]!S_STM07_BS(D41,141,$G$5,$H$13)/IF([1]!S_SHARE_TOTAL(D41,$G$5)=0,[1]!S_SHARE_TOTAL(D41,[1]!s_ipo_listeddate(D41)),[1]!S_SHARE_TOTAL(D41,$G$5))))</f>
        <v>10.250258938766192</v>
      </c>
      <c r="S41" s="249">
        <f ca="1">IF(C41="","",[1]!S_SHARE_TOTAL(D41,TODAY())/$E$5)</f>
        <v>690.42359999999996</v>
      </c>
      <c r="T41" s="249">
        <f t="shared" ca="1" si="3"/>
        <v>12469.050215999998</v>
      </c>
      <c r="U41" s="172">
        <f t="shared" ca="1" si="4"/>
        <v>12469.050215999998</v>
      </c>
      <c r="V41" s="343">
        <f t="shared" ca="1" si="5"/>
        <v>38</v>
      </c>
      <c r="W41" s="139"/>
      <c r="Y41" s="1"/>
    </row>
    <row r="42" spans="3:25" ht="12" customHeight="1">
      <c r="C42" s="342">
        <f t="shared" ca="1" si="0"/>
        <v>29</v>
      </c>
      <c r="D42" s="153" t="str">
        <f t="shared" ca="1" si="1"/>
        <v>300337.SZ</v>
      </c>
      <c r="E42" s="153" t="str">
        <f t="shared" ca="1" si="2"/>
        <v>银邦股份</v>
      </c>
      <c r="F42" s="170">
        <f ca="1">IF(C42="","",[1]!S_DQ_CLOSE(D42,TODAY(),1))</f>
        <v>13.66</v>
      </c>
      <c r="G42" s="171">
        <f ca="1">IF(C42="","",[1]!s_pq_pctchange(D42,TODAY()-$G$12,TODAY())/100)</f>
        <v>-4.60893854748603E-2</v>
      </c>
      <c r="H42" s="247">
        <f ca="1">IF(C42="","",IF($H$11="收入",[1]!S_STM07_IS(D42,9,$G$5,$H$13)/$E$5,[1]!S_STM07_IS(D42,48,$G$5,$H$13)/$E$5))</f>
        <v>5352.1748668199998</v>
      </c>
      <c r="I42" s="247">
        <f ca="1">IF(C42="","",IF($I$11="毛利率",([1]!S_STM07_IS(D42,9,$G$5,$H$13)-[1]!S_STM07_IS(D42,10,$G$5,$H$13))/[1]!S_STM07_IS(D42,9,$G$5,$H$13),[1]!S_STM07_IS(D42,14,$G$5,$H$13)/$E$5))</f>
        <v>0.1034610150712444</v>
      </c>
      <c r="J42" s="247">
        <f ca="1">IF(C42="","",IF($J$11="营业利润率",[1]!S_STM07_IS(D42,48,$G$5,$H$13)/[1]!S_STM07_IS(D42,9,$G$5,$H$13),([1]!S_STM07_CS(D42,87,$G$5,$H$13)+[1]!S_STM07_CS(D42,88,$G$5,$H$13)+[1]!S_STM07_CS(D42,89,$G$5,$H$13))/$E$5))</f>
        <v>1.3300136768942011E-2</v>
      </c>
      <c r="K42" s="247">
        <f ca="1">IF(C42="","",IF($K$11="净利润率",[1]!S_STM07_IS(D42,61,$G$5,$H$13)/[1]!S_STM07_IS(D42,9,$G$5,$H$13),[1]!S_STM07_IS(D42,55,$G$5,$H$13)/$E$5))</f>
        <v>1.0778819994772825E-2</v>
      </c>
      <c r="L42" s="247">
        <f ca="1">IF(C42="","",IF($L$11="ROA",[1]!S_STM07_IS(D42,61,$G$5,$H$13)/[1]!S_STM07_BS(D42,74,$G$5,$H$13),1-[1]!S_STM07_IS(D42,61,$G$5,$H$13)/[1]!S_STM07_IS(D42,55,$G$5,$H$13)))</f>
        <v>9.8826572609392697E-3</v>
      </c>
      <c r="M42" s="247">
        <f ca="1">IF(C42="","",IF($M$11="ROE",[1]!S_STM07_IS(D42,61,$G$5,$H$13)/[1]!S_STM07_BS(D42,141,$G$5,$H$13),([1]!S_STM07_BS(D42,25,$G$5,$H$13)-[1]!S_STM07_BS(D42,93,$G$5,$H$13))/$E$5))</f>
        <v>3.4868231012455037E-2</v>
      </c>
      <c r="N42" s="247">
        <f ca="1">IF(C42="","",IF($N$11="EPS",[1]!S_STM07_IS(D42,61,$G$5,$H$13)/IF([1]!S_SHARE_TOTAL(D42,$G$5)=0,[1]!S_SHARE_TOTAL(D42,[1]!s_ipo_listeddate(D42)),[1]!S_SHARE_TOTAL(D42,$G$5)),([1]!S_STM07_BS(D42,75,$G$5,$H$13)+[1]!S_STM07_BS(D42,88,$G$5,$H$13)+[1]!S_STM07_BS(D42,94,$G$5,$H$13)+[1]!S_STM07_BS(D42,95,$G$5,$H$13))/$E$5))</f>
        <v>7.0189470349912395E-2</v>
      </c>
      <c r="O42" s="247">
        <f ca="1">IF(C42="","",IF($O$11="BPS",[1]!S_STM07_BS(D42,141,$G$5,$H$13)/IF([1]!S_SHARE_TOTAL(D42,$G$5)=0,[1]!S_SHARE_TOTAL(D42,[1]!s_ipo_listeddate(D42)),[1]!S_SHARE_TOTAL(D42,$G$5)),[1]!S_STM07_CS(D42,49,$G$5,$H$13)/$E$5))</f>
        <v>2.0129920076771461</v>
      </c>
      <c r="P42" s="247">
        <f ca="1">IF(C42="","",IF($P$11="CFPS",[1]!S_STM07_CS(D42,84,$G$5,$H$13)/IF([1]!S_SHARE_TOTAL(D42,$G$5)=0,[1]!S_SHARE_TOTAL(D42,[1]!s_ipo_listeddate(D42)),[1]!S_SHARE_TOTAL(D42,$G$5)),[1]!S_STM07_CS(D42,84,$G$5,$H$13)/$E$5))</f>
        <v>6.0998431952014792E-2</v>
      </c>
      <c r="Q42" s="248">
        <f ca="1">IF(C42="","",F42/([1]!S_STM07_IS(D42,61,$G$5,$H$13)/IF([1]!S_SHARE_TOTAL(D42,$G$5)=0,[1]!S_SHARE_TOTAL(D42,[1]!s_ipo_listeddate(D42)),[1]!S_SHARE_TOTAL(D42,$G$5))))</f>
        <v>194.61608602973379</v>
      </c>
      <c r="R42" s="248">
        <f ca="1">IF(C42="","",F42/([1]!S_STM07_BS(D42,141,$G$5,$H$13)/IF([1]!S_SHARE_TOTAL(D42,$G$5)=0,[1]!S_SHARE_TOTAL(D42,[1]!s_ipo_listeddate(D42)),[1]!S_SHARE_TOTAL(D42,$G$5))))</f>
        <v>6.7859186464245811</v>
      </c>
      <c r="S42" s="247">
        <f ca="1">IF(C42="","",[1]!S_SHARE_TOTAL(D42,TODAY())/$E$5)</f>
        <v>821.93563099999994</v>
      </c>
      <c r="T42" s="247">
        <f t="shared" ca="1" si="3"/>
        <v>11227.64071946</v>
      </c>
      <c r="U42" s="218">
        <f t="shared" ca="1" si="4"/>
        <v>11227.64071946</v>
      </c>
      <c r="V42" s="342">
        <f t="shared" ca="1" si="5"/>
        <v>39</v>
      </c>
      <c r="W42" s="139"/>
      <c r="Y42" s="1"/>
    </row>
    <row r="43" spans="3:25" ht="12" customHeight="1">
      <c r="C43" s="343">
        <f t="shared" ca="1" si="0"/>
        <v>30</v>
      </c>
      <c r="D43" s="124" t="str">
        <f t="shared" ref="D43:D46" ca="1" si="6">IF(C43="","",VLOOKUP(C43,comppool,2,FALSE))</f>
        <v>300697.SZ</v>
      </c>
      <c r="E43" s="124" t="str">
        <f t="shared" ref="E43:E46" ca="1" si="7">IF(C43="","",VLOOKUP(C43,comppool,3,FALSE))</f>
        <v>电工合金</v>
      </c>
      <c r="F43" s="172">
        <f ca="1">IF(C43="","",[1]!S_DQ_CLOSE(D43,TODAY(),1))</f>
        <v>16.920000000000002</v>
      </c>
      <c r="G43" s="173">
        <f ca="1">IF(C43="","",[1]!s_pq_pctchange(D43,TODAY()-$G$12,TODAY())/100)</f>
        <v>-1.9130434782608452E-2</v>
      </c>
      <c r="H43" s="249">
        <f ca="1">IF(C43="","",IF($H$11="收入",[1]!S_STM07_IS(D43,9,$G$5,$H$13)/$E$5,[1]!S_STM07_IS(D43,48,$G$5,$H$13)/$E$5))</f>
        <v>2592.7429872500002</v>
      </c>
      <c r="I43" s="249">
        <f ca="1">IF(C43="","",IF($I$11="毛利率",([1]!S_STM07_IS(D43,9,$G$5,$H$13)-[1]!S_STM07_IS(D43,10,$G$5,$H$13))/[1]!S_STM07_IS(D43,9,$G$5,$H$13),[1]!S_STM07_IS(D43,14,$G$5,$H$13)/$E$5))</f>
        <v>0.10648306963615718</v>
      </c>
      <c r="J43" s="249">
        <f ca="1">IF(C43="","",IF($J$11="营业利润率",[1]!S_STM07_IS(D43,48,$G$5,$H$13)/[1]!S_STM07_IS(D43,9,$G$5,$H$13),([1]!S_STM07_CS(D43,87,$G$5,$H$13)+[1]!S_STM07_CS(D43,88,$G$5,$H$13)+[1]!S_STM07_CS(D43,89,$G$5,$H$13))/$E$5))</f>
        <v>5.6780679428679842E-2</v>
      </c>
      <c r="K43" s="249">
        <f ca="1">IF(C43="","",IF($K$11="净利润率",[1]!S_STM07_IS(D43,61,$G$5,$H$13)/[1]!S_STM07_IS(D43,9,$G$5,$H$13),[1]!S_STM07_IS(D43,55,$G$5,$H$13)/$E$5))</f>
        <v>5.040303282378495E-2</v>
      </c>
      <c r="L43" s="249">
        <f ca="1">IF(C43="","",IF($L$11="ROA",[1]!S_STM07_IS(D43,61,$G$5,$H$13)/[1]!S_STM07_BS(D43,74,$G$5,$H$13),1-[1]!S_STM07_IS(D43,61,$G$5,$H$13)/[1]!S_STM07_IS(D43,55,$G$5,$H$13)))</f>
        <v>7.1072562549819945E-2</v>
      </c>
      <c r="M43" s="249">
        <f ca="1">IF(C43="","",IF($M$11="ROE",[1]!S_STM07_IS(D43,61,$G$5,$H$13)/[1]!S_STM07_BS(D43,141,$G$5,$H$13),([1]!S_STM07_BS(D43,25,$G$5,$H$13)-[1]!S_STM07_BS(D43,93,$G$5,$H$13))/$E$5))</f>
        <v>0.11606303445886802</v>
      </c>
      <c r="N43" s="250">
        <f ca="1">IF(C43="","",IF($N$11="EPS",[1]!S_STM07_IS(D43,61,$G$5,$H$13)/IF([1]!S_SHARE_TOTAL(D43,$G$5)=0,[1]!S_SHARE_TOTAL(D43,[1]!s_ipo_listeddate(D43)),[1]!S_SHARE_TOTAL(D43,$G$5)),([1]!S_STM07_BS(D43,75,$G$5,$H$13)+[1]!S_STM07_BS(D43,88,$G$5,$H$13)+[1]!S_STM07_BS(D43,94,$G$5,$H$13)+[1]!S_STM07_BS(D43,95,$G$5,$H$13))/$E$5))</f>
        <v>0.39267460904447116</v>
      </c>
      <c r="O43" s="250">
        <f ca="1">IF(C43="","",IF($O$11="BPS",[1]!S_STM07_BS(D43,141,$G$5,$H$13)/IF([1]!S_SHARE_TOTAL(D43,$G$5)=0,[1]!S_SHARE_TOTAL(D43,[1]!s_ipo_listeddate(D43)),[1]!S_SHARE_TOTAL(D43,$G$5)),[1]!S_STM07_CS(D43,49,$G$5,$H$13)/$E$5))</f>
        <v>3.3832874599158655</v>
      </c>
      <c r="P43" s="250">
        <f ca="1">IF(C43="","",IF($P$11="CFPS",[1]!S_STM07_CS(D43,84,$G$5,$H$13)/IF([1]!S_SHARE_TOTAL(D43,$G$5)=0,[1]!S_SHARE_TOTAL(D43,[1]!s_ipo_listeddate(D43)),[1]!S_SHARE_TOTAL(D43,$G$5)),[1]!S_STM07_CS(D43,84,$G$5,$H$13)/$E$5))</f>
        <v>0.32374639284855772</v>
      </c>
      <c r="Q43" s="198">
        <f ca="1">IF(C43="","",F43/([1]!S_STM07_IS(D43,61,$G$5,$H$13)/IF([1]!S_SHARE_TOTAL(D43,$G$5)=0,[1]!S_SHARE_TOTAL(D43,[1]!s_ipo_listeddate(D43)),[1]!S_SHARE_TOTAL(D43,$G$5))))</f>
        <v>43.089111468584356</v>
      </c>
      <c r="R43" s="198">
        <f ca="1">IF(C43="","",F43/([1]!S_STM07_BS(D43,141,$G$5,$H$13)/IF([1]!S_SHARE_TOTAL(D43,$G$5)=0,[1]!S_SHARE_TOTAL(D43,[1]!s_ipo_listeddate(D43)),[1]!S_SHARE_TOTAL(D43,$G$5))))</f>
        <v>5.0010530291803112</v>
      </c>
      <c r="S43" s="249">
        <f ca="1">IF(C43="","",[1]!S_SHARE_TOTAL(D43,TODAY())/$E$5)</f>
        <v>432.64</v>
      </c>
      <c r="T43" s="249">
        <f t="shared" ca="1" si="3"/>
        <v>7320.2688000000007</v>
      </c>
      <c r="U43" s="172">
        <f t="shared" ca="1" si="4"/>
        <v>7320.2688000000007</v>
      </c>
      <c r="V43" s="343">
        <f t="shared" ca="1" si="5"/>
        <v>45</v>
      </c>
      <c r="W43" s="139"/>
      <c r="Y43" s="1"/>
    </row>
    <row r="44" spans="3:25" ht="12" customHeight="1">
      <c r="C44" s="342">
        <f t="shared" ca="1" si="0"/>
        <v>31</v>
      </c>
      <c r="D44" s="153" t="str">
        <f t="shared" ca="1" si="6"/>
        <v>600219.SH</v>
      </c>
      <c r="E44" s="153" t="str">
        <f t="shared" ca="1" si="7"/>
        <v>南山铝业</v>
      </c>
      <c r="F44" s="170">
        <f ca="1">IF(C44="","",[1]!S_DQ_CLOSE(D44,TODAY(),1))</f>
        <v>7.45</v>
      </c>
      <c r="G44" s="171">
        <f ca="1">IF(C44="","",[1]!s_pq_pctchange(D44,TODAY()-$G$12,TODAY())/100)</f>
        <v>0.11194029850746269</v>
      </c>
      <c r="H44" s="247">
        <f ca="1">IF(C44="","",IF($H$11="收入",[1]!S_STM07_IS(D44,9,$G$5,$H$13)/$E$5,[1]!S_STM07_IS(D44,48,$G$5,$H$13)/$E$5))</f>
        <v>33477.180175649999</v>
      </c>
      <c r="I44" s="247">
        <f ca="1">IF(C44="","",IF($I$11="毛利率",([1]!S_STM07_IS(D44,9,$G$5,$H$13)-[1]!S_STM07_IS(D44,10,$G$5,$H$13))/[1]!S_STM07_IS(D44,9,$G$5,$H$13),[1]!S_STM07_IS(D44,14,$G$5,$H$13)/$E$5))</f>
        <v>0.27184602254999518</v>
      </c>
      <c r="J44" s="247">
        <f ca="1">IF(C44="","",IF($J$11="营业利润率",[1]!S_STM07_IS(D44,48,$G$5,$H$13)/[1]!S_STM07_IS(D44,9,$G$5,$H$13),([1]!S_STM07_CS(D44,87,$G$5,$H$13)+[1]!S_STM07_CS(D44,88,$G$5,$H$13)+[1]!S_STM07_CS(D44,89,$G$5,$H$13))/$E$5))</f>
        <v>0.19803895333311997</v>
      </c>
      <c r="K44" s="247">
        <f ca="1">IF(C44="","",IF($K$11="净利润率",[1]!S_STM07_IS(D44,61,$G$5,$H$13)/[1]!S_STM07_IS(D44,9,$G$5,$H$13),[1]!S_STM07_IS(D44,55,$G$5,$H$13)/$E$5))</f>
        <v>0.14427601950158039</v>
      </c>
      <c r="L44" s="247">
        <f ca="1">IF(C44="","",IF($L$11="ROA",[1]!S_STM07_IS(D44,61,$G$5,$H$13)/[1]!S_STM07_BS(D44,74,$G$5,$H$13),1-[1]!S_STM07_IS(D44,61,$G$5,$H$13)/[1]!S_STM07_IS(D44,55,$G$5,$H$13)))</f>
        <v>6.8740135827838056E-2</v>
      </c>
      <c r="M44" s="247">
        <f ca="1">IF(C44="","",IF($M$11="ROE",[1]!S_STM07_IS(D44,61,$G$5,$H$13)/[1]!S_STM07_BS(D44,141,$G$5,$H$13),([1]!S_STM07_BS(D44,25,$G$5,$H$13)-[1]!S_STM07_BS(D44,93,$G$5,$H$13))/$E$5))</f>
        <v>8.5905069798256559E-2</v>
      </c>
      <c r="N44" s="247">
        <f ca="1">IF(C44="","",IF($N$11="EPS",[1]!S_STM07_IS(D44,61,$G$5,$H$13)/IF([1]!S_SHARE_TOTAL(D44,$G$5)=0,[1]!S_SHARE_TOTAL(D44,[1]!s_ipo_listeddate(D44)),[1]!S_SHARE_TOTAL(D44,$G$5)),([1]!S_STM07_BS(D44,75,$G$5,$H$13)+[1]!S_STM07_BS(D44,88,$G$5,$H$13)+[1]!S_STM07_BS(D44,94,$G$5,$H$13)+[1]!S_STM07_BS(D44,95,$G$5,$H$13))/$E$5))</f>
        <v>0.41588524103141522</v>
      </c>
      <c r="O44" s="247">
        <f ca="1">IF(C44="","",IF($O$11="BPS",[1]!S_STM07_BS(D44,141,$G$5,$H$13)/IF([1]!S_SHARE_TOTAL(D44,$G$5)=0,[1]!S_SHARE_TOTAL(D44,[1]!s_ipo_listeddate(D44)),[1]!S_SHARE_TOTAL(D44,$G$5)),[1]!S_STM07_CS(D44,49,$G$5,$H$13)/$E$5))</f>
        <v>4.841218824547834</v>
      </c>
      <c r="P44" s="247">
        <f ca="1">IF(C44="","",IF($P$11="CFPS",[1]!S_STM07_CS(D44,84,$G$5,$H$13)/IF([1]!S_SHARE_TOTAL(D44,$G$5)=0,[1]!S_SHARE_TOTAL(D44,[1]!s_ipo_listeddate(D44)),[1]!S_SHARE_TOTAL(D44,$G$5)),[1]!S_STM07_CS(D44,84,$G$5,$H$13)/$E$5))</f>
        <v>1.8445605720528166</v>
      </c>
      <c r="Q44" s="248">
        <f ca="1">IF(C44="","",F44/([1]!S_STM07_IS(D44,61,$G$5,$H$13)/IF([1]!S_SHARE_TOTAL(D44,$G$5)=0,[1]!S_SHARE_TOTAL(D44,[1]!s_ipo_listeddate(D44)),[1]!S_SHARE_TOTAL(D44,$G$5))))</f>
        <v>17.913595542663753</v>
      </c>
      <c r="R44" s="248">
        <f ca="1">IF(C44="","",F44/([1]!S_STM07_BS(D44,141,$G$5,$H$13)/IF([1]!S_SHARE_TOTAL(D44,$G$5)=0,[1]!S_SHARE_TOTAL(D44,[1]!s_ipo_listeddate(D44)),[1]!S_SHARE_TOTAL(D44,$G$5))))</f>
        <v>1.5388686754302672</v>
      </c>
      <c r="S44" s="247">
        <f ca="1">IF(C44="","",[1]!S_SHARE_TOTAL(D44,TODAY())/$E$5)</f>
        <v>11483.701558999997</v>
      </c>
      <c r="T44" s="247">
        <f t="shared" ca="1" si="3"/>
        <v>85553.57661454998</v>
      </c>
      <c r="U44" s="218">
        <f t="shared" ca="1" si="4"/>
        <v>85553.57661454998</v>
      </c>
      <c r="V44" s="342">
        <f t="shared" ca="1" si="5"/>
        <v>9</v>
      </c>
      <c r="W44" s="140"/>
      <c r="Y44" s="1"/>
    </row>
    <row r="45" spans="3:25" ht="12" customHeight="1">
      <c r="C45" s="343">
        <f t="shared" ca="1" si="0"/>
        <v>32</v>
      </c>
      <c r="D45" s="124" t="str">
        <f t="shared" ca="1" si="6"/>
        <v>600338.SH</v>
      </c>
      <c r="E45" s="124" t="str">
        <f t="shared" ca="1" si="7"/>
        <v>西藏珠峰</v>
      </c>
      <c r="F45" s="172">
        <f ca="1">IF(C45="","",[1]!S_DQ_CLOSE(D45,TODAY(),1))</f>
        <v>17.829999999999998</v>
      </c>
      <c r="G45" s="173">
        <f ca="1">IF(C45="","",[1]!s_pq_pctchange(D45,TODAY()-$G$12,TODAY())/100)</f>
        <v>1.5954415954415824E-2</v>
      </c>
      <c r="H45" s="249">
        <f ca="1">IF(C45="","",IF($H$11="收入",[1]!S_STM07_IS(D45,9,$G$5,$H$13)/$E$5,[1]!S_STM07_IS(D45,48,$G$5,$H$13)/$E$5))</f>
        <v>1639.4781605799999</v>
      </c>
      <c r="I45" s="249">
        <f ca="1">IF(C45="","",IF($I$11="毛利率",([1]!S_STM07_IS(D45,9,$G$5,$H$13)-[1]!S_STM07_IS(D45,10,$G$5,$H$13))/[1]!S_STM07_IS(D45,9,$G$5,$H$13),[1]!S_STM07_IS(D45,14,$G$5,$H$13)/$E$5))</f>
        <v>0.46727550308384724</v>
      </c>
      <c r="J45" s="249">
        <f ca="1">IF(C45="","",IF($J$11="营业利润率",[1]!S_STM07_IS(D45,48,$G$5,$H$13)/[1]!S_STM07_IS(D45,9,$G$5,$H$13),([1]!S_STM07_CS(D45,87,$G$5,$H$13)+[1]!S_STM07_CS(D45,88,$G$5,$H$13)+[1]!S_STM07_CS(D45,89,$G$5,$H$13))/$E$5))</f>
        <v>0.22088883432389517</v>
      </c>
      <c r="K45" s="249">
        <f ca="1">IF(C45="","",IF($K$11="净利润率",[1]!S_STM07_IS(D45,61,$G$5,$H$13)/[1]!S_STM07_IS(D45,9,$G$5,$H$13),[1]!S_STM07_IS(D45,55,$G$5,$H$13)/$E$5))</f>
        <v>0.14004929364766372</v>
      </c>
      <c r="L45" s="249">
        <f ca="1">IF(C45="","",IF($L$11="ROA",[1]!S_STM07_IS(D45,61,$G$5,$H$13)/[1]!S_STM07_BS(D45,74,$G$5,$H$13),1-[1]!S_STM07_IS(D45,61,$G$5,$H$13)/[1]!S_STM07_IS(D45,55,$G$5,$H$13)))</f>
        <v>3.6667858440057946E-2</v>
      </c>
      <c r="M45" s="249">
        <f ca="1">IF(C45="","",IF($M$11="ROE",[1]!S_STM07_IS(D45,61,$G$5,$H$13)/[1]!S_STM07_BS(D45,141,$G$5,$H$13),([1]!S_STM07_BS(D45,25,$G$5,$H$13)-[1]!S_STM07_BS(D45,93,$G$5,$H$13))/$E$5))</f>
        <v>6.1434246007817002E-2</v>
      </c>
      <c r="N45" s="250">
        <f ca="1">IF(C45="","",IF($N$11="EPS",[1]!S_STM07_IS(D45,61,$G$5,$H$13)/IF([1]!S_SHARE_TOTAL(D45,$G$5)=0,[1]!S_SHARE_TOTAL(D45,[1]!s_ipo_listeddate(D45)),[1]!S_SHARE_TOTAL(D45,$G$5)),([1]!S_STM07_BS(D45,75,$G$5,$H$13)+[1]!S_STM07_BS(D45,88,$G$5,$H$13)+[1]!S_STM07_BS(D45,94,$G$5,$H$13)+[1]!S_STM07_BS(D45,95,$G$5,$H$13))/$E$5))</f>
        <v>0.25115423824513838</v>
      </c>
      <c r="O45" s="250">
        <f ca="1">IF(C45="","",IF($O$11="BPS",[1]!S_STM07_BS(D45,141,$G$5,$H$13)/IF([1]!S_SHARE_TOTAL(D45,$G$5)=0,[1]!S_SHARE_TOTAL(D45,[1]!s_ipo_listeddate(D45)),[1]!S_SHARE_TOTAL(D45,$G$5)),[1]!S_STM07_CS(D45,49,$G$5,$H$13)/$E$5))</f>
        <v>4.0881797135295042</v>
      </c>
      <c r="P45" s="250">
        <f ca="1">IF(C45="","",IF($P$11="CFPS",[1]!S_STM07_CS(D45,84,$G$5,$H$13)/IF([1]!S_SHARE_TOTAL(D45,$G$5)=0,[1]!S_SHARE_TOTAL(D45,[1]!s_ipo_listeddate(D45)),[1]!S_SHARE_TOTAL(D45,$G$5)),[1]!S_STM07_CS(D45,84,$G$5,$H$13)/$E$5))</f>
        <v>0.16498216044781511</v>
      </c>
      <c r="Q45" s="198">
        <f ca="1">IF(C45="","",F45/([1]!S_STM07_IS(D45,61,$G$5,$H$13)/IF([1]!S_SHARE_TOTAL(D45,$G$5)=0,[1]!S_SHARE_TOTAL(D45,[1]!s_ipo_listeddate(D45)),[1]!S_SHARE_TOTAL(D45,$G$5))))</f>
        <v>70.992232201939103</v>
      </c>
      <c r="R45" s="198">
        <f ca="1">IF(C45="","",F45/([1]!S_STM07_BS(D45,141,$G$5,$H$13)/IF([1]!S_SHARE_TOTAL(D45,$G$5)=0,[1]!S_SHARE_TOTAL(D45,[1]!s_ipo_listeddate(D45)),[1]!S_SHARE_TOTAL(D45,$G$5))))</f>
        <v>4.3613542577379949</v>
      </c>
      <c r="S45" s="249">
        <f ca="1">IF(C45="","",[1]!S_SHARE_TOTAL(D45,TODAY())/$E$5)</f>
        <v>914.21016799999995</v>
      </c>
      <c r="T45" s="249">
        <f t="shared" ca="1" si="3"/>
        <v>16300.367295439997</v>
      </c>
      <c r="U45" s="172">
        <f t="shared" ca="1" si="4"/>
        <v>16300.367295439997</v>
      </c>
      <c r="V45" s="343">
        <f t="shared" ca="1" si="5"/>
        <v>35</v>
      </c>
      <c r="W45" s="139"/>
      <c r="Y45" s="1"/>
    </row>
    <row r="46" spans="3:25" ht="12" customHeight="1">
      <c r="C46" s="342">
        <f t="shared" ca="1" si="0"/>
        <v>33</v>
      </c>
      <c r="D46" s="153" t="str">
        <f t="shared" ca="1" si="6"/>
        <v>600361.SH</v>
      </c>
      <c r="E46" s="153" t="str">
        <f t="shared" ca="1" si="7"/>
        <v>创新新材</v>
      </c>
      <c r="F46" s="170">
        <f ca="1">IF(C46="","",[1]!S_DQ_CLOSE(D46,TODAY(),1))</f>
        <v>4.82</v>
      </c>
      <c r="G46" s="171">
        <f ca="1">IF(C46="","",[1]!s_pq_pctchange(D46,TODAY()-$G$12,TODAY())/100)</f>
        <v>9.0497737556561209E-2</v>
      </c>
      <c r="H46" s="247">
        <f ca="1">IF(C46="","",IF($H$11="收入",[1]!S_STM07_IS(D46,9,$G$5,$H$13)/$E$5,[1]!S_STM07_IS(D46,48,$G$5,$H$13)/$E$5))</f>
        <v>80941.533176440003</v>
      </c>
      <c r="I46" s="247">
        <f ca="1">IF(C46="","",IF($I$11="毛利率",([1]!S_STM07_IS(D46,9,$G$5,$H$13)-[1]!S_STM07_IS(D46,10,$G$5,$H$13))/[1]!S_STM07_IS(D46,9,$G$5,$H$13),[1]!S_STM07_IS(D46,14,$G$5,$H$13)/$E$5))</f>
        <v>3.3873445382648915E-2</v>
      </c>
      <c r="J46" s="247">
        <f ca="1">IF(C46="","",IF($J$11="营业利润率",[1]!S_STM07_IS(D46,48,$G$5,$H$13)/[1]!S_STM07_IS(D46,9,$G$5,$H$13),([1]!S_STM07_CS(D46,87,$G$5,$H$13)+[1]!S_STM07_CS(D46,88,$G$5,$H$13)+[1]!S_STM07_CS(D46,89,$G$5,$H$13))/$E$5))</f>
        <v>1.6460737952488091E-2</v>
      </c>
      <c r="K46" s="247">
        <f ca="1">IF(C46="","",IF($K$11="净利润率",[1]!S_STM07_IS(D46,61,$G$5,$H$13)/[1]!S_STM07_IS(D46,9,$G$5,$H$13),[1]!S_STM07_IS(D46,55,$G$5,$H$13)/$E$5))</f>
        <v>1.2482623192935645E-2</v>
      </c>
      <c r="L46" s="247">
        <f ca="1">IF(C46="","",IF($L$11="ROA",[1]!S_STM07_IS(D46,61,$G$5,$H$13)/[1]!S_STM07_BS(D46,74,$G$5,$H$13),1-[1]!S_STM07_IS(D46,61,$G$5,$H$13)/[1]!S_STM07_IS(D46,55,$G$5,$H$13)))</f>
        <v>3.8687022491462504E-2</v>
      </c>
      <c r="M46" s="247">
        <f ca="1">IF(C46="","",IF($M$11="ROE",[1]!S_STM07_IS(D46,61,$G$5,$H$13)/[1]!S_STM07_BS(D46,141,$G$5,$H$13),([1]!S_STM07_BS(D46,25,$G$5,$H$13)-[1]!S_STM07_BS(D46,93,$G$5,$H$13))/$E$5))</f>
        <v>9.2436613418835939E-2</v>
      </c>
      <c r="N46" s="247">
        <f ca="1">IF(C46="","",IF($N$11="EPS",[1]!S_STM07_IS(D46,61,$G$5,$H$13)/IF([1]!S_SHARE_TOTAL(D46,$G$5)=0,[1]!S_SHARE_TOTAL(D46,[1]!s_ipo_listeddate(D46)),[1]!S_SHARE_TOTAL(D46,$G$5)),([1]!S_STM07_BS(D46,75,$G$5,$H$13)+[1]!S_STM07_BS(D46,88,$G$5,$H$13)+[1]!S_STM07_BS(D46,94,$G$5,$H$13)+[1]!S_STM07_BS(D46,95,$G$5,$H$13))/$E$5))</f>
        <v>0.2459837931955936</v>
      </c>
      <c r="O46" s="247">
        <f ca="1">IF(C46="","",IF($O$11="BPS",[1]!S_STM07_BS(D46,141,$G$5,$H$13)/IF([1]!S_SHARE_TOTAL(D46,$G$5)=0,[1]!S_SHARE_TOTAL(D46,[1]!s_ipo_listeddate(D46)),[1]!S_SHARE_TOTAL(D46,$G$5)),[1]!S_STM07_CS(D46,49,$G$5,$H$13)/$E$5))</f>
        <v>2.661107802392392</v>
      </c>
      <c r="P46" s="247">
        <f ca="1">IF(C46="","",IF($P$11="CFPS",[1]!S_STM07_CS(D46,84,$G$5,$H$13)/IF([1]!S_SHARE_TOTAL(D46,$G$5)=0,[1]!S_SHARE_TOTAL(D46,[1]!s_ipo_listeddate(D46)),[1]!S_SHARE_TOTAL(D46,$G$5)),[1]!S_STM07_CS(D46,84,$G$5,$H$13)/$E$5))</f>
        <v>1.5532017408154868</v>
      </c>
      <c r="Q46" s="248">
        <f ca="1">IF(C46="","",F46/([1]!S_STM07_IS(D46,61,$G$5,$H$13)/IF([1]!S_SHARE_TOTAL(D46,$G$5)=0,[1]!S_SHARE_TOTAL(D46,[1]!s_ipo_listeddate(D46)),[1]!S_SHARE_TOTAL(D46,$G$5))))</f>
        <v>19.594786865358181</v>
      </c>
      <c r="R46" s="248">
        <f ca="1">IF(C46="","",F46/([1]!S_STM07_BS(D46,141,$G$5,$H$13)/IF([1]!S_SHARE_TOTAL(D46,$G$5)=0,[1]!S_SHARE_TOTAL(D46,[1]!s_ipo_listeddate(D46)),[1]!S_SHARE_TOTAL(D46,$G$5))))</f>
        <v>1.8112757384975982</v>
      </c>
      <c r="S46" s="247">
        <f ca="1">IF(C46="","",[1]!S_SHARE_TOTAL(D46,TODAY())/$E$5)</f>
        <v>3756.0721629999994</v>
      </c>
      <c r="T46" s="247">
        <f t="shared" ca="1" si="3"/>
        <v>18104.267825659997</v>
      </c>
      <c r="U46" s="218">
        <f t="shared" ca="1" si="4"/>
        <v>18104.267825659997</v>
      </c>
      <c r="V46" s="342">
        <f t="shared" ca="1" si="5"/>
        <v>32</v>
      </c>
      <c r="W46" s="139"/>
      <c r="Y46" s="1"/>
    </row>
    <row r="47" spans="3:25" ht="12" customHeight="1">
      <c r="C47" s="343">
        <f t="shared" ca="1" si="0"/>
        <v>34</v>
      </c>
      <c r="D47" s="124" t="str">
        <f t="shared" ca="1" si="1"/>
        <v>600362.SH</v>
      </c>
      <c r="E47" s="124" t="str">
        <f t="shared" ca="1" si="2"/>
        <v>江西铜业</v>
      </c>
      <c r="F47" s="172">
        <f ca="1">IF(C47="","",[1]!S_DQ_CLOSE(D47,TODAY(),1))</f>
        <v>51.77</v>
      </c>
      <c r="G47" s="173">
        <f ca="1">IF(C47="","",[1]!s_pq_pctchange(D47,TODAY()-$G$12,TODAY())/100)</f>
        <v>-5.9240414319462149E-2</v>
      </c>
      <c r="H47" s="249">
        <f ca="1">IF(C47="","",IF($H$11="收入",[1]!S_STM07_IS(D47,9,$G$5,$H$13)/$E$5,[1]!S_STM07_IS(D47,48,$G$5,$H$13)/$E$5))</f>
        <v>520928.24594300002</v>
      </c>
      <c r="I47" s="249">
        <f ca="1">IF(C47="","",IF($I$11="毛利率",([1]!S_STM07_IS(D47,9,$G$5,$H$13)-[1]!S_STM07_IS(D47,10,$G$5,$H$13))/[1]!S_STM07_IS(D47,9,$G$5,$H$13),[1]!S_STM07_IS(D47,14,$G$5,$H$13)/$E$5))</f>
        <v>3.5406085372875228E-2</v>
      </c>
      <c r="J47" s="249">
        <f ca="1">IF(C47="","",IF($J$11="营业利润率",[1]!S_STM07_IS(D47,48,$G$5,$H$13)/[1]!S_STM07_IS(D47,9,$G$5,$H$13),([1]!S_STM07_CS(D47,87,$G$5,$H$13)+[1]!S_STM07_CS(D47,88,$G$5,$H$13)+[1]!S_STM07_CS(D47,89,$G$5,$H$13))/$E$5))</f>
        <v>1.6853400621629266E-2</v>
      </c>
      <c r="K47" s="249">
        <f ca="1">IF(C47="","",IF($K$11="净利润率",[1]!S_STM07_IS(D47,61,$G$5,$H$13)/[1]!S_STM07_IS(D47,9,$G$5,$H$13),[1]!S_STM07_IS(D47,55,$G$5,$H$13)/$E$5))</f>
        <v>1.3364984590913898E-2</v>
      </c>
      <c r="L47" s="249">
        <f ca="1">IF(C47="","",IF($L$11="ROA",[1]!S_STM07_IS(D47,61,$G$5,$H$13)/[1]!S_STM07_BS(D47,74,$G$5,$H$13),1-[1]!S_STM07_IS(D47,61,$G$5,$H$13)/[1]!S_STM07_IS(D47,55,$G$5,$H$13)))</f>
        <v>3.604968689346609E-2</v>
      </c>
      <c r="M47" s="249">
        <f ca="1">IF(C47="","",IF($M$11="ROE",[1]!S_STM07_IS(D47,61,$G$5,$H$13)/[1]!S_STM07_BS(D47,141,$G$5,$H$13),([1]!S_STM07_BS(D47,25,$G$5,$H$13)-[1]!S_STM07_BS(D47,93,$G$5,$H$13))/$E$5))</f>
        <v>7.9294246995051068E-2</v>
      </c>
      <c r="N47" s="250">
        <f ca="1">IF(C47="","",IF($N$11="EPS",[1]!S_STM07_IS(D47,61,$G$5,$H$13)/IF([1]!S_SHARE_TOTAL(D47,$G$5)=0,[1]!S_SHARE_TOTAL(D47,[1]!s_ipo_listeddate(D47)),[1]!S_SHARE_TOTAL(D47,$G$5)),([1]!S_STM07_BS(D47,75,$G$5,$H$13)+[1]!S_STM07_BS(D47,88,$G$5,$H$13)+[1]!S_STM07_BS(D47,94,$G$5,$H$13)+[1]!S_STM07_BS(D47,95,$G$5,$H$13))/$E$5))</f>
        <v>2.0106098876646121</v>
      </c>
      <c r="O47" s="250">
        <f ca="1">IF(C47="","",IF($O$11="BPS",[1]!S_STM07_BS(D47,141,$G$5,$H$13)/IF([1]!S_SHARE_TOTAL(D47,$G$5)=0,[1]!S_SHARE_TOTAL(D47,[1]!s_ipo_listeddate(D47)),[1]!S_SHARE_TOTAL(D47,$G$5)),[1]!S_STM07_CS(D47,49,$G$5,$H$13)/$E$5))</f>
        <v>25.356314787756276</v>
      </c>
      <c r="P47" s="250">
        <f ca="1">IF(C47="","",IF($P$11="CFPS",[1]!S_STM07_CS(D47,84,$G$5,$H$13)/IF([1]!S_SHARE_TOTAL(D47,$G$5)=0,[1]!S_SHARE_TOTAL(D47,[1]!s_ipo_listeddate(D47)),[1]!S_SHARE_TOTAL(D47,$G$5)),[1]!S_STM07_CS(D47,84,$G$5,$H$13)/$E$5))</f>
        <v>4.4770559234616245</v>
      </c>
      <c r="Q47" s="198">
        <f ca="1">IF(C47="","",F47/([1]!S_STM07_IS(D47,61,$G$5,$H$13)/IF([1]!S_SHARE_TOTAL(D47,$G$5)=0,[1]!S_SHARE_TOTAL(D47,[1]!s_ipo_listeddate(D47)),[1]!S_SHARE_TOTAL(D47,$G$5))))</f>
        <v>25.748406151594388</v>
      </c>
      <c r="R47" s="198">
        <f ca="1">IF(C47="","",F47/([1]!S_STM07_BS(D47,141,$G$5,$H$13)/IF([1]!S_SHARE_TOTAL(D47,$G$5)=0,[1]!S_SHARE_TOTAL(D47,[1]!s_ipo_listeddate(D47)),[1]!S_SHARE_TOTAL(D47,$G$5))))</f>
        <v>2.0417004771134182</v>
      </c>
      <c r="S47" s="249">
        <f ca="1">IF(C47="","",[1]!S_SHARE_TOTAL(D47,TODAY())/$E$5)</f>
        <v>3462.7294050000005</v>
      </c>
      <c r="T47" s="249">
        <f t="shared" ca="1" si="3"/>
        <v>179265.50129685004</v>
      </c>
      <c r="U47" s="172">
        <f t="shared" ca="1" si="4"/>
        <v>179265.50129685004</v>
      </c>
      <c r="V47" s="343">
        <f t="shared" ca="1" si="5"/>
        <v>5</v>
      </c>
      <c r="W47" s="139"/>
      <c r="Y47" s="1"/>
    </row>
    <row r="48" spans="3:25" ht="12" customHeight="1">
      <c r="C48" s="342">
        <f t="shared" ca="1" si="0"/>
        <v>35</v>
      </c>
      <c r="D48" s="153" t="str">
        <f t="shared" ca="1" si="1"/>
        <v>600490.SH</v>
      </c>
      <c r="E48" s="153" t="str">
        <f t="shared" ca="1" si="2"/>
        <v>鹏欣资源</v>
      </c>
      <c r="F48" s="170">
        <f ca="1">IF(C48="","",[1]!S_DQ_CLOSE(D48,TODAY(),1))</f>
        <v>9.19</v>
      </c>
      <c r="G48" s="171">
        <f ca="1">IF(C48="","",[1]!s_pq_pctchange(D48,TODAY()-$G$12,TODAY())/100)</f>
        <v>-3.0590717299578185E-2</v>
      </c>
      <c r="H48" s="247">
        <f ca="1">IF(C48="","",IF($H$11="收入",[1]!S_STM07_IS(D48,9,$G$5,$H$13)/$E$5,[1]!S_STM07_IS(D48,48,$G$5,$H$13)/$E$5))</f>
        <v>5132.5236279300007</v>
      </c>
      <c r="I48" s="247">
        <f ca="1">IF(C48="","",IF($I$11="毛利率",([1]!S_STM07_IS(D48,9,$G$5,$H$13)-[1]!S_STM07_IS(D48,10,$G$5,$H$13))/[1]!S_STM07_IS(D48,9,$G$5,$H$13),[1]!S_STM07_IS(D48,14,$G$5,$H$13)/$E$5))</f>
        <v>4.5840498438170896E-2</v>
      </c>
      <c r="J48" s="247">
        <f ca="1">IF(C48="","",IF($J$11="营业利润率",[1]!S_STM07_IS(D48,48,$G$5,$H$13)/[1]!S_STM07_IS(D48,9,$G$5,$H$13),([1]!S_STM07_CS(D48,87,$G$5,$H$13)+[1]!S_STM07_CS(D48,88,$G$5,$H$13)+[1]!S_STM07_CS(D48,89,$G$5,$H$13))/$E$5))</f>
        <v>-5.1626297546508597E-2</v>
      </c>
      <c r="K48" s="247">
        <f ca="1">IF(C48="","",IF($K$11="净利润率",[1]!S_STM07_IS(D48,61,$G$5,$H$13)/[1]!S_STM07_IS(D48,9,$G$5,$H$13),[1]!S_STM07_IS(D48,55,$G$5,$H$13)/$E$5))</f>
        <v>-1.8854582876811611E-2</v>
      </c>
      <c r="L48" s="247">
        <f ca="1">IF(C48="","",IF($L$11="ROA",[1]!S_STM07_IS(D48,61,$G$5,$H$13)/[1]!S_STM07_BS(D48,74,$G$5,$H$13),1-[1]!S_STM07_IS(D48,61,$G$5,$H$13)/[1]!S_STM07_IS(D48,55,$G$5,$H$13)))</f>
        <v>-1.3353332213133185E-2</v>
      </c>
      <c r="M48" s="247">
        <f ca="1">IF(C48="","",IF($M$11="ROE",[1]!S_STM07_IS(D48,61,$G$5,$H$13)/[1]!S_STM07_BS(D48,141,$G$5,$H$13),([1]!S_STM07_BS(D48,25,$G$5,$H$13)-[1]!S_STM07_BS(D48,93,$G$5,$H$13))/$E$5))</f>
        <v>-1.7003769996208999E-2</v>
      </c>
      <c r="N48" s="247">
        <f ca="1">IF(C48="","",IF($N$11="EPS",[1]!S_STM07_IS(D48,61,$G$5,$H$13)/IF([1]!S_SHARE_TOTAL(D48,$G$5)=0,[1]!S_SHARE_TOTAL(D48,[1]!s_ipo_listeddate(D48)),[1]!S_SHARE_TOTAL(D48,$G$5)),([1]!S_STM07_BS(D48,75,$G$5,$H$13)+[1]!S_STM07_BS(D48,88,$G$5,$H$13)+[1]!S_STM07_BS(D48,94,$G$5,$H$13)+[1]!S_STM07_BS(D48,95,$G$5,$H$13))/$E$5))</f>
        <v>-4.3730921938290195E-2</v>
      </c>
      <c r="O48" s="247">
        <f ca="1">IF(C48="","",IF($O$11="BPS",[1]!S_STM07_BS(D48,141,$G$5,$H$13)/IF([1]!S_SHARE_TOTAL(D48,$G$5)=0,[1]!S_SHARE_TOTAL(D48,[1]!s_ipo_listeddate(D48)),[1]!S_SHARE_TOTAL(D48,$G$5)),[1]!S_STM07_CS(D48,49,$G$5,$H$13)/$E$5))</f>
        <v>2.5718368307757649</v>
      </c>
      <c r="P48" s="247">
        <f ca="1">IF(C48="","",IF($P$11="CFPS",[1]!S_STM07_CS(D48,84,$G$5,$H$13)/IF([1]!S_SHARE_TOTAL(D48,$G$5)=0,[1]!S_SHARE_TOTAL(D48,[1]!s_ipo_listeddate(D48)),[1]!S_SHARE_TOTAL(D48,$G$5)),[1]!S_STM07_CS(D48,84,$G$5,$H$13)/$E$5))</f>
        <v>0.21667784887002814</v>
      </c>
      <c r="Q48" s="248">
        <f ca="1">IF(C48="","",F48/([1]!S_STM07_IS(D48,61,$G$5,$H$13)/IF([1]!S_SHARE_TOTAL(D48,$G$5)=0,[1]!S_SHARE_TOTAL(D48,[1]!s_ipo_listeddate(D48)),[1]!S_SHARE_TOTAL(D48,$G$5))))</f>
        <v>-210.14878243290275</v>
      </c>
      <c r="R48" s="248">
        <f ca="1">IF(C48="","",F48/([1]!S_STM07_BS(D48,141,$G$5,$H$13)/IF([1]!S_SHARE_TOTAL(D48,$G$5)=0,[1]!S_SHARE_TOTAL(D48,[1]!s_ipo_listeddate(D48)),[1]!S_SHARE_TOTAL(D48,$G$5))))</f>
        <v>3.5733215614724445</v>
      </c>
      <c r="S48" s="247">
        <f ca="1">IF(C48="","",[1]!S_SHARE_TOTAL(D48,TODAY())/$E$5)</f>
        <v>2212.8870790000001</v>
      </c>
      <c r="T48" s="247">
        <f t="shared" ca="1" si="3"/>
        <v>20336.432256010001</v>
      </c>
      <c r="U48" s="218">
        <f t="shared" ca="1" si="4"/>
        <v>20336.432256010001</v>
      </c>
      <c r="V48" s="342">
        <f t="shared" ca="1" si="5"/>
        <v>27</v>
      </c>
      <c r="W48" s="139"/>
      <c r="Y48" s="1"/>
    </row>
    <row r="49" spans="3:25" ht="12" customHeight="1">
      <c r="C49" s="343">
        <f t="shared" ca="1" si="0"/>
        <v>36</v>
      </c>
      <c r="D49" s="124" t="str">
        <f t="shared" ca="1" si="1"/>
        <v>600497.SH</v>
      </c>
      <c r="E49" s="124" t="str">
        <f t="shared" ca="1" si="2"/>
        <v>驰宏锌锗</v>
      </c>
      <c r="F49" s="172">
        <f ca="1">IF(C49="","",[1]!S_DQ_CLOSE(D49,TODAY(),1))</f>
        <v>9.69</v>
      </c>
      <c r="G49" s="173">
        <f ca="1">IF(C49="","",[1]!s_pq_pctchange(D49,TODAY()-$G$12,TODAY())/100)</f>
        <v>9.2446448703495054E-2</v>
      </c>
      <c r="H49" s="249">
        <f ca="1">IF(C49="","",IF($H$11="收入",[1]!S_STM07_IS(D49,9,$G$5,$H$13)/$E$5,[1]!S_STM07_IS(D49,48,$G$5,$H$13)/$E$5))</f>
        <v>18802.634072099998</v>
      </c>
      <c r="I49" s="249">
        <f ca="1">IF(C49="","",IF($I$11="毛利率",([1]!S_STM07_IS(D49,9,$G$5,$H$13)-[1]!S_STM07_IS(D49,10,$G$5,$H$13))/[1]!S_STM07_IS(D49,9,$G$5,$H$13),[1]!S_STM07_IS(D49,14,$G$5,$H$13)/$E$5))</f>
        <v>0.17706414124338504</v>
      </c>
      <c r="J49" s="249">
        <f ca="1">IF(C49="","",IF($J$11="营业利润率",[1]!S_STM07_IS(D49,48,$G$5,$H$13)/[1]!S_STM07_IS(D49,9,$G$5,$H$13),([1]!S_STM07_CS(D49,87,$G$5,$H$13)+[1]!S_STM07_CS(D49,88,$G$5,$H$13)+[1]!S_STM07_CS(D49,89,$G$5,$H$13))/$E$5))</f>
        <v>8.3210451349557013E-2</v>
      </c>
      <c r="K49" s="249">
        <f ca="1">IF(C49="","",IF($K$11="净利润率",[1]!S_STM07_IS(D49,61,$G$5,$H$13)/[1]!S_STM07_IS(D49,9,$G$5,$H$13),[1]!S_STM07_IS(D49,55,$G$5,$H$13)/$E$5))</f>
        <v>6.8749904557687619E-2</v>
      </c>
      <c r="L49" s="249">
        <f ca="1">IF(C49="","",IF($L$11="ROA",[1]!S_STM07_IS(D49,61,$G$5,$H$13)/[1]!S_STM07_BS(D49,74,$G$5,$H$13),1-[1]!S_STM07_IS(D49,61,$G$5,$H$13)/[1]!S_STM07_IS(D49,55,$G$5,$H$13)))</f>
        <v>4.9023798670218673E-2</v>
      </c>
      <c r="M49" s="249">
        <f ca="1">IF(C49="","",IF($M$11="ROE",[1]!S_STM07_IS(D49,61,$G$5,$H$13)/[1]!S_STM07_BS(D49,141,$G$5,$H$13),([1]!S_STM07_BS(D49,25,$G$5,$H$13)-[1]!S_STM07_BS(D49,93,$G$5,$H$13))/$E$5))</f>
        <v>6.8821014152449358E-2</v>
      </c>
      <c r="N49" s="250">
        <f ca="1">IF(C49="","",IF($N$11="EPS",[1]!S_STM07_IS(D49,61,$G$5,$H$13)/IF([1]!S_SHARE_TOTAL(D49,$G$5)=0,[1]!S_SHARE_TOTAL(D49,[1]!s_ipo_listeddate(D49)),[1]!S_SHARE_TOTAL(D49,$G$5)),([1]!S_STM07_BS(D49,75,$G$5,$H$13)+[1]!S_STM07_BS(D49,88,$G$5,$H$13)+[1]!S_STM07_BS(D49,94,$G$5,$H$13)+[1]!S_STM07_BS(D49,95,$G$5,$H$13))/$E$5))</f>
        <v>0.25390007243246537</v>
      </c>
      <c r="O49" s="250">
        <f ca="1">IF(C49="","",IF($O$11="BPS",[1]!S_STM07_BS(D49,141,$G$5,$H$13)/IF([1]!S_SHARE_TOTAL(D49,$G$5)=0,[1]!S_SHARE_TOTAL(D49,[1]!s_ipo_listeddate(D49)),[1]!S_SHARE_TOTAL(D49,$G$5)),[1]!S_STM07_CS(D49,49,$G$5,$H$13)/$E$5))</f>
        <v>3.6892811819081426</v>
      </c>
      <c r="P49" s="250">
        <f ca="1">IF(C49="","",IF($P$11="CFPS",[1]!S_STM07_CS(D49,84,$G$5,$H$13)/IF([1]!S_SHARE_TOTAL(D49,$G$5)=0,[1]!S_SHARE_TOTAL(D49,[1]!s_ipo_listeddate(D49)),[1]!S_SHARE_TOTAL(D49,$G$5)),[1]!S_STM07_CS(D49,84,$G$5,$H$13)/$E$5))</f>
        <v>0.17731180233989693</v>
      </c>
      <c r="Q49" s="198">
        <f ca="1">IF(C49="","",F49/([1]!S_STM07_IS(D49,61,$G$5,$H$13)/IF([1]!S_SHARE_TOTAL(D49,$G$5)=0,[1]!S_SHARE_TOTAL(D49,[1]!s_ipo_listeddate(D49)),[1]!S_SHARE_TOTAL(D49,$G$5))))</f>
        <v>38.164620857197406</v>
      </c>
      <c r="R49" s="198">
        <f ca="1">IF(C49="","",F49/([1]!S_STM07_BS(D49,141,$G$5,$H$13)/IF([1]!S_SHARE_TOTAL(D49,$G$5)=0,[1]!S_SHARE_TOTAL(D49,[1]!s_ipo_listeddate(D49)),[1]!S_SHARE_TOTAL(D49,$G$5))))</f>
        <v>2.6265279121360465</v>
      </c>
      <c r="S49" s="249">
        <f ca="1">IF(C49="","",[1]!S_SHARE_TOTAL(D49,TODAY())/$E$5)</f>
        <v>5040.3804829999999</v>
      </c>
      <c r="T49" s="249">
        <f t="shared" ca="1" si="3"/>
        <v>48841.286880269996</v>
      </c>
      <c r="U49" s="172">
        <f t="shared" ca="1" si="4"/>
        <v>48841.286880269996</v>
      </c>
      <c r="V49" s="343">
        <f t="shared" ca="1" si="5"/>
        <v>15</v>
      </c>
      <c r="W49" s="140"/>
      <c r="Y49" s="1"/>
    </row>
    <row r="50" spans="3:25" ht="12" customHeight="1">
      <c r="C50" s="342">
        <f t="shared" ca="1" si="0"/>
        <v>37</v>
      </c>
      <c r="D50" s="153" t="str">
        <f t="shared" ca="1" si="1"/>
        <v>600531.SH</v>
      </c>
      <c r="E50" s="153" t="str">
        <f t="shared" ca="1" si="2"/>
        <v>豫光金铅</v>
      </c>
      <c r="F50" s="170">
        <f ca="1">IF(C50="","",[1]!S_DQ_CLOSE(D50,TODAY(),1))</f>
        <v>16.39</v>
      </c>
      <c r="G50" s="171">
        <f ca="1">IF(C50="","",[1]!s_pq_pctchange(D50,TODAY()-$G$12,TODAY())/100)</f>
        <v>9.8582871226124968E-3</v>
      </c>
      <c r="H50" s="247">
        <f ca="1">IF(C50="","",IF($H$11="收入",[1]!S_STM07_IS(D50,9,$G$5,$H$13)/$E$5,[1]!S_STM07_IS(D50,48,$G$5,$H$13)/$E$5))</f>
        <v>39344.53844086</v>
      </c>
      <c r="I50" s="247">
        <f ca="1">IF(C50="","",IF($I$11="毛利率",([1]!S_STM07_IS(D50,9,$G$5,$H$13)-[1]!S_STM07_IS(D50,10,$G$5,$H$13))/[1]!S_STM07_IS(D50,9,$G$5,$H$13),[1]!S_STM07_IS(D50,14,$G$5,$H$13)/$E$5))</f>
        <v>5.9178802177075572E-2</v>
      </c>
      <c r="J50" s="247">
        <f ca="1">IF(C50="","",IF($J$11="营业利润率",[1]!S_STM07_IS(D50,48,$G$5,$H$13)/[1]!S_STM07_IS(D50,9,$G$5,$H$13),([1]!S_STM07_CS(D50,87,$G$5,$H$13)+[1]!S_STM07_CS(D50,88,$G$5,$H$13)+[1]!S_STM07_CS(D50,89,$G$5,$H$13))/$E$5))</f>
        <v>2.4773972387174721E-2</v>
      </c>
      <c r="K50" s="247">
        <f ca="1">IF(C50="","",IF($K$11="净利润率",[1]!S_STM07_IS(D50,61,$G$5,$H$13)/[1]!S_STM07_IS(D50,9,$G$5,$H$13),[1]!S_STM07_IS(D50,55,$G$5,$H$13)/$E$5))</f>
        <v>2.0515777826782822E-2</v>
      </c>
      <c r="L50" s="247">
        <f ca="1">IF(C50="","",IF($L$11="ROA",[1]!S_STM07_IS(D50,61,$G$5,$H$13)/[1]!S_STM07_BS(D50,74,$G$5,$H$13),1-[1]!S_STM07_IS(D50,61,$G$5,$H$13)/[1]!S_STM07_IS(D50,55,$G$5,$H$13)))</f>
        <v>4.5843440751252698E-2</v>
      </c>
      <c r="M50" s="247">
        <f ca="1">IF(C50="","",IF($M$11="ROE",[1]!S_STM07_IS(D50,61,$G$5,$H$13)/[1]!S_STM07_BS(D50,141,$G$5,$H$13),([1]!S_STM07_BS(D50,25,$G$5,$H$13)-[1]!S_STM07_BS(D50,93,$G$5,$H$13))/$E$5))</f>
        <v>0.14651761481473902</v>
      </c>
      <c r="N50" s="247">
        <f ca="1">IF(C50="","",IF($N$11="EPS",[1]!S_STM07_IS(D50,61,$G$5,$H$13)/IF([1]!S_SHARE_TOTAL(D50,$G$5)=0,[1]!S_SHARE_TOTAL(D50,[1]!s_ipo_listeddate(D50)),[1]!S_SHARE_TOTAL(D50,$G$5)),([1]!S_STM07_BS(D50,75,$G$5,$H$13)+[1]!S_STM07_BS(D50,88,$G$5,$H$13)+[1]!S_STM07_BS(D50,94,$G$5,$H$13)+[1]!S_STM07_BS(D50,95,$G$5,$H$13))/$E$5))</f>
        <v>0.74037079836854003</v>
      </c>
      <c r="O50" s="247">
        <f ca="1">IF(C50="","",IF($O$11="BPS",[1]!S_STM07_BS(D50,141,$G$5,$H$13)/IF([1]!S_SHARE_TOTAL(D50,$G$5)=0,[1]!S_SHARE_TOTAL(D50,[1]!s_ipo_listeddate(D50)),[1]!S_SHARE_TOTAL(D50,$G$5)),[1]!S_STM07_CS(D50,49,$G$5,$H$13)/$E$5))</f>
        <v>5.0531180111325567</v>
      </c>
      <c r="P50" s="247">
        <f ca="1">IF(C50="","",IF($P$11="CFPS",[1]!S_STM07_CS(D50,84,$G$5,$H$13)/IF([1]!S_SHARE_TOTAL(D50,$G$5)=0,[1]!S_SHARE_TOTAL(D50,[1]!s_ipo_listeddate(D50)),[1]!S_SHARE_TOTAL(D50,$G$5)),[1]!S_STM07_CS(D50,84,$G$5,$H$13)/$E$5))</f>
        <v>1.0215332575500804</v>
      </c>
      <c r="Q50" s="248">
        <f ca="1">IF(C50="","",F50/([1]!S_STM07_IS(D50,61,$G$5,$H$13)/IF([1]!S_SHARE_TOTAL(D50,$G$5)=0,[1]!S_SHARE_TOTAL(D50,[1]!s_ipo_listeddate(D50)),[1]!S_SHARE_TOTAL(D50,$G$5))))</f>
        <v>22.137555986968337</v>
      </c>
      <c r="R50" s="248">
        <f ca="1">IF(C50="","",F50/([1]!S_STM07_BS(D50,141,$G$5,$H$13)/IF([1]!S_SHARE_TOTAL(D50,$G$5)=0,[1]!S_SHARE_TOTAL(D50,[1]!s_ipo_listeddate(D50)),[1]!S_SHARE_TOTAL(D50,$G$5))))</f>
        <v>3.2435419010383462</v>
      </c>
      <c r="S50" s="247">
        <f ca="1">IF(C50="","",[1]!S_SHARE_TOTAL(D50,TODAY())/$E$5)</f>
        <v>1209.262698</v>
      </c>
      <c r="T50" s="247">
        <f t="shared" ca="1" si="3"/>
        <v>19819.815620220001</v>
      </c>
      <c r="U50" s="218">
        <f t="shared" ca="1" si="4"/>
        <v>19819.815620220001</v>
      </c>
      <c r="V50" s="342">
        <f t="shared" ca="1" si="5"/>
        <v>29</v>
      </c>
      <c r="W50" s="139"/>
      <c r="Y50" s="1"/>
    </row>
    <row r="51" spans="3:25" ht="12" customHeight="1">
      <c r="C51" s="343">
        <f t="shared" ca="1" si="0"/>
        <v>38</v>
      </c>
      <c r="D51" s="124" t="str">
        <f t="shared" ca="1" si="1"/>
        <v>600595.SH</v>
      </c>
      <c r="E51" s="124" t="str">
        <f t="shared" ca="1" si="2"/>
        <v>中孚实业</v>
      </c>
      <c r="F51" s="172">
        <f ca="1">IF(C51="","",[1]!S_DQ_CLOSE(D51,TODAY(),1))</f>
        <v>8.61</v>
      </c>
      <c r="G51" s="173">
        <f ca="1">IF(C51="","",[1]!s_pq_pctchange(D51,TODAY()-$G$12,TODAY())/100)</f>
        <v>6.1652281134401798E-2</v>
      </c>
      <c r="H51" s="249">
        <f ca="1">IF(C51="","",IF($H$11="收入",[1]!S_STM07_IS(D51,9,$G$5,$H$13)/$E$5,[1]!S_STM07_IS(D51,48,$G$5,$H$13)/$E$5))</f>
        <v>22761.267690249999</v>
      </c>
      <c r="I51" s="249">
        <f ca="1">IF(C51="","",IF($I$11="毛利率",([1]!S_STM07_IS(D51,9,$G$5,$H$13)-[1]!S_STM07_IS(D51,10,$G$5,$H$13))/[1]!S_STM07_IS(D51,9,$G$5,$H$13),[1]!S_STM07_IS(D51,14,$G$5,$H$13)/$E$5))</f>
        <v>9.6952973782092569E-2</v>
      </c>
      <c r="J51" s="249">
        <f ca="1">IF(C51="","",IF($J$11="营业利润率",[1]!S_STM07_IS(D51,48,$G$5,$H$13)/[1]!S_STM07_IS(D51,9,$G$5,$H$13),([1]!S_STM07_CS(D51,87,$G$5,$H$13)+[1]!S_STM07_CS(D51,88,$G$5,$H$13)+[1]!S_STM07_CS(D51,89,$G$5,$H$13))/$E$5))</f>
        <v>4.7761922150130448E-2</v>
      </c>
      <c r="K51" s="249">
        <f ca="1">IF(C51="","",IF($K$11="净利润率",[1]!S_STM07_IS(D51,61,$G$5,$H$13)/[1]!S_STM07_IS(D51,9,$G$5,$H$13),[1]!S_STM07_IS(D51,55,$G$5,$H$13)/$E$5))</f>
        <v>3.0915916983017173E-2</v>
      </c>
      <c r="L51" s="249">
        <f ca="1">IF(C51="","",IF($L$11="ROA",[1]!S_STM07_IS(D51,61,$G$5,$H$13)/[1]!S_STM07_BS(D51,74,$G$5,$H$13),1-[1]!S_STM07_IS(D51,61,$G$5,$H$13)/[1]!S_STM07_IS(D51,55,$G$5,$H$13)))</f>
        <v>2.9178654188112271E-2</v>
      </c>
      <c r="M51" s="249">
        <f ca="1">IF(C51="","",IF($M$11="ROE",[1]!S_STM07_IS(D51,61,$G$5,$H$13)/[1]!S_STM07_BS(D51,141,$G$5,$H$13),([1]!S_STM07_BS(D51,25,$G$5,$H$13)-[1]!S_STM07_BS(D51,93,$G$5,$H$13))/$E$5))</f>
        <v>4.3594818993406032E-2</v>
      </c>
      <c r="N51" s="250">
        <f ca="1">IF(C51="","",IF($N$11="EPS",[1]!S_STM07_IS(D51,61,$G$5,$H$13)/IF([1]!S_SHARE_TOTAL(D51,$G$5)=0,[1]!S_SHARE_TOTAL(D51,[1]!s_ipo_listeddate(D51)),[1]!S_SHARE_TOTAL(D51,$G$5)),([1]!S_STM07_BS(D51,75,$G$5,$H$13)+[1]!S_STM07_BS(D51,88,$G$5,$H$13)+[1]!S_STM07_BS(D51,94,$G$5,$H$13)+[1]!S_STM07_BS(D51,95,$G$5,$H$13))/$E$5))</f>
        <v>0.17550760141270291</v>
      </c>
      <c r="O51" s="250">
        <f ca="1">IF(C51="","",IF($O$11="BPS",[1]!S_STM07_BS(D51,141,$G$5,$H$13)/IF([1]!S_SHARE_TOTAL(D51,$G$5)=0,[1]!S_SHARE_TOTAL(D51,[1]!s_ipo_listeddate(D51)),[1]!S_SHARE_TOTAL(D51,$G$5)),[1]!S_STM07_CS(D51,49,$G$5,$H$13)/$E$5))</f>
        <v>4.0258820994129936</v>
      </c>
      <c r="P51" s="250">
        <f ca="1">IF(C51="","",IF($P$11="CFPS",[1]!S_STM07_CS(D51,84,$G$5,$H$13)/IF([1]!S_SHARE_TOTAL(D51,$G$5)=0,[1]!S_SHARE_TOTAL(D51,[1]!s_ipo_listeddate(D51)),[1]!S_SHARE_TOTAL(D51,$G$5)),[1]!S_STM07_CS(D51,84,$G$5,$H$13)/$E$5))</f>
        <v>0.13376876649807096</v>
      </c>
      <c r="Q51" s="198">
        <f ca="1">IF(C51="","",F51/([1]!S_STM07_IS(D51,61,$G$5,$H$13)/IF([1]!S_SHARE_TOTAL(D51,$G$5)=0,[1]!S_SHARE_TOTAL(D51,[1]!s_ipo_listeddate(D51)),[1]!S_SHARE_TOTAL(D51,$G$5))))</f>
        <v>49.057704228740164</v>
      </c>
      <c r="R51" s="198">
        <f ca="1">IF(C51="","",F51/([1]!S_STM07_BS(D51,141,$G$5,$H$13)/IF([1]!S_SHARE_TOTAL(D51,$G$5)=0,[1]!S_SHARE_TOTAL(D51,[1]!s_ipo_listeddate(D51)),[1]!S_SHARE_TOTAL(D51,$G$5))))</f>
        <v>2.1386617360839772</v>
      </c>
      <c r="S51" s="249">
        <f ca="1">IF(C51="","",[1]!S_SHARE_TOTAL(D51,TODAY())/$E$5)</f>
        <v>4007.9051140000001</v>
      </c>
      <c r="T51" s="249">
        <f t="shared" ca="1" si="3"/>
        <v>34508.063031539998</v>
      </c>
      <c r="U51" s="172">
        <f t="shared" ca="1" si="4"/>
        <v>34508.063031539998</v>
      </c>
      <c r="V51" s="343">
        <f t="shared" ca="1" si="5"/>
        <v>18</v>
      </c>
      <c r="W51" s="139"/>
      <c r="Y51" s="1"/>
    </row>
    <row r="52" spans="3:25" ht="12" customHeight="1">
      <c r="C52" s="342">
        <f t="shared" ca="1" si="0"/>
        <v>39</v>
      </c>
      <c r="D52" s="153" t="str">
        <f t="shared" ref="D52:D57" ca="1" si="8">IF(C52="","",VLOOKUP(C52,comppool,2,FALSE))</f>
        <v>600615.SH</v>
      </c>
      <c r="E52" s="153" t="str">
        <f t="shared" ref="E52:E57" ca="1" si="9">IF(C52="","",VLOOKUP(C52,comppool,3,FALSE))</f>
        <v>鑫源智造</v>
      </c>
      <c r="F52" s="170">
        <f ca="1">IF(C52="","",[1]!S_DQ_CLOSE(D52,TODAY(),1))</f>
        <v>12.39</v>
      </c>
      <c r="G52" s="171">
        <f ca="1">IF(C52="","",[1]!s_pq_pctchange(D52,TODAY()-$G$12,TODAY())/100)</f>
        <v>-3.4294621979734874E-2</v>
      </c>
      <c r="H52" s="247">
        <f ca="1">IF(C52="","",IF($H$11="收入",[1]!S_STM07_IS(D52,9,$G$5,$H$13)/$E$5,[1]!S_STM07_IS(D52,48,$G$5,$H$13)/$E$5))</f>
        <v>188.82590028999999</v>
      </c>
      <c r="I52" s="247">
        <f ca="1">IF(C52="","",IF($I$11="毛利率",([1]!S_STM07_IS(D52,9,$G$5,$H$13)-[1]!S_STM07_IS(D52,10,$G$5,$H$13))/[1]!S_STM07_IS(D52,9,$G$5,$H$13),[1]!S_STM07_IS(D52,14,$G$5,$H$13)/$E$5))</f>
        <v>0.15326229360248741</v>
      </c>
      <c r="J52" s="247">
        <f ca="1">IF(C52="","",IF($J$11="营业利润率",[1]!S_STM07_IS(D52,48,$G$5,$H$13)/[1]!S_STM07_IS(D52,9,$G$5,$H$13),([1]!S_STM07_CS(D52,87,$G$5,$H$13)+[1]!S_STM07_CS(D52,88,$G$5,$H$13)+[1]!S_STM07_CS(D52,89,$G$5,$H$13))/$E$5))</f>
        <v>7.0886416426152024E-2</v>
      </c>
      <c r="K52" s="247">
        <f ca="1">IF(C52="","",IF($K$11="净利润率",[1]!S_STM07_IS(D52,61,$G$5,$H$13)/[1]!S_STM07_IS(D52,9,$G$5,$H$13),[1]!S_STM07_IS(D52,55,$G$5,$H$13)/$E$5))</f>
        <v>4.6376185240218137E-2</v>
      </c>
      <c r="L52" s="247">
        <f ca="1">IF(C52="","",IF($L$11="ROA",[1]!S_STM07_IS(D52,61,$G$5,$H$13)/[1]!S_STM07_BS(D52,74,$G$5,$H$13),1-[1]!S_STM07_IS(D52,61,$G$5,$H$13)/[1]!S_STM07_IS(D52,55,$G$5,$H$13)))</f>
        <v>7.1974970052120892E-3</v>
      </c>
      <c r="M52" s="247">
        <f ca="1">IF(C52="","",IF($M$11="ROE",[1]!S_STM07_IS(D52,61,$G$5,$H$13)/[1]!S_STM07_BS(D52,141,$G$5,$H$13),([1]!S_STM07_BS(D52,25,$G$5,$H$13)-[1]!S_STM07_BS(D52,93,$G$5,$H$13))/$E$5))</f>
        <v>1.0758190524844531E-2</v>
      </c>
      <c r="N52" s="247">
        <f ca="1">IF(C52="","",IF($N$11="EPS",[1]!S_STM07_IS(D52,61,$G$5,$H$13)/IF([1]!S_SHARE_TOTAL(D52,$G$5)=0,[1]!S_SHARE_TOTAL(D52,[1]!s_ipo_listeddate(D52)),[1]!S_SHARE_TOTAL(D52,$G$5)),([1]!S_STM07_BS(D52,75,$G$5,$H$13)+[1]!S_STM07_BS(D52,88,$G$5,$H$13)+[1]!S_STM07_BS(D52,94,$G$5,$H$13)+[1]!S_STM07_BS(D52,95,$G$5,$H$13))/$E$5))</f>
        <v>4.6574839219134544E-2</v>
      </c>
      <c r="O52" s="247">
        <f ca="1">IF(C52="","",IF($O$11="BPS",[1]!S_STM07_BS(D52,141,$G$5,$H$13)/IF([1]!S_SHARE_TOTAL(D52,$G$5)=0,[1]!S_SHARE_TOTAL(D52,[1]!s_ipo_listeddate(D52)),[1]!S_SHARE_TOTAL(D52,$G$5)),[1]!S_STM07_CS(D52,49,$G$5,$H$13)/$E$5))</f>
        <v>4.3292446914354681</v>
      </c>
      <c r="P52" s="247">
        <f ca="1">IF(C52="","",IF($P$11="CFPS",[1]!S_STM07_CS(D52,84,$G$5,$H$13)/IF([1]!S_SHARE_TOTAL(D52,$G$5)=0,[1]!S_SHARE_TOTAL(D52,[1]!s_ipo_listeddate(D52)),[1]!S_SHARE_TOTAL(D52,$G$5)),[1]!S_STM07_CS(D52,84,$G$5,$H$13)/$E$5))</f>
        <v>0.38701119518302757</v>
      </c>
      <c r="Q52" s="248">
        <f ca="1">IF(C52="","",F52/([1]!S_STM07_IS(D52,61,$G$5,$H$13)/IF([1]!S_SHARE_TOTAL(D52,$G$5)=0,[1]!S_SHARE_TOTAL(D52,[1]!s_ipo_listeddate(D52)),[1]!S_SHARE_TOTAL(D52,$G$5))))</f>
        <v>266.02346261905643</v>
      </c>
      <c r="R52" s="248">
        <f ca="1">IF(C52="","",F52/([1]!S_STM07_BS(D52,141,$G$5,$H$13)/IF([1]!S_SHARE_TOTAL(D52,$G$5)=0,[1]!S_SHARE_TOTAL(D52,[1]!s_ipo_listeddate(D52)),[1]!S_SHARE_TOTAL(D52,$G$5))))</f>
        <v>2.8619310949346661</v>
      </c>
      <c r="S52" s="247">
        <f ca="1">IF(C52="","",[1]!S_SHARE_TOTAL(D52,TODAY())/$E$5)</f>
        <v>225.62460999999999</v>
      </c>
      <c r="T52" s="247">
        <f t="shared" ca="1" si="3"/>
        <v>2795.4889179000002</v>
      </c>
      <c r="U52" s="218">
        <f t="shared" ca="1" si="4"/>
        <v>2795.4889179000002</v>
      </c>
      <c r="V52" s="342">
        <f t="shared" ca="1" si="5"/>
        <v>58</v>
      </c>
      <c r="W52" s="139"/>
      <c r="Y52" s="1"/>
    </row>
    <row r="53" spans="3:25" ht="12" customHeight="1">
      <c r="C53" s="343">
        <f t="shared" ca="1" si="0"/>
        <v>40</v>
      </c>
      <c r="D53" s="124" t="str">
        <f t="shared" ca="1" si="8"/>
        <v>600768.SH</v>
      </c>
      <c r="E53" s="124" t="str">
        <f t="shared" ca="1" si="9"/>
        <v>宁波富邦</v>
      </c>
      <c r="F53" s="172">
        <f ca="1">IF(C53="","",[1]!S_DQ_CLOSE(D53,TODAY(),1))</f>
        <v>17.690000000000001</v>
      </c>
      <c r="G53" s="173">
        <f ca="1">IF(C53="","",[1]!s_pq_pctchange(D53,TODAY()-$G$12,TODAY())/100)</f>
        <v>-6.1797752808988582E-3</v>
      </c>
      <c r="H53" s="249">
        <f ca="1">IF(C53="","",IF($H$11="收入",[1]!S_STM07_IS(D53,9,$G$5,$H$13)/$E$5,[1]!S_STM07_IS(D53,48,$G$5,$H$13)/$E$5))</f>
        <v>1044.2717243300001</v>
      </c>
      <c r="I53" s="249">
        <f ca="1">IF(C53="","",IF($I$11="毛利率",([1]!S_STM07_IS(D53,9,$G$5,$H$13)-[1]!S_STM07_IS(D53,10,$G$5,$H$13))/[1]!S_STM07_IS(D53,9,$G$5,$H$13),[1]!S_STM07_IS(D53,14,$G$5,$H$13)/$E$5))</f>
        <v>8.4750110711637405E-2</v>
      </c>
      <c r="J53" s="249">
        <f ca="1">IF(C53="","",IF($J$11="营业利润率",[1]!S_STM07_IS(D53,48,$G$5,$H$13)/[1]!S_STM07_IS(D53,9,$G$5,$H$13),([1]!S_STM07_CS(D53,87,$G$5,$H$13)+[1]!S_STM07_CS(D53,88,$G$5,$H$13)+[1]!S_STM07_CS(D53,89,$G$5,$H$13))/$E$5))</f>
        <v>2.829180523771771E-2</v>
      </c>
      <c r="K53" s="249">
        <f ca="1">IF(C53="","",IF($K$11="净利润率",[1]!S_STM07_IS(D53,61,$G$5,$H$13)/[1]!S_STM07_IS(D53,9,$G$5,$H$13),[1]!S_STM07_IS(D53,55,$G$5,$H$13)/$E$5))</f>
        <v>1.4964555427397263E-3</v>
      </c>
      <c r="L53" s="249">
        <f ca="1">IF(C53="","",IF($L$11="ROA",[1]!S_STM07_IS(D53,61,$G$5,$H$13)/[1]!S_STM07_BS(D53,74,$G$5,$H$13),1-[1]!S_STM07_IS(D53,61,$G$5,$H$13)/[1]!S_STM07_IS(D53,55,$G$5,$H$13)))</f>
        <v>1.4642185598403054E-3</v>
      </c>
      <c r="M53" s="249">
        <f ca="1">IF(C53="","",IF($M$11="ROE",[1]!S_STM07_IS(D53,61,$G$5,$H$13)/[1]!S_STM07_BS(D53,141,$G$5,$H$13),([1]!S_STM07_BS(D53,25,$G$5,$H$13)-[1]!S_STM07_BS(D53,93,$G$5,$H$13))/$E$5))</f>
        <v>3.4819859595475303E-3</v>
      </c>
      <c r="N53" s="250">
        <f ca="1">IF(C53="","",IF($N$11="EPS",[1]!S_STM07_IS(D53,61,$G$5,$H$13)/IF([1]!S_SHARE_TOTAL(D53,$G$5)=0,[1]!S_SHARE_TOTAL(D53,[1]!s_ipo_listeddate(D53)),[1]!S_SHARE_TOTAL(D53,$G$5)),([1]!S_STM07_BS(D53,75,$G$5,$H$13)+[1]!S_STM07_BS(D53,88,$G$5,$H$13)+[1]!S_STM07_BS(D53,94,$G$5,$H$13)+[1]!S_STM07_BS(D53,95,$G$5,$H$13))/$E$5))</f>
        <v>1.1684029347904105E-2</v>
      </c>
      <c r="O53" s="250">
        <f ca="1">IF(C53="","",IF($O$11="BPS",[1]!S_STM07_BS(D53,141,$G$5,$H$13)/IF([1]!S_SHARE_TOTAL(D53,$G$5)=0,[1]!S_SHARE_TOTAL(D53,[1]!s_ipo_listeddate(D53)),[1]!S_SHARE_TOTAL(D53,$G$5)),[1]!S_STM07_CS(D53,49,$G$5,$H$13)/$E$5))</f>
        <v>3.355564750589171</v>
      </c>
      <c r="P53" s="250">
        <f ca="1">IF(C53="","",IF($P$11="CFPS",[1]!S_STM07_CS(D53,84,$G$5,$H$13)/IF([1]!S_SHARE_TOTAL(D53,$G$5)=0,[1]!S_SHARE_TOTAL(D53,[1]!s_ipo_listeddate(D53)),[1]!S_SHARE_TOTAL(D53,$G$5)),[1]!S_STM07_CS(D53,84,$G$5,$H$13)/$E$5))</f>
        <v>0.86501028455175133</v>
      </c>
      <c r="Q53" s="198">
        <f ca="1">IF(C53="","",F53/([1]!S_STM07_IS(D53,61,$G$5,$H$13)/IF([1]!S_SHARE_TOTAL(D53,$G$5)=0,[1]!S_SHARE_TOTAL(D53,[1]!s_ipo_listeddate(D53)),[1]!S_SHARE_TOTAL(D53,$G$5))))</f>
        <v>1514.0324859910811</v>
      </c>
      <c r="R53" s="198">
        <f ca="1">IF(C53="","",F53/([1]!S_STM07_BS(D53,141,$G$5,$H$13)/IF([1]!S_SHARE_TOTAL(D53,$G$5)=0,[1]!S_SHARE_TOTAL(D53,[1]!s_ipo_listeddate(D53)),[1]!S_SHARE_TOTAL(D53,$G$5))))</f>
        <v>5.2718398585197876</v>
      </c>
      <c r="S53" s="249">
        <f ca="1">IF(C53="","",[1]!S_SHARE_TOTAL(D53,TODAY())/$E$5)</f>
        <v>133.74719999999999</v>
      </c>
      <c r="T53" s="249">
        <f t="shared" ca="1" si="3"/>
        <v>2365.9879679999999</v>
      </c>
      <c r="U53" s="172">
        <f t="shared" ca="1" si="4"/>
        <v>2365.9879679999999</v>
      </c>
      <c r="V53" s="343">
        <f t="shared" ca="1" si="5"/>
        <v>60</v>
      </c>
      <c r="W53" s="140"/>
      <c r="Y53" s="1"/>
    </row>
    <row r="54" spans="3:25" ht="12" customHeight="1">
      <c r="C54" s="342">
        <f t="shared" ca="1" si="0"/>
        <v>41</v>
      </c>
      <c r="D54" s="153" t="str">
        <f t="shared" ca="1" si="8"/>
        <v>600888.SH</v>
      </c>
      <c r="E54" s="153" t="str">
        <f t="shared" ca="1" si="9"/>
        <v>新疆众和</v>
      </c>
      <c r="F54" s="170">
        <f ca="1">IF(C54="","",[1]!S_DQ_CLOSE(D54,TODAY(),1))</f>
        <v>9.36</v>
      </c>
      <c r="G54" s="171">
        <f ca="1">IF(C54="","",[1]!s_pq_pctchange(D54,TODAY()-$G$12,TODAY())/100)</f>
        <v>8.8372093023255882E-2</v>
      </c>
      <c r="H54" s="247">
        <f ca="1">IF(C54="","",IF($H$11="收入",[1]!S_STM07_IS(D54,9,$G$5,$H$13)/$E$5,[1]!S_STM07_IS(D54,48,$G$5,$H$13)/$E$5))</f>
        <v>7320.9489722899998</v>
      </c>
      <c r="I54" s="247">
        <f ca="1">IF(C54="","",IF($I$11="毛利率",([1]!S_STM07_IS(D54,9,$G$5,$H$13)-[1]!S_STM07_IS(D54,10,$G$5,$H$13))/[1]!S_STM07_IS(D54,9,$G$5,$H$13),[1]!S_STM07_IS(D54,14,$G$5,$H$13)/$E$5))</f>
        <v>0.10849917235545725</v>
      </c>
      <c r="J54" s="247">
        <f ca="1">IF(C54="","",IF($J$11="营业利润率",[1]!S_STM07_IS(D54,48,$G$5,$H$13)/[1]!S_STM07_IS(D54,9,$G$5,$H$13),([1]!S_STM07_CS(D54,87,$G$5,$H$13)+[1]!S_STM07_CS(D54,88,$G$5,$H$13)+[1]!S_STM07_CS(D54,89,$G$5,$H$13))/$E$5))</f>
        <v>0.16626061088625008</v>
      </c>
      <c r="K54" s="247">
        <f ca="1">IF(C54="","",IF($K$11="净利润率",[1]!S_STM07_IS(D54,61,$G$5,$H$13)/[1]!S_STM07_IS(D54,9,$G$5,$H$13),[1]!S_STM07_IS(D54,55,$G$5,$H$13)/$E$5))</f>
        <v>0.16435684552020893</v>
      </c>
      <c r="L54" s="247">
        <f ca="1">IF(C54="","",IF($L$11="ROA",[1]!S_STM07_IS(D54,61,$G$5,$H$13)/[1]!S_STM07_BS(D54,74,$G$5,$H$13),1-[1]!S_STM07_IS(D54,61,$G$5,$H$13)/[1]!S_STM07_IS(D54,55,$G$5,$H$13)))</f>
        <v>6.7402978108111078E-2</v>
      </c>
      <c r="M54" s="247">
        <f ca="1">IF(C54="","",IF($M$11="ROE",[1]!S_STM07_IS(D54,61,$G$5,$H$13)/[1]!S_STM07_BS(D54,141,$G$5,$H$13),([1]!S_STM07_BS(D54,25,$G$5,$H$13)-[1]!S_STM07_BS(D54,93,$G$5,$H$13))/$E$5))</f>
        <v>0.10833471293332729</v>
      </c>
      <c r="N54" s="247">
        <f ca="1">IF(C54="","",IF($N$11="EPS",[1]!S_STM07_IS(D54,61,$G$5,$H$13)/IF([1]!S_SHARE_TOTAL(D54,$G$5)=0,[1]!S_SHARE_TOTAL(D54,[1]!s_ipo_listeddate(D54)),[1]!S_SHARE_TOTAL(D54,$G$5)),([1]!S_STM07_BS(D54,75,$G$5,$H$13)+[1]!S_STM07_BS(D54,88,$G$5,$H$13)+[1]!S_STM07_BS(D54,94,$G$5,$H$13)+[1]!S_STM07_BS(D54,95,$G$5,$H$13))/$E$5))</f>
        <v>0.87433739383848541</v>
      </c>
      <c r="O54" s="247">
        <f ca="1">IF(C54="","",IF($O$11="BPS",[1]!S_STM07_BS(D54,141,$G$5,$H$13)/IF([1]!S_SHARE_TOTAL(D54,$G$5)=0,[1]!S_SHARE_TOTAL(D54,[1]!s_ipo_listeddate(D54)),[1]!S_SHARE_TOTAL(D54,$G$5)),[1]!S_STM07_CS(D54,49,$G$5,$H$13)/$E$5))</f>
        <v>8.0707039338035731</v>
      </c>
      <c r="P54" s="247">
        <f ca="1">IF(C54="","",IF($P$11="CFPS",[1]!S_STM07_CS(D54,84,$G$5,$H$13)/IF([1]!S_SHARE_TOTAL(D54,$G$5)=0,[1]!S_SHARE_TOTAL(D54,[1]!s_ipo_listeddate(D54)),[1]!S_SHARE_TOTAL(D54,$G$5)),[1]!S_STM07_CS(D54,84,$G$5,$H$13)/$E$5))</f>
        <v>2.3665168401800019</v>
      </c>
      <c r="Q54" s="248">
        <f ca="1">IF(C54="","",F54/([1]!S_STM07_IS(D54,61,$G$5,$H$13)/IF([1]!S_SHARE_TOTAL(D54,$G$5)=0,[1]!S_SHARE_TOTAL(D54,[1]!s_ipo_listeddate(D54)),[1]!S_SHARE_TOTAL(D54,$G$5))))</f>
        <v>10.705249559221132</v>
      </c>
      <c r="R54" s="248">
        <f ca="1">IF(C54="","",F54/([1]!S_STM07_BS(D54,141,$G$5,$H$13)/IF([1]!S_SHARE_TOTAL(D54,$G$5)=0,[1]!S_SHARE_TOTAL(D54,[1]!s_ipo_listeddate(D54)),[1]!S_SHARE_TOTAL(D54,$G$5))))</f>
        <v>1.1597501378778499</v>
      </c>
      <c r="S54" s="247">
        <f ca="1">IF(C54="","",[1]!S_SHARE_TOTAL(D54,TODAY())/$E$5)</f>
        <v>1490.1227630000001</v>
      </c>
      <c r="T54" s="247">
        <f t="shared" ca="1" si="3"/>
        <v>13947.54906168</v>
      </c>
      <c r="U54" s="218">
        <f t="shared" ca="1" si="4"/>
        <v>13947.54906168</v>
      </c>
      <c r="V54" s="342">
        <f t="shared" ca="1" si="5"/>
        <v>37</v>
      </c>
      <c r="W54" s="139"/>
      <c r="Y54" s="1"/>
    </row>
    <row r="55" spans="3:25" ht="12" customHeight="1">
      <c r="C55" s="343">
        <f t="shared" ca="1" si="0"/>
        <v>42</v>
      </c>
      <c r="D55" s="124" t="str">
        <f t="shared" ca="1" si="8"/>
        <v>600961.SH</v>
      </c>
      <c r="E55" s="124" t="str">
        <f t="shared" ca="1" si="9"/>
        <v>株冶集团</v>
      </c>
      <c r="F55" s="172">
        <f ca="1">IF(C55="","",[1]!S_DQ_CLOSE(D55,TODAY(),1))</f>
        <v>22.13</v>
      </c>
      <c r="G55" s="173">
        <f ca="1">IF(C55="","",[1]!s_pq_pctchange(D55,TODAY()-$G$12,TODAY())/100)</f>
        <v>9.4460929772502311E-2</v>
      </c>
      <c r="H55" s="249">
        <f ca="1">IF(C55="","",IF($H$11="收入",[1]!S_STM07_IS(D55,9,$G$5,$H$13)/$E$5,[1]!S_STM07_IS(D55,48,$G$5,$H$13)/$E$5))</f>
        <v>19759.21506069</v>
      </c>
      <c r="I55" s="249">
        <f ca="1">IF(C55="","",IF($I$11="毛利率",([1]!S_STM07_IS(D55,9,$G$5,$H$13)-[1]!S_STM07_IS(D55,10,$G$5,$H$13))/[1]!S_STM07_IS(D55,9,$G$5,$H$13),[1]!S_STM07_IS(D55,14,$G$5,$H$13)/$E$5))</f>
        <v>8.8180802490296528E-2</v>
      </c>
      <c r="J55" s="249">
        <f ca="1">IF(C55="","",IF($J$11="营业利润率",[1]!S_STM07_IS(D55,48,$G$5,$H$13)/[1]!S_STM07_IS(D55,9,$G$5,$H$13),([1]!S_STM07_CS(D55,87,$G$5,$H$13)+[1]!S_STM07_CS(D55,88,$G$5,$H$13)+[1]!S_STM07_CS(D55,89,$G$5,$H$13))/$E$5))</f>
        <v>4.9231432595482384E-2</v>
      </c>
      <c r="K55" s="249">
        <f ca="1">IF(C55="","",IF($K$11="净利润率",[1]!S_STM07_IS(D55,61,$G$5,$H$13)/[1]!S_STM07_IS(D55,9,$G$5,$H$13),[1]!S_STM07_IS(D55,55,$G$5,$H$13)/$E$5))</f>
        <v>3.980600526155384E-2</v>
      </c>
      <c r="L55" s="249">
        <f ca="1">IF(C55="","",IF($L$11="ROA",[1]!S_STM07_IS(D55,61,$G$5,$H$13)/[1]!S_STM07_BS(D55,74,$G$5,$H$13),1-[1]!S_STM07_IS(D55,61,$G$5,$H$13)/[1]!S_STM07_IS(D55,55,$G$5,$H$13)))</f>
        <v>8.6086647906659541E-2</v>
      </c>
      <c r="M55" s="249">
        <f ca="1">IF(C55="","",IF($M$11="ROE",[1]!S_STM07_IS(D55,61,$G$5,$H$13)/[1]!S_STM07_BS(D55,141,$G$5,$H$13),([1]!S_STM07_BS(D55,25,$G$5,$H$13)-[1]!S_STM07_BS(D55,93,$G$5,$H$13))/$E$5))</f>
        <v>0.175145702986261</v>
      </c>
      <c r="N55" s="250">
        <f ca="1">IF(C55="","",IF($N$11="EPS",[1]!S_STM07_IS(D55,61,$G$5,$H$13)/IF([1]!S_SHARE_TOTAL(D55,$G$5)=0,[1]!S_SHARE_TOTAL(D55,[1]!s_ipo_listeddate(D55)),[1]!S_SHARE_TOTAL(D55,$G$5)),([1]!S_STM07_BS(D55,75,$G$5,$H$13)+[1]!S_STM07_BS(D55,88,$G$5,$H$13)+[1]!S_STM07_BS(D55,94,$G$5,$H$13)+[1]!S_STM07_BS(D55,95,$G$5,$H$13))/$E$5))</f>
        <v>0.73311159513208335</v>
      </c>
      <c r="O55" s="250">
        <f ca="1">IF(C55="","",IF($O$11="BPS",[1]!S_STM07_BS(D55,141,$G$5,$H$13)/IF([1]!S_SHARE_TOTAL(D55,$G$5)=0,[1]!S_SHARE_TOTAL(D55,[1]!s_ipo_listeddate(D55)),[1]!S_SHARE_TOTAL(D55,$G$5)),[1]!S_STM07_CS(D55,49,$G$5,$H$13)/$E$5))</f>
        <v>4.1857241292958873</v>
      </c>
      <c r="P55" s="250">
        <f ca="1">IF(C55="","",IF($P$11="CFPS",[1]!S_STM07_CS(D55,84,$G$5,$H$13)/IF([1]!S_SHARE_TOTAL(D55,$G$5)=0,[1]!S_SHARE_TOTAL(D55,[1]!s_ipo_listeddate(D55)),[1]!S_SHARE_TOTAL(D55,$G$5)),[1]!S_STM07_CS(D55,84,$G$5,$H$13)/$E$5))</f>
        <v>0.34992157927984868</v>
      </c>
      <c r="Q55" s="198">
        <f ca="1">IF(C55="","",F55/([1]!S_STM07_IS(D55,61,$G$5,$H$13)/IF([1]!S_SHARE_TOTAL(D55,$G$5)=0,[1]!S_SHARE_TOTAL(D55,[1]!s_ipo_listeddate(D55)),[1]!S_SHARE_TOTAL(D55,$G$5))))</f>
        <v>30.186400197384518</v>
      </c>
      <c r="R55" s="198">
        <f ca="1">IF(C55="","",F55/([1]!S_STM07_BS(D55,141,$G$5,$H$13)/IF([1]!S_SHARE_TOTAL(D55,$G$5)=0,[1]!S_SHARE_TOTAL(D55,[1]!s_ipo_listeddate(D55)),[1]!S_SHARE_TOTAL(D55,$G$5))))</f>
        <v>5.2870182831955184</v>
      </c>
      <c r="S55" s="249">
        <f ca="1">IF(C55="","",[1]!S_SHARE_TOTAL(D55,TODAY())/$E$5)</f>
        <v>1072.872703</v>
      </c>
      <c r="T55" s="249">
        <f t="shared" ca="1" si="3"/>
        <v>23742.672917389998</v>
      </c>
      <c r="U55" s="172">
        <f t="shared" ca="1" si="4"/>
        <v>23742.672917389998</v>
      </c>
      <c r="V55" s="343">
        <f t="shared" ca="1" si="5"/>
        <v>24</v>
      </c>
      <c r="W55" s="139"/>
      <c r="Y55" s="1"/>
    </row>
    <row r="56" spans="3:25" ht="12" customHeight="1">
      <c r="C56" s="342">
        <f t="shared" ca="1" si="0"/>
        <v>43</v>
      </c>
      <c r="D56" s="153" t="str">
        <f t="shared" ca="1" si="8"/>
        <v>601020.SH</v>
      </c>
      <c r="E56" s="153" t="str">
        <f t="shared" ca="1" si="9"/>
        <v>华钰矿业</v>
      </c>
      <c r="F56" s="170">
        <f ca="1">IF(C56="","",[1]!S_DQ_CLOSE(D56,TODAY(),1))</f>
        <v>34.380000000000003</v>
      </c>
      <c r="G56" s="171">
        <f ca="1">IF(C56="","",[1]!s_pq_pctchange(D56,TODAY()-$G$12,TODAY())/100)</f>
        <v>5.5896805896805901E-2</v>
      </c>
      <c r="H56" s="247">
        <f ca="1">IF(C56="","",IF($H$11="收入",[1]!S_STM07_IS(D56,9,$G$5,$H$13)/$E$5,[1]!S_STM07_IS(D56,48,$G$5,$H$13)/$E$5))</f>
        <v>1613.8237081099999</v>
      </c>
      <c r="I56" s="247">
        <f ca="1">IF(C56="","",IF($I$11="毛利率",([1]!S_STM07_IS(D56,9,$G$5,$H$13)-[1]!S_STM07_IS(D56,10,$G$5,$H$13))/[1]!S_STM07_IS(D56,9,$G$5,$H$13),[1]!S_STM07_IS(D56,14,$G$5,$H$13)/$E$5))</f>
        <v>0.54595045351133575</v>
      </c>
      <c r="J56" s="247">
        <f ca="1">IF(C56="","",IF($J$11="营业利润率",[1]!S_STM07_IS(D56,48,$G$5,$H$13)/[1]!S_STM07_IS(D56,9,$G$5,$H$13),([1]!S_STM07_CS(D56,87,$G$5,$H$13)+[1]!S_STM07_CS(D56,88,$G$5,$H$13)+[1]!S_STM07_CS(D56,89,$G$5,$H$13))/$E$5))</f>
        <v>0.27634491497977309</v>
      </c>
      <c r="K56" s="247">
        <f ca="1">IF(C56="","",IF($K$11="净利润率",[1]!S_STM07_IS(D56,61,$G$5,$H$13)/[1]!S_STM07_IS(D56,9,$G$5,$H$13),[1]!S_STM07_IS(D56,55,$G$5,$H$13)/$E$5))</f>
        <v>0.15697020502113809</v>
      </c>
      <c r="L56" s="247">
        <f ca="1">IF(C56="","",IF($L$11="ROA",[1]!S_STM07_IS(D56,61,$G$5,$H$13)/[1]!S_STM07_BS(D56,74,$G$5,$H$13),1-[1]!S_STM07_IS(D56,61,$G$5,$H$13)/[1]!S_STM07_IS(D56,55,$G$5,$H$13)))</f>
        <v>4.3784366459021562E-2</v>
      </c>
      <c r="M56" s="247">
        <f ca="1">IF(C56="","",IF($M$11="ROE",[1]!S_STM07_IS(D56,61,$G$5,$H$13)/[1]!S_STM07_BS(D56,141,$G$5,$H$13),([1]!S_STM07_BS(D56,25,$G$5,$H$13)-[1]!S_STM07_BS(D56,93,$G$5,$H$13))/$E$5))</f>
        <v>6.1956260522333217E-2</v>
      </c>
      <c r="N56" s="247">
        <f ca="1">IF(C56="","",IF($N$11="EPS",[1]!S_STM07_IS(D56,61,$G$5,$H$13)/IF([1]!S_SHARE_TOTAL(D56,$G$5)=0,[1]!S_SHARE_TOTAL(D56,[1]!s_ipo_listeddate(D56)),[1]!S_SHARE_TOTAL(D56,$G$5)),([1]!S_STM07_BS(D56,75,$G$5,$H$13)+[1]!S_STM07_BS(D56,88,$G$5,$H$13)+[1]!S_STM07_BS(D56,94,$G$5,$H$13)+[1]!S_STM07_BS(D56,95,$G$5,$H$13))/$E$5))</f>
        <v>0.30894285930587706</v>
      </c>
      <c r="O56" s="247">
        <f ca="1">IF(C56="","",IF($O$11="BPS",[1]!S_STM07_BS(D56,141,$G$5,$H$13)/IF([1]!S_SHARE_TOTAL(D56,$G$5)=0,[1]!S_SHARE_TOTAL(D56,[1]!s_ipo_listeddate(D56)),[1]!S_SHARE_TOTAL(D56,$G$5)),[1]!S_STM07_CS(D56,49,$G$5,$H$13)/$E$5))</f>
        <v>4.9864671737977666</v>
      </c>
      <c r="P56" s="247">
        <f ca="1">IF(C56="","",IF($P$11="CFPS",[1]!S_STM07_CS(D56,84,$G$5,$H$13)/IF([1]!S_SHARE_TOTAL(D56,$G$5)=0,[1]!S_SHARE_TOTAL(D56,[1]!s_ipo_listeddate(D56)),[1]!S_SHARE_TOTAL(D56,$G$5)),[1]!S_STM07_CS(D56,84,$G$5,$H$13)/$E$5))</f>
        <v>0.29658435381812009</v>
      </c>
      <c r="Q56" s="248">
        <f ca="1">IF(C56="","",F56/([1]!S_STM07_IS(D56,61,$G$5,$H$13)/IF([1]!S_SHARE_TOTAL(D56,$G$5)=0,[1]!S_SHARE_TOTAL(D56,[1]!s_ipo_listeddate(D56)),[1]!S_SHARE_TOTAL(D56,$G$5))))</f>
        <v>111.2827144710316</v>
      </c>
      <c r="R56" s="248">
        <f ca="1">IF(C56="","",F56/([1]!S_STM07_BS(D56,141,$G$5,$H$13)/IF([1]!S_SHARE_TOTAL(D56,$G$5)=0,[1]!S_SHARE_TOTAL(D56,[1]!s_ipo_listeddate(D56)),[1]!S_SHARE_TOTAL(D56,$G$5))))</f>
        <v>6.8946608493996546</v>
      </c>
      <c r="S56" s="247">
        <f ca="1">IF(C56="","",[1]!S_SHARE_TOTAL(D56,TODAY())/$E$5)</f>
        <v>819.96469800000011</v>
      </c>
      <c r="T56" s="247">
        <f t="shared" ca="1" si="3"/>
        <v>28190.386317240005</v>
      </c>
      <c r="U56" s="218">
        <f t="shared" ca="1" si="4"/>
        <v>28190.386317240005</v>
      </c>
      <c r="V56" s="342">
        <f t="shared" ca="1" si="5"/>
        <v>23</v>
      </c>
      <c r="W56" s="139"/>
      <c r="Y56" s="1"/>
    </row>
    <row r="57" spans="3:25" ht="12" customHeight="1">
      <c r="C57" s="343">
        <f t="shared" ca="1" si="0"/>
        <v>44</v>
      </c>
      <c r="D57" s="124" t="str">
        <f t="shared" ca="1" si="8"/>
        <v>601168.SH</v>
      </c>
      <c r="E57" s="124" t="str">
        <f t="shared" ca="1" si="9"/>
        <v>西部矿业</v>
      </c>
      <c r="F57" s="172">
        <f ca="1">IF(C57="","",[1]!S_DQ_CLOSE(D57,TODAY(),1))</f>
        <v>31</v>
      </c>
      <c r="G57" s="173">
        <f ca="1">IF(C57="","",[1]!s_pq_pctchange(D57,TODAY()-$G$12,TODAY())/100)</f>
        <v>-2.7603513174404015E-2</v>
      </c>
      <c r="H57" s="249">
        <f ca="1">IF(C57="","",IF($H$11="收入",[1]!S_STM07_IS(D57,9,$G$5,$H$13)/$E$5,[1]!S_STM07_IS(D57,48,$G$5,$H$13)/$E$5))</f>
        <v>50025.596656000002</v>
      </c>
      <c r="I57" s="249">
        <f ca="1">IF(C57="","",IF($I$11="毛利率",([1]!S_STM07_IS(D57,9,$G$5,$H$13)-[1]!S_STM07_IS(D57,10,$G$5,$H$13))/[1]!S_STM07_IS(D57,9,$G$5,$H$13),[1]!S_STM07_IS(D57,14,$G$5,$H$13)/$E$5))</f>
        <v>0.19904574377136841</v>
      </c>
      <c r="J57" s="249">
        <f ca="1">IF(C57="","",IF($J$11="营业利润率",[1]!S_STM07_IS(D57,48,$G$5,$H$13)/[1]!S_STM07_IS(D57,9,$G$5,$H$13),([1]!S_STM07_CS(D57,87,$G$5,$H$13)+[1]!S_STM07_CS(D57,88,$G$5,$H$13)+[1]!S_STM07_CS(D57,89,$G$5,$H$13))/$E$5))</f>
        <v>0.12238843542640024</v>
      </c>
      <c r="K57" s="249">
        <f ca="1">IF(C57="","",IF($K$11="净利润率",[1]!S_STM07_IS(D57,61,$G$5,$H$13)/[1]!S_STM07_IS(D57,9,$G$5,$H$13),[1]!S_STM07_IS(D57,55,$G$5,$H$13)/$E$5))</f>
        <v>5.8600924725770248E-2</v>
      </c>
      <c r="L57" s="249">
        <f ca="1">IF(C57="","",IF($L$11="ROA",[1]!S_STM07_IS(D57,61,$G$5,$H$13)/[1]!S_STM07_BS(D57,74,$G$5,$H$13),1-[1]!S_STM07_IS(D57,61,$G$5,$H$13)/[1]!S_STM07_IS(D57,55,$G$5,$H$13)))</f>
        <v>5.3359372039053179E-2</v>
      </c>
      <c r="M57" s="249">
        <f ca="1">IF(C57="","",IF($M$11="ROE",[1]!S_STM07_IS(D57,61,$G$5,$H$13)/[1]!S_STM07_BS(D57,141,$G$5,$H$13),([1]!S_STM07_BS(D57,25,$G$5,$H$13)-[1]!S_STM07_BS(D57,93,$G$5,$H$13))/$E$5))</f>
        <v>0.12879124667922706</v>
      </c>
      <c r="N57" s="250">
        <f ca="1">IF(C57="","",IF($N$11="EPS",[1]!S_STM07_IS(D57,61,$G$5,$H$13)/IF([1]!S_SHARE_TOTAL(D57,$G$5)=0,[1]!S_SHARE_TOTAL(D57,[1]!s_ipo_listeddate(D57)),[1]!S_SHARE_TOTAL(D57,$G$5)),([1]!S_STM07_BS(D57,75,$G$5,$H$13)+[1]!S_STM07_BS(D57,88,$G$5,$H$13)+[1]!S_STM07_BS(D57,94,$G$5,$H$13)+[1]!S_STM07_BS(D57,95,$G$5,$H$13))/$E$5))</f>
        <v>1.2301914494334871</v>
      </c>
      <c r="O57" s="250">
        <f ca="1">IF(C57="","",IF($O$11="BPS",[1]!S_STM07_BS(D57,141,$G$5,$H$13)/IF([1]!S_SHARE_TOTAL(D57,$G$5)=0,[1]!S_SHARE_TOTAL(D57,[1]!s_ipo_listeddate(D57)),[1]!S_SHARE_TOTAL(D57,$G$5)),[1]!S_STM07_CS(D57,49,$G$5,$H$13)/$E$5))</f>
        <v>9.5518249970625266</v>
      </c>
      <c r="P57" s="250">
        <f ca="1">IF(C57="","",IF($P$11="CFPS",[1]!S_STM07_CS(D57,84,$G$5,$H$13)/IF([1]!S_SHARE_TOTAL(D57,$G$5)=0,[1]!S_SHARE_TOTAL(D57,[1]!s_ipo_listeddate(D57)),[1]!S_SHARE_TOTAL(D57,$G$5)),[1]!S_STM07_CS(D57,84,$G$5,$H$13)/$E$5))</f>
        <v>1.3883601296684851</v>
      </c>
      <c r="Q57" s="198">
        <f ca="1">IF(C57="","",F57/([1]!S_STM07_IS(D57,61,$G$5,$H$13)/IF([1]!S_SHARE_TOTAL(D57,$G$5)=0,[1]!S_SHARE_TOTAL(D57,[1]!s_ipo_listeddate(D57)),[1]!S_SHARE_TOTAL(D57,$G$5))))</f>
        <v>25.199329758206126</v>
      </c>
      <c r="R57" s="198">
        <f ca="1">IF(C57="","",F57/([1]!S_STM07_BS(D57,141,$G$5,$H$13)/IF([1]!S_SHARE_TOTAL(D57,$G$5)=0,[1]!S_SHARE_TOTAL(D57,[1]!s_ipo_listeddate(D57)),[1]!S_SHARE_TOTAL(D57,$G$5))))</f>
        <v>3.2454530950403124</v>
      </c>
      <c r="S57" s="249">
        <f ca="1">IF(C57="","",[1]!S_SHARE_TOTAL(D57,TODAY())/$E$5)</f>
        <v>2383</v>
      </c>
      <c r="T57" s="249">
        <f t="shared" ca="1" si="3"/>
        <v>73873</v>
      </c>
      <c r="U57" s="172">
        <f t="shared" ca="1" si="4"/>
        <v>73873</v>
      </c>
      <c r="V57" s="343">
        <f t="shared" ca="1" si="5"/>
        <v>12</v>
      </c>
      <c r="W57" s="139"/>
      <c r="Y57" s="1"/>
    </row>
    <row r="58" spans="3:25" ht="12" customHeight="1">
      <c r="C58" s="342">
        <f t="shared" ca="1" si="0"/>
        <v>45</v>
      </c>
      <c r="D58" s="153" t="str">
        <f t="shared" ref="D58" ca="1" si="10">IF(C58="","",VLOOKUP(C58,comppool,2,FALSE))</f>
        <v>601212.SH</v>
      </c>
      <c r="E58" s="153" t="str">
        <f ca="1">IF(C58="","",VLOOKUP(C58,comppool,3,FALSE))</f>
        <v>白银有色</v>
      </c>
      <c r="F58" s="170">
        <f ca="1">IF(C58="","",[1]!S_DQ_CLOSE(D58,TODAY(),1))</f>
        <v>9.92</v>
      </c>
      <c r="G58" s="171">
        <f ca="1">IF(C58="","",[1]!s_pq_pctchange(D58,TODAY()-$G$12,TODAY())/100)</f>
        <v>4.7518479408658942E-2</v>
      </c>
      <c r="H58" s="247">
        <f ca="1">IF(C58="","",IF($H$11="收入",[1]!S_STM07_IS(D58,9,$G$5,$H$13)/$E$5,[1]!S_STM07_IS(D58,48,$G$5,$H$13)/$E$5))</f>
        <v>86787.469934360008</v>
      </c>
      <c r="I58" s="247">
        <f ca="1">IF(C58="","",IF($I$11="毛利率",([1]!S_STM07_IS(D58,9,$G$5,$H$13)-[1]!S_STM07_IS(D58,10,$G$5,$H$13))/[1]!S_STM07_IS(D58,9,$G$5,$H$13),[1]!S_STM07_IS(D58,14,$G$5,$H$13)/$E$5))</f>
        <v>5.6149617278458117E-2</v>
      </c>
      <c r="J58" s="247">
        <f ca="1">IF(C58="","",IF($J$11="营业利润率",[1]!S_STM07_IS(D58,48,$G$5,$H$13)/[1]!S_STM07_IS(D58,9,$G$5,$H$13),([1]!S_STM07_CS(D58,87,$G$5,$H$13)+[1]!S_STM07_CS(D58,88,$G$5,$H$13)+[1]!S_STM07_CS(D58,89,$G$5,$H$13))/$E$5))</f>
        <v>1.8003345463138164E-2</v>
      </c>
      <c r="K58" s="247">
        <f ca="1">IF(C58="","",IF($K$11="净利润率",[1]!S_STM07_IS(D58,61,$G$5,$H$13)/[1]!S_STM07_IS(D58,9,$G$5,$H$13),[1]!S_STM07_IS(D58,55,$G$5,$H$13)/$E$5))</f>
        <v>9.3091480073223987E-4</v>
      </c>
      <c r="L58" s="247">
        <f ca="1">IF(C58="","",IF($L$11="ROA",[1]!S_STM07_IS(D58,61,$G$5,$H$13)/[1]!S_STM07_BS(D58,74,$G$5,$H$13),1-[1]!S_STM07_IS(D58,61,$G$5,$H$13)/[1]!S_STM07_IS(D58,55,$G$5,$H$13)))</f>
        <v>1.5968747917693479E-3</v>
      </c>
      <c r="M58" s="247">
        <f ca="1">IF(C58="","",IF($M$11="ROE",[1]!S_STM07_IS(D58,61,$G$5,$H$13)/[1]!S_STM07_BS(D58,141,$G$5,$H$13),([1]!S_STM07_BS(D58,25,$G$5,$H$13)-[1]!S_STM07_BS(D58,93,$G$5,$H$13))/$E$5))</f>
        <v>4.3879576227253553E-3</v>
      </c>
      <c r="N58" s="247">
        <f ca="1">IF(C58="","",IF($N$11="EPS",[1]!S_STM07_IS(D58,61,$G$5,$H$13)/IF([1]!S_SHARE_TOTAL(D58,$G$5)=0,[1]!S_SHARE_TOTAL(D58,[1]!s_ipo_listeddate(D58)),[1]!S_SHARE_TOTAL(D58,$G$5)),([1]!S_STM07_BS(D58,75,$G$5,$H$13)+[1]!S_STM07_BS(D58,88,$G$5,$H$13)+[1]!S_STM07_BS(D58,94,$G$5,$H$13)+[1]!S_STM07_BS(D58,95,$G$5,$H$13))/$E$5))</f>
        <v>1.0910763070500205E-2</v>
      </c>
      <c r="O58" s="247">
        <f ca="1">IF(C58="","",IF($O$11="BPS",[1]!S_STM07_BS(D58,141,$G$5,$H$13)/IF([1]!S_SHARE_TOTAL(D58,$G$5)=0,[1]!S_SHARE_TOTAL(D58,[1]!s_ipo_listeddate(D58)),[1]!S_SHARE_TOTAL(D58,$G$5)),[1]!S_STM07_CS(D58,49,$G$5,$H$13)/$E$5))</f>
        <v>2.4865242576621656</v>
      </c>
      <c r="P58" s="247">
        <f ca="1">IF(C58="","",IF($P$11="CFPS",[1]!S_STM07_CS(D58,84,$G$5,$H$13)/IF([1]!S_SHARE_TOTAL(D58,$G$5)=0,[1]!S_SHARE_TOTAL(D58,[1]!s_ipo_listeddate(D58)),[1]!S_SHARE_TOTAL(D58,$G$5)),[1]!S_STM07_CS(D58,84,$G$5,$H$13)/$E$5))</f>
        <v>1.2196898149232518</v>
      </c>
      <c r="Q58" s="248">
        <f ca="1">IF(C58="","",F58/([1]!S_STM07_IS(D58,61,$G$5,$H$13)/IF([1]!S_SHARE_TOTAL(D58,$G$5)=0,[1]!S_SHARE_TOTAL(D58,[1]!s_ipo_listeddate(D58)),[1]!S_SHARE_TOTAL(D58,$G$5))))</f>
        <v>909.19397075178324</v>
      </c>
      <c r="R58" s="248">
        <f ca="1">IF(C58="","",F58/([1]!S_STM07_BS(D58,141,$G$5,$H$13)/IF([1]!S_SHARE_TOTAL(D58,$G$5)=0,[1]!S_SHARE_TOTAL(D58,[1]!s_ipo_listeddate(D58)),[1]!S_SHARE_TOTAL(D58,$G$5))))</f>
        <v>3.9895046144962212</v>
      </c>
      <c r="S58" s="247">
        <f ca="1">IF(C58="","",[1]!S_SHARE_TOTAL(D58,TODAY())/$E$5)</f>
        <v>7404.7745109999987</v>
      </c>
      <c r="T58" s="247">
        <f t="shared" ca="1" si="3"/>
        <v>73455.363149119992</v>
      </c>
      <c r="U58" s="218">
        <f t="shared" ca="1" si="4"/>
        <v>73455.363149119992</v>
      </c>
      <c r="V58" s="342">
        <f t="shared" ca="1" si="5"/>
        <v>13</v>
      </c>
      <c r="W58" s="140"/>
      <c r="Y58" s="1"/>
    </row>
    <row r="59" spans="3:25" ht="12" customHeight="1">
      <c r="C59" s="343">
        <f t="shared" ca="1" si="0"/>
        <v>46</v>
      </c>
      <c r="D59" s="124" t="str">
        <f t="shared" ref="D59:D112" ca="1" si="11">IF(C59="","",VLOOKUP(C59,comppool,2,FALSE))</f>
        <v>601388.SH</v>
      </c>
      <c r="E59" s="124" t="str">
        <f t="shared" ref="E59:E112" ca="1" si="12">IF(C59="","",VLOOKUP(C59,comppool,3,FALSE))</f>
        <v>怡球资源</v>
      </c>
      <c r="F59" s="172">
        <f ca="1">IF(C59="","",[1]!S_DQ_CLOSE(D59,TODAY(),1))</f>
        <v>4.16</v>
      </c>
      <c r="G59" s="173">
        <f ca="1">IF(C59="","",[1]!s_pq_pctchange(D59,TODAY()-$G$12,TODAY())/100)</f>
        <v>6.6666666666666652E-2</v>
      </c>
      <c r="H59" s="249">
        <f ca="1">IF(C59="","",IF($H$11="收入",[1]!S_STM07_IS(D59,9,$G$5,$H$13)/$E$5,[1]!S_STM07_IS(D59,48,$G$5,$H$13)/$E$5))</f>
        <v>6999.4710416499993</v>
      </c>
      <c r="I59" s="249">
        <f ca="1">IF(C59="","",IF($I$11="毛利率",([1]!S_STM07_IS(D59,9,$G$5,$H$13)-[1]!S_STM07_IS(D59,10,$G$5,$H$13))/[1]!S_STM07_IS(D59,9,$G$5,$H$13),[1]!S_STM07_IS(D59,14,$G$5,$H$13)/$E$5))</f>
        <v>5.2287134188032255E-2</v>
      </c>
      <c r="J59" s="249">
        <f ca="1">IF(C59="","",IF($J$11="营业利润率",[1]!S_STM07_IS(D59,48,$G$5,$H$13)/[1]!S_STM07_IS(D59,9,$G$5,$H$13),([1]!S_STM07_CS(D59,87,$G$5,$H$13)+[1]!S_STM07_CS(D59,88,$G$5,$H$13)+[1]!S_STM07_CS(D59,89,$G$5,$H$13))/$E$5))</f>
        <v>8.7341992210869385E-3</v>
      </c>
      <c r="K59" s="249">
        <f ca="1">IF(C59="","",IF($K$11="净利润率",[1]!S_STM07_IS(D59,61,$G$5,$H$13)/[1]!S_STM07_IS(D59,9,$G$5,$H$13),[1]!S_STM07_IS(D59,55,$G$5,$H$13)/$E$5))</f>
        <v>2.6501330442860551E-3</v>
      </c>
      <c r="L59" s="249">
        <f ca="1">IF(C59="","",IF($L$11="ROA",[1]!S_STM07_IS(D59,61,$G$5,$H$13)/[1]!S_STM07_BS(D59,74,$G$5,$H$13),1-[1]!S_STM07_IS(D59,61,$G$5,$H$13)/[1]!S_STM07_IS(D59,55,$G$5,$H$13)))</f>
        <v>3.0301261496932103E-3</v>
      </c>
      <c r="M59" s="249">
        <f ca="1">IF(C59="","",IF($M$11="ROE",[1]!S_STM07_IS(D59,61,$G$5,$H$13)/[1]!S_STM07_BS(D59,141,$G$5,$H$13),([1]!S_STM07_BS(D59,25,$G$5,$H$13)-[1]!S_STM07_BS(D59,93,$G$5,$H$13))/$E$5))</f>
        <v>4.2329557119513937E-3</v>
      </c>
      <c r="N59" s="250">
        <f ca="1">IF(C59="","",IF($N$11="EPS",[1]!S_STM07_IS(D59,61,$G$5,$H$13)/IF([1]!S_SHARE_TOTAL(D59,$G$5)=0,[1]!S_SHARE_TOTAL(D59,[1]!s_ipo_listeddate(D59)),[1]!S_SHARE_TOTAL(D59,$G$5)),([1]!S_STM07_BS(D59,75,$G$5,$H$13)+[1]!S_STM07_BS(D59,88,$G$5,$H$13)+[1]!S_STM07_BS(D59,94,$G$5,$H$13)+[1]!S_STM07_BS(D59,95,$G$5,$H$13))/$E$5))</f>
        <v>8.4269211869663976E-3</v>
      </c>
      <c r="O59" s="250">
        <f ca="1">IF(C59="","",IF($O$11="BPS",[1]!S_STM07_BS(D59,141,$G$5,$H$13)/IF([1]!S_SHARE_TOTAL(D59,$G$5)=0,[1]!S_SHARE_TOTAL(D59,[1]!s_ipo_listeddate(D59)),[1]!S_SHARE_TOTAL(D59,$G$5)),[1]!S_STM07_CS(D59,49,$G$5,$H$13)/$E$5))</f>
        <v>1.9907888861614347</v>
      </c>
      <c r="P59" s="250">
        <f ca="1">IF(C59="","",IF($P$11="CFPS",[1]!S_STM07_CS(D59,84,$G$5,$H$13)/IF([1]!S_SHARE_TOTAL(D59,$G$5)=0,[1]!S_SHARE_TOTAL(D59,[1]!s_ipo_listeddate(D59)),[1]!S_SHARE_TOTAL(D59,$G$5)),[1]!S_STM07_CS(D59,84,$G$5,$H$13)/$E$5))</f>
        <v>0.29251970000202832</v>
      </c>
      <c r="Q59" s="198">
        <f ca="1">IF(C59="","",F59/([1]!S_STM07_IS(D59,61,$G$5,$H$13)/IF([1]!S_SHARE_TOTAL(D59,$G$5)=0,[1]!S_SHARE_TOTAL(D59,[1]!s_ipo_listeddate(D59)),[1]!S_SHARE_TOTAL(D59,$G$5))))</f>
        <v>493.65597561706352</v>
      </c>
      <c r="R59" s="198">
        <f ca="1">IF(C59="","",F59/([1]!S_STM07_BS(D59,141,$G$5,$H$13)/IF([1]!S_SHARE_TOTAL(D59,$G$5)=0,[1]!S_SHARE_TOTAL(D59,[1]!s_ipo_listeddate(D59)),[1]!S_SHARE_TOTAL(D59,$G$5))))</f>
        <v>2.0896238817271868</v>
      </c>
      <c r="S59" s="249">
        <f ca="1">IF(C59="","",[1]!S_SHARE_TOTAL(D59,TODAY())/$E$5)</f>
        <v>2201.222616</v>
      </c>
      <c r="T59" s="249">
        <f t="shared" ref="T59:T112" ca="1" si="13">IF(C59="","",F59*S59)</f>
        <v>9157.0860825600012</v>
      </c>
      <c r="U59" s="172">
        <f t="shared" ref="U59:U112" ca="1" si="14">IF(C59="","",HLOOKUP($V$12,$G$11:$T$20003,ROW()-ROW($G$11)+1,FALSE))</f>
        <v>9157.0860825600012</v>
      </c>
      <c r="V59" s="343">
        <f t="shared" ref="V59:V112" ca="1" si="15">IF(C59="","",RANK(U59,U:U,0))</f>
        <v>41</v>
      </c>
      <c r="W59" s="139"/>
      <c r="Y59" s="1"/>
    </row>
    <row r="60" spans="3:25" ht="12" customHeight="1">
      <c r="C60" s="342">
        <f t="shared" ca="1" si="0"/>
        <v>47</v>
      </c>
      <c r="D60" s="153" t="str">
        <f t="shared" ca="1" si="11"/>
        <v>601600.SH</v>
      </c>
      <c r="E60" s="153" t="str">
        <f t="shared" ca="1" si="12"/>
        <v>中国铝业</v>
      </c>
      <c r="F60" s="170">
        <f ca="1">IF(C60="","",[1]!S_DQ_CLOSE(D60,TODAY(),1))</f>
        <v>14.02</v>
      </c>
      <c r="G60" s="171">
        <f ca="1">IF(C60="","",[1]!s_pq_pctchange(D60,TODAY()-$G$12,TODAY())/100)</f>
        <v>0.10480693459416844</v>
      </c>
      <c r="H60" s="247">
        <f ca="1">IF(C60="","",IF($H$11="收入",[1]!S_STM07_IS(D60,9,$G$5,$H$13)/$E$5,[1]!S_STM07_IS(D60,48,$G$5,$H$13)/$E$5))</f>
        <v>237065.62899999999</v>
      </c>
      <c r="I60" s="247">
        <f ca="1">IF(C60="","",IF($I$11="毛利率",([1]!S_STM07_IS(D60,9,$G$5,$H$13)-[1]!S_STM07_IS(D60,10,$G$5,$H$13))/[1]!S_STM07_IS(D60,9,$G$5,$H$13),[1]!S_STM07_IS(D60,14,$G$5,$H$13)/$E$5))</f>
        <v>0.15752724322596762</v>
      </c>
      <c r="J60" s="247">
        <f ca="1">IF(C60="","",IF($J$11="营业利润率",[1]!S_STM07_IS(D60,48,$G$5,$H$13)/[1]!S_STM07_IS(D60,9,$G$5,$H$13),([1]!S_STM07_CS(D60,87,$G$5,$H$13)+[1]!S_STM07_CS(D60,88,$G$5,$H$13)+[1]!S_STM07_CS(D60,89,$G$5,$H$13))/$E$5))</f>
        <v>9.4149000401909808E-2</v>
      </c>
      <c r="K60" s="247">
        <f ca="1">IF(C60="","",IF($K$11="净利润率",[1]!S_STM07_IS(D60,61,$G$5,$H$13)/[1]!S_STM07_IS(D60,9,$G$5,$H$13),[1]!S_STM07_IS(D60,55,$G$5,$H$13)/$E$5))</f>
        <v>5.2306865623274301E-2</v>
      </c>
      <c r="L60" s="247">
        <f ca="1">IF(C60="","",IF($L$11="ROA",[1]!S_STM07_IS(D60,61,$G$5,$H$13)/[1]!S_STM07_BS(D60,74,$G$5,$H$13),1-[1]!S_STM07_IS(D60,61,$G$5,$H$13)/[1]!S_STM07_IS(D60,55,$G$5,$H$13)))</f>
        <v>5.7435927459915451E-2</v>
      </c>
      <c r="M60" s="247">
        <f ca="1">IF(C60="","",IF($M$11="ROE",[1]!S_STM07_IS(D60,61,$G$5,$H$13)/[1]!S_STM07_BS(D60,141,$G$5,$H$13),([1]!S_STM07_BS(D60,25,$G$5,$H$13)-[1]!S_STM07_BS(D60,93,$G$5,$H$13))/$E$5))</f>
        <v>0.11067545312511896</v>
      </c>
      <c r="N60" s="247">
        <f ca="1">IF(C60="","",IF($N$11="EPS",[1]!S_STM07_IS(D60,61,$G$5,$H$13)/IF([1]!S_SHARE_TOTAL(D60,$G$5)=0,[1]!S_SHARE_TOTAL(D60,[1]!s_ipo_listeddate(D60)),[1]!S_SHARE_TOTAL(D60,$G$5)),([1]!S_STM07_BS(D60,75,$G$5,$H$13)+[1]!S_STM07_BS(D60,88,$G$5,$H$13)+[1]!S_STM07_BS(D60,94,$G$5,$H$13)+[1]!S_STM07_BS(D60,95,$G$5,$H$13))/$E$5))</f>
        <v>0.72276751018793772</v>
      </c>
      <c r="O60" s="247">
        <f ca="1">IF(C60="","",IF($O$11="BPS",[1]!S_STM07_BS(D60,141,$G$5,$H$13)/IF([1]!S_SHARE_TOTAL(D60,$G$5)=0,[1]!S_SHARE_TOTAL(D60,[1]!s_ipo_listeddate(D60)),[1]!S_SHARE_TOTAL(D60,$G$5)),[1]!S_STM07_CS(D60,49,$G$5,$H$13)/$E$5))</f>
        <v>6.5305132238387742</v>
      </c>
      <c r="P60" s="247">
        <f ca="1">IF(C60="","",IF($P$11="CFPS",[1]!S_STM07_CS(D60,84,$G$5,$H$13)/IF([1]!S_SHARE_TOTAL(D60,$G$5)=0,[1]!S_SHARE_TOTAL(D60,[1]!s_ipo_listeddate(D60)),[1]!S_SHARE_TOTAL(D60,$G$5)),[1]!S_STM07_CS(D60,84,$G$5,$H$13)/$E$5))</f>
        <v>1.2093773391677018</v>
      </c>
      <c r="Q60" s="248">
        <f ca="1">IF(C60="","",F60/([1]!S_STM07_IS(D60,61,$G$5,$H$13)/IF([1]!S_SHARE_TOTAL(D60,$G$5)=0,[1]!S_SHARE_TOTAL(D60,[1]!s_ipo_listeddate(D60)),[1]!S_SHARE_TOTAL(D60,$G$5))))</f>
        <v>19.397662183728276</v>
      </c>
      <c r="R60" s="248">
        <f ca="1">IF(C60="","",F60/([1]!S_STM07_BS(D60,141,$G$5,$H$13)/IF([1]!S_SHARE_TOTAL(D60,$G$5)=0,[1]!S_SHARE_TOTAL(D60,[1]!s_ipo_listeddate(D60)),[1]!S_SHARE_TOTAL(D60,$G$5))))</f>
        <v>2.1468450517521114</v>
      </c>
      <c r="S60" s="247">
        <f ca="1">IF(C60="","",[1]!S_SHARE_TOTAL(D60,TODAY())/$E$5)</f>
        <v>17154.971326999999</v>
      </c>
      <c r="T60" s="247">
        <f t="shared" ca="1" si="13"/>
        <v>240512.69800453997</v>
      </c>
      <c r="U60" s="218">
        <f t="shared" ca="1" si="14"/>
        <v>240512.69800453997</v>
      </c>
      <c r="V60" s="342">
        <f t="shared" ca="1" si="15"/>
        <v>4</v>
      </c>
      <c r="W60" s="139"/>
      <c r="Y60" s="1"/>
    </row>
    <row r="61" spans="3:25" ht="12" customHeight="1">
      <c r="C61" s="343">
        <f t="shared" ca="1" si="0"/>
        <v>48</v>
      </c>
      <c r="D61" s="124" t="str">
        <f t="shared" ca="1" si="11"/>
        <v>601609.SH</v>
      </c>
      <c r="E61" s="124" t="str">
        <f t="shared" ca="1" si="12"/>
        <v>金田股份</v>
      </c>
      <c r="F61" s="172">
        <f ca="1">IF(C61="","",[1]!S_DQ_CLOSE(D61,TODAY(),1))</f>
        <v>10.65</v>
      </c>
      <c r="G61" s="173">
        <f ca="1">IF(C61="","",[1]!s_pq_pctchange(D61,TODAY()-$G$12,TODAY())/100)</f>
        <v>-5.3333333333333337E-2</v>
      </c>
      <c r="H61" s="249">
        <f ca="1">IF(C61="","",IF($H$11="收入",[1]!S_STM07_IS(D61,9,$G$5,$H$13)/$E$5,[1]!S_STM07_IS(D61,48,$G$5,$H$13)/$E$5))</f>
        <v>124160.80498253999</v>
      </c>
      <c r="I61" s="249">
        <f ca="1">IF(C61="","",IF($I$11="毛利率",([1]!S_STM07_IS(D61,9,$G$5,$H$13)-[1]!S_STM07_IS(D61,10,$G$5,$H$13))/[1]!S_STM07_IS(D61,9,$G$5,$H$13),[1]!S_STM07_IS(D61,14,$G$5,$H$13)/$E$5))</f>
        <v>2.3609532489759628E-2</v>
      </c>
      <c r="J61" s="249">
        <f ca="1">IF(C61="","",IF($J$11="营业利润率",[1]!S_STM07_IS(D61,48,$G$5,$H$13)/[1]!S_STM07_IS(D61,9,$G$5,$H$13),([1]!S_STM07_CS(D61,87,$G$5,$H$13)+[1]!S_STM07_CS(D61,88,$G$5,$H$13)+[1]!S_STM07_CS(D61,89,$G$5,$H$13))/$E$5))</f>
        <v>4.548023365339879E-3</v>
      </c>
      <c r="K61" s="249">
        <f ca="1">IF(C61="","",IF($K$11="净利润率",[1]!S_STM07_IS(D61,61,$G$5,$H$13)/[1]!S_STM07_IS(D61,9,$G$5,$H$13),[1]!S_STM07_IS(D61,55,$G$5,$H$13)/$E$5))</f>
        <v>3.7213243069338536E-3</v>
      </c>
      <c r="L61" s="249">
        <f ca="1">IF(C61="","",IF($L$11="ROA",[1]!S_STM07_IS(D61,61,$G$5,$H$13)/[1]!S_STM07_BS(D61,74,$G$5,$H$13),1-[1]!S_STM07_IS(D61,61,$G$5,$H$13)/[1]!S_STM07_IS(D61,55,$G$5,$H$13)))</f>
        <v>1.7907138173728566E-2</v>
      </c>
      <c r="M61" s="249">
        <f ca="1">IF(C61="","",IF($M$11="ROE",[1]!S_STM07_IS(D61,61,$G$5,$H$13)/[1]!S_STM07_BS(D61,141,$G$5,$H$13),([1]!S_STM07_BS(D61,25,$G$5,$H$13)-[1]!S_STM07_BS(D61,93,$G$5,$H$13))/$E$5))</f>
        <v>5.389117837213557E-2</v>
      </c>
      <c r="N61" s="250">
        <f ca="1">IF(C61="","",IF($N$11="EPS",[1]!S_STM07_IS(D61,61,$G$5,$H$13)/IF([1]!S_SHARE_TOTAL(D61,$G$5)=0,[1]!S_SHARE_TOTAL(D61,[1]!s_ipo_listeddate(D61)),[1]!S_SHARE_TOTAL(D61,$G$5)),([1]!S_STM07_BS(D61,75,$G$5,$H$13)+[1]!S_STM07_BS(D61,88,$G$5,$H$13)+[1]!S_STM07_BS(D61,94,$G$5,$H$13)+[1]!S_STM07_BS(D61,95,$G$5,$H$13))/$E$5))</f>
        <v>0.31094825496538692</v>
      </c>
      <c r="O61" s="250">
        <f ca="1">IF(C61="","",IF($O$11="BPS",[1]!S_STM07_BS(D61,141,$G$5,$H$13)/IF([1]!S_SHARE_TOTAL(D61,$G$5)=0,[1]!S_SHARE_TOTAL(D61,[1]!s_ipo_listeddate(D61)),[1]!S_SHARE_TOTAL(D61,$G$5)),[1]!S_STM07_CS(D61,49,$G$5,$H$13)/$E$5))</f>
        <v>5.7699286665841889</v>
      </c>
      <c r="P61" s="250">
        <f ca="1">IF(C61="","",IF($P$11="CFPS",[1]!S_STM07_CS(D61,84,$G$5,$H$13)/IF([1]!S_SHARE_TOTAL(D61,$G$5)=0,[1]!S_SHARE_TOTAL(D61,[1]!s_ipo_listeddate(D61)),[1]!S_SHARE_TOTAL(D61,$G$5)),[1]!S_STM07_CS(D61,84,$G$5,$H$13)/$E$5))</f>
        <v>0.92306318226084272</v>
      </c>
      <c r="Q61" s="198">
        <f ca="1">IF(C61="","",F61/([1]!S_STM07_IS(D61,61,$G$5,$H$13)/IF([1]!S_SHARE_TOTAL(D61,$G$5)=0,[1]!S_SHARE_TOTAL(D61,[1]!s_ipo_listeddate(D61)),[1]!S_SHARE_TOTAL(D61,$G$5))))</f>
        <v>34.250071611385955</v>
      </c>
      <c r="R61" s="198">
        <f ca="1">IF(C61="","",F61/([1]!S_STM07_BS(D61,141,$G$5,$H$13)/IF([1]!S_SHARE_TOTAL(D61,$G$5)=0,[1]!S_SHARE_TOTAL(D61,[1]!s_ipo_listeddate(D61)),[1]!S_SHARE_TOTAL(D61,$G$5))))</f>
        <v>1.8457767184676175</v>
      </c>
      <c r="S61" s="249">
        <f ca="1">IF(C61="","",[1]!S_SHARE_TOTAL(D61,TODAY())/$E$5)</f>
        <v>1728.638193</v>
      </c>
      <c r="T61" s="249">
        <f t="shared" ca="1" si="13"/>
        <v>18409.99675545</v>
      </c>
      <c r="U61" s="172">
        <f t="shared" ca="1" si="14"/>
        <v>18409.99675545</v>
      </c>
      <c r="V61" s="343">
        <f t="shared" ca="1" si="15"/>
        <v>30</v>
      </c>
      <c r="W61" s="139"/>
      <c r="Y61" s="1"/>
    </row>
    <row r="62" spans="3:25" ht="12" customHeight="1">
      <c r="C62" s="342">
        <f t="shared" ca="1" si="0"/>
        <v>49</v>
      </c>
      <c r="D62" s="153" t="str">
        <f t="shared" ca="1" si="11"/>
        <v>601677.SH</v>
      </c>
      <c r="E62" s="153" t="str">
        <f t="shared" ca="1" si="12"/>
        <v>明泰铝业</v>
      </c>
      <c r="F62" s="170">
        <f ca="1">IF(C62="","",[1]!S_DQ_CLOSE(D62,TODAY(),1))</f>
        <v>16.690000000000001</v>
      </c>
      <c r="G62" s="171">
        <f ca="1">IF(C62="","",[1]!s_pq_pctchange(D62,TODAY()-$G$12,TODAY())/100)</f>
        <v>5.0346129641283932E-2</v>
      </c>
      <c r="H62" s="247">
        <f ca="1">IF(C62="","",IF($H$11="收入",[1]!S_STM07_IS(D62,9,$G$5,$H$13)/$E$5,[1]!S_STM07_IS(D62,48,$G$5,$H$13)/$E$5))</f>
        <v>32320.87192872</v>
      </c>
      <c r="I62" s="247">
        <f ca="1">IF(C62="","",IF($I$11="毛利率",([1]!S_STM07_IS(D62,9,$G$5,$H$13)-[1]!S_STM07_IS(D62,10,$G$5,$H$13))/[1]!S_STM07_IS(D62,9,$G$5,$H$13),[1]!S_STM07_IS(D62,14,$G$5,$H$13)/$E$5))</f>
        <v>6.9459673223268487E-2</v>
      </c>
      <c r="J62" s="247">
        <f ca="1">IF(C62="","",IF($J$11="营业利润率",[1]!S_STM07_IS(D62,48,$G$5,$H$13)/[1]!S_STM07_IS(D62,9,$G$5,$H$13),([1]!S_STM07_CS(D62,87,$G$5,$H$13)+[1]!S_STM07_CS(D62,88,$G$5,$H$13)+[1]!S_STM07_CS(D62,89,$G$5,$H$13))/$E$5))</f>
        <v>6.0735453303030408E-2</v>
      </c>
      <c r="K62" s="247">
        <f ca="1">IF(C62="","",IF($K$11="净利润率",[1]!S_STM07_IS(D62,61,$G$5,$H$13)/[1]!S_STM07_IS(D62,9,$G$5,$H$13),[1]!S_STM07_IS(D62,55,$G$5,$H$13)/$E$5))</f>
        <v>5.4097519877436197E-2</v>
      </c>
      <c r="L62" s="247">
        <f ca="1">IF(C62="","",IF($L$11="ROA",[1]!S_STM07_IS(D62,61,$G$5,$H$13)/[1]!S_STM07_BS(D62,74,$G$5,$H$13),1-[1]!S_STM07_IS(D62,61,$G$5,$H$13)/[1]!S_STM07_IS(D62,55,$G$5,$H$13)))</f>
        <v>7.496533815044526E-2</v>
      </c>
      <c r="M62" s="247">
        <f ca="1">IF(C62="","",IF($M$11="ROE",[1]!S_STM07_IS(D62,61,$G$5,$H$13)/[1]!S_STM07_BS(D62,141,$G$5,$H$13),([1]!S_STM07_BS(D62,25,$G$5,$H$13)-[1]!S_STM07_BS(D62,93,$G$5,$H$13))/$E$5))</f>
        <v>9.9357003127058544E-2</v>
      </c>
      <c r="N62" s="247">
        <f ca="1">IF(C62="","",IF($N$11="EPS",[1]!S_STM07_IS(D62,61,$G$5,$H$13)/IF([1]!S_SHARE_TOTAL(D62,$G$5)=0,[1]!S_SHARE_TOTAL(D62,[1]!s_ipo_listeddate(D62)),[1]!S_SHARE_TOTAL(D62,$G$5)),([1]!S_STM07_BS(D62,75,$G$5,$H$13)+[1]!S_STM07_BS(D62,88,$G$5,$H$13)+[1]!S_STM07_BS(D62,94,$G$5,$H$13)+[1]!S_STM07_BS(D62,95,$G$5,$H$13))/$E$5))</f>
        <v>1.405864235912778</v>
      </c>
      <c r="O62" s="247">
        <f ca="1">IF(C62="","",IF($O$11="BPS",[1]!S_STM07_BS(D62,141,$G$5,$H$13)/IF([1]!S_SHARE_TOTAL(D62,$G$5)=0,[1]!S_SHARE_TOTAL(D62,[1]!s_ipo_listeddate(D62)),[1]!S_SHARE_TOTAL(D62,$G$5)),[1]!S_STM07_CS(D62,49,$G$5,$H$13)/$E$5))</f>
        <v>14.149623998974155</v>
      </c>
      <c r="P62" s="247">
        <f ca="1">IF(C62="","",IF($P$11="CFPS",[1]!S_STM07_CS(D62,84,$G$5,$H$13)/IF([1]!S_SHARE_TOTAL(D62,$G$5)=0,[1]!S_SHARE_TOTAL(D62,[1]!s_ipo_listeddate(D62)),[1]!S_SHARE_TOTAL(D62,$G$5)),[1]!S_STM07_CS(D62,84,$G$5,$H$13)/$E$5))</f>
        <v>1.0041840949430327</v>
      </c>
      <c r="Q62" s="248">
        <f ca="1">IF(C62="","",F62/([1]!S_STM07_IS(D62,61,$G$5,$H$13)/IF([1]!S_SHARE_TOTAL(D62,$G$5)=0,[1]!S_SHARE_TOTAL(D62,[1]!s_ipo_listeddate(D62)),[1]!S_SHARE_TOTAL(D62,$G$5))))</f>
        <v>11.871701102890475</v>
      </c>
      <c r="R62" s="248">
        <f ca="1">IF(C62="","",F62/([1]!S_STM07_BS(D62,141,$G$5,$H$13)/IF([1]!S_SHARE_TOTAL(D62,$G$5)=0,[1]!S_SHARE_TOTAL(D62,[1]!s_ipo_listeddate(D62)),[1]!S_SHARE_TOTAL(D62,$G$5))))</f>
        <v>1.1795366436033934</v>
      </c>
      <c r="S62" s="247">
        <f ca="1">IF(C62="","",[1]!S_SHARE_TOTAL(D62,TODAY())/$E$5)</f>
        <v>1243.523627</v>
      </c>
      <c r="T62" s="247">
        <f t="shared" ca="1" si="13"/>
        <v>20754.409334630003</v>
      </c>
      <c r="U62" s="218">
        <f t="shared" ca="1" si="14"/>
        <v>20754.409334630003</v>
      </c>
      <c r="V62" s="342">
        <f t="shared" ca="1" si="15"/>
        <v>26</v>
      </c>
      <c r="W62" s="139"/>
      <c r="Y62" s="1"/>
    </row>
    <row r="63" spans="3:25" ht="12" customHeight="1">
      <c r="C63" s="343">
        <f t="shared" ca="1" si="0"/>
        <v>50</v>
      </c>
      <c r="D63" s="124" t="str">
        <f t="shared" ca="1" si="11"/>
        <v>601702.SH</v>
      </c>
      <c r="E63" s="124" t="str">
        <f t="shared" ca="1" si="12"/>
        <v>华峰铝业</v>
      </c>
      <c r="F63" s="172">
        <f ca="1">IF(C63="","",[1]!S_DQ_CLOSE(D63,TODAY(),1))</f>
        <v>22.23</v>
      </c>
      <c r="G63" s="173">
        <f ca="1">IF(C63="","",[1]!s_pq_pctchange(D63,TODAY()-$G$12,TODAY())/100)</f>
        <v>-3.3898305084745783E-2</v>
      </c>
      <c r="H63" s="249">
        <f ca="1">IF(C63="","",IF($H$11="收入",[1]!S_STM07_IS(D63,9,$G$5,$H$13)/$E$5,[1]!S_STM07_IS(D63,48,$G$5,$H$13)/$E$5))</f>
        <v>10878.191953469999</v>
      </c>
      <c r="I63" s="249">
        <f ca="1">IF(C63="","",IF($I$11="毛利率",([1]!S_STM07_IS(D63,9,$G$5,$H$13)-[1]!S_STM07_IS(D63,10,$G$5,$H$13))/[1]!S_STM07_IS(D63,9,$G$5,$H$13),[1]!S_STM07_IS(D63,14,$G$5,$H$13)/$E$5))</f>
        <v>0.16164183133752325</v>
      </c>
      <c r="J63" s="249">
        <f ca="1">IF(C63="","",IF($J$11="营业利润率",[1]!S_STM07_IS(D63,48,$G$5,$H$13)/[1]!S_STM07_IS(D63,9,$G$5,$H$13),([1]!S_STM07_CS(D63,87,$G$5,$H$13)+[1]!S_STM07_CS(D63,88,$G$5,$H$13)+[1]!S_STM07_CS(D63,89,$G$5,$H$13))/$E$5))</f>
        <v>0.12714215395958489</v>
      </c>
      <c r="K63" s="249">
        <f ca="1">IF(C63="","",IF($K$11="净利润率",[1]!S_STM07_IS(D63,61,$G$5,$H$13)/[1]!S_STM07_IS(D63,9,$G$5,$H$13),[1]!S_STM07_IS(D63,55,$G$5,$H$13)/$E$5))</f>
        <v>0.11195862583133623</v>
      </c>
      <c r="L63" s="249">
        <f ca="1">IF(C63="","",IF($L$11="ROA",[1]!S_STM07_IS(D63,61,$G$5,$H$13)/[1]!S_STM07_BS(D63,74,$G$5,$H$13),1-[1]!S_STM07_IS(D63,61,$G$5,$H$13)/[1]!S_STM07_IS(D63,55,$G$5,$H$13)))</f>
        <v>0.1474400535393332</v>
      </c>
      <c r="M63" s="249">
        <f ca="1">IF(C63="","",IF($M$11="ROE",[1]!S_STM07_IS(D63,61,$G$5,$H$13)/[1]!S_STM07_BS(D63,141,$G$5,$H$13),([1]!S_STM07_BS(D63,25,$G$5,$H$13)-[1]!S_STM07_BS(D63,93,$G$5,$H$13))/$E$5))</f>
        <v>0.22011812570635172</v>
      </c>
      <c r="N63" s="250">
        <f ca="1">IF(C63="","",IF($N$11="EPS",[1]!S_STM07_IS(D63,61,$G$5,$H$13)/IF([1]!S_SHARE_TOTAL(D63,$G$5)=0,[1]!S_SHARE_TOTAL(D63,[1]!s_ipo_listeddate(D63)),[1]!S_SHARE_TOTAL(D63,$G$5)),([1]!S_STM07_BS(D63,75,$G$5,$H$13)+[1]!S_STM07_BS(D63,88,$G$5,$H$13)+[1]!S_STM07_BS(D63,94,$G$5,$H$13)+[1]!S_STM07_BS(D63,95,$G$5,$H$13))/$E$5))</f>
        <v>1.2196996493046883</v>
      </c>
      <c r="O63" s="250">
        <f ca="1">IF(C63="","",IF($O$11="BPS",[1]!S_STM07_BS(D63,141,$G$5,$H$13)/IF([1]!S_SHARE_TOTAL(D63,$G$5)=0,[1]!S_SHARE_TOTAL(D63,[1]!s_ipo_listeddate(D63)),[1]!S_SHARE_TOTAL(D63,$G$5)),[1]!S_STM07_CS(D63,49,$G$5,$H$13)/$E$5))</f>
        <v>5.5411140967637849</v>
      </c>
      <c r="P63" s="250">
        <f ca="1">IF(C63="","",IF($P$11="CFPS",[1]!S_STM07_CS(D63,84,$G$5,$H$13)/IF([1]!S_SHARE_TOTAL(D63,$G$5)=0,[1]!S_SHARE_TOTAL(D63,[1]!s_ipo_listeddate(D63)),[1]!S_SHARE_TOTAL(D63,$G$5)),[1]!S_STM07_CS(D63,84,$G$5,$H$13)/$E$5))</f>
        <v>0.53225145205364766</v>
      </c>
      <c r="Q63" s="198">
        <f ca="1">IF(C63="","",F63/([1]!S_STM07_IS(D63,61,$G$5,$H$13)/IF([1]!S_SHARE_TOTAL(D63,$G$5)=0,[1]!S_SHARE_TOTAL(D63,[1]!s_ipo_listeddate(D63)),[1]!S_SHARE_TOTAL(D63,$G$5))))</f>
        <v>18.225798468231595</v>
      </c>
      <c r="R63" s="198">
        <f ca="1">IF(C63="","",F63/([1]!S_STM07_BS(D63,141,$G$5,$H$13)/IF([1]!S_SHARE_TOTAL(D63,$G$5)=0,[1]!S_SHARE_TOTAL(D63,[1]!s_ipo_listeddate(D63)),[1]!S_SHARE_TOTAL(D63,$G$5))))</f>
        <v>4.0118285983288349</v>
      </c>
      <c r="S63" s="249">
        <f ca="1">IF(C63="","",[1]!S_SHARE_TOTAL(D63,TODAY())/$E$5)</f>
        <v>998.53060000000005</v>
      </c>
      <c r="T63" s="249">
        <f t="shared" ca="1" si="13"/>
        <v>22197.335238000003</v>
      </c>
      <c r="U63" s="172">
        <f t="shared" ca="1" si="14"/>
        <v>22197.335238000003</v>
      </c>
      <c r="V63" s="343">
        <f t="shared" ca="1" si="15"/>
        <v>25</v>
      </c>
      <c r="W63" s="139"/>
      <c r="Y63" s="1"/>
    </row>
    <row r="64" spans="3:25" ht="12" customHeight="1">
      <c r="C64" s="342">
        <f t="shared" ca="1" si="0"/>
        <v>51</v>
      </c>
      <c r="D64" s="153" t="str">
        <f t="shared" ca="1" si="11"/>
        <v>601899.SH</v>
      </c>
      <c r="E64" s="153" t="str">
        <f t="shared" ca="1" si="12"/>
        <v>紫金矿业</v>
      </c>
      <c r="F64" s="170">
        <f ca="1">IF(C64="","",[1]!S_DQ_CLOSE(D64,TODAY(),1))</f>
        <v>36.4</v>
      </c>
      <c r="G64" s="171">
        <f ca="1">IF(C64="","",[1]!s_pq_pctchange(D64,TODAY()-$G$12,TODAY())/100)</f>
        <v>-3.6527263102170582E-2</v>
      </c>
      <c r="H64" s="247">
        <f ca="1">IF(C64="","",IF($H$11="收入",[1]!S_STM07_IS(D64,9,$G$5,$H$13)/$E$5,[1]!S_STM07_IS(D64,48,$G$5,$H$13)/$E$5))</f>
        <v>303639.957153</v>
      </c>
      <c r="I64" s="247">
        <f ca="1">IF(C64="","",IF($I$11="毛利率",([1]!S_STM07_IS(D64,9,$G$5,$H$13)-[1]!S_STM07_IS(D64,10,$G$5,$H$13))/[1]!S_STM07_IS(D64,9,$G$5,$H$13),[1]!S_STM07_IS(D64,14,$G$5,$H$13)/$E$5))</f>
        <v>0.20374060382582548</v>
      </c>
      <c r="J64" s="247">
        <f ca="1">IF(C64="","",IF($J$11="营业利润率",[1]!S_STM07_IS(D64,48,$G$5,$H$13)/[1]!S_STM07_IS(D64,9,$G$5,$H$13),([1]!S_STM07_CS(D64,87,$G$5,$H$13)+[1]!S_STM07_CS(D64,88,$G$5,$H$13)+[1]!S_STM07_CS(D64,89,$G$5,$H$13))/$E$5))</f>
        <v>0.16080441336117343</v>
      </c>
      <c r="K64" s="247">
        <f ca="1">IF(C64="","",IF($K$11="净利润率",[1]!S_STM07_IS(D64,61,$G$5,$H$13)/[1]!S_STM07_IS(D64,9,$G$5,$H$13),[1]!S_STM07_IS(D64,55,$G$5,$H$13)/$E$5))</f>
        <v>0.10555462705736762</v>
      </c>
      <c r="L64" s="247">
        <f ca="1">IF(C64="","",IF($L$11="ROA",[1]!S_STM07_IS(D64,61,$G$5,$H$13)/[1]!S_STM07_BS(D64,74,$G$5,$H$13),1-[1]!S_STM07_IS(D64,61,$G$5,$H$13)/[1]!S_STM07_IS(D64,55,$G$5,$H$13)))</f>
        <v>8.0811233813313385E-2</v>
      </c>
      <c r="M64" s="247">
        <f ca="1">IF(C64="","",IF($M$11="ROE",[1]!S_STM07_IS(D64,61,$G$5,$H$13)/[1]!S_STM07_BS(D64,141,$G$5,$H$13),([1]!S_STM07_BS(D64,25,$G$5,$H$13)-[1]!S_STM07_BS(D64,93,$G$5,$H$13))/$E$5))</f>
        <v>0.18033236349151002</v>
      </c>
      <c r="N64" s="247">
        <f ca="1">IF(C64="","",IF($N$11="EPS",[1]!S_STM07_IS(D64,61,$G$5,$H$13)/IF([1]!S_SHARE_TOTAL(D64,$G$5)=0,[1]!S_SHARE_TOTAL(D64,[1]!s_ipo_listeddate(D64)),[1]!S_SHARE_TOTAL(D64,$G$5)),([1]!S_STM07_BS(D64,75,$G$5,$H$13)+[1]!S_STM07_BS(D64,88,$G$5,$H$13)+[1]!S_STM07_BS(D64,94,$G$5,$H$13)+[1]!S_STM07_BS(D64,95,$G$5,$H$13))/$E$5))</f>
        <v>1.205912272015085</v>
      </c>
      <c r="O64" s="247">
        <f ca="1">IF(C64="","",IF($O$11="BPS",[1]!S_STM07_BS(D64,141,$G$5,$H$13)/IF([1]!S_SHARE_TOTAL(D64,$G$5)=0,[1]!S_SHARE_TOTAL(D64,[1]!s_ipo_listeddate(D64)),[1]!S_SHARE_TOTAL(D64,$G$5)),[1]!S_STM07_CS(D64,49,$G$5,$H$13)/$E$5))</f>
        <v>6.6871650139042229</v>
      </c>
      <c r="P64" s="247">
        <f ca="1">IF(C64="","",IF($P$11="CFPS",[1]!S_STM07_CS(D64,84,$G$5,$H$13)/IF([1]!S_SHARE_TOTAL(D64,$G$5)=0,[1]!S_SHARE_TOTAL(D64,[1]!s_ipo_listeddate(D64)),[1]!S_SHARE_TOTAL(D64,$G$5)),[1]!S_STM07_CS(D64,84,$G$5,$H$13)/$E$5))</f>
        <v>1.1155195736174222</v>
      </c>
      <c r="Q64" s="248">
        <f ca="1">IF(C64="","",F64/([1]!S_STM07_IS(D64,61,$G$5,$H$13)/IF([1]!S_SHARE_TOTAL(D64,$G$5)=0,[1]!S_SHARE_TOTAL(D64,[1]!s_ipo_listeddate(D64)),[1]!S_SHARE_TOTAL(D64,$G$5))))</f>
        <v>30.184616944958549</v>
      </c>
      <c r="R64" s="248">
        <f ca="1">IF(C64="","",F64/([1]!S_STM07_BS(D64,141,$G$5,$H$13)/IF([1]!S_SHARE_TOTAL(D64,$G$5)=0,[1]!S_SHARE_TOTAL(D64,[1]!s_ipo_listeddate(D64)),[1]!S_SHARE_TOTAL(D64,$G$5))))</f>
        <v>5.4432633147702578</v>
      </c>
      <c r="S64" s="247">
        <f ca="1">IF(C64="","",[1]!S_SHARE_TOTAL(D64,TODAY())/$E$5)</f>
        <v>26589.733139999997</v>
      </c>
      <c r="T64" s="247">
        <f t="shared" ca="1" si="13"/>
        <v>967866.28629599989</v>
      </c>
      <c r="U64" s="218">
        <f t="shared" ca="1" si="14"/>
        <v>967866.28629599989</v>
      </c>
      <c r="V64" s="342">
        <f t="shared" ca="1" si="15"/>
        <v>1</v>
      </c>
      <c r="W64" s="139"/>
      <c r="Y64" s="1"/>
    </row>
    <row r="65" spans="3:25" ht="12" customHeight="1">
      <c r="C65" s="343">
        <f t="shared" ca="1" si="0"/>
        <v>52</v>
      </c>
      <c r="D65" s="124" t="str">
        <f t="shared" ca="1" si="11"/>
        <v>603115.SH</v>
      </c>
      <c r="E65" s="124" t="str">
        <f t="shared" ca="1" si="12"/>
        <v>海星股份</v>
      </c>
      <c r="F65" s="172">
        <f ca="1">IF(C65="","",[1]!S_DQ_CLOSE(D65,TODAY(),1))</f>
        <v>29.09</v>
      </c>
      <c r="G65" s="173">
        <f ca="1">IF(C65="","",[1]!s_pq_pctchange(D65,TODAY()-$G$12,TODAY())/100)</f>
        <v>0.15344964314036469</v>
      </c>
      <c r="H65" s="249">
        <f ca="1">IF(C65="","",IF($H$11="收入",[1]!S_STM07_IS(D65,9,$G$5,$H$13)/$E$5,[1]!S_STM07_IS(D65,48,$G$5,$H$13)/$E$5))</f>
        <v>1927.9652556400001</v>
      </c>
      <c r="I65" s="249">
        <f ca="1">IF(C65="","",IF($I$11="毛利率",([1]!S_STM07_IS(D65,9,$G$5,$H$13)-[1]!S_STM07_IS(D65,10,$G$5,$H$13))/[1]!S_STM07_IS(D65,9,$G$5,$H$13),[1]!S_STM07_IS(D65,14,$G$5,$H$13)/$E$5))</f>
        <v>0.21341507261935305</v>
      </c>
      <c r="J65" s="249">
        <f ca="1">IF(C65="","",IF($J$11="营业利润率",[1]!S_STM07_IS(D65,48,$G$5,$H$13)/[1]!S_STM07_IS(D65,9,$G$5,$H$13),([1]!S_STM07_CS(D65,87,$G$5,$H$13)+[1]!S_STM07_CS(D65,88,$G$5,$H$13)+[1]!S_STM07_CS(D65,89,$G$5,$H$13))/$E$5))</f>
        <v>9.4591324317959011E-2</v>
      </c>
      <c r="K65" s="249">
        <f ca="1">IF(C65="","",IF($K$11="净利润率",[1]!S_STM07_IS(D65,61,$G$5,$H$13)/[1]!S_STM07_IS(D65,9,$G$5,$H$13),[1]!S_STM07_IS(D65,55,$G$5,$H$13)/$E$5))</f>
        <v>8.3458313089043029E-2</v>
      </c>
      <c r="L65" s="249">
        <f ca="1">IF(C65="","",IF($L$11="ROA",[1]!S_STM07_IS(D65,61,$G$5,$H$13)/[1]!S_STM07_BS(D65,74,$G$5,$H$13),1-[1]!S_STM07_IS(D65,61,$G$5,$H$13)/[1]!S_STM07_IS(D65,55,$G$5,$H$13)))</f>
        <v>6.1406228675192021E-2</v>
      </c>
      <c r="M65" s="249">
        <f ca="1">IF(C65="","",IF($M$11="ROE",[1]!S_STM07_IS(D65,61,$G$5,$H$13)/[1]!S_STM07_BS(D65,141,$G$5,$H$13),([1]!S_STM07_BS(D65,25,$G$5,$H$13)-[1]!S_STM07_BS(D65,93,$G$5,$H$13))/$E$5))</f>
        <v>7.9003958752795408E-2</v>
      </c>
      <c r="N65" s="250">
        <f ca="1">IF(C65="","",IF($N$11="EPS",[1]!S_STM07_IS(D65,61,$G$5,$H$13)/IF([1]!S_SHARE_TOTAL(D65,$G$5)=0,[1]!S_SHARE_TOTAL(D65,[1]!s_ipo_listeddate(D65)),[1]!S_SHARE_TOTAL(D65,$G$5)),([1]!S_STM07_BS(D65,75,$G$5,$H$13)+[1]!S_STM07_BS(D65,88,$G$5,$H$13)+[1]!S_STM07_BS(D65,94,$G$5,$H$13)+[1]!S_STM07_BS(D65,95,$G$5,$H$13))/$E$5))</f>
        <v>0.67267862846989968</v>
      </c>
      <c r="O65" s="250">
        <f ca="1">IF(C65="","",IF($O$11="BPS",[1]!S_STM07_BS(D65,141,$G$5,$H$13)/IF([1]!S_SHARE_TOTAL(D65,$G$5)=0,[1]!S_SHARE_TOTAL(D65,[1]!s_ipo_listeddate(D65)),[1]!S_SHARE_TOTAL(D65,$G$5)),[1]!S_STM07_CS(D65,49,$G$5,$H$13)/$E$5))</f>
        <v>8.5144926797240803</v>
      </c>
      <c r="P65" s="250">
        <f ca="1">IF(C65="","",IF($P$11="CFPS",[1]!S_STM07_CS(D65,84,$G$5,$H$13)/IF([1]!S_SHARE_TOTAL(D65,$G$5)=0,[1]!S_SHARE_TOTAL(D65,[1]!s_ipo_listeddate(D65)),[1]!S_SHARE_TOTAL(D65,$G$5)),[1]!S_STM07_CS(D65,84,$G$5,$H$13)/$E$5))</f>
        <v>1.8476391096153846</v>
      </c>
      <c r="Q65" s="198">
        <f ca="1">IF(C65="","",F65/([1]!S_STM07_IS(D65,61,$G$5,$H$13)/IF([1]!S_SHARE_TOTAL(D65,$G$5)=0,[1]!S_SHARE_TOTAL(D65,[1]!s_ipo_listeddate(D65)),[1]!S_SHARE_TOTAL(D65,$G$5))))</f>
        <v>43.245018897313891</v>
      </c>
      <c r="R65" s="198">
        <f ca="1">IF(C65="","",F65/([1]!S_STM07_BS(D65,141,$G$5,$H$13)/IF([1]!S_SHARE_TOTAL(D65,$G$5)=0,[1]!S_SHARE_TOTAL(D65,[1]!s_ipo_listeddate(D65)),[1]!S_SHARE_TOTAL(D65,$G$5))))</f>
        <v>3.4165276892272445</v>
      </c>
      <c r="S65" s="249">
        <f ca="1">IF(C65="","",[1]!S_SHARE_TOTAL(D65,TODAY())/$E$5)</f>
        <v>241.8904</v>
      </c>
      <c r="T65" s="249">
        <f t="shared" ca="1" si="13"/>
        <v>7036.5917360000003</v>
      </c>
      <c r="U65" s="172">
        <f t="shared" ca="1" si="14"/>
        <v>7036.5917360000003</v>
      </c>
      <c r="V65" s="343">
        <f t="shared" ca="1" si="15"/>
        <v>47</v>
      </c>
      <c r="W65" s="139"/>
      <c r="Y65" s="1"/>
    </row>
    <row r="66" spans="3:25" ht="12" customHeight="1">
      <c r="C66" s="342">
        <f t="shared" ca="1" si="0"/>
        <v>53</v>
      </c>
      <c r="D66" s="153" t="str">
        <f t="shared" ca="1" si="11"/>
        <v>603132.SH</v>
      </c>
      <c r="E66" s="153" t="str">
        <f t="shared" ca="1" si="12"/>
        <v>金徽股份</v>
      </c>
      <c r="F66" s="170">
        <f ca="1">IF(C66="","",[1]!S_DQ_CLOSE(D66,TODAY(),1))</f>
        <v>18.25</v>
      </c>
      <c r="G66" s="171">
        <f ca="1">IF(C66="","",[1]!s_pq_pctchange(D66,TODAY()-$G$12,TODAY())/100)</f>
        <v>9.6096096096096151E-2</v>
      </c>
      <c r="H66" s="247">
        <f ca="1">IF(C66="","",IF($H$11="收入",[1]!S_STM07_IS(D66,9,$G$5,$H$13)/$E$5,[1]!S_STM07_IS(D66,48,$G$5,$H$13)/$E$5))</f>
        <v>1539.0590996600001</v>
      </c>
      <c r="I66" s="247">
        <f ca="1">IF(C66="","",IF($I$11="毛利率",([1]!S_STM07_IS(D66,9,$G$5,$H$13)-[1]!S_STM07_IS(D66,10,$G$5,$H$13))/[1]!S_STM07_IS(D66,9,$G$5,$H$13),[1]!S_STM07_IS(D66,14,$G$5,$H$13)/$E$5))</f>
        <v>0.62611379179193227</v>
      </c>
      <c r="J66" s="247">
        <f ca="1">IF(C66="","",IF($J$11="营业利润率",[1]!S_STM07_IS(D66,48,$G$5,$H$13)/[1]!S_STM07_IS(D66,9,$G$5,$H$13),([1]!S_STM07_CS(D66,87,$G$5,$H$13)+[1]!S_STM07_CS(D66,88,$G$5,$H$13)+[1]!S_STM07_CS(D66,89,$G$5,$H$13))/$E$5))</f>
        <v>0.38432335330766043</v>
      </c>
      <c r="K66" s="247">
        <f ca="1">IF(C66="","",IF($K$11="净利润率",[1]!S_STM07_IS(D66,61,$G$5,$H$13)/[1]!S_STM07_IS(D66,9,$G$5,$H$13),[1]!S_STM07_IS(D66,55,$G$5,$H$13)/$E$5))</f>
        <v>0.30990640734677971</v>
      </c>
      <c r="L66" s="247">
        <f ca="1">IF(C66="","",IF($L$11="ROA",[1]!S_STM07_IS(D66,61,$G$5,$H$13)/[1]!S_STM07_BS(D66,74,$G$5,$H$13),1-[1]!S_STM07_IS(D66,61,$G$5,$H$13)/[1]!S_STM07_IS(D66,55,$G$5,$H$13)))</f>
        <v>7.367562424812879E-2</v>
      </c>
      <c r="M66" s="247">
        <f ca="1">IF(C66="","",IF($M$11="ROE",[1]!S_STM07_IS(D66,61,$G$5,$H$13)/[1]!S_STM07_BS(D66,141,$G$5,$H$13),([1]!S_STM07_BS(D66,25,$G$5,$H$13)-[1]!S_STM07_BS(D66,93,$G$5,$H$13))/$E$5))</f>
        <v>0.14627367918430983</v>
      </c>
      <c r="N66" s="247">
        <f ca="1">IF(C66="","",IF($N$11="EPS",[1]!S_STM07_IS(D66,61,$G$5,$H$13)/IF([1]!S_SHARE_TOTAL(D66,$G$5)=0,[1]!S_SHARE_TOTAL(D66,[1]!s_ipo_listeddate(D66)),[1]!S_SHARE_TOTAL(D66,$G$5)),([1]!S_STM07_BS(D66,75,$G$5,$H$13)+[1]!S_STM07_BS(D66,88,$G$5,$H$13)+[1]!S_STM07_BS(D66,94,$G$5,$H$13)+[1]!S_STM07_BS(D66,95,$G$5,$H$13))/$E$5))</f>
        <v>0.48769353401840487</v>
      </c>
      <c r="O66" s="247">
        <f ca="1">IF(C66="","",IF($O$11="BPS",[1]!S_STM07_BS(D66,141,$G$5,$H$13)/IF([1]!S_SHARE_TOTAL(D66,$G$5)=0,[1]!S_SHARE_TOTAL(D66,[1]!s_ipo_listeddate(D66)),[1]!S_SHARE_TOTAL(D66,$G$5)),[1]!S_STM07_CS(D66,49,$G$5,$H$13)/$E$5))</f>
        <v>3.3341168194989774</v>
      </c>
      <c r="P66" s="247">
        <f ca="1">IF(C66="","",IF($P$11="CFPS",[1]!S_STM07_CS(D66,84,$G$5,$H$13)/IF([1]!S_SHARE_TOTAL(D66,$G$5)=0,[1]!S_SHARE_TOTAL(D66,[1]!s_ipo_listeddate(D66)),[1]!S_SHARE_TOTAL(D66,$G$5)),[1]!S_STM07_CS(D66,84,$G$5,$H$13)/$E$5))</f>
        <v>0.57085560443762784</v>
      </c>
      <c r="Q66" s="248">
        <f ca="1">IF(C66="","",F66/([1]!S_STM07_IS(D66,61,$G$5,$H$13)/IF([1]!S_SHARE_TOTAL(D66,$G$5)=0,[1]!S_SHARE_TOTAL(D66,[1]!s_ipo_listeddate(D66)),[1]!S_SHARE_TOTAL(D66,$G$5))))</f>
        <v>37.421041549653332</v>
      </c>
      <c r="R66" s="248">
        <f ca="1">IF(C66="","",F66/([1]!S_STM07_BS(D66,141,$G$5,$H$13)/IF([1]!S_SHARE_TOTAL(D66,$G$5)=0,[1]!S_SHARE_TOTAL(D66,[1]!s_ipo_listeddate(D66)),[1]!S_SHARE_TOTAL(D66,$G$5))))</f>
        <v>5.4737134263767198</v>
      </c>
      <c r="S66" s="247">
        <f ca="1">IF(C66="","",[1]!S_SHARE_TOTAL(D66,TODAY())/$E$5)</f>
        <v>978</v>
      </c>
      <c r="T66" s="247">
        <f t="shared" ca="1" si="13"/>
        <v>17848.5</v>
      </c>
      <c r="U66" s="218">
        <f t="shared" ca="1" si="14"/>
        <v>17848.5</v>
      </c>
      <c r="V66" s="342">
        <f t="shared" ca="1" si="15"/>
        <v>33</v>
      </c>
      <c r="W66" s="139"/>
      <c r="Y66" s="1"/>
    </row>
    <row r="67" spans="3:25" ht="12" customHeight="1">
      <c r="C67" s="343">
        <f t="shared" ca="1" si="0"/>
        <v>54</v>
      </c>
      <c r="D67" s="124" t="str">
        <f t="shared" ca="1" si="11"/>
        <v>603271.SH</v>
      </c>
      <c r="E67" s="124" t="str">
        <f t="shared" ca="1" si="12"/>
        <v>永杰新材</v>
      </c>
      <c r="F67" s="172">
        <f ca="1">IF(C67="","",[1]!S_DQ_CLOSE(D67,TODAY(),1))</f>
        <v>46.16</v>
      </c>
      <c r="G67" s="173">
        <f ca="1">IF(C67="","",[1]!s_pq_pctchange(D67,TODAY()-$G$12,TODAY())/100)</f>
        <v>-1.3885921811578772E-2</v>
      </c>
      <c r="H67" s="249">
        <f ca="1">IF(C67="","",IF($H$11="收入",[1]!S_STM07_IS(D67,9,$G$5,$H$13)/$E$5,[1]!S_STM07_IS(D67,48,$G$5,$H$13)/$E$5))</f>
        <v>8111.3577952400001</v>
      </c>
      <c r="I67" s="249">
        <f ca="1">IF(C67="","",IF($I$11="毛利率",([1]!S_STM07_IS(D67,9,$G$5,$H$13)-[1]!S_STM07_IS(D67,10,$G$5,$H$13))/[1]!S_STM07_IS(D67,9,$G$5,$H$13),[1]!S_STM07_IS(D67,14,$G$5,$H$13)/$E$5))</f>
        <v>8.7304969184761064E-2</v>
      </c>
      <c r="J67" s="249">
        <f ca="1">IF(C67="","",IF($J$11="营业利润率",[1]!S_STM07_IS(D67,48,$G$5,$H$13)/[1]!S_STM07_IS(D67,9,$G$5,$H$13),([1]!S_STM07_CS(D67,87,$G$5,$H$13)+[1]!S_STM07_CS(D67,88,$G$5,$H$13)+[1]!S_STM07_CS(D67,89,$G$5,$H$13))/$E$5))</f>
        <v>3.9823032410129612E-2</v>
      </c>
      <c r="K67" s="249">
        <f ca="1">IF(C67="","",IF($K$11="净利润率",[1]!S_STM07_IS(D67,61,$G$5,$H$13)/[1]!S_STM07_IS(D67,9,$G$5,$H$13),[1]!S_STM07_IS(D67,55,$G$5,$H$13)/$E$5))</f>
        <v>3.9382425890207969E-2</v>
      </c>
      <c r="L67" s="249">
        <f ca="1">IF(C67="","",IF($L$11="ROA",[1]!S_STM07_IS(D67,61,$G$5,$H$13)/[1]!S_STM07_BS(D67,74,$G$5,$H$13),1-[1]!S_STM07_IS(D67,61,$G$5,$H$13)/[1]!S_STM07_IS(D67,55,$G$5,$H$13)))</f>
        <v>9.1168214126218006E-2</v>
      </c>
      <c r="M67" s="249">
        <f ca="1">IF(C67="","",IF($M$11="ROE",[1]!S_STM07_IS(D67,61,$G$5,$H$13)/[1]!S_STM07_BS(D67,141,$G$5,$H$13),([1]!S_STM07_BS(D67,25,$G$5,$H$13)-[1]!S_STM07_BS(D67,93,$G$5,$H$13))/$E$5))</f>
        <v>0.1906053030502399</v>
      </c>
      <c r="N67" s="250">
        <f ca="1">IF(C67="","",IF($N$11="EPS",[1]!S_STM07_IS(D67,61,$G$5,$H$13)/IF([1]!S_SHARE_TOTAL(D67,$G$5)=0,[1]!S_SHARE_TOTAL(D67,[1]!s_ipo_listeddate(D67)),[1]!S_SHARE_TOTAL(D67,$G$5)),([1]!S_STM07_BS(D67,75,$G$5,$H$13)+[1]!S_STM07_BS(D67,88,$G$5,$H$13)+[1]!S_STM07_BS(D67,94,$G$5,$H$13)+[1]!S_STM07_BS(D67,95,$G$5,$H$13))/$E$5))</f>
        <v>1.6238559741764946</v>
      </c>
      <c r="O67" s="250">
        <f ca="1">IF(C67="","",IF($O$11="BPS",[1]!S_STM07_BS(D67,141,$G$5,$H$13)/IF([1]!S_SHARE_TOTAL(D67,$G$5)=0,[1]!S_SHARE_TOTAL(D67,[1]!s_ipo_listeddate(D67)),[1]!S_SHARE_TOTAL(D67,$G$5)),[1]!S_STM07_CS(D67,49,$G$5,$H$13)/$E$5))</f>
        <v>8.5194690189101259</v>
      </c>
      <c r="P67" s="250">
        <f ca="1">IF(C67="","",IF($P$11="CFPS",[1]!S_STM07_CS(D67,84,$G$5,$H$13)/IF([1]!S_SHARE_TOTAL(D67,$G$5)=0,[1]!S_SHARE_TOTAL(D67,[1]!s_ipo_listeddate(D67)),[1]!S_SHARE_TOTAL(D67,$G$5)),[1]!S_STM07_CS(D67,84,$G$5,$H$13)/$E$5))</f>
        <v>1.744221522773485</v>
      </c>
      <c r="Q67" s="198">
        <f ca="1">IF(C67="","",F67/([1]!S_STM07_IS(D67,61,$G$5,$H$13)/IF([1]!S_SHARE_TOTAL(D67,$G$5)=0,[1]!S_SHARE_TOTAL(D67,[1]!s_ipo_listeddate(D67)),[1]!S_SHARE_TOTAL(D67,$G$5))))</f>
        <v>28.426166318973639</v>
      </c>
      <c r="R67" s="198">
        <f ca="1">IF(C67="","",F67/([1]!S_STM07_BS(D67,141,$G$5,$H$13)/IF([1]!S_SHARE_TOTAL(D67,$G$5)=0,[1]!S_SHARE_TOTAL(D67,[1]!s_ipo_listeddate(D67)),[1]!S_SHARE_TOTAL(D67,$G$5))))</f>
        <v>5.4181780457844928</v>
      </c>
      <c r="S67" s="249">
        <f ca="1">IF(C67="","",[1]!S_SHARE_TOTAL(D67,TODAY())/$E$5)</f>
        <v>196.72</v>
      </c>
      <c r="T67" s="249">
        <f t="shared" ca="1" si="13"/>
        <v>9080.5951999999997</v>
      </c>
      <c r="U67" s="172">
        <f t="shared" ca="1" si="14"/>
        <v>9080.5951999999997</v>
      </c>
      <c r="V67" s="343">
        <f t="shared" ca="1" si="15"/>
        <v>42</v>
      </c>
      <c r="W67" s="139"/>
      <c r="Y67" s="1"/>
    </row>
    <row r="68" spans="3:25" ht="12" customHeight="1">
      <c r="C68" s="342">
        <f t="shared" ca="1" si="0"/>
        <v>55</v>
      </c>
      <c r="D68" s="153" t="str">
        <f t="shared" ca="1" si="11"/>
        <v>603527.SH</v>
      </c>
      <c r="E68" s="153" t="str">
        <f t="shared" ca="1" si="12"/>
        <v>众源新材</v>
      </c>
      <c r="F68" s="170">
        <f ca="1">IF(C68="","",[1]!S_DQ_CLOSE(D68,TODAY(),1))</f>
        <v>10.84</v>
      </c>
      <c r="G68" s="171">
        <f ca="1">IF(C68="","",[1]!s_pq_pctchange(D68,TODAY()-$G$12,TODAY())/100)</f>
        <v>-9.216589861750224E-4</v>
      </c>
      <c r="H68" s="247">
        <f ca="1">IF(C68="","",IF($H$11="收入",[1]!S_STM07_IS(D68,9,$G$5,$H$13)/$E$5,[1]!S_STM07_IS(D68,48,$G$5,$H$13)/$E$5))</f>
        <v>9321.4790139899997</v>
      </c>
      <c r="I68" s="247">
        <f ca="1">IF(C68="","",IF($I$11="毛利率",([1]!S_STM07_IS(D68,9,$G$5,$H$13)-[1]!S_STM07_IS(D68,10,$G$5,$H$13))/[1]!S_STM07_IS(D68,9,$G$5,$H$13),[1]!S_STM07_IS(D68,14,$G$5,$H$13)/$E$5))</f>
        <v>2.8042484839335684E-2</v>
      </c>
      <c r="J68" s="247">
        <f ca="1">IF(C68="","",IF($J$11="营业利润率",[1]!S_STM07_IS(D68,48,$G$5,$H$13)/[1]!S_STM07_IS(D68,9,$G$5,$H$13),([1]!S_STM07_CS(D68,87,$G$5,$H$13)+[1]!S_STM07_CS(D68,88,$G$5,$H$13)+[1]!S_STM07_CS(D68,89,$G$5,$H$13))/$E$5))</f>
        <v>1.5229645448639348E-2</v>
      </c>
      <c r="K68" s="247">
        <f ca="1">IF(C68="","",IF($K$11="净利润率",[1]!S_STM07_IS(D68,61,$G$5,$H$13)/[1]!S_STM07_IS(D68,9,$G$5,$H$13),[1]!S_STM07_IS(D68,55,$G$5,$H$13)/$E$5))</f>
        <v>1.3655821964406619E-2</v>
      </c>
      <c r="L68" s="247">
        <f ca="1">IF(C68="","",IF($L$11="ROA",[1]!S_STM07_IS(D68,61,$G$5,$H$13)/[1]!S_STM07_BS(D68,74,$G$5,$H$13),1-[1]!S_STM07_IS(D68,61,$G$5,$H$13)/[1]!S_STM07_IS(D68,55,$G$5,$H$13)))</f>
        <v>3.1043348112009237E-2</v>
      </c>
      <c r="M68" s="247">
        <f ca="1">IF(C68="","",IF($M$11="ROE",[1]!S_STM07_IS(D68,61,$G$5,$H$13)/[1]!S_STM07_BS(D68,141,$G$5,$H$13),([1]!S_STM07_BS(D68,25,$G$5,$H$13)-[1]!S_STM07_BS(D68,93,$G$5,$H$13))/$E$5))</f>
        <v>6.2055631902066852E-2</v>
      </c>
      <c r="N68" s="247">
        <f ca="1">IF(C68="","",IF($N$11="EPS",[1]!S_STM07_IS(D68,61,$G$5,$H$13)/IF([1]!S_SHARE_TOTAL(D68,$G$5)=0,[1]!S_SHARE_TOTAL(D68,[1]!s_ipo_listeddate(D68)),[1]!S_SHARE_TOTAL(D68,$G$5)),([1]!S_STM07_BS(D68,75,$G$5,$H$13)+[1]!S_STM07_BS(D68,88,$G$5,$H$13)+[1]!S_STM07_BS(D68,94,$G$5,$H$13)+[1]!S_STM07_BS(D68,95,$G$5,$H$13))/$E$5))</f>
        <v>0.40158997997294393</v>
      </c>
      <c r="O68" s="247">
        <f ca="1">IF(C68="","",IF($O$11="BPS",[1]!S_STM07_BS(D68,141,$G$5,$H$13)/IF([1]!S_SHARE_TOTAL(D68,$G$5)=0,[1]!S_SHARE_TOTAL(D68,[1]!s_ipo_listeddate(D68)),[1]!S_SHARE_TOTAL(D68,$G$5)),[1]!S_STM07_CS(D68,49,$G$5,$H$13)/$E$5))</f>
        <v>6.4714509813825352</v>
      </c>
      <c r="P68" s="247">
        <f ca="1">IF(C68="","",IF($P$11="CFPS",[1]!S_STM07_CS(D68,84,$G$5,$H$13)/IF([1]!S_SHARE_TOTAL(D68,$G$5)=0,[1]!S_SHARE_TOTAL(D68,[1]!s_ipo_listeddate(D68)),[1]!S_SHARE_TOTAL(D68,$G$5)),[1]!S_STM07_CS(D68,84,$G$5,$H$13)/$E$5))</f>
        <v>0.53712351507013889</v>
      </c>
      <c r="Q68" s="248">
        <f ca="1">IF(C68="","",F68/([1]!S_STM07_IS(D68,61,$G$5,$H$13)/IF([1]!S_SHARE_TOTAL(D68,$G$5)=0,[1]!S_SHARE_TOTAL(D68,[1]!s_ipo_listeddate(D68)),[1]!S_SHARE_TOTAL(D68,$G$5))))</f>
        <v>26.992705347703936</v>
      </c>
      <c r="R68" s="248">
        <f ca="1">IF(C68="","",F68/([1]!S_STM07_BS(D68,141,$G$5,$H$13)/IF([1]!S_SHARE_TOTAL(D68,$G$5)=0,[1]!S_SHARE_TOTAL(D68,[1]!s_ipo_listeddate(D68)),[1]!S_SHARE_TOTAL(D68,$G$5))))</f>
        <v>1.6750493870980669</v>
      </c>
      <c r="S68" s="247">
        <f ca="1">IF(C68="","",[1]!S_SHARE_TOTAL(D68,TODAY())/$E$5)</f>
        <v>316.97120000000001</v>
      </c>
      <c r="T68" s="247">
        <f t="shared" ca="1" si="13"/>
        <v>3435.9678079999999</v>
      </c>
      <c r="U68" s="218">
        <f t="shared" ca="1" si="14"/>
        <v>3435.9678079999999</v>
      </c>
      <c r="V68" s="342">
        <f t="shared" ca="1" si="15"/>
        <v>55</v>
      </c>
      <c r="W68" s="139"/>
      <c r="Y68" s="1"/>
    </row>
    <row r="69" spans="3:25" ht="12" customHeight="1">
      <c r="C69" s="343">
        <f t="shared" ca="1" si="0"/>
        <v>56</v>
      </c>
      <c r="D69" s="124" t="str">
        <f t="shared" ca="1" si="11"/>
        <v>603876.SH</v>
      </c>
      <c r="E69" s="124" t="str">
        <f t="shared" ca="1" si="12"/>
        <v>鼎胜新材</v>
      </c>
      <c r="F69" s="172">
        <f ca="1">IF(C69="","",[1]!S_DQ_CLOSE(D69,TODAY(),1))</f>
        <v>19.62</v>
      </c>
      <c r="G69" s="173">
        <f ca="1">IF(C69="","",[1]!s_pq_pctchange(D69,TODAY()-$G$12,TODAY())/100)</f>
        <v>-1.5060240963855498E-2</v>
      </c>
      <c r="H69" s="249">
        <f ca="1">IF(C69="","",IF($H$11="收入",[1]!S_STM07_IS(D69,9,$G$5,$H$13)/$E$5,[1]!S_STM07_IS(D69,48,$G$5,$H$13)/$E$5))</f>
        <v>24021.67330359</v>
      </c>
      <c r="I69" s="249">
        <f ca="1">IF(C69="","",IF($I$11="毛利率",([1]!S_STM07_IS(D69,9,$G$5,$H$13)-[1]!S_STM07_IS(D69,10,$G$5,$H$13))/[1]!S_STM07_IS(D69,9,$G$5,$H$13),[1]!S_STM07_IS(D69,14,$G$5,$H$13)/$E$5))</f>
        <v>8.8906141092212218E-2</v>
      </c>
      <c r="J69" s="249">
        <f ca="1">IF(C69="","",IF($J$11="营业利润率",[1]!S_STM07_IS(D69,48,$G$5,$H$13)/[1]!S_STM07_IS(D69,9,$G$5,$H$13),([1]!S_STM07_CS(D69,87,$G$5,$H$13)+[1]!S_STM07_CS(D69,88,$G$5,$H$13)+[1]!S_STM07_CS(D69,89,$G$5,$H$13))/$E$5))</f>
        <v>1.4271988175310149E-2</v>
      </c>
      <c r="K69" s="249">
        <f ca="1">IF(C69="","",IF($K$11="净利润率",[1]!S_STM07_IS(D69,61,$G$5,$H$13)/[1]!S_STM07_IS(D69,9,$G$5,$H$13),[1]!S_STM07_IS(D69,55,$G$5,$H$13)/$E$5))</f>
        <v>1.2534138837239223E-2</v>
      </c>
      <c r="L69" s="249">
        <f ca="1">IF(C69="","",IF($L$11="ROA",[1]!S_STM07_IS(D69,61,$G$5,$H$13)/[1]!S_STM07_BS(D69,74,$G$5,$H$13),1-[1]!S_STM07_IS(D69,61,$G$5,$H$13)/[1]!S_STM07_IS(D69,55,$G$5,$H$13)))</f>
        <v>1.2594585679183609E-2</v>
      </c>
      <c r="M69" s="249">
        <f ca="1">IF(C69="","",IF($M$11="ROE",[1]!S_STM07_IS(D69,61,$G$5,$H$13)/[1]!S_STM07_BS(D69,141,$G$5,$H$13),([1]!S_STM07_BS(D69,25,$G$5,$H$13)-[1]!S_STM07_BS(D69,93,$G$5,$H$13))/$E$5))</f>
        <v>4.507327095823542E-2</v>
      </c>
      <c r="N69" s="250">
        <f ca="1">IF(C69="","",IF($N$11="EPS",[1]!S_STM07_IS(D69,61,$G$5,$H$13)/IF([1]!S_SHARE_TOTAL(D69,$G$5)=0,[1]!S_SHARE_TOTAL(D69,[1]!s_ipo_listeddate(D69)),[1]!S_SHARE_TOTAL(D69,$G$5)),([1]!S_STM07_BS(D69,75,$G$5,$H$13)+[1]!S_STM07_BS(D69,88,$G$5,$H$13)+[1]!S_STM07_BS(D69,94,$G$5,$H$13)+[1]!S_STM07_BS(D69,95,$G$5,$H$13))/$E$5))</f>
        <v>0.33702530659637414</v>
      </c>
      <c r="O69" s="250">
        <f ca="1">IF(C69="","",IF($O$11="BPS",[1]!S_STM07_BS(D69,141,$G$5,$H$13)/IF([1]!S_SHARE_TOTAL(D69,$G$5)=0,[1]!S_SHARE_TOTAL(D69,[1]!s_ipo_listeddate(D69)),[1]!S_SHARE_TOTAL(D69,$G$5)),[1]!S_STM07_CS(D69,49,$G$5,$H$13)/$E$5))</f>
        <v>7.4772764308288044</v>
      </c>
      <c r="P69" s="250">
        <f ca="1">IF(C69="","",IF($P$11="CFPS",[1]!S_STM07_CS(D69,84,$G$5,$H$13)/IF([1]!S_SHARE_TOTAL(D69,$G$5)=0,[1]!S_SHARE_TOTAL(D69,[1]!s_ipo_listeddate(D69)),[1]!S_SHARE_TOTAL(D69,$G$5)),[1]!S_STM07_CS(D69,84,$G$5,$H$13)/$E$5))</f>
        <v>0.85492980110181405</v>
      </c>
      <c r="Q69" s="198">
        <f ca="1">IF(C69="","",F69/([1]!S_STM07_IS(D69,61,$G$5,$H$13)/IF([1]!S_SHARE_TOTAL(D69,$G$5)=0,[1]!S_SHARE_TOTAL(D69,[1]!s_ipo_listeddate(D69)),[1]!S_SHARE_TOTAL(D69,$G$5))))</f>
        <v>58.215212970630617</v>
      </c>
      <c r="R69" s="198">
        <f ca="1">IF(C69="","",F69/([1]!S_STM07_BS(D69,141,$G$5,$H$13)/IF([1]!S_SHARE_TOTAL(D69,$G$5)=0,[1]!S_SHARE_TOTAL(D69,[1]!s_ipo_listeddate(D69)),[1]!S_SHARE_TOTAL(D69,$G$5))))</f>
        <v>2.6239500681166148</v>
      </c>
      <c r="S69" s="249">
        <f ca="1">IF(C69="","",[1]!S_SHARE_TOTAL(D69,TODAY())/$E$5)</f>
        <v>929.26721299999997</v>
      </c>
      <c r="T69" s="249">
        <f t="shared" ca="1" si="13"/>
        <v>18232.222719059999</v>
      </c>
      <c r="U69" s="172">
        <f t="shared" ca="1" si="14"/>
        <v>18232.222719059999</v>
      </c>
      <c r="V69" s="343">
        <f t="shared" ca="1" si="15"/>
        <v>31</v>
      </c>
      <c r="W69" s="139"/>
      <c r="Y69" s="1"/>
    </row>
    <row r="70" spans="3:25" ht="12" customHeight="1">
      <c r="C70" s="342">
        <f t="shared" ca="1" si="0"/>
        <v>57</v>
      </c>
      <c r="D70" s="153" t="str">
        <f t="shared" ca="1" si="11"/>
        <v>603937.SH</v>
      </c>
      <c r="E70" s="153" t="str">
        <f t="shared" ca="1" si="12"/>
        <v>丽岛新材</v>
      </c>
      <c r="F70" s="170">
        <f ca="1">IF(C70="","",[1]!S_DQ_CLOSE(D70,TODAY(),1))</f>
        <v>12.79</v>
      </c>
      <c r="G70" s="171">
        <f ca="1">IF(C70="","",[1]!s_pq_pctchange(D70,TODAY()-$G$12,TODAY())/100)</f>
        <v>-1.1591962905718733E-2</v>
      </c>
      <c r="H70" s="247">
        <f ca="1">IF(C70="","",IF($H$11="收入",[1]!S_STM07_IS(D70,9,$G$5,$H$13)/$E$5,[1]!S_STM07_IS(D70,48,$G$5,$H$13)/$E$5))</f>
        <v>1579.1203950899999</v>
      </c>
      <c r="I70" s="247">
        <f ca="1">IF(C70="","",IF($I$11="毛利率",([1]!S_STM07_IS(D70,9,$G$5,$H$13)-[1]!S_STM07_IS(D70,10,$G$5,$H$13))/[1]!S_STM07_IS(D70,9,$G$5,$H$13),[1]!S_STM07_IS(D70,14,$G$5,$H$13)/$E$5))</f>
        <v>6.4836223797973713E-2</v>
      </c>
      <c r="J70" s="247">
        <f ca="1">IF(C70="","",IF($J$11="营业利润率",[1]!S_STM07_IS(D70,48,$G$5,$H$13)/[1]!S_STM07_IS(D70,9,$G$5,$H$13),([1]!S_STM07_CS(D70,87,$G$5,$H$13)+[1]!S_STM07_CS(D70,88,$G$5,$H$13)+[1]!S_STM07_CS(D70,89,$G$5,$H$13))/$E$5))</f>
        <v>-1.8019702150942219E-2</v>
      </c>
      <c r="K70" s="247">
        <f ca="1">IF(C70="","",IF($K$11="净利润率",[1]!S_STM07_IS(D70,61,$G$5,$H$13)/[1]!S_STM07_IS(D70,9,$G$5,$H$13),[1]!S_STM07_IS(D70,55,$G$5,$H$13)/$E$5))</f>
        <v>-2.1674406477442339E-2</v>
      </c>
      <c r="L70" s="247">
        <f ca="1">IF(C70="","",IF($L$11="ROA",[1]!S_STM07_IS(D70,61,$G$5,$H$13)/[1]!S_STM07_BS(D70,74,$G$5,$H$13),1-[1]!S_STM07_IS(D70,61,$G$5,$H$13)/[1]!S_STM07_IS(D70,55,$G$5,$H$13)))</f>
        <v>-1.3544741175383018E-2</v>
      </c>
      <c r="M70" s="247">
        <f ca="1">IF(C70="","",IF($M$11="ROE",[1]!S_STM07_IS(D70,61,$G$5,$H$13)/[1]!S_STM07_BS(D70,141,$G$5,$H$13),([1]!S_STM07_BS(D70,25,$G$5,$H$13)-[1]!S_STM07_BS(D70,93,$G$5,$H$13))/$E$5))</f>
        <v>-2.1559331900571462E-2</v>
      </c>
      <c r="N70" s="247">
        <f ca="1">IF(C70="","",IF($N$11="EPS",[1]!S_STM07_IS(D70,61,$G$5,$H$13)/IF([1]!S_SHARE_TOTAL(D70,$G$5)=0,[1]!S_SHARE_TOTAL(D70,[1]!s_ipo_listeddate(D70)),[1]!S_SHARE_TOTAL(D70,$G$5)),([1]!S_STM07_BS(D70,75,$G$5,$H$13)+[1]!S_STM07_BS(D70,88,$G$5,$H$13)+[1]!S_STM07_BS(D70,94,$G$5,$H$13)+[1]!S_STM07_BS(D70,95,$G$5,$H$13))/$E$5))</f>
        <v>-0.16385662096201281</v>
      </c>
      <c r="O70" s="247">
        <f ca="1">IF(C70="","",IF($O$11="BPS",[1]!S_STM07_BS(D70,141,$G$5,$H$13)/IF([1]!S_SHARE_TOTAL(D70,$G$5)=0,[1]!S_SHARE_TOTAL(D70,[1]!s_ipo_listeddate(D70)),[1]!S_SHARE_TOTAL(D70,$G$5)),[1]!S_STM07_CS(D70,49,$G$5,$H$13)/$E$5))</f>
        <v>7.6002643179156015</v>
      </c>
      <c r="P70" s="247">
        <f ca="1">IF(C70="","",IF($P$11="CFPS",[1]!S_STM07_CS(D70,84,$G$5,$H$13)/IF([1]!S_SHARE_TOTAL(D70,$G$5)=0,[1]!S_SHARE_TOTAL(D70,[1]!s_ipo_listeddate(D70)),[1]!S_SHARE_TOTAL(D70,$G$5)),[1]!S_STM07_CS(D70,84,$G$5,$H$13)/$E$5))</f>
        <v>0.63026655225243311</v>
      </c>
      <c r="Q70" s="248">
        <f ca="1">IF(C70="","",F70/([1]!S_STM07_IS(D70,61,$G$5,$H$13)/IF([1]!S_SHARE_TOTAL(D70,$G$5)=0,[1]!S_SHARE_TOTAL(D70,[1]!s_ipo_listeddate(D70)),[1]!S_SHARE_TOTAL(D70,$G$5))))</f>
        <v>-78.056046346550318</v>
      </c>
      <c r="R70" s="248">
        <f ca="1">IF(C70="","",F70/([1]!S_STM07_BS(D70,141,$G$5,$H$13)/IF([1]!S_SHARE_TOTAL(D70,$G$5)=0,[1]!S_SHARE_TOTAL(D70,[1]!s_ipo_listeddate(D70)),[1]!S_SHARE_TOTAL(D70,$G$5))))</f>
        <v>1.6828362100316665</v>
      </c>
      <c r="S70" s="247">
        <f ca="1">IF(C70="","",[1]!S_SHARE_TOTAL(D70,TODAY())/$E$5)</f>
        <v>208.88897600000001</v>
      </c>
      <c r="T70" s="247">
        <f t="shared" ca="1" si="13"/>
        <v>2671.6900030400002</v>
      </c>
      <c r="U70" s="218">
        <f t="shared" ca="1" si="14"/>
        <v>2671.6900030400002</v>
      </c>
      <c r="V70" s="342">
        <f t="shared" ca="1" si="15"/>
        <v>59</v>
      </c>
      <c r="W70" s="139"/>
      <c r="Y70" s="1"/>
    </row>
    <row r="71" spans="3:25" ht="12" customHeight="1">
      <c r="C71" s="343">
        <f t="shared" ca="1" si="0"/>
        <v>58</v>
      </c>
      <c r="D71" s="124" t="str">
        <f t="shared" ca="1" si="11"/>
        <v>603979.SH</v>
      </c>
      <c r="E71" s="124" t="str">
        <f t="shared" ca="1" si="12"/>
        <v>金诚信</v>
      </c>
      <c r="F71" s="172">
        <f ca="1">IF(C71="","",[1]!S_DQ_CLOSE(D71,TODAY(),1))</f>
        <v>65.45</v>
      </c>
      <c r="G71" s="173">
        <f ca="1">IF(C71="","",[1]!s_pq_pctchange(D71,TODAY()-$G$12,TODAY())/100)</f>
        <v>-0.10452866329183197</v>
      </c>
      <c r="H71" s="249">
        <f ca="1">IF(C71="","",IF($H$11="收入",[1]!S_STM07_IS(D71,9,$G$5,$H$13)/$E$5,[1]!S_STM07_IS(D71,48,$G$5,$H$13)/$E$5))</f>
        <v>9942.4063978100003</v>
      </c>
      <c r="I71" s="249">
        <f ca="1">IF(C71="","",IF($I$11="毛利率",([1]!S_STM07_IS(D71,9,$G$5,$H$13)-[1]!S_STM07_IS(D71,10,$G$5,$H$13))/[1]!S_STM07_IS(D71,9,$G$5,$H$13),[1]!S_STM07_IS(D71,14,$G$5,$H$13)/$E$5))</f>
        <v>0.31510818833960419</v>
      </c>
      <c r="J71" s="249">
        <f ca="1">IF(C71="","",IF($J$11="营业利润率",[1]!S_STM07_IS(D71,48,$G$5,$H$13)/[1]!S_STM07_IS(D71,9,$G$5,$H$13),([1]!S_STM07_CS(D71,87,$G$5,$H$13)+[1]!S_STM07_CS(D71,88,$G$5,$H$13)+[1]!S_STM07_CS(D71,89,$G$5,$H$13))/$E$5))</f>
        <v>0.2004231737619302</v>
      </c>
      <c r="K71" s="249">
        <f ca="1">IF(C71="","",IF($K$11="净利润率",[1]!S_STM07_IS(D71,61,$G$5,$H$13)/[1]!S_STM07_IS(D71,9,$G$5,$H$13),[1]!S_STM07_IS(D71,55,$G$5,$H$13)/$E$5))</f>
        <v>0.15929996255623458</v>
      </c>
      <c r="L71" s="249">
        <f ca="1">IF(C71="","",IF($L$11="ROA",[1]!S_STM07_IS(D71,61,$G$5,$H$13)/[1]!S_STM07_BS(D71,74,$G$5,$H$13),1-[1]!S_STM07_IS(D71,61,$G$5,$H$13)/[1]!S_STM07_IS(D71,55,$G$5,$H$13)))</f>
        <v>9.3272358614540182E-2</v>
      </c>
      <c r="M71" s="249">
        <f ca="1">IF(C71="","",IF($M$11="ROE",[1]!S_STM07_IS(D71,61,$G$5,$H$13)/[1]!S_STM07_BS(D71,141,$G$5,$H$13),([1]!S_STM07_BS(D71,25,$G$5,$H$13)-[1]!S_STM07_BS(D71,93,$G$5,$H$13))/$E$5))</f>
        <v>0.17484643319987878</v>
      </c>
      <c r="N71" s="250">
        <f ca="1">IF(C71="","",IF($N$11="EPS",[1]!S_STM07_IS(D71,61,$G$5,$H$13)/IF([1]!S_SHARE_TOTAL(D71,$G$5)=0,[1]!S_SHARE_TOTAL(D71,[1]!s_ipo_listeddate(D71)),[1]!S_SHARE_TOTAL(D71,$G$5)),([1]!S_STM07_BS(D71,75,$G$5,$H$13)+[1]!S_STM07_BS(D71,88,$G$5,$H$13)+[1]!S_STM07_BS(D71,94,$G$5,$H$13)+[1]!S_STM07_BS(D71,95,$G$5,$H$13))/$E$5))</f>
        <v>2.5390934420072138</v>
      </c>
      <c r="O71" s="250">
        <f ca="1">IF(C71="","",IF($O$11="BPS",[1]!S_STM07_BS(D71,141,$G$5,$H$13)/IF([1]!S_SHARE_TOTAL(D71,$G$5)=0,[1]!S_SHARE_TOTAL(D71,[1]!s_ipo_listeddate(D71)),[1]!S_SHARE_TOTAL(D71,$G$5)),[1]!S_STM07_CS(D71,49,$G$5,$H$13)/$E$5))</f>
        <v>14.521848661931836</v>
      </c>
      <c r="P71" s="250">
        <f ca="1">IF(C71="","",IF($P$11="CFPS",[1]!S_STM07_CS(D71,84,$G$5,$H$13)/IF([1]!S_SHARE_TOTAL(D71,$G$5)=0,[1]!S_SHARE_TOTAL(D71,[1]!s_ipo_listeddate(D71)),[1]!S_SHARE_TOTAL(D71,$G$5)),[1]!S_STM07_CS(D71,84,$G$5,$H$13)/$E$5))</f>
        <v>4.0688579200663728</v>
      </c>
      <c r="Q71" s="198">
        <f ca="1">IF(C71="","",F71/([1]!S_STM07_IS(D71,61,$G$5,$H$13)/IF([1]!S_SHARE_TOTAL(D71,$G$5)=0,[1]!S_SHARE_TOTAL(D71,[1]!s_ipo_listeddate(D71)),[1]!S_SHARE_TOTAL(D71,$G$5))))</f>
        <v>25.776916641657827</v>
      </c>
      <c r="R71" s="198">
        <f ca="1">IF(C71="","",F71/([1]!S_STM07_BS(D71,141,$G$5,$H$13)/IF([1]!S_SHARE_TOTAL(D71,$G$5)=0,[1]!S_SHARE_TOTAL(D71,[1]!s_ipo_listeddate(D71)),[1]!S_SHARE_TOTAL(D71,$G$5))))</f>
        <v>4.5070019336844691</v>
      </c>
      <c r="S71" s="249">
        <f ca="1">IF(C71="","",[1]!S_SHARE_TOTAL(D71,TODAY())/$E$5)</f>
        <v>623.78848600000003</v>
      </c>
      <c r="T71" s="249">
        <f t="shared" ca="1" si="13"/>
        <v>40826.956408700004</v>
      </c>
      <c r="U71" s="172">
        <f t="shared" ca="1" si="14"/>
        <v>40826.956408700004</v>
      </c>
      <c r="V71" s="343">
        <f t="shared" ca="1" si="15"/>
        <v>17</v>
      </c>
      <c r="W71" s="139"/>
      <c r="Y71" s="1"/>
    </row>
    <row r="72" spans="3:25" ht="12" customHeight="1">
      <c r="C72" s="342">
        <f t="shared" ca="1" si="0"/>
        <v>59</v>
      </c>
      <c r="D72" s="153" t="str">
        <f t="shared" ca="1" si="11"/>
        <v>603993.SH</v>
      </c>
      <c r="E72" s="153" t="str">
        <f t="shared" ca="1" si="12"/>
        <v>洛阳钼业</v>
      </c>
      <c r="F72" s="170">
        <f ca="1">IF(C72="","",[1]!S_DQ_CLOSE(D72,TODAY(),1))</f>
        <v>21.24</v>
      </c>
      <c r="G72" s="171">
        <f ca="1">IF(C72="","",[1]!s_pq_pctchange(D72,TODAY()-$G$12,TODAY())/100)</f>
        <v>-3.3666969972702465E-2</v>
      </c>
      <c r="H72" s="247">
        <f ca="1">IF(C72="","",IF($H$11="收入",[1]!S_STM07_IS(D72,9,$G$5,$H$13)/$E$5,[1]!S_STM07_IS(D72,48,$G$5,$H$13)/$E$5))</f>
        <v>213028.66483479002</v>
      </c>
      <c r="I72" s="247">
        <f ca="1">IF(C72="","",IF($I$11="毛利率",([1]!S_STM07_IS(D72,9,$G$5,$H$13)-[1]!S_STM07_IS(D72,10,$G$5,$H$13))/[1]!S_STM07_IS(D72,9,$G$5,$H$13),[1]!S_STM07_IS(D72,14,$G$5,$H$13)/$E$5))</f>
        <v>0.16549265128343665</v>
      </c>
      <c r="J72" s="247">
        <f ca="1">IF(C72="","",IF($J$11="营业利润率",[1]!S_STM07_IS(D72,48,$G$5,$H$13)/[1]!S_STM07_IS(D72,9,$G$5,$H$13),([1]!S_STM07_CS(D72,87,$G$5,$H$13)+[1]!S_STM07_CS(D72,88,$G$5,$H$13)+[1]!S_STM07_CS(D72,89,$G$5,$H$13))/$E$5))</f>
        <v>0.11860391858492167</v>
      </c>
      <c r="K72" s="247">
        <f ca="1">IF(C72="","",IF($K$11="净利润率",[1]!S_STM07_IS(D72,61,$G$5,$H$13)/[1]!S_STM07_IS(D72,9,$G$5,$H$13),[1]!S_STM07_IS(D72,55,$G$5,$H$13)/$E$5))</f>
        <v>6.3522132166741463E-2</v>
      </c>
      <c r="L72" s="247">
        <f ca="1">IF(C72="","",IF($L$11="ROA",[1]!S_STM07_IS(D72,61,$G$5,$H$13)/[1]!S_STM07_BS(D72,74,$G$5,$H$13),1-[1]!S_STM07_IS(D72,61,$G$5,$H$13)/[1]!S_STM07_IS(D72,55,$G$5,$H$13)))</f>
        <v>7.9489653703721436E-2</v>
      </c>
      <c r="M72" s="247">
        <f ca="1">IF(C72="","",IF($M$11="ROE",[1]!S_STM07_IS(D72,61,$G$5,$H$13)/[1]!S_STM07_BS(D72,141,$G$5,$H$13),([1]!S_STM07_BS(D72,25,$G$5,$H$13)-[1]!S_STM07_BS(D72,93,$G$5,$H$13))/$E$5))</f>
        <v>0.15745500245240582</v>
      </c>
      <c r="N72" s="247">
        <f ca="1">IF(C72="","",IF($N$11="EPS",[1]!S_STM07_IS(D72,61,$G$5,$H$13)/IF([1]!S_SHARE_TOTAL(D72,$G$5)=0,[1]!S_SHARE_TOTAL(D72,[1]!s_ipo_listeddate(D72)),[1]!S_SHARE_TOTAL(D72,$G$5)),([1]!S_STM07_BS(D72,75,$G$5,$H$13)+[1]!S_STM07_BS(D72,88,$G$5,$H$13)+[1]!S_STM07_BS(D72,94,$G$5,$H$13)+[1]!S_STM07_BS(D72,95,$G$5,$H$13))/$E$5))</f>
        <v>0.62650512877710096</v>
      </c>
      <c r="O72" s="247">
        <f ca="1">IF(C72="","",IF($O$11="BPS",[1]!S_STM07_BS(D72,141,$G$5,$H$13)/IF([1]!S_SHARE_TOTAL(D72,$G$5)=0,[1]!S_SHARE_TOTAL(D72,[1]!s_ipo_listeddate(D72)),[1]!S_SHARE_TOTAL(D72,$G$5)),[1]!S_STM07_CS(D72,49,$G$5,$H$13)/$E$5))</f>
        <v>3.9789471215211196</v>
      </c>
      <c r="P72" s="247">
        <f ca="1">IF(C72="","",IF($P$11="CFPS",[1]!S_STM07_CS(D72,84,$G$5,$H$13)/IF([1]!S_SHARE_TOTAL(D72,$G$5)=0,[1]!S_SHARE_TOTAL(D72,[1]!s_ipo_listeddate(D72)),[1]!S_SHARE_TOTAL(D72,$G$5)),[1]!S_STM07_CS(D72,84,$G$5,$H$13)/$E$5))</f>
        <v>1.2630405959402893</v>
      </c>
      <c r="Q72" s="248">
        <f ca="1">IF(C72="","",F72/([1]!S_STM07_IS(D72,61,$G$5,$H$13)/IF([1]!S_SHARE_TOTAL(D72,$G$5)=0,[1]!S_SHARE_TOTAL(D72,[1]!s_ipo_listeddate(D72)),[1]!S_SHARE_TOTAL(D72,$G$5))))</f>
        <v>33.902356141056906</v>
      </c>
      <c r="R72" s="248">
        <f ca="1">IF(C72="","",F72/([1]!S_STM07_BS(D72,141,$G$5,$H$13)/IF([1]!S_SHARE_TOTAL(D72,$G$5)=0,[1]!S_SHARE_TOTAL(D72,[1]!s_ipo_listeddate(D72)),[1]!S_SHARE_TOTAL(D72,$G$5))))</f>
        <v>5.3380955693324514</v>
      </c>
      <c r="S72" s="247">
        <f ca="1">IF(C72="","",[1]!S_SHARE_TOTAL(D72,TODAY())/$E$5)</f>
        <v>21394.310175999999</v>
      </c>
      <c r="T72" s="247">
        <f t="shared" ca="1" si="13"/>
        <v>454415.14813823992</v>
      </c>
      <c r="U72" s="218">
        <f t="shared" ca="1" si="14"/>
        <v>454415.14813823992</v>
      </c>
      <c r="V72" s="342">
        <f t="shared" ca="1" si="15"/>
        <v>2</v>
      </c>
      <c r="W72" s="139"/>
      <c r="Y72" s="1"/>
    </row>
    <row r="73" spans="3:25" ht="12" customHeight="1">
      <c r="C73" s="343">
        <f t="shared" ca="1" si="0"/>
        <v>60</v>
      </c>
      <c r="D73" s="124" t="str">
        <f t="shared" ca="1" si="11"/>
        <v>605208.SH</v>
      </c>
      <c r="E73" s="124" t="str">
        <f t="shared" ca="1" si="12"/>
        <v>永茂泰</v>
      </c>
      <c r="F73" s="172">
        <f ca="1">IF(C73="","",[1]!S_DQ_CLOSE(D73,TODAY(),1))</f>
        <v>13.1</v>
      </c>
      <c r="G73" s="173">
        <f ca="1">IF(C73="","",[1]!s_pq_pctchange(D73,TODAY()-$G$12,TODAY())/100)</f>
        <v>1.5503875968992276E-2</v>
      </c>
      <c r="H73" s="249">
        <f ca="1">IF(C73="","",IF($H$11="收入",[1]!S_STM07_IS(D73,9,$G$5,$H$13)/$E$5,[1]!S_STM07_IS(D73,48,$G$5,$H$13)/$E$5))</f>
        <v>4099.5434713000004</v>
      </c>
      <c r="I73" s="249">
        <f ca="1">IF(C73="","",IF($I$11="毛利率",([1]!S_STM07_IS(D73,9,$G$5,$H$13)-[1]!S_STM07_IS(D73,10,$G$5,$H$13))/[1]!S_STM07_IS(D73,9,$G$5,$H$13),[1]!S_STM07_IS(D73,14,$G$5,$H$13)/$E$5))</f>
        <v>5.6071093222755282E-2</v>
      </c>
      <c r="J73" s="249">
        <f ca="1">IF(C73="","",IF($J$11="营业利润率",[1]!S_STM07_IS(D73,48,$G$5,$H$13)/[1]!S_STM07_IS(D73,9,$G$5,$H$13),([1]!S_STM07_CS(D73,87,$G$5,$H$13)+[1]!S_STM07_CS(D73,88,$G$5,$H$13)+[1]!S_STM07_CS(D73,89,$G$5,$H$13))/$E$5))</f>
        <v>8.4183497190861954E-3</v>
      </c>
      <c r="K73" s="249">
        <f ca="1">IF(C73="","",IF($K$11="净利润率",[1]!S_STM07_IS(D73,61,$G$5,$H$13)/[1]!S_STM07_IS(D73,9,$G$5,$H$13),[1]!S_STM07_IS(D73,55,$G$5,$H$13)/$E$5))</f>
        <v>9.1497076863793752E-3</v>
      </c>
      <c r="L73" s="249">
        <f ca="1">IF(C73="","",IF($L$11="ROA",[1]!S_STM07_IS(D73,61,$G$5,$H$13)/[1]!S_STM07_BS(D73,74,$G$5,$H$13),1-[1]!S_STM07_IS(D73,61,$G$5,$H$13)/[1]!S_STM07_IS(D73,55,$G$5,$H$13)))</f>
        <v>9.3838901728674241E-3</v>
      </c>
      <c r="M73" s="249">
        <f ca="1">IF(C73="","",IF($M$11="ROE",[1]!S_STM07_IS(D73,61,$G$5,$H$13)/[1]!S_STM07_BS(D73,141,$G$5,$H$13),([1]!S_STM07_BS(D73,25,$G$5,$H$13)-[1]!S_STM07_BS(D73,93,$G$5,$H$13))/$E$5))</f>
        <v>1.785792110110912E-2</v>
      </c>
      <c r="N73" s="250">
        <f ca="1">IF(C73="","",IF($N$11="EPS",[1]!S_STM07_IS(D73,61,$G$5,$H$13)/IF([1]!S_SHARE_TOTAL(D73,$G$5)=0,[1]!S_SHARE_TOTAL(D73,[1]!s_ipo_listeddate(D73)),[1]!S_SHARE_TOTAL(D73,$G$5)),([1]!S_STM07_BS(D73,75,$G$5,$H$13)+[1]!S_STM07_BS(D73,88,$G$5,$H$13)+[1]!S_STM07_BS(D73,94,$G$5,$H$13)+[1]!S_STM07_BS(D73,95,$G$5,$H$13))/$E$5))</f>
        <v>0.11368619873310298</v>
      </c>
      <c r="O73" s="250">
        <f ca="1">IF(C73="","",IF($O$11="BPS",[1]!S_STM07_BS(D73,141,$G$5,$H$13)/IF([1]!S_SHARE_TOTAL(D73,$G$5)=0,[1]!S_SHARE_TOTAL(D73,[1]!s_ipo_listeddate(D73)),[1]!S_SHARE_TOTAL(D73,$G$5)),[1]!S_STM07_CS(D73,49,$G$5,$H$13)/$E$5))</f>
        <v>6.3661496816693948</v>
      </c>
      <c r="P73" s="250">
        <f ca="1">IF(C73="","",IF($P$11="CFPS",[1]!S_STM07_CS(D73,84,$G$5,$H$13)/IF([1]!S_SHARE_TOTAL(D73,$G$5)=0,[1]!S_SHARE_TOTAL(D73,[1]!s_ipo_listeddate(D73)),[1]!S_SHARE_TOTAL(D73,$G$5)),[1]!S_STM07_CS(D73,84,$G$5,$H$13)/$E$5))</f>
        <v>0.15350766451476025</v>
      </c>
      <c r="Q73" s="198">
        <f ca="1">IF(C73="","",F73/([1]!S_STM07_IS(D73,61,$G$5,$H$13)/IF([1]!S_SHARE_TOTAL(D73,$G$5)=0,[1]!S_SHARE_TOTAL(D73,[1]!s_ipo_listeddate(D73)),[1]!S_SHARE_TOTAL(D73,$G$5))))</f>
        <v>115.22946624993945</v>
      </c>
      <c r="R73" s="198">
        <f ca="1">IF(C73="","",F73/([1]!S_STM07_BS(D73,141,$G$5,$H$13)/IF([1]!S_SHARE_TOTAL(D73,$G$5)=0,[1]!S_SHARE_TOTAL(D73,[1]!s_ipo_listeddate(D73)),[1]!S_SHARE_TOTAL(D73,$G$5))))</f>
        <v>2.0577587168143348</v>
      </c>
      <c r="S73" s="249">
        <f ca="1">IF(C73="","",[1]!S_SHARE_TOTAL(D73,TODAY())/$E$5)</f>
        <v>329.94</v>
      </c>
      <c r="T73" s="249">
        <f t="shared" ca="1" si="13"/>
        <v>4322.2139999999999</v>
      </c>
      <c r="U73" s="172">
        <f t="shared" ca="1" si="14"/>
        <v>4322.2139999999999</v>
      </c>
      <c r="V73" s="343">
        <f t="shared" ca="1" si="15"/>
        <v>52</v>
      </c>
      <c r="W73" s="139"/>
      <c r="Y73" s="1"/>
    </row>
    <row r="74" spans="3:25" ht="12" customHeight="1">
      <c r="C74" s="342">
        <f t="shared" ca="1" si="0"/>
        <v>61</v>
      </c>
      <c r="D74" s="153" t="str">
        <f t="shared" ca="1" si="11"/>
        <v>920634.BJ</v>
      </c>
      <c r="E74" s="153" t="str">
        <f t="shared" ca="1" si="12"/>
        <v>新威凌</v>
      </c>
      <c r="F74" s="170">
        <f ca="1">IF(C74="","",[1]!S_DQ_CLOSE(D74,TODAY(),1))</f>
        <v>24.58</v>
      </c>
      <c r="G74" s="171">
        <f ca="1">IF(C74="","",[1]!s_pq_pctchange(D74,TODAY()-$G$12,TODAY())/100)</f>
        <v>-6.8233510235026551E-2</v>
      </c>
      <c r="H74" s="247">
        <f ca="1">IF(C74="","",IF($H$11="收入",[1]!S_STM07_IS(D74,9,$G$5,$H$13)/$E$5,[1]!S_STM07_IS(D74,48,$G$5,$H$13)/$E$5))</f>
        <v>947.40523971000005</v>
      </c>
      <c r="I74" s="247">
        <f ca="1">IF(C74="","",IF($I$11="毛利率",([1]!S_STM07_IS(D74,9,$G$5,$H$13)-[1]!S_STM07_IS(D74,10,$G$5,$H$13))/[1]!S_STM07_IS(D74,9,$G$5,$H$13),[1]!S_STM07_IS(D74,14,$G$5,$H$13)/$E$5))</f>
        <v>8.3372528543517468E-2</v>
      </c>
      <c r="J74" s="247">
        <f ca="1">IF(C74="","",IF($J$11="营业利润率",[1]!S_STM07_IS(D74,48,$G$5,$H$13)/[1]!S_STM07_IS(D74,9,$G$5,$H$13),([1]!S_STM07_CS(D74,87,$G$5,$H$13)+[1]!S_STM07_CS(D74,88,$G$5,$H$13)+[1]!S_STM07_CS(D74,89,$G$5,$H$13))/$E$5))</f>
        <v>2.6556983364058158E-2</v>
      </c>
      <c r="K74" s="247">
        <f ca="1">IF(C74="","",IF($K$11="净利润率",[1]!S_STM07_IS(D74,61,$G$5,$H$13)/[1]!S_STM07_IS(D74,9,$G$5,$H$13),[1]!S_STM07_IS(D74,55,$G$5,$H$13)/$E$5))</f>
        <v>2.9391402995114852E-2</v>
      </c>
      <c r="L74" s="247">
        <f ca="1">IF(C74="","",IF($L$11="ROA",[1]!S_STM07_IS(D74,61,$G$5,$H$13)/[1]!S_STM07_BS(D74,74,$G$5,$H$13),1-[1]!S_STM07_IS(D74,61,$G$5,$H$13)/[1]!S_STM07_IS(D74,55,$G$5,$H$13)))</f>
        <v>7.187837857055536E-2</v>
      </c>
      <c r="M74" s="247">
        <f ca="1">IF(C74="","",IF($M$11="ROE",[1]!S_STM07_IS(D74,61,$G$5,$H$13)/[1]!S_STM07_BS(D74,141,$G$5,$H$13),([1]!S_STM07_BS(D74,25,$G$5,$H$13)-[1]!S_STM07_BS(D74,93,$G$5,$H$13))/$E$5))</f>
        <v>0.10392658263518749</v>
      </c>
      <c r="N74" s="247">
        <f ca="1">IF(C74="","",IF($N$11="EPS",[1]!S_STM07_IS(D74,61,$G$5,$H$13)/IF([1]!S_SHARE_TOTAL(D74,$G$5)=0,[1]!S_SHARE_TOTAL(D74,[1]!s_ipo_listeddate(D74)),[1]!S_SHARE_TOTAL(D74,$G$5)),([1]!S_STM07_BS(D74,75,$G$5,$H$13)+[1]!S_STM07_BS(D74,88,$G$5,$H$13)+[1]!S_STM07_BS(D74,94,$G$5,$H$13)+[1]!S_STM07_BS(D74,95,$G$5,$H$13))/$E$5))</f>
        <v>0.43671072286482149</v>
      </c>
      <c r="O74" s="247">
        <f ca="1">IF(C74="","",IF($O$11="BPS",[1]!S_STM07_BS(D74,141,$G$5,$H$13)/IF([1]!S_SHARE_TOTAL(D74,$G$5)=0,[1]!S_SHARE_TOTAL(D74,[1]!s_ipo_listeddate(D74)),[1]!S_SHARE_TOTAL(D74,$G$5)),[1]!S_STM07_CS(D74,49,$G$5,$H$13)/$E$5))</f>
        <v>4.2021079861521384</v>
      </c>
      <c r="P74" s="247">
        <f ca="1">IF(C74="","",IF($P$11="CFPS",[1]!S_STM07_CS(D74,84,$G$5,$H$13)/IF([1]!S_SHARE_TOTAL(D74,$G$5)=0,[1]!S_SHARE_TOTAL(D74,[1]!s_ipo_listeddate(D74)),[1]!S_SHARE_TOTAL(D74,$G$5)),[1]!S_STM07_CS(D74,84,$G$5,$H$13)/$E$5))</f>
        <v>1.169897593154398</v>
      </c>
      <c r="Q74" s="248">
        <f ca="1">IF(C74="","",F74/([1]!S_STM07_IS(D74,61,$G$5,$H$13)/IF([1]!S_SHARE_TOTAL(D74,$G$5)=0,[1]!S_SHARE_TOTAL(D74,[1]!s_ipo_listeddate(D74)),[1]!S_SHARE_TOTAL(D74,$G$5))))</f>
        <v>56.28439768722702</v>
      </c>
      <c r="R74" s="248">
        <f ca="1">IF(C74="","",F74/([1]!S_STM07_BS(D74,141,$G$5,$H$13)/IF([1]!S_SHARE_TOTAL(D74,$G$5)=0,[1]!S_SHARE_TOTAL(D74,[1]!s_ipo_listeddate(D74)),[1]!S_SHARE_TOTAL(D74,$G$5))))</f>
        <v>5.849445107313354</v>
      </c>
      <c r="S74" s="247">
        <f ca="1">IF(C74="","",[1]!S_SHARE_TOTAL(D74,TODAY())/$E$5)</f>
        <v>63.908765999999993</v>
      </c>
      <c r="T74" s="247">
        <f t="shared" ca="1" si="13"/>
        <v>1570.8774682799997</v>
      </c>
      <c r="U74" s="218">
        <f t="shared" ca="1" si="14"/>
        <v>1570.8774682799997</v>
      </c>
      <c r="V74" s="342">
        <f t="shared" ca="1" si="15"/>
        <v>61</v>
      </c>
      <c r="W74" s="139"/>
      <c r="Y74" s="1"/>
    </row>
    <row r="75" spans="3:25" ht="12" customHeight="1">
      <c r="C75" s="343" t="str">
        <f t="shared" ca="1" si="0"/>
        <v/>
      </c>
      <c r="D75" s="124" t="str">
        <f t="shared" ca="1" si="11"/>
        <v/>
      </c>
      <c r="E75" s="124" t="str">
        <f t="shared" ca="1" si="12"/>
        <v/>
      </c>
      <c r="F75" s="172" t="str">
        <f ca="1">IF(C75="","",[1]!S_DQ_CLOSE(D75,TODAY(),1))</f>
        <v/>
      </c>
      <c r="G75" s="173" t="str">
        <f ca="1">IF(C75="","",[1]!s_pq_pctchange(D75,TODAY()-$G$12,TODAY())/100)</f>
        <v/>
      </c>
      <c r="H75" s="249" t="str">
        <f ca="1">IF(C75="","",IF($H$11="收入",[1]!S_STM07_IS(D75,9,$G$5,$H$13)/$E$5,[1]!S_STM07_IS(D75,48,$G$5,$H$13)/$E$5))</f>
        <v/>
      </c>
      <c r="I75" s="249" t="str">
        <f ca="1">IF(C75="","",IF($I$11="毛利率",([1]!S_STM07_IS(D75,9,$G$5,$H$13)-[1]!S_STM07_IS(D75,10,$G$5,$H$13))/[1]!S_STM07_IS(D75,9,$G$5,$H$13),[1]!S_STM07_IS(D75,14,$G$5,$H$13)/$E$5))</f>
        <v/>
      </c>
      <c r="J75" s="249" t="str">
        <f ca="1">IF(C75="","",IF($J$11="营业利润率",[1]!S_STM07_IS(D75,48,$G$5,$H$13)/[1]!S_STM07_IS(D75,9,$G$5,$H$13),([1]!S_STM07_CS(D75,87,$G$5,$H$13)+[1]!S_STM07_CS(D75,88,$G$5,$H$13)+[1]!S_STM07_CS(D75,89,$G$5,$H$13))/$E$5))</f>
        <v/>
      </c>
      <c r="K75" s="249" t="str">
        <f ca="1">IF(C75="","",IF($K$11="净利润率",[1]!S_STM07_IS(D75,61,$G$5,$H$13)/[1]!S_STM07_IS(D75,9,$G$5,$H$13),[1]!S_STM07_IS(D75,55,$G$5,$H$13)/$E$5))</f>
        <v/>
      </c>
      <c r="L75" s="249" t="str">
        <f ca="1">IF(C75="","",IF($L$11="ROA",[1]!S_STM07_IS(D75,61,$G$5,$H$13)/[1]!S_STM07_BS(D75,74,$G$5,$H$13),1-[1]!S_STM07_IS(D75,61,$G$5,$H$13)/[1]!S_STM07_IS(D75,55,$G$5,$H$13)))</f>
        <v/>
      </c>
      <c r="M75" s="249" t="str">
        <f ca="1">IF(C75="","",IF($M$11="ROE",[1]!S_STM07_IS(D75,61,$G$5,$H$13)/[1]!S_STM07_BS(D75,141,$G$5,$H$13),([1]!S_STM07_BS(D75,25,$G$5,$H$13)-[1]!S_STM07_BS(D75,93,$G$5,$H$13))/$E$5))</f>
        <v/>
      </c>
      <c r="N75" s="250" t="str">
        <f ca="1">IF(C75="","",IF($N$11="EPS",[1]!S_STM07_IS(D75,61,$G$5,$H$13)/IF([1]!S_SHARE_TOTAL(D75,$G$5)=0,[1]!S_SHARE_TOTAL(D75,[1]!s_ipo_listeddate(D75)),[1]!S_SHARE_TOTAL(D75,$G$5)),([1]!S_STM07_BS(D75,75,$G$5,$H$13)+[1]!S_STM07_BS(D75,88,$G$5,$H$13)+[1]!S_STM07_BS(D75,94,$G$5,$H$13)+[1]!S_STM07_BS(D75,95,$G$5,$H$13))/$E$5))</f>
        <v/>
      </c>
      <c r="O75" s="250" t="str">
        <f ca="1">IF(C75="","",IF($O$11="BPS",[1]!S_STM07_BS(D75,141,$G$5,$H$13)/IF([1]!S_SHARE_TOTAL(D75,$G$5)=0,[1]!S_SHARE_TOTAL(D75,[1]!s_ipo_listeddate(D75)),[1]!S_SHARE_TOTAL(D75,$G$5)),[1]!S_STM07_CS(D75,49,$G$5,$H$13)/$E$5))</f>
        <v/>
      </c>
      <c r="P75" s="250" t="str">
        <f ca="1">IF(C75="","",IF($P$11="CFPS",[1]!S_STM07_CS(D75,84,$G$5,$H$13)/IF([1]!S_SHARE_TOTAL(D75,$G$5)=0,[1]!S_SHARE_TOTAL(D75,[1]!s_ipo_listeddate(D75)),[1]!S_SHARE_TOTAL(D75,$G$5)),[1]!S_STM07_CS(D75,84,$G$5,$H$13)/$E$5))</f>
        <v/>
      </c>
      <c r="Q75" s="198" t="str">
        <f ca="1">IF(C75="","",F75/([1]!S_STM07_IS(D75,61,$G$5,$H$13)/IF([1]!S_SHARE_TOTAL(D75,$G$5)=0,[1]!S_SHARE_TOTAL(D75,[1]!s_ipo_listeddate(D75)),[1]!S_SHARE_TOTAL(D75,$G$5))))</f>
        <v/>
      </c>
      <c r="R75" s="198" t="str">
        <f ca="1">IF(C75="","",F75/([1]!S_STM07_BS(D75,141,$G$5,$H$13)/IF([1]!S_SHARE_TOTAL(D75,$G$5)=0,[1]!S_SHARE_TOTAL(D75,[1]!s_ipo_listeddate(D75)),[1]!S_SHARE_TOTAL(D75,$G$5))))</f>
        <v/>
      </c>
      <c r="S75" s="249" t="str">
        <f ca="1">IF(C75="","",[1]!S_SHARE_TOTAL(D75,TODAY())/$E$5)</f>
        <v/>
      </c>
      <c r="T75" s="249" t="str">
        <f t="shared" ca="1" si="13"/>
        <v/>
      </c>
      <c r="U75" s="172" t="str">
        <f t="shared" ca="1" si="14"/>
        <v/>
      </c>
      <c r="V75" s="343" t="str">
        <f t="shared" ca="1" si="15"/>
        <v/>
      </c>
      <c r="W75" s="139"/>
      <c r="Y75" s="1"/>
    </row>
    <row r="76" spans="3:25" ht="12" customHeight="1">
      <c r="C76" s="342" t="str">
        <f t="shared" ca="1" si="0"/>
        <v/>
      </c>
      <c r="D76" s="153" t="str">
        <f t="shared" ca="1" si="11"/>
        <v/>
      </c>
      <c r="E76" s="153" t="str">
        <f t="shared" ca="1" si="12"/>
        <v/>
      </c>
      <c r="F76" s="170" t="str">
        <f ca="1">IF(C76="","",[1]!S_DQ_CLOSE(D76,TODAY(),1))</f>
        <v/>
      </c>
      <c r="G76" s="171" t="str">
        <f ca="1">IF(C76="","",[1]!s_pq_pctchange(D76,TODAY()-$G$12,TODAY())/100)</f>
        <v/>
      </c>
      <c r="H76" s="247" t="str">
        <f ca="1">IF(C76="","",IF($H$11="收入",[1]!S_STM07_IS(D76,9,$G$5,$H$13)/$E$5,[1]!S_STM07_IS(D76,48,$G$5,$H$13)/$E$5))</f>
        <v/>
      </c>
      <c r="I76" s="247" t="str">
        <f ca="1">IF(C76="","",IF($I$11="毛利率",([1]!S_STM07_IS(D76,9,$G$5,$H$13)-[1]!S_STM07_IS(D76,10,$G$5,$H$13))/[1]!S_STM07_IS(D76,9,$G$5,$H$13),[1]!S_STM07_IS(D76,14,$G$5,$H$13)/$E$5))</f>
        <v/>
      </c>
      <c r="J76" s="247" t="str">
        <f ca="1">IF(C76="","",IF($J$11="营业利润率",[1]!S_STM07_IS(D76,48,$G$5,$H$13)/[1]!S_STM07_IS(D76,9,$G$5,$H$13),([1]!S_STM07_CS(D76,87,$G$5,$H$13)+[1]!S_STM07_CS(D76,88,$G$5,$H$13)+[1]!S_STM07_CS(D76,89,$G$5,$H$13))/$E$5))</f>
        <v/>
      </c>
      <c r="K76" s="247" t="str">
        <f ca="1">IF(C76="","",IF($K$11="净利润率",[1]!S_STM07_IS(D76,61,$G$5,$H$13)/[1]!S_STM07_IS(D76,9,$G$5,$H$13),[1]!S_STM07_IS(D76,55,$G$5,$H$13)/$E$5))</f>
        <v/>
      </c>
      <c r="L76" s="247" t="str">
        <f ca="1">IF(C76="","",IF($L$11="ROA",[1]!S_STM07_IS(D76,61,$G$5,$H$13)/[1]!S_STM07_BS(D76,74,$G$5,$H$13),1-[1]!S_STM07_IS(D76,61,$G$5,$H$13)/[1]!S_STM07_IS(D76,55,$G$5,$H$13)))</f>
        <v/>
      </c>
      <c r="M76" s="247" t="str">
        <f ca="1">IF(C76="","",IF($M$11="ROE",[1]!S_STM07_IS(D76,61,$G$5,$H$13)/[1]!S_STM07_BS(D76,141,$G$5,$H$13),([1]!S_STM07_BS(D76,25,$G$5,$H$13)-[1]!S_STM07_BS(D76,93,$G$5,$H$13))/$E$5))</f>
        <v/>
      </c>
      <c r="N76" s="247" t="str">
        <f ca="1">IF(C76="","",IF($N$11="EPS",[1]!S_STM07_IS(D76,61,$G$5,$H$13)/IF([1]!S_SHARE_TOTAL(D76,$G$5)=0,[1]!S_SHARE_TOTAL(D76,[1]!s_ipo_listeddate(D76)),[1]!S_SHARE_TOTAL(D76,$G$5)),([1]!S_STM07_BS(D76,75,$G$5,$H$13)+[1]!S_STM07_BS(D76,88,$G$5,$H$13)+[1]!S_STM07_BS(D76,94,$G$5,$H$13)+[1]!S_STM07_BS(D76,95,$G$5,$H$13))/$E$5))</f>
        <v/>
      </c>
      <c r="O76" s="247" t="str">
        <f ca="1">IF(C76="","",IF($O$11="BPS",[1]!S_STM07_BS(D76,141,$G$5,$H$13)/IF([1]!S_SHARE_TOTAL(D76,$G$5)=0,[1]!S_SHARE_TOTAL(D76,[1]!s_ipo_listeddate(D76)),[1]!S_SHARE_TOTAL(D76,$G$5)),[1]!S_STM07_CS(D76,49,$G$5,$H$13)/$E$5))</f>
        <v/>
      </c>
      <c r="P76" s="247" t="str">
        <f ca="1">IF(C76="","",IF($P$11="CFPS",[1]!S_STM07_CS(D76,84,$G$5,$H$13)/IF([1]!S_SHARE_TOTAL(D76,$G$5)=0,[1]!S_SHARE_TOTAL(D76,[1]!s_ipo_listeddate(D76)),[1]!S_SHARE_TOTAL(D76,$G$5)),[1]!S_STM07_CS(D76,84,$G$5,$H$13)/$E$5))</f>
        <v/>
      </c>
      <c r="Q76" s="248" t="str">
        <f ca="1">IF(C76="","",F76/([1]!S_STM07_IS(D76,61,$G$5,$H$13)/IF([1]!S_SHARE_TOTAL(D76,$G$5)=0,[1]!S_SHARE_TOTAL(D76,[1]!s_ipo_listeddate(D76)),[1]!S_SHARE_TOTAL(D76,$G$5))))</f>
        <v/>
      </c>
      <c r="R76" s="248" t="str">
        <f ca="1">IF(C76="","",F76/([1]!S_STM07_BS(D76,141,$G$5,$H$13)/IF([1]!S_SHARE_TOTAL(D76,$G$5)=0,[1]!S_SHARE_TOTAL(D76,[1]!s_ipo_listeddate(D76)),[1]!S_SHARE_TOTAL(D76,$G$5))))</f>
        <v/>
      </c>
      <c r="S76" s="247" t="str">
        <f ca="1">IF(C76="","",[1]!S_SHARE_TOTAL(D76,TODAY())/$E$5)</f>
        <v/>
      </c>
      <c r="T76" s="247" t="str">
        <f t="shared" ca="1" si="13"/>
        <v/>
      </c>
      <c r="U76" s="218" t="str">
        <f t="shared" ca="1" si="14"/>
        <v/>
      </c>
      <c r="V76" s="342" t="str">
        <f t="shared" ca="1" si="15"/>
        <v/>
      </c>
      <c r="W76" s="139"/>
      <c r="Y76" s="1"/>
    </row>
    <row r="77" spans="3:25" ht="12" customHeight="1">
      <c r="C77" s="343" t="str">
        <f t="shared" ca="1" si="0"/>
        <v/>
      </c>
      <c r="D77" s="124" t="str">
        <f t="shared" ca="1" si="11"/>
        <v/>
      </c>
      <c r="E77" s="124" t="str">
        <f t="shared" ca="1" si="12"/>
        <v/>
      </c>
      <c r="F77" s="172" t="str">
        <f ca="1">IF(C77="","",[1]!S_DQ_CLOSE(D77,TODAY(),1))</f>
        <v/>
      </c>
      <c r="G77" s="173" t="str">
        <f ca="1">IF(C77="","",[1]!s_pq_pctchange(D77,TODAY()-$G$12,TODAY())/100)</f>
        <v/>
      </c>
      <c r="H77" s="249" t="str">
        <f ca="1">IF(C77="","",IF($H$11="收入",[1]!S_STM07_IS(D77,9,$G$5,$H$13)/$E$5,[1]!S_STM07_IS(D77,48,$G$5,$H$13)/$E$5))</f>
        <v/>
      </c>
      <c r="I77" s="249" t="str">
        <f ca="1">IF(C77="","",IF($I$11="毛利率",([1]!S_STM07_IS(D77,9,$G$5,$H$13)-[1]!S_STM07_IS(D77,10,$G$5,$H$13))/[1]!S_STM07_IS(D77,9,$G$5,$H$13),[1]!S_STM07_IS(D77,14,$G$5,$H$13)/$E$5))</f>
        <v/>
      </c>
      <c r="J77" s="249" t="str">
        <f ca="1">IF(C77="","",IF($J$11="营业利润率",[1]!S_STM07_IS(D77,48,$G$5,$H$13)/[1]!S_STM07_IS(D77,9,$G$5,$H$13),([1]!S_STM07_CS(D77,87,$G$5,$H$13)+[1]!S_STM07_CS(D77,88,$G$5,$H$13)+[1]!S_STM07_CS(D77,89,$G$5,$H$13))/$E$5))</f>
        <v/>
      </c>
      <c r="K77" s="249" t="str">
        <f ca="1">IF(C77="","",IF($K$11="净利润率",[1]!S_STM07_IS(D77,61,$G$5,$H$13)/[1]!S_STM07_IS(D77,9,$G$5,$H$13),[1]!S_STM07_IS(D77,55,$G$5,$H$13)/$E$5))</f>
        <v/>
      </c>
      <c r="L77" s="249" t="str">
        <f ca="1">IF(C77="","",IF($L$11="ROA",[1]!S_STM07_IS(D77,61,$G$5,$H$13)/[1]!S_STM07_BS(D77,74,$G$5,$H$13),1-[1]!S_STM07_IS(D77,61,$G$5,$H$13)/[1]!S_STM07_IS(D77,55,$G$5,$H$13)))</f>
        <v/>
      </c>
      <c r="M77" s="249" t="str">
        <f ca="1">IF(C77="","",IF($M$11="ROE",[1]!S_STM07_IS(D77,61,$G$5,$H$13)/[1]!S_STM07_BS(D77,141,$G$5,$H$13),([1]!S_STM07_BS(D77,25,$G$5,$H$13)-[1]!S_STM07_BS(D77,93,$G$5,$H$13))/$E$5))</f>
        <v/>
      </c>
      <c r="N77" s="250" t="str">
        <f ca="1">IF(C77="","",IF($N$11="EPS",[1]!S_STM07_IS(D77,61,$G$5,$H$13)/IF([1]!S_SHARE_TOTAL(D77,$G$5)=0,[1]!S_SHARE_TOTAL(D77,[1]!s_ipo_listeddate(D77)),[1]!S_SHARE_TOTAL(D77,$G$5)),([1]!S_STM07_BS(D77,75,$G$5,$H$13)+[1]!S_STM07_BS(D77,88,$G$5,$H$13)+[1]!S_STM07_BS(D77,94,$G$5,$H$13)+[1]!S_STM07_BS(D77,95,$G$5,$H$13))/$E$5))</f>
        <v/>
      </c>
      <c r="O77" s="250" t="str">
        <f ca="1">IF(C77="","",IF($O$11="BPS",[1]!S_STM07_BS(D77,141,$G$5,$H$13)/IF([1]!S_SHARE_TOTAL(D77,$G$5)=0,[1]!S_SHARE_TOTAL(D77,[1]!s_ipo_listeddate(D77)),[1]!S_SHARE_TOTAL(D77,$G$5)),[1]!S_STM07_CS(D77,49,$G$5,$H$13)/$E$5))</f>
        <v/>
      </c>
      <c r="P77" s="250" t="str">
        <f ca="1">IF(C77="","",IF($P$11="CFPS",[1]!S_STM07_CS(D77,84,$G$5,$H$13)/IF([1]!S_SHARE_TOTAL(D77,$G$5)=0,[1]!S_SHARE_TOTAL(D77,[1]!s_ipo_listeddate(D77)),[1]!S_SHARE_TOTAL(D77,$G$5)),[1]!S_STM07_CS(D77,84,$G$5,$H$13)/$E$5))</f>
        <v/>
      </c>
      <c r="Q77" s="198" t="str">
        <f ca="1">IF(C77="","",F77/([1]!S_STM07_IS(D77,61,$G$5,$H$13)/IF([1]!S_SHARE_TOTAL(D77,$G$5)=0,[1]!S_SHARE_TOTAL(D77,[1]!s_ipo_listeddate(D77)),[1]!S_SHARE_TOTAL(D77,$G$5))))</f>
        <v/>
      </c>
      <c r="R77" s="198" t="str">
        <f ca="1">IF(C77="","",F77/([1]!S_STM07_BS(D77,141,$G$5,$H$13)/IF([1]!S_SHARE_TOTAL(D77,$G$5)=0,[1]!S_SHARE_TOTAL(D77,[1]!s_ipo_listeddate(D77)),[1]!S_SHARE_TOTAL(D77,$G$5))))</f>
        <v/>
      </c>
      <c r="S77" s="249" t="str">
        <f ca="1">IF(C77="","",[1]!S_SHARE_TOTAL(D77,TODAY())/$E$5)</f>
        <v/>
      </c>
      <c r="T77" s="249" t="str">
        <f t="shared" ca="1" si="13"/>
        <v/>
      </c>
      <c r="U77" s="172" t="str">
        <f t="shared" ca="1" si="14"/>
        <v/>
      </c>
      <c r="V77" s="343" t="str">
        <f t="shared" ca="1" si="15"/>
        <v/>
      </c>
      <c r="W77" s="139"/>
      <c r="Y77" s="1"/>
    </row>
    <row r="78" spans="3:25" ht="12" customHeight="1">
      <c r="C78" s="342" t="str">
        <f t="shared" ref="C78:C141" ca="1" si="16">IF(ROW()-13&lt;=MAX(series),ROW()-13,"")</f>
        <v/>
      </c>
      <c r="D78" s="153" t="str">
        <f t="shared" ca="1" si="11"/>
        <v/>
      </c>
      <c r="E78" s="153" t="str">
        <f t="shared" ca="1" si="12"/>
        <v/>
      </c>
      <c r="F78" s="170" t="str">
        <f ca="1">IF(C78="","",[1]!S_DQ_CLOSE(D78,TODAY(),1))</f>
        <v/>
      </c>
      <c r="G78" s="171" t="str">
        <f ca="1">IF(C78="","",[1]!s_pq_pctchange(D78,TODAY()-$G$12,TODAY())/100)</f>
        <v/>
      </c>
      <c r="H78" s="247" t="str">
        <f ca="1">IF(C78="","",IF($H$11="收入",[1]!S_STM07_IS(D78,9,$G$5,$H$13)/$E$5,[1]!S_STM07_IS(D78,48,$G$5,$H$13)/$E$5))</f>
        <v/>
      </c>
      <c r="I78" s="247" t="str">
        <f ca="1">IF(C78="","",IF($I$11="毛利率",([1]!S_STM07_IS(D78,9,$G$5,$H$13)-[1]!S_STM07_IS(D78,10,$G$5,$H$13))/[1]!S_STM07_IS(D78,9,$G$5,$H$13),[1]!S_STM07_IS(D78,14,$G$5,$H$13)/$E$5))</f>
        <v/>
      </c>
      <c r="J78" s="247" t="str">
        <f ca="1">IF(C78="","",IF($J$11="营业利润率",[1]!S_STM07_IS(D78,48,$G$5,$H$13)/[1]!S_STM07_IS(D78,9,$G$5,$H$13),([1]!S_STM07_CS(D78,87,$G$5,$H$13)+[1]!S_STM07_CS(D78,88,$G$5,$H$13)+[1]!S_STM07_CS(D78,89,$G$5,$H$13))/$E$5))</f>
        <v/>
      </c>
      <c r="K78" s="247" t="str">
        <f ca="1">IF(C78="","",IF($K$11="净利润率",[1]!S_STM07_IS(D78,61,$G$5,$H$13)/[1]!S_STM07_IS(D78,9,$G$5,$H$13),[1]!S_STM07_IS(D78,55,$G$5,$H$13)/$E$5))</f>
        <v/>
      </c>
      <c r="L78" s="247" t="str">
        <f ca="1">IF(C78="","",IF($L$11="ROA",[1]!S_STM07_IS(D78,61,$G$5,$H$13)/[1]!S_STM07_BS(D78,74,$G$5,$H$13),1-[1]!S_STM07_IS(D78,61,$G$5,$H$13)/[1]!S_STM07_IS(D78,55,$G$5,$H$13)))</f>
        <v/>
      </c>
      <c r="M78" s="247" t="str">
        <f ca="1">IF(C78="","",IF($M$11="ROE",[1]!S_STM07_IS(D78,61,$G$5,$H$13)/[1]!S_STM07_BS(D78,141,$G$5,$H$13),([1]!S_STM07_BS(D78,25,$G$5,$H$13)-[1]!S_STM07_BS(D78,93,$G$5,$H$13))/$E$5))</f>
        <v/>
      </c>
      <c r="N78" s="247" t="str">
        <f ca="1">IF(C78="","",IF($N$11="EPS",[1]!S_STM07_IS(D78,61,$G$5,$H$13)/IF([1]!S_SHARE_TOTAL(D78,$G$5)=0,[1]!S_SHARE_TOTAL(D78,[1]!s_ipo_listeddate(D78)),[1]!S_SHARE_TOTAL(D78,$G$5)),([1]!S_STM07_BS(D78,75,$G$5,$H$13)+[1]!S_STM07_BS(D78,88,$G$5,$H$13)+[1]!S_STM07_BS(D78,94,$G$5,$H$13)+[1]!S_STM07_BS(D78,95,$G$5,$H$13))/$E$5))</f>
        <v/>
      </c>
      <c r="O78" s="247" t="str">
        <f ca="1">IF(C78="","",IF($O$11="BPS",[1]!S_STM07_BS(D78,141,$G$5,$H$13)/IF([1]!S_SHARE_TOTAL(D78,$G$5)=0,[1]!S_SHARE_TOTAL(D78,[1]!s_ipo_listeddate(D78)),[1]!S_SHARE_TOTAL(D78,$G$5)),[1]!S_STM07_CS(D78,49,$G$5,$H$13)/$E$5))</f>
        <v/>
      </c>
      <c r="P78" s="247" t="str">
        <f ca="1">IF(C78="","",IF($P$11="CFPS",[1]!S_STM07_CS(D78,84,$G$5,$H$13)/IF([1]!S_SHARE_TOTAL(D78,$G$5)=0,[1]!S_SHARE_TOTAL(D78,[1]!s_ipo_listeddate(D78)),[1]!S_SHARE_TOTAL(D78,$G$5)),[1]!S_STM07_CS(D78,84,$G$5,$H$13)/$E$5))</f>
        <v/>
      </c>
      <c r="Q78" s="248" t="str">
        <f ca="1">IF(C78="","",F78/([1]!S_STM07_IS(D78,61,$G$5,$H$13)/IF([1]!S_SHARE_TOTAL(D78,$G$5)=0,[1]!S_SHARE_TOTAL(D78,[1]!s_ipo_listeddate(D78)),[1]!S_SHARE_TOTAL(D78,$G$5))))</f>
        <v/>
      </c>
      <c r="R78" s="248" t="str">
        <f ca="1">IF(C78="","",F78/([1]!S_STM07_BS(D78,141,$G$5,$H$13)/IF([1]!S_SHARE_TOTAL(D78,$G$5)=0,[1]!S_SHARE_TOTAL(D78,[1]!s_ipo_listeddate(D78)),[1]!S_SHARE_TOTAL(D78,$G$5))))</f>
        <v/>
      </c>
      <c r="S78" s="247" t="str">
        <f ca="1">IF(C78="","",[1]!S_SHARE_TOTAL(D78,TODAY())/$E$5)</f>
        <v/>
      </c>
      <c r="T78" s="247" t="str">
        <f t="shared" ca="1" si="13"/>
        <v/>
      </c>
      <c r="U78" s="218" t="str">
        <f t="shared" ca="1" si="14"/>
        <v/>
      </c>
      <c r="V78" s="342" t="str">
        <f t="shared" ca="1" si="15"/>
        <v/>
      </c>
      <c r="W78" s="139"/>
      <c r="Y78" s="1"/>
    </row>
    <row r="79" spans="3:25" ht="12" customHeight="1">
      <c r="C79" s="343" t="str">
        <f t="shared" ca="1" si="16"/>
        <v/>
      </c>
      <c r="D79" s="124" t="str">
        <f t="shared" ca="1" si="11"/>
        <v/>
      </c>
      <c r="E79" s="124" t="str">
        <f t="shared" ca="1" si="12"/>
        <v/>
      </c>
      <c r="F79" s="172" t="str">
        <f ca="1">IF(C79="","",[1]!S_DQ_CLOSE(D79,TODAY(),1))</f>
        <v/>
      </c>
      <c r="G79" s="173" t="str">
        <f ca="1">IF(C79="","",[1]!s_pq_pctchange(D79,TODAY()-$G$12,TODAY())/100)</f>
        <v/>
      </c>
      <c r="H79" s="249" t="str">
        <f ca="1">IF(C79="","",IF($H$11="收入",[1]!S_STM07_IS(D79,9,$G$5,$H$13)/$E$5,[1]!S_STM07_IS(D79,48,$G$5,$H$13)/$E$5))</f>
        <v/>
      </c>
      <c r="I79" s="249" t="str">
        <f ca="1">IF(C79="","",IF($I$11="毛利率",([1]!S_STM07_IS(D79,9,$G$5,$H$13)-[1]!S_STM07_IS(D79,10,$G$5,$H$13))/[1]!S_STM07_IS(D79,9,$G$5,$H$13),[1]!S_STM07_IS(D79,14,$G$5,$H$13)/$E$5))</f>
        <v/>
      </c>
      <c r="J79" s="249" t="str">
        <f ca="1">IF(C79="","",IF($J$11="营业利润率",[1]!S_STM07_IS(D79,48,$G$5,$H$13)/[1]!S_STM07_IS(D79,9,$G$5,$H$13),([1]!S_STM07_CS(D79,87,$G$5,$H$13)+[1]!S_STM07_CS(D79,88,$G$5,$H$13)+[1]!S_STM07_CS(D79,89,$G$5,$H$13))/$E$5))</f>
        <v/>
      </c>
      <c r="K79" s="249" t="str">
        <f ca="1">IF(C79="","",IF($K$11="净利润率",[1]!S_STM07_IS(D79,61,$G$5,$H$13)/[1]!S_STM07_IS(D79,9,$G$5,$H$13),[1]!S_STM07_IS(D79,55,$G$5,$H$13)/$E$5))</f>
        <v/>
      </c>
      <c r="L79" s="249" t="str">
        <f ca="1">IF(C79="","",IF($L$11="ROA",[1]!S_STM07_IS(D79,61,$G$5,$H$13)/[1]!S_STM07_BS(D79,74,$G$5,$H$13),1-[1]!S_STM07_IS(D79,61,$G$5,$H$13)/[1]!S_STM07_IS(D79,55,$G$5,$H$13)))</f>
        <v/>
      </c>
      <c r="M79" s="249" t="str">
        <f ca="1">IF(C79="","",IF($M$11="ROE",[1]!S_STM07_IS(D79,61,$G$5,$H$13)/[1]!S_STM07_BS(D79,141,$G$5,$H$13),([1]!S_STM07_BS(D79,25,$G$5,$H$13)-[1]!S_STM07_BS(D79,93,$G$5,$H$13))/$E$5))</f>
        <v/>
      </c>
      <c r="N79" s="250" t="str">
        <f ca="1">IF(C79="","",IF($N$11="EPS",[1]!S_STM07_IS(D79,61,$G$5,$H$13)/IF([1]!S_SHARE_TOTAL(D79,$G$5)=0,[1]!S_SHARE_TOTAL(D79,[1]!s_ipo_listeddate(D79)),[1]!S_SHARE_TOTAL(D79,$G$5)),([1]!S_STM07_BS(D79,75,$G$5,$H$13)+[1]!S_STM07_BS(D79,88,$G$5,$H$13)+[1]!S_STM07_BS(D79,94,$G$5,$H$13)+[1]!S_STM07_BS(D79,95,$G$5,$H$13))/$E$5))</f>
        <v/>
      </c>
      <c r="O79" s="250" t="str">
        <f ca="1">IF(C79="","",IF($O$11="BPS",[1]!S_STM07_BS(D79,141,$G$5,$H$13)/IF([1]!S_SHARE_TOTAL(D79,$G$5)=0,[1]!S_SHARE_TOTAL(D79,[1]!s_ipo_listeddate(D79)),[1]!S_SHARE_TOTAL(D79,$G$5)),[1]!S_STM07_CS(D79,49,$G$5,$H$13)/$E$5))</f>
        <v/>
      </c>
      <c r="P79" s="250" t="str">
        <f ca="1">IF(C79="","",IF($P$11="CFPS",[1]!S_STM07_CS(D79,84,$G$5,$H$13)/IF([1]!S_SHARE_TOTAL(D79,$G$5)=0,[1]!S_SHARE_TOTAL(D79,[1]!s_ipo_listeddate(D79)),[1]!S_SHARE_TOTAL(D79,$G$5)),[1]!S_STM07_CS(D79,84,$G$5,$H$13)/$E$5))</f>
        <v/>
      </c>
      <c r="Q79" s="198" t="str">
        <f ca="1">IF(C79="","",F79/([1]!S_STM07_IS(D79,61,$G$5,$H$13)/IF([1]!S_SHARE_TOTAL(D79,$G$5)=0,[1]!S_SHARE_TOTAL(D79,[1]!s_ipo_listeddate(D79)),[1]!S_SHARE_TOTAL(D79,$G$5))))</f>
        <v/>
      </c>
      <c r="R79" s="198" t="str">
        <f ca="1">IF(C79="","",F79/([1]!S_STM07_BS(D79,141,$G$5,$H$13)/IF([1]!S_SHARE_TOTAL(D79,$G$5)=0,[1]!S_SHARE_TOTAL(D79,[1]!s_ipo_listeddate(D79)),[1]!S_SHARE_TOTAL(D79,$G$5))))</f>
        <v/>
      </c>
      <c r="S79" s="249" t="str">
        <f ca="1">IF(C79="","",[1]!S_SHARE_TOTAL(D79,TODAY())/$E$5)</f>
        <v/>
      </c>
      <c r="T79" s="249" t="str">
        <f t="shared" ca="1" si="13"/>
        <v/>
      </c>
      <c r="U79" s="172" t="str">
        <f t="shared" ca="1" si="14"/>
        <v/>
      </c>
      <c r="V79" s="343" t="str">
        <f t="shared" ca="1" si="15"/>
        <v/>
      </c>
      <c r="W79" s="139"/>
      <c r="Y79" s="1"/>
    </row>
    <row r="80" spans="3:25" ht="12" customHeight="1">
      <c r="C80" s="342" t="str">
        <f t="shared" ca="1" si="16"/>
        <v/>
      </c>
      <c r="D80" s="153" t="str">
        <f t="shared" ca="1" si="11"/>
        <v/>
      </c>
      <c r="E80" s="153" t="str">
        <f t="shared" ca="1" si="12"/>
        <v/>
      </c>
      <c r="F80" s="170" t="str">
        <f ca="1">IF(C80="","",[1]!S_DQ_CLOSE(D80,TODAY(),1))</f>
        <v/>
      </c>
      <c r="G80" s="171" t="str">
        <f ca="1">IF(C80="","",[1]!s_pq_pctchange(D80,TODAY()-$G$12,TODAY())/100)</f>
        <v/>
      </c>
      <c r="H80" s="247" t="str">
        <f ca="1">IF(C80="","",IF($H$11="收入",[1]!S_STM07_IS(D80,9,$G$5,$H$13)/$E$5,[1]!S_STM07_IS(D80,48,$G$5,$H$13)/$E$5))</f>
        <v/>
      </c>
      <c r="I80" s="247" t="str">
        <f ca="1">IF(C80="","",IF($I$11="毛利率",([1]!S_STM07_IS(D80,9,$G$5,$H$13)-[1]!S_STM07_IS(D80,10,$G$5,$H$13))/[1]!S_STM07_IS(D80,9,$G$5,$H$13),[1]!S_STM07_IS(D80,14,$G$5,$H$13)/$E$5))</f>
        <v/>
      </c>
      <c r="J80" s="247" t="str">
        <f ca="1">IF(C80="","",IF($J$11="营业利润率",[1]!S_STM07_IS(D80,48,$G$5,$H$13)/[1]!S_STM07_IS(D80,9,$G$5,$H$13),([1]!S_STM07_CS(D80,87,$G$5,$H$13)+[1]!S_STM07_CS(D80,88,$G$5,$H$13)+[1]!S_STM07_CS(D80,89,$G$5,$H$13))/$E$5))</f>
        <v/>
      </c>
      <c r="K80" s="247" t="str">
        <f ca="1">IF(C80="","",IF($K$11="净利润率",[1]!S_STM07_IS(D80,61,$G$5,$H$13)/[1]!S_STM07_IS(D80,9,$G$5,$H$13),[1]!S_STM07_IS(D80,55,$G$5,$H$13)/$E$5))</f>
        <v/>
      </c>
      <c r="L80" s="247" t="str">
        <f ca="1">IF(C80="","",IF($L$11="ROA",[1]!S_STM07_IS(D80,61,$G$5,$H$13)/[1]!S_STM07_BS(D80,74,$G$5,$H$13),1-[1]!S_STM07_IS(D80,61,$G$5,$H$13)/[1]!S_STM07_IS(D80,55,$G$5,$H$13)))</f>
        <v/>
      </c>
      <c r="M80" s="247" t="str">
        <f ca="1">IF(C80="","",IF($M$11="ROE",[1]!S_STM07_IS(D80,61,$G$5,$H$13)/[1]!S_STM07_BS(D80,141,$G$5,$H$13),([1]!S_STM07_BS(D80,25,$G$5,$H$13)-[1]!S_STM07_BS(D80,93,$G$5,$H$13))/$E$5))</f>
        <v/>
      </c>
      <c r="N80" s="247" t="str">
        <f ca="1">IF(C80="","",IF($N$11="EPS",[1]!S_STM07_IS(D80,61,$G$5,$H$13)/IF([1]!S_SHARE_TOTAL(D80,$G$5)=0,[1]!S_SHARE_TOTAL(D80,[1]!s_ipo_listeddate(D80)),[1]!S_SHARE_TOTAL(D80,$G$5)),([1]!S_STM07_BS(D80,75,$G$5,$H$13)+[1]!S_STM07_BS(D80,88,$G$5,$H$13)+[1]!S_STM07_BS(D80,94,$G$5,$H$13)+[1]!S_STM07_BS(D80,95,$G$5,$H$13))/$E$5))</f>
        <v/>
      </c>
      <c r="O80" s="247" t="str">
        <f ca="1">IF(C80="","",IF($O$11="BPS",[1]!S_STM07_BS(D80,141,$G$5,$H$13)/IF([1]!S_SHARE_TOTAL(D80,$G$5)=0,[1]!S_SHARE_TOTAL(D80,[1]!s_ipo_listeddate(D80)),[1]!S_SHARE_TOTAL(D80,$G$5)),[1]!S_STM07_CS(D80,49,$G$5,$H$13)/$E$5))</f>
        <v/>
      </c>
      <c r="P80" s="247" t="str">
        <f ca="1">IF(C80="","",IF($P$11="CFPS",[1]!S_STM07_CS(D80,84,$G$5,$H$13)/IF([1]!S_SHARE_TOTAL(D80,$G$5)=0,[1]!S_SHARE_TOTAL(D80,[1]!s_ipo_listeddate(D80)),[1]!S_SHARE_TOTAL(D80,$G$5)),[1]!S_STM07_CS(D80,84,$G$5,$H$13)/$E$5))</f>
        <v/>
      </c>
      <c r="Q80" s="248" t="str">
        <f ca="1">IF(C80="","",F80/([1]!S_STM07_IS(D80,61,$G$5,$H$13)/IF([1]!S_SHARE_TOTAL(D80,$G$5)=0,[1]!S_SHARE_TOTAL(D80,[1]!s_ipo_listeddate(D80)),[1]!S_SHARE_TOTAL(D80,$G$5))))</f>
        <v/>
      </c>
      <c r="R80" s="248" t="str">
        <f ca="1">IF(C80="","",F80/([1]!S_STM07_BS(D80,141,$G$5,$H$13)/IF([1]!S_SHARE_TOTAL(D80,$G$5)=0,[1]!S_SHARE_TOTAL(D80,[1]!s_ipo_listeddate(D80)),[1]!S_SHARE_TOTAL(D80,$G$5))))</f>
        <v/>
      </c>
      <c r="S80" s="247" t="str">
        <f ca="1">IF(C80="","",[1]!S_SHARE_TOTAL(D80,TODAY())/$E$5)</f>
        <v/>
      </c>
      <c r="T80" s="247" t="str">
        <f t="shared" ca="1" si="13"/>
        <v/>
      </c>
      <c r="U80" s="218" t="str">
        <f t="shared" ca="1" si="14"/>
        <v/>
      </c>
      <c r="V80" s="342" t="str">
        <f t="shared" ca="1" si="15"/>
        <v/>
      </c>
      <c r="W80" s="139"/>
      <c r="Y80" s="1"/>
    </row>
    <row r="81" spans="3:25" ht="12" customHeight="1">
      <c r="C81" s="343" t="str">
        <f t="shared" ca="1" si="16"/>
        <v/>
      </c>
      <c r="D81" s="124" t="str">
        <f t="shared" ca="1" si="11"/>
        <v/>
      </c>
      <c r="E81" s="124" t="str">
        <f t="shared" ca="1" si="12"/>
        <v/>
      </c>
      <c r="F81" s="172" t="str">
        <f ca="1">IF(C81="","",[1]!S_DQ_CLOSE(D81,TODAY(),1))</f>
        <v/>
      </c>
      <c r="G81" s="173" t="str">
        <f ca="1">IF(C81="","",[1]!s_pq_pctchange(D81,TODAY()-$G$12,TODAY())/100)</f>
        <v/>
      </c>
      <c r="H81" s="249" t="str">
        <f ca="1">IF(C81="","",IF($H$11="收入",[1]!S_STM07_IS(D81,9,$G$5,$H$13)/$E$5,[1]!S_STM07_IS(D81,48,$G$5,$H$13)/$E$5))</f>
        <v/>
      </c>
      <c r="I81" s="249" t="str">
        <f ca="1">IF(C81="","",IF($I$11="毛利率",([1]!S_STM07_IS(D81,9,$G$5,$H$13)-[1]!S_STM07_IS(D81,10,$G$5,$H$13))/[1]!S_STM07_IS(D81,9,$G$5,$H$13),[1]!S_STM07_IS(D81,14,$G$5,$H$13)/$E$5))</f>
        <v/>
      </c>
      <c r="J81" s="249" t="str">
        <f ca="1">IF(C81="","",IF($J$11="营业利润率",[1]!S_STM07_IS(D81,48,$G$5,$H$13)/[1]!S_STM07_IS(D81,9,$G$5,$H$13),([1]!S_STM07_CS(D81,87,$G$5,$H$13)+[1]!S_STM07_CS(D81,88,$G$5,$H$13)+[1]!S_STM07_CS(D81,89,$G$5,$H$13))/$E$5))</f>
        <v/>
      </c>
      <c r="K81" s="249" t="str">
        <f ca="1">IF(C81="","",IF($K$11="净利润率",[1]!S_STM07_IS(D81,61,$G$5,$H$13)/[1]!S_STM07_IS(D81,9,$G$5,$H$13),[1]!S_STM07_IS(D81,55,$G$5,$H$13)/$E$5))</f>
        <v/>
      </c>
      <c r="L81" s="249" t="str">
        <f ca="1">IF(C81="","",IF($L$11="ROA",[1]!S_STM07_IS(D81,61,$G$5,$H$13)/[1]!S_STM07_BS(D81,74,$G$5,$H$13),1-[1]!S_STM07_IS(D81,61,$G$5,$H$13)/[1]!S_STM07_IS(D81,55,$G$5,$H$13)))</f>
        <v/>
      </c>
      <c r="M81" s="249" t="str">
        <f ca="1">IF(C81="","",IF($M$11="ROE",[1]!S_STM07_IS(D81,61,$G$5,$H$13)/[1]!S_STM07_BS(D81,141,$G$5,$H$13),([1]!S_STM07_BS(D81,25,$G$5,$H$13)-[1]!S_STM07_BS(D81,93,$G$5,$H$13))/$E$5))</f>
        <v/>
      </c>
      <c r="N81" s="250" t="str">
        <f ca="1">IF(C81="","",IF($N$11="EPS",[1]!S_STM07_IS(D81,61,$G$5,$H$13)/IF([1]!S_SHARE_TOTAL(D81,$G$5)=0,[1]!S_SHARE_TOTAL(D81,[1]!s_ipo_listeddate(D81)),[1]!S_SHARE_TOTAL(D81,$G$5)),([1]!S_STM07_BS(D81,75,$G$5,$H$13)+[1]!S_STM07_BS(D81,88,$G$5,$H$13)+[1]!S_STM07_BS(D81,94,$G$5,$H$13)+[1]!S_STM07_BS(D81,95,$G$5,$H$13))/$E$5))</f>
        <v/>
      </c>
      <c r="O81" s="250" t="str">
        <f ca="1">IF(C81="","",IF($O$11="BPS",[1]!S_STM07_BS(D81,141,$G$5,$H$13)/IF([1]!S_SHARE_TOTAL(D81,$G$5)=0,[1]!S_SHARE_TOTAL(D81,[1]!s_ipo_listeddate(D81)),[1]!S_SHARE_TOTAL(D81,$G$5)),[1]!S_STM07_CS(D81,49,$G$5,$H$13)/$E$5))</f>
        <v/>
      </c>
      <c r="P81" s="250" t="str">
        <f ca="1">IF(C81="","",IF($P$11="CFPS",[1]!S_STM07_CS(D81,84,$G$5,$H$13)/IF([1]!S_SHARE_TOTAL(D81,$G$5)=0,[1]!S_SHARE_TOTAL(D81,[1]!s_ipo_listeddate(D81)),[1]!S_SHARE_TOTAL(D81,$G$5)),[1]!S_STM07_CS(D81,84,$G$5,$H$13)/$E$5))</f>
        <v/>
      </c>
      <c r="Q81" s="198" t="str">
        <f ca="1">IF(C81="","",F81/([1]!S_STM07_IS(D81,61,$G$5,$H$13)/IF([1]!S_SHARE_TOTAL(D81,$G$5)=0,[1]!S_SHARE_TOTAL(D81,[1]!s_ipo_listeddate(D81)),[1]!S_SHARE_TOTAL(D81,$G$5))))</f>
        <v/>
      </c>
      <c r="R81" s="198" t="str">
        <f ca="1">IF(C81="","",F81/([1]!S_STM07_BS(D81,141,$G$5,$H$13)/IF([1]!S_SHARE_TOTAL(D81,$G$5)=0,[1]!S_SHARE_TOTAL(D81,[1]!s_ipo_listeddate(D81)),[1]!S_SHARE_TOTAL(D81,$G$5))))</f>
        <v/>
      </c>
      <c r="S81" s="249" t="str">
        <f ca="1">IF(C81="","",[1]!S_SHARE_TOTAL(D81,TODAY())/$E$5)</f>
        <v/>
      </c>
      <c r="T81" s="249" t="str">
        <f t="shared" ca="1" si="13"/>
        <v/>
      </c>
      <c r="U81" s="172" t="str">
        <f t="shared" ca="1" si="14"/>
        <v/>
      </c>
      <c r="V81" s="343" t="str">
        <f t="shared" ca="1" si="15"/>
        <v/>
      </c>
      <c r="W81" s="139"/>
      <c r="Y81" s="1"/>
    </row>
    <row r="82" spans="3:25" ht="12" customHeight="1">
      <c r="C82" s="342" t="str">
        <f t="shared" ca="1" si="16"/>
        <v/>
      </c>
      <c r="D82" s="153" t="str">
        <f t="shared" ca="1" si="11"/>
        <v/>
      </c>
      <c r="E82" s="153" t="str">
        <f t="shared" ca="1" si="12"/>
        <v/>
      </c>
      <c r="F82" s="170" t="str">
        <f ca="1">IF(C82="","",[1]!S_DQ_CLOSE(D82,TODAY(),1))</f>
        <v/>
      </c>
      <c r="G82" s="171" t="str">
        <f ca="1">IF(C82="","",[1]!s_pq_pctchange(D82,TODAY()-$G$12,TODAY())/100)</f>
        <v/>
      </c>
      <c r="H82" s="247" t="str">
        <f ca="1">IF(C82="","",IF($H$11="收入",[1]!S_STM07_IS(D82,9,$G$5,$H$13)/$E$5,[1]!S_STM07_IS(D82,48,$G$5,$H$13)/$E$5))</f>
        <v/>
      </c>
      <c r="I82" s="247" t="str">
        <f ca="1">IF(C82="","",IF($I$11="毛利率",([1]!S_STM07_IS(D82,9,$G$5,$H$13)-[1]!S_STM07_IS(D82,10,$G$5,$H$13))/[1]!S_STM07_IS(D82,9,$G$5,$H$13),[1]!S_STM07_IS(D82,14,$G$5,$H$13)/$E$5))</f>
        <v/>
      </c>
      <c r="J82" s="247" t="str">
        <f ca="1">IF(C82="","",IF($J$11="营业利润率",[1]!S_STM07_IS(D82,48,$G$5,$H$13)/[1]!S_STM07_IS(D82,9,$G$5,$H$13),([1]!S_STM07_CS(D82,87,$G$5,$H$13)+[1]!S_STM07_CS(D82,88,$G$5,$H$13)+[1]!S_STM07_CS(D82,89,$G$5,$H$13))/$E$5))</f>
        <v/>
      </c>
      <c r="K82" s="247" t="str">
        <f ca="1">IF(C82="","",IF($K$11="净利润率",[1]!S_STM07_IS(D82,61,$G$5,$H$13)/[1]!S_STM07_IS(D82,9,$G$5,$H$13),[1]!S_STM07_IS(D82,55,$G$5,$H$13)/$E$5))</f>
        <v/>
      </c>
      <c r="L82" s="247" t="str">
        <f ca="1">IF(C82="","",IF($L$11="ROA",[1]!S_STM07_IS(D82,61,$G$5,$H$13)/[1]!S_STM07_BS(D82,74,$G$5,$H$13),1-[1]!S_STM07_IS(D82,61,$G$5,$H$13)/[1]!S_STM07_IS(D82,55,$G$5,$H$13)))</f>
        <v/>
      </c>
      <c r="M82" s="247" t="str">
        <f ca="1">IF(C82="","",IF($M$11="ROE",[1]!S_STM07_IS(D82,61,$G$5,$H$13)/[1]!S_STM07_BS(D82,141,$G$5,$H$13),([1]!S_STM07_BS(D82,25,$G$5,$H$13)-[1]!S_STM07_BS(D82,93,$G$5,$H$13))/$E$5))</f>
        <v/>
      </c>
      <c r="N82" s="247" t="str">
        <f ca="1">IF(C82="","",IF($N$11="EPS",[1]!S_STM07_IS(D82,61,$G$5,$H$13)/IF([1]!S_SHARE_TOTAL(D82,$G$5)=0,[1]!S_SHARE_TOTAL(D82,[1]!s_ipo_listeddate(D82)),[1]!S_SHARE_TOTAL(D82,$G$5)),([1]!S_STM07_BS(D82,75,$G$5,$H$13)+[1]!S_STM07_BS(D82,88,$G$5,$H$13)+[1]!S_STM07_BS(D82,94,$G$5,$H$13)+[1]!S_STM07_BS(D82,95,$G$5,$H$13))/$E$5))</f>
        <v/>
      </c>
      <c r="O82" s="247" t="str">
        <f ca="1">IF(C82="","",IF($O$11="BPS",[1]!S_STM07_BS(D82,141,$G$5,$H$13)/IF([1]!S_SHARE_TOTAL(D82,$G$5)=0,[1]!S_SHARE_TOTAL(D82,[1]!s_ipo_listeddate(D82)),[1]!S_SHARE_TOTAL(D82,$G$5)),[1]!S_STM07_CS(D82,49,$G$5,$H$13)/$E$5))</f>
        <v/>
      </c>
      <c r="P82" s="247" t="str">
        <f ca="1">IF(C82="","",IF($P$11="CFPS",[1]!S_STM07_CS(D82,84,$G$5,$H$13)/IF([1]!S_SHARE_TOTAL(D82,$G$5)=0,[1]!S_SHARE_TOTAL(D82,[1]!s_ipo_listeddate(D82)),[1]!S_SHARE_TOTAL(D82,$G$5)),[1]!S_STM07_CS(D82,84,$G$5,$H$13)/$E$5))</f>
        <v/>
      </c>
      <c r="Q82" s="248" t="str">
        <f ca="1">IF(C82="","",F82/([1]!S_STM07_IS(D82,61,$G$5,$H$13)/IF([1]!S_SHARE_TOTAL(D82,$G$5)=0,[1]!S_SHARE_TOTAL(D82,[1]!s_ipo_listeddate(D82)),[1]!S_SHARE_TOTAL(D82,$G$5))))</f>
        <v/>
      </c>
      <c r="R82" s="248" t="str">
        <f ca="1">IF(C82="","",F82/([1]!S_STM07_BS(D82,141,$G$5,$H$13)/IF([1]!S_SHARE_TOTAL(D82,$G$5)=0,[1]!S_SHARE_TOTAL(D82,[1]!s_ipo_listeddate(D82)),[1]!S_SHARE_TOTAL(D82,$G$5))))</f>
        <v/>
      </c>
      <c r="S82" s="247" t="str">
        <f ca="1">IF(C82="","",[1]!S_SHARE_TOTAL(D82,TODAY())/$E$5)</f>
        <v/>
      </c>
      <c r="T82" s="247" t="str">
        <f t="shared" ca="1" si="13"/>
        <v/>
      </c>
      <c r="U82" s="218" t="str">
        <f t="shared" ca="1" si="14"/>
        <v/>
      </c>
      <c r="V82" s="342" t="str">
        <f t="shared" ca="1" si="15"/>
        <v/>
      </c>
      <c r="W82" s="139"/>
      <c r="Y82" s="1"/>
    </row>
    <row r="83" spans="3:25" ht="12" customHeight="1">
      <c r="C83" s="343" t="str">
        <f t="shared" ca="1" si="16"/>
        <v/>
      </c>
      <c r="D83" s="124" t="str">
        <f t="shared" ca="1" si="11"/>
        <v/>
      </c>
      <c r="E83" s="124" t="str">
        <f t="shared" ca="1" si="12"/>
        <v/>
      </c>
      <c r="F83" s="172" t="str">
        <f ca="1">IF(C83="","",[1]!S_DQ_CLOSE(D83,TODAY(),1))</f>
        <v/>
      </c>
      <c r="G83" s="173" t="str">
        <f ca="1">IF(C83="","",[1]!s_pq_pctchange(D83,TODAY()-$G$12,TODAY())/100)</f>
        <v/>
      </c>
      <c r="H83" s="249" t="str">
        <f ca="1">IF(C83="","",IF($H$11="收入",[1]!S_STM07_IS(D83,9,$G$5,$H$13)/$E$5,[1]!S_STM07_IS(D83,48,$G$5,$H$13)/$E$5))</f>
        <v/>
      </c>
      <c r="I83" s="249" t="str">
        <f ca="1">IF(C83="","",IF($I$11="毛利率",([1]!S_STM07_IS(D83,9,$G$5,$H$13)-[1]!S_STM07_IS(D83,10,$G$5,$H$13))/[1]!S_STM07_IS(D83,9,$G$5,$H$13),[1]!S_STM07_IS(D83,14,$G$5,$H$13)/$E$5))</f>
        <v/>
      </c>
      <c r="J83" s="249" t="str">
        <f ca="1">IF(C83="","",IF($J$11="营业利润率",[1]!S_STM07_IS(D83,48,$G$5,$H$13)/[1]!S_STM07_IS(D83,9,$G$5,$H$13),([1]!S_STM07_CS(D83,87,$G$5,$H$13)+[1]!S_STM07_CS(D83,88,$G$5,$H$13)+[1]!S_STM07_CS(D83,89,$G$5,$H$13))/$E$5))</f>
        <v/>
      </c>
      <c r="K83" s="249" t="str">
        <f ca="1">IF(C83="","",IF($K$11="净利润率",[1]!S_STM07_IS(D83,61,$G$5,$H$13)/[1]!S_STM07_IS(D83,9,$G$5,$H$13),[1]!S_STM07_IS(D83,55,$G$5,$H$13)/$E$5))</f>
        <v/>
      </c>
      <c r="L83" s="249" t="str">
        <f ca="1">IF(C83="","",IF($L$11="ROA",[1]!S_STM07_IS(D83,61,$G$5,$H$13)/[1]!S_STM07_BS(D83,74,$G$5,$H$13),1-[1]!S_STM07_IS(D83,61,$G$5,$H$13)/[1]!S_STM07_IS(D83,55,$G$5,$H$13)))</f>
        <v/>
      </c>
      <c r="M83" s="249" t="str">
        <f ca="1">IF(C83="","",IF($M$11="ROE",[1]!S_STM07_IS(D83,61,$G$5,$H$13)/[1]!S_STM07_BS(D83,141,$G$5,$H$13),([1]!S_STM07_BS(D83,25,$G$5,$H$13)-[1]!S_STM07_BS(D83,93,$G$5,$H$13))/$E$5))</f>
        <v/>
      </c>
      <c r="N83" s="250" t="str">
        <f ca="1">IF(C83="","",IF($N$11="EPS",[1]!S_STM07_IS(D83,61,$G$5,$H$13)/IF([1]!S_SHARE_TOTAL(D83,$G$5)=0,[1]!S_SHARE_TOTAL(D83,[1]!s_ipo_listeddate(D83)),[1]!S_SHARE_TOTAL(D83,$G$5)),([1]!S_STM07_BS(D83,75,$G$5,$H$13)+[1]!S_STM07_BS(D83,88,$G$5,$H$13)+[1]!S_STM07_BS(D83,94,$G$5,$H$13)+[1]!S_STM07_BS(D83,95,$G$5,$H$13))/$E$5))</f>
        <v/>
      </c>
      <c r="O83" s="250" t="str">
        <f ca="1">IF(C83="","",IF($O$11="BPS",[1]!S_STM07_BS(D83,141,$G$5,$H$13)/IF([1]!S_SHARE_TOTAL(D83,$G$5)=0,[1]!S_SHARE_TOTAL(D83,[1]!s_ipo_listeddate(D83)),[1]!S_SHARE_TOTAL(D83,$G$5)),[1]!S_STM07_CS(D83,49,$G$5,$H$13)/$E$5))</f>
        <v/>
      </c>
      <c r="P83" s="250" t="str">
        <f ca="1">IF(C83="","",IF($P$11="CFPS",[1]!S_STM07_CS(D83,84,$G$5,$H$13)/IF([1]!S_SHARE_TOTAL(D83,$G$5)=0,[1]!S_SHARE_TOTAL(D83,[1]!s_ipo_listeddate(D83)),[1]!S_SHARE_TOTAL(D83,$G$5)),[1]!S_STM07_CS(D83,84,$G$5,$H$13)/$E$5))</f>
        <v/>
      </c>
      <c r="Q83" s="198" t="str">
        <f ca="1">IF(C83="","",F83/([1]!S_STM07_IS(D83,61,$G$5,$H$13)/IF([1]!S_SHARE_TOTAL(D83,$G$5)=0,[1]!S_SHARE_TOTAL(D83,[1]!s_ipo_listeddate(D83)),[1]!S_SHARE_TOTAL(D83,$G$5))))</f>
        <v/>
      </c>
      <c r="R83" s="198" t="str">
        <f ca="1">IF(C83="","",F83/([1]!S_STM07_BS(D83,141,$G$5,$H$13)/IF([1]!S_SHARE_TOTAL(D83,$G$5)=0,[1]!S_SHARE_TOTAL(D83,[1]!s_ipo_listeddate(D83)),[1]!S_SHARE_TOTAL(D83,$G$5))))</f>
        <v/>
      </c>
      <c r="S83" s="249" t="str">
        <f ca="1">IF(C83="","",[1]!S_SHARE_TOTAL(D83,TODAY())/$E$5)</f>
        <v/>
      </c>
      <c r="T83" s="249" t="str">
        <f t="shared" ca="1" si="13"/>
        <v/>
      </c>
      <c r="U83" s="172" t="str">
        <f t="shared" ca="1" si="14"/>
        <v/>
      </c>
      <c r="V83" s="343" t="str">
        <f t="shared" ca="1" si="15"/>
        <v/>
      </c>
      <c r="W83" s="139"/>
      <c r="Y83" s="1"/>
    </row>
    <row r="84" spans="3:25" ht="12" customHeight="1">
      <c r="C84" s="342" t="str">
        <f t="shared" ca="1" si="16"/>
        <v/>
      </c>
      <c r="D84" s="153" t="str">
        <f t="shared" ca="1" si="11"/>
        <v/>
      </c>
      <c r="E84" s="153" t="str">
        <f t="shared" ca="1" si="12"/>
        <v/>
      </c>
      <c r="F84" s="170" t="str">
        <f ca="1">IF(C84="","",[1]!S_DQ_CLOSE(D84,TODAY(),1))</f>
        <v/>
      </c>
      <c r="G84" s="171" t="str">
        <f ca="1">IF(C84="","",[1]!s_pq_pctchange(D84,TODAY()-$G$12,TODAY())/100)</f>
        <v/>
      </c>
      <c r="H84" s="247" t="str">
        <f ca="1">IF(C84="","",IF($H$11="收入",[1]!S_STM07_IS(D84,9,$G$5,$H$13)/$E$5,[1]!S_STM07_IS(D84,48,$G$5,$H$13)/$E$5))</f>
        <v/>
      </c>
      <c r="I84" s="247" t="str">
        <f ca="1">IF(C84="","",IF($I$11="毛利率",([1]!S_STM07_IS(D84,9,$G$5,$H$13)-[1]!S_STM07_IS(D84,10,$G$5,$H$13))/[1]!S_STM07_IS(D84,9,$G$5,$H$13),[1]!S_STM07_IS(D84,14,$G$5,$H$13)/$E$5))</f>
        <v/>
      </c>
      <c r="J84" s="247" t="str">
        <f ca="1">IF(C84="","",IF($J$11="营业利润率",[1]!S_STM07_IS(D84,48,$G$5,$H$13)/[1]!S_STM07_IS(D84,9,$G$5,$H$13),([1]!S_STM07_CS(D84,87,$G$5,$H$13)+[1]!S_STM07_CS(D84,88,$G$5,$H$13)+[1]!S_STM07_CS(D84,89,$G$5,$H$13))/$E$5))</f>
        <v/>
      </c>
      <c r="K84" s="247" t="str">
        <f ca="1">IF(C84="","",IF($K$11="净利润率",[1]!S_STM07_IS(D84,61,$G$5,$H$13)/[1]!S_STM07_IS(D84,9,$G$5,$H$13),[1]!S_STM07_IS(D84,55,$G$5,$H$13)/$E$5))</f>
        <v/>
      </c>
      <c r="L84" s="247" t="str">
        <f ca="1">IF(C84="","",IF($L$11="ROA",[1]!S_STM07_IS(D84,61,$G$5,$H$13)/[1]!S_STM07_BS(D84,74,$G$5,$H$13),1-[1]!S_STM07_IS(D84,61,$G$5,$H$13)/[1]!S_STM07_IS(D84,55,$G$5,$H$13)))</f>
        <v/>
      </c>
      <c r="M84" s="247" t="str">
        <f ca="1">IF(C84="","",IF($M$11="ROE",[1]!S_STM07_IS(D84,61,$G$5,$H$13)/[1]!S_STM07_BS(D84,141,$G$5,$H$13),([1]!S_STM07_BS(D84,25,$G$5,$H$13)-[1]!S_STM07_BS(D84,93,$G$5,$H$13))/$E$5))</f>
        <v/>
      </c>
      <c r="N84" s="247" t="str">
        <f ca="1">IF(C84="","",IF($N$11="EPS",[1]!S_STM07_IS(D84,61,$G$5,$H$13)/IF([1]!S_SHARE_TOTAL(D84,$G$5)=0,[1]!S_SHARE_TOTAL(D84,[1]!s_ipo_listeddate(D84)),[1]!S_SHARE_TOTAL(D84,$G$5)),([1]!S_STM07_BS(D84,75,$G$5,$H$13)+[1]!S_STM07_BS(D84,88,$G$5,$H$13)+[1]!S_STM07_BS(D84,94,$G$5,$H$13)+[1]!S_STM07_BS(D84,95,$G$5,$H$13))/$E$5))</f>
        <v/>
      </c>
      <c r="O84" s="247" t="str">
        <f ca="1">IF(C84="","",IF($O$11="BPS",[1]!S_STM07_BS(D84,141,$G$5,$H$13)/IF([1]!S_SHARE_TOTAL(D84,$G$5)=0,[1]!S_SHARE_TOTAL(D84,[1]!s_ipo_listeddate(D84)),[1]!S_SHARE_TOTAL(D84,$G$5)),[1]!S_STM07_CS(D84,49,$G$5,$H$13)/$E$5))</f>
        <v/>
      </c>
      <c r="P84" s="247" t="str">
        <f ca="1">IF(C84="","",IF($P$11="CFPS",[1]!S_STM07_CS(D84,84,$G$5,$H$13)/IF([1]!S_SHARE_TOTAL(D84,$G$5)=0,[1]!S_SHARE_TOTAL(D84,[1]!s_ipo_listeddate(D84)),[1]!S_SHARE_TOTAL(D84,$G$5)),[1]!S_STM07_CS(D84,84,$G$5,$H$13)/$E$5))</f>
        <v/>
      </c>
      <c r="Q84" s="248" t="str">
        <f ca="1">IF(C84="","",F84/([1]!S_STM07_IS(D84,61,$G$5,$H$13)/IF([1]!S_SHARE_TOTAL(D84,$G$5)=0,[1]!S_SHARE_TOTAL(D84,[1]!s_ipo_listeddate(D84)),[1]!S_SHARE_TOTAL(D84,$G$5))))</f>
        <v/>
      </c>
      <c r="R84" s="248" t="str">
        <f ca="1">IF(C84="","",F84/([1]!S_STM07_BS(D84,141,$G$5,$H$13)/IF([1]!S_SHARE_TOTAL(D84,$G$5)=0,[1]!S_SHARE_TOTAL(D84,[1]!s_ipo_listeddate(D84)),[1]!S_SHARE_TOTAL(D84,$G$5))))</f>
        <v/>
      </c>
      <c r="S84" s="247" t="str">
        <f ca="1">IF(C84="","",[1]!S_SHARE_TOTAL(D84,TODAY())/$E$5)</f>
        <v/>
      </c>
      <c r="T84" s="247" t="str">
        <f t="shared" ca="1" si="13"/>
        <v/>
      </c>
      <c r="U84" s="218" t="str">
        <f t="shared" ca="1" si="14"/>
        <v/>
      </c>
      <c r="V84" s="342" t="str">
        <f t="shared" ca="1" si="15"/>
        <v/>
      </c>
      <c r="W84" s="139"/>
      <c r="Y84" s="1"/>
    </row>
    <row r="85" spans="3:25" ht="12" customHeight="1">
      <c r="C85" s="343" t="str">
        <f t="shared" ca="1" si="16"/>
        <v/>
      </c>
      <c r="D85" s="124" t="str">
        <f t="shared" ca="1" si="11"/>
        <v/>
      </c>
      <c r="E85" s="124" t="str">
        <f t="shared" ca="1" si="12"/>
        <v/>
      </c>
      <c r="F85" s="172" t="str">
        <f ca="1">IF(C85="","",[1]!S_DQ_CLOSE(D85,TODAY(),1))</f>
        <v/>
      </c>
      <c r="G85" s="173" t="str">
        <f ca="1">IF(C85="","",[1]!s_pq_pctchange(D85,TODAY()-$G$12,TODAY())/100)</f>
        <v/>
      </c>
      <c r="H85" s="249" t="str">
        <f ca="1">IF(C85="","",IF($H$11="收入",[1]!S_STM07_IS(D85,9,$G$5,$H$13)/$E$5,[1]!S_STM07_IS(D85,48,$G$5,$H$13)/$E$5))</f>
        <v/>
      </c>
      <c r="I85" s="249" t="str">
        <f ca="1">IF(C85="","",IF($I$11="毛利率",([1]!S_STM07_IS(D85,9,$G$5,$H$13)-[1]!S_STM07_IS(D85,10,$G$5,$H$13))/[1]!S_STM07_IS(D85,9,$G$5,$H$13),[1]!S_STM07_IS(D85,14,$G$5,$H$13)/$E$5))</f>
        <v/>
      </c>
      <c r="J85" s="249" t="str">
        <f ca="1">IF(C85="","",IF($J$11="营业利润率",[1]!S_STM07_IS(D85,48,$G$5,$H$13)/[1]!S_STM07_IS(D85,9,$G$5,$H$13),([1]!S_STM07_CS(D85,87,$G$5,$H$13)+[1]!S_STM07_CS(D85,88,$G$5,$H$13)+[1]!S_STM07_CS(D85,89,$G$5,$H$13))/$E$5))</f>
        <v/>
      </c>
      <c r="K85" s="249" t="str">
        <f ca="1">IF(C85="","",IF($K$11="净利润率",[1]!S_STM07_IS(D85,61,$G$5,$H$13)/[1]!S_STM07_IS(D85,9,$G$5,$H$13),[1]!S_STM07_IS(D85,55,$G$5,$H$13)/$E$5))</f>
        <v/>
      </c>
      <c r="L85" s="249" t="str">
        <f ca="1">IF(C85="","",IF($L$11="ROA",[1]!S_STM07_IS(D85,61,$G$5,$H$13)/[1]!S_STM07_BS(D85,74,$G$5,$H$13),1-[1]!S_STM07_IS(D85,61,$G$5,$H$13)/[1]!S_STM07_IS(D85,55,$G$5,$H$13)))</f>
        <v/>
      </c>
      <c r="M85" s="249" t="str">
        <f ca="1">IF(C85="","",IF($M$11="ROE",[1]!S_STM07_IS(D85,61,$G$5,$H$13)/[1]!S_STM07_BS(D85,141,$G$5,$H$13),([1]!S_STM07_BS(D85,25,$G$5,$H$13)-[1]!S_STM07_BS(D85,93,$G$5,$H$13))/$E$5))</f>
        <v/>
      </c>
      <c r="N85" s="250" t="str">
        <f ca="1">IF(C85="","",IF($N$11="EPS",[1]!S_STM07_IS(D85,61,$G$5,$H$13)/IF([1]!S_SHARE_TOTAL(D85,$G$5)=0,[1]!S_SHARE_TOTAL(D85,[1]!s_ipo_listeddate(D85)),[1]!S_SHARE_TOTAL(D85,$G$5)),([1]!S_STM07_BS(D85,75,$G$5,$H$13)+[1]!S_STM07_BS(D85,88,$G$5,$H$13)+[1]!S_STM07_BS(D85,94,$G$5,$H$13)+[1]!S_STM07_BS(D85,95,$G$5,$H$13))/$E$5))</f>
        <v/>
      </c>
      <c r="O85" s="250" t="str">
        <f ca="1">IF(C85="","",IF($O$11="BPS",[1]!S_STM07_BS(D85,141,$G$5,$H$13)/IF([1]!S_SHARE_TOTAL(D85,$G$5)=0,[1]!S_SHARE_TOTAL(D85,[1]!s_ipo_listeddate(D85)),[1]!S_SHARE_TOTAL(D85,$G$5)),[1]!S_STM07_CS(D85,49,$G$5,$H$13)/$E$5))</f>
        <v/>
      </c>
      <c r="P85" s="250" t="str">
        <f ca="1">IF(C85="","",IF($P$11="CFPS",[1]!S_STM07_CS(D85,84,$G$5,$H$13)/IF([1]!S_SHARE_TOTAL(D85,$G$5)=0,[1]!S_SHARE_TOTAL(D85,[1]!s_ipo_listeddate(D85)),[1]!S_SHARE_TOTAL(D85,$G$5)),[1]!S_STM07_CS(D85,84,$G$5,$H$13)/$E$5))</f>
        <v/>
      </c>
      <c r="Q85" s="198" t="str">
        <f ca="1">IF(C85="","",F85/([1]!S_STM07_IS(D85,61,$G$5,$H$13)/IF([1]!S_SHARE_TOTAL(D85,$G$5)=0,[1]!S_SHARE_TOTAL(D85,[1]!s_ipo_listeddate(D85)),[1]!S_SHARE_TOTAL(D85,$G$5))))</f>
        <v/>
      </c>
      <c r="R85" s="198" t="str">
        <f ca="1">IF(C85="","",F85/([1]!S_STM07_BS(D85,141,$G$5,$H$13)/IF([1]!S_SHARE_TOTAL(D85,$G$5)=0,[1]!S_SHARE_TOTAL(D85,[1]!s_ipo_listeddate(D85)),[1]!S_SHARE_TOTAL(D85,$G$5))))</f>
        <v/>
      </c>
      <c r="S85" s="249" t="str">
        <f ca="1">IF(C85="","",[1]!S_SHARE_TOTAL(D85,TODAY())/$E$5)</f>
        <v/>
      </c>
      <c r="T85" s="249" t="str">
        <f t="shared" ca="1" si="13"/>
        <v/>
      </c>
      <c r="U85" s="172" t="str">
        <f t="shared" ca="1" si="14"/>
        <v/>
      </c>
      <c r="V85" s="343" t="str">
        <f t="shared" ca="1" si="15"/>
        <v/>
      </c>
      <c r="W85" s="139"/>
      <c r="Y85" s="1"/>
    </row>
    <row r="86" spans="3:25" ht="12" customHeight="1">
      <c r="C86" s="342" t="str">
        <f t="shared" ca="1" si="16"/>
        <v/>
      </c>
      <c r="D86" s="153" t="str">
        <f t="shared" ca="1" si="11"/>
        <v/>
      </c>
      <c r="E86" s="153" t="str">
        <f t="shared" ca="1" si="12"/>
        <v/>
      </c>
      <c r="F86" s="170" t="str">
        <f ca="1">IF(C86="","",[1]!S_DQ_CLOSE(D86,TODAY(),1))</f>
        <v/>
      </c>
      <c r="G86" s="171" t="str">
        <f ca="1">IF(C86="","",[1]!s_pq_pctchange(D86,TODAY()-$G$12,TODAY())/100)</f>
        <v/>
      </c>
      <c r="H86" s="247" t="str">
        <f ca="1">IF(C86="","",IF($H$11="收入",[1]!S_STM07_IS(D86,9,$G$5,$H$13)/$E$5,[1]!S_STM07_IS(D86,48,$G$5,$H$13)/$E$5))</f>
        <v/>
      </c>
      <c r="I86" s="247" t="str">
        <f ca="1">IF(C86="","",IF($I$11="毛利率",([1]!S_STM07_IS(D86,9,$G$5,$H$13)-[1]!S_STM07_IS(D86,10,$G$5,$H$13))/[1]!S_STM07_IS(D86,9,$G$5,$H$13),[1]!S_STM07_IS(D86,14,$G$5,$H$13)/$E$5))</f>
        <v/>
      </c>
      <c r="J86" s="247" t="str">
        <f ca="1">IF(C86="","",IF($J$11="营业利润率",[1]!S_STM07_IS(D86,48,$G$5,$H$13)/[1]!S_STM07_IS(D86,9,$G$5,$H$13),([1]!S_STM07_CS(D86,87,$G$5,$H$13)+[1]!S_STM07_CS(D86,88,$G$5,$H$13)+[1]!S_STM07_CS(D86,89,$G$5,$H$13))/$E$5))</f>
        <v/>
      </c>
      <c r="K86" s="247" t="str">
        <f ca="1">IF(C86="","",IF($K$11="净利润率",[1]!S_STM07_IS(D86,61,$G$5,$H$13)/[1]!S_STM07_IS(D86,9,$G$5,$H$13),[1]!S_STM07_IS(D86,55,$G$5,$H$13)/$E$5))</f>
        <v/>
      </c>
      <c r="L86" s="247" t="str">
        <f ca="1">IF(C86="","",IF($L$11="ROA",[1]!S_STM07_IS(D86,61,$G$5,$H$13)/[1]!S_STM07_BS(D86,74,$G$5,$H$13),1-[1]!S_STM07_IS(D86,61,$G$5,$H$13)/[1]!S_STM07_IS(D86,55,$G$5,$H$13)))</f>
        <v/>
      </c>
      <c r="M86" s="247" t="str">
        <f ca="1">IF(C86="","",IF($M$11="ROE",[1]!S_STM07_IS(D86,61,$G$5,$H$13)/[1]!S_STM07_BS(D86,141,$G$5,$H$13),([1]!S_STM07_BS(D86,25,$G$5,$H$13)-[1]!S_STM07_BS(D86,93,$G$5,$H$13))/$E$5))</f>
        <v/>
      </c>
      <c r="N86" s="247" t="str">
        <f ca="1">IF(C86="","",IF($N$11="EPS",[1]!S_STM07_IS(D86,61,$G$5,$H$13)/IF([1]!S_SHARE_TOTAL(D86,$G$5)=0,[1]!S_SHARE_TOTAL(D86,[1]!s_ipo_listeddate(D86)),[1]!S_SHARE_TOTAL(D86,$G$5)),([1]!S_STM07_BS(D86,75,$G$5,$H$13)+[1]!S_STM07_BS(D86,88,$G$5,$H$13)+[1]!S_STM07_BS(D86,94,$G$5,$H$13)+[1]!S_STM07_BS(D86,95,$G$5,$H$13))/$E$5))</f>
        <v/>
      </c>
      <c r="O86" s="247" t="str">
        <f ca="1">IF(C86="","",IF($O$11="BPS",[1]!S_STM07_BS(D86,141,$G$5,$H$13)/IF([1]!S_SHARE_TOTAL(D86,$G$5)=0,[1]!S_SHARE_TOTAL(D86,[1]!s_ipo_listeddate(D86)),[1]!S_SHARE_TOTAL(D86,$G$5)),[1]!S_STM07_CS(D86,49,$G$5,$H$13)/$E$5))</f>
        <v/>
      </c>
      <c r="P86" s="247" t="str">
        <f ca="1">IF(C86="","",IF($P$11="CFPS",[1]!S_STM07_CS(D86,84,$G$5,$H$13)/IF([1]!S_SHARE_TOTAL(D86,$G$5)=0,[1]!S_SHARE_TOTAL(D86,[1]!s_ipo_listeddate(D86)),[1]!S_SHARE_TOTAL(D86,$G$5)),[1]!S_STM07_CS(D86,84,$G$5,$H$13)/$E$5))</f>
        <v/>
      </c>
      <c r="Q86" s="248" t="str">
        <f ca="1">IF(C86="","",F86/([1]!S_STM07_IS(D86,61,$G$5,$H$13)/IF([1]!S_SHARE_TOTAL(D86,$G$5)=0,[1]!S_SHARE_TOTAL(D86,[1]!s_ipo_listeddate(D86)),[1]!S_SHARE_TOTAL(D86,$G$5))))</f>
        <v/>
      </c>
      <c r="R86" s="248" t="str">
        <f ca="1">IF(C86="","",F86/([1]!S_STM07_BS(D86,141,$G$5,$H$13)/IF([1]!S_SHARE_TOTAL(D86,$G$5)=0,[1]!S_SHARE_TOTAL(D86,[1]!s_ipo_listeddate(D86)),[1]!S_SHARE_TOTAL(D86,$G$5))))</f>
        <v/>
      </c>
      <c r="S86" s="247" t="str">
        <f ca="1">IF(C86="","",[1]!S_SHARE_TOTAL(D86,TODAY())/$E$5)</f>
        <v/>
      </c>
      <c r="T86" s="247" t="str">
        <f t="shared" ca="1" si="13"/>
        <v/>
      </c>
      <c r="U86" s="218" t="str">
        <f t="shared" ca="1" si="14"/>
        <v/>
      </c>
      <c r="V86" s="342" t="str">
        <f t="shared" ca="1" si="15"/>
        <v/>
      </c>
      <c r="W86" s="139"/>
      <c r="Y86" s="1"/>
    </row>
    <row r="87" spans="3:25" ht="12" customHeight="1">
      <c r="C87" s="343" t="str">
        <f t="shared" ca="1" si="16"/>
        <v/>
      </c>
      <c r="D87" s="124" t="str">
        <f t="shared" ca="1" si="11"/>
        <v/>
      </c>
      <c r="E87" s="124" t="str">
        <f t="shared" ca="1" si="12"/>
        <v/>
      </c>
      <c r="F87" s="172" t="str">
        <f ca="1">IF(C87="","",[1]!S_DQ_CLOSE(D87,TODAY(),1))</f>
        <v/>
      </c>
      <c r="G87" s="173" t="str">
        <f ca="1">IF(C87="","",[1]!s_pq_pctchange(D87,TODAY()-$G$12,TODAY())/100)</f>
        <v/>
      </c>
      <c r="H87" s="249" t="str">
        <f ca="1">IF(C87="","",IF($H$11="收入",[1]!S_STM07_IS(D87,9,$G$5,$H$13)/$E$5,[1]!S_STM07_IS(D87,48,$G$5,$H$13)/$E$5))</f>
        <v/>
      </c>
      <c r="I87" s="249" t="str">
        <f ca="1">IF(C87="","",IF($I$11="毛利率",([1]!S_STM07_IS(D87,9,$G$5,$H$13)-[1]!S_STM07_IS(D87,10,$G$5,$H$13))/[1]!S_STM07_IS(D87,9,$G$5,$H$13),[1]!S_STM07_IS(D87,14,$G$5,$H$13)/$E$5))</f>
        <v/>
      </c>
      <c r="J87" s="249" t="str">
        <f ca="1">IF(C87="","",IF($J$11="营业利润率",[1]!S_STM07_IS(D87,48,$G$5,$H$13)/[1]!S_STM07_IS(D87,9,$G$5,$H$13),([1]!S_STM07_CS(D87,87,$G$5,$H$13)+[1]!S_STM07_CS(D87,88,$G$5,$H$13)+[1]!S_STM07_CS(D87,89,$G$5,$H$13))/$E$5))</f>
        <v/>
      </c>
      <c r="K87" s="249" t="str">
        <f ca="1">IF(C87="","",IF($K$11="净利润率",[1]!S_STM07_IS(D87,61,$G$5,$H$13)/[1]!S_STM07_IS(D87,9,$G$5,$H$13),[1]!S_STM07_IS(D87,55,$G$5,$H$13)/$E$5))</f>
        <v/>
      </c>
      <c r="L87" s="249" t="str">
        <f ca="1">IF(C87="","",IF($L$11="ROA",[1]!S_STM07_IS(D87,61,$G$5,$H$13)/[1]!S_STM07_BS(D87,74,$G$5,$H$13),1-[1]!S_STM07_IS(D87,61,$G$5,$H$13)/[1]!S_STM07_IS(D87,55,$G$5,$H$13)))</f>
        <v/>
      </c>
      <c r="M87" s="249" t="str">
        <f ca="1">IF(C87="","",IF($M$11="ROE",[1]!S_STM07_IS(D87,61,$G$5,$H$13)/[1]!S_STM07_BS(D87,141,$G$5,$H$13),([1]!S_STM07_BS(D87,25,$G$5,$H$13)-[1]!S_STM07_BS(D87,93,$G$5,$H$13))/$E$5))</f>
        <v/>
      </c>
      <c r="N87" s="250" t="str">
        <f ca="1">IF(C87="","",IF($N$11="EPS",[1]!S_STM07_IS(D87,61,$G$5,$H$13)/IF([1]!S_SHARE_TOTAL(D87,$G$5)=0,[1]!S_SHARE_TOTAL(D87,[1]!s_ipo_listeddate(D87)),[1]!S_SHARE_TOTAL(D87,$G$5)),([1]!S_STM07_BS(D87,75,$G$5,$H$13)+[1]!S_STM07_BS(D87,88,$G$5,$H$13)+[1]!S_STM07_BS(D87,94,$G$5,$H$13)+[1]!S_STM07_BS(D87,95,$G$5,$H$13))/$E$5))</f>
        <v/>
      </c>
      <c r="O87" s="250" t="str">
        <f ca="1">IF(C87="","",IF($O$11="BPS",[1]!S_STM07_BS(D87,141,$G$5,$H$13)/IF([1]!S_SHARE_TOTAL(D87,$G$5)=0,[1]!S_SHARE_TOTAL(D87,[1]!s_ipo_listeddate(D87)),[1]!S_SHARE_TOTAL(D87,$G$5)),[1]!S_STM07_CS(D87,49,$G$5,$H$13)/$E$5))</f>
        <v/>
      </c>
      <c r="P87" s="250" t="str">
        <f ca="1">IF(C87="","",IF($P$11="CFPS",[1]!S_STM07_CS(D87,84,$G$5,$H$13)/IF([1]!S_SHARE_TOTAL(D87,$G$5)=0,[1]!S_SHARE_TOTAL(D87,[1]!s_ipo_listeddate(D87)),[1]!S_SHARE_TOTAL(D87,$G$5)),[1]!S_STM07_CS(D87,84,$G$5,$H$13)/$E$5))</f>
        <v/>
      </c>
      <c r="Q87" s="198" t="str">
        <f ca="1">IF(C87="","",F87/([1]!S_STM07_IS(D87,61,$G$5,$H$13)/IF([1]!S_SHARE_TOTAL(D87,$G$5)=0,[1]!S_SHARE_TOTAL(D87,[1]!s_ipo_listeddate(D87)),[1]!S_SHARE_TOTAL(D87,$G$5))))</f>
        <v/>
      </c>
      <c r="R87" s="198" t="str">
        <f ca="1">IF(C87="","",F87/([1]!S_STM07_BS(D87,141,$G$5,$H$13)/IF([1]!S_SHARE_TOTAL(D87,$G$5)=0,[1]!S_SHARE_TOTAL(D87,[1]!s_ipo_listeddate(D87)),[1]!S_SHARE_TOTAL(D87,$G$5))))</f>
        <v/>
      </c>
      <c r="S87" s="249" t="str">
        <f ca="1">IF(C87="","",[1]!S_SHARE_TOTAL(D87,TODAY())/$E$5)</f>
        <v/>
      </c>
      <c r="T87" s="249" t="str">
        <f t="shared" ca="1" si="13"/>
        <v/>
      </c>
      <c r="U87" s="172" t="str">
        <f t="shared" ca="1" si="14"/>
        <v/>
      </c>
      <c r="V87" s="343" t="str">
        <f t="shared" ca="1" si="15"/>
        <v/>
      </c>
      <c r="W87" s="139"/>
      <c r="Y87" s="1"/>
    </row>
    <row r="88" spans="3:25" ht="12" customHeight="1">
      <c r="C88" s="342" t="str">
        <f t="shared" ca="1" si="16"/>
        <v/>
      </c>
      <c r="D88" s="153" t="str">
        <f t="shared" ca="1" si="11"/>
        <v/>
      </c>
      <c r="E88" s="153" t="str">
        <f t="shared" ca="1" si="12"/>
        <v/>
      </c>
      <c r="F88" s="170" t="str">
        <f ca="1">IF(C88="","",[1]!S_DQ_CLOSE(D88,TODAY(),1))</f>
        <v/>
      </c>
      <c r="G88" s="171" t="str">
        <f ca="1">IF(C88="","",[1]!s_pq_pctchange(D88,TODAY()-$G$12,TODAY())/100)</f>
        <v/>
      </c>
      <c r="H88" s="247" t="str">
        <f ca="1">IF(C88="","",IF($H$11="收入",[1]!S_STM07_IS(D88,9,$G$5,$H$13)/$E$5,[1]!S_STM07_IS(D88,48,$G$5,$H$13)/$E$5))</f>
        <v/>
      </c>
      <c r="I88" s="247" t="str">
        <f ca="1">IF(C88="","",IF($I$11="毛利率",([1]!S_STM07_IS(D88,9,$G$5,$H$13)-[1]!S_STM07_IS(D88,10,$G$5,$H$13))/[1]!S_STM07_IS(D88,9,$G$5,$H$13),[1]!S_STM07_IS(D88,14,$G$5,$H$13)/$E$5))</f>
        <v/>
      </c>
      <c r="J88" s="247" t="str">
        <f ca="1">IF(C88="","",IF($J$11="营业利润率",[1]!S_STM07_IS(D88,48,$G$5,$H$13)/[1]!S_STM07_IS(D88,9,$G$5,$H$13),([1]!S_STM07_CS(D88,87,$G$5,$H$13)+[1]!S_STM07_CS(D88,88,$G$5,$H$13)+[1]!S_STM07_CS(D88,89,$G$5,$H$13))/$E$5))</f>
        <v/>
      </c>
      <c r="K88" s="247" t="str">
        <f ca="1">IF(C88="","",IF($K$11="净利润率",[1]!S_STM07_IS(D88,61,$G$5,$H$13)/[1]!S_STM07_IS(D88,9,$G$5,$H$13),[1]!S_STM07_IS(D88,55,$G$5,$H$13)/$E$5))</f>
        <v/>
      </c>
      <c r="L88" s="247" t="str">
        <f ca="1">IF(C88="","",IF($L$11="ROA",[1]!S_STM07_IS(D88,61,$G$5,$H$13)/[1]!S_STM07_BS(D88,74,$G$5,$H$13),1-[1]!S_STM07_IS(D88,61,$G$5,$H$13)/[1]!S_STM07_IS(D88,55,$G$5,$H$13)))</f>
        <v/>
      </c>
      <c r="M88" s="247" t="str">
        <f ca="1">IF(C88="","",IF($M$11="ROE",[1]!S_STM07_IS(D88,61,$G$5,$H$13)/[1]!S_STM07_BS(D88,141,$G$5,$H$13),([1]!S_STM07_BS(D88,25,$G$5,$H$13)-[1]!S_STM07_BS(D88,93,$G$5,$H$13))/$E$5))</f>
        <v/>
      </c>
      <c r="N88" s="247" t="str">
        <f ca="1">IF(C88="","",IF($N$11="EPS",[1]!S_STM07_IS(D88,61,$G$5,$H$13)/IF([1]!S_SHARE_TOTAL(D88,$G$5)=0,[1]!S_SHARE_TOTAL(D88,[1]!s_ipo_listeddate(D88)),[1]!S_SHARE_TOTAL(D88,$G$5)),([1]!S_STM07_BS(D88,75,$G$5,$H$13)+[1]!S_STM07_BS(D88,88,$G$5,$H$13)+[1]!S_STM07_BS(D88,94,$G$5,$H$13)+[1]!S_STM07_BS(D88,95,$G$5,$H$13))/$E$5))</f>
        <v/>
      </c>
      <c r="O88" s="247" t="str">
        <f ca="1">IF(C88="","",IF($O$11="BPS",[1]!S_STM07_BS(D88,141,$G$5,$H$13)/IF([1]!S_SHARE_TOTAL(D88,$G$5)=0,[1]!S_SHARE_TOTAL(D88,[1]!s_ipo_listeddate(D88)),[1]!S_SHARE_TOTAL(D88,$G$5)),[1]!S_STM07_CS(D88,49,$G$5,$H$13)/$E$5))</f>
        <v/>
      </c>
      <c r="P88" s="247" t="str">
        <f ca="1">IF(C88="","",IF($P$11="CFPS",[1]!S_STM07_CS(D88,84,$G$5,$H$13)/IF([1]!S_SHARE_TOTAL(D88,$G$5)=0,[1]!S_SHARE_TOTAL(D88,[1]!s_ipo_listeddate(D88)),[1]!S_SHARE_TOTAL(D88,$G$5)),[1]!S_STM07_CS(D88,84,$G$5,$H$13)/$E$5))</f>
        <v/>
      </c>
      <c r="Q88" s="248" t="str">
        <f ca="1">IF(C88="","",F88/([1]!S_STM07_IS(D88,61,$G$5,$H$13)/IF([1]!S_SHARE_TOTAL(D88,$G$5)=0,[1]!S_SHARE_TOTAL(D88,[1]!s_ipo_listeddate(D88)),[1]!S_SHARE_TOTAL(D88,$G$5))))</f>
        <v/>
      </c>
      <c r="R88" s="248" t="str">
        <f ca="1">IF(C88="","",F88/([1]!S_STM07_BS(D88,141,$G$5,$H$13)/IF([1]!S_SHARE_TOTAL(D88,$G$5)=0,[1]!S_SHARE_TOTAL(D88,[1]!s_ipo_listeddate(D88)),[1]!S_SHARE_TOTAL(D88,$G$5))))</f>
        <v/>
      </c>
      <c r="S88" s="247" t="str">
        <f ca="1">IF(C88="","",[1]!S_SHARE_TOTAL(D88,TODAY())/$E$5)</f>
        <v/>
      </c>
      <c r="T88" s="247" t="str">
        <f t="shared" ca="1" si="13"/>
        <v/>
      </c>
      <c r="U88" s="218" t="str">
        <f t="shared" ca="1" si="14"/>
        <v/>
      </c>
      <c r="V88" s="342" t="str">
        <f t="shared" ca="1" si="15"/>
        <v/>
      </c>
      <c r="W88" s="139"/>
      <c r="Y88" s="1"/>
    </row>
    <row r="89" spans="3:25" ht="12" customHeight="1">
      <c r="C89" s="343" t="str">
        <f t="shared" ca="1" si="16"/>
        <v/>
      </c>
      <c r="D89" s="124" t="str">
        <f t="shared" ca="1" si="11"/>
        <v/>
      </c>
      <c r="E89" s="124" t="str">
        <f t="shared" ca="1" si="12"/>
        <v/>
      </c>
      <c r="F89" s="172" t="str">
        <f ca="1">IF(C89="","",[1]!S_DQ_CLOSE(D89,TODAY(),1))</f>
        <v/>
      </c>
      <c r="G89" s="173" t="str">
        <f ca="1">IF(C89="","",[1]!s_pq_pctchange(D89,TODAY()-$G$12,TODAY())/100)</f>
        <v/>
      </c>
      <c r="H89" s="249" t="str">
        <f ca="1">IF(C89="","",IF($H$11="收入",[1]!S_STM07_IS(D89,9,$G$5,$H$13)/$E$5,[1]!S_STM07_IS(D89,48,$G$5,$H$13)/$E$5))</f>
        <v/>
      </c>
      <c r="I89" s="249" t="str">
        <f ca="1">IF(C89="","",IF($I$11="毛利率",([1]!S_STM07_IS(D89,9,$G$5,$H$13)-[1]!S_STM07_IS(D89,10,$G$5,$H$13))/[1]!S_STM07_IS(D89,9,$G$5,$H$13),[1]!S_STM07_IS(D89,14,$G$5,$H$13)/$E$5))</f>
        <v/>
      </c>
      <c r="J89" s="249" t="str">
        <f ca="1">IF(C89="","",IF($J$11="营业利润率",[1]!S_STM07_IS(D89,48,$G$5,$H$13)/[1]!S_STM07_IS(D89,9,$G$5,$H$13),([1]!S_STM07_CS(D89,87,$G$5,$H$13)+[1]!S_STM07_CS(D89,88,$G$5,$H$13)+[1]!S_STM07_CS(D89,89,$G$5,$H$13))/$E$5))</f>
        <v/>
      </c>
      <c r="K89" s="249" t="str">
        <f ca="1">IF(C89="","",IF($K$11="净利润率",[1]!S_STM07_IS(D89,61,$G$5,$H$13)/[1]!S_STM07_IS(D89,9,$G$5,$H$13),[1]!S_STM07_IS(D89,55,$G$5,$H$13)/$E$5))</f>
        <v/>
      </c>
      <c r="L89" s="249" t="str">
        <f ca="1">IF(C89="","",IF($L$11="ROA",[1]!S_STM07_IS(D89,61,$G$5,$H$13)/[1]!S_STM07_BS(D89,74,$G$5,$H$13),1-[1]!S_STM07_IS(D89,61,$G$5,$H$13)/[1]!S_STM07_IS(D89,55,$G$5,$H$13)))</f>
        <v/>
      </c>
      <c r="M89" s="249" t="str">
        <f ca="1">IF(C89="","",IF($M$11="ROE",[1]!S_STM07_IS(D89,61,$G$5,$H$13)/[1]!S_STM07_BS(D89,141,$G$5,$H$13),([1]!S_STM07_BS(D89,25,$G$5,$H$13)-[1]!S_STM07_BS(D89,93,$G$5,$H$13))/$E$5))</f>
        <v/>
      </c>
      <c r="N89" s="250" t="str">
        <f ca="1">IF(C89="","",IF($N$11="EPS",[1]!S_STM07_IS(D89,61,$G$5,$H$13)/IF([1]!S_SHARE_TOTAL(D89,$G$5)=0,[1]!S_SHARE_TOTAL(D89,[1]!s_ipo_listeddate(D89)),[1]!S_SHARE_TOTAL(D89,$G$5)),([1]!S_STM07_BS(D89,75,$G$5,$H$13)+[1]!S_STM07_BS(D89,88,$G$5,$H$13)+[1]!S_STM07_BS(D89,94,$G$5,$H$13)+[1]!S_STM07_BS(D89,95,$G$5,$H$13))/$E$5))</f>
        <v/>
      </c>
      <c r="O89" s="250" t="str">
        <f ca="1">IF(C89="","",IF($O$11="BPS",[1]!S_STM07_BS(D89,141,$G$5,$H$13)/IF([1]!S_SHARE_TOTAL(D89,$G$5)=0,[1]!S_SHARE_TOTAL(D89,[1]!s_ipo_listeddate(D89)),[1]!S_SHARE_TOTAL(D89,$G$5)),[1]!S_STM07_CS(D89,49,$G$5,$H$13)/$E$5))</f>
        <v/>
      </c>
      <c r="P89" s="250" t="str">
        <f ca="1">IF(C89="","",IF($P$11="CFPS",[1]!S_STM07_CS(D89,84,$G$5,$H$13)/IF([1]!S_SHARE_TOTAL(D89,$G$5)=0,[1]!S_SHARE_TOTAL(D89,[1]!s_ipo_listeddate(D89)),[1]!S_SHARE_TOTAL(D89,$G$5)),[1]!S_STM07_CS(D89,84,$G$5,$H$13)/$E$5))</f>
        <v/>
      </c>
      <c r="Q89" s="198" t="str">
        <f ca="1">IF(C89="","",F89/([1]!S_STM07_IS(D89,61,$G$5,$H$13)/IF([1]!S_SHARE_TOTAL(D89,$G$5)=0,[1]!S_SHARE_TOTAL(D89,[1]!s_ipo_listeddate(D89)),[1]!S_SHARE_TOTAL(D89,$G$5))))</f>
        <v/>
      </c>
      <c r="R89" s="198" t="str">
        <f ca="1">IF(C89="","",F89/([1]!S_STM07_BS(D89,141,$G$5,$H$13)/IF([1]!S_SHARE_TOTAL(D89,$G$5)=0,[1]!S_SHARE_TOTAL(D89,[1]!s_ipo_listeddate(D89)),[1]!S_SHARE_TOTAL(D89,$G$5))))</f>
        <v/>
      </c>
      <c r="S89" s="249" t="str">
        <f ca="1">IF(C89="","",[1]!S_SHARE_TOTAL(D89,TODAY())/$E$5)</f>
        <v/>
      </c>
      <c r="T89" s="249" t="str">
        <f t="shared" ca="1" si="13"/>
        <v/>
      </c>
      <c r="U89" s="172" t="str">
        <f t="shared" ca="1" si="14"/>
        <v/>
      </c>
      <c r="V89" s="343" t="str">
        <f t="shared" ca="1" si="15"/>
        <v/>
      </c>
      <c r="W89" s="139"/>
      <c r="Y89" s="1"/>
    </row>
    <row r="90" spans="3:25" ht="12" customHeight="1">
      <c r="C90" s="342" t="str">
        <f t="shared" ca="1" si="16"/>
        <v/>
      </c>
      <c r="D90" s="153" t="str">
        <f t="shared" ca="1" si="11"/>
        <v/>
      </c>
      <c r="E90" s="153" t="str">
        <f t="shared" ca="1" si="12"/>
        <v/>
      </c>
      <c r="F90" s="170" t="str">
        <f ca="1">IF(C90="","",[1]!S_DQ_CLOSE(D90,TODAY(),1))</f>
        <v/>
      </c>
      <c r="G90" s="171" t="str">
        <f ca="1">IF(C90="","",[1]!s_pq_pctchange(D90,TODAY()-$G$12,TODAY())/100)</f>
        <v/>
      </c>
      <c r="H90" s="247" t="str">
        <f ca="1">IF(C90="","",IF($H$11="收入",[1]!S_STM07_IS(D90,9,$G$5,$H$13)/$E$5,[1]!S_STM07_IS(D90,48,$G$5,$H$13)/$E$5))</f>
        <v/>
      </c>
      <c r="I90" s="247" t="str">
        <f ca="1">IF(C90="","",IF($I$11="毛利率",([1]!S_STM07_IS(D90,9,$G$5,$H$13)-[1]!S_STM07_IS(D90,10,$G$5,$H$13))/[1]!S_STM07_IS(D90,9,$G$5,$H$13),[1]!S_STM07_IS(D90,14,$G$5,$H$13)/$E$5))</f>
        <v/>
      </c>
      <c r="J90" s="247" t="str">
        <f ca="1">IF(C90="","",IF($J$11="营业利润率",[1]!S_STM07_IS(D90,48,$G$5,$H$13)/[1]!S_STM07_IS(D90,9,$G$5,$H$13),([1]!S_STM07_CS(D90,87,$G$5,$H$13)+[1]!S_STM07_CS(D90,88,$G$5,$H$13)+[1]!S_STM07_CS(D90,89,$G$5,$H$13))/$E$5))</f>
        <v/>
      </c>
      <c r="K90" s="247" t="str">
        <f ca="1">IF(C90="","",IF($K$11="净利润率",[1]!S_STM07_IS(D90,61,$G$5,$H$13)/[1]!S_STM07_IS(D90,9,$G$5,$H$13),[1]!S_STM07_IS(D90,55,$G$5,$H$13)/$E$5))</f>
        <v/>
      </c>
      <c r="L90" s="247" t="str">
        <f ca="1">IF(C90="","",IF($L$11="ROA",[1]!S_STM07_IS(D90,61,$G$5,$H$13)/[1]!S_STM07_BS(D90,74,$G$5,$H$13),1-[1]!S_STM07_IS(D90,61,$G$5,$H$13)/[1]!S_STM07_IS(D90,55,$G$5,$H$13)))</f>
        <v/>
      </c>
      <c r="M90" s="247" t="str">
        <f ca="1">IF(C90="","",IF($M$11="ROE",[1]!S_STM07_IS(D90,61,$G$5,$H$13)/[1]!S_STM07_BS(D90,141,$G$5,$H$13),([1]!S_STM07_BS(D90,25,$G$5,$H$13)-[1]!S_STM07_BS(D90,93,$G$5,$H$13))/$E$5))</f>
        <v/>
      </c>
      <c r="N90" s="247" t="str">
        <f ca="1">IF(C90="","",IF($N$11="EPS",[1]!S_STM07_IS(D90,61,$G$5,$H$13)/IF([1]!S_SHARE_TOTAL(D90,$G$5)=0,[1]!S_SHARE_TOTAL(D90,[1]!s_ipo_listeddate(D90)),[1]!S_SHARE_TOTAL(D90,$G$5)),([1]!S_STM07_BS(D90,75,$G$5,$H$13)+[1]!S_STM07_BS(D90,88,$G$5,$H$13)+[1]!S_STM07_BS(D90,94,$G$5,$H$13)+[1]!S_STM07_BS(D90,95,$G$5,$H$13))/$E$5))</f>
        <v/>
      </c>
      <c r="O90" s="247" t="str">
        <f ca="1">IF(C90="","",IF($O$11="BPS",[1]!S_STM07_BS(D90,141,$G$5,$H$13)/IF([1]!S_SHARE_TOTAL(D90,$G$5)=0,[1]!S_SHARE_TOTAL(D90,[1]!s_ipo_listeddate(D90)),[1]!S_SHARE_TOTAL(D90,$G$5)),[1]!S_STM07_CS(D90,49,$G$5,$H$13)/$E$5))</f>
        <v/>
      </c>
      <c r="P90" s="247" t="str">
        <f ca="1">IF(C90="","",IF($P$11="CFPS",[1]!S_STM07_CS(D90,84,$G$5,$H$13)/IF([1]!S_SHARE_TOTAL(D90,$G$5)=0,[1]!S_SHARE_TOTAL(D90,[1]!s_ipo_listeddate(D90)),[1]!S_SHARE_TOTAL(D90,$G$5)),[1]!S_STM07_CS(D90,84,$G$5,$H$13)/$E$5))</f>
        <v/>
      </c>
      <c r="Q90" s="248" t="str">
        <f ca="1">IF(C90="","",F90/([1]!S_STM07_IS(D90,61,$G$5,$H$13)/IF([1]!S_SHARE_TOTAL(D90,$G$5)=0,[1]!S_SHARE_TOTAL(D90,[1]!s_ipo_listeddate(D90)),[1]!S_SHARE_TOTAL(D90,$G$5))))</f>
        <v/>
      </c>
      <c r="R90" s="248" t="str">
        <f ca="1">IF(C90="","",F90/([1]!S_STM07_BS(D90,141,$G$5,$H$13)/IF([1]!S_SHARE_TOTAL(D90,$G$5)=0,[1]!S_SHARE_TOTAL(D90,[1]!s_ipo_listeddate(D90)),[1]!S_SHARE_TOTAL(D90,$G$5))))</f>
        <v/>
      </c>
      <c r="S90" s="247" t="str">
        <f ca="1">IF(C90="","",[1]!S_SHARE_TOTAL(D90,TODAY())/$E$5)</f>
        <v/>
      </c>
      <c r="T90" s="247" t="str">
        <f t="shared" ca="1" si="13"/>
        <v/>
      </c>
      <c r="U90" s="218" t="str">
        <f t="shared" ca="1" si="14"/>
        <v/>
      </c>
      <c r="V90" s="342" t="str">
        <f t="shared" ca="1" si="15"/>
        <v/>
      </c>
      <c r="W90" s="139"/>
      <c r="Y90" s="1"/>
    </row>
    <row r="91" spans="3:25" ht="12" customHeight="1">
      <c r="C91" s="343" t="str">
        <f t="shared" ca="1" si="16"/>
        <v/>
      </c>
      <c r="D91" s="124" t="str">
        <f t="shared" ca="1" si="11"/>
        <v/>
      </c>
      <c r="E91" s="124" t="str">
        <f t="shared" ca="1" si="12"/>
        <v/>
      </c>
      <c r="F91" s="172" t="str">
        <f ca="1">IF(C91="","",[1]!S_DQ_CLOSE(D91,TODAY(),1))</f>
        <v/>
      </c>
      <c r="G91" s="173" t="str">
        <f ca="1">IF(C91="","",[1]!s_pq_pctchange(D91,TODAY()-$G$12,TODAY())/100)</f>
        <v/>
      </c>
      <c r="H91" s="249" t="str">
        <f ca="1">IF(C91="","",IF($H$11="收入",[1]!S_STM07_IS(D91,9,$G$5,$H$13)/$E$5,[1]!S_STM07_IS(D91,48,$G$5,$H$13)/$E$5))</f>
        <v/>
      </c>
      <c r="I91" s="249" t="str">
        <f ca="1">IF(C91="","",IF($I$11="毛利率",([1]!S_STM07_IS(D91,9,$G$5,$H$13)-[1]!S_STM07_IS(D91,10,$G$5,$H$13))/[1]!S_STM07_IS(D91,9,$G$5,$H$13),[1]!S_STM07_IS(D91,14,$G$5,$H$13)/$E$5))</f>
        <v/>
      </c>
      <c r="J91" s="249" t="str">
        <f ca="1">IF(C91="","",IF($J$11="营业利润率",[1]!S_STM07_IS(D91,48,$G$5,$H$13)/[1]!S_STM07_IS(D91,9,$G$5,$H$13),([1]!S_STM07_CS(D91,87,$G$5,$H$13)+[1]!S_STM07_CS(D91,88,$G$5,$H$13)+[1]!S_STM07_CS(D91,89,$G$5,$H$13))/$E$5))</f>
        <v/>
      </c>
      <c r="K91" s="249" t="str">
        <f ca="1">IF(C91="","",IF($K$11="净利润率",[1]!S_STM07_IS(D91,61,$G$5,$H$13)/[1]!S_STM07_IS(D91,9,$G$5,$H$13),[1]!S_STM07_IS(D91,55,$G$5,$H$13)/$E$5))</f>
        <v/>
      </c>
      <c r="L91" s="249" t="str">
        <f ca="1">IF(C91="","",IF($L$11="ROA",[1]!S_STM07_IS(D91,61,$G$5,$H$13)/[1]!S_STM07_BS(D91,74,$G$5,$H$13),1-[1]!S_STM07_IS(D91,61,$G$5,$H$13)/[1]!S_STM07_IS(D91,55,$G$5,$H$13)))</f>
        <v/>
      </c>
      <c r="M91" s="249" t="str">
        <f ca="1">IF(C91="","",IF($M$11="ROE",[1]!S_STM07_IS(D91,61,$G$5,$H$13)/[1]!S_STM07_BS(D91,141,$G$5,$H$13),([1]!S_STM07_BS(D91,25,$G$5,$H$13)-[1]!S_STM07_BS(D91,93,$G$5,$H$13))/$E$5))</f>
        <v/>
      </c>
      <c r="N91" s="250" t="str">
        <f ca="1">IF(C91="","",IF($N$11="EPS",[1]!S_STM07_IS(D91,61,$G$5,$H$13)/IF([1]!S_SHARE_TOTAL(D91,$G$5)=0,[1]!S_SHARE_TOTAL(D91,[1]!s_ipo_listeddate(D91)),[1]!S_SHARE_TOTAL(D91,$G$5)),([1]!S_STM07_BS(D91,75,$G$5,$H$13)+[1]!S_STM07_BS(D91,88,$G$5,$H$13)+[1]!S_STM07_BS(D91,94,$G$5,$H$13)+[1]!S_STM07_BS(D91,95,$G$5,$H$13))/$E$5))</f>
        <v/>
      </c>
      <c r="O91" s="250" t="str">
        <f ca="1">IF(C91="","",IF($O$11="BPS",[1]!S_STM07_BS(D91,141,$G$5,$H$13)/IF([1]!S_SHARE_TOTAL(D91,$G$5)=0,[1]!S_SHARE_TOTAL(D91,[1]!s_ipo_listeddate(D91)),[1]!S_SHARE_TOTAL(D91,$G$5)),[1]!S_STM07_CS(D91,49,$G$5,$H$13)/$E$5))</f>
        <v/>
      </c>
      <c r="P91" s="250" t="str">
        <f ca="1">IF(C91="","",IF($P$11="CFPS",[1]!S_STM07_CS(D91,84,$G$5,$H$13)/IF([1]!S_SHARE_TOTAL(D91,$G$5)=0,[1]!S_SHARE_TOTAL(D91,[1]!s_ipo_listeddate(D91)),[1]!S_SHARE_TOTAL(D91,$G$5)),[1]!S_STM07_CS(D91,84,$G$5,$H$13)/$E$5))</f>
        <v/>
      </c>
      <c r="Q91" s="198" t="str">
        <f ca="1">IF(C91="","",F91/([1]!S_STM07_IS(D91,61,$G$5,$H$13)/IF([1]!S_SHARE_TOTAL(D91,$G$5)=0,[1]!S_SHARE_TOTAL(D91,[1]!s_ipo_listeddate(D91)),[1]!S_SHARE_TOTAL(D91,$G$5))))</f>
        <v/>
      </c>
      <c r="R91" s="198" t="str">
        <f ca="1">IF(C91="","",F91/([1]!S_STM07_BS(D91,141,$G$5,$H$13)/IF([1]!S_SHARE_TOTAL(D91,$G$5)=0,[1]!S_SHARE_TOTAL(D91,[1]!s_ipo_listeddate(D91)),[1]!S_SHARE_TOTAL(D91,$G$5))))</f>
        <v/>
      </c>
      <c r="S91" s="249" t="str">
        <f ca="1">IF(C91="","",[1]!S_SHARE_TOTAL(D91,TODAY())/$E$5)</f>
        <v/>
      </c>
      <c r="T91" s="249" t="str">
        <f t="shared" ca="1" si="13"/>
        <v/>
      </c>
      <c r="U91" s="172" t="str">
        <f t="shared" ca="1" si="14"/>
        <v/>
      </c>
      <c r="V91" s="343" t="str">
        <f t="shared" ca="1" si="15"/>
        <v/>
      </c>
      <c r="W91" s="139"/>
      <c r="Y91" s="1"/>
    </row>
    <row r="92" spans="3:25" ht="12" customHeight="1">
      <c r="C92" s="342" t="str">
        <f t="shared" ca="1" si="16"/>
        <v/>
      </c>
      <c r="D92" s="153" t="str">
        <f t="shared" ca="1" si="11"/>
        <v/>
      </c>
      <c r="E92" s="153" t="str">
        <f t="shared" ca="1" si="12"/>
        <v/>
      </c>
      <c r="F92" s="170" t="str">
        <f ca="1">IF(C92="","",[1]!S_DQ_CLOSE(D92,TODAY(),1))</f>
        <v/>
      </c>
      <c r="G92" s="171" t="str">
        <f ca="1">IF(C92="","",[1]!s_pq_pctchange(D92,TODAY()-$G$12,TODAY())/100)</f>
        <v/>
      </c>
      <c r="H92" s="247" t="str">
        <f ca="1">IF(C92="","",IF($H$11="收入",[1]!S_STM07_IS(D92,9,$G$5,$H$13)/$E$5,[1]!S_STM07_IS(D92,48,$G$5,$H$13)/$E$5))</f>
        <v/>
      </c>
      <c r="I92" s="247" t="str">
        <f ca="1">IF(C92="","",IF($I$11="毛利率",([1]!S_STM07_IS(D92,9,$G$5,$H$13)-[1]!S_STM07_IS(D92,10,$G$5,$H$13))/[1]!S_STM07_IS(D92,9,$G$5,$H$13),[1]!S_STM07_IS(D92,14,$G$5,$H$13)/$E$5))</f>
        <v/>
      </c>
      <c r="J92" s="247" t="str">
        <f ca="1">IF(C92="","",IF($J$11="营业利润率",[1]!S_STM07_IS(D92,48,$G$5,$H$13)/[1]!S_STM07_IS(D92,9,$G$5,$H$13),([1]!S_STM07_CS(D92,87,$G$5,$H$13)+[1]!S_STM07_CS(D92,88,$G$5,$H$13)+[1]!S_STM07_CS(D92,89,$G$5,$H$13))/$E$5))</f>
        <v/>
      </c>
      <c r="K92" s="247" t="str">
        <f ca="1">IF(C92="","",IF($K$11="净利润率",[1]!S_STM07_IS(D92,61,$G$5,$H$13)/[1]!S_STM07_IS(D92,9,$G$5,$H$13),[1]!S_STM07_IS(D92,55,$G$5,$H$13)/$E$5))</f>
        <v/>
      </c>
      <c r="L92" s="247" t="str">
        <f ca="1">IF(C92="","",IF($L$11="ROA",[1]!S_STM07_IS(D92,61,$G$5,$H$13)/[1]!S_STM07_BS(D92,74,$G$5,$H$13),1-[1]!S_STM07_IS(D92,61,$G$5,$H$13)/[1]!S_STM07_IS(D92,55,$G$5,$H$13)))</f>
        <v/>
      </c>
      <c r="M92" s="247" t="str">
        <f ca="1">IF(C92="","",IF($M$11="ROE",[1]!S_STM07_IS(D92,61,$G$5,$H$13)/[1]!S_STM07_BS(D92,141,$G$5,$H$13),([1]!S_STM07_BS(D92,25,$G$5,$H$13)-[1]!S_STM07_BS(D92,93,$G$5,$H$13))/$E$5))</f>
        <v/>
      </c>
      <c r="N92" s="247" t="str">
        <f ca="1">IF(C92="","",IF($N$11="EPS",[1]!S_STM07_IS(D92,61,$G$5,$H$13)/IF([1]!S_SHARE_TOTAL(D92,$G$5)=0,[1]!S_SHARE_TOTAL(D92,[1]!s_ipo_listeddate(D92)),[1]!S_SHARE_TOTAL(D92,$G$5)),([1]!S_STM07_BS(D92,75,$G$5,$H$13)+[1]!S_STM07_BS(D92,88,$G$5,$H$13)+[1]!S_STM07_BS(D92,94,$G$5,$H$13)+[1]!S_STM07_BS(D92,95,$G$5,$H$13))/$E$5))</f>
        <v/>
      </c>
      <c r="O92" s="247" t="str">
        <f ca="1">IF(C92="","",IF($O$11="BPS",[1]!S_STM07_BS(D92,141,$G$5,$H$13)/IF([1]!S_SHARE_TOTAL(D92,$G$5)=0,[1]!S_SHARE_TOTAL(D92,[1]!s_ipo_listeddate(D92)),[1]!S_SHARE_TOTAL(D92,$G$5)),[1]!S_STM07_CS(D92,49,$G$5,$H$13)/$E$5))</f>
        <v/>
      </c>
      <c r="P92" s="247" t="str">
        <f ca="1">IF(C92="","",IF($P$11="CFPS",[1]!S_STM07_CS(D92,84,$G$5,$H$13)/IF([1]!S_SHARE_TOTAL(D92,$G$5)=0,[1]!S_SHARE_TOTAL(D92,[1]!s_ipo_listeddate(D92)),[1]!S_SHARE_TOTAL(D92,$G$5)),[1]!S_STM07_CS(D92,84,$G$5,$H$13)/$E$5))</f>
        <v/>
      </c>
      <c r="Q92" s="248" t="str">
        <f ca="1">IF(C92="","",F92/([1]!S_STM07_IS(D92,61,$G$5,$H$13)/IF([1]!S_SHARE_TOTAL(D92,$G$5)=0,[1]!S_SHARE_TOTAL(D92,[1]!s_ipo_listeddate(D92)),[1]!S_SHARE_TOTAL(D92,$G$5))))</f>
        <v/>
      </c>
      <c r="R92" s="248" t="str">
        <f ca="1">IF(C92="","",F92/([1]!S_STM07_BS(D92,141,$G$5,$H$13)/IF([1]!S_SHARE_TOTAL(D92,$G$5)=0,[1]!S_SHARE_TOTAL(D92,[1]!s_ipo_listeddate(D92)),[1]!S_SHARE_TOTAL(D92,$G$5))))</f>
        <v/>
      </c>
      <c r="S92" s="247" t="str">
        <f ca="1">IF(C92="","",[1]!S_SHARE_TOTAL(D92,TODAY())/$E$5)</f>
        <v/>
      </c>
      <c r="T92" s="247" t="str">
        <f t="shared" ca="1" si="13"/>
        <v/>
      </c>
      <c r="U92" s="218" t="str">
        <f t="shared" ca="1" si="14"/>
        <v/>
      </c>
      <c r="V92" s="342" t="str">
        <f t="shared" ca="1" si="15"/>
        <v/>
      </c>
      <c r="W92" s="139"/>
      <c r="Y92" s="1"/>
    </row>
    <row r="93" spans="3:25" ht="12" customHeight="1">
      <c r="C93" s="343" t="str">
        <f t="shared" ca="1" si="16"/>
        <v/>
      </c>
      <c r="D93" s="124" t="str">
        <f t="shared" ca="1" si="11"/>
        <v/>
      </c>
      <c r="E93" s="124" t="str">
        <f t="shared" ca="1" si="12"/>
        <v/>
      </c>
      <c r="F93" s="172" t="str">
        <f ca="1">IF(C93="","",[1]!S_DQ_CLOSE(D93,TODAY(),1))</f>
        <v/>
      </c>
      <c r="G93" s="173" t="str">
        <f ca="1">IF(C93="","",[1]!s_pq_pctchange(D93,TODAY()-$G$12,TODAY())/100)</f>
        <v/>
      </c>
      <c r="H93" s="249" t="str">
        <f ca="1">IF(C93="","",IF($H$11="收入",[1]!S_STM07_IS(D93,9,$G$5,$H$13)/$E$5,[1]!S_STM07_IS(D93,48,$G$5,$H$13)/$E$5))</f>
        <v/>
      </c>
      <c r="I93" s="249" t="str">
        <f ca="1">IF(C93="","",IF($I$11="毛利率",([1]!S_STM07_IS(D93,9,$G$5,$H$13)-[1]!S_STM07_IS(D93,10,$G$5,$H$13))/[1]!S_STM07_IS(D93,9,$G$5,$H$13),[1]!S_STM07_IS(D93,14,$G$5,$H$13)/$E$5))</f>
        <v/>
      </c>
      <c r="J93" s="249" t="str">
        <f ca="1">IF(C93="","",IF($J$11="营业利润率",[1]!S_STM07_IS(D93,48,$G$5,$H$13)/[1]!S_STM07_IS(D93,9,$G$5,$H$13),([1]!S_STM07_CS(D93,87,$G$5,$H$13)+[1]!S_STM07_CS(D93,88,$G$5,$H$13)+[1]!S_STM07_CS(D93,89,$G$5,$H$13))/$E$5))</f>
        <v/>
      </c>
      <c r="K93" s="249" t="str">
        <f ca="1">IF(C93="","",IF($K$11="净利润率",[1]!S_STM07_IS(D93,61,$G$5,$H$13)/[1]!S_STM07_IS(D93,9,$G$5,$H$13),[1]!S_STM07_IS(D93,55,$G$5,$H$13)/$E$5))</f>
        <v/>
      </c>
      <c r="L93" s="249" t="str">
        <f ca="1">IF(C93="","",IF($L$11="ROA",[1]!S_STM07_IS(D93,61,$G$5,$H$13)/[1]!S_STM07_BS(D93,74,$G$5,$H$13),1-[1]!S_STM07_IS(D93,61,$G$5,$H$13)/[1]!S_STM07_IS(D93,55,$G$5,$H$13)))</f>
        <v/>
      </c>
      <c r="M93" s="249" t="str">
        <f ca="1">IF(C93="","",IF($M$11="ROE",[1]!S_STM07_IS(D93,61,$G$5,$H$13)/[1]!S_STM07_BS(D93,141,$G$5,$H$13),([1]!S_STM07_BS(D93,25,$G$5,$H$13)-[1]!S_STM07_BS(D93,93,$G$5,$H$13))/$E$5))</f>
        <v/>
      </c>
      <c r="N93" s="250" t="str">
        <f ca="1">IF(C93="","",IF($N$11="EPS",[1]!S_STM07_IS(D93,61,$G$5,$H$13)/IF([1]!S_SHARE_TOTAL(D93,$G$5)=0,[1]!S_SHARE_TOTAL(D93,[1]!s_ipo_listeddate(D93)),[1]!S_SHARE_TOTAL(D93,$G$5)),([1]!S_STM07_BS(D93,75,$G$5,$H$13)+[1]!S_STM07_BS(D93,88,$G$5,$H$13)+[1]!S_STM07_BS(D93,94,$G$5,$H$13)+[1]!S_STM07_BS(D93,95,$G$5,$H$13))/$E$5))</f>
        <v/>
      </c>
      <c r="O93" s="250" t="str">
        <f ca="1">IF(C93="","",IF($O$11="BPS",[1]!S_STM07_BS(D93,141,$G$5,$H$13)/IF([1]!S_SHARE_TOTAL(D93,$G$5)=0,[1]!S_SHARE_TOTAL(D93,[1]!s_ipo_listeddate(D93)),[1]!S_SHARE_TOTAL(D93,$G$5)),[1]!S_STM07_CS(D93,49,$G$5,$H$13)/$E$5))</f>
        <v/>
      </c>
      <c r="P93" s="250" t="str">
        <f ca="1">IF(C93="","",IF($P$11="CFPS",[1]!S_STM07_CS(D93,84,$G$5,$H$13)/IF([1]!S_SHARE_TOTAL(D93,$G$5)=0,[1]!S_SHARE_TOTAL(D93,[1]!s_ipo_listeddate(D93)),[1]!S_SHARE_TOTAL(D93,$G$5)),[1]!S_STM07_CS(D93,84,$G$5,$H$13)/$E$5))</f>
        <v/>
      </c>
      <c r="Q93" s="198" t="str">
        <f ca="1">IF(C93="","",F93/([1]!S_STM07_IS(D93,61,$G$5,$H$13)/IF([1]!S_SHARE_TOTAL(D93,$G$5)=0,[1]!S_SHARE_TOTAL(D93,[1]!s_ipo_listeddate(D93)),[1]!S_SHARE_TOTAL(D93,$G$5))))</f>
        <v/>
      </c>
      <c r="R93" s="198" t="str">
        <f ca="1">IF(C93="","",F93/([1]!S_STM07_BS(D93,141,$G$5,$H$13)/IF([1]!S_SHARE_TOTAL(D93,$G$5)=0,[1]!S_SHARE_TOTAL(D93,[1]!s_ipo_listeddate(D93)),[1]!S_SHARE_TOTAL(D93,$G$5))))</f>
        <v/>
      </c>
      <c r="S93" s="249" t="str">
        <f ca="1">IF(C93="","",[1]!S_SHARE_TOTAL(D93,TODAY())/$E$5)</f>
        <v/>
      </c>
      <c r="T93" s="249" t="str">
        <f t="shared" ca="1" si="13"/>
        <v/>
      </c>
      <c r="U93" s="172" t="str">
        <f t="shared" ca="1" si="14"/>
        <v/>
      </c>
      <c r="V93" s="343" t="str">
        <f t="shared" ca="1" si="15"/>
        <v/>
      </c>
      <c r="W93" s="139"/>
      <c r="Y93" s="1"/>
    </row>
    <row r="94" spans="3:25" ht="12" customHeight="1">
      <c r="C94" s="342" t="str">
        <f t="shared" ca="1" si="16"/>
        <v/>
      </c>
      <c r="D94" s="153" t="str">
        <f t="shared" ca="1" si="11"/>
        <v/>
      </c>
      <c r="E94" s="153" t="str">
        <f t="shared" ca="1" si="12"/>
        <v/>
      </c>
      <c r="F94" s="170" t="str">
        <f ca="1">IF(C94="","",[1]!S_DQ_CLOSE(D94,TODAY(),1))</f>
        <v/>
      </c>
      <c r="G94" s="171" t="str">
        <f ca="1">IF(C94="","",[1]!s_pq_pctchange(D94,TODAY()-$G$12,TODAY())/100)</f>
        <v/>
      </c>
      <c r="H94" s="247" t="str">
        <f ca="1">IF(C94="","",IF($H$11="收入",[1]!S_STM07_IS(D94,9,$G$5,$H$13)/$E$5,[1]!S_STM07_IS(D94,48,$G$5,$H$13)/$E$5))</f>
        <v/>
      </c>
      <c r="I94" s="247" t="str">
        <f ca="1">IF(C94="","",IF($I$11="毛利率",([1]!S_STM07_IS(D94,9,$G$5,$H$13)-[1]!S_STM07_IS(D94,10,$G$5,$H$13))/[1]!S_STM07_IS(D94,9,$G$5,$H$13),[1]!S_STM07_IS(D94,14,$G$5,$H$13)/$E$5))</f>
        <v/>
      </c>
      <c r="J94" s="247" t="str">
        <f ca="1">IF(C94="","",IF($J$11="营业利润率",[1]!S_STM07_IS(D94,48,$G$5,$H$13)/[1]!S_STM07_IS(D94,9,$G$5,$H$13),([1]!S_STM07_CS(D94,87,$G$5,$H$13)+[1]!S_STM07_CS(D94,88,$G$5,$H$13)+[1]!S_STM07_CS(D94,89,$G$5,$H$13))/$E$5))</f>
        <v/>
      </c>
      <c r="K94" s="247" t="str">
        <f ca="1">IF(C94="","",IF($K$11="净利润率",[1]!S_STM07_IS(D94,61,$G$5,$H$13)/[1]!S_STM07_IS(D94,9,$G$5,$H$13),[1]!S_STM07_IS(D94,55,$G$5,$H$13)/$E$5))</f>
        <v/>
      </c>
      <c r="L94" s="247" t="str">
        <f ca="1">IF(C94="","",IF($L$11="ROA",[1]!S_STM07_IS(D94,61,$G$5,$H$13)/[1]!S_STM07_BS(D94,74,$G$5,$H$13),1-[1]!S_STM07_IS(D94,61,$G$5,$H$13)/[1]!S_STM07_IS(D94,55,$G$5,$H$13)))</f>
        <v/>
      </c>
      <c r="M94" s="247" t="str">
        <f ca="1">IF(C94="","",IF($M$11="ROE",[1]!S_STM07_IS(D94,61,$G$5,$H$13)/[1]!S_STM07_BS(D94,141,$G$5,$H$13),([1]!S_STM07_BS(D94,25,$G$5,$H$13)-[1]!S_STM07_BS(D94,93,$G$5,$H$13))/$E$5))</f>
        <v/>
      </c>
      <c r="N94" s="247" t="str">
        <f ca="1">IF(C94="","",IF($N$11="EPS",[1]!S_STM07_IS(D94,61,$G$5,$H$13)/IF([1]!S_SHARE_TOTAL(D94,$G$5)=0,[1]!S_SHARE_TOTAL(D94,[1]!s_ipo_listeddate(D94)),[1]!S_SHARE_TOTAL(D94,$G$5)),([1]!S_STM07_BS(D94,75,$G$5,$H$13)+[1]!S_STM07_BS(D94,88,$G$5,$H$13)+[1]!S_STM07_BS(D94,94,$G$5,$H$13)+[1]!S_STM07_BS(D94,95,$G$5,$H$13))/$E$5))</f>
        <v/>
      </c>
      <c r="O94" s="247" t="str">
        <f ca="1">IF(C94="","",IF($O$11="BPS",[1]!S_STM07_BS(D94,141,$G$5,$H$13)/IF([1]!S_SHARE_TOTAL(D94,$G$5)=0,[1]!S_SHARE_TOTAL(D94,[1]!s_ipo_listeddate(D94)),[1]!S_SHARE_TOTAL(D94,$G$5)),[1]!S_STM07_CS(D94,49,$G$5,$H$13)/$E$5))</f>
        <v/>
      </c>
      <c r="P94" s="247" t="str">
        <f ca="1">IF(C94="","",IF($P$11="CFPS",[1]!S_STM07_CS(D94,84,$G$5,$H$13)/IF([1]!S_SHARE_TOTAL(D94,$G$5)=0,[1]!S_SHARE_TOTAL(D94,[1]!s_ipo_listeddate(D94)),[1]!S_SHARE_TOTAL(D94,$G$5)),[1]!S_STM07_CS(D94,84,$G$5,$H$13)/$E$5))</f>
        <v/>
      </c>
      <c r="Q94" s="248" t="str">
        <f ca="1">IF(C94="","",F94/([1]!S_STM07_IS(D94,61,$G$5,$H$13)/IF([1]!S_SHARE_TOTAL(D94,$G$5)=0,[1]!S_SHARE_TOTAL(D94,[1]!s_ipo_listeddate(D94)),[1]!S_SHARE_TOTAL(D94,$G$5))))</f>
        <v/>
      </c>
      <c r="R94" s="248" t="str">
        <f ca="1">IF(C94="","",F94/([1]!S_STM07_BS(D94,141,$G$5,$H$13)/IF([1]!S_SHARE_TOTAL(D94,$G$5)=0,[1]!S_SHARE_TOTAL(D94,[1]!s_ipo_listeddate(D94)),[1]!S_SHARE_TOTAL(D94,$G$5))))</f>
        <v/>
      </c>
      <c r="S94" s="247" t="str">
        <f ca="1">IF(C94="","",[1]!S_SHARE_TOTAL(D94,TODAY())/$E$5)</f>
        <v/>
      </c>
      <c r="T94" s="247" t="str">
        <f t="shared" ca="1" si="13"/>
        <v/>
      </c>
      <c r="U94" s="218" t="str">
        <f t="shared" ca="1" si="14"/>
        <v/>
      </c>
      <c r="V94" s="342" t="str">
        <f t="shared" ca="1" si="15"/>
        <v/>
      </c>
      <c r="W94" s="139"/>
      <c r="Y94" s="1"/>
    </row>
    <row r="95" spans="3:25" ht="12" customHeight="1">
      <c r="C95" s="343" t="str">
        <f t="shared" ca="1" si="16"/>
        <v/>
      </c>
      <c r="D95" s="124" t="str">
        <f t="shared" ca="1" si="11"/>
        <v/>
      </c>
      <c r="E95" s="124" t="str">
        <f t="shared" ca="1" si="12"/>
        <v/>
      </c>
      <c r="F95" s="172" t="str">
        <f ca="1">IF(C95="","",[1]!S_DQ_CLOSE(D95,TODAY(),1))</f>
        <v/>
      </c>
      <c r="G95" s="173" t="str">
        <f ca="1">IF(C95="","",[1]!s_pq_pctchange(D95,TODAY()-$G$12,TODAY())/100)</f>
        <v/>
      </c>
      <c r="H95" s="249" t="str">
        <f ca="1">IF(C95="","",IF($H$11="收入",[1]!S_STM07_IS(D95,9,$G$5,$H$13)/$E$5,[1]!S_STM07_IS(D95,48,$G$5,$H$13)/$E$5))</f>
        <v/>
      </c>
      <c r="I95" s="249" t="str">
        <f ca="1">IF(C95="","",IF($I$11="毛利率",([1]!S_STM07_IS(D95,9,$G$5,$H$13)-[1]!S_STM07_IS(D95,10,$G$5,$H$13))/[1]!S_STM07_IS(D95,9,$G$5,$H$13),[1]!S_STM07_IS(D95,14,$G$5,$H$13)/$E$5))</f>
        <v/>
      </c>
      <c r="J95" s="249" t="str">
        <f ca="1">IF(C95="","",IF($J$11="营业利润率",[1]!S_STM07_IS(D95,48,$G$5,$H$13)/[1]!S_STM07_IS(D95,9,$G$5,$H$13),([1]!S_STM07_CS(D95,87,$G$5,$H$13)+[1]!S_STM07_CS(D95,88,$G$5,$H$13)+[1]!S_STM07_CS(D95,89,$G$5,$H$13))/$E$5))</f>
        <v/>
      </c>
      <c r="K95" s="249" t="str">
        <f ca="1">IF(C95="","",IF($K$11="净利润率",[1]!S_STM07_IS(D95,61,$G$5,$H$13)/[1]!S_STM07_IS(D95,9,$G$5,$H$13),[1]!S_STM07_IS(D95,55,$G$5,$H$13)/$E$5))</f>
        <v/>
      </c>
      <c r="L95" s="249" t="str">
        <f ca="1">IF(C95="","",IF($L$11="ROA",[1]!S_STM07_IS(D95,61,$G$5,$H$13)/[1]!S_STM07_BS(D95,74,$G$5,$H$13),1-[1]!S_STM07_IS(D95,61,$G$5,$H$13)/[1]!S_STM07_IS(D95,55,$G$5,$H$13)))</f>
        <v/>
      </c>
      <c r="M95" s="249" t="str">
        <f ca="1">IF(C95="","",IF($M$11="ROE",[1]!S_STM07_IS(D95,61,$G$5,$H$13)/[1]!S_STM07_BS(D95,141,$G$5,$H$13),([1]!S_STM07_BS(D95,25,$G$5,$H$13)-[1]!S_STM07_BS(D95,93,$G$5,$H$13))/$E$5))</f>
        <v/>
      </c>
      <c r="N95" s="250" t="str">
        <f ca="1">IF(C95="","",IF($N$11="EPS",[1]!S_STM07_IS(D95,61,$G$5,$H$13)/IF([1]!S_SHARE_TOTAL(D95,$G$5)=0,[1]!S_SHARE_TOTAL(D95,[1]!s_ipo_listeddate(D95)),[1]!S_SHARE_TOTAL(D95,$G$5)),([1]!S_STM07_BS(D95,75,$G$5,$H$13)+[1]!S_STM07_BS(D95,88,$G$5,$H$13)+[1]!S_STM07_BS(D95,94,$G$5,$H$13)+[1]!S_STM07_BS(D95,95,$G$5,$H$13))/$E$5))</f>
        <v/>
      </c>
      <c r="O95" s="250" t="str">
        <f ca="1">IF(C95="","",IF($O$11="BPS",[1]!S_STM07_BS(D95,141,$G$5,$H$13)/IF([1]!S_SHARE_TOTAL(D95,$G$5)=0,[1]!S_SHARE_TOTAL(D95,[1]!s_ipo_listeddate(D95)),[1]!S_SHARE_TOTAL(D95,$G$5)),[1]!S_STM07_CS(D95,49,$G$5,$H$13)/$E$5))</f>
        <v/>
      </c>
      <c r="P95" s="250" t="str">
        <f ca="1">IF(C95="","",IF($P$11="CFPS",[1]!S_STM07_CS(D95,84,$G$5,$H$13)/IF([1]!S_SHARE_TOTAL(D95,$G$5)=0,[1]!S_SHARE_TOTAL(D95,[1]!s_ipo_listeddate(D95)),[1]!S_SHARE_TOTAL(D95,$G$5)),[1]!S_STM07_CS(D95,84,$G$5,$H$13)/$E$5))</f>
        <v/>
      </c>
      <c r="Q95" s="198" t="str">
        <f ca="1">IF(C95="","",F95/([1]!S_STM07_IS(D95,61,$G$5,$H$13)/IF([1]!S_SHARE_TOTAL(D95,$G$5)=0,[1]!S_SHARE_TOTAL(D95,[1]!s_ipo_listeddate(D95)),[1]!S_SHARE_TOTAL(D95,$G$5))))</f>
        <v/>
      </c>
      <c r="R95" s="198" t="str">
        <f ca="1">IF(C95="","",F95/([1]!S_STM07_BS(D95,141,$G$5,$H$13)/IF([1]!S_SHARE_TOTAL(D95,$G$5)=0,[1]!S_SHARE_TOTAL(D95,[1]!s_ipo_listeddate(D95)),[1]!S_SHARE_TOTAL(D95,$G$5))))</f>
        <v/>
      </c>
      <c r="S95" s="249" t="str">
        <f ca="1">IF(C95="","",[1]!S_SHARE_TOTAL(D95,TODAY())/$E$5)</f>
        <v/>
      </c>
      <c r="T95" s="249" t="str">
        <f t="shared" ca="1" si="13"/>
        <v/>
      </c>
      <c r="U95" s="172" t="str">
        <f t="shared" ca="1" si="14"/>
        <v/>
      </c>
      <c r="V95" s="343" t="str">
        <f t="shared" ca="1" si="15"/>
        <v/>
      </c>
      <c r="W95" s="139"/>
      <c r="Y95" s="1"/>
    </row>
    <row r="96" spans="3:25" ht="12" customHeight="1">
      <c r="C96" s="342" t="str">
        <f t="shared" ca="1" si="16"/>
        <v/>
      </c>
      <c r="D96" s="153" t="str">
        <f t="shared" ca="1" si="11"/>
        <v/>
      </c>
      <c r="E96" s="153" t="str">
        <f t="shared" ca="1" si="12"/>
        <v/>
      </c>
      <c r="F96" s="170" t="str">
        <f ca="1">IF(C96="","",[1]!S_DQ_CLOSE(D96,TODAY(),1))</f>
        <v/>
      </c>
      <c r="G96" s="171" t="str">
        <f ca="1">IF(C96="","",[1]!s_pq_pctchange(D96,TODAY()-$G$12,TODAY())/100)</f>
        <v/>
      </c>
      <c r="H96" s="247" t="str">
        <f ca="1">IF(C96="","",IF($H$11="收入",[1]!S_STM07_IS(D96,9,$G$5,$H$13)/$E$5,[1]!S_STM07_IS(D96,48,$G$5,$H$13)/$E$5))</f>
        <v/>
      </c>
      <c r="I96" s="247" t="str">
        <f ca="1">IF(C96="","",IF($I$11="毛利率",([1]!S_STM07_IS(D96,9,$G$5,$H$13)-[1]!S_STM07_IS(D96,10,$G$5,$H$13))/[1]!S_STM07_IS(D96,9,$G$5,$H$13),[1]!S_STM07_IS(D96,14,$G$5,$H$13)/$E$5))</f>
        <v/>
      </c>
      <c r="J96" s="247" t="str">
        <f ca="1">IF(C96="","",IF($J$11="营业利润率",[1]!S_STM07_IS(D96,48,$G$5,$H$13)/[1]!S_STM07_IS(D96,9,$G$5,$H$13),([1]!S_STM07_CS(D96,87,$G$5,$H$13)+[1]!S_STM07_CS(D96,88,$G$5,$H$13)+[1]!S_STM07_CS(D96,89,$G$5,$H$13))/$E$5))</f>
        <v/>
      </c>
      <c r="K96" s="247" t="str">
        <f ca="1">IF(C96="","",IF($K$11="净利润率",[1]!S_STM07_IS(D96,61,$G$5,$H$13)/[1]!S_STM07_IS(D96,9,$G$5,$H$13),[1]!S_STM07_IS(D96,55,$G$5,$H$13)/$E$5))</f>
        <v/>
      </c>
      <c r="L96" s="247" t="str">
        <f ca="1">IF(C96="","",IF($L$11="ROA",[1]!S_STM07_IS(D96,61,$G$5,$H$13)/[1]!S_STM07_BS(D96,74,$G$5,$H$13),1-[1]!S_STM07_IS(D96,61,$G$5,$H$13)/[1]!S_STM07_IS(D96,55,$G$5,$H$13)))</f>
        <v/>
      </c>
      <c r="M96" s="247" t="str">
        <f ca="1">IF(C96="","",IF($M$11="ROE",[1]!S_STM07_IS(D96,61,$G$5,$H$13)/[1]!S_STM07_BS(D96,141,$G$5,$H$13),([1]!S_STM07_BS(D96,25,$G$5,$H$13)-[1]!S_STM07_BS(D96,93,$G$5,$H$13))/$E$5))</f>
        <v/>
      </c>
      <c r="N96" s="247" t="str">
        <f ca="1">IF(C96="","",IF($N$11="EPS",[1]!S_STM07_IS(D96,61,$G$5,$H$13)/IF([1]!S_SHARE_TOTAL(D96,$G$5)=0,[1]!S_SHARE_TOTAL(D96,[1]!s_ipo_listeddate(D96)),[1]!S_SHARE_TOTAL(D96,$G$5)),([1]!S_STM07_BS(D96,75,$G$5,$H$13)+[1]!S_STM07_BS(D96,88,$G$5,$H$13)+[1]!S_STM07_BS(D96,94,$G$5,$H$13)+[1]!S_STM07_BS(D96,95,$G$5,$H$13))/$E$5))</f>
        <v/>
      </c>
      <c r="O96" s="247" t="str">
        <f ca="1">IF(C96="","",IF($O$11="BPS",[1]!S_STM07_BS(D96,141,$G$5,$H$13)/IF([1]!S_SHARE_TOTAL(D96,$G$5)=0,[1]!S_SHARE_TOTAL(D96,[1]!s_ipo_listeddate(D96)),[1]!S_SHARE_TOTAL(D96,$G$5)),[1]!S_STM07_CS(D96,49,$G$5,$H$13)/$E$5))</f>
        <v/>
      </c>
      <c r="P96" s="247" t="str">
        <f ca="1">IF(C96="","",IF($P$11="CFPS",[1]!S_STM07_CS(D96,84,$G$5,$H$13)/IF([1]!S_SHARE_TOTAL(D96,$G$5)=0,[1]!S_SHARE_TOTAL(D96,[1]!s_ipo_listeddate(D96)),[1]!S_SHARE_TOTAL(D96,$G$5)),[1]!S_STM07_CS(D96,84,$G$5,$H$13)/$E$5))</f>
        <v/>
      </c>
      <c r="Q96" s="248" t="str">
        <f ca="1">IF(C96="","",F96/([1]!S_STM07_IS(D96,61,$G$5,$H$13)/IF([1]!S_SHARE_TOTAL(D96,$G$5)=0,[1]!S_SHARE_TOTAL(D96,[1]!s_ipo_listeddate(D96)),[1]!S_SHARE_TOTAL(D96,$G$5))))</f>
        <v/>
      </c>
      <c r="R96" s="248" t="str">
        <f ca="1">IF(C96="","",F96/([1]!S_STM07_BS(D96,141,$G$5,$H$13)/IF([1]!S_SHARE_TOTAL(D96,$G$5)=0,[1]!S_SHARE_TOTAL(D96,[1]!s_ipo_listeddate(D96)),[1]!S_SHARE_TOTAL(D96,$G$5))))</f>
        <v/>
      </c>
      <c r="S96" s="247" t="str">
        <f ca="1">IF(C96="","",[1]!S_SHARE_TOTAL(D96,TODAY())/$E$5)</f>
        <v/>
      </c>
      <c r="T96" s="247" t="str">
        <f t="shared" ca="1" si="13"/>
        <v/>
      </c>
      <c r="U96" s="218" t="str">
        <f t="shared" ca="1" si="14"/>
        <v/>
      </c>
      <c r="V96" s="342" t="str">
        <f t="shared" ca="1" si="15"/>
        <v/>
      </c>
      <c r="W96" s="139"/>
      <c r="Y96" s="1"/>
    </row>
    <row r="97" spans="3:25" ht="12" customHeight="1">
      <c r="C97" s="343" t="str">
        <f t="shared" ca="1" si="16"/>
        <v/>
      </c>
      <c r="D97" s="124" t="str">
        <f t="shared" ca="1" si="11"/>
        <v/>
      </c>
      <c r="E97" s="124" t="str">
        <f t="shared" ca="1" si="12"/>
        <v/>
      </c>
      <c r="F97" s="172" t="str">
        <f ca="1">IF(C97="","",[1]!S_DQ_CLOSE(D97,TODAY(),1))</f>
        <v/>
      </c>
      <c r="G97" s="173" t="str">
        <f ca="1">IF(C97="","",[1]!s_pq_pctchange(D97,TODAY()-$G$12,TODAY())/100)</f>
        <v/>
      </c>
      <c r="H97" s="249" t="str">
        <f ca="1">IF(C97="","",IF($H$11="收入",[1]!S_STM07_IS(D97,9,$G$5,$H$13)/$E$5,[1]!S_STM07_IS(D97,48,$G$5,$H$13)/$E$5))</f>
        <v/>
      </c>
      <c r="I97" s="249" t="str">
        <f ca="1">IF(C97="","",IF($I$11="毛利率",([1]!S_STM07_IS(D97,9,$G$5,$H$13)-[1]!S_STM07_IS(D97,10,$G$5,$H$13))/[1]!S_STM07_IS(D97,9,$G$5,$H$13),[1]!S_STM07_IS(D97,14,$G$5,$H$13)/$E$5))</f>
        <v/>
      </c>
      <c r="J97" s="249" t="str">
        <f ca="1">IF(C97="","",IF($J$11="营业利润率",[1]!S_STM07_IS(D97,48,$G$5,$H$13)/[1]!S_STM07_IS(D97,9,$G$5,$H$13),([1]!S_STM07_CS(D97,87,$G$5,$H$13)+[1]!S_STM07_CS(D97,88,$G$5,$H$13)+[1]!S_STM07_CS(D97,89,$G$5,$H$13))/$E$5))</f>
        <v/>
      </c>
      <c r="K97" s="249" t="str">
        <f ca="1">IF(C97="","",IF($K$11="净利润率",[1]!S_STM07_IS(D97,61,$G$5,$H$13)/[1]!S_STM07_IS(D97,9,$G$5,$H$13),[1]!S_STM07_IS(D97,55,$G$5,$H$13)/$E$5))</f>
        <v/>
      </c>
      <c r="L97" s="249" t="str">
        <f ca="1">IF(C97="","",IF($L$11="ROA",[1]!S_STM07_IS(D97,61,$G$5,$H$13)/[1]!S_STM07_BS(D97,74,$G$5,$H$13),1-[1]!S_STM07_IS(D97,61,$G$5,$H$13)/[1]!S_STM07_IS(D97,55,$G$5,$H$13)))</f>
        <v/>
      </c>
      <c r="M97" s="249" t="str">
        <f ca="1">IF(C97="","",IF($M$11="ROE",[1]!S_STM07_IS(D97,61,$G$5,$H$13)/[1]!S_STM07_BS(D97,141,$G$5,$H$13),([1]!S_STM07_BS(D97,25,$G$5,$H$13)-[1]!S_STM07_BS(D97,93,$G$5,$H$13))/$E$5))</f>
        <v/>
      </c>
      <c r="N97" s="250" t="str">
        <f ca="1">IF(C97="","",IF($N$11="EPS",[1]!S_STM07_IS(D97,61,$G$5,$H$13)/IF([1]!S_SHARE_TOTAL(D97,$G$5)=0,[1]!S_SHARE_TOTAL(D97,[1]!s_ipo_listeddate(D97)),[1]!S_SHARE_TOTAL(D97,$G$5)),([1]!S_STM07_BS(D97,75,$G$5,$H$13)+[1]!S_STM07_BS(D97,88,$G$5,$H$13)+[1]!S_STM07_BS(D97,94,$G$5,$H$13)+[1]!S_STM07_BS(D97,95,$G$5,$H$13))/$E$5))</f>
        <v/>
      </c>
      <c r="O97" s="250" t="str">
        <f ca="1">IF(C97="","",IF($O$11="BPS",[1]!S_STM07_BS(D97,141,$G$5,$H$13)/IF([1]!S_SHARE_TOTAL(D97,$G$5)=0,[1]!S_SHARE_TOTAL(D97,[1]!s_ipo_listeddate(D97)),[1]!S_SHARE_TOTAL(D97,$G$5)),[1]!S_STM07_CS(D97,49,$G$5,$H$13)/$E$5))</f>
        <v/>
      </c>
      <c r="P97" s="250" t="str">
        <f ca="1">IF(C97="","",IF($P$11="CFPS",[1]!S_STM07_CS(D97,84,$G$5,$H$13)/IF([1]!S_SHARE_TOTAL(D97,$G$5)=0,[1]!S_SHARE_TOTAL(D97,[1]!s_ipo_listeddate(D97)),[1]!S_SHARE_TOTAL(D97,$G$5)),[1]!S_STM07_CS(D97,84,$G$5,$H$13)/$E$5))</f>
        <v/>
      </c>
      <c r="Q97" s="198" t="str">
        <f ca="1">IF(C97="","",F97/([1]!S_STM07_IS(D97,61,$G$5,$H$13)/IF([1]!S_SHARE_TOTAL(D97,$G$5)=0,[1]!S_SHARE_TOTAL(D97,[1]!s_ipo_listeddate(D97)),[1]!S_SHARE_TOTAL(D97,$G$5))))</f>
        <v/>
      </c>
      <c r="R97" s="198" t="str">
        <f ca="1">IF(C97="","",F97/([1]!S_STM07_BS(D97,141,$G$5,$H$13)/IF([1]!S_SHARE_TOTAL(D97,$G$5)=0,[1]!S_SHARE_TOTAL(D97,[1]!s_ipo_listeddate(D97)),[1]!S_SHARE_TOTAL(D97,$G$5))))</f>
        <v/>
      </c>
      <c r="S97" s="249" t="str">
        <f ca="1">IF(C97="","",[1]!S_SHARE_TOTAL(D97,TODAY())/$E$5)</f>
        <v/>
      </c>
      <c r="T97" s="249" t="str">
        <f t="shared" ca="1" si="13"/>
        <v/>
      </c>
      <c r="U97" s="172" t="str">
        <f t="shared" ca="1" si="14"/>
        <v/>
      </c>
      <c r="V97" s="343" t="str">
        <f t="shared" ca="1" si="15"/>
        <v/>
      </c>
      <c r="W97" s="139"/>
      <c r="Y97" s="1"/>
    </row>
    <row r="98" spans="3:25" ht="12" customHeight="1">
      <c r="C98" s="342" t="str">
        <f t="shared" ca="1" si="16"/>
        <v/>
      </c>
      <c r="D98" s="153" t="str">
        <f t="shared" ca="1" si="11"/>
        <v/>
      </c>
      <c r="E98" s="153" t="str">
        <f t="shared" ca="1" si="12"/>
        <v/>
      </c>
      <c r="F98" s="170" t="str">
        <f ca="1">IF(C98="","",[1]!S_DQ_CLOSE(D98,TODAY(),1))</f>
        <v/>
      </c>
      <c r="G98" s="171" t="str">
        <f ca="1">IF(C98="","",[1]!s_pq_pctchange(D98,TODAY()-$G$12,TODAY())/100)</f>
        <v/>
      </c>
      <c r="H98" s="247" t="str">
        <f ca="1">IF(C98="","",IF($H$11="收入",[1]!S_STM07_IS(D98,9,$G$5,$H$13)/$E$5,[1]!S_STM07_IS(D98,48,$G$5,$H$13)/$E$5))</f>
        <v/>
      </c>
      <c r="I98" s="247" t="str">
        <f ca="1">IF(C98="","",IF($I$11="毛利率",([1]!S_STM07_IS(D98,9,$G$5,$H$13)-[1]!S_STM07_IS(D98,10,$G$5,$H$13))/[1]!S_STM07_IS(D98,9,$G$5,$H$13),[1]!S_STM07_IS(D98,14,$G$5,$H$13)/$E$5))</f>
        <v/>
      </c>
      <c r="J98" s="247" t="str">
        <f ca="1">IF(C98="","",IF($J$11="营业利润率",[1]!S_STM07_IS(D98,48,$G$5,$H$13)/[1]!S_STM07_IS(D98,9,$G$5,$H$13),([1]!S_STM07_CS(D98,87,$G$5,$H$13)+[1]!S_STM07_CS(D98,88,$G$5,$H$13)+[1]!S_STM07_CS(D98,89,$G$5,$H$13))/$E$5))</f>
        <v/>
      </c>
      <c r="K98" s="247" t="str">
        <f ca="1">IF(C98="","",IF($K$11="净利润率",[1]!S_STM07_IS(D98,61,$G$5,$H$13)/[1]!S_STM07_IS(D98,9,$G$5,$H$13),[1]!S_STM07_IS(D98,55,$G$5,$H$13)/$E$5))</f>
        <v/>
      </c>
      <c r="L98" s="247" t="str">
        <f ca="1">IF(C98="","",IF($L$11="ROA",[1]!S_STM07_IS(D98,61,$G$5,$H$13)/[1]!S_STM07_BS(D98,74,$G$5,$H$13),1-[1]!S_STM07_IS(D98,61,$G$5,$H$13)/[1]!S_STM07_IS(D98,55,$G$5,$H$13)))</f>
        <v/>
      </c>
      <c r="M98" s="247" t="str">
        <f ca="1">IF(C98="","",IF($M$11="ROE",[1]!S_STM07_IS(D98,61,$G$5,$H$13)/[1]!S_STM07_BS(D98,141,$G$5,$H$13),([1]!S_STM07_BS(D98,25,$G$5,$H$13)-[1]!S_STM07_BS(D98,93,$G$5,$H$13))/$E$5))</f>
        <v/>
      </c>
      <c r="N98" s="247" t="str">
        <f ca="1">IF(C98="","",IF($N$11="EPS",[1]!S_STM07_IS(D98,61,$G$5,$H$13)/IF([1]!S_SHARE_TOTAL(D98,$G$5)=0,[1]!S_SHARE_TOTAL(D98,[1]!s_ipo_listeddate(D98)),[1]!S_SHARE_TOTAL(D98,$G$5)),([1]!S_STM07_BS(D98,75,$G$5,$H$13)+[1]!S_STM07_BS(D98,88,$G$5,$H$13)+[1]!S_STM07_BS(D98,94,$G$5,$H$13)+[1]!S_STM07_BS(D98,95,$G$5,$H$13))/$E$5))</f>
        <v/>
      </c>
      <c r="O98" s="247" t="str">
        <f ca="1">IF(C98="","",IF($O$11="BPS",[1]!S_STM07_BS(D98,141,$G$5,$H$13)/IF([1]!S_SHARE_TOTAL(D98,$G$5)=0,[1]!S_SHARE_TOTAL(D98,[1]!s_ipo_listeddate(D98)),[1]!S_SHARE_TOTAL(D98,$G$5)),[1]!S_STM07_CS(D98,49,$G$5,$H$13)/$E$5))</f>
        <v/>
      </c>
      <c r="P98" s="247" t="str">
        <f ca="1">IF(C98="","",IF($P$11="CFPS",[1]!S_STM07_CS(D98,84,$G$5,$H$13)/IF([1]!S_SHARE_TOTAL(D98,$G$5)=0,[1]!S_SHARE_TOTAL(D98,[1]!s_ipo_listeddate(D98)),[1]!S_SHARE_TOTAL(D98,$G$5)),[1]!S_STM07_CS(D98,84,$G$5,$H$13)/$E$5))</f>
        <v/>
      </c>
      <c r="Q98" s="248" t="str">
        <f ca="1">IF(C98="","",F98/([1]!S_STM07_IS(D98,61,$G$5,$H$13)/IF([1]!S_SHARE_TOTAL(D98,$G$5)=0,[1]!S_SHARE_TOTAL(D98,[1]!s_ipo_listeddate(D98)),[1]!S_SHARE_TOTAL(D98,$G$5))))</f>
        <v/>
      </c>
      <c r="R98" s="248" t="str">
        <f ca="1">IF(C98="","",F98/([1]!S_STM07_BS(D98,141,$G$5,$H$13)/IF([1]!S_SHARE_TOTAL(D98,$G$5)=0,[1]!S_SHARE_TOTAL(D98,[1]!s_ipo_listeddate(D98)),[1]!S_SHARE_TOTAL(D98,$G$5))))</f>
        <v/>
      </c>
      <c r="S98" s="247" t="str">
        <f ca="1">IF(C98="","",[1]!S_SHARE_TOTAL(D98,TODAY())/$E$5)</f>
        <v/>
      </c>
      <c r="T98" s="247" t="str">
        <f t="shared" ca="1" si="13"/>
        <v/>
      </c>
      <c r="U98" s="218" t="str">
        <f t="shared" ca="1" si="14"/>
        <v/>
      </c>
      <c r="V98" s="342" t="str">
        <f t="shared" ca="1" si="15"/>
        <v/>
      </c>
      <c r="W98" s="139"/>
      <c r="Y98" s="1"/>
    </row>
    <row r="99" spans="3:25" ht="12" customHeight="1">
      <c r="C99" s="343" t="str">
        <f t="shared" ca="1" si="16"/>
        <v/>
      </c>
      <c r="D99" s="124" t="str">
        <f t="shared" ca="1" si="11"/>
        <v/>
      </c>
      <c r="E99" s="124" t="str">
        <f t="shared" ca="1" si="12"/>
        <v/>
      </c>
      <c r="F99" s="172" t="str">
        <f ca="1">IF(C99="","",[1]!S_DQ_CLOSE(D99,TODAY(),1))</f>
        <v/>
      </c>
      <c r="G99" s="173" t="str">
        <f ca="1">IF(C99="","",[1]!s_pq_pctchange(D99,TODAY()-$G$12,TODAY())/100)</f>
        <v/>
      </c>
      <c r="H99" s="249" t="str">
        <f ca="1">IF(C99="","",IF($H$11="收入",[1]!S_STM07_IS(D99,9,$G$5,$H$13)/$E$5,[1]!S_STM07_IS(D99,48,$G$5,$H$13)/$E$5))</f>
        <v/>
      </c>
      <c r="I99" s="249" t="str">
        <f ca="1">IF(C99="","",IF($I$11="毛利率",([1]!S_STM07_IS(D99,9,$G$5,$H$13)-[1]!S_STM07_IS(D99,10,$G$5,$H$13))/[1]!S_STM07_IS(D99,9,$G$5,$H$13),[1]!S_STM07_IS(D99,14,$G$5,$H$13)/$E$5))</f>
        <v/>
      </c>
      <c r="J99" s="249" t="str">
        <f ca="1">IF(C99="","",IF($J$11="营业利润率",[1]!S_STM07_IS(D99,48,$G$5,$H$13)/[1]!S_STM07_IS(D99,9,$G$5,$H$13),([1]!S_STM07_CS(D99,87,$G$5,$H$13)+[1]!S_STM07_CS(D99,88,$G$5,$H$13)+[1]!S_STM07_CS(D99,89,$G$5,$H$13))/$E$5))</f>
        <v/>
      </c>
      <c r="K99" s="249" t="str">
        <f ca="1">IF(C99="","",IF($K$11="净利润率",[1]!S_STM07_IS(D99,61,$G$5,$H$13)/[1]!S_STM07_IS(D99,9,$G$5,$H$13),[1]!S_STM07_IS(D99,55,$G$5,$H$13)/$E$5))</f>
        <v/>
      </c>
      <c r="L99" s="249" t="str">
        <f ca="1">IF(C99="","",IF($L$11="ROA",[1]!S_STM07_IS(D99,61,$G$5,$H$13)/[1]!S_STM07_BS(D99,74,$G$5,$H$13),1-[1]!S_STM07_IS(D99,61,$G$5,$H$13)/[1]!S_STM07_IS(D99,55,$G$5,$H$13)))</f>
        <v/>
      </c>
      <c r="M99" s="249" t="str">
        <f ca="1">IF(C99="","",IF($M$11="ROE",[1]!S_STM07_IS(D99,61,$G$5,$H$13)/[1]!S_STM07_BS(D99,141,$G$5,$H$13),([1]!S_STM07_BS(D99,25,$G$5,$H$13)-[1]!S_STM07_BS(D99,93,$G$5,$H$13))/$E$5))</f>
        <v/>
      </c>
      <c r="N99" s="250" t="str">
        <f ca="1">IF(C99="","",IF($N$11="EPS",[1]!S_STM07_IS(D99,61,$G$5,$H$13)/IF([1]!S_SHARE_TOTAL(D99,$G$5)=0,[1]!S_SHARE_TOTAL(D99,[1]!s_ipo_listeddate(D99)),[1]!S_SHARE_TOTAL(D99,$G$5)),([1]!S_STM07_BS(D99,75,$G$5,$H$13)+[1]!S_STM07_BS(D99,88,$G$5,$H$13)+[1]!S_STM07_BS(D99,94,$G$5,$H$13)+[1]!S_STM07_BS(D99,95,$G$5,$H$13))/$E$5))</f>
        <v/>
      </c>
      <c r="O99" s="250" t="str">
        <f ca="1">IF(C99="","",IF($O$11="BPS",[1]!S_STM07_BS(D99,141,$G$5,$H$13)/IF([1]!S_SHARE_TOTAL(D99,$G$5)=0,[1]!S_SHARE_TOTAL(D99,[1]!s_ipo_listeddate(D99)),[1]!S_SHARE_TOTAL(D99,$G$5)),[1]!S_STM07_CS(D99,49,$G$5,$H$13)/$E$5))</f>
        <v/>
      </c>
      <c r="P99" s="250" t="str">
        <f ca="1">IF(C99="","",IF($P$11="CFPS",[1]!S_STM07_CS(D99,84,$G$5,$H$13)/IF([1]!S_SHARE_TOTAL(D99,$G$5)=0,[1]!S_SHARE_TOTAL(D99,[1]!s_ipo_listeddate(D99)),[1]!S_SHARE_TOTAL(D99,$G$5)),[1]!S_STM07_CS(D99,84,$G$5,$H$13)/$E$5))</f>
        <v/>
      </c>
      <c r="Q99" s="198" t="str">
        <f ca="1">IF(C99="","",F99/([1]!S_STM07_IS(D99,61,$G$5,$H$13)/IF([1]!S_SHARE_TOTAL(D99,$G$5)=0,[1]!S_SHARE_TOTAL(D99,[1]!s_ipo_listeddate(D99)),[1]!S_SHARE_TOTAL(D99,$G$5))))</f>
        <v/>
      </c>
      <c r="R99" s="198" t="str">
        <f ca="1">IF(C99="","",F99/([1]!S_STM07_BS(D99,141,$G$5,$H$13)/IF([1]!S_SHARE_TOTAL(D99,$G$5)=0,[1]!S_SHARE_TOTAL(D99,[1]!s_ipo_listeddate(D99)),[1]!S_SHARE_TOTAL(D99,$G$5))))</f>
        <v/>
      </c>
      <c r="S99" s="249" t="str">
        <f ca="1">IF(C99="","",[1]!S_SHARE_TOTAL(D99,TODAY())/$E$5)</f>
        <v/>
      </c>
      <c r="T99" s="249" t="str">
        <f t="shared" ca="1" si="13"/>
        <v/>
      </c>
      <c r="U99" s="172" t="str">
        <f t="shared" ca="1" si="14"/>
        <v/>
      </c>
      <c r="V99" s="343" t="str">
        <f t="shared" ca="1" si="15"/>
        <v/>
      </c>
      <c r="W99" s="139"/>
      <c r="Y99" s="1"/>
    </row>
    <row r="100" spans="3:25" ht="12" customHeight="1">
      <c r="C100" s="342" t="str">
        <f t="shared" ca="1" si="16"/>
        <v/>
      </c>
      <c r="D100" s="153" t="str">
        <f t="shared" ca="1" si="11"/>
        <v/>
      </c>
      <c r="E100" s="153" t="str">
        <f t="shared" ca="1" si="12"/>
        <v/>
      </c>
      <c r="F100" s="170" t="str">
        <f ca="1">IF(C100="","",[1]!S_DQ_CLOSE(D100,TODAY(),1))</f>
        <v/>
      </c>
      <c r="G100" s="171" t="str">
        <f ca="1">IF(C100="","",[1]!s_pq_pctchange(D100,TODAY()-$G$12,TODAY())/100)</f>
        <v/>
      </c>
      <c r="H100" s="247" t="str">
        <f ca="1">IF(C100="","",IF($H$11="收入",[1]!S_STM07_IS(D100,9,$G$5,$H$13)/$E$5,[1]!S_STM07_IS(D100,48,$G$5,$H$13)/$E$5))</f>
        <v/>
      </c>
      <c r="I100" s="247" t="str">
        <f ca="1">IF(C100="","",IF($I$11="毛利率",([1]!S_STM07_IS(D100,9,$G$5,$H$13)-[1]!S_STM07_IS(D100,10,$G$5,$H$13))/[1]!S_STM07_IS(D100,9,$G$5,$H$13),[1]!S_STM07_IS(D100,14,$G$5,$H$13)/$E$5))</f>
        <v/>
      </c>
      <c r="J100" s="247" t="str">
        <f ca="1">IF(C100="","",IF($J$11="营业利润率",[1]!S_STM07_IS(D100,48,$G$5,$H$13)/[1]!S_STM07_IS(D100,9,$G$5,$H$13),([1]!S_STM07_CS(D100,87,$G$5,$H$13)+[1]!S_STM07_CS(D100,88,$G$5,$H$13)+[1]!S_STM07_CS(D100,89,$G$5,$H$13))/$E$5))</f>
        <v/>
      </c>
      <c r="K100" s="247" t="str">
        <f ca="1">IF(C100="","",IF($K$11="净利润率",[1]!S_STM07_IS(D100,61,$G$5,$H$13)/[1]!S_STM07_IS(D100,9,$G$5,$H$13),[1]!S_STM07_IS(D100,55,$G$5,$H$13)/$E$5))</f>
        <v/>
      </c>
      <c r="L100" s="247" t="str">
        <f ca="1">IF(C100="","",IF($L$11="ROA",[1]!S_STM07_IS(D100,61,$G$5,$H$13)/[1]!S_STM07_BS(D100,74,$G$5,$H$13),1-[1]!S_STM07_IS(D100,61,$G$5,$H$13)/[1]!S_STM07_IS(D100,55,$G$5,$H$13)))</f>
        <v/>
      </c>
      <c r="M100" s="247" t="str">
        <f ca="1">IF(C100="","",IF($M$11="ROE",[1]!S_STM07_IS(D100,61,$G$5,$H$13)/[1]!S_STM07_BS(D100,141,$G$5,$H$13),([1]!S_STM07_BS(D100,25,$G$5,$H$13)-[1]!S_STM07_BS(D100,93,$G$5,$H$13))/$E$5))</f>
        <v/>
      </c>
      <c r="N100" s="247" t="str">
        <f ca="1">IF(C100="","",IF($N$11="EPS",[1]!S_STM07_IS(D100,61,$G$5,$H$13)/IF([1]!S_SHARE_TOTAL(D100,$G$5)=0,[1]!S_SHARE_TOTAL(D100,[1]!s_ipo_listeddate(D100)),[1]!S_SHARE_TOTAL(D100,$G$5)),([1]!S_STM07_BS(D100,75,$G$5,$H$13)+[1]!S_STM07_BS(D100,88,$G$5,$H$13)+[1]!S_STM07_BS(D100,94,$G$5,$H$13)+[1]!S_STM07_BS(D100,95,$G$5,$H$13))/$E$5))</f>
        <v/>
      </c>
      <c r="O100" s="247" t="str">
        <f ca="1">IF(C100="","",IF($O$11="BPS",[1]!S_STM07_BS(D100,141,$G$5,$H$13)/IF([1]!S_SHARE_TOTAL(D100,$G$5)=0,[1]!S_SHARE_TOTAL(D100,[1]!s_ipo_listeddate(D100)),[1]!S_SHARE_TOTAL(D100,$G$5)),[1]!S_STM07_CS(D100,49,$G$5,$H$13)/$E$5))</f>
        <v/>
      </c>
      <c r="P100" s="247" t="str">
        <f ca="1">IF(C100="","",IF($P$11="CFPS",[1]!S_STM07_CS(D100,84,$G$5,$H$13)/IF([1]!S_SHARE_TOTAL(D100,$G$5)=0,[1]!S_SHARE_TOTAL(D100,[1]!s_ipo_listeddate(D100)),[1]!S_SHARE_TOTAL(D100,$G$5)),[1]!S_STM07_CS(D100,84,$G$5,$H$13)/$E$5))</f>
        <v/>
      </c>
      <c r="Q100" s="248" t="str">
        <f ca="1">IF(C100="","",F100/([1]!S_STM07_IS(D100,61,$G$5,$H$13)/IF([1]!S_SHARE_TOTAL(D100,$G$5)=0,[1]!S_SHARE_TOTAL(D100,[1]!s_ipo_listeddate(D100)),[1]!S_SHARE_TOTAL(D100,$G$5))))</f>
        <v/>
      </c>
      <c r="R100" s="248" t="str">
        <f ca="1">IF(C100="","",F100/([1]!S_STM07_BS(D100,141,$G$5,$H$13)/IF([1]!S_SHARE_TOTAL(D100,$G$5)=0,[1]!S_SHARE_TOTAL(D100,[1]!s_ipo_listeddate(D100)),[1]!S_SHARE_TOTAL(D100,$G$5))))</f>
        <v/>
      </c>
      <c r="S100" s="247" t="str">
        <f ca="1">IF(C100="","",[1]!S_SHARE_TOTAL(D100,TODAY())/$E$5)</f>
        <v/>
      </c>
      <c r="T100" s="247" t="str">
        <f t="shared" ca="1" si="13"/>
        <v/>
      </c>
      <c r="U100" s="218" t="str">
        <f t="shared" ca="1" si="14"/>
        <v/>
      </c>
      <c r="V100" s="342" t="str">
        <f t="shared" ca="1" si="15"/>
        <v/>
      </c>
      <c r="W100" s="139"/>
      <c r="Y100" s="1"/>
    </row>
    <row r="101" spans="3:25" ht="12" customHeight="1">
      <c r="C101" s="343" t="str">
        <f t="shared" ca="1" si="16"/>
        <v/>
      </c>
      <c r="D101" s="124" t="str">
        <f t="shared" ca="1" si="11"/>
        <v/>
      </c>
      <c r="E101" s="124" t="str">
        <f t="shared" ca="1" si="12"/>
        <v/>
      </c>
      <c r="F101" s="172" t="str">
        <f ca="1">IF(C101="","",[1]!S_DQ_CLOSE(D101,TODAY(),1))</f>
        <v/>
      </c>
      <c r="G101" s="173" t="str">
        <f ca="1">IF(C101="","",[1]!s_pq_pctchange(D101,TODAY()-$G$12,TODAY())/100)</f>
        <v/>
      </c>
      <c r="H101" s="249" t="str">
        <f ca="1">IF(C101="","",IF($H$11="收入",[1]!S_STM07_IS(D101,9,$G$5,$H$13)/$E$5,[1]!S_STM07_IS(D101,48,$G$5,$H$13)/$E$5))</f>
        <v/>
      </c>
      <c r="I101" s="249" t="str">
        <f ca="1">IF(C101="","",IF($I$11="毛利率",([1]!S_STM07_IS(D101,9,$G$5,$H$13)-[1]!S_STM07_IS(D101,10,$G$5,$H$13))/[1]!S_STM07_IS(D101,9,$G$5,$H$13),[1]!S_STM07_IS(D101,14,$G$5,$H$13)/$E$5))</f>
        <v/>
      </c>
      <c r="J101" s="249" t="str">
        <f ca="1">IF(C101="","",IF($J$11="营业利润率",[1]!S_STM07_IS(D101,48,$G$5,$H$13)/[1]!S_STM07_IS(D101,9,$G$5,$H$13),([1]!S_STM07_CS(D101,87,$G$5,$H$13)+[1]!S_STM07_CS(D101,88,$G$5,$H$13)+[1]!S_STM07_CS(D101,89,$G$5,$H$13))/$E$5))</f>
        <v/>
      </c>
      <c r="K101" s="249" t="str">
        <f ca="1">IF(C101="","",IF($K$11="净利润率",[1]!S_STM07_IS(D101,61,$G$5,$H$13)/[1]!S_STM07_IS(D101,9,$G$5,$H$13),[1]!S_STM07_IS(D101,55,$G$5,$H$13)/$E$5))</f>
        <v/>
      </c>
      <c r="L101" s="249" t="str">
        <f ca="1">IF(C101="","",IF($L$11="ROA",[1]!S_STM07_IS(D101,61,$G$5,$H$13)/[1]!S_STM07_BS(D101,74,$G$5,$H$13),1-[1]!S_STM07_IS(D101,61,$G$5,$H$13)/[1]!S_STM07_IS(D101,55,$G$5,$H$13)))</f>
        <v/>
      </c>
      <c r="M101" s="249" t="str">
        <f ca="1">IF(C101="","",IF($M$11="ROE",[1]!S_STM07_IS(D101,61,$G$5,$H$13)/[1]!S_STM07_BS(D101,141,$G$5,$H$13),([1]!S_STM07_BS(D101,25,$G$5,$H$13)-[1]!S_STM07_BS(D101,93,$G$5,$H$13))/$E$5))</f>
        <v/>
      </c>
      <c r="N101" s="250" t="str">
        <f ca="1">IF(C101="","",IF($N$11="EPS",[1]!S_STM07_IS(D101,61,$G$5,$H$13)/IF([1]!S_SHARE_TOTAL(D101,$G$5)=0,[1]!S_SHARE_TOTAL(D101,[1]!s_ipo_listeddate(D101)),[1]!S_SHARE_TOTAL(D101,$G$5)),([1]!S_STM07_BS(D101,75,$G$5,$H$13)+[1]!S_STM07_BS(D101,88,$G$5,$H$13)+[1]!S_STM07_BS(D101,94,$G$5,$H$13)+[1]!S_STM07_BS(D101,95,$G$5,$H$13))/$E$5))</f>
        <v/>
      </c>
      <c r="O101" s="250" t="str">
        <f ca="1">IF(C101="","",IF($O$11="BPS",[1]!S_STM07_BS(D101,141,$G$5,$H$13)/IF([1]!S_SHARE_TOTAL(D101,$G$5)=0,[1]!S_SHARE_TOTAL(D101,[1]!s_ipo_listeddate(D101)),[1]!S_SHARE_TOTAL(D101,$G$5)),[1]!S_STM07_CS(D101,49,$G$5,$H$13)/$E$5))</f>
        <v/>
      </c>
      <c r="P101" s="250" t="str">
        <f ca="1">IF(C101="","",IF($P$11="CFPS",[1]!S_STM07_CS(D101,84,$G$5,$H$13)/IF([1]!S_SHARE_TOTAL(D101,$G$5)=0,[1]!S_SHARE_TOTAL(D101,[1]!s_ipo_listeddate(D101)),[1]!S_SHARE_TOTAL(D101,$G$5)),[1]!S_STM07_CS(D101,84,$G$5,$H$13)/$E$5))</f>
        <v/>
      </c>
      <c r="Q101" s="198" t="str">
        <f ca="1">IF(C101="","",F101/([1]!S_STM07_IS(D101,61,$G$5,$H$13)/IF([1]!S_SHARE_TOTAL(D101,$G$5)=0,[1]!S_SHARE_TOTAL(D101,[1]!s_ipo_listeddate(D101)),[1]!S_SHARE_TOTAL(D101,$G$5))))</f>
        <v/>
      </c>
      <c r="R101" s="198" t="str">
        <f ca="1">IF(C101="","",F101/([1]!S_STM07_BS(D101,141,$G$5,$H$13)/IF([1]!S_SHARE_TOTAL(D101,$G$5)=0,[1]!S_SHARE_TOTAL(D101,[1]!s_ipo_listeddate(D101)),[1]!S_SHARE_TOTAL(D101,$G$5))))</f>
        <v/>
      </c>
      <c r="S101" s="249" t="str">
        <f ca="1">IF(C101="","",[1]!S_SHARE_TOTAL(D101,TODAY())/$E$5)</f>
        <v/>
      </c>
      <c r="T101" s="249" t="str">
        <f t="shared" ca="1" si="13"/>
        <v/>
      </c>
      <c r="U101" s="172" t="str">
        <f t="shared" ca="1" si="14"/>
        <v/>
      </c>
      <c r="V101" s="343" t="str">
        <f t="shared" ca="1" si="15"/>
        <v/>
      </c>
      <c r="W101" s="139"/>
      <c r="Y101" s="1"/>
    </row>
    <row r="102" spans="3:25" ht="12" customHeight="1">
      <c r="C102" s="342" t="str">
        <f t="shared" ca="1" si="16"/>
        <v/>
      </c>
      <c r="D102" s="153" t="str">
        <f t="shared" ca="1" si="11"/>
        <v/>
      </c>
      <c r="E102" s="153" t="str">
        <f t="shared" ca="1" si="12"/>
        <v/>
      </c>
      <c r="F102" s="170" t="str">
        <f ca="1">IF(C102="","",[1]!S_DQ_CLOSE(D102,TODAY(),1))</f>
        <v/>
      </c>
      <c r="G102" s="171" t="str">
        <f ca="1">IF(C102="","",[1]!s_pq_pctchange(D102,TODAY()-$G$12,TODAY())/100)</f>
        <v/>
      </c>
      <c r="H102" s="247" t="str">
        <f ca="1">IF(C102="","",IF($H$11="收入",[1]!S_STM07_IS(D102,9,$G$5,$H$13)/$E$5,[1]!S_STM07_IS(D102,48,$G$5,$H$13)/$E$5))</f>
        <v/>
      </c>
      <c r="I102" s="247" t="str">
        <f ca="1">IF(C102="","",IF($I$11="毛利率",([1]!S_STM07_IS(D102,9,$G$5,$H$13)-[1]!S_STM07_IS(D102,10,$G$5,$H$13))/[1]!S_STM07_IS(D102,9,$G$5,$H$13),[1]!S_STM07_IS(D102,14,$G$5,$H$13)/$E$5))</f>
        <v/>
      </c>
      <c r="J102" s="247" t="str">
        <f ca="1">IF(C102="","",IF($J$11="营业利润率",[1]!S_STM07_IS(D102,48,$G$5,$H$13)/[1]!S_STM07_IS(D102,9,$G$5,$H$13),([1]!S_STM07_CS(D102,87,$G$5,$H$13)+[1]!S_STM07_CS(D102,88,$G$5,$H$13)+[1]!S_STM07_CS(D102,89,$G$5,$H$13))/$E$5))</f>
        <v/>
      </c>
      <c r="K102" s="247" t="str">
        <f ca="1">IF(C102="","",IF($K$11="净利润率",[1]!S_STM07_IS(D102,61,$G$5,$H$13)/[1]!S_STM07_IS(D102,9,$G$5,$H$13),[1]!S_STM07_IS(D102,55,$G$5,$H$13)/$E$5))</f>
        <v/>
      </c>
      <c r="L102" s="247" t="str">
        <f ca="1">IF(C102="","",IF($L$11="ROA",[1]!S_STM07_IS(D102,61,$G$5,$H$13)/[1]!S_STM07_BS(D102,74,$G$5,$H$13),1-[1]!S_STM07_IS(D102,61,$G$5,$H$13)/[1]!S_STM07_IS(D102,55,$G$5,$H$13)))</f>
        <v/>
      </c>
      <c r="M102" s="247" t="str">
        <f ca="1">IF(C102="","",IF($M$11="ROE",[1]!S_STM07_IS(D102,61,$G$5,$H$13)/[1]!S_STM07_BS(D102,141,$G$5,$H$13),([1]!S_STM07_BS(D102,25,$G$5,$H$13)-[1]!S_STM07_BS(D102,93,$G$5,$H$13))/$E$5))</f>
        <v/>
      </c>
      <c r="N102" s="247" t="str">
        <f ca="1">IF(C102="","",IF($N$11="EPS",[1]!S_STM07_IS(D102,61,$G$5,$H$13)/IF([1]!S_SHARE_TOTAL(D102,$G$5)=0,[1]!S_SHARE_TOTAL(D102,[1]!s_ipo_listeddate(D102)),[1]!S_SHARE_TOTAL(D102,$G$5)),([1]!S_STM07_BS(D102,75,$G$5,$H$13)+[1]!S_STM07_BS(D102,88,$G$5,$H$13)+[1]!S_STM07_BS(D102,94,$G$5,$H$13)+[1]!S_STM07_BS(D102,95,$G$5,$H$13))/$E$5))</f>
        <v/>
      </c>
      <c r="O102" s="247" t="str">
        <f ca="1">IF(C102="","",IF($O$11="BPS",[1]!S_STM07_BS(D102,141,$G$5,$H$13)/IF([1]!S_SHARE_TOTAL(D102,$G$5)=0,[1]!S_SHARE_TOTAL(D102,[1]!s_ipo_listeddate(D102)),[1]!S_SHARE_TOTAL(D102,$G$5)),[1]!S_STM07_CS(D102,49,$G$5,$H$13)/$E$5))</f>
        <v/>
      </c>
      <c r="P102" s="247" t="str">
        <f ca="1">IF(C102="","",IF($P$11="CFPS",[1]!S_STM07_CS(D102,84,$G$5,$H$13)/IF([1]!S_SHARE_TOTAL(D102,$G$5)=0,[1]!S_SHARE_TOTAL(D102,[1]!s_ipo_listeddate(D102)),[1]!S_SHARE_TOTAL(D102,$G$5)),[1]!S_STM07_CS(D102,84,$G$5,$H$13)/$E$5))</f>
        <v/>
      </c>
      <c r="Q102" s="248" t="str">
        <f ca="1">IF(C102="","",F102/([1]!S_STM07_IS(D102,61,$G$5,$H$13)/IF([1]!S_SHARE_TOTAL(D102,$G$5)=0,[1]!S_SHARE_TOTAL(D102,[1]!s_ipo_listeddate(D102)),[1]!S_SHARE_TOTAL(D102,$G$5))))</f>
        <v/>
      </c>
      <c r="R102" s="248" t="str">
        <f ca="1">IF(C102="","",F102/([1]!S_STM07_BS(D102,141,$G$5,$H$13)/IF([1]!S_SHARE_TOTAL(D102,$G$5)=0,[1]!S_SHARE_TOTAL(D102,[1]!s_ipo_listeddate(D102)),[1]!S_SHARE_TOTAL(D102,$G$5))))</f>
        <v/>
      </c>
      <c r="S102" s="247" t="str">
        <f ca="1">IF(C102="","",[1]!S_SHARE_TOTAL(D102,TODAY())/$E$5)</f>
        <v/>
      </c>
      <c r="T102" s="247" t="str">
        <f t="shared" ca="1" si="13"/>
        <v/>
      </c>
      <c r="U102" s="218" t="str">
        <f t="shared" ca="1" si="14"/>
        <v/>
      </c>
      <c r="V102" s="342" t="str">
        <f t="shared" ca="1" si="15"/>
        <v/>
      </c>
      <c r="W102" s="139"/>
      <c r="Y102" s="1"/>
    </row>
    <row r="103" spans="3:25" ht="12" customHeight="1">
      <c r="C103" s="343" t="str">
        <f t="shared" ca="1" si="16"/>
        <v/>
      </c>
      <c r="D103" s="124" t="str">
        <f t="shared" ca="1" si="11"/>
        <v/>
      </c>
      <c r="E103" s="124" t="str">
        <f t="shared" ca="1" si="12"/>
        <v/>
      </c>
      <c r="F103" s="172" t="str">
        <f ca="1">IF(C103="","",[1]!S_DQ_CLOSE(D103,TODAY(),1))</f>
        <v/>
      </c>
      <c r="G103" s="173" t="str">
        <f ca="1">IF(C103="","",[1]!s_pq_pctchange(D103,TODAY()-$G$12,TODAY())/100)</f>
        <v/>
      </c>
      <c r="H103" s="249" t="str">
        <f ca="1">IF(C103="","",IF($H$11="收入",[1]!S_STM07_IS(D103,9,$G$5,$H$13)/$E$5,[1]!S_STM07_IS(D103,48,$G$5,$H$13)/$E$5))</f>
        <v/>
      </c>
      <c r="I103" s="249" t="str">
        <f ca="1">IF(C103="","",IF($I$11="毛利率",([1]!S_STM07_IS(D103,9,$G$5,$H$13)-[1]!S_STM07_IS(D103,10,$G$5,$H$13))/[1]!S_STM07_IS(D103,9,$G$5,$H$13),[1]!S_STM07_IS(D103,14,$G$5,$H$13)/$E$5))</f>
        <v/>
      </c>
      <c r="J103" s="249" t="str">
        <f ca="1">IF(C103="","",IF($J$11="营业利润率",[1]!S_STM07_IS(D103,48,$G$5,$H$13)/[1]!S_STM07_IS(D103,9,$G$5,$H$13),([1]!S_STM07_CS(D103,87,$G$5,$H$13)+[1]!S_STM07_CS(D103,88,$G$5,$H$13)+[1]!S_STM07_CS(D103,89,$G$5,$H$13))/$E$5))</f>
        <v/>
      </c>
      <c r="K103" s="249" t="str">
        <f ca="1">IF(C103="","",IF($K$11="净利润率",[1]!S_STM07_IS(D103,61,$G$5,$H$13)/[1]!S_STM07_IS(D103,9,$G$5,$H$13),[1]!S_STM07_IS(D103,55,$G$5,$H$13)/$E$5))</f>
        <v/>
      </c>
      <c r="L103" s="249" t="str">
        <f ca="1">IF(C103="","",IF($L$11="ROA",[1]!S_STM07_IS(D103,61,$G$5,$H$13)/[1]!S_STM07_BS(D103,74,$G$5,$H$13),1-[1]!S_STM07_IS(D103,61,$G$5,$H$13)/[1]!S_STM07_IS(D103,55,$G$5,$H$13)))</f>
        <v/>
      </c>
      <c r="M103" s="249" t="str">
        <f ca="1">IF(C103="","",IF($M$11="ROE",[1]!S_STM07_IS(D103,61,$G$5,$H$13)/[1]!S_STM07_BS(D103,141,$G$5,$H$13),([1]!S_STM07_BS(D103,25,$G$5,$H$13)-[1]!S_STM07_BS(D103,93,$G$5,$H$13))/$E$5))</f>
        <v/>
      </c>
      <c r="N103" s="250" t="str">
        <f ca="1">IF(C103="","",IF($N$11="EPS",[1]!S_STM07_IS(D103,61,$G$5,$H$13)/IF([1]!S_SHARE_TOTAL(D103,$G$5)=0,[1]!S_SHARE_TOTAL(D103,[1]!s_ipo_listeddate(D103)),[1]!S_SHARE_TOTAL(D103,$G$5)),([1]!S_STM07_BS(D103,75,$G$5,$H$13)+[1]!S_STM07_BS(D103,88,$G$5,$H$13)+[1]!S_STM07_BS(D103,94,$G$5,$H$13)+[1]!S_STM07_BS(D103,95,$G$5,$H$13))/$E$5))</f>
        <v/>
      </c>
      <c r="O103" s="250" t="str">
        <f ca="1">IF(C103="","",IF($O$11="BPS",[1]!S_STM07_BS(D103,141,$G$5,$H$13)/IF([1]!S_SHARE_TOTAL(D103,$G$5)=0,[1]!S_SHARE_TOTAL(D103,[1]!s_ipo_listeddate(D103)),[1]!S_SHARE_TOTAL(D103,$G$5)),[1]!S_STM07_CS(D103,49,$G$5,$H$13)/$E$5))</f>
        <v/>
      </c>
      <c r="P103" s="250" t="str">
        <f ca="1">IF(C103="","",IF($P$11="CFPS",[1]!S_STM07_CS(D103,84,$G$5,$H$13)/IF([1]!S_SHARE_TOTAL(D103,$G$5)=0,[1]!S_SHARE_TOTAL(D103,[1]!s_ipo_listeddate(D103)),[1]!S_SHARE_TOTAL(D103,$G$5)),[1]!S_STM07_CS(D103,84,$G$5,$H$13)/$E$5))</f>
        <v/>
      </c>
      <c r="Q103" s="198" t="str">
        <f ca="1">IF(C103="","",F103/([1]!S_STM07_IS(D103,61,$G$5,$H$13)/IF([1]!S_SHARE_TOTAL(D103,$G$5)=0,[1]!S_SHARE_TOTAL(D103,[1]!s_ipo_listeddate(D103)),[1]!S_SHARE_TOTAL(D103,$G$5))))</f>
        <v/>
      </c>
      <c r="R103" s="198" t="str">
        <f ca="1">IF(C103="","",F103/([1]!S_STM07_BS(D103,141,$G$5,$H$13)/IF([1]!S_SHARE_TOTAL(D103,$G$5)=0,[1]!S_SHARE_TOTAL(D103,[1]!s_ipo_listeddate(D103)),[1]!S_SHARE_TOTAL(D103,$G$5))))</f>
        <v/>
      </c>
      <c r="S103" s="249" t="str">
        <f ca="1">IF(C103="","",[1]!S_SHARE_TOTAL(D103,TODAY())/$E$5)</f>
        <v/>
      </c>
      <c r="T103" s="249" t="str">
        <f t="shared" ca="1" si="13"/>
        <v/>
      </c>
      <c r="U103" s="172" t="str">
        <f t="shared" ca="1" si="14"/>
        <v/>
      </c>
      <c r="V103" s="343" t="str">
        <f t="shared" ca="1" si="15"/>
        <v/>
      </c>
      <c r="W103" s="139"/>
      <c r="Y103" s="1"/>
    </row>
    <row r="104" spans="3:25" ht="12" customHeight="1">
      <c r="C104" s="342" t="str">
        <f t="shared" ca="1" si="16"/>
        <v/>
      </c>
      <c r="D104" s="153" t="str">
        <f t="shared" ca="1" si="11"/>
        <v/>
      </c>
      <c r="E104" s="153" t="str">
        <f t="shared" ca="1" si="12"/>
        <v/>
      </c>
      <c r="F104" s="170" t="str">
        <f ca="1">IF(C104="","",[1]!S_DQ_CLOSE(D104,TODAY(),1))</f>
        <v/>
      </c>
      <c r="G104" s="171" t="str">
        <f ca="1">IF(C104="","",[1]!s_pq_pctchange(D104,TODAY()-$G$12,TODAY())/100)</f>
        <v/>
      </c>
      <c r="H104" s="247" t="str">
        <f ca="1">IF(C104="","",IF($H$11="收入",[1]!S_STM07_IS(D104,9,$G$5,$H$13)/$E$5,[1]!S_STM07_IS(D104,48,$G$5,$H$13)/$E$5))</f>
        <v/>
      </c>
      <c r="I104" s="247" t="str">
        <f ca="1">IF(C104="","",IF($I$11="毛利率",([1]!S_STM07_IS(D104,9,$G$5,$H$13)-[1]!S_STM07_IS(D104,10,$G$5,$H$13))/[1]!S_STM07_IS(D104,9,$G$5,$H$13),[1]!S_STM07_IS(D104,14,$G$5,$H$13)/$E$5))</f>
        <v/>
      </c>
      <c r="J104" s="247" t="str">
        <f ca="1">IF(C104="","",IF($J$11="营业利润率",[1]!S_STM07_IS(D104,48,$G$5,$H$13)/[1]!S_STM07_IS(D104,9,$G$5,$H$13),([1]!S_STM07_CS(D104,87,$G$5,$H$13)+[1]!S_STM07_CS(D104,88,$G$5,$H$13)+[1]!S_STM07_CS(D104,89,$G$5,$H$13))/$E$5))</f>
        <v/>
      </c>
      <c r="K104" s="247" t="str">
        <f ca="1">IF(C104="","",IF($K$11="净利润率",[1]!S_STM07_IS(D104,61,$G$5,$H$13)/[1]!S_STM07_IS(D104,9,$G$5,$H$13),[1]!S_STM07_IS(D104,55,$G$5,$H$13)/$E$5))</f>
        <v/>
      </c>
      <c r="L104" s="247" t="str">
        <f ca="1">IF(C104="","",IF($L$11="ROA",[1]!S_STM07_IS(D104,61,$G$5,$H$13)/[1]!S_STM07_BS(D104,74,$G$5,$H$13),1-[1]!S_STM07_IS(D104,61,$G$5,$H$13)/[1]!S_STM07_IS(D104,55,$G$5,$H$13)))</f>
        <v/>
      </c>
      <c r="M104" s="247" t="str">
        <f ca="1">IF(C104="","",IF($M$11="ROE",[1]!S_STM07_IS(D104,61,$G$5,$H$13)/[1]!S_STM07_BS(D104,141,$G$5,$H$13),([1]!S_STM07_BS(D104,25,$G$5,$H$13)-[1]!S_STM07_BS(D104,93,$G$5,$H$13))/$E$5))</f>
        <v/>
      </c>
      <c r="N104" s="247" t="str">
        <f ca="1">IF(C104="","",IF($N$11="EPS",[1]!S_STM07_IS(D104,61,$G$5,$H$13)/IF([1]!S_SHARE_TOTAL(D104,$G$5)=0,[1]!S_SHARE_TOTAL(D104,[1]!s_ipo_listeddate(D104)),[1]!S_SHARE_TOTAL(D104,$G$5)),([1]!S_STM07_BS(D104,75,$G$5,$H$13)+[1]!S_STM07_BS(D104,88,$G$5,$H$13)+[1]!S_STM07_BS(D104,94,$G$5,$H$13)+[1]!S_STM07_BS(D104,95,$G$5,$H$13))/$E$5))</f>
        <v/>
      </c>
      <c r="O104" s="247" t="str">
        <f ca="1">IF(C104="","",IF($O$11="BPS",[1]!S_STM07_BS(D104,141,$G$5,$H$13)/IF([1]!S_SHARE_TOTAL(D104,$G$5)=0,[1]!S_SHARE_TOTAL(D104,[1]!s_ipo_listeddate(D104)),[1]!S_SHARE_TOTAL(D104,$G$5)),[1]!S_STM07_CS(D104,49,$G$5,$H$13)/$E$5))</f>
        <v/>
      </c>
      <c r="P104" s="247" t="str">
        <f ca="1">IF(C104="","",IF($P$11="CFPS",[1]!S_STM07_CS(D104,84,$G$5,$H$13)/IF([1]!S_SHARE_TOTAL(D104,$G$5)=0,[1]!S_SHARE_TOTAL(D104,[1]!s_ipo_listeddate(D104)),[1]!S_SHARE_TOTAL(D104,$G$5)),[1]!S_STM07_CS(D104,84,$G$5,$H$13)/$E$5))</f>
        <v/>
      </c>
      <c r="Q104" s="248" t="str">
        <f ca="1">IF(C104="","",F104/([1]!S_STM07_IS(D104,61,$G$5,$H$13)/IF([1]!S_SHARE_TOTAL(D104,$G$5)=0,[1]!S_SHARE_TOTAL(D104,[1]!s_ipo_listeddate(D104)),[1]!S_SHARE_TOTAL(D104,$G$5))))</f>
        <v/>
      </c>
      <c r="R104" s="248" t="str">
        <f ca="1">IF(C104="","",F104/([1]!S_STM07_BS(D104,141,$G$5,$H$13)/IF([1]!S_SHARE_TOTAL(D104,$G$5)=0,[1]!S_SHARE_TOTAL(D104,[1]!s_ipo_listeddate(D104)),[1]!S_SHARE_TOTAL(D104,$G$5))))</f>
        <v/>
      </c>
      <c r="S104" s="247" t="str">
        <f ca="1">IF(C104="","",[1]!S_SHARE_TOTAL(D104,TODAY())/$E$5)</f>
        <v/>
      </c>
      <c r="T104" s="247" t="str">
        <f t="shared" ca="1" si="13"/>
        <v/>
      </c>
      <c r="U104" s="218" t="str">
        <f t="shared" ca="1" si="14"/>
        <v/>
      </c>
      <c r="V104" s="342" t="str">
        <f t="shared" ca="1" si="15"/>
        <v/>
      </c>
      <c r="W104" s="139"/>
      <c r="Y104" s="1"/>
    </row>
    <row r="105" spans="3:25" ht="12" customHeight="1">
      <c r="C105" s="343" t="str">
        <f t="shared" ca="1" si="16"/>
        <v/>
      </c>
      <c r="D105" s="124" t="str">
        <f t="shared" ca="1" si="11"/>
        <v/>
      </c>
      <c r="E105" s="124" t="str">
        <f t="shared" ca="1" si="12"/>
        <v/>
      </c>
      <c r="F105" s="172" t="str">
        <f ca="1">IF(C105="","",[1]!S_DQ_CLOSE(D105,TODAY(),1))</f>
        <v/>
      </c>
      <c r="G105" s="173" t="str">
        <f ca="1">IF(C105="","",[1]!s_pq_pctchange(D105,TODAY()-$G$12,TODAY())/100)</f>
        <v/>
      </c>
      <c r="H105" s="249" t="str">
        <f ca="1">IF(C105="","",IF($H$11="收入",[1]!S_STM07_IS(D105,9,$G$5,$H$13)/$E$5,[1]!S_STM07_IS(D105,48,$G$5,$H$13)/$E$5))</f>
        <v/>
      </c>
      <c r="I105" s="249" t="str">
        <f ca="1">IF(C105="","",IF($I$11="毛利率",([1]!S_STM07_IS(D105,9,$G$5,$H$13)-[1]!S_STM07_IS(D105,10,$G$5,$H$13))/[1]!S_STM07_IS(D105,9,$G$5,$H$13),[1]!S_STM07_IS(D105,14,$G$5,$H$13)/$E$5))</f>
        <v/>
      </c>
      <c r="J105" s="249" t="str">
        <f ca="1">IF(C105="","",IF($J$11="营业利润率",[1]!S_STM07_IS(D105,48,$G$5,$H$13)/[1]!S_STM07_IS(D105,9,$G$5,$H$13),([1]!S_STM07_CS(D105,87,$G$5,$H$13)+[1]!S_STM07_CS(D105,88,$G$5,$H$13)+[1]!S_STM07_CS(D105,89,$G$5,$H$13))/$E$5))</f>
        <v/>
      </c>
      <c r="K105" s="249" t="str">
        <f ca="1">IF(C105="","",IF($K$11="净利润率",[1]!S_STM07_IS(D105,61,$G$5,$H$13)/[1]!S_STM07_IS(D105,9,$G$5,$H$13),[1]!S_STM07_IS(D105,55,$G$5,$H$13)/$E$5))</f>
        <v/>
      </c>
      <c r="L105" s="249" t="str">
        <f ca="1">IF(C105="","",IF($L$11="ROA",[1]!S_STM07_IS(D105,61,$G$5,$H$13)/[1]!S_STM07_BS(D105,74,$G$5,$H$13),1-[1]!S_STM07_IS(D105,61,$G$5,$H$13)/[1]!S_STM07_IS(D105,55,$G$5,$H$13)))</f>
        <v/>
      </c>
      <c r="M105" s="249" t="str">
        <f ca="1">IF(C105="","",IF($M$11="ROE",[1]!S_STM07_IS(D105,61,$G$5,$H$13)/[1]!S_STM07_BS(D105,141,$G$5,$H$13),([1]!S_STM07_BS(D105,25,$G$5,$H$13)-[1]!S_STM07_BS(D105,93,$G$5,$H$13))/$E$5))</f>
        <v/>
      </c>
      <c r="N105" s="250" t="str">
        <f ca="1">IF(C105="","",IF($N$11="EPS",[1]!S_STM07_IS(D105,61,$G$5,$H$13)/IF([1]!S_SHARE_TOTAL(D105,$G$5)=0,[1]!S_SHARE_TOTAL(D105,[1]!s_ipo_listeddate(D105)),[1]!S_SHARE_TOTAL(D105,$G$5)),([1]!S_STM07_BS(D105,75,$G$5,$H$13)+[1]!S_STM07_BS(D105,88,$G$5,$H$13)+[1]!S_STM07_BS(D105,94,$G$5,$H$13)+[1]!S_STM07_BS(D105,95,$G$5,$H$13))/$E$5))</f>
        <v/>
      </c>
      <c r="O105" s="250" t="str">
        <f ca="1">IF(C105="","",IF($O$11="BPS",[1]!S_STM07_BS(D105,141,$G$5,$H$13)/IF([1]!S_SHARE_TOTAL(D105,$G$5)=0,[1]!S_SHARE_TOTAL(D105,[1]!s_ipo_listeddate(D105)),[1]!S_SHARE_TOTAL(D105,$G$5)),[1]!S_STM07_CS(D105,49,$G$5,$H$13)/$E$5))</f>
        <v/>
      </c>
      <c r="P105" s="250" t="str">
        <f ca="1">IF(C105="","",IF($P$11="CFPS",[1]!S_STM07_CS(D105,84,$G$5,$H$13)/IF([1]!S_SHARE_TOTAL(D105,$G$5)=0,[1]!S_SHARE_TOTAL(D105,[1]!s_ipo_listeddate(D105)),[1]!S_SHARE_TOTAL(D105,$G$5)),[1]!S_STM07_CS(D105,84,$G$5,$H$13)/$E$5))</f>
        <v/>
      </c>
      <c r="Q105" s="198" t="str">
        <f ca="1">IF(C105="","",F105/([1]!S_STM07_IS(D105,61,$G$5,$H$13)/IF([1]!S_SHARE_TOTAL(D105,$G$5)=0,[1]!S_SHARE_TOTAL(D105,[1]!s_ipo_listeddate(D105)),[1]!S_SHARE_TOTAL(D105,$G$5))))</f>
        <v/>
      </c>
      <c r="R105" s="198" t="str">
        <f ca="1">IF(C105="","",F105/([1]!S_STM07_BS(D105,141,$G$5,$H$13)/IF([1]!S_SHARE_TOTAL(D105,$G$5)=0,[1]!S_SHARE_TOTAL(D105,[1]!s_ipo_listeddate(D105)),[1]!S_SHARE_TOTAL(D105,$G$5))))</f>
        <v/>
      </c>
      <c r="S105" s="249" t="str">
        <f ca="1">IF(C105="","",[1]!S_SHARE_TOTAL(D105,TODAY())/$E$5)</f>
        <v/>
      </c>
      <c r="T105" s="249" t="str">
        <f t="shared" ca="1" si="13"/>
        <v/>
      </c>
      <c r="U105" s="172" t="str">
        <f t="shared" ca="1" si="14"/>
        <v/>
      </c>
      <c r="V105" s="343" t="str">
        <f t="shared" ca="1" si="15"/>
        <v/>
      </c>
      <c r="W105" s="139"/>
      <c r="Y105" s="1"/>
    </row>
    <row r="106" spans="3:25" ht="12" customHeight="1">
      <c r="C106" s="342" t="str">
        <f t="shared" ca="1" si="16"/>
        <v/>
      </c>
      <c r="D106" s="153" t="str">
        <f t="shared" ca="1" si="11"/>
        <v/>
      </c>
      <c r="E106" s="153" t="str">
        <f t="shared" ca="1" si="12"/>
        <v/>
      </c>
      <c r="F106" s="170" t="str">
        <f ca="1">IF(C106="","",[1]!S_DQ_CLOSE(D106,TODAY(),1))</f>
        <v/>
      </c>
      <c r="G106" s="171" t="str">
        <f ca="1">IF(C106="","",[1]!s_pq_pctchange(D106,TODAY()-$G$12,TODAY())/100)</f>
        <v/>
      </c>
      <c r="H106" s="247" t="str">
        <f ca="1">IF(C106="","",IF($H$11="收入",[1]!S_STM07_IS(D106,9,$G$5,$H$13)/$E$5,[1]!S_STM07_IS(D106,48,$G$5,$H$13)/$E$5))</f>
        <v/>
      </c>
      <c r="I106" s="247" t="str">
        <f ca="1">IF(C106="","",IF($I$11="毛利率",([1]!S_STM07_IS(D106,9,$G$5,$H$13)-[1]!S_STM07_IS(D106,10,$G$5,$H$13))/[1]!S_STM07_IS(D106,9,$G$5,$H$13),[1]!S_STM07_IS(D106,14,$G$5,$H$13)/$E$5))</f>
        <v/>
      </c>
      <c r="J106" s="247" t="str">
        <f ca="1">IF(C106="","",IF($J$11="营业利润率",[1]!S_STM07_IS(D106,48,$G$5,$H$13)/[1]!S_STM07_IS(D106,9,$G$5,$H$13),([1]!S_STM07_CS(D106,87,$G$5,$H$13)+[1]!S_STM07_CS(D106,88,$G$5,$H$13)+[1]!S_STM07_CS(D106,89,$G$5,$H$13))/$E$5))</f>
        <v/>
      </c>
      <c r="K106" s="247" t="str">
        <f ca="1">IF(C106="","",IF($K$11="净利润率",[1]!S_STM07_IS(D106,61,$G$5,$H$13)/[1]!S_STM07_IS(D106,9,$G$5,$H$13),[1]!S_STM07_IS(D106,55,$G$5,$H$13)/$E$5))</f>
        <v/>
      </c>
      <c r="L106" s="247" t="str">
        <f ca="1">IF(C106="","",IF($L$11="ROA",[1]!S_STM07_IS(D106,61,$G$5,$H$13)/[1]!S_STM07_BS(D106,74,$G$5,$H$13),1-[1]!S_STM07_IS(D106,61,$G$5,$H$13)/[1]!S_STM07_IS(D106,55,$G$5,$H$13)))</f>
        <v/>
      </c>
      <c r="M106" s="247" t="str">
        <f ca="1">IF(C106="","",IF($M$11="ROE",[1]!S_STM07_IS(D106,61,$G$5,$H$13)/[1]!S_STM07_BS(D106,141,$G$5,$H$13),([1]!S_STM07_BS(D106,25,$G$5,$H$13)-[1]!S_STM07_BS(D106,93,$G$5,$H$13))/$E$5))</f>
        <v/>
      </c>
      <c r="N106" s="247" t="str">
        <f ca="1">IF(C106="","",IF($N$11="EPS",[1]!S_STM07_IS(D106,61,$G$5,$H$13)/IF([1]!S_SHARE_TOTAL(D106,$G$5)=0,[1]!S_SHARE_TOTAL(D106,[1]!s_ipo_listeddate(D106)),[1]!S_SHARE_TOTAL(D106,$G$5)),([1]!S_STM07_BS(D106,75,$G$5,$H$13)+[1]!S_STM07_BS(D106,88,$G$5,$H$13)+[1]!S_STM07_BS(D106,94,$G$5,$H$13)+[1]!S_STM07_BS(D106,95,$G$5,$H$13))/$E$5))</f>
        <v/>
      </c>
      <c r="O106" s="247" t="str">
        <f ca="1">IF(C106="","",IF($O$11="BPS",[1]!S_STM07_BS(D106,141,$G$5,$H$13)/IF([1]!S_SHARE_TOTAL(D106,$G$5)=0,[1]!S_SHARE_TOTAL(D106,[1]!s_ipo_listeddate(D106)),[1]!S_SHARE_TOTAL(D106,$G$5)),[1]!S_STM07_CS(D106,49,$G$5,$H$13)/$E$5))</f>
        <v/>
      </c>
      <c r="P106" s="247" t="str">
        <f ca="1">IF(C106="","",IF($P$11="CFPS",[1]!S_STM07_CS(D106,84,$G$5,$H$13)/IF([1]!S_SHARE_TOTAL(D106,$G$5)=0,[1]!S_SHARE_TOTAL(D106,[1]!s_ipo_listeddate(D106)),[1]!S_SHARE_TOTAL(D106,$G$5)),[1]!S_STM07_CS(D106,84,$G$5,$H$13)/$E$5))</f>
        <v/>
      </c>
      <c r="Q106" s="248" t="str">
        <f ca="1">IF(C106="","",F106/([1]!S_STM07_IS(D106,61,$G$5,$H$13)/IF([1]!S_SHARE_TOTAL(D106,$G$5)=0,[1]!S_SHARE_TOTAL(D106,[1]!s_ipo_listeddate(D106)),[1]!S_SHARE_TOTAL(D106,$G$5))))</f>
        <v/>
      </c>
      <c r="R106" s="248" t="str">
        <f ca="1">IF(C106="","",F106/([1]!S_STM07_BS(D106,141,$G$5,$H$13)/IF([1]!S_SHARE_TOTAL(D106,$G$5)=0,[1]!S_SHARE_TOTAL(D106,[1]!s_ipo_listeddate(D106)),[1]!S_SHARE_TOTAL(D106,$G$5))))</f>
        <v/>
      </c>
      <c r="S106" s="247" t="str">
        <f ca="1">IF(C106="","",[1]!S_SHARE_TOTAL(D106,TODAY())/$E$5)</f>
        <v/>
      </c>
      <c r="T106" s="247" t="str">
        <f t="shared" ca="1" si="13"/>
        <v/>
      </c>
      <c r="U106" s="218" t="str">
        <f t="shared" ca="1" si="14"/>
        <v/>
      </c>
      <c r="V106" s="342" t="str">
        <f t="shared" ca="1" si="15"/>
        <v/>
      </c>
      <c r="W106" s="139"/>
      <c r="Y106" s="1"/>
    </row>
    <row r="107" spans="3:25" ht="12" customHeight="1">
      <c r="C107" s="343" t="str">
        <f t="shared" ca="1" si="16"/>
        <v/>
      </c>
      <c r="D107" s="124" t="str">
        <f t="shared" ca="1" si="11"/>
        <v/>
      </c>
      <c r="E107" s="124" t="str">
        <f t="shared" ca="1" si="12"/>
        <v/>
      </c>
      <c r="F107" s="172" t="str">
        <f ca="1">IF(C107="","",[1]!S_DQ_CLOSE(D107,TODAY(),1))</f>
        <v/>
      </c>
      <c r="G107" s="173" t="str">
        <f ca="1">IF(C107="","",[1]!s_pq_pctchange(D107,TODAY()-$G$12,TODAY())/100)</f>
        <v/>
      </c>
      <c r="H107" s="249" t="str">
        <f ca="1">IF(C107="","",IF($H$11="收入",[1]!S_STM07_IS(D107,9,$G$5,$H$13)/$E$5,[1]!S_STM07_IS(D107,48,$G$5,$H$13)/$E$5))</f>
        <v/>
      </c>
      <c r="I107" s="249" t="str">
        <f ca="1">IF(C107="","",IF($I$11="毛利率",([1]!S_STM07_IS(D107,9,$G$5,$H$13)-[1]!S_STM07_IS(D107,10,$G$5,$H$13))/[1]!S_STM07_IS(D107,9,$G$5,$H$13),[1]!S_STM07_IS(D107,14,$G$5,$H$13)/$E$5))</f>
        <v/>
      </c>
      <c r="J107" s="249" t="str">
        <f ca="1">IF(C107="","",IF($J$11="营业利润率",[1]!S_STM07_IS(D107,48,$G$5,$H$13)/[1]!S_STM07_IS(D107,9,$G$5,$H$13),([1]!S_STM07_CS(D107,87,$G$5,$H$13)+[1]!S_STM07_CS(D107,88,$G$5,$H$13)+[1]!S_STM07_CS(D107,89,$G$5,$H$13))/$E$5))</f>
        <v/>
      </c>
      <c r="K107" s="249" t="str">
        <f ca="1">IF(C107="","",IF($K$11="净利润率",[1]!S_STM07_IS(D107,61,$G$5,$H$13)/[1]!S_STM07_IS(D107,9,$G$5,$H$13),[1]!S_STM07_IS(D107,55,$G$5,$H$13)/$E$5))</f>
        <v/>
      </c>
      <c r="L107" s="249" t="str">
        <f ca="1">IF(C107="","",IF($L$11="ROA",[1]!S_STM07_IS(D107,61,$G$5,$H$13)/[1]!S_STM07_BS(D107,74,$G$5,$H$13),1-[1]!S_STM07_IS(D107,61,$G$5,$H$13)/[1]!S_STM07_IS(D107,55,$G$5,$H$13)))</f>
        <v/>
      </c>
      <c r="M107" s="249" t="str">
        <f ca="1">IF(C107="","",IF($M$11="ROE",[1]!S_STM07_IS(D107,61,$G$5,$H$13)/[1]!S_STM07_BS(D107,141,$G$5,$H$13),([1]!S_STM07_BS(D107,25,$G$5,$H$13)-[1]!S_STM07_BS(D107,93,$G$5,$H$13))/$E$5))</f>
        <v/>
      </c>
      <c r="N107" s="250" t="str">
        <f ca="1">IF(C107="","",IF($N$11="EPS",[1]!S_STM07_IS(D107,61,$G$5,$H$13)/IF([1]!S_SHARE_TOTAL(D107,$G$5)=0,[1]!S_SHARE_TOTAL(D107,[1]!s_ipo_listeddate(D107)),[1]!S_SHARE_TOTAL(D107,$G$5)),([1]!S_STM07_BS(D107,75,$G$5,$H$13)+[1]!S_STM07_BS(D107,88,$G$5,$H$13)+[1]!S_STM07_BS(D107,94,$G$5,$H$13)+[1]!S_STM07_BS(D107,95,$G$5,$H$13))/$E$5))</f>
        <v/>
      </c>
      <c r="O107" s="250" t="str">
        <f ca="1">IF(C107="","",IF($O$11="BPS",[1]!S_STM07_BS(D107,141,$G$5,$H$13)/IF([1]!S_SHARE_TOTAL(D107,$G$5)=0,[1]!S_SHARE_TOTAL(D107,[1]!s_ipo_listeddate(D107)),[1]!S_SHARE_TOTAL(D107,$G$5)),[1]!S_STM07_CS(D107,49,$G$5,$H$13)/$E$5))</f>
        <v/>
      </c>
      <c r="P107" s="250" t="str">
        <f ca="1">IF(C107="","",IF($P$11="CFPS",[1]!S_STM07_CS(D107,84,$G$5,$H$13)/IF([1]!S_SHARE_TOTAL(D107,$G$5)=0,[1]!S_SHARE_TOTAL(D107,[1]!s_ipo_listeddate(D107)),[1]!S_SHARE_TOTAL(D107,$G$5)),[1]!S_STM07_CS(D107,84,$G$5,$H$13)/$E$5))</f>
        <v/>
      </c>
      <c r="Q107" s="198" t="str">
        <f ca="1">IF(C107="","",F107/([1]!S_STM07_IS(D107,61,$G$5,$H$13)/IF([1]!S_SHARE_TOTAL(D107,$G$5)=0,[1]!S_SHARE_TOTAL(D107,[1]!s_ipo_listeddate(D107)),[1]!S_SHARE_TOTAL(D107,$G$5))))</f>
        <v/>
      </c>
      <c r="R107" s="198" t="str">
        <f ca="1">IF(C107="","",F107/([1]!S_STM07_BS(D107,141,$G$5,$H$13)/IF([1]!S_SHARE_TOTAL(D107,$G$5)=0,[1]!S_SHARE_TOTAL(D107,[1]!s_ipo_listeddate(D107)),[1]!S_SHARE_TOTAL(D107,$G$5))))</f>
        <v/>
      </c>
      <c r="S107" s="249" t="str">
        <f ca="1">IF(C107="","",[1]!S_SHARE_TOTAL(D107,TODAY())/$E$5)</f>
        <v/>
      </c>
      <c r="T107" s="249" t="str">
        <f t="shared" ca="1" si="13"/>
        <v/>
      </c>
      <c r="U107" s="172" t="str">
        <f t="shared" ca="1" si="14"/>
        <v/>
      </c>
      <c r="V107" s="343" t="str">
        <f t="shared" ca="1" si="15"/>
        <v/>
      </c>
      <c r="W107" s="139"/>
      <c r="Y107" s="1"/>
    </row>
    <row r="108" spans="3:25" ht="12" customHeight="1">
      <c r="C108" s="342" t="str">
        <f t="shared" ca="1" si="16"/>
        <v/>
      </c>
      <c r="D108" s="153" t="str">
        <f t="shared" ca="1" si="11"/>
        <v/>
      </c>
      <c r="E108" s="153" t="str">
        <f t="shared" ca="1" si="12"/>
        <v/>
      </c>
      <c r="F108" s="170" t="str">
        <f ca="1">IF(C108="","",[1]!S_DQ_CLOSE(D108,TODAY(),1))</f>
        <v/>
      </c>
      <c r="G108" s="171" t="str">
        <f ca="1">IF(C108="","",[1]!s_pq_pctchange(D108,TODAY()-$G$12,TODAY())/100)</f>
        <v/>
      </c>
      <c r="H108" s="247" t="str">
        <f ca="1">IF(C108="","",IF($H$11="收入",[1]!S_STM07_IS(D108,9,$G$5,$H$13)/$E$5,[1]!S_STM07_IS(D108,48,$G$5,$H$13)/$E$5))</f>
        <v/>
      </c>
      <c r="I108" s="247" t="str">
        <f ca="1">IF(C108="","",IF($I$11="毛利率",([1]!S_STM07_IS(D108,9,$G$5,$H$13)-[1]!S_STM07_IS(D108,10,$G$5,$H$13))/[1]!S_STM07_IS(D108,9,$G$5,$H$13),[1]!S_STM07_IS(D108,14,$G$5,$H$13)/$E$5))</f>
        <v/>
      </c>
      <c r="J108" s="247" t="str">
        <f ca="1">IF(C108="","",IF($J$11="营业利润率",[1]!S_STM07_IS(D108,48,$G$5,$H$13)/[1]!S_STM07_IS(D108,9,$G$5,$H$13),([1]!S_STM07_CS(D108,87,$G$5,$H$13)+[1]!S_STM07_CS(D108,88,$G$5,$H$13)+[1]!S_STM07_CS(D108,89,$G$5,$H$13))/$E$5))</f>
        <v/>
      </c>
      <c r="K108" s="247" t="str">
        <f ca="1">IF(C108="","",IF($K$11="净利润率",[1]!S_STM07_IS(D108,61,$G$5,$H$13)/[1]!S_STM07_IS(D108,9,$G$5,$H$13),[1]!S_STM07_IS(D108,55,$G$5,$H$13)/$E$5))</f>
        <v/>
      </c>
      <c r="L108" s="247" t="str">
        <f ca="1">IF(C108="","",IF($L$11="ROA",[1]!S_STM07_IS(D108,61,$G$5,$H$13)/[1]!S_STM07_BS(D108,74,$G$5,$H$13),1-[1]!S_STM07_IS(D108,61,$G$5,$H$13)/[1]!S_STM07_IS(D108,55,$G$5,$H$13)))</f>
        <v/>
      </c>
      <c r="M108" s="247" t="str">
        <f ca="1">IF(C108="","",IF($M$11="ROE",[1]!S_STM07_IS(D108,61,$G$5,$H$13)/[1]!S_STM07_BS(D108,141,$G$5,$H$13),([1]!S_STM07_BS(D108,25,$G$5,$H$13)-[1]!S_STM07_BS(D108,93,$G$5,$H$13))/$E$5))</f>
        <v/>
      </c>
      <c r="N108" s="247" t="str">
        <f ca="1">IF(C108="","",IF($N$11="EPS",[1]!S_STM07_IS(D108,61,$G$5,$H$13)/IF([1]!S_SHARE_TOTAL(D108,$G$5)=0,[1]!S_SHARE_TOTAL(D108,[1]!s_ipo_listeddate(D108)),[1]!S_SHARE_TOTAL(D108,$G$5)),([1]!S_STM07_BS(D108,75,$G$5,$H$13)+[1]!S_STM07_BS(D108,88,$G$5,$H$13)+[1]!S_STM07_BS(D108,94,$G$5,$H$13)+[1]!S_STM07_BS(D108,95,$G$5,$H$13))/$E$5))</f>
        <v/>
      </c>
      <c r="O108" s="247" t="str">
        <f ca="1">IF(C108="","",IF($O$11="BPS",[1]!S_STM07_BS(D108,141,$G$5,$H$13)/IF([1]!S_SHARE_TOTAL(D108,$G$5)=0,[1]!S_SHARE_TOTAL(D108,[1]!s_ipo_listeddate(D108)),[1]!S_SHARE_TOTAL(D108,$G$5)),[1]!S_STM07_CS(D108,49,$G$5,$H$13)/$E$5))</f>
        <v/>
      </c>
      <c r="P108" s="247" t="str">
        <f ca="1">IF(C108="","",IF($P$11="CFPS",[1]!S_STM07_CS(D108,84,$G$5,$H$13)/IF([1]!S_SHARE_TOTAL(D108,$G$5)=0,[1]!S_SHARE_TOTAL(D108,[1]!s_ipo_listeddate(D108)),[1]!S_SHARE_TOTAL(D108,$G$5)),[1]!S_STM07_CS(D108,84,$G$5,$H$13)/$E$5))</f>
        <v/>
      </c>
      <c r="Q108" s="248" t="str">
        <f ca="1">IF(C108="","",F108/([1]!S_STM07_IS(D108,61,$G$5,$H$13)/IF([1]!S_SHARE_TOTAL(D108,$G$5)=0,[1]!S_SHARE_TOTAL(D108,[1]!s_ipo_listeddate(D108)),[1]!S_SHARE_TOTAL(D108,$G$5))))</f>
        <v/>
      </c>
      <c r="R108" s="248" t="str">
        <f ca="1">IF(C108="","",F108/([1]!S_STM07_BS(D108,141,$G$5,$H$13)/IF([1]!S_SHARE_TOTAL(D108,$G$5)=0,[1]!S_SHARE_TOTAL(D108,[1]!s_ipo_listeddate(D108)),[1]!S_SHARE_TOTAL(D108,$G$5))))</f>
        <v/>
      </c>
      <c r="S108" s="247" t="str">
        <f ca="1">IF(C108="","",[1]!S_SHARE_TOTAL(D108,TODAY())/$E$5)</f>
        <v/>
      </c>
      <c r="T108" s="247" t="str">
        <f t="shared" ca="1" si="13"/>
        <v/>
      </c>
      <c r="U108" s="218" t="str">
        <f t="shared" ca="1" si="14"/>
        <v/>
      </c>
      <c r="V108" s="342" t="str">
        <f t="shared" ca="1" si="15"/>
        <v/>
      </c>
      <c r="W108" s="139"/>
      <c r="Y108" s="1"/>
    </row>
    <row r="109" spans="3:25" ht="12" customHeight="1">
      <c r="C109" s="343" t="str">
        <f t="shared" ca="1" si="16"/>
        <v/>
      </c>
      <c r="D109" s="124" t="str">
        <f t="shared" ca="1" si="11"/>
        <v/>
      </c>
      <c r="E109" s="124" t="str">
        <f t="shared" ca="1" si="12"/>
        <v/>
      </c>
      <c r="F109" s="172" t="str">
        <f ca="1">IF(C109="","",[1]!S_DQ_CLOSE(D109,TODAY(),1))</f>
        <v/>
      </c>
      <c r="G109" s="173" t="str">
        <f ca="1">IF(C109="","",[1]!s_pq_pctchange(D109,TODAY()-$G$12,TODAY())/100)</f>
        <v/>
      </c>
      <c r="H109" s="249" t="str">
        <f ca="1">IF(C109="","",IF($H$11="收入",[1]!S_STM07_IS(D109,9,$G$5,$H$13)/$E$5,[1]!S_STM07_IS(D109,48,$G$5,$H$13)/$E$5))</f>
        <v/>
      </c>
      <c r="I109" s="249" t="str">
        <f ca="1">IF(C109="","",IF($I$11="毛利率",([1]!S_STM07_IS(D109,9,$G$5,$H$13)-[1]!S_STM07_IS(D109,10,$G$5,$H$13))/[1]!S_STM07_IS(D109,9,$G$5,$H$13),[1]!S_STM07_IS(D109,14,$G$5,$H$13)/$E$5))</f>
        <v/>
      </c>
      <c r="J109" s="249" t="str">
        <f ca="1">IF(C109="","",IF($J$11="营业利润率",[1]!S_STM07_IS(D109,48,$G$5,$H$13)/[1]!S_STM07_IS(D109,9,$G$5,$H$13),([1]!S_STM07_CS(D109,87,$G$5,$H$13)+[1]!S_STM07_CS(D109,88,$G$5,$H$13)+[1]!S_STM07_CS(D109,89,$G$5,$H$13))/$E$5))</f>
        <v/>
      </c>
      <c r="K109" s="249" t="str">
        <f ca="1">IF(C109="","",IF($K$11="净利润率",[1]!S_STM07_IS(D109,61,$G$5,$H$13)/[1]!S_STM07_IS(D109,9,$G$5,$H$13),[1]!S_STM07_IS(D109,55,$G$5,$H$13)/$E$5))</f>
        <v/>
      </c>
      <c r="L109" s="249" t="str">
        <f ca="1">IF(C109="","",IF($L$11="ROA",[1]!S_STM07_IS(D109,61,$G$5,$H$13)/[1]!S_STM07_BS(D109,74,$G$5,$H$13),1-[1]!S_STM07_IS(D109,61,$G$5,$H$13)/[1]!S_STM07_IS(D109,55,$G$5,$H$13)))</f>
        <v/>
      </c>
      <c r="M109" s="249" t="str">
        <f ca="1">IF(C109="","",IF($M$11="ROE",[1]!S_STM07_IS(D109,61,$G$5,$H$13)/[1]!S_STM07_BS(D109,141,$G$5,$H$13),([1]!S_STM07_BS(D109,25,$G$5,$H$13)-[1]!S_STM07_BS(D109,93,$G$5,$H$13))/$E$5))</f>
        <v/>
      </c>
      <c r="N109" s="250" t="str">
        <f ca="1">IF(C109="","",IF($N$11="EPS",[1]!S_STM07_IS(D109,61,$G$5,$H$13)/IF([1]!S_SHARE_TOTAL(D109,$G$5)=0,[1]!S_SHARE_TOTAL(D109,[1]!s_ipo_listeddate(D109)),[1]!S_SHARE_TOTAL(D109,$G$5)),([1]!S_STM07_BS(D109,75,$G$5,$H$13)+[1]!S_STM07_BS(D109,88,$G$5,$H$13)+[1]!S_STM07_BS(D109,94,$G$5,$H$13)+[1]!S_STM07_BS(D109,95,$G$5,$H$13))/$E$5))</f>
        <v/>
      </c>
      <c r="O109" s="250" t="str">
        <f ca="1">IF(C109="","",IF($O$11="BPS",[1]!S_STM07_BS(D109,141,$G$5,$H$13)/IF([1]!S_SHARE_TOTAL(D109,$G$5)=0,[1]!S_SHARE_TOTAL(D109,[1]!s_ipo_listeddate(D109)),[1]!S_SHARE_TOTAL(D109,$G$5)),[1]!S_STM07_CS(D109,49,$G$5,$H$13)/$E$5))</f>
        <v/>
      </c>
      <c r="P109" s="250" t="str">
        <f ca="1">IF(C109="","",IF($P$11="CFPS",[1]!S_STM07_CS(D109,84,$G$5,$H$13)/IF([1]!S_SHARE_TOTAL(D109,$G$5)=0,[1]!S_SHARE_TOTAL(D109,[1]!s_ipo_listeddate(D109)),[1]!S_SHARE_TOTAL(D109,$G$5)),[1]!S_STM07_CS(D109,84,$G$5,$H$13)/$E$5))</f>
        <v/>
      </c>
      <c r="Q109" s="198" t="str">
        <f ca="1">IF(C109="","",F109/([1]!S_STM07_IS(D109,61,$G$5,$H$13)/IF([1]!S_SHARE_TOTAL(D109,$G$5)=0,[1]!S_SHARE_TOTAL(D109,[1]!s_ipo_listeddate(D109)),[1]!S_SHARE_TOTAL(D109,$G$5))))</f>
        <v/>
      </c>
      <c r="R109" s="198" t="str">
        <f ca="1">IF(C109="","",F109/([1]!S_STM07_BS(D109,141,$G$5,$H$13)/IF([1]!S_SHARE_TOTAL(D109,$G$5)=0,[1]!S_SHARE_TOTAL(D109,[1]!s_ipo_listeddate(D109)),[1]!S_SHARE_TOTAL(D109,$G$5))))</f>
        <v/>
      </c>
      <c r="S109" s="249" t="str">
        <f ca="1">IF(C109="","",[1]!S_SHARE_TOTAL(D109,TODAY())/$E$5)</f>
        <v/>
      </c>
      <c r="T109" s="249" t="str">
        <f t="shared" ca="1" si="13"/>
        <v/>
      </c>
      <c r="U109" s="172" t="str">
        <f t="shared" ca="1" si="14"/>
        <v/>
      </c>
      <c r="V109" s="343" t="str">
        <f t="shared" ca="1" si="15"/>
        <v/>
      </c>
      <c r="W109" s="139"/>
      <c r="Y109" s="1"/>
    </row>
    <row r="110" spans="3:25" ht="12" customHeight="1">
      <c r="C110" s="342" t="str">
        <f t="shared" ca="1" si="16"/>
        <v/>
      </c>
      <c r="D110" s="153" t="str">
        <f t="shared" ca="1" si="11"/>
        <v/>
      </c>
      <c r="E110" s="153" t="str">
        <f t="shared" ca="1" si="12"/>
        <v/>
      </c>
      <c r="F110" s="170" t="str">
        <f ca="1">IF(C110="","",[1]!S_DQ_CLOSE(D110,TODAY(),1))</f>
        <v/>
      </c>
      <c r="G110" s="171" t="str">
        <f ca="1">IF(C110="","",[1]!s_pq_pctchange(D110,TODAY()-$G$12,TODAY())/100)</f>
        <v/>
      </c>
      <c r="H110" s="247" t="str">
        <f ca="1">IF(C110="","",IF($H$11="收入",[1]!S_STM07_IS(D110,9,$G$5,$H$13)/$E$5,[1]!S_STM07_IS(D110,48,$G$5,$H$13)/$E$5))</f>
        <v/>
      </c>
      <c r="I110" s="247" t="str">
        <f ca="1">IF(C110="","",IF($I$11="毛利率",([1]!S_STM07_IS(D110,9,$G$5,$H$13)-[1]!S_STM07_IS(D110,10,$G$5,$H$13))/[1]!S_STM07_IS(D110,9,$G$5,$H$13),[1]!S_STM07_IS(D110,14,$G$5,$H$13)/$E$5))</f>
        <v/>
      </c>
      <c r="J110" s="247" t="str">
        <f ca="1">IF(C110="","",IF($J$11="营业利润率",[1]!S_STM07_IS(D110,48,$G$5,$H$13)/[1]!S_STM07_IS(D110,9,$G$5,$H$13),([1]!S_STM07_CS(D110,87,$G$5,$H$13)+[1]!S_STM07_CS(D110,88,$G$5,$H$13)+[1]!S_STM07_CS(D110,89,$G$5,$H$13))/$E$5))</f>
        <v/>
      </c>
      <c r="K110" s="247" t="str">
        <f ca="1">IF(C110="","",IF($K$11="净利润率",[1]!S_STM07_IS(D110,61,$G$5,$H$13)/[1]!S_STM07_IS(D110,9,$G$5,$H$13),[1]!S_STM07_IS(D110,55,$G$5,$H$13)/$E$5))</f>
        <v/>
      </c>
      <c r="L110" s="247" t="str">
        <f ca="1">IF(C110="","",IF($L$11="ROA",[1]!S_STM07_IS(D110,61,$G$5,$H$13)/[1]!S_STM07_BS(D110,74,$G$5,$H$13),1-[1]!S_STM07_IS(D110,61,$G$5,$H$13)/[1]!S_STM07_IS(D110,55,$G$5,$H$13)))</f>
        <v/>
      </c>
      <c r="M110" s="247" t="str">
        <f ca="1">IF(C110="","",IF($M$11="ROE",[1]!S_STM07_IS(D110,61,$G$5,$H$13)/[1]!S_STM07_BS(D110,141,$G$5,$H$13),([1]!S_STM07_BS(D110,25,$G$5,$H$13)-[1]!S_STM07_BS(D110,93,$G$5,$H$13))/$E$5))</f>
        <v/>
      </c>
      <c r="N110" s="247" t="str">
        <f ca="1">IF(C110="","",IF($N$11="EPS",[1]!S_STM07_IS(D110,61,$G$5,$H$13)/IF([1]!S_SHARE_TOTAL(D110,$G$5)=0,[1]!S_SHARE_TOTAL(D110,[1]!s_ipo_listeddate(D110)),[1]!S_SHARE_TOTAL(D110,$G$5)),([1]!S_STM07_BS(D110,75,$G$5,$H$13)+[1]!S_STM07_BS(D110,88,$G$5,$H$13)+[1]!S_STM07_BS(D110,94,$G$5,$H$13)+[1]!S_STM07_BS(D110,95,$G$5,$H$13))/$E$5))</f>
        <v/>
      </c>
      <c r="O110" s="247" t="str">
        <f ca="1">IF(C110="","",IF($O$11="BPS",[1]!S_STM07_BS(D110,141,$G$5,$H$13)/IF([1]!S_SHARE_TOTAL(D110,$G$5)=0,[1]!S_SHARE_TOTAL(D110,[1]!s_ipo_listeddate(D110)),[1]!S_SHARE_TOTAL(D110,$G$5)),[1]!S_STM07_CS(D110,49,$G$5,$H$13)/$E$5))</f>
        <v/>
      </c>
      <c r="P110" s="247" t="str">
        <f ca="1">IF(C110="","",IF($P$11="CFPS",[1]!S_STM07_CS(D110,84,$G$5,$H$13)/IF([1]!S_SHARE_TOTAL(D110,$G$5)=0,[1]!S_SHARE_TOTAL(D110,[1]!s_ipo_listeddate(D110)),[1]!S_SHARE_TOTAL(D110,$G$5)),[1]!S_STM07_CS(D110,84,$G$5,$H$13)/$E$5))</f>
        <v/>
      </c>
      <c r="Q110" s="248" t="str">
        <f ca="1">IF(C110="","",F110/([1]!S_STM07_IS(D110,61,$G$5,$H$13)/IF([1]!S_SHARE_TOTAL(D110,$G$5)=0,[1]!S_SHARE_TOTAL(D110,[1]!s_ipo_listeddate(D110)),[1]!S_SHARE_TOTAL(D110,$G$5))))</f>
        <v/>
      </c>
      <c r="R110" s="248" t="str">
        <f ca="1">IF(C110="","",F110/([1]!S_STM07_BS(D110,141,$G$5,$H$13)/IF([1]!S_SHARE_TOTAL(D110,$G$5)=0,[1]!S_SHARE_TOTAL(D110,[1]!s_ipo_listeddate(D110)),[1]!S_SHARE_TOTAL(D110,$G$5))))</f>
        <v/>
      </c>
      <c r="S110" s="247" t="str">
        <f ca="1">IF(C110="","",[1]!S_SHARE_TOTAL(D110,TODAY())/$E$5)</f>
        <v/>
      </c>
      <c r="T110" s="247" t="str">
        <f t="shared" ca="1" si="13"/>
        <v/>
      </c>
      <c r="U110" s="218" t="str">
        <f t="shared" ca="1" si="14"/>
        <v/>
      </c>
      <c r="V110" s="342" t="str">
        <f t="shared" ca="1" si="15"/>
        <v/>
      </c>
      <c r="W110" s="139"/>
      <c r="Y110" s="1"/>
    </row>
    <row r="111" spans="3:25" ht="12" customHeight="1">
      <c r="C111" s="343" t="str">
        <f t="shared" ca="1" si="16"/>
        <v/>
      </c>
      <c r="D111" s="124" t="str">
        <f t="shared" ca="1" si="11"/>
        <v/>
      </c>
      <c r="E111" s="124" t="str">
        <f t="shared" ca="1" si="12"/>
        <v/>
      </c>
      <c r="F111" s="172" t="str">
        <f ca="1">IF(C111="","",[1]!S_DQ_CLOSE(D111,TODAY(),1))</f>
        <v/>
      </c>
      <c r="G111" s="173" t="str">
        <f ca="1">IF(C111="","",[1]!s_pq_pctchange(D111,TODAY()-$G$12,TODAY())/100)</f>
        <v/>
      </c>
      <c r="H111" s="249" t="str">
        <f ca="1">IF(C111="","",IF($H$11="收入",[1]!S_STM07_IS(D111,9,$G$5,$H$13)/$E$5,[1]!S_STM07_IS(D111,48,$G$5,$H$13)/$E$5))</f>
        <v/>
      </c>
      <c r="I111" s="249" t="str">
        <f ca="1">IF(C111="","",IF($I$11="毛利率",([1]!S_STM07_IS(D111,9,$G$5,$H$13)-[1]!S_STM07_IS(D111,10,$G$5,$H$13))/[1]!S_STM07_IS(D111,9,$G$5,$H$13),[1]!S_STM07_IS(D111,14,$G$5,$H$13)/$E$5))</f>
        <v/>
      </c>
      <c r="J111" s="249" t="str">
        <f ca="1">IF(C111="","",IF($J$11="营业利润率",[1]!S_STM07_IS(D111,48,$G$5,$H$13)/[1]!S_STM07_IS(D111,9,$G$5,$H$13),([1]!S_STM07_CS(D111,87,$G$5,$H$13)+[1]!S_STM07_CS(D111,88,$G$5,$H$13)+[1]!S_STM07_CS(D111,89,$G$5,$H$13))/$E$5))</f>
        <v/>
      </c>
      <c r="K111" s="249" t="str">
        <f ca="1">IF(C111="","",IF($K$11="净利润率",[1]!S_STM07_IS(D111,61,$G$5,$H$13)/[1]!S_STM07_IS(D111,9,$G$5,$H$13),[1]!S_STM07_IS(D111,55,$G$5,$H$13)/$E$5))</f>
        <v/>
      </c>
      <c r="L111" s="249" t="str">
        <f ca="1">IF(C111="","",IF($L$11="ROA",[1]!S_STM07_IS(D111,61,$G$5,$H$13)/[1]!S_STM07_BS(D111,74,$G$5,$H$13),1-[1]!S_STM07_IS(D111,61,$G$5,$H$13)/[1]!S_STM07_IS(D111,55,$G$5,$H$13)))</f>
        <v/>
      </c>
      <c r="M111" s="249" t="str">
        <f ca="1">IF(C111="","",IF($M$11="ROE",[1]!S_STM07_IS(D111,61,$G$5,$H$13)/[1]!S_STM07_BS(D111,141,$G$5,$H$13),([1]!S_STM07_BS(D111,25,$G$5,$H$13)-[1]!S_STM07_BS(D111,93,$G$5,$H$13))/$E$5))</f>
        <v/>
      </c>
      <c r="N111" s="250" t="str">
        <f ca="1">IF(C111="","",IF($N$11="EPS",[1]!S_STM07_IS(D111,61,$G$5,$H$13)/IF([1]!S_SHARE_TOTAL(D111,$G$5)=0,[1]!S_SHARE_TOTAL(D111,[1]!s_ipo_listeddate(D111)),[1]!S_SHARE_TOTAL(D111,$G$5)),([1]!S_STM07_BS(D111,75,$G$5,$H$13)+[1]!S_STM07_BS(D111,88,$G$5,$H$13)+[1]!S_STM07_BS(D111,94,$G$5,$H$13)+[1]!S_STM07_BS(D111,95,$G$5,$H$13))/$E$5))</f>
        <v/>
      </c>
      <c r="O111" s="250" t="str">
        <f ca="1">IF(C111="","",IF($O$11="BPS",[1]!S_STM07_BS(D111,141,$G$5,$H$13)/IF([1]!S_SHARE_TOTAL(D111,$G$5)=0,[1]!S_SHARE_TOTAL(D111,[1]!s_ipo_listeddate(D111)),[1]!S_SHARE_TOTAL(D111,$G$5)),[1]!S_STM07_CS(D111,49,$G$5,$H$13)/$E$5))</f>
        <v/>
      </c>
      <c r="P111" s="250" t="str">
        <f ca="1">IF(C111="","",IF($P$11="CFPS",[1]!S_STM07_CS(D111,84,$G$5,$H$13)/IF([1]!S_SHARE_TOTAL(D111,$G$5)=0,[1]!S_SHARE_TOTAL(D111,[1]!s_ipo_listeddate(D111)),[1]!S_SHARE_TOTAL(D111,$G$5)),[1]!S_STM07_CS(D111,84,$G$5,$H$13)/$E$5))</f>
        <v/>
      </c>
      <c r="Q111" s="198" t="str">
        <f ca="1">IF(C111="","",F111/([1]!S_STM07_IS(D111,61,$G$5,$H$13)/IF([1]!S_SHARE_TOTAL(D111,$G$5)=0,[1]!S_SHARE_TOTAL(D111,[1]!s_ipo_listeddate(D111)),[1]!S_SHARE_TOTAL(D111,$G$5))))</f>
        <v/>
      </c>
      <c r="R111" s="198" t="str">
        <f ca="1">IF(C111="","",F111/([1]!S_STM07_BS(D111,141,$G$5,$H$13)/IF([1]!S_SHARE_TOTAL(D111,$G$5)=0,[1]!S_SHARE_TOTAL(D111,[1]!s_ipo_listeddate(D111)),[1]!S_SHARE_TOTAL(D111,$G$5))))</f>
        <v/>
      </c>
      <c r="S111" s="249" t="str">
        <f ca="1">IF(C111="","",[1]!S_SHARE_TOTAL(D111,TODAY())/$E$5)</f>
        <v/>
      </c>
      <c r="T111" s="249" t="str">
        <f t="shared" ca="1" si="13"/>
        <v/>
      </c>
      <c r="U111" s="172" t="str">
        <f t="shared" ca="1" si="14"/>
        <v/>
      </c>
      <c r="V111" s="343" t="str">
        <f t="shared" ca="1" si="15"/>
        <v/>
      </c>
      <c r="W111" s="139"/>
      <c r="Y111" s="1"/>
    </row>
    <row r="112" spans="3:25" ht="12" customHeight="1">
      <c r="C112" s="342" t="str">
        <f t="shared" ca="1" si="16"/>
        <v/>
      </c>
      <c r="D112" s="153" t="str">
        <f t="shared" ca="1" si="11"/>
        <v/>
      </c>
      <c r="E112" s="153" t="str">
        <f t="shared" ca="1" si="12"/>
        <v/>
      </c>
      <c r="F112" s="170" t="str">
        <f ca="1">IF(C112="","",[1]!S_DQ_CLOSE(D112,TODAY(),1))</f>
        <v/>
      </c>
      <c r="G112" s="171" t="str">
        <f ca="1">IF(C112="","",[1]!s_pq_pctchange(D112,TODAY()-$G$12,TODAY())/100)</f>
        <v/>
      </c>
      <c r="H112" s="247" t="str">
        <f ca="1">IF(C112="","",IF($H$11="收入",[1]!S_STM07_IS(D112,9,$G$5,$H$13)/$E$5,[1]!S_STM07_IS(D112,48,$G$5,$H$13)/$E$5))</f>
        <v/>
      </c>
      <c r="I112" s="247" t="str">
        <f ca="1">IF(C112="","",IF($I$11="毛利率",([1]!S_STM07_IS(D112,9,$G$5,$H$13)-[1]!S_STM07_IS(D112,10,$G$5,$H$13))/[1]!S_STM07_IS(D112,9,$G$5,$H$13),[1]!S_STM07_IS(D112,14,$G$5,$H$13)/$E$5))</f>
        <v/>
      </c>
      <c r="J112" s="247" t="str">
        <f ca="1">IF(C112="","",IF($J$11="营业利润率",[1]!S_STM07_IS(D112,48,$G$5,$H$13)/[1]!S_STM07_IS(D112,9,$G$5,$H$13),([1]!S_STM07_CS(D112,87,$G$5,$H$13)+[1]!S_STM07_CS(D112,88,$G$5,$H$13)+[1]!S_STM07_CS(D112,89,$G$5,$H$13))/$E$5))</f>
        <v/>
      </c>
      <c r="K112" s="247" t="str">
        <f ca="1">IF(C112="","",IF($K$11="净利润率",[1]!S_STM07_IS(D112,61,$G$5,$H$13)/[1]!S_STM07_IS(D112,9,$G$5,$H$13),[1]!S_STM07_IS(D112,55,$G$5,$H$13)/$E$5))</f>
        <v/>
      </c>
      <c r="L112" s="247" t="str">
        <f ca="1">IF(C112="","",IF($L$11="ROA",[1]!S_STM07_IS(D112,61,$G$5,$H$13)/[1]!S_STM07_BS(D112,74,$G$5,$H$13),1-[1]!S_STM07_IS(D112,61,$G$5,$H$13)/[1]!S_STM07_IS(D112,55,$G$5,$H$13)))</f>
        <v/>
      </c>
      <c r="M112" s="247" t="str">
        <f ca="1">IF(C112="","",IF($M$11="ROE",[1]!S_STM07_IS(D112,61,$G$5,$H$13)/[1]!S_STM07_BS(D112,141,$G$5,$H$13),([1]!S_STM07_BS(D112,25,$G$5,$H$13)-[1]!S_STM07_BS(D112,93,$G$5,$H$13))/$E$5))</f>
        <v/>
      </c>
      <c r="N112" s="247" t="str">
        <f ca="1">IF(C112="","",IF($N$11="EPS",[1]!S_STM07_IS(D112,61,$G$5,$H$13)/IF([1]!S_SHARE_TOTAL(D112,$G$5)=0,[1]!S_SHARE_TOTAL(D112,[1]!s_ipo_listeddate(D112)),[1]!S_SHARE_TOTAL(D112,$G$5)),([1]!S_STM07_BS(D112,75,$G$5,$H$13)+[1]!S_STM07_BS(D112,88,$G$5,$H$13)+[1]!S_STM07_BS(D112,94,$G$5,$H$13)+[1]!S_STM07_BS(D112,95,$G$5,$H$13))/$E$5))</f>
        <v/>
      </c>
      <c r="O112" s="247" t="str">
        <f ca="1">IF(C112="","",IF($O$11="BPS",[1]!S_STM07_BS(D112,141,$G$5,$H$13)/IF([1]!S_SHARE_TOTAL(D112,$G$5)=0,[1]!S_SHARE_TOTAL(D112,[1]!s_ipo_listeddate(D112)),[1]!S_SHARE_TOTAL(D112,$G$5)),[1]!S_STM07_CS(D112,49,$G$5,$H$13)/$E$5))</f>
        <v/>
      </c>
      <c r="P112" s="247" t="str">
        <f ca="1">IF(C112="","",IF($P$11="CFPS",[1]!S_STM07_CS(D112,84,$G$5,$H$13)/IF([1]!S_SHARE_TOTAL(D112,$G$5)=0,[1]!S_SHARE_TOTAL(D112,[1]!s_ipo_listeddate(D112)),[1]!S_SHARE_TOTAL(D112,$G$5)),[1]!S_STM07_CS(D112,84,$G$5,$H$13)/$E$5))</f>
        <v/>
      </c>
      <c r="Q112" s="248" t="str">
        <f ca="1">IF(C112="","",F112/([1]!S_STM07_IS(D112,61,$G$5,$H$13)/IF([1]!S_SHARE_TOTAL(D112,$G$5)=0,[1]!S_SHARE_TOTAL(D112,[1]!s_ipo_listeddate(D112)),[1]!S_SHARE_TOTAL(D112,$G$5))))</f>
        <v/>
      </c>
      <c r="R112" s="248" t="str">
        <f ca="1">IF(C112="","",F112/([1]!S_STM07_BS(D112,141,$G$5,$H$13)/IF([1]!S_SHARE_TOTAL(D112,$G$5)=0,[1]!S_SHARE_TOTAL(D112,[1]!s_ipo_listeddate(D112)),[1]!S_SHARE_TOTAL(D112,$G$5))))</f>
        <v/>
      </c>
      <c r="S112" s="247" t="str">
        <f ca="1">IF(C112="","",[1]!S_SHARE_TOTAL(D112,TODAY())/$E$5)</f>
        <v/>
      </c>
      <c r="T112" s="247" t="str">
        <f t="shared" ca="1" si="13"/>
        <v/>
      </c>
      <c r="U112" s="218" t="str">
        <f t="shared" ca="1" si="14"/>
        <v/>
      </c>
      <c r="V112" s="342" t="str">
        <f t="shared" ca="1" si="15"/>
        <v/>
      </c>
      <c r="W112" s="139"/>
      <c r="Y112" s="1"/>
    </row>
    <row r="113" spans="3:25" ht="12" customHeight="1">
      <c r="C113" s="343" t="str">
        <f t="shared" ca="1" si="16"/>
        <v/>
      </c>
      <c r="D113" s="124" t="str">
        <f t="shared" ref="D113:D164" ca="1" si="17">IF(C113="","",VLOOKUP(C113,comppool,2,FALSE))</f>
        <v/>
      </c>
      <c r="E113" s="124" t="str">
        <f t="shared" ref="E113:E164" ca="1" si="18">IF(C113="","",VLOOKUP(C113,comppool,3,FALSE))</f>
        <v/>
      </c>
      <c r="F113" s="172" t="str">
        <f ca="1">IF(C113="","",[1]!S_DQ_CLOSE(D113,TODAY(),1))</f>
        <v/>
      </c>
      <c r="G113" s="173" t="str">
        <f ca="1">IF(C113="","",[1]!s_pq_pctchange(D113,TODAY()-$G$12,TODAY())/100)</f>
        <v/>
      </c>
      <c r="H113" s="249" t="str">
        <f ca="1">IF(C113="","",IF($H$11="收入",[1]!S_STM07_IS(D113,9,$G$5,$H$13)/$E$5,[1]!S_STM07_IS(D113,48,$G$5,$H$13)/$E$5))</f>
        <v/>
      </c>
      <c r="I113" s="249" t="str">
        <f ca="1">IF(C113="","",IF($I$11="毛利率",([1]!S_STM07_IS(D113,9,$G$5,$H$13)-[1]!S_STM07_IS(D113,10,$G$5,$H$13))/[1]!S_STM07_IS(D113,9,$G$5,$H$13),[1]!S_STM07_IS(D113,14,$G$5,$H$13)/$E$5))</f>
        <v/>
      </c>
      <c r="J113" s="249" t="str">
        <f ca="1">IF(C113="","",IF($J$11="营业利润率",[1]!S_STM07_IS(D113,48,$G$5,$H$13)/[1]!S_STM07_IS(D113,9,$G$5,$H$13),([1]!S_STM07_CS(D113,87,$G$5,$H$13)+[1]!S_STM07_CS(D113,88,$G$5,$H$13)+[1]!S_STM07_CS(D113,89,$G$5,$H$13))/$E$5))</f>
        <v/>
      </c>
      <c r="K113" s="249" t="str">
        <f ca="1">IF(C113="","",IF($K$11="净利润率",[1]!S_STM07_IS(D113,61,$G$5,$H$13)/[1]!S_STM07_IS(D113,9,$G$5,$H$13),[1]!S_STM07_IS(D113,55,$G$5,$H$13)/$E$5))</f>
        <v/>
      </c>
      <c r="L113" s="249" t="str">
        <f ca="1">IF(C113="","",IF($L$11="ROA",[1]!S_STM07_IS(D113,61,$G$5,$H$13)/[1]!S_STM07_BS(D113,74,$G$5,$H$13),1-[1]!S_STM07_IS(D113,61,$G$5,$H$13)/[1]!S_STM07_IS(D113,55,$G$5,$H$13)))</f>
        <v/>
      </c>
      <c r="M113" s="249" t="str">
        <f ca="1">IF(C113="","",IF($M$11="ROE",[1]!S_STM07_IS(D113,61,$G$5,$H$13)/[1]!S_STM07_BS(D113,141,$G$5,$H$13),([1]!S_STM07_BS(D113,25,$G$5,$H$13)-[1]!S_STM07_BS(D113,93,$G$5,$H$13))/$E$5))</f>
        <v/>
      </c>
      <c r="N113" s="250" t="str">
        <f ca="1">IF(C113="","",IF($N$11="EPS",[1]!S_STM07_IS(D113,61,$G$5,$H$13)/IF([1]!S_SHARE_TOTAL(D113,$G$5)=0,[1]!S_SHARE_TOTAL(D113,[1]!s_ipo_listeddate(D113)),[1]!S_SHARE_TOTAL(D113,$G$5)),([1]!S_STM07_BS(D113,75,$G$5,$H$13)+[1]!S_STM07_BS(D113,88,$G$5,$H$13)+[1]!S_STM07_BS(D113,94,$G$5,$H$13)+[1]!S_STM07_BS(D113,95,$G$5,$H$13))/$E$5))</f>
        <v/>
      </c>
      <c r="O113" s="250" t="str">
        <f ca="1">IF(C113="","",IF($O$11="BPS",[1]!S_STM07_BS(D113,141,$G$5,$H$13)/IF([1]!S_SHARE_TOTAL(D113,$G$5)=0,[1]!S_SHARE_TOTAL(D113,[1]!s_ipo_listeddate(D113)),[1]!S_SHARE_TOTAL(D113,$G$5)),[1]!S_STM07_CS(D113,49,$G$5,$H$13)/$E$5))</f>
        <v/>
      </c>
      <c r="P113" s="250" t="str">
        <f ca="1">IF(C113="","",IF($P$11="CFPS",[1]!S_STM07_CS(D113,84,$G$5,$H$13)/IF([1]!S_SHARE_TOTAL(D113,$G$5)=0,[1]!S_SHARE_TOTAL(D113,[1]!s_ipo_listeddate(D113)),[1]!S_SHARE_TOTAL(D113,$G$5)),[1]!S_STM07_CS(D113,84,$G$5,$H$13)/$E$5))</f>
        <v/>
      </c>
      <c r="Q113" s="198" t="str">
        <f ca="1">IF(C113="","",F113/([1]!S_STM07_IS(D113,61,$G$5,$H$13)/IF([1]!S_SHARE_TOTAL(D113,$G$5)=0,[1]!S_SHARE_TOTAL(D113,[1]!s_ipo_listeddate(D113)),[1]!S_SHARE_TOTAL(D113,$G$5))))</f>
        <v/>
      </c>
      <c r="R113" s="198" t="str">
        <f ca="1">IF(C113="","",F113/([1]!S_STM07_BS(D113,141,$G$5,$H$13)/IF([1]!S_SHARE_TOTAL(D113,$G$5)=0,[1]!S_SHARE_TOTAL(D113,[1]!s_ipo_listeddate(D113)),[1]!S_SHARE_TOTAL(D113,$G$5))))</f>
        <v/>
      </c>
      <c r="S113" s="249" t="str">
        <f ca="1">IF(C113="","",[1]!S_SHARE_TOTAL(D113,TODAY())/$E$5)</f>
        <v/>
      </c>
      <c r="T113" s="249" t="str">
        <f t="shared" ref="T113:T164" ca="1" si="19">IF(C113="","",F113*S113)</f>
        <v/>
      </c>
      <c r="U113" s="172" t="str">
        <f t="shared" ref="U113:U164" ca="1" si="20">IF(C113="","",HLOOKUP($V$12,$G$11:$T$20003,ROW()-ROW($G$11)+1,FALSE))</f>
        <v/>
      </c>
      <c r="V113" s="343" t="str">
        <f t="shared" ref="V113:V164" ca="1" si="21">IF(C113="","",RANK(U113,U:U,0))</f>
        <v/>
      </c>
      <c r="W113" s="139"/>
      <c r="Y113" s="1"/>
    </row>
    <row r="114" spans="3:25" ht="12" customHeight="1">
      <c r="C114" s="342" t="str">
        <f t="shared" ca="1" si="16"/>
        <v/>
      </c>
      <c r="D114" s="153" t="str">
        <f t="shared" ca="1" si="17"/>
        <v/>
      </c>
      <c r="E114" s="153" t="str">
        <f t="shared" ca="1" si="18"/>
        <v/>
      </c>
      <c r="F114" s="170" t="str">
        <f ca="1">IF(C114="","",[1]!S_DQ_CLOSE(D114,TODAY(),1))</f>
        <v/>
      </c>
      <c r="G114" s="171" t="str">
        <f ca="1">IF(C114="","",[1]!s_pq_pctchange(D114,TODAY()-$G$12,TODAY())/100)</f>
        <v/>
      </c>
      <c r="H114" s="247" t="str">
        <f ca="1">IF(C114="","",IF($H$11="收入",[1]!S_STM07_IS(D114,9,$G$5,$H$13)/$E$5,[1]!S_STM07_IS(D114,48,$G$5,$H$13)/$E$5))</f>
        <v/>
      </c>
      <c r="I114" s="247" t="str">
        <f ca="1">IF(C114="","",IF($I$11="毛利率",([1]!S_STM07_IS(D114,9,$G$5,$H$13)-[1]!S_STM07_IS(D114,10,$G$5,$H$13))/[1]!S_STM07_IS(D114,9,$G$5,$H$13),[1]!S_STM07_IS(D114,14,$G$5,$H$13)/$E$5))</f>
        <v/>
      </c>
      <c r="J114" s="247" t="str">
        <f ca="1">IF(C114="","",IF($J$11="营业利润率",[1]!S_STM07_IS(D114,48,$G$5,$H$13)/[1]!S_STM07_IS(D114,9,$G$5,$H$13),([1]!S_STM07_CS(D114,87,$G$5,$H$13)+[1]!S_STM07_CS(D114,88,$G$5,$H$13)+[1]!S_STM07_CS(D114,89,$G$5,$H$13))/$E$5))</f>
        <v/>
      </c>
      <c r="K114" s="247" t="str">
        <f ca="1">IF(C114="","",IF($K$11="净利润率",[1]!S_STM07_IS(D114,61,$G$5,$H$13)/[1]!S_STM07_IS(D114,9,$G$5,$H$13),[1]!S_STM07_IS(D114,55,$G$5,$H$13)/$E$5))</f>
        <v/>
      </c>
      <c r="L114" s="247" t="str">
        <f ca="1">IF(C114="","",IF($L$11="ROA",[1]!S_STM07_IS(D114,61,$G$5,$H$13)/[1]!S_STM07_BS(D114,74,$G$5,$H$13),1-[1]!S_STM07_IS(D114,61,$G$5,$H$13)/[1]!S_STM07_IS(D114,55,$G$5,$H$13)))</f>
        <v/>
      </c>
      <c r="M114" s="247" t="str">
        <f ca="1">IF(C114="","",IF($M$11="ROE",[1]!S_STM07_IS(D114,61,$G$5,$H$13)/[1]!S_STM07_BS(D114,141,$G$5,$H$13),([1]!S_STM07_BS(D114,25,$G$5,$H$13)-[1]!S_STM07_BS(D114,93,$G$5,$H$13))/$E$5))</f>
        <v/>
      </c>
      <c r="N114" s="247" t="str">
        <f ca="1">IF(C114="","",IF($N$11="EPS",[1]!S_STM07_IS(D114,61,$G$5,$H$13)/IF([1]!S_SHARE_TOTAL(D114,$G$5)=0,[1]!S_SHARE_TOTAL(D114,[1]!s_ipo_listeddate(D114)),[1]!S_SHARE_TOTAL(D114,$G$5)),([1]!S_STM07_BS(D114,75,$G$5,$H$13)+[1]!S_STM07_BS(D114,88,$G$5,$H$13)+[1]!S_STM07_BS(D114,94,$G$5,$H$13)+[1]!S_STM07_BS(D114,95,$G$5,$H$13))/$E$5))</f>
        <v/>
      </c>
      <c r="O114" s="247" t="str">
        <f ca="1">IF(C114="","",IF($O$11="BPS",[1]!S_STM07_BS(D114,141,$G$5,$H$13)/IF([1]!S_SHARE_TOTAL(D114,$G$5)=0,[1]!S_SHARE_TOTAL(D114,[1]!s_ipo_listeddate(D114)),[1]!S_SHARE_TOTAL(D114,$G$5)),[1]!S_STM07_CS(D114,49,$G$5,$H$13)/$E$5))</f>
        <v/>
      </c>
      <c r="P114" s="247" t="str">
        <f ca="1">IF(C114="","",IF($P$11="CFPS",[1]!S_STM07_CS(D114,84,$G$5,$H$13)/IF([1]!S_SHARE_TOTAL(D114,$G$5)=0,[1]!S_SHARE_TOTAL(D114,[1]!s_ipo_listeddate(D114)),[1]!S_SHARE_TOTAL(D114,$G$5)),[1]!S_STM07_CS(D114,84,$G$5,$H$13)/$E$5))</f>
        <v/>
      </c>
      <c r="Q114" s="248" t="str">
        <f ca="1">IF(C114="","",F114/([1]!S_STM07_IS(D114,61,$G$5,$H$13)/IF([1]!S_SHARE_TOTAL(D114,$G$5)=0,[1]!S_SHARE_TOTAL(D114,[1]!s_ipo_listeddate(D114)),[1]!S_SHARE_TOTAL(D114,$G$5))))</f>
        <v/>
      </c>
      <c r="R114" s="248" t="str">
        <f ca="1">IF(C114="","",F114/([1]!S_STM07_BS(D114,141,$G$5,$H$13)/IF([1]!S_SHARE_TOTAL(D114,$G$5)=0,[1]!S_SHARE_TOTAL(D114,[1]!s_ipo_listeddate(D114)),[1]!S_SHARE_TOTAL(D114,$G$5))))</f>
        <v/>
      </c>
      <c r="S114" s="247" t="str">
        <f ca="1">IF(C114="","",[1]!S_SHARE_TOTAL(D114,TODAY())/$E$5)</f>
        <v/>
      </c>
      <c r="T114" s="247" t="str">
        <f t="shared" ca="1" si="19"/>
        <v/>
      </c>
      <c r="U114" s="218" t="str">
        <f t="shared" ca="1" si="20"/>
        <v/>
      </c>
      <c r="V114" s="342" t="str">
        <f t="shared" ca="1" si="21"/>
        <v/>
      </c>
      <c r="W114" s="139"/>
      <c r="Y114" s="1"/>
    </row>
    <row r="115" spans="3:25" ht="12" customHeight="1">
      <c r="C115" s="343" t="str">
        <f t="shared" ca="1" si="16"/>
        <v/>
      </c>
      <c r="D115" s="124" t="str">
        <f t="shared" ca="1" si="17"/>
        <v/>
      </c>
      <c r="E115" s="124" t="str">
        <f t="shared" ca="1" si="18"/>
        <v/>
      </c>
      <c r="F115" s="172" t="str">
        <f ca="1">IF(C115="","",[1]!S_DQ_CLOSE(D115,TODAY(),1))</f>
        <v/>
      </c>
      <c r="G115" s="173" t="str">
        <f ca="1">IF(C115="","",[1]!s_pq_pctchange(D115,TODAY()-$G$12,TODAY())/100)</f>
        <v/>
      </c>
      <c r="H115" s="249" t="str">
        <f ca="1">IF(C115="","",IF($H$11="收入",[1]!S_STM07_IS(D115,9,$G$5,$H$13)/$E$5,[1]!S_STM07_IS(D115,48,$G$5,$H$13)/$E$5))</f>
        <v/>
      </c>
      <c r="I115" s="249" t="str">
        <f ca="1">IF(C115="","",IF($I$11="毛利率",([1]!S_STM07_IS(D115,9,$G$5,$H$13)-[1]!S_STM07_IS(D115,10,$G$5,$H$13))/[1]!S_STM07_IS(D115,9,$G$5,$H$13),[1]!S_STM07_IS(D115,14,$G$5,$H$13)/$E$5))</f>
        <v/>
      </c>
      <c r="J115" s="249" t="str">
        <f ca="1">IF(C115="","",IF($J$11="营业利润率",[1]!S_STM07_IS(D115,48,$G$5,$H$13)/[1]!S_STM07_IS(D115,9,$G$5,$H$13),([1]!S_STM07_CS(D115,87,$G$5,$H$13)+[1]!S_STM07_CS(D115,88,$G$5,$H$13)+[1]!S_STM07_CS(D115,89,$G$5,$H$13))/$E$5))</f>
        <v/>
      </c>
      <c r="K115" s="249" t="str">
        <f ca="1">IF(C115="","",IF($K$11="净利润率",[1]!S_STM07_IS(D115,61,$G$5,$H$13)/[1]!S_STM07_IS(D115,9,$G$5,$H$13),[1]!S_STM07_IS(D115,55,$G$5,$H$13)/$E$5))</f>
        <v/>
      </c>
      <c r="L115" s="249" t="str">
        <f ca="1">IF(C115="","",IF($L$11="ROA",[1]!S_STM07_IS(D115,61,$G$5,$H$13)/[1]!S_STM07_BS(D115,74,$G$5,$H$13),1-[1]!S_STM07_IS(D115,61,$G$5,$H$13)/[1]!S_STM07_IS(D115,55,$G$5,$H$13)))</f>
        <v/>
      </c>
      <c r="M115" s="249" t="str">
        <f ca="1">IF(C115="","",IF($M$11="ROE",[1]!S_STM07_IS(D115,61,$G$5,$H$13)/[1]!S_STM07_BS(D115,141,$G$5,$H$13),([1]!S_STM07_BS(D115,25,$G$5,$H$13)-[1]!S_STM07_BS(D115,93,$G$5,$H$13))/$E$5))</f>
        <v/>
      </c>
      <c r="N115" s="250" t="str">
        <f ca="1">IF(C115="","",IF($N$11="EPS",[1]!S_STM07_IS(D115,61,$G$5,$H$13)/IF([1]!S_SHARE_TOTAL(D115,$G$5)=0,[1]!S_SHARE_TOTAL(D115,[1]!s_ipo_listeddate(D115)),[1]!S_SHARE_TOTAL(D115,$G$5)),([1]!S_STM07_BS(D115,75,$G$5,$H$13)+[1]!S_STM07_BS(D115,88,$G$5,$H$13)+[1]!S_STM07_BS(D115,94,$G$5,$H$13)+[1]!S_STM07_BS(D115,95,$G$5,$H$13))/$E$5))</f>
        <v/>
      </c>
      <c r="O115" s="250" t="str">
        <f ca="1">IF(C115="","",IF($O$11="BPS",[1]!S_STM07_BS(D115,141,$G$5,$H$13)/IF([1]!S_SHARE_TOTAL(D115,$G$5)=0,[1]!S_SHARE_TOTAL(D115,[1]!s_ipo_listeddate(D115)),[1]!S_SHARE_TOTAL(D115,$G$5)),[1]!S_STM07_CS(D115,49,$G$5,$H$13)/$E$5))</f>
        <v/>
      </c>
      <c r="P115" s="250" t="str">
        <f ca="1">IF(C115="","",IF($P$11="CFPS",[1]!S_STM07_CS(D115,84,$G$5,$H$13)/IF([1]!S_SHARE_TOTAL(D115,$G$5)=0,[1]!S_SHARE_TOTAL(D115,[1]!s_ipo_listeddate(D115)),[1]!S_SHARE_TOTAL(D115,$G$5)),[1]!S_STM07_CS(D115,84,$G$5,$H$13)/$E$5))</f>
        <v/>
      </c>
      <c r="Q115" s="198" t="str">
        <f ca="1">IF(C115="","",F115/([1]!S_STM07_IS(D115,61,$G$5,$H$13)/IF([1]!S_SHARE_TOTAL(D115,$G$5)=0,[1]!S_SHARE_TOTAL(D115,[1]!s_ipo_listeddate(D115)),[1]!S_SHARE_TOTAL(D115,$G$5))))</f>
        <v/>
      </c>
      <c r="R115" s="198" t="str">
        <f ca="1">IF(C115="","",F115/([1]!S_STM07_BS(D115,141,$G$5,$H$13)/IF([1]!S_SHARE_TOTAL(D115,$G$5)=0,[1]!S_SHARE_TOTAL(D115,[1]!s_ipo_listeddate(D115)),[1]!S_SHARE_TOTAL(D115,$G$5))))</f>
        <v/>
      </c>
      <c r="S115" s="249" t="str">
        <f ca="1">IF(C115="","",[1]!S_SHARE_TOTAL(D115,TODAY())/$E$5)</f>
        <v/>
      </c>
      <c r="T115" s="249" t="str">
        <f t="shared" ca="1" si="19"/>
        <v/>
      </c>
      <c r="U115" s="172" t="str">
        <f t="shared" ca="1" si="20"/>
        <v/>
      </c>
      <c r="V115" s="343" t="str">
        <f t="shared" ca="1" si="21"/>
        <v/>
      </c>
      <c r="W115" s="139"/>
      <c r="Y115" s="1"/>
    </row>
    <row r="116" spans="3:25" ht="12" customHeight="1">
      <c r="C116" s="342" t="str">
        <f t="shared" ca="1" si="16"/>
        <v/>
      </c>
      <c r="D116" s="153" t="str">
        <f t="shared" ca="1" si="17"/>
        <v/>
      </c>
      <c r="E116" s="153" t="str">
        <f t="shared" ca="1" si="18"/>
        <v/>
      </c>
      <c r="F116" s="170" t="str">
        <f ca="1">IF(C116="","",[1]!S_DQ_CLOSE(D116,TODAY(),1))</f>
        <v/>
      </c>
      <c r="G116" s="171" t="str">
        <f ca="1">IF(C116="","",[1]!s_pq_pctchange(D116,TODAY()-$G$12,TODAY())/100)</f>
        <v/>
      </c>
      <c r="H116" s="247" t="str">
        <f ca="1">IF(C116="","",IF($H$11="收入",[1]!S_STM07_IS(D116,9,$G$5,$H$13)/$E$5,[1]!S_STM07_IS(D116,48,$G$5,$H$13)/$E$5))</f>
        <v/>
      </c>
      <c r="I116" s="247" t="str">
        <f ca="1">IF(C116="","",IF($I$11="毛利率",([1]!S_STM07_IS(D116,9,$G$5,$H$13)-[1]!S_STM07_IS(D116,10,$G$5,$H$13))/[1]!S_STM07_IS(D116,9,$G$5,$H$13),[1]!S_STM07_IS(D116,14,$G$5,$H$13)/$E$5))</f>
        <v/>
      </c>
      <c r="J116" s="247" t="str">
        <f ca="1">IF(C116="","",IF($J$11="营业利润率",[1]!S_STM07_IS(D116,48,$G$5,$H$13)/[1]!S_STM07_IS(D116,9,$G$5,$H$13),([1]!S_STM07_CS(D116,87,$G$5,$H$13)+[1]!S_STM07_CS(D116,88,$G$5,$H$13)+[1]!S_STM07_CS(D116,89,$G$5,$H$13))/$E$5))</f>
        <v/>
      </c>
      <c r="K116" s="247" t="str">
        <f ca="1">IF(C116="","",IF($K$11="净利润率",[1]!S_STM07_IS(D116,61,$G$5,$H$13)/[1]!S_STM07_IS(D116,9,$G$5,$H$13),[1]!S_STM07_IS(D116,55,$G$5,$H$13)/$E$5))</f>
        <v/>
      </c>
      <c r="L116" s="247" t="str">
        <f ca="1">IF(C116="","",IF($L$11="ROA",[1]!S_STM07_IS(D116,61,$G$5,$H$13)/[1]!S_STM07_BS(D116,74,$G$5,$H$13),1-[1]!S_STM07_IS(D116,61,$G$5,$H$13)/[1]!S_STM07_IS(D116,55,$G$5,$H$13)))</f>
        <v/>
      </c>
      <c r="M116" s="247" t="str">
        <f ca="1">IF(C116="","",IF($M$11="ROE",[1]!S_STM07_IS(D116,61,$G$5,$H$13)/[1]!S_STM07_BS(D116,141,$G$5,$H$13),([1]!S_STM07_BS(D116,25,$G$5,$H$13)-[1]!S_STM07_BS(D116,93,$G$5,$H$13))/$E$5))</f>
        <v/>
      </c>
      <c r="N116" s="247" t="str">
        <f ca="1">IF(C116="","",IF($N$11="EPS",[1]!S_STM07_IS(D116,61,$G$5,$H$13)/IF([1]!S_SHARE_TOTAL(D116,$G$5)=0,[1]!S_SHARE_TOTAL(D116,[1]!s_ipo_listeddate(D116)),[1]!S_SHARE_TOTAL(D116,$G$5)),([1]!S_STM07_BS(D116,75,$G$5,$H$13)+[1]!S_STM07_BS(D116,88,$G$5,$H$13)+[1]!S_STM07_BS(D116,94,$G$5,$H$13)+[1]!S_STM07_BS(D116,95,$G$5,$H$13))/$E$5))</f>
        <v/>
      </c>
      <c r="O116" s="247" t="str">
        <f ca="1">IF(C116="","",IF($O$11="BPS",[1]!S_STM07_BS(D116,141,$G$5,$H$13)/IF([1]!S_SHARE_TOTAL(D116,$G$5)=0,[1]!S_SHARE_TOTAL(D116,[1]!s_ipo_listeddate(D116)),[1]!S_SHARE_TOTAL(D116,$G$5)),[1]!S_STM07_CS(D116,49,$G$5,$H$13)/$E$5))</f>
        <v/>
      </c>
      <c r="P116" s="247" t="str">
        <f ca="1">IF(C116="","",IF($P$11="CFPS",[1]!S_STM07_CS(D116,84,$G$5,$H$13)/IF([1]!S_SHARE_TOTAL(D116,$G$5)=0,[1]!S_SHARE_TOTAL(D116,[1]!s_ipo_listeddate(D116)),[1]!S_SHARE_TOTAL(D116,$G$5)),[1]!S_STM07_CS(D116,84,$G$5,$H$13)/$E$5))</f>
        <v/>
      </c>
      <c r="Q116" s="248" t="str">
        <f ca="1">IF(C116="","",F116/([1]!S_STM07_IS(D116,61,$G$5,$H$13)/IF([1]!S_SHARE_TOTAL(D116,$G$5)=0,[1]!S_SHARE_TOTAL(D116,[1]!s_ipo_listeddate(D116)),[1]!S_SHARE_TOTAL(D116,$G$5))))</f>
        <v/>
      </c>
      <c r="R116" s="248" t="str">
        <f ca="1">IF(C116="","",F116/([1]!S_STM07_BS(D116,141,$G$5,$H$13)/IF([1]!S_SHARE_TOTAL(D116,$G$5)=0,[1]!S_SHARE_TOTAL(D116,[1]!s_ipo_listeddate(D116)),[1]!S_SHARE_TOTAL(D116,$G$5))))</f>
        <v/>
      </c>
      <c r="S116" s="247" t="str">
        <f ca="1">IF(C116="","",[1]!S_SHARE_TOTAL(D116,TODAY())/$E$5)</f>
        <v/>
      </c>
      <c r="T116" s="247" t="str">
        <f t="shared" ca="1" si="19"/>
        <v/>
      </c>
      <c r="U116" s="218" t="str">
        <f t="shared" ca="1" si="20"/>
        <v/>
      </c>
      <c r="V116" s="342" t="str">
        <f t="shared" ca="1" si="21"/>
        <v/>
      </c>
      <c r="W116" s="139"/>
      <c r="Y116" s="1"/>
    </row>
    <row r="117" spans="3:25" ht="12" customHeight="1">
      <c r="C117" s="343" t="str">
        <f t="shared" ca="1" si="16"/>
        <v/>
      </c>
      <c r="D117" s="124" t="str">
        <f t="shared" ca="1" si="17"/>
        <v/>
      </c>
      <c r="E117" s="124" t="str">
        <f t="shared" ca="1" si="18"/>
        <v/>
      </c>
      <c r="F117" s="172" t="str">
        <f ca="1">IF(C117="","",[1]!S_DQ_CLOSE(D117,TODAY(),1))</f>
        <v/>
      </c>
      <c r="G117" s="173" t="str">
        <f ca="1">IF(C117="","",[1]!s_pq_pctchange(D117,TODAY()-$G$12,TODAY())/100)</f>
        <v/>
      </c>
      <c r="H117" s="249" t="str">
        <f ca="1">IF(C117="","",IF($H$11="收入",[1]!S_STM07_IS(D117,9,$G$5,$H$13)/$E$5,[1]!S_STM07_IS(D117,48,$G$5,$H$13)/$E$5))</f>
        <v/>
      </c>
      <c r="I117" s="249" t="str">
        <f ca="1">IF(C117="","",IF($I$11="毛利率",([1]!S_STM07_IS(D117,9,$G$5,$H$13)-[1]!S_STM07_IS(D117,10,$G$5,$H$13))/[1]!S_STM07_IS(D117,9,$G$5,$H$13),[1]!S_STM07_IS(D117,14,$G$5,$H$13)/$E$5))</f>
        <v/>
      </c>
      <c r="J117" s="249" t="str">
        <f ca="1">IF(C117="","",IF($J$11="营业利润率",[1]!S_STM07_IS(D117,48,$G$5,$H$13)/[1]!S_STM07_IS(D117,9,$G$5,$H$13),([1]!S_STM07_CS(D117,87,$G$5,$H$13)+[1]!S_STM07_CS(D117,88,$G$5,$H$13)+[1]!S_STM07_CS(D117,89,$G$5,$H$13))/$E$5))</f>
        <v/>
      </c>
      <c r="K117" s="249" t="str">
        <f ca="1">IF(C117="","",IF($K$11="净利润率",[1]!S_STM07_IS(D117,61,$G$5,$H$13)/[1]!S_STM07_IS(D117,9,$G$5,$H$13),[1]!S_STM07_IS(D117,55,$G$5,$H$13)/$E$5))</f>
        <v/>
      </c>
      <c r="L117" s="249" t="str">
        <f ca="1">IF(C117="","",IF($L$11="ROA",[1]!S_STM07_IS(D117,61,$G$5,$H$13)/[1]!S_STM07_BS(D117,74,$G$5,$H$13),1-[1]!S_STM07_IS(D117,61,$G$5,$H$13)/[1]!S_STM07_IS(D117,55,$G$5,$H$13)))</f>
        <v/>
      </c>
      <c r="M117" s="249" t="str">
        <f ca="1">IF(C117="","",IF($M$11="ROE",[1]!S_STM07_IS(D117,61,$G$5,$H$13)/[1]!S_STM07_BS(D117,141,$G$5,$H$13),([1]!S_STM07_BS(D117,25,$G$5,$H$13)-[1]!S_STM07_BS(D117,93,$G$5,$H$13))/$E$5))</f>
        <v/>
      </c>
      <c r="N117" s="250" t="str">
        <f ca="1">IF(C117="","",IF($N$11="EPS",[1]!S_STM07_IS(D117,61,$G$5,$H$13)/IF([1]!S_SHARE_TOTAL(D117,$G$5)=0,[1]!S_SHARE_TOTAL(D117,[1]!s_ipo_listeddate(D117)),[1]!S_SHARE_TOTAL(D117,$G$5)),([1]!S_STM07_BS(D117,75,$G$5,$H$13)+[1]!S_STM07_BS(D117,88,$G$5,$H$13)+[1]!S_STM07_BS(D117,94,$G$5,$H$13)+[1]!S_STM07_BS(D117,95,$G$5,$H$13))/$E$5))</f>
        <v/>
      </c>
      <c r="O117" s="250" t="str">
        <f ca="1">IF(C117="","",IF($O$11="BPS",[1]!S_STM07_BS(D117,141,$G$5,$H$13)/IF([1]!S_SHARE_TOTAL(D117,$G$5)=0,[1]!S_SHARE_TOTAL(D117,[1]!s_ipo_listeddate(D117)),[1]!S_SHARE_TOTAL(D117,$G$5)),[1]!S_STM07_CS(D117,49,$G$5,$H$13)/$E$5))</f>
        <v/>
      </c>
      <c r="P117" s="250" t="str">
        <f ca="1">IF(C117="","",IF($P$11="CFPS",[1]!S_STM07_CS(D117,84,$G$5,$H$13)/IF([1]!S_SHARE_TOTAL(D117,$G$5)=0,[1]!S_SHARE_TOTAL(D117,[1]!s_ipo_listeddate(D117)),[1]!S_SHARE_TOTAL(D117,$G$5)),[1]!S_STM07_CS(D117,84,$G$5,$H$13)/$E$5))</f>
        <v/>
      </c>
      <c r="Q117" s="198" t="str">
        <f ca="1">IF(C117="","",F117/([1]!S_STM07_IS(D117,61,$G$5,$H$13)/IF([1]!S_SHARE_TOTAL(D117,$G$5)=0,[1]!S_SHARE_TOTAL(D117,[1]!s_ipo_listeddate(D117)),[1]!S_SHARE_TOTAL(D117,$G$5))))</f>
        <v/>
      </c>
      <c r="R117" s="198" t="str">
        <f ca="1">IF(C117="","",F117/([1]!S_STM07_BS(D117,141,$G$5,$H$13)/IF([1]!S_SHARE_TOTAL(D117,$G$5)=0,[1]!S_SHARE_TOTAL(D117,[1]!s_ipo_listeddate(D117)),[1]!S_SHARE_TOTAL(D117,$G$5))))</f>
        <v/>
      </c>
      <c r="S117" s="249" t="str">
        <f ca="1">IF(C117="","",[1]!S_SHARE_TOTAL(D117,TODAY())/$E$5)</f>
        <v/>
      </c>
      <c r="T117" s="249" t="str">
        <f t="shared" ca="1" si="19"/>
        <v/>
      </c>
      <c r="U117" s="172" t="str">
        <f t="shared" ca="1" si="20"/>
        <v/>
      </c>
      <c r="V117" s="343" t="str">
        <f t="shared" ca="1" si="21"/>
        <v/>
      </c>
      <c r="W117" s="139"/>
      <c r="Y117" s="1"/>
    </row>
    <row r="118" spans="3:25" ht="12" customHeight="1">
      <c r="C118" s="342" t="str">
        <f t="shared" ca="1" si="16"/>
        <v/>
      </c>
      <c r="D118" s="153" t="str">
        <f t="shared" ca="1" si="17"/>
        <v/>
      </c>
      <c r="E118" s="153" t="str">
        <f t="shared" ca="1" si="18"/>
        <v/>
      </c>
      <c r="F118" s="170" t="str">
        <f ca="1">IF(C118="","",[1]!S_DQ_CLOSE(D118,TODAY(),1))</f>
        <v/>
      </c>
      <c r="G118" s="171" t="str">
        <f ca="1">IF(C118="","",[1]!s_pq_pctchange(D118,TODAY()-$G$12,TODAY())/100)</f>
        <v/>
      </c>
      <c r="H118" s="247" t="str">
        <f ca="1">IF(C118="","",IF($H$11="收入",[1]!S_STM07_IS(D118,9,$G$5,$H$13)/$E$5,[1]!S_STM07_IS(D118,48,$G$5,$H$13)/$E$5))</f>
        <v/>
      </c>
      <c r="I118" s="247" t="str">
        <f ca="1">IF(C118="","",IF($I$11="毛利率",([1]!S_STM07_IS(D118,9,$G$5,$H$13)-[1]!S_STM07_IS(D118,10,$G$5,$H$13))/[1]!S_STM07_IS(D118,9,$G$5,$H$13),[1]!S_STM07_IS(D118,14,$G$5,$H$13)/$E$5))</f>
        <v/>
      </c>
      <c r="J118" s="247" t="str">
        <f ca="1">IF(C118="","",IF($J$11="营业利润率",[1]!S_STM07_IS(D118,48,$G$5,$H$13)/[1]!S_STM07_IS(D118,9,$G$5,$H$13),([1]!S_STM07_CS(D118,87,$G$5,$H$13)+[1]!S_STM07_CS(D118,88,$G$5,$H$13)+[1]!S_STM07_CS(D118,89,$G$5,$H$13))/$E$5))</f>
        <v/>
      </c>
      <c r="K118" s="247" t="str">
        <f ca="1">IF(C118="","",IF($K$11="净利润率",[1]!S_STM07_IS(D118,61,$G$5,$H$13)/[1]!S_STM07_IS(D118,9,$G$5,$H$13),[1]!S_STM07_IS(D118,55,$G$5,$H$13)/$E$5))</f>
        <v/>
      </c>
      <c r="L118" s="247" t="str">
        <f ca="1">IF(C118="","",IF($L$11="ROA",[1]!S_STM07_IS(D118,61,$G$5,$H$13)/[1]!S_STM07_BS(D118,74,$G$5,$H$13),1-[1]!S_STM07_IS(D118,61,$G$5,$H$13)/[1]!S_STM07_IS(D118,55,$G$5,$H$13)))</f>
        <v/>
      </c>
      <c r="M118" s="247" t="str">
        <f ca="1">IF(C118="","",IF($M$11="ROE",[1]!S_STM07_IS(D118,61,$G$5,$H$13)/[1]!S_STM07_BS(D118,141,$G$5,$H$13),([1]!S_STM07_BS(D118,25,$G$5,$H$13)-[1]!S_STM07_BS(D118,93,$G$5,$H$13))/$E$5))</f>
        <v/>
      </c>
      <c r="N118" s="247" t="str">
        <f ca="1">IF(C118="","",IF($N$11="EPS",[1]!S_STM07_IS(D118,61,$G$5,$H$13)/IF([1]!S_SHARE_TOTAL(D118,$G$5)=0,[1]!S_SHARE_TOTAL(D118,[1]!s_ipo_listeddate(D118)),[1]!S_SHARE_TOTAL(D118,$G$5)),([1]!S_STM07_BS(D118,75,$G$5,$H$13)+[1]!S_STM07_BS(D118,88,$G$5,$H$13)+[1]!S_STM07_BS(D118,94,$G$5,$H$13)+[1]!S_STM07_BS(D118,95,$G$5,$H$13))/$E$5))</f>
        <v/>
      </c>
      <c r="O118" s="247" t="str">
        <f ca="1">IF(C118="","",IF($O$11="BPS",[1]!S_STM07_BS(D118,141,$G$5,$H$13)/IF([1]!S_SHARE_TOTAL(D118,$G$5)=0,[1]!S_SHARE_TOTAL(D118,[1]!s_ipo_listeddate(D118)),[1]!S_SHARE_TOTAL(D118,$G$5)),[1]!S_STM07_CS(D118,49,$G$5,$H$13)/$E$5))</f>
        <v/>
      </c>
      <c r="P118" s="247" t="str">
        <f ca="1">IF(C118="","",IF($P$11="CFPS",[1]!S_STM07_CS(D118,84,$G$5,$H$13)/IF([1]!S_SHARE_TOTAL(D118,$G$5)=0,[1]!S_SHARE_TOTAL(D118,[1]!s_ipo_listeddate(D118)),[1]!S_SHARE_TOTAL(D118,$G$5)),[1]!S_STM07_CS(D118,84,$G$5,$H$13)/$E$5))</f>
        <v/>
      </c>
      <c r="Q118" s="248" t="str">
        <f ca="1">IF(C118="","",F118/([1]!S_STM07_IS(D118,61,$G$5,$H$13)/IF([1]!S_SHARE_TOTAL(D118,$G$5)=0,[1]!S_SHARE_TOTAL(D118,[1]!s_ipo_listeddate(D118)),[1]!S_SHARE_TOTAL(D118,$G$5))))</f>
        <v/>
      </c>
      <c r="R118" s="248" t="str">
        <f ca="1">IF(C118="","",F118/([1]!S_STM07_BS(D118,141,$G$5,$H$13)/IF([1]!S_SHARE_TOTAL(D118,$G$5)=0,[1]!S_SHARE_TOTAL(D118,[1]!s_ipo_listeddate(D118)),[1]!S_SHARE_TOTAL(D118,$G$5))))</f>
        <v/>
      </c>
      <c r="S118" s="247" t="str">
        <f ca="1">IF(C118="","",[1]!S_SHARE_TOTAL(D118,TODAY())/$E$5)</f>
        <v/>
      </c>
      <c r="T118" s="247" t="str">
        <f t="shared" ca="1" si="19"/>
        <v/>
      </c>
      <c r="U118" s="218" t="str">
        <f t="shared" ca="1" si="20"/>
        <v/>
      </c>
      <c r="V118" s="342" t="str">
        <f t="shared" ca="1" si="21"/>
        <v/>
      </c>
      <c r="W118" s="139"/>
      <c r="Y118" s="1"/>
    </row>
    <row r="119" spans="3:25" ht="12" customHeight="1">
      <c r="C119" s="343" t="str">
        <f t="shared" ca="1" si="16"/>
        <v/>
      </c>
      <c r="D119" s="124" t="str">
        <f t="shared" ca="1" si="17"/>
        <v/>
      </c>
      <c r="E119" s="124" t="str">
        <f t="shared" ca="1" si="18"/>
        <v/>
      </c>
      <c r="F119" s="172" t="str">
        <f ca="1">IF(C119="","",[1]!S_DQ_CLOSE(D119,TODAY(),1))</f>
        <v/>
      </c>
      <c r="G119" s="173" t="str">
        <f ca="1">IF(C119="","",[1]!s_pq_pctchange(D119,TODAY()-$G$12,TODAY())/100)</f>
        <v/>
      </c>
      <c r="H119" s="249" t="str">
        <f ca="1">IF(C119="","",IF($H$11="收入",[1]!S_STM07_IS(D119,9,$G$5,$H$13)/$E$5,[1]!S_STM07_IS(D119,48,$G$5,$H$13)/$E$5))</f>
        <v/>
      </c>
      <c r="I119" s="249" t="str">
        <f ca="1">IF(C119="","",IF($I$11="毛利率",([1]!S_STM07_IS(D119,9,$G$5,$H$13)-[1]!S_STM07_IS(D119,10,$G$5,$H$13))/[1]!S_STM07_IS(D119,9,$G$5,$H$13),[1]!S_STM07_IS(D119,14,$G$5,$H$13)/$E$5))</f>
        <v/>
      </c>
      <c r="J119" s="249" t="str">
        <f ca="1">IF(C119="","",IF($J$11="营业利润率",[1]!S_STM07_IS(D119,48,$G$5,$H$13)/[1]!S_STM07_IS(D119,9,$G$5,$H$13),([1]!S_STM07_CS(D119,87,$G$5,$H$13)+[1]!S_STM07_CS(D119,88,$G$5,$H$13)+[1]!S_STM07_CS(D119,89,$G$5,$H$13))/$E$5))</f>
        <v/>
      </c>
      <c r="K119" s="249" t="str">
        <f ca="1">IF(C119="","",IF($K$11="净利润率",[1]!S_STM07_IS(D119,61,$G$5,$H$13)/[1]!S_STM07_IS(D119,9,$G$5,$H$13),[1]!S_STM07_IS(D119,55,$G$5,$H$13)/$E$5))</f>
        <v/>
      </c>
      <c r="L119" s="249" t="str">
        <f ca="1">IF(C119="","",IF($L$11="ROA",[1]!S_STM07_IS(D119,61,$G$5,$H$13)/[1]!S_STM07_BS(D119,74,$G$5,$H$13),1-[1]!S_STM07_IS(D119,61,$G$5,$H$13)/[1]!S_STM07_IS(D119,55,$G$5,$H$13)))</f>
        <v/>
      </c>
      <c r="M119" s="249" t="str">
        <f ca="1">IF(C119="","",IF($M$11="ROE",[1]!S_STM07_IS(D119,61,$G$5,$H$13)/[1]!S_STM07_BS(D119,141,$G$5,$H$13),([1]!S_STM07_BS(D119,25,$G$5,$H$13)-[1]!S_STM07_BS(D119,93,$G$5,$H$13))/$E$5))</f>
        <v/>
      </c>
      <c r="N119" s="250" t="str">
        <f ca="1">IF(C119="","",IF($N$11="EPS",[1]!S_STM07_IS(D119,61,$G$5,$H$13)/IF([1]!S_SHARE_TOTAL(D119,$G$5)=0,[1]!S_SHARE_TOTAL(D119,[1]!s_ipo_listeddate(D119)),[1]!S_SHARE_TOTAL(D119,$G$5)),([1]!S_STM07_BS(D119,75,$G$5,$H$13)+[1]!S_STM07_BS(D119,88,$G$5,$H$13)+[1]!S_STM07_BS(D119,94,$G$5,$H$13)+[1]!S_STM07_BS(D119,95,$G$5,$H$13))/$E$5))</f>
        <v/>
      </c>
      <c r="O119" s="250" t="str">
        <f ca="1">IF(C119="","",IF($O$11="BPS",[1]!S_STM07_BS(D119,141,$G$5,$H$13)/IF([1]!S_SHARE_TOTAL(D119,$G$5)=0,[1]!S_SHARE_TOTAL(D119,[1]!s_ipo_listeddate(D119)),[1]!S_SHARE_TOTAL(D119,$G$5)),[1]!S_STM07_CS(D119,49,$G$5,$H$13)/$E$5))</f>
        <v/>
      </c>
      <c r="P119" s="250" t="str">
        <f ca="1">IF(C119="","",IF($P$11="CFPS",[1]!S_STM07_CS(D119,84,$G$5,$H$13)/IF([1]!S_SHARE_TOTAL(D119,$G$5)=0,[1]!S_SHARE_TOTAL(D119,[1]!s_ipo_listeddate(D119)),[1]!S_SHARE_TOTAL(D119,$G$5)),[1]!S_STM07_CS(D119,84,$G$5,$H$13)/$E$5))</f>
        <v/>
      </c>
      <c r="Q119" s="198" t="str">
        <f ca="1">IF(C119="","",F119/([1]!S_STM07_IS(D119,61,$G$5,$H$13)/IF([1]!S_SHARE_TOTAL(D119,$G$5)=0,[1]!S_SHARE_TOTAL(D119,[1]!s_ipo_listeddate(D119)),[1]!S_SHARE_TOTAL(D119,$G$5))))</f>
        <v/>
      </c>
      <c r="R119" s="198" t="str">
        <f ca="1">IF(C119="","",F119/([1]!S_STM07_BS(D119,141,$G$5,$H$13)/IF([1]!S_SHARE_TOTAL(D119,$G$5)=0,[1]!S_SHARE_TOTAL(D119,[1]!s_ipo_listeddate(D119)),[1]!S_SHARE_TOTAL(D119,$G$5))))</f>
        <v/>
      </c>
      <c r="S119" s="249" t="str">
        <f ca="1">IF(C119="","",[1]!S_SHARE_TOTAL(D119,TODAY())/$E$5)</f>
        <v/>
      </c>
      <c r="T119" s="249" t="str">
        <f t="shared" ca="1" si="19"/>
        <v/>
      </c>
      <c r="U119" s="172" t="str">
        <f t="shared" ca="1" si="20"/>
        <v/>
      </c>
      <c r="V119" s="343" t="str">
        <f t="shared" ca="1" si="21"/>
        <v/>
      </c>
      <c r="W119" s="139"/>
      <c r="Y119" s="1"/>
    </row>
    <row r="120" spans="3:25" ht="12" customHeight="1">
      <c r="C120" s="342" t="str">
        <f t="shared" ca="1" si="16"/>
        <v/>
      </c>
      <c r="D120" s="153" t="str">
        <f t="shared" ca="1" si="17"/>
        <v/>
      </c>
      <c r="E120" s="153" t="str">
        <f t="shared" ca="1" si="18"/>
        <v/>
      </c>
      <c r="F120" s="170" t="str">
        <f ca="1">IF(C120="","",[1]!S_DQ_CLOSE(D120,TODAY(),1))</f>
        <v/>
      </c>
      <c r="G120" s="171" t="str">
        <f ca="1">IF(C120="","",[1]!s_pq_pctchange(D120,TODAY()-$G$12,TODAY())/100)</f>
        <v/>
      </c>
      <c r="H120" s="247" t="str">
        <f ca="1">IF(C120="","",IF($H$11="收入",[1]!S_STM07_IS(D120,9,$G$5,$H$13)/$E$5,[1]!S_STM07_IS(D120,48,$G$5,$H$13)/$E$5))</f>
        <v/>
      </c>
      <c r="I120" s="247" t="str">
        <f ca="1">IF(C120="","",IF($I$11="毛利率",([1]!S_STM07_IS(D120,9,$G$5,$H$13)-[1]!S_STM07_IS(D120,10,$G$5,$H$13))/[1]!S_STM07_IS(D120,9,$G$5,$H$13),[1]!S_STM07_IS(D120,14,$G$5,$H$13)/$E$5))</f>
        <v/>
      </c>
      <c r="J120" s="247" t="str">
        <f ca="1">IF(C120="","",IF($J$11="营业利润率",[1]!S_STM07_IS(D120,48,$G$5,$H$13)/[1]!S_STM07_IS(D120,9,$G$5,$H$13),([1]!S_STM07_CS(D120,87,$G$5,$H$13)+[1]!S_STM07_CS(D120,88,$G$5,$H$13)+[1]!S_STM07_CS(D120,89,$G$5,$H$13))/$E$5))</f>
        <v/>
      </c>
      <c r="K120" s="247" t="str">
        <f ca="1">IF(C120="","",IF($K$11="净利润率",[1]!S_STM07_IS(D120,61,$G$5,$H$13)/[1]!S_STM07_IS(D120,9,$G$5,$H$13),[1]!S_STM07_IS(D120,55,$G$5,$H$13)/$E$5))</f>
        <v/>
      </c>
      <c r="L120" s="247" t="str">
        <f ca="1">IF(C120="","",IF($L$11="ROA",[1]!S_STM07_IS(D120,61,$G$5,$H$13)/[1]!S_STM07_BS(D120,74,$G$5,$H$13),1-[1]!S_STM07_IS(D120,61,$G$5,$H$13)/[1]!S_STM07_IS(D120,55,$G$5,$H$13)))</f>
        <v/>
      </c>
      <c r="M120" s="247" t="str">
        <f ca="1">IF(C120="","",IF($M$11="ROE",[1]!S_STM07_IS(D120,61,$G$5,$H$13)/[1]!S_STM07_BS(D120,141,$G$5,$H$13),([1]!S_STM07_BS(D120,25,$G$5,$H$13)-[1]!S_STM07_BS(D120,93,$G$5,$H$13))/$E$5))</f>
        <v/>
      </c>
      <c r="N120" s="247" t="str">
        <f ca="1">IF(C120="","",IF($N$11="EPS",[1]!S_STM07_IS(D120,61,$G$5,$H$13)/IF([1]!S_SHARE_TOTAL(D120,$G$5)=0,[1]!S_SHARE_TOTAL(D120,[1]!s_ipo_listeddate(D120)),[1]!S_SHARE_TOTAL(D120,$G$5)),([1]!S_STM07_BS(D120,75,$G$5,$H$13)+[1]!S_STM07_BS(D120,88,$G$5,$H$13)+[1]!S_STM07_BS(D120,94,$G$5,$H$13)+[1]!S_STM07_BS(D120,95,$G$5,$H$13))/$E$5))</f>
        <v/>
      </c>
      <c r="O120" s="247" t="str">
        <f ca="1">IF(C120="","",IF($O$11="BPS",[1]!S_STM07_BS(D120,141,$G$5,$H$13)/IF([1]!S_SHARE_TOTAL(D120,$G$5)=0,[1]!S_SHARE_TOTAL(D120,[1]!s_ipo_listeddate(D120)),[1]!S_SHARE_TOTAL(D120,$G$5)),[1]!S_STM07_CS(D120,49,$G$5,$H$13)/$E$5))</f>
        <v/>
      </c>
      <c r="P120" s="247" t="str">
        <f ca="1">IF(C120="","",IF($P$11="CFPS",[1]!S_STM07_CS(D120,84,$G$5,$H$13)/IF([1]!S_SHARE_TOTAL(D120,$G$5)=0,[1]!S_SHARE_TOTAL(D120,[1]!s_ipo_listeddate(D120)),[1]!S_SHARE_TOTAL(D120,$G$5)),[1]!S_STM07_CS(D120,84,$G$5,$H$13)/$E$5))</f>
        <v/>
      </c>
      <c r="Q120" s="248" t="str">
        <f ca="1">IF(C120="","",F120/([1]!S_STM07_IS(D120,61,$G$5,$H$13)/IF([1]!S_SHARE_TOTAL(D120,$G$5)=0,[1]!S_SHARE_TOTAL(D120,[1]!s_ipo_listeddate(D120)),[1]!S_SHARE_TOTAL(D120,$G$5))))</f>
        <v/>
      </c>
      <c r="R120" s="248" t="str">
        <f ca="1">IF(C120="","",F120/([1]!S_STM07_BS(D120,141,$G$5,$H$13)/IF([1]!S_SHARE_TOTAL(D120,$G$5)=0,[1]!S_SHARE_TOTAL(D120,[1]!s_ipo_listeddate(D120)),[1]!S_SHARE_TOTAL(D120,$G$5))))</f>
        <v/>
      </c>
      <c r="S120" s="247" t="str">
        <f ca="1">IF(C120="","",[1]!S_SHARE_TOTAL(D120,TODAY())/$E$5)</f>
        <v/>
      </c>
      <c r="T120" s="247" t="str">
        <f t="shared" ca="1" si="19"/>
        <v/>
      </c>
      <c r="U120" s="218" t="str">
        <f t="shared" ca="1" si="20"/>
        <v/>
      </c>
      <c r="V120" s="342" t="str">
        <f t="shared" ca="1" si="21"/>
        <v/>
      </c>
      <c r="W120" s="139"/>
      <c r="Y120" s="1"/>
    </row>
    <row r="121" spans="3:25" ht="12" customHeight="1">
      <c r="C121" s="343" t="str">
        <f t="shared" ca="1" si="16"/>
        <v/>
      </c>
      <c r="D121" s="124" t="str">
        <f t="shared" ca="1" si="17"/>
        <v/>
      </c>
      <c r="E121" s="124" t="str">
        <f t="shared" ca="1" si="18"/>
        <v/>
      </c>
      <c r="F121" s="172" t="str">
        <f ca="1">IF(C121="","",[1]!S_DQ_CLOSE(D121,TODAY(),1))</f>
        <v/>
      </c>
      <c r="G121" s="173" t="str">
        <f ca="1">IF(C121="","",[1]!s_pq_pctchange(D121,TODAY()-$G$12,TODAY())/100)</f>
        <v/>
      </c>
      <c r="H121" s="249" t="str">
        <f ca="1">IF(C121="","",IF($H$11="收入",[1]!S_STM07_IS(D121,9,$G$5,$H$13)/$E$5,[1]!S_STM07_IS(D121,48,$G$5,$H$13)/$E$5))</f>
        <v/>
      </c>
      <c r="I121" s="249" t="str">
        <f ca="1">IF(C121="","",IF($I$11="毛利率",([1]!S_STM07_IS(D121,9,$G$5,$H$13)-[1]!S_STM07_IS(D121,10,$G$5,$H$13))/[1]!S_STM07_IS(D121,9,$G$5,$H$13),[1]!S_STM07_IS(D121,14,$G$5,$H$13)/$E$5))</f>
        <v/>
      </c>
      <c r="J121" s="249" t="str">
        <f ca="1">IF(C121="","",IF($J$11="营业利润率",[1]!S_STM07_IS(D121,48,$G$5,$H$13)/[1]!S_STM07_IS(D121,9,$G$5,$H$13),([1]!S_STM07_CS(D121,87,$G$5,$H$13)+[1]!S_STM07_CS(D121,88,$G$5,$H$13)+[1]!S_STM07_CS(D121,89,$G$5,$H$13))/$E$5))</f>
        <v/>
      </c>
      <c r="K121" s="249" t="str">
        <f ca="1">IF(C121="","",IF($K$11="净利润率",[1]!S_STM07_IS(D121,61,$G$5,$H$13)/[1]!S_STM07_IS(D121,9,$G$5,$H$13),[1]!S_STM07_IS(D121,55,$G$5,$H$13)/$E$5))</f>
        <v/>
      </c>
      <c r="L121" s="249" t="str">
        <f ca="1">IF(C121="","",IF($L$11="ROA",[1]!S_STM07_IS(D121,61,$G$5,$H$13)/[1]!S_STM07_BS(D121,74,$G$5,$H$13),1-[1]!S_STM07_IS(D121,61,$G$5,$H$13)/[1]!S_STM07_IS(D121,55,$G$5,$H$13)))</f>
        <v/>
      </c>
      <c r="M121" s="249" t="str">
        <f ca="1">IF(C121="","",IF($M$11="ROE",[1]!S_STM07_IS(D121,61,$G$5,$H$13)/[1]!S_STM07_BS(D121,141,$G$5,$H$13),([1]!S_STM07_BS(D121,25,$G$5,$H$13)-[1]!S_STM07_BS(D121,93,$G$5,$H$13))/$E$5))</f>
        <v/>
      </c>
      <c r="N121" s="250" t="str">
        <f ca="1">IF(C121="","",IF($N$11="EPS",[1]!S_STM07_IS(D121,61,$G$5,$H$13)/IF([1]!S_SHARE_TOTAL(D121,$G$5)=0,[1]!S_SHARE_TOTAL(D121,[1]!s_ipo_listeddate(D121)),[1]!S_SHARE_TOTAL(D121,$G$5)),([1]!S_STM07_BS(D121,75,$G$5,$H$13)+[1]!S_STM07_BS(D121,88,$G$5,$H$13)+[1]!S_STM07_BS(D121,94,$G$5,$H$13)+[1]!S_STM07_BS(D121,95,$G$5,$H$13))/$E$5))</f>
        <v/>
      </c>
      <c r="O121" s="250" t="str">
        <f ca="1">IF(C121="","",IF($O$11="BPS",[1]!S_STM07_BS(D121,141,$G$5,$H$13)/IF([1]!S_SHARE_TOTAL(D121,$G$5)=0,[1]!S_SHARE_TOTAL(D121,[1]!s_ipo_listeddate(D121)),[1]!S_SHARE_TOTAL(D121,$G$5)),[1]!S_STM07_CS(D121,49,$G$5,$H$13)/$E$5))</f>
        <v/>
      </c>
      <c r="P121" s="250" t="str">
        <f ca="1">IF(C121="","",IF($P$11="CFPS",[1]!S_STM07_CS(D121,84,$G$5,$H$13)/IF([1]!S_SHARE_TOTAL(D121,$G$5)=0,[1]!S_SHARE_TOTAL(D121,[1]!s_ipo_listeddate(D121)),[1]!S_SHARE_TOTAL(D121,$G$5)),[1]!S_STM07_CS(D121,84,$G$5,$H$13)/$E$5))</f>
        <v/>
      </c>
      <c r="Q121" s="198" t="str">
        <f ca="1">IF(C121="","",F121/([1]!S_STM07_IS(D121,61,$G$5,$H$13)/IF([1]!S_SHARE_TOTAL(D121,$G$5)=0,[1]!S_SHARE_TOTAL(D121,[1]!s_ipo_listeddate(D121)),[1]!S_SHARE_TOTAL(D121,$G$5))))</f>
        <v/>
      </c>
      <c r="R121" s="198" t="str">
        <f ca="1">IF(C121="","",F121/([1]!S_STM07_BS(D121,141,$G$5,$H$13)/IF([1]!S_SHARE_TOTAL(D121,$G$5)=0,[1]!S_SHARE_TOTAL(D121,[1]!s_ipo_listeddate(D121)),[1]!S_SHARE_TOTAL(D121,$G$5))))</f>
        <v/>
      </c>
      <c r="S121" s="249" t="str">
        <f ca="1">IF(C121="","",[1]!S_SHARE_TOTAL(D121,TODAY())/$E$5)</f>
        <v/>
      </c>
      <c r="T121" s="249" t="str">
        <f t="shared" ca="1" si="19"/>
        <v/>
      </c>
      <c r="U121" s="172" t="str">
        <f t="shared" ca="1" si="20"/>
        <v/>
      </c>
      <c r="V121" s="343" t="str">
        <f t="shared" ca="1" si="21"/>
        <v/>
      </c>
      <c r="W121" s="139"/>
      <c r="Y121" s="1"/>
    </row>
    <row r="122" spans="3:25" ht="12" customHeight="1">
      <c r="C122" s="342" t="str">
        <f t="shared" ca="1" si="16"/>
        <v/>
      </c>
      <c r="D122" s="153" t="str">
        <f t="shared" ca="1" si="17"/>
        <v/>
      </c>
      <c r="E122" s="153" t="str">
        <f t="shared" ca="1" si="18"/>
        <v/>
      </c>
      <c r="F122" s="170" t="str">
        <f ca="1">IF(C122="","",[1]!S_DQ_CLOSE(D122,TODAY(),1))</f>
        <v/>
      </c>
      <c r="G122" s="171" t="str">
        <f ca="1">IF(C122="","",[1]!s_pq_pctchange(D122,TODAY()-$G$12,TODAY())/100)</f>
        <v/>
      </c>
      <c r="H122" s="247" t="str">
        <f ca="1">IF(C122="","",IF($H$11="收入",[1]!S_STM07_IS(D122,9,$G$5,$H$13)/$E$5,[1]!S_STM07_IS(D122,48,$G$5,$H$13)/$E$5))</f>
        <v/>
      </c>
      <c r="I122" s="247" t="str">
        <f ca="1">IF(C122="","",IF($I$11="毛利率",([1]!S_STM07_IS(D122,9,$G$5,$H$13)-[1]!S_STM07_IS(D122,10,$G$5,$H$13))/[1]!S_STM07_IS(D122,9,$G$5,$H$13),[1]!S_STM07_IS(D122,14,$G$5,$H$13)/$E$5))</f>
        <v/>
      </c>
      <c r="J122" s="247" t="str">
        <f ca="1">IF(C122="","",IF($J$11="营业利润率",[1]!S_STM07_IS(D122,48,$G$5,$H$13)/[1]!S_STM07_IS(D122,9,$G$5,$H$13),([1]!S_STM07_CS(D122,87,$G$5,$H$13)+[1]!S_STM07_CS(D122,88,$G$5,$H$13)+[1]!S_STM07_CS(D122,89,$G$5,$H$13))/$E$5))</f>
        <v/>
      </c>
      <c r="K122" s="247" t="str">
        <f ca="1">IF(C122="","",IF($K$11="净利润率",[1]!S_STM07_IS(D122,61,$G$5,$H$13)/[1]!S_STM07_IS(D122,9,$G$5,$H$13),[1]!S_STM07_IS(D122,55,$G$5,$H$13)/$E$5))</f>
        <v/>
      </c>
      <c r="L122" s="247" t="str">
        <f ca="1">IF(C122="","",IF($L$11="ROA",[1]!S_STM07_IS(D122,61,$G$5,$H$13)/[1]!S_STM07_BS(D122,74,$G$5,$H$13),1-[1]!S_STM07_IS(D122,61,$G$5,$H$13)/[1]!S_STM07_IS(D122,55,$G$5,$H$13)))</f>
        <v/>
      </c>
      <c r="M122" s="247" t="str">
        <f ca="1">IF(C122="","",IF($M$11="ROE",[1]!S_STM07_IS(D122,61,$G$5,$H$13)/[1]!S_STM07_BS(D122,141,$G$5,$H$13),([1]!S_STM07_BS(D122,25,$G$5,$H$13)-[1]!S_STM07_BS(D122,93,$G$5,$H$13))/$E$5))</f>
        <v/>
      </c>
      <c r="N122" s="247" t="str">
        <f ca="1">IF(C122="","",IF($N$11="EPS",[1]!S_STM07_IS(D122,61,$G$5,$H$13)/IF([1]!S_SHARE_TOTAL(D122,$G$5)=0,[1]!S_SHARE_TOTAL(D122,[1]!s_ipo_listeddate(D122)),[1]!S_SHARE_TOTAL(D122,$G$5)),([1]!S_STM07_BS(D122,75,$G$5,$H$13)+[1]!S_STM07_BS(D122,88,$G$5,$H$13)+[1]!S_STM07_BS(D122,94,$G$5,$H$13)+[1]!S_STM07_BS(D122,95,$G$5,$H$13))/$E$5))</f>
        <v/>
      </c>
      <c r="O122" s="247" t="str">
        <f ca="1">IF(C122="","",IF($O$11="BPS",[1]!S_STM07_BS(D122,141,$G$5,$H$13)/IF([1]!S_SHARE_TOTAL(D122,$G$5)=0,[1]!S_SHARE_TOTAL(D122,[1]!s_ipo_listeddate(D122)),[1]!S_SHARE_TOTAL(D122,$G$5)),[1]!S_STM07_CS(D122,49,$G$5,$H$13)/$E$5))</f>
        <v/>
      </c>
      <c r="P122" s="247" t="str">
        <f ca="1">IF(C122="","",IF($P$11="CFPS",[1]!S_STM07_CS(D122,84,$G$5,$H$13)/IF([1]!S_SHARE_TOTAL(D122,$G$5)=0,[1]!S_SHARE_TOTAL(D122,[1]!s_ipo_listeddate(D122)),[1]!S_SHARE_TOTAL(D122,$G$5)),[1]!S_STM07_CS(D122,84,$G$5,$H$13)/$E$5))</f>
        <v/>
      </c>
      <c r="Q122" s="248" t="str">
        <f ca="1">IF(C122="","",F122/([1]!S_STM07_IS(D122,61,$G$5,$H$13)/IF([1]!S_SHARE_TOTAL(D122,$G$5)=0,[1]!S_SHARE_TOTAL(D122,[1]!s_ipo_listeddate(D122)),[1]!S_SHARE_TOTAL(D122,$G$5))))</f>
        <v/>
      </c>
      <c r="R122" s="248" t="str">
        <f ca="1">IF(C122="","",F122/([1]!S_STM07_BS(D122,141,$G$5,$H$13)/IF([1]!S_SHARE_TOTAL(D122,$G$5)=0,[1]!S_SHARE_TOTAL(D122,[1]!s_ipo_listeddate(D122)),[1]!S_SHARE_TOTAL(D122,$G$5))))</f>
        <v/>
      </c>
      <c r="S122" s="247" t="str">
        <f ca="1">IF(C122="","",[1]!S_SHARE_TOTAL(D122,TODAY())/$E$5)</f>
        <v/>
      </c>
      <c r="T122" s="247" t="str">
        <f t="shared" ca="1" si="19"/>
        <v/>
      </c>
      <c r="U122" s="218" t="str">
        <f t="shared" ca="1" si="20"/>
        <v/>
      </c>
      <c r="V122" s="342" t="str">
        <f t="shared" ca="1" si="21"/>
        <v/>
      </c>
      <c r="W122" s="139"/>
      <c r="Y122" s="1"/>
    </row>
    <row r="123" spans="3:25" ht="12" customHeight="1">
      <c r="C123" s="343" t="str">
        <f t="shared" ca="1" si="16"/>
        <v/>
      </c>
      <c r="D123" s="124" t="str">
        <f t="shared" ca="1" si="17"/>
        <v/>
      </c>
      <c r="E123" s="124" t="str">
        <f t="shared" ca="1" si="18"/>
        <v/>
      </c>
      <c r="F123" s="172" t="str">
        <f ca="1">IF(C123="","",[1]!S_DQ_CLOSE(D123,TODAY(),1))</f>
        <v/>
      </c>
      <c r="G123" s="173" t="str">
        <f ca="1">IF(C123="","",[1]!s_pq_pctchange(D123,TODAY()-$G$12,TODAY())/100)</f>
        <v/>
      </c>
      <c r="H123" s="249" t="str">
        <f ca="1">IF(C123="","",IF($H$11="收入",[1]!S_STM07_IS(D123,9,$G$5,$H$13)/$E$5,[1]!S_STM07_IS(D123,48,$G$5,$H$13)/$E$5))</f>
        <v/>
      </c>
      <c r="I123" s="249" t="str">
        <f ca="1">IF(C123="","",IF($I$11="毛利率",([1]!S_STM07_IS(D123,9,$G$5,$H$13)-[1]!S_STM07_IS(D123,10,$G$5,$H$13))/[1]!S_STM07_IS(D123,9,$G$5,$H$13),[1]!S_STM07_IS(D123,14,$G$5,$H$13)/$E$5))</f>
        <v/>
      </c>
      <c r="J123" s="249" t="str">
        <f ca="1">IF(C123="","",IF($J$11="营业利润率",[1]!S_STM07_IS(D123,48,$G$5,$H$13)/[1]!S_STM07_IS(D123,9,$G$5,$H$13),([1]!S_STM07_CS(D123,87,$G$5,$H$13)+[1]!S_STM07_CS(D123,88,$G$5,$H$13)+[1]!S_STM07_CS(D123,89,$G$5,$H$13))/$E$5))</f>
        <v/>
      </c>
      <c r="K123" s="249" t="str">
        <f ca="1">IF(C123="","",IF($K$11="净利润率",[1]!S_STM07_IS(D123,61,$G$5,$H$13)/[1]!S_STM07_IS(D123,9,$G$5,$H$13),[1]!S_STM07_IS(D123,55,$G$5,$H$13)/$E$5))</f>
        <v/>
      </c>
      <c r="L123" s="249" t="str">
        <f ca="1">IF(C123="","",IF($L$11="ROA",[1]!S_STM07_IS(D123,61,$G$5,$H$13)/[1]!S_STM07_BS(D123,74,$G$5,$H$13),1-[1]!S_STM07_IS(D123,61,$G$5,$H$13)/[1]!S_STM07_IS(D123,55,$G$5,$H$13)))</f>
        <v/>
      </c>
      <c r="M123" s="249" t="str">
        <f ca="1">IF(C123="","",IF($M$11="ROE",[1]!S_STM07_IS(D123,61,$G$5,$H$13)/[1]!S_STM07_BS(D123,141,$G$5,$H$13),([1]!S_STM07_BS(D123,25,$G$5,$H$13)-[1]!S_STM07_BS(D123,93,$G$5,$H$13))/$E$5))</f>
        <v/>
      </c>
      <c r="N123" s="250" t="str">
        <f ca="1">IF(C123="","",IF($N$11="EPS",[1]!S_STM07_IS(D123,61,$G$5,$H$13)/IF([1]!S_SHARE_TOTAL(D123,$G$5)=0,[1]!S_SHARE_TOTAL(D123,[1]!s_ipo_listeddate(D123)),[1]!S_SHARE_TOTAL(D123,$G$5)),([1]!S_STM07_BS(D123,75,$G$5,$H$13)+[1]!S_STM07_BS(D123,88,$G$5,$H$13)+[1]!S_STM07_BS(D123,94,$G$5,$H$13)+[1]!S_STM07_BS(D123,95,$G$5,$H$13))/$E$5))</f>
        <v/>
      </c>
      <c r="O123" s="250" t="str">
        <f ca="1">IF(C123="","",IF($O$11="BPS",[1]!S_STM07_BS(D123,141,$G$5,$H$13)/IF([1]!S_SHARE_TOTAL(D123,$G$5)=0,[1]!S_SHARE_TOTAL(D123,[1]!s_ipo_listeddate(D123)),[1]!S_SHARE_TOTAL(D123,$G$5)),[1]!S_STM07_CS(D123,49,$G$5,$H$13)/$E$5))</f>
        <v/>
      </c>
      <c r="P123" s="250" t="str">
        <f ca="1">IF(C123="","",IF($P$11="CFPS",[1]!S_STM07_CS(D123,84,$G$5,$H$13)/IF([1]!S_SHARE_TOTAL(D123,$G$5)=0,[1]!S_SHARE_TOTAL(D123,[1]!s_ipo_listeddate(D123)),[1]!S_SHARE_TOTAL(D123,$G$5)),[1]!S_STM07_CS(D123,84,$G$5,$H$13)/$E$5))</f>
        <v/>
      </c>
      <c r="Q123" s="198" t="str">
        <f ca="1">IF(C123="","",F123/([1]!S_STM07_IS(D123,61,$G$5,$H$13)/IF([1]!S_SHARE_TOTAL(D123,$G$5)=0,[1]!S_SHARE_TOTAL(D123,[1]!s_ipo_listeddate(D123)),[1]!S_SHARE_TOTAL(D123,$G$5))))</f>
        <v/>
      </c>
      <c r="R123" s="198" t="str">
        <f ca="1">IF(C123="","",F123/([1]!S_STM07_BS(D123,141,$G$5,$H$13)/IF([1]!S_SHARE_TOTAL(D123,$G$5)=0,[1]!S_SHARE_TOTAL(D123,[1]!s_ipo_listeddate(D123)),[1]!S_SHARE_TOTAL(D123,$G$5))))</f>
        <v/>
      </c>
      <c r="S123" s="249" t="str">
        <f ca="1">IF(C123="","",[1]!S_SHARE_TOTAL(D123,TODAY())/$E$5)</f>
        <v/>
      </c>
      <c r="T123" s="249" t="str">
        <f t="shared" ca="1" si="19"/>
        <v/>
      </c>
      <c r="U123" s="172" t="str">
        <f t="shared" ca="1" si="20"/>
        <v/>
      </c>
      <c r="V123" s="343" t="str">
        <f t="shared" ca="1" si="21"/>
        <v/>
      </c>
      <c r="W123" s="139"/>
      <c r="Y123" s="1"/>
    </row>
    <row r="124" spans="3:25" ht="12" customHeight="1">
      <c r="C124" s="342" t="str">
        <f t="shared" ca="1" si="16"/>
        <v/>
      </c>
      <c r="D124" s="153" t="str">
        <f t="shared" ca="1" si="17"/>
        <v/>
      </c>
      <c r="E124" s="153" t="str">
        <f t="shared" ca="1" si="18"/>
        <v/>
      </c>
      <c r="F124" s="170" t="str">
        <f ca="1">IF(C124="","",[1]!S_DQ_CLOSE(D124,TODAY(),1))</f>
        <v/>
      </c>
      <c r="G124" s="171" t="str">
        <f ca="1">IF(C124="","",[1]!s_pq_pctchange(D124,TODAY()-$G$12,TODAY())/100)</f>
        <v/>
      </c>
      <c r="H124" s="247" t="str">
        <f ca="1">IF(C124="","",IF($H$11="收入",[1]!S_STM07_IS(D124,9,$G$5,$H$13)/$E$5,[1]!S_STM07_IS(D124,48,$G$5,$H$13)/$E$5))</f>
        <v/>
      </c>
      <c r="I124" s="247" t="str">
        <f ca="1">IF(C124="","",IF($I$11="毛利率",([1]!S_STM07_IS(D124,9,$G$5,$H$13)-[1]!S_STM07_IS(D124,10,$G$5,$H$13))/[1]!S_STM07_IS(D124,9,$G$5,$H$13),[1]!S_STM07_IS(D124,14,$G$5,$H$13)/$E$5))</f>
        <v/>
      </c>
      <c r="J124" s="247" t="str">
        <f ca="1">IF(C124="","",IF($J$11="营业利润率",[1]!S_STM07_IS(D124,48,$G$5,$H$13)/[1]!S_STM07_IS(D124,9,$G$5,$H$13),([1]!S_STM07_CS(D124,87,$G$5,$H$13)+[1]!S_STM07_CS(D124,88,$G$5,$H$13)+[1]!S_STM07_CS(D124,89,$G$5,$H$13))/$E$5))</f>
        <v/>
      </c>
      <c r="K124" s="247" t="str">
        <f ca="1">IF(C124="","",IF($K$11="净利润率",[1]!S_STM07_IS(D124,61,$G$5,$H$13)/[1]!S_STM07_IS(D124,9,$G$5,$H$13),[1]!S_STM07_IS(D124,55,$G$5,$H$13)/$E$5))</f>
        <v/>
      </c>
      <c r="L124" s="247" t="str">
        <f ca="1">IF(C124="","",IF($L$11="ROA",[1]!S_STM07_IS(D124,61,$G$5,$H$13)/[1]!S_STM07_BS(D124,74,$G$5,$H$13),1-[1]!S_STM07_IS(D124,61,$G$5,$H$13)/[1]!S_STM07_IS(D124,55,$G$5,$H$13)))</f>
        <v/>
      </c>
      <c r="M124" s="247" t="str">
        <f ca="1">IF(C124="","",IF($M$11="ROE",[1]!S_STM07_IS(D124,61,$G$5,$H$13)/[1]!S_STM07_BS(D124,141,$G$5,$H$13),([1]!S_STM07_BS(D124,25,$G$5,$H$13)-[1]!S_STM07_BS(D124,93,$G$5,$H$13))/$E$5))</f>
        <v/>
      </c>
      <c r="N124" s="247" t="str">
        <f ca="1">IF(C124="","",IF($N$11="EPS",[1]!S_STM07_IS(D124,61,$G$5,$H$13)/IF([1]!S_SHARE_TOTAL(D124,$G$5)=0,[1]!S_SHARE_TOTAL(D124,[1]!s_ipo_listeddate(D124)),[1]!S_SHARE_TOTAL(D124,$G$5)),([1]!S_STM07_BS(D124,75,$G$5,$H$13)+[1]!S_STM07_BS(D124,88,$G$5,$H$13)+[1]!S_STM07_BS(D124,94,$G$5,$H$13)+[1]!S_STM07_BS(D124,95,$G$5,$H$13))/$E$5))</f>
        <v/>
      </c>
      <c r="O124" s="247" t="str">
        <f ca="1">IF(C124="","",IF($O$11="BPS",[1]!S_STM07_BS(D124,141,$G$5,$H$13)/IF([1]!S_SHARE_TOTAL(D124,$G$5)=0,[1]!S_SHARE_TOTAL(D124,[1]!s_ipo_listeddate(D124)),[1]!S_SHARE_TOTAL(D124,$G$5)),[1]!S_STM07_CS(D124,49,$G$5,$H$13)/$E$5))</f>
        <v/>
      </c>
      <c r="P124" s="247" t="str">
        <f ca="1">IF(C124="","",IF($P$11="CFPS",[1]!S_STM07_CS(D124,84,$G$5,$H$13)/IF([1]!S_SHARE_TOTAL(D124,$G$5)=0,[1]!S_SHARE_TOTAL(D124,[1]!s_ipo_listeddate(D124)),[1]!S_SHARE_TOTAL(D124,$G$5)),[1]!S_STM07_CS(D124,84,$G$5,$H$13)/$E$5))</f>
        <v/>
      </c>
      <c r="Q124" s="248" t="str">
        <f ca="1">IF(C124="","",F124/([1]!S_STM07_IS(D124,61,$G$5,$H$13)/IF([1]!S_SHARE_TOTAL(D124,$G$5)=0,[1]!S_SHARE_TOTAL(D124,[1]!s_ipo_listeddate(D124)),[1]!S_SHARE_TOTAL(D124,$G$5))))</f>
        <v/>
      </c>
      <c r="R124" s="248" t="str">
        <f ca="1">IF(C124="","",F124/([1]!S_STM07_BS(D124,141,$G$5,$H$13)/IF([1]!S_SHARE_TOTAL(D124,$G$5)=0,[1]!S_SHARE_TOTAL(D124,[1]!s_ipo_listeddate(D124)),[1]!S_SHARE_TOTAL(D124,$G$5))))</f>
        <v/>
      </c>
      <c r="S124" s="247" t="str">
        <f ca="1">IF(C124="","",[1]!S_SHARE_TOTAL(D124,TODAY())/$E$5)</f>
        <v/>
      </c>
      <c r="T124" s="247" t="str">
        <f t="shared" ca="1" si="19"/>
        <v/>
      </c>
      <c r="U124" s="218" t="str">
        <f t="shared" ca="1" si="20"/>
        <v/>
      </c>
      <c r="V124" s="342" t="str">
        <f t="shared" ca="1" si="21"/>
        <v/>
      </c>
      <c r="W124" s="139"/>
      <c r="Y124" s="1"/>
    </row>
    <row r="125" spans="3:25" ht="12" customHeight="1">
      <c r="C125" s="343" t="str">
        <f t="shared" ca="1" si="16"/>
        <v/>
      </c>
      <c r="D125" s="124" t="str">
        <f t="shared" ca="1" si="17"/>
        <v/>
      </c>
      <c r="E125" s="124" t="str">
        <f t="shared" ca="1" si="18"/>
        <v/>
      </c>
      <c r="F125" s="172" t="str">
        <f ca="1">IF(C125="","",[1]!S_DQ_CLOSE(D125,TODAY(),1))</f>
        <v/>
      </c>
      <c r="G125" s="173" t="str">
        <f ca="1">IF(C125="","",[1]!s_pq_pctchange(D125,TODAY()-$G$12,TODAY())/100)</f>
        <v/>
      </c>
      <c r="H125" s="249" t="str">
        <f ca="1">IF(C125="","",IF($H$11="收入",[1]!S_STM07_IS(D125,9,$G$5,$H$13)/$E$5,[1]!S_STM07_IS(D125,48,$G$5,$H$13)/$E$5))</f>
        <v/>
      </c>
      <c r="I125" s="249" t="str">
        <f ca="1">IF(C125="","",IF($I$11="毛利率",([1]!S_STM07_IS(D125,9,$G$5,$H$13)-[1]!S_STM07_IS(D125,10,$G$5,$H$13))/[1]!S_STM07_IS(D125,9,$G$5,$H$13),[1]!S_STM07_IS(D125,14,$G$5,$H$13)/$E$5))</f>
        <v/>
      </c>
      <c r="J125" s="249" t="str">
        <f ca="1">IF(C125="","",IF($J$11="营业利润率",[1]!S_STM07_IS(D125,48,$G$5,$H$13)/[1]!S_STM07_IS(D125,9,$G$5,$H$13),([1]!S_STM07_CS(D125,87,$G$5,$H$13)+[1]!S_STM07_CS(D125,88,$G$5,$H$13)+[1]!S_STM07_CS(D125,89,$G$5,$H$13))/$E$5))</f>
        <v/>
      </c>
      <c r="K125" s="249" t="str">
        <f ca="1">IF(C125="","",IF($K$11="净利润率",[1]!S_STM07_IS(D125,61,$G$5,$H$13)/[1]!S_STM07_IS(D125,9,$G$5,$H$13),[1]!S_STM07_IS(D125,55,$G$5,$H$13)/$E$5))</f>
        <v/>
      </c>
      <c r="L125" s="249" t="str">
        <f ca="1">IF(C125="","",IF($L$11="ROA",[1]!S_STM07_IS(D125,61,$G$5,$H$13)/[1]!S_STM07_BS(D125,74,$G$5,$H$13),1-[1]!S_STM07_IS(D125,61,$G$5,$H$13)/[1]!S_STM07_IS(D125,55,$G$5,$H$13)))</f>
        <v/>
      </c>
      <c r="M125" s="249" t="str">
        <f ca="1">IF(C125="","",IF($M$11="ROE",[1]!S_STM07_IS(D125,61,$G$5,$H$13)/[1]!S_STM07_BS(D125,141,$G$5,$H$13),([1]!S_STM07_BS(D125,25,$G$5,$H$13)-[1]!S_STM07_BS(D125,93,$G$5,$H$13))/$E$5))</f>
        <v/>
      </c>
      <c r="N125" s="250" t="str">
        <f ca="1">IF(C125="","",IF($N$11="EPS",[1]!S_STM07_IS(D125,61,$G$5,$H$13)/IF([1]!S_SHARE_TOTAL(D125,$G$5)=0,[1]!S_SHARE_TOTAL(D125,[1]!s_ipo_listeddate(D125)),[1]!S_SHARE_TOTAL(D125,$G$5)),([1]!S_STM07_BS(D125,75,$G$5,$H$13)+[1]!S_STM07_BS(D125,88,$G$5,$H$13)+[1]!S_STM07_BS(D125,94,$G$5,$H$13)+[1]!S_STM07_BS(D125,95,$G$5,$H$13))/$E$5))</f>
        <v/>
      </c>
      <c r="O125" s="250" t="str">
        <f ca="1">IF(C125="","",IF($O$11="BPS",[1]!S_STM07_BS(D125,141,$G$5,$H$13)/IF([1]!S_SHARE_TOTAL(D125,$G$5)=0,[1]!S_SHARE_TOTAL(D125,[1]!s_ipo_listeddate(D125)),[1]!S_SHARE_TOTAL(D125,$G$5)),[1]!S_STM07_CS(D125,49,$G$5,$H$13)/$E$5))</f>
        <v/>
      </c>
      <c r="P125" s="250" t="str">
        <f ca="1">IF(C125="","",IF($P$11="CFPS",[1]!S_STM07_CS(D125,84,$G$5,$H$13)/IF([1]!S_SHARE_TOTAL(D125,$G$5)=0,[1]!S_SHARE_TOTAL(D125,[1]!s_ipo_listeddate(D125)),[1]!S_SHARE_TOTAL(D125,$G$5)),[1]!S_STM07_CS(D125,84,$G$5,$H$13)/$E$5))</f>
        <v/>
      </c>
      <c r="Q125" s="198" t="str">
        <f ca="1">IF(C125="","",F125/([1]!S_STM07_IS(D125,61,$G$5,$H$13)/IF([1]!S_SHARE_TOTAL(D125,$G$5)=0,[1]!S_SHARE_TOTAL(D125,[1]!s_ipo_listeddate(D125)),[1]!S_SHARE_TOTAL(D125,$G$5))))</f>
        <v/>
      </c>
      <c r="R125" s="198" t="str">
        <f ca="1">IF(C125="","",F125/([1]!S_STM07_BS(D125,141,$G$5,$H$13)/IF([1]!S_SHARE_TOTAL(D125,$G$5)=0,[1]!S_SHARE_TOTAL(D125,[1]!s_ipo_listeddate(D125)),[1]!S_SHARE_TOTAL(D125,$G$5))))</f>
        <v/>
      </c>
      <c r="S125" s="249" t="str">
        <f ca="1">IF(C125="","",[1]!S_SHARE_TOTAL(D125,TODAY())/$E$5)</f>
        <v/>
      </c>
      <c r="T125" s="249" t="str">
        <f t="shared" ca="1" si="19"/>
        <v/>
      </c>
      <c r="U125" s="172" t="str">
        <f t="shared" ca="1" si="20"/>
        <v/>
      </c>
      <c r="V125" s="343" t="str">
        <f t="shared" ca="1" si="21"/>
        <v/>
      </c>
      <c r="W125" s="139"/>
      <c r="Y125" s="1"/>
    </row>
    <row r="126" spans="3:25" ht="12" customHeight="1">
      <c r="C126" s="342" t="str">
        <f t="shared" ca="1" si="16"/>
        <v/>
      </c>
      <c r="D126" s="153" t="str">
        <f t="shared" ca="1" si="17"/>
        <v/>
      </c>
      <c r="E126" s="153" t="str">
        <f t="shared" ca="1" si="18"/>
        <v/>
      </c>
      <c r="F126" s="170" t="str">
        <f ca="1">IF(C126="","",[1]!S_DQ_CLOSE(D126,TODAY(),1))</f>
        <v/>
      </c>
      <c r="G126" s="171" t="str">
        <f ca="1">IF(C126="","",[1]!s_pq_pctchange(D126,TODAY()-$G$12,TODAY())/100)</f>
        <v/>
      </c>
      <c r="H126" s="247" t="str">
        <f ca="1">IF(C126="","",IF($H$11="收入",[1]!S_STM07_IS(D126,9,$G$5,$H$13)/$E$5,[1]!S_STM07_IS(D126,48,$G$5,$H$13)/$E$5))</f>
        <v/>
      </c>
      <c r="I126" s="247" t="str">
        <f ca="1">IF(C126="","",IF($I$11="毛利率",([1]!S_STM07_IS(D126,9,$G$5,$H$13)-[1]!S_STM07_IS(D126,10,$G$5,$H$13))/[1]!S_STM07_IS(D126,9,$G$5,$H$13),[1]!S_STM07_IS(D126,14,$G$5,$H$13)/$E$5))</f>
        <v/>
      </c>
      <c r="J126" s="247" t="str">
        <f ca="1">IF(C126="","",IF($J$11="营业利润率",[1]!S_STM07_IS(D126,48,$G$5,$H$13)/[1]!S_STM07_IS(D126,9,$G$5,$H$13),([1]!S_STM07_CS(D126,87,$G$5,$H$13)+[1]!S_STM07_CS(D126,88,$G$5,$H$13)+[1]!S_STM07_CS(D126,89,$G$5,$H$13))/$E$5))</f>
        <v/>
      </c>
      <c r="K126" s="247" t="str">
        <f ca="1">IF(C126="","",IF($K$11="净利润率",[1]!S_STM07_IS(D126,61,$G$5,$H$13)/[1]!S_STM07_IS(D126,9,$G$5,$H$13),[1]!S_STM07_IS(D126,55,$G$5,$H$13)/$E$5))</f>
        <v/>
      </c>
      <c r="L126" s="247" t="str">
        <f ca="1">IF(C126="","",IF($L$11="ROA",[1]!S_STM07_IS(D126,61,$G$5,$H$13)/[1]!S_STM07_BS(D126,74,$G$5,$H$13),1-[1]!S_STM07_IS(D126,61,$G$5,$H$13)/[1]!S_STM07_IS(D126,55,$G$5,$H$13)))</f>
        <v/>
      </c>
      <c r="M126" s="247" t="str">
        <f ca="1">IF(C126="","",IF($M$11="ROE",[1]!S_STM07_IS(D126,61,$G$5,$H$13)/[1]!S_STM07_BS(D126,141,$G$5,$H$13),([1]!S_STM07_BS(D126,25,$G$5,$H$13)-[1]!S_STM07_BS(D126,93,$G$5,$H$13))/$E$5))</f>
        <v/>
      </c>
      <c r="N126" s="247" t="str">
        <f ca="1">IF(C126="","",IF($N$11="EPS",[1]!S_STM07_IS(D126,61,$G$5,$H$13)/IF([1]!S_SHARE_TOTAL(D126,$G$5)=0,[1]!S_SHARE_TOTAL(D126,[1]!s_ipo_listeddate(D126)),[1]!S_SHARE_TOTAL(D126,$G$5)),([1]!S_STM07_BS(D126,75,$G$5,$H$13)+[1]!S_STM07_BS(D126,88,$G$5,$H$13)+[1]!S_STM07_BS(D126,94,$G$5,$H$13)+[1]!S_STM07_BS(D126,95,$G$5,$H$13))/$E$5))</f>
        <v/>
      </c>
      <c r="O126" s="247" t="str">
        <f ca="1">IF(C126="","",IF($O$11="BPS",[1]!S_STM07_BS(D126,141,$G$5,$H$13)/IF([1]!S_SHARE_TOTAL(D126,$G$5)=0,[1]!S_SHARE_TOTAL(D126,[1]!s_ipo_listeddate(D126)),[1]!S_SHARE_TOTAL(D126,$G$5)),[1]!S_STM07_CS(D126,49,$G$5,$H$13)/$E$5))</f>
        <v/>
      </c>
      <c r="P126" s="247" t="str">
        <f ca="1">IF(C126="","",IF($P$11="CFPS",[1]!S_STM07_CS(D126,84,$G$5,$H$13)/IF([1]!S_SHARE_TOTAL(D126,$G$5)=0,[1]!S_SHARE_TOTAL(D126,[1]!s_ipo_listeddate(D126)),[1]!S_SHARE_TOTAL(D126,$G$5)),[1]!S_STM07_CS(D126,84,$G$5,$H$13)/$E$5))</f>
        <v/>
      </c>
      <c r="Q126" s="248" t="str">
        <f ca="1">IF(C126="","",F126/([1]!S_STM07_IS(D126,61,$G$5,$H$13)/IF([1]!S_SHARE_TOTAL(D126,$G$5)=0,[1]!S_SHARE_TOTAL(D126,[1]!s_ipo_listeddate(D126)),[1]!S_SHARE_TOTAL(D126,$G$5))))</f>
        <v/>
      </c>
      <c r="R126" s="248" t="str">
        <f ca="1">IF(C126="","",F126/([1]!S_STM07_BS(D126,141,$G$5,$H$13)/IF([1]!S_SHARE_TOTAL(D126,$G$5)=0,[1]!S_SHARE_TOTAL(D126,[1]!s_ipo_listeddate(D126)),[1]!S_SHARE_TOTAL(D126,$G$5))))</f>
        <v/>
      </c>
      <c r="S126" s="247" t="str">
        <f ca="1">IF(C126="","",[1]!S_SHARE_TOTAL(D126,TODAY())/$E$5)</f>
        <v/>
      </c>
      <c r="T126" s="247" t="str">
        <f t="shared" ca="1" si="19"/>
        <v/>
      </c>
      <c r="U126" s="218" t="str">
        <f t="shared" ca="1" si="20"/>
        <v/>
      </c>
      <c r="V126" s="342" t="str">
        <f t="shared" ca="1" si="21"/>
        <v/>
      </c>
      <c r="W126" s="139"/>
      <c r="Y126" s="1"/>
    </row>
    <row r="127" spans="3:25" ht="12" customHeight="1">
      <c r="C127" s="343" t="str">
        <f t="shared" ca="1" si="16"/>
        <v/>
      </c>
      <c r="D127" s="124" t="str">
        <f t="shared" ca="1" si="17"/>
        <v/>
      </c>
      <c r="E127" s="124" t="str">
        <f t="shared" ca="1" si="18"/>
        <v/>
      </c>
      <c r="F127" s="172" t="str">
        <f ca="1">IF(C127="","",[1]!S_DQ_CLOSE(D127,TODAY(),1))</f>
        <v/>
      </c>
      <c r="G127" s="173" t="str">
        <f ca="1">IF(C127="","",[1]!s_pq_pctchange(D127,TODAY()-$G$12,TODAY())/100)</f>
        <v/>
      </c>
      <c r="H127" s="249" t="str">
        <f ca="1">IF(C127="","",IF($H$11="收入",[1]!S_STM07_IS(D127,9,$G$5,$H$13)/$E$5,[1]!S_STM07_IS(D127,48,$G$5,$H$13)/$E$5))</f>
        <v/>
      </c>
      <c r="I127" s="249" t="str">
        <f ca="1">IF(C127="","",IF($I$11="毛利率",([1]!S_STM07_IS(D127,9,$G$5,$H$13)-[1]!S_STM07_IS(D127,10,$G$5,$H$13))/[1]!S_STM07_IS(D127,9,$G$5,$H$13),[1]!S_STM07_IS(D127,14,$G$5,$H$13)/$E$5))</f>
        <v/>
      </c>
      <c r="J127" s="249" t="str">
        <f ca="1">IF(C127="","",IF($J$11="营业利润率",[1]!S_STM07_IS(D127,48,$G$5,$H$13)/[1]!S_STM07_IS(D127,9,$G$5,$H$13),([1]!S_STM07_CS(D127,87,$G$5,$H$13)+[1]!S_STM07_CS(D127,88,$G$5,$H$13)+[1]!S_STM07_CS(D127,89,$G$5,$H$13))/$E$5))</f>
        <v/>
      </c>
      <c r="K127" s="249" t="str">
        <f ca="1">IF(C127="","",IF($K$11="净利润率",[1]!S_STM07_IS(D127,61,$G$5,$H$13)/[1]!S_STM07_IS(D127,9,$G$5,$H$13),[1]!S_STM07_IS(D127,55,$G$5,$H$13)/$E$5))</f>
        <v/>
      </c>
      <c r="L127" s="249" t="str">
        <f ca="1">IF(C127="","",IF($L$11="ROA",[1]!S_STM07_IS(D127,61,$G$5,$H$13)/[1]!S_STM07_BS(D127,74,$G$5,$H$13),1-[1]!S_STM07_IS(D127,61,$G$5,$H$13)/[1]!S_STM07_IS(D127,55,$G$5,$H$13)))</f>
        <v/>
      </c>
      <c r="M127" s="249" t="str">
        <f ca="1">IF(C127="","",IF($M$11="ROE",[1]!S_STM07_IS(D127,61,$G$5,$H$13)/[1]!S_STM07_BS(D127,141,$G$5,$H$13),([1]!S_STM07_BS(D127,25,$G$5,$H$13)-[1]!S_STM07_BS(D127,93,$G$5,$H$13))/$E$5))</f>
        <v/>
      </c>
      <c r="N127" s="250" t="str">
        <f ca="1">IF(C127="","",IF($N$11="EPS",[1]!S_STM07_IS(D127,61,$G$5,$H$13)/IF([1]!S_SHARE_TOTAL(D127,$G$5)=0,[1]!S_SHARE_TOTAL(D127,[1]!s_ipo_listeddate(D127)),[1]!S_SHARE_TOTAL(D127,$G$5)),([1]!S_STM07_BS(D127,75,$G$5,$H$13)+[1]!S_STM07_BS(D127,88,$G$5,$H$13)+[1]!S_STM07_BS(D127,94,$G$5,$H$13)+[1]!S_STM07_BS(D127,95,$G$5,$H$13))/$E$5))</f>
        <v/>
      </c>
      <c r="O127" s="250" t="str">
        <f ca="1">IF(C127="","",IF($O$11="BPS",[1]!S_STM07_BS(D127,141,$G$5,$H$13)/IF([1]!S_SHARE_TOTAL(D127,$G$5)=0,[1]!S_SHARE_TOTAL(D127,[1]!s_ipo_listeddate(D127)),[1]!S_SHARE_TOTAL(D127,$G$5)),[1]!S_STM07_CS(D127,49,$G$5,$H$13)/$E$5))</f>
        <v/>
      </c>
      <c r="P127" s="250" t="str">
        <f ca="1">IF(C127="","",IF($P$11="CFPS",[1]!S_STM07_CS(D127,84,$G$5,$H$13)/IF([1]!S_SHARE_TOTAL(D127,$G$5)=0,[1]!S_SHARE_TOTAL(D127,[1]!s_ipo_listeddate(D127)),[1]!S_SHARE_TOTAL(D127,$G$5)),[1]!S_STM07_CS(D127,84,$G$5,$H$13)/$E$5))</f>
        <v/>
      </c>
      <c r="Q127" s="198" t="str">
        <f ca="1">IF(C127="","",F127/([1]!S_STM07_IS(D127,61,$G$5,$H$13)/IF([1]!S_SHARE_TOTAL(D127,$G$5)=0,[1]!S_SHARE_TOTAL(D127,[1]!s_ipo_listeddate(D127)),[1]!S_SHARE_TOTAL(D127,$G$5))))</f>
        <v/>
      </c>
      <c r="R127" s="198" t="str">
        <f ca="1">IF(C127="","",F127/([1]!S_STM07_BS(D127,141,$G$5,$H$13)/IF([1]!S_SHARE_TOTAL(D127,$G$5)=0,[1]!S_SHARE_TOTAL(D127,[1]!s_ipo_listeddate(D127)),[1]!S_SHARE_TOTAL(D127,$G$5))))</f>
        <v/>
      </c>
      <c r="S127" s="249" t="str">
        <f ca="1">IF(C127="","",[1]!S_SHARE_TOTAL(D127,TODAY())/$E$5)</f>
        <v/>
      </c>
      <c r="T127" s="249" t="str">
        <f t="shared" ca="1" si="19"/>
        <v/>
      </c>
      <c r="U127" s="172" t="str">
        <f t="shared" ca="1" si="20"/>
        <v/>
      </c>
      <c r="V127" s="343" t="str">
        <f t="shared" ca="1" si="21"/>
        <v/>
      </c>
      <c r="W127" s="139"/>
      <c r="Y127" s="1"/>
    </row>
    <row r="128" spans="3:25" ht="12" customHeight="1">
      <c r="C128" s="342" t="str">
        <f t="shared" ca="1" si="16"/>
        <v/>
      </c>
      <c r="D128" s="153" t="str">
        <f t="shared" ca="1" si="17"/>
        <v/>
      </c>
      <c r="E128" s="153" t="str">
        <f t="shared" ca="1" si="18"/>
        <v/>
      </c>
      <c r="F128" s="170" t="str">
        <f ca="1">IF(C128="","",[1]!S_DQ_CLOSE(D128,TODAY(),1))</f>
        <v/>
      </c>
      <c r="G128" s="171" t="str">
        <f ca="1">IF(C128="","",[1]!s_pq_pctchange(D128,TODAY()-$G$12,TODAY())/100)</f>
        <v/>
      </c>
      <c r="H128" s="247" t="str">
        <f ca="1">IF(C128="","",IF($H$11="收入",[1]!S_STM07_IS(D128,9,$G$5,$H$13)/$E$5,[1]!S_STM07_IS(D128,48,$G$5,$H$13)/$E$5))</f>
        <v/>
      </c>
      <c r="I128" s="247" t="str">
        <f ca="1">IF(C128="","",IF($I$11="毛利率",([1]!S_STM07_IS(D128,9,$G$5,$H$13)-[1]!S_STM07_IS(D128,10,$G$5,$H$13))/[1]!S_STM07_IS(D128,9,$G$5,$H$13),[1]!S_STM07_IS(D128,14,$G$5,$H$13)/$E$5))</f>
        <v/>
      </c>
      <c r="J128" s="247" t="str">
        <f ca="1">IF(C128="","",IF($J$11="营业利润率",[1]!S_STM07_IS(D128,48,$G$5,$H$13)/[1]!S_STM07_IS(D128,9,$G$5,$H$13),([1]!S_STM07_CS(D128,87,$G$5,$H$13)+[1]!S_STM07_CS(D128,88,$G$5,$H$13)+[1]!S_STM07_CS(D128,89,$G$5,$H$13))/$E$5))</f>
        <v/>
      </c>
      <c r="K128" s="247" t="str">
        <f ca="1">IF(C128="","",IF($K$11="净利润率",[1]!S_STM07_IS(D128,61,$G$5,$H$13)/[1]!S_STM07_IS(D128,9,$G$5,$H$13),[1]!S_STM07_IS(D128,55,$G$5,$H$13)/$E$5))</f>
        <v/>
      </c>
      <c r="L128" s="247" t="str">
        <f ca="1">IF(C128="","",IF($L$11="ROA",[1]!S_STM07_IS(D128,61,$G$5,$H$13)/[1]!S_STM07_BS(D128,74,$G$5,$H$13),1-[1]!S_STM07_IS(D128,61,$G$5,$H$13)/[1]!S_STM07_IS(D128,55,$G$5,$H$13)))</f>
        <v/>
      </c>
      <c r="M128" s="247" t="str">
        <f ca="1">IF(C128="","",IF($M$11="ROE",[1]!S_STM07_IS(D128,61,$G$5,$H$13)/[1]!S_STM07_BS(D128,141,$G$5,$H$13),([1]!S_STM07_BS(D128,25,$G$5,$H$13)-[1]!S_STM07_BS(D128,93,$G$5,$H$13))/$E$5))</f>
        <v/>
      </c>
      <c r="N128" s="247" t="str">
        <f ca="1">IF(C128="","",IF($N$11="EPS",[1]!S_STM07_IS(D128,61,$G$5,$H$13)/IF([1]!S_SHARE_TOTAL(D128,$G$5)=0,[1]!S_SHARE_TOTAL(D128,[1]!s_ipo_listeddate(D128)),[1]!S_SHARE_TOTAL(D128,$G$5)),([1]!S_STM07_BS(D128,75,$G$5,$H$13)+[1]!S_STM07_BS(D128,88,$G$5,$H$13)+[1]!S_STM07_BS(D128,94,$G$5,$H$13)+[1]!S_STM07_BS(D128,95,$G$5,$H$13))/$E$5))</f>
        <v/>
      </c>
      <c r="O128" s="247" t="str">
        <f ca="1">IF(C128="","",IF($O$11="BPS",[1]!S_STM07_BS(D128,141,$G$5,$H$13)/IF([1]!S_SHARE_TOTAL(D128,$G$5)=0,[1]!S_SHARE_TOTAL(D128,[1]!s_ipo_listeddate(D128)),[1]!S_SHARE_TOTAL(D128,$G$5)),[1]!S_STM07_CS(D128,49,$G$5,$H$13)/$E$5))</f>
        <v/>
      </c>
      <c r="P128" s="247" t="str">
        <f ca="1">IF(C128="","",IF($P$11="CFPS",[1]!S_STM07_CS(D128,84,$G$5,$H$13)/IF([1]!S_SHARE_TOTAL(D128,$G$5)=0,[1]!S_SHARE_TOTAL(D128,[1]!s_ipo_listeddate(D128)),[1]!S_SHARE_TOTAL(D128,$G$5)),[1]!S_STM07_CS(D128,84,$G$5,$H$13)/$E$5))</f>
        <v/>
      </c>
      <c r="Q128" s="248" t="str">
        <f ca="1">IF(C128="","",F128/([1]!S_STM07_IS(D128,61,$G$5,$H$13)/IF([1]!S_SHARE_TOTAL(D128,$G$5)=0,[1]!S_SHARE_TOTAL(D128,[1]!s_ipo_listeddate(D128)),[1]!S_SHARE_TOTAL(D128,$G$5))))</f>
        <v/>
      </c>
      <c r="R128" s="248" t="str">
        <f ca="1">IF(C128="","",F128/([1]!S_STM07_BS(D128,141,$G$5,$H$13)/IF([1]!S_SHARE_TOTAL(D128,$G$5)=0,[1]!S_SHARE_TOTAL(D128,[1]!s_ipo_listeddate(D128)),[1]!S_SHARE_TOTAL(D128,$G$5))))</f>
        <v/>
      </c>
      <c r="S128" s="247" t="str">
        <f ca="1">IF(C128="","",[1]!S_SHARE_TOTAL(D128,TODAY())/$E$5)</f>
        <v/>
      </c>
      <c r="T128" s="247" t="str">
        <f t="shared" ca="1" si="19"/>
        <v/>
      </c>
      <c r="U128" s="218" t="str">
        <f t="shared" ca="1" si="20"/>
        <v/>
      </c>
      <c r="V128" s="342" t="str">
        <f t="shared" ca="1" si="21"/>
        <v/>
      </c>
      <c r="W128" s="139"/>
      <c r="Y128" s="1"/>
    </row>
    <row r="129" spans="3:25" ht="12" customHeight="1">
      <c r="C129" s="343" t="str">
        <f t="shared" ca="1" si="16"/>
        <v/>
      </c>
      <c r="D129" s="124" t="str">
        <f t="shared" ca="1" si="17"/>
        <v/>
      </c>
      <c r="E129" s="124" t="str">
        <f t="shared" ca="1" si="18"/>
        <v/>
      </c>
      <c r="F129" s="172" t="str">
        <f ca="1">IF(C129="","",[1]!S_DQ_CLOSE(D129,TODAY(),1))</f>
        <v/>
      </c>
      <c r="G129" s="173" t="str">
        <f ca="1">IF(C129="","",[1]!s_pq_pctchange(D129,TODAY()-$G$12,TODAY())/100)</f>
        <v/>
      </c>
      <c r="H129" s="249" t="str">
        <f ca="1">IF(C129="","",IF($H$11="收入",[1]!S_STM07_IS(D129,9,$G$5,$H$13)/$E$5,[1]!S_STM07_IS(D129,48,$G$5,$H$13)/$E$5))</f>
        <v/>
      </c>
      <c r="I129" s="249" t="str">
        <f ca="1">IF(C129="","",IF($I$11="毛利率",([1]!S_STM07_IS(D129,9,$G$5,$H$13)-[1]!S_STM07_IS(D129,10,$G$5,$H$13))/[1]!S_STM07_IS(D129,9,$G$5,$H$13),[1]!S_STM07_IS(D129,14,$G$5,$H$13)/$E$5))</f>
        <v/>
      </c>
      <c r="J129" s="249" t="str">
        <f ca="1">IF(C129="","",IF($J$11="营业利润率",[1]!S_STM07_IS(D129,48,$G$5,$H$13)/[1]!S_STM07_IS(D129,9,$G$5,$H$13),([1]!S_STM07_CS(D129,87,$G$5,$H$13)+[1]!S_STM07_CS(D129,88,$G$5,$H$13)+[1]!S_STM07_CS(D129,89,$G$5,$H$13))/$E$5))</f>
        <v/>
      </c>
      <c r="K129" s="249" t="str">
        <f ca="1">IF(C129="","",IF($K$11="净利润率",[1]!S_STM07_IS(D129,61,$G$5,$H$13)/[1]!S_STM07_IS(D129,9,$G$5,$H$13),[1]!S_STM07_IS(D129,55,$G$5,$H$13)/$E$5))</f>
        <v/>
      </c>
      <c r="L129" s="249" t="str">
        <f ca="1">IF(C129="","",IF($L$11="ROA",[1]!S_STM07_IS(D129,61,$G$5,$H$13)/[1]!S_STM07_BS(D129,74,$G$5,$H$13),1-[1]!S_STM07_IS(D129,61,$G$5,$H$13)/[1]!S_STM07_IS(D129,55,$G$5,$H$13)))</f>
        <v/>
      </c>
      <c r="M129" s="249" t="str">
        <f ca="1">IF(C129="","",IF($M$11="ROE",[1]!S_STM07_IS(D129,61,$G$5,$H$13)/[1]!S_STM07_BS(D129,141,$G$5,$H$13),([1]!S_STM07_BS(D129,25,$G$5,$H$13)-[1]!S_STM07_BS(D129,93,$G$5,$H$13))/$E$5))</f>
        <v/>
      </c>
      <c r="N129" s="250" t="str">
        <f ca="1">IF(C129="","",IF($N$11="EPS",[1]!S_STM07_IS(D129,61,$G$5,$H$13)/IF([1]!S_SHARE_TOTAL(D129,$G$5)=0,[1]!S_SHARE_TOTAL(D129,[1]!s_ipo_listeddate(D129)),[1]!S_SHARE_TOTAL(D129,$G$5)),([1]!S_STM07_BS(D129,75,$G$5,$H$13)+[1]!S_STM07_BS(D129,88,$G$5,$H$13)+[1]!S_STM07_BS(D129,94,$G$5,$H$13)+[1]!S_STM07_BS(D129,95,$G$5,$H$13))/$E$5))</f>
        <v/>
      </c>
      <c r="O129" s="250" t="str">
        <f ca="1">IF(C129="","",IF($O$11="BPS",[1]!S_STM07_BS(D129,141,$G$5,$H$13)/IF([1]!S_SHARE_TOTAL(D129,$G$5)=0,[1]!S_SHARE_TOTAL(D129,[1]!s_ipo_listeddate(D129)),[1]!S_SHARE_TOTAL(D129,$G$5)),[1]!S_STM07_CS(D129,49,$G$5,$H$13)/$E$5))</f>
        <v/>
      </c>
      <c r="P129" s="250" t="str">
        <f ca="1">IF(C129="","",IF($P$11="CFPS",[1]!S_STM07_CS(D129,84,$G$5,$H$13)/IF([1]!S_SHARE_TOTAL(D129,$G$5)=0,[1]!S_SHARE_TOTAL(D129,[1]!s_ipo_listeddate(D129)),[1]!S_SHARE_TOTAL(D129,$G$5)),[1]!S_STM07_CS(D129,84,$G$5,$H$13)/$E$5))</f>
        <v/>
      </c>
      <c r="Q129" s="198" t="str">
        <f ca="1">IF(C129="","",F129/([1]!S_STM07_IS(D129,61,$G$5,$H$13)/IF([1]!S_SHARE_TOTAL(D129,$G$5)=0,[1]!S_SHARE_TOTAL(D129,[1]!s_ipo_listeddate(D129)),[1]!S_SHARE_TOTAL(D129,$G$5))))</f>
        <v/>
      </c>
      <c r="R129" s="198" t="str">
        <f ca="1">IF(C129="","",F129/([1]!S_STM07_BS(D129,141,$G$5,$H$13)/IF([1]!S_SHARE_TOTAL(D129,$G$5)=0,[1]!S_SHARE_TOTAL(D129,[1]!s_ipo_listeddate(D129)),[1]!S_SHARE_TOTAL(D129,$G$5))))</f>
        <v/>
      </c>
      <c r="S129" s="249" t="str">
        <f ca="1">IF(C129="","",[1]!S_SHARE_TOTAL(D129,TODAY())/$E$5)</f>
        <v/>
      </c>
      <c r="T129" s="249" t="str">
        <f t="shared" ca="1" si="19"/>
        <v/>
      </c>
      <c r="U129" s="172" t="str">
        <f t="shared" ca="1" si="20"/>
        <v/>
      </c>
      <c r="V129" s="343" t="str">
        <f t="shared" ca="1" si="21"/>
        <v/>
      </c>
      <c r="W129" s="139"/>
      <c r="Y129" s="1"/>
    </row>
    <row r="130" spans="3:25" ht="12" customHeight="1">
      <c r="C130" s="342" t="str">
        <f t="shared" ca="1" si="16"/>
        <v/>
      </c>
      <c r="D130" s="153" t="str">
        <f t="shared" ca="1" si="17"/>
        <v/>
      </c>
      <c r="E130" s="153" t="str">
        <f t="shared" ca="1" si="18"/>
        <v/>
      </c>
      <c r="F130" s="170" t="str">
        <f ca="1">IF(C130="","",[1]!S_DQ_CLOSE(D130,TODAY(),1))</f>
        <v/>
      </c>
      <c r="G130" s="171" t="str">
        <f ca="1">IF(C130="","",[1]!s_pq_pctchange(D130,TODAY()-$G$12,TODAY())/100)</f>
        <v/>
      </c>
      <c r="H130" s="247" t="str">
        <f ca="1">IF(C130="","",IF($H$11="收入",[1]!S_STM07_IS(D130,9,$G$5,$H$13)/$E$5,[1]!S_STM07_IS(D130,48,$G$5,$H$13)/$E$5))</f>
        <v/>
      </c>
      <c r="I130" s="247" t="str">
        <f ca="1">IF(C130="","",IF($I$11="毛利率",([1]!S_STM07_IS(D130,9,$G$5,$H$13)-[1]!S_STM07_IS(D130,10,$G$5,$H$13))/[1]!S_STM07_IS(D130,9,$G$5,$H$13),[1]!S_STM07_IS(D130,14,$G$5,$H$13)/$E$5))</f>
        <v/>
      </c>
      <c r="J130" s="247" t="str">
        <f ca="1">IF(C130="","",IF($J$11="营业利润率",[1]!S_STM07_IS(D130,48,$G$5,$H$13)/[1]!S_STM07_IS(D130,9,$G$5,$H$13),([1]!S_STM07_CS(D130,87,$G$5,$H$13)+[1]!S_STM07_CS(D130,88,$G$5,$H$13)+[1]!S_STM07_CS(D130,89,$G$5,$H$13))/$E$5))</f>
        <v/>
      </c>
      <c r="K130" s="247" t="str">
        <f ca="1">IF(C130="","",IF($K$11="净利润率",[1]!S_STM07_IS(D130,61,$G$5,$H$13)/[1]!S_STM07_IS(D130,9,$G$5,$H$13),[1]!S_STM07_IS(D130,55,$G$5,$H$13)/$E$5))</f>
        <v/>
      </c>
      <c r="L130" s="247" t="str">
        <f ca="1">IF(C130="","",IF($L$11="ROA",[1]!S_STM07_IS(D130,61,$G$5,$H$13)/[1]!S_STM07_BS(D130,74,$G$5,$H$13),1-[1]!S_STM07_IS(D130,61,$G$5,$H$13)/[1]!S_STM07_IS(D130,55,$G$5,$H$13)))</f>
        <v/>
      </c>
      <c r="M130" s="247" t="str">
        <f ca="1">IF(C130="","",IF($M$11="ROE",[1]!S_STM07_IS(D130,61,$G$5,$H$13)/[1]!S_STM07_BS(D130,141,$G$5,$H$13),([1]!S_STM07_BS(D130,25,$G$5,$H$13)-[1]!S_STM07_BS(D130,93,$G$5,$H$13))/$E$5))</f>
        <v/>
      </c>
      <c r="N130" s="247" t="str">
        <f ca="1">IF(C130="","",IF($N$11="EPS",[1]!S_STM07_IS(D130,61,$G$5,$H$13)/IF([1]!S_SHARE_TOTAL(D130,$G$5)=0,[1]!S_SHARE_TOTAL(D130,[1]!s_ipo_listeddate(D130)),[1]!S_SHARE_TOTAL(D130,$G$5)),([1]!S_STM07_BS(D130,75,$G$5,$H$13)+[1]!S_STM07_BS(D130,88,$G$5,$H$13)+[1]!S_STM07_BS(D130,94,$G$5,$H$13)+[1]!S_STM07_BS(D130,95,$G$5,$H$13))/$E$5))</f>
        <v/>
      </c>
      <c r="O130" s="247" t="str">
        <f ca="1">IF(C130="","",IF($O$11="BPS",[1]!S_STM07_BS(D130,141,$G$5,$H$13)/IF([1]!S_SHARE_TOTAL(D130,$G$5)=0,[1]!S_SHARE_TOTAL(D130,[1]!s_ipo_listeddate(D130)),[1]!S_SHARE_TOTAL(D130,$G$5)),[1]!S_STM07_CS(D130,49,$G$5,$H$13)/$E$5))</f>
        <v/>
      </c>
      <c r="P130" s="247" t="str">
        <f ca="1">IF(C130="","",IF($P$11="CFPS",[1]!S_STM07_CS(D130,84,$G$5,$H$13)/IF([1]!S_SHARE_TOTAL(D130,$G$5)=0,[1]!S_SHARE_TOTAL(D130,[1]!s_ipo_listeddate(D130)),[1]!S_SHARE_TOTAL(D130,$G$5)),[1]!S_STM07_CS(D130,84,$G$5,$H$13)/$E$5))</f>
        <v/>
      </c>
      <c r="Q130" s="248" t="str">
        <f ca="1">IF(C130="","",F130/([1]!S_STM07_IS(D130,61,$G$5,$H$13)/IF([1]!S_SHARE_TOTAL(D130,$G$5)=0,[1]!S_SHARE_TOTAL(D130,[1]!s_ipo_listeddate(D130)),[1]!S_SHARE_TOTAL(D130,$G$5))))</f>
        <v/>
      </c>
      <c r="R130" s="248" t="str">
        <f ca="1">IF(C130="","",F130/([1]!S_STM07_BS(D130,141,$G$5,$H$13)/IF([1]!S_SHARE_TOTAL(D130,$G$5)=0,[1]!S_SHARE_TOTAL(D130,[1]!s_ipo_listeddate(D130)),[1]!S_SHARE_TOTAL(D130,$G$5))))</f>
        <v/>
      </c>
      <c r="S130" s="247" t="str">
        <f ca="1">IF(C130="","",[1]!S_SHARE_TOTAL(D130,TODAY())/$E$5)</f>
        <v/>
      </c>
      <c r="T130" s="247" t="str">
        <f t="shared" ca="1" si="19"/>
        <v/>
      </c>
      <c r="U130" s="218" t="str">
        <f t="shared" ca="1" si="20"/>
        <v/>
      </c>
      <c r="V130" s="342" t="str">
        <f t="shared" ca="1" si="21"/>
        <v/>
      </c>
      <c r="W130" s="139"/>
      <c r="Y130" s="1"/>
    </row>
    <row r="131" spans="3:25" ht="12" customHeight="1">
      <c r="C131" s="343" t="str">
        <f t="shared" ca="1" si="16"/>
        <v/>
      </c>
      <c r="D131" s="124" t="str">
        <f t="shared" ca="1" si="17"/>
        <v/>
      </c>
      <c r="E131" s="124" t="str">
        <f t="shared" ca="1" si="18"/>
        <v/>
      </c>
      <c r="F131" s="172" t="str">
        <f ca="1">IF(C131="","",[1]!S_DQ_CLOSE(D131,TODAY(),1))</f>
        <v/>
      </c>
      <c r="G131" s="173" t="str">
        <f ca="1">IF(C131="","",[1]!s_pq_pctchange(D131,TODAY()-$G$12,TODAY())/100)</f>
        <v/>
      </c>
      <c r="H131" s="249" t="str">
        <f ca="1">IF(C131="","",IF($H$11="收入",[1]!S_STM07_IS(D131,9,$G$5,$H$13)/$E$5,[1]!S_STM07_IS(D131,48,$G$5,$H$13)/$E$5))</f>
        <v/>
      </c>
      <c r="I131" s="249" t="str">
        <f ca="1">IF(C131="","",IF($I$11="毛利率",([1]!S_STM07_IS(D131,9,$G$5,$H$13)-[1]!S_STM07_IS(D131,10,$G$5,$H$13))/[1]!S_STM07_IS(D131,9,$G$5,$H$13),[1]!S_STM07_IS(D131,14,$G$5,$H$13)/$E$5))</f>
        <v/>
      </c>
      <c r="J131" s="249" t="str">
        <f ca="1">IF(C131="","",IF($J$11="营业利润率",[1]!S_STM07_IS(D131,48,$G$5,$H$13)/[1]!S_STM07_IS(D131,9,$G$5,$H$13),([1]!S_STM07_CS(D131,87,$G$5,$H$13)+[1]!S_STM07_CS(D131,88,$G$5,$H$13)+[1]!S_STM07_CS(D131,89,$G$5,$H$13))/$E$5))</f>
        <v/>
      </c>
      <c r="K131" s="249" t="str">
        <f ca="1">IF(C131="","",IF($K$11="净利润率",[1]!S_STM07_IS(D131,61,$G$5,$H$13)/[1]!S_STM07_IS(D131,9,$G$5,$H$13),[1]!S_STM07_IS(D131,55,$G$5,$H$13)/$E$5))</f>
        <v/>
      </c>
      <c r="L131" s="249" t="str">
        <f ca="1">IF(C131="","",IF($L$11="ROA",[1]!S_STM07_IS(D131,61,$G$5,$H$13)/[1]!S_STM07_BS(D131,74,$G$5,$H$13),1-[1]!S_STM07_IS(D131,61,$G$5,$H$13)/[1]!S_STM07_IS(D131,55,$G$5,$H$13)))</f>
        <v/>
      </c>
      <c r="M131" s="249" t="str">
        <f ca="1">IF(C131="","",IF($M$11="ROE",[1]!S_STM07_IS(D131,61,$G$5,$H$13)/[1]!S_STM07_BS(D131,141,$G$5,$H$13),([1]!S_STM07_BS(D131,25,$G$5,$H$13)-[1]!S_STM07_BS(D131,93,$G$5,$H$13))/$E$5))</f>
        <v/>
      </c>
      <c r="N131" s="250" t="str">
        <f ca="1">IF(C131="","",IF($N$11="EPS",[1]!S_STM07_IS(D131,61,$G$5,$H$13)/IF([1]!S_SHARE_TOTAL(D131,$G$5)=0,[1]!S_SHARE_TOTAL(D131,[1]!s_ipo_listeddate(D131)),[1]!S_SHARE_TOTAL(D131,$G$5)),([1]!S_STM07_BS(D131,75,$G$5,$H$13)+[1]!S_STM07_BS(D131,88,$G$5,$H$13)+[1]!S_STM07_BS(D131,94,$G$5,$H$13)+[1]!S_STM07_BS(D131,95,$G$5,$H$13))/$E$5))</f>
        <v/>
      </c>
      <c r="O131" s="250" t="str">
        <f ca="1">IF(C131="","",IF($O$11="BPS",[1]!S_STM07_BS(D131,141,$G$5,$H$13)/IF([1]!S_SHARE_TOTAL(D131,$G$5)=0,[1]!S_SHARE_TOTAL(D131,[1]!s_ipo_listeddate(D131)),[1]!S_SHARE_TOTAL(D131,$G$5)),[1]!S_STM07_CS(D131,49,$G$5,$H$13)/$E$5))</f>
        <v/>
      </c>
      <c r="P131" s="250" t="str">
        <f ca="1">IF(C131="","",IF($P$11="CFPS",[1]!S_STM07_CS(D131,84,$G$5,$H$13)/IF([1]!S_SHARE_TOTAL(D131,$G$5)=0,[1]!S_SHARE_TOTAL(D131,[1]!s_ipo_listeddate(D131)),[1]!S_SHARE_TOTAL(D131,$G$5)),[1]!S_STM07_CS(D131,84,$G$5,$H$13)/$E$5))</f>
        <v/>
      </c>
      <c r="Q131" s="198" t="str">
        <f ca="1">IF(C131="","",F131/([1]!S_STM07_IS(D131,61,$G$5,$H$13)/IF([1]!S_SHARE_TOTAL(D131,$G$5)=0,[1]!S_SHARE_TOTAL(D131,[1]!s_ipo_listeddate(D131)),[1]!S_SHARE_TOTAL(D131,$G$5))))</f>
        <v/>
      </c>
      <c r="R131" s="198" t="str">
        <f ca="1">IF(C131="","",F131/([1]!S_STM07_BS(D131,141,$G$5,$H$13)/IF([1]!S_SHARE_TOTAL(D131,$G$5)=0,[1]!S_SHARE_TOTAL(D131,[1]!s_ipo_listeddate(D131)),[1]!S_SHARE_TOTAL(D131,$G$5))))</f>
        <v/>
      </c>
      <c r="S131" s="249" t="str">
        <f ca="1">IF(C131="","",[1]!S_SHARE_TOTAL(D131,TODAY())/$E$5)</f>
        <v/>
      </c>
      <c r="T131" s="249" t="str">
        <f t="shared" ca="1" si="19"/>
        <v/>
      </c>
      <c r="U131" s="172" t="str">
        <f t="shared" ca="1" si="20"/>
        <v/>
      </c>
      <c r="V131" s="343" t="str">
        <f t="shared" ca="1" si="21"/>
        <v/>
      </c>
      <c r="W131" s="139"/>
      <c r="Y131" s="1"/>
    </row>
    <row r="132" spans="3:25" ht="12" customHeight="1">
      <c r="C132" s="342" t="str">
        <f t="shared" ca="1" si="16"/>
        <v/>
      </c>
      <c r="D132" s="153" t="str">
        <f t="shared" ca="1" si="17"/>
        <v/>
      </c>
      <c r="E132" s="153" t="str">
        <f t="shared" ca="1" si="18"/>
        <v/>
      </c>
      <c r="F132" s="170" t="str">
        <f ca="1">IF(C132="","",[1]!S_DQ_CLOSE(D132,TODAY(),1))</f>
        <v/>
      </c>
      <c r="G132" s="171" t="str">
        <f ca="1">IF(C132="","",[1]!s_pq_pctchange(D132,TODAY()-$G$12,TODAY())/100)</f>
        <v/>
      </c>
      <c r="H132" s="247" t="str">
        <f ca="1">IF(C132="","",IF($H$11="收入",[1]!S_STM07_IS(D132,9,$G$5,$H$13)/$E$5,[1]!S_STM07_IS(D132,48,$G$5,$H$13)/$E$5))</f>
        <v/>
      </c>
      <c r="I132" s="247" t="str">
        <f ca="1">IF(C132="","",IF($I$11="毛利率",([1]!S_STM07_IS(D132,9,$G$5,$H$13)-[1]!S_STM07_IS(D132,10,$G$5,$H$13))/[1]!S_STM07_IS(D132,9,$G$5,$H$13),[1]!S_STM07_IS(D132,14,$G$5,$H$13)/$E$5))</f>
        <v/>
      </c>
      <c r="J132" s="247" t="str">
        <f ca="1">IF(C132="","",IF($J$11="营业利润率",[1]!S_STM07_IS(D132,48,$G$5,$H$13)/[1]!S_STM07_IS(D132,9,$G$5,$H$13),([1]!S_STM07_CS(D132,87,$G$5,$H$13)+[1]!S_STM07_CS(D132,88,$G$5,$H$13)+[1]!S_STM07_CS(D132,89,$G$5,$H$13))/$E$5))</f>
        <v/>
      </c>
      <c r="K132" s="247" t="str">
        <f ca="1">IF(C132="","",IF($K$11="净利润率",[1]!S_STM07_IS(D132,61,$G$5,$H$13)/[1]!S_STM07_IS(D132,9,$G$5,$H$13),[1]!S_STM07_IS(D132,55,$G$5,$H$13)/$E$5))</f>
        <v/>
      </c>
      <c r="L132" s="247" t="str">
        <f ca="1">IF(C132="","",IF($L$11="ROA",[1]!S_STM07_IS(D132,61,$G$5,$H$13)/[1]!S_STM07_BS(D132,74,$G$5,$H$13),1-[1]!S_STM07_IS(D132,61,$G$5,$H$13)/[1]!S_STM07_IS(D132,55,$G$5,$H$13)))</f>
        <v/>
      </c>
      <c r="M132" s="247" t="str">
        <f ca="1">IF(C132="","",IF($M$11="ROE",[1]!S_STM07_IS(D132,61,$G$5,$H$13)/[1]!S_STM07_BS(D132,141,$G$5,$H$13),([1]!S_STM07_BS(D132,25,$G$5,$H$13)-[1]!S_STM07_BS(D132,93,$G$5,$H$13))/$E$5))</f>
        <v/>
      </c>
      <c r="N132" s="247" t="str">
        <f ca="1">IF(C132="","",IF($N$11="EPS",[1]!S_STM07_IS(D132,61,$G$5,$H$13)/IF([1]!S_SHARE_TOTAL(D132,$G$5)=0,[1]!S_SHARE_TOTAL(D132,[1]!s_ipo_listeddate(D132)),[1]!S_SHARE_TOTAL(D132,$G$5)),([1]!S_STM07_BS(D132,75,$G$5,$H$13)+[1]!S_STM07_BS(D132,88,$G$5,$H$13)+[1]!S_STM07_BS(D132,94,$G$5,$H$13)+[1]!S_STM07_BS(D132,95,$G$5,$H$13))/$E$5))</f>
        <v/>
      </c>
      <c r="O132" s="247" t="str">
        <f ca="1">IF(C132="","",IF($O$11="BPS",[1]!S_STM07_BS(D132,141,$G$5,$H$13)/IF([1]!S_SHARE_TOTAL(D132,$G$5)=0,[1]!S_SHARE_TOTAL(D132,[1]!s_ipo_listeddate(D132)),[1]!S_SHARE_TOTAL(D132,$G$5)),[1]!S_STM07_CS(D132,49,$G$5,$H$13)/$E$5))</f>
        <v/>
      </c>
      <c r="P132" s="247" t="str">
        <f ca="1">IF(C132="","",IF($P$11="CFPS",[1]!S_STM07_CS(D132,84,$G$5,$H$13)/IF([1]!S_SHARE_TOTAL(D132,$G$5)=0,[1]!S_SHARE_TOTAL(D132,[1]!s_ipo_listeddate(D132)),[1]!S_SHARE_TOTAL(D132,$G$5)),[1]!S_STM07_CS(D132,84,$G$5,$H$13)/$E$5))</f>
        <v/>
      </c>
      <c r="Q132" s="248" t="str">
        <f ca="1">IF(C132="","",F132/([1]!S_STM07_IS(D132,61,$G$5,$H$13)/IF([1]!S_SHARE_TOTAL(D132,$G$5)=0,[1]!S_SHARE_TOTAL(D132,[1]!s_ipo_listeddate(D132)),[1]!S_SHARE_TOTAL(D132,$G$5))))</f>
        <v/>
      </c>
      <c r="R132" s="248" t="str">
        <f ca="1">IF(C132="","",F132/([1]!S_STM07_BS(D132,141,$G$5,$H$13)/IF([1]!S_SHARE_TOTAL(D132,$G$5)=0,[1]!S_SHARE_TOTAL(D132,[1]!s_ipo_listeddate(D132)),[1]!S_SHARE_TOTAL(D132,$G$5))))</f>
        <v/>
      </c>
      <c r="S132" s="247" t="str">
        <f ca="1">IF(C132="","",[1]!S_SHARE_TOTAL(D132,TODAY())/$E$5)</f>
        <v/>
      </c>
      <c r="T132" s="247" t="str">
        <f t="shared" ca="1" si="19"/>
        <v/>
      </c>
      <c r="U132" s="218" t="str">
        <f t="shared" ca="1" si="20"/>
        <v/>
      </c>
      <c r="V132" s="342" t="str">
        <f t="shared" ca="1" si="21"/>
        <v/>
      </c>
      <c r="W132" s="139"/>
      <c r="Y132" s="1"/>
    </row>
    <row r="133" spans="3:25" ht="12" customHeight="1">
      <c r="C133" s="343" t="str">
        <f t="shared" ca="1" si="16"/>
        <v/>
      </c>
      <c r="D133" s="124" t="str">
        <f t="shared" ca="1" si="17"/>
        <v/>
      </c>
      <c r="E133" s="124" t="str">
        <f t="shared" ca="1" si="18"/>
        <v/>
      </c>
      <c r="F133" s="172" t="str">
        <f ca="1">IF(C133="","",[1]!S_DQ_CLOSE(D133,TODAY(),1))</f>
        <v/>
      </c>
      <c r="G133" s="173" t="str">
        <f ca="1">IF(C133="","",[1]!s_pq_pctchange(D133,TODAY()-$G$12,TODAY())/100)</f>
        <v/>
      </c>
      <c r="H133" s="249" t="str">
        <f ca="1">IF(C133="","",IF($H$11="收入",[1]!S_STM07_IS(D133,9,$G$5,$H$13)/$E$5,[1]!S_STM07_IS(D133,48,$G$5,$H$13)/$E$5))</f>
        <v/>
      </c>
      <c r="I133" s="249" t="str">
        <f ca="1">IF(C133="","",IF($I$11="毛利率",([1]!S_STM07_IS(D133,9,$G$5,$H$13)-[1]!S_STM07_IS(D133,10,$G$5,$H$13))/[1]!S_STM07_IS(D133,9,$G$5,$H$13),[1]!S_STM07_IS(D133,14,$G$5,$H$13)/$E$5))</f>
        <v/>
      </c>
      <c r="J133" s="249" t="str">
        <f ca="1">IF(C133="","",IF($J$11="营业利润率",[1]!S_STM07_IS(D133,48,$G$5,$H$13)/[1]!S_STM07_IS(D133,9,$G$5,$H$13),([1]!S_STM07_CS(D133,87,$G$5,$H$13)+[1]!S_STM07_CS(D133,88,$G$5,$H$13)+[1]!S_STM07_CS(D133,89,$G$5,$H$13))/$E$5))</f>
        <v/>
      </c>
      <c r="K133" s="249" t="str">
        <f ca="1">IF(C133="","",IF($K$11="净利润率",[1]!S_STM07_IS(D133,61,$G$5,$H$13)/[1]!S_STM07_IS(D133,9,$G$5,$H$13),[1]!S_STM07_IS(D133,55,$G$5,$H$13)/$E$5))</f>
        <v/>
      </c>
      <c r="L133" s="249" t="str">
        <f ca="1">IF(C133="","",IF($L$11="ROA",[1]!S_STM07_IS(D133,61,$G$5,$H$13)/[1]!S_STM07_BS(D133,74,$G$5,$H$13),1-[1]!S_STM07_IS(D133,61,$G$5,$H$13)/[1]!S_STM07_IS(D133,55,$G$5,$H$13)))</f>
        <v/>
      </c>
      <c r="M133" s="249" t="str">
        <f ca="1">IF(C133="","",IF($M$11="ROE",[1]!S_STM07_IS(D133,61,$G$5,$H$13)/[1]!S_STM07_BS(D133,141,$G$5,$H$13),([1]!S_STM07_BS(D133,25,$G$5,$H$13)-[1]!S_STM07_BS(D133,93,$G$5,$H$13))/$E$5))</f>
        <v/>
      </c>
      <c r="N133" s="250" t="str">
        <f ca="1">IF(C133="","",IF($N$11="EPS",[1]!S_STM07_IS(D133,61,$G$5,$H$13)/IF([1]!S_SHARE_TOTAL(D133,$G$5)=0,[1]!S_SHARE_TOTAL(D133,[1]!s_ipo_listeddate(D133)),[1]!S_SHARE_TOTAL(D133,$G$5)),([1]!S_STM07_BS(D133,75,$G$5,$H$13)+[1]!S_STM07_BS(D133,88,$G$5,$H$13)+[1]!S_STM07_BS(D133,94,$G$5,$H$13)+[1]!S_STM07_BS(D133,95,$G$5,$H$13))/$E$5))</f>
        <v/>
      </c>
      <c r="O133" s="250" t="str">
        <f ca="1">IF(C133="","",IF($O$11="BPS",[1]!S_STM07_BS(D133,141,$G$5,$H$13)/IF([1]!S_SHARE_TOTAL(D133,$G$5)=0,[1]!S_SHARE_TOTAL(D133,[1]!s_ipo_listeddate(D133)),[1]!S_SHARE_TOTAL(D133,$G$5)),[1]!S_STM07_CS(D133,49,$G$5,$H$13)/$E$5))</f>
        <v/>
      </c>
      <c r="P133" s="250" t="str">
        <f ca="1">IF(C133="","",IF($P$11="CFPS",[1]!S_STM07_CS(D133,84,$G$5,$H$13)/IF([1]!S_SHARE_TOTAL(D133,$G$5)=0,[1]!S_SHARE_TOTAL(D133,[1]!s_ipo_listeddate(D133)),[1]!S_SHARE_TOTAL(D133,$G$5)),[1]!S_STM07_CS(D133,84,$G$5,$H$13)/$E$5))</f>
        <v/>
      </c>
      <c r="Q133" s="198" t="str">
        <f ca="1">IF(C133="","",F133/([1]!S_STM07_IS(D133,61,$G$5,$H$13)/IF([1]!S_SHARE_TOTAL(D133,$G$5)=0,[1]!S_SHARE_TOTAL(D133,[1]!s_ipo_listeddate(D133)),[1]!S_SHARE_TOTAL(D133,$G$5))))</f>
        <v/>
      </c>
      <c r="R133" s="198" t="str">
        <f ca="1">IF(C133="","",F133/([1]!S_STM07_BS(D133,141,$G$5,$H$13)/IF([1]!S_SHARE_TOTAL(D133,$G$5)=0,[1]!S_SHARE_TOTAL(D133,[1]!s_ipo_listeddate(D133)),[1]!S_SHARE_TOTAL(D133,$G$5))))</f>
        <v/>
      </c>
      <c r="S133" s="249" t="str">
        <f ca="1">IF(C133="","",[1]!S_SHARE_TOTAL(D133,TODAY())/$E$5)</f>
        <v/>
      </c>
      <c r="T133" s="249" t="str">
        <f t="shared" ca="1" si="19"/>
        <v/>
      </c>
      <c r="U133" s="172" t="str">
        <f t="shared" ca="1" si="20"/>
        <v/>
      </c>
      <c r="V133" s="343" t="str">
        <f t="shared" ca="1" si="21"/>
        <v/>
      </c>
      <c r="W133" s="139"/>
      <c r="Y133" s="1"/>
    </row>
    <row r="134" spans="3:25" ht="12" customHeight="1">
      <c r="C134" s="342" t="str">
        <f t="shared" ca="1" si="16"/>
        <v/>
      </c>
      <c r="D134" s="153" t="str">
        <f t="shared" ca="1" si="17"/>
        <v/>
      </c>
      <c r="E134" s="153" t="str">
        <f t="shared" ca="1" si="18"/>
        <v/>
      </c>
      <c r="F134" s="170" t="str">
        <f ca="1">IF(C134="","",[1]!S_DQ_CLOSE(D134,TODAY(),1))</f>
        <v/>
      </c>
      <c r="G134" s="171" t="str">
        <f ca="1">IF(C134="","",[1]!s_pq_pctchange(D134,TODAY()-$G$12,TODAY())/100)</f>
        <v/>
      </c>
      <c r="H134" s="247" t="str">
        <f ca="1">IF(C134="","",IF($H$11="收入",[1]!S_STM07_IS(D134,9,$G$5,$H$13)/$E$5,[1]!S_STM07_IS(D134,48,$G$5,$H$13)/$E$5))</f>
        <v/>
      </c>
      <c r="I134" s="247" t="str">
        <f ca="1">IF(C134="","",IF($I$11="毛利率",([1]!S_STM07_IS(D134,9,$G$5,$H$13)-[1]!S_STM07_IS(D134,10,$G$5,$H$13))/[1]!S_STM07_IS(D134,9,$G$5,$H$13),[1]!S_STM07_IS(D134,14,$G$5,$H$13)/$E$5))</f>
        <v/>
      </c>
      <c r="J134" s="247" t="str">
        <f ca="1">IF(C134="","",IF($J$11="营业利润率",[1]!S_STM07_IS(D134,48,$G$5,$H$13)/[1]!S_STM07_IS(D134,9,$G$5,$H$13),([1]!S_STM07_CS(D134,87,$G$5,$H$13)+[1]!S_STM07_CS(D134,88,$G$5,$H$13)+[1]!S_STM07_CS(D134,89,$G$5,$H$13))/$E$5))</f>
        <v/>
      </c>
      <c r="K134" s="247" t="str">
        <f ca="1">IF(C134="","",IF($K$11="净利润率",[1]!S_STM07_IS(D134,61,$G$5,$H$13)/[1]!S_STM07_IS(D134,9,$G$5,$H$13),[1]!S_STM07_IS(D134,55,$G$5,$H$13)/$E$5))</f>
        <v/>
      </c>
      <c r="L134" s="247" t="str">
        <f ca="1">IF(C134="","",IF($L$11="ROA",[1]!S_STM07_IS(D134,61,$G$5,$H$13)/[1]!S_STM07_BS(D134,74,$G$5,$H$13),1-[1]!S_STM07_IS(D134,61,$G$5,$H$13)/[1]!S_STM07_IS(D134,55,$G$5,$H$13)))</f>
        <v/>
      </c>
      <c r="M134" s="247" t="str">
        <f ca="1">IF(C134="","",IF($M$11="ROE",[1]!S_STM07_IS(D134,61,$G$5,$H$13)/[1]!S_STM07_BS(D134,141,$G$5,$H$13),([1]!S_STM07_BS(D134,25,$G$5,$H$13)-[1]!S_STM07_BS(D134,93,$G$5,$H$13))/$E$5))</f>
        <v/>
      </c>
      <c r="N134" s="247" t="str">
        <f ca="1">IF(C134="","",IF($N$11="EPS",[1]!S_STM07_IS(D134,61,$G$5,$H$13)/IF([1]!S_SHARE_TOTAL(D134,$G$5)=0,[1]!S_SHARE_TOTAL(D134,[1]!s_ipo_listeddate(D134)),[1]!S_SHARE_TOTAL(D134,$G$5)),([1]!S_STM07_BS(D134,75,$G$5,$H$13)+[1]!S_STM07_BS(D134,88,$G$5,$H$13)+[1]!S_STM07_BS(D134,94,$G$5,$H$13)+[1]!S_STM07_BS(D134,95,$G$5,$H$13))/$E$5))</f>
        <v/>
      </c>
      <c r="O134" s="247" t="str">
        <f ca="1">IF(C134="","",IF($O$11="BPS",[1]!S_STM07_BS(D134,141,$G$5,$H$13)/IF([1]!S_SHARE_TOTAL(D134,$G$5)=0,[1]!S_SHARE_TOTAL(D134,[1]!s_ipo_listeddate(D134)),[1]!S_SHARE_TOTAL(D134,$G$5)),[1]!S_STM07_CS(D134,49,$G$5,$H$13)/$E$5))</f>
        <v/>
      </c>
      <c r="P134" s="247" t="str">
        <f ca="1">IF(C134="","",IF($P$11="CFPS",[1]!S_STM07_CS(D134,84,$G$5,$H$13)/IF([1]!S_SHARE_TOTAL(D134,$G$5)=0,[1]!S_SHARE_TOTAL(D134,[1]!s_ipo_listeddate(D134)),[1]!S_SHARE_TOTAL(D134,$G$5)),[1]!S_STM07_CS(D134,84,$G$5,$H$13)/$E$5))</f>
        <v/>
      </c>
      <c r="Q134" s="248" t="str">
        <f ca="1">IF(C134="","",F134/([1]!S_STM07_IS(D134,61,$G$5,$H$13)/IF([1]!S_SHARE_TOTAL(D134,$G$5)=0,[1]!S_SHARE_TOTAL(D134,[1]!s_ipo_listeddate(D134)),[1]!S_SHARE_TOTAL(D134,$G$5))))</f>
        <v/>
      </c>
      <c r="R134" s="248" t="str">
        <f ca="1">IF(C134="","",F134/([1]!S_STM07_BS(D134,141,$G$5,$H$13)/IF([1]!S_SHARE_TOTAL(D134,$G$5)=0,[1]!S_SHARE_TOTAL(D134,[1]!s_ipo_listeddate(D134)),[1]!S_SHARE_TOTAL(D134,$G$5))))</f>
        <v/>
      </c>
      <c r="S134" s="247" t="str">
        <f ca="1">IF(C134="","",[1]!S_SHARE_TOTAL(D134,TODAY())/$E$5)</f>
        <v/>
      </c>
      <c r="T134" s="247" t="str">
        <f t="shared" ca="1" si="19"/>
        <v/>
      </c>
      <c r="U134" s="218" t="str">
        <f t="shared" ca="1" si="20"/>
        <v/>
      </c>
      <c r="V134" s="342" t="str">
        <f t="shared" ca="1" si="21"/>
        <v/>
      </c>
      <c r="W134" s="139"/>
      <c r="Y134" s="1"/>
    </row>
    <row r="135" spans="3:25" ht="12" customHeight="1">
      <c r="C135" s="343" t="str">
        <f t="shared" ca="1" si="16"/>
        <v/>
      </c>
      <c r="D135" s="124" t="str">
        <f t="shared" ca="1" si="17"/>
        <v/>
      </c>
      <c r="E135" s="124" t="str">
        <f t="shared" ca="1" si="18"/>
        <v/>
      </c>
      <c r="F135" s="172" t="str">
        <f ca="1">IF(C135="","",[1]!S_DQ_CLOSE(D135,TODAY(),1))</f>
        <v/>
      </c>
      <c r="G135" s="173" t="str">
        <f ca="1">IF(C135="","",[1]!s_pq_pctchange(D135,TODAY()-$G$12,TODAY())/100)</f>
        <v/>
      </c>
      <c r="H135" s="249" t="str">
        <f ca="1">IF(C135="","",IF($H$11="收入",[1]!S_STM07_IS(D135,9,$G$5,$H$13)/$E$5,[1]!S_STM07_IS(D135,48,$G$5,$H$13)/$E$5))</f>
        <v/>
      </c>
      <c r="I135" s="249" t="str">
        <f ca="1">IF(C135="","",IF($I$11="毛利率",([1]!S_STM07_IS(D135,9,$G$5,$H$13)-[1]!S_STM07_IS(D135,10,$G$5,$H$13))/[1]!S_STM07_IS(D135,9,$G$5,$H$13),[1]!S_STM07_IS(D135,14,$G$5,$H$13)/$E$5))</f>
        <v/>
      </c>
      <c r="J135" s="249" t="str">
        <f ca="1">IF(C135="","",IF($J$11="营业利润率",[1]!S_STM07_IS(D135,48,$G$5,$H$13)/[1]!S_STM07_IS(D135,9,$G$5,$H$13),([1]!S_STM07_CS(D135,87,$G$5,$H$13)+[1]!S_STM07_CS(D135,88,$G$5,$H$13)+[1]!S_STM07_CS(D135,89,$G$5,$H$13))/$E$5))</f>
        <v/>
      </c>
      <c r="K135" s="249" t="str">
        <f ca="1">IF(C135="","",IF($K$11="净利润率",[1]!S_STM07_IS(D135,61,$G$5,$H$13)/[1]!S_STM07_IS(D135,9,$G$5,$H$13),[1]!S_STM07_IS(D135,55,$G$5,$H$13)/$E$5))</f>
        <v/>
      </c>
      <c r="L135" s="249" t="str">
        <f ca="1">IF(C135="","",IF($L$11="ROA",[1]!S_STM07_IS(D135,61,$G$5,$H$13)/[1]!S_STM07_BS(D135,74,$G$5,$H$13),1-[1]!S_STM07_IS(D135,61,$G$5,$H$13)/[1]!S_STM07_IS(D135,55,$G$5,$H$13)))</f>
        <v/>
      </c>
      <c r="M135" s="249" t="str">
        <f ca="1">IF(C135="","",IF($M$11="ROE",[1]!S_STM07_IS(D135,61,$G$5,$H$13)/[1]!S_STM07_BS(D135,141,$G$5,$H$13),([1]!S_STM07_BS(D135,25,$G$5,$H$13)-[1]!S_STM07_BS(D135,93,$G$5,$H$13))/$E$5))</f>
        <v/>
      </c>
      <c r="N135" s="250" t="str">
        <f ca="1">IF(C135="","",IF($N$11="EPS",[1]!S_STM07_IS(D135,61,$G$5,$H$13)/IF([1]!S_SHARE_TOTAL(D135,$G$5)=0,[1]!S_SHARE_TOTAL(D135,[1]!s_ipo_listeddate(D135)),[1]!S_SHARE_TOTAL(D135,$G$5)),([1]!S_STM07_BS(D135,75,$G$5,$H$13)+[1]!S_STM07_BS(D135,88,$G$5,$H$13)+[1]!S_STM07_BS(D135,94,$G$5,$H$13)+[1]!S_STM07_BS(D135,95,$G$5,$H$13))/$E$5))</f>
        <v/>
      </c>
      <c r="O135" s="250" t="str">
        <f ca="1">IF(C135="","",IF($O$11="BPS",[1]!S_STM07_BS(D135,141,$G$5,$H$13)/IF([1]!S_SHARE_TOTAL(D135,$G$5)=0,[1]!S_SHARE_TOTAL(D135,[1]!s_ipo_listeddate(D135)),[1]!S_SHARE_TOTAL(D135,$G$5)),[1]!S_STM07_CS(D135,49,$G$5,$H$13)/$E$5))</f>
        <v/>
      </c>
      <c r="P135" s="250" t="str">
        <f ca="1">IF(C135="","",IF($P$11="CFPS",[1]!S_STM07_CS(D135,84,$G$5,$H$13)/IF([1]!S_SHARE_TOTAL(D135,$G$5)=0,[1]!S_SHARE_TOTAL(D135,[1]!s_ipo_listeddate(D135)),[1]!S_SHARE_TOTAL(D135,$G$5)),[1]!S_STM07_CS(D135,84,$G$5,$H$13)/$E$5))</f>
        <v/>
      </c>
      <c r="Q135" s="198" t="str">
        <f ca="1">IF(C135="","",F135/([1]!S_STM07_IS(D135,61,$G$5,$H$13)/IF([1]!S_SHARE_TOTAL(D135,$G$5)=0,[1]!S_SHARE_TOTAL(D135,[1]!s_ipo_listeddate(D135)),[1]!S_SHARE_TOTAL(D135,$G$5))))</f>
        <v/>
      </c>
      <c r="R135" s="198" t="str">
        <f ca="1">IF(C135="","",F135/([1]!S_STM07_BS(D135,141,$G$5,$H$13)/IF([1]!S_SHARE_TOTAL(D135,$G$5)=0,[1]!S_SHARE_TOTAL(D135,[1]!s_ipo_listeddate(D135)),[1]!S_SHARE_TOTAL(D135,$G$5))))</f>
        <v/>
      </c>
      <c r="S135" s="249" t="str">
        <f ca="1">IF(C135="","",[1]!S_SHARE_TOTAL(D135,TODAY())/$E$5)</f>
        <v/>
      </c>
      <c r="T135" s="249" t="str">
        <f t="shared" ca="1" si="19"/>
        <v/>
      </c>
      <c r="U135" s="172" t="str">
        <f t="shared" ca="1" si="20"/>
        <v/>
      </c>
      <c r="V135" s="343" t="str">
        <f t="shared" ca="1" si="21"/>
        <v/>
      </c>
      <c r="W135" s="139"/>
      <c r="Y135" s="1"/>
    </row>
    <row r="136" spans="3:25" ht="12" customHeight="1">
      <c r="C136" s="342" t="str">
        <f t="shared" ca="1" si="16"/>
        <v/>
      </c>
      <c r="D136" s="153" t="str">
        <f t="shared" ca="1" si="17"/>
        <v/>
      </c>
      <c r="E136" s="153" t="str">
        <f t="shared" ca="1" si="18"/>
        <v/>
      </c>
      <c r="F136" s="170" t="str">
        <f ca="1">IF(C136="","",[1]!S_DQ_CLOSE(D136,TODAY(),1))</f>
        <v/>
      </c>
      <c r="G136" s="171" t="str">
        <f ca="1">IF(C136="","",[1]!s_pq_pctchange(D136,TODAY()-$G$12,TODAY())/100)</f>
        <v/>
      </c>
      <c r="H136" s="247" t="str">
        <f ca="1">IF(C136="","",IF($H$11="收入",[1]!S_STM07_IS(D136,9,$G$5,$H$13)/$E$5,[1]!S_STM07_IS(D136,48,$G$5,$H$13)/$E$5))</f>
        <v/>
      </c>
      <c r="I136" s="247" t="str">
        <f ca="1">IF(C136="","",IF($I$11="毛利率",([1]!S_STM07_IS(D136,9,$G$5,$H$13)-[1]!S_STM07_IS(D136,10,$G$5,$H$13))/[1]!S_STM07_IS(D136,9,$G$5,$H$13),[1]!S_STM07_IS(D136,14,$G$5,$H$13)/$E$5))</f>
        <v/>
      </c>
      <c r="J136" s="247" t="str">
        <f ca="1">IF(C136="","",IF($J$11="营业利润率",[1]!S_STM07_IS(D136,48,$G$5,$H$13)/[1]!S_STM07_IS(D136,9,$G$5,$H$13),([1]!S_STM07_CS(D136,87,$G$5,$H$13)+[1]!S_STM07_CS(D136,88,$G$5,$H$13)+[1]!S_STM07_CS(D136,89,$G$5,$H$13))/$E$5))</f>
        <v/>
      </c>
      <c r="K136" s="247" t="str">
        <f ca="1">IF(C136="","",IF($K$11="净利润率",[1]!S_STM07_IS(D136,61,$G$5,$H$13)/[1]!S_STM07_IS(D136,9,$G$5,$H$13),[1]!S_STM07_IS(D136,55,$G$5,$H$13)/$E$5))</f>
        <v/>
      </c>
      <c r="L136" s="247" t="str">
        <f ca="1">IF(C136="","",IF($L$11="ROA",[1]!S_STM07_IS(D136,61,$G$5,$H$13)/[1]!S_STM07_BS(D136,74,$G$5,$H$13),1-[1]!S_STM07_IS(D136,61,$G$5,$H$13)/[1]!S_STM07_IS(D136,55,$G$5,$H$13)))</f>
        <v/>
      </c>
      <c r="M136" s="247" t="str">
        <f ca="1">IF(C136="","",IF($M$11="ROE",[1]!S_STM07_IS(D136,61,$G$5,$H$13)/[1]!S_STM07_BS(D136,141,$G$5,$H$13),([1]!S_STM07_BS(D136,25,$G$5,$H$13)-[1]!S_STM07_BS(D136,93,$G$5,$H$13))/$E$5))</f>
        <v/>
      </c>
      <c r="N136" s="247" t="str">
        <f ca="1">IF(C136="","",IF($N$11="EPS",[1]!S_STM07_IS(D136,61,$G$5,$H$13)/IF([1]!S_SHARE_TOTAL(D136,$G$5)=0,[1]!S_SHARE_TOTAL(D136,[1]!s_ipo_listeddate(D136)),[1]!S_SHARE_TOTAL(D136,$G$5)),([1]!S_STM07_BS(D136,75,$G$5,$H$13)+[1]!S_STM07_BS(D136,88,$G$5,$H$13)+[1]!S_STM07_BS(D136,94,$G$5,$H$13)+[1]!S_STM07_BS(D136,95,$G$5,$H$13))/$E$5))</f>
        <v/>
      </c>
      <c r="O136" s="247" t="str">
        <f ca="1">IF(C136="","",IF($O$11="BPS",[1]!S_STM07_BS(D136,141,$G$5,$H$13)/IF([1]!S_SHARE_TOTAL(D136,$G$5)=0,[1]!S_SHARE_TOTAL(D136,[1]!s_ipo_listeddate(D136)),[1]!S_SHARE_TOTAL(D136,$G$5)),[1]!S_STM07_CS(D136,49,$G$5,$H$13)/$E$5))</f>
        <v/>
      </c>
      <c r="P136" s="247" t="str">
        <f ca="1">IF(C136="","",IF($P$11="CFPS",[1]!S_STM07_CS(D136,84,$G$5,$H$13)/IF([1]!S_SHARE_TOTAL(D136,$G$5)=0,[1]!S_SHARE_TOTAL(D136,[1]!s_ipo_listeddate(D136)),[1]!S_SHARE_TOTAL(D136,$G$5)),[1]!S_STM07_CS(D136,84,$G$5,$H$13)/$E$5))</f>
        <v/>
      </c>
      <c r="Q136" s="248" t="str">
        <f ca="1">IF(C136="","",F136/([1]!S_STM07_IS(D136,61,$G$5,$H$13)/IF([1]!S_SHARE_TOTAL(D136,$G$5)=0,[1]!S_SHARE_TOTAL(D136,[1]!s_ipo_listeddate(D136)),[1]!S_SHARE_TOTAL(D136,$G$5))))</f>
        <v/>
      </c>
      <c r="R136" s="248" t="str">
        <f ca="1">IF(C136="","",F136/([1]!S_STM07_BS(D136,141,$G$5,$H$13)/IF([1]!S_SHARE_TOTAL(D136,$G$5)=0,[1]!S_SHARE_TOTAL(D136,[1]!s_ipo_listeddate(D136)),[1]!S_SHARE_TOTAL(D136,$G$5))))</f>
        <v/>
      </c>
      <c r="S136" s="247" t="str">
        <f ca="1">IF(C136="","",[1]!S_SHARE_TOTAL(D136,TODAY())/$E$5)</f>
        <v/>
      </c>
      <c r="T136" s="247" t="str">
        <f t="shared" ca="1" si="19"/>
        <v/>
      </c>
      <c r="U136" s="218" t="str">
        <f t="shared" ca="1" si="20"/>
        <v/>
      </c>
      <c r="V136" s="342" t="str">
        <f t="shared" ca="1" si="21"/>
        <v/>
      </c>
      <c r="W136" s="139"/>
      <c r="Y136" s="1"/>
    </row>
    <row r="137" spans="3:25" ht="12" customHeight="1">
      <c r="C137" s="343" t="str">
        <f t="shared" ca="1" si="16"/>
        <v/>
      </c>
      <c r="D137" s="124" t="str">
        <f t="shared" ca="1" si="17"/>
        <v/>
      </c>
      <c r="E137" s="124" t="str">
        <f t="shared" ca="1" si="18"/>
        <v/>
      </c>
      <c r="F137" s="172" t="str">
        <f ca="1">IF(C137="","",[1]!S_DQ_CLOSE(D137,TODAY(),1))</f>
        <v/>
      </c>
      <c r="G137" s="173" t="str">
        <f ca="1">IF(C137="","",[1]!s_pq_pctchange(D137,TODAY()-$G$12,TODAY())/100)</f>
        <v/>
      </c>
      <c r="H137" s="249" t="str">
        <f ca="1">IF(C137="","",IF($H$11="收入",[1]!S_STM07_IS(D137,9,$G$5,$H$13)/$E$5,[1]!S_STM07_IS(D137,48,$G$5,$H$13)/$E$5))</f>
        <v/>
      </c>
      <c r="I137" s="249" t="str">
        <f ca="1">IF(C137="","",IF($I$11="毛利率",([1]!S_STM07_IS(D137,9,$G$5,$H$13)-[1]!S_STM07_IS(D137,10,$G$5,$H$13))/[1]!S_STM07_IS(D137,9,$G$5,$H$13),[1]!S_STM07_IS(D137,14,$G$5,$H$13)/$E$5))</f>
        <v/>
      </c>
      <c r="J137" s="249" t="str">
        <f ca="1">IF(C137="","",IF($J$11="营业利润率",[1]!S_STM07_IS(D137,48,$G$5,$H$13)/[1]!S_STM07_IS(D137,9,$G$5,$H$13),([1]!S_STM07_CS(D137,87,$G$5,$H$13)+[1]!S_STM07_CS(D137,88,$G$5,$H$13)+[1]!S_STM07_CS(D137,89,$G$5,$H$13))/$E$5))</f>
        <v/>
      </c>
      <c r="K137" s="249" t="str">
        <f ca="1">IF(C137="","",IF($K$11="净利润率",[1]!S_STM07_IS(D137,61,$G$5,$H$13)/[1]!S_STM07_IS(D137,9,$G$5,$H$13),[1]!S_STM07_IS(D137,55,$G$5,$H$13)/$E$5))</f>
        <v/>
      </c>
      <c r="L137" s="249" t="str">
        <f ca="1">IF(C137="","",IF($L$11="ROA",[1]!S_STM07_IS(D137,61,$G$5,$H$13)/[1]!S_STM07_BS(D137,74,$G$5,$H$13),1-[1]!S_STM07_IS(D137,61,$G$5,$H$13)/[1]!S_STM07_IS(D137,55,$G$5,$H$13)))</f>
        <v/>
      </c>
      <c r="M137" s="249" t="str">
        <f ca="1">IF(C137="","",IF($M$11="ROE",[1]!S_STM07_IS(D137,61,$G$5,$H$13)/[1]!S_STM07_BS(D137,141,$G$5,$H$13),([1]!S_STM07_BS(D137,25,$G$5,$H$13)-[1]!S_STM07_BS(D137,93,$G$5,$H$13))/$E$5))</f>
        <v/>
      </c>
      <c r="N137" s="250" t="str">
        <f ca="1">IF(C137="","",IF($N$11="EPS",[1]!S_STM07_IS(D137,61,$G$5,$H$13)/IF([1]!S_SHARE_TOTAL(D137,$G$5)=0,[1]!S_SHARE_TOTAL(D137,[1]!s_ipo_listeddate(D137)),[1]!S_SHARE_TOTAL(D137,$G$5)),([1]!S_STM07_BS(D137,75,$G$5,$H$13)+[1]!S_STM07_BS(D137,88,$G$5,$H$13)+[1]!S_STM07_BS(D137,94,$G$5,$H$13)+[1]!S_STM07_BS(D137,95,$G$5,$H$13))/$E$5))</f>
        <v/>
      </c>
      <c r="O137" s="250" t="str">
        <f ca="1">IF(C137="","",IF($O$11="BPS",[1]!S_STM07_BS(D137,141,$G$5,$H$13)/IF([1]!S_SHARE_TOTAL(D137,$G$5)=0,[1]!S_SHARE_TOTAL(D137,[1]!s_ipo_listeddate(D137)),[1]!S_SHARE_TOTAL(D137,$G$5)),[1]!S_STM07_CS(D137,49,$G$5,$H$13)/$E$5))</f>
        <v/>
      </c>
      <c r="P137" s="250" t="str">
        <f ca="1">IF(C137="","",IF($P$11="CFPS",[1]!S_STM07_CS(D137,84,$G$5,$H$13)/IF([1]!S_SHARE_TOTAL(D137,$G$5)=0,[1]!S_SHARE_TOTAL(D137,[1]!s_ipo_listeddate(D137)),[1]!S_SHARE_TOTAL(D137,$G$5)),[1]!S_STM07_CS(D137,84,$G$5,$H$13)/$E$5))</f>
        <v/>
      </c>
      <c r="Q137" s="198" t="str">
        <f ca="1">IF(C137="","",F137/([1]!S_STM07_IS(D137,61,$G$5,$H$13)/IF([1]!S_SHARE_TOTAL(D137,$G$5)=0,[1]!S_SHARE_TOTAL(D137,[1]!s_ipo_listeddate(D137)),[1]!S_SHARE_TOTAL(D137,$G$5))))</f>
        <v/>
      </c>
      <c r="R137" s="198" t="str">
        <f ca="1">IF(C137="","",F137/([1]!S_STM07_BS(D137,141,$G$5,$H$13)/IF([1]!S_SHARE_TOTAL(D137,$G$5)=0,[1]!S_SHARE_TOTAL(D137,[1]!s_ipo_listeddate(D137)),[1]!S_SHARE_TOTAL(D137,$G$5))))</f>
        <v/>
      </c>
      <c r="S137" s="249" t="str">
        <f ca="1">IF(C137="","",[1]!S_SHARE_TOTAL(D137,TODAY())/$E$5)</f>
        <v/>
      </c>
      <c r="T137" s="249" t="str">
        <f t="shared" ca="1" si="19"/>
        <v/>
      </c>
      <c r="U137" s="172" t="str">
        <f t="shared" ca="1" si="20"/>
        <v/>
      </c>
      <c r="V137" s="343" t="str">
        <f t="shared" ca="1" si="21"/>
        <v/>
      </c>
      <c r="W137" s="139"/>
      <c r="Y137" s="1"/>
    </row>
    <row r="138" spans="3:25" ht="12" customHeight="1">
      <c r="C138" s="342" t="str">
        <f t="shared" ca="1" si="16"/>
        <v/>
      </c>
      <c r="D138" s="153" t="str">
        <f t="shared" ca="1" si="17"/>
        <v/>
      </c>
      <c r="E138" s="153" t="str">
        <f t="shared" ca="1" si="18"/>
        <v/>
      </c>
      <c r="F138" s="170" t="str">
        <f ca="1">IF(C138="","",[1]!S_DQ_CLOSE(D138,TODAY(),1))</f>
        <v/>
      </c>
      <c r="G138" s="171" t="str">
        <f ca="1">IF(C138="","",[1]!s_pq_pctchange(D138,TODAY()-$G$12,TODAY())/100)</f>
        <v/>
      </c>
      <c r="H138" s="247" t="str">
        <f ca="1">IF(C138="","",IF($H$11="收入",[1]!S_STM07_IS(D138,9,$G$5,$H$13)/$E$5,[1]!S_STM07_IS(D138,48,$G$5,$H$13)/$E$5))</f>
        <v/>
      </c>
      <c r="I138" s="247" t="str">
        <f ca="1">IF(C138="","",IF($I$11="毛利率",([1]!S_STM07_IS(D138,9,$G$5,$H$13)-[1]!S_STM07_IS(D138,10,$G$5,$H$13))/[1]!S_STM07_IS(D138,9,$G$5,$H$13),[1]!S_STM07_IS(D138,14,$G$5,$H$13)/$E$5))</f>
        <v/>
      </c>
      <c r="J138" s="247" t="str">
        <f ca="1">IF(C138="","",IF($J$11="营业利润率",[1]!S_STM07_IS(D138,48,$G$5,$H$13)/[1]!S_STM07_IS(D138,9,$G$5,$H$13),([1]!S_STM07_CS(D138,87,$G$5,$H$13)+[1]!S_STM07_CS(D138,88,$G$5,$H$13)+[1]!S_STM07_CS(D138,89,$G$5,$H$13))/$E$5))</f>
        <v/>
      </c>
      <c r="K138" s="247" t="str">
        <f ca="1">IF(C138="","",IF($K$11="净利润率",[1]!S_STM07_IS(D138,61,$G$5,$H$13)/[1]!S_STM07_IS(D138,9,$G$5,$H$13),[1]!S_STM07_IS(D138,55,$G$5,$H$13)/$E$5))</f>
        <v/>
      </c>
      <c r="L138" s="247" t="str">
        <f ca="1">IF(C138="","",IF($L$11="ROA",[1]!S_STM07_IS(D138,61,$G$5,$H$13)/[1]!S_STM07_BS(D138,74,$G$5,$H$13),1-[1]!S_STM07_IS(D138,61,$G$5,$H$13)/[1]!S_STM07_IS(D138,55,$G$5,$H$13)))</f>
        <v/>
      </c>
      <c r="M138" s="247" t="str">
        <f ca="1">IF(C138="","",IF($M$11="ROE",[1]!S_STM07_IS(D138,61,$G$5,$H$13)/[1]!S_STM07_BS(D138,141,$G$5,$H$13),([1]!S_STM07_BS(D138,25,$G$5,$H$13)-[1]!S_STM07_BS(D138,93,$G$5,$H$13))/$E$5))</f>
        <v/>
      </c>
      <c r="N138" s="247" t="str">
        <f ca="1">IF(C138="","",IF($N$11="EPS",[1]!S_STM07_IS(D138,61,$G$5,$H$13)/IF([1]!S_SHARE_TOTAL(D138,$G$5)=0,[1]!S_SHARE_TOTAL(D138,[1]!s_ipo_listeddate(D138)),[1]!S_SHARE_TOTAL(D138,$G$5)),([1]!S_STM07_BS(D138,75,$G$5,$H$13)+[1]!S_STM07_BS(D138,88,$G$5,$H$13)+[1]!S_STM07_BS(D138,94,$G$5,$H$13)+[1]!S_STM07_BS(D138,95,$G$5,$H$13))/$E$5))</f>
        <v/>
      </c>
      <c r="O138" s="247" t="str">
        <f ca="1">IF(C138="","",IF($O$11="BPS",[1]!S_STM07_BS(D138,141,$G$5,$H$13)/IF([1]!S_SHARE_TOTAL(D138,$G$5)=0,[1]!S_SHARE_TOTAL(D138,[1]!s_ipo_listeddate(D138)),[1]!S_SHARE_TOTAL(D138,$G$5)),[1]!S_STM07_CS(D138,49,$G$5,$H$13)/$E$5))</f>
        <v/>
      </c>
      <c r="P138" s="247" t="str">
        <f ca="1">IF(C138="","",IF($P$11="CFPS",[1]!S_STM07_CS(D138,84,$G$5,$H$13)/IF([1]!S_SHARE_TOTAL(D138,$G$5)=0,[1]!S_SHARE_TOTAL(D138,[1]!s_ipo_listeddate(D138)),[1]!S_SHARE_TOTAL(D138,$G$5)),[1]!S_STM07_CS(D138,84,$G$5,$H$13)/$E$5))</f>
        <v/>
      </c>
      <c r="Q138" s="248" t="str">
        <f ca="1">IF(C138="","",F138/([1]!S_STM07_IS(D138,61,$G$5,$H$13)/IF([1]!S_SHARE_TOTAL(D138,$G$5)=0,[1]!S_SHARE_TOTAL(D138,[1]!s_ipo_listeddate(D138)),[1]!S_SHARE_TOTAL(D138,$G$5))))</f>
        <v/>
      </c>
      <c r="R138" s="248" t="str">
        <f ca="1">IF(C138="","",F138/([1]!S_STM07_BS(D138,141,$G$5,$H$13)/IF([1]!S_SHARE_TOTAL(D138,$G$5)=0,[1]!S_SHARE_TOTAL(D138,[1]!s_ipo_listeddate(D138)),[1]!S_SHARE_TOTAL(D138,$G$5))))</f>
        <v/>
      </c>
      <c r="S138" s="247" t="str">
        <f ca="1">IF(C138="","",[1]!S_SHARE_TOTAL(D138,TODAY())/$E$5)</f>
        <v/>
      </c>
      <c r="T138" s="247" t="str">
        <f t="shared" ca="1" si="19"/>
        <v/>
      </c>
      <c r="U138" s="218" t="str">
        <f t="shared" ca="1" si="20"/>
        <v/>
      </c>
      <c r="V138" s="342" t="str">
        <f t="shared" ca="1" si="21"/>
        <v/>
      </c>
      <c r="W138" s="139"/>
      <c r="Y138" s="1"/>
    </row>
    <row r="139" spans="3:25" ht="12" customHeight="1">
      <c r="C139" s="343" t="str">
        <f t="shared" ca="1" si="16"/>
        <v/>
      </c>
      <c r="D139" s="124" t="str">
        <f t="shared" ca="1" si="17"/>
        <v/>
      </c>
      <c r="E139" s="124" t="str">
        <f t="shared" ca="1" si="18"/>
        <v/>
      </c>
      <c r="F139" s="172" t="str">
        <f ca="1">IF(C139="","",[1]!S_DQ_CLOSE(D139,TODAY(),1))</f>
        <v/>
      </c>
      <c r="G139" s="173" t="str">
        <f ca="1">IF(C139="","",[1]!s_pq_pctchange(D139,TODAY()-$G$12,TODAY())/100)</f>
        <v/>
      </c>
      <c r="H139" s="249" t="str">
        <f ca="1">IF(C139="","",IF($H$11="收入",[1]!S_STM07_IS(D139,9,$G$5,$H$13)/$E$5,[1]!S_STM07_IS(D139,48,$G$5,$H$13)/$E$5))</f>
        <v/>
      </c>
      <c r="I139" s="249" t="str">
        <f ca="1">IF(C139="","",IF($I$11="毛利率",([1]!S_STM07_IS(D139,9,$G$5,$H$13)-[1]!S_STM07_IS(D139,10,$G$5,$H$13))/[1]!S_STM07_IS(D139,9,$G$5,$H$13),[1]!S_STM07_IS(D139,14,$G$5,$H$13)/$E$5))</f>
        <v/>
      </c>
      <c r="J139" s="249" t="str">
        <f ca="1">IF(C139="","",IF($J$11="营业利润率",[1]!S_STM07_IS(D139,48,$G$5,$H$13)/[1]!S_STM07_IS(D139,9,$G$5,$H$13),([1]!S_STM07_CS(D139,87,$G$5,$H$13)+[1]!S_STM07_CS(D139,88,$G$5,$H$13)+[1]!S_STM07_CS(D139,89,$G$5,$H$13))/$E$5))</f>
        <v/>
      </c>
      <c r="K139" s="249" t="str">
        <f ca="1">IF(C139="","",IF($K$11="净利润率",[1]!S_STM07_IS(D139,61,$G$5,$H$13)/[1]!S_STM07_IS(D139,9,$G$5,$H$13),[1]!S_STM07_IS(D139,55,$G$5,$H$13)/$E$5))</f>
        <v/>
      </c>
      <c r="L139" s="249" t="str">
        <f ca="1">IF(C139="","",IF($L$11="ROA",[1]!S_STM07_IS(D139,61,$G$5,$H$13)/[1]!S_STM07_BS(D139,74,$G$5,$H$13),1-[1]!S_STM07_IS(D139,61,$G$5,$H$13)/[1]!S_STM07_IS(D139,55,$G$5,$H$13)))</f>
        <v/>
      </c>
      <c r="M139" s="249" t="str">
        <f ca="1">IF(C139="","",IF($M$11="ROE",[1]!S_STM07_IS(D139,61,$G$5,$H$13)/[1]!S_STM07_BS(D139,141,$G$5,$H$13),([1]!S_STM07_BS(D139,25,$G$5,$H$13)-[1]!S_STM07_BS(D139,93,$G$5,$H$13))/$E$5))</f>
        <v/>
      </c>
      <c r="N139" s="250" t="str">
        <f ca="1">IF(C139="","",IF($N$11="EPS",[1]!S_STM07_IS(D139,61,$G$5,$H$13)/IF([1]!S_SHARE_TOTAL(D139,$G$5)=0,[1]!S_SHARE_TOTAL(D139,[1]!s_ipo_listeddate(D139)),[1]!S_SHARE_TOTAL(D139,$G$5)),([1]!S_STM07_BS(D139,75,$G$5,$H$13)+[1]!S_STM07_BS(D139,88,$G$5,$H$13)+[1]!S_STM07_BS(D139,94,$G$5,$H$13)+[1]!S_STM07_BS(D139,95,$G$5,$H$13))/$E$5))</f>
        <v/>
      </c>
      <c r="O139" s="250" t="str">
        <f ca="1">IF(C139="","",IF($O$11="BPS",[1]!S_STM07_BS(D139,141,$G$5,$H$13)/IF([1]!S_SHARE_TOTAL(D139,$G$5)=0,[1]!S_SHARE_TOTAL(D139,[1]!s_ipo_listeddate(D139)),[1]!S_SHARE_TOTAL(D139,$G$5)),[1]!S_STM07_CS(D139,49,$G$5,$H$13)/$E$5))</f>
        <v/>
      </c>
      <c r="P139" s="250" t="str">
        <f ca="1">IF(C139="","",IF($P$11="CFPS",[1]!S_STM07_CS(D139,84,$G$5,$H$13)/IF([1]!S_SHARE_TOTAL(D139,$G$5)=0,[1]!S_SHARE_TOTAL(D139,[1]!s_ipo_listeddate(D139)),[1]!S_SHARE_TOTAL(D139,$G$5)),[1]!S_STM07_CS(D139,84,$G$5,$H$13)/$E$5))</f>
        <v/>
      </c>
      <c r="Q139" s="198" t="str">
        <f ca="1">IF(C139="","",F139/([1]!S_STM07_IS(D139,61,$G$5,$H$13)/IF([1]!S_SHARE_TOTAL(D139,$G$5)=0,[1]!S_SHARE_TOTAL(D139,[1]!s_ipo_listeddate(D139)),[1]!S_SHARE_TOTAL(D139,$G$5))))</f>
        <v/>
      </c>
      <c r="R139" s="198" t="str">
        <f ca="1">IF(C139="","",F139/([1]!S_STM07_BS(D139,141,$G$5,$H$13)/IF([1]!S_SHARE_TOTAL(D139,$G$5)=0,[1]!S_SHARE_TOTAL(D139,[1]!s_ipo_listeddate(D139)),[1]!S_SHARE_TOTAL(D139,$G$5))))</f>
        <v/>
      </c>
      <c r="S139" s="249" t="str">
        <f ca="1">IF(C139="","",[1]!S_SHARE_TOTAL(D139,TODAY())/$E$5)</f>
        <v/>
      </c>
      <c r="T139" s="249" t="str">
        <f t="shared" ca="1" si="19"/>
        <v/>
      </c>
      <c r="U139" s="172" t="str">
        <f t="shared" ca="1" si="20"/>
        <v/>
      </c>
      <c r="V139" s="343" t="str">
        <f t="shared" ca="1" si="21"/>
        <v/>
      </c>
      <c r="W139" s="139"/>
      <c r="Y139" s="1"/>
    </row>
    <row r="140" spans="3:25" ht="12" customHeight="1">
      <c r="C140" s="342" t="str">
        <f t="shared" ca="1" si="16"/>
        <v/>
      </c>
      <c r="D140" s="153" t="str">
        <f t="shared" ca="1" si="17"/>
        <v/>
      </c>
      <c r="E140" s="153" t="str">
        <f t="shared" ca="1" si="18"/>
        <v/>
      </c>
      <c r="F140" s="170" t="str">
        <f ca="1">IF(C140="","",[1]!S_DQ_CLOSE(D140,TODAY(),1))</f>
        <v/>
      </c>
      <c r="G140" s="171" t="str">
        <f ca="1">IF(C140="","",[1]!s_pq_pctchange(D140,TODAY()-$G$12,TODAY())/100)</f>
        <v/>
      </c>
      <c r="H140" s="247" t="str">
        <f ca="1">IF(C140="","",IF($H$11="收入",[1]!S_STM07_IS(D140,9,$G$5,$H$13)/$E$5,[1]!S_STM07_IS(D140,48,$G$5,$H$13)/$E$5))</f>
        <v/>
      </c>
      <c r="I140" s="247" t="str">
        <f ca="1">IF(C140="","",IF($I$11="毛利率",([1]!S_STM07_IS(D140,9,$G$5,$H$13)-[1]!S_STM07_IS(D140,10,$G$5,$H$13))/[1]!S_STM07_IS(D140,9,$G$5,$H$13),[1]!S_STM07_IS(D140,14,$G$5,$H$13)/$E$5))</f>
        <v/>
      </c>
      <c r="J140" s="247" t="str">
        <f ca="1">IF(C140="","",IF($J$11="营业利润率",[1]!S_STM07_IS(D140,48,$G$5,$H$13)/[1]!S_STM07_IS(D140,9,$G$5,$H$13),([1]!S_STM07_CS(D140,87,$G$5,$H$13)+[1]!S_STM07_CS(D140,88,$G$5,$H$13)+[1]!S_STM07_CS(D140,89,$G$5,$H$13))/$E$5))</f>
        <v/>
      </c>
      <c r="K140" s="247" t="str">
        <f ca="1">IF(C140="","",IF($K$11="净利润率",[1]!S_STM07_IS(D140,61,$G$5,$H$13)/[1]!S_STM07_IS(D140,9,$G$5,$H$13),[1]!S_STM07_IS(D140,55,$G$5,$H$13)/$E$5))</f>
        <v/>
      </c>
      <c r="L140" s="247" t="str">
        <f ca="1">IF(C140="","",IF($L$11="ROA",[1]!S_STM07_IS(D140,61,$G$5,$H$13)/[1]!S_STM07_BS(D140,74,$G$5,$H$13),1-[1]!S_STM07_IS(D140,61,$G$5,$H$13)/[1]!S_STM07_IS(D140,55,$G$5,$H$13)))</f>
        <v/>
      </c>
      <c r="M140" s="247" t="str">
        <f ca="1">IF(C140="","",IF($M$11="ROE",[1]!S_STM07_IS(D140,61,$G$5,$H$13)/[1]!S_STM07_BS(D140,141,$G$5,$H$13),([1]!S_STM07_BS(D140,25,$G$5,$H$13)-[1]!S_STM07_BS(D140,93,$G$5,$H$13))/$E$5))</f>
        <v/>
      </c>
      <c r="N140" s="247" t="str">
        <f ca="1">IF(C140="","",IF($N$11="EPS",[1]!S_STM07_IS(D140,61,$G$5,$H$13)/IF([1]!S_SHARE_TOTAL(D140,$G$5)=0,[1]!S_SHARE_TOTAL(D140,[1]!s_ipo_listeddate(D140)),[1]!S_SHARE_TOTAL(D140,$G$5)),([1]!S_STM07_BS(D140,75,$G$5,$H$13)+[1]!S_STM07_BS(D140,88,$G$5,$H$13)+[1]!S_STM07_BS(D140,94,$G$5,$H$13)+[1]!S_STM07_BS(D140,95,$G$5,$H$13))/$E$5))</f>
        <v/>
      </c>
      <c r="O140" s="247" t="str">
        <f ca="1">IF(C140="","",IF($O$11="BPS",[1]!S_STM07_BS(D140,141,$G$5,$H$13)/IF([1]!S_SHARE_TOTAL(D140,$G$5)=0,[1]!S_SHARE_TOTAL(D140,[1]!s_ipo_listeddate(D140)),[1]!S_SHARE_TOTAL(D140,$G$5)),[1]!S_STM07_CS(D140,49,$G$5,$H$13)/$E$5))</f>
        <v/>
      </c>
      <c r="P140" s="247" t="str">
        <f ca="1">IF(C140="","",IF($P$11="CFPS",[1]!S_STM07_CS(D140,84,$G$5,$H$13)/IF([1]!S_SHARE_TOTAL(D140,$G$5)=0,[1]!S_SHARE_TOTAL(D140,[1]!s_ipo_listeddate(D140)),[1]!S_SHARE_TOTAL(D140,$G$5)),[1]!S_STM07_CS(D140,84,$G$5,$H$13)/$E$5))</f>
        <v/>
      </c>
      <c r="Q140" s="248" t="str">
        <f ca="1">IF(C140="","",F140/([1]!S_STM07_IS(D140,61,$G$5,$H$13)/IF([1]!S_SHARE_TOTAL(D140,$G$5)=0,[1]!S_SHARE_TOTAL(D140,[1]!s_ipo_listeddate(D140)),[1]!S_SHARE_TOTAL(D140,$G$5))))</f>
        <v/>
      </c>
      <c r="R140" s="248" t="str">
        <f ca="1">IF(C140="","",F140/([1]!S_STM07_BS(D140,141,$G$5,$H$13)/IF([1]!S_SHARE_TOTAL(D140,$G$5)=0,[1]!S_SHARE_TOTAL(D140,[1]!s_ipo_listeddate(D140)),[1]!S_SHARE_TOTAL(D140,$G$5))))</f>
        <v/>
      </c>
      <c r="S140" s="247" t="str">
        <f ca="1">IF(C140="","",[1]!S_SHARE_TOTAL(D140,TODAY())/$E$5)</f>
        <v/>
      </c>
      <c r="T140" s="247" t="str">
        <f t="shared" ca="1" si="19"/>
        <v/>
      </c>
      <c r="U140" s="218" t="str">
        <f t="shared" ca="1" si="20"/>
        <v/>
      </c>
      <c r="V140" s="342" t="str">
        <f t="shared" ca="1" si="21"/>
        <v/>
      </c>
      <c r="W140" s="139"/>
      <c r="Y140" s="1"/>
    </row>
    <row r="141" spans="3:25" ht="12" customHeight="1">
      <c r="C141" s="343" t="str">
        <f t="shared" ca="1" si="16"/>
        <v/>
      </c>
      <c r="D141" s="124" t="str">
        <f t="shared" ca="1" si="17"/>
        <v/>
      </c>
      <c r="E141" s="124" t="str">
        <f t="shared" ca="1" si="18"/>
        <v/>
      </c>
      <c r="F141" s="172" t="str">
        <f ca="1">IF(C141="","",[1]!S_DQ_CLOSE(D141,TODAY(),1))</f>
        <v/>
      </c>
      <c r="G141" s="173" t="str">
        <f ca="1">IF(C141="","",[1]!s_pq_pctchange(D141,TODAY()-$G$12,TODAY())/100)</f>
        <v/>
      </c>
      <c r="H141" s="249" t="str">
        <f ca="1">IF(C141="","",IF($H$11="收入",[1]!S_STM07_IS(D141,9,$G$5,$H$13)/$E$5,[1]!S_STM07_IS(D141,48,$G$5,$H$13)/$E$5))</f>
        <v/>
      </c>
      <c r="I141" s="249" t="str">
        <f ca="1">IF(C141="","",IF($I$11="毛利率",([1]!S_STM07_IS(D141,9,$G$5,$H$13)-[1]!S_STM07_IS(D141,10,$G$5,$H$13))/[1]!S_STM07_IS(D141,9,$G$5,$H$13),[1]!S_STM07_IS(D141,14,$G$5,$H$13)/$E$5))</f>
        <v/>
      </c>
      <c r="J141" s="249" t="str">
        <f ca="1">IF(C141="","",IF($J$11="营业利润率",[1]!S_STM07_IS(D141,48,$G$5,$H$13)/[1]!S_STM07_IS(D141,9,$G$5,$H$13),([1]!S_STM07_CS(D141,87,$G$5,$H$13)+[1]!S_STM07_CS(D141,88,$G$5,$H$13)+[1]!S_STM07_CS(D141,89,$G$5,$H$13))/$E$5))</f>
        <v/>
      </c>
      <c r="K141" s="249" t="str">
        <f ca="1">IF(C141="","",IF($K$11="净利润率",[1]!S_STM07_IS(D141,61,$G$5,$H$13)/[1]!S_STM07_IS(D141,9,$G$5,$H$13),[1]!S_STM07_IS(D141,55,$G$5,$H$13)/$E$5))</f>
        <v/>
      </c>
      <c r="L141" s="249" t="str">
        <f ca="1">IF(C141="","",IF($L$11="ROA",[1]!S_STM07_IS(D141,61,$G$5,$H$13)/[1]!S_STM07_BS(D141,74,$G$5,$H$13),1-[1]!S_STM07_IS(D141,61,$G$5,$H$13)/[1]!S_STM07_IS(D141,55,$G$5,$H$13)))</f>
        <v/>
      </c>
      <c r="M141" s="249" t="str">
        <f ca="1">IF(C141="","",IF($M$11="ROE",[1]!S_STM07_IS(D141,61,$G$5,$H$13)/[1]!S_STM07_BS(D141,141,$G$5,$H$13),([1]!S_STM07_BS(D141,25,$G$5,$H$13)-[1]!S_STM07_BS(D141,93,$G$5,$H$13))/$E$5))</f>
        <v/>
      </c>
      <c r="N141" s="250" t="str">
        <f ca="1">IF(C141="","",IF($N$11="EPS",[1]!S_STM07_IS(D141,61,$G$5,$H$13)/IF([1]!S_SHARE_TOTAL(D141,$G$5)=0,[1]!S_SHARE_TOTAL(D141,[1]!s_ipo_listeddate(D141)),[1]!S_SHARE_TOTAL(D141,$G$5)),([1]!S_STM07_BS(D141,75,$G$5,$H$13)+[1]!S_STM07_BS(D141,88,$G$5,$H$13)+[1]!S_STM07_BS(D141,94,$G$5,$H$13)+[1]!S_STM07_BS(D141,95,$G$5,$H$13))/$E$5))</f>
        <v/>
      </c>
      <c r="O141" s="250" t="str">
        <f ca="1">IF(C141="","",IF($O$11="BPS",[1]!S_STM07_BS(D141,141,$G$5,$H$13)/IF([1]!S_SHARE_TOTAL(D141,$G$5)=0,[1]!S_SHARE_TOTAL(D141,[1]!s_ipo_listeddate(D141)),[1]!S_SHARE_TOTAL(D141,$G$5)),[1]!S_STM07_CS(D141,49,$G$5,$H$13)/$E$5))</f>
        <v/>
      </c>
      <c r="P141" s="250" t="str">
        <f ca="1">IF(C141="","",IF($P$11="CFPS",[1]!S_STM07_CS(D141,84,$G$5,$H$13)/IF([1]!S_SHARE_TOTAL(D141,$G$5)=0,[1]!S_SHARE_TOTAL(D141,[1]!s_ipo_listeddate(D141)),[1]!S_SHARE_TOTAL(D141,$G$5)),[1]!S_STM07_CS(D141,84,$G$5,$H$13)/$E$5))</f>
        <v/>
      </c>
      <c r="Q141" s="198" t="str">
        <f ca="1">IF(C141="","",F141/([1]!S_STM07_IS(D141,61,$G$5,$H$13)/IF([1]!S_SHARE_TOTAL(D141,$G$5)=0,[1]!S_SHARE_TOTAL(D141,[1]!s_ipo_listeddate(D141)),[1]!S_SHARE_TOTAL(D141,$G$5))))</f>
        <v/>
      </c>
      <c r="R141" s="198" t="str">
        <f ca="1">IF(C141="","",F141/([1]!S_STM07_BS(D141,141,$G$5,$H$13)/IF([1]!S_SHARE_TOTAL(D141,$G$5)=0,[1]!S_SHARE_TOTAL(D141,[1]!s_ipo_listeddate(D141)),[1]!S_SHARE_TOTAL(D141,$G$5))))</f>
        <v/>
      </c>
      <c r="S141" s="249" t="str">
        <f ca="1">IF(C141="","",[1]!S_SHARE_TOTAL(D141,TODAY())/$E$5)</f>
        <v/>
      </c>
      <c r="T141" s="249" t="str">
        <f t="shared" ca="1" si="19"/>
        <v/>
      </c>
      <c r="U141" s="172" t="str">
        <f t="shared" ca="1" si="20"/>
        <v/>
      </c>
      <c r="V141" s="343" t="str">
        <f t="shared" ca="1" si="21"/>
        <v/>
      </c>
      <c r="W141" s="139"/>
      <c r="Y141" s="1"/>
    </row>
    <row r="142" spans="3:25" ht="12" customHeight="1">
      <c r="C142" s="342" t="str">
        <f t="shared" ref="C142:C205" ca="1" si="22">IF(ROW()-13&lt;=MAX(series),ROW()-13,"")</f>
        <v/>
      </c>
      <c r="D142" s="153" t="str">
        <f t="shared" ca="1" si="17"/>
        <v/>
      </c>
      <c r="E142" s="153" t="str">
        <f t="shared" ca="1" si="18"/>
        <v/>
      </c>
      <c r="F142" s="170" t="str">
        <f ca="1">IF(C142="","",[1]!S_DQ_CLOSE(D142,TODAY(),1))</f>
        <v/>
      </c>
      <c r="G142" s="171" t="str">
        <f ca="1">IF(C142="","",[1]!s_pq_pctchange(D142,TODAY()-$G$12,TODAY())/100)</f>
        <v/>
      </c>
      <c r="H142" s="247" t="str">
        <f ca="1">IF(C142="","",IF($H$11="收入",[1]!S_STM07_IS(D142,9,$G$5,$H$13)/$E$5,[1]!S_STM07_IS(D142,48,$G$5,$H$13)/$E$5))</f>
        <v/>
      </c>
      <c r="I142" s="247" t="str">
        <f ca="1">IF(C142="","",IF($I$11="毛利率",([1]!S_STM07_IS(D142,9,$G$5,$H$13)-[1]!S_STM07_IS(D142,10,$G$5,$H$13))/[1]!S_STM07_IS(D142,9,$G$5,$H$13),[1]!S_STM07_IS(D142,14,$G$5,$H$13)/$E$5))</f>
        <v/>
      </c>
      <c r="J142" s="247" t="str">
        <f ca="1">IF(C142="","",IF($J$11="营业利润率",[1]!S_STM07_IS(D142,48,$G$5,$H$13)/[1]!S_STM07_IS(D142,9,$G$5,$H$13),([1]!S_STM07_CS(D142,87,$G$5,$H$13)+[1]!S_STM07_CS(D142,88,$G$5,$H$13)+[1]!S_STM07_CS(D142,89,$G$5,$H$13))/$E$5))</f>
        <v/>
      </c>
      <c r="K142" s="247" t="str">
        <f ca="1">IF(C142="","",IF($K$11="净利润率",[1]!S_STM07_IS(D142,61,$G$5,$H$13)/[1]!S_STM07_IS(D142,9,$G$5,$H$13),[1]!S_STM07_IS(D142,55,$G$5,$H$13)/$E$5))</f>
        <v/>
      </c>
      <c r="L142" s="247" t="str">
        <f ca="1">IF(C142="","",IF($L$11="ROA",[1]!S_STM07_IS(D142,61,$G$5,$H$13)/[1]!S_STM07_BS(D142,74,$G$5,$H$13),1-[1]!S_STM07_IS(D142,61,$G$5,$H$13)/[1]!S_STM07_IS(D142,55,$G$5,$H$13)))</f>
        <v/>
      </c>
      <c r="M142" s="247" t="str">
        <f ca="1">IF(C142="","",IF($M$11="ROE",[1]!S_STM07_IS(D142,61,$G$5,$H$13)/[1]!S_STM07_BS(D142,141,$G$5,$H$13),([1]!S_STM07_BS(D142,25,$G$5,$H$13)-[1]!S_STM07_BS(D142,93,$G$5,$H$13))/$E$5))</f>
        <v/>
      </c>
      <c r="N142" s="247" t="str">
        <f ca="1">IF(C142="","",IF($N$11="EPS",[1]!S_STM07_IS(D142,61,$G$5,$H$13)/IF([1]!S_SHARE_TOTAL(D142,$G$5)=0,[1]!S_SHARE_TOTAL(D142,[1]!s_ipo_listeddate(D142)),[1]!S_SHARE_TOTAL(D142,$G$5)),([1]!S_STM07_BS(D142,75,$G$5,$H$13)+[1]!S_STM07_BS(D142,88,$G$5,$H$13)+[1]!S_STM07_BS(D142,94,$G$5,$H$13)+[1]!S_STM07_BS(D142,95,$G$5,$H$13))/$E$5))</f>
        <v/>
      </c>
      <c r="O142" s="247" t="str">
        <f ca="1">IF(C142="","",IF($O$11="BPS",[1]!S_STM07_BS(D142,141,$G$5,$H$13)/IF([1]!S_SHARE_TOTAL(D142,$G$5)=0,[1]!S_SHARE_TOTAL(D142,[1]!s_ipo_listeddate(D142)),[1]!S_SHARE_TOTAL(D142,$G$5)),[1]!S_STM07_CS(D142,49,$G$5,$H$13)/$E$5))</f>
        <v/>
      </c>
      <c r="P142" s="247" t="str">
        <f ca="1">IF(C142="","",IF($P$11="CFPS",[1]!S_STM07_CS(D142,84,$G$5,$H$13)/IF([1]!S_SHARE_TOTAL(D142,$G$5)=0,[1]!S_SHARE_TOTAL(D142,[1]!s_ipo_listeddate(D142)),[1]!S_SHARE_TOTAL(D142,$G$5)),[1]!S_STM07_CS(D142,84,$G$5,$H$13)/$E$5))</f>
        <v/>
      </c>
      <c r="Q142" s="248" t="str">
        <f ca="1">IF(C142="","",F142/([1]!S_STM07_IS(D142,61,$G$5,$H$13)/IF([1]!S_SHARE_TOTAL(D142,$G$5)=0,[1]!S_SHARE_TOTAL(D142,[1]!s_ipo_listeddate(D142)),[1]!S_SHARE_TOTAL(D142,$G$5))))</f>
        <v/>
      </c>
      <c r="R142" s="248" t="str">
        <f ca="1">IF(C142="","",F142/([1]!S_STM07_BS(D142,141,$G$5,$H$13)/IF([1]!S_SHARE_TOTAL(D142,$G$5)=0,[1]!S_SHARE_TOTAL(D142,[1]!s_ipo_listeddate(D142)),[1]!S_SHARE_TOTAL(D142,$G$5))))</f>
        <v/>
      </c>
      <c r="S142" s="247" t="str">
        <f ca="1">IF(C142="","",[1]!S_SHARE_TOTAL(D142,TODAY())/$E$5)</f>
        <v/>
      </c>
      <c r="T142" s="247" t="str">
        <f t="shared" ca="1" si="19"/>
        <v/>
      </c>
      <c r="U142" s="218" t="str">
        <f t="shared" ca="1" si="20"/>
        <v/>
      </c>
      <c r="V142" s="342" t="str">
        <f t="shared" ca="1" si="21"/>
        <v/>
      </c>
      <c r="W142" s="139"/>
      <c r="Y142" s="1"/>
    </row>
    <row r="143" spans="3:25" ht="12" customHeight="1">
      <c r="C143" s="343" t="str">
        <f t="shared" ca="1" si="22"/>
        <v/>
      </c>
      <c r="D143" s="124" t="str">
        <f t="shared" ca="1" si="17"/>
        <v/>
      </c>
      <c r="E143" s="124" t="str">
        <f t="shared" ca="1" si="18"/>
        <v/>
      </c>
      <c r="F143" s="172" t="str">
        <f ca="1">IF(C143="","",[1]!S_DQ_CLOSE(D143,TODAY(),1))</f>
        <v/>
      </c>
      <c r="G143" s="173" t="str">
        <f ca="1">IF(C143="","",[1]!s_pq_pctchange(D143,TODAY()-$G$12,TODAY())/100)</f>
        <v/>
      </c>
      <c r="H143" s="249" t="str">
        <f ca="1">IF(C143="","",IF($H$11="收入",[1]!S_STM07_IS(D143,9,$G$5,$H$13)/$E$5,[1]!S_STM07_IS(D143,48,$G$5,$H$13)/$E$5))</f>
        <v/>
      </c>
      <c r="I143" s="249" t="str">
        <f ca="1">IF(C143="","",IF($I$11="毛利率",([1]!S_STM07_IS(D143,9,$G$5,$H$13)-[1]!S_STM07_IS(D143,10,$G$5,$H$13))/[1]!S_STM07_IS(D143,9,$G$5,$H$13),[1]!S_STM07_IS(D143,14,$G$5,$H$13)/$E$5))</f>
        <v/>
      </c>
      <c r="J143" s="249" t="str">
        <f ca="1">IF(C143="","",IF($J$11="营业利润率",[1]!S_STM07_IS(D143,48,$G$5,$H$13)/[1]!S_STM07_IS(D143,9,$G$5,$H$13),([1]!S_STM07_CS(D143,87,$G$5,$H$13)+[1]!S_STM07_CS(D143,88,$G$5,$H$13)+[1]!S_STM07_CS(D143,89,$G$5,$H$13))/$E$5))</f>
        <v/>
      </c>
      <c r="K143" s="249" t="str">
        <f ca="1">IF(C143="","",IF($K$11="净利润率",[1]!S_STM07_IS(D143,61,$G$5,$H$13)/[1]!S_STM07_IS(D143,9,$G$5,$H$13),[1]!S_STM07_IS(D143,55,$G$5,$H$13)/$E$5))</f>
        <v/>
      </c>
      <c r="L143" s="249" t="str">
        <f ca="1">IF(C143="","",IF($L$11="ROA",[1]!S_STM07_IS(D143,61,$G$5,$H$13)/[1]!S_STM07_BS(D143,74,$G$5,$H$13),1-[1]!S_STM07_IS(D143,61,$G$5,$H$13)/[1]!S_STM07_IS(D143,55,$G$5,$H$13)))</f>
        <v/>
      </c>
      <c r="M143" s="249" t="str">
        <f ca="1">IF(C143="","",IF($M$11="ROE",[1]!S_STM07_IS(D143,61,$G$5,$H$13)/[1]!S_STM07_BS(D143,141,$G$5,$H$13),([1]!S_STM07_BS(D143,25,$G$5,$H$13)-[1]!S_STM07_BS(D143,93,$G$5,$H$13))/$E$5))</f>
        <v/>
      </c>
      <c r="N143" s="250" t="str">
        <f ca="1">IF(C143="","",IF($N$11="EPS",[1]!S_STM07_IS(D143,61,$G$5,$H$13)/IF([1]!S_SHARE_TOTAL(D143,$G$5)=0,[1]!S_SHARE_TOTAL(D143,[1]!s_ipo_listeddate(D143)),[1]!S_SHARE_TOTAL(D143,$G$5)),([1]!S_STM07_BS(D143,75,$G$5,$H$13)+[1]!S_STM07_BS(D143,88,$G$5,$H$13)+[1]!S_STM07_BS(D143,94,$G$5,$H$13)+[1]!S_STM07_BS(D143,95,$G$5,$H$13))/$E$5))</f>
        <v/>
      </c>
      <c r="O143" s="250" t="str">
        <f ca="1">IF(C143="","",IF($O$11="BPS",[1]!S_STM07_BS(D143,141,$G$5,$H$13)/IF([1]!S_SHARE_TOTAL(D143,$G$5)=0,[1]!S_SHARE_TOTAL(D143,[1]!s_ipo_listeddate(D143)),[1]!S_SHARE_TOTAL(D143,$G$5)),[1]!S_STM07_CS(D143,49,$G$5,$H$13)/$E$5))</f>
        <v/>
      </c>
      <c r="P143" s="250" t="str">
        <f ca="1">IF(C143="","",IF($P$11="CFPS",[1]!S_STM07_CS(D143,84,$G$5,$H$13)/IF([1]!S_SHARE_TOTAL(D143,$G$5)=0,[1]!S_SHARE_TOTAL(D143,[1]!s_ipo_listeddate(D143)),[1]!S_SHARE_TOTAL(D143,$G$5)),[1]!S_STM07_CS(D143,84,$G$5,$H$13)/$E$5))</f>
        <v/>
      </c>
      <c r="Q143" s="198" t="str">
        <f ca="1">IF(C143="","",F143/([1]!S_STM07_IS(D143,61,$G$5,$H$13)/IF([1]!S_SHARE_TOTAL(D143,$G$5)=0,[1]!S_SHARE_TOTAL(D143,[1]!s_ipo_listeddate(D143)),[1]!S_SHARE_TOTAL(D143,$G$5))))</f>
        <v/>
      </c>
      <c r="R143" s="198" t="str">
        <f ca="1">IF(C143="","",F143/([1]!S_STM07_BS(D143,141,$G$5,$H$13)/IF([1]!S_SHARE_TOTAL(D143,$G$5)=0,[1]!S_SHARE_TOTAL(D143,[1]!s_ipo_listeddate(D143)),[1]!S_SHARE_TOTAL(D143,$G$5))))</f>
        <v/>
      </c>
      <c r="S143" s="249" t="str">
        <f ca="1">IF(C143="","",[1]!S_SHARE_TOTAL(D143,TODAY())/$E$5)</f>
        <v/>
      </c>
      <c r="T143" s="249" t="str">
        <f t="shared" ca="1" si="19"/>
        <v/>
      </c>
      <c r="U143" s="172" t="str">
        <f t="shared" ca="1" si="20"/>
        <v/>
      </c>
      <c r="V143" s="343" t="str">
        <f t="shared" ca="1" si="21"/>
        <v/>
      </c>
      <c r="W143" s="139"/>
      <c r="Y143" s="1"/>
    </row>
    <row r="144" spans="3:25" ht="12" customHeight="1">
      <c r="C144" s="342" t="str">
        <f t="shared" ca="1" si="22"/>
        <v/>
      </c>
      <c r="D144" s="153" t="str">
        <f t="shared" ca="1" si="17"/>
        <v/>
      </c>
      <c r="E144" s="153" t="str">
        <f t="shared" ca="1" si="18"/>
        <v/>
      </c>
      <c r="F144" s="170" t="str">
        <f ca="1">IF(C144="","",[1]!S_DQ_CLOSE(D144,TODAY(),1))</f>
        <v/>
      </c>
      <c r="G144" s="171" t="str">
        <f ca="1">IF(C144="","",[1]!s_pq_pctchange(D144,TODAY()-$G$12,TODAY())/100)</f>
        <v/>
      </c>
      <c r="H144" s="247" t="str">
        <f ca="1">IF(C144="","",IF($H$11="收入",[1]!S_STM07_IS(D144,9,$G$5,$H$13)/$E$5,[1]!S_STM07_IS(D144,48,$G$5,$H$13)/$E$5))</f>
        <v/>
      </c>
      <c r="I144" s="247" t="str">
        <f ca="1">IF(C144="","",IF($I$11="毛利率",([1]!S_STM07_IS(D144,9,$G$5,$H$13)-[1]!S_STM07_IS(D144,10,$G$5,$H$13))/[1]!S_STM07_IS(D144,9,$G$5,$H$13),[1]!S_STM07_IS(D144,14,$G$5,$H$13)/$E$5))</f>
        <v/>
      </c>
      <c r="J144" s="247" t="str">
        <f ca="1">IF(C144="","",IF($J$11="营业利润率",[1]!S_STM07_IS(D144,48,$G$5,$H$13)/[1]!S_STM07_IS(D144,9,$G$5,$H$13),([1]!S_STM07_CS(D144,87,$G$5,$H$13)+[1]!S_STM07_CS(D144,88,$G$5,$H$13)+[1]!S_STM07_CS(D144,89,$G$5,$H$13))/$E$5))</f>
        <v/>
      </c>
      <c r="K144" s="247" t="str">
        <f ca="1">IF(C144="","",IF($K$11="净利润率",[1]!S_STM07_IS(D144,61,$G$5,$H$13)/[1]!S_STM07_IS(D144,9,$G$5,$H$13),[1]!S_STM07_IS(D144,55,$G$5,$H$13)/$E$5))</f>
        <v/>
      </c>
      <c r="L144" s="247" t="str">
        <f ca="1">IF(C144="","",IF($L$11="ROA",[1]!S_STM07_IS(D144,61,$G$5,$H$13)/[1]!S_STM07_BS(D144,74,$G$5,$H$13),1-[1]!S_STM07_IS(D144,61,$G$5,$H$13)/[1]!S_STM07_IS(D144,55,$G$5,$H$13)))</f>
        <v/>
      </c>
      <c r="M144" s="247" t="str">
        <f ca="1">IF(C144="","",IF($M$11="ROE",[1]!S_STM07_IS(D144,61,$G$5,$H$13)/[1]!S_STM07_BS(D144,141,$G$5,$H$13),([1]!S_STM07_BS(D144,25,$G$5,$H$13)-[1]!S_STM07_BS(D144,93,$G$5,$H$13))/$E$5))</f>
        <v/>
      </c>
      <c r="N144" s="247" t="str">
        <f ca="1">IF(C144="","",IF($N$11="EPS",[1]!S_STM07_IS(D144,61,$G$5,$H$13)/IF([1]!S_SHARE_TOTAL(D144,$G$5)=0,[1]!S_SHARE_TOTAL(D144,[1]!s_ipo_listeddate(D144)),[1]!S_SHARE_TOTAL(D144,$G$5)),([1]!S_STM07_BS(D144,75,$G$5,$H$13)+[1]!S_STM07_BS(D144,88,$G$5,$H$13)+[1]!S_STM07_BS(D144,94,$G$5,$H$13)+[1]!S_STM07_BS(D144,95,$G$5,$H$13))/$E$5))</f>
        <v/>
      </c>
      <c r="O144" s="247" t="str">
        <f ca="1">IF(C144="","",IF($O$11="BPS",[1]!S_STM07_BS(D144,141,$G$5,$H$13)/IF([1]!S_SHARE_TOTAL(D144,$G$5)=0,[1]!S_SHARE_TOTAL(D144,[1]!s_ipo_listeddate(D144)),[1]!S_SHARE_TOTAL(D144,$G$5)),[1]!S_STM07_CS(D144,49,$G$5,$H$13)/$E$5))</f>
        <v/>
      </c>
      <c r="P144" s="247" t="str">
        <f ca="1">IF(C144="","",IF($P$11="CFPS",[1]!S_STM07_CS(D144,84,$G$5,$H$13)/IF([1]!S_SHARE_TOTAL(D144,$G$5)=0,[1]!S_SHARE_TOTAL(D144,[1]!s_ipo_listeddate(D144)),[1]!S_SHARE_TOTAL(D144,$G$5)),[1]!S_STM07_CS(D144,84,$G$5,$H$13)/$E$5))</f>
        <v/>
      </c>
      <c r="Q144" s="248" t="str">
        <f ca="1">IF(C144="","",F144/([1]!S_STM07_IS(D144,61,$G$5,$H$13)/IF([1]!S_SHARE_TOTAL(D144,$G$5)=0,[1]!S_SHARE_TOTAL(D144,[1]!s_ipo_listeddate(D144)),[1]!S_SHARE_TOTAL(D144,$G$5))))</f>
        <v/>
      </c>
      <c r="R144" s="248" t="str">
        <f ca="1">IF(C144="","",F144/([1]!S_STM07_BS(D144,141,$G$5,$H$13)/IF([1]!S_SHARE_TOTAL(D144,$G$5)=0,[1]!S_SHARE_TOTAL(D144,[1]!s_ipo_listeddate(D144)),[1]!S_SHARE_TOTAL(D144,$G$5))))</f>
        <v/>
      </c>
      <c r="S144" s="247" t="str">
        <f ca="1">IF(C144="","",[1]!S_SHARE_TOTAL(D144,TODAY())/$E$5)</f>
        <v/>
      </c>
      <c r="T144" s="247" t="str">
        <f t="shared" ca="1" si="19"/>
        <v/>
      </c>
      <c r="U144" s="218" t="str">
        <f t="shared" ca="1" si="20"/>
        <v/>
      </c>
      <c r="V144" s="342" t="str">
        <f t="shared" ca="1" si="21"/>
        <v/>
      </c>
      <c r="W144" s="139"/>
      <c r="Y144" s="1"/>
    </row>
    <row r="145" spans="3:25" ht="12" customHeight="1">
      <c r="C145" s="343" t="str">
        <f t="shared" ca="1" si="22"/>
        <v/>
      </c>
      <c r="D145" s="124" t="str">
        <f t="shared" ca="1" si="17"/>
        <v/>
      </c>
      <c r="E145" s="124" t="str">
        <f t="shared" ca="1" si="18"/>
        <v/>
      </c>
      <c r="F145" s="172" t="str">
        <f ca="1">IF(C145="","",[1]!S_DQ_CLOSE(D145,TODAY(),1))</f>
        <v/>
      </c>
      <c r="G145" s="173" t="str">
        <f ca="1">IF(C145="","",[1]!s_pq_pctchange(D145,TODAY()-$G$12,TODAY())/100)</f>
        <v/>
      </c>
      <c r="H145" s="249" t="str">
        <f ca="1">IF(C145="","",IF($H$11="收入",[1]!S_STM07_IS(D145,9,$G$5,$H$13)/$E$5,[1]!S_STM07_IS(D145,48,$G$5,$H$13)/$E$5))</f>
        <v/>
      </c>
      <c r="I145" s="249" t="str">
        <f ca="1">IF(C145="","",IF($I$11="毛利率",([1]!S_STM07_IS(D145,9,$G$5,$H$13)-[1]!S_STM07_IS(D145,10,$G$5,$H$13))/[1]!S_STM07_IS(D145,9,$G$5,$H$13),[1]!S_STM07_IS(D145,14,$G$5,$H$13)/$E$5))</f>
        <v/>
      </c>
      <c r="J145" s="249" t="str">
        <f ca="1">IF(C145="","",IF($J$11="营业利润率",[1]!S_STM07_IS(D145,48,$G$5,$H$13)/[1]!S_STM07_IS(D145,9,$G$5,$H$13),([1]!S_STM07_CS(D145,87,$G$5,$H$13)+[1]!S_STM07_CS(D145,88,$G$5,$H$13)+[1]!S_STM07_CS(D145,89,$G$5,$H$13))/$E$5))</f>
        <v/>
      </c>
      <c r="K145" s="249" t="str">
        <f ca="1">IF(C145="","",IF($K$11="净利润率",[1]!S_STM07_IS(D145,61,$G$5,$H$13)/[1]!S_STM07_IS(D145,9,$G$5,$H$13),[1]!S_STM07_IS(D145,55,$G$5,$H$13)/$E$5))</f>
        <v/>
      </c>
      <c r="L145" s="249" t="str">
        <f ca="1">IF(C145="","",IF($L$11="ROA",[1]!S_STM07_IS(D145,61,$G$5,$H$13)/[1]!S_STM07_BS(D145,74,$G$5,$H$13),1-[1]!S_STM07_IS(D145,61,$G$5,$H$13)/[1]!S_STM07_IS(D145,55,$G$5,$H$13)))</f>
        <v/>
      </c>
      <c r="M145" s="249" t="str">
        <f ca="1">IF(C145="","",IF($M$11="ROE",[1]!S_STM07_IS(D145,61,$G$5,$H$13)/[1]!S_STM07_BS(D145,141,$G$5,$H$13),([1]!S_STM07_BS(D145,25,$G$5,$H$13)-[1]!S_STM07_BS(D145,93,$G$5,$H$13))/$E$5))</f>
        <v/>
      </c>
      <c r="N145" s="250" t="str">
        <f ca="1">IF(C145="","",IF($N$11="EPS",[1]!S_STM07_IS(D145,61,$G$5,$H$13)/IF([1]!S_SHARE_TOTAL(D145,$G$5)=0,[1]!S_SHARE_TOTAL(D145,[1]!s_ipo_listeddate(D145)),[1]!S_SHARE_TOTAL(D145,$G$5)),([1]!S_STM07_BS(D145,75,$G$5,$H$13)+[1]!S_STM07_BS(D145,88,$G$5,$H$13)+[1]!S_STM07_BS(D145,94,$G$5,$H$13)+[1]!S_STM07_BS(D145,95,$G$5,$H$13))/$E$5))</f>
        <v/>
      </c>
      <c r="O145" s="250" t="str">
        <f ca="1">IF(C145="","",IF($O$11="BPS",[1]!S_STM07_BS(D145,141,$G$5,$H$13)/IF([1]!S_SHARE_TOTAL(D145,$G$5)=0,[1]!S_SHARE_TOTAL(D145,[1]!s_ipo_listeddate(D145)),[1]!S_SHARE_TOTAL(D145,$G$5)),[1]!S_STM07_CS(D145,49,$G$5,$H$13)/$E$5))</f>
        <v/>
      </c>
      <c r="P145" s="250" t="str">
        <f ca="1">IF(C145="","",IF($P$11="CFPS",[1]!S_STM07_CS(D145,84,$G$5,$H$13)/IF([1]!S_SHARE_TOTAL(D145,$G$5)=0,[1]!S_SHARE_TOTAL(D145,[1]!s_ipo_listeddate(D145)),[1]!S_SHARE_TOTAL(D145,$G$5)),[1]!S_STM07_CS(D145,84,$G$5,$H$13)/$E$5))</f>
        <v/>
      </c>
      <c r="Q145" s="198" t="str">
        <f ca="1">IF(C145="","",F145/([1]!S_STM07_IS(D145,61,$G$5,$H$13)/IF([1]!S_SHARE_TOTAL(D145,$G$5)=0,[1]!S_SHARE_TOTAL(D145,[1]!s_ipo_listeddate(D145)),[1]!S_SHARE_TOTAL(D145,$G$5))))</f>
        <v/>
      </c>
      <c r="R145" s="198" t="str">
        <f ca="1">IF(C145="","",F145/([1]!S_STM07_BS(D145,141,$G$5,$H$13)/IF([1]!S_SHARE_TOTAL(D145,$G$5)=0,[1]!S_SHARE_TOTAL(D145,[1]!s_ipo_listeddate(D145)),[1]!S_SHARE_TOTAL(D145,$G$5))))</f>
        <v/>
      </c>
      <c r="S145" s="249" t="str">
        <f ca="1">IF(C145="","",[1]!S_SHARE_TOTAL(D145,TODAY())/$E$5)</f>
        <v/>
      </c>
      <c r="T145" s="249" t="str">
        <f t="shared" ca="1" si="19"/>
        <v/>
      </c>
      <c r="U145" s="172" t="str">
        <f t="shared" ca="1" si="20"/>
        <v/>
      </c>
      <c r="V145" s="343" t="str">
        <f t="shared" ca="1" si="21"/>
        <v/>
      </c>
      <c r="W145" s="139"/>
      <c r="Y145" s="1"/>
    </row>
    <row r="146" spans="3:25" ht="12" customHeight="1">
      <c r="C146" s="342" t="str">
        <f t="shared" ca="1" si="22"/>
        <v/>
      </c>
      <c r="D146" s="153" t="str">
        <f t="shared" ca="1" si="17"/>
        <v/>
      </c>
      <c r="E146" s="153" t="str">
        <f t="shared" ca="1" si="18"/>
        <v/>
      </c>
      <c r="F146" s="170" t="str">
        <f ca="1">IF(C146="","",[1]!S_DQ_CLOSE(D146,TODAY(),1))</f>
        <v/>
      </c>
      <c r="G146" s="171" t="str">
        <f ca="1">IF(C146="","",[1]!s_pq_pctchange(D146,TODAY()-$G$12,TODAY())/100)</f>
        <v/>
      </c>
      <c r="H146" s="247" t="str">
        <f ca="1">IF(C146="","",IF($H$11="收入",[1]!S_STM07_IS(D146,9,$G$5,$H$13)/$E$5,[1]!S_STM07_IS(D146,48,$G$5,$H$13)/$E$5))</f>
        <v/>
      </c>
      <c r="I146" s="247" t="str">
        <f ca="1">IF(C146="","",IF($I$11="毛利率",([1]!S_STM07_IS(D146,9,$G$5,$H$13)-[1]!S_STM07_IS(D146,10,$G$5,$H$13))/[1]!S_STM07_IS(D146,9,$G$5,$H$13),[1]!S_STM07_IS(D146,14,$G$5,$H$13)/$E$5))</f>
        <v/>
      </c>
      <c r="J146" s="247" t="str">
        <f ca="1">IF(C146="","",IF($J$11="营业利润率",[1]!S_STM07_IS(D146,48,$G$5,$H$13)/[1]!S_STM07_IS(D146,9,$G$5,$H$13),([1]!S_STM07_CS(D146,87,$G$5,$H$13)+[1]!S_STM07_CS(D146,88,$G$5,$H$13)+[1]!S_STM07_CS(D146,89,$G$5,$H$13))/$E$5))</f>
        <v/>
      </c>
      <c r="K146" s="247" t="str">
        <f ca="1">IF(C146="","",IF($K$11="净利润率",[1]!S_STM07_IS(D146,61,$G$5,$H$13)/[1]!S_STM07_IS(D146,9,$G$5,$H$13),[1]!S_STM07_IS(D146,55,$G$5,$H$13)/$E$5))</f>
        <v/>
      </c>
      <c r="L146" s="247" t="str">
        <f ca="1">IF(C146="","",IF($L$11="ROA",[1]!S_STM07_IS(D146,61,$G$5,$H$13)/[1]!S_STM07_BS(D146,74,$G$5,$H$13),1-[1]!S_STM07_IS(D146,61,$G$5,$H$13)/[1]!S_STM07_IS(D146,55,$G$5,$H$13)))</f>
        <v/>
      </c>
      <c r="M146" s="247" t="str">
        <f ca="1">IF(C146="","",IF($M$11="ROE",[1]!S_STM07_IS(D146,61,$G$5,$H$13)/[1]!S_STM07_BS(D146,141,$G$5,$H$13),([1]!S_STM07_BS(D146,25,$G$5,$H$13)-[1]!S_STM07_BS(D146,93,$G$5,$H$13))/$E$5))</f>
        <v/>
      </c>
      <c r="N146" s="247" t="str">
        <f ca="1">IF(C146="","",IF($N$11="EPS",[1]!S_STM07_IS(D146,61,$G$5,$H$13)/IF([1]!S_SHARE_TOTAL(D146,$G$5)=0,[1]!S_SHARE_TOTAL(D146,[1]!s_ipo_listeddate(D146)),[1]!S_SHARE_TOTAL(D146,$G$5)),([1]!S_STM07_BS(D146,75,$G$5,$H$13)+[1]!S_STM07_BS(D146,88,$G$5,$H$13)+[1]!S_STM07_BS(D146,94,$G$5,$H$13)+[1]!S_STM07_BS(D146,95,$G$5,$H$13))/$E$5))</f>
        <v/>
      </c>
      <c r="O146" s="247" t="str">
        <f ca="1">IF(C146="","",IF($O$11="BPS",[1]!S_STM07_BS(D146,141,$G$5,$H$13)/IF([1]!S_SHARE_TOTAL(D146,$G$5)=0,[1]!S_SHARE_TOTAL(D146,[1]!s_ipo_listeddate(D146)),[1]!S_SHARE_TOTAL(D146,$G$5)),[1]!S_STM07_CS(D146,49,$G$5,$H$13)/$E$5))</f>
        <v/>
      </c>
      <c r="P146" s="247" t="str">
        <f ca="1">IF(C146="","",IF($P$11="CFPS",[1]!S_STM07_CS(D146,84,$G$5,$H$13)/IF([1]!S_SHARE_TOTAL(D146,$G$5)=0,[1]!S_SHARE_TOTAL(D146,[1]!s_ipo_listeddate(D146)),[1]!S_SHARE_TOTAL(D146,$G$5)),[1]!S_STM07_CS(D146,84,$G$5,$H$13)/$E$5))</f>
        <v/>
      </c>
      <c r="Q146" s="248" t="str">
        <f ca="1">IF(C146="","",F146/([1]!S_STM07_IS(D146,61,$G$5,$H$13)/IF([1]!S_SHARE_TOTAL(D146,$G$5)=0,[1]!S_SHARE_TOTAL(D146,[1]!s_ipo_listeddate(D146)),[1]!S_SHARE_TOTAL(D146,$G$5))))</f>
        <v/>
      </c>
      <c r="R146" s="248" t="str">
        <f ca="1">IF(C146="","",F146/([1]!S_STM07_BS(D146,141,$G$5,$H$13)/IF([1]!S_SHARE_TOTAL(D146,$G$5)=0,[1]!S_SHARE_TOTAL(D146,[1]!s_ipo_listeddate(D146)),[1]!S_SHARE_TOTAL(D146,$G$5))))</f>
        <v/>
      </c>
      <c r="S146" s="247" t="str">
        <f ca="1">IF(C146="","",[1]!S_SHARE_TOTAL(D146,TODAY())/$E$5)</f>
        <v/>
      </c>
      <c r="T146" s="247" t="str">
        <f t="shared" ca="1" si="19"/>
        <v/>
      </c>
      <c r="U146" s="218" t="str">
        <f t="shared" ca="1" si="20"/>
        <v/>
      </c>
      <c r="V146" s="342" t="str">
        <f t="shared" ca="1" si="21"/>
        <v/>
      </c>
      <c r="W146" s="139"/>
      <c r="Y146" s="1"/>
    </row>
    <row r="147" spans="3:25" ht="12" customHeight="1">
      <c r="C147" s="343" t="str">
        <f t="shared" ca="1" si="22"/>
        <v/>
      </c>
      <c r="D147" s="124" t="str">
        <f t="shared" ca="1" si="17"/>
        <v/>
      </c>
      <c r="E147" s="124" t="str">
        <f t="shared" ca="1" si="18"/>
        <v/>
      </c>
      <c r="F147" s="172" t="str">
        <f ca="1">IF(C147="","",[1]!S_DQ_CLOSE(D147,TODAY(),1))</f>
        <v/>
      </c>
      <c r="G147" s="173" t="str">
        <f ca="1">IF(C147="","",[1]!s_pq_pctchange(D147,TODAY()-$G$12,TODAY())/100)</f>
        <v/>
      </c>
      <c r="H147" s="249" t="str">
        <f ca="1">IF(C147="","",IF($H$11="收入",[1]!S_STM07_IS(D147,9,$G$5,$H$13)/$E$5,[1]!S_STM07_IS(D147,48,$G$5,$H$13)/$E$5))</f>
        <v/>
      </c>
      <c r="I147" s="249" t="str">
        <f ca="1">IF(C147="","",IF($I$11="毛利率",([1]!S_STM07_IS(D147,9,$G$5,$H$13)-[1]!S_STM07_IS(D147,10,$G$5,$H$13))/[1]!S_STM07_IS(D147,9,$G$5,$H$13),[1]!S_STM07_IS(D147,14,$G$5,$H$13)/$E$5))</f>
        <v/>
      </c>
      <c r="J147" s="249" t="str">
        <f ca="1">IF(C147="","",IF($J$11="营业利润率",[1]!S_STM07_IS(D147,48,$G$5,$H$13)/[1]!S_STM07_IS(D147,9,$G$5,$H$13),([1]!S_STM07_CS(D147,87,$G$5,$H$13)+[1]!S_STM07_CS(D147,88,$G$5,$H$13)+[1]!S_STM07_CS(D147,89,$G$5,$H$13))/$E$5))</f>
        <v/>
      </c>
      <c r="K147" s="249" t="str">
        <f ca="1">IF(C147="","",IF($K$11="净利润率",[1]!S_STM07_IS(D147,61,$G$5,$H$13)/[1]!S_STM07_IS(D147,9,$G$5,$H$13),[1]!S_STM07_IS(D147,55,$G$5,$H$13)/$E$5))</f>
        <v/>
      </c>
      <c r="L147" s="249" t="str">
        <f ca="1">IF(C147="","",IF($L$11="ROA",[1]!S_STM07_IS(D147,61,$G$5,$H$13)/[1]!S_STM07_BS(D147,74,$G$5,$H$13),1-[1]!S_STM07_IS(D147,61,$G$5,$H$13)/[1]!S_STM07_IS(D147,55,$G$5,$H$13)))</f>
        <v/>
      </c>
      <c r="M147" s="249" t="str">
        <f ca="1">IF(C147="","",IF($M$11="ROE",[1]!S_STM07_IS(D147,61,$G$5,$H$13)/[1]!S_STM07_BS(D147,141,$G$5,$H$13),([1]!S_STM07_BS(D147,25,$G$5,$H$13)-[1]!S_STM07_BS(D147,93,$G$5,$H$13))/$E$5))</f>
        <v/>
      </c>
      <c r="N147" s="250" t="str">
        <f ca="1">IF(C147="","",IF($N$11="EPS",[1]!S_STM07_IS(D147,61,$G$5,$H$13)/IF([1]!S_SHARE_TOTAL(D147,$G$5)=0,[1]!S_SHARE_TOTAL(D147,[1]!s_ipo_listeddate(D147)),[1]!S_SHARE_TOTAL(D147,$G$5)),([1]!S_STM07_BS(D147,75,$G$5,$H$13)+[1]!S_STM07_BS(D147,88,$G$5,$H$13)+[1]!S_STM07_BS(D147,94,$G$5,$H$13)+[1]!S_STM07_BS(D147,95,$G$5,$H$13))/$E$5))</f>
        <v/>
      </c>
      <c r="O147" s="250" t="str">
        <f ca="1">IF(C147="","",IF($O$11="BPS",[1]!S_STM07_BS(D147,141,$G$5,$H$13)/IF([1]!S_SHARE_TOTAL(D147,$G$5)=0,[1]!S_SHARE_TOTAL(D147,[1]!s_ipo_listeddate(D147)),[1]!S_SHARE_TOTAL(D147,$G$5)),[1]!S_STM07_CS(D147,49,$G$5,$H$13)/$E$5))</f>
        <v/>
      </c>
      <c r="P147" s="250" t="str">
        <f ca="1">IF(C147="","",IF($P$11="CFPS",[1]!S_STM07_CS(D147,84,$G$5,$H$13)/IF([1]!S_SHARE_TOTAL(D147,$G$5)=0,[1]!S_SHARE_TOTAL(D147,[1]!s_ipo_listeddate(D147)),[1]!S_SHARE_TOTAL(D147,$G$5)),[1]!S_STM07_CS(D147,84,$G$5,$H$13)/$E$5))</f>
        <v/>
      </c>
      <c r="Q147" s="198" t="str">
        <f ca="1">IF(C147="","",F147/([1]!S_STM07_IS(D147,61,$G$5,$H$13)/IF([1]!S_SHARE_TOTAL(D147,$G$5)=0,[1]!S_SHARE_TOTAL(D147,[1]!s_ipo_listeddate(D147)),[1]!S_SHARE_TOTAL(D147,$G$5))))</f>
        <v/>
      </c>
      <c r="R147" s="198" t="str">
        <f ca="1">IF(C147="","",F147/([1]!S_STM07_BS(D147,141,$G$5,$H$13)/IF([1]!S_SHARE_TOTAL(D147,$G$5)=0,[1]!S_SHARE_TOTAL(D147,[1]!s_ipo_listeddate(D147)),[1]!S_SHARE_TOTAL(D147,$G$5))))</f>
        <v/>
      </c>
      <c r="S147" s="249" t="str">
        <f ca="1">IF(C147="","",[1]!S_SHARE_TOTAL(D147,TODAY())/$E$5)</f>
        <v/>
      </c>
      <c r="T147" s="249" t="str">
        <f t="shared" ca="1" si="19"/>
        <v/>
      </c>
      <c r="U147" s="172" t="str">
        <f t="shared" ca="1" si="20"/>
        <v/>
      </c>
      <c r="V147" s="343" t="str">
        <f t="shared" ca="1" si="21"/>
        <v/>
      </c>
      <c r="W147" s="139"/>
      <c r="Y147" s="1"/>
    </row>
    <row r="148" spans="3:25" ht="12" customHeight="1">
      <c r="C148" s="342" t="str">
        <f t="shared" ca="1" si="22"/>
        <v/>
      </c>
      <c r="D148" s="153" t="str">
        <f t="shared" ca="1" si="17"/>
        <v/>
      </c>
      <c r="E148" s="153" t="str">
        <f t="shared" ca="1" si="18"/>
        <v/>
      </c>
      <c r="F148" s="170" t="str">
        <f ca="1">IF(C148="","",[1]!S_DQ_CLOSE(D148,TODAY(),1))</f>
        <v/>
      </c>
      <c r="G148" s="171" t="str">
        <f ca="1">IF(C148="","",[1]!s_pq_pctchange(D148,TODAY()-$G$12,TODAY())/100)</f>
        <v/>
      </c>
      <c r="H148" s="247" t="str">
        <f ca="1">IF(C148="","",IF($H$11="收入",[1]!S_STM07_IS(D148,9,$G$5,$H$13)/$E$5,[1]!S_STM07_IS(D148,48,$G$5,$H$13)/$E$5))</f>
        <v/>
      </c>
      <c r="I148" s="247" t="str">
        <f ca="1">IF(C148="","",IF($I$11="毛利率",([1]!S_STM07_IS(D148,9,$G$5,$H$13)-[1]!S_STM07_IS(D148,10,$G$5,$H$13))/[1]!S_STM07_IS(D148,9,$G$5,$H$13),[1]!S_STM07_IS(D148,14,$G$5,$H$13)/$E$5))</f>
        <v/>
      </c>
      <c r="J148" s="247" t="str">
        <f ca="1">IF(C148="","",IF($J$11="营业利润率",[1]!S_STM07_IS(D148,48,$G$5,$H$13)/[1]!S_STM07_IS(D148,9,$G$5,$H$13),([1]!S_STM07_CS(D148,87,$G$5,$H$13)+[1]!S_STM07_CS(D148,88,$G$5,$H$13)+[1]!S_STM07_CS(D148,89,$G$5,$H$13))/$E$5))</f>
        <v/>
      </c>
      <c r="K148" s="247" t="str">
        <f ca="1">IF(C148="","",IF($K$11="净利润率",[1]!S_STM07_IS(D148,61,$G$5,$H$13)/[1]!S_STM07_IS(D148,9,$G$5,$H$13),[1]!S_STM07_IS(D148,55,$G$5,$H$13)/$E$5))</f>
        <v/>
      </c>
      <c r="L148" s="247" t="str">
        <f ca="1">IF(C148="","",IF($L$11="ROA",[1]!S_STM07_IS(D148,61,$G$5,$H$13)/[1]!S_STM07_BS(D148,74,$G$5,$H$13),1-[1]!S_STM07_IS(D148,61,$G$5,$H$13)/[1]!S_STM07_IS(D148,55,$G$5,$H$13)))</f>
        <v/>
      </c>
      <c r="M148" s="247" t="str">
        <f ca="1">IF(C148="","",IF($M$11="ROE",[1]!S_STM07_IS(D148,61,$G$5,$H$13)/[1]!S_STM07_BS(D148,141,$G$5,$H$13),([1]!S_STM07_BS(D148,25,$G$5,$H$13)-[1]!S_STM07_BS(D148,93,$G$5,$H$13))/$E$5))</f>
        <v/>
      </c>
      <c r="N148" s="247" t="str">
        <f ca="1">IF(C148="","",IF($N$11="EPS",[1]!S_STM07_IS(D148,61,$G$5,$H$13)/IF([1]!S_SHARE_TOTAL(D148,$G$5)=0,[1]!S_SHARE_TOTAL(D148,[1]!s_ipo_listeddate(D148)),[1]!S_SHARE_TOTAL(D148,$G$5)),([1]!S_STM07_BS(D148,75,$G$5,$H$13)+[1]!S_STM07_BS(D148,88,$G$5,$H$13)+[1]!S_STM07_BS(D148,94,$G$5,$H$13)+[1]!S_STM07_BS(D148,95,$G$5,$H$13))/$E$5))</f>
        <v/>
      </c>
      <c r="O148" s="247" t="str">
        <f ca="1">IF(C148="","",IF($O$11="BPS",[1]!S_STM07_BS(D148,141,$G$5,$H$13)/IF([1]!S_SHARE_TOTAL(D148,$G$5)=0,[1]!S_SHARE_TOTAL(D148,[1]!s_ipo_listeddate(D148)),[1]!S_SHARE_TOTAL(D148,$G$5)),[1]!S_STM07_CS(D148,49,$G$5,$H$13)/$E$5))</f>
        <v/>
      </c>
      <c r="P148" s="247" t="str">
        <f ca="1">IF(C148="","",IF($P$11="CFPS",[1]!S_STM07_CS(D148,84,$G$5,$H$13)/IF([1]!S_SHARE_TOTAL(D148,$G$5)=0,[1]!S_SHARE_TOTAL(D148,[1]!s_ipo_listeddate(D148)),[1]!S_SHARE_TOTAL(D148,$G$5)),[1]!S_STM07_CS(D148,84,$G$5,$H$13)/$E$5))</f>
        <v/>
      </c>
      <c r="Q148" s="248" t="str">
        <f ca="1">IF(C148="","",F148/([1]!S_STM07_IS(D148,61,$G$5,$H$13)/IF([1]!S_SHARE_TOTAL(D148,$G$5)=0,[1]!S_SHARE_TOTAL(D148,[1]!s_ipo_listeddate(D148)),[1]!S_SHARE_TOTAL(D148,$G$5))))</f>
        <v/>
      </c>
      <c r="R148" s="248" t="str">
        <f ca="1">IF(C148="","",F148/([1]!S_STM07_BS(D148,141,$G$5,$H$13)/IF([1]!S_SHARE_TOTAL(D148,$G$5)=0,[1]!S_SHARE_TOTAL(D148,[1]!s_ipo_listeddate(D148)),[1]!S_SHARE_TOTAL(D148,$G$5))))</f>
        <v/>
      </c>
      <c r="S148" s="247" t="str">
        <f ca="1">IF(C148="","",[1]!S_SHARE_TOTAL(D148,TODAY())/$E$5)</f>
        <v/>
      </c>
      <c r="T148" s="247" t="str">
        <f t="shared" ca="1" si="19"/>
        <v/>
      </c>
      <c r="U148" s="218" t="str">
        <f t="shared" ca="1" si="20"/>
        <v/>
      </c>
      <c r="V148" s="342" t="str">
        <f t="shared" ca="1" si="21"/>
        <v/>
      </c>
      <c r="W148" s="139"/>
      <c r="Y148" s="1"/>
    </row>
    <row r="149" spans="3:25" ht="12" customHeight="1">
      <c r="C149" s="343" t="str">
        <f t="shared" ca="1" si="22"/>
        <v/>
      </c>
      <c r="D149" s="124" t="str">
        <f t="shared" ca="1" si="17"/>
        <v/>
      </c>
      <c r="E149" s="124" t="str">
        <f t="shared" ca="1" si="18"/>
        <v/>
      </c>
      <c r="F149" s="172" t="str">
        <f ca="1">IF(C149="","",[1]!S_DQ_CLOSE(D149,TODAY(),1))</f>
        <v/>
      </c>
      <c r="G149" s="173" t="str">
        <f ca="1">IF(C149="","",[1]!s_pq_pctchange(D149,TODAY()-$G$12,TODAY())/100)</f>
        <v/>
      </c>
      <c r="H149" s="249" t="str">
        <f ca="1">IF(C149="","",IF($H$11="收入",[1]!S_STM07_IS(D149,9,$G$5,$H$13)/$E$5,[1]!S_STM07_IS(D149,48,$G$5,$H$13)/$E$5))</f>
        <v/>
      </c>
      <c r="I149" s="249" t="str">
        <f ca="1">IF(C149="","",IF($I$11="毛利率",([1]!S_STM07_IS(D149,9,$G$5,$H$13)-[1]!S_STM07_IS(D149,10,$G$5,$H$13))/[1]!S_STM07_IS(D149,9,$G$5,$H$13),[1]!S_STM07_IS(D149,14,$G$5,$H$13)/$E$5))</f>
        <v/>
      </c>
      <c r="J149" s="249" t="str">
        <f ca="1">IF(C149="","",IF($J$11="营业利润率",[1]!S_STM07_IS(D149,48,$G$5,$H$13)/[1]!S_STM07_IS(D149,9,$G$5,$H$13),([1]!S_STM07_CS(D149,87,$G$5,$H$13)+[1]!S_STM07_CS(D149,88,$G$5,$H$13)+[1]!S_STM07_CS(D149,89,$G$5,$H$13))/$E$5))</f>
        <v/>
      </c>
      <c r="K149" s="249" t="str">
        <f ca="1">IF(C149="","",IF($K$11="净利润率",[1]!S_STM07_IS(D149,61,$G$5,$H$13)/[1]!S_STM07_IS(D149,9,$G$5,$H$13),[1]!S_STM07_IS(D149,55,$G$5,$H$13)/$E$5))</f>
        <v/>
      </c>
      <c r="L149" s="249" t="str">
        <f ca="1">IF(C149="","",IF($L$11="ROA",[1]!S_STM07_IS(D149,61,$G$5,$H$13)/[1]!S_STM07_BS(D149,74,$G$5,$H$13),1-[1]!S_STM07_IS(D149,61,$G$5,$H$13)/[1]!S_STM07_IS(D149,55,$G$5,$H$13)))</f>
        <v/>
      </c>
      <c r="M149" s="249" t="str">
        <f ca="1">IF(C149="","",IF($M$11="ROE",[1]!S_STM07_IS(D149,61,$G$5,$H$13)/[1]!S_STM07_BS(D149,141,$G$5,$H$13),([1]!S_STM07_BS(D149,25,$G$5,$H$13)-[1]!S_STM07_BS(D149,93,$G$5,$H$13))/$E$5))</f>
        <v/>
      </c>
      <c r="N149" s="250" t="str">
        <f ca="1">IF(C149="","",IF($N$11="EPS",[1]!S_STM07_IS(D149,61,$G$5,$H$13)/IF([1]!S_SHARE_TOTAL(D149,$G$5)=0,[1]!S_SHARE_TOTAL(D149,[1]!s_ipo_listeddate(D149)),[1]!S_SHARE_TOTAL(D149,$G$5)),([1]!S_STM07_BS(D149,75,$G$5,$H$13)+[1]!S_STM07_BS(D149,88,$G$5,$H$13)+[1]!S_STM07_BS(D149,94,$G$5,$H$13)+[1]!S_STM07_BS(D149,95,$G$5,$H$13))/$E$5))</f>
        <v/>
      </c>
      <c r="O149" s="250" t="str">
        <f ca="1">IF(C149="","",IF($O$11="BPS",[1]!S_STM07_BS(D149,141,$G$5,$H$13)/IF([1]!S_SHARE_TOTAL(D149,$G$5)=0,[1]!S_SHARE_TOTAL(D149,[1]!s_ipo_listeddate(D149)),[1]!S_SHARE_TOTAL(D149,$G$5)),[1]!S_STM07_CS(D149,49,$G$5,$H$13)/$E$5))</f>
        <v/>
      </c>
      <c r="P149" s="250" t="str">
        <f ca="1">IF(C149="","",IF($P$11="CFPS",[1]!S_STM07_CS(D149,84,$G$5,$H$13)/IF([1]!S_SHARE_TOTAL(D149,$G$5)=0,[1]!S_SHARE_TOTAL(D149,[1]!s_ipo_listeddate(D149)),[1]!S_SHARE_TOTAL(D149,$G$5)),[1]!S_STM07_CS(D149,84,$G$5,$H$13)/$E$5))</f>
        <v/>
      </c>
      <c r="Q149" s="198" t="str">
        <f ca="1">IF(C149="","",F149/([1]!S_STM07_IS(D149,61,$G$5,$H$13)/IF([1]!S_SHARE_TOTAL(D149,$G$5)=0,[1]!S_SHARE_TOTAL(D149,[1]!s_ipo_listeddate(D149)),[1]!S_SHARE_TOTAL(D149,$G$5))))</f>
        <v/>
      </c>
      <c r="R149" s="198" t="str">
        <f ca="1">IF(C149="","",F149/([1]!S_STM07_BS(D149,141,$G$5,$H$13)/IF([1]!S_SHARE_TOTAL(D149,$G$5)=0,[1]!S_SHARE_TOTAL(D149,[1]!s_ipo_listeddate(D149)),[1]!S_SHARE_TOTAL(D149,$G$5))))</f>
        <v/>
      </c>
      <c r="S149" s="249" t="str">
        <f ca="1">IF(C149="","",[1]!S_SHARE_TOTAL(D149,TODAY())/$E$5)</f>
        <v/>
      </c>
      <c r="T149" s="249" t="str">
        <f t="shared" ca="1" si="19"/>
        <v/>
      </c>
      <c r="U149" s="172" t="str">
        <f t="shared" ca="1" si="20"/>
        <v/>
      </c>
      <c r="V149" s="343" t="str">
        <f t="shared" ca="1" si="21"/>
        <v/>
      </c>
      <c r="W149" s="139"/>
      <c r="Y149" s="1"/>
    </row>
    <row r="150" spans="3:25" ht="12" customHeight="1">
      <c r="C150" s="342" t="str">
        <f t="shared" ca="1" si="22"/>
        <v/>
      </c>
      <c r="D150" s="153" t="str">
        <f t="shared" ca="1" si="17"/>
        <v/>
      </c>
      <c r="E150" s="153" t="str">
        <f t="shared" ca="1" si="18"/>
        <v/>
      </c>
      <c r="F150" s="170" t="str">
        <f ca="1">IF(C150="","",[1]!S_DQ_CLOSE(D150,TODAY(),1))</f>
        <v/>
      </c>
      <c r="G150" s="171" t="str">
        <f ca="1">IF(C150="","",[1]!s_pq_pctchange(D150,TODAY()-$G$12,TODAY())/100)</f>
        <v/>
      </c>
      <c r="H150" s="247" t="str">
        <f ca="1">IF(C150="","",IF($H$11="收入",[1]!S_STM07_IS(D150,9,$G$5,$H$13)/$E$5,[1]!S_STM07_IS(D150,48,$G$5,$H$13)/$E$5))</f>
        <v/>
      </c>
      <c r="I150" s="247" t="str">
        <f ca="1">IF(C150="","",IF($I$11="毛利率",([1]!S_STM07_IS(D150,9,$G$5,$H$13)-[1]!S_STM07_IS(D150,10,$G$5,$H$13))/[1]!S_STM07_IS(D150,9,$G$5,$H$13),[1]!S_STM07_IS(D150,14,$G$5,$H$13)/$E$5))</f>
        <v/>
      </c>
      <c r="J150" s="247" t="str">
        <f ca="1">IF(C150="","",IF($J$11="营业利润率",[1]!S_STM07_IS(D150,48,$G$5,$H$13)/[1]!S_STM07_IS(D150,9,$G$5,$H$13),([1]!S_STM07_CS(D150,87,$G$5,$H$13)+[1]!S_STM07_CS(D150,88,$G$5,$H$13)+[1]!S_STM07_CS(D150,89,$G$5,$H$13))/$E$5))</f>
        <v/>
      </c>
      <c r="K150" s="247" t="str">
        <f ca="1">IF(C150="","",IF($K$11="净利润率",[1]!S_STM07_IS(D150,61,$G$5,$H$13)/[1]!S_STM07_IS(D150,9,$G$5,$H$13),[1]!S_STM07_IS(D150,55,$G$5,$H$13)/$E$5))</f>
        <v/>
      </c>
      <c r="L150" s="247" t="str">
        <f ca="1">IF(C150="","",IF($L$11="ROA",[1]!S_STM07_IS(D150,61,$G$5,$H$13)/[1]!S_STM07_BS(D150,74,$G$5,$H$13),1-[1]!S_STM07_IS(D150,61,$G$5,$H$13)/[1]!S_STM07_IS(D150,55,$G$5,$H$13)))</f>
        <v/>
      </c>
      <c r="M150" s="247" t="str">
        <f ca="1">IF(C150="","",IF($M$11="ROE",[1]!S_STM07_IS(D150,61,$G$5,$H$13)/[1]!S_STM07_BS(D150,141,$G$5,$H$13),([1]!S_STM07_BS(D150,25,$G$5,$H$13)-[1]!S_STM07_BS(D150,93,$G$5,$H$13))/$E$5))</f>
        <v/>
      </c>
      <c r="N150" s="247" t="str">
        <f ca="1">IF(C150="","",IF($N$11="EPS",[1]!S_STM07_IS(D150,61,$G$5,$H$13)/IF([1]!S_SHARE_TOTAL(D150,$G$5)=0,[1]!S_SHARE_TOTAL(D150,[1]!s_ipo_listeddate(D150)),[1]!S_SHARE_TOTAL(D150,$G$5)),([1]!S_STM07_BS(D150,75,$G$5,$H$13)+[1]!S_STM07_BS(D150,88,$G$5,$H$13)+[1]!S_STM07_BS(D150,94,$G$5,$H$13)+[1]!S_STM07_BS(D150,95,$G$5,$H$13))/$E$5))</f>
        <v/>
      </c>
      <c r="O150" s="247" t="str">
        <f ca="1">IF(C150="","",IF($O$11="BPS",[1]!S_STM07_BS(D150,141,$G$5,$H$13)/IF([1]!S_SHARE_TOTAL(D150,$G$5)=0,[1]!S_SHARE_TOTAL(D150,[1]!s_ipo_listeddate(D150)),[1]!S_SHARE_TOTAL(D150,$G$5)),[1]!S_STM07_CS(D150,49,$G$5,$H$13)/$E$5))</f>
        <v/>
      </c>
      <c r="P150" s="247" t="str">
        <f ca="1">IF(C150="","",IF($P$11="CFPS",[1]!S_STM07_CS(D150,84,$G$5,$H$13)/IF([1]!S_SHARE_TOTAL(D150,$G$5)=0,[1]!S_SHARE_TOTAL(D150,[1]!s_ipo_listeddate(D150)),[1]!S_SHARE_TOTAL(D150,$G$5)),[1]!S_STM07_CS(D150,84,$G$5,$H$13)/$E$5))</f>
        <v/>
      </c>
      <c r="Q150" s="248" t="str">
        <f ca="1">IF(C150="","",F150/([1]!S_STM07_IS(D150,61,$G$5,$H$13)/IF([1]!S_SHARE_TOTAL(D150,$G$5)=0,[1]!S_SHARE_TOTAL(D150,[1]!s_ipo_listeddate(D150)),[1]!S_SHARE_TOTAL(D150,$G$5))))</f>
        <v/>
      </c>
      <c r="R150" s="248" t="str">
        <f ca="1">IF(C150="","",F150/([1]!S_STM07_BS(D150,141,$G$5,$H$13)/IF([1]!S_SHARE_TOTAL(D150,$G$5)=0,[1]!S_SHARE_TOTAL(D150,[1]!s_ipo_listeddate(D150)),[1]!S_SHARE_TOTAL(D150,$G$5))))</f>
        <v/>
      </c>
      <c r="S150" s="247" t="str">
        <f ca="1">IF(C150="","",[1]!S_SHARE_TOTAL(D150,TODAY())/$E$5)</f>
        <v/>
      </c>
      <c r="T150" s="247" t="str">
        <f t="shared" ca="1" si="19"/>
        <v/>
      </c>
      <c r="U150" s="218" t="str">
        <f t="shared" ca="1" si="20"/>
        <v/>
      </c>
      <c r="V150" s="342" t="str">
        <f t="shared" ca="1" si="21"/>
        <v/>
      </c>
      <c r="W150" s="139"/>
      <c r="Y150" s="1"/>
    </row>
    <row r="151" spans="3:25" ht="12" customHeight="1">
      <c r="C151" s="343" t="str">
        <f t="shared" ca="1" si="22"/>
        <v/>
      </c>
      <c r="D151" s="124" t="str">
        <f t="shared" ca="1" si="17"/>
        <v/>
      </c>
      <c r="E151" s="124" t="str">
        <f t="shared" ca="1" si="18"/>
        <v/>
      </c>
      <c r="F151" s="172" t="str">
        <f ca="1">IF(C151="","",[1]!S_DQ_CLOSE(D151,TODAY(),1))</f>
        <v/>
      </c>
      <c r="G151" s="173" t="str">
        <f ca="1">IF(C151="","",[1]!s_pq_pctchange(D151,TODAY()-$G$12,TODAY())/100)</f>
        <v/>
      </c>
      <c r="H151" s="249" t="str">
        <f ca="1">IF(C151="","",IF($H$11="收入",[1]!S_STM07_IS(D151,9,$G$5,$H$13)/$E$5,[1]!S_STM07_IS(D151,48,$G$5,$H$13)/$E$5))</f>
        <v/>
      </c>
      <c r="I151" s="249" t="str">
        <f ca="1">IF(C151="","",IF($I$11="毛利率",([1]!S_STM07_IS(D151,9,$G$5,$H$13)-[1]!S_STM07_IS(D151,10,$G$5,$H$13))/[1]!S_STM07_IS(D151,9,$G$5,$H$13),[1]!S_STM07_IS(D151,14,$G$5,$H$13)/$E$5))</f>
        <v/>
      </c>
      <c r="J151" s="249" t="str">
        <f ca="1">IF(C151="","",IF($J$11="营业利润率",[1]!S_STM07_IS(D151,48,$G$5,$H$13)/[1]!S_STM07_IS(D151,9,$G$5,$H$13),([1]!S_STM07_CS(D151,87,$G$5,$H$13)+[1]!S_STM07_CS(D151,88,$G$5,$H$13)+[1]!S_STM07_CS(D151,89,$G$5,$H$13))/$E$5))</f>
        <v/>
      </c>
      <c r="K151" s="249" t="str">
        <f ca="1">IF(C151="","",IF($K$11="净利润率",[1]!S_STM07_IS(D151,61,$G$5,$H$13)/[1]!S_STM07_IS(D151,9,$G$5,$H$13),[1]!S_STM07_IS(D151,55,$G$5,$H$13)/$E$5))</f>
        <v/>
      </c>
      <c r="L151" s="249" t="str">
        <f ca="1">IF(C151="","",IF($L$11="ROA",[1]!S_STM07_IS(D151,61,$G$5,$H$13)/[1]!S_STM07_BS(D151,74,$G$5,$H$13),1-[1]!S_STM07_IS(D151,61,$G$5,$H$13)/[1]!S_STM07_IS(D151,55,$G$5,$H$13)))</f>
        <v/>
      </c>
      <c r="M151" s="249" t="str">
        <f ca="1">IF(C151="","",IF($M$11="ROE",[1]!S_STM07_IS(D151,61,$G$5,$H$13)/[1]!S_STM07_BS(D151,141,$G$5,$H$13),([1]!S_STM07_BS(D151,25,$G$5,$H$13)-[1]!S_STM07_BS(D151,93,$G$5,$H$13))/$E$5))</f>
        <v/>
      </c>
      <c r="N151" s="250" t="str">
        <f ca="1">IF(C151="","",IF($N$11="EPS",[1]!S_STM07_IS(D151,61,$G$5,$H$13)/IF([1]!S_SHARE_TOTAL(D151,$G$5)=0,[1]!S_SHARE_TOTAL(D151,[1]!s_ipo_listeddate(D151)),[1]!S_SHARE_TOTAL(D151,$G$5)),([1]!S_STM07_BS(D151,75,$G$5,$H$13)+[1]!S_STM07_BS(D151,88,$G$5,$H$13)+[1]!S_STM07_BS(D151,94,$G$5,$H$13)+[1]!S_STM07_BS(D151,95,$G$5,$H$13))/$E$5))</f>
        <v/>
      </c>
      <c r="O151" s="250" t="str">
        <f ca="1">IF(C151="","",IF($O$11="BPS",[1]!S_STM07_BS(D151,141,$G$5,$H$13)/IF([1]!S_SHARE_TOTAL(D151,$G$5)=0,[1]!S_SHARE_TOTAL(D151,[1]!s_ipo_listeddate(D151)),[1]!S_SHARE_TOTAL(D151,$G$5)),[1]!S_STM07_CS(D151,49,$G$5,$H$13)/$E$5))</f>
        <v/>
      </c>
      <c r="P151" s="250" t="str">
        <f ca="1">IF(C151="","",IF($P$11="CFPS",[1]!S_STM07_CS(D151,84,$G$5,$H$13)/IF([1]!S_SHARE_TOTAL(D151,$G$5)=0,[1]!S_SHARE_TOTAL(D151,[1]!s_ipo_listeddate(D151)),[1]!S_SHARE_TOTAL(D151,$G$5)),[1]!S_STM07_CS(D151,84,$G$5,$H$13)/$E$5))</f>
        <v/>
      </c>
      <c r="Q151" s="198" t="str">
        <f ca="1">IF(C151="","",F151/([1]!S_STM07_IS(D151,61,$G$5,$H$13)/IF([1]!S_SHARE_TOTAL(D151,$G$5)=0,[1]!S_SHARE_TOTAL(D151,[1]!s_ipo_listeddate(D151)),[1]!S_SHARE_TOTAL(D151,$G$5))))</f>
        <v/>
      </c>
      <c r="R151" s="198" t="str">
        <f ca="1">IF(C151="","",F151/([1]!S_STM07_BS(D151,141,$G$5,$H$13)/IF([1]!S_SHARE_TOTAL(D151,$G$5)=0,[1]!S_SHARE_TOTAL(D151,[1]!s_ipo_listeddate(D151)),[1]!S_SHARE_TOTAL(D151,$G$5))))</f>
        <v/>
      </c>
      <c r="S151" s="249" t="str">
        <f ca="1">IF(C151="","",[1]!S_SHARE_TOTAL(D151,TODAY())/$E$5)</f>
        <v/>
      </c>
      <c r="T151" s="249" t="str">
        <f t="shared" ca="1" si="19"/>
        <v/>
      </c>
      <c r="U151" s="172" t="str">
        <f t="shared" ca="1" si="20"/>
        <v/>
      </c>
      <c r="V151" s="343" t="str">
        <f t="shared" ca="1" si="21"/>
        <v/>
      </c>
      <c r="W151" s="139"/>
      <c r="Y151" s="1"/>
    </row>
    <row r="152" spans="3:25" ht="12" customHeight="1">
      <c r="C152" s="342" t="str">
        <f t="shared" ca="1" si="22"/>
        <v/>
      </c>
      <c r="D152" s="153" t="str">
        <f t="shared" ca="1" si="17"/>
        <v/>
      </c>
      <c r="E152" s="153" t="str">
        <f t="shared" ca="1" si="18"/>
        <v/>
      </c>
      <c r="F152" s="170" t="str">
        <f ca="1">IF(C152="","",[1]!S_DQ_CLOSE(D152,TODAY(),1))</f>
        <v/>
      </c>
      <c r="G152" s="171" t="str">
        <f ca="1">IF(C152="","",[1]!s_pq_pctchange(D152,TODAY()-$G$12,TODAY())/100)</f>
        <v/>
      </c>
      <c r="H152" s="247" t="str">
        <f ca="1">IF(C152="","",IF($H$11="收入",[1]!S_STM07_IS(D152,9,$G$5,$H$13)/$E$5,[1]!S_STM07_IS(D152,48,$G$5,$H$13)/$E$5))</f>
        <v/>
      </c>
      <c r="I152" s="247" t="str">
        <f ca="1">IF(C152="","",IF($I$11="毛利率",([1]!S_STM07_IS(D152,9,$G$5,$H$13)-[1]!S_STM07_IS(D152,10,$G$5,$H$13))/[1]!S_STM07_IS(D152,9,$G$5,$H$13),[1]!S_STM07_IS(D152,14,$G$5,$H$13)/$E$5))</f>
        <v/>
      </c>
      <c r="J152" s="247" t="str">
        <f ca="1">IF(C152="","",IF($J$11="营业利润率",[1]!S_STM07_IS(D152,48,$G$5,$H$13)/[1]!S_STM07_IS(D152,9,$G$5,$H$13),([1]!S_STM07_CS(D152,87,$G$5,$H$13)+[1]!S_STM07_CS(D152,88,$G$5,$H$13)+[1]!S_STM07_CS(D152,89,$G$5,$H$13))/$E$5))</f>
        <v/>
      </c>
      <c r="K152" s="247" t="str">
        <f ca="1">IF(C152="","",IF($K$11="净利润率",[1]!S_STM07_IS(D152,61,$G$5,$H$13)/[1]!S_STM07_IS(D152,9,$G$5,$H$13),[1]!S_STM07_IS(D152,55,$G$5,$H$13)/$E$5))</f>
        <v/>
      </c>
      <c r="L152" s="247" t="str">
        <f ca="1">IF(C152="","",IF($L$11="ROA",[1]!S_STM07_IS(D152,61,$G$5,$H$13)/[1]!S_STM07_BS(D152,74,$G$5,$H$13),1-[1]!S_STM07_IS(D152,61,$G$5,$H$13)/[1]!S_STM07_IS(D152,55,$G$5,$H$13)))</f>
        <v/>
      </c>
      <c r="M152" s="247" t="str">
        <f ca="1">IF(C152="","",IF($M$11="ROE",[1]!S_STM07_IS(D152,61,$G$5,$H$13)/[1]!S_STM07_BS(D152,141,$G$5,$H$13),([1]!S_STM07_BS(D152,25,$G$5,$H$13)-[1]!S_STM07_BS(D152,93,$G$5,$H$13))/$E$5))</f>
        <v/>
      </c>
      <c r="N152" s="247" t="str">
        <f ca="1">IF(C152="","",IF($N$11="EPS",[1]!S_STM07_IS(D152,61,$G$5,$H$13)/IF([1]!S_SHARE_TOTAL(D152,$G$5)=0,[1]!S_SHARE_TOTAL(D152,[1]!s_ipo_listeddate(D152)),[1]!S_SHARE_TOTAL(D152,$G$5)),([1]!S_STM07_BS(D152,75,$G$5,$H$13)+[1]!S_STM07_BS(D152,88,$G$5,$H$13)+[1]!S_STM07_BS(D152,94,$G$5,$H$13)+[1]!S_STM07_BS(D152,95,$G$5,$H$13))/$E$5))</f>
        <v/>
      </c>
      <c r="O152" s="247" t="str">
        <f ca="1">IF(C152="","",IF($O$11="BPS",[1]!S_STM07_BS(D152,141,$G$5,$H$13)/IF([1]!S_SHARE_TOTAL(D152,$G$5)=0,[1]!S_SHARE_TOTAL(D152,[1]!s_ipo_listeddate(D152)),[1]!S_SHARE_TOTAL(D152,$G$5)),[1]!S_STM07_CS(D152,49,$G$5,$H$13)/$E$5))</f>
        <v/>
      </c>
      <c r="P152" s="247" t="str">
        <f ca="1">IF(C152="","",IF($P$11="CFPS",[1]!S_STM07_CS(D152,84,$G$5,$H$13)/IF([1]!S_SHARE_TOTAL(D152,$G$5)=0,[1]!S_SHARE_TOTAL(D152,[1]!s_ipo_listeddate(D152)),[1]!S_SHARE_TOTAL(D152,$G$5)),[1]!S_STM07_CS(D152,84,$G$5,$H$13)/$E$5))</f>
        <v/>
      </c>
      <c r="Q152" s="248" t="str">
        <f ca="1">IF(C152="","",F152/([1]!S_STM07_IS(D152,61,$G$5,$H$13)/IF([1]!S_SHARE_TOTAL(D152,$G$5)=0,[1]!S_SHARE_TOTAL(D152,[1]!s_ipo_listeddate(D152)),[1]!S_SHARE_TOTAL(D152,$G$5))))</f>
        <v/>
      </c>
      <c r="R152" s="248" t="str">
        <f ca="1">IF(C152="","",F152/([1]!S_STM07_BS(D152,141,$G$5,$H$13)/IF([1]!S_SHARE_TOTAL(D152,$G$5)=0,[1]!S_SHARE_TOTAL(D152,[1]!s_ipo_listeddate(D152)),[1]!S_SHARE_TOTAL(D152,$G$5))))</f>
        <v/>
      </c>
      <c r="S152" s="247" t="str">
        <f ca="1">IF(C152="","",[1]!S_SHARE_TOTAL(D152,TODAY())/$E$5)</f>
        <v/>
      </c>
      <c r="T152" s="247" t="str">
        <f t="shared" ca="1" si="19"/>
        <v/>
      </c>
      <c r="U152" s="218" t="str">
        <f t="shared" ca="1" si="20"/>
        <v/>
      </c>
      <c r="V152" s="342" t="str">
        <f t="shared" ca="1" si="21"/>
        <v/>
      </c>
      <c r="W152" s="139"/>
      <c r="Y152" s="1"/>
    </row>
    <row r="153" spans="3:25" ht="12" customHeight="1">
      <c r="C153" s="343" t="str">
        <f t="shared" ca="1" si="22"/>
        <v/>
      </c>
      <c r="D153" s="124" t="str">
        <f t="shared" ca="1" si="17"/>
        <v/>
      </c>
      <c r="E153" s="124" t="str">
        <f t="shared" ca="1" si="18"/>
        <v/>
      </c>
      <c r="F153" s="172" t="str">
        <f ca="1">IF(C153="","",[1]!S_DQ_CLOSE(D153,TODAY(),1))</f>
        <v/>
      </c>
      <c r="G153" s="173" t="str">
        <f ca="1">IF(C153="","",[1]!s_pq_pctchange(D153,TODAY()-$G$12,TODAY())/100)</f>
        <v/>
      </c>
      <c r="H153" s="249" t="str">
        <f ca="1">IF(C153="","",IF($H$11="收入",[1]!S_STM07_IS(D153,9,$G$5,$H$13)/$E$5,[1]!S_STM07_IS(D153,48,$G$5,$H$13)/$E$5))</f>
        <v/>
      </c>
      <c r="I153" s="249" t="str">
        <f ca="1">IF(C153="","",IF($I$11="毛利率",([1]!S_STM07_IS(D153,9,$G$5,$H$13)-[1]!S_STM07_IS(D153,10,$G$5,$H$13))/[1]!S_STM07_IS(D153,9,$G$5,$H$13),[1]!S_STM07_IS(D153,14,$G$5,$H$13)/$E$5))</f>
        <v/>
      </c>
      <c r="J153" s="249" t="str">
        <f ca="1">IF(C153="","",IF($J$11="营业利润率",[1]!S_STM07_IS(D153,48,$G$5,$H$13)/[1]!S_STM07_IS(D153,9,$G$5,$H$13),([1]!S_STM07_CS(D153,87,$G$5,$H$13)+[1]!S_STM07_CS(D153,88,$G$5,$H$13)+[1]!S_STM07_CS(D153,89,$G$5,$H$13))/$E$5))</f>
        <v/>
      </c>
      <c r="K153" s="249" t="str">
        <f ca="1">IF(C153="","",IF($K$11="净利润率",[1]!S_STM07_IS(D153,61,$G$5,$H$13)/[1]!S_STM07_IS(D153,9,$G$5,$H$13),[1]!S_STM07_IS(D153,55,$G$5,$H$13)/$E$5))</f>
        <v/>
      </c>
      <c r="L153" s="249" t="str">
        <f ca="1">IF(C153="","",IF($L$11="ROA",[1]!S_STM07_IS(D153,61,$G$5,$H$13)/[1]!S_STM07_BS(D153,74,$G$5,$H$13),1-[1]!S_STM07_IS(D153,61,$G$5,$H$13)/[1]!S_STM07_IS(D153,55,$G$5,$H$13)))</f>
        <v/>
      </c>
      <c r="M153" s="249" t="str">
        <f ca="1">IF(C153="","",IF($M$11="ROE",[1]!S_STM07_IS(D153,61,$G$5,$H$13)/[1]!S_STM07_BS(D153,141,$G$5,$H$13),([1]!S_STM07_BS(D153,25,$G$5,$H$13)-[1]!S_STM07_BS(D153,93,$G$5,$H$13))/$E$5))</f>
        <v/>
      </c>
      <c r="N153" s="250" t="str">
        <f ca="1">IF(C153="","",IF($N$11="EPS",[1]!S_STM07_IS(D153,61,$G$5,$H$13)/IF([1]!S_SHARE_TOTAL(D153,$G$5)=0,[1]!S_SHARE_TOTAL(D153,[1]!s_ipo_listeddate(D153)),[1]!S_SHARE_TOTAL(D153,$G$5)),([1]!S_STM07_BS(D153,75,$G$5,$H$13)+[1]!S_STM07_BS(D153,88,$G$5,$H$13)+[1]!S_STM07_BS(D153,94,$G$5,$H$13)+[1]!S_STM07_BS(D153,95,$G$5,$H$13))/$E$5))</f>
        <v/>
      </c>
      <c r="O153" s="250" t="str">
        <f ca="1">IF(C153="","",IF($O$11="BPS",[1]!S_STM07_BS(D153,141,$G$5,$H$13)/IF([1]!S_SHARE_TOTAL(D153,$G$5)=0,[1]!S_SHARE_TOTAL(D153,[1]!s_ipo_listeddate(D153)),[1]!S_SHARE_TOTAL(D153,$G$5)),[1]!S_STM07_CS(D153,49,$G$5,$H$13)/$E$5))</f>
        <v/>
      </c>
      <c r="P153" s="250" t="str">
        <f ca="1">IF(C153="","",IF($P$11="CFPS",[1]!S_STM07_CS(D153,84,$G$5,$H$13)/IF([1]!S_SHARE_TOTAL(D153,$G$5)=0,[1]!S_SHARE_TOTAL(D153,[1]!s_ipo_listeddate(D153)),[1]!S_SHARE_TOTAL(D153,$G$5)),[1]!S_STM07_CS(D153,84,$G$5,$H$13)/$E$5))</f>
        <v/>
      </c>
      <c r="Q153" s="198" t="str">
        <f ca="1">IF(C153="","",F153/([1]!S_STM07_IS(D153,61,$G$5,$H$13)/IF([1]!S_SHARE_TOTAL(D153,$G$5)=0,[1]!S_SHARE_TOTAL(D153,[1]!s_ipo_listeddate(D153)),[1]!S_SHARE_TOTAL(D153,$G$5))))</f>
        <v/>
      </c>
      <c r="R153" s="198" t="str">
        <f ca="1">IF(C153="","",F153/([1]!S_STM07_BS(D153,141,$G$5,$H$13)/IF([1]!S_SHARE_TOTAL(D153,$G$5)=0,[1]!S_SHARE_TOTAL(D153,[1]!s_ipo_listeddate(D153)),[1]!S_SHARE_TOTAL(D153,$G$5))))</f>
        <v/>
      </c>
      <c r="S153" s="249" t="str">
        <f ca="1">IF(C153="","",[1]!S_SHARE_TOTAL(D153,TODAY())/$E$5)</f>
        <v/>
      </c>
      <c r="T153" s="249" t="str">
        <f t="shared" ca="1" si="19"/>
        <v/>
      </c>
      <c r="U153" s="172" t="str">
        <f t="shared" ca="1" si="20"/>
        <v/>
      </c>
      <c r="V153" s="343" t="str">
        <f t="shared" ca="1" si="21"/>
        <v/>
      </c>
      <c r="W153" s="139"/>
      <c r="Y153" s="1"/>
    </row>
    <row r="154" spans="3:25" ht="12" customHeight="1">
      <c r="C154" s="342" t="str">
        <f t="shared" ca="1" si="22"/>
        <v/>
      </c>
      <c r="D154" s="153" t="str">
        <f t="shared" ca="1" si="17"/>
        <v/>
      </c>
      <c r="E154" s="153" t="str">
        <f t="shared" ca="1" si="18"/>
        <v/>
      </c>
      <c r="F154" s="170" t="str">
        <f ca="1">IF(C154="","",[1]!S_DQ_CLOSE(D154,TODAY(),1))</f>
        <v/>
      </c>
      <c r="G154" s="171" t="str">
        <f ca="1">IF(C154="","",[1]!s_pq_pctchange(D154,TODAY()-$G$12,TODAY())/100)</f>
        <v/>
      </c>
      <c r="H154" s="247" t="str">
        <f ca="1">IF(C154="","",IF($H$11="收入",[1]!S_STM07_IS(D154,9,$G$5,$H$13)/$E$5,[1]!S_STM07_IS(D154,48,$G$5,$H$13)/$E$5))</f>
        <v/>
      </c>
      <c r="I154" s="247" t="str">
        <f ca="1">IF(C154="","",IF($I$11="毛利率",([1]!S_STM07_IS(D154,9,$G$5,$H$13)-[1]!S_STM07_IS(D154,10,$G$5,$H$13))/[1]!S_STM07_IS(D154,9,$G$5,$H$13),[1]!S_STM07_IS(D154,14,$G$5,$H$13)/$E$5))</f>
        <v/>
      </c>
      <c r="J154" s="247" t="str">
        <f ca="1">IF(C154="","",IF($J$11="营业利润率",[1]!S_STM07_IS(D154,48,$G$5,$H$13)/[1]!S_STM07_IS(D154,9,$G$5,$H$13),([1]!S_STM07_CS(D154,87,$G$5,$H$13)+[1]!S_STM07_CS(D154,88,$G$5,$H$13)+[1]!S_STM07_CS(D154,89,$G$5,$H$13))/$E$5))</f>
        <v/>
      </c>
      <c r="K154" s="247" t="str">
        <f ca="1">IF(C154="","",IF($K$11="净利润率",[1]!S_STM07_IS(D154,61,$G$5,$H$13)/[1]!S_STM07_IS(D154,9,$G$5,$H$13),[1]!S_STM07_IS(D154,55,$G$5,$H$13)/$E$5))</f>
        <v/>
      </c>
      <c r="L154" s="247" t="str">
        <f ca="1">IF(C154="","",IF($L$11="ROA",[1]!S_STM07_IS(D154,61,$G$5,$H$13)/[1]!S_STM07_BS(D154,74,$G$5,$H$13),1-[1]!S_STM07_IS(D154,61,$G$5,$H$13)/[1]!S_STM07_IS(D154,55,$G$5,$H$13)))</f>
        <v/>
      </c>
      <c r="M154" s="247" t="str">
        <f ca="1">IF(C154="","",IF($M$11="ROE",[1]!S_STM07_IS(D154,61,$G$5,$H$13)/[1]!S_STM07_BS(D154,141,$G$5,$H$13),([1]!S_STM07_BS(D154,25,$G$5,$H$13)-[1]!S_STM07_BS(D154,93,$G$5,$H$13))/$E$5))</f>
        <v/>
      </c>
      <c r="N154" s="247" t="str">
        <f ca="1">IF(C154="","",IF($N$11="EPS",[1]!S_STM07_IS(D154,61,$G$5,$H$13)/IF([1]!S_SHARE_TOTAL(D154,$G$5)=0,[1]!S_SHARE_TOTAL(D154,[1]!s_ipo_listeddate(D154)),[1]!S_SHARE_TOTAL(D154,$G$5)),([1]!S_STM07_BS(D154,75,$G$5,$H$13)+[1]!S_STM07_BS(D154,88,$G$5,$H$13)+[1]!S_STM07_BS(D154,94,$G$5,$H$13)+[1]!S_STM07_BS(D154,95,$G$5,$H$13))/$E$5))</f>
        <v/>
      </c>
      <c r="O154" s="247" t="str">
        <f ca="1">IF(C154="","",IF($O$11="BPS",[1]!S_STM07_BS(D154,141,$G$5,$H$13)/IF([1]!S_SHARE_TOTAL(D154,$G$5)=0,[1]!S_SHARE_TOTAL(D154,[1]!s_ipo_listeddate(D154)),[1]!S_SHARE_TOTAL(D154,$G$5)),[1]!S_STM07_CS(D154,49,$G$5,$H$13)/$E$5))</f>
        <v/>
      </c>
      <c r="P154" s="247" t="str">
        <f ca="1">IF(C154="","",IF($P$11="CFPS",[1]!S_STM07_CS(D154,84,$G$5,$H$13)/IF([1]!S_SHARE_TOTAL(D154,$G$5)=0,[1]!S_SHARE_TOTAL(D154,[1]!s_ipo_listeddate(D154)),[1]!S_SHARE_TOTAL(D154,$G$5)),[1]!S_STM07_CS(D154,84,$G$5,$H$13)/$E$5))</f>
        <v/>
      </c>
      <c r="Q154" s="248" t="str">
        <f ca="1">IF(C154="","",F154/([1]!S_STM07_IS(D154,61,$G$5,$H$13)/IF([1]!S_SHARE_TOTAL(D154,$G$5)=0,[1]!S_SHARE_TOTAL(D154,[1]!s_ipo_listeddate(D154)),[1]!S_SHARE_TOTAL(D154,$G$5))))</f>
        <v/>
      </c>
      <c r="R154" s="248" t="str">
        <f ca="1">IF(C154="","",F154/([1]!S_STM07_BS(D154,141,$G$5,$H$13)/IF([1]!S_SHARE_TOTAL(D154,$G$5)=0,[1]!S_SHARE_TOTAL(D154,[1]!s_ipo_listeddate(D154)),[1]!S_SHARE_TOTAL(D154,$G$5))))</f>
        <v/>
      </c>
      <c r="S154" s="247" t="str">
        <f ca="1">IF(C154="","",[1]!S_SHARE_TOTAL(D154,TODAY())/$E$5)</f>
        <v/>
      </c>
      <c r="T154" s="247" t="str">
        <f t="shared" ca="1" si="19"/>
        <v/>
      </c>
      <c r="U154" s="218" t="str">
        <f t="shared" ca="1" si="20"/>
        <v/>
      </c>
      <c r="V154" s="342" t="str">
        <f t="shared" ca="1" si="21"/>
        <v/>
      </c>
      <c r="W154" s="139"/>
      <c r="Y154" s="1"/>
    </row>
    <row r="155" spans="3:25" ht="12" customHeight="1">
      <c r="C155" s="343" t="str">
        <f t="shared" ca="1" si="22"/>
        <v/>
      </c>
      <c r="D155" s="124" t="str">
        <f t="shared" ca="1" si="17"/>
        <v/>
      </c>
      <c r="E155" s="124" t="str">
        <f t="shared" ca="1" si="18"/>
        <v/>
      </c>
      <c r="F155" s="172" t="str">
        <f ca="1">IF(C155="","",[1]!S_DQ_CLOSE(D155,TODAY(),1))</f>
        <v/>
      </c>
      <c r="G155" s="173" t="str">
        <f ca="1">IF(C155="","",[1]!s_pq_pctchange(D155,TODAY()-$G$12,TODAY())/100)</f>
        <v/>
      </c>
      <c r="H155" s="249" t="str">
        <f ca="1">IF(C155="","",IF($H$11="收入",[1]!S_STM07_IS(D155,9,$G$5,$H$13)/$E$5,[1]!S_STM07_IS(D155,48,$G$5,$H$13)/$E$5))</f>
        <v/>
      </c>
      <c r="I155" s="249" t="str">
        <f ca="1">IF(C155="","",IF($I$11="毛利率",([1]!S_STM07_IS(D155,9,$G$5,$H$13)-[1]!S_STM07_IS(D155,10,$G$5,$H$13))/[1]!S_STM07_IS(D155,9,$G$5,$H$13),[1]!S_STM07_IS(D155,14,$G$5,$H$13)/$E$5))</f>
        <v/>
      </c>
      <c r="J155" s="249" t="str">
        <f ca="1">IF(C155="","",IF($J$11="营业利润率",[1]!S_STM07_IS(D155,48,$G$5,$H$13)/[1]!S_STM07_IS(D155,9,$G$5,$H$13),([1]!S_STM07_CS(D155,87,$G$5,$H$13)+[1]!S_STM07_CS(D155,88,$G$5,$H$13)+[1]!S_STM07_CS(D155,89,$G$5,$H$13))/$E$5))</f>
        <v/>
      </c>
      <c r="K155" s="249" t="str">
        <f ca="1">IF(C155="","",IF($K$11="净利润率",[1]!S_STM07_IS(D155,61,$G$5,$H$13)/[1]!S_STM07_IS(D155,9,$G$5,$H$13),[1]!S_STM07_IS(D155,55,$G$5,$H$13)/$E$5))</f>
        <v/>
      </c>
      <c r="L155" s="249" t="str">
        <f ca="1">IF(C155="","",IF($L$11="ROA",[1]!S_STM07_IS(D155,61,$G$5,$H$13)/[1]!S_STM07_BS(D155,74,$G$5,$H$13),1-[1]!S_STM07_IS(D155,61,$G$5,$H$13)/[1]!S_STM07_IS(D155,55,$G$5,$H$13)))</f>
        <v/>
      </c>
      <c r="M155" s="249" t="str">
        <f ca="1">IF(C155="","",IF($M$11="ROE",[1]!S_STM07_IS(D155,61,$G$5,$H$13)/[1]!S_STM07_BS(D155,141,$G$5,$H$13),([1]!S_STM07_BS(D155,25,$G$5,$H$13)-[1]!S_STM07_BS(D155,93,$G$5,$H$13))/$E$5))</f>
        <v/>
      </c>
      <c r="N155" s="250" t="str">
        <f ca="1">IF(C155="","",IF($N$11="EPS",[1]!S_STM07_IS(D155,61,$G$5,$H$13)/IF([1]!S_SHARE_TOTAL(D155,$G$5)=0,[1]!S_SHARE_TOTAL(D155,[1]!s_ipo_listeddate(D155)),[1]!S_SHARE_TOTAL(D155,$G$5)),([1]!S_STM07_BS(D155,75,$G$5,$H$13)+[1]!S_STM07_BS(D155,88,$G$5,$H$13)+[1]!S_STM07_BS(D155,94,$G$5,$H$13)+[1]!S_STM07_BS(D155,95,$G$5,$H$13))/$E$5))</f>
        <v/>
      </c>
      <c r="O155" s="250" t="str">
        <f ca="1">IF(C155="","",IF($O$11="BPS",[1]!S_STM07_BS(D155,141,$G$5,$H$13)/IF([1]!S_SHARE_TOTAL(D155,$G$5)=0,[1]!S_SHARE_TOTAL(D155,[1]!s_ipo_listeddate(D155)),[1]!S_SHARE_TOTAL(D155,$G$5)),[1]!S_STM07_CS(D155,49,$G$5,$H$13)/$E$5))</f>
        <v/>
      </c>
      <c r="P155" s="250" t="str">
        <f ca="1">IF(C155="","",IF($P$11="CFPS",[1]!S_STM07_CS(D155,84,$G$5,$H$13)/IF([1]!S_SHARE_TOTAL(D155,$G$5)=0,[1]!S_SHARE_TOTAL(D155,[1]!s_ipo_listeddate(D155)),[1]!S_SHARE_TOTAL(D155,$G$5)),[1]!S_STM07_CS(D155,84,$G$5,$H$13)/$E$5))</f>
        <v/>
      </c>
      <c r="Q155" s="198" t="str">
        <f ca="1">IF(C155="","",F155/([1]!S_STM07_IS(D155,61,$G$5,$H$13)/IF([1]!S_SHARE_TOTAL(D155,$G$5)=0,[1]!S_SHARE_TOTAL(D155,[1]!s_ipo_listeddate(D155)),[1]!S_SHARE_TOTAL(D155,$G$5))))</f>
        <v/>
      </c>
      <c r="R155" s="198" t="str">
        <f ca="1">IF(C155="","",F155/([1]!S_STM07_BS(D155,141,$G$5,$H$13)/IF([1]!S_SHARE_TOTAL(D155,$G$5)=0,[1]!S_SHARE_TOTAL(D155,[1]!s_ipo_listeddate(D155)),[1]!S_SHARE_TOTAL(D155,$G$5))))</f>
        <v/>
      </c>
      <c r="S155" s="249" t="str">
        <f ca="1">IF(C155="","",[1]!S_SHARE_TOTAL(D155,TODAY())/$E$5)</f>
        <v/>
      </c>
      <c r="T155" s="249" t="str">
        <f t="shared" ca="1" si="19"/>
        <v/>
      </c>
      <c r="U155" s="172" t="str">
        <f t="shared" ca="1" si="20"/>
        <v/>
      </c>
      <c r="V155" s="343" t="str">
        <f t="shared" ca="1" si="21"/>
        <v/>
      </c>
      <c r="W155" s="139"/>
      <c r="Y155" s="1"/>
    </row>
    <row r="156" spans="3:25" ht="12" customHeight="1">
      <c r="C156" s="342" t="str">
        <f t="shared" ca="1" si="22"/>
        <v/>
      </c>
      <c r="D156" s="153" t="str">
        <f t="shared" ca="1" si="17"/>
        <v/>
      </c>
      <c r="E156" s="153" t="str">
        <f t="shared" ca="1" si="18"/>
        <v/>
      </c>
      <c r="F156" s="170" t="str">
        <f ca="1">IF(C156="","",[1]!S_DQ_CLOSE(D156,TODAY(),1))</f>
        <v/>
      </c>
      <c r="G156" s="171" t="str">
        <f ca="1">IF(C156="","",[1]!s_pq_pctchange(D156,TODAY()-$G$12,TODAY())/100)</f>
        <v/>
      </c>
      <c r="H156" s="247" t="str">
        <f ca="1">IF(C156="","",IF($H$11="收入",[1]!S_STM07_IS(D156,9,$G$5,$H$13)/$E$5,[1]!S_STM07_IS(D156,48,$G$5,$H$13)/$E$5))</f>
        <v/>
      </c>
      <c r="I156" s="247" t="str">
        <f ca="1">IF(C156="","",IF($I$11="毛利率",([1]!S_STM07_IS(D156,9,$G$5,$H$13)-[1]!S_STM07_IS(D156,10,$G$5,$H$13))/[1]!S_STM07_IS(D156,9,$G$5,$H$13),[1]!S_STM07_IS(D156,14,$G$5,$H$13)/$E$5))</f>
        <v/>
      </c>
      <c r="J156" s="247" t="str">
        <f ca="1">IF(C156="","",IF($J$11="营业利润率",[1]!S_STM07_IS(D156,48,$G$5,$H$13)/[1]!S_STM07_IS(D156,9,$G$5,$H$13),([1]!S_STM07_CS(D156,87,$G$5,$H$13)+[1]!S_STM07_CS(D156,88,$G$5,$H$13)+[1]!S_STM07_CS(D156,89,$G$5,$H$13))/$E$5))</f>
        <v/>
      </c>
      <c r="K156" s="247" t="str">
        <f ca="1">IF(C156="","",IF($K$11="净利润率",[1]!S_STM07_IS(D156,61,$G$5,$H$13)/[1]!S_STM07_IS(D156,9,$G$5,$H$13),[1]!S_STM07_IS(D156,55,$G$5,$H$13)/$E$5))</f>
        <v/>
      </c>
      <c r="L156" s="247" t="str">
        <f ca="1">IF(C156="","",IF($L$11="ROA",[1]!S_STM07_IS(D156,61,$G$5,$H$13)/[1]!S_STM07_BS(D156,74,$G$5,$H$13),1-[1]!S_STM07_IS(D156,61,$G$5,$H$13)/[1]!S_STM07_IS(D156,55,$G$5,$H$13)))</f>
        <v/>
      </c>
      <c r="M156" s="247" t="str">
        <f ca="1">IF(C156="","",IF($M$11="ROE",[1]!S_STM07_IS(D156,61,$G$5,$H$13)/[1]!S_STM07_BS(D156,141,$G$5,$H$13),([1]!S_STM07_BS(D156,25,$G$5,$H$13)-[1]!S_STM07_BS(D156,93,$G$5,$H$13))/$E$5))</f>
        <v/>
      </c>
      <c r="N156" s="247" t="str">
        <f ca="1">IF(C156="","",IF($N$11="EPS",[1]!S_STM07_IS(D156,61,$G$5,$H$13)/IF([1]!S_SHARE_TOTAL(D156,$G$5)=0,[1]!S_SHARE_TOTAL(D156,[1]!s_ipo_listeddate(D156)),[1]!S_SHARE_TOTAL(D156,$G$5)),([1]!S_STM07_BS(D156,75,$G$5,$H$13)+[1]!S_STM07_BS(D156,88,$G$5,$H$13)+[1]!S_STM07_BS(D156,94,$G$5,$H$13)+[1]!S_STM07_BS(D156,95,$G$5,$H$13))/$E$5))</f>
        <v/>
      </c>
      <c r="O156" s="247" t="str">
        <f ca="1">IF(C156="","",IF($O$11="BPS",[1]!S_STM07_BS(D156,141,$G$5,$H$13)/IF([1]!S_SHARE_TOTAL(D156,$G$5)=0,[1]!S_SHARE_TOTAL(D156,[1]!s_ipo_listeddate(D156)),[1]!S_SHARE_TOTAL(D156,$G$5)),[1]!S_STM07_CS(D156,49,$G$5,$H$13)/$E$5))</f>
        <v/>
      </c>
      <c r="P156" s="247" t="str">
        <f ca="1">IF(C156="","",IF($P$11="CFPS",[1]!S_STM07_CS(D156,84,$G$5,$H$13)/IF([1]!S_SHARE_TOTAL(D156,$G$5)=0,[1]!S_SHARE_TOTAL(D156,[1]!s_ipo_listeddate(D156)),[1]!S_SHARE_TOTAL(D156,$G$5)),[1]!S_STM07_CS(D156,84,$G$5,$H$13)/$E$5))</f>
        <v/>
      </c>
      <c r="Q156" s="248" t="str">
        <f ca="1">IF(C156="","",F156/([1]!S_STM07_IS(D156,61,$G$5,$H$13)/IF([1]!S_SHARE_TOTAL(D156,$G$5)=0,[1]!S_SHARE_TOTAL(D156,[1]!s_ipo_listeddate(D156)),[1]!S_SHARE_TOTAL(D156,$G$5))))</f>
        <v/>
      </c>
      <c r="R156" s="248" t="str">
        <f ca="1">IF(C156="","",F156/([1]!S_STM07_BS(D156,141,$G$5,$H$13)/IF([1]!S_SHARE_TOTAL(D156,$G$5)=0,[1]!S_SHARE_TOTAL(D156,[1]!s_ipo_listeddate(D156)),[1]!S_SHARE_TOTAL(D156,$G$5))))</f>
        <v/>
      </c>
      <c r="S156" s="247" t="str">
        <f ca="1">IF(C156="","",[1]!S_SHARE_TOTAL(D156,TODAY())/$E$5)</f>
        <v/>
      </c>
      <c r="T156" s="247" t="str">
        <f t="shared" ca="1" si="19"/>
        <v/>
      </c>
      <c r="U156" s="218" t="str">
        <f t="shared" ca="1" si="20"/>
        <v/>
      </c>
      <c r="V156" s="342" t="str">
        <f t="shared" ca="1" si="21"/>
        <v/>
      </c>
      <c r="W156" s="139"/>
      <c r="Y156" s="1"/>
    </row>
    <row r="157" spans="3:25" ht="12" customHeight="1">
      <c r="C157" s="343" t="str">
        <f t="shared" ca="1" si="22"/>
        <v/>
      </c>
      <c r="D157" s="124" t="str">
        <f t="shared" ca="1" si="17"/>
        <v/>
      </c>
      <c r="E157" s="124" t="str">
        <f t="shared" ca="1" si="18"/>
        <v/>
      </c>
      <c r="F157" s="172" t="str">
        <f ca="1">IF(C157="","",[1]!S_DQ_CLOSE(D157,TODAY(),1))</f>
        <v/>
      </c>
      <c r="G157" s="173" t="str">
        <f ca="1">IF(C157="","",[1]!s_pq_pctchange(D157,TODAY()-$G$12,TODAY())/100)</f>
        <v/>
      </c>
      <c r="H157" s="249" t="str">
        <f ca="1">IF(C157="","",IF($H$11="收入",[1]!S_STM07_IS(D157,9,$G$5,$H$13)/$E$5,[1]!S_STM07_IS(D157,48,$G$5,$H$13)/$E$5))</f>
        <v/>
      </c>
      <c r="I157" s="249" t="str">
        <f ca="1">IF(C157="","",IF($I$11="毛利率",([1]!S_STM07_IS(D157,9,$G$5,$H$13)-[1]!S_STM07_IS(D157,10,$G$5,$H$13))/[1]!S_STM07_IS(D157,9,$G$5,$H$13),[1]!S_STM07_IS(D157,14,$G$5,$H$13)/$E$5))</f>
        <v/>
      </c>
      <c r="J157" s="249" t="str">
        <f ca="1">IF(C157="","",IF($J$11="营业利润率",[1]!S_STM07_IS(D157,48,$G$5,$H$13)/[1]!S_STM07_IS(D157,9,$G$5,$H$13),([1]!S_STM07_CS(D157,87,$G$5,$H$13)+[1]!S_STM07_CS(D157,88,$G$5,$H$13)+[1]!S_STM07_CS(D157,89,$G$5,$H$13))/$E$5))</f>
        <v/>
      </c>
      <c r="K157" s="249" t="str">
        <f ca="1">IF(C157="","",IF($K$11="净利润率",[1]!S_STM07_IS(D157,61,$G$5,$H$13)/[1]!S_STM07_IS(D157,9,$G$5,$H$13),[1]!S_STM07_IS(D157,55,$G$5,$H$13)/$E$5))</f>
        <v/>
      </c>
      <c r="L157" s="249" t="str">
        <f ca="1">IF(C157="","",IF($L$11="ROA",[1]!S_STM07_IS(D157,61,$G$5,$H$13)/[1]!S_STM07_BS(D157,74,$G$5,$H$13),1-[1]!S_STM07_IS(D157,61,$G$5,$H$13)/[1]!S_STM07_IS(D157,55,$G$5,$H$13)))</f>
        <v/>
      </c>
      <c r="M157" s="249" t="str">
        <f ca="1">IF(C157="","",IF($M$11="ROE",[1]!S_STM07_IS(D157,61,$G$5,$H$13)/[1]!S_STM07_BS(D157,141,$G$5,$H$13),([1]!S_STM07_BS(D157,25,$G$5,$H$13)-[1]!S_STM07_BS(D157,93,$G$5,$H$13))/$E$5))</f>
        <v/>
      </c>
      <c r="N157" s="250" t="str">
        <f ca="1">IF(C157="","",IF($N$11="EPS",[1]!S_STM07_IS(D157,61,$G$5,$H$13)/IF([1]!S_SHARE_TOTAL(D157,$G$5)=0,[1]!S_SHARE_TOTAL(D157,[1]!s_ipo_listeddate(D157)),[1]!S_SHARE_TOTAL(D157,$G$5)),([1]!S_STM07_BS(D157,75,$G$5,$H$13)+[1]!S_STM07_BS(D157,88,$G$5,$H$13)+[1]!S_STM07_BS(D157,94,$G$5,$H$13)+[1]!S_STM07_BS(D157,95,$G$5,$H$13))/$E$5))</f>
        <v/>
      </c>
      <c r="O157" s="250" t="str">
        <f ca="1">IF(C157="","",IF($O$11="BPS",[1]!S_STM07_BS(D157,141,$G$5,$H$13)/IF([1]!S_SHARE_TOTAL(D157,$G$5)=0,[1]!S_SHARE_TOTAL(D157,[1]!s_ipo_listeddate(D157)),[1]!S_SHARE_TOTAL(D157,$G$5)),[1]!S_STM07_CS(D157,49,$G$5,$H$13)/$E$5))</f>
        <v/>
      </c>
      <c r="P157" s="250" t="str">
        <f ca="1">IF(C157="","",IF($P$11="CFPS",[1]!S_STM07_CS(D157,84,$G$5,$H$13)/IF([1]!S_SHARE_TOTAL(D157,$G$5)=0,[1]!S_SHARE_TOTAL(D157,[1]!s_ipo_listeddate(D157)),[1]!S_SHARE_TOTAL(D157,$G$5)),[1]!S_STM07_CS(D157,84,$G$5,$H$13)/$E$5))</f>
        <v/>
      </c>
      <c r="Q157" s="198" t="str">
        <f ca="1">IF(C157="","",F157/([1]!S_STM07_IS(D157,61,$G$5,$H$13)/IF([1]!S_SHARE_TOTAL(D157,$G$5)=0,[1]!S_SHARE_TOTAL(D157,[1]!s_ipo_listeddate(D157)),[1]!S_SHARE_TOTAL(D157,$G$5))))</f>
        <v/>
      </c>
      <c r="R157" s="198" t="str">
        <f ca="1">IF(C157="","",F157/([1]!S_STM07_BS(D157,141,$G$5,$H$13)/IF([1]!S_SHARE_TOTAL(D157,$G$5)=0,[1]!S_SHARE_TOTAL(D157,[1]!s_ipo_listeddate(D157)),[1]!S_SHARE_TOTAL(D157,$G$5))))</f>
        <v/>
      </c>
      <c r="S157" s="249" t="str">
        <f ca="1">IF(C157="","",[1]!S_SHARE_TOTAL(D157,TODAY())/$E$5)</f>
        <v/>
      </c>
      <c r="T157" s="249" t="str">
        <f t="shared" ca="1" si="19"/>
        <v/>
      </c>
      <c r="U157" s="172" t="str">
        <f t="shared" ca="1" si="20"/>
        <v/>
      </c>
      <c r="V157" s="343" t="str">
        <f t="shared" ca="1" si="21"/>
        <v/>
      </c>
      <c r="W157" s="139"/>
      <c r="Y157" s="1"/>
    </row>
    <row r="158" spans="3:25" ht="12" customHeight="1">
      <c r="C158" s="342" t="str">
        <f t="shared" ca="1" si="22"/>
        <v/>
      </c>
      <c r="D158" s="153" t="str">
        <f t="shared" ca="1" si="17"/>
        <v/>
      </c>
      <c r="E158" s="153" t="str">
        <f t="shared" ca="1" si="18"/>
        <v/>
      </c>
      <c r="F158" s="170" t="str">
        <f ca="1">IF(C158="","",[1]!S_DQ_CLOSE(D158,TODAY(),1))</f>
        <v/>
      </c>
      <c r="G158" s="171" t="str">
        <f ca="1">IF(C158="","",[1]!s_pq_pctchange(D158,TODAY()-$G$12,TODAY())/100)</f>
        <v/>
      </c>
      <c r="H158" s="247" t="str">
        <f ca="1">IF(C158="","",IF($H$11="收入",[1]!S_STM07_IS(D158,9,$G$5,$H$13)/$E$5,[1]!S_STM07_IS(D158,48,$G$5,$H$13)/$E$5))</f>
        <v/>
      </c>
      <c r="I158" s="247" t="str">
        <f ca="1">IF(C158="","",IF($I$11="毛利率",([1]!S_STM07_IS(D158,9,$G$5,$H$13)-[1]!S_STM07_IS(D158,10,$G$5,$H$13))/[1]!S_STM07_IS(D158,9,$G$5,$H$13),[1]!S_STM07_IS(D158,14,$G$5,$H$13)/$E$5))</f>
        <v/>
      </c>
      <c r="J158" s="247" t="str">
        <f ca="1">IF(C158="","",IF($J$11="营业利润率",[1]!S_STM07_IS(D158,48,$G$5,$H$13)/[1]!S_STM07_IS(D158,9,$G$5,$H$13),([1]!S_STM07_CS(D158,87,$G$5,$H$13)+[1]!S_STM07_CS(D158,88,$G$5,$H$13)+[1]!S_STM07_CS(D158,89,$G$5,$H$13))/$E$5))</f>
        <v/>
      </c>
      <c r="K158" s="247" t="str">
        <f ca="1">IF(C158="","",IF($K$11="净利润率",[1]!S_STM07_IS(D158,61,$G$5,$H$13)/[1]!S_STM07_IS(D158,9,$G$5,$H$13),[1]!S_STM07_IS(D158,55,$G$5,$H$13)/$E$5))</f>
        <v/>
      </c>
      <c r="L158" s="247" t="str">
        <f ca="1">IF(C158="","",IF($L$11="ROA",[1]!S_STM07_IS(D158,61,$G$5,$H$13)/[1]!S_STM07_BS(D158,74,$G$5,$H$13),1-[1]!S_STM07_IS(D158,61,$G$5,$H$13)/[1]!S_STM07_IS(D158,55,$G$5,$H$13)))</f>
        <v/>
      </c>
      <c r="M158" s="247" t="str">
        <f ca="1">IF(C158="","",IF($M$11="ROE",[1]!S_STM07_IS(D158,61,$G$5,$H$13)/[1]!S_STM07_BS(D158,141,$G$5,$H$13),([1]!S_STM07_BS(D158,25,$G$5,$H$13)-[1]!S_STM07_BS(D158,93,$G$5,$H$13))/$E$5))</f>
        <v/>
      </c>
      <c r="N158" s="247" t="str">
        <f ca="1">IF(C158="","",IF($N$11="EPS",[1]!S_STM07_IS(D158,61,$G$5,$H$13)/IF([1]!S_SHARE_TOTAL(D158,$G$5)=0,[1]!S_SHARE_TOTAL(D158,[1]!s_ipo_listeddate(D158)),[1]!S_SHARE_TOTAL(D158,$G$5)),([1]!S_STM07_BS(D158,75,$G$5,$H$13)+[1]!S_STM07_BS(D158,88,$G$5,$H$13)+[1]!S_STM07_BS(D158,94,$G$5,$H$13)+[1]!S_STM07_BS(D158,95,$G$5,$H$13))/$E$5))</f>
        <v/>
      </c>
      <c r="O158" s="247" t="str">
        <f ca="1">IF(C158="","",IF($O$11="BPS",[1]!S_STM07_BS(D158,141,$G$5,$H$13)/IF([1]!S_SHARE_TOTAL(D158,$G$5)=0,[1]!S_SHARE_TOTAL(D158,[1]!s_ipo_listeddate(D158)),[1]!S_SHARE_TOTAL(D158,$G$5)),[1]!S_STM07_CS(D158,49,$G$5,$H$13)/$E$5))</f>
        <v/>
      </c>
      <c r="P158" s="247" t="str">
        <f ca="1">IF(C158="","",IF($P$11="CFPS",[1]!S_STM07_CS(D158,84,$G$5,$H$13)/IF([1]!S_SHARE_TOTAL(D158,$G$5)=0,[1]!S_SHARE_TOTAL(D158,[1]!s_ipo_listeddate(D158)),[1]!S_SHARE_TOTAL(D158,$G$5)),[1]!S_STM07_CS(D158,84,$G$5,$H$13)/$E$5))</f>
        <v/>
      </c>
      <c r="Q158" s="248" t="str">
        <f ca="1">IF(C158="","",F158/([1]!S_STM07_IS(D158,61,$G$5,$H$13)/IF([1]!S_SHARE_TOTAL(D158,$G$5)=0,[1]!S_SHARE_TOTAL(D158,[1]!s_ipo_listeddate(D158)),[1]!S_SHARE_TOTAL(D158,$G$5))))</f>
        <v/>
      </c>
      <c r="R158" s="248" t="str">
        <f ca="1">IF(C158="","",F158/([1]!S_STM07_BS(D158,141,$G$5,$H$13)/IF([1]!S_SHARE_TOTAL(D158,$G$5)=0,[1]!S_SHARE_TOTAL(D158,[1]!s_ipo_listeddate(D158)),[1]!S_SHARE_TOTAL(D158,$G$5))))</f>
        <v/>
      </c>
      <c r="S158" s="247" t="str">
        <f ca="1">IF(C158="","",[1]!S_SHARE_TOTAL(D158,TODAY())/$E$5)</f>
        <v/>
      </c>
      <c r="T158" s="247" t="str">
        <f t="shared" ca="1" si="19"/>
        <v/>
      </c>
      <c r="U158" s="218" t="str">
        <f t="shared" ca="1" si="20"/>
        <v/>
      </c>
      <c r="V158" s="342" t="str">
        <f t="shared" ca="1" si="21"/>
        <v/>
      </c>
      <c r="W158" s="139"/>
      <c r="Y158" s="1"/>
    </row>
    <row r="159" spans="3:25" ht="12" customHeight="1">
      <c r="C159" s="343" t="str">
        <f t="shared" ca="1" si="22"/>
        <v/>
      </c>
      <c r="D159" s="124" t="str">
        <f t="shared" ca="1" si="17"/>
        <v/>
      </c>
      <c r="E159" s="124" t="str">
        <f t="shared" ca="1" si="18"/>
        <v/>
      </c>
      <c r="F159" s="172" t="str">
        <f ca="1">IF(C159="","",[1]!S_DQ_CLOSE(D159,TODAY(),1))</f>
        <v/>
      </c>
      <c r="G159" s="173" t="str">
        <f ca="1">IF(C159="","",[1]!s_pq_pctchange(D159,TODAY()-$G$12,TODAY())/100)</f>
        <v/>
      </c>
      <c r="H159" s="249" t="str">
        <f ca="1">IF(C159="","",IF($H$11="收入",[1]!S_STM07_IS(D159,9,$G$5,$H$13)/$E$5,[1]!S_STM07_IS(D159,48,$G$5,$H$13)/$E$5))</f>
        <v/>
      </c>
      <c r="I159" s="249" t="str">
        <f ca="1">IF(C159="","",IF($I$11="毛利率",([1]!S_STM07_IS(D159,9,$G$5,$H$13)-[1]!S_STM07_IS(D159,10,$G$5,$H$13))/[1]!S_STM07_IS(D159,9,$G$5,$H$13),[1]!S_STM07_IS(D159,14,$G$5,$H$13)/$E$5))</f>
        <v/>
      </c>
      <c r="J159" s="249" t="str">
        <f ca="1">IF(C159="","",IF($J$11="营业利润率",[1]!S_STM07_IS(D159,48,$G$5,$H$13)/[1]!S_STM07_IS(D159,9,$G$5,$H$13),([1]!S_STM07_CS(D159,87,$G$5,$H$13)+[1]!S_STM07_CS(D159,88,$G$5,$H$13)+[1]!S_STM07_CS(D159,89,$G$5,$H$13))/$E$5))</f>
        <v/>
      </c>
      <c r="K159" s="249" t="str">
        <f ca="1">IF(C159="","",IF($K$11="净利润率",[1]!S_STM07_IS(D159,61,$G$5,$H$13)/[1]!S_STM07_IS(D159,9,$G$5,$H$13),[1]!S_STM07_IS(D159,55,$G$5,$H$13)/$E$5))</f>
        <v/>
      </c>
      <c r="L159" s="249" t="str">
        <f ca="1">IF(C159="","",IF($L$11="ROA",[1]!S_STM07_IS(D159,61,$G$5,$H$13)/[1]!S_STM07_BS(D159,74,$G$5,$H$13),1-[1]!S_STM07_IS(D159,61,$G$5,$H$13)/[1]!S_STM07_IS(D159,55,$G$5,$H$13)))</f>
        <v/>
      </c>
      <c r="M159" s="249" t="str">
        <f ca="1">IF(C159="","",IF($M$11="ROE",[1]!S_STM07_IS(D159,61,$G$5,$H$13)/[1]!S_STM07_BS(D159,141,$G$5,$H$13),([1]!S_STM07_BS(D159,25,$G$5,$H$13)-[1]!S_STM07_BS(D159,93,$G$5,$H$13))/$E$5))</f>
        <v/>
      </c>
      <c r="N159" s="250" t="str">
        <f ca="1">IF(C159="","",IF($N$11="EPS",[1]!S_STM07_IS(D159,61,$G$5,$H$13)/IF([1]!S_SHARE_TOTAL(D159,$G$5)=0,[1]!S_SHARE_TOTAL(D159,[1]!s_ipo_listeddate(D159)),[1]!S_SHARE_TOTAL(D159,$G$5)),([1]!S_STM07_BS(D159,75,$G$5,$H$13)+[1]!S_STM07_BS(D159,88,$G$5,$H$13)+[1]!S_STM07_BS(D159,94,$G$5,$H$13)+[1]!S_STM07_BS(D159,95,$G$5,$H$13))/$E$5))</f>
        <v/>
      </c>
      <c r="O159" s="250" t="str">
        <f ca="1">IF(C159="","",IF($O$11="BPS",[1]!S_STM07_BS(D159,141,$G$5,$H$13)/IF([1]!S_SHARE_TOTAL(D159,$G$5)=0,[1]!S_SHARE_TOTAL(D159,[1]!s_ipo_listeddate(D159)),[1]!S_SHARE_TOTAL(D159,$G$5)),[1]!S_STM07_CS(D159,49,$G$5,$H$13)/$E$5))</f>
        <v/>
      </c>
      <c r="P159" s="250" t="str">
        <f ca="1">IF(C159="","",IF($P$11="CFPS",[1]!S_STM07_CS(D159,84,$G$5,$H$13)/IF([1]!S_SHARE_TOTAL(D159,$G$5)=0,[1]!S_SHARE_TOTAL(D159,[1]!s_ipo_listeddate(D159)),[1]!S_SHARE_TOTAL(D159,$G$5)),[1]!S_STM07_CS(D159,84,$G$5,$H$13)/$E$5))</f>
        <v/>
      </c>
      <c r="Q159" s="198" t="str">
        <f ca="1">IF(C159="","",F159/([1]!S_STM07_IS(D159,61,$G$5,$H$13)/IF([1]!S_SHARE_TOTAL(D159,$G$5)=0,[1]!S_SHARE_TOTAL(D159,[1]!s_ipo_listeddate(D159)),[1]!S_SHARE_TOTAL(D159,$G$5))))</f>
        <v/>
      </c>
      <c r="R159" s="198" t="str">
        <f ca="1">IF(C159="","",F159/([1]!S_STM07_BS(D159,141,$G$5,$H$13)/IF([1]!S_SHARE_TOTAL(D159,$G$5)=0,[1]!S_SHARE_TOTAL(D159,[1]!s_ipo_listeddate(D159)),[1]!S_SHARE_TOTAL(D159,$G$5))))</f>
        <v/>
      </c>
      <c r="S159" s="249" t="str">
        <f ca="1">IF(C159="","",[1]!S_SHARE_TOTAL(D159,TODAY())/$E$5)</f>
        <v/>
      </c>
      <c r="T159" s="249" t="str">
        <f t="shared" ca="1" si="19"/>
        <v/>
      </c>
      <c r="U159" s="172" t="str">
        <f t="shared" ca="1" si="20"/>
        <v/>
      </c>
      <c r="V159" s="343" t="str">
        <f t="shared" ca="1" si="21"/>
        <v/>
      </c>
      <c r="W159" s="139"/>
      <c r="Y159" s="1"/>
    </row>
    <row r="160" spans="3:25" ht="12" customHeight="1">
      <c r="C160" s="342" t="str">
        <f t="shared" ca="1" si="22"/>
        <v/>
      </c>
      <c r="D160" s="153" t="str">
        <f t="shared" ca="1" si="17"/>
        <v/>
      </c>
      <c r="E160" s="153" t="str">
        <f t="shared" ca="1" si="18"/>
        <v/>
      </c>
      <c r="F160" s="170" t="str">
        <f ca="1">IF(C160="","",[1]!S_DQ_CLOSE(D160,TODAY(),1))</f>
        <v/>
      </c>
      <c r="G160" s="171" t="str">
        <f ca="1">IF(C160="","",[1]!s_pq_pctchange(D160,TODAY()-$G$12,TODAY())/100)</f>
        <v/>
      </c>
      <c r="H160" s="247" t="str">
        <f ca="1">IF(C160="","",IF($H$11="收入",[1]!S_STM07_IS(D160,9,$G$5,$H$13)/$E$5,[1]!S_STM07_IS(D160,48,$G$5,$H$13)/$E$5))</f>
        <v/>
      </c>
      <c r="I160" s="247" t="str">
        <f ca="1">IF(C160="","",IF($I$11="毛利率",([1]!S_STM07_IS(D160,9,$G$5,$H$13)-[1]!S_STM07_IS(D160,10,$G$5,$H$13))/[1]!S_STM07_IS(D160,9,$G$5,$H$13),[1]!S_STM07_IS(D160,14,$G$5,$H$13)/$E$5))</f>
        <v/>
      </c>
      <c r="J160" s="247" t="str">
        <f ca="1">IF(C160="","",IF($J$11="营业利润率",[1]!S_STM07_IS(D160,48,$G$5,$H$13)/[1]!S_STM07_IS(D160,9,$G$5,$H$13),([1]!S_STM07_CS(D160,87,$G$5,$H$13)+[1]!S_STM07_CS(D160,88,$G$5,$H$13)+[1]!S_STM07_CS(D160,89,$G$5,$H$13))/$E$5))</f>
        <v/>
      </c>
      <c r="K160" s="247" t="str">
        <f ca="1">IF(C160="","",IF($K$11="净利润率",[1]!S_STM07_IS(D160,61,$G$5,$H$13)/[1]!S_STM07_IS(D160,9,$G$5,$H$13),[1]!S_STM07_IS(D160,55,$G$5,$H$13)/$E$5))</f>
        <v/>
      </c>
      <c r="L160" s="247" t="str">
        <f ca="1">IF(C160="","",IF($L$11="ROA",[1]!S_STM07_IS(D160,61,$G$5,$H$13)/[1]!S_STM07_BS(D160,74,$G$5,$H$13),1-[1]!S_STM07_IS(D160,61,$G$5,$H$13)/[1]!S_STM07_IS(D160,55,$G$5,$H$13)))</f>
        <v/>
      </c>
      <c r="M160" s="247" t="str">
        <f ca="1">IF(C160="","",IF($M$11="ROE",[1]!S_STM07_IS(D160,61,$G$5,$H$13)/[1]!S_STM07_BS(D160,141,$G$5,$H$13),([1]!S_STM07_BS(D160,25,$G$5,$H$13)-[1]!S_STM07_BS(D160,93,$G$5,$H$13))/$E$5))</f>
        <v/>
      </c>
      <c r="N160" s="247" t="str">
        <f ca="1">IF(C160="","",IF($N$11="EPS",[1]!S_STM07_IS(D160,61,$G$5,$H$13)/IF([1]!S_SHARE_TOTAL(D160,$G$5)=0,[1]!S_SHARE_TOTAL(D160,[1]!s_ipo_listeddate(D160)),[1]!S_SHARE_TOTAL(D160,$G$5)),([1]!S_STM07_BS(D160,75,$G$5,$H$13)+[1]!S_STM07_BS(D160,88,$G$5,$H$13)+[1]!S_STM07_BS(D160,94,$G$5,$H$13)+[1]!S_STM07_BS(D160,95,$G$5,$H$13))/$E$5))</f>
        <v/>
      </c>
      <c r="O160" s="247" t="str">
        <f ca="1">IF(C160="","",IF($O$11="BPS",[1]!S_STM07_BS(D160,141,$G$5,$H$13)/IF([1]!S_SHARE_TOTAL(D160,$G$5)=0,[1]!S_SHARE_TOTAL(D160,[1]!s_ipo_listeddate(D160)),[1]!S_SHARE_TOTAL(D160,$G$5)),[1]!S_STM07_CS(D160,49,$G$5,$H$13)/$E$5))</f>
        <v/>
      </c>
      <c r="P160" s="247" t="str">
        <f ca="1">IF(C160="","",IF($P$11="CFPS",[1]!S_STM07_CS(D160,84,$G$5,$H$13)/IF([1]!S_SHARE_TOTAL(D160,$G$5)=0,[1]!S_SHARE_TOTAL(D160,[1]!s_ipo_listeddate(D160)),[1]!S_SHARE_TOTAL(D160,$G$5)),[1]!S_STM07_CS(D160,84,$G$5,$H$13)/$E$5))</f>
        <v/>
      </c>
      <c r="Q160" s="248" t="str">
        <f ca="1">IF(C160="","",F160/([1]!S_STM07_IS(D160,61,$G$5,$H$13)/IF([1]!S_SHARE_TOTAL(D160,$G$5)=0,[1]!S_SHARE_TOTAL(D160,[1]!s_ipo_listeddate(D160)),[1]!S_SHARE_TOTAL(D160,$G$5))))</f>
        <v/>
      </c>
      <c r="R160" s="248" t="str">
        <f ca="1">IF(C160="","",F160/([1]!S_STM07_BS(D160,141,$G$5,$H$13)/IF([1]!S_SHARE_TOTAL(D160,$G$5)=0,[1]!S_SHARE_TOTAL(D160,[1]!s_ipo_listeddate(D160)),[1]!S_SHARE_TOTAL(D160,$G$5))))</f>
        <v/>
      </c>
      <c r="S160" s="247" t="str">
        <f ca="1">IF(C160="","",[1]!S_SHARE_TOTAL(D160,TODAY())/$E$5)</f>
        <v/>
      </c>
      <c r="T160" s="247" t="str">
        <f t="shared" ca="1" si="19"/>
        <v/>
      </c>
      <c r="U160" s="218" t="str">
        <f t="shared" ca="1" si="20"/>
        <v/>
      </c>
      <c r="V160" s="342" t="str">
        <f t="shared" ca="1" si="21"/>
        <v/>
      </c>
      <c r="W160" s="139"/>
      <c r="Y160" s="1"/>
    </row>
    <row r="161" spans="3:25" ht="12" customHeight="1">
      <c r="C161" s="343" t="str">
        <f t="shared" ca="1" si="22"/>
        <v/>
      </c>
      <c r="D161" s="124" t="str">
        <f t="shared" ca="1" si="17"/>
        <v/>
      </c>
      <c r="E161" s="124" t="str">
        <f t="shared" ca="1" si="18"/>
        <v/>
      </c>
      <c r="F161" s="172" t="str">
        <f ca="1">IF(C161="","",[1]!S_DQ_CLOSE(D161,TODAY(),1))</f>
        <v/>
      </c>
      <c r="G161" s="173" t="str">
        <f ca="1">IF(C161="","",[1]!s_pq_pctchange(D161,TODAY()-$G$12,TODAY())/100)</f>
        <v/>
      </c>
      <c r="H161" s="249" t="str">
        <f ca="1">IF(C161="","",IF($H$11="收入",[1]!S_STM07_IS(D161,9,$G$5,$H$13)/$E$5,[1]!S_STM07_IS(D161,48,$G$5,$H$13)/$E$5))</f>
        <v/>
      </c>
      <c r="I161" s="249" t="str">
        <f ca="1">IF(C161="","",IF($I$11="毛利率",([1]!S_STM07_IS(D161,9,$G$5,$H$13)-[1]!S_STM07_IS(D161,10,$G$5,$H$13))/[1]!S_STM07_IS(D161,9,$G$5,$H$13),[1]!S_STM07_IS(D161,14,$G$5,$H$13)/$E$5))</f>
        <v/>
      </c>
      <c r="J161" s="249" t="str">
        <f ca="1">IF(C161="","",IF($J$11="营业利润率",[1]!S_STM07_IS(D161,48,$G$5,$H$13)/[1]!S_STM07_IS(D161,9,$G$5,$H$13),([1]!S_STM07_CS(D161,87,$G$5,$H$13)+[1]!S_STM07_CS(D161,88,$G$5,$H$13)+[1]!S_STM07_CS(D161,89,$G$5,$H$13))/$E$5))</f>
        <v/>
      </c>
      <c r="K161" s="249" t="str">
        <f ca="1">IF(C161="","",IF($K$11="净利润率",[1]!S_STM07_IS(D161,61,$G$5,$H$13)/[1]!S_STM07_IS(D161,9,$G$5,$H$13),[1]!S_STM07_IS(D161,55,$G$5,$H$13)/$E$5))</f>
        <v/>
      </c>
      <c r="L161" s="249" t="str">
        <f ca="1">IF(C161="","",IF($L$11="ROA",[1]!S_STM07_IS(D161,61,$G$5,$H$13)/[1]!S_STM07_BS(D161,74,$G$5,$H$13),1-[1]!S_STM07_IS(D161,61,$G$5,$H$13)/[1]!S_STM07_IS(D161,55,$G$5,$H$13)))</f>
        <v/>
      </c>
      <c r="M161" s="249" t="str">
        <f ca="1">IF(C161="","",IF($M$11="ROE",[1]!S_STM07_IS(D161,61,$G$5,$H$13)/[1]!S_STM07_BS(D161,141,$G$5,$H$13),([1]!S_STM07_BS(D161,25,$G$5,$H$13)-[1]!S_STM07_BS(D161,93,$G$5,$H$13))/$E$5))</f>
        <v/>
      </c>
      <c r="N161" s="250" t="str">
        <f ca="1">IF(C161="","",IF($N$11="EPS",[1]!S_STM07_IS(D161,61,$G$5,$H$13)/IF([1]!S_SHARE_TOTAL(D161,$G$5)=0,[1]!S_SHARE_TOTAL(D161,[1]!s_ipo_listeddate(D161)),[1]!S_SHARE_TOTAL(D161,$G$5)),([1]!S_STM07_BS(D161,75,$G$5,$H$13)+[1]!S_STM07_BS(D161,88,$G$5,$H$13)+[1]!S_STM07_BS(D161,94,$G$5,$H$13)+[1]!S_STM07_BS(D161,95,$G$5,$H$13))/$E$5))</f>
        <v/>
      </c>
      <c r="O161" s="250" t="str">
        <f ca="1">IF(C161="","",IF($O$11="BPS",[1]!S_STM07_BS(D161,141,$G$5,$H$13)/IF([1]!S_SHARE_TOTAL(D161,$G$5)=0,[1]!S_SHARE_TOTAL(D161,[1]!s_ipo_listeddate(D161)),[1]!S_SHARE_TOTAL(D161,$G$5)),[1]!S_STM07_CS(D161,49,$G$5,$H$13)/$E$5))</f>
        <v/>
      </c>
      <c r="P161" s="250" t="str">
        <f ca="1">IF(C161="","",IF($P$11="CFPS",[1]!S_STM07_CS(D161,84,$G$5,$H$13)/IF([1]!S_SHARE_TOTAL(D161,$G$5)=0,[1]!S_SHARE_TOTAL(D161,[1]!s_ipo_listeddate(D161)),[1]!S_SHARE_TOTAL(D161,$G$5)),[1]!S_STM07_CS(D161,84,$G$5,$H$13)/$E$5))</f>
        <v/>
      </c>
      <c r="Q161" s="198" t="str">
        <f ca="1">IF(C161="","",F161/([1]!S_STM07_IS(D161,61,$G$5,$H$13)/IF([1]!S_SHARE_TOTAL(D161,$G$5)=0,[1]!S_SHARE_TOTAL(D161,[1]!s_ipo_listeddate(D161)),[1]!S_SHARE_TOTAL(D161,$G$5))))</f>
        <v/>
      </c>
      <c r="R161" s="198" t="str">
        <f ca="1">IF(C161="","",F161/([1]!S_STM07_BS(D161,141,$G$5,$H$13)/IF([1]!S_SHARE_TOTAL(D161,$G$5)=0,[1]!S_SHARE_TOTAL(D161,[1]!s_ipo_listeddate(D161)),[1]!S_SHARE_TOTAL(D161,$G$5))))</f>
        <v/>
      </c>
      <c r="S161" s="249" t="str">
        <f ca="1">IF(C161="","",[1]!S_SHARE_TOTAL(D161,TODAY())/$E$5)</f>
        <v/>
      </c>
      <c r="T161" s="249" t="str">
        <f t="shared" ca="1" si="19"/>
        <v/>
      </c>
      <c r="U161" s="172" t="str">
        <f t="shared" ca="1" si="20"/>
        <v/>
      </c>
      <c r="V161" s="343" t="str">
        <f t="shared" ca="1" si="21"/>
        <v/>
      </c>
      <c r="W161" s="139"/>
      <c r="Y161" s="1"/>
    </row>
    <row r="162" spans="3:25" ht="12" customHeight="1">
      <c r="C162" s="342" t="str">
        <f t="shared" ca="1" si="22"/>
        <v/>
      </c>
      <c r="D162" s="153" t="str">
        <f t="shared" ca="1" si="17"/>
        <v/>
      </c>
      <c r="E162" s="153" t="str">
        <f t="shared" ca="1" si="18"/>
        <v/>
      </c>
      <c r="F162" s="170" t="str">
        <f ca="1">IF(C162="","",[1]!S_DQ_CLOSE(D162,TODAY(),1))</f>
        <v/>
      </c>
      <c r="G162" s="171" t="str">
        <f ca="1">IF(C162="","",[1]!s_pq_pctchange(D162,TODAY()-$G$12,TODAY())/100)</f>
        <v/>
      </c>
      <c r="H162" s="247" t="str">
        <f ca="1">IF(C162="","",IF($H$11="收入",[1]!S_STM07_IS(D162,9,$G$5,$H$13)/$E$5,[1]!S_STM07_IS(D162,48,$G$5,$H$13)/$E$5))</f>
        <v/>
      </c>
      <c r="I162" s="247" t="str">
        <f ca="1">IF(C162="","",IF($I$11="毛利率",([1]!S_STM07_IS(D162,9,$G$5,$H$13)-[1]!S_STM07_IS(D162,10,$G$5,$H$13))/[1]!S_STM07_IS(D162,9,$G$5,$H$13),[1]!S_STM07_IS(D162,14,$G$5,$H$13)/$E$5))</f>
        <v/>
      </c>
      <c r="J162" s="247" t="str">
        <f ca="1">IF(C162="","",IF($J$11="营业利润率",[1]!S_STM07_IS(D162,48,$G$5,$H$13)/[1]!S_STM07_IS(D162,9,$G$5,$H$13),([1]!S_STM07_CS(D162,87,$G$5,$H$13)+[1]!S_STM07_CS(D162,88,$G$5,$H$13)+[1]!S_STM07_CS(D162,89,$G$5,$H$13))/$E$5))</f>
        <v/>
      </c>
      <c r="K162" s="247" t="str">
        <f ca="1">IF(C162="","",IF($K$11="净利润率",[1]!S_STM07_IS(D162,61,$G$5,$H$13)/[1]!S_STM07_IS(D162,9,$G$5,$H$13),[1]!S_STM07_IS(D162,55,$G$5,$H$13)/$E$5))</f>
        <v/>
      </c>
      <c r="L162" s="247" t="str">
        <f ca="1">IF(C162="","",IF($L$11="ROA",[1]!S_STM07_IS(D162,61,$G$5,$H$13)/[1]!S_STM07_BS(D162,74,$G$5,$H$13),1-[1]!S_STM07_IS(D162,61,$G$5,$H$13)/[1]!S_STM07_IS(D162,55,$G$5,$H$13)))</f>
        <v/>
      </c>
      <c r="M162" s="247" t="str">
        <f ca="1">IF(C162="","",IF($M$11="ROE",[1]!S_STM07_IS(D162,61,$G$5,$H$13)/[1]!S_STM07_BS(D162,141,$G$5,$H$13),([1]!S_STM07_BS(D162,25,$G$5,$H$13)-[1]!S_STM07_BS(D162,93,$G$5,$H$13))/$E$5))</f>
        <v/>
      </c>
      <c r="N162" s="247" t="str">
        <f ca="1">IF(C162="","",IF($N$11="EPS",[1]!S_STM07_IS(D162,61,$G$5,$H$13)/IF([1]!S_SHARE_TOTAL(D162,$G$5)=0,[1]!S_SHARE_TOTAL(D162,[1]!s_ipo_listeddate(D162)),[1]!S_SHARE_TOTAL(D162,$G$5)),([1]!S_STM07_BS(D162,75,$G$5,$H$13)+[1]!S_STM07_BS(D162,88,$G$5,$H$13)+[1]!S_STM07_BS(D162,94,$G$5,$H$13)+[1]!S_STM07_BS(D162,95,$G$5,$H$13))/$E$5))</f>
        <v/>
      </c>
      <c r="O162" s="247" t="str">
        <f ca="1">IF(C162="","",IF($O$11="BPS",[1]!S_STM07_BS(D162,141,$G$5,$H$13)/IF([1]!S_SHARE_TOTAL(D162,$G$5)=0,[1]!S_SHARE_TOTAL(D162,[1]!s_ipo_listeddate(D162)),[1]!S_SHARE_TOTAL(D162,$G$5)),[1]!S_STM07_CS(D162,49,$G$5,$H$13)/$E$5))</f>
        <v/>
      </c>
      <c r="P162" s="247" t="str">
        <f ca="1">IF(C162="","",IF($P$11="CFPS",[1]!S_STM07_CS(D162,84,$G$5,$H$13)/IF([1]!S_SHARE_TOTAL(D162,$G$5)=0,[1]!S_SHARE_TOTAL(D162,[1]!s_ipo_listeddate(D162)),[1]!S_SHARE_TOTAL(D162,$G$5)),[1]!S_STM07_CS(D162,84,$G$5,$H$13)/$E$5))</f>
        <v/>
      </c>
      <c r="Q162" s="248" t="str">
        <f ca="1">IF(C162="","",F162/([1]!S_STM07_IS(D162,61,$G$5,$H$13)/IF([1]!S_SHARE_TOTAL(D162,$G$5)=0,[1]!S_SHARE_TOTAL(D162,[1]!s_ipo_listeddate(D162)),[1]!S_SHARE_TOTAL(D162,$G$5))))</f>
        <v/>
      </c>
      <c r="R162" s="248" t="str">
        <f ca="1">IF(C162="","",F162/([1]!S_STM07_BS(D162,141,$G$5,$H$13)/IF([1]!S_SHARE_TOTAL(D162,$G$5)=0,[1]!S_SHARE_TOTAL(D162,[1]!s_ipo_listeddate(D162)),[1]!S_SHARE_TOTAL(D162,$G$5))))</f>
        <v/>
      </c>
      <c r="S162" s="247" t="str">
        <f ca="1">IF(C162="","",[1]!S_SHARE_TOTAL(D162,TODAY())/$E$5)</f>
        <v/>
      </c>
      <c r="T162" s="247" t="str">
        <f t="shared" ca="1" si="19"/>
        <v/>
      </c>
      <c r="U162" s="218" t="str">
        <f t="shared" ca="1" si="20"/>
        <v/>
      </c>
      <c r="V162" s="342" t="str">
        <f t="shared" ca="1" si="21"/>
        <v/>
      </c>
      <c r="W162" s="139"/>
      <c r="Y162" s="1"/>
    </row>
    <row r="163" spans="3:25" ht="12" customHeight="1">
      <c r="C163" s="343" t="str">
        <f t="shared" ca="1" si="22"/>
        <v/>
      </c>
      <c r="D163" s="124" t="str">
        <f t="shared" ca="1" si="17"/>
        <v/>
      </c>
      <c r="E163" s="124" t="str">
        <f t="shared" ca="1" si="18"/>
        <v/>
      </c>
      <c r="F163" s="172" t="str">
        <f ca="1">IF(C163="","",[1]!S_DQ_CLOSE(D163,TODAY(),1))</f>
        <v/>
      </c>
      <c r="G163" s="173" t="str">
        <f ca="1">IF(C163="","",[1]!s_pq_pctchange(D163,TODAY()-$G$12,TODAY())/100)</f>
        <v/>
      </c>
      <c r="H163" s="249" t="str">
        <f ca="1">IF(C163="","",IF($H$11="收入",[1]!S_STM07_IS(D163,9,$G$5,$H$13)/$E$5,[1]!S_STM07_IS(D163,48,$G$5,$H$13)/$E$5))</f>
        <v/>
      </c>
      <c r="I163" s="249" t="str">
        <f ca="1">IF(C163="","",IF($I$11="毛利率",([1]!S_STM07_IS(D163,9,$G$5,$H$13)-[1]!S_STM07_IS(D163,10,$G$5,$H$13))/[1]!S_STM07_IS(D163,9,$G$5,$H$13),[1]!S_STM07_IS(D163,14,$G$5,$H$13)/$E$5))</f>
        <v/>
      </c>
      <c r="J163" s="249" t="str">
        <f ca="1">IF(C163="","",IF($J$11="营业利润率",[1]!S_STM07_IS(D163,48,$G$5,$H$13)/[1]!S_STM07_IS(D163,9,$G$5,$H$13),([1]!S_STM07_CS(D163,87,$G$5,$H$13)+[1]!S_STM07_CS(D163,88,$G$5,$H$13)+[1]!S_STM07_CS(D163,89,$G$5,$H$13))/$E$5))</f>
        <v/>
      </c>
      <c r="K163" s="249" t="str">
        <f ca="1">IF(C163="","",IF($K$11="净利润率",[1]!S_STM07_IS(D163,61,$G$5,$H$13)/[1]!S_STM07_IS(D163,9,$G$5,$H$13),[1]!S_STM07_IS(D163,55,$G$5,$H$13)/$E$5))</f>
        <v/>
      </c>
      <c r="L163" s="249" t="str">
        <f ca="1">IF(C163="","",IF($L$11="ROA",[1]!S_STM07_IS(D163,61,$G$5,$H$13)/[1]!S_STM07_BS(D163,74,$G$5,$H$13),1-[1]!S_STM07_IS(D163,61,$G$5,$H$13)/[1]!S_STM07_IS(D163,55,$G$5,$H$13)))</f>
        <v/>
      </c>
      <c r="M163" s="249" t="str">
        <f ca="1">IF(C163="","",IF($M$11="ROE",[1]!S_STM07_IS(D163,61,$G$5,$H$13)/[1]!S_STM07_BS(D163,141,$G$5,$H$13),([1]!S_STM07_BS(D163,25,$G$5,$H$13)-[1]!S_STM07_BS(D163,93,$G$5,$H$13))/$E$5))</f>
        <v/>
      </c>
      <c r="N163" s="250" t="str">
        <f ca="1">IF(C163="","",IF($N$11="EPS",[1]!S_STM07_IS(D163,61,$G$5,$H$13)/IF([1]!S_SHARE_TOTAL(D163,$G$5)=0,[1]!S_SHARE_TOTAL(D163,[1]!s_ipo_listeddate(D163)),[1]!S_SHARE_TOTAL(D163,$G$5)),([1]!S_STM07_BS(D163,75,$G$5,$H$13)+[1]!S_STM07_BS(D163,88,$G$5,$H$13)+[1]!S_STM07_BS(D163,94,$G$5,$H$13)+[1]!S_STM07_BS(D163,95,$G$5,$H$13))/$E$5))</f>
        <v/>
      </c>
      <c r="O163" s="250" t="str">
        <f ca="1">IF(C163="","",IF($O$11="BPS",[1]!S_STM07_BS(D163,141,$G$5,$H$13)/IF([1]!S_SHARE_TOTAL(D163,$G$5)=0,[1]!S_SHARE_TOTAL(D163,[1]!s_ipo_listeddate(D163)),[1]!S_SHARE_TOTAL(D163,$G$5)),[1]!S_STM07_CS(D163,49,$G$5,$H$13)/$E$5))</f>
        <v/>
      </c>
      <c r="P163" s="250" t="str">
        <f ca="1">IF(C163="","",IF($P$11="CFPS",[1]!S_STM07_CS(D163,84,$G$5,$H$13)/IF([1]!S_SHARE_TOTAL(D163,$G$5)=0,[1]!S_SHARE_TOTAL(D163,[1]!s_ipo_listeddate(D163)),[1]!S_SHARE_TOTAL(D163,$G$5)),[1]!S_STM07_CS(D163,84,$G$5,$H$13)/$E$5))</f>
        <v/>
      </c>
      <c r="Q163" s="198" t="str">
        <f ca="1">IF(C163="","",F163/([1]!S_STM07_IS(D163,61,$G$5,$H$13)/IF([1]!S_SHARE_TOTAL(D163,$G$5)=0,[1]!S_SHARE_TOTAL(D163,[1]!s_ipo_listeddate(D163)),[1]!S_SHARE_TOTAL(D163,$G$5))))</f>
        <v/>
      </c>
      <c r="R163" s="198" t="str">
        <f ca="1">IF(C163="","",F163/([1]!S_STM07_BS(D163,141,$G$5,$H$13)/IF([1]!S_SHARE_TOTAL(D163,$G$5)=0,[1]!S_SHARE_TOTAL(D163,[1]!s_ipo_listeddate(D163)),[1]!S_SHARE_TOTAL(D163,$G$5))))</f>
        <v/>
      </c>
      <c r="S163" s="249" t="str">
        <f ca="1">IF(C163="","",[1]!S_SHARE_TOTAL(D163,TODAY())/$E$5)</f>
        <v/>
      </c>
      <c r="T163" s="249" t="str">
        <f t="shared" ca="1" si="19"/>
        <v/>
      </c>
      <c r="U163" s="172" t="str">
        <f t="shared" ca="1" si="20"/>
        <v/>
      </c>
      <c r="V163" s="343" t="str">
        <f t="shared" ca="1" si="21"/>
        <v/>
      </c>
      <c r="W163" s="139"/>
      <c r="Y163" s="1"/>
    </row>
    <row r="164" spans="3:25" ht="12" customHeight="1">
      <c r="C164" s="342" t="str">
        <f t="shared" ca="1" si="22"/>
        <v/>
      </c>
      <c r="D164" s="153" t="str">
        <f t="shared" ca="1" si="17"/>
        <v/>
      </c>
      <c r="E164" s="153" t="str">
        <f t="shared" ca="1" si="18"/>
        <v/>
      </c>
      <c r="F164" s="170" t="str">
        <f ca="1">IF(C164="","",[1]!S_DQ_CLOSE(D164,TODAY(),1))</f>
        <v/>
      </c>
      <c r="G164" s="171" t="str">
        <f ca="1">IF(C164="","",[1]!s_pq_pctchange(D164,TODAY()-$G$12,TODAY())/100)</f>
        <v/>
      </c>
      <c r="H164" s="247" t="str">
        <f ca="1">IF(C164="","",IF($H$11="收入",[1]!S_STM07_IS(D164,9,$G$5,$H$13)/$E$5,[1]!S_STM07_IS(D164,48,$G$5,$H$13)/$E$5))</f>
        <v/>
      </c>
      <c r="I164" s="247" t="str">
        <f ca="1">IF(C164="","",IF($I$11="毛利率",([1]!S_STM07_IS(D164,9,$G$5,$H$13)-[1]!S_STM07_IS(D164,10,$G$5,$H$13))/[1]!S_STM07_IS(D164,9,$G$5,$H$13),[1]!S_STM07_IS(D164,14,$G$5,$H$13)/$E$5))</f>
        <v/>
      </c>
      <c r="J164" s="247" t="str">
        <f ca="1">IF(C164="","",IF($J$11="营业利润率",[1]!S_STM07_IS(D164,48,$G$5,$H$13)/[1]!S_STM07_IS(D164,9,$G$5,$H$13),([1]!S_STM07_CS(D164,87,$G$5,$H$13)+[1]!S_STM07_CS(D164,88,$G$5,$H$13)+[1]!S_STM07_CS(D164,89,$G$5,$H$13))/$E$5))</f>
        <v/>
      </c>
      <c r="K164" s="247" t="str">
        <f ca="1">IF(C164="","",IF($K$11="净利润率",[1]!S_STM07_IS(D164,61,$G$5,$H$13)/[1]!S_STM07_IS(D164,9,$G$5,$H$13),[1]!S_STM07_IS(D164,55,$G$5,$H$13)/$E$5))</f>
        <v/>
      </c>
      <c r="L164" s="247" t="str">
        <f ca="1">IF(C164="","",IF($L$11="ROA",[1]!S_STM07_IS(D164,61,$G$5,$H$13)/[1]!S_STM07_BS(D164,74,$G$5,$H$13),1-[1]!S_STM07_IS(D164,61,$G$5,$H$13)/[1]!S_STM07_IS(D164,55,$G$5,$H$13)))</f>
        <v/>
      </c>
      <c r="M164" s="247" t="str">
        <f ca="1">IF(C164="","",IF($M$11="ROE",[1]!S_STM07_IS(D164,61,$G$5,$H$13)/[1]!S_STM07_BS(D164,141,$G$5,$H$13),([1]!S_STM07_BS(D164,25,$G$5,$H$13)-[1]!S_STM07_BS(D164,93,$G$5,$H$13))/$E$5))</f>
        <v/>
      </c>
      <c r="N164" s="247" t="str">
        <f ca="1">IF(C164="","",IF($N$11="EPS",[1]!S_STM07_IS(D164,61,$G$5,$H$13)/IF([1]!S_SHARE_TOTAL(D164,$G$5)=0,[1]!S_SHARE_TOTAL(D164,[1]!s_ipo_listeddate(D164)),[1]!S_SHARE_TOTAL(D164,$G$5)),([1]!S_STM07_BS(D164,75,$G$5,$H$13)+[1]!S_STM07_BS(D164,88,$G$5,$H$13)+[1]!S_STM07_BS(D164,94,$G$5,$H$13)+[1]!S_STM07_BS(D164,95,$G$5,$H$13))/$E$5))</f>
        <v/>
      </c>
      <c r="O164" s="247" t="str">
        <f ca="1">IF(C164="","",IF($O$11="BPS",[1]!S_STM07_BS(D164,141,$G$5,$H$13)/IF([1]!S_SHARE_TOTAL(D164,$G$5)=0,[1]!S_SHARE_TOTAL(D164,[1]!s_ipo_listeddate(D164)),[1]!S_SHARE_TOTAL(D164,$G$5)),[1]!S_STM07_CS(D164,49,$G$5,$H$13)/$E$5))</f>
        <v/>
      </c>
      <c r="P164" s="247" t="str">
        <f ca="1">IF(C164="","",IF($P$11="CFPS",[1]!S_STM07_CS(D164,84,$G$5,$H$13)/IF([1]!S_SHARE_TOTAL(D164,$G$5)=0,[1]!S_SHARE_TOTAL(D164,[1]!s_ipo_listeddate(D164)),[1]!S_SHARE_TOTAL(D164,$G$5)),[1]!S_STM07_CS(D164,84,$G$5,$H$13)/$E$5))</f>
        <v/>
      </c>
      <c r="Q164" s="248" t="str">
        <f ca="1">IF(C164="","",F164/([1]!S_STM07_IS(D164,61,$G$5,$H$13)/IF([1]!S_SHARE_TOTAL(D164,$G$5)=0,[1]!S_SHARE_TOTAL(D164,[1]!s_ipo_listeddate(D164)),[1]!S_SHARE_TOTAL(D164,$G$5))))</f>
        <v/>
      </c>
      <c r="R164" s="248" t="str">
        <f ca="1">IF(C164="","",F164/([1]!S_STM07_BS(D164,141,$G$5,$H$13)/IF([1]!S_SHARE_TOTAL(D164,$G$5)=0,[1]!S_SHARE_TOTAL(D164,[1]!s_ipo_listeddate(D164)),[1]!S_SHARE_TOTAL(D164,$G$5))))</f>
        <v/>
      </c>
      <c r="S164" s="247" t="str">
        <f ca="1">IF(C164="","",[1]!S_SHARE_TOTAL(D164,TODAY())/$E$5)</f>
        <v/>
      </c>
      <c r="T164" s="247" t="str">
        <f t="shared" ca="1" si="19"/>
        <v/>
      </c>
      <c r="U164" s="218" t="str">
        <f t="shared" ca="1" si="20"/>
        <v/>
      </c>
      <c r="V164" s="342" t="str">
        <f t="shared" ca="1" si="21"/>
        <v/>
      </c>
      <c r="W164" s="139"/>
      <c r="Y164" s="1"/>
    </row>
    <row r="165" spans="3:25" ht="12" customHeight="1">
      <c r="C165" s="343" t="str">
        <f t="shared" ca="1" si="22"/>
        <v/>
      </c>
      <c r="D165" s="124" t="str">
        <f t="shared" ref="D165:D228" ca="1" si="23">IF(C165="","",VLOOKUP(C165,comppool,2,FALSE))</f>
        <v/>
      </c>
      <c r="E165" s="124" t="str">
        <f t="shared" ref="E165:E228" ca="1" si="24">IF(C165="","",VLOOKUP(C165,comppool,3,FALSE))</f>
        <v/>
      </c>
      <c r="F165" s="172" t="str">
        <f ca="1">IF(C165="","",[1]!S_DQ_CLOSE(D165,TODAY(),1))</f>
        <v/>
      </c>
      <c r="G165" s="173" t="str">
        <f ca="1">IF(C165="","",[1]!s_pq_pctchange(D165,TODAY()-$G$12,TODAY())/100)</f>
        <v/>
      </c>
      <c r="H165" s="249" t="str">
        <f ca="1">IF(C165="","",IF($H$11="收入",[1]!S_STM07_IS(D165,9,$G$5,$H$13)/$E$5,[1]!S_STM07_IS(D165,48,$G$5,$H$13)/$E$5))</f>
        <v/>
      </c>
      <c r="I165" s="249" t="str">
        <f ca="1">IF(C165="","",IF($I$11="毛利率",([1]!S_STM07_IS(D165,9,$G$5,$H$13)-[1]!S_STM07_IS(D165,10,$G$5,$H$13))/[1]!S_STM07_IS(D165,9,$G$5,$H$13),[1]!S_STM07_IS(D165,14,$G$5,$H$13)/$E$5))</f>
        <v/>
      </c>
      <c r="J165" s="249" t="str">
        <f ca="1">IF(C165="","",IF($J$11="营业利润率",[1]!S_STM07_IS(D165,48,$G$5,$H$13)/[1]!S_STM07_IS(D165,9,$G$5,$H$13),([1]!S_STM07_CS(D165,87,$G$5,$H$13)+[1]!S_STM07_CS(D165,88,$G$5,$H$13)+[1]!S_STM07_CS(D165,89,$G$5,$H$13))/$E$5))</f>
        <v/>
      </c>
      <c r="K165" s="249" t="str">
        <f ca="1">IF(C165="","",IF($K$11="净利润率",[1]!S_STM07_IS(D165,61,$G$5,$H$13)/[1]!S_STM07_IS(D165,9,$G$5,$H$13),[1]!S_STM07_IS(D165,55,$G$5,$H$13)/$E$5))</f>
        <v/>
      </c>
      <c r="L165" s="249" t="str">
        <f ca="1">IF(C165="","",IF($L$11="ROA",[1]!S_STM07_IS(D165,61,$G$5,$H$13)/[1]!S_STM07_BS(D165,74,$G$5,$H$13),1-[1]!S_STM07_IS(D165,61,$G$5,$H$13)/[1]!S_STM07_IS(D165,55,$G$5,$H$13)))</f>
        <v/>
      </c>
      <c r="M165" s="249" t="str">
        <f ca="1">IF(C165="","",IF($M$11="ROE",[1]!S_STM07_IS(D165,61,$G$5,$H$13)/[1]!S_STM07_BS(D165,141,$G$5,$H$13),([1]!S_STM07_BS(D165,25,$G$5,$H$13)-[1]!S_STM07_BS(D165,93,$G$5,$H$13))/$E$5))</f>
        <v/>
      </c>
      <c r="N165" s="250" t="str">
        <f ca="1">IF(C165="","",IF($N$11="EPS",[1]!S_STM07_IS(D165,61,$G$5,$H$13)/IF([1]!S_SHARE_TOTAL(D165,$G$5)=0,[1]!S_SHARE_TOTAL(D165,[1]!s_ipo_listeddate(D165)),[1]!S_SHARE_TOTAL(D165,$G$5)),([1]!S_STM07_BS(D165,75,$G$5,$H$13)+[1]!S_STM07_BS(D165,88,$G$5,$H$13)+[1]!S_STM07_BS(D165,94,$G$5,$H$13)+[1]!S_STM07_BS(D165,95,$G$5,$H$13))/$E$5))</f>
        <v/>
      </c>
      <c r="O165" s="250" t="str">
        <f ca="1">IF(C165="","",IF($O$11="BPS",[1]!S_STM07_BS(D165,141,$G$5,$H$13)/IF([1]!S_SHARE_TOTAL(D165,$G$5)=0,[1]!S_SHARE_TOTAL(D165,[1]!s_ipo_listeddate(D165)),[1]!S_SHARE_TOTAL(D165,$G$5)),[1]!S_STM07_CS(D165,49,$G$5,$H$13)/$E$5))</f>
        <v/>
      </c>
      <c r="P165" s="250" t="str">
        <f ca="1">IF(C165="","",IF($P$11="CFPS",[1]!S_STM07_CS(D165,84,$G$5,$H$13)/IF([1]!S_SHARE_TOTAL(D165,$G$5)=0,[1]!S_SHARE_TOTAL(D165,[1]!s_ipo_listeddate(D165)),[1]!S_SHARE_TOTAL(D165,$G$5)),[1]!S_STM07_CS(D165,84,$G$5,$H$13)/$E$5))</f>
        <v/>
      </c>
      <c r="Q165" s="198" t="str">
        <f ca="1">IF(C165="","",F165/([1]!S_STM07_IS(D165,61,$G$5,$H$13)/IF([1]!S_SHARE_TOTAL(D165,$G$5)=0,[1]!S_SHARE_TOTAL(D165,[1]!s_ipo_listeddate(D165)),[1]!S_SHARE_TOTAL(D165,$G$5))))</f>
        <v/>
      </c>
      <c r="R165" s="198" t="str">
        <f ca="1">IF(C165="","",F165/([1]!S_STM07_BS(D165,141,$G$5,$H$13)/IF([1]!S_SHARE_TOTAL(D165,$G$5)=0,[1]!S_SHARE_TOTAL(D165,[1]!s_ipo_listeddate(D165)),[1]!S_SHARE_TOTAL(D165,$G$5))))</f>
        <v/>
      </c>
      <c r="S165" s="249" t="str">
        <f ca="1">IF(C165="","",[1]!S_SHARE_TOTAL(D165,TODAY())/$E$5)</f>
        <v/>
      </c>
      <c r="T165" s="249" t="str">
        <f t="shared" ref="T165:T228" ca="1" si="25">IF(C165="","",F165*S165)</f>
        <v/>
      </c>
      <c r="U165" s="172" t="str">
        <f t="shared" ref="U165:U228" ca="1" si="26">IF(C165="","",HLOOKUP($V$12,$G$11:$T$20003,ROW()-ROW($G$11)+1,FALSE))</f>
        <v/>
      </c>
      <c r="V165" s="343" t="str">
        <f t="shared" ref="V165:V228" ca="1" si="27">IF(C165="","",RANK(U165,U:U,0))</f>
        <v/>
      </c>
      <c r="W165" s="139"/>
      <c r="Y165" s="1"/>
    </row>
    <row r="166" spans="3:25" ht="12" customHeight="1">
      <c r="C166" s="342" t="str">
        <f t="shared" ca="1" si="22"/>
        <v/>
      </c>
      <c r="D166" s="153" t="str">
        <f t="shared" ca="1" si="23"/>
        <v/>
      </c>
      <c r="E166" s="153" t="str">
        <f t="shared" ca="1" si="24"/>
        <v/>
      </c>
      <c r="F166" s="170" t="str">
        <f ca="1">IF(C166="","",[1]!S_DQ_CLOSE(D166,TODAY(),1))</f>
        <v/>
      </c>
      <c r="G166" s="171" t="str">
        <f ca="1">IF(C166="","",[1]!s_pq_pctchange(D166,TODAY()-$G$12,TODAY())/100)</f>
        <v/>
      </c>
      <c r="H166" s="247" t="str">
        <f ca="1">IF(C166="","",IF($H$11="收入",[1]!S_STM07_IS(D166,9,$G$5,$H$13)/$E$5,[1]!S_STM07_IS(D166,48,$G$5,$H$13)/$E$5))</f>
        <v/>
      </c>
      <c r="I166" s="247" t="str">
        <f ca="1">IF(C166="","",IF($I$11="毛利率",([1]!S_STM07_IS(D166,9,$G$5,$H$13)-[1]!S_STM07_IS(D166,10,$G$5,$H$13))/[1]!S_STM07_IS(D166,9,$G$5,$H$13),[1]!S_STM07_IS(D166,14,$G$5,$H$13)/$E$5))</f>
        <v/>
      </c>
      <c r="J166" s="247" t="str">
        <f ca="1">IF(C166="","",IF($J$11="营业利润率",[1]!S_STM07_IS(D166,48,$G$5,$H$13)/[1]!S_STM07_IS(D166,9,$G$5,$H$13),([1]!S_STM07_CS(D166,87,$G$5,$H$13)+[1]!S_STM07_CS(D166,88,$G$5,$H$13)+[1]!S_STM07_CS(D166,89,$G$5,$H$13))/$E$5))</f>
        <v/>
      </c>
      <c r="K166" s="247" t="str">
        <f ca="1">IF(C166="","",IF($K$11="净利润率",[1]!S_STM07_IS(D166,61,$G$5,$H$13)/[1]!S_STM07_IS(D166,9,$G$5,$H$13),[1]!S_STM07_IS(D166,55,$G$5,$H$13)/$E$5))</f>
        <v/>
      </c>
      <c r="L166" s="247" t="str">
        <f ca="1">IF(C166="","",IF($L$11="ROA",[1]!S_STM07_IS(D166,61,$G$5,$H$13)/[1]!S_STM07_BS(D166,74,$G$5,$H$13),1-[1]!S_STM07_IS(D166,61,$G$5,$H$13)/[1]!S_STM07_IS(D166,55,$G$5,$H$13)))</f>
        <v/>
      </c>
      <c r="M166" s="247" t="str">
        <f ca="1">IF(C166="","",IF($M$11="ROE",[1]!S_STM07_IS(D166,61,$G$5,$H$13)/[1]!S_STM07_BS(D166,141,$G$5,$H$13),([1]!S_STM07_BS(D166,25,$G$5,$H$13)-[1]!S_STM07_BS(D166,93,$G$5,$H$13))/$E$5))</f>
        <v/>
      </c>
      <c r="N166" s="247" t="str">
        <f ca="1">IF(C166="","",IF($N$11="EPS",[1]!S_STM07_IS(D166,61,$G$5,$H$13)/IF([1]!S_SHARE_TOTAL(D166,$G$5)=0,[1]!S_SHARE_TOTAL(D166,[1]!s_ipo_listeddate(D166)),[1]!S_SHARE_TOTAL(D166,$G$5)),([1]!S_STM07_BS(D166,75,$G$5,$H$13)+[1]!S_STM07_BS(D166,88,$G$5,$H$13)+[1]!S_STM07_BS(D166,94,$G$5,$H$13)+[1]!S_STM07_BS(D166,95,$G$5,$H$13))/$E$5))</f>
        <v/>
      </c>
      <c r="O166" s="247" t="str">
        <f ca="1">IF(C166="","",IF($O$11="BPS",[1]!S_STM07_BS(D166,141,$G$5,$H$13)/IF([1]!S_SHARE_TOTAL(D166,$G$5)=0,[1]!S_SHARE_TOTAL(D166,[1]!s_ipo_listeddate(D166)),[1]!S_SHARE_TOTAL(D166,$G$5)),[1]!S_STM07_CS(D166,49,$G$5,$H$13)/$E$5))</f>
        <v/>
      </c>
      <c r="P166" s="247" t="str">
        <f ca="1">IF(C166="","",IF($P$11="CFPS",[1]!S_STM07_CS(D166,84,$G$5,$H$13)/IF([1]!S_SHARE_TOTAL(D166,$G$5)=0,[1]!S_SHARE_TOTAL(D166,[1]!s_ipo_listeddate(D166)),[1]!S_SHARE_TOTAL(D166,$G$5)),[1]!S_STM07_CS(D166,84,$G$5,$H$13)/$E$5))</f>
        <v/>
      </c>
      <c r="Q166" s="248" t="str">
        <f ca="1">IF(C166="","",F166/([1]!S_STM07_IS(D166,61,$G$5,$H$13)/IF([1]!S_SHARE_TOTAL(D166,$G$5)=0,[1]!S_SHARE_TOTAL(D166,[1]!s_ipo_listeddate(D166)),[1]!S_SHARE_TOTAL(D166,$G$5))))</f>
        <v/>
      </c>
      <c r="R166" s="248" t="str">
        <f ca="1">IF(C166="","",F166/([1]!S_STM07_BS(D166,141,$G$5,$H$13)/IF([1]!S_SHARE_TOTAL(D166,$G$5)=0,[1]!S_SHARE_TOTAL(D166,[1]!s_ipo_listeddate(D166)),[1]!S_SHARE_TOTAL(D166,$G$5))))</f>
        <v/>
      </c>
      <c r="S166" s="247" t="str">
        <f ca="1">IF(C166="","",[1]!S_SHARE_TOTAL(D166,TODAY())/$E$5)</f>
        <v/>
      </c>
      <c r="T166" s="247" t="str">
        <f t="shared" ca="1" si="25"/>
        <v/>
      </c>
      <c r="U166" s="218" t="str">
        <f t="shared" ca="1" si="26"/>
        <v/>
      </c>
      <c r="V166" s="342" t="str">
        <f t="shared" ca="1" si="27"/>
        <v/>
      </c>
      <c r="W166" s="139"/>
      <c r="Y166" s="1"/>
    </row>
    <row r="167" spans="3:25" ht="12" customHeight="1">
      <c r="C167" s="343" t="str">
        <f t="shared" ca="1" si="22"/>
        <v/>
      </c>
      <c r="D167" s="124" t="str">
        <f t="shared" ca="1" si="23"/>
        <v/>
      </c>
      <c r="E167" s="124" t="str">
        <f t="shared" ca="1" si="24"/>
        <v/>
      </c>
      <c r="F167" s="172" t="str">
        <f ca="1">IF(C167="","",[1]!S_DQ_CLOSE(D167,TODAY(),1))</f>
        <v/>
      </c>
      <c r="G167" s="173" t="str">
        <f ca="1">IF(C167="","",[1]!s_pq_pctchange(D167,TODAY()-$G$12,TODAY())/100)</f>
        <v/>
      </c>
      <c r="H167" s="249" t="str">
        <f ca="1">IF(C167="","",IF($H$11="收入",[1]!S_STM07_IS(D167,9,$G$5,$H$13)/$E$5,[1]!S_STM07_IS(D167,48,$G$5,$H$13)/$E$5))</f>
        <v/>
      </c>
      <c r="I167" s="249" t="str">
        <f ca="1">IF(C167="","",IF($I$11="毛利率",([1]!S_STM07_IS(D167,9,$G$5,$H$13)-[1]!S_STM07_IS(D167,10,$G$5,$H$13))/[1]!S_STM07_IS(D167,9,$G$5,$H$13),[1]!S_STM07_IS(D167,14,$G$5,$H$13)/$E$5))</f>
        <v/>
      </c>
      <c r="J167" s="249" t="str">
        <f ca="1">IF(C167="","",IF($J$11="营业利润率",[1]!S_STM07_IS(D167,48,$G$5,$H$13)/[1]!S_STM07_IS(D167,9,$G$5,$H$13),([1]!S_STM07_CS(D167,87,$G$5,$H$13)+[1]!S_STM07_CS(D167,88,$G$5,$H$13)+[1]!S_STM07_CS(D167,89,$G$5,$H$13))/$E$5))</f>
        <v/>
      </c>
      <c r="K167" s="249" t="str">
        <f ca="1">IF(C167="","",IF($K$11="净利润率",[1]!S_STM07_IS(D167,61,$G$5,$H$13)/[1]!S_STM07_IS(D167,9,$G$5,$H$13),[1]!S_STM07_IS(D167,55,$G$5,$H$13)/$E$5))</f>
        <v/>
      </c>
      <c r="L167" s="249" t="str">
        <f ca="1">IF(C167="","",IF($L$11="ROA",[1]!S_STM07_IS(D167,61,$G$5,$H$13)/[1]!S_STM07_BS(D167,74,$G$5,$H$13),1-[1]!S_STM07_IS(D167,61,$G$5,$H$13)/[1]!S_STM07_IS(D167,55,$G$5,$H$13)))</f>
        <v/>
      </c>
      <c r="M167" s="249" t="str">
        <f ca="1">IF(C167="","",IF($M$11="ROE",[1]!S_STM07_IS(D167,61,$G$5,$H$13)/[1]!S_STM07_BS(D167,141,$G$5,$H$13),([1]!S_STM07_BS(D167,25,$G$5,$H$13)-[1]!S_STM07_BS(D167,93,$G$5,$H$13))/$E$5))</f>
        <v/>
      </c>
      <c r="N167" s="250" t="str">
        <f ca="1">IF(C167="","",IF($N$11="EPS",[1]!S_STM07_IS(D167,61,$G$5,$H$13)/IF([1]!S_SHARE_TOTAL(D167,$G$5)=0,[1]!S_SHARE_TOTAL(D167,[1]!s_ipo_listeddate(D167)),[1]!S_SHARE_TOTAL(D167,$G$5)),([1]!S_STM07_BS(D167,75,$G$5,$H$13)+[1]!S_STM07_BS(D167,88,$G$5,$H$13)+[1]!S_STM07_BS(D167,94,$G$5,$H$13)+[1]!S_STM07_BS(D167,95,$G$5,$H$13))/$E$5))</f>
        <v/>
      </c>
      <c r="O167" s="250" t="str">
        <f ca="1">IF(C167="","",IF($O$11="BPS",[1]!S_STM07_BS(D167,141,$G$5,$H$13)/IF([1]!S_SHARE_TOTAL(D167,$G$5)=0,[1]!S_SHARE_TOTAL(D167,[1]!s_ipo_listeddate(D167)),[1]!S_SHARE_TOTAL(D167,$G$5)),[1]!S_STM07_CS(D167,49,$G$5,$H$13)/$E$5))</f>
        <v/>
      </c>
      <c r="P167" s="250" t="str">
        <f ca="1">IF(C167="","",IF($P$11="CFPS",[1]!S_STM07_CS(D167,84,$G$5,$H$13)/IF([1]!S_SHARE_TOTAL(D167,$G$5)=0,[1]!S_SHARE_TOTAL(D167,[1]!s_ipo_listeddate(D167)),[1]!S_SHARE_TOTAL(D167,$G$5)),[1]!S_STM07_CS(D167,84,$G$5,$H$13)/$E$5))</f>
        <v/>
      </c>
      <c r="Q167" s="198" t="str">
        <f ca="1">IF(C167="","",F167/([1]!S_STM07_IS(D167,61,$G$5,$H$13)/IF([1]!S_SHARE_TOTAL(D167,$G$5)=0,[1]!S_SHARE_TOTAL(D167,[1]!s_ipo_listeddate(D167)),[1]!S_SHARE_TOTAL(D167,$G$5))))</f>
        <v/>
      </c>
      <c r="R167" s="198" t="str">
        <f ca="1">IF(C167="","",F167/([1]!S_STM07_BS(D167,141,$G$5,$H$13)/IF([1]!S_SHARE_TOTAL(D167,$G$5)=0,[1]!S_SHARE_TOTAL(D167,[1]!s_ipo_listeddate(D167)),[1]!S_SHARE_TOTAL(D167,$G$5))))</f>
        <v/>
      </c>
      <c r="S167" s="249" t="str">
        <f ca="1">IF(C167="","",[1]!S_SHARE_TOTAL(D167,TODAY())/$E$5)</f>
        <v/>
      </c>
      <c r="T167" s="249" t="str">
        <f t="shared" ca="1" si="25"/>
        <v/>
      </c>
      <c r="U167" s="172" t="str">
        <f t="shared" ca="1" si="26"/>
        <v/>
      </c>
      <c r="V167" s="343" t="str">
        <f t="shared" ca="1" si="27"/>
        <v/>
      </c>
      <c r="W167" s="139"/>
      <c r="Y167" s="1"/>
    </row>
    <row r="168" spans="3:25" ht="12" customHeight="1">
      <c r="C168" s="342" t="str">
        <f t="shared" ca="1" si="22"/>
        <v/>
      </c>
      <c r="D168" s="153" t="str">
        <f t="shared" ca="1" si="23"/>
        <v/>
      </c>
      <c r="E168" s="153" t="str">
        <f t="shared" ca="1" si="24"/>
        <v/>
      </c>
      <c r="F168" s="170" t="str">
        <f ca="1">IF(C168="","",[1]!S_DQ_CLOSE(D168,TODAY(),1))</f>
        <v/>
      </c>
      <c r="G168" s="171" t="str">
        <f ca="1">IF(C168="","",[1]!s_pq_pctchange(D168,TODAY()-$G$12,TODAY())/100)</f>
        <v/>
      </c>
      <c r="H168" s="247" t="str">
        <f ca="1">IF(C168="","",IF($H$11="收入",[1]!S_STM07_IS(D168,9,$G$5,$H$13)/$E$5,[1]!S_STM07_IS(D168,48,$G$5,$H$13)/$E$5))</f>
        <v/>
      </c>
      <c r="I168" s="247" t="str">
        <f ca="1">IF(C168="","",IF($I$11="毛利率",([1]!S_STM07_IS(D168,9,$G$5,$H$13)-[1]!S_STM07_IS(D168,10,$G$5,$H$13))/[1]!S_STM07_IS(D168,9,$G$5,$H$13),[1]!S_STM07_IS(D168,14,$G$5,$H$13)/$E$5))</f>
        <v/>
      </c>
      <c r="J168" s="247" t="str">
        <f ca="1">IF(C168="","",IF($J$11="营业利润率",[1]!S_STM07_IS(D168,48,$G$5,$H$13)/[1]!S_STM07_IS(D168,9,$G$5,$H$13),([1]!S_STM07_CS(D168,87,$G$5,$H$13)+[1]!S_STM07_CS(D168,88,$G$5,$H$13)+[1]!S_STM07_CS(D168,89,$G$5,$H$13))/$E$5))</f>
        <v/>
      </c>
      <c r="K168" s="247" t="str">
        <f ca="1">IF(C168="","",IF($K$11="净利润率",[1]!S_STM07_IS(D168,61,$G$5,$H$13)/[1]!S_STM07_IS(D168,9,$G$5,$H$13),[1]!S_STM07_IS(D168,55,$G$5,$H$13)/$E$5))</f>
        <v/>
      </c>
      <c r="L168" s="247" t="str">
        <f ca="1">IF(C168="","",IF($L$11="ROA",[1]!S_STM07_IS(D168,61,$G$5,$H$13)/[1]!S_STM07_BS(D168,74,$G$5,$H$13),1-[1]!S_STM07_IS(D168,61,$G$5,$H$13)/[1]!S_STM07_IS(D168,55,$G$5,$H$13)))</f>
        <v/>
      </c>
      <c r="M168" s="247" t="str">
        <f ca="1">IF(C168="","",IF($M$11="ROE",[1]!S_STM07_IS(D168,61,$G$5,$H$13)/[1]!S_STM07_BS(D168,141,$G$5,$H$13),([1]!S_STM07_BS(D168,25,$G$5,$H$13)-[1]!S_STM07_BS(D168,93,$G$5,$H$13))/$E$5))</f>
        <v/>
      </c>
      <c r="N168" s="247" t="str">
        <f ca="1">IF(C168="","",IF($N$11="EPS",[1]!S_STM07_IS(D168,61,$G$5,$H$13)/IF([1]!S_SHARE_TOTAL(D168,$G$5)=0,[1]!S_SHARE_TOTAL(D168,[1]!s_ipo_listeddate(D168)),[1]!S_SHARE_TOTAL(D168,$G$5)),([1]!S_STM07_BS(D168,75,$G$5,$H$13)+[1]!S_STM07_BS(D168,88,$G$5,$H$13)+[1]!S_STM07_BS(D168,94,$G$5,$H$13)+[1]!S_STM07_BS(D168,95,$G$5,$H$13))/$E$5))</f>
        <v/>
      </c>
      <c r="O168" s="247" t="str">
        <f ca="1">IF(C168="","",IF($O$11="BPS",[1]!S_STM07_BS(D168,141,$G$5,$H$13)/IF([1]!S_SHARE_TOTAL(D168,$G$5)=0,[1]!S_SHARE_TOTAL(D168,[1]!s_ipo_listeddate(D168)),[1]!S_SHARE_TOTAL(D168,$G$5)),[1]!S_STM07_CS(D168,49,$G$5,$H$13)/$E$5))</f>
        <v/>
      </c>
      <c r="P168" s="247" t="str">
        <f ca="1">IF(C168="","",IF($P$11="CFPS",[1]!S_STM07_CS(D168,84,$G$5,$H$13)/IF([1]!S_SHARE_TOTAL(D168,$G$5)=0,[1]!S_SHARE_TOTAL(D168,[1]!s_ipo_listeddate(D168)),[1]!S_SHARE_TOTAL(D168,$G$5)),[1]!S_STM07_CS(D168,84,$G$5,$H$13)/$E$5))</f>
        <v/>
      </c>
      <c r="Q168" s="248" t="str">
        <f ca="1">IF(C168="","",F168/([1]!S_STM07_IS(D168,61,$G$5,$H$13)/IF([1]!S_SHARE_TOTAL(D168,$G$5)=0,[1]!S_SHARE_TOTAL(D168,[1]!s_ipo_listeddate(D168)),[1]!S_SHARE_TOTAL(D168,$G$5))))</f>
        <v/>
      </c>
      <c r="R168" s="248" t="str">
        <f ca="1">IF(C168="","",F168/([1]!S_STM07_BS(D168,141,$G$5,$H$13)/IF([1]!S_SHARE_TOTAL(D168,$G$5)=0,[1]!S_SHARE_TOTAL(D168,[1]!s_ipo_listeddate(D168)),[1]!S_SHARE_TOTAL(D168,$G$5))))</f>
        <v/>
      </c>
      <c r="S168" s="247" t="str">
        <f ca="1">IF(C168="","",[1]!S_SHARE_TOTAL(D168,TODAY())/$E$5)</f>
        <v/>
      </c>
      <c r="T168" s="247" t="str">
        <f t="shared" ca="1" si="25"/>
        <v/>
      </c>
      <c r="U168" s="218" t="str">
        <f t="shared" ca="1" si="26"/>
        <v/>
      </c>
      <c r="V168" s="342" t="str">
        <f t="shared" ca="1" si="27"/>
        <v/>
      </c>
      <c r="W168" s="139"/>
      <c r="Y168" s="1"/>
    </row>
    <row r="169" spans="3:25" ht="12" customHeight="1">
      <c r="C169" s="343" t="str">
        <f t="shared" ca="1" si="22"/>
        <v/>
      </c>
      <c r="D169" s="124" t="str">
        <f t="shared" ca="1" si="23"/>
        <v/>
      </c>
      <c r="E169" s="124" t="str">
        <f t="shared" ca="1" si="24"/>
        <v/>
      </c>
      <c r="F169" s="172" t="str">
        <f ca="1">IF(C169="","",[1]!S_DQ_CLOSE(D169,TODAY(),1))</f>
        <v/>
      </c>
      <c r="G169" s="173" t="str">
        <f ca="1">IF(C169="","",[1]!s_pq_pctchange(D169,TODAY()-$G$12,TODAY())/100)</f>
        <v/>
      </c>
      <c r="H169" s="249" t="str">
        <f ca="1">IF(C169="","",IF($H$11="收入",[1]!S_STM07_IS(D169,9,$G$5,$H$13)/$E$5,[1]!S_STM07_IS(D169,48,$G$5,$H$13)/$E$5))</f>
        <v/>
      </c>
      <c r="I169" s="249" t="str">
        <f ca="1">IF(C169="","",IF($I$11="毛利率",([1]!S_STM07_IS(D169,9,$G$5,$H$13)-[1]!S_STM07_IS(D169,10,$G$5,$H$13))/[1]!S_STM07_IS(D169,9,$G$5,$H$13),[1]!S_STM07_IS(D169,14,$G$5,$H$13)/$E$5))</f>
        <v/>
      </c>
      <c r="J169" s="249" t="str">
        <f ca="1">IF(C169="","",IF($J$11="营业利润率",[1]!S_STM07_IS(D169,48,$G$5,$H$13)/[1]!S_STM07_IS(D169,9,$G$5,$H$13),([1]!S_STM07_CS(D169,87,$G$5,$H$13)+[1]!S_STM07_CS(D169,88,$G$5,$H$13)+[1]!S_STM07_CS(D169,89,$G$5,$H$13))/$E$5))</f>
        <v/>
      </c>
      <c r="K169" s="249" t="str">
        <f ca="1">IF(C169="","",IF($K$11="净利润率",[1]!S_STM07_IS(D169,61,$G$5,$H$13)/[1]!S_STM07_IS(D169,9,$G$5,$H$13),[1]!S_STM07_IS(D169,55,$G$5,$H$13)/$E$5))</f>
        <v/>
      </c>
      <c r="L169" s="249" t="str">
        <f ca="1">IF(C169="","",IF($L$11="ROA",[1]!S_STM07_IS(D169,61,$G$5,$H$13)/[1]!S_STM07_BS(D169,74,$G$5,$H$13),1-[1]!S_STM07_IS(D169,61,$G$5,$H$13)/[1]!S_STM07_IS(D169,55,$G$5,$H$13)))</f>
        <v/>
      </c>
      <c r="M169" s="249" t="str">
        <f ca="1">IF(C169="","",IF($M$11="ROE",[1]!S_STM07_IS(D169,61,$G$5,$H$13)/[1]!S_STM07_BS(D169,141,$G$5,$H$13),([1]!S_STM07_BS(D169,25,$G$5,$H$13)-[1]!S_STM07_BS(D169,93,$G$5,$H$13))/$E$5))</f>
        <v/>
      </c>
      <c r="N169" s="250" t="str">
        <f ca="1">IF(C169="","",IF($N$11="EPS",[1]!S_STM07_IS(D169,61,$G$5,$H$13)/IF([1]!S_SHARE_TOTAL(D169,$G$5)=0,[1]!S_SHARE_TOTAL(D169,[1]!s_ipo_listeddate(D169)),[1]!S_SHARE_TOTAL(D169,$G$5)),([1]!S_STM07_BS(D169,75,$G$5,$H$13)+[1]!S_STM07_BS(D169,88,$G$5,$H$13)+[1]!S_STM07_BS(D169,94,$G$5,$H$13)+[1]!S_STM07_BS(D169,95,$G$5,$H$13))/$E$5))</f>
        <v/>
      </c>
      <c r="O169" s="250" t="str">
        <f ca="1">IF(C169="","",IF($O$11="BPS",[1]!S_STM07_BS(D169,141,$G$5,$H$13)/IF([1]!S_SHARE_TOTAL(D169,$G$5)=0,[1]!S_SHARE_TOTAL(D169,[1]!s_ipo_listeddate(D169)),[1]!S_SHARE_TOTAL(D169,$G$5)),[1]!S_STM07_CS(D169,49,$G$5,$H$13)/$E$5))</f>
        <v/>
      </c>
      <c r="P169" s="250" t="str">
        <f ca="1">IF(C169="","",IF($P$11="CFPS",[1]!S_STM07_CS(D169,84,$G$5,$H$13)/IF([1]!S_SHARE_TOTAL(D169,$G$5)=0,[1]!S_SHARE_TOTAL(D169,[1]!s_ipo_listeddate(D169)),[1]!S_SHARE_TOTAL(D169,$G$5)),[1]!S_STM07_CS(D169,84,$G$5,$H$13)/$E$5))</f>
        <v/>
      </c>
      <c r="Q169" s="198" t="str">
        <f ca="1">IF(C169="","",F169/([1]!S_STM07_IS(D169,61,$G$5,$H$13)/IF([1]!S_SHARE_TOTAL(D169,$G$5)=0,[1]!S_SHARE_TOTAL(D169,[1]!s_ipo_listeddate(D169)),[1]!S_SHARE_TOTAL(D169,$G$5))))</f>
        <v/>
      </c>
      <c r="R169" s="198" t="str">
        <f ca="1">IF(C169="","",F169/([1]!S_STM07_BS(D169,141,$G$5,$H$13)/IF([1]!S_SHARE_TOTAL(D169,$G$5)=0,[1]!S_SHARE_TOTAL(D169,[1]!s_ipo_listeddate(D169)),[1]!S_SHARE_TOTAL(D169,$G$5))))</f>
        <v/>
      </c>
      <c r="S169" s="249" t="str">
        <f ca="1">IF(C169="","",[1]!S_SHARE_TOTAL(D169,TODAY())/$E$5)</f>
        <v/>
      </c>
      <c r="T169" s="249" t="str">
        <f t="shared" ca="1" si="25"/>
        <v/>
      </c>
      <c r="U169" s="172" t="str">
        <f t="shared" ca="1" si="26"/>
        <v/>
      </c>
      <c r="V169" s="343" t="str">
        <f t="shared" ca="1" si="27"/>
        <v/>
      </c>
      <c r="W169" s="139"/>
      <c r="Y169" s="1"/>
    </row>
    <row r="170" spans="3:25" ht="12" customHeight="1">
      <c r="C170" s="342" t="str">
        <f t="shared" ca="1" si="22"/>
        <v/>
      </c>
      <c r="D170" s="153" t="str">
        <f t="shared" ca="1" si="23"/>
        <v/>
      </c>
      <c r="E170" s="153" t="str">
        <f t="shared" ca="1" si="24"/>
        <v/>
      </c>
      <c r="F170" s="170" t="str">
        <f ca="1">IF(C170="","",[1]!S_DQ_CLOSE(D170,TODAY(),1))</f>
        <v/>
      </c>
      <c r="G170" s="171" t="str">
        <f ca="1">IF(C170="","",[1]!s_pq_pctchange(D170,TODAY()-$G$12,TODAY())/100)</f>
        <v/>
      </c>
      <c r="H170" s="247" t="str">
        <f ca="1">IF(C170="","",IF($H$11="收入",[1]!S_STM07_IS(D170,9,$G$5,$H$13)/$E$5,[1]!S_STM07_IS(D170,48,$G$5,$H$13)/$E$5))</f>
        <v/>
      </c>
      <c r="I170" s="247" t="str">
        <f ca="1">IF(C170="","",IF($I$11="毛利率",([1]!S_STM07_IS(D170,9,$G$5,$H$13)-[1]!S_STM07_IS(D170,10,$G$5,$H$13))/[1]!S_STM07_IS(D170,9,$G$5,$H$13),[1]!S_STM07_IS(D170,14,$G$5,$H$13)/$E$5))</f>
        <v/>
      </c>
      <c r="J170" s="247" t="str">
        <f ca="1">IF(C170="","",IF($J$11="营业利润率",[1]!S_STM07_IS(D170,48,$G$5,$H$13)/[1]!S_STM07_IS(D170,9,$G$5,$H$13),([1]!S_STM07_CS(D170,87,$G$5,$H$13)+[1]!S_STM07_CS(D170,88,$G$5,$H$13)+[1]!S_STM07_CS(D170,89,$G$5,$H$13))/$E$5))</f>
        <v/>
      </c>
      <c r="K170" s="247" t="str">
        <f ca="1">IF(C170="","",IF($K$11="净利润率",[1]!S_STM07_IS(D170,61,$G$5,$H$13)/[1]!S_STM07_IS(D170,9,$G$5,$H$13),[1]!S_STM07_IS(D170,55,$G$5,$H$13)/$E$5))</f>
        <v/>
      </c>
      <c r="L170" s="247" t="str">
        <f ca="1">IF(C170="","",IF($L$11="ROA",[1]!S_STM07_IS(D170,61,$G$5,$H$13)/[1]!S_STM07_BS(D170,74,$G$5,$H$13),1-[1]!S_STM07_IS(D170,61,$G$5,$H$13)/[1]!S_STM07_IS(D170,55,$G$5,$H$13)))</f>
        <v/>
      </c>
      <c r="M170" s="247" t="str">
        <f ca="1">IF(C170="","",IF($M$11="ROE",[1]!S_STM07_IS(D170,61,$G$5,$H$13)/[1]!S_STM07_BS(D170,141,$G$5,$H$13),([1]!S_STM07_BS(D170,25,$G$5,$H$13)-[1]!S_STM07_BS(D170,93,$G$5,$H$13))/$E$5))</f>
        <v/>
      </c>
      <c r="N170" s="247" t="str">
        <f ca="1">IF(C170="","",IF($N$11="EPS",[1]!S_STM07_IS(D170,61,$G$5,$H$13)/IF([1]!S_SHARE_TOTAL(D170,$G$5)=0,[1]!S_SHARE_TOTAL(D170,[1]!s_ipo_listeddate(D170)),[1]!S_SHARE_TOTAL(D170,$G$5)),([1]!S_STM07_BS(D170,75,$G$5,$H$13)+[1]!S_STM07_BS(D170,88,$G$5,$H$13)+[1]!S_STM07_BS(D170,94,$G$5,$H$13)+[1]!S_STM07_BS(D170,95,$G$5,$H$13))/$E$5))</f>
        <v/>
      </c>
      <c r="O170" s="247" t="str">
        <f ca="1">IF(C170="","",IF($O$11="BPS",[1]!S_STM07_BS(D170,141,$G$5,$H$13)/IF([1]!S_SHARE_TOTAL(D170,$G$5)=0,[1]!S_SHARE_TOTAL(D170,[1]!s_ipo_listeddate(D170)),[1]!S_SHARE_TOTAL(D170,$G$5)),[1]!S_STM07_CS(D170,49,$G$5,$H$13)/$E$5))</f>
        <v/>
      </c>
      <c r="P170" s="247" t="str">
        <f ca="1">IF(C170="","",IF($P$11="CFPS",[1]!S_STM07_CS(D170,84,$G$5,$H$13)/IF([1]!S_SHARE_TOTAL(D170,$G$5)=0,[1]!S_SHARE_TOTAL(D170,[1]!s_ipo_listeddate(D170)),[1]!S_SHARE_TOTAL(D170,$G$5)),[1]!S_STM07_CS(D170,84,$G$5,$H$13)/$E$5))</f>
        <v/>
      </c>
      <c r="Q170" s="248" t="str">
        <f ca="1">IF(C170="","",F170/([1]!S_STM07_IS(D170,61,$G$5,$H$13)/IF([1]!S_SHARE_TOTAL(D170,$G$5)=0,[1]!S_SHARE_TOTAL(D170,[1]!s_ipo_listeddate(D170)),[1]!S_SHARE_TOTAL(D170,$G$5))))</f>
        <v/>
      </c>
      <c r="R170" s="248" t="str">
        <f ca="1">IF(C170="","",F170/([1]!S_STM07_BS(D170,141,$G$5,$H$13)/IF([1]!S_SHARE_TOTAL(D170,$G$5)=0,[1]!S_SHARE_TOTAL(D170,[1]!s_ipo_listeddate(D170)),[1]!S_SHARE_TOTAL(D170,$G$5))))</f>
        <v/>
      </c>
      <c r="S170" s="247" t="str">
        <f ca="1">IF(C170="","",[1]!S_SHARE_TOTAL(D170,TODAY())/$E$5)</f>
        <v/>
      </c>
      <c r="T170" s="247" t="str">
        <f t="shared" ca="1" si="25"/>
        <v/>
      </c>
      <c r="U170" s="218" t="str">
        <f t="shared" ca="1" si="26"/>
        <v/>
      </c>
      <c r="V170" s="342" t="str">
        <f t="shared" ca="1" si="27"/>
        <v/>
      </c>
      <c r="W170" s="139"/>
      <c r="Y170" s="1"/>
    </row>
    <row r="171" spans="3:25" ht="12" customHeight="1">
      <c r="C171" s="343" t="str">
        <f t="shared" ca="1" si="22"/>
        <v/>
      </c>
      <c r="D171" s="124" t="str">
        <f t="shared" ca="1" si="23"/>
        <v/>
      </c>
      <c r="E171" s="124" t="str">
        <f t="shared" ca="1" si="24"/>
        <v/>
      </c>
      <c r="F171" s="172" t="str">
        <f ca="1">IF(C171="","",[1]!S_DQ_CLOSE(D171,TODAY(),1))</f>
        <v/>
      </c>
      <c r="G171" s="173" t="str">
        <f ca="1">IF(C171="","",[1]!s_pq_pctchange(D171,TODAY()-$G$12,TODAY())/100)</f>
        <v/>
      </c>
      <c r="H171" s="249" t="str">
        <f ca="1">IF(C171="","",IF($H$11="收入",[1]!S_STM07_IS(D171,9,$G$5,$H$13)/$E$5,[1]!S_STM07_IS(D171,48,$G$5,$H$13)/$E$5))</f>
        <v/>
      </c>
      <c r="I171" s="249" t="str">
        <f ca="1">IF(C171="","",IF($I$11="毛利率",([1]!S_STM07_IS(D171,9,$G$5,$H$13)-[1]!S_STM07_IS(D171,10,$G$5,$H$13))/[1]!S_STM07_IS(D171,9,$G$5,$H$13),[1]!S_STM07_IS(D171,14,$G$5,$H$13)/$E$5))</f>
        <v/>
      </c>
      <c r="J171" s="249" t="str">
        <f ca="1">IF(C171="","",IF($J$11="营业利润率",[1]!S_STM07_IS(D171,48,$G$5,$H$13)/[1]!S_STM07_IS(D171,9,$G$5,$H$13),([1]!S_STM07_CS(D171,87,$G$5,$H$13)+[1]!S_STM07_CS(D171,88,$G$5,$H$13)+[1]!S_STM07_CS(D171,89,$G$5,$H$13))/$E$5))</f>
        <v/>
      </c>
      <c r="K171" s="249" t="str">
        <f ca="1">IF(C171="","",IF($K$11="净利润率",[1]!S_STM07_IS(D171,61,$G$5,$H$13)/[1]!S_STM07_IS(D171,9,$G$5,$H$13),[1]!S_STM07_IS(D171,55,$G$5,$H$13)/$E$5))</f>
        <v/>
      </c>
      <c r="L171" s="249" t="str">
        <f ca="1">IF(C171="","",IF($L$11="ROA",[1]!S_STM07_IS(D171,61,$G$5,$H$13)/[1]!S_STM07_BS(D171,74,$G$5,$H$13),1-[1]!S_STM07_IS(D171,61,$G$5,$H$13)/[1]!S_STM07_IS(D171,55,$G$5,$H$13)))</f>
        <v/>
      </c>
      <c r="M171" s="249" t="str">
        <f ca="1">IF(C171="","",IF($M$11="ROE",[1]!S_STM07_IS(D171,61,$G$5,$H$13)/[1]!S_STM07_BS(D171,141,$G$5,$H$13),([1]!S_STM07_BS(D171,25,$G$5,$H$13)-[1]!S_STM07_BS(D171,93,$G$5,$H$13))/$E$5))</f>
        <v/>
      </c>
      <c r="N171" s="250" t="str">
        <f ca="1">IF(C171="","",IF($N$11="EPS",[1]!S_STM07_IS(D171,61,$G$5,$H$13)/IF([1]!S_SHARE_TOTAL(D171,$G$5)=0,[1]!S_SHARE_TOTAL(D171,[1]!s_ipo_listeddate(D171)),[1]!S_SHARE_TOTAL(D171,$G$5)),([1]!S_STM07_BS(D171,75,$G$5,$H$13)+[1]!S_STM07_BS(D171,88,$G$5,$H$13)+[1]!S_STM07_BS(D171,94,$G$5,$H$13)+[1]!S_STM07_BS(D171,95,$G$5,$H$13))/$E$5))</f>
        <v/>
      </c>
      <c r="O171" s="250" t="str">
        <f ca="1">IF(C171="","",IF($O$11="BPS",[1]!S_STM07_BS(D171,141,$G$5,$H$13)/IF([1]!S_SHARE_TOTAL(D171,$G$5)=0,[1]!S_SHARE_TOTAL(D171,[1]!s_ipo_listeddate(D171)),[1]!S_SHARE_TOTAL(D171,$G$5)),[1]!S_STM07_CS(D171,49,$G$5,$H$13)/$E$5))</f>
        <v/>
      </c>
      <c r="P171" s="250" t="str">
        <f ca="1">IF(C171="","",IF($P$11="CFPS",[1]!S_STM07_CS(D171,84,$G$5,$H$13)/IF([1]!S_SHARE_TOTAL(D171,$G$5)=0,[1]!S_SHARE_TOTAL(D171,[1]!s_ipo_listeddate(D171)),[1]!S_SHARE_TOTAL(D171,$G$5)),[1]!S_STM07_CS(D171,84,$G$5,$H$13)/$E$5))</f>
        <v/>
      </c>
      <c r="Q171" s="198" t="str">
        <f ca="1">IF(C171="","",F171/([1]!S_STM07_IS(D171,61,$G$5,$H$13)/IF([1]!S_SHARE_TOTAL(D171,$G$5)=0,[1]!S_SHARE_TOTAL(D171,[1]!s_ipo_listeddate(D171)),[1]!S_SHARE_TOTAL(D171,$G$5))))</f>
        <v/>
      </c>
      <c r="R171" s="198" t="str">
        <f ca="1">IF(C171="","",F171/([1]!S_STM07_BS(D171,141,$G$5,$H$13)/IF([1]!S_SHARE_TOTAL(D171,$G$5)=0,[1]!S_SHARE_TOTAL(D171,[1]!s_ipo_listeddate(D171)),[1]!S_SHARE_TOTAL(D171,$G$5))))</f>
        <v/>
      </c>
      <c r="S171" s="249" t="str">
        <f ca="1">IF(C171="","",[1]!S_SHARE_TOTAL(D171,TODAY())/$E$5)</f>
        <v/>
      </c>
      <c r="T171" s="249" t="str">
        <f t="shared" ca="1" si="25"/>
        <v/>
      </c>
      <c r="U171" s="172" t="str">
        <f t="shared" ca="1" si="26"/>
        <v/>
      </c>
      <c r="V171" s="343" t="str">
        <f t="shared" ca="1" si="27"/>
        <v/>
      </c>
      <c r="W171" s="139"/>
      <c r="Y171" s="1"/>
    </row>
    <row r="172" spans="3:25" ht="12" customHeight="1">
      <c r="C172" s="342" t="str">
        <f t="shared" ca="1" si="22"/>
        <v/>
      </c>
      <c r="D172" s="153" t="str">
        <f t="shared" ca="1" si="23"/>
        <v/>
      </c>
      <c r="E172" s="153" t="str">
        <f t="shared" ca="1" si="24"/>
        <v/>
      </c>
      <c r="F172" s="170" t="str">
        <f ca="1">IF(C172="","",[1]!S_DQ_CLOSE(D172,TODAY(),1))</f>
        <v/>
      </c>
      <c r="G172" s="171" t="str">
        <f ca="1">IF(C172="","",[1]!s_pq_pctchange(D172,TODAY()-$G$12,TODAY())/100)</f>
        <v/>
      </c>
      <c r="H172" s="247" t="str">
        <f ca="1">IF(C172="","",IF($H$11="收入",[1]!S_STM07_IS(D172,9,$G$5,$H$13)/$E$5,[1]!S_STM07_IS(D172,48,$G$5,$H$13)/$E$5))</f>
        <v/>
      </c>
      <c r="I172" s="247" t="str">
        <f ca="1">IF(C172="","",IF($I$11="毛利率",([1]!S_STM07_IS(D172,9,$G$5,$H$13)-[1]!S_STM07_IS(D172,10,$G$5,$H$13))/[1]!S_STM07_IS(D172,9,$G$5,$H$13),[1]!S_STM07_IS(D172,14,$G$5,$H$13)/$E$5))</f>
        <v/>
      </c>
      <c r="J172" s="247" t="str">
        <f ca="1">IF(C172="","",IF($J$11="营业利润率",[1]!S_STM07_IS(D172,48,$G$5,$H$13)/[1]!S_STM07_IS(D172,9,$G$5,$H$13),([1]!S_STM07_CS(D172,87,$G$5,$H$13)+[1]!S_STM07_CS(D172,88,$G$5,$H$13)+[1]!S_STM07_CS(D172,89,$G$5,$H$13))/$E$5))</f>
        <v/>
      </c>
      <c r="K172" s="247" t="str">
        <f ca="1">IF(C172="","",IF($K$11="净利润率",[1]!S_STM07_IS(D172,61,$G$5,$H$13)/[1]!S_STM07_IS(D172,9,$G$5,$H$13),[1]!S_STM07_IS(D172,55,$G$5,$H$13)/$E$5))</f>
        <v/>
      </c>
      <c r="L172" s="247" t="str">
        <f ca="1">IF(C172="","",IF($L$11="ROA",[1]!S_STM07_IS(D172,61,$G$5,$H$13)/[1]!S_STM07_BS(D172,74,$G$5,$H$13),1-[1]!S_STM07_IS(D172,61,$G$5,$H$13)/[1]!S_STM07_IS(D172,55,$G$5,$H$13)))</f>
        <v/>
      </c>
      <c r="M172" s="247" t="str">
        <f ca="1">IF(C172="","",IF($M$11="ROE",[1]!S_STM07_IS(D172,61,$G$5,$H$13)/[1]!S_STM07_BS(D172,141,$G$5,$H$13),([1]!S_STM07_BS(D172,25,$G$5,$H$13)-[1]!S_STM07_BS(D172,93,$G$5,$H$13))/$E$5))</f>
        <v/>
      </c>
      <c r="N172" s="247" t="str">
        <f ca="1">IF(C172="","",IF($N$11="EPS",[1]!S_STM07_IS(D172,61,$G$5,$H$13)/IF([1]!S_SHARE_TOTAL(D172,$G$5)=0,[1]!S_SHARE_TOTAL(D172,[1]!s_ipo_listeddate(D172)),[1]!S_SHARE_TOTAL(D172,$G$5)),([1]!S_STM07_BS(D172,75,$G$5,$H$13)+[1]!S_STM07_BS(D172,88,$G$5,$H$13)+[1]!S_STM07_BS(D172,94,$G$5,$H$13)+[1]!S_STM07_BS(D172,95,$G$5,$H$13))/$E$5))</f>
        <v/>
      </c>
      <c r="O172" s="247" t="str">
        <f ca="1">IF(C172="","",IF($O$11="BPS",[1]!S_STM07_BS(D172,141,$G$5,$H$13)/IF([1]!S_SHARE_TOTAL(D172,$G$5)=0,[1]!S_SHARE_TOTAL(D172,[1]!s_ipo_listeddate(D172)),[1]!S_SHARE_TOTAL(D172,$G$5)),[1]!S_STM07_CS(D172,49,$G$5,$H$13)/$E$5))</f>
        <v/>
      </c>
      <c r="P172" s="247" t="str">
        <f ca="1">IF(C172="","",IF($P$11="CFPS",[1]!S_STM07_CS(D172,84,$G$5,$H$13)/IF([1]!S_SHARE_TOTAL(D172,$G$5)=0,[1]!S_SHARE_TOTAL(D172,[1]!s_ipo_listeddate(D172)),[1]!S_SHARE_TOTAL(D172,$G$5)),[1]!S_STM07_CS(D172,84,$G$5,$H$13)/$E$5))</f>
        <v/>
      </c>
      <c r="Q172" s="248" t="str">
        <f ca="1">IF(C172="","",F172/([1]!S_STM07_IS(D172,61,$G$5,$H$13)/IF([1]!S_SHARE_TOTAL(D172,$G$5)=0,[1]!S_SHARE_TOTAL(D172,[1]!s_ipo_listeddate(D172)),[1]!S_SHARE_TOTAL(D172,$G$5))))</f>
        <v/>
      </c>
      <c r="R172" s="248" t="str">
        <f ca="1">IF(C172="","",F172/([1]!S_STM07_BS(D172,141,$G$5,$H$13)/IF([1]!S_SHARE_TOTAL(D172,$G$5)=0,[1]!S_SHARE_TOTAL(D172,[1]!s_ipo_listeddate(D172)),[1]!S_SHARE_TOTAL(D172,$G$5))))</f>
        <v/>
      </c>
      <c r="S172" s="247" t="str">
        <f ca="1">IF(C172="","",[1]!S_SHARE_TOTAL(D172,TODAY())/$E$5)</f>
        <v/>
      </c>
      <c r="T172" s="247" t="str">
        <f t="shared" ca="1" si="25"/>
        <v/>
      </c>
      <c r="U172" s="218" t="str">
        <f t="shared" ca="1" si="26"/>
        <v/>
      </c>
      <c r="V172" s="342" t="str">
        <f t="shared" ca="1" si="27"/>
        <v/>
      </c>
      <c r="W172" s="139"/>
      <c r="Y172" s="1"/>
    </row>
    <row r="173" spans="3:25" ht="12" customHeight="1">
      <c r="C173" s="343" t="str">
        <f t="shared" ca="1" si="22"/>
        <v/>
      </c>
      <c r="D173" s="124" t="str">
        <f t="shared" ca="1" si="23"/>
        <v/>
      </c>
      <c r="E173" s="124" t="str">
        <f t="shared" ca="1" si="24"/>
        <v/>
      </c>
      <c r="F173" s="172" t="str">
        <f ca="1">IF(C173="","",[1]!S_DQ_CLOSE(D173,TODAY(),1))</f>
        <v/>
      </c>
      <c r="G173" s="173" t="str">
        <f ca="1">IF(C173="","",[1]!s_pq_pctchange(D173,TODAY()-$G$12,TODAY())/100)</f>
        <v/>
      </c>
      <c r="H173" s="249" t="str">
        <f ca="1">IF(C173="","",IF($H$11="收入",[1]!S_STM07_IS(D173,9,$G$5,$H$13)/$E$5,[1]!S_STM07_IS(D173,48,$G$5,$H$13)/$E$5))</f>
        <v/>
      </c>
      <c r="I173" s="249" t="str">
        <f ca="1">IF(C173="","",IF($I$11="毛利率",([1]!S_STM07_IS(D173,9,$G$5,$H$13)-[1]!S_STM07_IS(D173,10,$G$5,$H$13))/[1]!S_STM07_IS(D173,9,$G$5,$H$13),[1]!S_STM07_IS(D173,14,$G$5,$H$13)/$E$5))</f>
        <v/>
      </c>
      <c r="J173" s="249" t="str">
        <f ca="1">IF(C173="","",IF($J$11="营业利润率",[1]!S_STM07_IS(D173,48,$G$5,$H$13)/[1]!S_STM07_IS(D173,9,$G$5,$H$13),([1]!S_STM07_CS(D173,87,$G$5,$H$13)+[1]!S_STM07_CS(D173,88,$G$5,$H$13)+[1]!S_STM07_CS(D173,89,$G$5,$H$13))/$E$5))</f>
        <v/>
      </c>
      <c r="K173" s="249" t="str">
        <f ca="1">IF(C173="","",IF($K$11="净利润率",[1]!S_STM07_IS(D173,61,$G$5,$H$13)/[1]!S_STM07_IS(D173,9,$G$5,$H$13),[1]!S_STM07_IS(D173,55,$G$5,$H$13)/$E$5))</f>
        <v/>
      </c>
      <c r="L173" s="249" t="str">
        <f ca="1">IF(C173="","",IF($L$11="ROA",[1]!S_STM07_IS(D173,61,$G$5,$H$13)/[1]!S_STM07_BS(D173,74,$G$5,$H$13),1-[1]!S_STM07_IS(D173,61,$G$5,$H$13)/[1]!S_STM07_IS(D173,55,$G$5,$H$13)))</f>
        <v/>
      </c>
      <c r="M173" s="249" t="str">
        <f ca="1">IF(C173="","",IF($M$11="ROE",[1]!S_STM07_IS(D173,61,$G$5,$H$13)/[1]!S_STM07_BS(D173,141,$G$5,$H$13),([1]!S_STM07_BS(D173,25,$G$5,$H$13)-[1]!S_STM07_BS(D173,93,$G$5,$H$13))/$E$5))</f>
        <v/>
      </c>
      <c r="N173" s="250" t="str">
        <f ca="1">IF(C173="","",IF($N$11="EPS",[1]!S_STM07_IS(D173,61,$G$5,$H$13)/IF([1]!S_SHARE_TOTAL(D173,$G$5)=0,[1]!S_SHARE_TOTAL(D173,[1]!s_ipo_listeddate(D173)),[1]!S_SHARE_TOTAL(D173,$G$5)),([1]!S_STM07_BS(D173,75,$G$5,$H$13)+[1]!S_STM07_BS(D173,88,$G$5,$H$13)+[1]!S_STM07_BS(D173,94,$G$5,$H$13)+[1]!S_STM07_BS(D173,95,$G$5,$H$13))/$E$5))</f>
        <v/>
      </c>
      <c r="O173" s="250" t="str">
        <f ca="1">IF(C173="","",IF($O$11="BPS",[1]!S_STM07_BS(D173,141,$G$5,$H$13)/IF([1]!S_SHARE_TOTAL(D173,$G$5)=0,[1]!S_SHARE_TOTAL(D173,[1]!s_ipo_listeddate(D173)),[1]!S_SHARE_TOTAL(D173,$G$5)),[1]!S_STM07_CS(D173,49,$G$5,$H$13)/$E$5))</f>
        <v/>
      </c>
      <c r="P173" s="250" t="str">
        <f ca="1">IF(C173="","",IF($P$11="CFPS",[1]!S_STM07_CS(D173,84,$G$5,$H$13)/IF([1]!S_SHARE_TOTAL(D173,$G$5)=0,[1]!S_SHARE_TOTAL(D173,[1]!s_ipo_listeddate(D173)),[1]!S_SHARE_TOTAL(D173,$G$5)),[1]!S_STM07_CS(D173,84,$G$5,$H$13)/$E$5))</f>
        <v/>
      </c>
      <c r="Q173" s="198" t="str">
        <f ca="1">IF(C173="","",F173/([1]!S_STM07_IS(D173,61,$G$5,$H$13)/IF([1]!S_SHARE_TOTAL(D173,$G$5)=0,[1]!S_SHARE_TOTAL(D173,[1]!s_ipo_listeddate(D173)),[1]!S_SHARE_TOTAL(D173,$G$5))))</f>
        <v/>
      </c>
      <c r="R173" s="198" t="str">
        <f ca="1">IF(C173="","",F173/([1]!S_STM07_BS(D173,141,$G$5,$H$13)/IF([1]!S_SHARE_TOTAL(D173,$G$5)=0,[1]!S_SHARE_TOTAL(D173,[1]!s_ipo_listeddate(D173)),[1]!S_SHARE_TOTAL(D173,$G$5))))</f>
        <v/>
      </c>
      <c r="S173" s="249" t="str">
        <f ca="1">IF(C173="","",[1]!S_SHARE_TOTAL(D173,TODAY())/$E$5)</f>
        <v/>
      </c>
      <c r="T173" s="249" t="str">
        <f t="shared" ca="1" si="25"/>
        <v/>
      </c>
      <c r="U173" s="172" t="str">
        <f t="shared" ca="1" si="26"/>
        <v/>
      </c>
      <c r="V173" s="343" t="str">
        <f t="shared" ca="1" si="27"/>
        <v/>
      </c>
      <c r="W173" s="139"/>
      <c r="Y173" s="1"/>
    </row>
    <row r="174" spans="3:25" ht="12" customHeight="1">
      <c r="C174" s="342" t="str">
        <f t="shared" ca="1" si="22"/>
        <v/>
      </c>
      <c r="D174" s="153" t="str">
        <f t="shared" ca="1" si="23"/>
        <v/>
      </c>
      <c r="E174" s="153" t="str">
        <f t="shared" ca="1" si="24"/>
        <v/>
      </c>
      <c r="F174" s="170" t="str">
        <f ca="1">IF(C174="","",[1]!S_DQ_CLOSE(D174,TODAY(),1))</f>
        <v/>
      </c>
      <c r="G174" s="171" t="str">
        <f ca="1">IF(C174="","",[1]!s_pq_pctchange(D174,TODAY()-$G$12,TODAY())/100)</f>
        <v/>
      </c>
      <c r="H174" s="247" t="str">
        <f ca="1">IF(C174="","",IF($H$11="收入",[1]!S_STM07_IS(D174,9,$G$5,$H$13)/$E$5,[1]!S_STM07_IS(D174,48,$G$5,$H$13)/$E$5))</f>
        <v/>
      </c>
      <c r="I174" s="247" t="str">
        <f ca="1">IF(C174="","",IF($I$11="毛利率",([1]!S_STM07_IS(D174,9,$G$5,$H$13)-[1]!S_STM07_IS(D174,10,$G$5,$H$13))/[1]!S_STM07_IS(D174,9,$G$5,$H$13),[1]!S_STM07_IS(D174,14,$G$5,$H$13)/$E$5))</f>
        <v/>
      </c>
      <c r="J174" s="247" t="str">
        <f ca="1">IF(C174="","",IF($J$11="营业利润率",[1]!S_STM07_IS(D174,48,$G$5,$H$13)/[1]!S_STM07_IS(D174,9,$G$5,$H$13),([1]!S_STM07_CS(D174,87,$G$5,$H$13)+[1]!S_STM07_CS(D174,88,$G$5,$H$13)+[1]!S_STM07_CS(D174,89,$G$5,$H$13))/$E$5))</f>
        <v/>
      </c>
      <c r="K174" s="247" t="str">
        <f ca="1">IF(C174="","",IF($K$11="净利润率",[1]!S_STM07_IS(D174,61,$G$5,$H$13)/[1]!S_STM07_IS(D174,9,$G$5,$H$13),[1]!S_STM07_IS(D174,55,$G$5,$H$13)/$E$5))</f>
        <v/>
      </c>
      <c r="L174" s="247" t="str">
        <f ca="1">IF(C174="","",IF($L$11="ROA",[1]!S_STM07_IS(D174,61,$G$5,$H$13)/[1]!S_STM07_BS(D174,74,$G$5,$H$13),1-[1]!S_STM07_IS(D174,61,$G$5,$H$13)/[1]!S_STM07_IS(D174,55,$G$5,$H$13)))</f>
        <v/>
      </c>
      <c r="M174" s="247" t="str">
        <f ca="1">IF(C174="","",IF($M$11="ROE",[1]!S_STM07_IS(D174,61,$G$5,$H$13)/[1]!S_STM07_BS(D174,141,$G$5,$H$13),([1]!S_STM07_BS(D174,25,$G$5,$H$13)-[1]!S_STM07_BS(D174,93,$G$5,$H$13))/$E$5))</f>
        <v/>
      </c>
      <c r="N174" s="247" t="str">
        <f ca="1">IF(C174="","",IF($N$11="EPS",[1]!S_STM07_IS(D174,61,$G$5,$H$13)/IF([1]!S_SHARE_TOTAL(D174,$G$5)=0,[1]!S_SHARE_TOTAL(D174,[1]!s_ipo_listeddate(D174)),[1]!S_SHARE_TOTAL(D174,$G$5)),([1]!S_STM07_BS(D174,75,$G$5,$H$13)+[1]!S_STM07_BS(D174,88,$G$5,$H$13)+[1]!S_STM07_BS(D174,94,$G$5,$H$13)+[1]!S_STM07_BS(D174,95,$G$5,$H$13))/$E$5))</f>
        <v/>
      </c>
      <c r="O174" s="247" t="str">
        <f ca="1">IF(C174="","",IF($O$11="BPS",[1]!S_STM07_BS(D174,141,$G$5,$H$13)/IF([1]!S_SHARE_TOTAL(D174,$G$5)=0,[1]!S_SHARE_TOTAL(D174,[1]!s_ipo_listeddate(D174)),[1]!S_SHARE_TOTAL(D174,$G$5)),[1]!S_STM07_CS(D174,49,$G$5,$H$13)/$E$5))</f>
        <v/>
      </c>
      <c r="P174" s="247" t="str">
        <f ca="1">IF(C174="","",IF($P$11="CFPS",[1]!S_STM07_CS(D174,84,$G$5,$H$13)/IF([1]!S_SHARE_TOTAL(D174,$G$5)=0,[1]!S_SHARE_TOTAL(D174,[1]!s_ipo_listeddate(D174)),[1]!S_SHARE_TOTAL(D174,$G$5)),[1]!S_STM07_CS(D174,84,$G$5,$H$13)/$E$5))</f>
        <v/>
      </c>
      <c r="Q174" s="248" t="str">
        <f ca="1">IF(C174="","",F174/([1]!S_STM07_IS(D174,61,$G$5,$H$13)/IF([1]!S_SHARE_TOTAL(D174,$G$5)=0,[1]!S_SHARE_TOTAL(D174,[1]!s_ipo_listeddate(D174)),[1]!S_SHARE_TOTAL(D174,$G$5))))</f>
        <v/>
      </c>
      <c r="R174" s="248" t="str">
        <f ca="1">IF(C174="","",F174/([1]!S_STM07_BS(D174,141,$G$5,$H$13)/IF([1]!S_SHARE_TOTAL(D174,$G$5)=0,[1]!S_SHARE_TOTAL(D174,[1]!s_ipo_listeddate(D174)),[1]!S_SHARE_TOTAL(D174,$G$5))))</f>
        <v/>
      </c>
      <c r="S174" s="247" t="str">
        <f ca="1">IF(C174="","",[1]!S_SHARE_TOTAL(D174,TODAY())/$E$5)</f>
        <v/>
      </c>
      <c r="T174" s="247" t="str">
        <f t="shared" ca="1" si="25"/>
        <v/>
      </c>
      <c r="U174" s="218" t="str">
        <f t="shared" ca="1" si="26"/>
        <v/>
      </c>
      <c r="V174" s="342" t="str">
        <f t="shared" ca="1" si="27"/>
        <v/>
      </c>
      <c r="W174" s="139"/>
      <c r="Y174" s="1"/>
    </row>
    <row r="175" spans="3:25" ht="12" customHeight="1">
      <c r="C175" s="343" t="str">
        <f t="shared" ca="1" si="22"/>
        <v/>
      </c>
      <c r="D175" s="124" t="str">
        <f t="shared" ca="1" si="23"/>
        <v/>
      </c>
      <c r="E175" s="124" t="str">
        <f t="shared" ca="1" si="24"/>
        <v/>
      </c>
      <c r="F175" s="172" t="str">
        <f ca="1">IF(C175="","",[1]!S_DQ_CLOSE(D175,TODAY(),1))</f>
        <v/>
      </c>
      <c r="G175" s="173" t="str">
        <f ca="1">IF(C175="","",[1]!s_pq_pctchange(D175,TODAY()-$G$12,TODAY())/100)</f>
        <v/>
      </c>
      <c r="H175" s="249" t="str">
        <f ca="1">IF(C175="","",IF($H$11="收入",[1]!S_STM07_IS(D175,9,$G$5,$H$13)/$E$5,[1]!S_STM07_IS(D175,48,$G$5,$H$13)/$E$5))</f>
        <v/>
      </c>
      <c r="I175" s="249" t="str">
        <f ca="1">IF(C175="","",IF($I$11="毛利率",([1]!S_STM07_IS(D175,9,$G$5,$H$13)-[1]!S_STM07_IS(D175,10,$G$5,$H$13))/[1]!S_STM07_IS(D175,9,$G$5,$H$13),[1]!S_STM07_IS(D175,14,$G$5,$H$13)/$E$5))</f>
        <v/>
      </c>
      <c r="J175" s="249" t="str">
        <f ca="1">IF(C175="","",IF($J$11="营业利润率",[1]!S_STM07_IS(D175,48,$G$5,$H$13)/[1]!S_STM07_IS(D175,9,$G$5,$H$13),([1]!S_STM07_CS(D175,87,$G$5,$H$13)+[1]!S_STM07_CS(D175,88,$G$5,$H$13)+[1]!S_STM07_CS(D175,89,$G$5,$H$13))/$E$5))</f>
        <v/>
      </c>
      <c r="K175" s="249" t="str">
        <f ca="1">IF(C175="","",IF($K$11="净利润率",[1]!S_STM07_IS(D175,61,$G$5,$H$13)/[1]!S_STM07_IS(D175,9,$G$5,$H$13),[1]!S_STM07_IS(D175,55,$G$5,$H$13)/$E$5))</f>
        <v/>
      </c>
      <c r="L175" s="249" t="str">
        <f ca="1">IF(C175="","",IF($L$11="ROA",[1]!S_STM07_IS(D175,61,$G$5,$H$13)/[1]!S_STM07_BS(D175,74,$G$5,$H$13),1-[1]!S_STM07_IS(D175,61,$G$5,$H$13)/[1]!S_STM07_IS(D175,55,$G$5,$H$13)))</f>
        <v/>
      </c>
      <c r="M175" s="249" t="str">
        <f ca="1">IF(C175="","",IF($M$11="ROE",[1]!S_STM07_IS(D175,61,$G$5,$H$13)/[1]!S_STM07_BS(D175,141,$G$5,$H$13),([1]!S_STM07_BS(D175,25,$G$5,$H$13)-[1]!S_STM07_BS(D175,93,$G$5,$H$13))/$E$5))</f>
        <v/>
      </c>
      <c r="N175" s="250" t="str">
        <f ca="1">IF(C175="","",IF($N$11="EPS",[1]!S_STM07_IS(D175,61,$G$5,$H$13)/IF([1]!S_SHARE_TOTAL(D175,$G$5)=0,[1]!S_SHARE_TOTAL(D175,[1]!s_ipo_listeddate(D175)),[1]!S_SHARE_TOTAL(D175,$G$5)),([1]!S_STM07_BS(D175,75,$G$5,$H$13)+[1]!S_STM07_BS(D175,88,$G$5,$H$13)+[1]!S_STM07_BS(D175,94,$G$5,$H$13)+[1]!S_STM07_BS(D175,95,$G$5,$H$13))/$E$5))</f>
        <v/>
      </c>
      <c r="O175" s="250" t="str">
        <f ca="1">IF(C175="","",IF($O$11="BPS",[1]!S_STM07_BS(D175,141,$G$5,$H$13)/IF([1]!S_SHARE_TOTAL(D175,$G$5)=0,[1]!S_SHARE_TOTAL(D175,[1]!s_ipo_listeddate(D175)),[1]!S_SHARE_TOTAL(D175,$G$5)),[1]!S_STM07_CS(D175,49,$G$5,$H$13)/$E$5))</f>
        <v/>
      </c>
      <c r="P175" s="250" t="str">
        <f ca="1">IF(C175="","",IF($P$11="CFPS",[1]!S_STM07_CS(D175,84,$G$5,$H$13)/IF([1]!S_SHARE_TOTAL(D175,$G$5)=0,[1]!S_SHARE_TOTAL(D175,[1]!s_ipo_listeddate(D175)),[1]!S_SHARE_TOTAL(D175,$G$5)),[1]!S_STM07_CS(D175,84,$G$5,$H$13)/$E$5))</f>
        <v/>
      </c>
      <c r="Q175" s="198" t="str">
        <f ca="1">IF(C175="","",F175/([1]!S_STM07_IS(D175,61,$G$5,$H$13)/IF([1]!S_SHARE_TOTAL(D175,$G$5)=0,[1]!S_SHARE_TOTAL(D175,[1]!s_ipo_listeddate(D175)),[1]!S_SHARE_TOTAL(D175,$G$5))))</f>
        <v/>
      </c>
      <c r="R175" s="198" t="str">
        <f ca="1">IF(C175="","",F175/([1]!S_STM07_BS(D175,141,$G$5,$H$13)/IF([1]!S_SHARE_TOTAL(D175,$G$5)=0,[1]!S_SHARE_TOTAL(D175,[1]!s_ipo_listeddate(D175)),[1]!S_SHARE_TOTAL(D175,$G$5))))</f>
        <v/>
      </c>
      <c r="S175" s="249" t="str">
        <f ca="1">IF(C175="","",[1]!S_SHARE_TOTAL(D175,TODAY())/$E$5)</f>
        <v/>
      </c>
      <c r="T175" s="249" t="str">
        <f t="shared" ca="1" si="25"/>
        <v/>
      </c>
      <c r="U175" s="172" t="str">
        <f t="shared" ca="1" si="26"/>
        <v/>
      </c>
      <c r="V175" s="343" t="str">
        <f t="shared" ca="1" si="27"/>
        <v/>
      </c>
      <c r="W175" s="139"/>
      <c r="Y175" s="1"/>
    </row>
    <row r="176" spans="3:25" ht="12" customHeight="1">
      <c r="C176" s="342" t="str">
        <f t="shared" ca="1" si="22"/>
        <v/>
      </c>
      <c r="D176" s="153" t="str">
        <f t="shared" ca="1" si="23"/>
        <v/>
      </c>
      <c r="E176" s="153" t="str">
        <f t="shared" ca="1" si="24"/>
        <v/>
      </c>
      <c r="F176" s="170" t="str">
        <f ca="1">IF(C176="","",[1]!S_DQ_CLOSE(D176,TODAY(),1))</f>
        <v/>
      </c>
      <c r="G176" s="171" t="str">
        <f ca="1">IF(C176="","",[1]!s_pq_pctchange(D176,TODAY()-$G$12,TODAY())/100)</f>
        <v/>
      </c>
      <c r="H176" s="247" t="str">
        <f ca="1">IF(C176="","",IF($H$11="收入",[1]!S_STM07_IS(D176,9,$G$5,$H$13)/$E$5,[1]!S_STM07_IS(D176,48,$G$5,$H$13)/$E$5))</f>
        <v/>
      </c>
      <c r="I176" s="247" t="str">
        <f ca="1">IF(C176="","",IF($I$11="毛利率",([1]!S_STM07_IS(D176,9,$G$5,$H$13)-[1]!S_STM07_IS(D176,10,$G$5,$H$13))/[1]!S_STM07_IS(D176,9,$G$5,$H$13),[1]!S_STM07_IS(D176,14,$G$5,$H$13)/$E$5))</f>
        <v/>
      </c>
      <c r="J176" s="247" t="str">
        <f ca="1">IF(C176="","",IF($J$11="营业利润率",[1]!S_STM07_IS(D176,48,$G$5,$H$13)/[1]!S_STM07_IS(D176,9,$G$5,$H$13),([1]!S_STM07_CS(D176,87,$G$5,$H$13)+[1]!S_STM07_CS(D176,88,$G$5,$H$13)+[1]!S_STM07_CS(D176,89,$G$5,$H$13))/$E$5))</f>
        <v/>
      </c>
      <c r="K176" s="247" t="str">
        <f ca="1">IF(C176="","",IF($K$11="净利润率",[1]!S_STM07_IS(D176,61,$G$5,$H$13)/[1]!S_STM07_IS(D176,9,$G$5,$H$13),[1]!S_STM07_IS(D176,55,$G$5,$H$13)/$E$5))</f>
        <v/>
      </c>
      <c r="L176" s="247" t="str">
        <f ca="1">IF(C176="","",IF($L$11="ROA",[1]!S_STM07_IS(D176,61,$G$5,$H$13)/[1]!S_STM07_BS(D176,74,$G$5,$H$13),1-[1]!S_STM07_IS(D176,61,$G$5,$H$13)/[1]!S_STM07_IS(D176,55,$G$5,$H$13)))</f>
        <v/>
      </c>
      <c r="M176" s="247" t="str">
        <f ca="1">IF(C176="","",IF($M$11="ROE",[1]!S_STM07_IS(D176,61,$G$5,$H$13)/[1]!S_STM07_BS(D176,141,$G$5,$H$13),([1]!S_STM07_BS(D176,25,$G$5,$H$13)-[1]!S_STM07_BS(D176,93,$G$5,$H$13))/$E$5))</f>
        <v/>
      </c>
      <c r="N176" s="247" t="str">
        <f ca="1">IF(C176="","",IF($N$11="EPS",[1]!S_STM07_IS(D176,61,$G$5,$H$13)/IF([1]!S_SHARE_TOTAL(D176,$G$5)=0,[1]!S_SHARE_TOTAL(D176,[1]!s_ipo_listeddate(D176)),[1]!S_SHARE_TOTAL(D176,$G$5)),([1]!S_STM07_BS(D176,75,$G$5,$H$13)+[1]!S_STM07_BS(D176,88,$G$5,$H$13)+[1]!S_STM07_BS(D176,94,$G$5,$H$13)+[1]!S_STM07_BS(D176,95,$G$5,$H$13))/$E$5))</f>
        <v/>
      </c>
      <c r="O176" s="247" t="str">
        <f ca="1">IF(C176="","",IF($O$11="BPS",[1]!S_STM07_BS(D176,141,$G$5,$H$13)/IF([1]!S_SHARE_TOTAL(D176,$G$5)=0,[1]!S_SHARE_TOTAL(D176,[1]!s_ipo_listeddate(D176)),[1]!S_SHARE_TOTAL(D176,$G$5)),[1]!S_STM07_CS(D176,49,$G$5,$H$13)/$E$5))</f>
        <v/>
      </c>
      <c r="P176" s="247" t="str">
        <f ca="1">IF(C176="","",IF($P$11="CFPS",[1]!S_STM07_CS(D176,84,$G$5,$H$13)/IF([1]!S_SHARE_TOTAL(D176,$G$5)=0,[1]!S_SHARE_TOTAL(D176,[1]!s_ipo_listeddate(D176)),[1]!S_SHARE_TOTAL(D176,$G$5)),[1]!S_STM07_CS(D176,84,$G$5,$H$13)/$E$5))</f>
        <v/>
      </c>
      <c r="Q176" s="248" t="str">
        <f ca="1">IF(C176="","",F176/([1]!S_STM07_IS(D176,61,$G$5,$H$13)/IF([1]!S_SHARE_TOTAL(D176,$G$5)=0,[1]!S_SHARE_TOTAL(D176,[1]!s_ipo_listeddate(D176)),[1]!S_SHARE_TOTAL(D176,$G$5))))</f>
        <v/>
      </c>
      <c r="R176" s="248" t="str">
        <f ca="1">IF(C176="","",F176/([1]!S_STM07_BS(D176,141,$G$5,$H$13)/IF([1]!S_SHARE_TOTAL(D176,$G$5)=0,[1]!S_SHARE_TOTAL(D176,[1]!s_ipo_listeddate(D176)),[1]!S_SHARE_TOTAL(D176,$G$5))))</f>
        <v/>
      </c>
      <c r="S176" s="247" t="str">
        <f ca="1">IF(C176="","",[1]!S_SHARE_TOTAL(D176,TODAY())/$E$5)</f>
        <v/>
      </c>
      <c r="T176" s="247" t="str">
        <f t="shared" ca="1" si="25"/>
        <v/>
      </c>
      <c r="U176" s="218" t="str">
        <f t="shared" ca="1" si="26"/>
        <v/>
      </c>
      <c r="V176" s="342" t="str">
        <f t="shared" ca="1" si="27"/>
        <v/>
      </c>
      <c r="W176" s="139"/>
      <c r="Y176" s="1"/>
    </row>
    <row r="177" spans="3:25" ht="12" customHeight="1">
      <c r="C177" s="343" t="str">
        <f t="shared" ca="1" si="22"/>
        <v/>
      </c>
      <c r="D177" s="124" t="str">
        <f t="shared" ca="1" si="23"/>
        <v/>
      </c>
      <c r="E177" s="124" t="str">
        <f t="shared" ca="1" si="24"/>
        <v/>
      </c>
      <c r="F177" s="172" t="str">
        <f ca="1">IF(C177="","",[1]!S_DQ_CLOSE(D177,TODAY(),1))</f>
        <v/>
      </c>
      <c r="G177" s="173" t="str">
        <f ca="1">IF(C177="","",[1]!s_pq_pctchange(D177,TODAY()-$G$12,TODAY())/100)</f>
        <v/>
      </c>
      <c r="H177" s="249" t="str">
        <f ca="1">IF(C177="","",IF($H$11="收入",[1]!S_STM07_IS(D177,9,$G$5,$H$13)/$E$5,[1]!S_STM07_IS(D177,48,$G$5,$H$13)/$E$5))</f>
        <v/>
      </c>
      <c r="I177" s="249" t="str">
        <f ca="1">IF(C177="","",IF($I$11="毛利率",([1]!S_STM07_IS(D177,9,$G$5,$H$13)-[1]!S_STM07_IS(D177,10,$G$5,$H$13))/[1]!S_STM07_IS(D177,9,$G$5,$H$13),[1]!S_STM07_IS(D177,14,$G$5,$H$13)/$E$5))</f>
        <v/>
      </c>
      <c r="J177" s="249" t="str">
        <f ca="1">IF(C177="","",IF($J$11="营业利润率",[1]!S_STM07_IS(D177,48,$G$5,$H$13)/[1]!S_STM07_IS(D177,9,$G$5,$H$13),([1]!S_STM07_CS(D177,87,$G$5,$H$13)+[1]!S_STM07_CS(D177,88,$G$5,$H$13)+[1]!S_STM07_CS(D177,89,$G$5,$H$13))/$E$5))</f>
        <v/>
      </c>
      <c r="K177" s="249" t="str">
        <f ca="1">IF(C177="","",IF($K$11="净利润率",[1]!S_STM07_IS(D177,61,$G$5,$H$13)/[1]!S_STM07_IS(D177,9,$G$5,$H$13),[1]!S_STM07_IS(D177,55,$G$5,$H$13)/$E$5))</f>
        <v/>
      </c>
      <c r="L177" s="249" t="str">
        <f ca="1">IF(C177="","",IF($L$11="ROA",[1]!S_STM07_IS(D177,61,$G$5,$H$13)/[1]!S_STM07_BS(D177,74,$G$5,$H$13),1-[1]!S_STM07_IS(D177,61,$G$5,$H$13)/[1]!S_STM07_IS(D177,55,$G$5,$H$13)))</f>
        <v/>
      </c>
      <c r="M177" s="249" t="str">
        <f ca="1">IF(C177="","",IF($M$11="ROE",[1]!S_STM07_IS(D177,61,$G$5,$H$13)/[1]!S_STM07_BS(D177,141,$G$5,$H$13),([1]!S_STM07_BS(D177,25,$G$5,$H$13)-[1]!S_STM07_BS(D177,93,$G$5,$H$13))/$E$5))</f>
        <v/>
      </c>
      <c r="N177" s="250" t="str">
        <f ca="1">IF(C177="","",IF($N$11="EPS",[1]!S_STM07_IS(D177,61,$G$5,$H$13)/IF([1]!S_SHARE_TOTAL(D177,$G$5)=0,[1]!S_SHARE_TOTAL(D177,[1]!s_ipo_listeddate(D177)),[1]!S_SHARE_TOTAL(D177,$G$5)),([1]!S_STM07_BS(D177,75,$G$5,$H$13)+[1]!S_STM07_BS(D177,88,$G$5,$H$13)+[1]!S_STM07_BS(D177,94,$G$5,$H$13)+[1]!S_STM07_BS(D177,95,$G$5,$H$13))/$E$5))</f>
        <v/>
      </c>
      <c r="O177" s="250" t="str">
        <f ca="1">IF(C177="","",IF($O$11="BPS",[1]!S_STM07_BS(D177,141,$G$5,$H$13)/IF([1]!S_SHARE_TOTAL(D177,$G$5)=0,[1]!S_SHARE_TOTAL(D177,[1]!s_ipo_listeddate(D177)),[1]!S_SHARE_TOTAL(D177,$G$5)),[1]!S_STM07_CS(D177,49,$G$5,$H$13)/$E$5))</f>
        <v/>
      </c>
      <c r="P177" s="250" t="str">
        <f ca="1">IF(C177="","",IF($P$11="CFPS",[1]!S_STM07_CS(D177,84,$G$5,$H$13)/IF([1]!S_SHARE_TOTAL(D177,$G$5)=0,[1]!S_SHARE_TOTAL(D177,[1]!s_ipo_listeddate(D177)),[1]!S_SHARE_TOTAL(D177,$G$5)),[1]!S_STM07_CS(D177,84,$G$5,$H$13)/$E$5))</f>
        <v/>
      </c>
      <c r="Q177" s="198" t="str">
        <f ca="1">IF(C177="","",F177/([1]!S_STM07_IS(D177,61,$G$5,$H$13)/IF([1]!S_SHARE_TOTAL(D177,$G$5)=0,[1]!S_SHARE_TOTAL(D177,[1]!s_ipo_listeddate(D177)),[1]!S_SHARE_TOTAL(D177,$G$5))))</f>
        <v/>
      </c>
      <c r="R177" s="198" t="str">
        <f ca="1">IF(C177="","",F177/([1]!S_STM07_BS(D177,141,$G$5,$H$13)/IF([1]!S_SHARE_TOTAL(D177,$G$5)=0,[1]!S_SHARE_TOTAL(D177,[1]!s_ipo_listeddate(D177)),[1]!S_SHARE_TOTAL(D177,$G$5))))</f>
        <v/>
      </c>
      <c r="S177" s="249" t="str">
        <f ca="1">IF(C177="","",[1]!S_SHARE_TOTAL(D177,TODAY())/$E$5)</f>
        <v/>
      </c>
      <c r="T177" s="249" t="str">
        <f t="shared" ca="1" si="25"/>
        <v/>
      </c>
      <c r="U177" s="172" t="str">
        <f t="shared" ca="1" si="26"/>
        <v/>
      </c>
      <c r="V177" s="343" t="str">
        <f t="shared" ca="1" si="27"/>
        <v/>
      </c>
      <c r="W177" s="139"/>
      <c r="Y177" s="1"/>
    </row>
    <row r="178" spans="3:25" ht="12" customHeight="1">
      <c r="C178" s="342" t="str">
        <f t="shared" ca="1" si="22"/>
        <v/>
      </c>
      <c r="D178" s="153" t="str">
        <f t="shared" ca="1" si="23"/>
        <v/>
      </c>
      <c r="E178" s="153" t="str">
        <f t="shared" ca="1" si="24"/>
        <v/>
      </c>
      <c r="F178" s="170" t="str">
        <f ca="1">IF(C178="","",[1]!S_DQ_CLOSE(D178,TODAY(),1))</f>
        <v/>
      </c>
      <c r="G178" s="171" t="str">
        <f ca="1">IF(C178="","",[1]!s_pq_pctchange(D178,TODAY()-$G$12,TODAY())/100)</f>
        <v/>
      </c>
      <c r="H178" s="247" t="str">
        <f ca="1">IF(C178="","",IF($H$11="收入",[1]!S_STM07_IS(D178,9,$G$5,$H$13)/$E$5,[1]!S_STM07_IS(D178,48,$G$5,$H$13)/$E$5))</f>
        <v/>
      </c>
      <c r="I178" s="247" t="str">
        <f ca="1">IF(C178="","",IF($I$11="毛利率",([1]!S_STM07_IS(D178,9,$G$5,$H$13)-[1]!S_STM07_IS(D178,10,$G$5,$H$13))/[1]!S_STM07_IS(D178,9,$G$5,$H$13),[1]!S_STM07_IS(D178,14,$G$5,$H$13)/$E$5))</f>
        <v/>
      </c>
      <c r="J178" s="247" t="str">
        <f ca="1">IF(C178="","",IF($J$11="营业利润率",[1]!S_STM07_IS(D178,48,$G$5,$H$13)/[1]!S_STM07_IS(D178,9,$G$5,$H$13),([1]!S_STM07_CS(D178,87,$G$5,$H$13)+[1]!S_STM07_CS(D178,88,$G$5,$H$13)+[1]!S_STM07_CS(D178,89,$G$5,$H$13))/$E$5))</f>
        <v/>
      </c>
      <c r="K178" s="247" t="str">
        <f ca="1">IF(C178="","",IF($K$11="净利润率",[1]!S_STM07_IS(D178,61,$G$5,$H$13)/[1]!S_STM07_IS(D178,9,$G$5,$H$13),[1]!S_STM07_IS(D178,55,$G$5,$H$13)/$E$5))</f>
        <v/>
      </c>
      <c r="L178" s="247" t="str">
        <f ca="1">IF(C178="","",IF($L$11="ROA",[1]!S_STM07_IS(D178,61,$G$5,$H$13)/[1]!S_STM07_BS(D178,74,$G$5,$H$13),1-[1]!S_STM07_IS(D178,61,$G$5,$H$13)/[1]!S_STM07_IS(D178,55,$G$5,$H$13)))</f>
        <v/>
      </c>
      <c r="M178" s="247" t="str">
        <f ca="1">IF(C178="","",IF($M$11="ROE",[1]!S_STM07_IS(D178,61,$G$5,$H$13)/[1]!S_STM07_BS(D178,141,$G$5,$H$13),([1]!S_STM07_BS(D178,25,$G$5,$H$13)-[1]!S_STM07_BS(D178,93,$G$5,$H$13))/$E$5))</f>
        <v/>
      </c>
      <c r="N178" s="247" t="str">
        <f ca="1">IF(C178="","",IF($N$11="EPS",[1]!S_STM07_IS(D178,61,$G$5,$H$13)/IF([1]!S_SHARE_TOTAL(D178,$G$5)=0,[1]!S_SHARE_TOTAL(D178,[1]!s_ipo_listeddate(D178)),[1]!S_SHARE_TOTAL(D178,$G$5)),([1]!S_STM07_BS(D178,75,$G$5,$H$13)+[1]!S_STM07_BS(D178,88,$G$5,$H$13)+[1]!S_STM07_BS(D178,94,$G$5,$H$13)+[1]!S_STM07_BS(D178,95,$G$5,$H$13))/$E$5))</f>
        <v/>
      </c>
      <c r="O178" s="247" t="str">
        <f ca="1">IF(C178="","",IF($O$11="BPS",[1]!S_STM07_BS(D178,141,$G$5,$H$13)/IF([1]!S_SHARE_TOTAL(D178,$G$5)=0,[1]!S_SHARE_TOTAL(D178,[1]!s_ipo_listeddate(D178)),[1]!S_SHARE_TOTAL(D178,$G$5)),[1]!S_STM07_CS(D178,49,$G$5,$H$13)/$E$5))</f>
        <v/>
      </c>
      <c r="P178" s="247" t="str">
        <f ca="1">IF(C178="","",IF($P$11="CFPS",[1]!S_STM07_CS(D178,84,$G$5,$H$13)/IF([1]!S_SHARE_TOTAL(D178,$G$5)=0,[1]!S_SHARE_TOTAL(D178,[1]!s_ipo_listeddate(D178)),[1]!S_SHARE_TOTAL(D178,$G$5)),[1]!S_STM07_CS(D178,84,$G$5,$H$13)/$E$5))</f>
        <v/>
      </c>
      <c r="Q178" s="248" t="str">
        <f ca="1">IF(C178="","",F178/([1]!S_STM07_IS(D178,61,$G$5,$H$13)/IF([1]!S_SHARE_TOTAL(D178,$G$5)=0,[1]!S_SHARE_TOTAL(D178,[1]!s_ipo_listeddate(D178)),[1]!S_SHARE_TOTAL(D178,$G$5))))</f>
        <v/>
      </c>
      <c r="R178" s="248" t="str">
        <f ca="1">IF(C178="","",F178/([1]!S_STM07_BS(D178,141,$G$5,$H$13)/IF([1]!S_SHARE_TOTAL(D178,$G$5)=0,[1]!S_SHARE_TOTAL(D178,[1]!s_ipo_listeddate(D178)),[1]!S_SHARE_TOTAL(D178,$G$5))))</f>
        <v/>
      </c>
      <c r="S178" s="247" t="str">
        <f ca="1">IF(C178="","",[1]!S_SHARE_TOTAL(D178,TODAY())/$E$5)</f>
        <v/>
      </c>
      <c r="T178" s="247" t="str">
        <f t="shared" ca="1" si="25"/>
        <v/>
      </c>
      <c r="U178" s="218" t="str">
        <f t="shared" ca="1" si="26"/>
        <v/>
      </c>
      <c r="V178" s="342" t="str">
        <f t="shared" ca="1" si="27"/>
        <v/>
      </c>
      <c r="W178" s="139"/>
      <c r="Y178" s="1"/>
    </row>
    <row r="179" spans="3:25" ht="12" customHeight="1">
      <c r="C179" s="343" t="str">
        <f t="shared" ca="1" si="22"/>
        <v/>
      </c>
      <c r="D179" s="124" t="str">
        <f t="shared" ca="1" si="23"/>
        <v/>
      </c>
      <c r="E179" s="124" t="str">
        <f t="shared" ca="1" si="24"/>
        <v/>
      </c>
      <c r="F179" s="172" t="str">
        <f ca="1">IF(C179="","",[1]!S_DQ_CLOSE(D179,TODAY(),1))</f>
        <v/>
      </c>
      <c r="G179" s="173" t="str">
        <f ca="1">IF(C179="","",[1]!s_pq_pctchange(D179,TODAY()-$G$12,TODAY())/100)</f>
        <v/>
      </c>
      <c r="H179" s="249" t="str">
        <f ca="1">IF(C179="","",IF($H$11="收入",[1]!S_STM07_IS(D179,9,$G$5,$H$13)/$E$5,[1]!S_STM07_IS(D179,48,$G$5,$H$13)/$E$5))</f>
        <v/>
      </c>
      <c r="I179" s="249" t="str">
        <f ca="1">IF(C179="","",IF($I$11="毛利率",([1]!S_STM07_IS(D179,9,$G$5,$H$13)-[1]!S_STM07_IS(D179,10,$G$5,$H$13))/[1]!S_STM07_IS(D179,9,$G$5,$H$13),[1]!S_STM07_IS(D179,14,$G$5,$H$13)/$E$5))</f>
        <v/>
      </c>
      <c r="J179" s="249" t="str">
        <f ca="1">IF(C179="","",IF($J$11="营业利润率",[1]!S_STM07_IS(D179,48,$G$5,$H$13)/[1]!S_STM07_IS(D179,9,$G$5,$H$13),([1]!S_STM07_CS(D179,87,$G$5,$H$13)+[1]!S_STM07_CS(D179,88,$G$5,$H$13)+[1]!S_STM07_CS(D179,89,$G$5,$H$13))/$E$5))</f>
        <v/>
      </c>
      <c r="K179" s="249" t="str">
        <f ca="1">IF(C179="","",IF($K$11="净利润率",[1]!S_STM07_IS(D179,61,$G$5,$H$13)/[1]!S_STM07_IS(D179,9,$G$5,$H$13),[1]!S_STM07_IS(D179,55,$G$5,$H$13)/$E$5))</f>
        <v/>
      </c>
      <c r="L179" s="249" t="str">
        <f ca="1">IF(C179="","",IF($L$11="ROA",[1]!S_STM07_IS(D179,61,$G$5,$H$13)/[1]!S_STM07_BS(D179,74,$G$5,$H$13),1-[1]!S_STM07_IS(D179,61,$G$5,$H$13)/[1]!S_STM07_IS(D179,55,$G$5,$H$13)))</f>
        <v/>
      </c>
      <c r="M179" s="249" t="str">
        <f ca="1">IF(C179="","",IF($M$11="ROE",[1]!S_STM07_IS(D179,61,$G$5,$H$13)/[1]!S_STM07_BS(D179,141,$G$5,$H$13),([1]!S_STM07_BS(D179,25,$G$5,$H$13)-[1]!S_STM07_BS(D179,93,$G$5,$H$13))/$E$5))</f>
        <v/>
      </c>
      <c r="N179" s="250" t="str">
        <f ca="1">IF(C179="","",IF($N$11="EPS",[1]!S_STM07_IS(D179,61,$G$5,$H$13)/IF([1]!S_SHARE_TOTAL(D179,$G$5)=0,[1]!S_SHARE_TOTAL(D179,[1]!s_ipo_listeddate(D179)),[1]!S_SHARE_TOTAL(D179,$G$5)),([1]!S_STM07_BS(D179,75,$G$5,$H$13)+[1]!S_STM07_BS(D179,88,$G$5,$H$13)+[1]!S_STM07_BS(D179,94,$G$5,$H$13)+[1]!S_STM07_BS(D179,95,$G$5,$H$13))/$E$5))</f>
        <v/>
      </c>
      <c r="O179" s="250" t="str">
        <f ca="1">IF(C179="","",IF($O$11="BPS",[1]!S_STM07_BS(D179,141,$G$5,$H$13)/IF([1]!S_SHARE_TOTAL(D179,$G$5)=0,[1]!S_SHARE_TOTAL(D179,[1]!s_ipo_listeddate(D179)),[1]!S_SHARE_TOTAL(D179,$G$5)),[1]!S_STM07_CS(D179,49,$G$5,$H$13)/$E$5))</f>
        <v/>
      </c>
      <c r="P179" s="250" t="str">
        <f ca="1">IF(C179="","",IF($P$11="CFPS",[1]!S_STM07_CS(D179,84,$G$5,$H$13)/IF([1]!S_SHARE_TOTAL(D179,$G$5)=0,[1]!S_SHARE_TOTAL(D179,[1]!s_ipo_listeddate(D179)),[1]!S_SHARE_TOTAL(D179,$G$5)),[1]!S_STM07_CS(D179,84,$G$5,$H$13)/$E$5))</f>
        <v/>
      </c>
      <c r="Q179" s="198" t="str">
        <f ca="1">IF(C179="","",F179/([1]!S_STM07_IS(D179,61,$G$5,$H$13)/IF([1]!S_SHARE_TOTAL(D179,$G$5)=0,[1]!S_SHARE_TOTAL(D179,[1]!s_ipo_listeddate(D179)),[1]!S_SHARE_TOTAL(D179,$G$5))))</f>
        <v/>
      </c>
      <c r="R179" s="198" t="str">
        <f ca="1">IF(C179="","",F179/([1]!S_STM07_BS(D179,141,$G$5,$H$13)/IF([1]!S_SHARE_TOTAL(D179,$G$5)=0,[1]!S_SHARE_TOTAL(D179,[1]!s_ipo_listeddate(D179)),[1]!S_SHARE_TOTAL(D179,$G$5))))</f>
        <v/>
      </c>
      <c r="S179" s="249" t="str">
        <f ca="1">IF(C179="","",[1]!S_SHARE_TOTAL(D179,TODAY())/$E$5)</f>
        <v/>
      </c>
      <c r="T179" s="249" t="str">
        <f t="shared" ca="1" si="25"/>
        <v/>
      </c>
      <c r="U179" s="172" t="str">
        <f t="shared" ca="1" si="26"/>
        <v/>
      </c>
      <c r="V179" s="343" t="str">
        <f t="shared" ca="1" si="27"/>
        <v/>
      </c>
      <c r="W179" s="139"/>
      <c r="Y179" s="1"/>
    </row>
    <row r="180" spans="3:25" ht="12" customHeight="1">
      <c r="C180" s="342" t="str">
        <f t="shared" ca="1" si="22"/>
        <v/>
      </c>
      <c r="D180" s="153" t="str">
        <f t="shared" ca="1" si="23"/>
        <v/>
      </c>
      <c r="E180" s="153" t="str">
        <f t="shared" ca="1" si="24"/>
        <v/>
      </c>
      <c r="F180" s="170" t="str">
        <f ca="1">IF(C180="","",[1]!S_DQ_CLOSE(D180,TODAY(),1))</f>
        <v/>
      </c>
      <c r="G180" s="171" t="str">
        <f ca="1">IF(C180="","",[1]!s_pq_pctchange(D180,TODAY()-$G$12,TODAY())/100)</f>
        <v/>
      </c>
      <c r="H180" s="247" t="str">
        <f ca="1">IF(C180="","",IF($H$11="收入",[1]!S_STM07_IS(D180,9,$G$5,$H$13)/$E$5,[1]!S_STM07_IS(D180,48,$G$5,$H$13)/$E$5))</f>
        <v/>
      </c>
      <c r="I180" s="247" t="str">
        <f ca="1">IF(C180="","",IF($I$11="毛利率",([1]!S_STM07_IS(D180,9,$G$5,$H$13)-[1]!S_STM07_IS(D180,10,$G$5,$H$13))/[1]!S_STM07_IS(D180,9,$G$5,$H$13),[1]!S_STM07_IS(D180,14,$G$5,$H$13)/$E$5))</f>
        <v/>
      </c>
      <c r="J180" s="247" t="str">
        <f ca="1">IF(C180="","",IF($J$11="营业利润率",[1]!S_STM07_IS(D180,48,$G$5,$H$13)/[1]!S_STM07_IS(D180,9,$G$5,$H$13),([1]!S_STM07_CS(D180,87,$G$5,$H$13)+[1]!S_STM07_CS(D180,88,$G$5,$H$13)+[1]!S_STM07_CS(D180,89,$G$5,$H$13))/$E$5))</f>
        <v/>
      </c>
      <c r="K180" s="247" t="str">
        <f ca="1">IF(C180="","",IF($K$11="净利润率",[1]!S_STM07_IS(D180,61,$G$5,$H$13)/[1]!S_STM07_IS(D180,9,$G$5,$H$13),[1]!S_STM07_IS(D180,55,$G$5,$H$13)/$E$5))</f>
        <v/>
      </c>
      <c r="L180" s="247" t="str">
        <f ca="1">IF(C180="","",IF($L$11="ROA",[1]!S_STM07_IS(D180,61,$G$5,$H$13)/[1]!S_STM07_BS(D180,74,$G$5,$H$13),1-[1]!S_STM07_IS(D180,61,$G$5,$H$13)/[1]!S_STM07_IS(D180,55,$G$5,$H$13)))</f>
        <v/>
      </c>
      <c r="M180" s="247" t="str">
        <f ca="1">IF(C180="","",IF($M$11="ROE",[1]!S_STM07_IS(D180,61,$G$5,$H$13)/[1]!S_STM07_BS(D180,141,$G$5,$H$13),([1]!S_STM07_BS(D180,25,$G$5,$H$13)-[1]!S_STM07_BS(D180,93,$G$5,$H$13))/$E$5))</f>
        <v/>
      </c>
      <c r="N180" s="247" t="str">
        <f ca="1">IF(C180="","",IF($N$11="EPS",[1]!S_STM07_IS(D180,61,$G$5,$H$13)/IF([1]!S_SHARE_TOTAL(D180,$G$5)=0,[1]!S_SHARE_TOTAL(D180,[1]!s_ipo_listeddate(D180)),[1]!S_SHARE_TOTAL(D180,$G$5)),([1]!S_STM07_BS(D180,75,$G$5,$H$13)+[1]!S_STM07_BS(D180,88,$G$5,$H$13)+[1]!S_STM07_BS(D180,94,$G$5,$H$13)+[1]!S_STM07_BS(D180,95,$G$5,$H$13))/$E$5))</f>
        <v/>
      </c>
      <c r="O180" s="247" t="str">
        <f ca="1">IF(C180="","",IF($O$11="BPS",[1]!S_STM07_BS(D180,141,$G$5,$H$13)/IF([1]!S_SHARE_TOTAL(D180,$G$5)=0,[1]!S_SHARE_TOTAL(D180,[1]!s_ipo_listeddate(D180)),[1]!S_SHARE_TOTAL(D180,$G$5)),[1]!S_STM07_CS(D180,49,$G$5,$H$13)/$E$5))</f>
        <v/>
      </c>
      <c r="P180" s="247" t="str">
        <f ca="1">IF(C180="","",IF($P$11="CFPS",[1]!S_STM07_CS(D180,84,$G$5,$H$13)/IF([1]!S_SHARE_TOTAL(D180,$G$5)=0,[1]!S_SHARE_TOTAL(D180,[1]!s_ipo_listeddate(D180)),[1]!S_SHARE_TOTAL(D180,$G$5)),[1]!S_STM07_CS(D180,84,$G$5,$H$13)/$E$5))</f>
        <v/>
      </c>
      <c r="Q180" s="248" t="str">
        <f ca="1">IF(C180="","",F180/([1]!S_STM07_IS(D180,61,$G$5,$H$13)/IF([1]!S_SHARE_TOTAL(D180,$G$5)=0,[1]!S_SHARE_TOTAL(D180,[1]!s_ipo_listeddate(D180)),[1]!S_SHARE_TOTAL(D180,$G$5))))</f>
        <v/>
      </c>
      <c r="R180" s="248" t="str">
        <f ca="1">IF(C180="","",F180/([1]!S_STM07_BS(D180,141,$G$5,$H$13)/IF([1]!S_SHARE_TOTAL(D180,$G$5)=0,[1]!S_SHARE_TOTAL(D180,[1]!s_ipo_listeddate(D180)),[1]!S_SHARE_TOTAL(D180,$G$5))))</f>
        <v/>
      </c>
      <c r="S180" s="247" t="str">
        <f ca="1">IF(C180="","",[1]!S_SHARE_TOTAL(D180,TODAY())/$E$5)</f>
        <v/>
      </c>
      <c r="T180" s="247" t="str">
        <f t="shared" ca="1" si="25"/>
        <v/>
      </c>
      <c r="U180" s="218" t="str">
        <f t="shared" ca="1" si="26"/>
        <v/>
      </c>
      <c r="V180" s="342" t="str">
        <f t="shared" ca="1" si="27"/>
        <v/>
      </c>
      <c r="W180" s="139"/>
      <c r="Y180" s="1"/>
    </row>
    <row r="181" spans="3:25" ht="12" customHeight="1">
      <c r="C181" s="343" t="str">
        <f t="shared" ca="1" si="22"/>
        <v/>
      </c>
      <c r="D181" s="124" t="str">
        <f t="shared" ca="1" si="23"/>
        <v/>
      </c>
      <c r="E181" s="124" t="str">
        <f t="shared" ca="1" si="24"/>
        <v/>
      </c>
      <c r="F181" s="172" t="str">
        <f ca="1">IF(C181="","",[1]!S_DQ_CLOSE(D181,TODAY(),1))</f>
        <v/>
      </c>
      <c r="G181" s="173" t="str">
        <f ca="1">IF(C181="","",[1]!s_pq_pctchange(D181,TODAY()-$G$12,TODAY())/100)</f>
        <v/>
      </c>
      <c r="H181" s="249" t="str">
        <f ca="1">IF(C181="","",IF($H$11="收入",[1]!S_STM07_IS(D181,9,$G$5,$H$13)/$E$5,[1]!S_STM07_IS(D181,48,$G$5,$H$13)/$E$5))</f>
        <v/>
      </c>
      <c r="I181" s="249" t="str">
        <f ca="1">IF(C181="","",IF($I$11="毛利率",([1]!S_STM07_IS(D181,9,$G$5,$H$13)-[1]!S_STM07_IS(D181,10,$G$5,$H$13))/[1]!S_STM07_IS(D181,9,$G$5,$H$13),[1]!S_STM07_IS(D181,14,$G$5,$H$13)/$E$5))</f>
        <v/>
      </c>
      <c r="J181" s="249" t="str">
        <f ca="1">IF(C181="","",IF($J$11="营业利润率",[1]!S_STM07_IS(D181,48,$G$5,$H$13)/[1]!S_STM07_IS(D181,9,$G$5,$H$13),([1]!S_STM07_CS(D181,87,$G$5,$H$13)+[1]!S_STM07_CS(D181,88,$G$5,$H$13)+[1]!S_STM07_CS(D181,89,$G$5,$H$13))/$E$5))</f>
        <v/>
      </c>
      <c r="K181" s="249" t="str">
        <f ca="1">IF(C181="","",IF($K$11="净利润率",[1]!S_STM07_IS(D181,61,$G$5,$H$13)/[1]!S_STM07_IS(D181,9,$G$5,$H$13),[1]!S_STM07_IS(D181,55,$G$5,$H$13)/$E$5))</f>
        <v/>
      </c>
      <c r="L181" s="249" t="str">
        <f ca="1">IF(C181="","",IF($L$11="ROA",[1]!S_STM07_IS(D181,61,$G$5,$H$13)/[1]!S_STM07_BS(D181,74,$G$5,$H$13),1-[1]!S_STM07_IS(D181,61,$G$5,$H$13)/[1]!S_STM07_IS(D181,55,$G$5,$H$13)))</f>
        <v/>
      </c>
      <c r="M181" s="249" t="str">
        <f ca="1">IF(C181="","",IF($M$11="ROE",[1]!S_STM07_IS(D181,61,$G$5,$H$13)/[1]!S_STM07_BS(D181,141,$G$5,$H$13),([1]!S_STM07_BS(D181,25,$G$5,$H$13)-[1]!S_STM07_BS(D181,93,$G$5,$H$13))/$E$5))</f>
        <v/>
      </c>
      <c r="N181" s="250" t="str">
        <f ca="1">IF(C181="","",IF($N$11="EPS",[1]!S_STM07_IS(D181,61,$G$5,$H$13)/IF([1]!S_SHARE_TOTAL(D181,$G$5)=0,[1]!S_SHARE_TOTAL(D181,[1]!s_ipo_listeddate(D181)),[1]!S_SHARE_TOTAL(D181,$G$5)),([1]!S_STM07_BS(D181,75,$G$5,$H$13)+[1]!S_STM07_BS(D181,88,$G$5,$H$13)+[1]!S_STM07_BS(D181,94,$G$5,$H$13)+[1]!S_STM07_BS(D181,95,$G$5,$H$13))/$E$5))</f>
        <v/>
      </c>
      <c r="O181" s="250" t="str">
        <f ca="1">IF(C181="","",IF($O$11="BPS",[1]!S_STM07_BS(D181,141,$G$5,$H$13)/IF([1]!S_SHARE_TOTAL(D181,$G$5)=0,[1]!S_SHARE_TOTAL(D181,[1]!s_ipo_listeddate(D181)),[1]!S_SHARE_TOTAL(D181,$G$5)),[1]!S_STM07_CS(D181,49,$G$5,$H$13)/$E$5))</f>
        <v/>
      </c>
      <c r="P181" s="250" t="str">
        <f ca="1">IF(C181="","",IF($P$11="CFPS",[1]!S_STM07_CS(D181,84,$G$5,$H$13)/IF([1]!S_SHARE_TOTAL(D181,$G$5)=0,[1]!S_SHARE_TOTAL(D181,[1]!s_ipo_listeddate(D181)),[1]!S_SHARE_TOTAL(D181,$G$5)),[1]!S_STM07_CS(D181,84,$G$5,$H$13)/$E$5))</f>
        <v/>
      </c>
      <c r="Q181" s="198" t="str">
        <f ca="1">IF(C181="","",F181/([1]!S_STM07_IS(D181,61,$G$5,$H$13)/IF([1]!S_SHARE_TOTAL(D181,$G$5)=0,[1]!S_SHARE_TOTAL(D181,[1]!s_ipo_listeddate(D181)),[1]!S_SHARE_TOTAL(D181,$G$5))))</f>
        <v/>
      </c>
      <c r="R181" s="198" t="str">
        <f ca="1">IF(C181="","",F181/([1]!S_STM07_BS(D181,141,$G$5,$H$13)/IF([1]!S_SHARE_TOTAL(D181,$G$5)=0,[1]!S_SHARE_TOTAL(D181,[1]!s_ipo_listeddate(D181)),[1]!S_SHARE_TOTAL(D181,$G$5))))</f>
        <v/>
      </c>
      <c r="S181" s="249" t="str">
        <f ca="1">IF(C181="","",[1]!S_SHARE_TOTAL(D181,TODAY())/$E$5)</f>
        <v/>
      </c>
      <c r="T181" s="249" t="str">
        <f t="shared" ca="1" si="25"/>
        <v/>
      </c>
      <c r="U181" s="172" t="str">
        <f t="shared" ca="1" si="26"/>
        <v/>
      </c>
      <c r="V181" s="343" t="str">
        <f t="shared" ca="1" si="27"/>
        <v/>
      </c>
      <c r="W181" s="139"/>
      <c r="Y181" s="1"/>
    </row>
    <row r="182" spans="3:25" ht="12" customHeight="1">
      <c r="C182" s="342" t="str">
        <f t="shared" ca="1" si="22"/>
        <v/>
      </c>
      <c r="D182" s="153" t="str">
        <f t="shared" ca="1" si="23"/>
        <v/>
      </c>
      <c r="E182" s="153" t="str">
        <f t="shared" ca="1" si="24"/>
        <v/>
      </c>
      <c r="F182" s="170" t="str">
        <f ca="1">IF(C182="","",[1]!S_DQ_CLOSE(D182,TODAY(),1))</f>
        <v/>
      </c>
      <c r="G182" s="171" t="str">
        <f ca="1">IF(C182="","",[1]!s_pq_pctchange(D182,TODAY()-$G$12,TODAY())/100)</f>
        <v/>
      </c>
      <c r="H182" s="247" t="str">
        <f ca="1">IF(C182="","",IF($H$11="收入",[1]!S_STM07_IS(D182,9,$G$5,$H$13)/$E$5,[1]!S_STM07_IS(D182,48,$G$5,$H$13)/$E$5))</f>
        <v/>
      </c>
      <c r="I182" s="247" t="str">
        <f ca="1">IF(C182="","",IF($I$11="毛利率",([1]!S_STM07_IS(D182,9,$G$5,$H$13)-[1]!S_STM07_IS(D182,10,$G$5,$H$13))/[1]!S_STM07_IS(D182,9,$G$5,$H$13),[1]!S_STM07_IS(D182,14,$G$5,$H$13)/$E$5))</f>
        <v/>
      </c>
      <c r="J182" s="247" t="str">
        <f ca="1">IF(C182="","",IF($J$11="营业利润率",[1]!S_STM07_IS(D182,48,$G$5,$H$13)/[1]!S_STM07_IS(D182,9,$G$5,$H$13),([1]!S_STM07_CS(D182,87,$G$5,$H$13)+[1]!S_STM07_CS(D182,88,$G$5,$H$13)+[1]!S_STM07_CS(D182,89,$G$5,$H$13))/$E$5))</f>
        <v/>
      </c>
      <c r="K182" s="247" t="str">
        <f ca="1">IF(C182="","",IF($K$11="净利润率",[1]!S_STM07_IS(D182,61,$G$5,$H$13)/[1]!S_STM07_IS(D182,9,$G$5,$H$13),[1]!S_STM07_IS(D182,55,$G$5,$H$13)/$E$5))</f>
        <v/>
      </c>
      <c r="L182" s="247" t="str">
        <f ca="1">IF(C182="","",IF($L$11="ROA",[1]!S_STM07_IS(D182,61,$G$5,$H$13)/[1]!S_STM07_BS(D182,74,$G$5,$H$13),1-[1]!S_STM07_IS(D182,61,$G$5,$H$13)/[1]!S_STM07_IS(D182,55,$G$5,$H$13)))</f>
        <v/>
      </c>
      <c r="M182" s="247" t="str">
        <f ca="1">IF(C182="","",IF($M$11="ROE",[1]!S_STM07_IS(D182,61,$G$5,$H$13)/[1]!S_STM07_BS(D182,141,$G$5,$H$13),([1]!S_STM07_BS(D182,25,$G$5,$H$13)-[1]!S_STM07_BS(D182,93,$G$5,$H$13))/$E$5))</f>
        <v/>
      </c>
      <c r="N182" s="247" t="str">
        <f ca="1">IF(C182="","",IF($N$11="EPS",[1]!S_STM07_IS(D182,61,$G$5,$H$13)/IF([1]!S_SHARE_TOTAL(D182,$G$5)=0,[1]!S_SHARE_TOTAL(D182,[1]!s_ipo_listeddate(D182)),[1]!S_SHARE_TOTAL(D182,$G$5)),([1]!S_STM07_BS(D182,75,$G$5,$H$13)+[1]!S_STM07_BS(D182,88,$G$5,$H$13)+[1]!S_STM07_BS(D182,94,$G$5,$H$13)+[1]!S_STM07_BS(D182,95,$G$5,$H$13))/$E$5))</f>
        <v/>
      </c>
      <c r="O182" s="247" t="str">
        <f ca="1">IF(C182="","",IF($O$11="BPS",[1]!S_STM07_BS(D182,141,$G$5,$H$13)/IF([1]!S_SHARE_TOTAL(D182,$G$5)=0,[1]!S_SHARE_TOTAL(D182,[1]!s_ipo_listeddate(D182)),[1]!S_SHARE_TOTAL(D182,$G$5)),[1]!S_STM07_CS(D182,49,$G$5,$H$13)/$E$5))</f>
        <v/>
      </c>
      <c r="P182" s="247" t="str">
        <f ca="1">IF(C182="","",IF($P$11="CFPS",[1]!S_STM07_CS(D182,84,$G$5,$H$13)/IF([1]!S_SHARE_TOTAL(D182,$G$5)=0,[1]!S_SHARE_TOTAL(D182,[1]!s_ipo_listeddate(D182)),[1]!S_SHARE_TOTAL(D182,$G$5)),[1]!S_STM07_CS(D182,84,$G$5,$H$13)/$E$5))</f>
        <v/>
      </c>
      <c r="Q182" s="248" t="str">
        <f ca="1">IF(C182="","",F182/([1]!S_STM07_IS(D182,61,$G$5,$H$13)/IF([1]!S_SHARE_TOTAL(D182,$G$5)=0,[1]!S_SHARE_TOTAL(D182,[1]!s_ipo_listeddate(D182)),[1]!S_SHARE_TOTAL(D182,$G$5))))</f>
        <v/>
      </c>
      <c r="R182" s="248" t="str">
        <f ca="1">IF(C182="","",F182/([1]!S_STM07_BS(D182,141,$G$5,$H$13)/IF([1]!S_SHARE_TOTAL(D182,$G$5)=0,[1]!S_SHARE_TOTAL(D182,[1]!s_ipo_listeddate(D182)),[1]!S_SHARE_TOTAL(D182,$G$5))))</f>
        <v/>
      </c>
      <c r="S182" s="247" t="str">
        <f ca="1">IF(C182="","",[1]!S_SHARE_TOTAL(D182,TODAY())/$E$5)</f>
        <v/>
      </c>
      <c r="T182" s="247" t="str">
        <f t="shared" ca="1" si="25"/>
        <v/>
      </c>
      <c r="U182" s="218" t="str">
        <f t="shared" ca="1" si="26"/>
        <v/>
      </c>
      <c r="V182" s="342" t="str">
        <f t="shared" ca="1" si="27"/>
        <v/>
      </c>
      <c r="W182" s="139"/>
      <c r="Y182" s="1"/>
    </row>
    <row r="183" spans="3:25" ht="12" customHeight="1">
      <c r="C183" s="343" t="str">
        <f t="shared" ca="1" si="22"/>
        <v/>
      </c>
      <c r="D183" s="124" t="str">
        <f t="shared" ca="1" si="23"/>
        <v/>
      </c>
      <c r="E183" s="124" t="str">
        <f t="shared" ca="1" si="24"/>
        <v/>
      </c>
      <c r="F183" s="172" t="str">
        <f ca="1">IF(C183="","",[1]!S_DQ_CLOSE(D183,TODAY(),1))</f>
        <v/>
      </c>
      <c r="G183" s="173" t="str">
        <f ca="1">IF(C183="","",[1]!s_pq_pctchange(D183,TODAY()-$G$12,TODAY())/100)</f>
        <v/>
      </c>
      <c r="H183" s="249" t="str">
        <f ca="1">IF(C183="","",IF($H$11="收入",[1]!S_STM07_IS(D183,9,$G$5,$H$13)/$E$5,[1]!S_STM07_IS(D183,48,$G$5,$H$13)/$E$5))</f>
        <v/>
      </c>
      <c r="I183" s="249" t="str">
        <f ca="1">IF(C183="","",IF($I$11="毛利率",([1]!S_STM07_IS(D183,9,$G$5,$H$13)-[1]!S_STM07_IS(D183,10,$G$5,$H$13))/[1]!S_STM07_IS(D183,9,$G$5,$H$13),[1]!S_STM07_IS(D183,14,$G$5,$H$13)/$E$5))</f>
        <v/>
      </c>
      <c r="J183" s="249" t="str">
        <f ca="1">IF(C183="","",IF($J$11="营业利润率",[1]!S_STM07_IS(D183,48,$G$5,$H$13)/[1]!S_STM07_IS(D183,9,$G$5,$H$13),([1]!S_STM07_CS(D183,87,$G$5,$H$13)+[1]!S_STM07_CS(D183,88,$G$5,$H$13)+[1]!S_STM07_CS(D183,89,$G$5,$H$13))/$E$5))</f>
        <v/>
      </c>
      <c r="K183" s="249" t="str">
        <f ca="1">IF(C183="","",IF($K$11="净利润率",[1]!S_STM07_IS(D183,61,$G$5,$H$13)/[1]!S_STM07_IS(D183,9,$G$5,$H$13),[1]!S_STM07_IS(D183,55,$G$5,$H$13)/$E$5))</f>
        <v/>
      </c>
      <c r="L183" s="249" t="str">
        <f ca="1">IF(C183="","",IF($L$11="ROA",[1]!S_STM07_IS(D183,61,$G$5,$H$13)/[1]!S_STM07_BS(D183,74,$G$5,$H$13),1-[1]!S_STM07_IS(D183,61,$G$5,$H$13)/[1]!S_STM07_IS(D183,55,$G$5,$H$13)))</f>
        <v/>
      </c>
      <c r="M183" s="249" t="str">
        <f ca="1">IF(C183="","",IF($M$11="ROE",[1]!S_STM07_IS(D183,61,$G$5,$H$13)/[1]!S_STM07_BS(D183,141,$G$5,$H$13),([1]!S_STM07_BS(D183,25,$G$5,$H$13)-[1]!S_STM07_BS(D183,93,$G$5,$H$13))/$E$5))</f>
        <v/>
      </c>
      <c r="N183" s="250" t="str">
        <f ca="1">IF(C183="","",IF($N$11="EPS",[1]!S_STM07_IS(D183,61,$G$5,$H$13)/IF([1]!S_SHARE_TOTAL(D183,$G$5)=0,[1]!S_SHARE_TOTAL(D183,[1]!s_ipo_listeddate(D183)),[1]!S_SHARE_TOTAL(D183,$G$5)),([1]!S_STM07_BS(D183,75,$G$5,$H$13)+[1]!S_STM07_BS(D183,88,$G$5,$H$13)+[1]!S_STM07_BS(D183,94,$G$5,$H$13)+[1]!S_STM07_BS(D183,95,$G$5,$H$13))/$E$5))</f>
        <v/>
      </c>
      <c r="O183" s="250" t="str">
        <f ca="1">IF(C183="","",IF($O$11="BPS",[1]!S_STM07_BS(D183,141,$G$5,$H$13)/IF([1]!S_SHARE_TOTAL(D183,$G$5)=0,[1]!S_SHARE_TOTAL(D183,[1]!s_ipo_listeddate(D183)),[1]!S_SHARE_TOTAL(D183,$G$5)),[1]!S_STM07_CS(D183,49,$G$5,$H$13)/$E$5))</f>
        <v/>
      </c>
      <c r="P183" s="250" t="str">
        <f ca="1">IF(C183="","",IF($P$11="CFPS",[1]!S_STM07_CS(D183,84,$G$5,$H$13)/IF([1]!S_SHARE_TOTAL(D183,$G$5)=0,[1]!S_SHARE_TOTAL(D183,[1]!s_ipo_listeddate(D183)),[1]!S_SHARE_TOTAL(D183,$G$5)),[1]!S_STM07_CS(D183,84,$G$5,$H$13)/$E$5))</f>
        <v/>
      </c>
      <c r="Q183" s="198" t="str">
        <f ca="1">IF(C183="","",F183/([1]!S_STM07_IS(D183,61,$G$5,$H$13)/IF([1]!S_SHARE_TOTAL(D183,$G$5)=0,[1]!S_SHARE_TOTAL(D183,[1]!s_ipo_listeddate(D183)),[1]!S_SHARE_TOTAL(D183,$G$5))))</f>
        <v/>
      </c>
      <c r="R183" s="198" t="str">
        <f ca="1">IF(C183="","",F183/([1]!S_STM07_BS(D183,141,$G$5,$H$13)/IF([1]!S_SHARE_TOTAL(D183,$G$5)=0,[1]!S_SHARE_TOTAL(D183,[1]!s_ipo_listeddate(D183)),[1]!S_SHARE_TOTAL(D183,$G$5))))</f>
        <v/>
      </c>
      <c r="S183" s="249" t="str">
        <f ca="1">IF(C183="","",[1]!S_SHARE_TOTAL(D183,TODAY())/$E$5)</f>
        <v/>
      </c>
      <c r="T183" s="249" t="str">
        <f t="shared" ca="1" si="25"/>
        <v/>
      </c>
      <c r="U183" s="172" t="str">
        <f t="shared" ca="1" si="26"/>
        <v/>
      </c>
      <c r="V183" s="343" t="str">
        <f t="shared" ca="1" si="27"/>
        <v/>
      </c>
      <c r="W183" s="139"/>
      <c r="Y183" s="1"/>
    </row>
    <row r="184" spans="3:25" ht="12" customHeight="1">
      <c r="C184" s="342" t="str">
        <f t="shared" ca="1" si="22"/>
        <v/>
      </c>
      <c r="D184" s="153" t="str">
        <f t="shared" ca="1" si="23"/>
        <v/>
      </c>
      <c r="E184" s="153" t="str">
        <f t="shared" ca="1" si="24"/>
        <v/>
      </c>
      <c r="F184" s="170" t="str">
        <f ca="1">IF(C184="","",[1]!S_DQ_CLOSE(D184,TODAY(),1))</f>
        <v/>
      </c>
      <c r="G184" s="171" t="str">
        <f ca="1">IF(C184="","",[1]!s_pq_pctchange(D184,TODAY()-$G$12,TODAY())/100)</f>
        <v/>
      </c>
      <c r="H184" s="247" t="str">
        <f ca="1">IF(C184="","",IF($H$11="收入",[1]!S_STM07_IS(D184,9,$G$5,$H$13)/$E$5,[1]!S_STM07_IS(D184,48,$G$5,$H$13)/$E$5))</f>
        <v/>
      </c>
      <c r="I184" s="247" t="str">
        <f ca="1">IF(C184="","",IF($I$11="毛利率",([1]!S_STM07_IS(D184,9,$G$5,$H$13)-[1]!S_STM07_IS(D184,10,$G$5,$H$13))/[1]!S_STM07_IS(D184,9,$G$5,$H$13),[1]!S_STM07_IS(D184,14,$G$5,$H$13)/$E$5))</f>
        <v/>
      </c>
      <c r="J184" s="247" t="str">
        <f ca="1">IF(C184="","",IF($J$11="营业利润率",[1]!S_STM07_IS(D184,48,$G$5,$H$13)/[1]!S_STM07_IS(D184,9,$G$5,$H$13),([1]!S_STM07_CS(D184,87,$G$5,$H$13)+[1]!S_STM07_CS(D184,88,$G$5,$H$13)+[1]!S_STM07_CS(D184,89,$G$5,$H$13))/$E$5))</f>
        <v/>
      </c>
      <c r="K184" s="247" t="str">
        <f ca="1">IF(C184="","",IF($K$11="净利润率",[1]!S_STM07_IS(D184,61,$G$5,$H$13)/[1]!S_STM07_IS(D184,9,$G$5,$H$13),[1]!S_STM07_IS(D184,55,$G$5,$H$13)/$E$5))</f>
        <v/>
      </c>
      <c r="L184" s="247" t="str">
        <f ca="1">IF(C184="","",IF($L$11="ROA",[1]!S_STM07_IS(D184,61,$G$5,$H$13)/[1]!S_STM07_BS(D184,74,$G$5,$H$13),1-[1]!S_STM07_IS(D184,61,$G$5,$H$13)/[1]!S_STM07_IS(D184,55,$G$5,$H$13)))</f>
        <v/>
      </c>
      <c r="M184" s="247" t="str">
        <f ca="1">IF(C184="","",IF($M$11="ROE",[1]!S_STM07_IS(D184,61,$G$5,$H$13)/[1]!S_STM07_BS(D184,141,$G$5,$H$13),([1]!S_STM07_BS(D184,25,$G$5,$H$13)-[1]!S_STM07_BS(D184,93,$G$5,$H$13))/$E$5))</f>
        <v/>
      </c>
      <c r="N184" s="247" t="str">
        <f ca="1">IF(C184="","",IF($N$11="EPS",[1]!S_STM07_IS(D184,61,$G$5,$H$13)/IF([1]!S_SHARE_TOTAL(D184,$G$5)=0,[1]!S_SHARE_TOTAL(D184,[1]!s_ipo_listeddate(D184)),[1]!S_SHARE_TOTAL(D184,$G$5)),([1]!S_STM07_BS(D184,75,$G$5,$H$13)+[1]!S_STM07_BS(D184,88,$G$5,$H$13)+[1]!S_STM07_BS(D184,94,$G$5,$H$13)+[1]!S_STM07_BS(D184,95,$G$5,$H$13))/$E$5))</f>
        <v/>
      </c>
      <c r="O184" s="247" t="str">
        <f ca="1">IF(C184="","",IF($O$11="BPS",[1]!S_STM07_BS(D184,141,$G$5,$H$13)/IF([1]!S_SHARE_TOTAL(D184,$G$5)=0,[1]!S_SHARE_TOTAL(D184,[1]!s_ipo_listeddate(D184)),[1]!S_SHARE_TOTAL(D184,$G$5)),[1]!S_STM07_CS(D184,49,$G$5,$H$13)/$E$5))</f>
        <v/>
      </c>
      <c r="P184" s="247" t="str">
        <f ca="1">IF(C184="","",IF($P$11="CFPS",[1]!S_STM07_CS(D184,84,$G$5,$H$13)/IF([1]!S_SHARE_TOTAL(D184,$G$5)=0,[1]!S_SHARE_TOTAL(D184,[1]!s_ipo_listeddate(D184)),[1]!S_SHARE_TOTAL(D184,$G$5)),[1]!S_STM07_CS(D184,84,$G$5,$H$13)/$E$5))</f>
        <v/>
      </c>
      <c r="Q184" s="248" t="str">
        <f ca="1">IF(C184="","",F184/([1]!S_STM07_IS(D184,61,$G$5,$H$13)/IF([1]!S_SHARE_TOTAL(D184,$G$5)=0,[1]!S_SHARE_TOTAL(D184,[1]!s_ipo_listeddate(D184)),[1]!S_SHARE_TOTAL(D184,$G$5))))</f>
        <v/>
      </c>
      <c r="R184" s="248" t="str">
        <f ca="1">IF(C184="","",F184/([1]!S_STM07_BS(D184,141,$G$5,$H$13)/IF([1]!S_SHARE_TOTAL(D184,$G$5)=0,[1]!S_SHARE_TOTAL(D184,[1]!s_ipo_listeddate(D184)),[1]!S_SHARE_TOTAL(D184,$G$5))))</f>
        <v/>
      </c>
      <c r="S184" s="247" t="str">
        <f ca="1">IF(C184="","",[1]!S_SHARE_TOTAL(D184,TODAY())/$E$5)</f>
        <v/>
      </c>
      <c r="T184" s="247" t="str">
        <f t="shared" ca="1" si="25"/>
        <v/>
      </c>
      <c r="U184" s="218" t="str">
        <f t="shared" ca="1" si="26"/>
        <v/>
      </c>
      <c r="V184" s="342" t="str">
        <f t="shared" ca="1" si="27"/>
        <v/>
      </c>
      <c r="W184" s="139"/>
      <c r="Y184" s="1"/>
    </row>
    <row r="185" spans="3:25" ht="12" customHeight="1">
      <c r="C185" s="343" t="str">
        <f t="shared" ca="1" si="22"/>
        <v/>
      </c>
      <c r="D185" s="124" t="str">
        <f t="shared" ca="1" si="23"/>
        <v/>
      </c>
      <c r="E185" s="124" t="str">
        <f t="shared" ca="1" si="24"/>
        <v/>
      </c>
      <c r="F185" s="172" t="str">
        <f ca="1">IF(C185="","",[1]!S_DQ_CLOSE(D185,TODAY(),1))</f>
        <v/>
      </c>
      <c r="G185" s="173" t="str">
        <f ca="1">IF(C185="","",[1]!s_pq_pctchange(D185,TODAY()-$G$12,TODAY())/100)</f>
        <v/>
      </c>
      <c r="H185" s="249" t="str">
        <f ca="1">IF(C185="","",IF($H$11="收入",[1]!S_STM07_IS(D185,9,$G$5,$H$13)/$E$5,[1]!S_STM07_IS(D185,48,$G$5,$H$13)/$E$5))</f>
        <v/>
      </c>
      <c r="I185" s="249" t="str">
        <f ca="1">IF(C185="","",IF($I$11="毛利率",([1]!S_STM07_IS(D185,9,$G$5,$H$13)-[1]!S_STM07_IS(D185,10,$G$5,$H$13))/[1]!S_STM07_IS(D185,9,$G$5,$H$13),[1]!S_STM07_IS(D185,14,$G$5,$H$13)/$E$5))</f>
        <v/>
      </c>
      <c r="J185" s="249" t="str">
        <f ca="1">IF(C185="","",IF($J$11="营业利润率",[1]!S_STM07_IS(D185,48,$G$5,$H$13)/[1]!S_STM07_IS(D185,9,$G$5,$H$13),([1]!S_STM07_CS(D185,87,$G$5,$H$13)+[1]!S_STM07_CS(D185,88,$G$5,$H$13)+[1]!S_STM07_CS(D185,89,$G$5,$H$13))/$E$5))</f>
        <v/>
      </c>
      <c r="K185" s="249" t="str">
        <f ca="1">IF(C185="","",IF($K$11="净利润率",[1]!S_STM07_IS(D185,61,$G$5,$H$13)/[1]!S_STM07_IS(D185,9,$G$5,$H$13),[1]!S_STM07_IS(D185,55,$G$5,$H$13)/$E$5))</f>
        <v/>
      </c>
      <c r="L185" s="249" t="str">
        <f ca="1">IF(C185="","",IF($L$11="ROA",[1]!S_STM07_IS(D185,61,$G$5,$H$13)/[1]!S_STM07_BS(D185,74,$G$5,$H$13),1-[1]!S_STM07_IS(D185,61,$G$5,$H$13)/[1]!S_STM07_IS(D185,55,$G$5,$H$13)))</f>
        <v/>
      </c>
      <c r="M185" s="249" t="str">
        <f ca="1">IF(C185="","",IF($M$11="ROE",[1]!S_STM07_IS(D185,61,$G$5,$H$13)/[1]!S_STM07_BS(D185,141,$G$5,$H$13),([1]!S_STM07_BS(D185,25,$G$5,$H$13)-[1]!S_STM07_BS(D185,93,$G$5,$H$13))/$E$5))</f>
        <v/>
      </c>
      <c r="N185" s="250" t="str">
        <f ca="1">IF(C185="","",IF($N$11="EPS",[1]!S_STM07_IS(D185,61,$G$5,$H$13)/IF([1]!S_SHARE_TOTAL(D185,$G$5)=0,[1]!S_SHARE_TOTAL(D185,[1]!s_ipo_listeddate(D185)),[1]!S_SHARE_TOTAL(D185,$G$5)),([1]!S_STM07_BS(D185,75,$G$5,$H$13)+[1]!S_STM07_BS(D185,88,$G$5,$H$13)+[1]!S_STM07_BS(D185,94,$G$5,$H$13)+[1]!S_STM07_BS(D185,95,$G$5,$H$13))/$E$5))</f>
        <v/>
      </c>
      <c r="O185" s="250" t="str">
        <f ca="1">IF(C185="","",IF($O$11="BPS",[1]!S_STM07_BS(D185,141,$G$5,$H$13)/IF([1]!S_SHARE_TOTAL(D185,$G$5)=0,[1]!S_SHARE_TOTAL(D185,[1]!s_ipo_listeddate(D185)),[1]!S_SHARE_TOTAL(D185,$G$5)),[1]!S_STM07_CS(D185,49,$G$5,$H$13)/$E$5))</f>
        <v/>
      </c>
      <c r="P185" s="250" t="str">
        <f ca="1">IF(C185="","",IF($P$11="CFPS",[1]!S_STM07_CS(D185,84,$G$5,$H$13)/IF([1]!S_SHARE_TOTAL(D185,$G$5)=0,[1]!S_SHARE_TOTAL(D185,[1]!s_ipo_listeddate(D185)),[1]!S_SHARE_TOTAL(D185,$G$5)),[1]!S_STM07_CS(D185,84,$G$5,$H$13)/$E$5))</f>
        <v/>
      </c>
      <c r="Q185" s="198" t="str">
        <f ca="1">IF(C185="","",F185/([1]!S_STM07_IS(D185,61,$G$5,$H$13)/IF([1]!S_SHARE_TOTAL(D185,$G$5)=0,[1]!S_SHARE_TOTAL(D185,[1]!s_ipo_listeddate(D185)),[1]!S_SHARE_TOTAL(D185,$G$5))))</f>
        <v/>
      </c>
      <c r="R185" s="198" t="str">
        <f ca="1">IF(C185="","",F185/([1]!S_STM07_BS(D185,141,$G$5,$H$13)/IF([1]!S_SHARE_TOTAL(D185,$G$5)=0,[1]!S_SHARE_TOTAL(D185,[1]!s_ipo_listeddate(D185)),[1]!S_SHARE_TOTAL(D185,$G$5))))</f>
        <v/>
      </c>
      <c r="S185" s="249" t="str">
        <f ca="1">IF(C185="","",[1]!S_SHARE_TOTAL(D185,TODAY())/$E$5)</f>
        <v/>
      </c>
      <c r="T185" s="249" t="str">
        <f t="shared" ca="1" si="25"/>
        <v/>
      </c>
      <c r="U185" s="172" t="str">
        <f t="shared" ca="1" si="26"/>
        <v/>
      </c>
      <c r="V185" s="343" t="str">
        <f t="shared" ca="1" si="27"/>
        <v/>
      </c>
      <c r="W185" s="139"/>
      <c r="Y185" s="1"/>
    </row>
    <row r="186" spans="3:25" ht="12" customHeight="1">
      <c r="C186" s="342" t="str">
        <f t="shared" ca="1" si="22"/>
        <v/>
      </c>
      <c r="D186" s="153" t="str">
        <f t="shared" ca="1" si="23"/>
        <v/>
      </c>
      <c r="E186" s="153" t="str">
        <f t="shared" ca="1" si="24"/>
        <v/>
      </c>
      <c r="F186" s="170" t="str">
        <f ca="1">IF(C186="","",[1]!S_DQ_CLOSE(D186,TODAY(),1))</f>
        <v/>
      </c>
      <c r="G186" s="171" t="str">
        <f ca="1">IF(C186="","",[1]!s_pq_pctchange(D186,TODAY()-$G$12,TODAY())/100)</f>
        <v/>
      </c>
      <c r="H186" s="247" t="str">
        <f ca="1">IF(C186="","",IF($H$11="收入",[1]!S_STM07_IS(D186,9,$G$5,$H$13)/$E$5,[1]!S_STM07_IS(D186,48,$G$5,$H$13)/$E$5))</f>
        <v/>
      </c>
      <c r="I186" s="247" t="str">
        <f ca="1">IF(C186="","",IF($I$11="毛利率",([1]!S_STM07_IS(D186,9,$G$5,$H$13)-[1]!S_STM07_IS(D186,10,$G$5,$H$13))/[1]!S_STM07_IS(D186,9,$G$5,$H$13),[1]!S_STM07_IS(D186,14,$G$5,$H$13)/$E$5))</f>
        <v/>
      </c>
      <c r="J186" s="247" t="str">
        <f ca="1">IF(C186="","",IF($J$11="营业利润率",[1]!S_STM07_IS(D186,48,$G$5,$H$13)/[1]!S_STM07_IS(D186,9,$G$5,$H$13),([1]!S_STM07_CS(D186,87,$G$5,$H$13)+[1]!S_STM07_CS(D186,88,$G$5,$H$13)+[1]!S_STM07_CS(D186,89,$G$5,$H$13))/$E$5))</f>
        <v/>
      </c>
      <c r="K186" s="247" t="str">
        <f ca="1">IF(C186="","",IF($K$11="净利润率",[1]!S_STM07_IS(D186,61,$G$5,$H$13)/[1]!S_STM07_IS(D186,9,$G$5,$H$13),[1]!S_STM07_IS(D186,55,$G$5,$H$13)/$E$5))</f>
        <v/>
      </c>
      <c r="L186" s="247" t="str">
        <f ca="1">IF(C186="","",IF($L$11="ROA",[1]!S_STM07_IS(D186,61,$G$5,$H$13)/[1]!S_STM07_BS(D186,74,$G$5,$H$13),1-[1]!S_STM07_IS(D186,61,$G$5,$H$13)/[1]!S_STM07_IS(D186,55,$G$5,$H$13)))</f>
        <v/>
      </c>
      <c r="M186" s="247" t="str">
        <f ca="1">IF(C186="","",IF($M$11="ROE",[1]!S_STM07_IS(D186,61,$G$5,$H$13)/[1]!S_STM07_BS(D186,141,$G$5,$H$13),([1]!S_STM07_BS(D186,25,$G$5,$H$13)-[1]!S_STM07_BS(D186,93,$G$5,$H$13))/$E$5))</f>
        <v/>
      </c>
      <c r="N186" s="247" t="str">
        <f ca="1">IF(C186="","",IF($N$11="EPS",[1]!S_STM07_IS(D186,61,$G$5,$H$13)/IF([1]!S_SHARE_TOTAL(D186,$G$5)=0,[1]!S_SHARE_TOTAL(D186,[1]!s_ipo_listeddate(D186)),[1]!S_SHARE_TOTAL(D186,$G$5)),([1]!S_STM07_BS(D186,75,$G$5,$H$13)+[1]!S_STM07_BS(D186,88,$G$5,$H$13)+[1]!S_STM07_BS(D186,94,$G$5,$H$13)+[1]!S_STM07_BS(D186,95,$G$5,$H$13))/$E$5))</f>
        <v/>
      </c>
      <c r="O186" s="247" t="str">
        <f ca="1">IF(C186="","",IF($O$11="BPS",[1]!S_STM07_BS(D186,141,$G$5,$H$13)/IF([1]!S_SHARE_TOTAL(D186,$G$5)=0,[1]!S_SHARE_TOTAL(D186,[1]!s_ipo_listeddate(D186)),[1]!S_SHARE_TOTAL(D186,$G$5)),[1]!S_STM07_CS(D186,49,$G$5,$H$13)/$E$5))</f>
        <v/>
      </c>
      <c r="P186" s="247" t="str">
        <f ca="1">IF(C186="","",IF($P$11="CFPS",[1]!S_STM07_CS(D186,84,$G$5,$H$13)/IF([1]!S_SHARE_TOTAL(D186,$G$5)=0,[1]!S_SHARE_TOTAL(D186,[1]!s_ipo_listeddate(D186)),[1]!S_SHARE_TOTAL(D186,$G$5)),[1]!S_STM07_CS(D186,84,$G$5,$H$13)/$E$5))</f>
        <v/>
      </c>
      <c r="Q186" s="248" t="str">
        <f ca="1">IF(C186="","",F186/([1]!S_STM07_IS(D186,61,$G$5,$H$13)/IF([1]!S_SHARE_TOTAL(D186,$G$5)=0,[1]!S_SHARE_TOTAL(D186,[1]!s_ipo_listeddate(D186)),[1]!S_SHARE_TOTAL(D186,$G$5))))</f>
        <v/>
      </c>
      <c r="R186" s="248" t="str">
        <f ca="1">IF(C186="","",F186/([1]!S_STM07_BS(D186,141,$G$5,$H$13)/IF([1]!S_SHARE_TOTAL(D186,$G$5)=0,[1]!S_SHARE_TOTAL(D186,[1]!s_ipo_listeddate(D186)),[1]!S_SHARE_TOTAL(D186,$G$5))))</f>
        <v/>
      </c>
      <c r="S186" s="247" t="str">
        <f ca="1">IF(C186="","",[1]!S_SHARE_TOTAL(D186,TODAY())/$E$5)</f>
        <v/>
      </c>
      <c r="T186" s="247" t="str">
        <f t="shared" ca="1" si="25"/>
        <v/>
      </c>
      <c r="U186" s="218" t="str">
        <f t="shared" ca="1" si="26"/>
        <v/>
      </c>
      <c r="V186" s="342" t="str">
        <f t="shared" ca="1" si="27"/>
        <v/>
      </c>
      <c r="W186" s="139"/>
      <c r="Y186" s="1"/>
    </row>
    <row r="187" spans="3:25" ht="12" customHeight="1">
      <c r="C187" s="343" t="str">
        <f t="shared" ca="1" si="22"/>
        <v/>
      </c>
      <c r="D187" s="124" t="str">
        <f t="shared" ca="1" si="23"/>
        <v/>
      </c>
      <c r="E187" s="124" t="str">
        <f t="shared" ca="1" si="24"/>
        <v/>
      </c>
      <c r="F187" s="172" t="str">
        <f ca="1">IF(C187="","",[1]!S_DQ_CLOSE(D187,TODAY(),1))</f>
        <v/>
      </c>
      <c r="G187" s="173" t="str">
        <f ca="1">IF(C187="","",[1]!s_pq_pctchange(D187,TODAY()-$G$12,TODAY())/100)</f>
        <v/>
      </c>
      <c r="H187" s="249" t="str">
        <f ca="1">IF(C187="","",IF($H$11="收入",[1]!S_STM07_IS(D187,9,$G$5,$H$13)/$E$5,[1]!S_STM07_IS(D187,48,$G$5,$H$13)/$E$5))</f>
        <v/>
      </c>
      <c r="I187" s="249" t="str">
        <f ca="1">IF(C187="","",IF($I$11="毛利率",([1]!S_STM07_IS(D187,9,$G$5,$H$13)-[1]!S_STM07_IS(D187,10,$G$5,$H$13))/[1]!S_STM07_IS(D187,9,$G$5,$H$13),[1]!S_STM07_IS(D187,14,$G$5,$H$13)/$E$5))</f>
        <v/>
      </c>
      <c r="J187" s="249" t="str">
        <f ca="1">IF(C187="","",IF($J$11="营业利润率",[1]!S_STM07_IS(D187,48,$G$5,$H$13)/[1]!S_STM07_IS(D187,9,$G$5,$H$13),([1]!S_STM07_CS(D187,87,$G$5,$H$13)+[1]!S_STM07_CS(D187,88,$G$5,$H$13)+[1]!S_STM07_CS(D187,89,$G$5,$H$13))/$E$5))</f>
        <v/>
      </c>
      <c r="K187" s="249" t="str">
        <f ca="1">IF(C187="","",IF($K$11="净利润率",[1]!S_STM07_IS(D187,61,$G$5,$H$13)/[1]!S_STM07_IS(D187,9,$G$5,$H$13),[1]!S_STM07_IS(D187,55,$G$5,$H$13)/$E$5))</f>
        <v/>
      </c>
      <c r="L187" s="249" t="str">
        <f ca="1">IF(C187="","",IF($L$11="ROA",[1]!S_STM07_IS(D187,61,$G$5,$H$13)/[1]!S_STM07_BS(D187,74,$G$5,$H$13),1-[1]!S_STM07_IS(D187,61,$G$5,$H$13)/[1]!S_STM07_IS(D187,55,$G$5,$H$13)))</f>
        <v/>
      </c>
      <c r="M187" s="249" t="str">
        <f ca="1">IF(C187="","",IF($M$11="ROE",[1]!S_STM07_IS(D187,61,$G$5,$H$13)/[1]!S_STM07_BS(D187,141,$G$5,$H$13),([1]!S_STM07_BS(D187,25,$G$5,$H$13)-[1]!S_STM07_BS(D187,93,$G$5,$H$13))/$E$5))</f>
        <v/>
      </c>
      <c r="N187" s="250" t="str">
        <f ca="1">IF(C187="","",IF($N$11="EPS",[1]!S_STM07_IS(D187,61,$G$5,$H$13)/IF([1]!S_SHARE_TOTAL(D187,$G$5)=0,[1]!S_SHARE_TOTAL(D187,[1]!s_ipo_listeddate(D187)),[1]!S_SHARE_TOTAL(D187,$G$5)),([1]!S_STM07_BS(D187,75,$G$5,$H$13)+[1]!S_STM07_BS(D187,88,$G$5,$H$13)+[1]!S_STM07_BS(D187,94,$G$5,$H$13)+[1]!S_STM07_BS(D187,95,$G$5,$H$13))/$E$5))</f>
        <v/>
      </c>
      <c r="O187" s="250" t="str">
        <f ca="1">IF(C187="","",IF($O$11="BPS",[1]!S_STM07_BS(D187,141,$G$5,$H$13)/IF([1]!S_SHARE_TOTAL(D187,$G$5)=0,[1]!S_SHARE_TOTAL(D187,[1]!s_ipo_listeddate(D187)),[1]!S_SHARE_TOTAL(D187,$G$5)),[1]!S_STM07_CS(D187,49,$G$5,$H$13)/$E$5))</f>
        <v/>
      </c>
      <c r="P187" s="250" t="str">
        <f ca="1">IF(C187="","",IF($P$11="CFPS",[1]!S_STM07_CS(D187,84,$G$5,$H$13)/IF([1]!S_SHARE_TOTAL(D187,$G$5)=0,[1]!S_SHARE_TOTAL(D187,[1]!s_ipo_listeddate(D187)),[1]!S_SHARE_TOTAL(D187,$G$5)),[1]!S_STM07_CS(D187,84,$G$5,$H$13)/$E$5))</f>
        <v/>
      </c>
      <c r="Q187" s="198" t="str">
        <f ca="1">IF(C187="","",F187/([1]!S_STM07_IS(D187,61,$G$5,$H$13)/IF([1]!S_SHARE_TOTAL(D187,$G$5)=0,[1]!S_SHARE_TOTAL(D187,[1]!s_ipo_listeddate(D187)),[1]!S_SHARE_TOTAL(D187,$G$5))))</f>
        <v/>
      </c>
      <c r="R187" s="198" t="str">
        <f ca="1">IF(C187="","",F187/([1]!S_STM07_BS(D187,141,$G$5,$H$13)/IF([1]!S_SHARE_TOTAL(D187,$G$5)=0,[1]!S_SHARE_TOTAL(D187,[1]!s_ipo_listeddate(D187)),[1]!S_SHARE_TOTAL(D187,$G$5))))</f>
        <v/>
      </c>
      <c r="S187" s="249" t="str">
        <f ca="1">IF(C187="","",[1]!S_SHARE_TOTAL(D187,TODAY())/$E$5)</f>
        <v/>
      </c>
      <c r="T187" s="249" t="str">
        <f t="shared" ca="1" si="25"/>
        <v/>
      </c>
      <c r="U187" s="172" t="str">
        <f t="shared" ca="1" si="26"/>
        <v/>
      </c>
      <c r="V187" s="343" t="str">
        <f t="shared" ca="1" si="27"/>
        <v/>
      </c>
      <c r="W187" s="139"/>
      <c r="Y187" s="1"/>
    </row>
    <row r="188" spans="3:25" ht="12" customHeight="1">
      <c r="C188" s="342" t="str">
        <f t="shared" ca="1" si="22"/>
        <v/>
      </c>
      <c r="D188" s="153" t="str">
        <f t="shared" ca="1" si="23"/>
        <v/>
      </c>
      <c r="E188" s="153" t="str">
        <f t="shared" ca="1" si="24"/>
        <v/>
      </c>
      <c r="F188" s="170" t="str">
        <f ca="1">IF(C188="","",[1]!S_DQ_CLOSE(D188,TODAY(),1))</f>
        <v/>
      </c>
      <c r="G188" s="171" t="str">
        <f ca="1">IF(C188="","",[1]!s_pq_pctchange(D188,TODAY()-$G$12,TODAY())/100)</f>
        <v/>
      </c>
      <c r="H188" s="247" t="str">
        <f ca="1">IF(C188="","",IF($H$11="收入",[1]!S_STM07_IS(D188,9,$G$5,$H$13)/$E$5,[1]!S_STM07_IS(D188,48,$G$5,$H$13)/$E$5))</f>
        <v/>
      </c>
      <c r="I188" s="247" t="str">
        <f ca="1">IF(C188="","",IF($I$11="毛利率",([1]!S_STM07_IS(D188,9,$G$5,$H$13)-[1]!S_STM07_IS(D188,10,$G$5,$H$13))/[1]!S_STM07_IS(D188,9,$G$5,$H$13),[1]!S_STM07_IS(D188,14,$G$5,$H$13)/$E$5))</f>
        <v/>
      </c>
      <c r="J188" s="247" t="str">
        <f ca="1">IF(C188="","",IF($J$11="营业利润率",[1]!S_STM07_IS(D188,48,$G$5,$H$13)/[1]!S_STM07_IS(D188,9,$G$5,$H$13),([1]!S_STM07_CS(D188,87,$G$5,$H$13)+[1]!S_STM07_CS(D188,88,$G$5,$H$13)+[1]!S_STM07_CS(D188,89,$G$5,$H$13))/$E$5))</f>
        <v/>
      </c>
      <c r="K188" s="247" t="str">
        <f ca="1">IF(C188="","",IF($K$11="净利润率",[1]!S_STM07_IS(D188,61,$G$5,$H$13)/[1]!S_STM07_IS(D188,9,$G$5,$H$13),[1]!S_STM07_IS(D188,55,$G$5,$H$13)/$E$5))</f>
        <v/>
      </c>
      <c r="L188" s="247" t="str">
        <f ca="1">IF(C188="","",IF($L$11="ROA",[1]!S_STM07_IS(D188,61,$G$5,$H$13)/[1]!S_STM07_BS(D188,74,$G$5,$H$13),1-[1]!S_STM07_IS(D188,61,$G$5,$H$13)/[1]!S_STM07_IS(D188,55,$G$5,$H$13)))</f>
        <v/>
      </c>
      <c r="M188" s="247" t="str">
        <f ca="1">IF(C188="","",IF($M$11="ROE",[1]!S_STM07_IS(D188,61,$G$5,$H$13)/[1]!S_STM07_BS(D188,141,$G$5,$H$13),([1]!S_STM07_BS(D188,25,$G$5,$H$13)-[1]!S_STM07_BS(D188,93,$G$5,$H$13))/$E$5))</f>
        <v/>
      </c>
      <c r="N188" s="247" t="str">
        <f ca="1">IF(C188="","",IF($N$11="EPS",[1]!S_STM07_IS(D188,61,$G$5,$H$13)/IF([1]!S_SHARE_TOTAL(D188,$G$5)=0,[1]!S_SHARE_TOTAL(D188,[1]!s_ipo_listeddate(D188)),[1]!S_SHARE_TOTAL(D188,$G$5)),([1]!S_STM07_BS(D188,75,$G$5,$H$13)+[1]!S_STM07_BS(D188,88,$G$5,$H$13)+[1]!S_STM07_BS(D188,94,$G$5,$H$13)+[1]!S_STM07_BS(D188,95,$G$5,$H$13))/$E$5))</f>
        <v/>
      </c>
      <c r="O188" s="247" t="str">
        <f ca="1">IF(C188="","",IF($O$11="BPS",[1]!S_STM07_BS(D188,141,$G$5,$H$13)/IF([1]!S_SHARE_TOTAL(D188,$G$5)=0,[1]!S_SHARE_TOTAL(D188,[1]!s_ipo_listeddate(D188)),[1]!S_SHARE_TOTAL(D188,$G$5)),[1]!S_STM07_CS(D188,49,$G$5,$H$13)/$E$5))</f>
        <v/>
      </c>
      <c r="P188" s="247" t="str">
        <f ca="1">IF(C188="","",IF($P$11="CFPS",[1]!S_STM07_CS(D188,84,$G$5,$H$13)/IF([1]!S_SHARE_TOTAL(D188,$G$5)=0,[1]!S_SHARE_TOTAL(D188,[1]!s_ipo_listeddate(D188)),[1]!S_SHARE_TOTAL(D188,$G$5)),[1]!S_STM07_CS(D188,84,$G$5,$H$13)/$E$5))</f>
        <v/>
      </c>
      <c r="Q188" s="248" t="str">
        <f ca="1">IF(C188="","",F188/([1]!S_STM07_IS(D188,61,$G$5,$H$13)/IF([1]!S_SHARE_TOTAL(D188,$G$5)=0,[1]!S_SHARE_TOTAL(D188,[1]!s_ipo_listeddate(D188)),[1]!S_SHARE_TOTAL(D188,$G$5))))</f>
        <v/>
      </c>
      <c r="R188" s="248" t="str">
        <f ca="1">IF(C188="","",F188/([1]!S_STM07_BS(D188,141,$G$5,$H$13)/IF([1]!S_SHARE_TOTAL(D188,$G$5)=0,[1]!S_SHARE_TOTAL(D188,[1]!s_ipo_listeddate(D188)),[1]!S_SHARE_TOTAL(D188,$G$5))))</f>
        <v/>
      </c>
      <c r="S188" s="247" t="str">
        <f ca="1">IF(C188="","",[1]!S_SHARE_TOTAL(D188,TODAY())/$E$5)</f>
        <v/>
      </c>
      <c r="T188" s="247" t="str">
        <f t="shared" ca="1" si="25"/>
        <v/>
      </c>
      <c r="U188" s="218" t="str">
        <f t="shared" ca="1" si="26"/>
        <v/>
      </c>
      <c r="V188" s="342" t="str">
        <f t="shared" ca="1" si="27"/>
        <v/>
      </c>
      <c r="W188" s="139"/>
      <c r="Y188" s="1"/>
    </row>
    <row r="189" spans="3:25" ht="12" customHeight="1">
      <c r="C189" s="343" t="str">
        <f t="shared" ca="1" si="22"/>
        <v/>
      </c>
      <c r="D189" s="124" t="str">
        <f t="shared" ca="1" si="23"/>
        <v/>
      </c>
      <c r="E189" s="124" t="str">
        <f t="shared" ca="1" si="24"/>
        <v/>
      </c>
      <c r="F189" s="172" t="str">
        <f ca="1">IF(C189="","",[1]!S_DQ_CLOSE(D189,TODAY(),1))</f>
        <v/>
      </c>
      <c r="G189" s="173" t="str">
        <f ca="1">IF(C189="","",[1]!s_pq_pctchange(D189,TODAY()-$G$12,TODAY())/100)</f>
        <v/>
      </c>
      <c r="H189" s="249" t="str">
        <f ca="1">IF(C189="","",IF($H$11="收入",[1]!S_STM07_IS(D189,9,$G$5,$H$13)/$E$5,[1]!S_STM07_IS(D189,48,$G$5,$H$13)/$E$5))</f>
        <v/>
      </c>
      <c r="I189" s="249" t="str">
        <f ca="1">IF(C189="","",IF($I$11="毛利率",([1]!S_STM07_IS(D189,9,$G$5,$H$13)-[1]!S_STM07_IS(D189,10,$G$5,$H$13))/[1]!S_STM07_IS(D189,9,$G$5,$H$13),[1]!S_STM07_IS(D189,14,$G$5,$H$13)/$E$5))</f>
        <v/>
      </c>
      <c r="J189" s="249" t="str">
        <f ca="1">IF(C189="","",IF($J$11="营业利润率",[1]!S_STM07_IS(D189,48,$G$5,$H$13)/[1]!S_STM07_IS(D189,9,$G$5,$H$13),([1]!S_STM07_CS(D189,87,$G$5,$H$13)+[1]!S_STM07_CS(D189,88,$G$5,$H$13)+[1]!S_STM07_CS(D189,89,$G$5,$H$13))/$E$5))</f>
        <v/>
      </c>
      <c r="K189" s="249" t="str">
        <f ca="1">IF(C189="","",IF($K$11="净利润率",[1]!S_STM07_IS(D189,61,$G$5,$H$13)/[1]!S_STM07_IS(D189,9,$G$5,$H$13),[1]!S_STM07_IS(D189,55,$G$5,$H$13)/$E$5))</f>
        <v/>
      </c>
      <c r="L189" s="249" t="str">
        <f ca="1">IF(C189="","",IF($L$11="ROA",[1]!S_STM07_IS(D189,61,$G$5,$H$13)/[1]!S_STM07_BS(D189,74,$G$5,$H$13),1-[1]!S_STM07_IS(D189,61,$G$5,$H$13)/[1]!S_STM07_IS(D189,55,$G$5,$H$13)))</f>
        <v/>
      </c>
      <c r="M189" s="249" t="str">
        <f ca="1">IF(C189="","",IF($M$11="ROE",[1]!S_STM07_IS(D189,61,$G$5,$H$13)/[1]!S_STM07_BS(D189,141,$G$5,$H$13),([1]!S_STM07_BS(D189,25,$G$5,$H$13)-[1]!S_STM07_BS(D189,93,$G$5,$H$13))/$E$5))</f>
        <v/>
      </c>
      <c r="N189" s="250" t="str">
        <f ca="1">IF(C189="","",IF($N$11="EPS",[1]!S_STM07_IS(D189,61,$G$5,$H$13)/IF([1]!S_SHARE_TOTAL(D189,$G$5)=0,[1]!S_SHARE_TOTAL(D189,[1]!s_ipo_listeddate(D189)),[1]!S_SHARE_TOTAL(D189,$G$5)),([1]!S_STM07_BS(D189,75,$G$5,$H$13)+[1]!S_STM07_BS(D189,88,$G$5,$H$13)+[1]!S_STM07_BS(D189,94,$G$5,$H$13)+[1]!S_STM07_BS(D189,95,$G$5,$H$13))/$E$5))</f>
        <v/>
      </c>
      <c r="O189" s="250" t="str">
        <f ca="1">IF(C189="","",IF($O$11="BPS",[1]!S_STM07_BS(D189,141,$G$5,$H$13)/IF([1]!S_SHARE_TOTAL(D189,$G$5)=0,[1]!S_SHARE_TOTAL(D189,[1]!s_ipo_listeddate(D189)),[1]!S_SHARE_TOTAL(D189,$G$5)),[1]!S_STM07_CS(D189,49,$G$5,$H$13)/$E$5))</f>
        <v/>
      </c>
      <c r="P189" s="250" t="str">
        <f ca="1">IF(C189="","",IF($P$11="CFPS",[1]!S_STM07_CS(D189,84,$G$5,$H$13)/IF([1]!S_SHARE_TOTAL(D189,$G$5)=0,[1]!S_SHARE_TOTAL(D189,[1]!s_ipo_listeddate(D189)),[1]!S_SHARE_TOTAL(D189,$G$5)),[1]!S_STM07_CS(D189,84,$G$5,$H$13)/$E$5))</f>
        <v/>
      </c>
      <c r="Q189" s="198" t="str">
        <f ca="1">IF(C189="","",F189/([1]!S_STM07_IS(D189,61,$G$5,$H$13)/IF([1]!S_SHARE_TOTAL(D189,$G$5)=0,[1]!S_SHARE_TOTAL(D189,[1]!s_ipo_listeddate(D189)),[1]!S_SHARE_TOTAL(D189,$G$5))))</f>
        <v/>
      </c>
      <c r="R189" s="198" t="str">
        <f ca="1">IF(C189="","",F189/([1]!S_STM07_BS(D189,141,$G$5,$H$13)/IF([1]!S_SHARE_TOTAL(D189,$G$5)=0,[1]!S_SHARE_TOTAL(D189,[1]!s_ipo_listeddate(D189)),[1]!S_SHARE_TOTAL(D189,$G$5))))</f>
        <v/>
      </c>
      <c r="S189" s="249" t="str">
        <f ca="1">IF(C189="","",[1]!S_SHARE_TOTAL(D189,TODAY())/$E$5)</f>
        <v/>
      </c>
      <c r="T189" s="249" t="str">
        <f t="shared" ca="1" si="25"/>
        <v/>
      </c>
      <c r="U189" s="172" t="str">
        <f t="shared" ca="1" si="26"/>
        <v/>
      </c>
      <c r="V189" s="343" t="str">
        <f t="shared" ca="1" si="27"/>
        <v/>
      </c>
      <c r="W189" s="139"/>
      <c r="Y189" s="1"/>
    </row>
    <row r="190" spans="3:25" ht="12" customHeight="1">
      <c r="C190" s="342" t="str">
        <f t="shared" ca="1" si="22"/>
        <v/>
      </c>
      <c r="D190" s="153" t="str">
        <f t="shared" ca="1" si="23"/>
        <v/>
      </c>
      <c r="E190" s="153" t="str">
        <f t="shared" ca="1" si="24"/>
        <v/>
      </c>
      <c r="F190" s="170" t="str">
        <f ca="1">IF(C190="","",[1]!S_DQ_CLOSE(D190,TODAY(),1))</f>
        <v/>
      </c>
      <c r="G190" s="171" t="str">
        <f ca="1">IF(C190="","",[1]!s_pq_pctchange(D190,TODAY()-$G$12,TODAY())/100)</f>
        <v/>
      </c>
      <c r="H190" s="247" t="str">
        <f ca="1">IF(C190="","",IF($H$11="收入",[1]!S_STM07_IS(D190,9,$G$5,$H$13)/$E$5,[1]!S_STM07_IS(D190,48,$G$5,$H$13)/$E$5))</f>
        <v/>
      </c>
      <c r="I190" s="247" t="str">
        <f ca="1">IF(C190="","",IF($I$11="毛利率",([1]!S_STM07_IS(D190,9,$G$5,$H$13)-[1]!S_STM07_IS(D190,10,$G$5,$H$13))/[1]!S_STM07_IS(D190,9,$G$5,$H$13),[1]!S_STM07_IS(D190,14,$G$5,$H$13)/$E$5))</f>
        <v/>
      </c>
      <c r="J190" s="247" t="str">
        <f ca="1">IF(C190="","",IF($J$11="营业利润率",[1]!S_STM07_IS(D190,48,$G$5,$H$13)/[1]!S_STM07_IS(D190,9,$G$5,$H$13),([1]!S_STM07_CS(D190,87,$G$5,$H$13)+[1]!S_STM07_CS(D190,88,$G$5,$H$13)+[1]!S_STM07_CS(D190,89,$G$5,$H$13))/$E$5))</f>
        <v/>
      </c>
      <c r="K190" s="247" t="str">
        <f ca="1">IF(C190="","",IF($K$11="净利润率",[1]!S_STM07_IS(D190,61,$G$5,$H$13)/[1]!S_STM07_IS(D190,9,$G$5,$H$13),[1]!S_STM07_IS(D190,55,$G$5,$H$13)/$E$5))</f>
        <v/>
      </c>
      <c r="L190" s="247" t="str">
        <f ca="1">IF(C190="","",IF($L$11="ROA",[1]!S_STM07_IS(D190,61,$G$5,$H$13)/[1]!S_STM07_BS(D190,74,$G$5,$H$13),1-[1]!S_STM07_IS(D190,61,$G$5,$H$13)/[1]!S_STM07_IS(D190,55,$G$5,$H$13)))</f>
        <v/>
      </c>
      <c r="M190" s="247" t="str">
        <f ca="1">IF(C190="","",IF($M$11="ROE",[1]!S_STM07_IS(D190,61,$G$5,$H$13)/[1]!S_STM07_BS(D190,141,$G$5,$H$13),([1]!S_STM07_BS(D190,25,$G$5,$H$13)-[1]!S_STM07_BS(D190,93,$G$5,$H$13))/$E$5))</f>
        <v/>
      </c>
      <c r="N190" s="247" t="str">
        <f ca="1">IF(C190="","",IF($N$11="EPS",[1]!S_STM07_IS(D190,61,$G$5,$H$13)/IF([1]!S_SHARE_TOTAL(D190,$G$5)=0,[1]!S_SHARE_TOTAL(D190,[1]!s_ipo_listeddate(D190)),[1]!S_SHARE_TOTAL(D190,$G$5)),([1]!S_STM07_BS(D190,75,$G$5,$H$13)+[1]!S_STM07_BS(D190,88,$G$5,$H$13)+[1]!S_STM07_BS(D190,94,$G$5,$H$13)+[1]!S_STM07_BS(D190,95,$G$5,$H$13))/$E$5))</f>
        <v/>
      </c>
      <c r="O190" s="247" t="str">
        <f ca="1">IF(C190="","",IF($O$11="BPS",[1]!S_STM07_BS(D190,141,$G$5,$H$13)/IF([1]!S_SHARE_TOTAL(D190,$G$5)=0,[1]!S_SHARE_TOTAL(D190,[1]!s_ipo_listeddate(D190)),[1]!S_SHARE_TOTAL(D190,$G$5)),[1]!S_STM07_CS(D190,49,$G$5,$H$13)/$E$5))</f>
        <v/>
      </c>
      <c r="P190" s="247" t="str">
        <f ca="1">IF(C190="","",IF($P$11="CFPS",[1]!S_STM07_CS(D190,84,$G$5,$H$13)/IF([1]!S_SHARE_TOTAL(D190,$G$5)=0,[1]!S_SHARE_TOTAL(D190,[1]!s_ipo_listeddate(D190)),[1]!S_SHARE_TOTAL(D190,$G$5)),[1]!S_STM07_CS(D190,84,$G$5,$H$13)/$E$5))</f>
        <v/>
      </c>
      <c r="Q190" s="248" t="str">
        <f ca="1">IF(C190="","",F190/([1]!S_STM07_IS(D190,61,$G$5,$H$13)/IF([1]!S_SHARE_TOTAL(D190,$G$5)=0,[1]!S_SHARE_TOTAL(D190,[1]!s_ipo_listeddate(D190)),[1]!S_SHARE_TOTAL(D190,$G$5))))</f>
        <v/>
      </c>
      <c r="R190" s="248" t="str">
        <f ca="1">IF(C190="","",F190/([1]!S_STM07_BS(D190,141,$G$5,$H$13)/IF([1]!S_SHARE_TOTAL(D190,$G$5)=0,[1]!S_SHARE_TOTAL(D190,[1]!s_ipo_listeddate(D190)),[1]!S_SHARE_TOTAL(D190,$G$5))))</f>
        <v/>
      </c>
      <c r="S190" s="247" t="str">
        <f ca="1">IF(C190="","",[1]!S_SHARE_TOTAL(D190,TODAY())/$E$5)</f>
        <v/>
      </c>
      <c r="T190" s="247" t="str">
        <f t="shared" ca="1" si="25"/>
        <v/>
      </c>
      <c r="U190" s="218" t="str">
        <f t="shared" ca="1" si="26"/>
        <v/>
      </c>
      <c r="V190" s="342" t="str">
        <f t="shared" ca="1" si="27"/>
        <v/>
      </c>
      <c r="W190" s="139"/>
      <c r="Y190" s="1"/>
    </row>
    <row r="191" spans="3:25" ht="12" customHeight="1">
      <c r="C191" s="343" t="str">
        <f t="shared" ca="1" si="22"/>
        <v/>
      </c>
      <c r="D191" s="124" t="str">
        <f t="shared" ca="1" si="23"/>
        <v/>
      </c>
      <c r="E191" s="124" t="str">
        <f t="shared" ca="1" si="24"/>
        <v/>
      </c>
      <c r="F191" s="172" t="str">
        <f ca="1">IF(C191="","",[1]!S_DQ_CLOSE(D191,TODAY(),1))</f>
        <v/>
      </c>
      <c r="G191" s="173" t="str">
        <f ca="1">IF(C191="","",[1]!s_pq_pctchange(D191,TODAY()-$G$12,TODAY())/100)</f>
        <v/>
      </c>
      <c r="H191" s="249" t="str">
        <f ca="1">IF(C191="","",IF($H$11="收入",[1]!S_STM07_IS(D191,9,$G$5,$H$13)/$E$5,[1]!S_STM07_IS(D191,48,$G$5,$H$13)/$E$5))</f>
        <v/>
      </c>
      <c r="I191" s="249" t="str">
        <f ca="1">IF(C191="","",IF($I$11="毛利率",([1]!S_STM07_IS(D191,9,$G$5,$H$13)-[1]!S_STM07_IS(D191,10,$G$5,$H$13))/[1]!S_STM07_IS(D191,9,$G$5,$H$13),[1]!S_STM07_IS(D191,14,$G$5,$H$13)/$E$5))</f>
        <v/>
      </c>
      <c r="J191" s="249" t="str">
        <f ca="1">IF(C191="","",IF($J$11="营业利润率",[1]!S_STM07_IS(D191,48,$G$5,$H$13)/[1]!S_STM07_IS(D191,9,$G$5,$H$13),([1]!S_STM07_CS(D191,87,$G$5,$H$13)+[1]!S_STM07_CS(D191,88,$G$5,$H$13)+[1]!S_STM07_CS(D191,89,$G$5,$H$13))/$E$5))</f>
        <v/>
      </c>
      <c r="K191" s="249" t="str">
        <f ca="1">IF(C191="","",IF($K$11="净利润率",[1]!S_STM07_IS(D191,61,$G$5,$H$13)/[1]!S_STM07_IS(D191,9,$G$5,$H$13),[1]!S_STM07_IS(D191,55,$G$5,$H$13)/$E$5))</f>
        <v/>
      </c>
      <c r="L191" s="249" t="str">
        <f ca="1">IF(C191="","",IF($L$11="ROA",[1]!S_STM07_IS(D191,61,$G$5,$H$13)/[1]!S_STM07_BS(D191,74,$G$5,$H$13),1-[1]!S_STM07_IS(D191,61,$G$5,$H$13)/[1]!S_STM07_IS(D191,55,$G$5,$H$13)))</f>
        <v/>
      </c>
      <c r="M191" s="249" t="str">
        <f ca="1">IF(C191="","",IF($M$11="ROE",[1]!S_STM07_IS(D191,61,$G$5,$H$13)/[1]!S_STM07_BS(D191,141,$G$5,$H$13),([1]!S_STM07_BS(D191,25,$G$5,$H$13)-[1]!S_STM07_BS(D191,93,$G$5,$H$13))/$E$5))</f>
        <v/>
      </c>
      <c r="N191" s="250" t="str">
        <f ca="1">IF(C191="","",IF($N$11="EPS",[1]!S_STM07_IS(D191,61,$G$5,$H$13)/IF([1]!S_SHARE_TOTAL(D191,$G$5)=0,[1]!S_SHARE_TOTAL(D191,[1]!s_ipo_listeddate(D191)),[1]!S_SHARE_TOTAL(D191,$G$5)),([1]!S_STM07_BS(D191,75,$G$5,$H$13)+[1]!S_STM07_BS(D191,88,$G$5,$H$13)+[1]!S_STM07_BS(D191,94,$G$5,$H$13)+[1]!S_STM07_BS(D191,95,$G$5,$H$13))/$E$5))</f>
        <v/>
      </c>
      <c r="O191" s="250" t="str">
        <f ca="1">IF(C191="","",IF($O$11="BPS",[1]!S_STM07_BS(D191,141,$G$5,$H$13)/IF([1]!S_SHARE_TOTAL(D191,$G$5)=0,[1]!S_SHARE_TOTAL(D191,[1]!s_ipo_listeddate(D191)),[1]!S_SHARE_TOTAL(D191,$G$5)),[1]!S_STM07_CS(D191,49,$G$5,$H$13)/$E$5))</f>
        <v/>
      </c>
      <c r="P191" s="250" t="str">
        <f ca="1">IF(C191="","",IF($P$11="CFPS",[1]!S_STM07_CS(D191,84,$G$5,$H$13)/IF([1]!S_SHARE_TOTAL(D191,$G$5)=0,[1]!S_SHARE_TOTAL(D191,[1]!s_ipo_listeddate(D191)),[1]!S_SHARE_TOTAL(D191,$G$5)),[1]!S_STM07_CS(D191,84,$G$5,$H$13)/$E$5))</f>
        <v/>
      </c>
      <c r="Q191" s="198" t="str">
        <f ca="1">IF(C191="","",F191/([1]!S_STM07_IS(D191,61,$G$5,$H$13)/IF([1]!S_SHARE_TOTAL(D191,$G$5)=0,[1]!S_SHARE_TOTAL(D191,[1]!s_ipo_listeddate(D191)),[1]!S_SHARE_TOTAL(D191,$G$5))))</f>
        <v/>
      </c>
      <c r="R191" s="198" t="str">
        <f ca="1">IF(C191="","",F191/([1]!S_STM07_BS(D191,141,$G$5,$H$13)/IF([1]!S_SHARE_TOTAL(D191,$G$5)=0,[1]!S_SHARE_TOTAL(D191,[1]!s_ipo_listeddate(D191)),[1]!S_SHARE_TOTAL(D191,$G$5))))</f>
        <v/>
      </c>
      <c r="S191" s="249" t="str">
        <f ca="1">IF(C191="","",[1]!S_SHARE_TOTAL(D191,TODAY())/$E$5)</f>
        <v/>
      </c>
      <c r="T191" s="249" t="str">
        <f t="shared" ca="1" si="25"/>
        <v/>
      </c>
      <c r="U191" s="172" t="str">
        <f t="shared" ca="1" si="26"/>
        <v/>
      </c>
      <c r="V191" s="343" t="str">
        <f t="shared" ca="1" si="27"/>
        <v/>
      </c>
      <c r="W191" s="139"/>
      <c r="Y191" s="1"/>
    </row>
    <row r="192" spans="3:25" ht="12" customHeight="1">
      <c r="C192" s="342" t="str">
        <f t="shared" ca="1" si="22"/>
        <v/>
      </c>
      <c r="D192" s="153" t="str">
        <f t="shared" ca="1" si="23"/>
        <v/>
      </c>
      <c r="E192" s="153" t="str">
        <f t="shared" ca="1" si="24"/>
        <v/>
      </c>
      <c r="F192" s="170" t="str">
        <f ca="1">IF(C192="","",[1]!S_DQ_CLOSE(D192,TODAY(),1))</f>
        <v/>
      </c>
      <c r="G192" s="171" t="str">
        <f ca="1">IF(C192="","",[1]!s_pq_pctchange(D192,TODAY()-$G$12,TODAY())/100)</f>
        <v/>
      </c>
      <c r="H192" s="247" t="str">
        <f ca="1">IF(C192="","",IF($H$11="收入",[1]!S_STM07_IS(D192,9,$G$5,$H$13)/$E$5,[1]!S_STM07_IS(D192,48,$G$5,$H$13)/$E$5))</f>
        <v/>
      </c>
      <c r="I192" s="247" t="str">
        <f ca="1">IF(C192="","",IF($I$11="毛利率",([1]!S_STM07_IS(D192,9,$G$5,$H$13)-[1]!S_STM07_IS(D192,10,$G$5,$H$13))/[1]!S_STM07_IS(D192,9,$G$5,$H$13),[1]!S_STM07_IS(D192,14,$G$5,$H$13)/$E$5))</f>
        <v/>
      </c>
      <c r="J192" s="247" t="str">
        <f ca="1">IF(C192="","",IF($J$11="营业利润率",[1]!S_STM07_IS(D192,48,$G$5,$H$13)/[1]!S_STM07_IS(D192,9,$G$5,$H$13),([1]!S_STM07_CS(D192,87,$G$5,$H$13)+[1]!S_STM07_CS(D192,88,$G$5,$H$13)+[1]!S_STM07_CS(D192,89,$G$5,$H$13))/$E$5))</f>
        <v/>
      </c>
      <c r="K192" s="247" t="str">
        <f ca="1">IF(C192="","",IF($K$11="净利润率",[1]!S_STM07_IS(D192,61,$G$5,$H$13)/[1]!S_STM07_IS(D192,9,$G$5,$H$13),[1]!S_STM07_IS(D192,55,$G$5,$H$13)/$E$5))</f>
        <v/>
      </c>
      <c r="L192" s="247" t="str">
        <f ca="1">IF(C192="","",IF($L$11="ROA",[1]!S_STM07_IS(D192,61,$G$5,$H$13)/[1]!S_STM07_BS(D192,74,$G$5,$H$13),1-[1]!S_STM07_IS(D192,61,$G$5,$H$13)/[1]!S_STM07_IS(D192,55,$G$5,$H$13)))</f>
        <v/>
      </c>
      <c r="M192" s="247" t="str">
        <f ca="1">IF(C192="","",IF($M$11="ROE",[1]!S_STM07_IS(D192,61,$G$5,$H$13)/[1]!S_STM07_BS(D192,141,$G$5,$H$13),([1]!S_STM07_BS(D192,25,$G$5,$H$13)-[1]!S_STM07_BS(D192,93,$G$5,$H$13))/$E$5))</f>
        <v/>
      </c>
      <c r="N192" s="247" t="str">
        <f ca="1">IF(C192="","",IF($N$11="EPS",[1]!S_STM07_IS(D192,61,$G$5,$H$13)/IF([1]!S_SHARE_TOTAL(D192,$G$5)=0,[1]!S_SHARE_TOTAL(D192,[1]!s_ipo_listeddate(D192)),[1]!S_SHARE_TOTAL(D192,$G$5)),([1]!S_STM07_BS(D192,75,$G$5,$H$13)+[1]!S_STM07_BS(D192,88,$G$5,$H$13)+[1]!S_STM07_BS(D192,94,$G$5,$H$13)+[1]!S_STM07_BS(D192,95,$G$5,$H$13))/$E$5))</f>
        <v/>
      </c>
      <c r="O192" s="247" t="str">
        <f ca="1">IF(C192="","",IF($O$11="BPS",[1]!S_STM07_BS(D192,141,$G$5,$H$13)/IF([1]!S_SHARE_TOTAL(D192,$G$5)=0,[1]!S_SHARE_TOTAL(D192,[1]!s_ipo_listeddate(D192)),[1]!S_SHARE_TOTAL(D192,$G$5)),[1]!S_STM07_CS(D192,49,$G$5,$H$13)/$E$5))</f>
        <v/>
      </c>
      <c r="P192" s="247" t="str">
        <f ca="1">IF(C192="","",IF($P$11="CFPS",[1]!S_STM07_CS(D192,84,$G$5,$H$13)/IF([1]!S_SHARE_TOTAL(D192,$G$5)=0,[1]!S_SHARE_TOTAL(D192,[1]!s_ipo_listeddate(D192)),[1]!S_SHARE_TOTAL(D192,$G$5)),[1]!S_STM07_CS(D192,84,$G$5,$H$13)/$E$5))</f>
        <v/>
      </c>
      <c r="Q192" s="248" t="str">
        <f ca="1">IF(C192="","",F192/([1]!S_STM07_IS(D192,61,$G$5,$H$13)/IF([1]!S_SHARE_TOTAL(D192,$G$5)=0,[1]!S_SHARE_TOTAL(D192,[1]!s_ipo_listeddate(D192)),[1]!S_SHARE_TOTAL(D192,$G$5))))</f>
        <v/>
      </c>
      <c r="R192" s="248" t="str">
        <f ca="1">IF(C192="","",F192/([1]!S_STM07_BS(D192,141,$G$5,$H$13)/IF([1]!S_SHARE_TOTAL(D192,$G$5)=0,[1]!S_SHARE_TOTAL(D192,[1]!s_ipo_listeddate(D192)),[1]!S_SHARE_TOTAL(D192,$G$5))))</f>
        <v/>
      </c>
      <c r="S192" s="247" t="str">
        <f ca="1">IF(C192="","",[1]!S_SHARE_TOTAL(D192,TODAY())/$E$5)</f>
        <v/>
      </c>
      <c r="T192" s="247" t="str">
        <f t="shared" ca="1" si="25"/>
        <v/>
      </c>
      <c r="U192" s="218" t="str">
        <f t="shared" ca="1" si="26"/>
        <v/>
      </c>
      <c r="V192" s="342" t="str">
        <f t="shared" ca="1" si="27"/>
        <v/>
      </c>
      <c r="W192" s="139"/>
      <c r="Y192" s="1"/>
    </row>
    <row r="193" spans="3:25" ht="12" customHeight="1">
      <c r="C193" s="343" t="str">
        <f t="shared" ca="1" si="22"/>
        <v/>
      </c>
      <c r="D193" s="124" t="str">
        <f t="shared" ca="1" si="23"/>
        <v/>
      </c>
      <c r="E193" s="124" t="str">
        <f t="shared" ca="1" si="24"/>
        <v/>
      </c>
      <c r="F193" s="172" t="str">
        <f ca="1">IF(C193="","",[1]!S_DQ_CLOSE(D193,TODAY(),1))</f>
        <v/>
      </c>
      <c r="G193" s="173" t="str">
        <f ca="1">IF(C193="","",[1]!s_pq_pctchange(D193,TODAY()-$G$12,TODAY())/100)</f>
        <v/>
      </c>
      <c r="H193" s="249" t="str">
        <f ca="1">IF(C193="","",IF($H$11="收入",[1]!S_STM07_IS(D193,9,$G$5,$H$13)/$E$5,[1]!S_STM07_IS(D193,48,$G$5,$H$13)/$E$5))</f>
        <v/>
      </c>
      <c r="I193" s="249" t="str">
        <f ca="1">IF(C193="","",IF($I$11="毛利率",([1]!S_STM07_IS(D193,9,$G$5,$H$13)-[1]!S_STM07_IS(D193,10,$G$5,$H$13))/[1]!S_STM07_IS(D193,9,$G$5,$H$13),[1]!S_STM07_IS(D193,14,$G$5,$H$13)/$E$5))</f>
        <v/>
      </c>
      <c r="J193" s="249" t="str">
        <f ca="1">IF(C193="","",IF($J$11="营业利润率",[1]!S_STM07_IS(D193,48,$G$5,$H$13)/[1]!S_STM07_IS(D193,9,$G$5,$H$13),([1]!S_STM07_CS(D193,87,$G$5,$H$13)+[1]!S_STM07_CS(D193,88,$G$5,$H$13)+[1]!S_STM07_CS(D193,89,$G$5,$H$13))/$E$5))</f>
        <v/>
      </c>
      <c r="K193" s="249" t="str">
        <f ca="1">IF(C193="","",IF($K$11="净利润率",[1]!S_STM07_IS(D193,61,$G$5,$H$13)/[1]!S_STM07_IS(D193,9,$G$5,$H$13),[1]!S_STM07_IS(D193,55,$G$5,$H$13)/$E$5))</f>
        <v/>
      </c>
      <c r="L193" s="249" t="str">
        <f ca="1">IF(C193="","",IF($L$11="ROA",[1]!S_STM07_IS(D193,61,$G$5,$H$13)/[1]!S_STM07_BS(D193,74,$G$5,$H$13),1-[1]!S_STM07_IS(D193,61,$G$5,$H$13)/[1]!S_STM07_IS(D193,55,$G$5,$H$13)))</f>
        <v/>
      </c>
      <c r="M193" s="249" t="str">
        <f ca="1">IF(C193="","",IF($M$11="ROE",[1]!S_STM07_IS(D193,61,$G$5,$H$13)/[1]!S_STM07_BS(D193,141,$G$5,$H$13),([1]!S_STM07_BS(D193,25,$G$5,$H$13)-[1]!S_STM07_BS(D193,93,$G$5,$H$13))/$E$5))</f>
        <v/>
      </c>
      <c r="N193" s="250" t="str">
        <f ca="1">IF(C193="","",IF($N$11="EPS",[1]!S_STM07_IS(D193,61,$G$5,$H$13)/IF([1]!S_SHARE_TOTAL(D193,$G$5)=0,[1]!S_SHARE_TOTAL(D193,[1]!s_ipo_listeddate(D193)),[1]!S_SHARE_TOTAL(D193,$G$5)),([1]!S_STM07_BS(D193,75,$G$5,$H$13)+[1]!S_STM07_BS(D193,88,$G$5,$H$13)+[1]!S_STM07_BS(D193,94,$G$5,$H$13)+[1]!S_STM07_BS(D193,95,$G$5,$H$13))/$E$5))</f>
        <v/>
      </c>
      <c r="O193" s="250" t="str">
        <f ca="1">IF(C193="","",IF($O$11="BPS",[1]!S_STM07_BS(D193,141,$G$5,$H$13)/IF([1]!S_SHARE_TOTAL(D193,$G$5)=0,[1]!S_SHARE_TOTAL(D193,[1]!s_ipo_listeddate(D193)),[1]!S_SHARE_TOTAL(D193,$G$5)),[1]!S_STM07_CS(D193,49,$G$5,$H$13)/$E$5))</f>
        <v/>
      </c>
      <c r="P193" s="250" t="str">
        <f ca="1">IF(C193="","",IF($P$11="CFPS",[1]!S_STM07_CS(D193,84,$G$5,$H$13)/IF([1]!S_SHARE_TOTAL(D193,$G$5)=0,[1]!S_SHARE_TOTAL(D193,[1]!s_ipo_listeddate(D193)),[1]!S_SHARE_TOTAL(D193,$G$5)),[1]!S_STM07_CS(D193,84,$G$5,$H$13)/$E$5))</f>
        <v/>
      </c>
      <c r="Q193" s="198" t="str">
        <f ca="1">IF(C193="","",F193/([1]!S_STM07_IS(D193,61,$G$5,$H$13)/IF([1]!S_SHARE_TOTAL(D193,$G$5)=0,[1]!S_SHARE_TOTAL(D193,[1]!s_ipo_listeddate(D193)),[1]!S_SHARE_TOTAL(D193,$G$5))))</f>
        <v/>
      </c>
      <c r="R193" s="198" t="str">
        <f ca="1">IF(C193="","",F193/([1]!S_STM07_BS(D193,141,$G$5,$H$13)/IF([1]!S_SHARE_TOTAL(D193,$G$5)=0,[1]!S_SHARE_TOTAL(D193,[1]!s_ipo_listeddate(D193)),[1]!S_SHARE_TOTAL(D193,$G$5))))</f>
        <v/>
      </c>
      <c r="S193" s="249" t="str">
        <f ca="1">IF(C193="","",[1]!S_SHARE_TOTAL(D193,TODAY())/$E$5)</f>
        <v/>
      </c>
      <c r="T193" s="249" t="str">
        <f t="shared" ca="1" si="25"/>
        <v/>
      </c>
      <c r="U193" s="172" t="str">
        <f t="shared" ca="1" si="26"/>
        <v/>
      </c>
      <c r="V193" s="343" t="str">
        <f t="shared" ca="1" si="27"/>
        <v/>
      </c>
      <c r="W193" s="139"/>
      <c r="Y193" s="1"/>
    </row>
    <row r="194" spans="3:25" ht="12" customHeight="1">
      <c r="C194" s="342" t="str">
        <f t="shared" ca="1" si="22"/>
        <v/>
      </c>
      <c r="D194" s="153" t="str">
        <f t="shared" ca="1" si="23"/>
        <v/>
      </c>
      <c r="E194" s="153" t="str">
        <f t="shared" ca="1" si="24"/>
        <v/>
      </c>
      <c r="F194" s="170" t="str">
        <f ca="1">IF(C194="","",[1]!S_DQ_CLOSE(D194,TODAY(),1))</f>
        <v/>
      </c>
      <c r="G194" s="171" t="str">
        <f ca="1">IF(C194="","",[1]!s_pq_pctchange(D194,TODAY()-$G$12,TODAY())/100)</f>
        <v/>
      </c>
      <c r="H194" s="247" t="str">
        <f ca="1">IF(C194="","",IF($H$11="收入",[1]!S_STM07_IS(D194,9,$G$5,$H$13)/$E$5,[1]!S_STM07_IS(D194,48,$G$5,$H$13)/$E$5))</f>
        <v/>
      </c>
      <c r="I194" s="247" t="str">
        <f ca="1">IF(C194="","",IF($I$11="毛利率",([1]!S_STM07_IS(D194,9,$G$5,$H$13)-[1]!S_STM07_IS(D194,10,$G$5,$H$13))/[1]!S_STM07_IS(D194,9,$G$5,$H$13),[1]!S_STM07_IS(D194,14,$G$5,$H$13)/$E$5))</f>
        <v/>
      </c>
      <c r="J194" s="247" t="str">
        <f ca="1">IF(C194="","",IF($J$11="营业利润率",[1]!S_STM07_IS(D194,48,$G$5,$H$13)/[1]!S_STM07_IS(D194,9,$G$5,$H$13),([1]!S_STM07_CS(D194,87,$G$5,$H$13)+[1]!S_STM07_CS(D194,88,$G$5,$H$13)+[1]!S_STM07_CS(D194,89,$G$5,$H$13))/$E$5))</f>
        <v/>
      </c>
      <c r="K194" s="247" t="str">
        <f ca="1">IF(C194="","",IF($K$11="净利润率",[1]!S_STM07_IS(D194,61,$G$5,$H$13)/[1]!S_STM07_IS(D194,9,$G$5,$H$13),[1]!S_STM07_IS(D194,55,$G$5,$H$13)/$E$5))</f>
        <v/>
      </c>
      <c r="L194" s="247" t="str">
        <f ca="1">IF(C194="","",IF($L$11="ROA",[1]!S_STM07_IS(D194,61,$G$5,$H$13)/[1]!S_STM07_BS(D194,74,$G$5,$H$13),1-[1]!S_STM07_IS(D194,61,$G$5,$H$13)/[1]!S_STM07_IS(D194,55,$G$5,$H$13)))</f>
        <v/>
      </c>
      <c r="M194" s="247" t="str">
        <f ca="1">IF(C194="","",IF($M$11="ROE",[1]!S_STM07_IS(D194,61,$G$5,$H$13)/[1]!S_STM07_BS(D194,141,$G$5,$H$13),([1]!S_STM07_BS(D194,25,$G$5,$H$13)-[1]!S_STM07_BS(D194,93,$G$5,$H$13))/$E$5))</f>
        <v/>
      </c>
      <c r="N194" s="247" t="str">
        <f ca="1">IF(C194="","",IF($N$11="EPS",[1]!S_STM07_IS(D194,61,$G$5,$H$13)/IF([1]!S_SHARE_TOTAL(D194,$G$5)=0,[1]!S_SHARE_TOTAL(D194,[1]!s_ipo_listeddate(D194)),[1]!S_SHARE_TOTAL(D194,$G$5)),([1]!S_STM07_BS(D194,75,$G$5,$H$13)+[1]!S_STM07_BS(D194,88,$G$5,$H$13)+[1]!S_STM07_BS(D194,94,$G$5,$H$13)+[1]!S_STM07_BS(D194,95,$G$5,$H$13))/$E$5))</f>
        <v/>
      </c>
      <c r="O194" s="247" t="str">
        <f ca="1">IF(C194="","",IF($O$11="BPS",[1]!S_STM07_BS(D194,141,$G$5,$H$13)/IF([1]!S_SHARE_TOTAL(D194,$G$5)=0,[1]!S_SHARE_TOTAL(D194,[1]!s_ipo_listeddate(D194)),[1]!S_SHARE_TOTAL(D194,$G$5)),[1]!S_STM07_CS(D194,49,$G$5,$H$13)/$E$5))</f>
        <v/>
      </c>
      <c r="P194" s="247" t="str">
        <f ca="1">IF(C194="","",IF($P$11="CFPS",[1]!S_STM07_CS(D194,84,$G$5,$H$13)/IF([1]!S_SHARE_TOTAL(D194,$G$5)=0,[1]!S_SHARE_TOTAL(D194,[1]!s_ipo_listeddate(D194)),[1]!S_SHARE_TOTAL(D194,$G$5)),[1]!S_STM07_CS(D194,84,$G$5,$H$13)/$E$5))</f>
        <v/>
      </c>
      <c r="Q194" s="248" t="str">
        <f ca="1">IF(C194="","",F194/([1]!S_STM07_IS(D194,61,$G$5,$H$13)/IF([1]!S_SHARE_TOTAL(D194,$G$5)=0,[1]!S_SHARE_TOTAL(D194,[1]!s_ipo_listeddate(D194)),[1]!S_SHARE_TOTAL(D194,$G$5))))</f>
        <v/>
      </c>
      <c r="R194" s="248" t="str">
        <f ca="1">IF(C194="","",F194/([1]!S_STM07_BS(D194,141,$G$5,$H$13)/IF([1]!S_SHARE_TOTAL(D194,$G$5)=0,[1]!S_SHARE_TOTAL(D194,[1]!s_ipo_listeddate(D194)),[1]!S_SHARE_TOTAL(D194,$G$5))))</f>
        <v/>
      </c>
      <c r="S194" s="247" t="str">
        <f ca="1">IF(C194="","",[1]!S_SHARE_TOTAL(D194,TODAY())/$E$5)</f>
        <v/>
      </c>
      <c r="T194" s="247" t="str">
        <f t="shared" ca="1" si="25"/>
        <v/>
      </c>
      <c r="U194" s="218" t="str">
        <f t="shared" ca="1" si="26"/>
        <v/>
      </c>
      <c r="V194" s="342" t="str">
        <f t="shared" ca="1" si="27"/>
        <v/>
      </c>
      <c r="W194" s="139"/>
      <c r="Y194" s="1"/>
    </row>
    <row r="195" spans="3:25" ht="12" customHeight="1">
      <c r="C195" s="343" t="str">
        <f t="shared" ca="1" si="22"/>
        <v/>
      </c>
      <c r="D195" s="124" t="str">
        <f t="shared" ca="1" si="23"/>
        <v/>
      </c>
      <c r="E195" s="124" t="str">
        <f t="shared" ca="1" si="24"/>
        <v/>
      </c>
      <c r="F195" s="172" t="str">
        <f ca="1">IF(C195="","",[1]!S_DQ_CLOSE(D195,TODAY(),1))</f>
        <v/>
      </c>
      <c r="G195" s="173" t="str">
        <f ca="1">IF(C195="","",[1]!s_pq_pctchange(D195,TODAY()-$G$12,TODAY())/100)</f>
        <v/>
      </c>
      <c r="H195" s="249" t="str">
        <f ca="1">IF(C195="","",IF($H$11="收入",[1]!S_STM07_IS(D195,9,$G$5,$H$13)/$E$5,[1]!S_STM07_IS(D195,48,$G$5,$H$13)/$E$5))</f>
        <v/>
      </c>
      <c r="I195" s="249" t="str">
        <f ca="1">IF(C195="","",IF($I$11="毛利率",([1]!S_STM07_IS(D195,9,$G$5,$H$13)-[1]!S_STM07_IS(D195,10,$G$5,$H$13))/[1]!S_STM07_IS(D195,9,$G$5,$H$13),[1]!S_STM07_IS(D195,14,$G$5,$H$13)/$E$5))</f>
        <v/>
      </c>
      <c r="J195" s="249" t="str">
        <f ca="1">IF(C195="","",IF($J$11="营业利润率",[1]!S_STM07_IS(D195,48,$G$5,$H$13)/[1]!S_STM07_IS(D195,9,$G$5,$H$13),([1]!S_STM07_CS(D195,87,$G$5,$H$13)+[1]!S_STM07_CS(D195,88,$G$5,$H$13)+[1]!S_STM07_CS(D195,89,$G$5,$H$13))/$E$5))</f>
        <v/>
      </c>
      <c r="K195" s="249" t="str">
        <f ca="1">IF(C195="","",IF($K$11="净利润率",[1]!S_STM07_IS(D195,61,$G$5,$H$13)/[1]!S_STM07_IS(D195,9,$G$5,$H$13),[1]!S_STM07_IS(D195,55,$G$5,$H$13)/$E$5))</f>
        <v/>
      </c>
      <c r="L195" s="249" t="str">
        <f ca="1">IF(C195="","",IF($L$11="ROA",[1]!S_STM07_IS(D195,61,$G$5,$H$13)/[1]!S_STM07_BS(D195,74,$G$5,$H$13),1-[1]!S_STM07_IS(D195,61,$G$5,$H$13)/[1]!S_STM07_IS(D195,55,$G$5,$H$13)))</f>
        <v/>
      </c>
      <c r="M195" s="249" t="str">
        <f ca="1">IF(C195="","",IF($M$11="ROE",[1]!S_STM07_IS(D195,61,$G$5,$H$13)/[1]!S_STM07_BS(D195,141,$G$5,$H$13),([1]!S_STM07_BS(D195,25,$G$5,$H$13)-[1]!S_STM07_BS(D195,93,$G$5,$H$13))/$E$5))</f>
        <v/>
      </c>
      <c r="N195" s="250" t="str">
        <f ca="1">IF(C195="","",IF($N$11="EPS",[1]!S_STM07_IS(D195,61,$G$5,$H$13)/IF([1]!S_SHARE_TOTAL(D195,$G$5)=0,[1]!S_SHARE_TOTAL(D195,[1]!s_ipo_listeddate(D195)),[1]!S_SHARE_TOTAL(D195,$G$5)),([1]!S_STM07_BS(D195,75,$G$5,$H$13)+[1]!S_STM07_BS(D195,88,$G$5,$H$13)+[1]!S_STM07_BS(D195,94,$G$5,$H$13)+[1]!S_STM07_BS(D195,95,$G$5,$H$13))/$E$5))</f>
        <v/>
      </c>
      <c r="O195" s="250" t="str">
        <f ca="1">IF(C195="","",IF($O$11="BPS",[1]!S_STM07_BS(D195,141,$G$5,$H$13)/IF([1]!S_SHARE_TOTAL(D195,$G$5)=0,[1]!S_SHARE_TOTAL(D195,[1]!s_ipo_listeddate(D195)),[1]!S_SHARE_TOTAL(D195,$G$5)),[1]!S_STM07_CS(D195,49,$G$5,$H$13)/$E$5))</f>
        <v/>
      </c>
      <c r="P195" s="250" t="str">
        <f ca="1">IF(C195="","",IF($P$11="CFPS",[1]!S_STM07_CS(D195,84,$G$5,$H$13)/IF([1]!S_SHARE_TOTAL(D195,$G$5)=0,[1]!S_SHARE_TOTAL(D195,[1]!s_ipo_listeddate(D195)),[1]!S_SHARE_TOTAL(D195,$G$5)),[1]!S_STM07_CS(D195,84,$G$5,$H$13)/$E$5))</f>
        <v/>
      </c>
      <c r="Q195" s="198" t="str">
        <f ca="1">IF(C195="","",F195/([1]!S_STM07_IS(D195,61,$G$5,$H$13)/IF([1]!S_SHARE_TOTAL(D195,$G$5)=0,[1]!S_SHARE_TOTAL(D195,[1]!s_ipo_listeddate(D195)),[1]!S_SHARE_TOTAL(D195,$G$5))))</f>
        <v/>
      </c>
      <c r="R195" s="198" t="str">
        <f ca="1">IF(C195="","",F195/([1]!S_STM07_BS(D195,141,$G$5,$H$13)/IF([1]!S_SHARE_TOTAL(D195,$G$5)=0,[1]!S_SHARE_TOTAL(D195,[1]!s_ipo_listeddate(D195)),[1]!S_SHARE_TOTAL(D195,$G$5))))</f>
        <v/>
      </c>
      <c r="S195" s="249" t="str">
        <f ca="1">IF(C195="","",[1]!S_SHARE_TOTAL(D195,TODAY())/$E$5)</f>
        <v/>
      </c>
      <c r="T195" s="249" t="str">
        <f t="shared" ca="1" si="25"/>
        <v/>
      </c>
      <c r="U195" s="172" t="str">
        <f t="shared" ca="1" si="26"/>
        <v/>
      </c>
      <c r="V195" s="343" t="str">
        <f t="shared" ca="1" si="27"/>
        <v/>
      </c>
      <c r="W195" s="139"/>
      <c r="Y195" s="1"/>
    </row>
    <row r="196" spans="3:25" ht="12" customHeight="1">
      <c r="C196" s="342" t="str">
        <f t="shared" ca="1" si="22"/>
        <v/>
      </c>
      <c r="D196" s="153" t="str">
        <f t="shared" ca="1" si="23"/>
        <v/>
      </c>
      <c r="E196" s="153" t="str">
        <f t="shared" ca="1" si="24"/>
        <v/>
      </c>
      <c r="F196" s="170" t="str">
        <f ca="1">IF(C196="","",[1]!S_DQ_CLOSE(D196,TODAY(),1))</f>
        <v/>
      </c>
      <c r="G196" s="171" t="str">
        <f ca="1">IF(C196="","",[1]!s_pq_pctchange(D196,TODAY()-$G$12,TODAY())/100)</f>
        <v/>
      </c>
      <c r="H196" s="247" t="str">
        <f ca="1">IF(C196="","",IF($H$11="收入",[1]!S_STM07_IS(D196,9,$G$5,$H$13)/$E$5,[1]!S_STM07_IS(D196,48,$G$5,$H$13)/$E$5))</f>
        <v/>
      </c>
      <c r="I196" s="247" t="str">
        <f ca="1">IF(C196="","",IF($I$11="毛利率",([1]!S_STM07_IS(D196,9,$G$5,$H$13)-[1]!S_STM07_IS(D196,10,$G$5,$H$13))/[1]!S_STM07_IS(D196,9,$G$5,$H$13),[1]!S_STM07_IS(D196,14,$G$5,$H$13)/$E$5))</f>
        <v/>
      </c>
      <c r="J196" s="247" t="str">
        <f ca="1">IF(C196="","",IF($J$11="营业利润率",[1]!S_STM07_IS(D196,48,$G$5,$H$13)/[1]!S_STM07_IS(D196,9,$G$5,$H$13),([1]!S_STM07_CS(D196,87,$G$5,$H$13)+[1]!S_STM07_CS(D196,88,$G$5,$H$13)+[1]!S_STM07_CS(D196,89,$G$5,$H$13))/$E$5))</f>
        <v/>
      </c>
      <c r="K196" s="247" t="str">
        <f ca="1">IF(C196="","",IF($K$11="净利润率",[1]!S_STM07_IS(D196,61,$G$5,$H$13)/[1]!S_STM07_IS(D196,9,$G$5,$H$13),[1]!S_STM07_IS(D196,55,$G$5,$H$13)/$E$5))</f>
        <v/>
      </c>
      <c r="L196" s="247" t="str">
        <f ca="1">IF(C196="","",IF($L$11="ROA",[1]!S_STM07_IS(D196,61,$G$5,$H$13)/[1]!S_STM07_BS(D196,74,$G$5,$H$13),1-[1]!S_STM07_IS(D196,61,$G$5,$H$13)/[1]!S_STM07_IS(D196,55,$G$5,$H$13)))</f>
        <v/>
      </c>
      <c r="M196" s="247" t="str">
        <f ca="1">IF(C196="","",IF($M$11="ROE",[1]!S_STM07_IS(D196,61,$G$5,$H$13)/[1]!S_STM07_BS(D196,141,$G$5,$H$13),([1]!S_STM07_BS(D196,25,$G$5,$H$13)-[1]!S_STM07_BS(D196,93,$G$5,$H$13))/$E$5))</f>
        <v/>
      </c>
      <c r="N196" s="247" t="str">
        <f ca="1">IF(C196="","",IF($N$11="EPS",[1]!S_STM07_IS(D196,61,$G$5,$H$13)/IF([1]!S_SHARE_TOTAL(D196,$G$5)=0,[1]!S_SHARE_TOTAL(D196,[1]!s_ipo_listeddate(D196)),[1]!S_SHARE_TOTAL(D196,$G$5)),([1]!S_STM07_BS(D196,75,$G$5,$H$13)+[1]!S_STM07_BS(D196,88,$G$5,$H$13)+[1]!S_STM07_BS(D196,94,$G$5,$H$13)+[1]!S_STM07_BS(D196,95,$G$5,$H$13))/$E$5))</f>
        <v/>
      </c>
      <c r="O196" s="247" t="str">
        <f ca="1">IF(C196="","",IF($O$11="BPS",[1]!S_STM07_BS(D196,141,$G$5,$H$13)/IF([1]!S_SHARE_TOTAL(D196,$G$5)=0,[1]!S_SHARE_TOTAL(D196,[1]!s_ipo_listeddate(D196)),[1]!S_SHARE_TOTAL(D196,$G$5)),[1]!S_STM07_CS(D196,49,$G$5,$H$13)/$E$5))</f>
        <v/>
      </c>
      <c r="P196" s="247" t="str">
        <f ca="1">IF(C196="","",IF($P$11="CFPS",[1]!S_STM07_CS(D196,84,$G$5,$H$13)/IF([1]!S_SHARE_TOTAL(D196,$G$5)=0,[1]!S_SHARE_TOTAL(D196,[1]!s_ipo_listeddate(D196)),[1]!S_SHARE_TOTAL(D196,$G$5)),[1]!S_STM07_CS(D196,84,$G$5,$H$13)/$E$5))</f>
        <v/>
      </c>
      <c r="Q196" s="248" t="str">
        <f ca="1">IF(C196="","",F196/([1]!S_STM07_IS(D196,61,$G$5,$H$13)/IF([1]!S_SHARE_TOTAL(D196,$G$5)=0,[1]!S_SHARE_TOTAL(D196,[1]!s_ipo_listeddate(D196)),[1]!S_SHARE_TOTAL(D196,$G$5))))</f>
        <v/>
      </c>
      <c r="R196" s="248" t="str">
        <f ca="1">IF(C196="","",F196/([1]!S_STM07_BS(D196,141,$G$5,$H$13)/IF([1]!S_SHARE_TOTAL(D196,$G$5)=0,[1]!S_SHARE_TOTAL(D196,[1]!s_ipo_listeddate(D196)),[1]!S_SHARE_TOTAL(D196,$G$5))))</f>
        <v/>
      </c>
      <c r="S196" s="247" t="str">
        <f ca="1">IF(C196="","",[1]!S_SHARE_TOTAL(D196,TODAY())/$E$5)</f>
        <v/>
      </c>
      <c r="T196" s="247" t="str">
        <f t="shared" ca="1" si="25"/>
        <v/>
      </c>
      <c r="U196" s="218" t="str">
        <f t="shared" ca="1" si="26"/>
        <v/>
      </c>
      <c r="V196" s="342" t="str">
        <f t="shared" ca="1" si="27"/>
        <v/>
      </c>
      <c r="W196" s="139"/>
      <c r="Y196" s="1"/>
    </row>
    <row r="197" spans="3:25" ht="12" customHeight="1">
      <c r="C197" s="343" t="str">
        <f t="shared" ca="1" si="22"/>
        <v/>
      </c>
      <c r="D197" s="124" t="str">
        <f t="shared" ca="1" si="23"/>
        <v/>
      </c>
      <c r="E197" s="124" t="str">
        <f t="shared" ca="1" si="24"/>
        <v/>
      </c>
      <c r="F197" s="172" t="str">
        <f ca="1">IF(C197="","",[1]!S_DQ_CLOSE(D197,TODAY(),1))</f>
        <v/>
      </c>
      <c r="G197" s="173" t="str">
        <f ca="1">IF(C197="","",[1]!s_pq_pctchange(D197,TODAY()-$G$12,TODAY())/100)</f>
        <v/>
      </c>
      <c r="H197" s="249" t="str">
        <f ca="1">IF(C197="","",IF($H$11="收入",[1]!S_STM07_IS(D197,9,$G$5,$H$13)/$E$5,[1]!S_STM07_IS(D197,48,$G$5,$H$13)/$E$5))</f>
        <v/>
      </c>
      <c r="I197" s="249" t="str">
        <f ca="1">IF(C197="","",IF($I$11="毛利率",([1]!S_STM07_IS(D197,9,$G$5,$H$13)-[1]!S_STM07_IS(D197,10,$G$5,$H$13))/[1]!S_STM07_IS(D197,9,$G$5,$H$13),[1]!S_STM07_IS(D197,14,$G$5,$H$13)/$E$5))</f>
        <v/>
      </c>
      <c r="J197" s="249" t="str">
        <f ca="1">IF(C197="","",IF($J$11="营业利润率",[1]!S_STM07_IS(D197,48,$G$5,$H$13)/[1]!S_STM07_IS(D197,9,$G$5,$H$13),([1]!S_STM07_CS(D197,87,$G$5,$H$13)+[1]!S_STM07_CS(D197,88,$G$5,$H$13)+[1]!S_STM07_CS(D197,89,$G$5,$H$13))/$E$5))</f>
        <v/>
      </c>
      <c r="K197" s="249" t="str">
        <f ca="1">IF(C197="","",IF($K$11="净利润率",[1]!S_STM07_IS(D197,61,$G$5,$H$13)/[1]!S_STM07_IS(D197,9,$G$5,$H$13),[1]!S_STM07_IS(D197,55,$G$5,$H$13)/$E$5))</f>
        <v/>
      </c>
      <c r="L197" s="249" t="str">
        <f ca="1">IF(C197="","",IF($L$11="ROA",[1]!S_STM07_IS(D197,61,$G$5,$H$13)/[1]!S_STM07_BS(D197,74,$G$5,$H$13),1-[1]!S_STM07_IS(D197,61,$G$5,$H$13)/[1]!S_STM07_IS(D197,55,$G$5,$H$13)))</f>
        <v/>
      </c>
      <c r="M197" s="249" t="str">
        <f ca="1">IF(C197="","",IF($M$11="ROE",[1]!S_STM07_IS(D197,61,$G$5,$H$13)/[1]!S_STM07_BS(D197,141,$G$5,$H$13),([1]!S_STM07_BS(D197,25,$G$5,$H$13)-[1]!S_STM07_BS(D197,93,$G$5,$H$13))/$E$5))</f>
        <v/>
      </c>
      <c r="N197" s="250" t="str">
        <f ca="1">IF(C197="","",IF($N$11="EPS",[1]!S_STM07_IS(D197,61,$G$5,$H$13)/IF([1]!S_SHARE_TOTAL(D197,$G$5)=0,[1]!S_SHARE_TOTAL(D197,[1]!s_ipo_listeddate(D197)),[1]!S_SHARE_TOTAL(D197,$G$5)),([1]!S_STM07_BS(D197,75,$G$5,$H$13)+[1]!S_STM07_BS(D197,88,$G$5,$H$13)+[1]!S_STM07_BS(D197,94,$G$5,$H$13)+[1]!S_STM07_BS(D197,95,$G$5,$H$13))/$E$5))</f>
        <v/>
      </c>
      <c r="O197" s="250" t="str">
        <f ca="1">IF(C197="","",IF($O$11="BPS",[1]!S_STM07_BS(D197,141,$G$5,$H$13)/IF([1]!S_SHARE_TOTAL(D197,$G$5)=0,[1]!S_SHARE_TOTAL(D197,[1]!s_ipo_listeddate(D197)),[1]!S_SHARE_TOTAL(D197,$G$5)),[1]!S_STM07_CS(D197,49,$G$5,$H$13)/$E$5))</f>
        <v/>
      </c>
      <c r="P197" s="250" t="str">
        <f ca="1">IF(C197="","",IF($P$11="CFPS",[1]!S_STM07_CS(D197,84,$G$5,$H$13)/IF([1]!S_SHARE_TOTAL(D197,$G$5)=0,[1]!S_SHARE_TOTAL(D197,[1]!s_ipo_listeddate(D197)),[1]!S_SHARE_TOTAL(D197,$G$5)),[1]!S_STM07_CS(D197,84,$G$5,$H$13)/$E$5))</f>
        <v/>
      </c>
      <c r="Q197" s="198" t="str">
        <f ca="1">IF(C197="","",F197/([1]!S_STM07_IS(D197,61,$G$5,$H$13)/IF([1]!S_SHARE_TOTAL(D197,$G$5)=0,[1]!S_SHARE_TOTAL(D197,[1]!s_ipo_listeddate(D197)),[1]!S_SHARE_TOTAL(D197,$G$5))))</f>
        <v/>
      </c>
      <c r="R197" s="198" t="str">
        <f ca="1">IF(C197="","",F197/([1]!S_STM07_BS(D197,141,$G$5,$H$13)/IF([1]!S_SHARE_TOTAL(D197,$G$5)=0,[1]!S_SHARE_TOTAL(D197,[1]!s_ipo_listeddate(D197)),[1]!S_SHARE_TOTAL(D197,$G$5))))</f>
        <v/>
      </c>
      <c r="S197" s="249" t="str">
        <f ca="1">IF(C197="","",[1]!S_SHARE_TOTAL(D197,TODAY())/$E$5)</f>
        <v/>
      </c>
      <c r="T197" s="249" t="str">
        <f t="shared" ca="1" si="25"/>
        <v/>
      </c>
      <c r="U197" s="172" t="str">
        <f t="shared" ca="1" si="26"/>
        <v/>
      </c>
      <c r="V197" s="343" t="str">
        <f t="shared" ca="1" si="27"/>
        <v/>
      </c>
      <c r="W197" s="139"/>
      <c r="Y197" s="1"/>
    </row>
    <row r="198" spans="3:25" ht="12" customHeight="1">
      <c r="C198" s="342" t="str">
        <f t="shared" ca="1" si="22"/>
        <v/>
      </c>
      <c r="D198" s="153" t="str">
        <f t="shared" ca="1" si="23"/>
        <v/>
      </c>
      <c r="E198" s="153" t="str">
        <f t="shared" ca="1" si="24"/>
        <v/>
      </c>
      <c r="F198" s="170" t="str">
        <f ca="1">IF(C198="","",[1]!S_DQ_CLOSE(D198,TODAY(),1))</f>
        <v/>
      </c>
      <c r="G198" s="171" t="str">
        <f ca="1">IF(C198="","",[1]!s_pq_pctchange(D198,TODAY()-$G$12,TODAY())/100)</f>
        <v/>
      </c>
      <c r="H198" s="247" t="str">
        <f ca="1">IF(C198="","",IF($H$11="收入",[1]!S_STM07_IS(D198,9,$G$5,$H$13)/$E$5,[1]!S_STM07_IS(D198,48,$G$5,$H$13)/$E$5))</f>
        <v/>
      </c>
      <c r="I198" s="247" t="str">
        <f ca="1">IF(C198="","",IF($I$11="毛利率",([1]!S_STM07_IS(D198,9,$G$5,$H$13)-[1]!S_STM07_IS(D198,10,$G$5,$H$13))/[1]!S_STM07_IS(D198,9,$G$5,$H$13),[1]!S_STM07_IS(D198,14,$G$5,$H$13)/$E$5))</f>
        <v/>
      </c>
      <c r="J198" s="247" t="str">
        <f ca="1">IF(C198="","",IF($J$11="营业利润率",[1]!S_STM07_IS(D198,48,$G$5,$H$13)/[1]!S_STM07_IS(D198,9,$G$5,$H$13),([1]!S_STM07_CS(D198,87,$G$5,$H$13)+[1]!S_STM07_CS(D198,88,$G$5,$H$13)+[1]!S_STM07_CS(D198,89,$G$5,$H$13))/$E$5))</f>
        <v/>
      </c>
      <c r="K198" s="247" t="str">
        <f ca="1">IF(C198="","",IF($K$11="净利润率",[1]!S_STM07_IS(D198,61,$G$5,$H$13)/[1]!S_STM07_IS(D198,9,$G$5,$H$13),[1]!S_STM07_IS(D198,55,$G$5,$H$13)/$E$5))</f>
        <v/>
      </c>
      <c r="L198" s="247" t="str">
        <f ca="1">IF(C198="","",IF($L$11="ROA",[1]!S_STM07_IS(D198,61,$G$5,$H$13)/[1]!S_STM07_BS(D198,74,$G$5,$H$13),1-[1]!S_STM07_IS(D198,61,$G$5,$H$13)/[1]!S_STM07_IS(D198,55,$G$5,$H$13)))</f>
        <v/>
      </c>
      <c r="M198" s="247" t="str">
        <f ca="1">IF(C198="","",IF($M$11="ROE",[1]!S_STM07_IS(D198,61,$G$5,$H$13)/[1]!S_STM07_BS(D198,141,$G$5,$H$13),([1]!S_STM07_BS(D198,25,$G$5,$H$13)-[1]!S_STM07_BS(D198,93,$G$5,$H$13))/$E$5))</f>
        <v/>
      </c>
      <c r="N198" s="247" t="str">
        <f ca="1">IF(C198="","",IF($N$11="EPS",[1]!S_STM07_IS(D198,61,$G$5,$H$13)/IF([1]!S_SHARE_TOTAL(D198,$G$5)=0,[1]!S_SHARE_TOTAL(D198,[1]!s_ipo_listeddate(D198)),[1]!S_SHARE_TOTAL(D198,$G$5)),([1]!S_STM07_BS(D198,75,$G$5,$H$13)+[1]!S_STM07_BS(D198,88,$G$5,$H$13)+[1]!S_STM07_BS(D198,94,$G$5,$H$13)+[1]!S_STM07_BS(D198,95,$G$5,$H$13))/$E$5))</f>
        <v/>
      </c>
      <c r="O198" s="247" t="str">
        <f ca="1">IF(C198="","",IF($O$11="BPS",[1]!S_STM07_BS(D198,141,$G$5,$H$13)/IF([1]!S_SHARE_TOTAL(D198,$G$5)=0,[1]!S_SHARE_TOTAL(D198,[1]!s_ipo_listeddate(D198)),[1]!S_SHARE_TOTAL(D198,$G$5)),[1]!S_STM07_CS(D198,49,$G$5,$H$13)/$E$5))</f>
        <v/>
      </c>
      <c r="P198" s="247" t="str">
        <f ca="1">IF(C198="","",IF($P$11="CFPS",[1]!S_STM07_CS(D198,84,$G$5,$H$13)/IF([1]!S_SHARE_TOTAL(D198,$G$5)=0,[1]!S_SHARE_TOTAL(D198,[1]!s_ipo_listeddate(D198)),[1]!S_SHARE_TOTAL(D198,$G$5)),[1]!S_STM07_CS(D198,84,$G$5,$H$13)/$E$5))</f>
        <v/>
      </c>
      <c r="Q198" s="248" t="str">
        <f ca="1">IF(C198="","",F198/([1]!S_STM07_IS(D198,61,$G$5,$H$13)/IF([1]!S_SHARE_TOTAL(D198,$G$5)=0,[1]!S_SHARE_TOTAL(D198,[1]!s_ipo_listeddate(D198)),[1]!S_SHARE_TOTAL(D198,$G$5))))</f>
        <v/>
      </c>
      <c r="R198" s="248" t="str">
        <f ca="1">IF(C198="","",F198/([1]!S_STM07_BS(D198,141,$G$5,$H$13)/IF([1]!S_SHARE_TOTAL(D198,$G$5)=0,[1]!S_SHARE_TOTAL(D198,[1]!s_ipo_listeddate(D198)),[1]!S_SHARE_TOTAL(D198,$G$5))))</f>
        <v/>
      </c>
      <c r="S198" s="247" t="str">
        <f ca="1">IF(C198="","",[1]!S_SHARE_TOTAL(D198,TODAY())/$E$5)</f>
        <v/>
      </c>
      <c r="T198" s="247" t="str">
        <f t="shared" ca="1" si="25"/>
        <v/>
      </c>
      <c r="U198" s="218" t="str">
        <f t="shared" ca="1" si="26"/>
        <v/>
      </c>
      <c r="V198" s="342" t="str">
        <f t="shared" ca="1" si="27"/>
        <v/>
      </c>
      <c r="W198" s="139"/>
      <c r="Y198" s="1"/>
    </row>
    <row r="199" spans="3:25" ht="12" customHeight="1">
      <c r="C199" s="343" t="str">
        <f t="shared" ca="1" si="22"/>
        <v/>
      </c>
      <c r="D199" s="124" t="str">
        <f t="shared" ca="1" si="23"/>
        <v/>
      </c>
      <c r="E199" s="124" t="str">
        <f t="shared" ca="1" si="24"/>
        <v/>
      </c>
      <c r="F199" s="172" t="str">
        <f ca="1">IF(C199="","",[1]!S_DQ_CLOSE(D199,TODAY(),1))</f>
        <v/>
      </c>
      <c r="G199" s="173" t="str">
        <f ca="1">IF(C199="","",[1]!s_pq_pctchange(D199,TODAY()-$G$12,TODAY())/100)</f>
        <v/>
      </c>
      <c r="H199" s="249" t="str">
        <f ca="1">IF(C199="","",IF($H$11="收入",[1]!S_STM07_IS(D199,9,$G$5,$H$13)/$E$5,[1]!S_STM07_IS(D199,48,$G$5,$H$13)/$E$5))</f>
        <v/>
      </c>
      <c r="I199" s="249" t="str">
        <f ca="1">IF(C199="","",IF($I$11="毛利率",([1]!S_STM07_IS(D199,9,$G$5,$H$13)-[1]!S_STM07_IS(D199,10,$G$5,$H$13))/[1]!S_STM07_IS(D199,9,$G$5,$H$13),[1]!S_STM07_IS(D199,14,$G$5,$H$13)/$E$5))</f>
        <v/>
      </c>
      <c r="J199" s="249" t="str">
        <f ca="1">IF(C199="","",IF($J$11="营业利润率",[1]!S_STM07_IS(D199,48,$G$5,$H$13)/[1]!S_STM07_IS(D199,9,$G$5,$H$13),([1]!S_STM07_CS(D199,87,$G$5,$H$13)+[1]!S_STM07_CS(D199,88,$G$5,$H$13)+[1]!S_STM07_CS(D199,89,$G$5,$H$13))/$E$5))</f>
        <v/>
      </c>
      <c r="K199" s="249" t="str">
        <f ca="1">IF(C199="","",IF($K$11="净利润率",[1]!S_STM07_IS(D199,61,$G$5,$H$13)/[1]!S_STM07_IS(D199,9,$G$5,$H$13),[1]!S_STM07_IS(D199,55,$G$5,$H$13)/$E$5))</f>
        <v/>
      </c>
      <c r="L199" s="249" t="str">
        <f ca="1">IF(C199="","",IF($L$11="ROA",[1]!S_STM07_IS(D199,61,$G$5,$H$13)/[1]!S_STM07_BS(D199,74,$G$5,$H$13),1-[1]!S_STM07_IS(D199,61,$G$5,$H$13)/[1]!S_STM07_IS(D199,55,$G$5,$H$13)))</f>
        <v/>
      </c>
      <c r="M199" s="249" t="str">
        <f ca="1">IF(C199="","",IF($M$11="ROE",[1]!S_STM07_IS(D199,61,$G$5,$H$13)/[1]!S_STM07_BS(D199,141,$G$5,$H$13),([1]!S_STM07_BS(D199,25,$G$5,$H$13)-[1]!S_STM07_BS(D199,93,$G$5,$H$13))/$E$5))</f>
        <v/>
      </c>
      <c r="N199" s="250" t="str">
        <f ca="1">IF(C199="","",IF($N$11="EPS",[1]!S_STM07_IS(D199,61,$G$5,$H$13)/IF([1]!S_SHARE_TOTAL(D199,$G$5)=0,[1]!S_SHARE_TOTAL(D199,[1]!s_ipo_listeddate(D199)),[1]!S_SHARE_TOTAL(D199,$G$5)),([1]!S_STM07_BS(D199,75,$G$5,$H$13)+[1]!S_STM07_BS(D199,88,$G$5,$H$13)+[1]!S_STM07_BS(D199,94,$G$5,$H$13)+[1]!S_STM07_BS(D199,95,$G$5,$H$13))/$E$5))</f>
        <v/>
      </c>
      <c r="O199" s="250" t="str">
        <f ca="1">IF(C199="","",IF($O$11="BPS",[1]!S_STM07_BS(D199,141,$G$5,$H$13)/IF([1]!S_SHARE_TOTAL(D199,$G$5)=0,[1]!S_SHARE_TOTAL(D199,[1]!s_ipo_listeddate(D199)),[1]!S_SHARE_TOTAL(D199,$G$5)),[1]!S_STM07_CS(D199,49,$G$5,$H$13)/$E$5))</f>
        <v/>
      </c>
      <c r="P199" s="250" t="str">
        <f ca="1">IF(C199="","",IF($P$11="CFPS",[1]!S_STM07_CS(D199,84,$G$5,$H$13)/IF([1]!S_SHARE_TOTAL(D199,$G$5)=0,[1]!S_SHARE_TOTAL(D199,[1]!s_ipo_listeddate(D199)),[1]!S_SHARE_TOTAL(D199,$G$5)),[1]!S_STM07_CS(D199,84,$G$5,$H$13)/$E$5))</f>
        <v/>
      </c>
      <c r="Q199" s="198" t="str">
        <f ca="1">IF(C199="","",F199/([1]!S_STM07_IS(D199,61,$G$5,$H$13)/IF([1]!S_SHARE_TOTAL(D199,$G$5)=0,[1]!S_SHARE_TOTAL(D199,[1]!s_ipo_listeddate(D199)),[1]!S_SHARE_TOTAL(D199,$G$5))))</f>
        <v/>
      </c>
      <c r="R199" s="198" t="str">
        <f ca="1">IF(C199="","",F199/([1]!S_STM07_BS(D199,141,$G$5,$H$13)/IF([1]!S_SHARE_TOTAL(D199,$G$5)=0,[1]!S_SHARE_TOTAL(D199,[1]!s_ipo_listeddate(D199)),[1]!S_SHARE_TOTAL(D199,$G$5))))</f>
        <v/>
      </c>
      <c r="S199" s="249" t="str">
        <f ca="1">IF(C199="","",[1]!S_SHARE_TOTAL(D199,TODAY())/$E$5)</f>
        <v/>
      </c>
      <c r="T199" s="249" t="str">
        <f t="shared" ca="1" si="25"/>
        <v/>
      </c>
      <c r="U199" s="172" t="str">
        <f t="shared" ca="1" si="26"/>
        <v/>
      </c>
      <c r="V199" s="343" t="str">
        <f t="shared" ca="1" si="27"/>
        <v/>
      </c>
      <c r="W199" s="139"/>
      <c r="Y199" s="1"/>
    </row>
    <row r="200" spans="3:25" ht="12" customHeight="1">
      <c r="C200" s="342" t="str">
        <f t="shared" ca="1" si="22"/>
        <v/>
      </c>
      <c r="D200" s="153" t="str">
        <f t="shared" ca="1" si="23"/>
        <v/>
      </c>
      <c r="E200" s="153" t="str">
        <f t="shared" ca="1" si="24"/>
        <v/>
      </c>
      <c r="F200" s="170" t="str">
        <f ca="1">IF(C200="","",[1]!S_DQ_CLOSE(D200,TODAY(),1))</f>
        <v/>
      </c>
      <c r="G200" s="171" t="str">
        <f ca="1">IF(C200="","",[1]!s_pq_pctchange(D200,TODAY()-$G$12,TODAY())/100)</f>
        <v/>
      </c>
      <c r="H200" s="247" t="str">
        <f ca="1">IF(C200="","",IF($H$11="收入",[1]!S_STM07_IS(D200,9,$G$5,$H$13)/$E$5,[1]!S_STM07_IS(D200,48,$G$5,$H$13)/$E$5))</f>
        <v/>
      </c>
      <c r="I200" s="247" t="str">
        <f ca="1">IF(C200="","",IF($I$11="毛利率",([1]!S_STM07_IS(D200,9,$G$5,$H$13)-[1]!S_STM07_IS(D200,10,$G$5,$H$13))/[1]!S_STM07_IS(D200,9,$G$5,$H$13),[1]!S_STM07_IS(D200,14,$G$5,$H$13)/$E$5))</f>
        <v/>
      </c>
      <c r="J200" s="247" t="str">
        <f ca="1">IF(C200="","",IF($J$11="营业利润率",[1]!S_STM07_IS(D200,48,$G$5,$H$13)/[1]!S_STM07_IS(D200,9,$G$5,$H$13),([1]!S_STM07_CS(D200,87,$G$5,$H$13)+[1]!S_STM07_CS(D200,88,$G$5,$H$13)+[1]!S_STM07_CS(D200,89,$G$5,$H$13))/$E$5))</f>
        <v/>
      </c>
      <c r="K200" s="247" t="str">
        <f ca="1">IF(C200="","",IF($K$11="净利润率",[1]!S_STM07_IS(D200,61,$G$5,$H$13)/[1]!S_STM07_IS(D200,9,$G$5,$H$13),[1]!S_STM07_IS(D200,55,$G$5,$H$13)/$E$5))</f>
        <v/>
      </c>
      <c r="L200" s="247" t="str">
        <f ca="1">IF(C200="","",IF($L$11="ROA",[1]!S_STM07_IS(D200,61,$G$5,$H$13)/[1]!S_STM07_BS(D200,74,$G$5,$H$13),1-[1]!S_STM07_IS(D200,61,$G$5,$H$13)/[1]!S_STM07_IS(D200,55,$G$5,$H$13)))</f>
        <v/>
      </c>
      <c r="M200" s="247" t="str">
        <f ca="1">IF(C200="","",IF($M$11="ROE",[1]!S_STM07_IS(D200,61,$G$5,$H$13)/[1]!S_STM07_BS(D200,141,$G$5,$H$13),([1]!S_STM07_BS(D200,25,$G$5,$H$13)-[1]!S_STM07_BS(D200,93,$G$5,$H$13))/$E$5))</f>
        <v/>
      </c>
      <c r="N200" s="247" t="str">
        <f ca="1">IF(C200="","",IF($N$11="EPS",[1]!S_STM07_IS(D200,61,$G$5,$H$13)/IF([1]!S_SHARE_TOTAL(D200,$G$5)=0,[1]!S_SHARE_TOTAL(D200,[1]!s_ipo_listeddate(D200)),[1]!S_SHARE_TOTAL(D200,$G$5)),([1]!S_STM07_BS(D200,75,$G$5,$H$13)+[1]!S_STM07_BS(D200,88,$G$5,$H$13)+[1]!S_STM07_BS(D200,94,$G$5,$H$13)+[1]!S_STM07_BS(D200,95,$G$5,$H$13))/$E$5))</f>
        <v/>
      </c>
      <c r="O200" s="247" t="str">
        <f ca="1">IF(C200="","",IF($O$11="BPS",[1]!S_STM07_BS(D200,141,$G$5,$H$13)/IF([1]!S_SHARE_TOTAL(D200,$G$5)=0,[1]!S_SHARE_TOTAL(D200,[1]!s_ipo_listeddate(D200)),[1]!S_SHARE_TOTAL(D200,$G$5)),[1]!S_STM07_CS(D200,49,$G$5,$H$13)/$E$5))</f>
        <v/>
      </c>
      <c r="P200" s="247" t="str">
        <f ca="1">IF(C200="","",IF($P$11="CFPS",[1]!S_STM07_CS(D200,84,$G$5,$H$13)/IF([1]!S_SHARE_TOTAL(D200,$G$5)=0,[1]!S_SHARE_TOTAL(D200,[1]!s_ipo_listeddate(D200)),[1]!S_SHARE_TOTAL(D200,$G$5)),[1]!S_STM07_CS(D200,84,$G$5,$H$13)/$E$5))</f>
        <v/>
      </c>
      <c r="Q200" s="248" t="str">
        <f ca="1">IF(C200="","",F200/([1]!S_STM07_IS(D200,61,$G$5,$H$13)/IF([1]!S_SHARE_TOTAL(D200,$G$5)=0,[1]!S_SHARE_TOTAL(D200,[1]!s_ipo_listeddate(D200)),[1]!S_SHARE_TOTAL(D200,$G$5))))</f>
        <v/>
      </c>
      <c r="R200" s="248" t="str">
        <f ca="1">IF(C200="","",F200/([1]!S_STM07_BS(D200,141,$G$5,$H$13)/IF([1]!S_SHARE_TOTAL(D200,$G$5)=0,[1]!S_SHARE_TOTAL(D200,[1]!s_ipo_listeddate(D200)),[1]!S_SHARE_TOTAL(D200,$G$5))))</f>
        <v/>
      </c>
      <c r="S200" s="247" t="str">
        <f ca="1">IF(C200="","",[1]!S_SHARE_TOTAL(D200,TODAY())/$E$5)</f>
        <v/>
      </c>
      <c r="T200" s="247" t="str">
        <f t="shared" ca="1" si="25"/>
        <v/>
      </c>
      <c r="U200" s="218" t="str">
        <f t="shared" ca="1" si="26"/>
        <v/>
      </c>
      <c r="V200" s="342" t="str">
        <f t="shared" ca="1" si="27"/>
        <v/>
      </c>
      <c r="W200" s="139"/>
      <c r="Y200" s="1"/>
    </row>
    <row r="201" spans="3:25" ht="12" customHeight="1">
      <c r="C201" s="343" t="str">
        <f t="shared" ca="1" si="22"/>
        <v/>
      </c>
      <c r="D201" s="124" t="str">
        <f t="shared" ca="1" si="23"/>
        <v/>
      </c>
      <c r="E201" s="124" t="str">
        <f t="shared" ca="1" si="24"/>
        <v/>
      </c>
      <c r="F201" s="172" t="str">
        <f ca="1">IF(C201="","",[1]!S_DQ_CLOSE(D201,TODAY(),1))</f>
        <v/>
      </c>
      <c r="G201" s="173" t="str">
        <f ca="1">IF(C201="","",[1]!s_pq_pctchange(D201,TODAY()-$G$12,TODAY())/100)</f>
        <v/>
      </c>
      <c r="H201" s="249" t="str">
        <f ca="1">IF(C201="","",IF($H$11="收入",[1]!S_STM07_IS(D201,9,$G$5,$H$13)/$E$5,[1]!S_STM07_IS(D201,48,$G$5,$H$13)/$E$5))</f>
        <v/>
      </c>
      <c r="I201" s="249" t="str">
        <f ca="1">IF(C201="","",IF($I$11="毛利率",([1]!S_STM07_IS(D201,9,$G$5,$H$13)-[1]!S_STM07_IS(D201,10,$G$5,$H$13))/[1]!S_STM07_IS(D201,9,$G$5,$H$13),[1]!S_STM07_IS(D201,14,$G$5,$H$13)/$E$5))</f>
        <v/>
      </c>
      <c r="J201" s="249" t="str">
        <f ca="1">IF(C201="","",IF($J$11="营业利润率",[1]!S_STM07_IS(D201,48,$G$5,$H$13)/[1]!S_STM07_IS(D201,9,$G$5,$H$13),([1]!S_STM07_CS(D201,87,$G$5,$H$13)+[1]!S_STM07_CS(D201,88,$G$5,$H$13)+[1]!S_STM07_CS(D201,89,$G$5,$H$13))/$E$5))</f>
        <v/>
      </c>
      <c r="K201" s="249" t="str">
        <f ca="1">IF(C201="","",IF($K$11="净利润率",[1]!S_STM07_IS(D201,61,$G$5,$H$13)/[1]!S_STM07_IS(D201,9,$G$5,$H$13),[1]!S_STM07_IS(D201,55,$G$5,$H$13)/$E$5))</f>
        <v/>
      </c>
      <c r="L201" s="249" t="str">
        <f ca="1">IF(C201="","",IF($L$11="ROA",[1]!S_STM07_IS(D201,61,$G$5,$H$13)/[1]!S_STM07_BS(D201,74,$G$5,$H$13),1-[1]!S_STM07_IS(D201,61,$G$5,$H$13)/[1]!S_STM07_IS(D201,55,$G$5,$H$13)))</f>
        <v/>
      </c>
      <c r="M201" s="249" t="str">
        <f ca="1">IF(C201="","",IF($M$11="ROE",[1]!S_STM07_IS(D201,61,$G$5,$H$13)/[1]!S_STM07_BS(D201,141,$G$5,$H$13),([1]!S_STM07_BS(D201,25,$G$5,$H$13)-[1]!S_STM07_BS(D201,93,$G$5,$H$13))/$E$5))</f>
        <v/>
      </c>
      <c r="N201" s="250" t="str">
        <f ca="1">IF(C201="","",IF($N$11="EPS",[1]!S_STM07_IS(D201,61,$G$5,$H$13)/IF([1]!S_SHARE_TOTAL(D201,$G$5)=0,[1]!S_SHARE_TOTAL(D201,[1]!s_ipo_listeddate(D201)),[1]!S_SHARE_TOTAL(D201,$G$5)),([1]!S_STM07_BS(D201,75,$G$5,$H$13)+[1]!S_STM07_BS(D201,88,$G$5,$H$13)+[1]!S_STM07_BS(D201,94,$G$5,$H$13)+[1]!S_STM07_BS(D201,95,$G$5,$H$13))/$E$5))</f>
        <v/>
      </c>
      <c r="O201" s="250" t="str">
        <f ca="1">IF(C201="","",IF($O$11="BPS",[1]!S_STM07_BS(D201,141,$G$5,$H$13)/IF([1]!S_SHARE_TOTAL(D201,$G$5)=0,[1]!S_SHARE_TOTAL(D201,[1]!s_ipo_listeddate(D201)),[1]!S_SHARE_TOTAL(D201,$G$5)),[1]!S_STM07_CS(D201,49,$G$5,$H$13)/$E$5))</f>
        <v/>
      </c>
      <c r="P201" s="250" t="str">
        <f ca="1">IF(C201="","",IF($P$11="CFPS",[1]!S_STM07_CS(D201,84,$G$5,$H$13)/IF([1]!S_SHARE_TOTAL(D201,$G$5)=0,[1]!S_SHARE_TOTAL(D201,[1]!s_ipo_listeddate(D201)),[1]!S_SHARE_TOTAL(D201,$G$5)),[1]!S_STM07_CS(D201,84,$G$5,$H$13)/$E$5))</f>
        <v/>
      </c>
      <c r="Q201" s="198" t="str">
        <f ca="1">IF(C201="","",F201/([1]!S_STM07_IS(D201,61,$G$5,$H$13)/IF([1]!S_SHARE_TOTAL(D201,$G$5)=0,[1]!S_SHARE_TOTAL(D201,[1]!s_ipo_listeddate(D201)),[1]!S_SHARE_TOTAL(D201,$G$5))))</f>
        <v/>
      </c>
      <c r="R201" s="198" t="str">
        <f ca="1">IF(C201="","",F201/([1]!S_STM07_BS(D201,141,$G$5,$H$13)/IF([1]!S_SHARE_TOTAL(D201,$G$5)=0,[1]!S_SHARE_TOTAL(D201,[1]!s_ipo_listeddate(D201)),[1]!S_SHARE_TOTAL(D201,$G$5))))</f>
        <v/>
      </c>
      <c r="S201" s="249" t="str">
        <f ca="1">IF(C201="","",[1]!S_SHARE_TOTAL(D201,TODAY())/$E$5)</f>
        <v/>
      </c>
      <c r="T201" s="249" t="str">
        <f t="shared" ca="1" si="25"/>
        <v/>
      </c>
      <c r="U201" s="172" t="str">
        <f t="shared" ca="1" si="26"/>
        <v/>
      </c>
      <c r="V201" s="343" t="str">
        <f t="shared" ca="1" si="27"/>
        <v/>
      </c>
      <c r="W201" s="139"/>
      <c r="Y201" s="1"/>
    </row>
    <row r="202" spans="3:25" ht="12" customHeight="1">
      <c r="C202" s="342" t="str">
        <f t="shared" ca="1" si="22"/>
        <v/>
      </c>
      <c r="D202" s="153" t="str">
        <f t="shared" ca="1" si="23"/>
        <v/>
      </c>
      <c r="E202" s="153" t="str">
        <f t="shared" ca="1" si="24"/>
        <v/>
      </c>
      <c r="F202" s="170" t="str">
        <f ca="1">IF(C202="","",[1]!S_DQ_CLOSE(D202,TODAY(),1))</f>
        <v/>
      </c>
      <c r="G202" s="171" t="str">
        <f ca="1">IF(C202="","",[1]!s_pq_pctchange(D202,TODAY()-$G$12,TODAY())/100)</f>
        <v/>
      </c>
      <c r="H202" s="247" t="str">
        <f ca="1">IF(C202="","",IF($H$11="收入",[1]!S_STM07_IS(D202,9,$G$5,$H$13)/$E$5,[1]!S_STM07_IS(D202,48,$G$5,$H$13)/$E$5))</f>
        <v/>
      </c>
      <c r="I202" s="247" t="str">
        <f ca="1">IF(C202="","",IF($I$11="毛利率",([1]!S_STM07_IS(D202,9,$G$5,$H$13)-[1]!S_STM07_IS(D202,10,$G$5,$H$13))/[1]!S_STM07_IS(D202,9,$G$5,$H$13),[1]!S_STM07_IS(D202,14,$G$5,$H$13)/$E$5))</f>
        <v/>
      </c>
      <c r="J202" s="247" t="str">
        <f ca="1">IF(C202="","",IF($J$11="营业利润率",[1]!S_STM07_IS(D202,48,$G$5,$H$13)/[1]!S_STM07_IS(D202,9,$G$5,$H$13),([1]!S_STM07_CS(D202,87,$G$5,$H$13)+[1]!S_STM07_CS(D202,88,$G$5,$H$13)+[1]!S_STM07_CS(D202,89,$G$5,$H$13))/$E$5))</f>
        <v/>
      </c>
      <c r="K202" s="247" t="str">
        <f ca="1">IF(C202="","",IF($K$11="净利润率",[1]!S_STM07_IS(D202,61,$G$5,$H$13)/[1]!S_STM07_IS(D202,9,$G$5,$H$13),[1]!S_STM07_IS(D202,55,$G$5,$H$13)/$E$5))</f>
        <v/>
      </c>
      <c r="L202" s="247" t="str">
        <f ca="1">IF(C202="","",IF($L$11="ROA",[1]!S_STM07_IS(D202,61,$G$5,$H$13)/[1]!S_STM07_BS(D202,74,$G$5,$H$13),1-[1]!S_STM07_IS(D202,61,$G$5,$H$13)/[1]!S_STM07_IS(D202,55,$G$5,$H$13)))</f>
        <v/>
      </c>
      <c r="M202" s="247" t="str">
        <f ca="1">IF(C202="","",IF($M$11="ROE",[1]!S_STM07_IS(D202,61,$G$5,$H$13)/[1]!S_STM07_BS(D202,141,$G$5,$H$13),([1]!S_STM07_BS(D202,25,$G$5,$H$13)-[1]!S_STM07_BS(D202,93,$G$5,$H$13))/$E$5))</f>
        <v/>
      </c>
      <c r="N202" s="247" t="str">
        <f ca="1">IF(C202="","",IF($N$11="EPS",[1]!S_STM07_IS(D202,61,$G$5,$H$13)/IF([1]!S_SHARE_TOTAL(D202,$G$5)=0,[1]!S_SHARE_TOTAL(D202,[1]!s_ipo_listeddate(D202)),[1]!S_SHARE_TOTAL(D202,$G$5)),([1]!S_STM07_BS(D202,75,$G$5,$H$13)+[1]!S_STM07_BS(D202,88,$G$5,$H$13)+[1]!S_STM07_BS(D202,94,$G$5,$H$13)+[1]!S_STM07_BS(D202,95,$G$5,$H$13))/$E$5))</f>
        <v/>
      </c>
      <c r="O202" s="247" t="str">
        <f ca="1">IF(C202="","",IF($O$11="BPS",[1]!S_STM07_BS(D202,141,$G$5,$H$13)/IF([1]!S_SHARE_TOTAL(D202,$G$5)=0,[1]!S_SHARE_TOTAL(D202,[1]!s_ipo_listeddate(D202)),[1]!S_SHARE_TOTAL(D202,$G$5)),[1]!S_STM07_CS(D202,49,$G$5,$H$13)/$E$5))</f>
        <v/>
      </c>
      <c r="P202" s="247" t="str">
        <f ca="1">IF(C202="","",IF($P$11="CFPS",[1]!S_STM07_CS(D202,84,$G$5,$H$13)/IF([1]!S_SHARE_TOTAL(D202,$G$5)=0,[1]!S_SHARE_TOTAL(D202,[1]!s_ipo_listeddate(D202)),[1]!S_SHARE_TOTAL(D202,$G$5)),[1]!S_STM07_CS(D202,84,$G$5,$H$13)/$E$5))</f>
        <v/>
      </c>
      <c r="Q202" s="248" t="str">
        <f ca="1">IF(C202="","",F202/([1]!S_STM07_IS(D202,61,$G$5,$H$13)/IF([1]!S_SHARE_TOTAL(D202,$G$5)=0,[1]!S_SHARE_TOTAL(D202,[1]!s_ipo_listeddate(D202)),[1]!S_SHARE_TOTAL(D202,$G$5))))</f>
        <v/>
      </c>
      <c r="R202" s="248" t="str">
        <f ca="1">IF(C202="","",F202/([1]!S_STM07_BS(D202,141,$G$5,$H$13)/IF([1]!S_SHARE_TOTAL(D202,$G$5)=0,[1]!S_SHARE_TOTAL(D202,[1]!s_ipo_listeddate(D202)),[1]!S_SHARE_TOTAL(D202,$G$5))))</f>
        <v/>
      </c>
      <c r="S202" s="247" t="str">
        <f ca="1">IF(C202="","",[1]!S_SHARE_TOTAL(D202,TODAY())/$E$5)</f>
        <v/>
      </c>
      <c r="T202" s="247" t="str">
        <f t="shared" ca="1" si="25"/>
        <v/>
      </c>
      <c r="U202" s="218" t="str">
        <f t="shared" ca="1" si="26"/>
        <v/>
      </c>
      <c r="V202" s="342" t="str">
        <f t="shared" ca="1" si="27"/>
        <v/>
      </c>
      <c r="W202" s="139"/>
      <c r="Y202" s="1"/>
    </row>
    <row r="203" spans="3:25" ht="12" customHeight="1">
      <c r="C203" s="343" t="str">
        <f t="shared" ca="1" si="22"/>
        <v/>
      </c>
      <c r="D203" s="124" t="str">
        <f t="shared" ca="1" si="23"/>
        <v/>
      </c>
      <c r="E203" s="124" t="str">
        <f t="shared" ca="1" si="24"/>
        <v/>
      </c>
      <c r="F203" s="172" t="str">
        <f ca="1">IF(C203="","",[1]!S_DQ_CLOSE(D203,TODAY(),1))</f>
        <v/>
      </c>
      <c r="G203" s="173" t="str">
        <f ca="1">IF(C203="","",[1]!s_pq_pctchange(D203,TODAY()-$G$12,TODAY())/100)</f>
        <v/>
      </c>
      <c r="H203" s="249" t="str">
        <f ca="1">IF(C203="","",IF($H$11="收入",[1]!S_STM07_IS(D203,9,$G$5,$H$13)/$E$5,[1]!S_STM07_IS(D203,48,$G$5,$H$13)/$E$5))</f>
        <v/>
      </c>
      <c r="I203" s="249" t="str">
        <f ca="1">IF(C203="","",IF($I$11="毛利率",([1]!S_STM07_IS(D203,9,$G$5,$H$13)-[1]!S_STM07_IS(D203,10,$G$5,$H$13))/[1]!S_STM07_IS(D203,9,$G$5,$H$13),[1]!S_STM07_IS(D203,14,$G$5,$H$13)/$E$5))</f>
        <v/>
      </c>
      <c r="J203" s="249" t="str">
        <f ca="1">IF(C203="","",IF($J$11="营业利润率",[1]!S_STM07_IS(D203,48,$G$5,$H$13)/[1]!S_STM07_IS(D203,9,$G$5,$H$13),([1]!S_STM07_CS(D203,87,$G$5,$H$13)+[1]!S_STM07_CS(D203,88,$G$5,$H$13)+[1]!S_STM07_CS(D203,89,$G$5,$H$13))/$E$5))</f>
        <v/>
      </c>
      <c r="K203" s="249" t="str">
        <f ca="1">IF(C203="","",IF($K$11="净利润率",[1]!S_STM07_IS(D203,61,$G$5,$H$13)/[1]!S_STM07_IS(D203,9,$G$5,$H$13),[1]!S_STM07_IS(D203,55,$G$5,$H$13)/$E$5))</f>
        <v/>
      </c>
      <c r="L203" s="249" t="str">
        <f ca="1">IF(C203="","",IF($L$11="ROA",[1]!S_STM07_IS(D203,61,$G$5,$H$13)/[1]!S_STM07_BS(D203,74,$G$5,$H$13),1-[1]!S_STM07_IS(D203,61,$G$5,$H$13)/[1]!S_STM07_IS(D203,55,$G$5,$H$13)))</f>
        <v/>
      </c>
      <c r="M203" s="249" t="str">
        <f ca="1">IF(C203="","",IF($M$11="ROE",[1]!S_STM07_IS(D203,61,$G$5,$H$13)/[1]!S_STM07_BS(D203,141,$G$5,$H$13),([1]!S_STM07_BS(D203,25,$G$5,$H$13)-[1]!S_STM07_BS(D203,93,$G$5,$H$13))/$E$5))</f>
        <v/>
      </c>
      <c r="N203" s="250" t="str">
        <f ca="1">IF(C203="","",IF($N$11="EPS",[1]!S_STM07_IS(D203,61,$G$5,$H$13)/IF([1]!S_SHARE_TOTAL(D203,$G$5)=0,[1]!S_SHARE_TOTAL(D203,[1]!s_ipo_listeddate(D203)),[1]!S_SHARE_TOTAL(D203,$G$5)),([1]!S_STM07_BS(D203,75,$G$5,$H$13)+[1]!S_STM07_BS(D203,88,$G$5,$H$13)+[1]!S_STM07_BS(D203,94,$G$5,$H$13)+[1]!S_STM07_BS(D203,95,$G$5,$H$13))/$E$5))</f>
        <v/>
      </c>
      <c r="O203" s="250" t="str">
        <f ca="1">IF(C203="","",IF($O$11="BPS",[1]!S_STM07_BS(D203,141,$G$5,$H$13)/IF([1]!S_SHARE_TOTAL(D203,$G$5)=0,[1]!S_SHARE_TOTAL(D203,[1]!s_ipo_listeddate(D203)),[1]!S_SHARE_TOTAL(D203,$G$5)),[1]!S_STM07_CS(D203,49,$G$5,$H$13)/$E$5))</f>
        <v/>
      </c>
      <c r="P203" s="250" t="str">
        <f ca="1">IF(C203="","",IF($P$11="CFPS",[1]!S_STM07_CS(D203,84,$G$5,$H$13)/IF([1]!S_SHARE_TOTAL(D203,$G$5)=0,[1]!S_SHARE_TOTAL(D203,[1]!s_ipo_listeddate(D203)),[1]!S_SHARE_TOTAL(D203,$G$5)),[1]!S_STM07_CS(D203,84,$G$5,$H$13)/$E$5))</f>
        <v/>
      </c>
      <c r="Q203" s="198" t="str">
        <f ca="1">IF(C203="","",F203/([1]!S_STM07_IS(D203,61,$G$5,$H$13)/IF([1]!S_SHARE_TOTAL(D203,$G$5)=0,[1]!S_SHARE_TOTAL(D203,[1]!s_ipo_listeddate(D203)),[1]!S_SHARE_TOTAL(D203,$G$5))))</f>
        <v/>
      </c>
      <c r="R203" s="198" t="str">
        <f ca="1">IF(C203="","",F203/([1]!S_STM07_BS(D203,141,$G$5,$H$13)/IF([1]!S_SHARE_TOTAL(D203,$G$5)=0,[1]!S_SHARE_TOTAL(D203,[1]!s_ipo_listeddate(D203)),[1]!S_SHARE_TOTAL(D203,$G$5))))</f>
        <v/>
      </c>
      <c r="S203" s="249" t="str">
        <f ca="1">IF(C203="","",[1]!S_SHARE_TOTAL(D203,TODAY())/$E$5)</f>
        <v/>
      </c>
      <c r="T203" s="249" t="str">
        <f t="shared" ca="1" si="25"/>
        <v/>
      </c>
      <c r="U203" s="172" t="str">
        <f t="shared" ca="1" si="26"/>
        <v/>
      </c>
      <c r="V203" s="343" t="str">
        <f t="shared" ca="1" si="27"/>
        <v/>
      </c>
      <c r="W203" s="139"/>
      <c r="Y203" s="1"/>
    </row>
    <row r="204" spans="3:25" ht="12" customHeight="1">
      <c r="C204" s="342" t="str">
        <f t="shared" ca="1" si="22"/>
        <v/>
      </c>
      <c r="D204" s="153" t="str">
        <f t="shared" ca="1" si="23"/>
        <v/>
      </c>
      <c r="E204" s="153" t="str">
        <f t="shared" ca="1" si="24"/>
        <v/>
      </c>
      <c r="F204" s="170" t="str">
        <f ca="1">IF(C204="","",[1]!S_DQ_CLOSE(D204,TODAY(),1))</f>
        <v/>
      </c>
      <c r="G204" s="171" t="str">
        <f ca="1">IF(C204="","",[1]!s_pq_pctchange(D204,TODAY()-$G$12,TODAY())/100)</f>
        <v/>
      </c>
      <c r="H204" s="247" t="str">
        <f ca="1">IF(C204="","",IF($H$11="收入",[1]!S_STM07_IS(D204,9,$G$5,$H$13)/$E$5,[1]!S_STM07_IS(D204,48,$G$5,$H$13)/$E$5))</f>
        <v/>
      </c>
      <c r="I204" s="247" t="str">
        <f ca="1">IF(C204="","",IF($I$11="毛利率",([1]!S_STM07_IS(D204,9,$G$5,$H$13)-[1]!S_STM07_IS(D204,10,$G$5,$H$13))/[1]!S_STM07_IS(D204,9,$G$5,$H$13),[1]!S_STM07_IS(D204,14,$G$5,$H$13)/$E$5))</f>
        <v/>
      </c>
      <c r="J204" s="247" t="str">
        <f ca="1">IF(C204="","",IF($J$11="营业利润率",[1]!S_STM07_IS(D204,48,$G$5,$H$13)/[1]!S_STM07_IS(D204,9,$G$5,$H$13),([1]!S_STM07_CS(D204,87,$G$5,$H$13)+[1]!S_STM07_CS(D204,88,$G$5,$H$13)+[1]!S_STM07_CS(D204,89,$G$5,$H$13))/$E$5))</f>
        <v/>
      </c>
      <c r="K204" s="247" t="str">
        <f ca="1">IF(C204="","",IF($K$11="净利润率",[1]!S_STM07_IS(D204,61,$G$5,$H$13)/[1]!S_STM07_IS(D204,9,$G$5,$H$13),[1]!S_STM07_IS(D204,55,$G$5,$H$13)/$E$5))</f>
        <v/>
      </c>
      <c r="L204" s="247" t="str">
        <f ca="1">IF(C204="","",IF($L$11="ROA",[1]!S_STM07_IS(D204,61,$G$5,$H$13)/[1]!S_STM07_BS(D204,74,$G$5,$H$13),1-[1]!S_STM07_IS(D204,61,$G$5,$H$13)/[1]!S_STM07_IS(D204,55,$G$5,$H$13)))</f>
        <v/>
      </c>
      <c r="M204" s="247" t="str">
        <f ca="1">IF(C204="","",IF($M$11="ROE",[1]!S_STM07_IS(D204,61,$G$5,$H$13)/[1]!S_STM07_BS(D204,141,$G$5,$H$13),([1]!S_STM07_BS(D204,25,$G$5,$H$13)-[1]!S_STM07_BS(D204,93,$G$5,$H$13))/$E$5))</f>
        <v/>
      </c>
      <c r="N204" s="247" t="str">
        <f ca="1">IF(C204="","",IF($N$11="EPS",[1]!S_STM07_IS(D204,61,$G$5,$H$13)/IF([1]!S_SHARE_TOTAL(D204,$G$5)=0,[1]!S_SHARE_TOTAL(D204,[1]!s_ipo_listeddate(D204)),[1]!S_SHARE_TOTAL(D204,$G$5)),([1]!S_STM07_BS(D204,75,$G$5,$H$13)+[1]!S_STM07_BS(D204,88,$G$5,$H$13)+[1]!S_STM07_BS(D204,94,$G$5,$H$13)+[1]!S_STM07_BS(D204,95,$G$5,$H$13))/$E$5))</f>
        <v/>
      </c>
      <c r="O204" s="247" t="str">
        <f ca="1">IF(C204="","",IF($O$11="BPS",[1]!S_STM07_BS(D204,141,$G$5,$H$13)/IF([1]!S_SHARE_TOTAL(D204,$G$5)=0,[1]!S_SHARE_TOTAL(D204,[1]!s_ipo_listeddate(D204)),[1]!S_SHARE_TOTAL(D204,$G$5)),[1]!S_STM07_CS(D204,49,$G$5,$H$13)/$E$5))</f>
        <v/>
      </c>
      <c r="P204" s="247" t="str">
        <f ca="1">IF(C204="","",IF($P$11="CFPS",[1]!S_STM07_CS(D204,84,$G$5,$H$13)/IF([1]!S_SHARE_TOTAL(D204,$G$5)=0,[1]!S_SHARE_TOTAL(D204,[1]!s_ipo_listeddate(D204)),[1]!S_SHARE_TOTAL(D204,$G$5)),[1]!S_STM07_CS(D204,84,$G$5,$H$13)/$E$5))</f>
        <v/>
      </c>
      <c r="Q204" s="248" t="str">
        <f ca="1">IF(C204="","",F204/([1]!S_STM07_IS(D204,61,$G$5,$H$13)/IF([1]!S_SHARE_TOTAL(D204,$G$5)=0,[1]!S_SHARE_TOTAL(D204,[1]!s_ipo_listeddate(D204)),[1]!S_SHARE_TOTAL(D204,$G$5))))</f>
        <v/>
      </c>
      <c r="R204" s="248" t="str">
        <f ca="1">IF(C204="","",F204/([1]!S_STM07_BS(D204,141,$G$5,$H$13)/IF([1]!S_SHARE_TOTAL(D204,$G$5)=0,[1]!S_SHARE_TOTAL(D204,[1]!s_ipo_listeddate(D204)),[1]!S_SHARE_TOTAL(D204,$G$5))))</f>
        <v/>
      </c>
      <c r="S204" s="247" t="str">
        <f ca="1">IF(C204="","",[1]!S_SHARE_TOTAL(D204,TODAY())/$E$5)</f>
        <v/>
      </c>
      <c r="T204" s="247" t="str">
        <f t="shared" ca="1" si="25"/>
        <v/>
      </c>
      <c r="U204" s="218" t="str">
        <f t="shared" ca="1" si="26"/>
        <v/>
      </c>
      <c r="V204" s="342" t="str">
        <f t="shared" ca="1" si="27"/>
        <v/>
      </c>
      <c r="W204" s="139"/>
      <c r="Y204" s="1"/>
    </row>
    <row r="205" spans="3:25" ht="12" customHeight="1">
      <c r="C205" s="343" t="str">
        <f t="shared" ca="1" si="22"/>
        <v/>
      </c>
      <c r="D205" s="124" t="str">
        <f t="shared" ca="1" si="23"/>
        <v/>
      </c>
      <c r="E205" s="124" t="str">
        <f t="shared" ca="1" si="24"/>
        <v/>
      </c>
      <c r="F205" s="172" t="str">
        <f ca="1">IF(C205="","",[1]!S_DQ_CLOSE(D205,TODAY(),1))</f>
        <v/>
      </c>
      <c r="G205" s="173" t="str">
        <f ca="1">IF(C205="","",[1]!s_pq_pctchange(D205,TODAY()-$G$12,TODAY())/100)</f>
        <v/>
      </c>
      <c r="H205" s="249" t="str">
        <f ca="1">IF(C205="","",IF($H$11="收入",[1]!S_STM07_IS(D205,9,$G$5,$H$13)/$E$5,[1]!S_STM07_IS(D205,48,$G$5,$H$13)/$E$5))</f>
        <v/>
      </c>
      <c r="I205" s="249" t="str">
        <f ca="1">IF(C205="","",IF($I$11="毛利率",([1]!S_STM07_IS(D205,9,$G$5,$H$13)-[1]!S_STM07_IS(D205,10,$G$5,$H$13))/[1]!S_STM07_IS(D205,9,$G$5,$H$13),[1]!S_STM07_IS(D205,14,$G$5,$H$13)/$E$5))</f>
        <v/>
      </c>
      <c r="J205" s="249" t="str">
        <f ca="1">IF(C205="","",IF($J$11="营业利润率",[1]!S_STM07_IS(D205,48,$G$5,$H$13)/[1]!S_STM07_IS(D205,9,$G$5,$H$13),([1]!S_STM07_CS(D205,87,$G$5,$H$13)+[1]!S_STM07_CS(D205,88,$G$5,$H$13)+[1]!S_STM07_CS(D205,89,$G$5,$H$13))/$E$5))</f>
        <v/>
      </c>
      <c r="K205" s="249" t="str">
        <f ca="1">IF(C205="","",IF($K$11="净利润率",[1]!S_STM07_IS(D205,61,$G$5,$H$13)/[1]!S_STM07_IS(D205,9,$G$5,$H$13),[1]!S_STM07_IS(D205,55,$G$5,$H$13)/$E$5))</f>
        <v/>
      </c>
      <c r="L205" s="249" t="str">
        <f ca="1">IF(C205="","",IF($L$11="ROA",[1]!S_STM07_IS(D205,61,$G$5,$H$13)/[1]!S_STM07_BS(D205,74,$G$5,$H$13),1-[1]!S_STM07_IS(D205,61,$G$5,$H$13)/[1]!S_STM07_IS(D205,55,$G$5,$H$13)))</f>
        <v/>
      </c>
      <c r="M205" s="249" t="str">
        <f ca="1">IF(C205="","",IF($M$11="ROE",[1]!S_STM07_IS(D205,61,$G$5,$H$13)/[1]!S_STM07_BS(D205,141,$G$5,$H$13),([1]!S_STM07_BS(D205,25,$G$5,$H$13)-[1]!S_STM07_BS(D205,93,$G$5,$H$13))/$E$5))</f>
        <v/>
      </c>
      <c r="N205" s="250" t="str">
        <f ca="1">IF(C205="","",IF($N$11="EPS",[1]!S_STM07_IS(D205,61,$G$5,$H$13)/IF([1]!S_SHARE_TOTAL(D205,$G$5)=0,[1]!S_SHARE_TOTAL(D205,[1]!s_ipo_listeddate(D205)),[1]!S_SHARE_TOTAL(D205,$G$5)),([1]!S_STM07_BS(D205,75,$G$5,$H$13)+[1]!S_STM07_BS(D205,88,$G$5,$H$13)+[1]!S_STM07_BS(D205,94,$G$5,$H$13)+[1]!S_STM07_BS(D205,95,$G$5,$H$13))/$E$5))</f>
        <v/>
      </c>
      <c r="O205" s="250" t="str">
        <f ca="1">IF(C205="","",IF($O$11="BPS",[1]!S_STM07_BS(D205,141,$G$5,$H$13)/IF([1]!S_SHARE_TOTAL(D205,$G$5)=0,[1]!S_SHARE_TOTAL(D205,[1]!s_ipo_listeddate(D205)),[1]!S_SHARE_TOTAL(D205,$G$5)),[1]!S_STM07_CS(D205,49,$G$5,$H$13)/$E$5))</f>
        <v/>
      </c>
      <c r="P205" s="250" t="str">
        <f ca="1">IF(C205="","",IF($P$11="CFPS",[1]!S_STM07_CS(D205,84,$G$5,$H$13)/IF([1]!S_SHARE_TOTAL(D205,$G$5)=0,[1]!S_SHARE_TOTAL(D205,[1]!s_ipo_listeddate(D205)),[1]!S_SHARE_TOTAL(D205,$G$5)),[1]!S_STM07_CS(D205,84,$G$5,$H$13)/$E$5))</f>
        <v/>
      </c>
      <c r="Q205" s="198" t="str">
        <f ca="1">IF(C205="","",F205/([1]!S_STM07_IS(D205,61,$G$5,$H$13)/IF([1]!S_SHARE_TOTAL(D205,$G$5)=0,[1]!S_SHARE_TOTAL(D205,[1]!s_ipo_listeddate(D205)),[1]!S_SHARE_TOTAL(D205,$G$5))))</f>
        <v/>
      </c>
      <c r="R205" s="198" t="str">
        <f ca="1">IF(C205="","",F205/([1]!S_STM07_BS(D205,141,$G$5,$H$13)/IF([1]!S_SHARE_TOTAL(D205,$G$5)=0,[1]!S_SHARE_TOTAL(D205,[1]!s_ipo_listeddate(D205)),[1]!S_SHARE_TOTAL(D205,$G$5))))</f>
        <v/>
      </c>
      <c r="S205" s="249" t="str">
        <f ca="1">IF(C205="","",[1]!S_SHARE_TOTAL(D205,TODAY())/$E$5)</f>
        <v/>
      </c>
      <c r="T205" s="249" t="str">
        <f t="shared" ca="1" si="25"/>
        <v/>
      </c>
      <c r="U205" s="172" t="str">
        <f t="shared" ca="1" si="26"/>
        <v/>
      </c>
      <c r="V205" s="343" t="str">
        <f t="shared" ca="1" si="27"/>
        <v/>
      </c>
      <c r="W205" s="139"/>
      <c r="Y205" s="1"/>
    </row>
    <row r="206" spans="3:25" ht="12" customHeight="1">
      <c r="C206" s="342" t="str">
        <f t="shared" ref="C206:C269" ca="1" si="28">IF(ROW()-13&lt;=MAX(series),ROW()-13,"")</f>
        <v/>
      </c>
      <c r="D206" s="153" t="str">
        <f t="shared" ca="1" si="23"/>
        <v/>
      </c>
      <c r="E206" s="153" t="str">
        <f t="shared" ca="1" si="24"/>
        <v/>
      </c>
      <c r="F206" s="170" t="str">
        <f ca="1">IF(C206="","",[1]!S_DQ_CLOSE(D206,TODAY(),1))</f>
        <v/>
      </c>
      <c r="G206" s="171" t="str">
        <f ca="1">IF(C206="","",[1]!s_pq_pctchange(D206,TODAY()-$G$12,TODAY())/100)</f>
        <v/>
      </c>
      <c r="H206" s="247" t="str">
        <f ca="1">IF(C206="","",IF($H$11="收入",[1]!S_STM07_IS(D206,9,$G$5,$H$13)/$E$5,[1]!S_STM07_IS(D206,48,$G$5,$H$13)/$E$5))</f>
        <v/>
      </c>
      <c r="I206" s="247" t="str">
        <f ca="1">IF(C206="","",IF($I$11="毛利率",([1]!S_STM07_IS(D206,9,$G$5,$H$13)-[1]!S_STM07_IS(D206,10,$G$5,$H$13))/[1]!S_STM07_IS(D206,9,$G$5,$H$13),[1]!S_STM07_IS(D206,14,$G$5,$H$13)/$E$5))</f>
        <v/>
      </c>
      <c r="J206" s="247" t="str">
        <f ca="1">IF(C206="","",IF($J$11="营业利润率",[1]!S_STM07_IS(D206,48,$G$5,$H$13)/[1]!S_STM07_IS(D206,9,$G$5,$H$13),([1]!S_STM07_CS(D206,87,$G$5,$H$13)+[1]!S_STM07_CS(D206,88,$G$5,$H$13)+[1]!S_STM07_CS(D206,89,$G$5,$H$13))/$E$5))</f>
        <v/>
      </c>
      <c r="K206" s="247" t="str">
        <f ca="1">IF(C206="","",IF($K$11="净利润率",[1]!S_STM07_IS(D206,61,$G$5,$H$13)/[1]!S_STM07_IS(D206,9,$G$5,$H$13),[1]!S_STM07_IS(D206,55,$G$5,$H$13)/$E$5))</f>
        <v/>
      </c>
      <c r="L206" s="247" t="str">
        <f ca="1">IF(C206="","",IF($L$11="ROA",[1]!S_STM07_IS(D206,61,$G$5,$H$13)/[1]!S_STM07_BS(D206,74,$G$5,$H$13),1-[1]!S_STM07_IS(D206,61,$G$5,$H$13)/[1]!S_STM07_IS(D206,55,$G$5,$H$13)))</f>
        <v/>
      </c>
      <c r="M206" s="247" t="str">
        <f ca="1">IF(C206="","",IF($M$11="ROE",[1]!S_STM07_IS(D206,61,$G$5,$H$13)/[1]!S_STM07_BS(D206,141,$G$5,$H$13),([1]!S_STM07_BS(D206,25,$G$5,$H$13)-[1]!S_STM07_BS(D206,93,$G$5,$H$13))/$E$5))</f>
        <v/>
      </c>
      <c r="N206" s="247" t="str">
        <f ca="1">IF(C206="","",IF($N$11="EPS",[1]!S_STM07_IS(D206,61,$G$5,$H$13)/IF([1]!S_SHARE_TOTAL(D206,$G$5)=0,[1]!S_SHARE_TOTAL(D206,[1]!s_ipo_listeddate(D206)),[1]!S_SHARE_TOTAL(D206,$G$5)),([1]!S_STM07_BS(D206,75,$G$5,$H$13)+[1]!S_STM07_BS(D206,88,$G$5,$H$13)+[1]!S_STM07_BS(D206,94,$G$5,$H$13)+[1]!S_STM07_BS(D206,95,$G$5,$H$13))/$E$5))</f>
        <v/>
      </c>
      <c r="O206" s="247" t="str">
        <f ca="1">IF(C206="","",IF($O$11="BPS",[1]!S_STM07_BS(D206,141,$G$5,$H$13)/IF([1]!S_SHARE_TOTAL(D206,$G$5)=0,[1]!S_SHARE_TOTAL(D206,[1]!s_ipo_listeddate(D206)),[1]!S_SHARE_TOTAL(D206,$G$5)),[1]!S_STM07_CS(D206,49,$G$5,$H$13)/$E$5))</f>
        <v/>
      </c>
      <c r="P206" s="247" t="str">
        <f ca="1">IF(C206="","",IF($P$11="CFPS",[1]!S_STM07_CS(D206,84,$G$5,$H$13)/IF([1]!S_SHARE_TOTAL(D206,$G$5)=0,[1]!S_SHARE_TOTAL(D206,[1]!s_ipo_listeddate(D206)),[1]!S_SHARE_TOTAL(D206,$G$5)),[1]!S_STM07_CS(D206,84,$G$5,$H$13)/$E$5))</f>
        <v/>
      </c>
      <c r="Q206" s="248" t="str">
        <f ca="1">IF(C206="","",F206/([1]!S_STM07_IS(D206,61,$G$5,$H$13)/IF([1]!S_SHARE_TOTAL(D206,$G$5)=0,[1]!S_SHARE_TOTAL(D206,[1]!s_ipo_listeddate(D206)),[1]!S_SHARE_TOTAL(D206,$G$5))))</f>
        <v/>
      </c>
      <c r="R206" s="248" t="str">
        <f ca="1">IF(C206="","",F206/([1]!S_STM07_BS(D206,141,$G$5,$H$13)/IF([1]!S_SHARE_TOTAL(D206,$G$5)=0,[1]!S_SHARE_TOTAL(D206,[1]!s_ipo_listeddate(D206)),[1]!S_SHARE_TOTAL(D206,$G$5))))</f>
        <v/>
      </c>
      <c r="S206" s="247" t="str">
        <f ca="1">IF(C206="","",[1]!S_SHARE_TOTAL(D206,TODAY())/$E$5)</f>
        <v/>
      </c>
      <c r="T206" s="247" t="str">
        <f t="shared" ca="1" si="25"/>
        <v/>
      </c>
      <c r="U206" s="218" t="str">
        <f t="shared" ca="1" si="26"/>
        <v/>
      </c>
      <c r="V206" s="342" t="str">
        <f t="shared" ca="1" si="27"/>
        <v/>
      </c>
      <c r="W206" s="139"/>
      <c r="Y206" s="1"/>
    </row>
    <row r="207" spans="3:25" ht="12" customHeight="1">
      <c r="C207" s="343" t="str">
        <f t="shared" ca="1" si="28"/>
        <v/>
      </c>
      <c r="D207" s="124" t="str">
        <f t="shared" ca="1" si="23"/>
        <v/>
      </c>
      <c r="E207" s="124" t="str">
        <f t="shared" ca="1" si="24"/>
        <v/>
      </c>
      <c r="F207" s="172" t="str">
        <f ca="1">IF(C207="","",[1]!S_DQ_CLOSE(D207,TODAY(),1))</f>
        <v/>
      </c>
      <c r="G207" s="173" t="str">
        <f ca="1">IF(C207="","",[1]!s_pq_pctchange(D207,TODAY()-$G$12,TODAY())/100)</f>
        <v/>
      </c>
      <c r="H207" s="249" t="str">
        <f ca="1">IF(C207="","",IF($H$11="收入",[1]!S_STM07_IS(D207,9,$G$5,$H$13)/$E$5,[1]!S_STM07_IS(D207,48,$G$5,$H$13)/$E$5))</f>
        <v/>
      </c>
      <c r="I207" s="249" t="str">
        <f ca="1">IF(C207="","",IF($I$11="毛利率",([1]!S_STM07_IS(D207,9,$G$5,$H$13)-[1]!S_STM07_IS(D207,10,$G$5,$H$13))/[1]!S_STM07_IS(D207,9,$G$5,$H$13),[1]!S_STM07_IS(D207,14,$G$5,$H$13)/$E$5))</f>
        <v/>
      </c>
      <c r="J207" s="249" t="str">
        <f ca="1">IF(C207="","",IF($J$11="营业利润率",[1]!S_STM07_IS(D207,48,$G$5,$H$13)/[1]!S_STM07_IS(D207,9,$G$5,$H$13),([1]!S_STM07_CS(D207,87,$G$5,$H$13)+[1]!S_STM07_CS(D207,88,$G$5,$H$13)+[1]!S_STM07_CS(D207,89,$G$5,$H$13))/$E$5))</f>
        <v/>
      </c>
      <c r="K207" s="249" t="str">
        <f ca="1">IF(C207="","",IF($K$11="净利润率",[1]!S_STM07_IS(D207,61,$G$5,$H$13)/[1]!S_STM07_IS(D207,9,$G$5,$H$13),[1]!S_STM07_IS(D207,55,$G$5,$H$13)/$E$5))</f>
        <v/>
      </c>
      <c r="L207" s="249" t="str">
        <f ca="1">IF(C207="","",IF($L$11="ROA",[1]!S_STM07_IS(D207,61,$G$5,$H$13)/[1]!S_STM07_BS(D207,74,$G$5,$H$13),1-[1]!S_STM07_IS(D207,61,$G$5,$H$13)/[1]!S_STM07_IS(D207,55,$G$5,$H$13)))</f>
        <v/>
      </c>
      <c r="M207" s="249" t="str">
        <f ca="1">IF(C207="","",IF($M$11="ROE",[1]!S_STM07_IS(D207,61,$G$5,$H$13)/[1]!S_STM07_BS(D207,141,$G$5,$H$13),([1]!S_STM07_BS(D207,25,$G$5,$H$13)-[1]!S_STM07_BS(D207,93,$G$5,$H$13))/$E$5))</f>
        <v/>
      </c>
      <c r="N207" s="250" t="str">
        <f ca="1">IF(C207="","",IF($N$11="EPS",[1]!S_STM07_IS(D207,61,$G$5,$H$13)/IF([1]!S_SHARE_TOTAL(D207,$G$5)=0,[1]!S_SHARE_TOTAL(D207,[1]!s_ipo_listeddate(D207)),[1]!S_SHARE_TOTAL(D207,$G$5)),([1]!S_STM07_BS(D207,75,$G$5,$H$13)+[1]!S_STM07_BS(D207,88,$G$5,$H$13)+[1]!S_STM07_BS(D207,94,$G$5,$H$13)+[1]!S_STM07_BS(D207,95,$G$5,$H$13))/$E$5))</f>
        <v/>
      </c>
      <c r="O207" s="250" t="str">
        <f ca="1">IF(C207="","",IF($O$11="BPS",[1]!S_STM07_BS(D207,141,$G$5,$H$13)/IF([1]!S_SHARE_TOTAL(D207,$G$5)=0,[1]!S_SHARE_TOTAL(D207,[1]!s_ipo_listeddate(D207)),[1]!S_SHARE_TOTAL(D207,$G$5)),[1]!S_STM07_CS(D207,49,$G$5,$H$13)/$E$5))</f>
        <v/>
      </c>
      <c r="P207" s="250" t="str">
        <f ca="1">IF(C207="","",IF($P$11="CFPS",[1]!S_STM07_CS(D207,84,$G$5,$H$13)/IF([1]!S_SHARE_TOTAL(D207,$G$5)=0,[1]!S_SHARE_TOTAL(D207,[1]!s_ipo_listeddate(D207)),[1]!S_SHARE_TOTAL(D207,$G$5)),[1]!S_STM07_CS(D207,84,$G$5,$H$13)/$E$5))</f>
        <v/>
      </c>
      <c r="Q207" s="198" t="str">
        <f ca="1">IF(C207="","",F207/([1]!S_STM07_IS(D207,61,$G$5,$H$13)/IF([1]!S_SHARE_TOTAL(D207,$G$5)=0,[1]!S_SHARE_TOTAL(D207,[1]!s_ipo_listeddate(D207)),[1]!S_SHARE_TOTAL(D207,$G$5))))</f>
        <v/>
      </c>
      <c r="R207" s="198" t="str">
        <f ca="1">IF(C207="","",F207/([1]!S_STM07_BS(D207,141,$G$5,$H$13)/IF([1]!S_SHARE_TOTAL(D207,$G$5)=0,[1]!S_SHARE_TOTAL(D207,[1]!s_ipo_listeddate(D207)),[1]!S_SHARE_TOTAL(D207,$G$5))))</f>
        <v/>
      </c>
      <c r="S207" s="249" t="str">
        <f ca="1">IF(C207="","",[1]!S_SHARE_TOTAL(D207,TODAY())/$E$5)</f>
        <v/>
      </c>
      <c r="T207" s="249" t="str">
        <f t="shared" ca="1" si="25"/>
        <v/>
      </c>
      <c r="U207" s="172" t="str">
        <f t="shared" ca="1" si="26"/>
        <v/>
      </c>
      <c r="V207" s="343" t="str">
        <f t="shared" ca="1" si="27"/>
        <v/>
      </c>
      <c r="W207" s="139"/>
      <c r="Y207" s="1"/>
    </row>
    <row r="208" spans="3:25" ht="12" customHeight="1">
      <c r="C208" s="342" t="str">
        <f t="shared" ca="1" si="28"/>
        <v/>
      </c>
      <c r="D208" s="153" t="str">
        <f t="shared" ca="1" si="23"/>
        <v/>
      </c>
      <c r="E208" s="153" t="str">
        <f t="shared" ca="1" si="24"/>
        <v/>
      </c>
      <c r="F208" s="170" t="str">
        <f ca="1">IF(C208="","",[1]!S_DQ_CLOSE(D208,TODAY(),1))</f>
        <v/>
      </c>
      <c r="G208" s="171" t="str">
        <f ca="1">IF(C208="","",[1]!s_pq_pctchange(D208,TODAY()-$G$12,TODAY())/100)</f>
        <v/>
      </c>
      <c r="H208" s="247" t="str">
        <f ca="1">IF(C208="","",IF($H$11="收入",[1]!S_STM07_IS(D208,9,$G$5,$H$13)/$E$5,[1]!S_STM07_IS(D208,48,$G$5,$H$13)/$E$5))</f>
        <v/>
      </c>
      <c r="I208" s="247" t="str">
        <f ca="1">IF(C208="","",IF($I$11="毛利率",([1]!S_STM07_IS(D208,9,$G$5,$H$13)-[1]!S_STM07_IS(D208,10,$G$5,$H$13))/[1]!S_STM07_IS(D208,9,$G$5,$H$13),[1]!S_STM07_IS(D208,14,$G$5,$H$13)/$E$5))</f>
        <v/>
      </c>
      <c r="J208" s="247" t="str">
        <f ca="1">IF(C208="","",IF($J$11="营业利润率",[1]!S_STM07_IS(D208,48,$G$5,$H$13)/[1]!S_STM07_IS(D208,9,$G$5,$H$13),([1]!S_STM07_CS(D208,87,$G$5,$H$13)+[1]!S_STM07_CS(D208,88,$G$5,$H$13)+[1]!S_STM07_CS(D208,89,$G$5,$H$13))/$E$5))</f>
        <v/>
      </c>
      <c r="K208" s="247" t="str">
        <f ca="1">IF(C208="","",IF($K$11="净利润率",[1]!S_STM07_IS(D208,61,$G$5,$H$13)/[1]!S_STM07_IS(D208,9,$G$5,$H$13),[1]!S_STM07_IS(D208,55,$G$5,$H$13)/$E$5))</f>
        <v/>
      </c>
      <c r="L208" s="247" t="str">
        <f ca="1">IF(C208="","",IF($L$11="ROA",[1]!S_STM07_IS(D208,61,$G$5,$H$13)/[1]!S_STM07_BS(D208,74,$G$5,$H$13),1-[1]!S_STM07_IS(D208,61,$G$5,$H$13)/[1]!S_STM07_IS(D208,55,$G$5,$H$13)))</f>
        <v/>
      </c>
      <c r="M208" s="247" t="str">
        <f ca="1">IF(C208="","",IF($M$11="ROE",[1]!S_STM07_IS(D208,61,$G$5,$H$13)/[1]!S_STM07_BS(D208,141,$G$5,$H$13),([1]!S_STM07_BS(D208,25,$G$5,$H$13)-[1]!S_STM07_BS(D208,93,$G$5,$H$13))/$E$5))</f>
        <v/>
      </c>
      <c r="N208" s="247" t="str">
        <f ca="1">IF(C208="","",IF($N$11="EPS",[1]!S_STM07_IS(D208,61,$G$5,$H$13)/IF([1]!S_SHARE_TOTAL(D208,$G$5)=0,[1]!S_SHARE_TOTAL(D208,[1]!s_ipo_listeddate(D208)),[1]!S_SHARE_TOTAL(D208,$G$5)),([1]!S_STM07_BS(D208,75,$G$5,$H$13)+[1]!S_STM07_BS(D208,88,$G$5,$H$13)+[1]!S_STM07_BS(D208,94,$G$5,$H$13)+[1]!S_STM07_BS(D208,95,$G$5,$H$13))/$E$5))</f>
        <v/>
      </c>
      <c r="O208" s="247" t="str">
        <f ca="1">IF(C208="","",IF($O$11="BPS",[1]!S_STM07_BS(D208,141,$G$5,$H$13)/IF([1]!S_SHARE_TOTAL(D208,$G$5)=0,[1]!S_SHARE_TOTAL(D208,[1]!s_ipo_listeddate(D208)),[1]!S_SHARE_TOTAL(D208,$G$5)),[1]!S_STM07_CS(D208,49,$G$5,$H$13)/$E$5))</f>
        <v/>
      </c>
      <c r="P208" s="247" t="str">
        <f ca="1">IF(C208="","",IF($P$11="CFPS",[1]!S_STM07_CS(D208,84,$G$5,$H$13)/IF([1]!S_SHARE_TOTAL(D208,$G$5)=0,[1]!S_SHARE_TOTAL(D208,[1]!s_ipo_listeddate(D208)),[1]!S_SHARE_TOTAL(D208,$G$5)),[1]!S_STM07_CS(D208,84,$G$5,$H$13)/$E$5))</f>
        <v/>
      </c>
      <c r="Q208" s="248" t="str">
        <f ca="1">IF(C208="","",F208/([1]!S_STM07_IS(D208,61,$G$5,$H$13)/IF([1]!S_SHARE_TOTAL(D208,$G$5)=0,[1]!S_SHARE_TOTAL(D208,[1]!s_ipo_listeddate(D208)),[1]!S_SHARE_TOTAL(D208,$G$5))))</f>
        <v/>
      </c>
      <c r="R208" s="248" t="str">
        <f ca="1">IF(C208="","",F208/([1]!S_STM07_BS(D208,141,$G$5,$H$13)/IF([1]!S_SHARE_TOTAL(D208,$G$5)=0,[1]!S_SHARE_TOTAL(D208,[1]!s_ipo_listeddate(D208)),[1]!S_SHARE_TOTAL(D208,$G$5))))</f>
        <v/>
      </c>
      <c r="S208" s="247" t="str">
        <f ca="1">IF(C208="","",[1]!S_SHARE_TOTAL(D208,TODAY())/$E$5)</f>
        <v/>
      </c>
      <c r="T208" s="247" t="str">
        <f t="shared" ca="1" si="25"/>
        <v/>
      </c>
      <c r="U208" s="218" t="str">
        <f t="shared" ca="1" si="26"/>
        <v/>
      </c>
      <c r="V208" s="342" t="str">
        <f t="shared" ca="1" si="27"/>
        <v/>
      </c>
      <c r="W208" s="139"/>
      <c r="Y208" s="1"/>
    </row>
    <row r="209" spans="3:25" ht="12" customHeight="1">
      <c r="C209" s="343" t="str">
        <f t="shared" ca="1" si="28"/>
        <v/>
      </c>
      <c r="D209" s="124" t="str">
        <f t="shared" ca="1" si="23"/>
        <v/>
      </c>
      <c r="E209" s="124" t="str">
        <f t="shared" ca="1" si="24"/>
        <v/>
      </c>
      <c r="F209" s="172" t="str">
        <f ca="1">IF(C209="","",[1]!S_DQ_CLOSE(D209,TODAY(),1))</f>
        <v/>
      </c>
      <c r="G209" s="173" t="str">
        <f ca="1">IF(C209="","",[1]!s_pq_pctchange(D209,TODAY()-$G$12,TODAY())/100)</f>
        <v/>
      </c>
      <c r="H209" s="249" t="str">
        <f ca="1">IF(C209="","",IF($H$11="收入",[1]!S_STM07_IS(D209,9,$G$5,$H$13)/$E$5,[1]!S_STM07_IS(D209,48,$G$5,$H$13)/$E$5))</f>
        <v/>
      </c>
      <c r="I209" s="249" t="str">
        <f ca="1">IF(C209="","",IF($I$11="毛利率",([1]!S_STM07_IS(D209,9,$G$5,$H$13)-[1]!S_STM07_IS(D209,10,$G$5,$H$13))/[1]!S_STM07_IS(D209,9,$G$5,$H$13),[1]!S_STM07_IS(D209,14,$G$5,$H$13)/$E$5))</f>
        <v/>
      </c>
      <c r="J209" s="249" t="str">
        <f ca="1">IF(C209="","",IF($J$11="营业利润率",[1]!S_STM07_IS(D209,48,$G$5,$H$13)/[1]!S_STM07_IS(D209,9,$G$5,$H$13),([1]!S_STM07_CS(D209,87,$G$5,$H$13)+[1]!S_STM07_CS(D209,88,$G$5,$H$13)+[1]!S_STM07_CS(D209,89,$G$5,$H$13))/$E$5))</f>
        <v/>
      </c>
      <c r="K209" s="249" t="str">
        <f ca="1">IF(C209="","",IF($K$11="净利润率",[1]!S_STM07_IS(D209,61,$G$5,$H$13)/[1]!S_STM07_IS(D209,9,$G$5,$H$13),[1]!S_STM07_IS(D209,55,$G$5,$H$13)/$E$5))</f>
        <v/>
      </c>
      <c r="L209" s="249" t="str">
        <f ca="1">IF(C209="","",IF($L$11="ROA",[1]!S_STM07_IS(D209,61,$G$5,$H$13)/[1]!S_STM07_BS(D209,74,$G$5,$H$13),1-[1]!S_STM07_IS(D209,61,$G$5,$H$13)/[1]!S_STM07_IS(D209,55,$G$5,$H$13)))</f>
        <v/>
      </c>
      <c r="M209" s="249" t="str">
        <f ca="1">IF(C209="","",IF($M$11="ROE",[1]!S_STM07_IS(D209,61,$G$5,$H$13)/[1]!S_STM07_BS(D209,141,$G$5,$H$13),([1]!S_STM07_BS(D209,25,$G$5,$H$13)-[1]!S_STM07_BS(D209,93,$G$5,$H$13))/$E$5))</f>
        <v/>
      </c>
      <c r="N209" s="250" t="str">
        <f ca="1">IF(C209="","",IF($N$11="EPS",[1]!S_STM07_IS(D209,61,$G$5,$H$13)/IF([1]!S_SHARE_TOTAL(D209,$G$5)=0,[1]!S_SHARE_TOTAL(D209,[1]!s_ipo_listeddate(D209)),[1]!S_SHARE_TOTAL(D209,$G$5)),([1]!S_STM07_BS(D209,75,$G$5,$H$13)+[1]!S_STM07_BS(D209,88,$G$5,$H$13)+[1]!S_STM07_BS(D209,94,$G$5,$H$13)+[1]!S_STM07_BS(D209,95,$G$5,$H$13))/$E$5))</f>
        <v/>
      </c>
      <c r="O209" s="250" t="str">
        <f ca="1">IF(C209="","",IF($O$11="BPS",[1]!S_STM07_BS(D209,141,$G$5,$H$13)/IF([1]!S_SHARE_TOTAL(D209,$G$5)=0,[1]!S_SHARE_TOTAL(D209,[1]!s_ipo_listeddate(D209)),[1]!S_SHARE_TOTAL(D209,$G$5)),[1]!S_STM07_CS(D209,49,$G$5,$H$13)/$E$5))</f>
        <v/>
      </c>
      <c r="P209" s="250" t="str">
        <f ca="1">IF(C209="","",IF($P$11="CFPS",[1]!S_STM07_CS(D209,84,$G$5,$H$13)/IF([1]!S_SHARE_TOTAL(D209,$G$5)=0,[1]!S_SHARE_TOTAL(D209,[1]!s_ipo_listeddate(D209)),[1]!S_SHARE_TOTAL(D209,$G$5)),[1]!S_STM07_CS(D209,84,$G$5,$H$13)/$E$5))</f>
        <v/>
      </c>
      <c r="Q209" s="198" t="str">
        <f ca="1">IF(C209="","",F209/([1]!S_STM07_IS(D209,61,$G$5,$H$13)/IF([1]!S_SHARE_TOTAL(D209,$G$5)=0,[1]!S_SHARE_TOTAL(D209,[1]!s_ipo_listeddate(D209)),[1]!S_SHARE_TOTAL(D209,$G$5))))</f>
        <v/>
      </c>
      <c r="R209" s="198" t="str">
        <f ca="1">IF(C209="","",F209/([1]!S_STM07_BS(D209,141,$G$5,$H$13)/IF([1]!S_SHARE_TOTAL(D209,$G$5)=0,[1]!S_SHARE_TOTAL(D209,[1]!s_ipo_listeddate(D209)),[1]!S_SHARE_TOTAL(D209,$G$5))))</f>
        <v/>
      </c>
      <c r="S209" s="249" t="str">
        <f ca="1">IF(C209="","",[1]!S_SHARE_TOTAL(D209,TODAY())/$E$5)</f>
        <v/>
      </c>
      <c r="T209" s="249" t="str">
        <f t="shared" ca="1" si="25"/>
        <v/>
      </c>
      <c r="U209" s="172" t="str">
        <f t="shared" ca="1" si="26"/>
        <v/>
      </c>
      <c r="V209" s="343" t="str">
        <f t="shared" ca="1" si="27"/>
        <v/>
      </c>
      <c r="W209" s="139"/>
      <c r="Y209" s="1"/>
    </row>
    <row r="210" spans="3:25" ht="12" customHeight="1">
      <c r="C210" s="342" t="str">
        <f t="shared" ca="1" si="28"/>
        <v/>
      </c>
      <c r="D210" s="153" t="str">
        <f t="shared" ca="1" si="23"/>
        <v/>
      </c>
      <c r="E210" s="153" t="str">
        <f t="shared" ca="1" si="24"/>
        <v/>
      </c>
      <c r="F210" s="170" t="str">
        <f ca="1">IF(C210="","",[1]!S_DQ_CLOSE(D210,TODAY(),1))</f>
        <v/>
      </c>
      <c r="G210" s="171" t="str">
        <f ca="1">IF(C210="","",[1]!s_pq_pctchange(D210,TODAY()-$G$12,TODAY())/100)</f>
        <v/>
      </c>
      <c r="H210" s="247" t="str">
        <f ca="1">IF(C210="","",IF($H$11="收入",[1]!S_STM07_IS(D210,9,$G$5,$H$13)/$E$5,[1]!S_STM07_IS(D210,48,$G$5,$H$13)/$E$5))</f>
        <v/>
      </c>
      <c r="I210" s="247" t="str">
        <f ca="1">IF(C210="","",IF($I$11="毛利率",([1]!S_STM07_IS(D210,9,$G$5,$H$13)-[1]!S_STM07_IS(D210,10,$G$5,$H$13))/[1]!S_STM07_IS(D210,9,$G$5,$H$13),[1]!S_STM07_IS(D210,14,$G$5,$H$13)/$E$5))</f>
        <v/>
      </c>
      <c r="J210" s="247" t="str">
        <f ca="1">IF(C210="","",IF($J$11="营业利润率",[1]!S_STM07_IS(D210,48,$G$5,$H$13)/[1]!S_STM07_IS(D210,9,$G$5,$H$13),([1]!S_STM07_CS(D210,87,$G$5,$H$13)+[1]!S_STM07_CS(D210,88,$G$5,$H$13)+[1]!S_STM07_CS(D210,89,$G$5,$H$13))/$E$5))</f>
        <v/>
      </c>
      <c r="K210" s="247" t="str">
        <f ca="1">IF(C210="","",IF($K$11="净利润率",[1]!S_STM07_IS(D210,61,$G$5,$H$13)/[1]!S_STM07_IS(D210,9,$G$5,$H$13),[1]!S_STM07_IS(D210,55,$G$5,$H$13)/$E$5))</f>
        <v/>
      </c>
      <c r="L210" s="247" t="str">
        <f ca="1">IF(C210="","",IF($L$11="ROA",[1]!S_STM07_IS(D210,61,$G$5,$H$13)/[1]!S_STM07_BS(D210,74,$G$5,$H$13),1-[1]!S_STM07_IS(D210,61,$G$5,$H$13)/[1]!S_STM07_IS(D210,55,$G$5,$H$13)))</f>
        <v/>
      </c>
      <c r="M210" s="247" t="str">
        <f ca="1">IF(C210="","",IF($M$11="ROE",[1]!S_STM07_IS(D210,61,$G$5,$H$13)/[1]!S_STM07_BS(D210,141,$G$5,$H$13),([1]!S_STM07_BS(D210,25,$G$5,$H$13)-[1]!S_STM07_BS(D210,93,$G$5,$H$13))/$E$5))</f>
        <v/>
      </c>
      <c r="N210" s="247" t="str">
        <f ca="1">IF(C210="","",IF($N$11="EPS",[1]!S_STM07_IS(D210,61,$G$5,$H$13)/IF([1]!S_SHARE_TOTAL(D210,$G$5)=0,[1]!S_SHARE_TOTAL(D210,[1]!s_ipo_listeddate(D210)),[1]!S_SHARE_TOTAL(D210,$G$5)),([1]!S_STM07_BS(D210,75,$G$5,$H$13)+[1]!S_STM07_BS(D210,88,$G$5,$H$13)+[1]!S_STM07_BS(D210,94,$G$5,$H$13)+[1]!S_STM07_BS(D210,95,$G$5,$H$13))/$E$5))</f>
        <v/>
      </c>
      <c r="O210" s="247" t="str">
        <f ca="1">IF(C210="","",IF($O$11="BPS",[1]!S_STM07_BS(D210,141,$G$5,$H$13)/IF([1]!S_SHARE_TOTAL(D210,$G$5)=0,[1]!S_SHARE_TOTAL(D210,[1]!s_ipo_listeddate(D210)),[1]!S_SHARE_TOTAL(D210,$G$5)),[1]!S_STM07_CS(D210,49,$G$5,$H$13)/$E$5))</f>
        <v/>
      </c>
      <c r="P210" s="247" t="str">
        <f ca="1">IF(C210="","",IF($P$11="CFPS",[1]!S_STM07_CS(D210,84,$G$5,$H$13)/IF([1]!S_SHARE_TOTAL(D210,$G$5)=0,[1]!S_SHARE_TOTAL(D210,[1]!s_ipo_listeddate(D210)),[1]!S_SHARE_TOTAL(D210,$G$5)),[1]!S_STM07_CS(D210,84,$G$5,$H$13)/$E$5))</f>
        <v/>
      </c>
      <c r="Q210" s="248" t="str">
        <f ca="1">IF(C210="","",F210/([1]!S_STM07_IS(D210,61,$G$5,$H$13)/IF([1]!S_SHARE_TOTAL(D210,$G$5)=0,[1]!S_SHARE_TOTAL(D210,[1]!s_ipo_listeddate(D210)),[1]!S_SHARE_TOTAL(D210,$G$5))))</f>
        <v/>
      </c>
      <c r="R210" s="248" t="str">
        <f ca="1">IF(C210="","",F210/([1]!S_STM07_BS(D210,141,$G$5,$H$13)/IF([1]!S_SHARE_TOTAL(D210,$G$5)=0,[1]!S_SHARE_TOTAL(D210,[1]!s_ipo_listeddate(D210)),[1]!S_SHARE_TOTAL(D210,$G$5))))</f>
        <v/>
      </c>
      <c r="S210" s="247" t="str">
        <f ca="1">IF(C210="","",[1]!S_SHARE_TOTAL(D210,TODAY())/$E$5)</f>
        <v/>
      </c>
      <c r="T210" s="247" t="str">
        <f t="shared" ca="1" si="25"/>
        <v/>
      </c>
      <c r="U210" s="218" t="str">
        <f t="shared" ca="1" si="26"/>
        <v/>
      </c>
      <c r="V210" s="342" t="str">
        <f t="shared" ca="1" si="27"/>
        <v/>
      </c>
      <c r="W210" s="139"/>
      <c r="Y210" s="1"/>
    </row>
    <row r="211" spans="3:25" ht="12" customHeight="1">
      <c r="C211" s="343" t="str">
        <f t="shared" ca="1" si="28"/>
        <v/>
      </c>
      <c r="D211" s="124" t="str">
        <f t="shared" ca="1" si="23"/>
        <v/>
      </c>
      <c r="E211" s="124" t="str">
        <f t="shared" ca="1" si="24"/>
        <v/>
      </c>
      <c r="F211" s="172" t="str">
        <f ca="1">IF(C211="","",[1]!S_DQ_CLOSE(D211,TODAY(),1))</f>
        <v/>
      </c>
      <c r="G211" s="173" t="str">
        <f ca="1">IF(C211="","",[1]!s_pq_pctchange(D211,TODAY()-$G$12,TODAY())/100)</f>
        <v/>
      </c>
      <c r="H211" s="249" t="str">
        <f ca="1">IF(C211="","",IF($H$11="收入",[1]!S_STM07_IS(D211,9,$G$5,$H$13)/$E$5,[1]!S_STM07_IS(D211,48,$G$5,$H$13)/$E$5))</f>
        <v/>
      </c>
      <c r="I211" s="249" t="str">
        <f ca="1">IF(C211="","",IF($I$11="毛利率",([1]!S_STM07_IS(D211,9,$G$5,$H$13)-[1]!S_STM07_IS(D211,10,$G$5,$H$13))/[1]!S_STM07_IS(D211,9,$G$5,$H$13),[1]!S_STM07_IS(D211,14,$G$5,$H$13)/$E$5))</f>
        <v/>
      </c>
      <c r="J211" s="249" t="str">
        <f ca="1">IF(C211="","",IF($J$11="营业利润率",[1]!S_STM07_IS(D211,48,$G$5,$H$13)/[1]!S_STM07_IS(D211,9,$G$5,$H$13),([1]!S_STM07_CS(D211,87,$G$5,$H$13)+[1]!S_STM07_CS(D211,88,$G$5,$H$13)+[1]!S_STM07_CS(D211,89,$G$5,$H$13))/$E$5))</f>
        <v/>
      </c>
      <c r="K211" s="249" t="str">
        <f ca="1">IF(C211="","",IF($K$11="净利润率",[1]!S_STM07_IS(D211,61,$G$5,$H$13)/[1]!S_STM07_IS(D211,9,$G$5,$H$13),[1]!S_STM07_IS(D211,55,$G$5,$H$13)/$E$5))</f>
        <v/>
      </c>
      <c r="L211" s="249" t="str">
        <f ca="1">IF(C211="","",IF($L$11="ROA",[1]!S_STM07_IS(D211,61,$G$5,$H$13)/[1]!S_STM07_BS(D211,74,$G$5,$H$13),1-[1]!S_STM07_IS(D211,61,$G$5,$H$13)/[1]!S_STM07_IS(D211,55,$G$5,$H$13)))</f>
        <v/>
      </c>
      <c r="M211" s="249" t="str">
        <f ca="1">IF(C211="","",IF($M$11="ROE",[1]!S_STM07_IS(D211,61,$G$5,$H$13)/[1]!S_STM07_BS(D211,141,$G$5,$H$13),([1]!S_STM07_BS(D211,25,$G$5,$H$13)-[1]!S_STM07_BS(D211,93,$G$5,$H$13))/$E$5))</f>
        <v/>
      </c>
      <c r="N211" s="250" t="str">
        <f ca="1">IF(C211="","",IF($N$11="EPS",[1]!S_STM07_IS(D211,61,$G$5,$H$13)/IF([1]!S_SHARE_TOTAL(D211,$G$5)=0,[1]!S_SHARE_TOTAL(D211,[1]!s_ipo_listeddate(D211)),[1]!S_SHARE_TOTAL(D211,$G$5)),([1]!S_STM07_BS(D211,75,$G$5,$H$13)+[1]!S_STM07_BS(D211,88,$G$5,$H$13)+[1]!S_STM07_BS(D211,94,$G$5,$H$13)+[1]!S_STM07_BS(D211,95,$G$5,$H$13))/$E$5))</f>
        <v/>
      </c>
      <c r="O211" s="250" t="str">
        <f ca="1">IF(C211="","",IF($O$11="BPS",[1]!S_STM07_BS(D211,141,$G$5,$H$13)/IF([1]!S_SHARE_TOTAL(D211,$G$5)=0,[1]!S_SHARE_TOTAL(D211,[1]!s_ipo_listeddate(D211)),[1]!S_SHARE_TOTAL(D211,$G$5)),[1]!S_STM07_CS(D211,49,$G$5,$H$13)/$E$5))</f>
        <v/>
      </c>
      <c r="P211" s="250" t="str">
        <f ca="1">IF(C211="","",IF($P$11="CFPS",[1]!S_STM07_CS(D211,84,$G$5,$H$13)/IF([1]!S_SHARE_TOTAL(D211,$G$5)=0,[1]!S_SHARE_TOTAL(D211,[1]!s_ipo_listeddate(D211)),[1]!S_SHARE_TOTAL(D211,$G$5)),[1]!S_STM07_CS(D211,84,$G$5,$H$13)/$E$5))</f>
        <v/>
      </c>
      <c r="Q211" s="198" t="str">
        <f ca="1">IF(C211="","",F211/([1]!S_STM07_IS(D211,61,$G$5,$H$13)/IF([1]!S_SHARE_TOTAL(D211,$G$5)=0,[1]!S_SHARE_TOTAL(D211,[1]!s_ipo_listeddate(D211)),[1]!S_SHARE_TOTAL(D211,$G$5))))</f>
        <v/>
      </c>
      <c r="R211" s="198" t="str">
        <f ca="1">IF(C211="","",F211/([1]!S_STM07_BS(D211,141,$G$5,$H$13)/IF([1]!S_SHARE_TOTAL(D211,$G$5)=0,[1]!S_SHARE_TOTAL(D211,[1]!s_ipo_listeddate(D211)),[1]!S_SHARE_TOTAL(D211,$G$5))))</f>
        <v/>
      </c>
      <c r="S211" s="249" t="str">
        <f ca="1">IF(C211="","",[1]!S_SHARE_TOTAL(D211,TODAY())/$E$5)</f>
        <v/>
      </c>
      <c r="T211" s="249" t="str">
        <f t="shared" ca="1" si="25"/>
        <v/>
      </c>
      <c r="U211" s="172" t="str">
        <f t="shared" ca="1" si="26"/>
        <v/>
      </c>
      <c r="V211" s="343" t="str">
        <f t="shared" ca="1" si="27"/>
        <v/>
      </c>
      <c r="W211" s="139"/>
      <c r="Y211" s="1"/>
    </row>
    <row r="212" spans="3:25" ht="12" customHeight="1">
      <c r="C212" s="342" t="str">
        <f t="shared" ca="1" si="28"/>
        <v/>
      </c>
      <c r="D212" s="153" t="str">
        <f t="shared" ca="1" si="23"/>
        <v/>
      </c>
      <c r="E212" s="153" t="str">
        <f t="shared" ca="1" si="24"/>
        <v/>
      </c>
      <c r="F212" s="170" t="str">
        <f ca="1">IF(C212="","",[1]!S_DQ_CLOSE(D212,TODAY(),1))</f>
        <v/>
      </c>
      <c r="G212" s="171" t="str">
        <f ca="1">IF(C212="","",[1]!s_pq_pctchange(D212,TODAY()-$G$12,TODAY())/100)</f>
        <v/>
      </c>
      <c r="H212" s="247" t="str">
        <f ca="1">IF(C212="","",IF($H$11="收入",[1]!S_STM07_IS(D212,9,$G$5,$H$13)/$E$5,[1]!S_STM07_IS(D212,48,$G$5,$H$13)/$E$5))</f>
        <v/>
      </c>
      <c r="I212" s="247" t="str">
        <f ca="1">IF(C212="","",IF($I$11="毛利率",([1]!S_STM07_IS(D212,9,$G$5,$H$13)-[1]!S_STM07_IS(D212,10,$G$5,$H$13))/[1]!S_STM07_IS(D212,9,$G$5,$H$13),[1]!S_STM07_IS(D212,14,$G$5,$H$13)/$E$5))</f>
        <v/>
      </c>
      <c r="J212" s="247" t="str">
        <f ca="1">IF(C212="","",IF($J$11="营业利润率",[1]!S_STM07_IS(D212,48,$G$5,$H$13)/[1]!S_STM07_IS(D212,9,$G$5,$H$13),([1]!S_STM07_CS(D212,87,$G$5,$H$13)+[1]!S_STM07_CS(D212,88,$G$5,$H$13)+[1]!S_STM07_CS(D212,89,$G$5,$H$13))/$E$5))</f>
        <v/>
      </c>
      <c r="K212" s="247" t="str">
        <f ca="1">IF(C212="","",IF($K$11="净利润率",[1]!S_STM07_IS(D212,61,$G$5,$H$13)/[1]!S_STM07_IS(D212,9,$G$5,$H$13),[1]!S_STM07_IS(D212,55,$G$5,$H$13)/$E$5))</f>
        <v/>
      </c>
      <c r="L212" s="247" t="str">
        <f ca="1">IF(C212="","",IF($L$11="ROA",[1]!S_STM07_IS(D212,61,$G$5,$H$13)/[1]!S_STM07_BS(D212,74,$G$5,$H$13),1-[1]!S_STM07_IS(D212,61,$G$5,$H$13)/[1]!S_STM07_IS(D212,55,$G$5,$H$13)))</f>
        <v/>
      </c>
      <c r="M212" s="247" t="str">
        <f ca="1">IF(C212="","",IF($M$11="ROE",[1]!S_STM07_IS(D212,61,$G$5,$H$13)/[1]!S_STM07_BS(D212,141,$G$5,$H$13),([1]!S_STM07_BS(D212,25,$G$5,$H$13)-[1]!S_STM07_BS(D212,93,$G$5,$H$13))/$E$5))</f>
        <v/>
      </c>
      <c r="N212" s="247" t="str">
        <f ca="1">IF(C212="","",IF($N$11="EPS",[1]!S_STM07_IS(D212,61,$G$5,$H$13)/IF([1]!S_SHARE_TOTAL(D212,$G$5)=0,[1]!S_SHARE_TOTAL(D212,[1]!s_ipo_listeddate(D212)),[1]!S_SHARE_TOTAL(D212,$G$5)),([1]!S_STM07_BS(D212,75,$G$5,$H$13)+[1]!S_STM07_BS(D212,88,$G$5,$H$13)+[1]!S_STM07_BS(D212,94,$G$5,$H$13)+[1]!S_STM07_BS(D212,95,$G$5,$H$13))/$E$5))</f>
        <v/>
      </c>
      <c r="O212" s="247" t="str">
        <f ca="1">IF(C212="","",IF($O$11="BPS",[1]!S_STM07_BS(D212,141,$G$5,$H$13)/IF([1]!S_SHARE_TOTAL(D212,$G$5)=0,[1]!S_SHARE_TOTAL(D212,[1]!s_ipo_listeddate(D212)),[1]!S_SHARE_TOTAL(D212,$G$5)),[1]!S_STM07_CS(D212,49,$G$5,$H$13)/$E$5))</f>
        <v/>
      </c>
      <c r="P212" s="247" t="str">
        <f ca="1">IF(C212="","",IF($P$11="CFPS",[1]!S_STM07_CS(D212,84,$G$5,$H$13)/IF([1]!S_SHARE_TOTAL(D212,$G$5)=0,[1]!S_SHARE_TOTAL(D212,[1]!s_ipo_listeddate(D212)),[1]!S_SHARE_TOTAL(D212,$G$5)),[1]!S_STM07_CS(D212,84,$G$5,$H$13)/$E$5))</f>
        <v/>
      </c>
      <c r="Q212" s="248" t="str">
        <f ca="1">IF(C212="","",F212/([1]!S_STM07_IS(D212,61,$G$5,$H$13)/IF([1]!S_SHARE_TOTAL(D212,$G$5)=0,[1]!S_SHARE_TOTAL(D212,[1]!s_ipo_listeddate(D212)),[1]!S_SHARE_TOTAL(D212,$G$5))))</f>
        <v/>
      </c>
      <c r="R212" s="248" t="str">
        <f ca="1">IF(C212="","",F212/([1]!S_STM07_BS(D212,141,$G$5,$H$13)/IF([1]!S_SHARE_TOTAL(D212,$G$5)=0,[1]!S_SHARE_TOTAL(D212,[1]!s_ipo_listeddate(D212)),[1]!S_SHARE_TOTAL(D212,$G$5))))</f>
        <v/>
      </c>
      <c r="S212" s="247" t="str">
        <f ca="1">IF(C212="","",[1]!S_SHARE_TOTAL(D212,TODAY())/$E$5)</f>
        <v/>
      </c>
      <c r="T212" s="247" t="str">
        <f t="shared" ca="1" si="25"/>
        <v/>
      </c>
      <c r="U212" s="218" t="str">
        <f t="shared" ca="1" si="26"/>
        <v/>
      </c>
      <c r="V212" s="342" t="str">
        <f t="shared" ca="1" si="27"/>
        <v/>
      </c>
      <c r="W212" s="139"/>
      <c r="Y212" s="1"/>
    </row>
    <row r="213" spans="3:25" ht="12" customHeight="1">
      <c r="C213" s="343" t="str">
        <f t="shared" ca="1" si="28"/>
        <v/>
      </c>
      <c r="D213" s="124" t="str">
        <f t="shared" ca="1" si="23"/>
        <v/>
      </c>
      <c r="E213" s="124" t="str">
        <f t="shared" ca="1" si="24"/>
        <v/>
      </c>
      <c r="F213" s="172" t="str">
        <f ca="1">IF(C213="","",[1]!S_DQ_CLOSE(D213,TODAY(),1))</f>
        <v/>
      </c>
      <c r="G213" s="173" t="str">
        <f ca="1">IF(C213="","",[1]!s_pq_pctchange(D213,TODAY()-$G$12,TODAY())/100)</f>
        <v/>
      </c>
      <c r="H213" s="249" t="str">
        <f ca="1">IF(C213="","",IF($H$11="收入",[1]!S_STM07_IS(D213,9,$G$5,$H$13)/$E$5,[1]!S_STM07_IS(D213,48,$G$5,$H$13)/$E$5))</f>
        <v/>
      </c>
      <c r="I213" s="249" t="str">
        <f ca="1">IF(C213="","",IF($I$11="毛利率",([1]!S_STM07_IS(D213,9,$G$5,$H$13)-[1]!S_STM07_IS(D213,10,$G$5,$H$13))/[1]!S_STM07_IS(D213,9,$G$5,$H$13),[1]!S_STM07_IS(D213,14,$G$5,$H$13)/$E$5))</f>
        <v/>
      </c>
      <c r="J213" s="249" t="str">
        <f ca="1">IF(C213="","",IF($J$11="营业利润率",[1]!S_STM07_IS(D213,48,$G$5,$H$13)/[1]!S_STM07_IS(D213,9,$G$5,$H$13),([1]!S_STM07_CS(D213,87,$G$5,$H$13)+[1]!S_STM07_CS(D213,88,$G$5,$H$13)+[1]!S_STM07_CS(D213,89,$G$5,$H$13))/$E$5))</f>
        <v/>
      </c>
      <c r="K213" s="249" t="str">
        <f ca="1">IF(C213="","",IF($K$11="净利润率",[1]!S_STM07_IS(D213,61,$G$5,$H$13)/[1]!S_STM07_IS(D213,9,$G$5,$H$13),[1]!S_STM07_IS(D213,55,$G$5,$H$13)/$E$5))</f>
        <v/>
      </c>
      <c r="L213" s="249" t="str">
        <f ca="1">IF(C213="","",IF($L$11="ROA",[1]!S_STM07_IS(D213,61,$G$5,$H$13)/[1]!S_STM07_BS(D213,74,$G$5,$H$13),1-[1]!S_STM07_IS(D213,61,$G$5,$H$13)/[1]!S_STM07_IS(D213,55,$G$5,$H$13)))</f>
        <v/>
      </c>
      <c r="M213" s="249" t="str">
        <f ca="1">IF(C213="","",IF($M$11="ROE",[1]!S_STM07_IS(D213,61,$G$5,$H$13)/[1]!S_STM07_BS(D213,141,$G$5,$H$13),([1]!S_STM07_BS(D213,25,$G$5,$H$13)-[1]!S_STM07_BS(D213,93,$G$5,$H$13))/$E$5))</f>
        <v/>
      </c>
      <c r="N213" s="250" t="str">
        <f ca="1">IF(C213="","",IF($N$11="EPS",[1]!S_STM07_IS(D213,61,$G$5,$H$13)/IF([1]!S_SHARE_TOTAL(D213,$G$5)=0,[1]!S_SHARE_TOTAL(D213,[1]!s_ipo_listeddate(D213)),[1]!S_SHARE_TOTAL(D213,$G$5)),([1]!S_STM07_BS(D213,75,$G$5,$H$13)+[1]!S_STM07_BS(D213,88,$G$5,$H$13)+[1]!S_STM07_BS(D213,94,$G$5,$H$13)+[1]!S_STM07_BS(D213,95,$G$5,$H$13))/$E$5))</f>
        <v/>
      </c>
      <c r="O213" s="250" t="str">
        <f ca="1">IF(C213="","",IF($O$11="BPS",[1]!S_STM07_BS(D213,141,$G$5,$H$13)/IF([1]!S_SHARE_TOTAL(D213,$G$5)=0,[1]!S_SHARE_TOTAL(D213,[1]!s_ipo_listeddate(D213)),[1]!S_SHARE_TOTAL(D213,$G$5)),[1]!S_STM07_CS(D213,49,$G$5,$H$13)/$E$5))</f>
        <v/>
      </c>
      <c r="P213" s="250" t="str">
        <f ca="1">IF(C213="","",IF($P$11="CFPS",[1]!S_STM07_CS(D213,84,$G$5,$H$13)/IF([1]!S_SHARE_TOTAL(D213,$G$5)=0,[1]!S_SHARE_TOTAL(D213,[1]!s_ipo_listeddate(D213)),[1]!S_SHARE_TOTAL(D213,$G$5)),[1]!S_STM07_CS(D213,84,$G$5,$H$13)/$E$5))</f>
        <v/>
      </c>
      <c r="Q213" s="198" t="str">
        <f ca="1">IF(C213="","",F213/([1]!S_STM07_IS(D213,61,$G$5,$H$13)/IF([1]!S_SHARE_TOTAL(D213,$G$5)=0,[1]!S_SHARE_TOTAL(D213,[1]!s_ipo_listeddate(D213)),[1]!S_SHARE_TOTAL(D213,$G$5))))</f>
        <v/>
      </c>
      <c r="R213" s="198" t="str">
        <f ca="1">IF(C213="","",F213/([1]!S_STM07_BS(D213,141,$G$5,$H$13)/IF([1]!S_SHARE_TOTAL(D213,$G$5)=0,[1]!S_SHARE_TOTAL(D213,[1]!s_ipo_listeddate(D213)),[1]!S_SHARE_TOTAL(D213,$G$5))))</f>
        <v/>
      </c>
      <c r="S213" s="249" t="str">
        <f ca="1">IF(C213="","",[1]!S_SHARE_TOTAL(D213,TODAY())/$E$5)</f>
        <v/>
      </c>
      <c r="T213" s="249" t="str">
        <f t="shared" ca="1" si="25"/>
        <v/>
      </c>
      <c r="U213" s="172" t="str">
        <f t="shared" ca="1" si="26"/>
        <v/>
      </c>
      <c r="V213" s="343" t="str">
        <f t="shared" ca="1" si="27"/>
        <v/>
      </c>
      <c r="W213" s="139"/>
      <c r="Y213" s="1"/>
    </row>
    <row r="214" spans="3:25" ht="12" customHeight="1">
      <c r="C214" s="342" t="str">
        <f t="shared" ca="1" si="28"/>
        <v/>
      </c>
      <c r="D214" s="153" t="str">
        <f t="shared" ca="1" si="23"/>
        <v/>
      </c>
      <c r="E214" s="153" t="str">
        <f t="shared" ca="1" si="24"/>
        <v/>
      </c>
      <c r="F214" s="170" t="str">
        <f ca="1">IF(C214="","",[1]!S_DQ_CLOSE(D214,TODAY(),1))</f>
        <v/>
      </c>
      <c r="G214" s="171" t="str">
        <f ca="1">IF(C214="","",[1]!s_pq_pctchange(D214,TODAY()-$G$12,TODAY())/100)</f>
        <v/>
      </c>
      <c r="H214" s="247" t="str">
        <f ca="1">IF(C214="","",IF($H$11="收入",[1]!S_STM07_IS(D214,9,$G$5,$H$13)/$E$5,[1]!S_STM07_IS(D214,48,$G$5,$H$13)/$E$5))</f>
        <v/>
      </c>
      <c r="I214" s="247" t="str">
        <f ca="1">IF(C214="","",IF($I$11="毛利率",([1]!S_STM07_IS(D214,9,$G$5,$H$13)-[1]!S_STM07_IS(D214,10,$G$5,$H$13))/[1]!S_STM07_IS(D214,9,$G$5,$H$13),[1]!S_STM07_IS(D214,14,$G$5,$H$13)/$E$5))</f>
        <v/>
      </c>
      <c r="J214" s="247" t="str">
        <f ca="1">IF(C214="","",IF($J$11="营业利润率",[1]!S_STM07_IS(D214,48,$G$5,$H$13)/[1]!S_STM07_IS(D214,9,$G$5,$H$13),([1]!S_STM07_CS(D214,87,$G$5,$H$13)+[1]!S_STM07_CS(D214,88,$G$5,$H$13)+[1]!S_STM07_CS(D214,89,$G$5,$H$13))/$E$5))</f>
        <v/>
      </c>
      <c r="K214" s="247" t="str">
        <f ca="1">IF(C214="","",IF($K$11="净利润率",[1]!S_STM07_IS(D214,61,$G$5,$H$13)/[1]!S_STM07_IS(D214,9,$G$5,$H$13),[1]!S_STM07_IS(D214,55,$G$5,$H$13)/$E$5))</f>
        <v/>
      </c>
      <c r="L214" s="247" t="str">
        <f ca="1">IF(C214="","",IF($L$11="ROA",[1]!S_STM07_IS(D214,61,$G$5,$H$13)/[1]!S_STM07_BS(D214,74,$G$5,$H$13),1-[1]!S_STM07_IS(D214,61,$G$5,$H$13)/[1]!S_STM07_IS(D214,55,$G$5,$H$13)))</f>
        <v/>
      </c>
      <c r="M214" s="247" t="str">
        <f ca="1">IF(C214="","",IF($M$11="ROE",[1]!S_STM07_IS(D214,61,$G$5,$H$13)/[1]!S_STM07_BS(D214,141,$G$5,$H$13),([1]!S_STM07_BS(D214,25,$G$5,$H$13)-[1]!S_STM07_BS(D214,93,$G$5,$H$13))/$E$5))</f>
        <v/>
      </c>
      <c r="N214" s="247" t="str">
        <f ca="1">IF(C214="","",IF($N$11="EPS",[1]!S_STM07_IS(D214,61,$G$5,$H$13)/IF([1]!S_SHARE_TOTAL(D214,$G$5)=0,[1]!S_SHARE_TOTAL(D214,[1]!s_ipo_listeddate(D214)),[1]!S_SHARE_TOTAL(D214,$G$5)),([1]!S_STM07_BS(D214,75,$G$5,$H$13)+[1]!S_STM07_BS(D214,88,$G$5,$H$13)+[1]!S_STM07_BS(D214,94,$G$5,$H$13)+[1]!S_STM07_BS(D214,95,$G$5,$H$13))/$E$5))</f>
        <v/>
      </c>
      <c r="O214" s="247" t="str">
        <f ca="1">IF(C214="","",IF($O$11="BPS",[1]!S_STM07_BS(D214,141,$G$5,$H$13)/IF([1]!S_SHARE_TOTAL(D214,$G$5)=0,[1]!S_SHARE_TOTAL(D214,[1]!s_ipo_listeddate(D214)),[1]!S_SHARE_TOTAL(D214,$G$5)),[1]!S_STM07_CS(D214,49,$G$5,$H$13)/$E$5))</f>
        <v/>
      </c>
      <c r="P214" s="247" t="str">
        <f ca="1">IF(C214="","",IF($P$11="CFPS",[1]!S_STM07_CS(D214,84,$G$5,$H$13)/IF([1]!S_SHARE_TOTAL(D214,$G$5)=0,[1]!S_SHARE_TOTAL(D214,[1]!s_ipo_listeddate(D214)),[1]!S_SHARE_TOTAL(D214,$G$5)),[1]!S_STM07_CS(D214,84,$G$5,$H$13)/$E$5))</f>
        <v/>
      </c>
      <c r="Q214" s="248" t="str">
        <f ca="1">IF(C214="","",F214/([1]!S_STM07_IS(D214,61,$G$5,$H$13)/IF([1]!S_SHARE_TOTAL(D214,$G$5)=0,[1]!S_SHARE_TOTAL(D214,[1]!s_ipo_listeddate(D214)),[1]!S_SHARE_TOTAL(D214,$G$5))))</f>
        <v/>
      </c>
      <c r="R214" s="248" t="str">
        <f ca="1">IF(C214="","",F214/([1]!S_STM07_BS(D214,141,$G$5,$H$13)/IF([1]!S_SHARE_TOTAL(D214,$G$5)=0,[1]!S_SHARE_TOTAL(D214,[1]!s_ipo_listeddate(D214)),[1]!S_SHARE_TOTAL(D214,$G$5))))</f>
        <v/>
      </c>
      <c r="S214" s="247" t="str">
        <f ca="1">IF(C214="","",[1]!S_SHARE_TOTAL(D214,TODAY())/$E$5)</f>
        <v/>
      </c>
      <c r="T214" s="247" t="str">
        <f t="shared" ca="1" si="25"/>
        <v/>
      </c>
      <c r="U214" s="218" t="str">
        <f t="shared" ca="1" si="26"/>
        <v/>
      </c>
      <c r="V214" s="342" t="str">
        <f t="shared" ca="1" si="27"/>
        <v/>
      </c>
      <c r="W214" s="139"/>
      <c r="Y214" s="1"/>
    </row>
    <row r="215" spans="3:25" ht="12" customHeight="1">
      <c r="C215" s="343" t="str">
        <f t="shared" ca="1" si="28"/>
        <v/>
      </c>
      <c r="D215" s="124" t="str">
        <f t="shared" ca="1" si="23"/>
        <v/>
      </c>
      <c r="E215" s="124" t="str">
        <f t="shared" ca="1" si="24"/>
        <v/>
      </c>
      <c r="F215" s="172" t="str">
        <f ca="1">IF(C215="","",[1]!S_DQ_CLOSE(D215,TODAY(),1))</f>
        <v/>
      </c>
      <c r="G215" s="173" t="str">
        <f ca="1">IF(C215="","",[1]!s_pq_pctchange(D215,TODAY()-$G$12,TODAY())/100)</f>
        <v/>
      </c>
      <c r="H215" s="249" t="str">
        <f ca="1">IF(C215="","",IF($H$11="收入",[1]!S_STM07_IS(D215,9,$G$5,$H$13)/$E$5,[1]!S_STM07_IS(D215,48,$G$5,$H$13)/$E$5))</f>
        <v/>
      </c>
      <c r="I215" s="249" t="str">
        <f ca="1">IF(C215="","",IF($I$11="毛利率",([1]!S_STM07_IS(D215,9,$G$5,$H$13)-[1]!S_STM07_IS(D215,10,$G$5,$H$13))/[1]!S_STM07_IS(D215,9,$G$5,$H$13),[1]!S_STM07_IS(D215,14,$G$5,$H$13)/$E$5))</f>
        <v/>
      </c>
      <c r="J215" s="249" t="str">
        <f ca="1">IF(C215="","",IF($J$11="营业利润率",[1]!S_STM07_IS(D215,48,$G$5,$H$13)/[1]!S_STM07_IS(D215,9,$G$5,$H$13),([1]!S_STM07_CS(D215,87,$G$5,$H$13)+[1]!S_STM07_CS(D215,88,$G$5,$H$13)+[1]!S_STM07_CS(D215,89,$G$5,$H$13))/$E$5))</f>
        <v/>
      </c>
      <c r="K215" s="249" t="str">
        <f ca="1">IF(C215="","",IF($K$11="净利润率",[1]!S_STM07_IS(D215,61,$G$5,$H$13)/[1]!S_STM07_IS(D215,9,$G$5,$H$13),[1]!S_STM07_IS(D215,55,$G$5,$H$13)/$E$5))</f>
        <v/>
      </c>
      <c r="L215" s="249" t="str">
        <f ca="1">IF(C215="","",IF($L$11="ROA",[1]!S_STM07_IS(D215,61,$G$5,$H$13)/[1]!S_STM07_BS(D215,74,$G$5,$H$13),1-[1]!S_STM07_IS(D215,61,$G$5,$H$13)/[1]!S_STM07_IS(D215,55,$G$5,$H$13)))</f>
        <v/>
      </c>
      <c r="M215" s="249" t="str">
        <f ca="1">IF(C215="","",IF($M$11="ROE",[1]!S_STM07_IS(D215,61,$G$5,$H$13)/[1]!S_STM07_BS(D215,141,$G$5,$H$13),([1]!S_STM07_BS(D215,25,$G$5,$H$13)-[1]!S_STM07_BS(D215,93,$G$5,$H$13))/$E$5))</f>
        <v/>
      </c>
      <c r="N215" s="250" t="str">
        <f ca="1">IF(C215="","",IF($N$11="EPS",[1]!S_STM07_IS(D215,61,$G$5,$H$13)/IF([1]!S_SHARE_TOTAL(D215,$G$5)=0,[1]!S_SHARE_TOTAL(D215,[1]!s_ipo_listeddate(D215)),[1]!S_SHARE_TOTAL(D215,$G$5)),([1]!S_STM07_BS(D215,75,$G$5,$H$13)+[1]!S_STM07_BS(D215,88,$G$5,$H$13)+[1]!S_STM07_BS(D215,94,$G$5,$H$13)+[1]!S_STM07_BS(D215,95,$G$5,$H$13))/$E$5))</f>
        <v/>
      </c>
      <c r="O215" s="250" t="str">
        <f ca="1">IF(C215="","",IF($O$11="BPS",[1]!S_STM07_BS(D215,141,$G$5,$H$13)/IF([1]!S_SHARE_TOTAL(D215,$G$5)=0,[1]!S_SHARE_TOTAL(D215,[1]!s_ipo_listeddate(D215)),[1]!S_SHARE_TOTAL(D215,$G$5)),[1]!S_STM07_CS(D215,49,$G$5,$H$13)/$E$5))</f>
        <v/>
      </c>
      <c r="P215" s="250" t="str">
        <f ca="1">IF(C215="","",IF($P$11="CFPS",[1]!S_STM07_CS(D215,84,$G$5,$H$13)/IF([1]!S_SHARE_TOTAL(D215,$G$5)=0,[1]!S_SHARE_TOTAL(D215,[1]!s_ipo_listeddate(D215)),[1]!S_SHARE_TOTAL(D215,$G$5)),[1]!S_STM07_CS(D215,84,$G$5,$H$13)/$E$5))</f>
        <v/>
      </c>
      <c r="Q215" s="198" t="str">
        <f ca="1">IF(C215="","",F215/([1]!S_STM07_IS(D215,61,$G$5,$H$13)/IF([1]!S_SHARE_TOTAL(D215,$G$5)=0,[1]!S_SHARE_TOTAL(D215,[1]!s_ipo_listeddate(D215)),[1]!S_SHARE_TOTAL(D215,$G$5))))</f>
        <v/>
      </c>
      <c r="R215" s="198" t="str">
        <f ca="1">IF(C215="","",F215/([1]!S_STM07_BS(D215,141,$G$5,$H$13)/IF([1]!S_SHARE_TOTAL(D215,$G$5)=0,[1]!S_SHARE_TOTAL(D215,[1]!s_ipo_listeddate(D215)),[1]!S_SHARE_TOTAL(D215,$G$5))))</f>
        <v/>
      </c>
      <c r="S215" s="249" t="str">
        <f ca="1">IF(C215="","",[1]!S_SHARE_TOTAL(D215,TODAY())/$E$5)</f>
        <v/>
      </c>
      <c r="T215" s="249" t="str">
        <f t="shared" ca="1" si="25"/>
        <v/>
      </c>
      <c r="U215" s="172" t="str">
        <f t="shared" ca="1" si="26"/>
        <v/>
      </c>
      <c r="V215" s="343" t="str">
        <f t="shared" ca="1" si="27"/>
        <v/>
      </c>
      <c r="W215" s="139"/>
      <c r="Y215" s="1"/>
    </row>
    <row r="216" spans="3:25" ht="12" customHeight="1">
      <c r="C216" s="342" t="str">
        <f t="shared" ca="1" si="28"/>
        <v/>
      </c>
      <c r="D216" s="153" t="str">
        <f t="shared" ca="1" si="23"/>
        <v/>
      </c>
      <c r="E216" s="153" t="str">
        <f t="shared" ca="1" si="24"/>
        <v/>
      </c>
      <c r="F216" s="170" t="str">
        <f ca="1">IF(C216="","",[1]!S_DQ_CLOSE(D216,TODAY(),1))</f>
        <v/>
      </c>
      <c r="G216" s="171" t="str">
        <f ca="1">IF(C216="","",[1]!s_pq_pctchange(D216,TODAY()-$G$12,TODAY())/100)</f>
        <v/>
      </c>
      <c r="H216" s="247" t="str">
        <f ca="1">IF(C216="","",IF($H$11="收入",[1]!S_STM07_IS(D216,9,$G$5,$H$13)/$E$5,[1]!S_STM07_IS(D216,48,$G$5,$H$13)/$E$5))</f>
        <v/>
      </c>
      <c r="I216" s="247" t="str">
        <f ca="1">IF(C216="","",IF($I$11="毛利率",([1]!S_STM07_IS(D216,9,$G$5,$H$13)-[1]!S_STM07_IS(D216,10,$G$5,$H$13))/[1]!S_STM07_IS(D216,9,$G$5,$H$13),[1]!S_STM07_IS(D216,14,$G$5,$H$13)/$E$5))</f>
        <v/>
      </c>
      <c r="J216" s="247" t="str">
        <f ca="1">IF(C216="","",IF($J$11="营业利润率",[1]!S_STM07_IS(D216,48,$G$5,$H$13)/[1]!S_STM07_IS(D216,9,$G$5,$H$13),([1]!S_STM07_CS(D216,87,$G$5,$H$13)+[1]!S_STM07_CS(D216,88,$G$5,$H$13)+[1]!S_STM07_CS(D216,89,$G$5,$H$13))/$E$5))</f>
        <v/>
      </c>
      <c r="K216" s="247" t="str">
        <f ca="1">IF(C216="","",IF($K$11="净利润率",[1]!S_STM07_IS(D216,61,$G$5,$H$13)/[1]!S_STM07_IS(D216,9,$G$5,$H$13),[1]!S_STM07_IS(D216,55,$G$5,$H$13)/$E$5))</f>
        <v/>
      </c>
      <c r="L216" s="247" t="str">
        <f ca="1">IF(C216="","",IF($L$11="ROA",[1]!S_STM07_IS(D216,61,$G$5,$H$13)/[1]!S_STM07_BS(D216,74,$G$5,$H$13),1-[1]!S_STM07_IS(D216,61,$G$5,$H$13)/[1]!S_STM07_IS(D216,55,$G$5,$H$13)))</f>
        <v/>
      </c>
      <c r="M216" s="247" t="str">
        <f ca="1">IF(C216="","",IF($M$11="ROE",[1]!S_STM07_IS(D216,61,$G$5,$H$13)/[1]!S_STM07_BS(D216,141,$G$5,$H$13),([1]!S_STM07_BS(D216,25,$G$5,$H$13)-[1]!S_STM07_BS(D216,93,$G$5,$H$13))/$E$5))</f>
        <v/>
      </c>
      <c r="N216" s="247" t="str">
        <f ca="1">IF(C216="","",IF($N$11="EPS",[1]!S_STM07_IS(D216,61,$G$5,$H$13)/IF([1]!S_SHARE_TOTAL(D216,$G$5)=0,[1]!S_SHARE_TOTAL(D216,[1]!s_ipo_listeddate(D216)),[1]!S_SHARE_TOTAL(D216,$G$5)),([1]!S_STM07_BS(D216,75,$G$5,$H$13)+[1]!S_STM07_BS(D216,88,$G$5,$H$13)+[1]!S_STM07_BS(D216,94,$G$5,$H$13)+[1]!S_STM07_BS(D216,95,$G$5,$H$13))/$E$5))</f>
        <v/>
      </c>
      <c r="O216" s="247" t="str">
        <f ca="1">IF(C216="","",IF($O$11="BPS",[1]!S_STM07_BS(D216,141,$G$5,$H$13)/IF([1]!S_SHARE_TOTAL(D216,$G$5)=0,[1]!S_SHARE_TOTAL(D216,[1]!s_ipo_listeddate(D216)),[1]!S_SHARE_TOTAL(D216,$G$5)),[1]!S_STM07_CS(D216,49,$G$5,$H$13)/$E$5))</f>
        <v/>
      </c>
      <c r="P216" s="247" t="str">
        <f ca="1">IF(C216="","",IF($P$11="CFPS",[1]!S_STM07_CS(D216,84,$G$5,$H$13)/IF([1]!S_SHARE_TOTAL(D216,$G$5)=0,[1]!S_SHARE_TOTAL(D216,[1]!s_ipo_listeddate(D216)),[1]!S_SHARE_TOTAL(D216,$G$5)),[1]!S_STM07_CS(D216,84,$G$5,$H$13)/$E$5))</f>
        <v/>
      </c>
      <c r="Q216" s="248" t="str">
        <f ca="1">IF(C216="","",F216/([1]!S_STM07_IS(D216,61,$G$5,$H$13)/IF([1]!S_SHARE_TOTAL(D216,$G$5)=0,[1]!S_SHARE_TOTAL(D216,[1]!s_ipo_listeddate(D216)),[1]!S_SHARE_TOTAL(D216,$G$5))))</f>
        <v/>
      </c>
      <c r="R216" s="248" t="str">
        <f ca="1">IF(C216="","",F216/([1]!S_STM07_BS(D216,141,$G$5,$H$13)/IF([1]!S_SHARE_TOTAL(D216,$G$5)=0,[1]!S_SHARE_TOTAL(D216,[1]!s_ipo_listeddate(D216)),[1]!S_SHARE_TOTAL(D216,$G$5))))</f>
        <v/>
      </c>
      <c r="S216" s="247" t="str">
        <f ca="1">IF(C216="","",[1]!S_SHARE_TOTAL(D216,TODAY())/$E$5)</f>
        <v/>
      </c>
      <c r="T216" s="247" t="str">
        <f t="shared" ca="1" si="25"/>
        <v/>
      </c>
      <c r="U216" s="218" t="str">
        <f t="shared" ca="1" si="26"/>
        <v/>
      </c>
      <c r="V216" s="342" t="str">
        <f t="shared" ca="1" si="27"/>
        <v/>
      </c>
      <c r="W216" s="139"/>
      <c r="Y216" s="1"/>
    </row>
    <row r="217" spans="3:25" ht="12" customHeight="1">
      <c r="C217" s="343" t="str">
        <f t="shared" ca="1" si="28"/>
        <v/>
      </c>
      <c r="D217" s="124" t="str">
        <f t="shared" ca="1" si="23"/>
        <v/>
      </c>
      <c r="E217" s="124" t="str">
        <f t="shared" ca="1" si="24"/>
        <v/>
      </c>
      <c r="F217" s="172" t="str">
        <f ca="1">IF(C217="","",[1]!S_DQ_CLOSE(D217,TODAY(),1))</f>
        <v/>
      </c>
      <c r="G217" s="173" t="str">
        <f ca="1">IF(C217="","",[1]!s_pq_pctchange(D217,TODAY()-$G$12,TODAY())/100)</f>
        <v/>
      </c>
      <c r="H217" s="249" t="str">
        <f ca="1">IF(C217="","",IF($H$11="收入",[1]!S_STM07_IS(D217,9,$G$5,$H$13)/$E$5,[1]!S_STM07_IS(D217,48,$G$5,$H$13)/$E$5))</f>
        <v/>
      </c>
      <c r="I217" s="249" t="str">
        <f ca="1">IF(C217="","",IF($I$11="毛利率",([1]!S_STM07_IS(D217,9,$G$5,$H$13)-[1]!S_STM07_IS(D217,10,$G$5,$H$13))/[1]!S_STM07_IS(D217,9,$G$5,$H$13),[1]!S_STM07_IS(D217,14,$G$5,$H$13)/$E$5))</f>
        <v/>
      </c>
      <c r="J217" s="249" t="str">
        <f ca="1">IF(C217="","",IF($J$11="营业利润率",[1]!S_STM07_IS(D217,48,$G$5,$H$13)/[1]!S_STM07_IS(D217,9,$G$5,$H$13),([1]!S_STM07_CS(D217,87,$G$5,$H$13)+[1]!S_STM07_CS(D217,88,$G$5,$H$13)+[1]!S_STM07_CS(D217,89,$G$5,$H$13))/$E$5))</f>
        <v/>
      </c>
      <c r="K217" s="249" t="str">
        <f ca="1">IF(C217="","",IF($K$11="净利润率",[1]!S_STM07_IS(D217,61,$G$5,$H$13)/[1]!S_STM07_IS(D217,9,$G$5,$H$13),[1]!S_STM07_IS(D217,55,$G$5,$H$13)/$E$5))</f>
        <v/>
      </c>
      <c r="L217" s="249" t="str">
        <f ca="1">IF(C217="","",IF($L$11="ROA",[1]!S_STM07_IS(D217,61,$G$5,$H$13)/[1]!S_STM07_BS(D217,74,$G$5,$H$13),1-[1]!S_STM07_IS(D217,61,$G$5,$H$13)/[1]!S_STM07_IS(D217,55,$G$5,$H$13)))</f>
        <v/>
      </c>
      <c r="M217" s="249" t="str">
        <f ca="1">IF(C217="","",IF($M$11="ROE",[1]!S_STM07_IS(D217,61,$G$5,$H$13)/[1]!S_STM07_BS(D217,141,$G$5,$H$13),([1]!S_STM07_BS(D217,25,$G$5,$H$13)-[1]!S_STM07_BS(D217,93,$G$5,$H$13))/$E$5))</f>
        <v/>
      </c>
      <c r="N217" s="250" t="str">
        <f ca="1">IF(C217="","",IF($N$11="EPS",[1]!S_STM07_IS(D217,61,$G$5,$H$13)/IF([1]!S_SHARE_TOTAL(D217,$G$5)=0,[1]!S_SHARE_TOTAL(D217,[1]!s_ipo_listeddate(D217)),[1]!S_SHARE_TOTAL(D217,$G$5)),([1]!S_STM07_BS(D217,75,$G$5,$H$13)+[1]!S_STM07_BS(D217,88,$G$5,$H$13)+[1]!S_STM07_BS(D217,94,$G$5,$H$13)+[1]!S_STM07_BS(D217,95,$G$5,$H$13))/$E$5))</f>
        <v/>
      </c>
      <c r="O217" s="250" t="str">
        <f ca="1">IF(C217="","",IF($O$11="BPS",[1]!S_STM07_BS(D217,141,$G$5,$H$13)/IF([1]!S_SHARE_TOTAL(D217,$G$5)=0,[1]!S_SHARE_TOTAL(D217,[1]!s_ipo_listeddate(D217)),[1]!S_SHARE_TOTAL(D217,$G$5)),[1]!S_STM07_CS(D217,49,$G$5,$H$13)/$E$5))</f>
        <v/>
      </c>
      <c r="P217" s="250" t="str">
        <f ca="1">IF(C217="","",IF($P$11="CFPS",[1]!S_STM07_CS(D217,84,$G$5,$H$13)/IF([1]!S_SHARE_TOTAL(D217,$G$5)=0,[1]!S_SHARE_TOTAL(D217,[1]!s_ipo_listeddate(D217)),[1]!S_SHARE_TOTAL(D217,$G$5)),[1]!S_STM07_CS(D217,84,$G$5,$H$13)/$E$5))</f>
        <v/>
      </c>
      <c r="Q217" s="198" t="str">
        <f ca="1">IF(C217="","",F217/([1]!S_STM07_IS(D217,61,$G$5,$H$13)/IF([1]!S_SHARE_TOTAL(D217,$G$5)=0,[1]!S_SHARE_TOTAL(D217,[1]!s_ipo_listeddate(D217)),[1]!S_SHARE_TOTAL(D217,$G$5))))</f>
        <v/>
      </c>
      <c r="R217" s="198" t="str">
        <f ca="1">IF(C217="","",F217/([1]!S_STM07_BS(D217,141,$G$5,$H$13)/IF([1]!S_SHARE_TOTAL(D217,$G$5)=0,[1]!S_SHARE_TOTAL(D217,[1]!s_ipo_listeddate(D217)),[1]!S_SHARE_TOTAL(D217,$G$5))))</f>
        <v/>
      </c>
      <c r="S217" s="249" t="str">
        <f ca="1">IF(C217="","",[1]!S_SHARE_TOTAL(D217,TODAY())/$E$5)</f>
        <v/>
      </c>
      <c r="T217" s="249" t="str">
        <f t="shared" ca="1" si="25"/>
        <v/>
      </c>
      <c r="U217" s="172" t="str">
        <f t="shared" ca="1" si="26"/>
        <v/>
      </c>
      <c r="V217" s="343" t="str">
        <f t="shared" ca="1" si="27"/>
        <v/>
      </c>
      <c r="W217" s="139"/>
      <c r="Y217" s="1"/>
    </row>
    <row r="218" spans="3:25" ht="12" customHeight="1">
      <c r="C218" s="342" t="str">
        <f t="shared" ca="1" si="28"/>
        <v/>
      </c>
      <c r="D218" s="153" t="str">
        <f t="shared" ca="1" si="23"/>
        <v/>
      </c>
      <c r="E218" s="153" t="str">
        <f t="shared" ca="1" si="24"/>
        <v/>
      </c>
      <c r="F218" s="170" t="str">
        <f ca="1">IF(C218="","",[1]!S_DQ_CLOSE(D218,TODAY(),1))</f>
        <v/>
      </c>
      <c r="G218" s="171" t="str">
        <f ca="1">IF(C218="","",[1]!s_pq_pctchange(D218,TODAY()-$G$12,TODAY())/100)</f>
        <v/>
      </c>
      <c r="H218" s="247" t="str">
        <f ca="1">IF(C218="","",IF($H$11="收入",[1]!S_STM07_IS(D218,9,$G$5,$H$13)/$E$5,[1]!S_STM07_IS(D218,48,$G$5,$H$13)/$E$5))</f>
        <v/>
      </c>
      <c r="I218" s="247" t="str">
        <f ca="1">IF(C218="","",IF($I$11="毛利率",([1]!S_STM07_IS(D218,9,$G$5,$H$13)-[1]!S_STM07_IS(D218,10,$G$5,$H$13))/[1]!S_STM07_IS(D218,9,$G$5,$H$13),[1]!S_STM07_IS(D218,14,$G$5,$H$13)/$E$5))</f>
        <v/>
      </c>
      <c r="J218" s="247" t="str">
        <f ca="1">IF(C218="","",IF($J$11="营业利润率",[1]!S_STM07_IS(D218,48,$G$5,$H$13)/[1]!S_STM07_IS(D218,9,$G$5,$H$13),([1]!S_STM07_CS(D218,87,$G$5,$H$13)+[1]!S_STM07_CS(D218,88,$G$5,$H$13)+[1]!S_STM07_CS(D218,89,$G$5,$H$13))/$E$5))</f>
        <v/>
      </c>
      <c r="K218" s="247" t="str">
        <f ca="1">IF(C218="","",IF($K$11="净利润率",[1]!S_STM07_IS(D218,61,$G$5,$H$13)/[1]!S_STM07_IS(D218,9,$G$5,$H$13),[1]!S_STM07_IS(D218,55,$G$5,$H$13)/$E$5))</f>
        <v/>
      </c>
      <c r="L218" s="247" t="str">
        <f ca="1">IF(C218="","",IF($L$11="ROA",[1]!S_STM07_IS(D218,61,$G$5,$H$13)/[1]!S_STM07_BS(D218,74,$G$5,$H$13),1-[1]!S_STM07_IS(D218,61,$G$5,$H$13)/[1]!S_STM07_IS(D218,55,$G$5,$H$13)))</f>
        <v/>
      </c>
      <c r="M218" s="247" t="str">
        <f ca="1">IF(C218="","",IF($M$11="ROE",[1]!S_STM07_IS(D218,61,$G$5,$H$13)/[1]!S_STM07_BS(D218,141,$G$5,$H$13),([1]!S_STM07_BS(D218,25,$G$5,$H$13)-[1]!S_STM07_BS(D218,93,$G$5,$H$13))/$E$5))</f>
        <v/>
      </c>
      <c r="N218" s="247" t="str">
        <f ca="1">IF(C218="","",IF($N$11="EPS",[1]!S_STM07_IS(D218,61,$G$5,$H$13)/IF([1]!S_SHARE_TOTAL(D218,$G$5)=0,[1]!S_SHARE_TOTAL(D218,[1]!s_ipo_listeddate(D218)),[1]!S_SHARE_TOTAL(D218,$G$5)),([1]!S_STM07_BS(D218,75,$G$5,$H$13)+[1]!S_STM07_BS(D218,88,$G$5,$H$13)+[1]!S_STM07_BS(D218,94,$G$5,$H$13)+[1]!S_STM07_BS(D218,95,$G$5,$H$13))/$E$5))</f>
        <v/>
      </c>
      <c r="O218" s="247" t="str">
        <f ca="1">IF(C218="","",IF($O$11="BPS",[1]!S_STM07_BS(D218,141,$G$5,$H$13)/IF([1]!S_SHARE_TOTAL(D218,$G$5)=0,[1]!S_SHARE_TOTAL(D218,[1]!s_ipo_listeddate(D218)),[1]!S_SHARE_TOTAL(D218,$G$5)),[1]!S_STM07_CS(D218,49,$G$5,$H$13)/$E$5))</f>
        <v/>
      </c>
      <c r="P218" s="247" t="str">
        <f ca="1">IF(C218="","",IF($P$11="CFPS",[1]!S_STM07_CS(D218,84,$G$5,$H$13)/IF([1]!S_SHARE_TOTAL(D218,$G$5)=0,[1]!S_SHARE_TOTAL(D218,[1]!s_ipo_listeddate(D218)),[1]!S_SHARE_TOTAL(D218,$G$5)),[1]!S_STM07_CS(D218,84,$G$5,$H$13)/$E$5))</f>
        <v/>
      </c>
      <c r="Q218" s="248" t="str">
        <f ca="1">IF(C218="","",F218/([1]!S_STM07_IS(D218,61,$G$5,$H$13)/IF([1]!S_SHARE_TOTAL(D218,$G$5)=0,[1]!S_SHARE_TOTAL(D218,[1]!s_ipo_listeddate(D218)),[1]!S_SHARE_TOTAL(D218,$G$5))))</f>
        <v/>
      </c>
      <c r="R218" s="248" t="str">
        <f ca="1">IF(C218="","",F218/([1]!S_STM07_BS(D218,141,$G$5,$H$13)/IF([1]!S_SHARE_TOTAL(D218,$G$5)=0,[1]!S_SHARE_TOTAL(D218,[1]!s_ipo_listeddate(D218)),[1]!S_SHARE_TOTAL(D218,$G$5))))</f>
        <v/>
      </c>
      <c r="S218" s="247" t="str">
        <f ca="1">IF(C218="","",[1]!S_SHARE_TOTAL(D218,TODAY())/$E$5)</f>
        <v/>
      </c>
      <c r="T218" s="247" t="str">
        <f t="shared" ca="1" si="25"/>
        <v/>
      </c>
      <c r="U218" s="218" t="str">
        <f t="shared" ca="1" si="26"/>
        <v/>
      </c>
      <c r="V218" s="342" t="str">
        <f t="shared" ca="1" si="27"/>
        <v/>
      </c>
      <c r="W218" s="139"/>
      <c r="Y218" s="1"/>
    </row>
    <row r="219" spans="3:25" ht="12" customHeight="1">
      <c r="C219" s="343" t="str">
        <f t="shared" ca="1" si="28"/>
        <v/>
      </c>
      <c r="D219" s="124" t="str">
        <f t="shared" ca="1" si="23"/>
        <v/>
      </c>
      <c r="E219" s="124" t="str">
        <f t="shared" ca="1" si="24"/>
        <v/>
      </c>
      <c r="F219" s="172" t="str">
        <f ca="1">IF(C219="","",[1]!S_DQ_CLOSE(D219,TODAY(),1))</f>
        <v/>
      </c>
      <c r="G219" s="173" t="str">
        <f ca="1">IF(C219="","",[1]!s_pq_pctchange(D219,TODAY()-$G$12,TODAY())/100)</f>
        <v/>
      </c>
      <c r="H219" s="249" t="str">
        <f ca="1">IF(C219="","",IF($H$11="收入",[1]!S_STM07_IS(D219,9,$G$5,$H$13)/$E$5,[1]!S_STM07_IS(D219,48,$G$5,$H$13)/$E$5))</f>
        <v/>
      </c>
      <c r="I219" s="249" t="str">
        <f ca="1">IF(C219="","",IF($I$11="毛利率",([1]!S_STM07_IS(D219,9,$G$5,$H$13)-[1]!S_STM07_IS(D219,10,$G$5,$H$13))/[1]!S_STM07_IS(D219,9,$G$5,$H$13),[1]!S_STM07_IS(D219,14,$G$5,$H$13)/$E$5))</f>
        <v/>
      </c>
      <c r="J219" s="249" t="str">
        <f ca="1">IF(C219="","",IF($J$11="营业利润率",[1]!S_STM07_IS(D219,48,$G$5,$H$13)/[1]!S_STM07_IS(D219,9,$G$5,$H$13),([1]!S_STM07_CS(D219,87,$G$5,$H$13)+[1]!S_STM07_CS(D219,88,$G$5,$H$13)+[1]!S_STM07_CS(D219,89,$G$5,$H$13))/$E$5))</f>
        <v/>
      </c>
      <c r="K219" s="249" t="str">
        <f ca="1">IF(C219="","",IF($K$11="净利润率",[1]!S_STM07_IS(D219,61,$G$5,$H$13)/[1]!S_STM07_IS(D219,9,$G$5,$H$13),[1]!S_STM07_IS(D219,55,$G$5,$H$13)/$E$5))</f>
        <v/>
      </c>
      <c r="L219" s="249" t="str">
        <f ca="1">IF(C219="","",IF($L$11="ROA",[1]!S_STM07_IS(D219,61,$G$5,$H$13)/[1]!S_STM07_BS(D219,74,$G$5,$H$13),1-[1]!S_STM07_IS(D219,61,$G$5,$H$13)/[1]!S_STM07_IS(D219,55,$G$5,$H$13)))</f>
        <v/>
      </c>
      <c r="M219" s="249" t="str">
        <f ca="1">IF(C219="","",IF($M$11="ROE",[1]!S_STM07_IS(D219,61,$G$5,$H$13)/[1]!S_STM07_BS(D219,141,$G$5,$H$13),([1]!S_STM07_BS(D219,25,$G$5,$H$13)-[1]!S_STM07_BS(D219,93,$G$5,$H$13))/$E$5))</f>
        <v/>
      </c>
      <c r="N219" s="250" t="str">
        <f ca="1">IF(C219="","",IF($N$11="EPS",[1]!S_STM07_IS(D219,61,$G$5,$H$13)/IF([1]!S_SHARE_TOTAL(D219,$G$5)=0,[1]!S_SHARE_TOTAL(D219,[1]!s_ipo_listeddate(D219)),[1]!S_SHARE_TOTAL(D219,$G$5)),([1]!S_STM07_BS(D219,75,$G$5,$H$13)+[1]!S_STM07_BS(D219,88,$G$5,$H$13)+[1]!S_STM07_BS(D219,94,$G$5,$H$13)+[1]!S_STM07_BS(D219,95,$G$5,$H$13))/$E$5))</f>
        <v/>
      </c>
      <c r="O219" s="250" t="str">
        <f ca="1">IF(C219="","",IF($O$11="BPS",[1]!S_STM07_BS(D219,141,$G$5,$H$13)/IF([1]!S_SHARE_TOTAL(D219,$G$5)=0,[1]!S_SHARE_TOTAL(D219,[1]!s_ipo_listeddate(D219)),[1]!S_SHARE_TOTAL(D219,$G$5)),[1]!S_STM07_CS(D219,49,$G$5,$H$13)/$E$5))</f>
        <v/>
      </c>
      <c r="P219" s="250" t="str">
        <f ca="1">IF(C219="","",IF($P$11="CFPS",[1]!S_STM07_CS(D219,84,$G$5,$H$13)/IF([1]!S_SHARE_TOTAL(D219,$G$5)=0,[1]!S_SHARE_TOTAL(D219,[1]!s_ipo_listeddate(D219)),[1]!S_SHARE_TOTAL(D219,$G$5)),[1]!S_STM07_CS(D219,84,$G$5,$H$13)/$E$5))</f>
        <v/>
      </c>
      <c r="Q219" s="198" t="str">
        <f ca="1">IF(C219="","",F219/([1]!S_STM07_IS(D219,61,$G$5,$H$13)/IF([1]!S_SHARE_TOTAL(D219,$G$5)=0,[1]!S_SHARE_TOTAL(D219,[1]!s_ipo_listeddate(D219)),[1]!S_SHARE_TOTAL(D219,$G$5))))</f>
        <v/>
      </c>
      <c r="R219" s="198" t="str">
        <f ca="1">IF(C219="","",F219/([1]!S_STM07_BS(D219,141,$G$5,$H$13)/IF([1]!S_SHARE_TOTAL(D219,$G$5)=0,[1]!S_SHARE_TOTAL(D219,[1]!s_ipo_listeddate(D219)),[1]!S_SHARE_TOTAL(D219,$G$5))))</f>
        <v/>
      </c>
      <c r="S219" s="249" t="str">
        <f ca="1">IF(C219="","",[1]!S_SHARE_TOTAL(D219,TODAY())/$E$5)</f>
        <v/>
      </c>
      <c r="T219" s="249" t="str">
        <f t="shared" ca="1" si="25"/>
        <v/>
      </c>
      <c r="U219" s="172" t="str">
        <f t="shared" ca="1" si="26"/>
        <v/>
      </c>
      <c r="V219" s="343" t="str">
        <f t="shared" ca="1" si="27"/>
        <v/>
      </c>
      <c r="W219" s="139"/>
      <c r="Y219" s="1"/>
    </row>
    <row r="220" spans="3:25" ht="12" customHeight="1">
      <c r="C220" s="342" t="str">
        <f t="shared" ca="1" si="28"/>
        <v/>
      </c>
      <c r="D220" s="153" t="str">
        <f t="shared" ca="1" si="23"/>
        <v/>
      </c>
      <c r="E220" s="153" t="str">
        <f t="shared" ca="1" si="24"/>
        <v/>
      </c>
      <c r="F220" s="170" t="str">
        <f ca="1">IF(C220="","",[1]!S_DQ_CLOSE(D220,TODAY(),1))</f>
        <v/>
      </c>
      <c r="G220" s="171" t="str">
        <f ca="1">IF(C220="","",[1]!s_pq_pctchange(D220,TODAY()-$G$12,TODAY())/100)</f>
        <v/>
      </c>
      <c r="H220" s="247" t="str">
        <f ca="1">IF(C220="","",IF($H$11="收入",[1]!S_STM07_IS(D220,9,$G$5,$H$13)/$E$5,[1]!S_STM07_IS(D220,48,$G$5,$H$13)/$E$5))</f>
        <v/>
      </c>
      <c r="I220" s="247" t="str">
        <f ca="1">IF(C220="","",IF($I$11="毛利率",([1]!S_STM07_IS(D220,9,$G$5,$H$13)-[1]!S_STM07_IS(D220,10,$G$5,$H$13))/[1]!S_STM07_IS(D220,9,$G$5,$H$13),[1]!S_STM07_IS(D220,14,$G$5,$H$13)/$E$5))</f>
        <v/>
      </c>
      <c r="J220" s="247" t="str">
        <f ca="1">IF(C220="","",IF($J$11="营业利润率",[1]!S_STM07_IS(D220,48,$G$5,$H$13)/[1]!S_STM07_IS(D220,9,$G$5,$H$13),([1]!S_STM07_CS(D220,87,$G$5,$H$13)+[1]!S_STM07_CS(D220,88,$G$5,$H$13)+[1]!S_STM07_CS(D220,89,$G$5,$H$13))/$E$5))</f>
        <v/>
      </c>
      <c r="K220" s="247" t="str">
        <f ca="1">IF(C220="","",IF($K$11="净利润率",[1]!S_STM07_IS(D220,61,$G$5,$H$13)/[1]!S_STM07_IS(D220,9,$G$5,$H$13),[1]!S_STM07_IS(D220,55,$G$5,$H$13)/$E$5))</f>
        <v/>
      </c>
      <c r="L220" s="247" t="str">
        <f ca="1">IF(C220="","",IF($L$11="ROA",[1]!S_STM07_IS(D220,61,$G$5,$H$13)/[1]!S_STM07_BS(D220,74,$G$5,$H$13),1-[1]!S_STM07_IS(D220,61,$G$5,$H$13)/[1]!S_STM07_IS(D220,55,$G$5,$H$13)))</f>
        <v/>
      </c>
      <c r="M220" s="247" t="str">
        <f ca="1">IF(C220="","",IF($M$11="ROE",[1]!S_STM07_IS(D220,61,$G$5,$H$13)/[1]!S_STM07_BS(D220,141,$G$5,$H$13),([1]!S_STM07_BS(D220,25,$G$5,$H$13)-[1]!S_STM07_BS(D220,93,$G$5,$H$13))/$E$5))</f>
        <v/>
      </c>
      <c r="N220" s="247" t="str">
        <f ca="1">IF(C220="","",IF($N$11="EPS",[1]!S_STM07_IS(D220,61,$G$5,$H$13)/IF([1]!S_SHARE_TOTAL(D220,$G$5)=0,[1]!S_SHARE_TOTAL(D220,[1]!s_ipo_listeddate(D220)),[1]!S_SHARE_TOTAL(D220,$G$5)),([1]!S_STM07_BS(D220,75,$G$5,$H$13)+[1]!S_STM07_BS(D220,88,$G$5,$H$13)+[1]!S_STM07_BS(D220,94,$G$5,$H$13)+[1]!S_STM07_BS(D220,95,$G$5,$H$13))/$E$5))</f>
        <v/>
      </c>
      <c r="O220" s="247" t="str">
        <f ca="1">IF(C220="","",IF($O$11="BPS",[1]!S_STM07_BS(D220,141,$G$5,$H$13)/IF([1]!S_SHARE_TOTAL(D220,$G$5)=0,[1]!S_SHARE_TOTAL(D220,[1]!s_ipo_listeddate(D220)),[1]!S_SHARE_TOTAL(D220,$G$5)),[1]!S_STM07_CS(D220,49,$G$5,$H$13)/$E$5))</f>
        <v/>
      </c>
      <c r="P220" s="247" t="str">
        <f ca="1">IF(C220="","",IF($P$11="CFPS",[1]!S_STM07_CS(D220,84,$G$5,$H$13)/IF([1]!S_SHARE_TOTAL(D220,$G$5)=0,[1]!S_SHARE_TOTAL(D220,[1]!s_ipo_listeddate(D220)),[1]!S_SHARE_TOTAL(D220,$G$5)),[1]!S_STM07_CS(D220,84,$G$5,$H$13)/$E$5))</f>
        <v/>
      </c>
      <c r="Q220" s="248" t="str">
        <f ca="1">IF(C220="","",F220/([1]!S_STM07_IS(D220,61,$G$5,$H$13)/IF([1]!S_SHARE_TOTAL(D220,$G$5)=0,[1]!S_SHARE_TOTAL(D220,[1]!s_ipo_listeddate(D220)),[1]!S_SHARE_TOTAL(D220,$G$5))))</f>
        <v/>
      </c>
      <c r="R220" s="248" t="str">
        <f ca="1">IF(C220="","",F220/([1]!S_STM07_BS(D220,141,$G$5,$H$13)/IF([1]!S_SHARE_TOTAL(D220,$G$5)=0,[1]!S_SHARE_TOTAL(D220,[1]!s_ipo_listeddate(D220)),[1]!S_SHARE_TOTAL(D220,$G$5))))</f>
        <v/>
      </c>
      <c r="S220" s="247" t="str">
        <f ca="1">IF(C220="","",[1]!S_SHARE_TOTAL(D220,TODAY())/$E$5)</f>
        <v/>
      </c>
      <c r="T220" s="247" t="str">
        <f t="shared" ca="1" si="25"/>
        <v/>
      </c>
      <c r="U220" s="218" t="str">
        <f t="shared" ca="1" si="26"/>
        <v/>
      </c>
      <c r="V220" s="342" t="str">
        <f t="shared" ca="1" si="27"/>
        <v/>
      </c>
      <c r="W220" s="139"/>
      <c r="Y220" s="1"/>
    </row>
    <row r="221" spans="3:25" ht="12" customHeight="1">
      <c r="C221" s="343" t="str">
        <f t="shared" ca="1" si="28"/>
        <v/>
      </c>
      <c r="D221" s="124" t="str">
        <f t="shared" ca="1" si="23"/>
        <v/>
      </c>
      <c r="E221" s="124" t="str">
        <f t="shared" ca="1" si="24"/>
        <v/>
      </c>
      <c r="F221" s="172" t="str">
        <f ca="1">IF(C221="","",[1]!S_DQ_CLOSE(D221,TODAY(),1))</f>
        <v/>
      </c>
      <c r="G221" s="173" t="str">
        <f ca="1">IF(C221="","",[1]!s_pq_pctchange(D221,TODAY()-$G$12,TODAY())/100)</f>
        <v/>
      </c>
      <c r="H221" s="249" t="str">
        <f ca="1">IF(C221="","",IF($H$11="收入",[1]!S_STM07_IS(D221,9,$G$5,$H$13)/$E$5,[1]!S_STM07_IS(D221,48,$G$5,$H$13)/$E$5))</f>
        <v/>
      </c>
      <c r="I221" s="249" t="str">
        <f ca="1">IF(C221="","",IF($I$11="毛利率",([1]!S_STM07_IS(D221,9,$G$5,$H$13)-[1]!S_STM07_IS(D221,10,$G$5,$H$13))/[1]!S_STM07_IS(D221,9,$G$5,$H$13),[1]!S_STM07_IS(D221,14,$G$5,$H$13)/$E$5))</f>
        <v/>
      </c>
      <c r="J221" s="249" t="str">
        <f ca="1">IF(C221="","",IF($J$11="营业利润率",[1]!S_STM07_IS(D221,48,$G$5,$H$13)/[1]!S_STM07_IS(D221,9,$G$5,$H$13),([1]!S_STM07_CS(D221,87,$G$5,$H$13)+[1]!S_STM07_CS(D221,88,$G$5,$H$13)+[1]!S_STM07_CS(D221,89,$G$5,$H$13))/$E$5))</f>
        <v/>
      </c>
      <c r="K221" s="249" t="str">
        <f ca="1">IF(C221="","",IF($K$11="净利润率",[1]!S_STM07_IS(D221,61,$G$5,$H$13)/[1]!S_STM07_IS(D221,9,$G$5,$H$13),[1]!S_STM07_IS(D221,55,$G$5,$H$13)/$E$5))</f>
        <v/>
      </c>
      <c r="L221" s="249" t="str">
        <f ca="1">IF(C221="","",IF($L$11="ROA",[1]!S_STM07_IS(D221,61,$G$5,$H$13)/[1]!S_STM07_BS(D221,74,$G$5,$H$13),1-[1]!S_STM07_IS(D221,61,$G$5,$H$13)/[1]!S_STM07_IS(D221,55,$G$5,$H$13)))</f>
        <v/>
      </c>
      <c r="M221" s="249" t="str">
        <f ca="1">IF(C221="","",IF($M$11="ROE",[1]!S_STM07_IS(D221,61,$G$5,$H$13)/[1]!S_STM07_BS(D221,141,$G$5,$H$13),([1]!S_STM07_BS(D221,25,$G$5,$H$13)-[1]!S_STM07_BS(D221,93,$G$5,$H$13))/$E$5))</f>
        <v/>
      </c>
      <c r="N221" s="250" t="str">
        <f ca="1">IF(C221="","",IF($N$11="EPS",[1]!S_STM07_IS(D221,61,$G$5,$H$13)/IF([1]!S_SHARE_TOTAL(D221,$G$5)=0,[1]!S_SHARE_TOTAL(D221,[1]!s_ipo_listeddate(D221)),[1]!S_SHARE_TOTAL(D221,$G$5)),([1]!S_STM07_BS(D221,75,$G$5,$H$13)+[1]!S_STM07_BS(D221,88,$G$5,$H$13)+[1]!S_STM07_BS(D221,94,$G$5,$H$13)+[1]!S_STM07_BS(D221,95,$G$5,$H$13))/$E$5))</f>
        <v/>
      </c>
      <c r="O221" s="250" t="str">
        <f ca="1">IF(C221="","",IF($O$11="BPS",[1]!S_STM07_BS(D221,141,$G$5,$H$13)/IF([1]!S_SHARE_TOTAL(D221,$G$5)=0,[1]!S_SHARE_TOTAL(D221,[1]!s_ipo_listeddate(D221)),[1]!S_SHARE_TOTAL(D221,$G$5)),[1]!S_STM07_CS(D221,49,$G$5,$H$13)/$E$5))</f>
        <v/>
      </c>
      <c r="P221" s="250" t="str">
        <f ca="1">IF(C221="","",IF($P$11="CFPS",[1]!S_STM07_CS(D221,84,$G$5,$H$13)/IF([1]!S_SHARE_TOTAL(D221,$G$5)=0,[1]!S_SHARE_TOTAL(D221,[1]!s_ipo_listeddate(D221)),[1]!S_SHARE_TOTAL(D221,$G$5)),[1]!S_STM07_CS(D221,84,$G$5,$H$13)/$E$5))</f>
        <v/>
      </c>
      <c r="Q221" s="198" t="str">
        <f ca="1">IF(C221="","",F221/([1]!S_STM07_IS(D221,61,$G$5,$H$13)/IF([1]!S_SHARE_TOTAL(D221,$G$5)=0,[1]!S_SHARE_TOTAL(D221,[1]!s_ipo_listeddate(D221)),[1]!S_SHARE_TOTAL(D221,$G$5))))</f>
        <v/>
      </c>
      <c r="R221" s="198" t="str">
        <f ca="1">IF(C221="","",F221/([1]!S_STM07_BS(D221,141,$G$5,$H$13)/IF([1]!S_SHARE_TOTAL(D221,$G$5)=0,[1]!S_SHARE_TOTAL(D221,[1]!s_ipo_listeddate(D221)),[1]!S_SHARE_TOTAL(D221,$G$5))))</f>
        <v/>
      </c>
      <c r="S221" s="249" t="str">
        <f ca="1">IF(C221="","",[1]!S_SHARE_TOTAL(D221,TODAY())/$E$5)</f>
        <v/>
      </c>
      <c r="T221" s="249" t="str">
        <f t="shared" ca="1" si="25"/>
        <v/>
      </c>
      <c r="U221" s="172" t="str">
        <f t="shared" ca="1" si="26"/>
        <v/>
      </c>
      <c r="V221" s="343" t="str">
        <f t="shared" ca="1" si="27"/>
        <v/>
      </c>
      <c r="W221" s="139"/>
      <c r="Y221" s="1"/>
    </row>
    <row r="222" spans="3:25" ht="12" customHeight="1">
      <c r="C222" s="342" t="str">
        <f t="shared" ca="1" si="28"/>
        <v/>
      </c>
      <c r="D222" s="153" t="str">
        <f t="shared" ca="1" si="23"/>
        <v/>
      </c>
      <c r="E222" s="153" t="str">
        <f t="shared" ca="1" si="24"/>
        <v/>
      </c>
      <c r="F222" s="170" t="str">
        <f ca="1">IF(C222="","",[1]!S_DQ_CLOSE(D222,TODAY(),1))</f>
        <v/>
      </c>
      <c r="G222" s="171" t="str">
        <f ca="1">IF(C222="","",[1]!s_pq_pctchange(D222,TODAY()-$G$12,TODAY())/100)</f>
        <v/>
      </c>
      <c r="H222" s="247" t="str">
        <f ca="1">IF(C222="","",IF($H$11="收入",[1]!S_STM07_IS(D222,9,$G$5,$H$13)/$E$5,[1]!S_STM07_IS(D222,48,$G$5,$H$13)/$E$5))</f>
        <v/>
      </c>
      <c r="I222" s="247" t="str">
        <f ca="1">IF(C222="","",IF($I$11="毛利率",([1]!S_STM07_IS(D222,9,$G$5,$H$13)-[1]!S_STM07_IS(D222,10,$G$5,$H$13))/[1]!S_STM07_IS(D222,9,$G$5,$H$13),[1]!S_STM07_IS(D222,14,$G$5,$H$13)/$E$5))</f>
        <v/>
      </c>
      <c r="J222" s="247" t="str">
        <f ca="1">IF(C222="","",IF($J$11="营业利润率",[1]!S_STM07_IS(D222,48,$G$5,$H$13)/[1]!S_STM07_IS(D222,9,$G$5,$H$13),([1]!S_STM07_CS(D222,87,$G$5,$H$13)+[1]!S_STM07_CS(D222,88,$G$5,$H$13)+[1]!S_STM07_CS(D222,89,$G$5,$H$13))/$E$5))</f>
        <v/>
      </c>
      <c r="K222" s="247" t="str">
        <f ca="1">IF(C222="","",IF($K$11="净利润率",[1]!S_STM07_IS(D222,61,$G$5,$H$13)/[1]!S_STM07_IS(D222,9,$G$5,$H$13),[1]!S_STM07_IS(D222,55,$G$5,$H$13)/$E$5))</f>
        <v/>
      </c>
      <c r="L222" s="247" t="str">
        <f ca="1">IF(C222="","",IF($L$11="ROA",[1]!S_STM07_IS(D222,61,$G$5,$H$13)/[1]!S_STM07_BS(D222,74,$G$5,$H$13),1-[1]!S_STM07_IS(D222,61,$G$5,$H$13)/[1]!S_STM07_IS(D222,55,$G$5,$H$13)))</f>
        <v/>
      </c>
      <c r="M222" s="247" t="str">
        <f ca="1">IF(C222="","",IF($M$11="ROE",[1]!S_STM07_IS(D222,61,$G$5,$H$13)/[1]!S_STM07_BS(D222,141,$G$5,$H$13),([1]!S_STM07_BS(D222,25,$G$5,$H$13)-[1]!S_STM07_BS(D222,93,$G$5,$H$13))/$E$5))</f>
        <v/>
      </c>
      <c r="N222" s="247" t="str">
        <f ca="1">IF(C222="","",IF($N$11="EPS",[1]!S_STM07_IS(D222,61,$G$5,$H$13)/IF([1]!S_SHARE_TOTAL(D222,$G$5)=0,[1]!S_SHARE_TOTAL(D222,[1]!s_ipo_listeddate(D222)),[1]!S_SHARE_TOTAL(D222,$G$5)),([1]!S_STM07_BS(D222,75,$G$5,$H$13)+[1]!S_STM07_BS(D222,88,$G$5,$H$13)+[1]!S_STM07_BS(D222,94,$G$5,$H$13)+[1]!S_STM07_BS(D222,95,$G$5,$H$13))/$E$5))</f>
        <v/>
      </c>
      <c r="O222" s="247" t="str">
        <f ca="1">IF(C222="","",IF($O$11="BPS",[1]!S_STM07_BS(D222,141,$G$5,$H$13)/IF([1]!S_SHARE_TOTAL(D222,$G$5)=0,[1]!S_SHARE_TOTAL(D222,[1]!s_ipo_listeddate(D222)),[1]!S_SHARE_TOTAL(D222,$G$5)),[1]!S_STM07_CS(D222,49,$G$5,$H$13)/$E$5))</f>
        <v/>
      </c>
      <c r="P222" s="247" t="str">
        <f ca="1">IF(C222="","",IF($P$11="CFPS",[1]!S_STM07_CS(D222,84,$G$5,$H$13)/IF([1]!S_SHARE_TOTAL(D222,$G$5)=0,[1]!S_SHARE_TOTAL(D222,[1]!s_ipo_listeddate(D222)),[1]!S_SHARE_TOTAL(D222,$G$5)),[1]!S_STM07_CS(D222,84,$G$5,$H$13)/$E$5))</f>
        <v/>
      </c>
      <c r="Q222" s="248" t="str">
        <f ca="1">IF(C222="","",F222/([1]!S_STM07_IS(D222,61,$G$5,$H$13)/IF([1]!S_SHARE_TOTAL(D222,$G$5)=0,[1]!S_SHARE_TOTAL(D222,[1]!s_ipo_listeddate(D222)),[1]!S_SHARE_TOTAL(D222,$G$5))))</f>
        <v/>
      </c>
      <c r="R222" s="248" t="str">
        <f ca="1">IF(C222="","",F222/([1]!S_STM07_BS(D222,141,$G$5,$H$13)/IF([1]!S_SHARE_TOTAL(D222,$G$5)=0,[1]!S_SHARE_TOTAL(D222,[1]!s_ipo_listeddate(D222)),[1]!S_SHARE_TOTAL(D222,$G$5))))</f>
        <v/>
      </c>
      <c r="S222" s="247" t="str">
        <f ca="1">IF(C222="","",[1]!S_SHARE_TOTAL(D222,TODAY())/$E$5)</f>
        <v/>
      </c>
      <c r="T222" s="247" t="str">
        <f t="shared" ca="1" si="25"/>
        <v/>
      </c>
      <c r="U222" s="218" t="str">
        <f t="shared" ca="1" si="26"/>
        <v/>
      </c>
      <c r="V222" s="342" t="str">
        <f t="shared" ca="1" si="27"/>
        <v/>
      </c>
      <c r="W222" s="139"/>
      <c r="Y222" s="1"/>
    </row>
    <row r="223" spans="3:25" ht="12" customHeight="1">
      <c r="C223" s="343" t="str">
        <f t="shared" ca="1" si="28"/>
        <v/>
      </c>
      <c r="D223" s="124" t="str">
        <f t="shared" ca="1" si="23"/>
        <v/>
      </c>
      <c r="E223" s="124" t="str">
        <f t="shared" ca="1" si="24"/>
        <v/>
      </c>
      <c r="F223" s="172" t="str">
        <f ca="1">IF(C223="","",[1]!S_DQ_CLOSE(D223,TODAY(),1))</f>
        <v/>
      </c>
      <c r="G223" s="173" t="str">
        <f ca="1">IF(C223="","",[1]!s_pq_pctchange(D223,TODAY()-$G$12,TODAY())/100)</f>
        <v/>
      </c>
      <c r="H223" s="249" t="str">
        <f ca="1">IF(C223="","",IF($H$11="收入",[1]!S_STM07_IS(D223,9,$G$5,$H$13)/$E$5,[1]!S_STM07_IS(D223,48,$G$5,$H$13)/$E$5))</f>
        <v/>
      </c>
      <c r="I223" s="249" t="str">
        <f ca="1">IF(C223="","",IF($I$11="毛利率",([1]!S_STM07_IS(D223,9,$G$5,$H$13)-[1]!S_STM07_IS(D223,10,$G$5,$H$13))/[1]!S_STM07_IS(D223,9,$G$5,$H$13),[1]!S_STM07_IS(D223,14,$G$5,$H$13)/$E$5))</f>
        <v/>
      </c>
      <c r="J223" s="249" t="str">
        <f ca="1">IF(C223="","",IF($J$11="营业利润率",[1]!S_STM07_IS(D223,48,$G$5,$H$13)/[1]!S_STM07_IS(D223,9,$G$5,$H$13),([1]!S_STM07_CS(D223,87,$G$5,$H$13)+[1]!S_STM07_CS(D223,88,$G$5,$H$13)+[1]!S_STM07_CS(D223,89,$G$5,$H$13))/$E$5))</f>
        <v/>
      </c>
      <c r="K223" s="249" t="str">
        <f ca="1">IF(C223="","",IF($K$11="净利润率",[1]!S_STM07_IS(D223,61,$G$5,$H$13)/[1]!S_STM07_IS(D223,9,$G$5,$H$13),[1]!S_STM07_IS(D223,55,$G$5,$H$13)/$E$5))</f>
        <v/>
      </c>
      <c r="L223" s="249" t="str">
        <f ca="1">IF(C223="","",IF($L$11="ROA",[1]!S_STM07_IS(D223,61,$G$5,$H$13)/[1]!S_STM07_BS(D223,74,$G$5,$H$13),1-[1]!S_STM07_IS(D223,61,$G$5,$H$13)/[1]!S_STM07_IS(D223,55,$G$5,$H$13)))</f>
        <v/>
      </c>
      <c r="M223" s="249" t="str">
        <f ca="1">IF(C223="","",IF($M$11="ROE",[1]!S_STM07_IS(D223,61,$G$5,$H$13)/[1]!S_STM07_BS(D223,141,$G$5,$H$13),([1]!S_STM07_BS(D223,25,$G$5,$H$13)-[1]!S_STM07_BS(D223,93,$G$5,$H$13))/$E$5))</f>
        <v/>
      </c>
      <c r="N223" s="250" t="str">
        <f ca="1">IF(C223="","",IF($N$11="EPS",[1]!S_STM07_IS(D223,61,$G$5,$H$13)/IF([1]!S_SHARE_TOTAL(D223,$G$5)=0,[1]!S_SHARE_TOTAL(D223,[1]!s_ipo_listeddate(D223)),[1]!S_SHARE_TOTAL(D223,$G$5)),([1]!S_STM07_BS(D223,75,$G$5,$H$13)+[1]!S_STM07_BS(D223,88,$G$5,$H$13)+[1]!S_STM07_BS(D223,94,$G$5,$H$13)+[1]!S_STM07_BS(D223,95,$G$5,$H$13))/$E$5))</f>
        <v/>
      </c>
      <c r="O223" s="250" t="str">
        <f ca="1">IF(C223="","",IF($O$11="BPS",[1]!S_STM07_BS(D223,141,$G$5,$H$13)/IF([1]!S_SHARE_TOTAL(D223,$G$5)=0,[1]!S_SHARE_TOTAL(D223,[1]!s_ipo_listeddate(D223)),[1]!S_SHARE_TOTAL(D223,$G$5)),[1]!S_STM07_CS(D223,49,$G$5,$H$13)/$E$5))</f>
        <v/>
      </c>
      <c r="P223" s="250" t="str">
        <f ca="1">IF(C223="","",IF($P$11="CFPS",[1]!S_STM07_CS(D223,84,$G$5,$H$13)/IF([1]!S_SHARE_TOTAL(D223,$G$5)=0,[1]!S_SHARE_TOTAL(D223,[1]!s_ipo_listeddate(D223)),[1]!S_SHARE_TOTAL(D223,$G$5)),[1]!S_STM07_CS(D223,84,$G$5,$H$13)/$E$5))</f>
        <v/>
      </c>
      <c r="Q223" s="198" t="str">
        <f ca="1">IF(C223="","",F223/([1]!S_STM07_IS(D223,61,$G$5,$H$13)/IF([1]!S_SHARE_TOTAL(D223,$G$5)=0,[1]!S_SHARE_TOTAL(D223,[1]!s_ipo_listeddate(D223)),[1]!S_SHARE_TOTAL(D223,$G$5))))</f>
        <v/>
      </c>
      <c r="R223" s="198" t="str">
        <f ca="1">IF(C223="","",F223/([1]!S_STM07_BS(D223,141,$G$5,$H$13)/IF([1]!S_SHARE_TOTAL(D223,$G$5)=0,[1]!S_SHARE_TOTAL(D223,[1]!s_ipo_listeddate(D223)),[1]!S_SHARE_TOTAL(D223,$G$5))))</f>
        <v/>
      </c>
      <c r="S223" s="249" t="str">
        <f ca="1">IF(C223="","",[1]!S_SHARE_TOTAL(D223,TODAY())/$E$5)</f>
        <v/>
      </c>
      <c r="T223" s="249" t="str">
        <f t="shared" ca="1" si="25"/>
        <v/>
      </c>
      <c r="U223" s="172" t="str">
        <f t="shared" ca="1" si="26"/>
        <v/>
      </c>
      <c r="V223" s="343" t="str">
        <f t="shared" ca="1" si="27"/>
        <v/>
      </c>
      <c r="W223" s="139"/>
      <c r="Y223" s="1"/>
    </row>
    <row r="224" spans="3:25" ht="12" customHeight="1">
      <c r="C224" s="342" t="str">
        <f t="shared" ca="1" si="28"/>
        <v/>
      </c>
      <c r="D224" s="153" t="str">
        <f t="shared" ca="1" si="23"/>
        <v/>
      </c>
      <c r="E224" s="153" t="str">
        <f t="shared" ca="1" si="24"/>
        <v/>
      </c>
      <c r="F224" s="170" t="str">
        <f ca="1">IF(C224="","",[1]!S_DQ_CLOSE(D224,TODAY(),1))</f>
        <v/>
      </c>
      <c r="G224" s="171" t="str">
        <f ca="1">IF(C224="","",[1]!s_pq_pctchange(D224,TODAY()-$G$12,TODAY())/100)</f>
        <v/>
      </c>
      <c r="H224" s="247" t="str">
        <f ca="1">IF(C224="","",IF($H$11="收入",[1]!S_STM07_IS(D224,9,$G$5,$H$13)/$E$5,[1]!S_STM07_IS(D224,48,$G$5,$H$13)/$E$5))</f>
        <v/>
      </c>
      <c r="I224" s="247" t="str">
        <f ca="1">IF(C224="","",IF($I$11="毛利率",([1]!S_STM07_IS(D224,9,$G$5,$H$13)-[1]!S_STM07_IS(D224,10,$G$5,$H$13))/[1]!S_STM07_IS(D224,9,$G$5,$H$13),[1]!S_STM07_IS(D224,14,$G$5,$H$13)/$E$5))</f>
        <v/>
      </c>
      <c r="J224" s="247" t="str">
        <f ca="1">IF(C224="","",IF($J$11="营业利润率",[1]!S_STM07_IS(D224,48,$G$5,$H$13)/[1]!S_STM07_IS(D224,9,$G$5,$H$13),([1]!S_STM07_CS(D224,87,$G$5,$H$13)+[1]!S_STM07_CS(D224,88,$G$5,$H$13)+[1]!S_STM07_CS(D224,89,$G$5,$H$13))/$E$5))</f>
        <v/>
      </c>
      <c r="K224" s="247" t="str">
        <f ca="1">IF(C224="","",IF($K$11="净利润率",[1]!S_STM07_IS(D224,61,$G$5,$H$13)/[1]!S_STM07_IS(D224,9,$G$5,$H$13),[1]!S_STM07_IS(D224,55,$G$5,$H$13)/$E$5))</f>
        <v/>
      </c>
      <c r="L224" s="247" t="str">
        <f ca="1">IF(C224="","",IF($L$11="ROA",[1]!S_STM07_IS(D224,61,$G$5,$H$13)/[1]!S_STM07_BS(D224,74,$G$5,$H$13),1-[1]!S_STM07_IS(D224,61,$G$5,$H$13)/[1]!S_STM07_IS(D224,55,$G$5,$H$13)))</f>
        <v/>
      </c>
      <c r="M224" s="247" t="str">
        <f ca="1">IF(C224="","",IF($M$11="ROE",[1]!S_STM07_IS(D224,61,$G$5,$H$13)/[1]!S_STM07_BS(D224,141,$G$5,$H$13),([1]!S_STM07_BS(D224,25,$G$5,$H$13)-[1]!S_STM07_BS(D224,93,$G$5,$H$13))/$E$5))</f>
        <v/>
      </c>
      <c r="N224" s="247" t="str">
        <f ca="1">IF(C224="","",IF($N$11="EPS",[1]!S_STM07_IS(D224,61,$G$5,$H$13)/IF([1]!S_SHARE_TOTAL(D224,$G$5)=0,[1]!S_SHARE_TOTAL(D224,[1]!s_ipo_listeddate(D224)),[1]!S_SHARE_TOTAL(D224,$G$5)),([1]!S_STM07_BS(D224,75,$G$5,$H$13)+[1]!S_STM07_BS(D224,88,$G$5,$H$13)+[1]!S_STM07_BS(D224,94,$G$5,$H$13)+[1]!S_STM07_BS(D224,95,$G$5,$H$13))/$E$5))</f>
        <v/>
      </c>
      <c r="O224" s="247" t="str">
        <f ca="1">IF(C224="","",IF($O$11="BPS",[1]!S_STM07_BS(D224,141,$G$5,$H$13)/IF([1]!S_SHARE_TOTAL(D224,$G$5)=0,[1]!S_SHARE_TOTAL(D224,[1]!s_ipo_listeddate(D224)),[1]!S_SHARE_TOTAL(D224,$G$5)),[1]!S_STM07_CS(D224,49,$G$5,$H$13)/$E$5))</f>
        <v/>
      </c>
      <c r="P224" s="247" t="str">
        <f ca="1">IF(C224="","",IF($P$11="CFPS",[1]!S_STM07_CS(D224,84,$G$5,$H$13)/IF([1]!S_SHARE_TOTAL(D224,$G$5)=0,[1]!S_SHARE_TOTAL(D224,[1]!s_ipo_listeddate(D224)),[1]!S_SHARE_TOTAL(D224,$G$5)),[1]!S_STM07_CS(D224,84,$G$5,$H$13)/$E$5))</f>
        <v/>
      </c>
      <c r="Q224" s="248" t="str">
        <f ca="1">IF(C224="","",F224/([1]!S_STM07_IS(D224,61,$G$5,$H$13)/IF([1]!S_SHARE_TOTAL(D224,$G$5)=0,[1]!S_SHARE_TOTAL(D224,[1]!s_ipo_listeddate(D224)),[1]!S_SHARE_TOTAL(D224,$G$5))))</f>
        <v/>
      </c>
      <c r="R224" s="248" t="str">
        <f ca="1">IF(C224="","",F224/([1]!S_STM07_BS(D224,141,$G$5,$H$13)/IF([1]!S_SHARE_TOTAL(D224,$G$5)=0,[1]!S_SHARE_TOTAL(D224,[1]!s_ipo_listeddate(D224)),[1]!S_SHARE_TOTAL(D224,$G$5))))</f>
        <v/>
      </c>
      <c r="S224" s="247" t="str">
        <f ca="1">IF(C224="","",[1]!S_SHARE_TOTAL(D224,TODAY())/$E$5)</f>
        <v/>
      </c>
      <c r="T224" s="247" t="str">
        <f t="shared" ca="1" si="25"/>
        <v/>
      </c>
      <c r="U224" s="218" t="str">
        <f t="shared" ca="1" si="26"/>
        <v/>
      </c>
      <c r="V224" s="342" t="str">
        <f t="shared" ca="1" si="27"/>
        <v/>
      </c>
      <c r="W224" s="139"/>
      <c r="Y224" s="1"/>
    </row>
    <row r="225" spans="3:25" ht="12" customHeight="1">
      <c r="C225" s="343" t="str">
        <f t="shared" ca="1" si="28"/>
        <v/>
      </c>
      <c r="D225" s="124" t="str">
        <f t="shared" ca="1" si="23"/>
        <v/>
      </c>
      <c r="E225" s="124" t="str">
        <f t="shared" ca="1" si="24"/>
        <v/>
      </c>
      <c r="F225" s="172" t="str">
        <f ca="1">IF(C225="","",[1]!S_DQ_CLOSE(D225,TODAY(),1))</f>
        <v/>
      </c>
      <c r="G225" s="173" t="str">
        <f ca="1">IF(C225="","",[1]!s_pq_pctchange(D225,TODAY()-$G$12,TODAY())/100)</f>
        <v/>
      </c>
      <c r="H225" s="249" t="str">
        <f ca="1">IF(C225="","",IF($H$11="收入",[1]!S_STM07_IS(D225,9,$G$5,$H$13)/$E$5,[1]!S_STM07_IS(D225,48,$G$5,$H$13)/$E$5))</f>
        <v/>
      </c>
      <c r="I225" s="249" t="str">
        <f ca="1">IF(C225="","",IF($I$11="毛利率",([1]!S_STM07_IS(D225,9,$G$5,$H$13)-[1]!S_STM07_IS(D225,10,$G$5,$H$13))/[1]!S_STM07_IS(D225,9,$G$5,$H$13),[1]!S_STM07_IS(D225,14,$G$5,$H$13)/$E$5))</f>
        <v/>
      </c>
      <c r="J225" s="249" t="str">
        <f ca="1">IF(C225="","",IF($J$11="营业利润率",[1]!S_STM07_IS(D225,48,$G$5,$H$13)/[1]!S_STM07_IS(D225,9,$G$5,$H$13),([1]!S_STM07_CS(D225,87,$G$5,$H$13)+[1]!S_STM07_CS(D225,88,$G$5,$H$13)+[1]!S_STM07_CS(D225,89,$G$5,$H$13))/$E$5))</f>
        <v/>
      </c>
      <c r="K225" s="249" t="str">
        <f ca="1">IF(C225="","",IF($K$11="净利润率",[1]!S_STM07_IS(D225,61,$G$5,$H$13)/[1]!S_STM07_IS(D225,9,$G$5,$H$13),[1]!S_STM07_IS(D225,55,$G$5,$H$13)/$E$5))</f>
        <v/>
      </c>
      <c r="L225" s="249" t="str">
        <f ca="1">IF(C225="","",IF($L$11="ROA",[1]!S_STM07_IS(D225,61,$G$5,$H$13)/[1]!S_STM07_BS(D225,74,$G$5,$H$13),1-[1]!S_STM07_IS(D225,61,$G$5,$H$13)/[1]!S_STM07_IS(D225,55,$G$5,$H$13)))</f>
        <v/>
      </c>
      <c r="M225" s="249" t="str">
        <f ca="1">IF(C225="","",IF($M$11="ROE",[1]!S_STM07_IS(D225,61,$G$5,$H$13)/[1]!S_STM07_BS(D225,141,$G$5,$H$13),([1]!S_STM07_BS(D225,25,$G$5,$H$13)-[1]!S_STM07_BS(D225,93,$G$5,$H$13))/$E$5))</f>
        <v/>
      </c>
      <c r="N225" s="250" t="str">
        <f ca="1">IF(C225="","",IF($N$11="EPS",[1]!S_STM07_IS(D225,61,$G$5,$H$13)/IF([1]!S_SHARE_TOTAL(D225,$G$5)=0,[1]!S_SHARE_TOTAL(D225,[1]!s_ipo_listeddate(D225)),[1]!S_SHARE_TOTAL(D225,$G$5)),([1]!S_STM07_BS(D225,75,$G$5,$H$13)+[1]!S_STM07_BS(D225,88,$G$5,$H$13)+[1]!S_STM07_BS(D225,94,$G$5,$H$13)+[1]!S_STM07_BS(D225,95,$G$5,$H$13))/$E$5))</f>
        <v/>
      </c>
      <c r="O225" s="250" t="str">
        <f ca="1">IF(C225="","",IF($O$11="BPS",[1]!S_STM07_BS(D225,141,$G$5,$H$13)/IF([1]!S_SHARE_TOTAL(D225,$G$5)=0,[1]!S_SHARE_TOTAL(D225,[1]!s_ipo_listeddate(D225)),[1]!S_SHARE_TOTAL(D225,$G$5)),[1]!S_STM07_CS(D225,49,$G$5,$H$13)/$E$5))</f>
        <v/>
      </c>
      <c r="P225" s="250" t="str">
        <f ca="1">IF(C225="","",IF($P$11="CFPS",[1]!S_STM07_CS(D225,84,$G$5,$H$13)/IF([1]!S_SHARE_TOTAL(D225,$G$5)=0,[1]!S_SHARE_TOTAL(D225,[1]!s_ipo_listeddate(D225)),[1]!S_SHARE_TOTAL(D225,$G$5)),[1]!S_STM07_CS(D225,84,$G$5,$H$13)/$E$5))</f>
        <v/>
      </c>
      <c r="Q225" s="198" t="str">
        <f ca="1">IF(C225="","",F225/([1]!S_STM07_IS(D225,61,$G$5,$H$13)/IF([1]!S_SHARE_TOTAL(D225,$G$5)=0,[1]!S_SHARE_TOTAL(D225,[1]!s_ipo_listeddate(D225)),[1]!S_SHARE_TOTAL(D225,$G$5))))</f>
        <v/>
      </c>
      <c r="R225" s="198" t="str">
        <f ca="1">IF(C225="","",F225/([1]!S_STM07_BS(D225,141,$G$5,$H$13)/IF([1]!S_SHARE_TOTAL(D225,$G$5)=0,[1]!S_SHARE_TOTAL(D225,[1]!s_ipo_listeddate(D225)),[1]!S_SHARE_TOTAL(D225,$G$5))))</f>
        <v/>
      </c>
      <c r="S225" s="249" t="str">
        <f ca="1">IF(C225="","",[1]!S_SHARE_TOTAL(D225,TODAY())/$E$5)</f>
        <v/>
      </c>
      <c r="T225" s="249" t="str">
        <f t="shared" ca="1" si="25"/>
        <v/>
      </c>
      <c r="U225" s="172" t="str">
        <f t="shared" ca="1" si="26"/>
        <v/>
      </c>
      <c r="V225" s="343" t="str">
        <f t="shared" ca="1" si="27"/>
        <v/>
      </c>
      <c r="W225" s="139"/>
      <c r="Y225" s="1"/>
    </row>
    <row r="226" spans="3:25" ht="12" customHeight="1">
      <c r="C226" s="342" t="str">
        <f t="shared" ca="1" si="28"/>
        <v/>
      </c>
      <c r="D226" s="153" t="str">
        <f t="shared" ca="1" si="23"/>
        <v/>
      </c>
      <c r="E226" s="153" t="str">
        <f t="shared" ca="1" si="24"/>
        <v/>
      </c>
      <c r="F226" s="170" t="str">
        <f ca="1">IF(C226="","",[1]!S_DQ_CLOSE(D226,TODAY(),1))</f>
        <v/>
      </c>
      <c r="G226" s="171" t="str">
        <f ca="1">IF(C226="","",[1]!s_pq_pctchange(D226,TODAY()-$G$12,TODAY())/100)</f>
        <v/>
      </c>
      <c r="H226" s="247" t="str">
        <f ca="1">IF(C226="","",IF($H$11="收入",[1]!S_STM07_IS(D226,9,$G$5,$H$13)/$E$5,[1]!S_STM07_IS(D226,48,$G$5,$H$13)/$E$5))</f>
        <v/>
      </c>
      <c r="I226" s="247" t="str">
        <f ca="1">IF(C226="","",IF($I$11="毛利率",([1]!S_STM07_IS(D226,9,$G$5,$H$13)-[1]!S_STM07_IS(D226,10,$G$5,$H$13))/[1]!S_STM07_IS(D226,9,$G$5,$H$13),[1]!S_STM07_IS(D226,14,$G$5,$H$13)/$E$5))</f>
        <v/>
      </c>
      <c r="J226" s="247" t="str">
        <f ca="1">IF(C226="","",IF($J$11="营业利润率",[1]!S_STM07_IS(D226,48,$G$5,$H$13)/[1]!S_STM07_IS(D226,9,$G$5,$H$13),([1]!S_STM07_CS(D226,87,$G$5,$H$13)+[1]!S_STM07_CS(D226,88,$G$5,$H$13)+[1]!S_STM07_CS(D226,89,$G$5,$H$13))/$E$5))</f>
        <v/>
      </c>
      <c r="K226" s="247" t="str">
        <f ca="1">IF(C226="","",IF($K$11="净利润率",[1]!S_STM07_IS(D226,61,$G$5,$H$13)/[1]!S_STM07_IS(D226,9,$G$5,$H$13),[1]!S_STM07_IS(D226,55,$G$5,$H$13)/$E$5))</f>
        <v/>
      </c>
      <c r="L226" s="247" t="str">
        <f ca="1">IF(C226="","",IF($L$11="ROA",[1]!S_STM07_IS(D226,61,$G$5,$H$13)/[1]!S_STM07_BS(D226,74,$G$5,$H$13),1-[1]!S_STM07_IS(D226,61,$G$5,$H$13)/[1]!S_STM07_IS(D226,55,$G$5,$H$13)))</f>
        <v/>
      </c>
      <c r="M226" s="247" t="str">
        <f ca="1">IF(C226="","",IF($M$11="ROE",[1]!S_STM07_IS(D226,61,$G$5,$H$13)/[1]!S_STM07_BS(D226,141,$G$5,$H$13),([1]!S_STM07_BS(D226,25,$G$5,$H$13)-[1]!S_STM07_BS(D226,93,$G$5,$H$13))/$E$5))</f>
        <v/>
      </c>
      <c r="N226" s="247" t="str">
        <f ca="1">IF(C226="","",IF($N$11="EPS",[1]!S_STM07_IS(D226,61,$G$5,$H$13)/IF([1]!S_SHARE_TOTAL(D226,$G$5)=0,[1]!S_SHARE_TOTAL(D226,[1]!s_ipo_listeddate(D226)),[1]!S_SHARE_TOTAL(D226,$G$5)),([1]!S_STM07_BS(D226,75,$G$5,$H$13)+[1]!S_STM07_BS(D226,88,$G$5,$H$13)+[1]!S_STM07_BS(D226,94,$G$5,$H$13)+[1]!S_STM07_BS(D226,95,$G$5,$H$13))/$E$5))</f>
        <v/>
      </c>
      <c r="O226" s="247" t="str">
        <f ca="1">IF(C226="","",IF($O$11="BPS",[1]!S_STM07_BS(D226,141,$G$5,$H$13)/IF([1]!S_SHARE_TOTAL(D226,$G$5)=0,[1]!S_SHARE_TOTAL(D226,[1]!s_ipo_listeddate(D226)),[1]!S_SHARE_TOTAL(D226,$G$5)),[1]!S_STM07_CS(D226,49,$G$5,$H$13)/$E$5))</f>
        <v/>
      </c>
      <c r="P226" s="247" t="str">
        <f ca="1">IF(C226="","",IF($P$11="CFPS",[1]!S_STM07_CS(D226,84,$G$5,$H$13)/IF([1]!S_SHARE_TOTAL(D226,$G$5)=0,[1]!S_SHARE_TOTAL(D226,[1]!s_ipo_listeddate(D226)),[1]!S_SHARE_TOTAL(D226,$G$5)),[1]!S_STM07_CS(D226,84,$G$5,$H$13)/$E$5))</f>
        <v/>
      </c>
      <c r="Q226" s="248" t="str">
        <f ca="1">IF(C226="","",F226/([1]!S_STM07_IS(D226,61,$G$5,$H$13)/IF([1]!S_SHARE_TOTAL(D226,$G$5)=0,[1]!S_SHARE_TOTAL(D226,[1]!s_ipo_listeddate(D226)),[1]!S_SHARE_TOTAL(D226,$G$5))))</f>
        <v/>
      </c>
      <c r="R226" s="248" t="str">
        <f ca="1">IF(C226="","",F226/([1]!S_STM07_BS(D226,141,$G$5,$H$13)/IF([1]!S_SHARE_TOTAL(D226,$G$5)=0,[1]!S_SHARE_TOTAL(D226,[1]!s_ipo_listeddate(D226)),[1]!S_SHARE_TOTAL(D226,$G$5))))</f>
        <v/>
      </c>
      <c r="S226" s="247" t="str">
        <f ca="1">IF(C226="","",[1]!S_SHARE_TOTAL(D226,TODAY())/$E$5)</f>
        <v/>
      </c>
      <c r="T226" s="247" t="str">
        <f t="shared" ca="1" si="25"/>
        <v/>
      </c>
      <c r="U226" s="218" t="str">
        <f t="shared" ca="1" si="26"/>
        <v/>
      </c>
      <c r="V226" s="342" t="str">
        <f t="shared" ca="1" si="27"/>
        <v/>
      </c>
      <c r="W226" s="139"/>
      <c r="Y226" s="1"/>
    </row>
    <row r="227" spans="3:25" ht="12" customHeight="1">
      <c r="C227" s="343" t="str">
        <f t="shared" ca="1" si="28"/>
        <v/>
      </c>
      <c r="D227" s="124" t="str">
        <f t="shared" ca="1" si="23"/>
        <v/>
      </c>
      <c r="E227" s="124" t="str">
        <f t="shared" ca="1" si="24"/>
        <v/>
      </c>
      <c r="F227" s="172" t="str">
        <f ca="1">IF(C227="","",[1]!S_DQ_CLOSE(D227,TODAY(),1))</f>
        <v/>
      </c>
      <c r="G227" s="173" t="str">
        <f ca="1">IF(C227="","",[1]!s_pq_pctchange(D227,TODAY()-$G$12,TODAY())/100)</f>
        <v/>
      </c>
      <c r="H227" s="249" t="str">
        <f ca="1">IF(C227="","",IF($H$11="收入",[1]!S_STM07_IS(D227,9,$G$5,$H$13)/$E$5,[1]!S_STM07_IS(D227,48,$G$5,$H$13)/$E$5))</f>
        <v/>
      </c>
      <c r="I227" s="249" t="str">
        <f ca="1">IF(C227="","",IF($I$11="毛利率",([1]!S_STM07_IS(D227,9,$G$5,$H$13)-[1]!S_STM07_IS(D227,10,$G$5,$H$13))/[1]!S_STM07_IS(D227,9,$G$5,$H$13),[1]!S_STM07_IS(D227,14,$G$5,$H$13)/$E$5))</f>
        <v/>
      </c>
      <c r="J227" s="249" t="str">
        <f ca="1">IF(C227="","",IF($J$11="营业利润率",[1]!S_STM07_IS(D227,48,$G$5,$H$13)/[1]!S_STM07_IS(D227,9,$G$5,$H$13),([1]!S_STM07_CS(D227,87,$G$5,$H$13)+[1]!S_STM07_CS(D227,88,$G$5,$H$13)+[1]!S_STM07_CS(D227,89,$G$5,$H$13))/$E$5))</f>
        <v/>
      </c>
      <c r="K227" s="249" t="str">
        <f ca="1">IF(C227="","",IF($K$11="净利润率",[1]!S_STM07_IS(D227,61,$G$5,$H$13)/[1]!S_STM07_IS(D227,9,$G$5,$H$13),[1]!S_STM07_IS(D227,55,$G$5,$H$13)/$E$5))</f>
        <v/>
      </c>
      <c r="L227" s="249" t="str">
        <f ca="1">IF(C227="","",IF($L$11="ROA",[1]!S_STM07_IS(D227,61,$G$5,$H$13)/[1]!S_STM07_BS(D227,74,$G$5,$H$13),1-[1]!S_STM07_IS(D227,61,$G$5,$H$13)/[1]!S_STM07_IS(D227,55,$G$5,$H$13)))</f>
        <v/>
      </c>
      <c r="M227" s="249" t="str">
        <f ca="1">IF(C227="","",IF($M$11="ROE",[1]!S_STM07_IS(D227,61,$G$5,$H$13)/[1]!S_STM07_BS(D227,141,$G$5,$H$13),([1]!S_STM07_BS(D227,25,$G$5,$H$13)-[1]!S_STM07_BS(D227,93,$G$5,$H$13))/$E$5))</f>
        <v/>
      </c>
      <c r="N227" s="250" t="str">
        <f ca="1">IF(C227="","",IF($N$11="EPS",[1]!S_STM07_IS(D227,61,$G$5,$H$13)/IF([1]!S_SHARE_TOTAL(D227,$G$5)=0,[1]!S_SHARE_TOTAL(D227,[1]!s_ipo_listeddate(D227)),[1]!S_SHARE_TOTAL(D227,$G$5)),([1]!S_STM07_BS(D227,75,$G$5,$H$13)+[1]!S_STM07_BS(D227,88,$G$5,$H$13)+[1]!S_STM07_BS(D227,94,$G$5,$H$13)+[1]!S_STM07_BS(D227,95,$G$5,$H$13))/$E$5))</f>
        <v/>
      </c>
      <c r="O227" s="250" t="str">
        <f ca="1">IF(C227="","",IF($O$11="BPS",[1]!S_STM07_BS(D227,141,$G$5,$H$13)/IF([1]!S_SHARE_TOTAL(D227,$G$5)=0,[1]!S_SHARE_TOTAL(D227,[1]!s_ipo_listeddate(D227)),[1]!S_SHARE_TOTAL(D227,$G$5)),[1]!S_STM07_CS(D227,49,$G$5,$H$13)/$E$5))</f>
        <v/>
      </c>
      <c r="P227" s="250" t="str">
        <f ca="1">IF(C227="","",IF($P$11="CFPS",[1]!S_STM07_CS(D227,84,$G$5,$H$13)/IF([1]!S_SHARE_TOTAL(D227,$G$5)=0,[1]!S_SHARE_TOTAL(D227,[1]!s_ipo_listeddate(D227)),[1]!S_SHARE_TOTAL(D227,$G$5)),[1]!S_STM07_CS(D227,84,$G$5,$H$13)/$E$5))</f>
        <v/>
      </c>
      <c r="Q227" s="198" t="str">
        <f ca="1">IF(C227="","",F227/([1]!S_STM07_IS(D227,61,$G$5,$H$13)/IF([1]!S_SHARE_TOTAL(D227,$G$5)=0,[1]!S_SHARE_TOTAL(D227,[1]!s_ipo_listeddate(D227)),[1]!S_SHARE_TOTAL(D227,$G$5))))</f>
        <v/>
      </c>
      <c r="R227" s="198" t="str">
        <f ca="1">IF(C227="","",F227/([1]!S_STM07_BS(D227,141,$G$5,$H$13)/IF([1]!S_SHARE_TOTAL(D227,$G$5)=0,[1]!S_SHARE_TOTAL(D227,[1]!s_ipo_listeddate(D227)),[1]!S_SHARE_TOTAL(D227,$G$5))))</f>
        <v/>
      </c>
      <c r="S227" s="249" t="str">
        <f ca="1">IF(C227="","",[1]!S_SHARE_TOTAL(D227,TODAY())/$E$5)</f>
        <v/>
      </c>
      <c r="T227" s="249" t="str">
        <f t="shared" ca="1" si="25"/>
        <v/>
      </c>
      <c r="U227" s="172" t="str">
        <f t="shared" ca="1" si="26"/>
        <v/>
      </c>
      <c r="V227" s="343" t="str">
        <f t="shared" ca="1" si="27"/>
        <v/>
      </c>
      <c r="W227" s="139"/>
      <c r="Y227" s="1"/>
    </row>
    <row r="228" spans="3:25" ht="12" customHeight="1">
      <c r="C228" s="342" t="str">
        <f t="shared" ca="1" si="28"/>
        <v/>
      </c>
      <c r="D228" s="153" t="str">
        <f t="shared" ca="1" si="23"/>
        <v/>
      </c>
      <c r="E228" s="153" t="str">
        <f t="shared" ca="1" si="24"/>
        <v/>
      </c>
      <c r="F228" s="170" t="str">
        <f ca="1">IF(C228="","",[1]!S_DQ_CLOSE(D228,TODAY(),1))</f>
        <v/>
      </c>
      <c r="G228" s="171" t="str">
        <f ca="1">IF(C228="","",[1]!s_pq_pctchange(D228,TODAY()-$G$12,TODAY())/100)</f>
        <v/>
      </c>
      <c r="H228" s="247" t="str">
        <f ca="1">IF(C228="","",IF($H$11="收入",[1]!S_STM07_IS(D228,9,$G$5,$H$13)/$E$5,[1]!S_STM07_IS(D228,48,$G$5,$H$13)/$E$5))</f>
        <v/>
      </c>
      <c r="I228" s="247" t="str">
        <f ca="1">IF(C228="","",IF($I$11="毛利率",([1]!S_STM07_IS(D228,9,$G$5,$H$13)-[1]!S_STM07_IS(D228,10,$G$5,$H$13))/[1]!S_STM07_IS(D228,9,$G$5,$H$13),[1]!S_STM07_IS(D228,14,$G$5,$H$13)/$E$5))</f>
        <v/>
      </c>
      <c r="J228" s="247" t="str">
        <f ca="1">IF(C228="","",IF($J$11="营业利润率",[1]!S_STM07_IS(D228,48,$G$5,$H$13)/[1]!S_STM07_IS(D228,9,$G$5,$H$13),([1]!S_STM07_CS(D228,87,$G$5,$H$13)+[1]!S_STM07_CS(D228,88,$G$5,$H$13)+[1]!S_STM07_CS(D228,89,$G$5,$H$13))/$E$5))</f>
        <v/>
      </c>
      <c r="K228" s="247" t="str">
        <f ca="1">IF(C228="","",IF($K$11="净利润率",[1]!S_STM07_IS(D228,61,$G$5,$H$13)/[1]!S_STM07_IS(D228,9,$G$5,$H$13),[1]!S_STM07_IS(D228,55,$G$5,$H$13)/$E$5))</f>
        <v/>
      </c>
      <c r="L228" s="247" t="str">
        <f ca="1">IF(C228="","",IF($L$11="ROA",[1]!S_STM07_IS(D228,61,$G$5,$H$13)/[1]!S_STM07_BS(D228,74,$G$5,$H$13),1-[1]!S_STM07_IS(D228,61,$G$5,$H$13)/[1]!S_STM07_IS(D228,55,$G$5,$H$13)))</f>
        <v/>
      </c>
      <c r="M228" s="247" t="str">
        <f ca="1">IF(C228="","",IF($M$11="ROE",[1]!S_STM07_IS(D228,61,$G$5,$H$13)/[1]!S_STM07_BS(D228,141,$G$5,$H$13),([1]!S_STM07_BS(D228,25,$G$5,$H$13)-[1]!S_STM07_BS(D228,93,$G$5,$H$13))/$E$5))</f>
        <v/>
      </c>
      <c r="N228" s="247" t="str">
        <f ca="1">IF(C228="","",IF($N$11="EPS",[1]!S_STM07_IS(D228,61,$G$5,$H$13)/IF([1]!S_SHARE_TOTAL(D228,$G$5)=0,[1]!S_SHARE_TOTAL(D228,[1]!s_ipo_listeddate(D228)),[1]!S_SHARE_TOTAL(D228,$G$5)),([1]!S_STM07_BS(D228,75,$G$5,$H$13)+[1]!S_STM07_BS(D228,88,$G$5,$H$13)+[1]!S_STM07_BS(D228,94,$G$5,$H$13)+[1]!S_STM07_BS(D228,95,$G$5,$H$13))/$E$5))</f>
        <v/>
      </c>
      <c r="O228" s="247" t="str">
        <f ca="1">IF(C228="","",IF($O$11="BPS",[1]!S_STM07_BS(D228,141,$G$5,$H$13)/IF([1]!S_SHARE_TOTAL(D228,$G$5)=0,[1]!S_SHARE_TOTAL(D228,[1]!s_ipo_listeddate(D228)),[1]!S_SHARE_TOTAL(D228,$G$5)),[1]!S_STM07_CS(D228,49,$G$5,$H$13)/$E$5))</f>
        <v/>
      </c>
      <c r="P228" s="247" t="str">
        <f ca="1">IF(C228="","",IF($P$11="CFPS",[1]!S_STM07_CS(D228,84,$G$5,$H$13)/IF([1]!S_SHARE_TOTAL(D228,$G$5)=0,[1]!S_SHARE_TOTAL(D228,[1]!s_ipo_listeddate(D228)),[1]!S_SHARE_TOTAL(D228,$G$5)),[1]!S_STM07_CS(D228,84,$G$5,$H$13)/$E$5))</f>
        <v/>
      </c>
      <c r="Q228" s="248" t="str">
        <f ca="1">IF(C228="","",F228/([1]!S_STM07_IS(D228,61,$G$5,$H$13)/IF([1]!S_SHARE_TOTAL(D228,$G$5)=0,[1]!S_SHARE_TOTAL(D228,[1]!s_ipo_listeddate(D228)),[1]!S_SHARE_TOTAL(D228,$G$5))))</f>
        <v/>
      </c>
      <c r="R228" s="248" t="str">
        <f ca="1">IF(C228="","",F228/([1]!S_STM07_BS(D228,141,$G$5,$H$13)/IF([1]!S_SHARE_TOTAL(D228,$G$5)=0,[1]!S_SHARE_TOTAL(D228,[1]!s_ipo_listeddate(D228)),[1]!S_SHARE_TOTAL(D228,$G$5))))</f>
        <v/>
      </c>
      <c r="S228" s="247" t="str">
        <f ca="1">IF(C228="","",[1]!S_SHARE_TOTAL(D228,TODAY())/$E$5)</f>
        <v/>
      </c>
      <c r="T228" s="247" t="str">
        <f t="shared" ca="1" si="25"/>
        <v/>
      </c>
      <c r="U228" s="218" t="str">
        <f t="shared" ca="1" si="26"/>
        <v/>
      </c>
      <c r="V228" s="342" t="str">
        <f t="shared" ca="1" si="27"/>
        <v/>
      </c>
      <c r="W228" s="139"/>
      <c r="Y228" s="1"/>
    </row>
    <row r="229" spans="3:25" ht="12" customHeight="1">
      <c r="C229" s="343" t="str">
        <f t="shared" ca="1" si="28"/>
        <v/>
      </c>
      <c r="D229" s="124" t="str">
        <f t="shared" ref="D229:D292" ca="1" si="29">IF(C229="","",VLOOKUP(C229,comppool,2,FALSE))</f>
        <v/>
      </c>
      <c r="E229" s="124" t="str">
        <f t="shared" ref="E229:E292" ca="1" si="30">IF(C229="","",VLOOKUP(C229,comppool,3,FALSE))</f>
        <v/>
      </c>
      <c r="F229" s="172" t="str">
        <f ca="1">IF(C229="","",[1]!S_DQ_CLOSE(D229,TODAY(),1))</f>
        <v/>
      </c>
      <c r="G229" s="173" t="str">
        <f ca="1">IF(C229="","",[1]!s_pq_pctchange(D229,TODAY()-$G$12,TODAY())/100)</f>
        <v/>
      </c>
      <c r="H229" s="249" t="str">
        <f ca="1">IF(C229="","",IF($H$11="收入",[1]!S_STM07_IS(D229,9,$G$5,$H$13)/$E$5,[1]!S_STM07_IS(D229,48,$G$5,$H$13)/$E$5))</f>
        <v/>
      </c>
      <c r="I229" s="249" t="str">
        <f ca="1">IF(C229="","",IF($I$11="毛利率",([1]!S_STM07_IS(D229,9,$G$5,$H$13)-[1]!S_STM07_IS(D229,10,$G$5,$H$13))/[1]!S_STM07_IS(D229,9,$G$5,$H$13),[1]!S_STM07_IS(D229,14,$G$5,$H$13)/$E$5))</f>
        <v/>
      </c>
      <c r="J229" s="249" t="str">
        <f ca="1">IF(C229="","",IF($J$11="营业利润率",[1]!S_STM07_IS(D229,48,$G$5,$H$13)/[1]!S_STM07_IS(D229,9,$G$5,$H$13),([1]!S_STM07_CS(D229,87,$G$5,$H$13)+[1]!S_STM07_CS(D229,88,$G$5,$H$13)+[1]!S_STM07_CS(D229,89,$G$5,$H$13))/$E$5))</f>
        <v/>
      </c>
      <c r="K229" s="249" t="str">
        <f ca="1">IF(C229="","",IF($K$11="净利润率",[1]!S_STM07_IS(D229,61,$G$5,$H$13)/[1]!S_STM07_IS(D229,9,$G$5,$H$13),[1]!S_STM07_IS(D229,55,$G$5,$H$13)/$E$5))</f>
        <v/>
      </c>
      <c r="L229" s="249" t="str">
        <f ca="1">IF(C229="","",IF($L$11="ROA",[1]!S_STM07_IS(D229,61,$G$5,$H$13)/[1]!S_STM07_BS(D229,74,$G$5,$H$13),1-[1]!S_STM07_IS(D229,61,$G$5,$H$13)/[1]!S_STM07_IS(D229,55,$G$5,$H$13)))</f>
        <v/>
      </c>
      <c r="M229" s="249" t="str">
        <f ca="1">IF(C229="","",IF($M$11="ROE",[1]!S_STM07_IS(D229,61,$G$5,$H$13)/[1]!S_STM07_BS(D229,141,$G$5,$H$13),([1]!S_STM07_BS(D229,25,$G$5,$H$13)-[1]!S_STM07_BS(D229,93,$G$5,$H$13))/$E$5))</f>
        <v/>
      </c>
      <c r="N229" s="250" t="str">
        <f ca="1">IF(C229="","",IF($N$11="EPS",[1]!S_STM07_IS(D229,61,$G$5,$H$13)/IF([1]!S_SHARE_TOTAL(D229,$G$5)=0,[1]!S_SHARE_TOTAL(D229,[1]!s_ipo_listeddate(D229)),[1]!S_SHARE_TOTAL(D229,$G$5)),([1]!S_STM07_BS(D229,75,$G$5,$H$13)+[1]!S_STM07_BS(D229,88,$G$5,$H$13)+[1]!S_STM07_BS(D229,94,$G$5,$H$13)+[1]!S_STM07_BS(D229,95,$G$5,$H$13))/$E$5))</f>
        <v/>
      </c>
      <c r="O229" s="250" t="str">
        <f ca="1">IF(C229="","",IF($O$11="BPS",[1]!S_STM07_BS(D229,141,$G$5,$H$13)/IF([1]!S_SHARE_TOTAL(D229,$G$5)=0,[1]!S_SHARE_TOTAL(D229,[1]!s_ipo_listeddate(D229)),[1]!S_SHARE_TOTAL(D229,$G$5)),[1]!S_STM07_CS(D229,49,$G$5,$H$13)/$E$5))</f>
        <v/>
      </c>
      <c r="P229" s="250" t="str">
        <f ca="1">IF(C229="","",IF($P$11="CFPS",[1]!S_STM07_CS(D229,84,$G$5,$H$13)/IF([1]!S_SHARE_TOTAL(D229,$G$5)=0,[1]!S_SHARE_TOTAL(D229,[1]!s_ipo_listeddate(D229)),[1]!S_SHARE_TOTAL(D229,$G$5)),[1]!S_STM07_CS(D229,84,$G$5,$H$13)/$E$5))</f>
        <v/>
      </c>
      <c r="Q229" s="198" t="str">
        <f ca="1">IF(C229="","",F229/([1]!S_STM07_IS(D229,61,$G$5,$H$13)/IF([1]!S_SHARE_TOTAL(D229,$G$5)=0,[1]!S_SHARE_TOTAL(D229,[1]!s_ipo_listeddate(D229)),[1]!S_SHARE_TOTAL(D229,$G$5))))</f>
        <v/>
      </c>
      <c r="R229" s="198" t="str">
        <f ca="1">IF(C229="","",F229/([1]!S_STM07_BS(D229,141,$G$5,$H$13)/IF([1]!S_SHARE_TOTAL(D229,$G$5)=0,[1]!S_SHARE_TOTAL(D229,[1]!s_ipo_listeddate(D229)),[1]!S_SHARE_TOTAL(D229,$G$5))))</f>
        <v/>
      </c>
      <c r="S229" s="249" t="str">
        <f ca="1">IF(C229="","",[1]!S_SHARE_TOTAL(D229,TODAY())/$E$5)</f>
        <v/>
      </c>
      <c r="T229" s="249" t="str">
        <f t="shared" ref="T229:T292" ca="1" si="31">IF(C229="","",F229*S229)</f>
        <v/>
      </c>
      <c r="U229" s="172" t="str">
        <f t="shared" ref="U229:U292" ca="1" si="32">IF(C229="","",HLOOKUP($V$12,$G$11:$T$20003,ROW()-ROW($G$11)+1,FALSE))</f>
        <v/>
      </c>
      <c r="V229" s="343" t="str">
        <f t="shared" ref="V229:V292" ca="1" si="33">IF(C229="","",RANK(U229,U:U,0))</f>
        <v/>
      </c>
      <c r="W229" s="139"/>
      <c r="Y229" s="1"/>
    </row>
    <row r="230" spans="3:25" ht="12" customHeight="1">
      <c r="C230" s="342" t="str">
        <f t="shared" ca="1" si="28"/>
        <v/>
      </c>
      <c r="D230" s="153" t="str">
        <f t="shared" ca="1" si="29"/>
        <v/>
      </c>
      <c r="E230" s="153" t="str">
        <f t="shared" ca="1" si="30"/>
        <v/>
      </c>
      <c r="F230" s="170" t="str">
        <f ca="1">IF(C230="","",[1]!S_DQ_CLOSE(D230,TODAY(),1))</f>
        <v/>
      </c>
      <c r="G230" s="171" t="str">
        <f ca="1">IF(C230="","",[1]!s_pq_pctchange(D230,TODAY()-$G$12,TODAY())/100)</f>
        <v/>
      </c>
      <c r="H230" s="247" t="str">
        <f ca="1">IF(C230="","",IF($H$11="收入",[1]!S_STM07_IS(D230,9,$G$5,$H$13)/$E$5,[1]!S_STM07_IS(D230,48,$G$5,$H$13)/$E$5))</f>
        <v/>
      </c>
      <c r="I230" s="247" t="str">
        <f ca="1">IF(C230="","",IF($I$11="毛利率",([1]!S_STM07_IS(D230,9,$G$5,$H$13)-[1]!S_STM07_IS(D230,10,$G$5,$H$13))/[1]!S_STM07_IS(D230,9,$G$5,$H$13),[1]!S_STM07_IS(D230,14,$G$5,$H$13)/$E$5))</f>
        <v/>
      </c>
      <c r="J230" s="247" t="str">
        <f ca="1">IF(C230="","",IF($J$11="营业利润率",[1]!S_STM07_IS(D230,48,$G$5,$H$13)/[1]!S_STM07_IS(D230,9,$G$5,$H$13),([1]!S_STM07_CS(D230,87,$G$5,$H$13)+[1]!S_STM07_CS(D230,88,$G$5,$H$13)+[1]!S_STM07_CS(D230,89,$G$5,$H$13))/$E$5))</f>
        <v/>
      </c>
      <c r="K230" s="247" t="str">
        <f ca="1">IF(C230="","",IF($K$11="净利润率",[1]!S_STM07_IS(D230,61,$G$5,$H$13)/[1]!S_STM07_IS(D230,9,$G$5,$H$13),[1]!S_STM07_IS(D230,55,$G$5,$H$13)/$E$5))</f>
        <v/>
      </c>
      <c r="L230" s="247" t="str">
        <f ca="1">IF(C230="","",IF($L$11="ROA",[1]!S_STM07_IS(D230,61,$G$5,$H$13)/[1]!S_STM07_BS(D230,74,$G$5,$H$13),1-[1]!S_STM07_IS(D230,61,$G$5,$H$13)/[1]!S_STM07_IS(D230,55,$G$5,$H$13)))</f>
        <v/>
      </c>
      <c r="M230" s="247" t="str">
        <f ca="1">IF(C230="","",IF($M$11="ROE",[1]!S_STM07_IS(D230,61,$G$5,$H$13)/[1]!S_STM07_BS(D230,141,$G$5,$H$13),([1]!S_STM07_BS(D230,25,$G$5,$H$13)-[1]!S_STM07_BS(D230,93,$G$5,$H$13))/$E$5))</f>
        <v/>
      </c>
      <c r="N230" s="247" t="str">
        <f ca="1">IF(C230="","",IF($N$11="EPS",[1]!S_STM07_IS(D230,61,$G$5,$H$13)/IF([1]!S_SHARE_TOTAL(D230,$G$5)=0,[1]!S_SHARE_TOTAL(D230,[1]!s_ipo_listeddate(D230)),[1]!S_SHARE_TOTAL(D230,$G$5)),([1]!S_STM07_BS(D230,75,$G$5,$H$13)+[1]!S_STM07_BS(D230,88,$G$5,$H$13)+[1]!S_STM07_BS(D230,94,$G$5,$H$13)+[1]!S_STM07_BS(D230,95,$G$5,$H$13))/$E$5))</f>
        <v/>
      </c>
      <c r="O230" s="247" t="str">
        <f ca="1">IF(C230="","",IF($O$11="BPS",[1]!S_STM07_BS(D230,141,$G$5,$H$13)/IF([1]!S_SHARE_TOTAL(D230,$G$5)=0,[1]!S_SHARE_TOTAL(D230,[1]!s_ipo_listeddate(D230)),[1]!S_SHARE_TOTAL(D230,$G$5)),[1]!S_STM07_CS(D230,49,$G$5,$H$13)/$E$5))</f>
        <v/>
      </c>
      <c r="P230" s="247" t="str">
        <f ca="1">IF(C230="","",IF($P$11="CFPS",[1]!S_STM07_CS(D230,84,$G$5,$H$13)/IF([1]!S_SHARE_TOTAL(D230,$G$5)=0,[1]!S_SHARE_TOTAL(D230,[1]!s_ipo_listeddate(D230)),[1]!S_SHARE_TOTAL(D230,$G$5)),[1]!S_STM07_CS(D230,84,$G$5,$H$13)/$E$5))</f>
        <v/>
      </c>
      <c r="Q230" s="248" t="str">
        <f ca="1">IF(C230="","",F230/([1]!S_STM07_IS(D230,61,$G$5,$H$13)/IF([1]!S_SHARE_TOTAL(D230,$G$5)=0,[1]!S_SHARE_TOTAL(D230,[1]!s_ipo_listeddate(D230)),[1]!S_SHARE_TOTAL(D230,$G$5))))</f>
        <v/>
      </c>
      <c r="R230" s="248" t="str">
        <f ca="1">IF(C230="","",F230/([1]!S_STM07_BS(D230,141,$G$5,$H$13)/IF([1]!S_SHARE_TOTAL(D230,$G$5)=0,[1]!S_SHARE_TOTAL(D230,[1]!s_ipo_listeddate(D230)),[1]!S_SHARE_TOTAL(D230,$G$5))))</f>
        <v/>
      </c>
      <c r="S230" s="247" t="str">
        <f ca="1">IF(C230="","",[1]!S_SHARE_TOTAL(D230,TODAY())/$E$5)</f>
        <v/>
      </c>
      <c r="T230" s="247" t="str">
        <f t="shared" ca="1" si="31"/>
        <v/>
      </c>
      <c r="U230" s="218" t="str">
        <f t="shared" ca="1" si="32"/>
        <v/>
      </c>
      <c r="V230" s="342" t="str">
        <f t="shared" ca="1" si="33"/>
        <v/>
      </c>
      <c r="W230" s="139"/>
      <c r="Y230" s="1"/>
    </row>
    <row r="231" spans="3:25" ht="12" customHeight="1">
      <c r="C231" s="343" t="str">
        <f t="shared" ca="1" si="28"/>
        <v/>
      </c>
      <c r="D231" s="124" t="str">
        <f t="shared" ca="1" si="29"/>
        <v/>
      </c>
      <c r="E231" s="124" t="str">
        <f t="shared" ca="1" si="30"/>
        <v/>
      </c>
      <c r="F231" s="172" t="str">
        <f ca="1">IF(C231="","",[1]!S_DQ_CLOSE(D231,TODAY(),1))</f>
        <v/>
      </c>
      <c r="G231" s="173" t="str">
        <f ca="1">IF(C231="","",[1]!s_pq_pctchange(D231,TODAY()-$G$12,TODAY())/100)</f>
        <v/>
      </c>
      <c r="H231" s="249" t="str">
        <f ca="1">IF(C231="","",IF($H$11="收入",[1]!S_STM07_IS(D231,9,$G$5,$H$13)/$E$5,[1]!S_STM07_IS(D231,48,$G$5,$H$13)/$E$5))</f>
        <v/>
      </c>
      <c r="I231" s="249" t="str">
        <f ca="1">IF(C231="","",IF($I$11="毛利率",([1]!S_STM07_IS(D231,9,$G$5,$H$13)-[1]!S_STM07_IS(D231,10,$G$5,$H$13))/[1]!S_STM07_IS(D231,9,$G$5,$H$13),[1]!S_STM07_IS(D231,14,$G$5,$H$13)/$E$5))</f>
        <v/>
      </c>
      <c r="J231" s="249" t="str">
        <f ca="1">IF(C231="","",IF($J$11="营业利润率",[1]!S_STM07_IS(D231,48,$G$5,$H$13)/[1]!S_STM07_IS(D231,9,$G$5,$H$13),([1]!S_STM07_CS(D231,87,$G$5,$H$13)+[1]!S_STM07_CS(D231,88,$G$5,$H$13)+[1]!S_STM07_CS(D231,89,$G$5,$H$13))/$E$5))</f>
        <v/>
      </c>
      <c r="K231" s="249" t="str">
        <f ca="1">IF(C231="","",IF($K$11="净利润率",[1]!S_STM07_IS(D231,61,$G$5,$H$13)/[1]!S_STM07_IS(D231,9,$G$5,$H$13),[1]!S_STM07_IS(D231,55,$G$5,$H$13)/$E$5))</f>
        <v/>
      </c>
      <c r="L231" s="249" t="str">
        <f ca="1">IF(C231="","",IF($L$11="ROA",[1]!S_STM07_IS(D231,61,$G$5,$H$13)/[1]!S_STM07_BS(D231,74,$G$5,$H$13),1-[1]!S_STM07_IS(D231,61,$G$5,$H$13)/[1]!S_STM07_IS(D231,55,$G$5,$H$13)))</f>
        <v/>
      </c>
      <c r="M231" s="249" t="str">
        <f ca="1">IF(C231="","",IF($M$11="ROE",[1]!S_STM07_IS(D231,61,$G$5,$H$13)/[1]!S_STM07_BS(D231,141,$G$5,$H$13),([1]!S_STM07_BS(D231,25,$G$5,$H$13)-[1]!S_STM07_BS(D231,93,$G$5,$H$13))/$E$5))</f>
        <v/>
      </c>
      <c r="N231" s="250" t="str">
        <f ca="1">IF(C231="","",IF($N$11="EPS",[1]!S_STM07_IS(D231,61,$G$5,$H$13)/IF([1]!S_SHARE_TOTAL(D231,$G$5)=0,[1]!S_SHARE_TOTAL(D231,[1]!s_ipo_listeddate(D231)),[1]!S_SHARE_TOTAL(D231,$G$5)),([1]!S_STM07_BS(D231,75,$G$5,$H$13)+[1]!S_STM07_BS(D231,88,$G$5,$H$13)+[1]!S_STM07_BS(D231,94,$G$5,$H$13)+[1]!S_STM07_BS(D231,95,$G$5,$H$13))/$E$5))</f>
        <v/>
      </c>
      <c r="O231" s="250" t="str">
        <f ca="1">IF(C231="","",IF($O$11="BPS",[1]!S_STM07_BS(D231,141,$G$5,$H$13)/IF([1]!S_SHARE_TOTAL(D231,$G$5)=0,[1]!S_SHARE_TOTAL(D231,[1]!s_ipo_listeddate(D231)),[1]!S_SHARE_TOTAL(D231,$G$5)),[1]!S_STM07_CS(D231,49,$G$5,$H$13)/$E$5))</f>
        <v/>
      </c>
      <c r="P231" s="250" t="str">
        <f ca="1">IF(C231="","",IF($P$11="CFPS",[1]!S_STM07_CS(D231,84,$G$5,$H$13)/IF([1]!S_SHARE_TOTAL(D231,$G$5)=0,[1]!S_SHARE_TOTAL(D231,[1]!s_ipo_listeddate(D231)),[1]!S_SHARE_TOTAL(D231,$G$5)),[1]!S_STM07_CS(D231,84,$G$5,$H$13)/$E$5))</f>
        <v/>
      </c>
      <c r="Q231" s="198" t="str">
        <f ca="1">IF(C231="","",F231/([1]!S_STM07_IS(D231,61,$G$5,$H$13)/IF([1]!S_SHARE_TOTAL(D231,$G$5)=0,[1]!S_SHARE_TOTAL(D231,[1]!s_ipo_listeddate(D231)),[1]!S_SHARE_TOTAL(D231,$G$5))))</f>
        <v/>
      </c>
      <c r="R231" s="198" t="str">
        <f ca="1">IF(C231="","",F231/([1]!S_STM07_BS(D231,141,$G$5,$H$13)/IF([1]!S_SHARE_TOTAL(D231,$G$5)=0,[1]!S_SHARE_TOTAL(D231,[1]!s_ipo_listeddate(D231)),[1]!S_SHARE_TOTAL(D231,$G$5))))</f>
        <v/>
      </c>
      <c r="S231" s="249" t="str">
        <f ca="1">IF(C231="","",[1]!S_SHARE_TOTAL(D231,TODAY())/$E$5)</f>
        <v/>
      </c>
      <c r="T231" s="249" t="str">
        <f t="shared" ca="1" si="31"/>
        <v/>
      </c>
      <c r="U231" s="172" t="str">
        <f t="shared" ca="1" si="32"/>
        <v/>
      </c>
      <c r="V231" s="343" t="str">
        <f t="shared" ca="1" si="33"/>
        <v/>
      </c>
      <c r="W231" s="139"/>
      <c r="Y231" s="1"/>
    </row>
    <row r="232" spans="3:25" ht="12" customHeight="1">
      <c r="C232" s="342" t="str">
        <f t="shared" ca="1" si="28"/>
        <v/>
      </c>
      <c r="D232" s="153" t="str">
        <f t="shared" ca="1" si="29"/>
        <v/>
      </c>
      <c r="E232" s="153" t="str">
        <f t="shared" ca="1" si="30"/>
        <v/>
      </c>
      <c r="F232" s="170" t="str">
        <f ca="1">IF(C232="","",[1]!S_DQ_CLOSE(D232,TODAY(),1))</f>
        <v/>
      </c>
      <c r="G232" s="171" t="str">
        <f ca="1">IF(C232="","",[1]!s_pq_pctchange(D232,TODAY()-$G$12,TODAY())/100)</f>
        <v/>
      </c>
      <c r="H232" s="247" t="str">
        <f ca="1">IF(C232="","",IF($H$11="收入",[1]!S_STM07_IS(D232,9,$G$5,$H$13)/$E$5,[1]!S_STM07_IS(D232,48,$G$5,$H$13)/$E$5))</f>
        <v/>
      </c>
      <c r="I232" s="247" t="str">
        <f ca="1">IF(C232="","",IF($I$11="毛利率",([1]!S_STM07_IS(D232,9,$G$5,$H$13)-[1]!S_STM07_IS(D232,10,$G$5,$H$13))/[1]!S_STM07_IS(D232,9,$G$5,$H$13),[1]!S_STM07_IS(D232,14,$G$5,$H$13)/$E$5))</f>
        <v/>
      </c>
      <c r="J232" s="247" t="str">
        <f ca="1">IF(C232="","",IF($J$11="营业利润率",[1]!S_STM07_IS(D232,48,$G$5,$H$13)/[1]!S_STM07_IS(D232,9,$G$5,$H$13),([1]!S_STM07_CS(D232,87,$G$5,$H$13)+[1]!S_STM07_CS(D232,88,$G$5,$H$13)+[1]!S_STM07_CS(D232,89,$G$5,$H$13))/$E$5))</f>
        <v/>
      </c>
      <c r="K232" s="247" t="str">
        <f ca="1">IF(C232="","",IF($K$11="净利润率",[1]!S_STM07_IS(D232,61,$G$5,$H$13)/[1]!S_STM07_IS(D232,9,$G$5,$H$13),[1]!S_STM07_IS(D232,55,$G$5,$H$13)/$E$5))</f>
        <v/>
      </c>
      <c r="L232" s="247" t="str">
        <f ca="1">IF(C232="","",IF($L$11="ROA",[1]!S_STM07_IS(D232,61,$G$5,$H$13)/[1]!S_STM07_BS(D232,74,$G$5,$H$13),1-[1]!S_STM07_IS(D232,61,$G$5,$H$13)/[1]!S_STM07_IS(D232,55,$G$5,$H$13)))</f>
        <v/>
      </c>
      <c r="M232" s="247" t="str">
        <f ca="1">IF(C232="","",IF($M$11="ROE",[1]!S_STM07_IS(D232,61,$G$5,$H$13)/[1]!S_STM07_BS(D232,141,$G$5,$H$13),([1]!S_STM07_BS(D232,25,$G$5,$H$13)-[1]!S_STM07_BS(D232,93,$G$5,$H$13))/$E$5))</f>
        <v/>
      </c>
      <c r="N232" s="247" t="str">
        <f ca="1">IF(C232="","",IF($N$11="EPS",[1]!S_STM07_IS(D232,61,$G$5,$H$13)/IF([1]!S_SHARE_TOTAL(D232,$G$5)=0,[1]!S_SHARE_TOTAL(D232,[1]!s_ipo_listeddate(D232)),[1]!S_SHARE_TOTAL(D232,$G$5)),([1]!S_STM07_BS(D232,75,$G$5,$H$13)+[1]!S_STM07_BS(D232,88,$G$5,$H$13)+[1]!S_STM07_BS(D232,94,$G$5,$H$13)+[1]!S_STM07_BS(D232,95,$G$5,$H$13))/$E$5))</f>
        <v/>
      </c>
      <c r="O232" s="247" t="str">
        <f ca="1">IF(C232="","",IF($O$11="BPS",[1]!S_STM07_BS(D232,141,$G$5,$H$13)/IF([1]!S_SHARE_TOTAL(D232,$G$5)=0,[1]!S_SHARE_TOTAL(D232,[1]!s_ipo_listeddate(D232)),[1]!S_SHARE_TOTAL(D232,$G$5)),[1]!S_STM07_CS(D232,49,$G$5,$H$13)/$E$5))</f>
        <v/>
      </c>
      <c r="P232" s="247" t="str">
        <f ca="1">IF(C232="","",IF($P$11="CFPS",[1]!S_STM07_CS(D232,84,$G$5,$H$13)/IF([1]!S_SHARE_TOTAL(D232,$G$5)=0,[1]!S_SHARE_TOTAL(D232,[1]!s_ipo_listeddate(D232)),[1]!S_SHARE_TOTAL(D232,$G$5)),[1]!S_STM07_CS(D232,84,$G$5,$H$13)/$E$5))</f>
        <v/>
      </c>
      <c r="Q232" s="248" t="str">
        <f ca="1">IF(C232="","",F232/([1]!S_STM07_IS(D232,61,$G$5,$H$13)/IF([1]!S_SHARE_TOTAL(D232,$G$5)=0,[1]!S_SHARE_TOTAL(D232,[1]!s_ipo_listeddate(D232)),[1]!S_SHARE_TOTAL(D232,$G$5))))</f>
        <v/>
      </c>
      <c r="R232" s="248" t="str">
        <f ca="1">IF(C232="","",F232/([1]!S_STM07_BS(D232,141,$G$5,$H$13)/IF([1]!S_SHARE_TOTAL(D232,$G$5)=0,[1]!S_SHARE_TOTAL(D232,[1]!s_ipo_listeddate(D232)),[1]!S_SHARE_TOTAL(D232,$G$5))))</f>
        <v/>
      </c>
      <c r="S232" s="247" t="str">
        <f ca="1">IF(C232="","",[1]!S_SHARE_TOTAL(D232,TODAY())/$E$5)</f>
        <v/>
      </c>
      <c r="T232" s="247" t="str">
        <f t="shared" ca="1" si="31"/>
        <v/>
      </c>
      <c r="U232" s="218" t="str">
        <f t="shared" ca="1" si="32"/>
        <v/>
      </c>
      <c r="V232" s="342" t="str">
        <f t="shared" ca="1" si="33"/>
        <v/>
      </c>
      <c r="W232" s="139"/>
      <c r="Y232" s="1"/>
    </row>
    <row r="233" spans="3:25" ht="12" customHeight="1">
      <c r="C233" s="343" t="str">
        <f t="shared" ca="1" si="28"/>
        <v/>
      </c>
      <c r="D233" s="124" t="str">
        <f t="shared" ca="1" si="29"/>
        <v/>
      </c>
      <c r="E233" s="124" t="str">
        <f t="shared" ca="1" si="30"/>
        <v/>
      </c>
      <c r="F233" s="172" t="str">
        <f ca="1">IF(C233="","",[1]!S_DQ_CLOSE(D233,TODAY(),1))</f>
        <v/>
      </c>
      <c r="G233" s="173" t="str">
        <f ca="1">IF(C233="","",[1]!s_pq_pctchange(D233,TODAY()-$G$12,TODAY())/100)</f>
        <v/>
      </c>
      <c r="H233" s="249" t="str">
        <f ca="1">IF(C233="","",IF($H$11="收入",[1]!S_STM07_IS(D233,9,$G$5,$H$13)/$E$5,[1]!S_STM07_IS(D233,48,$G$5,$H$13)/$E$5))</f>
        <v/>
      </c>
      <c r="I233" s="249" t="str">
        <f ca="1">IF(C233="","",IF($I$11="毛利率",([1]!S_STM07_IS(D233,9,$G$5,$H$13)-[1]!S_STM07_IS(D233,10,$G$5,$H$13))/[1]!S_STM07_IS(D233,9,$G$5,$H$13),[1]!S_STM07_IS(D233,14,$G$5,$H$13)/$E$5))</f>
        <v/>
      </c>
      <c r="J233" s="249" t="str">
        <f ca="1">IF(C233="","",IF($J$11="营业利润率",[1]!S_STM07_IS(D233,48,$G$5,$H$13)/[1]!S_STM07_IS(D233,9,$G$5,$H$13),([1]!S_STM07_CS(D233,87,$G$5,$H$13)+[1]!S_STM07_CS(D233,88,$G$5,$H$13)+[1]!S_STM07_CS(D233,89,$G$5,$H$13))/$E$5))</f>
        <v/>
      </c>
      <c r="K233" s="249" t="str">
        <f ca="1">IF(C233="","",IF($K$11="净利润率",[1]!S_STM07_IS(D233,61,$G$5,$H$13)/[1]!S_STM07_IS(D233,9,$G$5,$H$13),[1]!S_STM07_IS(D233,55,$G$5,$H$13)/$E$5))</f>
        <v/>
      </c>
      <c r="L233" s="249" t="str">
        <f ca="1">IF(C233="","",IF($L$11="ROA",[1]!S_STM07_IS(D233,61,$G$5,$H$13)/[1]!S_STM07_BS(D233,74,$G$5,$H$13),1-[1]!S_STM07_IS(D233,61,$G$5,$H$13)/[1]!S_STM07_IS(D233,55,$G$5,$H$13)))</f>
        <v/>
      </c>
      <c r="M233" s="249" t="str">
        <f ca="1">IF(C233="","",IF($M$11="ROE",[1]!S_STM07_IS(D233,61,$G$5,$H$13)/[1]!S_STM07_BS(D233,141,$G$5,$H$13),([1]!S_STM07_BS(D233,25,$G$5,$H$13)-[1]!S_STM07_BS(D233,93,$G$5,$H$13))/$E$5))</f>
        <v/>
      </c>
      <c r="N233" s="250" t="str">
        <f ca="1">IF(C233="","",IF($N$11="EPS",[1]!S_STM07_IS(D233,61,$G$5,$H$13)/IF([1]!S_SHARE_TOTAL(D233,$G$5)=0,[1]!S_SHARE_TOTAL(D233,[1]!s_ipo_listeddate(D233)),[1]!S_SHARE_TOTAL(D233,$G$5)),([1]!S_STM07_BS(D233,75,$G$5,$H$13)+[1]!S_STM07_BS(D233,88,$G$5,$H$13)+[1]!S_STM07_BS(D233,94,$G$5,$H$13)+[1]!S_STM07_BS(D233,95,$G$5,$H$13))/$E$5))</f>
        <v/>
      </c>
      <c r="O233" s="250" t="str">
        <f ca="1">IF(C233="","",IF($O$11="BPS",[1]!S_STM07_BS(D233,141,$G$5,$H$13)/IF([1]!S_SHARE_TOTAL(D233,$G$5)=0,[1]!S_SHARE_TOTAL(D233,[1]!s_ipo_listeddate(D233)),[1]!S_SHARE_TOTAL(D233,$G$5)),[1]!S_STM07_CS(D233,49,$G$5,$H$13)/$E$5))</f>
        <v/>
      </c>
      <c r="P233" s="250" t="str">
        <f ca="1">IF(C233="","",IF($P$11="CFPS",[1]!S_STM07_CS(D233,84,$G$5,$H$13)/IF([1]!S_SHARE_TOTAL(D233,$G$5)=0,[1]!S_SHARE_TOTAL(D233,[1]!s_ipo_listeddate(D233)),[1]!S_SHARE_TOTAL(D233,$G$5)),[1]!S_STM07_CS(D233,84,$G$5,$H$13)/$E$5))</f>
        <v/>
      </c>
      <c r="Q233" s="198" t="str">
        <f ca="1">IF(C233="","",F233/([1]!S_STM07_IS(D233,61,$G$5,$H$13)/IF([1]!S_SHARE_TOTAL(D233,$G$5)=0,[1]!S_SHARE_TOTAL(D233,[1]!s_ipo_listeddate(D233)),[1]!S_SHARE_TOTAL(D233,$G$5))))</f>
        <v/>
      </c>
      <c r="R233" s="198" t="str">
        <f ca="1">IF(C233="","",F233/([1]!S_STM07_BS(D233,141,$G$5,$H$13)/IF([1]!S_SHARE_TOTAL(D233,$G$5)=0,[1]!S_SHARE_TOTAL(D233,[1]!s_ipo_listeddate(D233)),[1]!S_SHARE_TOTAL(D233,$G$5))))</f>
        <v/>
      </c>
      <c r="S233" s="249" t="str">
        <f ca="1">IF(C233="","",[1]!S_SHARE_TOTAL(D233,TODAY())/$E$5)</f>
        <v/>
      </c>
      <c r="T233" s="249" t="str">
        <f t="shared" ca="1" si="31"/>
        <v/>
      </c>
      <c r="U233" s="172" t="str">
        <f t="shared" ca="1" si="32"/>
        <v/>
      </c>
      <c r="V233" s="343" t="str">
        <f t="shared" ca="1" si="33"/>
        <v/>
      </c>
      <c r="W233" s="139"/>
      <c r="Y233" s="1"/>
    </row>
    <row r="234" spans="3:25" ht="12" customHeight="1">
      <c r="C234" s="342" t="str">
        <f t="shared" ca="1" si="28"/>
        <v/>
      </c>
      <c r="D234" s="153" t="str">
        <f t="shared" ca="1" si="29"/>
        <v/>
      </c>
      <c r="E234" s="153" t="str">
        <f t="shared" ca="1" si="30"/>
        <v/>
      </c>
      <c r="F234" s="170" t="str">
        <f ca="1">IF(C234="","",[1]!S_DQ_CLOSE(D234,TODAY(),1))</f>
        <v/>
      </c>
      <c r="G234" s="171" t="str">
        <f ca="1">IF(C234="","",[1]!s_pq_pctchange(D234,TODAY()-$G$12,TODAY())/100)</f>
        <v/>
      </c>
      <c r="H234" s="247" t="str">
        <f ca="1">IF(C234="","",IF($H$11="收入",[1]!S_STM07_IS(D234,9,$G$5,$H$13)/$E$5,[1]!S_STM07_IS(D234,48,$G$5,$H$13)/$E$5))</f>
        <v/>
      </c>
      <c r="I234" s="247" t="str">
        <f ca="1">IF(C234="","",IF($I$11="毛利率",([1]!S_STM07_IS(D234,9,$G$5,$H$13)-[1]!S_STM07_IS(D234,10,$G$5,$H$13))/[1]!S_STM07_IS(D234,9,$G$5,$H$13),[1]!S_STM07_IS(D234,14,$G$5,$H$13)/$E$5))</f>
        <v/>
      </c>
      <c r="J234" s="247" t="str">
        <f ca="1">IF(C234="","",IF($J$11="营业利润率",[1]!S_STM07_IS(D234,48,$G$5,$H$13)/[1]!S_STM07_IS(D234,9,$G$5,$H$13),([1]!S_STM07_CS(D234,87,$G$5,$H$13)+[1]!S_STM07_CS(D234,88,$G$5,$H$13)+[1]!S_STM07_CS(D234,89,$G$5,$H$13))/$E$5))</f>
        <v/>
      </c>
      <c r="K234" s="247" t="str">
        <f ca="1">IF(C234="","",IF($K$11="净利润率",[1]!S_STM07_IS(D234,61,$G$5,$H$13)/[1]!S_STM07_IS(D234,9,$G$5,$H$13),[1]!S_STM07_IS(D234,55,$G$5,$H$13)/$E$5))</f>
        <v/>
      </c>
      <c r="L234" s="247" t="str">
        <f ca="1">IF(C234="","",IF($L$11="ROA",[1]!S_STM07_IS(D234,61,$G$5,$H$13)/[1]!S_STM07_BS(D234,74,$G$5,$H$13),1-[1]!S_STM07_IS(D234,61,$G$5,$H$13)/[1]!S_STM07_IS(D234,55,$G$5,$H$13)))</f>
        <v/>
      </c>
      <c r="M234" s="247" t="str">
        <f ca="1">IF(C234="","",IF($M$11="ROE",[1]!S_STM07_IS(D234,61,$G$5,$H$13)/[1]!S_STM07_BS(D234,141,$G$5,$H$13),([1]!S_STM07_BS(D234,25,$G$5,$H$13)-[1]!S_STM07_BS(D234,93,$G$5,$H$13))/$E$5))</f>
        <v/>
      </c>
      <c r="N234" s="247" t="str">
        <f ca="1">IF(C234="","",IF($N$11="EPS",[1]!S_STM07_IS(D234,61,$G$5,$H$13)/IF([1]!S_SHARE_TOTAL(D234,$G$5)=0,[1]!S_SHARE_TOTAL(D234,[1]!s_ipo_listeddate(D234)),[1]!S_SHARE_TOTAL(D234,$G$5)),([1]!S_STM07_BS(D234,75,$G$5,$H$13)+[1]!S_STM07_BS(D234,88,$G$5,$H$13)+[1]!S_STM07_BS(D234,94,$G$5,$H$13)+[1]!S_STM07_BS(D234,95,$G$5,$H$13))/$E$5))</f>
        <v/>
      </c>
      <c r="O234" s="247" t="str">
        <f ca="1">IF(C234="","",IF($O$11="BPS",[1]!S_STM07_BS(D234,141,$G$5,$H$13)/IF([1]!S_SHARE_TOTAL(D234,$G$5)=0,[1]!S_SHARE_TOTAL(D234,[1]!s_ipo_listeddate(D234)),[1]!S_SHARE_TOTAL(D234,$G$5)),[1]!S_STM07_CS(D234,49,$G$5,$H$13)/$E$5))</f>
        <v/>
      </c>
      <c r="P234" s="247" t="str">
        <f ca="1">IF(C234="","",IF($P$11="CFPS",[1]!S_STM07_CS(D234,84,$G$5,$H$13)/IF([1]!S_SHARE_TOTAL(D234,$G$5)=0,[1]!S_SHARE_TOTAL(D234,[1]!s_ipo_listeddate(D234)),[1]!S_SHARE_TOTAL(D234,$G$5)),[1]!S_STM07_CS(D234,84,$G$5,$H$13)/$E$5))</f>
        <v/>
      </c>
      <c r="Q234" s="248" t="str">
        <f ca="1">IF(C234="","",F234/([1]!S_STM07_IS(D234,61,$G$5,$H$13)/IF([1]!S_SHARE_TOTAL(D234,$G$5)=0,[1]!S_SHARE_TOTAL(D234,[1]!s_ipo_listeddate(D234)),[1]!S_SHARE_TOTAL(D234,$G$5))))</f>
        <v/>
      </c>
      <c r="R234" s="248" t="str">
        <f ca="1">IF(C234="","",F234/([1]!S_STM07_BS(D234,141,$G$5,$H$13)/IF([1]!S_SHARE_TOTAL(D234,$G$5)=0,[1]!S_SHARE_TOTAL(D234,[1]!s_ipo_listeddate(D234)),[1]!S_SHARE_TOTAL(D234,$G$5))))</f>
        <v/>
      </c>
      <c r="S234" s="247" t="str">
        <f ca="1">IF(C234="","",[1]!S_SHARE_TOTAL(D234,TODAY())/$E$5)</f>
        <v/>
      </c>
      <c r="T234" s="247" t="str">
        <f t="shared" ca="1" si="31"/>
        <v/>
      </c>
      <c r="U234" s="218" t="str">
        <f t="shared" ca="1" si="32"/>
        <v/>
      </c>
      <c r="V234" s="342" t="str">
        <f t="shared" ca="1" si="33"/>
        <v/>
      </c>
      <c r="W234" s="139"/>
      <c r="Y234" s="1"/>
    </row>
    <row r="235" spans="3:25" ht="12" customHeight="1">
      <c r="C235" s="343" t="str">
        <f t="shared" ca="1" si="28"/>
        <v/>
      </c>
      <c r="D235" s="124" t="str">
        <f t="shared" ca="1" si="29"/>
        <v/>
      </c>
      <c r="E235" s="124" t="str">
        <f t="shared" ca="1" si="30"/>
        <v/>
      </c>
      <c r="F235" s="172" t="str">
        <f ca="1">IF(C235="","",[1]!S_DQ_CLOSE(D235,TODAY(),1))</f>
        <v/>
      </c>
      <c r="G235" s="173" t="str">
        <f ca="1">IF(C235="","",[1]!s_pq_pctchange(D235,TODAY()-$G$12,TODAY())/100)</f>
        <v/>
      </c>
      <c r="H235" s="249" t="str">
        <f ca="1">IF(C235="","",IF($H$11="收入",[1]!S_STM07_IS(D235,9,$G$5,$H$13)/$E$5,[1]!S_STM07_IS(D235,48,$G$5,$H$13)/$E$5))</f>
        <v/>
      </c>
      <c r="I235" s="249" t="str">
        <f ca="1">IF(C235="","",IF($I$11="毛利率",([1]!S_STM07_IS(D235,9,$G$5,$H$13)-[1]!S_STM07_IS(D235,10,$G$5,$H$13))/[1]!S_STM07_IS(D235,9,$G$5,$H$13),[1]!S_STM07_IS(D235,14,$G$5,$H$13)/$E$5))</f>
        <v/>
      </c>
      <c r="J235" s="249" t="str">
        <f ca="1">IF(C235="","",IF($J$11="营业利润率",[1]!S_STM07_IS(D235,48,$G$5,$H$13)/[1]!S_STM07_IS(D235,9,$G$5,$H$13),([1]!S_STM07_CS(D235,87,$G$5,$H$13)+[1]!S_STM07_CS(D235,88,$G$5,$H$13)+[1]!S_STM07_CS(D235,89,$G$5,$H$13))/$E$5))</f>
        <v/>
      </c>
      <c r="K235" s="249" t="str">
        <f ca="1">IF(C235="","",IF($K$11="净利润率",[1]!S_STM07_IS(D235,61,$G$5,$H$13)/[1]!S_STM07_IS(D235,9,$G$5,$H$13),[1]!S_STM07_IS(D235,55,$G$5,$H$13)/$E$5))</f>
        <v/>
      </c>
      <c r="L235" s="249" t="str">
        <f ca="1">IF(C235="","",IF($L$11="ROA",[1]!S_STM07_IS(D235,61,$G$5,$H$13)/[1]!S_STM07_BS(D235,74,$G$5,$H$13),1-[1]!S_STM07_IS(D235,61,$G$5,$H$13)/[1]!S_STM07_IS(D235,55,$G$5,$H$13)))</f>
        <v/>
      </c>
      <c r="M235" s="249" t="str">
        <f ca="1">IF(C235="","",IF($M$11="ROE",[1]!S_STM07_IS(D235,61,$G$5,$H$13)/[1]!S_STM07_BS(D235,141,$G$5,$H$13),([1]!S_STM07_BS(D235,25,$G$5,$H$13)-[1]!S_STM07_BS(D235,93,$G$5,$H$13))/$E$5))</f>
        <v/>
      </c>
      <c r="N235" s="250" t="str">
        <f ca="1">IF(C235="","",IF($N$11="EPS",[1]!S_STM07_IS(D235,61,$G$5,$H$13)/IF([1]!S_SHARE_TOTAL(D235,$G$5)=0,[1]!S_SHARE_TOTAL(D235,[1]!s_ipo_listeddate(D235)),[1]!S_SHARE_TOTAL(D235,$G$5)),([1]!S_STM07_BS(D235,75,$G$5,$H$13)+[1]!S_STM07_BS(D235,88,$G$5,$H$13)+[1]!S_STM07_BS(D235,94,$G$5,$H$13)+[1]!S_STM07_BS(D235,95,$G$5,$H$13))/$E$5))</f>
        <v/>
      </c>
      <c r="O235" s="250" t="str">
        <f ca="1">IF(C235="","",IF($O$11="BPS",[1]!S_STM07_BS(D235,141,$G$5,$H$13)/IF([1]!S_SHARE_TOTAL(D235,$G$5)=0,[1]!S_SHARE_TOTAL(D235,[1]!s_ipo_listeddate(D235)),[1]!S_SHARE_TOTAL(D235,$G$5)),[1]!S_STM07_CS(D235,49,$G$5,$H$13)/$E$5))</f>
        <v/>
      </c>
      <c r="P235" s="250" t="str">
        <f ca="1">IF(C235="","",IF($P$11="CFPS",[1]!S_STM07_CS(D235,84,$G$5,$H$13)/IF([1]!S_SHARE_TOTAL(D235,$G$5)=0,[1]!S_SHARE_TOTAL(D235,[1]!s_ipo_listeddate(D235)),[1]!S_SHARE_TOTAL(D235,$G$5)),[1]!S_STM07_CS(D235,84,$G$5,$H$13)/$E$5))</f>
        <v/>
      </c>
      <c r="Q235" s="198" t="str">
        <f ca="1">IF(C235="","",F235/([1]!S_STM07_IS(D235,61,$G$5,$H$13)/IF([1]!S_SHARE_TOTAL(D235,$G$5)=0,[1]!S_SHARE_TOTAL(D235,[1]!s_ipo_listeddate(D235)),[1]!S_SHARE_TOTAL(D235,$G$5))))</f>
        <v/>
      </c>
      <c r="R235" s="198" t="str">
        <f ca="1">IF(C235="","",F235/([1]!S_STM07_BS(D235,141,$G$5,$H$13)/IF([1]!S_SHARE_TOTAL(D235,$G$5)=0,[1]!S_SHARE_TOTAL(D235,[1]!s_ipo_listeddate(D235)),[1]!S_SHARE_TOTAL(D235,$G$5))))</f>
        <v/>
      </c>
      <c r="S235" s="249" t="str">
        <f ca="1">IF(C235="","",[1]!S_SHARE_TOTAL(D235,TODAY())/$E$5)</f>
        <v/>
      </c>
      <c r="T235" s="249" t="str">
        <f t="shared" ca="1" si="31"/>
        <v/>
      </c>
      <c r="U235" s="172" t="str">
        <f t="shared" ca="1" si="32"/>
        <v/>
      </c>
      <c r="V235" s="343" t="str">
        <f t="shared" ca="1" si="33"/>
        <v/>
      </c>
      <c r="W235" s="139"/>
      <c r="Y235" s="1"/>
    </row>
    <row r="236" spans="3:25" ht="12" customHeight="1">
      <c r="C236" s="342" t="str">
        <f t="shared" ca="1" si="28"/>
        <v/>
      </c>
      <c r="D236" s="153" t="str">
        <f t="shared" ca="1" si="29"/>
        <v/>
      </c>
      <c r="E236" s="153" t="str">
        <f t="shared" ca="1" si="30"/>
        <v/>
      </c>
      <c r="F236" s="170" t="str">
        <f ca="1">IF(C236="","",[1]!S_DQ_CLOSE(D236,TODAY(),1))</f>
        <v/>
      </c>
      <c r="G236" s="171" t="str">
        <f ca="1">IF(C236="","",[1]!s_pq_pctchange(D236,TODAY()-$G$12,TODAY())/100)</f>
        <v/>
      </c>
      <c r="H236" s="247" t="str">
        <f ca="1">IF(C236="","",IF($H$11="收入",[1]!S_STM07_IS(D236,9,$G$5,$H$13)/$E$5,[1]!S_STM07_IS(D236,48,$G$5,$H$13)/$E$5))</f>
        <v/>
      </c>
      <c r="I236" s="247" t="str">
        <f ca="1">IF(C236="","",IF($I$11="毛利率",([1]!S_STM07_IS(D236,9,$G$5,$H$13)-[1]!S_STM07_IS(D236,10,$G$5,$H$13))/[1]!S_STM07_IS(D236,9,$G$5,$H$13),[1]!S_STM07_IS(D236,14,$G$5,$H$13)/$E$5))</f>
        <v/>
      </c>
      <c r="J236" s="247" t="str">
        <f ca="1">IF(C236="","",IF($J$11="营业利润率",[1]!S_STM07_IS(D236,48,$G$5,$H$13)/[1]!S_STM07_IS(D236,9,$G$5,$H$13),([1]!S_STM07_CS(D236,87,$G$5,$H$13)+[1]!S_STM07_CS(D236,88,$G$5,$H$13)+[1]!S_STM07_CS(D236,89,$G$5,$H$13))/$E$5))</f>
        <v/>
      </c>
      <c r="K236" s="247" t="str">
        <f ca="1">IF(C236="","",IF($K$11="净利润率",[1]!S_STM07_IS(D236,61,$G$5,$H$13)/[1]!S_STM07_IS(D236,9,$G$5,$H$13),[1]!S_STM07_IS(D236,55,$G$5,$H$13)/$E$5))</f>
        <v/>
      </c>
      <c r="L236" s="247" t="str">
        <f ca="1">IF(C236="","",IF($L$11="ROA",[1]!S_STM07_IS(D236,61,$G$5,$H$13)/[1]!S_STM07_BS(D236,74,$G$5,$H$13),1-[1]!S_STM07_IS(D236,61,$G$5,$H$13)/[1]!S_STM07_IS(D236,55,$G$5,$H$13)))</f>
        <v/>
      </c>
      <c r="M236" s="247" t="str">
        <f ca="1">IF(C236="","",IF($M$11="ROE",[1]!S_STM07_IS(D236,61,$G$5,$H$13)/[1]!S_STM07_BS(D236,141,$G$5,$H$13),([1]!S_STM07_BS(D236,25,$G$5,$H$13)-[1]!S_STM07_BS(D236,93,$G$5,$H$13))/$E$5))</f>
        <v/>
      </c>
      <c r="N236" s="247" t="str">
        <f ca="1">IF(C236="","",IF($N$11="EPS",[1]!S_STM07_IS(D236,61,$G$5,$H$13)/IF([1]!S_SHARE_TOTAL(D236,$G$5)=0,[1]!S_SHARE_TOTAL(D236,[1]!s_ipo_listeddate(D236)),[1]!S_SHARE_TOTAL(D236,$G$5)),([1]!S_STM07_BS(D236,75,$G$5,$H$13)+[1]!S_STM07_BS(D236,88,$G$5,$H$13)+[1]!S_STM07_BS(D236,94,$G$5,$H$13)+[1]!S_STM07_BS(D236,95,$G$5,$H$13))/$E$5))</f>
        <v/>
      </c>
      <c r="O236" s="247" t="str">
        <f ca="1">IF(C236="","",IF($O$11="BPS",[1]!S_STM07_BS(D236,141,$G$5,$H$13)/IF([1]!S_SHARE_TOTAL(D236,$G$5)=0,[1]!S_SHARE_TOTAL(D236,[1]!s_ipo_listeddate(D236)),[1]!S_SHARE_TOTAL(D236,$G$5)),[1]!S_STM07_CS(D236,49,$G$5,$H$13)/$E$5))</f>
        <v/>
      </c>
      <c r="P236" s="247" t="str">
        <f ca="1">IF(C236="","",IF($P$11="CFPS",[1]!S_STM07_CS(D236,84,$G$5,$H$13)/IF([1]!S_SHARE_TOTAL(D236,$G$5)=0,[1]!S_SHARE_TOTAL(D236,[1]!s_ipo_listeddate(D236)),[1]!S_SHARE_TOTAL(D236,$G$5)),[1]!S_STM07_CS(D236,84,$G$5,$H$13)/$E$5))</f>
        <v/>
      </c>
      <c r="Q236" s="248" t="str">
        <f ca="1">IF(C236="","",F236/([1]!S_STM07_IS(D236,61,$G$5,$H$13)/IF([1]!S_SHARE_TOTAL(D236,$G$5)=0,[1]!S_SHARE_TOTAL(D236,[1]!s_ipo_listeddate(D236)),[1]!S_SHARE_TOTAL(D236,$G$5))))</f>
        <v/>
      </c>
      <c r="R236" s="248" t="str">
        <f ca="1">IF(C236="","",F236/([1]!S_STM07_BS(D236,141,$G$5,$H$13)/IF([1]!S_SHARE_TOTAL(D236,$G$5)=0,[1]!S_SHARE_TOTAL(D236,[1]!s_ipo_listeddate(D236)),[1]!S_SHARE_TOTAL(D236,$G$5))))</f>
        <v/>
      </c>
      <c r="S236" s="247" t="str">
        <f ca="1">IF(C236="","",[1]!S_SHARE_TOTAL(D236,TODAY())/$E$5)</f>
        <v/>
      </c>
      <c r="T236" s="247" t="str">
        <f t="shared" ca="1" si="31"/>
        <v/>
      </c>
      <c r="U236" s="218" t="str">
        <f t="shared" ca="1" si="32"/>
        <v/>
      </c>
      <c r="V236" s="342" t="str">
        <f t="shared" ca="1" si="33"/>
        <v/>
      </c>
      <c r="W236" s="139"/>
      <c r="Y236" s="1"/>
    </row>
    <row r="237" spans="3:25" ht="12" customHeight="1">
      <c r="C237" s="343" t="str">
        <f t="shared" ca="1" si="28"/>
        <v/>
      </c>
      <c r="D237" s="124" t="str">
        <f t="shared" ca="1" si="29"/>
        <v/>
      </c>
      <c r="E237" s="124" t="str">
        <f t="shared" ca="1" si="30"/>
        <v/>
      </c>
      <c r="F237" s="172" t="str">
        <f ca="1">IF(C237="","",[1]!S_DQ_CLOSE(D237,TODAY(),1))</f>
        <v/>
      </c>
      <c r="G237" s="173" t="str">
        <f ca="1">IF(C237="","",[1]!s_pq_pctchange(D237,TODAY()-$G$12,TODAY())/100)</f>
        <v/>
      </c>
      <c r="H237" s="249" t="str">
        <f ca="1">IF(C237="","",IF($H$11="收入",[1]!S_STM07_IS(D237,9,$G$5,$H$13)/$E$5,[1]!S_STM07_IS(D237,48,$G$5,$H$13)/$E$5))</f>
        <v/>
      </c>
      <c r="I237" s="249" t="str">
        <f ca="1">IF(C237="","",IF($I$11="毛利率",([1]!S_STM07_IS(D237,9,$G$5,$H$13)-[1]!S_STM07_IS(D237,10,$G$5,$H$13))/[1]!S_STM07_IS(D237,9,$G$5,$H$13),[1]!S_STM07_IS(D237,14,$G$5,$H$13)/$E$5))</f>
        <v/>
      </c>
      <c r="J237" s="249" t="str">
        <f ca="1">IF(C237="","",IF($J$11="营业利润率",[1]!S_STM07_IS(D237,48,$G$5,$H$13)/[1]!S_STM07_IS(D237,9,$G$5,$H$13),([1]!S_STM07_CS(D237,87,$G$5,$H$13)+[1]!S_STM07_CS(D237,88,$G$5,$H$13)+[1]!S_STM07_CS(D237,89,$G$5,$H$13))/$E$5))</f>
        <v/>
      </c>
      <c r="K237" s="249" t="str">
        <f ca="1">IF(C237="","",IF($K$11="净利润率",[1]!S_STM07_IS(D237,61,$G$5,$H$13)/[1]!S_STM07_IS(D237,9,$G$5,$H$13),[1]!S_STM07_IS(D237,55,$G$5,$H$13)/$E$5))</f>
        <v/>
      </c>
      <c r="L237" s="249" t="str">
        <f ca="1">IF(C237="","",IF($L$11="ROA",[1]!S_STM07_IS(D237,61,$G$5,$H$13)/[1]!S_STM07_BS(D237,74,$G$5,$H$13),1-[1]!S_STM07_IS(D237,61,$G$5,$H$13)/[1]!S_STM07_IS(D237,55,$G$5,$H$13)))</f>
        <v/>
      </c>
      <c r="M237" s="249" t="str">
        <f ca="1">IF(C237="","",IF($M$11="ROE",[1]!S_STM07_IS(D237,61,$G$5,$H$13)/[1]!S_STM07_BS(D237,141,$G$5,$H$13),([1]!S_STM07_BS(D237,25,$G$5,$H$13)-[1]!S_STM07_BS(D237,93,$G$5,$H$13))/$E$5))</f>
        <v/>
      </c>
      <c r="N237" s="250" t="str">
        <f ca="1">IF(C237="","",IF($N$11="EPS",[1]!S_STM07_IS(D237,61,$G$5,$H$13)/IF([1]!S_SHARE_TOTAL(D237,$G$5)=0,[1]!S_SHARE_TOTAL(D237,[1]!s_ipo_listeddate(D237)),[1]!S_SHARE_TOTAL(D237,$G$5)),([1]!S_STM07_BS(D237,75,$G$5,$H$13)+[1]!S_STM07_BS(D237,88,$G$5,$H$13)+[1]!S_STM07_BS(D237,94,$G$5,$H$13)+[1]!S_STM07_BS(D237,95,$G$5,$H$13))/$E$5))</f>
        <v/>
      </c>
      <c r="O237" s="250" t="str">
        <f ca="1">IF(C237="","",IF($O$11="BPS",[1]!S_STM07_BS(D237,141,$G$5,$H$13)/IF([1]!S_SHARE_TOTAL(D237,$G$5)=0,[1]!S_SHARE_TOTAL(D237,[1]!s_ipo_listeddate(D237)),[1]!S_SHARE_TOTAL(D237,$G$5)),[1]!S_STM07_CS(D237,49,$G$5,$H$13)/$E$5))</f>
        <v/>
      </c>
      <c r="P237" s="250" t="str">
        <f ca="1">IF(C237="","",IF($P$11="CFPS",[1]!S_STM07_CS(D237,84,$G$5,$H$13)/IF([1]!S_SHARE_TOTAL(D237,$G$5)=0,[1]!S_SHARE_TOTAL(D237,[1]!s_ipo_listeddate(D237)),[1]!S_SHARE_TOTAL(D237,$G$5)),[1]!S_STM07_CS(D237,84,$G$5,$H$13)/$E$5))</f>
        <v/>
      </c>
      <c r="Q237" s="198" t="str">
        <f ca="1">IF(C237="","",F237/([1]!S_STM07_IS(D237,61,$G$5,$H$13)/IF([1]!S_SHARE_TOTAL(D237,$G$5)=0,[1]!S_SHARE_TOTAL(D237,[1]!s_ipo_listeddate(D237)),[1]!S_SHARE_TOTAL(D237,$G$5))))</f>
        <v/>
      </c>
      <c r="R237" s="198" t="str">
        <f ca="1">IF(C237="","",F237/([1]!S_STM07_BS(D237,141,$G$5,$H$13)/IF([1]!S_SHARE_TOTAL(D237,$G$5)=0,[1]!S_SHARE_TOTAL(D237,[1]!s_ipo_listeddate(D237)),[1]!S_SHARE_TOTAL(D237,$G$5))))</f>
        <v/>
      </c>
      <c r="S237" s="249" t="str">
        <f ca="1">IF(C237="","",[1]!S_SHARE_TOTAL(D237,TODAY())/$E$5)</f>
        <v/>
      </c>
      <c r="T237" s="249" t="str">
        <f t="shared" ca="1" si="31"/>
        <v/>
      </c>
      <c r="U237" s="172" t="str">
        <f t="shared" ca="1" si="32"/>
        <v/>
      </c>
      <c r="V237" s="343" t="str">
        <f t="shared" ca="1" si="33"/>
        <v/>
      </c>
      <c r="W237" s="139"/>
      <c r="Y237" s="1"/>
    </row>
    <row r="238" spans="3:25" ht="12" customHeight="1">
      <c r="C238" s="342" t="str">
        <f t="shared" ca="1" si="28"/>
        <v/>
      </c>
      <c r="D238" s="153" t="str">
        <f t="shared" ca="1" si="29"/>
        <v/>
      </c>
      <c r="E238" s="153" t="str">
        <f t="shared" ca="1" si="30"/>
        <v/>
      </c>
      <c r="F238" s="170" t="str">
        <f ca="1">IF(C238="","",[1]!S_DQ_CLOSE(D238,TODAY(),1))</f>
        <v/>
      </c>
      <c r="G238" s="171" t="str">
        <f ca="1">IF(C238="","",[1]!s_pq_pctchange(D238,TODAY()-$G$12,TODAY())/100)</f>
        <v/>
      </c>
      <c r="H238" s="247" t="str">
        <f ca="1">IF(C238="","",IF($H$11="收入",[1]!S_STM07_IS(D238,9,$G$5,$H$13)/$E$5,[1]!S_STM07_IS(D238,48,$G$5,$H$13)/$E$5))</f>
        <v/>
      </c>
      <c r="I238" s="247" t="str">
        <f ca="1">IF(C238="","",IF($I$11="毛利率",([1]!S_STM07_IS(D238,9,$G$5,$H$13)-[1]!S_STM07_IS(D238,10,$G$5,$H$13))/[1]!S_STM07_IS(D238,9,$G$5,$H$13),[1]!S_STM07_IS(D238,14,$G$5,$H$13)/$E$5))</f>
        <v/>
      </c>
      <c r="J238" s="247" t="str">
        <f ca="1">IF(C238="","",IF($J$11="营业利润率",[1]!S_STM07_IS(D238,48,$G$5,$H$13)/[1]!S_STM07_IS(D238,9,$G$5,$H$13),([1]!S_STM07_CS(D238,87,$G$5,$H$13)+[1]!S_STM07_CS(D238,88,$G$5,$H$13)+[1]!S_STM07_CS(D238,89,$G$5,$H$13))/$E$5))</f>
        <v/>
      </c>
      <c r="K238" s="247" t="str">
        <f ca="1">IF(C238="","",IF($K$11="净利润率",[1]!S_STM07_IS(D238,61,$G$5,$H$13)/[1]!S_STM07_IS(D238,9,$G$5,$H$13),[1]!S_STM07_IS(D238,55,$G$5,$H$13)/$E$5))</f>
        <v/>
      </c>
      <c r="L238" s="247" t="str">
        <f ca="1">IF(C238="","",IF($L$11="ROA",[1]!S_STM07_IS(D238,61,$G$5,$H$13)/[1]!S_STM07_BS(D238,74,$G$5,$H$13),1-[1]!S_STM07_IS(D238,61,$G$5,$H$13)/[1]!S_STM07_IS(D238,55,$G$5,$H$13)))</f>
        <v/>
      </c>
      <c r="M238" s="247" t="str">
        <f ca="1">IF(C238="","",IF($M$11="ROE",[1]!S_STM07_IS(D238,61,$G$5,$H$13)/[1]!S_STM07_BS(D238,141,$G$5,$H$13),([1]!S_STM07_BS(D238,25,$G$5,$H$13)-[1]!S_STM07_BS(D238,93,$G$5,$H$13))/$E$5))</f>
        <v/>
      </c>
      <c r="N238" s="247" t="str">
        <f ca="1">IF(C238="","",IF($N$11="EPS",[1]!S_STM07_IS(D238,61,$G$5,$H$13)/IF([1]!S_SHARE_TOTAL(D238,$G$5)=0,[1]!S_SHARE_TOTAL(D238,[1]!s_ipo_listeddate(D238)),[1]!S_SHARE_TOTAL(D238,$G$5)),([1]!S_STM07_BS(D238,75,$G$5,$H$13)+[1]!S_STM07_BS(D238,88,$G$5,$H$13)+[1]!S_STM07_BS(D238,94,$G$5,$H$13)+[1]!S_STM07_BS(D238,95,$G$5,$H$13))/$E$5))</f>
        <v/>
      </c>
      <c r="O238" s="247" t="str">
        <f ca="1">IF(C238="","",IF($O$11="BPS",[1]!S_STM07_BS(D238,141,$G$5,$H$13)/IF([1]!S_SHARE_TOTAL(D238,$G$5)=0,[1]!S_SHARE_TOTAL(D238,[1]!s_ipo_listeddate(D238)),[1]!S_SHARE_TOTAL(D238,$G$5)),[1]!S_STM07_CS(D238,49,$G$5,$H$13)/$E$5))</f>
        <v/>
      </c>
      <c r="P238" s="247" t="str">
        <f ca="1">IF(C238="","",IF($P$11="CFPS",[1]!S_STM07_CS(D238,84,$G$5,$H$13)/IF([1]!S_SHARE_TOTAL(D238,$G$5)=0,[1]!S_SHARE_TOTAL(D238,[1]!s_ipo_listeddate(D238)),[1]!S_SHARE_TOTAL(D238,$G$5)),[1]!S_STM07_CS(D238,84,$G$5,$H$13)/$E$5))</f>
        <v/>
      </c>
      <c r="Q238" s="248" t="str">
        <f ca="1">IF(C238="","",F238/([1]!S_STM07_IS(D238,61,$G$5,$H$13)/IF([1]!S_SHARE_TOTAL(D238,$G$5)=0,[1]!S_SHARE_TOTAL(D238,[1]!s_ipo_listeddate(D238)),[1]!S_SHARE_TOTAL(D238,$G$5))))</f>
        <v/>
      </c>
      <c r="R238" s="248" t="str">
        <f ca="1">IF(C238="","",F238/([1]!S_STM07_BS(D238,141,$G$5,$H$13)/IF([1]!S_SHARE_TOTAL(D238,$G$5)=0,[1]!S_SHARE_TOTAL(D238,[1]!s_ipo_listeddate(D238)),[1]!S_SHARE_TOTAL(D238,$G$5))))</f>
        <v/>
      </c>
      <c r="S238" s="247" t="str">
        <f ca="1">IF(C238="","",[1]!S_SHARE_TOTAL(D238,TODAY())/$E$5)</f>
        <v/>
      </c>
      <c r="T238" s="247" t="str">
        <f t="shared" ca="1" si="31"/>
        <v/>
      </c>
      <c r="U238" s="218" t="str">
        <f t="shared" ca="1" si="32"/>
        <v/>
      </c>
      <c r="V238" s="342" t="str">
        <f t="shared" ca="1" si="33"/>
        <v/>
      </c>
      <c r="W238" s="139"/>
      <c r="Y238" s="1"/>
    </row>
    <row r="239" spans="3:25" ht="12" customHeight="1">
      <c r="C239" s="343" t="str">
        <f t="shared" ca="1" si="28"/>
        <v/>
      </c>
      <c r="D239" s="124" t="str">
        <f t="shared" ca="1" si="29"/>
        <v/>
      </c>
      <c r="E239" s="124" t="str">
        <f t="shared" ca="1" si="30"/>
        <v/>
      </c>
      <c r="F239" s="172" t="str">
        <f ca="1">IF(C239="","",[1]!S_DQ_CLOSE(D239,TODAY(),1))</f>
        <v/>
      </c>
      <c r="G239" s="173" t="str">
        <f ca="1">IF(C239="","",[1]!s_pq_pctchange(D239,TODAY()-$G$12,TODAY())/100)</f>
        <v/>
      </c>
      <c r="H239" s="249" t="str">
        <f ca="1">IF(C239="","",IF($H$11="收入",[1]!S_STM07_IS(D239,9,$G$5,$H$13)/$E$5,[1]!S_STM07_IS(D239,48,$G$5,$H$13)/$E$5))</f>
        <v/>
      </c>
      <c r="I239" s="249" t="str">
        <f ca="1">IF(C239="","",IF($I$11="毛利率",([1]!S_STM07_IS(D239,9,$G$5,$H$13)-[1]!S_STM07_IS(D239,10,$G$5,$H$13))/[1]!S_STM07_IS(D239,9,$G$5,$H$13),[1]!S_STM07_IS(D239,14,$G$5,$H$13)/$E$5))</f>
        <v/>
      </c>
      <c r="J239" s="249" t="str">
        <f ca="1">IF(C239="","",IF($J$11="营业利润率",[1]!S_STM07_IS(D239,48,$G$5,$H$13)/[1]!S_STM07_IS(D239,9,$G$5,$H$13),([1]!S_STM07_CS(D239,87,$G$5,$H$13)+[1]!S_STM07_CS(D239,88,$G$5,$H$13)+[1]!S_STM07_CS(D239,89,$G$5,$H$13))/$E$5))</f>
        <v/>
      </c>
      <c r="K239" s="249" t="str">
        <f ca="1">IF(C239="","",IF($K$11="净利润率",[1]!S_STM07_IS(D239,61,$G$5,$H$13)/[1]!S_STM07_IS(D239,9,$G$5,$H$13),[1]!S_STM07_IS(D239,55,$G$5,$H$13)/$E$5))</f>
        <v/>
      </c>
      <c r="L239" s="249" t="str">
        <f ca="1">IF(C239="","",IF($L$11="ROA",[1]!S_STM07_IS(D239,61,$G$5,$H$13)/[1]!S_STM07_BS(D239,74,$G$5,$H$13),1-[1]!S_STM07_IS(D239,61,$G$5,$H$13)/[1]!S_STM07_IS(D239,55,$G$5,$H$13)))</f>
        <v/>
      </c>
      <c r="M239" s="249" t="str">
        <f ca="1">IF(C239="","",IF($M$11="ROE",[1]!S_STM07_IS(D239,61,$G$5,$H$13)/[1]!S_STM07_BS(D239,141,$G$5,$H$13),([1]!S_STM07_BS(D239,25,$G$5,$H$13)-[1]!S_STM07_BS(D239,93,$G$5,$H$13))/$E$5))</f>
        <v/>
      </c>
      <c r="N239" s="250" t="str">
        <f ca="1">IF(C239="","",IF($N$11="EPS",[1]!S_STM07_IS(D239,61,$G$5,$H$13)/IF([1]!S_SHARE_TOTAL(D239,$G$5)=0,[1]!S_SHARE_TOTAL(D239,[1]!s_ipo_listeddate(D239)),[1]!S_SHARE_TOTAL(D239,$G$5)),([1]!S_STM07_BS(D239,75,$G$5,$H$13)+[1]!S_STM07_BS(D239,88,$G$5,$H$13)+[1]!S_STM07_BS(D239,94,$G$5,$H$13)+[1]!S_STM07_BS(D239,95,$G$5,$H$13))/$E$5))</f>
        <v/>
      </c>
      <c r="O239" s="250" t="str">
        <f ca="1">IF(C239="","",IF($O$11="BPS",[1]!S_STM07_BS(D239,141,$G$5,$H$13)/IF([1]!S_SHARE_TOTAL(D239,$G$5)=0,[1]!S_SHARE_TOTAL(D239,[1]!s_ipo_listeddate(D239)),[1]!S_SHARE_TOTAL(D239,$G$5)),[1]!S_STM07_CS(D239,49,$G$5,$H$13)/$E$5))</f>
        <v/>
      </c>
      <c r="P239" s="250" t="str">
        <f ca="1">IF(C239="","",IF($P$11="CFPS",[1]!S_STM07_CS(D239,84,$G$5,$H$13)/IF([1]!S_SHARE_TOTAL(D239,$G$5)=0,[1]!S_SHARE_TOTAL(D239,[1]!s_ipo_listeddate(D239)),[1]!S_SHARE_TOTAL(D239,$G$5)),[1]!S_STM07_CS(D239,84,$G$5,$H$13)/$E$5))</f>
        <v/>
      </c>
      <c r="Q239" s="198" t="str">
        <f ca="1">IF(C239="","",F239/([1]!S_STM07_IS(D239,61,$G$5,$H$13)/IF([1]!S_SHARE_TOTAL(D239,$G$5)=0,[1]!S_SHARE_TOTAL(D239,[1]!s_ipo_listeddate(D239)),[1]!S_SHARE_TOTAL(D239,$G$5))))</f>
        <v/>
      </c>
      <c r="R239" s="198" t="str">
        <f ca="1">IF(C239="","",F239/([1]!S_STM07_BS(D239,141,$G$5,$H$13)/IF([1]!S_SHARE_TOTAL(D239,$G$5)=0,[1]!S_SHARE_TOTAL(D239,[1]!s_ipo_listeddate(D239)),[1]!S_SHARE_TOTAL(D239,$G$5))))</f>
        <v/>
      </c>
      <c r="S239" s="249" t="str">
        <f ca="1">IF(C239="","",[1]!S_SHARE_TOTAL(D239,TODAY())/$E$5)</f>
        <v/>
      </c>
      <c r="T239" s="249" t="str">
        <f t="shared" ca="1" si="31"/>
        <v/>
      </c>
      <c r="U239" s="172" t="str">
        <f t="shared" ca="1" si="32"/>
        <v/>
      </c>
      <c r="V239" s="343" t="str">
        <f t="shared" ca="1" si="33"/>
        <v/>
      </c>
      <c r="W239" s="139"/>
      <c r="Y239" s="1"/>
    </row>
    <row r="240" spans="3:25" ht="12" customHeight="1">
      <c r="C240" s="342" t="str">
        <f t="shared" ca="1" si="28"/>
        <v/>
      </c>
      <c r="D240" s="153" t="str">
        <f t="shared" ca="1" si="29"/>
        <v/>
      </c>
      <c r="E240" s="153" t="str">
        <f t="shared" ca="1" si="30"/>
        <v/>
      </c>
      <c r="F240" s="170" t="str">
        <f ca="1">IF(C240="","",[1]!S_DQ_CLOSE(D240,TODAY(),1))</f>
        <v/>
      </c>
      <c r="G240" s="171" t="str">
        <f ca="1">IF(C240="","",[1]!s_pq_pctchange(D240,TODAY()-$G$12,TODAY())/100)</f>
        <v/>
      </c>
      <c r="H240" s="247" t="str">
        <f ca="1">IF(C240="","",IF($H$11="收入",[1]!S_STM07_IS(D240,9,$G$5,$H$13)/$E$5,[1]!S_STM07_IS(D240,48,$G$5,$H$13)/$E$5))</f>
        <v/>
      </c>
      <c r="I240" s="247" t="str">
        <f ca="1">IF(C240="","",IF($I$11="毛利率",([1]!S_STM07_IS(D240,9,$G$5,$H$13)-[1]!S_STM07_IS(D240,10,$G$5,$H$13))/[1]!S_STM07_IS(D240,9,$G$5,$H$13),[1]!S_STM07_IS(D240,14,$G$5,$H$13)/$E$5))</f>
        <v/>
      </c>
      <c r="J240" s="247" t="str">
        <f ca="1">IF(C240="","",IF($J$11="营业利润率",[1]!S_STM07_IS(D240,48,$G$5,$H$13)/[1]!S_STM07_IS(D240,9,$G$5,$H$13),([1]!S_STM07_CS(D240,87,$G$5,$H$13)+[1]!S_STM07_CS(D240,88,$G$5,$H$13)+[1]!S_STM07_CS(D240,89,$G$5,$H$13))/$E$5))</f>
        <v/>
      </c>
      <c r="K240" s="247" t="str">
        <f ca="1">IF(C240="","",IF($K$11="净利润率",[1]!S_STM07_IS(D240,61,$G$5,$H$13)/[1]!S_STM07_IS(D240,9,$G$5,$H$13),[1]!S_STM07_IS(D240,55,$G$5,$H$13)/$E$5))</f>
        <v/>
      </c>
      <c r="L240" s="247" t="str">
        <f ca="1">IF(C240="","",IF($L$11="ROA",[1]!S_STM07_IS(D240,61,$G$5,$H$13)/[1]!S_STM07_BS(D240,74,$G$5,$H$13),1-[1]!S_STM07_IS(D240,61,$G$5,$H$13)/[1]!S_STM07_IS(D240,55,$G$5,$H$13)))</f>
        <v/>
      </c>
      <c r="M240" s="247" t="str">
        <f ca="1">IF(C240="","",IF($M$11="ROE",[1]!S_STM07_IS(D240,61,$G$5,$H$13)/[1]!S_STM07_BS(D240,141,$G$5,$H$13),([1]!S_STM07_BS(D240,25,$G$5,$H$13)-[1]!S_STM07_BS(D240,93,$G$5,$H$13))/$E$5))</f>
        <v/>
      </c>
      <c r="N240" s="247" t="str">
        <f ca="1">IF(C240="","",IF($N$11="EPS",[1]!S_STM07_IS(D240,61,$G$5,$H$13)/IF([1]!S_SHARE_TOTAL(D240,$G$5)=0,[1]!S_SHARE_TOTAL(D240,[1]!s_ipo_listeddate(D240)),[1]!S_SHARE_TOTAL(D240,$G$5)),([1]!S_STM07_BS(D240,75,$G$5,$H$13)+[1]!S_STM07_BS(D240,88,$G$5,$H$13)+[1]!S_STM07_BS(D240,94,$G$5,$H$13)+[1]!S_STM07_BS(D240,95,$G$5,$H$13))/$E$5))</f>
        <v/>
      </c>
      <c r="O240" s="247" t="str">
        <f ca="1">IF(C240="","",IF($O$11="BPS",[1]!S_STM07_BS(D240,141,$G$5,$H$13)/IF([1]!S_SHARE_TOTAL(D240,$G$5)=0,[1]!S_SHARE_TOTAL(D240,[1]!s_ipo_listeddate(D240)),[1]!S_SHARE_TOTAL(D240,$G$5)),[1]!S_STM07_CS(D240,49,$G$5,$H$13)/$E$5))</f>
        <v/>
      </c>
      <c r="P240" s="247" t="str">
        <f ca="1">IF(C240="","",IF($P$11="CFPS",[1]!S_STM07_CS(D240,84,$G$5,$H$13)/IF([1]!S_SHARE_TOTAL(D240,$G$5)=0,[1]!S_SHARE_TOTAL(D240,[1]!s_ipo_listeddate(D240)),[1]!S_SHARE_TOTAL(D240,$G$5)),[1]!S_STM07_CS(D240,84,$G$5,$H$13)/$E$5))</f>
        <v/>
      </c>
      <c r="Q240" s="248" t="str">
        <f ca="1">IF(C240="","",F240/([1]!S_STM07_IS(D240,61,$G$5,$H$13)/IF([1]!S_SHARE_TOTAL(D240,$G$5)=0,[1]!S_SHARE_TOTAL(D240,[1]!s_ipo_listeddate(D240)),[1]!S_SHARE_TOTAL(D240,$G$5))))</f>
        <v/>
      </c>
      <c r="R240" s="248" t="str">
        <f ca="1">IF(C240="","",F240/([1]!S_STM07_BS(D240,141,$G$5,$H$13)/IF([1]!S_SHARE_TOTAL(D240,$G$5)=0,[1]!S_SHARE_TOTAL(D240,[1]!s_ipo_listeddate(D240)),[1]!S_SHARE_TOTAL(D240,$G$5))))</f>
        <v/>
      </c>
      <c r="S240" s="247" t="str">
        <f ca="1">IF(C240="","",[1]!S_SHARE_TOTAL(D240,TODAY())/$E$5)</f>
        <v/>
      </c>
      <c r="T240" s="247" t="str">
        <f t="shared" ca="1" si="31"/>
        <v/>
      </c>
      <c r="U240" s="218" t="str">
        <f t="shared" ca="1" si="32"/>
        <v/>
      </c>
      <c r="V240" s="342" t="str">
        <f t="shared" ca="1" si="33"/>
        <v/>
      </c>
      <c r="W240" s="139"/>
      <c r="Y240" s="1"/>
    </row>
    <row r="241" spans="3:25" ht="12" customHeight="1">
      <c r="C241" s="343" t="str">
        <f t="shared" ca="1" si="28"/>
        <v/>
      </c>
      <c r="D241" s="124" t="str">
        <f t="shared" ca="1" si="29"/>
        <v/>
      </c>
      <c r="E241" s="124" t="str">
        <f t="shared" ca="1" si="30"/>
        <v/>
      </c>
      <c r="F241" s="172" t="str">
        <f ca="1">IF(C241="","",[1]!S_DQ_CLOSE(D241,TODAY(),1))</f>
        <v/>
      </c>
      <c r="G241" s="173" t="str">
        <f ca="1">IF(C241="","",[1]!s_pq_pctchange(D241,TODAY()-$G$12,TODAY())/100)</f>
        <v/>
      </c>
      <c r="H241" s="249" t="str">
        <f ca="1">IF(C241="","",IF($H$11="收入",[1]!S_STM07_IS(D241,9,$G$5,$H$13)/$E$5,[1]!S_STM07_IS(D241,48,$G$5,$H$13)/$E$5))</f>
        <v/>
      </c>
      <c r="I241" s="249" t="str">
        <f ca="1">IF(C241="","",IF($I$11="毛利率",([1]!S_STM07_IS(D241,9,$G$5,$H$13)-[1]!S_STM07_IS(D241,10,$G$5,$H$13))/[1]!S_STM07_IS(D241,9,$G$5,$H$13),[1]!S_STM07_IS(D241,14,$G$5,$H$13)/$E$5))</f>
        <v/>
      </c>
      <c r="J241" s="249" t="str">
        <f ca="1">IF(C241="","",IF($J$11="营业利润率",[1]!S_STM07_IS(D241,48,$G$5,$H$13)/[1]!S_STM07_IS(D241,9,$G$5,$H$13),([1]!S_STM07_CS(D241,87,$G$5,$H$13)+[1]!S_STM07_CS(D241,88,$G$5,$H$13)+[1]!S_STM07_CS(D241,89,$G$5,$H$13))/$E$5))</f>
        <v/>
      </c>
      <c r="K241" s="249" t="str">
        <f ca="1">IF(C241="","",IF($K$11="净利润率",[1]!S_STM07_IS(D241,61,$G$5,$H$13)/[1]!S_STM07_IS(D241,9,$G$5,$H$13),[1]!S_STM07_IS(D241,55,$G$5,$H$13)/$E$5))</f>
        <v/>
      </c>
      <c r="L241" s="249" t="str">
        <f ca="1">IF(C241="","",IF($L$11="ROA",[1]!S_STM07_IS(D241,61,$G$5,$H$13)/[1]!S_STM07_BS(D241,74,$G$5,$H$13),1-[1]!S_STM07_IS(D241,61,$G$5,$H$13)/[1]!S_STM07_IS(D241,55,$G$5,$H$13)))</f>
        <v/>
      </c>
      <c r="M241" s="249" t="str">
        <f ca="1">IF(C241="","",IF($M$11="ROE",[1]!S_STM07_IS(D241,61,$G$5,$H$13)/[1]!S_STM07_BS(D241,141,$G$5,$H$13),([1]!S_STM07_BS(D241,25,$G$5,$H$13)-[1]!S_STM07_BS(D241,93,$G$5,$H$13))/$E$5))</f>
        <v/>
      </c>
      <c r="N241" s="250" t="str">
        <f ca="1">IF(C241="","",IF($N$11="EPS",[1]!S_STM07_IS(D241,61,$G$5,$H$13)/IF([1]!S_SHARE_TOTAL(D241,$G$5)=0,[1]!S_SHARE_TOTAL(D241,[1]!s_ipo_listeddate(D241)),[1]!S_SHARE_TOTAL(D241,$G$5)),([1]!S_STM07_BS(D241,75,$G$5,$H$13)+[1]!S_STM07_BS(D241,88,$G$5,$H$13)+[1]!S_STM07_BS(D241,94,$G$5,$H$13)+[1]!S_STM07_BS(D241,95,$G$5,$H$13))/$E$5))</f>
        <v/>
      </c>
      <c r="O241" s="250" t="str">
        <f ca="1">IF(C241="","",IF($O$11="BPS",[1]!S_STM07_BS(D241,141,$G$5,$H$13)/IF([1]!S_SHARE_TOTAL(D241,$G$5)=0,[1]!S_SHARE_TOTAL(D241,[1]!s_ipo_listeddate(D241)),[1]!S_SHARE_TOTAL(D241,$G$5)),[1]!S_STM07_CS(D241,49,$G$5,$H$13)/$E$5))</f>
        <v/>
      </c>
      <c r="P241" s="250" t="str">
        <f ca="1">IF(C241="","",IF($P$11="CFPS",[1]!S_STM07_CS(D241,84,$G$5,$H$13)/IF([1]!S_SHARE_TOTAL(D241,$G$5)=0,[1]!S_SHARE_TOTAL(D241,[1]!s_ipo_listeddate(D241)),[1]!S_SHARE_TOTAL(D241,$G$5)),[1]!S_STM07_CS(D241,84,$G$5,$H$13)/$E$5))</f>
        <v/>
      </c>
      <c r="Q241" s="198" t="str">
        <f ca="1">IF(C241="","",F241/([1]!S_STM07_IS(D241,61,$G$5,$H$13)/IF([1]!S_SHARE_TOTAL(D241,$G$5)=0,[1]!S_SHARE_TOTAL(D241,[1]!s_ipo_listeddate(D241)),[1]!S_SHARE_TOTAL(D241,$G$5))))</f>
        <v/>
      </c>
      <c r="R241" s="198" t="str">
        <f ca="1">IF(C241="","",F241/([1]!S_STM07_BS(D241,141,$G$5,$H$13)/IF([1]!S_SHARE_TOTAL(D241,$G$5)=0,[1]!S_SHARE_TOTAL(D241,[1]!s_ipo_listeddate(D241)),[1]!S_SHARE_TOTAL(D241,$G$5))))</f>
        <v/>
      </c>
      <c r="S241" s="249" t="str">
        <f ca="1">IF(C241="","",[1]!S_SHARE_TOTAL(D241,TODAY())/$E$5)</f>
        <v/>
      </c>
      <c r="T241" s="249" t="str">
        <f t="shared" ca="1" si="31"/>
        <v/>
      </c>
      <c r="U241" s="172" t="str">
        <f t="shared" ca="1" si="32"/>
        <v/>
      </c>
      <c r="V241" s="343" t="str">
        <f t="shared" ca="1" si="33"/>
        <v/>
      </c>
      <c r="W241" s="139"/>
      <c r="Y241" s="1"/>
    </row>
    <row r="242" spans="3:25" ht="12" customHeight="1">
      <c r="C242" s="342" t="str">
        <f t="shared" ca="1" si="28"/>
        <v/>
      </c>
      <c r="D242" s="153" t="str">
        <f t="shared" ca="1" si="29"/>
        <v/>
      </c>
      <c r="E242" s="153" t="str">
        <f t="shared" ca="1" si="30"/>
        <v/>
      </c>
      <c r="F242" s="170" t="str">
        <f ca="1">IF(C242="","",[1]!S_DQ_CLOSE(D242,TODAY(),1))</f>
        <v/>
      </c>
      <c r="G242" s="171" t="str">
        <f ca="1">IF(C242="","",[1]!s_pq_pctchange(D242,TODAY()-$G$12,TODAY())/100)</f>
        <v/>
      </c>
      <c r="H242" s="247" t="str">
        <f ca="1">IF(C242="","",IF($H$11="收入",[1]!S_STM07_IS(D242,9,$G$5,$H$13)/$E$5,[1]!S_STM07_IS(D242,48,$G$5,$H$13)/$E$5))</f>
        <v/>
      </c>
      <c r="I242" s="247" t="str">
        <f ca="1">IF(C242="","",IF($I$11="毛利率",([1]!S_STM07_IS(D242,9,$G$5,$H$13)-[1]!S_STM07_IS(D242,10,$G$5,$H$13))/[1]!S_STM07_IS(D242,9,$G$5,$H$13),[1]!S_STM07_IS(D242,14,$G$5,$H$13)/$E$5))</f>
        <v/>
      </c>
      <c r="J242" s="247" t="str">
        <f ca="1">IF(C242="","",IF($J$11="营业利润率",[1]!S_STM07_IS(D242,48,$G$5,$H$13)/[1]!S_STM07_IS(D242,9,$G$5,$H$13),([1]!S_STM07_CS(D242,87,$G$5,$H$13)+[1]!S_STM07_CS(D242,88,$G$5,$H$13)+[1]!S_STM07_CS(D242,89,$G$5,$H$13))/$E$5))</f>
        <v/>
      </c>
      <c r="K242" s="247" t="str">
        <f ca="1">IF(C242="","",IF($K$11="净利润率",[1]!S_STM07_IS(D242,61,$G$5,$H$13)/[1]!S_STM07_IS(D242,9,$G$5,$H$13),[1]!S_STM07_IS(D242,55,$G$5,$H$13)/$E$5))</f>
        <v/>
      </c>
      <c r="L242" s="247" t="str">
        <f ca="1">IF(C242="","",IF($L$11="ROA",[1]!S_STM07_IS(D242,61,$G$5,$H$13)/[1]!S_STM07_BS(D242,74,$G$5,$H$13),1-[1]!S_STM07_IS(D242,61,$G$5,$H$13)/[1]!S_STM07_IS(D242,55,$G$5,$H$13)))</f>
        <v/>
      </c>
      <c r="M242" s="247" t="str">
        <f ca="1">IF(C242="","",IF($M$11="ROE",[1]!S_STM07_IS(D242,61,$G$5,$H$13)/[1]!S_STM07_BS(D242,141,$G$5,$H$13),([1]!S_STM07_BS(D242,25,$G$5,$H$13)-[1]!S_STM07_BS(D242,93,$G$5,$H$13))/$E$5))</f>
        <v/>
      </c>
      <c r="N242" s="247" t="str">
        <f ca="1">IF(C242="","",IF($N$11="EPS",[1]!S_STM07_IS(D242,61,$G$5,$H$13)/IF([1]!S_SHARE_TOTAL(D242,$G$5)=0,[1]!S_SHARE_TOTAL(D242,[1]!s_ipo_listeddate(D242)),[1]!S_SHARE_TOTAL(D242,$G$5)),([1]!S_STM07_BS(D242,75,$G$5,$H$13)+[1]!S_STM07_BS(D242,88,$G$5,$H$13)+[1]!S_STM07_BS(D242,94,$G$5,$H$13)+[1]!S_STM07_BS(D242,95,$G$5,$H$13))/$E$5))</f>
        <v/>
      </c>
      <c r="O242" s="247" t="str">
        <f ca="1">IF(C242="","",IF($O$11="BPS",[1]!S_STM07_BS(D242,141,$G$5,$H$13)/IF([1]!S_SHARE_TOTAL(D242,$G$5)=0,[1]!S_SHARE_TOTAL(D242,[1]!s_ipo_listeddate(D242)),[1]!S_SHARE_TOTAL(D242,$G$5)),[1]!S_STM07_CS(D242,49,$G$5,$H$13)/$E$5))</f>
        <v/>
      </c>
      <c r="P242" s="247" t="str">
        <f ca="1">IF(C242="","",IF($P$11="CFPS",[1]!S_STM07_CS(D242,84,$G$5,$H$13)/IF([1]!S_SHARE_TOTAL(D242,$G$5)=0,[1]!S_SHARE_TOTAL(D242,[1]!s_ipo_listeddate(D242)),[1]!S_SHARE_TOTAL(D242,$G$5)),[1]!S_STM07_CS(D242,84,$G$5,$H$13)/$E$5))</f>
        <v/>
      </c>
      <c r="Q242" s="248" t="str">
        <f ca="1">IF(C242="","",F242/([1]!S_STM07_IS(D242,61,$G$5,$H$13)/IF([1]!S_SHARE_TOTAL(D242,$G$5)=0,[1]!S_SHARE_TOTAL(D242,[1]!s_ipo_listeddate(D242)),[1]!S_SHARE_TOTAL(D242,$G$5))))</f>
        <v/>
      </c>
      <c r="R242" s="248" t="str">
        <f ca="1">IF(C242="","",F242/([1]!S_STM07_BS(D242,141,$G$5,$H$13)/IF([1]!S_SHARE_TOTAL(D242,$G$5)=0,[1]!S_SHARE_TOTAL(D242,[1]!s_ipo_listeddate(D242)),[1]!S_SHARE_TOTAL(D242,$G$5))))</f>
        <v/>
      </c>
      <c r="S242" s="247" t="str">
        <f ca="1">IF(C242="","",[1]!S_SHARE_TOTAL(D242,TODAY())/$E$5)</f>
        <v/>
      </c>
      <c r="T242" s="247" t="str">
        <f t="shared" ca="1" si="31"/>
        <v/>
      </c>
      <c r="U242" s="218" t="str">
        <f t="shared" ca="1" si="32"/>
        <v/>
      </c>
      <c r="V242" s="342" t="str">
        <f t="shared" ca="1" si="33"/>
        <v/>
      </c>
      <c r="W242" s="139"/>
      <c r="Y242" s="1"/>
    </row>
    <row r="243" spans="3:25" ht="12" customHeight="1">
      <c r="C243" s="343" t="str">
        <f t="shared" ca="1" si="28"/>
        <v/>
      </c>
      <c r="D243" s="124" t="str">
        <f t="shared" ca="1" si="29"/>
        <v/>
      </c>
      <c r="E243" s="124" t="str">
        <f t="shared" ca="1" si="30"/>
        <v/>
      </c>
      <c r="F243" s="172" t="str">
        <f ca="1">IF(C243="","",[1]!S_DQ_CLOSE(D243,TODAY(),1))</f>
        <v/>
      </c>
      <c r="G243" s="173" t="str">
        <f ca="1">IF(C243="","",[1]!s_pq_pctchange(D243,TODAY()-$G$12,TODAY())/100)</f>
        <v/>
      </c>
      <c r="H243" s="249" t="str">
        <f ca="1">IF(C243="","",IF($H$11="收入",[1]!S_STM07_IS(D243,9,$G$5,$H$13)/$E$5,[1]!S_STM07_IS(D243,48,$G$5,$H$13)/$E$5))</f>
        <v/>
      </c>
      <c r="I243" s="249" t="str">
        <f ca="1">IF(C243="","",IF($I$11="毛利率",([1]!S_STM07_IS(D243,9,$G$5,$H$13)-[1]!S_STM07_IS(D243,10,$G$5,$H$13))/[1]!S_STM07_IS(D243,9,$G$5,$H$13),[1]!S_STM07_IS(D243,14,$G$5,$H$13)/$E$5))</f>
        <v/>
      </c>
      <c r="J243" s="249" t="str">
        <f ca="1">IF(C243="","",IF($J$11="营业利润率",[1]!S_STM07_IS(D243,48,$G$5,$H$13)/[1]!S_STM07_IS(D243,9,$G$5,$H$13),([1]!S_STM07_CS(D243,87,$G$5,$H$13)+[1]!S_STM07_CS(D243,88,$G$5,$H$13)+[1]!S_STM07_CS(D243,89,$G$5,$H$13))/$E$5))</f>
        <v/>
      </c>
      <c r="K243" s="249" t="str">
        <f ca="1">IF(C243="","",IF($K$11="净利润率",[1]!S_STM07_IS(D243,61,$G$5,$H$13)/[1]!S_STM07_IS(D243,9,$G$5,$H$13),[1]!S_STM07_IS(D243,55,$G$5,$H$13)/$E$5))</f>
        <v/>
      </c>
      <c r="L243" s="249" t="str">
        <f ca="1">IF(C243="","",IF($L$11="ROA",[1]!S_STM07_IS(D243,61,$G$5,$H$13)/[1]!S_STM07_BS(D243,74,$G$5,$H$13),1-[1]!S_STM07_IS(D243,61,$G$5,$H$13)/[1]!S_STM07_IS(D243,55,$G$5,$H$13)))</f>
        <v/>
      </c>
      <c r="M243" s="249" t="str">
        <f ca="1">IF(C243="","",IF($M$11="ROE",[1]!S_STM07_IS(D243,61,$G$5,$H$13)/[1]!S_STM07_BS(D243,141,$G$5,$H$13),([1]!S_STM07_BS(D243,25,$G$5,$H$13)-[1]!S_STM07_BS(D243,93,$G$5,$H$13))/$E$5))</f>
        <v/>
      </c>
      <c r="N243" s="250" t="str">
        <f ca="1">IF(C243="","",IF($N$11="EPS",[1]!S_STM07_IS(D243,61,$G$5,$H$13)/IF([1]!S_SHARE_TOTAL(D243,$G$5)=0,[1]!S_SHARE_TOTAL(D243,[1]!s_ipo_listeddate(D243)),[1]!S_SHARE_TOTAL(D243,$G$5)),([1]!S_STM07_BS(D243,75,$G$5,$H$13)+[1]!S_STM07_BS(D243,88,$G$5,$H$13)+[1]!S_STM07_BS(D243,94,$G$5,$H$13)+[1]!S_STM07_BS(D243,95,$G$5,$H$13))/$E$5))</f>
        <v/>
      </c>
      <c r="O243" s="250" t="str">
        <f ca="1">IF(C243="","",IF($O$11="BPS",[1]!S_STM07_BS(D243,141,$G$5,$H$13)/IF([1]!S_SHARE_TOTAL(D243,$G$5)=0,[1]!S_SHARE_TOTAL(D243,[1]!s_ipo_listeddate(D243)),[1]!S_SHARE_TOTAL(D243,$G$5)),[1]!S_STM07_CS(D243,49,$G$5,$H$13)/$E$5))</f>
        <v/>
      </c>
      <c r="P243" s="250" t="str">
        <f ca="1">IF(C243="","",IF($P$11="CFPS",[1]!S_STM07_CS(D243,84,$G$5,$H$13)/IF([1]!S_SHARE_TOTAL(D243,$G$5)=0,[1]!S_SHARE_TOTAL(D243,[1]!s_ipo_listeddate(D243)),[1]!S_SHARE_TOTAL(D243,$G$5)),[1]!S_STM07_CS(D243,84,$G$5,$H$13)/$E$5))</f>
        <v/>
      </c>
      <c r="Q243" s="198" t="str">
        <f ca="1">IF(C243="","",F243/([1]!S_STM07_IS(D243,61,$G$5,$H$13)/IF([1]!S_SHARE_TOTAL(D243,$G$5)=0,[1]!S_SHARE_TOTAL(D243,[1]!s_ipo_listeddate(D243)),[1]!S_SHARE_TOTAL(D243,$G$5))))</f>
        <v/>
      </c>
      <c r="R243" s="198" t="str">
        <f ca="1">IF(C243="","",F243/([1]!S_STM07_BS(D243,141,$G$5,$H$13)/IF([1]!S_SHARE_TOTAL(D243,$G$5)=0,[1]!S_SHARE_TOTAL(D243,[1]!s_ipo_listeddate(D243)),[1]!S_SHARE_TOTAL(D243,$G$5))))</f>
        <v/>
      </c>
      <c r="S243" s="249" t="str">
        <f ca="1">IF(C243="","",[1]!S_SHARE_TOTAL(D243,TODAY())/$E$5)</f>
        <v/>
      </c>
      <c r="T243" s="249" t="str">
        <f t="shared" ca="1" si="31"/>
        <v/>
      </c>
      <c r="U243" s="172" t="str">
        <f t="shared" ca="1" si="32"/>
        <v/>
      </c>
      <c r="V243" s="343" t="str">
        <f t="shared" ca="1" si="33"/>
        <v/>
      </c>
      <c r="W243" s="139"/>
      <c r="Y243" s="1"/>
    </row>
    <row r="244" spans="3:25" ht="12" customHeight="1">
      <c r="C244" s="342" t="str">
        <f t="shared" ca="1" si="28"/>
        <v/>
      </c>
      <c r="D244" s="153" t="str">
        <f t="shared" ca="1" si="29"/>
        <v/>
      </c>
      <c r="E244" s="153" t="str">
        <f t="shared" ca="1" si="30"/>
        <v/>
      </c>
      <c r="F244" s="170" t="str">
        <f ca="1">IF(C244="","",[1]!S_DQ_CLOSE(D244,TODAY(),1))</f>
        <v/>
      </c>
      <c r="G244" s="171" t="str">
        <f ca="1">IF(C244="","",[1]!s_pq_pctchange(D244,TODAY()-$G$12,TODAY())/100)</f>
        <v/>
      </c>
      <c r="H244" s="247" t="str">
        <f ca="1">IF(C244="","",IF($H$11="收入",[1]!S_STM07_IS(D244,9,$G$5,$H$13)/$E$5,[1]!S_STM07_IS(D244,48,$G$5,$H$13)/$E$5))</f>
        <v/>
      </c>
      <c r="I244" s="247" t="str">
        <f ca="1">IF(C244="","",IF($I$11="毛利率",([1]!S_STM07_IS(D244,9,$G$5,$H$13)-[1]!S_STM07_IS(D244,10,$G$5,$H$13))/[1]!S_STM07_IS(D244,9,$G$5,$H$13),[1]!S_STM07_IS(D244,14,$G$5,$H$13)/$E$5))</f>
        <v/>
      </c>
      <c r="J244" s="247" t="str">
        <f ca="1">IF(C244="","",IF($J$11="营业利润率",[1]!S_STM07_IS(D244,48,$G$5,$H$13)/[1]!S_STM07_IS(D244,9,$G$5,$H$13),([1]!S_STM07_CS(D244,87,$G$5,$H$13)+[1]!S_STM07_CS(D244,88,$G$5,$H$13)+[1]!S_STM07_CS(D244,89,$G$5,$H$13))/$E$5))</f>
        <v/>
      </c>
      <c r="K244" s="247" t="str">
        <f ca="1">IF(C244="","",IF($K$11="净利润率",[1]!S_STM07_IS(D244,61,$G$5,$H$13)/[1]!S_STM07_IS(D244,9,$G$5,$H$13),[1]!S_STM07_IS(D244,55,$G$5,$H$13)/$E$5))</f>
        <v/>
      </c>
      <c r="L244" s="247" t="str">
        <f ca="1">IF(C244="","",IF($L$11="ROA",[1]!S_STM07_IS(D244,61,$G$5,$H$13)/[1]!S_STM07_BS(D244,74,$G$5,$H$13),1-[1]!S_STM07_IS(D244,61,$G$5,$H$13)/[1]!S_STM07_IS(D244,55,$G$5,$H$13)))</f>
        <v/>
      </c>
      <c r="M244" s="247" t="str">
        <f ca="1">IF(C244="","",IF($M$11="ROE",[1]!S_STM07_IS(D244,61,$G$5,$H$13)/[1]!S_STM07_BS(D244,141,$G$5,$H$13),([1]!S_STM07_BS(D244,25,$G$5,$H$13)-[1]!S_STM07_BS(D244,93,$G$5,$H$13))/$E$5))</f>
        <v/>
      </c>
      <c r="N244" s="247" t="str">
        <f ca="1">IF(C244="","",IF($N$11="EPS",[1]!S_STM07_IS(D244,61,$G$5,$H$13)/IF([1]!S_SHARE_TOTAL(D244,$G$5)=0,[1]!S_SHARE_TOTAL(D244,[1]!s_ipo_listeddate(D244)),[1]!S_SHARE_TOTAL(D244,$G$5)),([1]!S_STM07_BS(D244,75,$G$5,$H$13)+[1]!S_STM07_BS(D244,88,$G$5,$H$13)+[1]!S_STM07_BS(D244,94,$G$5,$H$13)+[1]!S_STM07_BS(D244,95,$G$5,$H$13))/$E$5))</f>
        <v/>
      </c>
      <c r="O244" s="247" t="str">
        <f ca="1">IF(C244="","",IF($O$11="BPS",[1]!S_STM07_BS(D244,141,$G$5,$H$13)/IF([1]!S_SHARE_TOTAL(D244,$G$5)=0,[1]!S_SHARE_TOTAL(D244,[1]!s_ipo_listeddate(D244)),[1]!S_SHARE_TOTAL(D244,$G$5)),[1]!S_STM07_CS(D244,49,$G$5,$H$13)/$E$5))</f>
        <v/>
      </c>
      <c r="P244" s="247" t="str">
        <f ca="1">IF(C244="","",IF($P$11="CFPS",[1]!S_STM07_CS(D244,84,$G$5,$H$13)/IF([1]!S_SHARE_TOTAL(D244,$G$5)=0,[1]!S_SHARE_TOTAL(D244,[1]!s_ipo_listeddate(D244)),[1]!S_SHARE_TOTAL(D244,$G$5)),[1]!S_STM07_CS(D244,84,$G$5,$H$13)/$E$5))</f>
        <v/>
      </c>
      <c r="Q244" s="248" t="str">
        <f ca="1">IF(C244="","",F244/([1]!S_STM07_IS(D244,61,$G$5,$H$13)/IF([1]!S_SHARE_TOTAL(D244,$G$5)=0,[1]!S_SHARE_TOTAL(D244,[1]!s_ipo_listeddate(D244)),[1]!S_SHARE_TOTAL(D244,$G$5))))</f>
        <v/>
      </c>
      <c r="R244" s="248" t="str">
        <f ca="1">IF(C244="","",F244/([1]!S_STM07_BS(D244,141,$G$5,$H$13)/IF([1]!S_SHARE_TOTAL(D244,$G$5)=0,[1]!S_SHARE_TOTAL(D244,[1]!s_ipo_listeddate(D244)),[1]!S_SHARE_TOTAL(D244,$G$5))))</f>
        <v/>
      </c>
      <c r="S244" s="247" t="str">
        <f ca="1">IF(C244="","",[1]!S_SHARE_TOTAL(D244,TODAY())/$E$5)</f>
        <v/>
      </c>
      <c r="T244" s="247" t="str">
        <f t="shared" ca="1" si="31"/>
        <v/>
      </c>
      <c r="U244" s="218" t="str">
        <f t="shared" ca="1" si="32"/>
        <v/>
      </c>
      <c r="V244" s="342" t="str">
        <f t="shared" ca="1" si="33"/>
        <v/>
      </c>
      <c r="W244" s="139"/>
      <c r="Y244" s="1"/>
    </row>
    <row r="245" spans="3:25" ht="12" customHeight="1">
      <c r="C245" s="343" t="str">
        <f t="shared" ca="1" si="28"/>
        <v/>
      </c>
      <c r="D245" s="124" t="str">
        <f t="shared" ca="1" si="29"/>
        <v/>
      </c>
      <c r="E245" s="124" t="str">
        <f t="shared" ca="1" si="30"/>
        <v/>
      </c>
      <c r="F245" s="172" t="str">
        <f ca="1">IF(C245="","",[1]!S_DQ_CLOSE(D245,TODAY(),1))</f>
        <v/>
      </c>
      <c r="G245" s="173" t="str">
        <f ca="1">IF(C245="","",[1]!s_pq_pctchange(D245,TODAY()-$G$12,TODAY())/100)</f>
        <v/>
      </c>
      <c r="H245" s="249" t="str">
        <f ca="1">IF(C245="","",IF($H$11="收入",[1]!S_STM07_IS(D245,9,$G$5,$H$13)/$E$5,[1]!S_STM07_IS(D245,48,$G$5,$H$13)/$E$5))</f>
        <v/>
      </c>
      <c r="I245" s="249" t="str">
        <f ca="1">IF(C245="","",IF($I$11="毛利率",([1]!S_STM07_IS(D245,9,$G$5,$H$13)-[1]!S_STM07_IS(D245,10,$G$5,$H$13))/[1]!S_STM07_IS(D245,9,$G$5,$H$13),[1]!S_STM07_IS(D245,14,$G$5,$H$13)/$E$5))</f>
        <v/>
      </c>
      <c r="J245" s="249" t="str">
        <f ca="1">IF(C245="","",IF($J$11="营业利润率",[1]!S_STM07_IS(D245,48,$G$5,$H$13)/[1]!S_STM07_IS(D245,9,$G$5,$H$13),([1]!S_STM07_CS(D245,87,$G$5,$H$13)+[1]!S_STM07_CS(D245,88,$G$5,$H$13)+[1]!S_STM07_CS(D245,89,$G$5,$H$13))/$E$5))</f>
        <v/>
      </c>
      <c r="K245" s="249" t="str">
        <f ca="1">IF(C245="","",IF($K$11="净利润率",[1]!S_STM07_IS(D245,61,$G$5,$H$13)/[1]!S_STM07_IS(D245,9,$G$5,$H$13),[1]!S_STM07_IS(D245,55,$G$5,$H$13)/$E$5))</f>
        <v/>
      </c>
      <c r="L245" s="249" t="str">
        <f ca="1">IF(C245="","",IF($L$11="ROA",[1]!S_STM07_IS(D245,61,$G$5,$H$13)/[1]!S_STM07_BS(D245,74,$G$5,$H$13),1-[1]!S_STM07_IS(D245,61,$G$5,$H$13)/[1]!S_STM07_IS(D245,55,$G$5,$H$13)))</f>
        <v/>
      </c>
      <c r="M245" s="249" t="str">
        <f ca="1">IF(C245="","",IF($M$11="ROE",[1]!S_STM07_IS(D245,61,$G$5,$H$13)/[1]!S_STM07_BS(D245,141,$G$5,$H$13),([1]!S_STM07_BS(D245,25,$G$5,$H$13)-[1]!S_STM07_BS(D245,93,$G$5,$H$13))/$E$5))</f>
        <v/>
      </c>
      <c r="N245" s="250" t="str">
        <f ca="1">IF(C245="","",IF($N$11="EPS",[1]!S_STM07_IS(D245,61,$G$5,$H$13)/IF([1]!S_SHARE_TOTAL(D245,$G$5)=0,[1]!S_SHARE_TOTAL(D245,[1]!s_ipo_listeddate(D245)),[1]!S_SHARE_TOTAL(D245,$G$5)),([1]!S_STM07_BS(D245,75,$G$5,$H$13)+[1]!S_STM07_BS(D245,88,$G$5,$H$13)+[1]!S_STM07_BS(D245,94,$G$5,$H$13)+[1]!S_STM07_BS(D245,95,$G$5,$H$13))/$E$5))</f>
        <v/>
      </c>
      <c r="O245" s="250" t="str">
        <f ca="1">IF(C245="","",IF($O$11="BPS",[1]!S_STM07_BS(D245,141,$G$5,$H$13)/IF([1]!S_SHARE_TOTAL(D245,$G$5)=0,[1]!S_SHARE_TOTAL(D245,[1]!s_ipo_listeddate(D245)),[1]!S_SHARE_TOTAL(D245,$G$5)),[1]!S_STM07_CS(D245,49,$G$5,$H$13)/$E$5))</f>
        <v/>
      </c>
      <c r="P245" s="250" t="str">
        <f ca="1">IF(C245="","",IF($P$11="CFPS",[1]!S_STM07_CS(D245,84,$G$5,$H$13)/IF([1]!S_SHARE_TOTAL(D245,$G$5)=0,[1]!S_SHARE_TOTAL(D245,[1]!s_ipo_listeddate(D245)),[1]!S_SHARE_TOTAL(D245,$G$5)),[1]!S_STM07_CS(D245,84,$G$5,$H$13)/$E$5))</f>
        <v/>
      </c>
      <c r="Q245" s="198" t="str">
        <f ca="1">IF(C245="","",F245/([1]!S_STM07_IS(D245,61,$G$5,$H$13)/IF([1]!S_SHARE_TOTAL(D245,$G$5)=0,[1]!S_SHARE_TOTAL(D245,[1]!s_ipo_listeddate(D245)),[1]!S_SHARE_TOTAL(D245,$G$5))))</f>
        <v/>
      </c>
      <c r="R245" s="198" t="str">
        <f ca="1">IF(C245="","",F245/([1]!S_STM07_BS(D245,141,$G$5,$H$13)/IF([1]!S_SHARE_TOTAL(D245,$G$5)=0,[1]!S_SHARE_TOTAL(D245,[1]!s_ipo_listeddate(D245)),[1]!S_SHARE_TOTAL(D245,$G$5))))</f>
        <v/>
      </c>
      <c r="S245" s="249" t="str">
        <f ca="1">IF(C245="","",[1]!S_SHARE_TOTAL(D245,TODAY())/$E$5)</f>
        <v/>
      </c>
      <c r="T245" s="249" t="str">
        <f t="shared" ca="1" si="31"/>
        <v/>
      </c>
      <c r="U245" s="172" t="str">
        <f t="shared" ca="1" si="32"/>
        <v/>
      </c>
      <c r="V245" s="343" t="str">
        <f t="shared" ca="1" si="33"/>
        <v/>
      </c>
      <c r="W245" s="139"/>
      <c r="Y245" s="1"/>
    </row>
    <row r="246" spans="3:25" ht="12" customHeight="1">
      <c r="C246" s="342" t="str">
        <f t="shared" ca="1" si="28"/>
        <v/>
      </c>
      <c r="D246" s="153" t="str">
        <f t="shared" ca="1" si="29"/>
        <v/>
      </c>
      <c r="E246" s="153" t="str">
        <f t="shared" ca="1" si="30"/>
        <v/>
      </c>
      <c r="F246" s="170" t="str">
        <f ca="1">IF(C246="","",[1]!S_DQ_CLOSE(D246,TODAY(),1))</f>
        <v/>
      </c>
      <c r="G246" s="171" t="str">
        <f ca="1">IF(C246="","",[1]!s_pq_pctchange(D246,TODAY()-$G$12,TODAY())/100)</f>
        <v/>
      </c>
      <c r="H246" s="247" t="str">
        <f ca="1">IF(C246="","",IF($H$11="收入",[1]!S_STM07_IS(D246,9,$G$5,$H$13)/$E$5,[1]!S_STM07_IS(D246,48,$G$5,$H$13)/$E$5))</f>
        <v/>
      </c>
      <c r="I246" s="247" t="str">
        <f ca="1">IF(C246="","",IF($I$11="毛利率",([1]!S_STM07_IS(D246,9,$G$5,$H$13)-[1]!S_STM07_IS(D246,10,$G$5,$H$13))/[1]!S_STM07_IS(D246,9,$G$5,$H$13),[1]!S_STM07_IS(D246,14,$G$5,$H$13)/$E$5))</f>
        <v/>
      </c>
      <c r="J246" s="247" t="str">
        <f ca="1">IF(C246="","",IF($J$11="营业利润率",[1]!S_STM07_IS(D246,48,$G$5,$H$13)/[1]!S_STM07_IS(D246,9,$G$5,$H$13),([1]!S_STM07_CS(D246,87,$G$5,$H$13)+[1]!S_STM07_CS(D246,88,$G$5,$H$13)+[1]!S_STM07_CS(D246,89,$G$5,$H$13))/$E$5))</f>
        <v/>
      </c>
      <c r="K246" s="247" t="str">
        <f ca="1">IF(C246="","",IF($K$11="净利润率",[1]!S_STM07_IS(D246,61,$G$5,$H$13)/[1]!S_STM07_IS(D246,9,$G$5,$H$13),[1]!S_STM07_IS(D246,55,$G$5,$H$13)/$E$5))</f>
        <v/>
      </c>
      <c r="L246" s="247" t="str">
        <f ca="1">IF(C246="","",IF($L$11="ROA",[1]!S_STM07_IS(D246,61,$G$5,$H$13)/[1]!S_STM07_BS(D246,74,$G$5,$H$13),1-[1]!S_STM07_IS(D246,61,$G$5,$H$13)/[1]!S_STM07_IS(D246,55,$G$5,$H$13)))</f>
        <v/>
      </c>
      <c r="M246" s="247" t="str">
        <f ca="1">IF(C246="","",IF($M$11="ROE",[1]!S_STM07_IS(D246,61,$G$5,$H$13)/[1]!S_STM07_BS(D246,141,$G$5,$H$13),([1]!S_STM07_BS(D246,25,$G$5,$H$13)-[1]!S_STM07_BS(D246,93,$G$5,$H$13))/$E$5))</f>
        <v/>
      </c>
      <c r="N246" s="247" t="str">
        <f ca="1">IF(C246="","",IF($N$11="EPS",[1]!S_STM07_IS(D246,61,$G$5,$H$13)/IF([1]!S_SHARE_TOTAL(D246,$G$5)=0,[1]!S_SHARE_TOTAL(D246,[1]!s_ipo_listeddate(D246)),[1]!S_SHARE_TOTAL(D246,$G$5)),([1]!S_STM07_BS(D246,75,$G$5,$H$13)+[1]!S_STM07_BS(D246,88,$G$5,$H$13)+[1]!S_STM07_BS(D246,94,$G$5,$H$13)+[1]!S_STM07_BS(D246,95,$G$5,$H$13))/$E$5))</f>
        <v/>
      </c>
      <c r="O246" s="247" t="str">
        <f ca="1">IF(C246="","",IF($O$11="BPS",[1]!S_STM07_BS(D246,141,$G$5,$H$13)/IF([1]!S_SHARE_TOTAL(D246,$G$5)=0,[1]!S_SHARE_TOTAL(D246,[1]!s_ipo_listeddate(D246)),[1]!S_SHARE_TOTAL(D246,$G$5)),[1]!S_STM07_CS(D246,49,$G$5,$H$13)/$E$5))</f>
        <v/>
      </c>
      <c r="P246" s="247" t="str">
        <f ca="1">IF(C246="","",IF($P$11="CFPS",[1]!S_STM07_CS(D246,84,$G$5,$H$13)/IF([1]!S_SHARE_TOTAL(D246,$G$5)=0,[1]!S_SHARE_TOTAL(D246,[1]!s_ipo_listeddate(D246)),[1]!S_SHARE_TOTAL(D246,$G$5)),[1]!S_STM07_CS(D246,84,$G$5,$H$13)/$E$5))</f>
        <v/>
      </c>
      <c r="Q246" s="248" t="str">
        <f ca="1">IF(C246="","",F246/([1]!S_STM07_IS(D246,61,$G$5,$H$13)/IF([1]!S_SHARE_TOTAL(D246,$G$5)=0,[1]!S_SHARE_TOTAL(D246,[1]!s_ipo_listeddate(D246)),[1]!S_SHARE_TOTAL(D246,$G$5))))</f>
        <v/>
      </c>
      <c r="R246" s="248" t="str">
        <f ca="1">IF(C246="","",F246/([1]!S_STM07_BS(D246,141,$G$5,$H$13)/IF([1]!S_SHARE_TOTAL(D246,$G$5)=0,[1]!S_SHARE_TOTAL(D246,[1]!s_ipo_listeddate(D246)),[1]!S_SHARE_TOTAL(D246,$G$5))))</f>
        <v/>
      </c>
      <c r="S246" s="247" t="str">
        <f ca="1">IF(C246="","",[1]!S_SHARE_TOTAL(D246,TODAY())/$E$5)</f>
        <v/>
      </c>
      <c r="T246" s="247" t="str">
        <f t="shared" ca="1" si="31"/>
        <v/>
      </c>
      <c r="U246" s="218" t="str">
        <f t="shared" ca="1" si="32"/>
        <v/>
      </c>
      <c r="V246" s="342" t="str">
        <f t="shared" ca="1" si="33"/>
        <v/>
      </c>
      <c r="W246" s="139"/>
      <c r="Y246" s="1"/>
    </row>
    <row r="247" spans="3:25" ht="12" customHeight="1">
      <c r="C247" s="343" t="str">
        <f t="shared" ca="1" si="28"/>
        <v/>
      </c>
      <c r="D247" s="124" t="str">
        <f t="shared" ca="1" si="29"/>
        <v/>
      </c>
      <c r="E247" s="124" t="str">
        <f t="shared" ca="1" si="30"/>
        <v/>
      </c>
      <c r="F247" s="172" t="str">
        <f ca="1">IF(C247="","",[1]!S_DQ_CLOSE(D247,TODAY(),1))</f>
        <v/>
      </c>
      <c r="G247" s="173" t="str">
        <f ca="1">IF(C247="","",[1]!s_pq_pctchange(D247,TODAY()-$G$12,TODAY())/100)</f>
        <v/>
      </c>
      <c r="H247" s="249" t="str">
        <f ca="1">IF(C247="","",IF($H$11="收入",[1]!S_STM07_IS(D247,9,$G$5,$H$13)/$E$5,[1]!S_STM07_IS(D247,48,$G$5,$H$13)/$E$5))</f>
        <v/>
      </c>
      <c r="I247" s="249" t="str">
        <f ca="1">IF(C247="","",IF($I$11="毛利率",([1]!S_STM07_IS(D247,9,$G$5,$H$13)-[1]!S_STM07_IS(D247,10,$G$5,$H$13))/[1]!S_STM07_IS(D247,9,$G$5,$H$13),[1]!S_STM07_IS(D247,14,$G$5,$H$13)/$E$5))</f>
        <v/>
      </c>
      <c r="J247" s="249" t="str">
        <f ca="1">IF(C247="","",IF($J$11="营业利润率",[1]!S_STM07_IS(D247,48,$G$5,$H$13)/[1]!S_STM07_IS(D247,9,$G$5,$H$13),([1]!S_STM07_CS(D247,87,$G$5,$H$13)+[1]!S_STM07_CS(D247,88,$G$5,$H$13)+[1]!S_STM07_CS(D247,89,$G$5,$H$13))/$E$5))</f>
        <v/>
      </c>
      <c r="K247" s="249" t="str">
        <f ca="1">IF(C247="","",IF($K$11="净利润率",[1]!S_STM07_IS(D247,61,$G$5,$H$13)/[1]!S_STM07_IS(D247,9,$G$5,$H$13),[1]!S_STM07_IS(D247,55,$G$5,$H$13)/$E$5))</f>
        <v/>
      </c>
      <c r="L247" s="249" t="str">
        <f ca="1">IF(C247="","",IF($L$11="ROA",[1]!S_STM07_IS(D247,61,$G$5,$H$13)/[1]!S_STM07_BS(D247,74,$G$5,$H$13),1-[1]!S_STM07_IS(D247,61,$G$5,$H$13)/[1]!S_STM07_IS(D247,55,$G$5,$H$13)))</f>
        <v/>
      </c>
      <c r="M247" s="249" t="str">
        <f ca="1">IF(C247="","",IF($M$11="ROE",[1]!S_STM07_IS(D247,61,$G$5,$H$13)/[1]!S_STM07_BS(D247,141,$G$5,$H$13),([1]!S_STM07_BS(D247,25,$G$5,$H$13)-[1]!S_STM07_BS(D247,93,$G$5,$H$13))/$E$5))</f>
        <v/>
      </c>
      <c r="N247" s="250" t="str">
        <f ca="1">IF(C247="","",IF($N$11="EPS",[1]!S_STM07_IS(D247,61,$G$5,$H$13)/IF([1]!S_SHARE_TOTAL(D247,$G$5)=0,[1]!S_SHARE_TOTAL(D247,[1]!s_ipo_listeddate(D247)),[1]!S_SHARE_TOTAL(D247,$G$5)),([1]!S_STM07_BS(D247,75,$G$5,$H$13)+[1]!S_STM07_BS(D247,88,$G$5,$H$13)+[1]!S_STM07_BS(D247,94,$G$5,$H$13)+[1]!S_STM07_BS(D247,95,$G$5,$H$13))/$E$5))</f>
        <v/>
      </c>
      <c r="O247" s="250" t="str">
        <f ca="1">IF(C247="","",IF($O$11="BPS",[1]!S_STM07_BS(D247,141,$G$5,$H$13)/IF([1]!S_SHARE_TOTAL(D247,$G$5)=0,[1]!S_SHARE_TOTAL(D247,[1]!s_ipo_listeddate(D247)),[1]!S_SHARE_TOTAL(D247,$G$5)),[1]!S_STM07_CS(D247,49,$G$5,$H$13)/$E$5))</f>
        <v/>
      </c>
      <c r="P247" s="250" t="str">
        <f ca="1">IF(C247="","",IF($P$11="CFPS",[1]!S_STM07_CS(D247,84,$G$5,$H$13)/IF([1]!S_SHARE_TOTAL(D247,$G$5)=0,[1]!S_SHARE_TOTAL(D247,[1]!s_ipo_listeddate(D247)),[1]!S_SHARE_TOTAL(D247,$G$5)),[1]!S_STM07_CS(D247,84,$G$5,$H$13)/$E$5))</f>
        <v/>
      </c>
      <c r="Q247" s="198" t="str">
        <f ca="1">IF(C247="","",F247/([1]!S_STM07_IS(D247,61,$G$5,$H$13)/IF([1]!S_SHARE_TOTAL(D247,$G$5)=0,[1]!S_SHARE_TOTAL(D247,[1]!s_ipo_listeddate(D247)),[1]!S_SHARE_TOTAL(D247,$G$5))))</f>
        <v/>
      </c>
      <c r="R247" s="198" t="str">
        <f ca="1">IF(C247="","",F247/([1]!S_STM07_BS(D247,141,$G$5,$H$13)/IF([1]!S_SHARE_TOTAL(D247,$G$5)=0,[1]!S_SHARE_TOTAL(D247,[1]!s_ipo_listeddate(D247)),[1]!S_SHARE_TOTAL(D247,$G$5))))</f>
        <v/>
      </c>
      <c r="S247" s="249" t="str">
        <f ca="1">IF(C247="","",[1]!S_SHARE_TOTAL(D247,TODAY())/$E$5)</f>
        <v/>
      </c>
      <c r="T247" s="249" t="str">
        <f t="shared" ca="1" si="31"/>
        <v/>
      </c>
      <c r="U247" s="172" t="str">
        <f t="shared" ca="1" si="32"/>
        <v/>
      </c>
      <c r="V247" s="343" t="str">
        <f t="shared" ca="1" si="33"/>
        <v/>
      </c>
      <c r="W247" s="139"/>
      <c r="Y247" s="1"/>
    </row>
    <row r="248" spans="3:25" ht="12" customHeight="1">
      <c r="C248" s="342" t="str">
        <f t="shared" ca="1" si="28"/>
        <v/>
      </c>
      <c r="D248" s="153" t="str">
        <f t="shared" ca="1" si="29"/>
        <v/>
      </c>
      <c r="E248" s="153" t="str">
        <f t="shared" ca="1" si="30"/>
        <v/>
      </c>
      <c r="F248" s="170" t="str">
        <f ca="1">IF(C248="","",[1]!S_DQ_CLOSE(D248,TODAY(),1))</f>
        <v/>
      </c>
      <c r="G248" s="171" t="str">
        <f ca="1">IF(C248="","",[1]!s_pq_pctchange(D248,TODAY()-$G$12,TODAY())/100)</f>
        <v/>
      </c>
      <c r="H248" s="247" t="str">
        <f ca="1">IF(C248="","",IF($H$11="收入",[1]!S_STM07_IS(D248,9,$G$5,$H$13)/$E$5,[1]!S_STM07_IS(D248,48,$G$5,$H$13)/$E$5))</f>
        <v/>
      </c>
      <c r="I248" s="247" t="str">
        <f ca="1">IF(C248="","",IF($I$11="毛利率",([1]!S_STM07_IS(D248,9,$G$5,$H$13)-[1]!S_STM07_IS(D248,10,$G$5,$H$13))/[1]!S_STM07_IS(D248,9,$G$5,$H$13),[1]!S_STM07_IS(D248,14,$G$5,$H$13)/$E$5))</f>
        <v/>
      </c>
      <c r="J248" s="247" t="str">
        <f ca="1">IF(C248="","",IF($J$11="营业利润率",[1]!S_STM07_IS(D248,48,$G$5,$H$13)/[1]!S_STM07_IS(D248,9,$G$5,$H$13),([1]!S_STM07_CS(D248,87,$G$5,$H$13)+[1]!S_STM07_CS(D248,88,$G$5,$H$13)+[1]!S_STM07_CS(D248,89,$G$5,$H$13))/$E$5))</f>
        <v/>
      </c>
      <c r="K248" s="247" t="str">
        <f ca="1">IF(C248="","",IF($K$11="净利润率",[1]!S_STM07_IS(D248,61,$G$5,$H$13)/[1]!S_STM07_IS(D248,9,$G$5,$H$13),[1]!S_STM07_IS(D248,55,$G$5,$H$13)/$E$5))</f>
        <v/>
      </c>
      <c r="L248" s="247" t="str">
        <f ca="1">IF(C248="","",IF($L$11="ROA",[1]!S_STM07_IS(D248,61,$G$5,$H$13)/[1]!S_STM07_BS(D248,74,$G$5,$H$13),1-[1]!S_STM07_IS(D248,61,$G$5,$H$13)/[1]!S_STM07_IS(D248,55,$G$5,$H$13)))</f>
        <v/>
      </c>
      <c r="M248" s="247" t="str">
        <f ca="1">IF(C248="","",IF($M$11="ROE",[1]!S_STM07_IS(D248,61,$G$5,$H$13)/[1]!S_STM07_BS(D248,141,$G$5,$H$13),([1]!S_STM07_BS(D248,25,$G$5,$H$13)-[1]!S_STM07_BS(D248,93,$G$5,$H$13))/$E$5))</f>
        <v/>
      </c>
      <c r="N248" s="247" t="str">
        <f ca="1">IF(C248="","",IF($N$11="EPS",[1]!S_STM07_IS(D248,61,$G$5,$H$13)/IF([1]!S_SHARE_TOTAL(D248,$G$5)=0,[1]!S_SHARE_TOTAL(D248,[1]!s_ipo_listeddate(D248)),[1]!S_SHARE_TOTAL(D248,$G$5)),([1]!S_STM07_BS(D248,75,$G$5,$H$13)+[1]!S_STM07_BS(D248,88,$G$5,$H$13)+[1]!S_STM07_BS(D248,94,$G$5,$H$13)+[1]!S_STM07_BS(D248,95,$G$5,$H$13))/$E$5))</f>
        <v/>
      </c>
      <c r="O248" s="247" t="str">
        <f ca="1">IF(C248="","",IF($O$11="BPS",[1]!S_STM07_BS(D248,141,$G$5,$H$13)/IF([1]!S_SHARE_TOTAL(D248,$G$5)=0,[1]!S_SHARE_TOTAL(D248,[1]!s_ipo_listeddate(D248)),[1]!S_SHARE_TOTAL(D248,$G$5)),[1]!S_STM07_CS(D248,49,$G$5,$H$13)/$E$5))</f>
        <v/>
      </c>
      <c r="P248" s="247" t="str">
        <f ca="1">IF(C248="","",IF($P$11="CFPS",[1]!S_STM07_CS(D248,84,$G$5,$H$13)/IF([1]!S_SHARE_TOTAL(D248,$G$5)=0,[1]!S_SHARE_TOTAL(D248,[1]!s_ipo_listeddate(D248)),[1]!S_SHARE_TOTAL(D248,$G$5)),[1]!S_STM07_CS(D248,84,$G$5,$H$13)/$E$5))</f>
        <v/>
      </c>
      <c r="Q248" s="248" t="str">
        <f ca="1">IF(C248="","",F248/([1]!S_STM07_IS(D248,61,$G$5,$H$13)/IF([1]!S_SHARE_TOTAL(D248,$G$5)=0,[1]!S_SHARE_TOTAL(D248,[1]!s_ipo_listeddate(D248)),[1]!S_SHARE_TOTAL(D248,$G$5))))</f>
        <v/>
      </c>
      <c r="R248" s="248" t="str">
        <f ca="1">IF(C248="","",F248/([1]!S_STM07_BS(D248,141,$G$5,$H$13)/IF([1]!S_SHARE_TOTAL(D248,$G$5)=0,[1]!S_SHARE_TOTAL(D248,[1]!s_ipo_listeddate(D248)),[1]!S_SHARE_TOTAL(D248,$G$5))))</f>
        <v/>
      </c>
      <c r="S248" s="247" t="str">
        <f ca="1">IF(C248="","",[1]!S_SHARE_TOTAL(D248,TODAY())/$E$5)</f>
        <v/>
      </c>
      <c r="T248" s="247" t="str">
        <f t="shared" ca="1" si="31"/>
        <v/>
      </c>
      <c r="U248" s="218" t="str">
        <f t="shared" ca="1" si="32"/>
        <v/>
      </c>
      <c r="V248" s="342" t="str">
        <f t="shared" ca="1" si="33"/>
        <v/>
      </c>
      <c r="W248" s="139"/>
      <c r="Y248" s="1"/>
    </row>
    <row r="249" spans="3:25" ht="12" customHeight="1">
      <c r="C249" s="343" t="str">
        <f t="shared" ca="1" si="28"/>
        <v/>
      </c>
      <c r="D249" s="124" t="str">
        <f t="shared" ca="1" si="29"/>
        <v/>
      </c>
      <c r="E249" s="124" t="str">
        <f t="shared" ca="1" si="30"/>
        <v/>
      </c>
      <c r="F249" s="172" t="str">
        <f ca="1">IF(C249="","",[1]!S_DQ_CLOSE(D249,TODAY(),1))</f>
        <v/>
      </c>
      <c r="G249" s="173" t="str">
        <f ca="1">IF(C249="","",[1]!s_pq_pctchange(D249,TODAY()-$G$12,TODAY())/100)</f>
        <v/>
      </c>
      <c r="H249" s="249" t="str">
        <f ca="1">IF(C249="","",IF($H$11="收入",[1]!S_STM07_IS(D249,9,$G$5,$H$13)/$E$5,[1]!S_STM07_IS(D249,48,$G$5,$H$13)/$E$5))</f>
        <v/>
      </c>
      <c r="I249" s="249" t="str">
        <f ca="1">IF(C249="","",IF($I$11="毛利率",([1]!S_STM07_IS(D249,9,$G$5,$H$13)-[1]!S_STM07_IS(D249,10,$G$5,$H$13))/[1]!S_STM07_IS(D249,9,$G$5,$H$13),[1]!S_STM07_IS(D249,14,$G$5,$H$13)/$E$5))</f>
        <v/>
      </c>
      <c r="J249" s="249" t="str">
        <f ca="1">IF(C249="","",IF($J$11="营业利润率",[1]!S_STM07_IS(D249,48,$G$5,$H$13)/[1]!S_STM07_IS(D249,9,$G$5,$H$13),([1]!S_STM07_CS(D249,87,$G$5,$H$13)+[1]!S_STM07_CS(D249,88,$G$5,$H$13)+[1]!S_STM07_CS(D249,89,$G$5,$H$13))/$E$5))</f>
        <v/>
      </c>
      <c r="K249" s="249" t="str">
        <f ca="1">IF(C249="","",IF($K$11="净利润率",[1]!S_STM07_IS(D249,61,$G$5,$H$13)/[1]!S_STM07_IS(D249,9,$G$5,$H$13),[1]!S_STM07_IS(D249,55,$G$5,$H$13)/$E$5))</f>
        <v/>
      </c>
      <c r="L249" s="249" t="str">
        <f ca="1">IF(C249="","",IF($L$11="ROA",[1]!S_STM07_IS(D249,61,$G$5,$H$13)/[1]!S_STM07_BS(D249,74,$G$5,$H$13),1-[1]!S_STM07_IS(D249,61,$G$5,$H$13)/[1]!S_STM07_IS(D249,55,$G$5,$H$13)))</f>
        <v/>
      </c>
      <c r="M249" s="249" t="str">
        <f ca="1">IF(C249="","",IF($M$11="ROE",[1]!S_STM07_IS(D249,61,$G$5,$H$13)/[1]!S_STM07_BS(D249,141,$G$5,$H$13),([1]!S_STM07_BS(D249,25,$G$5,$H$13)-[1]!S_STM07_BS(D249,93,$G$5,$H$13))/$E$5))</f>
        <v/>
      </c>
      <c r="N249" s="250" t="str">
        <f ca="1">IF(C249="","",IF($N$11="EPS",[1]!S_STM07_IS(D249,61,$G$5,$H$13)/IF([1]!S_SHARE_TOTAL(D249,$G$5)=0,[1]!S_SHARE_TOTAL(D249,[1]!s_ipo_listeddate(D249)),[1]!S_SHARE_TOTAL(D249,$G$5)),([1]!S_STM07_BS(D249,75,$G$5,$H$13)+[1]!S_STM07_BS(D249,88,$G$5,$H$13)+[1]!S_STM07_BS(D249,94,$G$5,$H$13)+[1]!S_STM07_BS(D249,95,$G$5,$H$13))/$E$5))</f>
        <v/>
      </c>
      <c r="O249" s="250" t="str">
        <f ca="1">IF(C249="","",IF($O$11="BPS",[1]!S_STM07_BS(D249,141,$G$5,$H$13)/IF([1]!S_SHARE_TOTAL(D249,$G$5)=0,[1]!S_SHARE_TOTAL(D249,[1]!s_ipo_listeddate(D249)),[1]!S_SHARE_TOTAL(D249,$G$5)),[1]!S_STM07_CS(D249,49,$G$5,$H$13)/$E$5))</f>
        <v/>
      </c>
      <c r="P249" s="250" t="str">
        <f ca="1">IF(C249="","",IF($P$11="CFPS",[1]!S_STM07_CS(D249,84,$G$5,$H$13)/IF([1]!S_SHARE_TOTAL(D249,$G$5)=0,[1]!S_SHARE_TOTAL(D249,[1]!s_ipo_listeddate(D249)),[1]!S_SHARE_TOTAL(D249,$G$5)),[1]!S_STM07_CS(D249,84,$G$5,$H$13)/$E$5))</f>
        <v/>
      </c>
      <c r="Q249" s="198" t="str">
        <f ca="1">IF(C249="","",F249/([1]!S_STM07_IS(D249,61,$G$5,$H$13)/IF([1]!S_SHARE_TOTAL(D249,$G$5)=0,[1]!S_SHARE_TOTAL(D249,[1]!s_ipo_listeddate(D249)),[1]!S_SHARE_TOTAL(D249,$G$5))))</f>
        <v/>
      </c>
      <c r="R249" s="198" t="str">
        <f ca="1">IF(C249="","",F249/([1]!S_STM07_BS(D249,141,$G$5,$H$13)/IF([1]!S_SHARE_TOTAL(D249,$G$5)=0,[1]!S_SHARE_TOTAL(D249,[1]!s_ipo_listeddate(D249)),[1]!S_SHARE_TOTAL(D249,$G$5))))</f>
        <v/>
      </c>
      <c r="S249" s="249" t="str">
        <f ca="1">IF(C249="","",[1]!S_SHARE_TOTAL(D249,TODAY())/$E$5)</f>
        <v/>
      </c>
      <c r="T249" s="249" t="str">
        <f t="shared" ca="1" si="31"/>
        <v/>
      </c>
      <c r="U249" s="172" t="str">
        <f t="shared" ca="1" si="32"/>
        <v/>
      </c>
      <c r="V249" s="343" t="str">
        <f t="shared" ca="1" si="33"/>
        <v/>
      </c>
      <c r="W249" s="139"/>
      <c r="Y249" s="1"/>
    </row>
    <row r="250" spans="3:25" ht="12" customHeight="1">
      <c r="C250" s="342" t="str">
        <f t="shared" ca="1" si="28"/>
        <v/>
      </c>
      <c r="D250" s="153" t="str">
        <f t="shared" ca="1" si="29"/>
        <v/>
      </c>
      <c r="E250" s="153" t="str">
        <f t="shared" ca="1" si="30"/>
        <v/>
      </c>
      <c r="F250" s="170" t="str">
        <f ca="1">IF(C250="","",[1]!S_DQ_CLOSE(D250,TODAY(),1))</f>
        <v/>
      </c>
      <c r="G250" s="171" t="str">
        <f ca="1">IF(C250="","",[1]!s_pq_pctchange(D250,TODAY()-$G$12,TODAY())/100)</f>
        <v/>
      </c>
      <c r="H250" s="247" t="str">
        <f ca="1">IF(C250="","",IF($H$11="收入",[1]!S_STM07_IS(D250,9,$G$5,$H$13)/$E$5,[1]!S_STM07_IS(D250,48,$G$5,$H$13)/$E$5))</f>
        <v/>
      </c>
      <c r="I250" s="247" t="str">
        <f ca="1">IF(C250="","",IF($I$11="毛利率",([1]!S_STM07_IS(D250,9,$G$5,$H$13)-[1]!S_STM07_IS(D250,10,$G$5,$H$13))/[1]!S_STM07_IS(D250,9,$G$5,$H$13),[1]!S_STM07_IS(D250,14,$G$5,$H$13)/$E$5))</f>
        <v/>
      </c>
      <c r="J250" s="247" t="str">
        <f ca="1">IF(C250="","",IF($J$11="营业利润率",[1]!S_STM07_IS(D250,48,$G$5,$H$13)/[1]!S_STM07_IS(D250,9,$G$5,$H$13),([1]!S_STM07_CS(D250,87,$G$5,$H$13)+[1]!S_STM07_CS(D250,88,$G$5,$H$13)+[1]!S_STM07_CS(D250,89,$G$5,$H$13))/$E$5))</f>
        <v/>
      </c>
      <c r="K250" s="247" t="str">
        <f ca="1">IF(C250="","",IF($K$11="净利润率",[1]!S_STM07_IS(D250,61,$G$5,$H$13)/[1]!S_STM07_IS(D250,9,$G$5,$H$13),[1]!S_STM07_IS(D250,55,$G$5,$H$13)/$E$5))</f>
        <v/>
      </c>
      <c r="L250" s="247" t="str">
        <f ca="1">IF(C250="","",IF($L$11="ROA",[1]!S_STM07_IS(D250,61,$G$5,$H$13)/[1]!S_STM07_BS(D250,74,$G$5,$H$13),1-[1]!S_STM07_IS(D250,61,$G$5,$H$13)/[1]!S_STM07_IS(D250,55,$G$5,$H$13)))</f>
        <v/>
      </c>
      <c r="M250" s="247" t="str">
        <f ca="1">IF(C250="","",IF($M$11="ROE",[1]!S_STM07_IS(D250,61,$G$5,$H$13)/[1]!S_STM07_BS(D250,141,$G$5,$H$13),([1]!S_STM07_BS(D250,25,$G$5,$H$13)-[1]!S_STM07_BS(D250,93,$G$5,$H$13))/$E$5))</f>
        <v/>
      </c>
      <c r="N250" s="247" t="str">
        <f ca="1">IF(C250="","",IF($N$11="EPS",[1]!S_STM07_IS(D250,61,$G$5,$H$13)/IF([1]!S_SHARE_TOTAL(D250,$G$5)=0,[1]!S_SHARE_TOTAL(D250,[1]!s_ipo_listeddate(D250)),[1]!S_SHARE_TOTAL(D250,$G$5)),([1]!S_STM07_BS(D250,75,$G$5,$H$13)+[1]!S_STM07_BS(D250,88,$G$5,$H$13)+[1]!S_STM07_BS(D250,94,$G$5,$H$13)+[1]!S_STM07_BS(D250,95,$G$5,$H$13))/$E$5))</f>
        <v/>
      </c>
      <c r="O250" s="247" t="str">
        <f ca="1">IF(C250="","",IF($O$11="BPS",[1]!S_STM07_BS(D250,141,$G$5,$H$13)/IF([1]!S_SHARE_TOTAL(D250,$G$5)=0,[1]!S_SHARE_TOTAL(D250,[1]!s_ipo_listeddate(D250)),[1]!S_SHARE_TOTAL(D250,$G$5)),[1]!S_STM07_CS(D250,49,$G$5,$H$13)/$E$5))</f>
        <v/>
      </c>
      <c r="P250" s="247" t="str">
        <f ca="1">IF(C250="","",IF($P$11="CFPS",[1]!S_STM07_CS(D250,84,$G$5,$H$13)/IF([1]!S_SHARE_TOTAL(D250,$G$5)=0,[1]!S_SHARE_TOTAL(D250,[1]!s_ipo_listeddate(D250)),[1]!S_SHARE_TOTAL(D250,$G$5)),[1]!S_STM07_CS(D250,84,$G$5,$H$13)/$E$5))</f>
        <v/>
      </c>
      <c r="Q250" s="248" t="str">
        <f ca="1">IF(C250="","",F250/([1]!S_STM07_IS(D250,61,$G$5,$H$13)/IF([1]!S_SHARE_TOTAL(D250,$G$5)=0,[1]!S_SHARE_TOTAL(D250,[1]!s_ipo_listeddate(D250)),[1]!S_SHARE_TOTAL(D250,$G$5))))</f>
        <v/>
      </c>
      <c r="R250" s="248" t="str">
        <f ca="1">IF(C250="","",F250/([1]!S_STM07_BS(D250,141,$G$5,$H$13)/IF([1]!S_SHARE_TOTAL(D250,$G$5)=0,[1]!S_SHARE_TOTAL(D250,[1]!s_ipo_listeddate(D250)),[1]!S_SHARE_TOTAL(D250,$G$5))))</f>
        <v/>
      </c>
      <c r="S250" s="247" t="str">
        <f ca="1">IF(C250="","",[1]!S_SHARE_TOTAL(D250,TODAY())/$E$5)</f>
        <v/>
      </c>
      <c r="T250" s="247" t="str">
        <f t="shared" ca="1" si="31"/>
        <v/>
      </c>
      <c r="U250" s="218" t="str">
        <f t="shared" ca="1" si="32"/>
        <v/>
      </c>
      <c r="V250" s="342" t="str">
        <f t="shared" ca="1" si="33"/>
        <v/>
      </c>
      <c r="W250" s="139"/>
      <c r="Y250" s="1"/>
    </row>
    <row r="251" spans="3:25" ht="12" customHeight="1">
      <c r="C251" s="343" t="str">
        <f t="shared" ca="1" si="28"/>
        <v/>
      </c>
      <c r="D251" s="124" t="str">
        <f t="shared" ca="1" si="29"/>
        <v/>
      </c>
      <c r="E251" s="124" t="str">
        <f t="shared" ca="1" si="30"/>
        <v/>
      </c>
      <c r="F251" s="172" t="str">
        <f ca="1">IF(C251="","",[1]!S_DQ_CLOSE(D251,TODAY(),1))</f>
        <v/>
      </c>
      <c r="G251" s="173" t="str">
        <f ca="1">IF(C251="","",[1]!s_pq_pctchange(D251,TODAY()-$G$12,TODAY())/100)</f>
        <v/>
      </c>
      <c r="H251" s="249" t="str">
        <f ca="1">IF(C251="","",IF($H$11="收入",[1]!S_STM07_IS(D251,9,$G$5,$H$13)/$E$5,[1]!S_STM07_IS(D251,48,$G$5,$H$13)/$E$5))</f>
        <v/>
      </c>
      <c r="I251" s="249" t="str">
        <f ca="1">IF(C251="","",IF($I$11="毛利率",([1]!S_STM07_IS(D251,9,$G$5,$H$13)-[1]!S_STM07_IS(D251,10,$G$5,$H$13))/[1]!S_STM07_IS(D251,9,$G$5,$H$13),[1]!S_STM07_IS(D251,14,$G$5,$H$13)/$E$5))</f>
        <v/>
      </c>
      <c r="J251" s="249" t="str">
        <f ca="1">IF(C251="","",IF($J$11="营业利润率",[1]!S_STM07_IS(D251,48,$G$5,$H$13)/[1]!S_STM07_IS(D251,9,$G$5,$H$13),([1]!S_STM07_CS(D251,87,$G$5,$H$13)+[1]!S_STM07_CS(D251,88,$G$5,$H$13)+[1]!S_STM07_CS(D251,89,$G$5,$H$13))/$E$5))</f>
        <v/>
      </c>
      <c r="K251" s="249" t="str">
        <f ca="1">IF(C251="","",IF($K$11="净利润率",[1]!S_STM07_IS(D251,61,$G$5,$H$13)/[1]!S_STM07_IS(D251,9,$G$5,$H$13),[1]!S_STM07_IS(D251,55,$G$5,$H$13)/$E$5))</f>
        <v/>
      </c>
      <c r="L251" s="249" t="str">
        <f ca="1">IF(C251="","",IF($L$11="ROA",[1]!S_STM07_IS(D251,61,$G$5,$H$13)/[1]!S_STM07_BS(D251,74,$G$5,$H$13),1-[1]!S_STM07_IS(D251,61,$G$5,$H$13)/[1]!S_STM07_IS(D251,55,$G$5,$H$13)))</f>
        <v/>
      </c>
      <c r="M251" s="249" t="str">
        <f ca="1">IF(C251="","",IF($M$11="ROE",[1]!S_STM07_IS(D251,61,$G$5,$H$13)/[1]!S_STM07_BS(D251,141,$G$5,$H$13),([1]!S_STM07_BS(D251,25,$G$5,$H$13)-[1]!S_STM07_BS(D251,93,$G$5,$H$13))/$E$5))</f>
        <v/>
      </c>
      <c r="N251" s="250" t="str">
        <f ca="1">IF(C251="","",IF($N$11="EPS",[1]!S_STM07_IS(D251,61,$G$5,$H$13)/IF([1]!S_SHARE_TOTAL(D251,$G$5)=0,[1]!S_SHARE_TOTAL(D251,[1]!s_ipo_listeddate(D251)),[1]!S_SHARE_TOTAL(D251,$G$5)),([1]!S_STM07_BS(D251,75,$G$5,$H$13)+[1]!S_STM07_BS(D251,88,$G$5,$H$13)+[1]!S_STM07_BS(D251,94,$G$5,$H$13)+[1]!S_STM07_BS(D251,95,$G$5,$H$13))/$E$5))</f>
        <v/>
      </c>
      <c r="O251" s="250" t="str">
        <f ca="1">IF(C251="","",IF($O$11="BPS",[1]!S_STM07_BS(D251,141,$G$5,$H$13)/IF([1]!S_SHARE_TOTAL(D251,$G$5)=0,[1]!S_SHARE_TOTAL(D251,[1]!s_ipo_listeddate(D251)),[1]!S_SHARE_TOTAL(D251,$G$5)),[1]!S_STM07_CS(D251,49,$G$5,$H$13)/$E$5))</f>
        <v/>
      </c>
      <c r="P251" s="250" t="str">
        <f ca="1">IF(C251="","",IF($P$11="CFPS",[1]!S_STM07_CS(D251,84,$G$5,$H$13)/IF([1]!S_SHARE_TOTAL(D251,$G$5)=0,[1]!S_SHARE_TOTAL(D251,[1]!s_ipo_listeddate(D251)),[1]!S_SHARE_TOTAL(D251,$G$5)),[1]!S_STM07_CS(D251,84,$G$5,$H$13)/$E$5))</f>
        <v/>
      </c>
      <c r="Q251" s="198" t="str">
        <f ca="1">IF(C251="","",F251/([1]!S_STM07_IS(D251,61,$G$5,$H$13)/IF([1]!S_SHARE_TOTAL(D251,$G$5)=0,[1]!S_SHARE_TOTAL(D251,[1]!s_ipo_listeddate(D251)),[1]!S_SHARE_TOTAL(D251,$G$5))))</f>
        <v/>
      </c>
      <c r="R251" s="198" t="str">
        <f ca="1">IF(C251="","",F251/([1]!S_STM07_BS(D251,141,$G$5,$H$13)/IF([1]!S_SHARE_TOTAL(D251,$G$5)=0,[1]!S_SHARE_TOTAL(D251,[1]!s_ipo_listeddate(D251)),[1]!S_SHARE_TOTAL(D251,$G$5))))</f>
        <v/>
      </c>
      <c r="S251" s="249" t="str">
        <f ca="1">IF(C251="","",[1]!S_SHARE_TOTAL(D251,TODAY())/$E$5)</f>
        <v/>
      </c>
      <c r="T251" s="249" t="str">
        <f t="shared" ca="1" si="31"/>
        <v/>
      </c>
      <c r="U251" s="172" t="str">
        <f t="shared" ca="1" si="32"/>
        <v/>
      </c>
      <c r="V251" s="343" t="str">
        <f t="shared" ca="1" si="33"/>
        <v/>
      </c>
      <c r="W251" s="139"/>
      <c r="Y251" s="1"/>
    </row>
    <row r="252" spans="3:25" ht="12" customHeight="1">
      <c r="C252" s="342" t="str">
        <f t="shared" ca="1" si="28"/>
        <v/>
      </c>
      <c r="D252" s="153" t="str">
        <f t="shared" ca="1" si="29"/>
        <v/>
      </c>
      <c r="E252" s="153" t="str">
        <f t="shared" ca="1" si="30"/>
        <v/>
      </c>
      <c r="F252" s="170" t="str">
        <f ca="1">IF(C252="","",[1]!S_DQ_CLOSE(D252,TODAY(),1))</f>
        <v/>
      </c>
      <c r="G252" s="171" t="str">
        <f ca="1">IF(C252="","",[1]!s_pq_pctchange(D252,TODAY()-$G$12,TODAY())/100)</f>
        <v/>
      </c>
      <c r="H252" s="247" t="str">
        <f ca="1">IF(C252="","",IF($H$11="收入",[1]!S_STM07_IS(D252,9,$G$5,$H$13)/$E$5,[1]!S_STM07_IS(D252,48,$G$5,$H$13)/$E$5))</f>
        <v/>
      </c>
      <c r="I252" s="247" t="str">
        <f ca="1">IF(C252="","",IF($I$11="毛利率",([1]!S_STM07_IS(D252,9,$G$5,$H$13)-[1]!S_STM07_IS(D252,10,$G$5,$H$13))/[1]!S_STM07_IS(D252,9,$G$5,$H$13),[1]!S_STM07_IS(D252,14,$G$5,$H$13)/$E$5))</f>
        <v/>
      </c>
      <c r="J252" s="247" t="str">
        <f ca="1">IF(C252="","",IF($J$11="营业利润率",[1]!S_STM07_IS(D252,48,$G$5,$H$13)/[1]!S_STM07_IS(D252,9,$G$5,$H$13),([1]!S_STM07_CS(D252,87,$G$5,$H$13)+[1]!S_STM07_CS(D252,88,$G$5,$H$13)+[1]!S_STM07_CS(D252,89,$G$5,$H$13))/$E$5))</f>
        <v/>
      </c>
      <c r="K252" s="247" t="str">
        <f ca="1">IF(C252="","",IF($K$11="净利润率",[1]!S_STM07_IS(D252,61,$G$5,$H$13)/[1]!S_STM07_IS(D252,9,$G$5,$H$13),[1]!S_STM07_IS(D252,55,$G$5,$H$13)/$E$5))</f>
        <v/>
      </c>
      <c r="L252" s="247" t="str">
        <f ca="1">IF(C252="","",IF($L$11="ROA",[1]!S_STM07_IS(D252,61,$G$5,$H$13)/[1]!S_STM07_BS(D252,74,$G$5,$H$13),1-[1]!S_STM07_IS(D252,61,$G$5,$H$13)/[1]!S_STM07_IS(D252,55,$G$5,$H$13)))</f>
        <v/>
      </c>
      <c r="M252" s="247" t="str">
        <f ca="1">IF(C252="","",IF($M$11="ROE",[1]!S_STM07_IS(D252,61,$G$5,$H$13)/[1]!S_STM07_BS(D252,141,$G$5,$H$13),([1]!S_STM07_BS(D252,25,$G$5,$H$13)-[1]!S_STM07_BS(D252,93,$G$5,$H$13))/$E$5))</f>
        <v/>
      </c>
      <c r="N252" s="247" t="str">
        <f ca="1">IF(C252="","",IF($N$11="EPS",[1]!S_STM07_IS(D252,61,$G$5,$H$13)/IF([1]!S_SHARE_TOTAL(D252,$G$5)=0,[1]!S_SHARE_TOTAL(D252,[1]!s_ipo_listeddate(D252)),[1]!S_SHARE_TOTAL(D252,$G$5)),([1]!S_STM07_BS(D252,75,$G$5,$H$13)+[1]!S_STM07_BS(D252,88,$G$5,$H$13)+[1]!S_STM07_BS(D252,94,$G$5,$H$13)+[1]!S_STM07_BS(D252,95,$G$5,$H$13))/$E$5))</f>
        <v/>
      </c>
      <c r="O252" s="247" t="str">
        <f ca="1">IF(C252="","",IF($O$11="BPS",[1]!S_STM07_BS(D252,141,$G$5,$H$13)/IF([1]!S_SHARE_TOTAL(D252,$G$5)=0,[1]!S_SHARE_TOTAL(D252,[1]!s_ipo_listeddate(D252)),[1]!S_SHARE_TOTAL(D252,$G$5)),[1]!S_STM07_CS(D252,49,$G$5,$H$13)/$E$5))</f>
        <v/>
      </c>
      <c r="P252" s="247" t="str">
        <f ca="1">IF(C252="","",IF($P$11="CFPS",[1]!S_STM07_CS(D252,84,$G$5,$H$13)/IF([1]!S_SHARE_TOTAL(D252,$G$5)=0,[1]!S_SHARE_TOTAL(D252,[1]!s_ipo_listeddate(D252)),[1]!S_SHARE_TOTAL(D252,$G$5)),[1]!S_STM07_CS(D252,84,$G$5,$H$13)/$E$5))</f>
        <v/>
      </c>
      <c r="Q252" s="248" t="str">
        <f ca="1">IF(C252="","",F252/([1]!S_STM07_IS(D252,61,$G$5,$H$13)/IF([1]!S_SHARE_TOTAL(D252,$G$5)=0,[1]!S_SHARE_TOTAL(D252,[1]!s_ipo_listeddate(D252)),[1]!S_SHARE_TOTAL(D252,$G$5))))</f>
        <v/>
      </c>
      <c r="R252" s="248" t="str">
        <f ca="1">IF(C252="","",F252/([1]!S_STM07_BS(D252,141,$G$5,$H$13)/IF([1]!S_SHARE_TOTAL(D252,$G$5)=0,[1]!S_SHARE_TOTAL(D252,[1]!s_ipo_listeddate(D252)),[1]!S_SHARE_TOTAL(D252,$G$5))))</f>
        <v/>
      </c>
      <c r="S252" s="247" t="str">
        <f ca="1">IF(C252="","",[1]!S_SHARE_TOTAL(D252,TODAY())/$E$5)</f>
        <v/>
      </c>
      <c r="T252" s="247" t="str">
        <f t="shared" ca="1" si="31"/>
        <v/>
      </c>
      <c r="U252" s="218" t="str">
        <f t="shared" ca="1" si="32"/>
        <v/>
      </c>
      <c r="V252" s="342" t="str">
        <f t="shared" ca="1" si="33"/>
        <v/>
      </c>
      <c r="W252" s="139"/>
      <c r="Y252" s="1"/>
    </row>
    <row r="253" spans="3:25" ht="12" customHeight="1">
      <c r="C253" s="343" t="str">
        <f t="shared" ca="1" si="28"/>
        <v/>
      </c>
      <c r="D253" s="124" t="str">
        <f t="shared" ca="1" si="29"/>
        <v/>
      </c>
      <c r="E253" s="124" t="str">
        <f t="shared" ca="1" si="30"/>
        <v/>
      </c>
      <c r="F253" s="172" t="str">
        <f ca="1">IF(C253="","",[1]!S_DQ_CLOSE(D253,TODAY(),1))</f>
        <v/>
      </c>
      <c r="G253" s="173" t="str">
        <f ca="1">IF(C253="","",[1]!s_pq_pctchange(D253,TODAY()-$G$12,TODAY())/100)</f>
        <v/>
      </c>
      <c r="H253" s="249" t="str">
        <f ca="1">IF(C253="","",IF($H$11="收入",[1]!S_STM07_IS(D253,9,$G$5,$H$13)/$E$5,[1]!S_STM07_IS(D253,48,$G$5,$H$13)/$E$5))</f>
        <v/>
      </c>
      <c r="I253" s="249" t="str">
        <f ca="1">IF(C253="","",IF($I$11="毛利率",([1]!S_STM07_IS(D253,9,$G$5,$H$13)-[1]!S_STM07_IS(D253,10,$G$5,$H$13))/[1]!S_STM07_IS(D253,9,$G$5,$H$13),[1]!S_STM07_IS(D253,14,$G$5,$H$13)/$E$5))</f>
        <v/>
      </c>
      <c r="J253" s="249" t="str">
        <f ca="1">IF(C253="","",IF($J$11="营业利润率",[1]!S_STM07_IS(D253,48,$G$5,$H$13)/[1]!S_STM07_IS(D253,9,$G$5,$H$13),([1]!S_STM07_CS(D253,87,$G$5,$H$13)+[1]!S_STM07_CS(D253,88,$G$5,$H$13)+[1]!S_STM07_CS(D253,89,$G$5,$H$13))/$E$5))</f>
        <v/>
      </c>
      <c r="K253" s="249" t="str">
        <f ca="1">IF(C253="","",IF($K$11="净利润率",[1]!S_STM07_IS(D253,61,$G$5,$H$13)/[1]!S_STM07_IS(D253,9,$G$5,$H$13),[1]!S_STM07_IS(D253,55,$G$5,$H$13)/$E$5))</f>
        <v/>
      </c>
      <c r="L253" s="249" t="str">
        <f ca="1">IF(C253="","",IF($L$11="ROA",[1]!S_STM07_IS(D253,61,$G$5,$H$13)/[1]!S_STM07_BS(D253,74,$G$5,$H$13),1-[1]!S_STM07_IS(D253,61,$G$5,$H$13)/[1]!S_STM07_IS(D253,55,$G$5,$H$13)))</f>
        <v/>
      </c>
      <c r="M253" s="249" t="str">
        <f ca="1">IF(C253="","",IF($M$11="ROE",[1]!S_STM07_IS(D253,61,$G$5,$H$13)/[1]!S_STM07_BS(D253,141,$G$5,$H$13),([1]!S_STM07_BS(D253,25,$G$5,$H$13)-[1]!S_STM07_BS(D253,93,$G$5,$H$13))/$E$5))</f>
        <v/>
      </c>
      <c r="N253" s="250" t="str">
        <f ca="1">IF(C253="","",IF($N$11="EPS",[1]!S_STM07_IS(D253,61,$G$5,$H$13)/IF([1]!S_SHARE_TOTAL(D253,$G$5)=0,[1]!S_SHARE_TOTAL(D253,[1]!s_ipo_listeddate(D253)),[1]!S_SHARE_TOTAL(D253,$G$5)),([1]!S_STM07_BS(D253,75,$G$5,$H$13)+[1]!S_STM07_BS(D253,88,$G$5,$H$13)+[1]!S_STM07_BS(D253,94,$G$5,$H$13)+[1]!S_STM07_BS(D253,95,$G$5,$H$13))/$E$5))</f>
        <v/>
      </c>
      <c r="O253" s="250" t="str">
        <f ca="1">IF(C253="","",IF($O$11="BPS",[1]!S_STM07_BS(D253,141,$G$5,$H$13)/IF([1]!S_SHARE_TOTAL(D253,$G$5)=0,[1]!S_SHARE_TOTAL(D253,[1]!s_ipo_listeddate(D253)),[1]!S_SHARE_TOTAL(D253,$G$5)),[1]!S_STM07_CS(D253,49,$G$5,$H$13)/$E$5))</f>
        <v/>
      </c>
      <c r="P253" s="250" t="str">
        <f ca="1">IF(C253="","",IF($P$11="CFPS",[1]!S_STM07_CS(D253,84,$G$5,$H$13)/IF([1]!S_SHARE_TOTAL(D253,$G$5)=0,[1]!S_SHARE_TOTAL(D253,[1]!s_ipo_listeddate(D253)),[1]!S_SHARE_TOTAL(D253,$G$5)),[1]!S_STM07_CS(D253,84,$G$5,$H$13)/$E$5))</f>
        <v/>
      </c>
      <c r="Q253" s="198" t="str">
        <f ca="1">IF(C253="","",F253/([1]!S_STM07_IS(D253,61,$G$5,$H$13)/IF([1]!S_SHARE_TOTAL(D253,$G$5)=0,[1]!S_SHARE_TOTAL(D253,[1]!s_ipo_listeddate(D253)),[1]!S_SHARE_TOTAL(D253,$G$5))))</f>
        <v/>
      </c>
      <c r="R253" s="198" t="str">
        <f ca="1">IF(C253="","",F253/([1]!S_STM07_BS(D253,141,$G$5,$H$13)/IF([1]!S_SHARE_TOTAL(D253,$G$5)=0,[1]!S_SHARE_TOTAL(D253,[1]!s_ipo_listeddate(D253)),[1]!S_SHARE_TOTAL(D253,$G$5))))</f>
        <v/>
      </c>
      <c r="S253" s="249" t="str">
        <f ca="1">IF(C253="","",[1]!S_SHARE_TOTAL(D253,TODAY())/$E$5)</f>
        <v/>
      </c>
      <c r="T253" s="249" t="str">
        <f t="shared" ca="1" si="31"/>
        <v/>
      </c>
      <c r="U253" s="172" t="str">
        <f t="shared" ca="1" si="32"/>
        <v/>
      </c>
      <c r="V253" s="343" t="str">
        <f t="shared" ca="1" si="33"/>
        <v/>
      </c>
      <c r="W253" s="139"/>
      <c r="Y253" s="1"/>
    </row>
    <row r="254" spans="3:25" ht="12" customHeight="1">
      <c r="C254" s="342" t="str">
        <f t="shared" ca="1" si="28"/>
        <v/>
      </c>
      <c r="D254" s="153" t="str">
        <f t="shared" ca="1" si="29"/>
        <v/>
      </c>
      <c r="E254" s="153" t="str">
        <f t="shared" ca="1" si="30"/>
        <v/>
      </c>
      <c r="F254" s="170" t="str">
        <f ca="1">IF(C254="","",[1]!S_DQ_CLOSE(D254,TODAY(),1))</f>
        <v/>
      </c>
      <c r="G254" s="171" t="str">
        <f ca="1">IF(C254="","",[1]!s_pq_pctchange(D254,TODAY()-$G$12,TODAY())/100)</f>
        <v/>
      </c>
      <c r="H254" s="247" t="str">
        <f ca="1">IF(C254="","",IF($H$11="收入",[1]!S_STM07_IS(D254,9,$G$5,$H$13)/$E$5,[1]!S_STM07_IS(D254,48,$G$5,$H$13)/$E$5))</f>
        <v/>
      </c>
      <c r="I254" s="247" t="str">
        <f ca="1">IF(C254="","",IF($I$11="毛利率",([1]!S_STM07_IS(D254,9,$G$5,$H$13)-[1]!S_STM07_IS(D254,10,$G$5,$H$13))/[1]!S_STM07_IS(D254,9,$G$5,$H$13),[1]!S_STM07_IS(D254,14,$G$5,$H$13)/$E$5))</f>
        <v/>
      </c>
      <c r="J254" s="247" t="str">
        <f ca="1">IF(C254="","",IF($J$11="营业利润率",[1]!S_STM07_IS(D254,48,$G$5,$H$13)/[1]!S_STM07_IS(D254,9,$G$5,$H$13),([1]!S_STM07_CS(D254,87,$G$5,$H$13)+[1]!S_STM07_CS(D254,88,$G$5,$H$13)+[1]!S_STM07_CS(D254,89,$G$5,$H$13))/$E$5))</f>
        <v/>
      </c>
      <c r="K254" s="247" t="str">
        <f ca="1">IF(C254="","",IF($K$11="净利润率",[1]!S_STM07_IS(D254,61,$G$5,$H$13)/[1]!S_STM07_IS(D254,9,$G$5,$H$13),[1]!S_STM07_IS(D254,55,$G$5,$H$13)/$E$5))</f>
        <v/>
      </c>
      <c r="L254" s="247" t="str">
        <f ca="1">IF(C254="","",IF($L$11="ROA",[1]!S_STM07_IS(D254,61,$G$5,$H$13)/[1]!S_STM07_BS(D254,74,$G$5,$H$13),1-[1]!S_STM07_IS(D254,61,$G$5,$H$13)/[1]!S_STM07_IS(D254,55,$G$5,$H$13)))</f>
        <v/>
      </c>
      <c r="M254" s="247" t="str">
        <f ca="1">IF(C254="","",IF($M$11="ROE",[1]!S_STM07_IS(D254,61,$G$5,$H$13)/[1]!S_STM07_BS(D254,141,$G$5,$H$13),([1]!S_STM07_BS(D254,25,$G$5,$H$13)-[1]!S_STM07_BS(D254,93,$G$5,$H$13))/$E$5))</f>
        <v/>
      </c>
      <c r="N254" s="247" t="str">
        <f ca="1">IF(C254="","",IF($N$11="EPS",[1]!S_STM07_IS(D254,61,$G$5,$H$13)/IF([1]!S_SHARE_TOTAL(D254,$G$5)=0,[1]!S_SHARE_TOTAL(D254,[1]!s_ipo_listeddate(D254)),[1]!S_SHARE_TOTAL(D254,$G$5)),([1]!S_STM07_BS(D254,75,$G$5,$H$13)+[1]!S_STM07_BS(D254,88,$G$5,$H$13)+[1]!S_STM07_BS(D254,94,$G$5,$H$13)+[1]!S_STM07_BS(D254,95,$G$5,$H$13))/$E$5))</f>
        <v/>
      </c>
      <c r="O254" s="247" t="str">
        <f ca="1">IF(C254="","",IF($O$11="BPS",[1]!S_STM07_BS(D254,141,$G$5,$H$13)/IF([1]!S_SHARE_TOTAL(D254,$G$5)=0,[1]!S_SHARE_TOTAL(D254,[1]!s_ipo_listeddate(D254)),[1]!S_SHARE_TOTAL(D254,$G$5)),[1]!S_STM07_CS(D254,49,$G$5,$H$13)/$E$5))</f>
        <v/>
      </c>
      <c r="P254" s="247" t="str">
        <f ca="1">IF(C254="","",IF($P$11="CFPS",[1]!S_STM07_CS(D254,84,$G$5,$H$13)/IF([1]!S_SHARE_TOTAL(D254,$G$5)=0,[1]!S_SHARE_TOTAL(D254,[1]!s_ipo_listeddate(D254)),[1]!S_SHARE_TOTAL(D254,$G$5)),[1]!S_STM07_CS(D254,84,$G$5,$H$13)/$E$5))</f>
        <v/>
      </c>
      <c r="Q254" s="248" t="str">
        <f ca="1">IF(C254="","",F254/([1]!S_STM07_IS(D254,61,$G$5,$H$13)/IF([1]!S_SHARE_TOTAL(D254,$G$5)=0,[1]!S_SHARE_TOTAL(D254,[1]!s_ipo_listeddate(D254)),[1]!S_SHARE_TOTAL(D254,$G$5))))</f>
        <v/>
      </c>
      <c r="R254" s="248" t="str">
        <f ca="1">IF(C254="","",F254/([1]!S_STM07_BS(D254,141,$G$5,$H$13)/IF([1]!S_SHARE_TOTAL(D254,$G$5)=0,[1]!S_SHARE_TOTAL(D254,[1]!s_ipo_listeddate(D254)),[1]!S_SHARE_TOTAL(D254,$G$5))))</f>
        <v/>
      </c>
      <c r="S254" s="247" t="str">
        <f ca="1">IF(C254="","",[1]!S_SHARE_TOTAL(D254,TODAY())/$E$5)</f>
        <v/>
      </c>
      <c r="T254" s="247" t="str">
        <f t="shared" ca="1" si="31"/>
        <v/>
      </c>
      <c r="U254" s="218" t="str">
        <f t="shared" ca="1" si="32"/>
        <v/>
      </c>
      <c r="V254" s="342" t="str">
        <f t="shared" ca="1" si="33"/>
        <v/>
      </c>
      <c r="W254" s="139"/>
      <c r="Y254" s="1"/>
    </row>
    <row r="255" spans="3:25" ht="12" customHeight="1">
      <c r="C255" s="343" t="str">
        <f t="shared" ca="1" si="28"/>
        <v/>
      </c>
      <c r="D255" s="124" t="str">
        <f t="shared" ca="1" si="29"/>
        <v/>
      </c>
      <c r="E255" s="124" t="str">
        <f t="shared" ca="1" si="30"/>
        <v/>
      </c>
      <c r="F255" s="172" t="str">
        <f ca="1">IF(C255="","",[1]!S_DQ_CLOSE(D255,TODAY(),1))</f>
        <v/>
      </c>
      <c r="G255" s="173" t="str">
        <f ca="1">IF(C255="","",[1]!s_pq_pctchange(D255,TODAY()-$G$12,TODAY())/100)</f>
        <v/>
      </c>
      <c r="H255" s="249" t="str">
        <f ca="1">IF(C255="","",IF($H$11="收入",[1]!S_STM07_IS(D255,9,$G$5,$H$13)/$E$5,[1]!S_STM07_IS(D255,48,$G$5,$H$13)/$E$5))</f>
        <v/>
      </c>
      <c r="I255" s="249" t="str">
        <f ca="1">IF(C255="","",IF($I$11="毛利率",([1]!S_STM07_IS(D255,9,$G$5,$H$13)-[1]!S_STM07_IS(D255,10,$G$5,$H$13))/[1]!S_STM07_IS(D255,9,$G$5,$H$13),[1]!S_STM07_IS(D255,14,$G$5,$H$13)/$E$5))</f>
        <v/>
      </c>
      <c r="J255" s="249" t="str">
        <f ca="1">IF(C255="","",IF($J$11="营业利润率",[1]!S_STM07_IS(D255,48,$G$5,$H$13)/[1]!S_STM07_IS(D255,9,$G$5,$H$13),([1]!S_STM07_CS(D255,87,$G$5,$H$13)+[1]!S_STM07_CS(D255,88,$G$5,$H$13)+[1]!S_STM07_CS(D255,89,$G$5,$H$13))/$E$5))</f>
        <v/>
      </c>
      <c r="K255" s="249" t="str">
        <f ca="1">IF(C255="","",IF($K$11="净利润率",[1]!S_STM07_IS(D255,61,$G$5,$H$13)/[1]!S_STM07_IS(D255,9,$G$5,$H$13),[1]!S_STM07_IS(D255,55,$G$5,$H$13)/$E$5))</f>
        <v/>
      </c>
      <c r="L255" s="249" t="str">
        <f ca="1">IF(C255="","",IF($L$11="ROA",[1]!S_STM07_IS(D255,61,$G$5,$H$13)/[1]!S_STM07_BS(D255,74,$G$5,$H$13),1-[1]!S_STM07_IS(D255,61,$G$5,$H$13)/[1]!S_STM07_IS(D255,55,$G$5,$H$13)))</f>
        <v/>
      </c>
      <c r="M255" s="249" t="str">
        <f ca="1">IF(C255="","",IF($M$11="ROE",[1]!S_STM07_IS(D255,61,$G$5,$H$13)/[1]!S_STM07_BS(D255,141,$G$5,$H$13),([1]!S_STM07_BS(D255,25,$G$5,$H$13)-[1]!S_STM07_BS(D255,93,$G$5,$H$13))/$E$5))</f>
        <v/>
      </c>
      <c r="N255" s="250" t="str">
        <f ca="1">IF(C255="","",IF($N$11="EPS",[1]!S_STM07_IS(D255,61,$G$5,$H$13)/IF([1]!S_SHARE_TOTAL(D255,$G$5)=0,[1]!S_SHARE_TOTAL(D255,[1]!s_ipo_listeddate(D255)),[1]!S_SHARE_TOTAL(D255,$G$5)),([1]!S_STM07_BS(D255,75,$G$5,$H$13)+[1]!S_STM07_BS(D255,88,$G$5,$H$13)+[1]!S_STM07_BS(D255,94,$G$5,$H$13)+[1]!S_STM07_BS(D255,95,$G$5,$H$13))/$E$5))</f>
        <v/>
      </c>
      <c r="O255" s="250" t="str">
        <f ca="1">IF(C255="","",IF($O$11="BPS",[1]!S_STM07_BS(D255,141,$G$5,$H$13)/IF([1]!S_SHARE_TOTAL(D255,$G$5)=0,[1]!S_SHARE_TOTAL(D255,[1]!s_ipo_listeddate(D255)),[1]!S_SHARE_TOTAL(D255,$G$5)),[1]!S_STM07_CS(D255,49,$G$5,$H$13)/$E$5))</f>
        <v/>
      </c>
      <c r="P255" s="250" t="str">
        <f ca="1">IF(C255="","",IF($P$11="CFPS",[1]!S_STM07_CS(D255,84,$G$5,$H$13)/IF([1]!S_SHARE_TOTAL(D255,$G$5)=0,[1]!S_SHARE_TOTAL(D255,[1]!s_ipo_listeddate(D255)),[1]!S_SHARE_TOTAL(D255,$G$5)),[1]!S_STM07_CS(D255,84,$G$5,$H$13)/$E$5))</f>
        <v/>
      </c>
      <c r="Q255" s="198" t="str">
        <f ca="1">IF(C255="","",F255/([1]!S_STM07_IS(D255,61,$G$5,$H$13)/IF([1]!S_SHARE_TOTAL(D255,$G$5)=0,[1]!S_SHARE_TOTAL(D255,[1]!s_ipo_listeddate(D255)),[1]!S_SHARE_TOTAL(D255,$G$5))))</f>
        <v/>
      </c>
      <c r="R255" s="198" t="str">
        <f ca="1">IF(C255="","",F255/([1]!S_STM07_BS(D255,141,$G$5,$H$13)/IF([1]!S_SHARE_TOTAL(D255,$G$5)=0,[1]!S_SHARE_TOTAL(D255,[1]!s_ipo_listeddate(D255)),[1]!S_SHARE_TOTAL(D255,$G$5))))</f>
        <v/>
      </c>
      <c r="S255" s="249" t="str">
        <f ca="1">IF(C255="","",[1]!S_SHARE_TOTAL(D255,TODAY())/$E$5)</f>
        <v/>
      </c>
      <c r="T255" s="249" t="str">
        <f t="shared" ca="1" si="31"/>
        <v/>
      </c>
      <c r="U255" s="172" t="str">
        <f t="shared" ca="1" si="32"/>
        <v/>
      </c>
      <c r="V255" s="343" t="str">
        <f t="shared" ca="1" si="33"/>
        <v/>
      </c>
      <c r="W255" s="139"/>
      <c r="Y255" s="1"/>
    </row>
    <row r="256" spans="3:25" ht="12" customHeight="1">
      <c r="C256" s="342" t="str">
        <f t="shared" ca="1" si="28"/>
        <v/>
      </c>
      <c r="D256" s="153" t="str">
        <f t="shared" ca="1" si="29"/>
        <v/>
      </c>
      <c r="E256" s="153" t="str">
        <f t="shared" ca="1" si="30"/>
        <v/>
      </c>
      <c r="F256" s="170" t="str">
        <f ca="1">IF(C256="","",[1]!S_DQ_CLOSE(D256,TODAY(),1))</f>
        <v/>
      </c>
      <c r="G256" s="171" t="str">
        <f ca="1">IF(C256="","",[1]!s_pq_pctchange(D256,TODAY()-$G$12,TODAY())/100)</f>
        <v/>
      </c>
      <c r="H256" s="247" t="str">
        <f ca="1">IF(C256="","",IF($H$11="收入",[1]!S_STM07_IS(D256,9,$G$5,$H$13)/$E$5,[1]!S_STM07_IS(D256,48,$G$5,$H$13)/$E$5))</f>
        <v/>
      </c>
      <c r="I256" s="247" t="str">
        <f ca="1">IF(C256="","",IF($I$11="毛利率",([1]!S_STM07_IS(D256,9,$G$5,$H$13)-[1]!S_STM07_IS(D256,10,$G$5,$H$13))/[1]!S_STM07_IS(D256,9,$G$5,$H$13),[1]!S_STM07_IS(D256,14,$G$5,$H$13)/$E$5))</f>
        <v/>
      </c>
      <c r="J256" s="247" t="str">
        <f ca="1">IF(C256="","",IF($J$11="营业利润率",[1]!S_STM07_IS(D256,48,$G$5,$H$13)/[1]!S_STM07_IS(D256,9,$G$5,$H$13),([1]!S_STM07_CS(D256,87,$G$5,$H$13)+[1]!S_STM07_CS(D256,88,$G$5,$H$13)+[1]!S_STM07_CS(D256,89,$G$5,$H$13))/$E$5))</f>
        <v/>
      </c>
      <c r="K256" s="247" t="str">
        <f ca="1">IF(C256="","",IF($K$11="净利润率",[1]!S_STM07_IS(D256,61,$G$5,$H$13)/[1]!S_STM07_IS(D256,9,$G$5,$H$13),[1]!S_STM07_IS(D256,55,$G$5,$H$13)/$E$5))</f>
        <v/>
      </c>
      <c r="L256" s="247" t="str">
        <f ca="1">IF(C256="","",IF($L$11="ROA",[1]!S_STM07_IS(D256,61,$G$5,$H$13)/[1]!S_STM07_BS(D256,74,$G$5,$H$13),1-[1]!S_STM07_IS(D256,61,$G$5,$H$13)/[1]!S_STM07_IS(D256,55,$G$5,$H$13)))</f>
        <v/>
      </c>
      <c r="M256" s="247" t="str">
        <f ca="1">IF(C256="","",IF($M$11="ROE",[1]!S_STM07_IS(D256,61,$G$5,$H$13)/[1]!S_STM07_BS(D256,141,$G$5,$H$13),([1]!S_STM07_BS(D256,25,$G$5,$H$13)-[1]!S_STM07_BS(D256,93,$G$5,$H$13))/$E$5))</f>
        <v/>
      </c>
      <c r="N256" s="247" t="str">
        <f ca="1">IF(C256="","",IF($N$11="EPS",[1]!S_STM07_IS(D256,61,$G$5,$H$13)/IF([1]!S_SHARE_TOTAL(D256,$G$5)=0,[1]!S_SHARE_TOTAL(D256,[1]!s_ipo_listeddate(D256)),[1]!S_SHARE_TOTAL(D256,$G$5)),([1]!S_STM07_BS(D256,75,$G$5,$H$13)+[1]!S_STM07_BS(D256,88,$G$5,$H$13)+[1]!S_STM07_BS(D256,94,$G$5,$H$13)+[1]!S_STM07_BS(D256,95,$G$5,$H$13))/$E$5))</f>
        <v/>
      </c>
      <c r="O256" s="247" t="str">
        <f ca="1">IF(C256="","",IF($O$11="BPS",[1]!S_STM07_BS(D256,141,$G$5,$H$13)/IF([1]!S_SHARE_TOTAL(D256,$G$5)=0,[1]!S_SHARE_TOTAL(D256,[1]!s_ipo_listeddate(D256)),[1]!S_SHARE_TOTAL(D256,$G$5)),[1]!S_STM07_CS(D256,49,$G$5,$H$13)/$E$5))</f>
        <v/>
      </c>
      <c r="P256" s="247" t="str">
        <f ca="1">IF(C256="","",IF($P$11="CFPS",[1]!S_STM07_CS(D256,84,$G$5,$H$13)/IF([1]!S_SHARE_TOTAL(D256,$G$5)=0,[1]!S_SHARE_TOTAL(D256,[1]!s_ipo_listeddate(D256)),[1]!S_SHARE_TOTAL(D256,$G$5)),[1]!S_STM07_CS(D256,84,$G$5,$H$13)/$E$5))</f>
        <v/>
      </c>
      <c r="Q256" s="248" t="str">
        <f ca="1">IF(C256="","",F256/([1]!S_STM07_IS(D256,61,$G$5,$H$13)/IF([1]!S_SHARE_TOTAL(D256,$G$5)=0,[1]!S_SHARE_TOTAL(D256,[1]!s_ipo_listeddate(D256)),[1]!S_SHARE_TOTAL(D256,$G$5))))</f>
        <v/>
      </c>
      <c r="R256" s="248" t="str">
        <f ca="1">IF(C256="","",F256/([1]!S_STM07_BS(D256,141,$G$5,$H$13)/IF([1]!S_SHARE_TOTAL(D256,$G$5)=0,[1]!S_SHARE_TOTAL(D256,[1]!s_ipo_listeddate(D256)),[1]!S_SHARE_TOTAL(D256,$G$5))))</f>
        <v/>
      </c>
      <c r="S256" s="247" t="str">
        <f ca="1">IF(C256="","",[1]!S_SHARE_TOTAL(D256,TODAY())/$E$5)</f>
        <v/>
      </c>
      <c r="T256" s="247" t="str">
        <f t="shared" ca="1" si="31"/>
        <v/>
      </c>
      <c r="U256" s="218" t="str">
        <f t="shared" ca="1" si="32"/>
        <v/>
      </c>
      <c r="V256" s="342" t="str">
        <f t="shared" ca="1" si="33"/>
        <v/>
      </c>
      <c r="W256" s="139"/>
      <c r="Y256" s="1"/>
    </row>
    <row r="257" spans="3:25" ht="12" customHeight="1">
      <c r="C257" s="343" t="str">
        <f t="shared" ca="1" si="28"/>
        <v/>
      </c>
      <c r="D257" s="124" t="str">
        <f t="shared" ca="1" si="29"/>
        <v/>
      </c>
      <c r="E257" s="124" t="str">
        <f t="shared" ca="1" si="30"/>
        <v/>
      </c>
      <c r="F257" s="172" t="str">
        <f ca="1">IF(C257="","",[1]!S_DQ_CLOSE(D257,TODAY(),1))</f>
        <v/>
      </c>
      <c r="G257" s="173" t="str">
        <f ca="1">IF(C257="","",[1]!s_pq_pctchange(D257,TODAY()-$G$12,TODAY())/100)</f>
        <v/>
      </c>
      <c r="H257" s="249" t="str">
        <f ca="1">IF(C257="","",IF($H$11="收入",[1]!S_STM07_IS(D257,9,$G$5,$H$13)/$E$5,[1]!S_STM07_IS(D257,48,$G$5,$H$13)/$E$5))</f>
        <v/>
      </c>
      <c r="I257" s="249" t="str">
        <f ca="1">IF(C257="","",IF($I$11="毛利率",([1]!S_STM07_IS(D257,9,$G$5,$H$13)-[1]!S_STM07_IS(D257,10,$G$5,$H$13))/[1]!S_STM07_IS(D257,9,$G$5,$H$13),[1]!S_STM07_IS(D257,14,$G$5,$H$13)/$E$5))</f>
        <v/>
      </c>
      <c r="J257" s="249" t="str">
        <f ca="1">IF(C257="","",IF($J$11="营业利润率",[1]!S_STM07_IS(D257,48,$G$5,$H$13)/[1]!S_STM07_IS(D257,9,$G$5,$H$13),([1]!S_STM07_CS(D257,87,$G$5,$H$13)+[1]!S_STM07_CS(D257,88,$G$5,$H$13)+[1]!S_STM07_CS(D257,89,$G$5,$H$13))/$E$5))</f>
        <v/>
      </c>
      <c r="K257" s="249" t="str">
        <f ca="1">IF(C257="","",IF($K$11="净利润率",[1]!S_STM07_IS(D257,61,$G$5,$H$13)/[1]!S_STM07_IS(D257,9,$G$5,$H$13),[1]!S_STM07_IS(D257,55,$G$5,$H$13)/$E$5))</f>
        <v/>
      </c>
      <c r="L257" s="249" t="str">
        <f ca="1">IF(C257="","",IF($L$11="ROA",[1]!S_STM07_IS(D257,61,$G$5,$H$13)/[1]!S_STM07_BS(D257,74,$G$5,$H$13),1-[1]!S_STM07_IS(D257,61,$G$5,$H$13)/[1]!S_STM07_IS(D257,55,$G$5,$H$13)))</f>
        <v/>
      </c>
      <c r="M257" s="249" t="str">
        <f ca="1">IF(C257="","",IF($M$11="ROE",[1]!S_STM07_IS(D257,61,$G$5,$H$13)/[1]!S_STM07_BS(D257,141,$G$5,$H$13),([1]!S_STM07_BS(D257,25,$G$5,$H$13)-[1]!S_STM07_BS(D257,93,$G$5,$H$13))/$E$5))</f>
        <v/>
      </c>
      <c r="N257" s="250" t="str">
        <f ca="1">IF(C257="","",IF($N$11="EPS",[1]!S_STM07_IS(D257,61,$G$5,$H$13)/IF([1]!S_SHARE_TOTAL(D257,$G$5)=0,[1]!S_SHARE_TOTAL(D257,[1]!s_ipo_listeddate(D257)),[1]!S_SHARE_TOTAL(D257,$G$5)),([1]!S_STM07_BS(D257,75,$G$5,$H$13)+[1]!S_STM07_BS(D257,88,$G$5,$H$13)+[1]!S_STM07_BS(D257,94,$G$5,$H$13)+[1]!S_STM07_BS(D257,95,$G$5,$H$13))/$E$5))</f>
        <v/>
      </c>
      <c r="O257" s="250" t="str">
        <f ca="1">IF(C257="","",IF($O$11="BPS",[1]!S_STM07_BS(D257,141,$G$5,$H$13)/IF([1]!S_SHARE_TOTAL(D257,$G$5)=0,[1]!S_SHARE_TOTAL(D257,[1]!s_ipo_listeddate(D257)),[1]!S_SHARE_TOTAL(D257,$G$5)),[1]!S_STM07_CS(D257,49,$G$5,$H$13)/$E$5))</f>
        <v/>
      </c>
      <c r="P257" s="250" t="str">
        <f ca="1">IF(C257="","",IF($P$11="CFPS",[1]!S_STM07_CS(D257,84,$G$5,$H$13)/IF([1]!S_SHARE_TOTAL(D257,$G$5)=0,[1]!S_SHARE_TOTAL(D257,[1]!s_ipo_listeddate(D257)),[1]!S_SHARE_TOTAL(D257,$G$5)),[1]!S_STM07_CS(D257,84,$G$5,$H$13)/$E$5))</f>
        <v/>
      </c>
      <c r="Q257" s="198" t="str">
        <f ca="1">IF(C257="","",F257/([1]!S_STM07_IS(D257,61,$G$5,$H$13)/IF([1]!S_SHARE_TOTAL(D257,$G$5)=0,[1]!S_SHARE_TOTAL(D257,[1]!s_ipo_listeddate(D257)),[1]!S_SHARE_TOTAL(D257,$G$5))))</f>
        <v/>
      </c>
      <c r="R257" s="198" t="str">
        <f ca="1">IF(C257="","",F257/([1]!S_STM07_BS(D257,141,$G$5,$H$13)/IF([1]!S_SHARE_TOTAL(D257,$G$5)=0,[1]!S_SHARE_TOTAL(D257,[1]!s_ipo_listeddate(D257)),[1]!S_SHARE_TOTAL(D257,$G$5))))</f>
        <v/>
      </c>
      <c r="S257" s="249" t="str">
        <f ca="1">IF(C257="","",[1]!S_SHARE_TOTAL(D257,TODAY())/$E$5)</f>
        <v/>
      </c>
      <c r="T257" s="249" t="str">
        <f t="shared" ca="1" si="31"/>
        <v/>
      </c>
      <c r="U257" s="172" t="str">
        <f t="shared" ca="1" si="32"/>
        <v/>
      </c>
      <c r="V257" s="343" t="str">
        <f t="shared" ca="1" si="33"/>
        <v/>
      </c>
      <c r="W257" s="139"/>
      <c r="Y257" s="1"/>
    </row>
    <row r="258" spans="3:25" ht="12" customHeight="1">
      <c r="C258" s="342" t="str">
        <f t="shared" ca="1" si="28"/>
        <v/>
      </c>
      <c r="D258" s="153" t="str">
        <f t="shared" ca="1" si="29"/>
        <v/>
      </c>
      <c r="E258" s="153" t="str">
        <f t="shared" ca="1" si="30"/>
        <v/>
      </c>
      <c r="F258" s="170" t="str">
        <f ca="1">IF(C258="","",[1]!S_DQ_CLOSE(D258,TODAY(),1))</f>
        <v/>
      </c>
      <c r="G258" s="171" t="str">
        <f ca="1">IF(C258="","",[1]!s_pq_pctchange(D258,TODAY()-$G$12,TODAY())/100)</f>
        <v/>
      </c>
      <c r="H258" s="247" t="str">
        <f ca="1">IF(C258="","",IF($H$11="收入",[1]!S_STM07_IS(D258,9,$G$5,$H$13)/$E$5,[1]!S_STM07_IS(D258,48,$G$5,$H$13)/$E$5))</f>
        <v/>
      </c>
      <c r="I258" s="247" t="str">
        <f ca="1">IF(C258="","",IF($I$11="毛利率",([1]!S_STM07_IS(D258,9,$G$5,$H$13)-[1]!S_STM07_IS(D258,10,$G$5,$H$13))/[1]!S_STM07_IS(D258,9,$G$5,$H$13),[1]!S_STM07_IS(D258,14,$G$5,$H$13)/$E$5))</f>
        <v/>
      </c>
      <c r="J258" s="247" t="str">
        <f ca="1">IF(C258="","",IF($J$11="营业利润率",[1]!S_STM07_IS(D258,48,$G$5,$H$13)/[1]!S_STM07_IS(D258,9,$G$5,$H$13),([1]!S_STM07_CS(D258,87,$G$5,$H$13)+[1]!S_STM07_CS(D258,88,$G$5,$H$13)+[1]!S_STM07_CS(D258,89,$G$5,$H$13))/$E$5))</f>
        <v/>
      </c>
      <c r="K258" s="247" t="str">
        <f ca="1">IF(C258="","",IF($K$11="净利润率",[1]!S_STM07_IS(D258,61,$G$5,$H$13)/[1]!S_STM07_IS(D258,9,$G$5,$H$13),[1]!S_STM07_IS(D258,55,$G$5,$H$13)/$E$5))</f>
        <v/>
      </c>
      <c r="L258" s="247" t="str">
        <f ca="1">IF(C258="","",IF($L$11="ROA",[1]!S_STM07_IS(D258,61,$G$5,$H$13)/[1]!S_STM07_BS(D258,74,$G$5,$H$13),1-[1]!S_STM07_IS(D258,61,$G$5,$H$13)/[1]!S_STM07_IS(D258,55,$G$5,$H$13)))</f>
        <v/>
      </c>
      <c r="M258" s="247" t="str">
        <f ca="1">IF(C258="","",IF($M$11="ROE",[1]!S_STM07_IS(D258,61,$G$5,$H$13)/[1]!S_STM07_BS(D258,141,$G$5,$H$13),([1]!S_STM07_BS(D258,25,$G$5,$H$13)-[1]!S_STM07_BS(D258,93,$G$5,$H$13))/$E$5))</f>
        <v/>
      </c>
      <c r="N258" s="247" t="str">
        <f ca="1">IF(C258="","",IF($N$11="EPS",[1]!S_STM07_IS(D258,61,$G$5,$H$13)/IF([1]!S_SHARE_TOTAL(D258,$G$5)=0,[1]!S_SHARE_TOTAL(D258,[1]!s_ipo_listeddate(D258)),[1]!S_SHARE_TOTAL(D258,$G$5)),([1]!S_STM07_BS(D258,75,$G$5,$H$13)+[1]!S_STM07_BS(D258,88,$G$5,$H$13)+[1]!S_STM07_BS(D258,94,$G$5,$H$13)+[1]!S_STM07_BS(D258,95,$G$5,$H$13))/$E$5))</f>
        <v/>
      </c>
      <c r="O258" s="247" t="str">
        <f ca="1">IF(C258="","",IF($O$11="BPS",[1]!S_STM07_BS(D258,141,$G$5,$H$13)/IF([1]!S_SHARE_TOTAL(D258,$G$5)=0,[1]!S_SHARE_TOTAL(D258,[1]!s_ipo_listeddate(D258)),[1]!S_SHARE_TOTAL(D258,$G$5)),[1]!S_STM07_CS(D258,49,$G$5,$H$13)/$E$5))</f>
        <v/>
      </c>
      <c r="P258" s="247" t="str">
        <f ca="1">IF(C258="","",IF($P$11="CFPS",[1]!S_STM07_CS(D258,84,$G$5,$H$13)/IF([1]!S_SHARE_TOTAL(D258,$G$5)=0,[1]!S_SHARE_TOTAL(D258,[1]!s_ipo_listeddate(D258)),[1]!S_SHARE_TOTAL(D258,$G$5)),[1]!S_STM07_CS(D258,84,$G$5,$H$13)/$E$5))</f>
        <v/>
      </c>
      <c r="Q258" s="248" t="str">
        <f ca="1">IF(C258="","",F258/([1]!S_STM07_IS(D258,61,$G$5,$H$13)/IF([1]!S_SHARE_TOTAL(D258,$G$5)=0,[1]!S_SHARE_TOTAL(D258,[1]!s_ipo_listeddate(D258)),[1]!S_SHARE_TOTAL(D258,$G$5))))</f>
        <v/>
      </c>
      <c r="R258" s="248" t="str">
        <f ca="1">IF(C258="","",F258/([1]!S_STM07_BS(D258,141,$G$5,$H$13)/IF([1]!S_SHARE_TOTAL(D258,$G$5)=0,[1]!S_SHARE_TOTAL(D258,[1]!s_ipo_listeddate(D258)),[1]!S_SHARE_TOTAL(D258,$G$5))))</f>
        <v/>
      </c>
      <c r="S258" s="247" t="str">
        <f ca="1">IF(C258="","",[1]!S_SHARE_TOTAL(D258,TODAY())/$E$5)</f>
        <v/>
      </c>
      <c r="T258" s="247" t="str">
        <f t="shared" ca="1" si="31"/>
        <v/>
      </c>
      <c r="U258" s="218" t="str">
        <f t="shared" ca="1" si="32"/>
        <v/>
      </c>
      <c r="V258" s="342" t="str">
        <f t="shared" ca="1" si="33"/>
        <v/>
      </c>
      <c r="W258" s="139"/>
      <c r="Y258" s="1"/>
    </row>
    <row r="259" spans="3:25" ht="12" customHeight="1">
      <c r="C259" s="343" t="str">
        <f t="shared" ca="1" si="28"/>
        <v/>
      </c>
      <c r="D259" s="124" t="str">
        <f t="shared" ca="1" si="29"/>
        <v/>
      </c>
      <c r="E259" s="124" t="str">
        <f t="shared" ca="1" si="30"/>
        <v/>
      </c>
      <c r="F259" s="172" t="str">
        <f ca="1">IF(C259="","",[1]!S_DQ_CLOSE(D259,TODAY(),1))</f>
        <v/>
      </c>
      <c r="G259" s="173" t="str">
        <f ca="1">IF(C259="","",[1]!s_pq_pctchange(D259,TODAY()-$G$12,TODAY())/100)</f>
        <v/>
      </c>
      <c r="H259" s="249" t="str">
        <f ca="1">IF(C259="","",IF($H$11="收入",[1]!S_STM07_IS(D259,9,$G$5,$H$13)/$E$5,[1]!S_STM07_IS(D259,48,$G$5,$H$13)/$E$5))</f>
        <v/>
      </c>
      <c r="I259" s="249" t="str">
        <f ca="1">IF(C259="","",IF($I$11="毛利率",([1]!S_STM07_IS(D259,9,$G$5,$H$13)-[1]!S_STM07_IS(D259,10,$G$5,$H$13))/[1]!S_STM07_IS(D259,9,$G$5,$H$13),[1]!S_STM07_IS(D259,14,$G$5,$H$13)/$E$5))</f>
        <v/>
      </c>
      <c r="J259" s="249" t="str">
        <f ca="1">IF(C259="","",IF($J$11="营业利润率",[1]!S_STM07_IS(D259,48,$G$5,$H$13)/[1]!S_STM07_IS(D259,9,$G$5,$H$13),([1]!S_STM07_CS(D259,87,$G$5,$H$13)+[1]!S_STM07_CS(D259,88,$G$5,$H$13)+[1]!S_STM07_CS(D259,89,$G$5,$H$13))/$E$5))</f>
        <v/>
      </c>
      <c r="K259" s="249" t="str">
        <f ca="1">IF(C259="","",IF($K$11="净利润率",[1]!S_STM07_IS(D259,61,$G$5,$H$13)/[1]!S_STM07_IS(D259,9,$G$5,$H$13),[1]!S_STM07_IS(D259,55,$G$5,$H$13)/$E$5))</f>
        <v/>
      </c>
      <c r="L259" s="249" t="str">
        <f ca="1">IF(C259="","",IF($L$11="ROA",[1]!S_STM07_IS(D259,61,$G$5,$H$13)/[1]!S_STM07_BS(D259,74,$G$5,$H$13),1-[1]!S_STM07_IS(D259,61,$G$5,$H$13)/[1]!S_STM07_IS(D259,55,$G$5,$H$13)))</f>
        <v/>
      </c>
      <c r="M259" s="249" t="str">
        <f ca="1">IF(C259="","",IF($M$11="ROE",[1]!S_STM07_IS(D259,61,$G$5,$H$13)/[1]!S_STM07_BS(D259,141,$G$5,$H$13),([1]!S_STM07_BS(D259,25,$G$5,$H$13)-[1]!S_STM07_BS(D259,93,$G$5,$H$13))/$E$5))</f>
        <v/>
      </c>
      <c r="N259" s="250" t="str">
        <f ca="1">IF(C259="","",IF($N$11="EPS",[1]!S_STM07_IS(D259,61,$G$5,$H$13)/IF([1]!S_SHARE_TOTAL(D259,$G$5)=0,[1]!S_SHARE_TOTAL(D259,[1]!s_ipo_listeddate(D259)),[1]!S_SHARE_TOTAL(D259,$G$5)),([1]!S_STM07_BS(D259,75,$G$5,$H$13)+[1]!S_STM07_BS(D259,88,$G$5,$H$13)+[1]!S_STM07_BS(D259,94,$G$5,$H$13)+[1]!S_STM07_BS(D259,95,$G$5,$H$13))/$E$5))</f>
        <v/>
      </c>
      <c r="O259" s="250" t="str">
        <f ca="1">IF(C259="","",IF($O$11="BPS",[1]!S_STM07_BS(D259,141,$G$5,$H$13)/IF([1]!S_SHARE_TOTAL(D259,$G$5)=0,[1]!S_SHARE_TOTAL(D259,[1]!s_ipo_listeddate(D259)),[1]!S_SHARE_TOTAL(D259,$G$5)),[1]!S_STM07_CS(D259,49,$G$5,$H$13)/$E$5))</f>
        <v/>
      </c>
      <c r="P259" s="250" t="str">
        <f ca="1">IF(C259="","",IF($P$11="CFPS",[1]!S_STM07_CS(D259,84,$G$5,$H$13)/IF([1]!S_SHARE_TOTAL(D259,$G$5)=0,[1]!S_SHARE_TOTAL(D259,[1]!s_ipo_listeddate(D259)),[1]!S_SHARE_TOTAL(D259,$G$5)),[1]!S_STM07_CS(D259,84,$G$5,$H$13)/$E$5))</f>
        <v/>
      </c>
      <c r="Q259" s="198" t="str">
        <f ca="1">IF(C259="","",F259/([1]!S_STM07_IS(D259,61,$G$5,$H$13)/IF([1]!S_SHARE_TOTAL(D259,$G$5)=0,[1]!S_SHARE_TOTAL(D259,[1]!s_ipo_listeddate(D259)),[1]!S_SHARE_TOTAL(D259,$G$5))))</f>
        <v/>
      </c>
      <c r="R259" s="198" t="str">
        <f ca="1">IF(C259="","",F259/([1]!S_STM07_BS(D259,141,$G$5,$H$13)/IF([1]!S_SHARE_TOTAL(D259,$G$5)=0,[1]!S_SHARE_TOTAL(D259,[1]!s_ipo_listeddate(D259)),[1]!S_SHARE_TOTAL(D259,$G$5))))</f>
        <v/>
      </c>
      <c r="S259" s="249" t="str">
        <f ca="1">IF(C259="","",[1]!S_SHARE_TOTAL(D259,TODAY())/$E$5)</f>
        <v/>
      </c>
      <c r="T259" s="249" t="str">
        <f t="shared" ca="1" si="31"/>
        <v/>
      </c>
      <c r="U259" s="172" t="str">
        <f t="shared" ca="1" si="32"/>
        <v/>
      </c>
      <c r="V259" s="343" t="str">
        <f t="shared" ca="1" si="33"/>
        <v/>
      </c>
      <c r="W259" s="139"/>
      <c r="Y259" s="1"/>
    </row>
    <row r="260" spans="3:25" ht="12" customHeight="1">
      <c r="C260" s="342" t="str">
        <f t="shared" ca="1" si="28"/>
        <v/>
      </c>
      <c r="D260" s="153" t="str">
        <f t="shared" ca="1" si="29"/>
        <v/>
      </c>
      <c r="E260" s="153" t="str">
        <f t="shared" ca="1" si="30"/>
        <v/>
      </c>
      <c r="F260" s="170" t="str">
        <f ca="1">IF(C260="","",[1]!S_DQ_CLOSE(D260,TODAY(),1))</f>
        <v/>
      </c>
      <c r="G260" s="171" t="str">
        <f ca="1">IF(C260="","",[1]!s_pq_pctchange(D260,TODAY()-$G$12,TODAY())/100)</f>
        <v/>
      </c>
      <c r="H260" s="247" t="str">
        <f ca="1">IF(C260="","",IF($H$11="收入",[1]!S_STM07_IS(D260,9,$G$5,$H$13)/$E$5,[1]!S_STM07_IS(D260,48,$G$5,$H$13)/$E$5))</f>
        <v/>
      </c>
      <c r="I260" s="247" t="str">
        <f ca="1">IF(C260="","",IF($I$11="毛利率",([1]!S_STM07_IS(D260,9,$G$5,$H$13)-[1]!S_STM07_IS(D260,10,$G$5,$H$13))/[1]!S_STM07_IS(D260,9,$G$5,$H$13),[1]!S_STM07_IS(D260,14,$G$5,$H$13)/$E$5))</f>
        <v/>
      </c>
      <c r="J260" s="247" t="str">
        <f ca="1">IF(C260="","",IF($J$11="营业利润率",[1]!S_STM07_IS(D260,48,$G$5,$H$13)/[1]!S_STM07_IS(D260,9,$G$5,$H$13),([1]!S_STM07_CS(D260,87,$G$5,$H$13)+[1]!S_STM07_CS(D260,88,$G$5,$H$13)+[1]!S_STM07_CS(D260,89,$G$5,$H$13))/$E$5))</f>
        <v/>
      </c>
      <c r="K260" s="247" t="str">
        <f ca="1">IF(C260="","",IF($K$11="净利润率",[1]!S_STM07_IS(D260,61,$G$5,$H$13)/[1]!S_STM07_IS(D260,9,$G$5,$H$13),[1]!S_STM07_IS(D260,55,$G$5,$H$13)/$E$5))</f>
        <v/>
      </c>
      <c r="L260" s="247" t="str">
        <f ca="1">IF(C260="","",IF($L$11="ROA",[1]!S_STM07_IS(D260,61,$G$5,$H$13)/[1]!S_STM07_BS(D260,74,$G$5,$H$13),1-[1]!S_STM07_IS(D260,61,$G$5,$H$13)/[1]!S_STM07_IS(D260,55,$G$5,$H$13)))</f>
        <v/>
      </c>
      <c r="M260" s="247" t="str">
        <f ca="1">IF(C260="","",IF($M$11="ROE",[1]!S_STM07_IS(D260,61,$G$5,$H$13)/[1]!S_STM07_BS(D260,141,$G$5,$H$13),([1]!S_STM07_BS(D260,25,$G$5,$H$13)-[1]!S_STM07_BS(D260,93,$G$5,$H$13))/$E$5))</f>
        <v/>
      </c>
      <c r="N260" s="247" t="str">
        <f ca="1">IF(C260="","",IF($N$11="EPS",[1]!S_STM07_IS(D260,61,$G$5,$H$13)/IF([1]!S_SHARE_TOTAL(D260,$G$5)=0,[1]!S_SHARE_TOTAL(D260,[1]!s_ipo_listeddate(D260)),[1]!S_SHARE_TOTAL(D260,$G$5)),([1]!S_STM07_BS(D260,75,$G$5,$H$13)+[1]!S_STM07_BS(D260,88,$G$5,$H$13)+[1]!S_STM07_BS(D260,94,$G$5,$H$13)+[1]!S_STM07_BS(D260,95,$G$5,$H$13))/$E$5))</f>
        <v/>
      </c>
      <c r="O260" s="247" t="str">
        <f ca="1">IF(C260="","",IF($O$11="BPS",[1]!S_STM07_BS(D260,141,$G$5,$H$13)/IF([1]!S_SHARE_TOTAL(D260,$G$5)=0,[1]!S_SHARE_TOTAL(D260,[1]!s_ipo_listeddate(D260)),[1]!S_SHARE_TOTAL(D260,$G$5)),[1]!S_STM07_CS(D260,49,$G$5,$H$13)/$E$5))</f>
        <v/>
      </c>
      <c r="P260" s="247" t="str">
        <f ca="1">IF(C260="","",IF($P$11="CFPS",[1]!S_STM07_CS(D260,84,$G$5,$H$13)/IF([1]!S_SHARE_TOTAL(D260,$G$5)=0,[1]!S_SHARE_TOTAL(D260,[1]!s_ipo_listeddate(D260)),[1]!S_SHARE_TOTAL(D260,$G$5)),[1]!S_STM07_CS(D260,84,$G$5,$H$13)/$E$5))</f>
        <v/>
      </c>
      <c r="Q260" s="248" t="str">
        <f ca="1">IF(C260="","",F260/([1]!S_STM07_IS(D260,61,$G$5,$H$13)/IF([1]!S_SHARE_TOTAL(D260,$G$5)=0,[1]!S_SHARE_TOTAL(D260,[1]!s_ipo_listeddate(D260)),[1]!S_SHARE_TOTAL(D260,$G$5))))</f>
        <v/>
      </c>
      <c r="R260" s="248" t="str">
        <f ca="1">IF(C260="","",F260/([1]!S_STM07_BS(D260,141,$G$5,$H$13)/IF([1]!S_SHARE_TOTAL(D260,$G$5)=0,[1]!S_SHARE_TOTAL(D260,[1]!s_ipo_listeddate(D260)),[1]!S_SHARE_TOTAL(D260,$G$5))))</f>
        <v/>
      </c>
      <c r="S260" s="247" t="str">
        <f ca="1">IF(C260="","",[1]!S_SHARE_TOTAL(D260,TODAY())/$E$5)</f>
        <v/>
      </c>
      <c r="T260" s="247" t="str">
        <f t="shared" ca="1" si="31"/>
        <v/>
      </c>
      <c r="U260" s="218" t="str">
        <f t="shared" ca="1" si="32"/>
        <v/>
      </c>
      <c r="V260" s="342" t="str">
        <f t="shared" ca="1" si="33"/>
        <v/>
      </c>
      <c r="W260" s="139"/>
      <c r="Y260" s="1"/>
    </row>
    <row r="261" spans="3:25" ht="12" customHeight="1">
      <c r="C261" s="343" t="str">
        <f t="shared" ca="1" si="28"/>
        <v/>
      </c>
      <c r="D261" s="124" t="str">
        <f t="shared" ca="1" si="29"/>
        <v/>
      </c>
      <c r="E261" s="124" t="str">
        <f t="shared" ca="1" si="30"/>
        <v/>
      </c>
      <c r="F261" s="172" t="str">
        <f ca="1">IF(C261="","",[1]!S_DQ_CLOSE(D261,TODAY(),1))</f>
        <v/>
      </c>
      <c r="G261" s="173" t="str">
        <f ca="1">IF(C261="","",[1]!s_pq_pctchange(D261,TODAY()-$G$12,TODAY())/100)</f>
        <v/>
      </c>
      <c r="H261" s="249" t="str">
        <f ca="1">IF(C261="","",IF($H$11="收入",[1]!S_STM07_IS(D261,9,$G$5,$H$13)/$E$5,[1]!S_STM07_IS(D261,48,$G$5,$H$13)/$E$5))</f>
        <v/>
      </c>
      <c r="I261" s="249" t="str">
        <f ca="1">IF(C261="","",IF($I$11="毛利率",([1]!S_STM07_IS(D261,9,$G$5,$H$13)-[1]!S_STM07_IS(D261,10,$G$5,$H$13))/[1]!S_STM07_IS(D261,9,$G$5,$H$13),[1]!S_STM07_IS(D261,14,$G$5,$H$13)/$E$5))</f>
        <v/>
      </c>
      <c r="J261" s="249" t="str">
        <f ca="1">IF(C261="","",IF($J$11="营业利润率",[1]!S_STM07_IS(D261,48,$G$5,$H$13)/[1]!S_STM07_IS(D261,9,$G$5,$H$13),([1]!S_STM07_CS(D261,87,$G$5,$H$13)+[1]!S_STM07_CS(D261,88,$G$5,$H$13)+[1]!S_STM07_CS(D261,89,$G$5,$H$13))/$E$5))</f>
        <v/>
      </c>
      <c r="K261" s="249" t="str">
        <f ca="1">IF(C261="","",IF($K$11="净利润率",[1]!S_STM07_IS(D261,61,$G$5,$H$13)/[1]!S_STM07_IS(D261,9,$G$5,$H$13),[1]!S_STM07_IS(D261,55,$G$5,$H$13)/$E$5))</f>
        <v/>
      </c>
      <c r="L261" s="249" t="str">
        <f ca="1">IF(C261="","",IF($L$11="ROA",[1]!S_STM07_IS(D261,61,$G$5,$H$13)/[1]!S_STM07_BS(D261,74,$G$5,$H$13),1-[1]!S_STM07_IS(D261,61,$G$5,$H$13)/[1]!S_STM07_IS(D261,55,$G$5,$H$13)))</f>
        <v/>
      </c>
      <c r="M261" s="249" t="str">
        <f ca="1">IF(C261="","",IF($M$11="ROE",[1]!S_STM07_IS(D261,61,$G$5,$H$13)/[1]!S_STM07_BS(D261,141,$G$5,$H$13),([1]!S_STM07_BS(D261,25,$G$5,$H$13)-[1]!S_STM07_BS(D261,93,$G$5,$H$13))/$E$5))</f>
        <v/>
      </c>
      <c r="N261" s="250" t="str">
        <f ca="1">IF(C261="","",IF($N$11="EPS",[1]!S_STM07_IS(D261,61,$G$5,$H$13)/IF([1]!S_SHARE_TOTAL(D261,$G$5)=0,[1]!S_SHARE_TOTAL(D261,[1]!s_ipo_listeddate(D261)),[1]!S_SHARE_TOTAL(D261,$G$5)),([1]!S_STM07_BS(D261,75,$G$5,$H$13)+[1]!S_STM07_BS(D261,88,$G$5,$H$13)+[1]!S_STM07_BS(D261,94,$G$5,$H$13)+[1]!S_STM07_BS(D261,95,$G$5,$H$13))/$E$5))</f>
        <v/>
      </c>
      <c r="O261" s="250" t="str">
        <f ca="1">IF(C261="","",IF($O$11="BPS",[1]!S_STM07_BS(D261,141,$G$5,$H$13)/IF([1]!S_SHARE_TOTAL(D261,$G$5)=0,[1]!S_SHARE_TOTAL(D261,[1]!s_ipo_listeddate(D261)),[1]!S_SHARE_TOTAL(D261,$G$5)),[1]!S_STM07_CS(D261,49,$G$5,$H$13)/$E$5))</f>
        <v/>
      </c>
      <c r="P261" s="250" t="str">
        <f ca="1">IF(C261="","",IF($P$11="CFPS",[1]!S_STM07_CS(D261,84,$G$5,$H$13)/IF([1]!S_SHARE_TOTAL(D261,$G$5)=0,[1]!S_SHARE_TOTAL(D261,[1]!s_ipo_listeddate(D261)),[1]!S_SHARE_TOTAL(D261,$G$5)),[1]!S_STM07_CS(D261,84,$G$5,$H$13)/$E$5))</f>
        <v/>
      </c>
      <c r="Q261" s="198" t="str">
        <f ca="1">IF(C261="","",F261/([1]!S_STM07_IS(D261,61,$G$5,$H$13)/IF([1]!S_SHARE_TOTAL(D261,$G$5)=0,[1]!S_SHARE_TOTAL(D261,[1]!s_ipo_listeddate(D261)),[1]!S_SHARE_TOTAL(D261,$G$5))))</f>
        <v/>
      </c>
      <c r="R261" s="198" t="str">
        <f ca="1">IF(C261="","",F261/([1]!S_STM07_BS(D261,141,$G$5,$H$13)/IF([1]!S_SHARE_TOTAL(D261,$G$5)=0,[1]!S_SHARE_TOTAL(D261,[1]!s_ipo_listeddate(D261)),[1]!S_SHARE_TOTAL(D261,$G$5))))</f>
        <v/>
      </c>
      <c r="S261" s="249" t="str">
        <f ca="1">IF(C261="","",[1]!S_SHARE_TOTAL(D261,TODAY())/$E$5)</f>
        <v/>
      </c>
      <c r="T261" s="249" t="str">
        <f t="shared" ca="1" si="31"/>
        <v/>
      </c>
      <c r="U261" s="172" t="str">
        <f t="shared" ca="1" si="32"/>
        <v/>
      </c>
      <c r="V261" s="343" t="str">
        <f t="shared" ca="1" si="33"/>
        <v/>
      </c>
      <c r="W261" s="139"/>
      <c r="Y261" s="1"/>
    </row>
    <row r="262" spans="3:25" ht="12" customHeight="1">
      <c r="C262" s="342" t="str">
        <f t="shared" ca="1" si="28"/>
        <v/>
      </c>
      <c r="D262" s="153" t="str">
        <f t="shared" ca="1" si="29"/>
        <v/>
      </c>
      <c r="E262" s="153" t="str">
        <f t="shared" ca="1" si="30"/>
        <v/>
      </c>
      <c r="F262" s="170" t="str">
        <f ca="1">IF(C262="","",[1]!S_DQ_CLOSE(D262,TODAY(),1))</f>
        <v/>
      </c>
      <c r="G262" s="171" t="str">
        <f ca="1">IF(C262="","",[1]!s_pq_pctchange(D262,TODAY()-$G$12,TODAY())/100)</f>
        <v/>
      </c>
      <c r="H262" s="247" t="str">
        <f ca="1">IF(C262="","",IF($H$11="收入",[1]!S_STM07_IS(D262,9,$G$5,$H$13)/$E$5,[1]!S_STM07_IS(D262,48,$G$5,$H$13)/$E$5))</f>
        <v/>
      </c>
      <c r="I262" s="247" t="str">
        <f ca="1">IF(C262="","",IF($I$11="毛利率",([1]!S_STM07_IS(D262,9,$G$5,$H$13)-[1]!S_STM07_IS(D262,10,$G$5,$H$13))/[1]!S_STM07_IS(D262,9,$G$5,$H$13),[1]!S_STM07_IS(D262,14,$G$5,$H$13)/$E$5))</f>
        <v/>
      </c>
      <c r="J262" s="247" t="str">
        <f ca="1">IF(C262="","",IF($J$11="营业利润率",[1]!S_STM07_IS(D262,48,$G$5,$H$13)/[1]!S_STM07_IS(D262,9,$G$5,$H$13),([1]!S_STM07_CS(D262,87,$G$5,$H$13)+[1]!S_STM07_CS(D262,88,$G$5,$H$13)+[1]!S_STM07_CS(D262,89,$G$5,$H$13))/$E$5))</f>
        <v/>
      </c>
      <c r="K262" s="247" t="str">
        <f ca="1">IF(C262="","",IF($K$11="净利润率",[1]!S_STM07_IS(D262,61,$G$5,$H$13)/[1]!S_STM07_IS(D262,9,$G$5,$H$13),[1]!S_STM07_IS(D262,55,$G$5,$H$13)/$E$5))</f>
        <v/>
      </c>
      <c r="L262" s="247" t="str">
        <f ca="1">IF(C262="","",IF($L$11="ROA",[1]!S_STM07_IS(D262,61,$G$5,$H$13)/[1]!S_STM07_BS(D262,74,$G$5,$H$13),1-[1]!S_STM07_IS(D262,61,$G$5,$H$13)/[1]!S_STM07_IS(D262,55,$G$5,$H$13)))</f>
        <v/>
      </c>
      <c r="M262" s="247" t="str">
        <f ca="1">IF(C262="","",IF($M$11="ROE",[1]!S_STM07_IS(D262,61,$G$5,$H$13)/[1]!S_STM07_BS(D262,141,$G$5,$H$13),([1]!S_STM07_BS(D262,25,$G$5,$H$13)-[1]!S_STM07_BS(D262,93,$G$5,$H$13))/$E$5))</f>
        <v/>
      </c>
      <c r="N262" s="247" t="str">
        <f ca="1">IF(C262="","",IF($N$11="EPS",[1]!S_STM07_IS(D262,61,$G$5,$H$13)/IF([1]!S_SHARE_TOTAL(D262,$G$5)=0,[1]!S_SHARE_TOTAL(D262,[1]!s_ipo_listeddate(D262)),[1]!S_SHARE_TOTAL(D262,$G$5)),([1]!S_STM07_BS(D262,75,$G$5,$H$13)+[1]!S_STM07_BS(D262,88,$G$5,$H$13)+[1]!S_STM07_BS(D262,94,$G$5,$H$13)+[1]!S_STM07_BS(D262,95,$G$5,$H$13))/$E$5))</f>
        <v/>
      </c>
      <c r="O262" s="247" t="str">
        <f ca="1">IF(C262="","",IF($O$11="BPS",[1]!S_STM07_BS(D262,141,$G$5,$H$13)/IF([1]!S_SHARE_TOTAL(D262,$G$5)=0,[1]!S_SHARE_TOTAL(D262,[1]!s_ipo_listeddate(D262)),[1]!S_SHARE_TOTAL(D262,$G$5)),[1]!S_STM07_CS(D262,49,$G$5,$H$13)/$E$5))</f>
        <v/>
      </c>
      <c r="P262" s="247" t="str">
        <f ca="1">IF(C262="","",IF($P$11="CFPS",[1]!S_STM07_CS(D262,84,$G$5,$H$13)/IF([1]!S_SHARE_TOTAL(D262,$G$5)=0,[1]!S_SHARE_TOTAL(D262,[1]!s_ipo_listeddate(D262)),[1]!S_SHARE_TOTAL(D262,$G$5)),[1]!S_STM07_CS(D262,84,$G$5,$H$13)/$E$5))</f>
        <v/>
      </c>
      <c r="Q262" s="248" t="str">
        <f ca="1">IF(C262="","",F262/([1]!S_STM07_IS(D262,61,$G$5,$H$13)/IF([1]!S_SHARE_TOTAL(D262,$G$5)=0,[1]!S_SHARE_TOTAL(D262,[1]!s_ipo_listeddate(D262)),[1]!S_SHARE_TOTAL(D262,$G$5))))</f>
        <v/>
      </c>
      <c r="R262" s="248" t="str">
        <f ca="1">IF(C262="","",F262/([1]!S_STM07_BS(D262,141,$G$5,$H$13)/IF([1]!S_SHARE_TOTAL(D262,$G$5)=0,[1]!S_SHARE_TOTAL(D262,[1]!s_ipo_listeddate(D262)),[1]!S_SHARE_TOTAL(D262,$G$5))))</f>
        <v/>
      </c>
      <c r="S262" s="247" t="str">
        <f ca="1">IF(C262="","",[1]!S_SHARE_TOTAL(D262,TODAY())/$E$5)</f>
        <v/>
      </c>
      <c r="T262" s="247" t="str">
        <f t="shared" ca="1" si="31"/>
        <v/>
      </c>
      <c r="U262" s="218" t="str">
        <f t="shared" ca="1" si="32"/>
        <v/>
      </c>
      <c r="V262" s="342" t="str">
        <f t="shared" ca="1" si="33"/>
        <v/>
      </c>
      <c r="W262" s="139"/>
      <c r="Y262" s="1"/>
    </row>
    <row r="263" spans="3:25" ht="12" customHeight="1">
      <c r="C263" s="343" t="str">
        <f t="shared" ca="1" si="28"/>
        <v/>
      </c>
      <c r="D263" s="124" t="str">
        <f t="shared" ca="1" si="29"/>
        <v/>
      </c>
      <c r="E263" s="124" t="str">
        <f t="shared" ca="1" si="30"/>
        <v/>
      </c>
      <c r="F263" s="172" t="str">
        <f ca="1">IF(C263="","",[1]!S_DQ_CLOSE(D263,TODAY(),1))</f>
        <v/>
      </c>
      <c r="G263" s="173" t="str">
        <f ca="1">IF(C263="","",[1]!s_pq_pctchange(D263,TODAY()-$G$12,TODAY())/100)</f>
        <v/>
      </c>
      <c r="H263" s="249" t="str">
        <f ca="1">IF(C263="","",IF($H$11="收入",[1]!S_STM07_IS(D263,9,$G$5,$H$13)/$E$5,[1]!S_STM07_IS(D263,48,$G$5,$H$13)/$E$5))</f>
        <v/>
      </c>
      <c r="I263" s="249" t="str">
        <f ca="1">IF(C263="","",IF($I$11="毛利率",([1]!S_STM07_IS(D263,9,$G$5,$H$13)-[1]!S_STM07_IS(D263,10,$G$5,$H$13))/[1]!S_STM07_IS(D263,9,$G$5,$H$13),[1]!S_STM07_IS(D263,14,$G$5,$H$13)/$E$5))</f>
        <v/>
      </c>
      <c r="J263" s="249" t="str">
        <f ca="1">IF(C263="","",IF($J$11="营业利润率",[1]!S_STM07_IS(D263,48,$G$5,$H$13)/[1]!S_STM07_IS(D263,9,$G$5,$H$13),([1]!S_STM07_CS(D263,87,$G$5,$H$13)+[1]!S_STM07_CS(D263,88,$G$5,$H$13)+[1]!S_STM07_CS(D263,89,$G$5,$H$13))/$E$5))</f>
        <v/>
      </c>
      <c r="K263" s="249" t="str">
        <f ca="1">IF(C263="","",IF($K$11="净利润率",[1]!S_STM07_IS(D263,61,$G$5,$H$13)/[1]!S_STM07_IS(D263,9,$G$5,$H$13),[1]!S_STM07_IS(D263,55,$G$5,$H$13)/$E$5))</f>
        <v/>
      </c>
      <c r="L263" s="249" t="str">
        <f ca="1">IF(C263="","",IF($L$11="ROA",[1]!S_STM07_IS(D263,61,$G$5,$H$13)/[1]!S_STM07_BS(D263,74,$G$5,$H$13),1-[1]!S_STM07_IS(D263,61,$G$5,$H$13)/[1]!S_STM07_IS(D263,55,$G$5,$H$13)))</f>
        <v/>
      </c>
      <c r="M263" s="249" t="str">
        <f ca="1">IF(C263="","",IF($M$11="ROE",[1]!S_STM07_IS(D263,61,$G$5,$H$13)/[1]!S_STM07_BS(D263,141,$G$5,$H$13),([1]!S_STM07_BS(D263,25,$G$5,$H$13)-[1]!S_STM07_BS(D263,93,$G$5,$H$13))/$E$5))</f>
        <v/>
      </c>
      <c r="N263" s="250" t="str">
        <f ca="1">IF(C263="","",IF($N$11="EPS",[1]!S_STM07_IS(D263,61,$G$5,$H$13)/IF([1]!S_SHARE_TOTAL(D263,$G$5)=0,[1]!S_SHARE_TOTAL(D263,[1]!s_ipo_listeddate(D263)),[1]!S_SHARE_TOTAL(D263,$G$5)),([1]!S_STM07_BS(D263,75,$G$5,$H$13)+[1]!S_STM07_BS(D263,88,$G$5,$H$13)+[1]!S_STM07_BS(D263,94,$G$5,$H$13)+[1]!S_STM07_BS(D263,95,$G$5,$H$13))/$E$5))</f>
        <v/>
      </c>
      <c r="O263" s="250" t="str">
        <f ca="1">IF(C263="","",IF($O$11="BPS",[1]!S_STM07_BS(D263,141,$G$5,$H$13)/IF([1]!S_SHARE_TOTAL(D263,$G$5)=0,[1]!S_SHARE_TOTAL(D263,[1]!s_ipo_listeddate(D263)),[1]!S_SHARE_TOTAL(D263,$G$5)),[1]!S_STM07_CS(D263,49,$G$5,$H$13)/$E$5))</f>
        <v/>
      </c>
      <c r="P263" s="250" t="str">
        <f ca="1">IF(C263="","",IF($P$11="CFPS",[1]!S_STM07_CS(D263,84,$G$5,$H$13)/IF([1]!S_SHARE_TOTAL(D263,$G$5)=0,[1]!S_SHARE_TOTAL(D263,[1]!s_ipo_listeddate(D263)),[1]!S_SHARE_TOTAL(D263,$G$5)),[1]!S_STM07_CS(D263,84,$G$5,$H$13)/$E$5))</f>
        <v/>
      </c>
      <c r="Q263" s="198" t="str">
        <f ca="1">IF(C263="","",F263/([1]!S_STM07_IS(D263,61,$G$5,$H$13)/IF([1]!S_SHARE_TOTAL(D263,$G$5)=0,[1]!S_SHARE_TOTAL(D263,[1]!s_ipo_listeddate(D263)),[1]!S_SHARE_TOTAL(D263,$G$5))))</f>
        <v/>
      </c>
      <c r="R263" s="198" t="str">
        <f ca="1">IF(C263="","",F263/([1]!S_STM07_BS(D263,141,$G$5,$H$13)/IF([1]!S_SHARE_TOTAL(D263,$G$5)=0,[1]!S_SHARE_TOTAL(D263,[1]!s_ipo_listeddate(D263)),[1]!S_SHARE_TOTAL(D263,$G$5))))</f>
        <v/>
      </c>
      <c r="S263" s="249" t="str">
        <f ca="1">IF(C263="","",[1]!S_SHARE_TOTAL(D263,TODAY())/$E$5)</f>
        <v/>
      </c>
      <c r="T263" s="249" t="str">
        <f t="shared" ca="1" si="31"/>
        <v/>
      </c>
      <c r="U263" s="172" t="str">
        <f t="shared" ca="1" si="32"/>
        <v/>
      </c>
      <c r="V263" s="343" t="str">
        <f t="shared" ca="1" si="33"/>
        <v/>
      </c>
      <c r="W263" s="139"/>
      <c r="Y263" s="1"/>
    </row>
    <row r="264" spans="3:25" ht="12" customHeight="1">
      <c r="C264" s="342" t="str">
        <f t="shared" ca="1" si="28"/>
        <v/>
      </c>
      <c r="D264" s="153" t="str">
        <f t="shared" ca="1" si="29"/>
        <v/>
      </c>
      <c r="E264" s="153" t="str">
        <f t="shared" ca="1" si="30"/>
        <v/>
      </c>
      <c r="F264" s="170" t="str">
        <f ca="1">IF(C264="","",[1]!S_DQ_CLOSE(D264,TODAY(),1))</f>
        <v/>
      </c>
      <c r="G264" s="171" t="str">
        <f ca="1">IF(C264="","",[1]!s_pq_pctchange(D264,TODAY()-$G$12,TODAY())/100)</f>
        <v/>
      </c>
      <c r="H264" s="247" t="str">
        <f ca="1">IF(C264="","",IF($H$11="收入",[1]!S_STM07_IS(D264,9,$G$5,$H$13)/$E$5,[1]!S_STM07_IS(D264,48,$G$5,$H$13)/$E$5))</f>
        <v/>
      </c>
      <c r="I264" s="247" t="str">
        <f ca="1">IF(C264="","",IF($I$11="毛利率",([1]!S_STM07_IS(D264,9,$G$5,$H$13)-[1]!S_STM07_IS(D264,10,$G$5,$H$13))/[1]!S_STM07_IS(D264,9,$G$5,$H$13),[1]!S_STM07_IS(D264,14,$G$5,$H$13)/$E$5))</f>
        <v/>
      </c>
      <c r="J264" s="247" t="str">
        <f ca="1">IF(C264="","",IF($J$11="营业利润率",[1]!S_STM07_IS(D264,48,$G$5,$H$13)/[1]!S_STM07_IS(D264,9,$G$5,$H$13),([1]!S_STM07_CS(D264,87,$G$5,$H$13)+[1]!S_STM07_CS(D264,88,$G$5,$H$13)+[1]!S_STM07_CS(D264,89,$G$5,$H$13))/$E$5))</f>
        <v/>
      </c>
      <c r="K264" s="247" t="str">
        <f ca="1">IF(C264="","",IF($K$11="净利润率",[1]!S_STM07_IS(D264,61,$G$5,$H$13)/[1]!S_STM07_IS(D264,9,$G$5,$H$13),[1]!S_STM07_IS(D264,55,$G$5,$H$13)/$E$5))</f>
        <v/>
      </c>
      <c r="L264" s="247" t="str">
        <f ca="1">IF(C264="","",IF($L$11="ROA",[1]!S_STM07_IS(D264,61,$G$5,$H$13)/[1]!S_STM07_BS(D264,74,$G$5,$H$13),1-[1]!S_STM07_IS(D264,61,$G$5,$H$13)/[1]!S_STM07_IS(D264,55,$G$5,$H$13)))</f>
        <v/>
      </c>
      <c r="M264" s="247" t="str">
        <f ca="1">IF(C264="","",IF($M$11="ROE",[1]!S_STM07_IS(D264,61,$G$5,$H$13)/[1]!S_STM07_BS(D264,141,$G$5,$H$13),([1]!S_STM07_BS(D264,25,$G$5,$H$13)-[1]!S_STM07_BS(D264,93,$G$5,$H$13))/$E$5))</f>
        <v/>
      </c>
      <c r="N264" s="247" t="str">
        <f ca="1">IF(C264="","",IF($N$11="EPS",[1]!S_STM07_IS(D264,61,$G$5,$H$13)/IF([1]!S_SHARE_TOTAL(D264,$G$5)=0,[1]!S_SHARE_TOTAL(D264,[1]!s_ipo_listeddate(D264)),[1]!S_SHARE_TOTAL(D264,$G$5)),([1]!S_STM07_BS(D264,75,$G$5,$H$13)+[1]!S_STM07_BS(D264,88,$G$5,$H$13)+[1]!S_STM07_BS(D264,94,$G$5,$H$13)+[1]!S_STM07_BS(D264,95,$G$5,$H$13))/$E$5))</f>
        <v/>
      </c>
      <c r="O264" s="247" t="str">
        <f ca="1">IF(C264="","",IF($O$11="BPS",[1]!S_STM07_BS(D264,141,$G$5,$H$13)/IF([1]!S_SHARE_TOTAL(D264,$G$5)=0,[1]!S_SHARE_TOTAL(D264,[1]!s_ipo_listeddate(D264)),[1]!S_SHARE_TOTAL(D264,$G$5)),[1]!S_STM07_CS(D264,49,$G$5,$H$13)/$E$5))</f>
        <v/>
      </c>
      <c r="P264" s="247" t="str">
        <f ca="1">IF(C264="","",IF($P$11="CFPS",[1]!S_STM07_CS(D264,84,$G$5,$H$13)/IF([1]!S_SHARE_TOTAL(D264,$G$5)=0,[1]!S_SHARE_TOTAL(D264,[1]!s_ipo_listeddate(D264)),[1]!S_SHARE_TOTAL(D264,$G$5)),[1]!S_STM07_CS(D264,84,$G$5,$H$13)/$E$5))</f>
        <v/>
      </c>
      <c r="Q264" s="248" t="str">
        <f ca="1">IF(C264="","",F264/([1]!S_STM07_IS(D264,61,$G$5,$H$13)/IF([1]!S_SHARE_TOTAL(D264,$G$5)=0,[1]!S_SHARE_TOTAL(D264,[1]!s_ipo_listeddate(D264)),[1]!S_SHARE_TOTAL(D264,$G$5))))</f>
        <v/>
      </c>
      <c r="R264" s="248" t="str">
        <f ca="1">IF(C264="","",F264/([1]!S_STM07_BS(D264,141,$G$5,$H$13)/IF([1]!S_SHARE_TOTAL(D264,$G$5)=0,[1]!S_SHARE_TOTAL(D264,[1]!s_ipo_listeddate(D264)),[1]!S_SHARE_TOTAL(D264,$G$5))))</f>
        <v/>
      </c>
      <c r="S264" s="247" t="str">
        <f ca="1">IF(C264="","",[1]!S_SHARE_TOTAL(D264,TODAY())/$E$5)</f>
        <v/>
      </c>
      <c r="T264" s="247" t="str">
        <f t="shared" ca="1" si="31"/>
        <v/>
      </c>
      <c r="U264" s="218" t="str">
        <f t="shared" ca="1" si="32"/>
        <v/>
      </c>
      <c r="V264" s="342" t="str">
        <f t="shared" ca="1" si="33"/>
        <v/>
      </c>
      <c r="W264" s="139"/>
      <c r="Y264" s="1"/>
    </row>
    <row r="265" spans="3:25" ht="12" customHeight="1">
      <c r="C265" s="343" t="str">
        <f t="shared" ca="1" si="28"/>
        <v/>
      </c>
      <c r="D265" s="124" t="str">
        <f t="shared" ca="1" si="29"/>
        <v/>
      </c>
      <c r="E265" s="124" t="str">
        <f t="shared" ca="1" si="30"/>
        <v/>
      </c>
      <c r="F265" s="172" t="str">
        <f ca="1">IF(C265="","",[1]!S_DQ_CLOSE(D265,TODAY(),1))</f>
        <v/>
      </c>
      <c r="G265" s="173" t="str">
        <f ca="1">IF(C265="","",[1]!s_pq_pctchange(D265,TODAY()-$G$12,TODAY())/100)</f>
        <v/>
      </c>
      <c r="H265" s="249" t="str">
        <f ca="1">IF(C265="","",IF($H$11="收入",[1]!S_STM07_IS(D265,9,$G$5,$H$13)/$E$5,[1]!S_STM07_IS(D265,48,$G$5,$H$13)/$E$5))</f>
        <v/>
      </c>
      <c r="I265" s="249" t="str">
        <f ca="1">IF(C265="","",IF($I$11="毛利率",([1]!S_STM07_IS(D265,9,$G$5,$H$13)-[1]!S_STM07_IS(D265,10,$G$5,$H$13))/[1]!S_STM07_IS(D265,9,$G$5,$H$13),[1]!S_STM07_IS(D265,14,$G$5,$H$13)/$E$5))</f>
        <v/>
      </c>
      <c r="J265" s="249" t="str">
        <f ca="1">IF(C265="","",IF($J$11="营业利润率",[1]!S_STM07_IS(D265,48,$G$5,$H$13)/[1]!S_STM07_IS(D265,9,$G$5,$H$13),([1]!S_STM07_CS(D265,87,$G$5,$H$13)+[1]!S_STM07_CS(D265,88,$G$5,$H$13)+[1]!S_STM07_CS(D265,89,$G$5,$H$13))/$E$5))</f>
        <v/>
      </c>
      <c r="K265" s="249" t="str">
        <f ca="1">IF(C265="","",IF($K$11="净利润率",[1]!S_STM07_IS(D265,61,$G$5,$H$13)/[1]!S_STM07_IS(D265,9,$G$5,$H$13),[1]!S_STM07_IS(D265,55,$G$5,$H$13)/$E$5))</f>
        <v/>
      </c>
      <c r="L265" s="249" t="str">
        <f ca="1">IF(C265="","",IF($L$11="ROA",[1]!S_STM07_IS(D265,61,$G$5,$H$13)/[1]!S_STM07_BS(D265,74,$G$5,$H$13),1-[1]!S_STM07_IS(D265,61,$G$5,$H$13)/[1]!S_STM07_IS(D265,55,$G$5,$H$13)))</f>
        <v/>
      </c>
      <c r="M265" s="249" t="str">
        <f ca="1">IF(C265="","",IF($M$11="ROE",[1]!S_STM07_IS(D265,61,$G$5,$H$13)/[1]!S_STM07_BS(D265,141,$G$5,$H$13),([1]!S_STM07_BS(D265,25,$G$5,$H$13)-[1]!S_STM07_BS(D265,93,$G$5,$H$13))/$E$5))</f>
        <v/>
      </c>
      <c r="N265" s="250" t="str">
        <f ca="1">IF(C265="","",IF($N$11="EPS",[1]!S_STM07_IS(D265,61,$G$5,$H$13)/IF([1]!S_SHARE_TOTAL(D265,$G$5)=0,[1]!S_SHARE_TOTAL(D265,[1]!s_ipo_listeddate(D265)),[1]!S_SHARE_TOTAL(D265,$G$5)),([1]!S_STM07_BS(D265,75,$G$5,$H$13)+[1]!S_STM07_BS(D265,88,$G$5,$H$13)+[1]!S_STM07_BS(D265,94,$G$5,$H$13)+[1]!S_STM07_BS(D265,95,$G$5,$H$13))/$E$5))</f>
        <v/>
      </c>
      <c r="O265" s="250" t="str">
        <f ca="1">IF(C265="","",IF($O$11="BPS",[1]!S_STM07_BS(D265,141,$G$5,$H$13)/IF([1]!S_SHARE_TOTAL(D265,$G$5)=0,[1]!S_SHARE_TOTAL(D265,[1]!s_ipo_listeddate(D265)),[1]!S_SHARE_TOTAL(D265,$G$5)),[1]!S_STM07_CS(D265,49,$G$5,$H$13)/$E$5))</f>
        <v/>
      </c>
      <c r="P265" s="250" t="str">
        <f ca="1">IF(C265="","",IF($P$11="CFPS",[1]!S_STM07_CS(D265,84,$G$5,$H$13)/IF([1]!S_SHARE_TOTAL(D265,$G$5)=0,[1]!S_SHARE_TOTAL(D265,[1]!s_ipo_listeddate(D265)),[1]!S_SHARE_TOTAL(D265,$G$5)),[1]!S_STM07_CS(D265,84,$G$5,$H$13)/$E$5))</f>
        <v/>
      </c>
      <c r="Q265" s="198" t="str">
        <f ca="1">IF(C265="","",F265/([1]!S_STM07_IS(D265,61,$G$5,$H$13)/IF([1]!S_SHARE_TOTAL(D265,$G$5)=0,[1]!S_SHARE_TOTAL(D265,[1]!s_ipo_listeddate(D265)),[1]!S_SHARE_TOTAL(D265,$G$5))))</f>
        <v/>
      </c>
      <c r="R265" s="198" t="str">
        <f ca="1">IF(C265="","",F265/([1]!S_STM07_BS(D265,141,$G$5,$H$13)/IF([1]!S_SHARE_TOTAL(D265,$G$5)=0,[1]!S_SHARE_TOTAL(D265,[1]!s_ipo_listeddate(D265)),[1]!S_SHARE_TOTAL(D265,$G$5))))</f>
        <v/>
      </c>
      <c r="S265" s="249" t="str">
        <f ca="1">IF(C265="","",[1]!S_SHARE_TOTAL(D265,TODAY())/$E$5)</f>
        <v/>
      </c>
      <c r="T265" s="249" t="str">
        <f t="shared" ca="1" si="31"/>
        <v/>
      </c>
      <c r="U265" s="172" t="str">
        <f t="shared" ca="1" si="32"/>
        <v/>
      </c>
      <c r="V265" s="343" t="str">
        <f t="shared" ca="1" si="33"/>
        <v/>
      </c>
      <c r="W265" s="139"/>
      <c r="Y265" s="1"/>
    </row>
    <row r="266" spans="3:25" ht="12" customHeight="1">
      <c r="C266" s="342" t="str">
        <f t="shared" ca="1" si="28"/>
        <v/>
      </c>
      <c r="D266" s="153" t="str">
        <f t="shared" ca="1" si="29"/>
        <v/>
      </c>
      <c r="E266" s="153" t="str">
        <f t="shared" ca="1" si="30"/>
        <v/>
      </c>
      <c r="F266" s="170" t="str">
        <f ca="1">IF(C266="","",[1]!S_DQ_CLOSE(D266,TODAY(),1))</f>
        <v/>
      </c>
      <c r="G266" s="171" t="str">
        <f ca="1">IF(C266="","",[1]!s_pq_pctchange(D266,TODAY()-$G$12,TODAY())/100)</f>
        <v/>
      </c>
      <c r="H266" s="247" t="str">
        <f ca="1">IF(C266="","",IF($H$11="收入",[1]!S_STM07_IS(D266,9,$G$5,$H$13)/$E$5,[1]!S_STM07_IS(D266,48,$G$5,$H$13)/$E$5))</f>
        <v/>
      </c>
      <c r="I266" s="247" t="str">
        <f ca="1">IF(C266="","",IF($I$11="毛利率",([1]!S_STM07_IS(D266,9,$G$5,$H$13)-[1]!S_STM07_IS(D266,10,$G$5,$H$13))/[1]!S_STM07_IS(D266,9,$G$5,$H$13),[1]!S_STM07_IS(D266,14,$G$5,$H$13)/$E$5))</f>
        <v/>
      </c>
      <c r="J266" s="247" t="str">
        <f ca="1">IF(C266="","",IF($J$11="营业利润率",[1]!S_STM07_IS(D266,48,$G$5,$H$13)/[1]!S_STM07_IS(D266,9,$G$5,$H$13),([1]!S_STM07_CS(D266,87,$G$5,$H$13)+[1]!S_STM07_CS(D266,88,$G$5,$H$13)+[1]!S_STM07_CS(D266,89,$G$5,$H$13))/$E$5))</f>
        <v/>
      </c>
      <c r="K266" s="247" t="str">
        <f ca="1">IF(C266="","",IF($K$11="净利润率",[1]!S_STM07_IS(D266,61,$G$5,$H$13)/[1]!S_STM07_IS(D266,9,$G$5,$H$13),[1]!S_STM07_IS(D266,55,$G$5,$H$13)/$E$5))</f>
        <v/>
      </c>
      <c r="L266" s="247" t="str">
        <f ca="1">IF(C266="","",IF($L$11="ROA",[1]!S_STM07_IS(D266,61,$G$5,$H$13)/[1]!S_STM07_BS(D266,74,$G$5,$H$13),1-[1]!S_STM07_IS(D266,61,$G$5,$H$13)/[1]!S_STM07_IS(D266,55,$G$5,$H$13)))</f>
        <v/>
      </c>
      <c r="M266" s="247" t="str">
        <f ca="1">IF(C266="","",IF($M$11="ROE",[1]!S_STM07_IS(D266,61,$G$5,$H$13)/[1]!S_STM07_BS(D266,141,$G$5,$H$13),([1]!S_STM07_BS(D266,25,$G$5,$H$13)-[1]!S_STM07_BS(D266,93,$G$5,$H$13))/$E$5))</f>
        <v/>
      </c>
      <c r="N266" s="247" t="str">
        <f ca="1">IF(C266="","",IF($N$11="EPS",[1]!S_STM07_IS(D266,61,$G$5,$H$13)/IF([1]!S_SHARE_TOTAL(D266,$G$5)=0,[1]!S_SHARE_TOTAL(D266,[1]!s_ipo_listeddate(D266)),[1]!S_SHARE_TOTAL(D266,$G$5)),([1]!S_STM07_BS(D266,75,$G$5,$H$13)+[1]!S_STM07_BS(D266,88,$G$5,$H$13)+[1]!S_STM07_BS(D266,94,$G$5,$H$13)+[1]!S_STM07_BS(D266,95,$G$5,$H$13))/$E$5))</f>
        <v/>
      </c>
      <c r="O266" s="247" t="str">
        <f ca="1">IF(C266="","",IF($O$11="BPS",[1]!S_STM07_BS(D266,141,$G$5,$H$13)/IF([1]!S_SHARE_TOTAL(D266,$G$5)=0,[1]!S_SHARE_TOTAL(D266,[1]!s_ipo_listeddate(D266)),[1]!S_SHARE_TOTAL(D266,$G$5)),[1]!S_STM07_CS(D266,49,$G$5,$H$13)/$E$5))</f>
        <v/>
      </c>
      <c r="P266" s="247" t="str">
        <f ca="1">IF(C266="","",IF($P$11="CFPS",[1]!S_STM07_CS(D266,84,$G$5,$H$13)/IF([1]!S_SHARE_TOTAL(D266,$G$5)=0,[1]!S_SHARE_TOTAL(D266,[1]!s_ipo_listeddate(D266)),[1]!S_SHARE_TOTAL(D266,$G$5)),[1]!S_STM07_CS(D266,84,$G$5,$H$13)/$E$5))</f>
        <v/>
      </c>
      <c r="Q266" s="248" t="str">
        <f ca="1">IF(C266="","",F266/([1]!S_STM07_IS(D266,61,$G$5,$H$13)/IF([1]!S_SHARE_TOTAL(D266,$G$5)=0,[1]!S_SHARE_TOTAL(D266,[1]!s_ipo_listeddate(D266)),[1]!S_SHARE_TOTAL(D266,$G$5))))</f>
        <v/>
      </c>
      <c r="R266" s="248" t="str">
        <f ca="1">IF(C266="","",F266/([1]!S_STM07_BS(D266,141,$G$5,$H$13)/IF([1]!S_SHARE_TOTAL(D266,$G$5)=0,[1]!S_SHARE_TOTAL(D266,[1]!s_ipo_listeddate(D266)),[1]!S_SHARE_TOTAL(D266,$G$5))))</f>
        <v/>
      </c>
      <c r="S266" s="247" t="str">
        <f ca="1">IF(C266="","",[1]!S_SHARE_TOTAL(D266,TODAY())/$E$5)</f>
        <v/>
      </c>
      <c r="T266" s="247" t="str">
        <f t="shared" ca="1" si="31"/>
        <v/>
      </c>
      <c r="U266" s="218" t="str">
        <f t="shared" ca="1" si="32"/>
        <v/>
      </c>
      <c r="V266" s="342" t="str">
        <f t="shared" ca="1" si="33"/>
        <v/>
      </c>
      <c r="W266" s="139"/>
      <c r="Y266" s="1"/>
    </row>
    <row r="267" spans="3:25" ht="12" customHeight="1">
      <c r="C267" s="343" t="str">
        <f t="shared" ca="1" si="28"/>
        <v/>
      </c>
      <c r="D267" s="124" t="str">
        <f t="shared" ca="1" si="29"/>
        <v/>
      </c>
      <c r="E267" s="124" t="str">
        <f t="shared" ca="1" si="30"/>
        <v/>
      </c>
      <c r="F267" s="172" t="str">
        <f ca="1">IF(C267="","",[1]!S_DQ_CLOSE(D267,TODAY(),1))</f>
        <v/>
      </c>
      <c r="G267" s="173" t="str">
        <f ca="1">IF(C267="","",[1]!s_pq_pctchange(D267,TODAY()-$G$12,TODAY())/100)</f>
        <v/>
      </c>
      <c r="H267" s="249" t="str">
        <f ca="1">IF(C267="","",IF($H$11="收入",[1]!S_STM07_IS(D267,9,$G$5,$H$13)/$E$5,[1]!S_STM07_IS(D267,48,$G$5,$H$13)/$E$5))</f>
        <v/>
      </c>
      <c r="I267" s="249" t="str">
        <f ca="1">IF(C267="","",IF($I$11="毛利率",([1]!S_STM07_IS(D267,9,$G$5,$H$13)-[1]!S_STM07_IS(D267,10,$G$5,$H$13))/[1]!S_STM07_IS(D267,9,$G$5,$H$13),[1]!S_STM07_IS(D267,14,$G$5,$H$13)/$E$5))</f>
        <v/>
      </c>
      <c r="J267" s="249" t="str">
        <f ca="1">IF(C267="","",IF($J$11="营业利润率",[1]!S_STM07_IS(D267,48,$G$5,$H$13)/[1]!S_STM07_IS(D267,9,$G$5,$H$13),([1]!S_STM07_CS(D267,87,$G$5,$H$13)+[1]!S_STM07_CS(D267,88,$G$5,$H$13)+[1]!S_STM07_CS(D267,89,$G$5,$H$13))/$E$5))</f>
        <v/>
      </c>
      <c r="K267" s="249" t="str">
        <f ca="1">IF(C267="","",IF($K$11="净利润率",[1]!S_STM07_IS(D267,61,$G$5,$H$13)/[1]!S_STM07_IS(D267,9,$G$5,$H$13),[1]!S_STM07_IS(D267,55,$G$5,$H$13)/$E$5))</f>
        <v/>
      </c>
      <c r="L267" s="249" t="str">
        <f ca="1">IF(C267="","",IF($L$11="ROA",[1]!S_STM07_IS(D267,61,$G$5,$H$13)/[1]!S_STM07_BS(D267,74,$G$5,$H$13),1-[1]!S_STM07_IS(D267,61,$G$5,$H$13)/[1]!S_STM07_IS(D267,55,$G$5,$H$13)))</f>
        <v/>
      </c>
      <c r="M267" s="249" t="str">
        <f ca="1">IF(C267="","",IF($M$11="ROE",[1]!S_STM07_IS(D267,61,$G$5,$H$13)/[1]!S_STM07_BS(D267,141,$G$5,$H$13),([1]!S_STM07_BS(D267,25,$G$5,$H$13)-[1]!S_STM07_BS(D267,93,$G$5,$H$13))/$E$5))</f>
        <v/>
      </c>
      <c r="N267" s="250" t="str">
        <f ca="1">IF(C267="","",IF($N$11="EPS",[1]!S_STM07_IS(D267,61,$G$5,$H$13)/IF([1]!S_SHARE_TOTAL(D267,$G$5)=0,[1]!S_SHARE_TOTAL(D267,[1]!s_ipo_listeddate(D267)),[1]!S_SHARE_TOTAL(D267,$G$5)),([1]!S_STM07_BS(D267,75,$G$5,$H$13)+[1]!S_STM07_BS(D267,88,$G$5,$H$13)+[1]!S_STM07_BS(D267,94,$G$5,$H$13)+[1]!S_STM07_BS(D267,95,$G$5,$H$13))/$E$5))</f>
        <v/>
      </c>
      <c r="O267" s="250" t="str">
        <f ca="1">IF(C267="","",IF($O$11="BPS",[1]!S_STM07_BS(D267,141,$G$5,$H$13)/IF([1]!S_SHARE_TOTAL(D267,$G$5)=0,[1]!S_SHARE_TOTAL(D267,[1]!s_ipo_listeddate(D267)),[1]!S_SHARE_TOTAL(D267,$G$5)),[1]!S_STM07_CS(D267,49,$G$5,$H$13)/$E$5))</f>
        <v/>
      </c>
      <c r="P267" s="250" t="str">
        <f ca="1">IF(C267="","",IF($P$11="CFPS",[1]!S_STM07_CS(D267,84,$G$5,$H$13)/IF([1]!S_SHARE_TOTAL(D267,$G$5)=0,[1]!S_SHARE_TOTAL(D267,[1]!s_ipo_listeddate(D267)),[1]!S_SHARE_TOTAL(D267,$G$5)),[1]!S_STM07_CS(D267,84,$G$5,$H$13)/$E$5))</f>
        <v/>
      </c>
      <c r="Q267" s="198" t="str">
        <f ca="1">IF(C267="","",F267/([1]!S_STM07_IS(D267,61,$G$5,$H$13)/IF([1]!S_SHARE_TOTAL(D267,$G$5)=0,[1]!S_SHARE_TOTAL(D267,[1]!s_ipo_listeddate(D267)),[1]!S_SHARE_TOTAL(D267,$G$5))))</f>
        <v/>
      </c>
      <c r="R267" s="198" t="str">
        <f ca="1">IF(C267="","",F267/([1]!S_STM07_BS(D267,141,$G$5,$H$13)/IF([1]!S_SHARE_TOTAL(D267,$G$5)=0,[1]!S_SHARE_TOTAL(D267,[1]!s_ipo_listeddate(D267)),[1]!S_SHARE_TOTAL(D267,$G$5))))</f>
        <v/>
      </c>
      <c r="S267" s="249" t="str">
        <f ca="1">IF(C267="","",[1]!S_SHARE_TOTAL(D267,TODAY())/$E$5)</f>
        <v/>
      </c>
      <c r="T267" s="249" t="str">
        <f t="shared" ca="1" si="31"/>
        <v/>
      </c>
      <c r="U267" s="172" t="str">
        <f t="shared" ca="1" si="32"/>
        <v/>
      </c>
      <c r="V267" s="343" t="str">
        <f t="shared" ca="1" si="33"/>
        <v/>
      </c>
      <c r="W267" s="139"/>
      <c r="Y267" s="1"/>
    </row>
    <row r="268" spans="3:25" ht="12" customHeight="1">
      <c r="C268" s="342" t="str">
        <f t="shared" ca="1" si="28"/>
        <v/>
      </c>
      <c r="D268" s="153" t="str">
        <f t="shared" ca="1" si="29"/>
        <v/>
      </c>
      <c r="E268" s="153" t="str">
        <f t="shared" ca="1" si="30"/>
        <v/>
      </c>
      <c r="F268" s="170" t="str">
        <f ca="1">IF(C268="","",[1]!S_DQ_CLOSE(D268,TODAY(),1))</f>
        <v/>
      </c>
      <c r="G268" s="171" t="str">
        <f ca="1">IF(C268="","",[1]!s_pq_pctchange(D268,TODAY()-$G$12,TODAY())/100)</f>
        <v/>
      </c>
      <c r="H268" s="247" t="str">
        <f ca="1">IF(C268="","",IF($H$11="收入",[1]!S_STM07_IS(D268,9,$G$5,$H$13)/$E$5,[1]!S_STM07_IS(D268,48,$G$5,$H$13)/$E$5))</f>
        <v/>
      </c>
      <c r="I268" s="247" t="str">
        <f ca="1">IF(C268="","",IF($I$11="毛利率",([1]!S_STM07_IS(D268,9,$G$5,$H$13)-[1]!S_STM07_IS(D268,10,$G$5,$H$13))/[1]!S_STM07_IS(D268,9,$G$5,$H$13),[1]!S_STM07_IS(D268,14,$G$5,$H$13)/$E$5))</f>
        <v/>
      </c>
      <c r="J268" s="247" t="str">
        <f ca="1">IF(C268="","",IF($J$11="营业利润率",[1]!S_STM07_IS(D268,48,$G$5,$H$13)/[1]!S_STM07_IS(D268,9,$G$5,$H$13),([1]!S_STM07_CS(D268,87,$G$5,$H$13)+[1]!S_STM07_CS(D268,88,$G$5,$H$13)+[1]!S_STM07_CS(D268,89,$G$5,$H$13))/$E$5))</f>
        <v/>
      </c>
      <c r="K268" s="247" t="str">
        <f ca="1">IF(C268="","",IF($K$11="净利润率",[1]!S_STM07_IS(D268,61,$G$5,$H$13)/[1]!S_STM07_IS(D268,9,$G$5,$H$13),[1]!S_STM07_IS(D268,55,$G$5,$H$13)/$E$5))</f>
        <v/>
      </c>
      <c r="L268" s="247" t="str">
        <f ca="1">IF(C268="","",IF($L$11="ROA",[1]!S_STM07_IS(D268,61,$G$5,$H$13)/[1]!S_STM07_BS(D268,74,$G$5,$H$13),1-[1]!S_STM07_IS(D268,61,$G$5,$H$13)/[1]!S_STM07_IS(D268,55,$G$5,$H$13)))</f>
        <v/>
      </c>
      <c r="M268" s="247" t="str">
        <f ca="1">IF(C268="","",IF($M$11="ROE",[1]!S_STM07_IS(D268,61,$G$5,$H$13)/[1]!S_STM07_BS(D268,141,$G$5,$H$13),([1]!S_STM07_BS(D268,25,$G$5,$H$13)-[1]!S_STM07_BS(D268,93,$G$5,$H$13))/$E$5))</f>
        <v/>
      </c>
      <c r="N268" s="247" t="str">
        <f ca="1">IF(C268="","",IF($N$11="EPS",[1]!S_STM07_IS(D268,61,$G$5,$H$13)/IF([1]!S_SHARE_TOTAL(D268,$G$5)=0,[1]!S_SHARE_TOTAL(D268,[1]!s_ipo_listeddate(D268)),[1]!S_SHARE_TOTAL(D268,$G$5)),([1]!S_STM07_BS(D268,75,$G$5,$H$13)+[1]!S_STM07_BS(D268,88,$G$5,$H$13)+[1]!S_STM07_BS(D268,94,$G$5,$H$13)+[1]!S_STM07_BS(D268,95,$G$5,$H$13))/$E$5))</f>
        <v/>
      </c>
      <c r="O268" s="247" t="str">
        <f ca="1">IF(C268="","",IF($O$11="BPS",[1]!S_STM07_BS(D268,141,$G$5,$H$13)/IF([1]!S_SHARE_TOTAL(D268,$G$5)=0,[1]!S_SHARE_TOTAL(D268,[1]!s_ipo_listeddate(D268)),[1]!S_SHARE_TOTAL(D268,$G$5)),[1]!S_STM07_CS(D268,49,$G$5,$H$13)/$E$5))</f>
        <v/>
      </c>
      <c r="P268" s="247" t="str">
        <f ca="1">IF(C268="","",IF($P$11="CFPS",[1]!S_STM07_CS(D268,84,$G$5,$H$13)/IF([1]!S_SHARE_TOTAL(D268,$G$5)=0,[1]!S_SHARE_TOTAL(D268,[1]!s_ipo_listeddate(D268)),[1]!S_SHARE_TOTAL(D268,$G$5)),[1]!S_STM07_CS(D268,84,$G$5,$H$13)/$E$5))</f>
        <v/>
      </c>
      <c r="Q268" s="248" t="str">
        <f ca="1">IF(C268="","",F268/([1]!S_STM07_IS(D268,61,$G$5,$H$13)/IF([1]!S_SHARE_TOTAL(D268,$G$5)=0,[1]!S_SHARE_TOTAL(D268,[1]!s_ipo_listeddate(D268)),[1]!S_SHARE_TOTAL(D268,$G$5))))</f>
        <v/>
      </c>
      <c r="R268" s="248" t="str">
        <f ca="1">IF(C268="","",F268/([1]!S_STM07_BS(D268,141,$G$5,$H$13)/IF([1]!S_SHARE_TOTAL(D268,$G$5)=0,[1]!S_SHARE_TOTAL(D268,[1]!s_ipo_listeddate(D268)),[1]!S_SHARE_TOTAL(D268,$G$5))))</f>
        <v/>
      </c>
      <c r="S268" s="247" t="str">
        <f ca="1">IF(C268="","",[1]!S_SHARE_TOTAL(D268,TODAY())/$E$5)</f>
        <v/>
      </c>
      <c r="T268" s="247" t="str">
        <f t="shared" ca="1" si="31"/>
        <v/>
      </c>
      <c r="U268" s="218" t="str">
        <f t="shared" ca="1" si="32"/>
        <v/>
      </c>
      <c r="V268" s="342" t="str">
        <f t="shared" ca="1" si="33"/>
        <v/>
      </c>
      <c r="W268" s="139"/>
      <c r="Y268" s="1"/>
    </row>
    <row r="269" spans="3:25" ht="12" customHeight="1">
      <c r="C269" s="343" t="str">
        <f t="shared" ca="1" si="28"/>
        <v/>
      </c>
      <c r="D269" s="124" t="str">
        <f t="shared" ca="1" si="29"/>
        <v/>
      </c>
      <c r="E269" s="124" t="str">
        <f t="shared" ca="1" si="30"/>
        <v/>
      </c>
      <c r="F269" s="172" t="str">
        <f ca="1">IF(C269="","",[1]!S_DQ_CLOSE(D269,TODAY(),1))</f>
        <v/>
      </c>
      <c r="G269" s="173" t="str">
        <f ca="1">IF(C269="","",[1]!s_pq_pctchange(D269,TODAY()-$G$12,TODAY())/100)</f>
        <v/>
      </c>
      <c r="H269" s="249" t="str">
        <f ca="1">IF(C269="","",IF($H$11="收入",[1]!S_STM07_IS(D269,9,$G$5,$H$13)/$E$5,[1]!S_STM07_IS(D269,48,$G$5,$H$13)/$E$5))</f>
        <v/>
      </c>
      <c r="I269" s="249" t="str">
        <f ca="1">IF(C269="","",IF($I$11="毛利率",([1]!S_STM07_IS(D269,9,$G$5,$H$13)-[1]!S_STM07_IS(D269,10,$G$5,$H$13))/[1]!S_STM07_IS(D269,9,$G$5,$H$13),[1]!S_STM07_IS(D269,14,$G$5,$H$13)/$E$5))</f>
        <v/>
      </c>
      <c r="J269" s="249" t="str">
        <f ca="1">IF(C269="","",IF($J$11="营业利润率",[1]!S_STM07_IS(D269,48,$G$5,$H$13)/[1]!S_STM07_IS(D269,9,$G$5,$H$13),([1]!S_STM07_CS(D269,87,$G$5,$H$13)+[1]!S_STM07_CS(D269,88,$G$5,$H$13)+[1]!S_STM07_CS(D269,89,$G$5,$H$13))/$E$5))</f>
        <v/>
      </c>
      <c r="K269" s="249" t="str">
        <f ca="1">IF(C269="","",IF($K$11="净利润率",[1]!S_STM07_IS(D269,61,$G$5,$H$13)/[1]!S_STM07_IS(D269,9,$G$5,$H$13),[1]!S_STM07_IS(D269,55,$G$5,$H$13)/$E$5))</f>
        <v/>
      </c>
      <c r="L269" s="249" t="str">
        <f ca="1">IF(C269="","",IF($L$11="ROA",[1]!S_STM07_IS(D269,61,$G$5,$H$13)/[1]!S_STM07_BS(D269,74,$G$5,$H$13),1-[1]!S_STM07_IS(D269,61,$G$5,$H$13)/[1]!S_STM07_IS(D269,55,$G$5,$H$13)))</f>
        <v/>
      </c>
      <c r="M269" s="249" t="str">
        <f ca="1">IF(C269="","",IF($M$11="ROE",[1]!S_STM07_IS(D269,61,$G$5,$H$13)/[1]!S_STM07_BS(D269,141,$G$5,$H$13),([1]!S_STM07_BS(D269,25,$G$5,$H$13)-[1]!S_STM07_BS(D269,93,$G$5,$H$13))/$E$5))</f>
        <v/>
      </c>
      <c r="N269" s="250" t="str">
        <f ca="1">IF(C269="","",IF($N$11="EPS",[1]!S_STM07_IS(D269,61,$G$5,$H$13)/IF([1]!S_SHARE_TOTAL(D269,$G$5)=0,[1]!S_SHARE_TOTAL(D269,[1]!s_ipo_listeddate(D269)),[1]!S_SHARE_TOTAL(D269,$G$5)),([1]!S_STM07_BS(D269,75,$G$5,$H$13)+[1]!S_STM07_BS(D269,88,$G$5,$H$13)+[1]!S_STM07_BS(D269,94,$G$5,$H$13)+[1]!S_STM07_BS(D269,95,$G$5,$H$13))/$E$5))</f>
        <v/>
      </c>
      <c r="O269" s="250" t="str">
        <f ca="1">IF(C269="","",IF($O$11="BPS",[1]!S_STM07_BS(D269,141,$G$5,$H$13)/IF([1]!S_SHARE_TOTAL(D269,$G$5)=0,[1]!S_SHARE_TOTAL(D269,[1]!s_ipo_listeddate(D269)),[1]!S_SHARE_TOTAL(D269,$G$5)),[1]!S_STM07_CS(D269,49,$G$5,$H$13)/$E$5))</f>
        <v/>
      </c>
      <c r="P269" s="250" t="str">
        <f ca="1">IF(C269="","",IF($P$11="CFPS",[1]!S_STM07_CS(D269,84,$G$5,$H$13)/IF([1]!S_SHARE_TOTAL(D269,$G$5)=0,[1]!S_SHARE_TOTAL(D269,[1]!s_ipo_listeddate(D269)),[1]!S_SHARE_TOTAL(D269,$G$5)),[1]!S_STM07_CS(D269,84,$G$5,$H$13)/$E$5))</f>
        <v/>
      </c>
      <c r="Q269" s="198" t="str">
        <f ca="1">IF(C269="","",F269/([1]!S_STM07_IS(D269,61,$G$5,$H$13)/IF([1]!S_SHARE_TOTAL(D269,$G$5)=0,[1]!S_SHARE_TOTAL(D269,[1]!s_ipo_listeddate(D269)),[1]!S_SHARE_TOTAL(D269,$G$5))))</f>
        <v/>
      </c>
      <c r="R269" s="198" t="str">
        <f ca="1">IF(C269="","",F269/([1]!S_STM07_BS(D269,141,$G$5,$H$13)/IF([1]!S_SHARE_TOTAL(D269,$G$5)=0,[1]!S_SHARE_TOTAL(D269,[1]!s_ipo_listeddate(D269)),[1]!S_SHARE_TOTAL(D269,$G$5))))</f>
        <v/>
      </c>
      <c r="S269" s="249" t="str">
        <f ca="1">IF(C269="","",[1]!S_SHARE_TOTAL(D269,TODAY())/$E$5)</f>
        <v/>
      </c>
      <c r="T269" s="249" t="str">
        <f t="shared" ca="1" si="31"/>
        <v/>
      </c>
      <c r="U269" s="172" t="str">
        <f t="shared" ca="1" si="32"/>
        <v/>
      </c>
      <c r="V269" s="343" t="str">
        <f t="shared" ca="1" si="33"/>
        <v/>
      </c>
      <c r="W269" s="139"/>
      <c r="Y269" s="1"/>
    </row>
    <row r="270" spans="3:25" ht="12" customHeight="1">
      <c r="C270" s="342" t="str">
        <f t="shared" ref="C270:C333" ca="1" si="34">IF(ROW()-13&lt;=MAX(series),ROW()-13,"")</f>
        <v/>
      </c>
      <c r="D270" s="153" t="str">
        <f t="shared" ca="1" si="29"/>
        <v/>
      </c>
      <c r="E270" s="153" t="str">
        <f t="shared" ca="1" si="30"/>
        <v/>
      </c>
      <c r="F270" s="170" t="str">
        <f ca="1">IF(C270="","",[1]!S_DQ_CLOSE(D270,TODAY(),1))</f>
        <v/>
      </c>
      <c r="G270" s="171" t="str">
        <f ca="1">IF(C270="","",[1]!s_pq_pctchange(D270,TODAY()-$G$12,TODAY())/100)</f>
        <v/>
      </c>
      <c r="H270" s="247" t="str">
        <f ca="1">IF(C270="","",IF($H$11="收入",[1]!S_STM07_IS(D270,9,$G$5,$H$13)/$E$5,[1]!S_STM07_IS(D270,48,$G$5,$H$13)/$E$5))</f>
        <v/>
      </c>
      <c r="I270" s="247" t="str">
        <f ca="1">IF(C270="","",IF($I$11="毛利率",([1]!S_STM07_IS(D270,9,$G$5,$H$13)-[1]!S_STM07_IS(D270,10,$G$5,$H$13))/[1]!S_STM07_IS(D270,9,$G$5,$H$13),[1]!S_STM07_IS(D270,14,$G$5,$H$13)/$E$5))</f>
        <v/>
      </c>
      <c r="J270" s="247" t="str">
        <f ca="1">IF(C270="","",IF($J$11="营业利润率",[1]!S_STM07_IS(D270,48,$G$5,$H$13)/[1]!S_STM07_IS(D270,9,$G$5,$H$13),([1]!S_STM07_CS(D270,87,$G$5,$H$13)+[1]!S_STM07_CS(D270,88,$G$5,$H$13)+[1]!S_STM07_CS(D270,89,$G$5,$H$13))/$E$5))</f>
        <v/>
      </c>
      <c r="K270" s="247" t="str">
        <f ca="1">IF(C270="","",IF($K$11="净利润率",[1]!S_STM07_IS(D270,61,$G$5,$H$13)/[1]!S_STM07_IS(D270,9,$G$5,$H$13),[1]!S_STM07_IS(D270,55,$G$5,$H$13)/$E$5))</f>
        <v/>
      </c>
      <c r="L270" s="247" t="str">
        <f ca="1">IF(C270="","",IF($L$11="ROA",[1]!S_STM07_IS(D270,61,$G$5,$H$13)/[1]!S_STM07_BS(D270,74,$G$5,$H$13),1-[1]!S_STM07_IS(D270,61,$G$5,$H$13)/[1]!S_STM07_IS(D270,55,$G$5,$H$13)))</f>
        <v/>
      </c>
      <c r="M270" s="247" t="str">
        <f ca="1">IF(C270="","",IF($M$11="ROE",[1]!S_STM07_IS(D270,61,$G$5,$H$13)/[1]!S_STM07_BS(D270,141,$G$5,$H$13),([1]!S_STM07_BS(D270,25,$G$5,$H$13)-[1]!S_STM07_BS(D270,93,$G$5,$H$13))/$E$5))</f>
        <v/>
      </c>
      <c r="N270" s="247" t="str">
        <f ca="1">IF(C270="","",IF($N$11="EPS",[1]!S_STM07_IS(D270,61,$G$5,$H$13)/IF([1]!S_SHARE_TOTAL(D270,$G$5)=0,[1]!S_SHARE_TOTAL(D270,[1]!s_ipo_listeddate(D270)),[1]!S_SHARE_TOTAL(D270,$G$5)),([1]!S_STM07_BS(D270,75,$G$5,$H$13)+[1]!S_STM07_BS(D270,88,$G$5,$H$13)+[1]!S_STM07_BS(D270,94,$G$5,$H$13)+[1]!S_STM07_BS(D270,95,$G$5,$H$13))/$E$5))</f>
        <v/>
      </c>
      <c r="O270" s="247" t="str">
        <f ca="1">IF(C270="","",IF($O$11="BPS",[1]!S_STM07_BS(D270,141,$G$5,$H$13)/IF([1]!S_SHARE_TOTAL(D270,$G$5)=0,[1]!S_SHARE_TOTAL(D270,[1]!s_ipo_listeddate(D270)),[1]!S_SHARE_TOTAL(D270,$G$5)),[1]!S_STM07_CS(D270,49,$G$5,$H$13)/$E$5))</f>
        <v/>
      </c>
      <c r="P270" s="247" t="str">
        <f ca="1">IF(C270="","",IF($P$11="CFPS",[1]!S_STM07_CS(D270,84,$G$5,$H$13)/IF([1]!S_SHARE_TOTAL(D270,$G$5)=0,[1]!S_SHARE_TOTAL(D270,[1]!s_ipo_listeddate(D270)),[1]!S_SHARE_TOTAL(D270,$G$5)),[1]!S_STM07_CS(D270,84,$G$5,$H$13)/$E$5))</f>
        <v/>
      </c>
      <c r="Q270" s="248" t="str">
        <f ca="1">IF(C270="","",F270/([1]!S_STM07_IS(D270,61,$G$5,$H$13)/IF([1]!S_SHARE_TOTAL(D270,$G$5)=0,[1]!S_SHARE_TOTAL(D270,[1]!s_ipo_listeddate(D270)),[1]!S_SHARE_TOTAL(D270,$G$5))))</f>
        <v/>
      </c>
      <c r="R270" s="248" t="str">
        <f ca="1">IF(C270="","",F270/([1]!S_STM07_BS(D270,141,$G$5,$H$13)/IF([1]!S_SHARE_TOTAL(D270,$G$5)=0,[1]!S_SHARE_TOTAL(D270,[1]!s_ipo_listeddate(D270)),[1]!S_SHARE_TOTAL(D270,$G$5))))</f>
        <v/>
      </c>
      <c r="S270" s="247" t="str">
        <f ca="1">IF(C270="","",[1]!S_SHARE_TOTAL(D270,TODAY())/$E$5)</f>
        <v/>
      </c>
      <c r="T270" s="247" t="str">
        <f t="shared" ca="1" si="31"/>
        <v/>
      </c>
      <c r="U270" s="218" t="str">
        <f t="shared" ca="1" si="32"/>
        <v/>
      </c>
      <c r="V270" s="342" t="str">
        <f t="shared" ca="1" si="33"/>
        <v/>
      </c>
      <c r="W270" s="139"/>
      <c r="Y270" s="1"/>
    </row>
    <row r="271" spans="3:25" ht="12" customHeight="1">
      <c r="C271" s="343" t="str">
        <f t="shared" ca="1" si="34"/>
        <v/>
      </c>
      <c r="D271" s="124" t="str">
        <f t="shared" ca="1" si="29"/>
        <v/>
      </c>
      <c r="E271" s="124" t="str">
        <f t="shared" ca="1" si="30"/>
        <v/>
      </c>
      <c r="F271" s="172" t="str">
        <f ca="1">IF(C271="","",[1]!S_DQ_CLOSE(D271,TODAY(),1))</f>
        <v/>
      </c>
      <c r="G271" s="173" t="str">
        <f ca="1">IF(C271="","",[1]!s_pq_pctchange(D271,TODAY()-$G$12,TODAY())/100)</f>
        <v/>
      </c>
      <c r="H271" s="249" t="str">
        <f ca="1">IF(C271="","",IF($H$11="收入",[1]!S_STM07_IS(D271,9,$G$5,$H$13)/$E$5,[1]!S_STM07_IS(D271,48,$G$5,$H$13)/$E$5))</f>
        <v/>
      </c>
      <c r="I271" s="249" t="str">
        <f ca="1">IF(C271="","",IF($I$11="毛利率",([1]!S_STM07_IS(D271,9,$G$5,$H$13)-[1]!S_STM07_IS(D271,10,$G$5,$H$13))/[1]!S_STM07_IS(D271,9,$G$5,$H$13),[1]!S_STM07_IS(D271,14,$G$5,$H$13)/$E$5))</f>
        <v/>
      </c>
      <c r="J271" s="249" t="str">
        <f ca="1">IF(C271="","",IF($J$11="营业利润率",[1]!S_STM07_IS(D271,48,$G$5,$H$13)/[1]!S_STM07_IS(D271,9,$G$5,$H$13),([1]!S_STM07_CS(D271,87,$G$5,$H$13)+[1]!S_STM07_CS(D271,88,$G$5,$H$13)+[1]!S_STM07_CS(D271,89,$G$5,$H$13))/$E$5))</f>
        <v/>
      </c>
      <c r="K271" s="249" t="str">
        <f ca="1">IF(C271="","",IF($K$11="净利润率",[1]!S_STM07_IS(D271,61,$G$5,$H$13)/[1]!S_STM07_IS(D271,9,$G$5,$H$13),[1]!S_STM07_IS(D271,55,$G$5,$H$13)/$E$5))</f>
        <v/>
      </c>
      <c r="L271" s="249" t="str">
        <f ca="1">IF(C271="","",IF($L$11="ROA",[1]!S_STM07_IS(D271,61,$G$5,$H$13)/[1]!S_STM07_BS(D271,74,$G$5,$H$13),1-[1]!S_STM07_IS(D271,61,$G$5,$H$13)/[1]!S_STM07_IS(D271,55,$G$5,$H$13)))</f>
        <v/>
      </c>
      <c r="M271" s="249" t="str">
        <f ca="1">IF(C271="","",IF($M$11="ROE",[1]!S_STM07_IS(D271,61,$G$5,$H$13)/[1]!S_STM07_BS(D271,141,$G$5,$H$13),([1]!S_STM07_BS(D271,25,$G$5,$H$13)-[1]!S_STM07_BS(D271,93,$G$5,$H$13))/$E$5))</f>
        <v/>
      </c>
      <c r="N271" s="250" t="str">
        <f ca="1">IF(C271="","",IF($N$11="EPS",[1]!S_STM07_IS(D271,61,$G$5,$H$13)/IF([1]!S_SHARE_TOTAL(D271,$G$5)=0,[1]!S_SHARE_TOTAL(D271,[1]!s_ipo_listeddate(D271)),[1]!S_SHARE_TOTAL(D271,$G$5)),([1]!S_STM07_BS(D271,75,$G$5,$H$13)+[1]!S_STM07_BS(D271,88,$G$5,$H$13)+[1]!S_STM07_BS(D271,94,$G$5,$H$13)+[1]!S_STM07_BS(D271,95,$G$5,$H$13))/$E$5))</f>
        <v/>
      </c>
      <c r="O271" s="250" t="str">
        <f ca="1">IF(C271="","",IF($O$11="BPS",[1]!S_STM07_BS(D271,141,$G$5,$H$13)/IF([1]!S_SHARE_TOTAL(D271,$G$5)=0,[1]!S_SHARE_TOTAL(D271,[1]!s_ipo_listeddate(D271)),[1]!S_SHARE_TOTAL(D271,$G$5)),[1]!S_STM07_CS(D271,49,$G$5,$H$13)/$E$5))</f>
        <v/>
      </c>
      <c r="P271" s="250" t="str">
        <f ca="1">IF(C271="","",IF($P$11="CFPS",[1]!S_STM07_CS(D271,84,$G$5,$H$13)/IF([1]!S_SHARE_TOTAL(D271,$G$5)=0,[1]!S_SHARE_TOTAL(D271,[1]!s_ipo_listeddate(D271)),[1]!S_SHARE_TOTAL(D271,$G$5)),[1]!S_STM07_CS(D271,84,$G$5,$H$13)/$E$5))</f>
        <v/>
      </c>
      <c r="Q271" s="198" t="str">
        <f ca="1">IF(C271="","",F271/([1]!S_STM07_IS(D271,61,$G$5,$H$13)/IF([1]!S_SHARE_TOTAL(D271,$G$5)=0,[1]!S_SHARE_TOTAL(D271,[1]!s_ipo_listeddate(D271)),[1]!S_SHARE_TOTAL(D271,$G$5))))</f>
        <v/>
      </c>
      <c r="R271" s="198" t="str">
        <f ca="1">IF(C271="","",F271/([1]!S_STM07_BS(D271,141,$G$5,$H$13)/IF([1]!S_SHARE_TOTAL(D271,$G$5)=0,[1]!S_SHARE_TOTAL(D271,[1]!s_ipo_listeddate(D271)),[1]!S_SHARE_TOTAL(D271,$G$5))))</f>
        <v/>
      </c>
      <c r="S271" s="249" t="str">
        <f ca="1">IF(C271="","",[1]!S_SHARE_TOTAL(D271,TODAY())/$E$5)</f>
        <v/>
      </c>
      <c r="T271" s="249" t="str">
        <f t="shared" ca="1" si="31"/>
        <v/>
      </c>
      <c r="U271" s="172" t="str">
        <f t="shared" ca="1" si="32"/>
        <v/>
      </c>
      <c r="V271" s="343" t="str">
        <f t="shared" ca="1" si="33"/>
        <v/>
      </c>
      <c r="W271" s="139"/>
      <c r="Y271" s="1"/>
    </row>
    <row r="272" spans="3:25" ht="12" customHeight="1">
      <c r="C272" s="342" t="str">
        <f t="shared" ca="1" si="34"/>
        <v/>
      </c>
      <c r="D272" s="153" t="str">
        <f t="shared" ca="1" si="29"/>
        <v/>
      </c>
      <c r="E272" s="153" t="str">
        <f t="shared" ca="1" si="30"/>
        <v/>
      </c>
      <c r="F272" s="170" t="str">
        <f ca="1">IF(C272="","",[1]!S_DQ_CLOSE(D272,TODAY(),1))</f>
        <v/>
      </c>
      <c r="G272" s="171" t="str">
        <f ca="1">IF(C272="","",[1]!s_pq_pctchange(D272,TODAY()-$G$12,TODAY())/100)</f>
        <v/>
      </c>
      <c r="H272" s="247" t="str">
        <f ca="1">IF(C272="","",IF($H$11="收入",[1]!S_STM07_IS(D272,9,$G$5,$H$13)/$E$5,[1]!S_STM07_IS(D272,48,$G$5,$H$13)/$E$5))</f>
        <v/>
      </c>
      <c r="I272" s="247" t="str">
        <f ca="1">IF(C272="","",IF($I$11="毛利率",([1]!S_STM07_IS(D272,9,$G$5,$H$13)-[1]!S_STM07_IS(D272,10,$G$5,$H$13))/[1]!S_STM07_IS(D272,9,$G$5,$H$13),[1]!S_STM07_IS(D272,14,$G$5,$H$13)/$E$5))</f>
        <v/>
      </c>
      <c r="J272" s="247" t="str">
        <f ca="1">IF(C272="","",IF($J$11="营业利润率",[1]!S_STM07_IS(D272,48,$G$5,$H$13)/[1]!S_STM07_IS(D272,9,$G$5,$H$13),([1]!S_STM07_CS(D272,87,$G$5,$H$13)+[1]!S_STM07_CS(D272,88,$G$5,$H$13)+[1]!S_STM07_CS(D272,89,$G$5,$H$13))/$E$5))</f>
        <v/>
      </c>
      <c r="K272" s="247" t="str">
        <f ca="1">IF(C272="","",IF($K$11="净利润率",[1]!S_STM07_IS(D272,61,$G$5,$H$13)/[1]!S_STM07_IS(D272,9,$G$5,$H$13),[1]!S_STM07_IS(D272,55,$G$5,$H$13)/$E$5))</f>
        <v/>
      </c>
      <c r="L272" s="247" t="str">
        <f ca="1">IF(C272="","",IF($L$11="ROA",[1]!S_STM07_IS(D272,61,$G$5,$H$13)/[1]!S_STM07_BS(D272,74,$G$5,$H$13),1-[1]!S_STM07_IS(D272,61,$G$5,$H$13)/[1]!S_STM07_IS(D272,55,$G$5,$H$13)))</f>
        <v/>
      </c>
      <c r="M272" s="247" t="str">
        <f ca="1">IF(C272="","",IF($M$11="ROE",[1]!S_STM07_IS(D272,61,$G$5,$H$13)/[1]!S_STM07_BS(D272,141,$G$5,$H$13),([1]!S_STM07_BS(D272,25,$G$5,$H$13)-[1]!S_STM07_BS(D272,93,$G$5,$H$13))/$E$5))</f>
        <v/>
      </c>
      <c r="N272" s="247" t="str">
        <f ca="1">IF(C272="","",IF($N$11="EPS",[1]!S_STM07_IS(D272,61,$G$5,$H$13)/IF([1]!S_SHARE_TOTAL(D272,$G$5)=0,[1]!S_SHARE_TOTAL(D272,[1]!s_ipo_listeddate(D272)),[1]!S_SHARE_TOTAL(D272,$G$5)),([1]!S_STM07_BS(D272,75,$G$5,$H$13)+[1]!S_STM07_BS(D272,88,$G$5,$H$13)+[1]!S_STM07_BS(D272,94,$G$5,$H$13)+[1]!S_STM07_BS(D272,95,$G$5,$H$13))/$E$5))</f>
        <v/>
      </c>
      <c r="O272" s="247" t="str">
        <f ca="1">IF(C272="","",IF($O$11="BPS",[1]!S_STM07_BS(D272,141,$G$5,$H$13)/IF([1]!S_SHARE_TOTAL(D272,$G$5)=0,[1]!S_SHARE_TOTAL(D272,[1]!s_ipo_listeddate(D272)),[1]!S_SHARE_TOTAL(D272,$G$5)),[1]!S_STM07_CS(D272,49,$G$5,$H$13)/$E$5))</f>
        <v/>
      </c>
      <c r="P272" s="247" t="str">
        <f ca="1">IF(C272="","",IF($P$11="CFPS",[1]!S_STM07_CS(D272,84,$G$5,$H$13)/IF([1]!S_SHARE_TOTAL(D272,$G$5)=0,[1]!S_SHARE_TOTAL(D272,[1]!s_ipo_listeddate(D272)),[1]!S_SHARE_TOTAL(D272,$G$5)),[1]!S_STM07_CS(D272,84,$G$5,$H$13)/$E$5))</f>
        <v/>
      </c>
      <c r="Q272" s="248" t="str">
        <f ca="1">IF(C272="","",F272/([1]!S_STM07_IS(D272,61,$G$5,$H$13)/IF([1]!S_SHARE_TOTAL(D272,$G$5)=0,[1]!S_SHARE_TOTAL(D272,[1]!s_ipo_listeddate(D272)),[1]!S_SHARE_TOTAL(D272,$G$5))))</f>
        <v/>
      </c>
      <c r="R272" s="248" t="str">
        <f ca="1">IF(C272="","",F272/([1]!S_STM07_BS(D272,141,$G$5,$H$13)/IF([1]!S_SHARE_TOTAL(D272,$G$5)=0,[1]!S_SHARE_TOTAL(D272,[1]!s_ipo_listeddate(D272)),[1]!S_SHARE_TOTAL(D272,$G$5))))</f>
        <v/>
      </c>
      <c r="S272" s="247" t="str">
        <f ca="1">IF(C272="","",[1]!S_SHARE_TOTAL(D272,TODAY())/$E$5)</f>
        <v/>
      </c>
      <c r="T272" s="247" t="str">
        <f t="shared" ca="1" si="31"/>
        <v/>
      </c>
      <c r="U272" s="218" t="str">
        <f t="shared" ca="1" si="32"/>
        <v/>
      </c>
      <c r="V272" s="342" t="str">
        <f t="shared" ca="1" si="33"/>
        <v/>
      </c>
      <c r="W272" s="139"/>
      <c r="Y272" s="1"/>
    </row>
    <row r="273" spans="3:25" ht="12" customHeight="1">
      <c r="C273" s="343" t="str">
        <f t="shared" ca="1" si="34"/>
        <v/>
      </c>
      <c r="D273" s="124" t="str">
        <f t="shared" ca="1" si="29"/>
        <v/>
      </c>
      <c r="E273" s="124" t="str">
        <f t="shared" ca="1" si="30"/>
        <v/>
      </c>
      <c r="F273" s="172" t="str">
        <f ca="1">IF(C273="","",[1]!S_DQ_CLOSE(D273,TODAY(),1))</f>
        <v/>
      </c>
      <c r="G273" s="173" t="str">
        <f ca="1">IF(C273="","",[1]!s_pq_pctchange(D273,TODAY()-$G$12,TODAY())/100)</f>
        <v/>
      </c>
      <c r="H273" s="249" t="str">
        <f ca="1">IF(C273="","",IF($H$11="收入",[1]!S_STM07_IS(D273,9,$G$5,$H$13)/$E$5,[1]!S_STM07_IS(D273,48,$G$5,$H$13)/$E$5))</f>
        <v/>
      </c>
      <c r="I273" s="249" t="str">
        <f ca="1">IF(C273="","",IF($I$11="毛利率",([1]!S_STM07_IS(D273,9,$G$5,$H$13)-[1]!S_STM07_IS(D273,10,$G$5,$H$13))/[1]!S_STM07_IS(D273,9,$G$5,$H$13),[1]!S_STM07_IS(D273,14,$G$5,$H$13)/$E$5))</f>
        <v/>
      </c>
      <c r="J273" s="249" t="str">
        <f ca="1">IF(C273="","",IF($J$11="营业利润率",[1]!S_STM07_IS(D273,48,$G$5,$H$13)/[1]!S_STM07_IS(D273,9,$G$5,$H$13),([1]!S_STM07_CS(D273,87,$G$5,$H$13)+[1]!S_STM07_CS(D273,88,$G$5,$H$13)+[1]!S_STM07_CS(D273,89,$G$5,$H$13))/$E$5))</f>
        <v/>
      </c>
      <c r="K273" s="249" t="str">
        <f ca="1">IF(C273="","",IF($K$11="净利润率",[1]!S_STM07_IS(D273,61,$G$5,$H$13)/[1]!S_STM07_IS(D273,9,$G$5,$H$13),[1]!S_STM07_IS(D273,55,$G$5,$H$13)/$E$5))</f>
        <v/>
      </c>
      <c r="L273" s="249" t="str">
        <f ca="1">IF(C273="","",IF($L$11="ROA",[1]!S_STM07_IS(D273,61,$G$5,$H$13)/[1]!S_STM07_BS(D273,74,$G$5,$H$13),1-[1]!S_STM07_IS(D273,61,$G$5,$H$13)/[1]!S_STM07_IS(D273,55,$G$5,$H$13)))</f>
        <v/>
      </c>
      <c r="M273" s="249" t="str">
        <f ca="1">IF(C273="","",IF($M$11="ROE",[1]!S_STM07_IS(D273,61,$G$5,$H$13)/[1]!S_STM07_BS(D273,141,$G$5,$H$13),([1]!S_STM07_BS(D273,25,$G$5,$H$13)-[1]!S_STM07_BS(D273,93,$G$5,$H$13))/$E$5))</f>
        <v/>
      </c>
      <c r="N273" s="250" t="str">
        <f ca="1">IF(C273="","",IF($N$11="EPS",[1]!S_STM07_IS(D273,61,$G$5,$H$13)/IF([1]!S_SHARE_TOTAL(D273,$G$5)=0,[1]!S_SHARE_TOTAL(D273,[1]!s_ipo_listeddate(D273)),[1]!S_SHARE_TOTAL(D273,$G$5)),([1]!S_STM07_BS(D273,75,$G$5,$H$13)+[1]!S_STM07_BS(D273,88,$G$5,$H$13)+[1]!S_STM07_BS(D273,94,$G$5,$H$13)+[1]!S_STM07_BS(D273,95,$G$5,$H$13))/$E$5))</f>
        <v/>
      </c>
      <c r="O273" s="250" t="str">
        <f ca="1">IF(C273="","",IF($O$11="BPS",[1]!S_STM07_BS(D273,141,$G$5,$H$13)/IF([1]!S_SHARE_TOTAL(D273,$G$5)=0,[1]!S_SHARE_TOTAL(D273,[1]!s_ipo_listeddate(D273)),[1]!S_SHARE_TOTAL(D273,$G$5)),[1]!S_STM07_CS(D273,49,$G$5,$H$13)/$E$5))</f>
        <v/>
      </c>
      <c r="P273" s="250" t="str">
        <f ca="1">IF(C273="","",IF($P$11="CFPS",[1]!S_STM07_CS(D273,84,$G$5,$H$13)/IF([1]!S_SHARE_TOTAL(D273,$G$5)=0,[1]!S_SHARE_TOTAL(D273,[1]!s_ipo_listeddate(D273)),[1]!S_SHARE_TOTAL(D273,$G$5)),[1]!S_STM07_CS(D273,84,$G$5,$H$13)/$E$5))</f>
        <v/>
      </c>
      <c r="Q273" s="198" t="str">
        <f ca="1">IF(C273="","",F273/([1]!S_STM07_IS(D273,61,$G$5,$H$13)/IF([1]!S_SHARE_TOTAL(D273,$G$5)=0,[1]!S_SHARE_TOTAL(D273,[1]!s_ipo_listeddate(D273)),[1]!S_SHARE_TOTAL(D273,$G$5))))</f>
        <v/>
      </c>
      <c r="R273" s="198" t="str">
        <f ca="1">IF(C273="","",F273/([1]!S_STM07_BS(D273,141,$G$5,$H$13)/IF([1]!S_SHARE_TOTAL(D273,$G$5)=0,[1]!S_SHARE_TOTAL(D273,[1]!s_ipo_listeddate(D273)),[1]!S_SHARE_TOTAL(D273,$G$5))))</f>
        <v/>
      </c>
      <c r="S273" s="249" t="str">
        <f ca="1">IF(C273="","",[1]!S_SHARE_TOTAL(D273,TODAY())/$E$5)</f>
        <v/>
      </c>
      <c r="T273" s="249" t="str">
        <f t="shared" ca="1" si="31"/>
        <v/>
      </c>
      <c r="U273" s="172" t="str">
        <f t="shared" ca="1" si="32"/>
        <v/>
      </c>
      <c r="V273" s="343" t="str">
        <f t="shared" ca="1" si="33"/>
        <v/>
      </c>
      <c r="W273" s="139"/>
      <c r="Y273" s="1"/>
    </row>
    <row r="274" spans="3:25" ht="12" customHeight="1">
      <c r="C274" s="342" t="str">
        <f t="shared" ca="1" si="34"/>
        <v/>
      </c>
      <c r="D274" s="153" t="str">
        <f t="shared" ca="1" si="29"/>
        <v/>
      </c>
      <c r="E274" s="153" t="str">
        <f t="shared" ca="1" si="30"/>
        <v/>
      </c>
      <c r="F274" s="170" t="str">
        <f ca="1">IF(C274="","",[1]!S_DQ_CLOSE(D274,TODAY(),1))</f>
        <v/>
      </c>
      <c r="G274" s="171" t="str">
        <f ca="1">IF(C274="","",[1]!s_pq_pctchange(D274,TODAY()-$G$12,TODAY())/100)</f>
        <v/>
      </c>
      <c r="H274" s="247" t="str">
        <f ca="1">IF(C274="","",IF($H$11="收入",[1]!S_STM07_IS(D274,9,$G$5,$H$13)/$E$5,[1]!S_STM07_IS(D274,48,$G$5,$H$13)/$E$5))</f>
        <v/>
      </c>
      <c r="I274" s="247" t="str">
        <f ca="1">IF(C274="","",IF($I$11="毛利率",([1]!S_STM07_IS(D274,9,$G$5,$H$13)-[1]!S_STM07_IS(D274,10,$G$5,$H$13))/[1]!S_STM07_IS(D274,9,$G$5,$H$13),[1]!S_STM07_IS(D274,14,$G$5,$H$13)/$E$5))</f>
        <v/>
      </c>
      <c r="J274" s="247" t="str">
        <f ca="1">IF(C274="","",IF($J$11="营业利润率",[1]!S_STM07_IS(D274,48,$G$5,$H$13)/[1]!S_STM07_IS(D274,9,$G$5,$H$13),([1]!S_STM07_CS(D274,87,$G$5,$H$13)+[1]!S_STM07_CS(D274,88,$G$5,$H$13)+[1]!S_STM07_CS(D274,89,$G$5,$H$13))/$E$5))</f>
        <v/>
      </c>
      <c r="K274" s="247" t="str">
        <f ca="1">IF(C274="","",IF($K$11="净利润率",[1]!S_STM07_IS(D274,61,$G$5,$H$13)/[1]!S_STM07_IS(D274,9,$G$5,$H$13),[1]!S_STM07_IS(D274,55,$G$5,$H$13)/$E$5))</f>
        <v/>
      </c>
      <c r="L274" s="247" t="str">
        <f ca="1">IF(C274="","",IF($L$11="ROA",[1]!S_STM07_IS(D274,61,$G$5,$H$13)/[1]!S_STM07_BS(D274,74,$G$5,$H$13),1-[1]!S_STM07_IS(D274,61,$G$5,$H$13)/[1]!S_STM07_IS(D274,55,$G$5,$H$13)))</f>
        <v/>
      </c>
      <c r="M274" s="247" t="str">
        <f ca="1">IF(C274="","",IF($M$11="ROE",[1]!S_STM07_IS(D274,61,$G$5,$H$13)/[1]!S_STM07_BS(D274,141,$G$5,$H$13),([1]!S_STM07_BS(D274,25,$G$5,$H$13)-[1]!S_STM07_BS(D274,93,$G$5,$H$13))/$E$5))</f>
        <v/>
      </c>
      <c r="N274" s="247" t="str">
        <f ca="1">IF(C274="","",IF($N$11="EPS",[1]!S_STM07_IS(D274,61,$G$5,$H$13)/IF([1]!S_SHARE_TOTAL(D274,$G$5)=0,[1]!S_SHARE_TOTAL(D274,[1]!s_ipo_listeddate(D274)),[1]!S_SHARE_TOTAL(D274,$G$5)),([1]!S_STM07_BS(D274,75,$G$5,$H$13)+[1]!S_STM07_BS(D274,88,$G$5,$H$13)+[1]!S_STM07_BS(D274,94,$G$5,$H$13)+[1]!S_STM07_BS(D274,95,$G$5,$H$13))/$E$5))</f>
        <v/>
      </c>
      <c r="O274" s="247" t="str">
        <f ca="1">IF(C274="","",IF($O$11="BPS",[1]!S_STM07_BS(D274,141,$G$5,$H$13)/IF([1]!S_SHARE_TOTAL(D274,$G$5)=0,[1]!S_SHARE_TOTAL(D274,[1]!s_ipo_listeddate(D274)),[1]!S_SHARE_TOTAL(D274,$G$5)),[1]!S_STM07_CS(D274,49,$G$5,$H$13)/$E$5))</f>
        <v/>
      </c>
      <c r="P274" s="247" t="str">
        <f ca="1">IF(C274="","",IF($P$11="CFPS",[1]!S_STM07_CS(D274,84,$G$5,$H$13)/IF([1]!S_SHARE_TOTAL(D274,$G$5)=0,[1]!S_SHARE_TOTAL(D274,[1]!s_ipo_listeddate(D274)),[1]!S_SHARE_TOTAL(D274,$G$5)),[1]!S_STM07_CS(D274,84,$G$5,$H$13)/$E$5))</f>
        <v/>
      </c>
      <c r="Q274" s="248" t="str">
        <f ca="1">IF(C274="","",F274/([1]!S_STM07_IS(D274,61,$G$5,$H$13)/IF([1]!S_SHARE_TOTAL(D274,$G$5)=0,[1]!S_SHARE_TOTAL(D274,[1]!s_ipo_listeddate(D274)),[1]!S_SHARE_TOTAL(D274,$G$5))))</f>
        <v/>
      </c>
      <c r="R274" s="248" t="str">
        <f ca="1">IF(C274="","",F274/([1]!S_STM07_BS(D274,141,$G$5,$H$13)/IF([1]!S_SHARE_TOTAL(D274,$G$5)=0,[1]!S_SHARE_TOTAL(D274,[1]!s_ipo_listeddate(D274)),[1]!S_SHARE_TOTAL(D274,$G$5))))</f>
        <v/>
      </c>
      <c r="S274" s="247" t="str">
        <f ca="1">IF(C274="","",[1]!S_SHARE_TOTAL(D274,TODAY())/$E$5)</f>
        <v/>
      </c>
      <c r="T274" s="247" t="str">
        <f t="shared" ca="1" si="31"/>
        <v/>
      </c>
      <c r="U274" s="218" t="str">
        <f t="shared" ca="1" si="32"/>
        <v/>
      </c>
      <c r="V274" s="342" t="str">
        <f t="shared" ca="1" si="33"/>
        <v/>
      </c>
      <c r="W274" s="139"/>
      <c r="Y274" s="1"/>
    </row>
    <row r="275" spans="3:25" ht="12" customHeight="1">
      <c r="C275" s="343" t="str">
        <f t="shared" ca="1" si="34"/>
        <v/>
      </c>
      <c r="D275" s="124" t="str">
        <f t="shared" ca="1" si="29"/>
        <v/>
      </c>
      <c r="E275" s="124" t="str">
        <f t="shared" ca="1" si="30"/>
        <v/>
      </c>
      <c r="F275" s="172" t="str">
        <f ca="1">IF(C275="","",[1]!S_DQ_CLOSE(D275,TODAY(),1))</f>
        <v/>
      </c>
      <c r="G275" s="173" t="str">
        <f ca="1">IF(C275="","",[1]!s_pq_pctchange(D275,TODAY()-$G$12,TODAY())/100)</f>
        <v/>
      </c>
      <c r="H275" s="249" t="str">
        <f ca="1">IF(C275="","",IF($H$11="收入",[1]!S_STM07_IS(D275,9,$G$5,$H$13)/$E$5,[1]!S_STM07_IS(D275,48,$G$5,$H$13)/$E$5))</f>
        <v/>
      </c>
      <c r="I275" s="249" t="str">
        <f ca="1">IF(C275="","",IF($I$11="毛利率",([1]!S_STM07_IS(D275,9,$G$5,$H$13)-[1]!S_STM07_IS(D275,10,$G$5,$H$13))/[1]!S_STM07_IS(D275,9,$G$5,$H$13),[1]!S_STM07_IS(D275,14,$G$5,$H$13)/$E$5))</f>
        <v/>
      </c>
      <c r="J275" s="249" t="str">
        <f ca="1">IF(C275="","",IF($J$11="营业利润率",[1]!S_STM07_IS(D275,48,$G$5,$H$13)/[1]!S_STM07_IS(D275,9,$G$5,$H$13),([1]!S_STM07_CS(D275,87,$G$5,$H$13)+[1]!S_STM07_CS(D275,88,$G$5,$H$13)+[1]!S_STM07_CS(D275,89,$G$5,$H$13))/$E$5))</f>
        <v/>
      </c>
      <c r="K275" s="249" t="str">
        <f ca="1">IF(C275="","",IF($K$11="净利润率",[1]!S_STM07_IS(D275,61,$G$5,$H$13)/[1]!S_STM07_IS(D275,9,$G$5,$H$13),[1]!S_STM07_IS(D275,55,$G$5,$H$13)/$E$5))</f>
        <v/>
      </c>
      <c r="L275" s="249" t="str">
        <f ca="1">IF(C275="","",IF($L$11="ROA",[1]!S_STM07_IS(D275,61,$G$5,$H$13)/[1]!S_STM07_BS(D275,74,$G$5,$H$13),1-[1]!S_STM07_IS(D275,61,$G$5,$H$13)/[1]!S_STM07_IS(D275,55,$G$5,$H$13)))</f>
        <v/>
      </c>
      <c r="M275" s="249" t="str">
        <f ca="1">IF(C275="","",IF($M$11="ROE",[1]!S_STM07_IS(D275,61,$G$5,$H$13)/[1]!S_STM07_BS(D275,141,$G$5,$H$13),([1]!S_STM07_BS(D275,25,$G$5,$H$13)-[1]!S_STM07_BS(D275,93,$G$5,$H$13))/$E$5))</f>
        <v/>
      </c>
      <c r="N275" s="250" t="str">
        <f ca="1">IF(C275="","",IF($N$11="EPS",[1]!S_STM07_IS(D275,61,$G$5,$H$13)/IF([1]!S_SHARE_TOTAL(D275,$G$5)=0,[1]!S_SHARE_TOTAL(D275,[1]!s_ipo_listeddate(D275)),[1]!S_SHARE_TOTAL(D275,$G$5)),([1]!S_STM07_BS(D275,75,$G$5,$H$13)+[1]!S_STM07_BS(D275,88,$G$5,$H$13)+[1]!S_STM07_BS(D275,94,$G$5,$H$13)+[1]!S_STM07_BS(D275,95,$G$5,$H$13))/$E$5))</f>
        <v/>
      </c>
      <c r="O275" s="250" t="str">
        <f ca="1">IF(C275="","",IF($O$11="BPS",[1]!S_STM07_BS(D275,141,$G$5,$H$13)/IF([1]!S_SHARE_TOTAL(D275,$G$5)=0,[1]!S_SHARE_TOTAL(D275,[1]!s_ipo_listeddate(D275)),[1]!S_SHARE_TOTAL(D275,$G$5)),[1]!S_STM07_CS(D275,49,$G$5,$H$13)/$E$5))</f>
        <v/>
      </c>
      <c r="P275" s="250" t="str">
        <f ca="1">IF(C275="","",IF($P$11="CFPS",[1]!S_STM07_CS(D275,84,$G$5,$H$13)/IF([1]!S_SHARE_TOTAL(D275,$G$5)=0,[1]!S_SHARE_TOTAL(D275,[1]!s_ipo_listeddate(D275)),[1]!S_SHARE_TOTAL(D275,$G$5)),[1]!S_STM07_CS(D275,84,$G$5,$H$13)/$E$5))</f>
        <v/>
      </c>
      <c r="Q275" s="198" t="str">
        <f ca="1">IF(C275="","",F275/([1]!S_STM07_IS(D275,61,$G$5,$H$13)/IF([1]!S_SHARE_TOTAL(D275,$G$5)=0,[1]!S_SHARE_TOTAL(D275,[1]!s_ipo_listeddate(D275)),[1]!S_SHARE_TOTAL(D275,$G$5))))</f>
        <v/>
      </c>
      <c r="R275" s="198" t="str">
        <f ca="1">IF(C275="","",F275/([1]!S_STM07_BS(D275,141,$G$5,$H$13)/IF([1]!S_SHARE_TOTAL(D275,$G$5)=0,[1]!S_SHARE_TOTAL(D275,[1]!s_ipo_listeddate(D275)),[1]!S_SHARE_TOTAL(D275,$G$5))))</f>
        <v/>
      </c>
      <c r="S275" s="249" t="str">
        <f ca="1">IF(C275="","",[1]!S_SHARE_TOTAL(D275,TODAY())/$E$5)</f>
        <v/>
      </c>
      <c r="T275" s="249" t="str">
        <f t="shared" ca="1" si="31"/>
        <v/>
      </c>
      <c r="U275" s="172" t="str">
        <f t="shared" ca="1" si="32"/>
        <v/>
      </c>
      <c r="V275" s="343" t="str">
        <f t="shared" ca="1" si="33"/>
        <v/>
      </c>
      <c r="W275" s="139"/>
      <c r="Y275" s="1"/>
    </row>
    <row r="276" spans="3:25" ht="12" customHeight="1">
      <c r="C276" s="342" t="str">
        <f t="shared" ca="1" si="34"/>
        <v/>
      </c>
      <c r="D276" s="153" t="str">
        <f t="shared" ca="1" si="29"/>
        <v/>
      </c>
      <c r="E276" s="153" t="str">
        <f t="shared" ca="1" si="30"/>
        <v/>
      </c>
      <c r="F276" s="170" t="str">
        <f ca="1">IF(C276="","",[1]!S_DQ_CLOSE(D276,TODAY(),1))</f>
        <v/>
      </c>
      <c r="G276" s="171" t="str">
        <f ca="1">IF(C276="","",[1]!s_pq_pctchange(D276,TODAY()-$G$12,TODAY())/100)</f>
        <v/>
      </c>
      <c r="H276" s="247" t="str">
        <f ca="1">IF(C276="","",IF($H$11="收入",[1]!S_STM07_IS(D276,9,$G$5,$H$13)/$E$5,[1]!S_STM07_IS(D276,48,$G$5,$H$13)/$E$5))</f>
        <v/>
      </c>
      <c r="I276" s="247" t="str">
        <f ca="1">IF(C276="","",IF($I$11="毛利率",([1]!S_STM07_IS(D276,9,$G$5,$H$13)-[1]!S_STM07_IS(D276,10,$G$5,$H$13))/[1]!S_STM07_IS(D276,9,$G$5,$H$13),[1]!S_STM07_IS(D276,14,$G$5,$H$13)/$E$5))</f>
        <v/>
      </c>
      <c r="J276" s="247" t="str">
        <f ca="1">IF(C276="","",IF($J$11="营业利润率",[1]!S_STM07_IS(D276,48,$G$5,$H$13)/[1]!S_STM07_IS(D276,9,$G$5,$H$13),([1]!S_STM07_CS(D276,87,$G$5,$H$13)+[1]!S_STM07_CS(D276,88,$G$5,$H$13)+[1]!S_STM07_CS(D276,89,$G$5,$H$13))/$E$5))</f>
        <v/>
      </c>
      <c r="K276" s="247" t="str">
        <f ca="1">IF(C276="","",IF($K$11="净利润率",[1]!S_STM07_IS(D276,61,$G$5,$H$13)/[1]!S_STM07_IS(D276,9,$G$5,$H$13),[1]!S_STM07_IS(D276,55,$G$5,$H$13)/$E$5))</f>
        <v/>
      </c>
      <c r="L276" s="247" t="str">
        <f ca="1">IF(C276="","",IF($L$11="ROA",[1]!S_STM07_IS(D276,61,$G$5,$H$13)/[1]!S_STM07_BS(D276,74,$G$5,$H$13),1-[1]!S_STM07_IS(D276,61,$G$5,$H$13)/[1]!S_STM07_IS(D276,55,$G$5,$H$13)))</f>
        <v/>
      </c>
      <c r="M276" s="247" t="str">
        <f ca="1">IF(C276="","",IF($M$11="ROE",[1]!S_STM07_IS(D276,61,$G$5,$H$13)/[1]!S_STM07_BS(D276,141,$G$5,$H$13),([1]!S_STM07_BS(D276,25,$G$5,$H$13)-[1]!S_STM07_BS(D276,93,$G$5,$H$13))/$E$5))</f>
        <v/>
      </c>
      <c r="N276" s="247" t="str">
        <f ca="1">IF(C276="","",IF($N$11="EPS",[1]!S_STM07_IS(D276,61,$G$5,$H$13)/IF([1]!S_SHARE_TOTAL(D276,$G$5)=0,[1]!S_SHARE_TOTAL(D276,[1]!s_ipo_listeddate(D276)),[1]!S_SHARE_TOTAL(D276,$G$5)),([1]!S_STM07_BS(D276,75,$G$5,$H$13)+[1]!S_STM07_BS(D276,88,$G$5,$H$13)+[1]!S_STM07_BS(D276,94,$G$5,$H$13)+[1]!S_STM07_BS(D276,95,$G$5,$H$13))/$E$5))</f>
        <v/>
      </c>
      <c r="O276" s="247" t="str">
        <f ca="1">IF(C276="","",IF($O$11="BPS",[1]!S_STM07_BS(D276,141,$G$5,$H$13)/IF([1]!S_SHARE_TOTAL(D276,$G$5)=0,[1]!S_SHARE_TOTAL(D276,[1]!s_ipo_listeddate(D276)),[1]!S_SHARE_TOTAL(D276,$G$5)),[1]!S_STM07_CS(D276,49,$G$5,$H$13)/$E$5))</f>
        <v/>
      </c>
      <c r="P276" s="247" t="str">
        <f ca="1">IF(C276="","",IF($P$11="CFPS",[1]!S_STM07_CS(D276,84,$G$5,$H$13)/IF([1]!S_SHARE_TOTAL(D276,$G$5)=0,[1]!S_SHARE_TOTAL(D276,[1]!s_ipo_listeddate(D276)),[1]!S_SHARE_TOTAL(D276,$G$5)),[1]!S_STM07_CS(D276,84,$G$5,$H$13)/$E$5))</f>
        <v/>
      </c>
      <c r="Q276" s="248" t="str">
        <f ca="1">IF(C276="","",F276/([1]!S_STM07_IS(D276,61,$G$5,$H$13)/IF([1]!S_SHARE_TOTAL(D276,$G$5)=0,[1]!S_SHARE_TOTAL(D276,[1]!s_ipo_listeddate(D276)),[1]!S_SHARE_TOTAL(D276,$G$5))))</f>
        <v/>
      </c>
      <c r="R276" s="248" t="str">
        <f ca="1">IF(C276="","",F276/([1]!S_STM07_BS(D276,141,$G$5,$H$13)/IF([1]!S_SHARE_TOTAL(D276,$G$5)=0,[1]!S_SHARE_TOTAL(D276,[1]!s_ipo_listeddate(D276)),[1]!S_SHARE_TOTAL(D276,$G$5))))</f>
        <v/>
      </c>
      <c r="S276" s="247" t="str">
        <f ca="1">IF(C276="","",[1]!S_SHARE_TOTAL(D276,TODAY())/$E$5)</f>
        <v/>
      </c>
      <c r="T276" s="247" t="str">
        <f t="shared" ca="1" si="31"/>
        <v/>
      </c>
      <c r="U276" s="218" t="str">
        <f t="shared" ca="1" si="32"/>
        <v/>
      </c>
      <c r="V276" s="342" t="str">
        <f t="shared" ca="1" si="33"/>
        <v/>
      </c>
      <c r="W276" s="139"/>
      <c r="Y276" s="1"/>
    </row>
    <row r="277" spans="3:25" ht="12" customHeight="1">
      <c r="C277" s="343" t="str">
        <f t="shared" ca="1" si="34"/>
        <v/>
      </c>
      <c r="D277" s="124" t="str">
        <f t="shared" ca="1" si="29"/>
        <v/>
      </c>
      <c r="E277" s="124" t="str">
        <f t="shared" ca="1" si="30"/>
        <v/>
      </c>
      <c r="F277" s="172" t="str">
        <f ca="1">IF(C277="","",[1]!S_DQ_CLOSE(D277,TODAY(),1))</f>
        <v/>
      </c>
      <c r="G277" s="173" t="str">
        <f ca="1">IF(C277="","",[1]!s_pq_pctchange(D277,TODAY()-$G$12,TODAY())/100)</f>
        <v/>
      </c>
      <c r="H277" s="249" t="str">
        <f ca="1">IF(C277="","",IF($H$11="收入",[1]!S_STM07_IS(D277,9,$G$5,$H$13)/$E$5,[1]!S_STM07_IS(D277,48,$G$5,$H$13)/$E$5))</f>
        <v/>
      </c>
      <c r="I277" s="249" t="str">
        <f ca="1">IF(C277="","",IF($I$11="毛利率",([1]!S_STM07_IS(D277,9,$G$5,$H$13)-[1]!S_STM07_IS(D277,10,$G$5,$H$13))/[1]!S_STM07_IS(D277,9,$G$5,$H$13),[1]!S_STM07_IS(D277,14,$G$5,$H$13)/$E$5))</f>
        <v/>
      </c>
      <c r="J277" s="249" t="str">
        <f ca="1">IF(C277="","",IF($J$11="营业利润率",[1]!S_STM07_IS(D277,48,$G$5,$H$13)/[1]!S_STM07_IS(D277,9,$G$5,$H$13),([1]!S_STM07_CS(D277,87,$G$5,$H$13)+[1]!S_STM07_CS(D277,88,$G$5,$H$13)+[1]!S_STM07_CS(D277,89,$G$5,$H$13))/$E$5))</f>
        <v/>
      </c>
      <c r="K277" s="249" t="str">
        <f ca="1">IF(C277="","",IF($K$11="净利润率",[1]!S_STM07_IS(D277,61,$G$5,$H$13)/[1]!S_STM07_IS(D277,9,$G$5,$H$13),[1]!S_STM07_IS(D277,55,$G$5,$H$13)/$E$5))</f>
        <v/>
      </c>
      <c r="L277" s="249" t="str">
        <f ca="1">IF(C277="","",IF($L$11="ROA",[1]!S_STM07_IS(D277,61,$G$5,$H$13)/[1]!S_STM07_BS(D277,74,$G$5,$H$13),1-[1]!S_STM07_IS(D277,61,$G$5,$H$13)/[1]!S_STM07_IS(D277,55,$G$5,$H$13)))</f>
        <v/>
      </c>
      <c r="M277" s="249" t="str">
        <f ca="1">IF(C277="","",IF($M$11="ROE",[1]!S_STM07_IS(D277,61,$G$5,$H$13)/[1]!S_STM07_BS(D277,141,$G$5,$H$13),([1]!S_STM07_BS(D277,25,$G$5,$H$13)-[1]!S_STM07_BS(D277,93,$G$5,$H$13))/$E$5))</f>
        <v/>
      </c>
      <c r="N277" s="250" t="str">
        <f ca="1">IF(C277="","",IF($N$11="EPS",[1]!S_STM07_IS(D277,61,$G$5,$H$13)/IF([1]!S_SHARE_TOTAL(D277,$G$5)=0,[1]!S_SHARE_TOTAL(D277,[1]!s_ipo_listeddate(D277)),[1]!S_SHARE_TOTAL(D277,$G$5)),([1]!S_STM07_BS(D277,75,$G$5,$H$13)+[1]!S_STM07_BS(D277,88,$G$5,$H$13)+[1]!S_STM07_BS(D277,94,$G$5,$H$13)+[1]!S_STM07_BS(D277,95,$G$5,$H$13))/$E$5))</f>
        <v/>
      </c>
      <c r="O277" s="250" t="str">
        <f ca="1">IF(C277="","",IF($O$11="BPS",[1]!S_STM07_BS(D277,141,$G$5,$H$13)/IF([1]!S_SHARE_TOTAL(D277,$G$5)=0,[1]!S_SHARE_TOTAL(D277,[1]!s_ipo_listeddate(D277)),[1]!S_SHARE_TOTAL(D277,$G$5)),[1]!S_STM07_CS(D277,49,$G$5,$H$13)/$E$5))</f>
        <v/>
      </c>
      <c r="P277" s="250" t="str">
        <f ca="1">IF(C277="","",IF($P$11="CFPS",[1]!S_STM07_CS(D277,84,$G$5,$H$13)/IF([1]!S_SHARE_TOTAL(D277,$G$5)=0,[1]!S_SHARE_TOTAL(D277,[1]!s_ipo_listeddate(D277)),[1]!S_SHARE_TOTAL(D277,$G$5)),[1]!S_STM07_CS(D277,84,$G$5,$H$13)/$E$5))</f>
        <v/>
      </c>
      <c r="Q277" s="198" t="str">
        <f ca="1">IF(C277="","",F277/([1]!S_STM07_IS(D277,61,$G$5,$H$13)/IF([1]!S_SHARE_TOTAL(D277,$G$5)=0,[1]!S_SHARE_TOTAL(D277,[1]!s_ipo_listeddate(D277)),[1]!S_SHARE_TOTAL(D277,$G$5))))</f>
        <v/>
      </c>
      <c r="R277" s="198" t="str">
        <f ca="1">IF(C277="","",F277/([1]!S_STM07_BS(D277,141,$G$5,$H$13)/IF([1]!S_SHARE_TOTAL(D277,$G$5)=0,[1]!S_SHARE_TOTAL(D277,[1]!s_ipo_listeddate(D277)),[1]!S_SHARE_TOTAL(D277,$G$5))))</f>
        <v/>
      </c>
      <c r="S277" s="249" t="str">
        <f ca="1">IF(C277="","",[1]!S_SHARE_TOTAL(D277,TODAY())/$E$5)</f>
        <v/>
      </c>
      <c r="T277" s="249" t="str">
        <f t="shared" ca="1" si="31"/>
        <v/>
      </c>
      <c r="U277" s="172" t="str">
        <f t="shared" ca="1" si="32"/>
        <v/>
      </c>
      <c r="V277" s="343" t="str">
        <f t="shared" ca="1" si="33"/>
        <v/>
      </c>
      <c r="W277" s="139"/>
      <c r="Y277" s="1"/>
    </row>
    <row r="278" spans="3:25" ht="12" customHeight="1">
      <c r="C278" s="342" t="str">
        <f t="shared" ca="1" si="34"/>
        <v/>
      </c>
      <c r="D278" s="153" t="str">
        <f t="shared" ca="1" si="29"/>
        <v/>
      </c>
      <c r="E278" s="153" t="str">
        <f t="shared" ca="1" si="30"/>
        <v/>
      </c>
      <c r="F278" s="170" t="str">
        <f ca="1">IF(C278="","",[1]!S_DQ_CLOSE(D278,TODAY(),1))</f>
        <v/>
      </c>
      <c r="G278" s="171" t="str">
        <f ca="1">IF(C278="","",[1]!s_pq_pctchange(D278,TODAY()-$G$12,TODAY())/100)</f>
        <v/>
      </c>
      <c r="H278" s="247" t="str">
        <f ca="1">IF(C278="","",IF($H$11="收入",[1]!S_STM07_IS(D278,9,$G$5,$H$13)/$E$5,[1]!S_STM07_IS(D278,48,$G$5,$H$13)/$E$5))</f>
        <v/>
      </c>
      <c r="I278" s="247" t="str">
        <f ca="1">IF(C278="","",IF($I$11="毛利率",([1]!S_STM07_IS(D278,9,$G$5,$H$13)-[1]!S_STM07_IS(D278,10,$G$5,$H$13))/[1]!S_STM07_IS(D278,9,$G$5,$H$13),[1]!S_STM07_IS(D278,14,$G$5,$H$13)/$E$5))</f>
        <v/>
      </c>
      <c r="J278" s="247" t="str">
        <f ca="1">IF(C278="","",IF($J$11="营业利润率",[1]!S_STM07_IS(D278,48,$G$5,$H$13)/[1]!S_STM07_IS(D278,9,$G$5,$H$13),([1]!S_STM07_CS(D278,87,$G$5,$H$13)+[1]!S_STM07_CS(D278,88,$G$5,$H$13)+[1]!S_STM07_CS(D278,89,$G$5,$H$13))/$E$5))</f>
        <v/>
      </c>
      <c r="K278" s="247" t="str">
        <f ca="1">IF(C278="","",IF($K$11="净利润率",[1]!S_STM07_IS(D278,61,$G$5,$H$13)/[1]!S_STM07_IS(D278,9,$G$5,$H$13),[1]!S_STM07_IS(D278,55,$G$5,$H$13)/$E$5))</f>
        <v/>
      </c>
      <c r="L278" s="247" t="str">
        <f ca="1">IF(C278="","",IF($L$11="ROA",[1]!S_STM07_IS(D278,61,$G$5,$H$13)/[1]!S_STM07_BS(D278,74,$G$5,$H$13),1-[1]!S_STM07_IS(D278,61,$G$5,$H$13)/[1]!S_STM07_IS(D278,55,$G$5,$H$13)))</f>
        <v/>
      </c>
      <c r="M278" s="247" t="str">
        <f ca="1">IF(C278="","",IF($M$11="ROE",[1]!S_STM07_IS(D278,61,$G$5,$H$13)/[1]!S_STM07_BS(D278,141,$G$5,$H$13),([1]!S_STM07_BS(D278,25,$G$5,$H$13)-[1]!S_STM07_BS(D278,93,$G$5,$H$13))/$E$5))</f>
        <v/>
      </c>
      <c r="N278" s="247" t="str">
        <f ca="1">IF(C278="","",IF($N$11="EPS",[1]!S_STM07_IS(D278,61,$G$5,$H$13)/IF([1]!S_SHARE_TOTAL(D278,$G$5)=0,[1]!S_SHARE_TOTAL(D278,[1]!s_ipo_listeddate(D278)),[1]!S_SHARE_TOTAL(D278,$G$5)),([1]!S_STM07_BS(D278,75,$G$5,$H$13)+[1]!S_STM07_BS(D278,88,$G$5,$H$13)+[1]!S_STM07_BS(D278,94,$G$5,$H$13)+[1]!S_STM07_BS(D278,95,$G$5,$H$13))/$E$5))</f>
        <v/>
      </c>
      <c r="O278" s="247" t="str">
        <f ca="1">IF(C278="","",IF($O$11="BPS",[1]!S_STM07_BS(D278,141,$G$5,$H$13)/IF([1]!S_SHARE_TOTAL(D278,$G$5)=0,[1]!S_SHARE_TOTAL(D278,[1]!s_ipo_listeddate(D278)),[1]!S_SHARE_TOTAL(D278,$G$5)),[1]!S_STM07_CS(D278,49,$G$5,$H$13)/$E$5))</f>
        <v/>
      </c>
      <c r="P278" s="247" t="str">
        <f ca="1">IF(C278="","",IF($P$11="CFPS",[1]!S_STM07_CS(D278,84,$G$5,$H$13)/IF([1]!S_SHARE_TOTAL(D278,$G$5)=0,[1]!S_SHARE_TOTAL(D278,[1]!s_ipo_listeddate(D278)),[1]!S_SHARE_TOTAL(D278,$G$5)),[1]!S_STM07_CS(D278,84,$G$5,$H$13)/$E$5))</f>
        <v/>
      </c>
      <c r="Q278" s="248" t="str">
        <f ca="1">IF(C278="","",F278/([1]!S_STM07_IS(D278,61,$G$5,$H$13)/IF([1]!S_SHARE_TOTAL(D278,$G$5)=0,[1]!S_SHARE_TOTAL(D278,[1]!s_ipo_listeddate(D278)),[1]!S_SHARE_TOTAL(D278,$G$5))))</f>
        <v/>
      </c>
      <c r="R278" s="248" t="str">
        <f ca="1">IF(C278="","",F278/([1]!S_STM07_BS(D278,141,$G$5,$H$13)/IF([1]!S_SHARE_TOTAL(D278,$G$5)=0,[1]!S_SHARE_TOTAL(D278,[1]!s_ipo_listeddate(D278)),[1]!S_SHARE_TOTAL(D278,$G$5))))</f>
        <v/>
      </c>
      <c r="S278" s="247" t="str">
        <f ca="1">IF(C278="","",[1]!S_SHARE_TOTAL(D278,TODAY())/$E$5)</f>
        <v/>
      </c>
      <c r="T278" s="247" t="str">
        <f t="shared" ca="1" si="31"/>
        <v/>
      </c>
      <c r="U278" s="218" t="str">
        <f t="shared" ca="1" si="32"/>
        <v/>
      </c>
      <c r="V278" s="342" t="str">
        <f t="shared" ca="1" si="33"/>
        <v/>
      </c>
      <c r="W278" s="139"/>
      <c r="Y278" s="1"/>
    </row>
    <row r="279" spans="3:25" ht="12" customHeight="1">
      <c r="C279" s="343" t="str">
        <f t="shared" ca="1" si="34"/>
        <v/>
      </c>
      <c r="D279" s="124" t="str">
        <f t="shared" ca="1" si="29"/>
        <v/>
      </c>
      <c r="E279" s="124" t="str">
        <f t="shared" ca="1" si="30"/>
        <v/>
      </c>
      <c r="F279" s="172" t="str">
        <f ca="1">IF(C279="","",[1]!S_DQ_CLOSE(D279,TODAY(),1))</f>
        <v/>
      </c>
      <c r="G279" s="173" t="str">
        <f ca="1">IF(C279="","",[1]!s_pq_pctchange(D279,TODAY()-$G$12,TODAY())/100)</f>
        <v/>
      </c>
      <c r="H279" s="249" t="str">
        <f ca="1">IF(C279="","",IF($H$11="收入",[1]!S_STM07_IS(D279,9,$G$5,$H$13)/$E$5,[1]!S_STM07_IS(D279,48,$G$5,$H$13)/$E$5))</f>
        <v/>
      </c>
      <c r="I279" s="249" t="str">
        <f ca="1">IF(C279="","",IF($I$11="毛利率",([1]!S_STM07_IS(D279,9,$G$5,$H$13)-[1]!S_STM07_IS(D279,10,$G$5,$H$13))/[1]!S_STM07_IS(D279,9,$G$5,$H$13),[1]!S_STM07_IS(D279,14,$G$5,$H$13)/$E$5))</f>
        <v/>
      </c>
      <c r="J279" s="249" t="str">
        <f ca="1">IF(C279="","",IF($J$11="营业利润率",[1]!S_STM07_IS(D279,48,$G$5,$H$13)/[1]!S_STM07_IS(D279,9,$G$5,$H$13),([1]!S_STM07_CS(D279,87,$G$5,$H$13)+[1]!S_STM07_CS(D279,88,$G$5,$H$13)+[1]!S_STM07_CS(D279,89,$G$5,$H$13))/$E$5))</f>
        <v/>
      </c>
      <c r="K279" s="249" t="str">
        <f ca="1">IF(C279="","",IF($K$11="净利润率",[1]!S_STM07_IS(D279,61,$G$5,$H$13)/[1]!S_STM07_IS(D279,9,$G$5,$H$13),[1]!S_STM07_IS(D279,55,$G$5,$H$13)/$E$5))</f>
        <v/>
      </c>
      <c r="L279" s="249" t="str">
        <f ca="1">IF(C279="","",IF($L$11="ROA",[1]!S_STM07_IS(D279,61,$G$5,$H$13)/[1]!S_STM07_BS(D279,74,$G$5,$H$13),1-[1]!S_STM07_IS(D279,61,$G$5,$H$13)/[1]!S_STM07_IS(D279,55,$G$5,$H$13)))</f>
        <v/>
      </c>
      <c r="M279" s="249" t="str">
        <f ca="1">IF(C279="","",IF($M$11="ROE",[1]!S_STM07_IS(D279,61,$G$5,$H$13)/[1]!S_STM07_BS(D279,141,$G$5,$H$13),([1]!S_STM07_BS(D279,25,$G$5,$H$13)-[1]!S_STM07_BS(D279,93,$G$5,$H$13))/$E$5))</f>
        <v/>
      </c>
      <c r="N279" s="250" t="str">
        <f ca="1">IF(C279="","",IF($N$11="EPS",[1]!S_STM07_IS(D279,61,$G$5,$H$13)/IF([1]!S_SHARE_TOTAL(D279,$G$5)=0,[1]!S_SHARE_TOTAL(D279,[1]!s_ipo_listeddate(D279)),[1]!S_SHARE_TOTAL(D279,$G$5)),([1]!S_STM07_BS(D279,75,$G$5,$H$13)+[1]!S_STM07_BS(D279,88,$G$5,$H$13)+[1]!S_STM07_BS(D279,94,$G$5,$H$13)+[1]!S_STM07_BS(D279,95,$G$5,$H$13))/$E$5))</f>
        <v/>
      </c>
      <c r="O279" s="250" t="str">
        <f ca="1">IF(C279="","",IF($O$11="BPS",[1]!S_STM07_BS(D279,141,$G$5,$H$13)/IF([1]!S_SHARE_TOTAL(D279,$G$5)=0,[1]!S_SHARE_TOTAL(D279,[1]!s_ipo_listeddate(D279)),[1]!S_SHARE_TOTAL(D279,$G$5)),[1]!S_STM07_CS(D279,49,$G$5,$H$13)/$E$5))</f>
        <v/>
      </c>
      <c r="P279" s="250" t="str">
        <f ca="1">IF(C279="","",IF($P$11="CFPS",[1]!S_STM07_CS(D279,84,$G$5,$H$13)/IF([1]!S_SHARE_TOTAL(D279,$G$5)=0,[1]!S_SHARE_TOTAL(D279,[1]!s_ipo_listeddate(D279)),[1]!S_SHARE_TOTAL(D279,$G$5)),[1]!S_STM07_CS(D279,84,$G$5,$H$13)/$E$5))</f>
        <v/>
      </c>
      <c r="Q279" s="198" t="str">
        <f ca="1">IF(C279="","",F279/([1]!S_STM07_IS(D279,61,$G$5,$H$13)/IF([1]!S_SHARE_TOTAL(D279,$G$5)=0,[1]!S_SHARE_TOTAL(D279,[1]!s_ipo_listeddate(D279)),[1]!S_SHARE_TOTAL(D279,$G$5))))</f>
        <v/>
      </c>
      <c r="R279" s="198" t="str">
        <f ca="1">IF(C279="","",F279/([1]!S_STM07_BS(D279,141,$G$5,$H$13)/IF([1]!S_SHARE_TOTAL(D279,$G$5)=0,[1]!S_SHARE_TOTAL(D279,[1]!s_ipo_listeddate(D279)),[1]!S_SHARE_TOTAL(D279,$G$5))))</f>
        <v/>
      </c>
      <c r="S279" s="249" t="str">
        <f ca="1">IF(C279="","",[1]!S_SHARE_TOTAL(D279,TODAY())/$E$5)</f>
        <v/>
      </c>
      <c r="T279" s="249" t="str">
        <f t="shared" ca="1" si="31"/>
        <v/>
      </c>
      <c r="U279" s="172" t="str">
        <f t="shared" ca="1" si="32"/>
        <v/>
      </c>
      <c r="V279" s="343" t="str">
        <f t="shared" ca="1" si="33"/>
        <v/>
      </c>
      <c r="W279" s="139"/>
      <c r="Y279" s="1"/>
    </row>
    <row r="280" spans="3:25" ht="12" customHeight="1">
      <c r="C280" s="342" t="str">
        <f t="shared" ca="1" si="34"/>
        <v/>
      </c>
      <c r="D280" s="153" t="str">
        <f t="shared" ca="1" si="29"/>
        <v/>
      </c>
      <c r="E280" s="153" t="str">
        <f t="shared" ca="1" si="30"/>
        <v/>
      </c>
      <c r="F280" s="170" t="str">
        <f ca="1">IF(C280="","",[1]!S_DQ_CLOSE(D280,TODAY(),1))</f>
        <v/>
      </c>
      <c r="G280" s="171" t="str">
        <f ca="1">IF(C280="","",[1]!s_pq_pctchange(D280,TODAY()-$G$12,TODAY())/100)</f>
        <v/>
      </c>
      <c r="H280" s="247" t="str">
        <f ca="1">IF(C280="","",IF($H$11="收入",[1]!S_STM07_IS(D280,9,$G$5,$H$13)/$E$5,[1]!S_STM07_IS(D280,48,$G$5,$H$13)/$E$5))</f>
        <v/>
      </c>
      <c r="I280" s="247" t="str">
        <f ca="1">IF(C280="","",IF($I$11="毛利率",([1]!S_STM07_IS(D280,9,$G$5,$H$13)-[1]!S_STM07_IS(D280,10,$G$5,$H$13))/[1]!S_STM07_IS(D280,9,$G$5,$H$13),[1]!S_STM07_IS(D280,14,$G$5,$H$13)/$E$5))</f>
        <v/>
      </c>
      <c r="J280" s="247" t="str">
        <f ca="1">IF(C280="","",IF($J$11="营业利润率",[1]!S_STM07_IS(D280,48,$G$5,$H$13)/[1]!S_STM07_IS(D280,9,$G$5,$H$13),([1]!S_STM07_CS(D280,87,$G$5,$H$13)+[1]!S_STM07_CS(D280,88,$G$5,$H$13)+[1]!S_STM07_CS(D280,89,$G$5,$H$13))/$E$5))</f>
        <v/>
      </c>
      <c r="K280" s="247" t="str">
        <f ca="1">IF(C280="","",IF($K$11="净利润率",[1]!S_STM07_IS(D280,61,$G$5,$H$13)/[1]!S_STM07_IS(D280,9,$G$5,$H$13),[1]!S_STM07_IS(D280,55,$G$5,$H$13)/$E$5))</f>
        <v/>
      </c>
      <c r="L280" s="247" t="str">
        <f ca="1">IF(C280="","",IF($L$11="ROA",[1]!S_STM07_IS(D280,61,$G$5,$H$13)/[1]!S_STM07_BS(D280,74,$G$5,$H$13),1-[1]!S_STM07_IS(D280,61,$G$5,$H$13)/[1]!S_STM07_IS(D280,55,$G$5,$H$13)))</f>
        <v/>
      </c>
      <c r="M280" s="247" t="str">
        <f ca="1">IF(C280="","",IF($M$11="ROE",[1]!S_STM07_IS(D280,61,$G$5,$H$13)/[1]!S_STM07_BS(D280,141,$G$5,$H$13),([1]!S_STM07_BS(D280,25,$G$5,$H$13)-[1]!S_STM07_BS(D280,93,$G$5,$H$13))/$E$5))</f>
        <v/>
      </c>
      <c r="N280" s="247" t="str">
        <f ca="1">IF(C280="","",IF($N$11="EPS",[1]!S_STM07_IS(D280,61,$G$5,$H$13)/IF([1]!S_SHARE_TOTAL(D280,$G$5)=0,[1]!S_SHARE_TOTAL(D280,[1]!s_ipo_listeddate(D280)),[1]!S_SHARE_TOTAL(D280,$G$5)),([1]!S_STM07_BS(D280,75,$G$5,$H$13)+[1]!S_STM07_BS(D280,88,$G$5,$H$13)+[1]!S_STM07_BS(D280,94,$G$5,$H$13)+[1]!S_STM07_BS(D280,95,$G$5,$H$13))/$E$5))</f>
        <v/>
      </c>
      <c r="O280" s="247" t="str">
        <f ca="1">IF(C280="","",IF($O$11="BPS",[1]!S_STM07_BS(D280,141,$G$5,$H$13)/IF([1]!S_SHARE_TOTAL(D280,$G$5)=0,[1]!S_SHARE_TOTAL(D280,[1]!s_ipo_listeddate(D280)),[1]!S_SHARE_TOTAL(D280,$G$5)),[1]!S_STM07_CS(D280,49,$G$5,$H$13)/$E$5))</f>
        <v/>
      </c>
      <c r="P280" s="247" t="str">
        <f ca="1">IF(C280="","",IF($P$11="CFPS",[1]!S_STM07_CS(D280,84,$G$5,$H$13)/IF([1]!S_SHARE_TOTAL(D280,$G$5)=0,[1]!S_SHARE_TOTAL(D280,[1]!s_ipo_listeddate(D280)),[1]!S_SHARE_TOTAL(D280,$G$5)),[1]!S_STM07_CS(D280,84,$G$5,$H$13)/$E$5))</f>
        <v/>
      </c>
      <c r="Q280" s="248" t="str">
        <f ca="1">IF(C280="","",F280/([1]!S_STM07_IS(D280,61,$G$5,$H$13)/IF([1]!S_SHARE_TOTAL(D280,$G$5)=0,[1]!S_SHARE_TOTAL(D280,[1]!s_ipo_listeddate(D280)),[1]!S_SHARE_TOTAL(D280,$G$5))))</f>
        <v/>
      </c>
      <c r="R280" s="248" t="str">
        <f ca="1">IF(C280="","",F280/([1]!S_STM07_BS(D280,141,$G$5,$H$13)/IF([1]!S_SHARE_TOTAL(D280,$G$5)=0,[1]!S_SHARE_TOTAL(D280,[1]!s_ipo_listeddate(D280)),[1]!S_SHARE_TOTAL(D280,$G$5))))</f>
        <v/>
      </c>
      <c r="S280" s="247" t="str">
        <f ca="1">IF(C280="","",[1]!S_SHARE_TOTAL(D280,TODAY())/$E$5)</f>
        <v/>
      </c>
      <c r="T280" s="247" t="str">
        <f t="shared" ca="1" si="31"/>
        <v/>
      </c>
      <c r="U280" s="218" t="str">
        <f t="shared" ca="1" si="32"/>
        <v/>
      </c>
      <c r="V280" s="342" t="str">
        <f t="shared" ca="1" si="33"/>
        <v/>
      </c>
      <c r="W280" s="139"/>
      <c r="Y280" s="1"/>
    </row>
    <row r="281" spans="3:25" ht="12" customHeight="1">
      <c r="C281" s="343" t="str">
        <f t="shared" ca="1" si="34"/>
        <v/>
      </c>
      <c r="D281" s="124" t="str">
        <f t="shared" ca="1" si="29"/>
        <v/>
      </c>
      <c r="E281" s="124" t="str">
        <f t="shared" ca="1" si="30"/>
        <v/>
      </c>
      <c r="F281" s="172" t="str">
        <f ca="1">IF(C281="","",[1]!S_DQ_CLOSE(D281,TODAY(),1))</f>
        <v/>
      </c>
      <c r="G281" s="173" t="str">
        <f ca="1">IF(C281="","",[1]!s_pq_pctchange(D281,TODAY()-$G$12,TODAY())/100)</f>
        <v/>
      </c>
      <c r="H281" s="249" t="str">
        <f ca="1">IF(C281="","",IF($H$11="收入",[1]!S_STM07_IS(D281,9,$G$5,$H$13)/$E$5,[1]!S_STM07_IS(D281,48,$G$5,$H$13)/$E$5))</f>
        <v/>
      </c>
      <c r="I281" s="249" t="str">
        <f ca="1">IF(C281="","",IF($I$11="毛利率",([1]!S_STM07_IS(D281,9,$G$5,$H$13)-[1]!S_STM07_IS(D281,10,$G$5,$H$13))/[1]!S_STM07_IS(D281,9,$G$5,$H$13),[1]!S_STM07_IS(D281,14,$G$5,$H$13)/$E$5))</f>
        <v/>
      </c>
      <c r="J281" s="249" t="str">
        <f ca="1">IF(C281="","",IF($J$11="营业利润率",[1]!S_STM07_IS(D281,48,$G$5,$H$13)/[1]!S_STM07_IS(D281,9,$G$5,$H$13),([1]!S_STM07_CS(D281,87,$G$5,$H$13)+[1]!S_STM07_CS(D281,88,$G$5,$H$13)+[1]!S_STM07_CS(D281,89,$G$5,$H$13))/$E$5))</f>
        <v/>
      </c>
      <c r="K281" s="249" t="str">
        <f ca="1">IF(C281="","",IF($K$11="净利润率",[1]!S_STM07_IS(D281,61,$G$5,$H$13)/[1]!S_STM07_IS(D281,9,$G$5,$H$13),[1]!S_STM07_IS(D281,55,$G$5,$H$13)/$E$5))</f>
        <v/>
      </c>
      <c r="L281" s="249" t="str">
        <f ca="1">IF(C281="","",IF($L$11="ROA",[1]!S_STM07_IS(D281,61,$G$5,$H$13)/[1]!S_STM07_BS(D281,74,$G$5,$H$13),1-[1]!S_STM07_IS(D281,61,$G$5,$H$13)/[1]!S_STM07_IS(D281,55,$G$5,$H$13)))</f>
        <v/>
      </c>
      <c r="M281" s="249" t="str">
        <f ca="1">IF(C281="","",IF($M$11="ROE",[1]!S_STM07_IS(D281,61,$G$5,$H$13)/[1]!S_STM07_BS(D281,141,$G$5,$H$13),([1]!S_STM07_BS(D281,25,$G$5,$H$13)-[1]!S_STM07_BS(D281,93,$G$5,$H$13))/$E$5))</f>
        <v/>
      </c>
      <c r="N281" s="250" t="str">
        <f ca="1">IF(C281="","",IF($N$11="EPS",[1]!S_STM07_IS(D281,61,$G$5,$H$13)/IF([1]!S_SHARE_TOTAL(D281,$G$5)=0,[1]!S_SHARE_TOTAL(D281,[1]!s_ipo_listeddate(D281)),[1]!S_SHARE_TOTAL(D281,$G$5)),([1]!S_STM07_BS(D281,75,$G$5,$H$13)+[1]!S_STM07_BS(D281,88,$G$5,$H$13)+[1]!S_STM07_BS(D281,94,$G$5,$H$13)+[1]!S_STM07_BS(D281,95,$G$5,$H$13))/$E$5))</f>
        <v/>
      </c>
      <c r="O281" s="250" t="str">
        <f ca="1">IF(C281="","",IF($O$11="BPS",[1]!S_STM07_BS(D281,141,$G$5,$H$13)/IF([1]!S_SHARE_TOTAL(D281,$G$5)=0,[1]!S_SHARE_TOTAL(D281,[1]!s_ipo_listeddate(D281)),[1]!S_SHARE_TOTAL(D281,$G$5)),[1]!S_STM07_CS(D281,49,$G$5,$H$13)/$E$5))</f>
        <v/>
      </c>
      <c r="P281" s="250" t="str">
        <f ca="1">IF(C281="","",IF($P$11="CFPS",[1]!S_STM07_CS(D281,84,$G$5,$H$13)/IF([1]!S_SHARE_TOTAL(D281,$G$5)=0,[1]!S_SHARE_TOTAL(D281,[1]!s_ipo_listeddate(D281)),[1]!S_SHARE_TOTAL(D281,$G$5)),[1]!S_STM07_CS(D281,84,$G$5,$H$13)/$E$5))</f>
        <v/>
      </c>
      <c r="Q281" s="198" t="str">
        <f ca="1">IF(C281="","",F281/([1]!S_STM07_IS(D281,61,$G$5,$H$13)/IF([1]!S_SHARE_TOTAL(D281,$G$5)=0,[1]!S_SHARE_TOTAL(D281,[1]!s_ipo_listeddate(D281)),[1]!S_SHARE_TOTAL(D281,$G$5))))</f>
        <v/>
      </c>
      <c r="R281" s="198" t="str">
        <f ca="1">IF(C281="","",F281/([1]!S_STM07_BS(D281,141,$G$5,$H$13)/IF([1]!S_SHARE_TOTAL(D281,$G$5)=0,[1]!S_SHARE_TOTAL(D281,[1]!s_ipo_listeddate(D281)),[1]!S_SHARE_TOTAL(D281,$G$5))))</f>
        <v/>
      </c>
      <c r="S281" s="249" t="str">
        <f ca="1">IF(C281="","",[1]!S_SHARE_TOTAL(D281,TODAY())/$E$5)</f>
        <v/>
      </c>
      <c r="T281" s="249" t="str">
        <f t="shared" ca="1" si="31"/>
        <v/>
      </c>
      <c r="U281" s="172" t="str">
        <f t="shared" ca="1" si="32"/>
        <v/>
      </c>
      <c r="V281" s="343" t="str">
        <f t="shared" ca="1" si="33"/>
        <v/>
      </c>
      <c r="W281" s="139"/>
      <c r="Y281" s="1"/>
    </row>
    <row r="282" spans="3:25" ht="12" customHeight="1">
      <c r="C282" s="342" t="str">
        <f t="shared" ca="1" si="34"/>
        <v/>
      </c>
      <c r="D282" s="153" t="str">
        <f t="shared" ca="1" si="29"/>
        <v/>
      </c>
      <c r="E282" s="153" t="str">
        <f t="shared" ca="1" si="30"/>
        <v/>
      </c>
      <c r="F282" s="170" t="str">
        <f ca="1">IF(C282="","",[1]!S_DQ_CLOSE(D282,TODAY(),1))</f>
        <v/>
      </c>
      <c r="G282" s="171" t="str">
        <f ca="1">IF(C282="","",[1]!s_pq_pctchange(D282,TODAY()-$G$12,TODAY())/100)</f>
        <v/>
      </c>
      <c r="H282" s="247" t="str">
        <f ca="1">IF(C282="","",IF($H$11="收入",[1]!S_STM07_IS(D282,9,$G$5,$H$13)/$E$5,[1]!S_STM07_IS(D282,48,$G$5,$H$13)/$E$5))</f>
        <v/>
      </c>
      <c r="I282" s="247" t="str">
        <f ca="1">IF(C282="","",IF($I$11="毛利率",([1]!S_STM07_IS(D282,9,$G$5,$H$13)-[1]!S_STM07_IS(D282,10,$G$5,$H$13))/[1]!S_STM07_IS(D282,9,$G$5,$H$13),[1]!S_STM07_IS(D282,14,$G$5,$H$13)/$E$5))</f>
        <v/>
      </c>
      <c r="J282" s="247" t="str">
        <f ca="1">IF(C282="","",IF($J$11="营业利润率",[1]!S_STM07_IS(D282,48,$G$5,$H$13)/[1]!S_STM07_IS(D282,9,$G$5,$H$13),([1]!S_STM07_CS(D282,87,$G$5,$H$13)+[1]!S_STM07_CS(D282,88,$G$5,$H$13)+[1]!S_STM07_CS(D282,89,$G$5,$H$13))/$E$5))</f>
        <v/>
      </c>
      <c r="K282" s="247" t="str">
        <f ca="1">IF(C282="","",IF($K$11="净利润率",[1]!S_STM07_IS(D282,61,$G$5,$H$13)/[1]!S_STM07_IS(D282,9,$G$5,$H$13),[1]!S_STM07_IS(D282,55,$G$5,$H$13)/$E$5))</f>
        <v/>
      </c>
      <c r="L282" s="247" t="str">
        <f ca="1">IF(C282="","",IF($L$11="ROA",[1]!S_STM07_IS(D282,61,$G$5,$H$13)/[1]!S_STM07_BS(D282,74,$G$5,$H$13),1-[1]!S_STM07_IS(D282,61,$G$5,$H$13)/[1]!S_STM07_IS(D282,55,$G$5,$H$13)))</f>
        <v/>
      </c>
      <c r="M282" s="247" t="str">
        <f ca="1">IF(C282="","",IF($M$11="ROE",[1]!S_STM07_IS(D282,61,$G$5,$H$13)/[1]!S_STM07_BS(D282,141,$G$5,$H$13),([1]!S_STM07_BS(D282,25,$G$5,$H$13)-[1]!S_STM07_BS(D282,93,$G$5,$H$13))/$E$5))</f>
        <v/>
      </c>
      <c r="N282" s="247" t="str">
        <f ca="1">IF(C282="","",IF($N$11="EPS",[1]!S_STM07_IS(D282,61,$G$5,$H$13)/IF([1]!S_SHARE_TOTAL(D282,$G$5)=0,[1]!S_SHARE_TOTAL(D282,[1]!s_ipo_listeddate(D282)),[1]!S_SHARE_TOTAL(D282,$G$5)),([1]!S_STM07_BS(D282,75,$G$5,$H$13)+[1]!S_STM07_BS(D282,88,$G$5,$H$13)+[1]!S_STM07_BS(D282,94,$G$5,$H$13)+[1]!S_STM07_BS(D282,95,$G$5,$H$13))/$E$5))</f>
        <v/>
      </c>
      <c r="O282" s="247" t="str">
        <f ca="1">IF(C282="","",IF($O$11="BPS",[1]!S_STM07_BS(D282,141,$G$5,$H$13)/IF([1]!S_SHARE_TOTAL(D282,$G$5)=0,[1]!S_SHARE_TOTAL(D282,[1]!s_ipo_listeddate(D282)),[1]!S_SHARE_TOTAL(D282,$G$5)),[1]!S_STM07_CS(D282,49,$G$5,$H$13)/$E$5))</f>
        <v/>
      </c>
      <c r="P282" s="247" t="str">
        <f ca="1">IF(C282="","",IF($P$11="CFPS",[1]!S_STM07_CS(D282,84,$G$5,$H$13)/IF([1]!S_SHARE_TOTAL(D282,$G$5)=0,[1]!S_SHARE_TOTAL(D282,[1]!s_ipo_listeddate(D282)),[1]!S_SHARE_TOTAL(D282,$G$5)),[1]!S_STM07_CS(D282,84,$G$5,$H$13)/$E$5))</f>
        <v/>
      </c>
      <c r="Q282" s="248" t="str">
        <f ca="1">IF(C282="","",F282/([1]!S_STM07_IS(D282,61,$G$5,$H$13)/IF([1]!S_SHARE_TOTAL(D282,$G$5)=0,[1]!S_SHARE_TOTAL(D282,[1]!s_ipo_listeddate(D282)),[1]!S_SHARE_TOTAL(D282,$G$5))))</f>
        <v/>
      </c>
      <c r="R282" s="248" t="str">
        <f ca="1">IF(C282="","",F282/([1]!S_STM07_BS(D282,141,$G$5,$H$13)/IF([1]!S_SHARE_TOTAL(D282,$G$5)=0,[1]!S_SHARE_TOTAL(D282,[1]!s_ipo_listeddate(D282)),[1]!S_SHARE_TOTAL(D282,$G$5))))</f>
        <v/>
      </c>
      <c r="S282" s="247" t="str">
        <f ca="1">IF(C282="","",[1]!S_SHARE_TOTAL(D282,TODAY())/$E$5)</f>
        <v/>
      </c>
      <c r="T282" s="247" t="str">
        <f t="shared" ca="1" si="31"/>
        <v/>
      </c>
      <c r="U282" s="218" t="str">
        <f t="shared" ca="1" si="32"/>
        <v/>
      </c>
      <c r="V282" s="342" t="str">
        <f t="shared" ca="1" si="33"/>
        <v/>
      </c>
      <c r="W282" s="139"/>
      <c r="Y282" s="1"/>
    </row>
    <row r="283" spans="3:25" ht="12" customHeight="1">
      <c r="C283" s="343" t="str">
        <f t="shared" ca="1" si="34"/>
        <v/>
      </c>
      <c r="D283" s="124" t="str">
        <f t="shared" ca="1" si="29"/>
        <v/>
      </c>
      <c r="E283" s="124" t="str">
        <f t="shared" ca="1" si="30"/>
        <v/>
      </c>
      <c r="F283" s="172" t="str">
        <f ca="1">IF(C283="","",[1]!S_DQ_CLOSE(D283,TODAY(),1))</f>
        <v/>
      </c>
      <c r="G283" s="173" t="str">
        <f ca="1">IF(C283="","",[1]!s_pq_pctchange(D283,TODAY()-$G$12,TODAY())/100)</f>
        <v/>
      </c>
      <c r="H283" s="249" t="str">
        <f ca="1">IF(C283="","",IF($H$11="收入",[1]!S_STM07_IS(D283,9,$G$5,$H$13)/$E$5,[1]!S_STM07_IS(D283,48,$G$5,$H$13)/$E$5))</f>
        <v/>
      </c>
      <c r="I283" s="249" t="str">
        <f ca="1">IF(C283="","",IF($I$11="毛利率",([1]!S_STM07_IS(D283,9,$G$5,$H$13)-[1]!S_STM07_IS(D283,10,$G$5,$H$13))/[1]!S_STM07_IS(D283,9,$G$5,$H$13),[1]!S_STM07_IS(D283,14,$G$5,$H$13)/$E$5))</f>
        <v/>
      </c>
      <c r="J283" s="249" t="str">
        <f ca="1">IF(C283="","",IF($J$11="营业利润率",[1]!S_STM07_IS(D283,48,$G$5,$H$13)/[1]!S_STM07_IS(D283,9,$G$5,$H$13),([1]!S_STM07_CS(D283,87,$G$5,$H$13)+[1]!S_STM07_CS(D283,88,$G$5,$H$13)+[1]!S_STM07_CS(D283,89,$G$5,$H$13))/$E$5))</f>
        <v/>
      </c>
      <c r="K283" s="249" t="str">
        <f ca="1">IF(C283="","",IF($K$11="净利润率",[1]!S_STM07_IS(D283,61,$G$5,$H$13)/[1]!S_STM07_IS(D283,9,$G$5,$H$13),[1]!S_STM07_IS(D283,55,$G$5,$H$13)/$E$5))</f>
        <v/>
      </c>
      <c r="L283" s="249" t="str">
        <f ca="1">IF(C283="","",IF($L$11="ROA",[1]!S_STM07_IS(D283,61,$G$5,$H$13)/[1]!S_STM07_BS(D283,74,$G$5,$H$13),1-[1]!S_STM07_IS(D283,61,$G$5,$H$13)/[1]!S_STM07_IS(D283,55,$G$5,$H$13)))</f>
        <v/>
      </c>
      <c r="M283" s="249" t="str">
        <f ca="1">IF(C283="","",IF($M$11="ROE",[1]!S_STM07_IS(D283,61,$G$5,$H$13)/[1]!S_STM07_BS(D283,141,$G$5,$H$13),([1]!S_STM07_BS(D283,25,$G$5,$H$13)-[1]!S_STM07_BS(D283,93,$G$5,$H$13))/$E$5))</f>
        <v/>
      </c>
      <c r="N283" s="250" t="str">
        <f ca="1">IF(C283="","",IF($N$11="EPS",[1]!S_STM07_IS(D283,61,$G$5,$H$13)/IF([1]!S_SHARE_TOTAL(D283,$G$5)=0,[1]!S_SHARE_TOTAL(D283,[1]!s_ipo_listeddate(D283)),[1]!S_SHARE_TOTAL(D283,$G$5)),([1]!S_STM07_BS(D283,75,$G$5,$H$13)+[1]!S_STM07_BS(D283,88,$G$5,$H$13)+[1]!S_STM07_BS(D283,94,$G$5,$H$13)+[1]!S_STM07_BS(D283,95,$G$5,$H$13))/$E$5))</f>
        <v/>
      </c>
      <c r="O283" s="250" t="str">
        <f ca="1">IF(C283="","",IF($O$11="BPS",[1]!S_STM07_BS(D283,141,$G$5,$H$13)/IF([1]!S_SHARE_TOTAL(D283,$G$5)=0,[1]!S_SHARE_TOTAL(D283,[1]!s_ipo_listeddate(D283)),[1]!S_SHARE_TOTAL(D283,$G$5)),[1]!S_STM07_CS(D283,49,$G$5,$H$13)/$E$5))</f>
        <v/>
      </c>
      <c r="P283" s="250" t="str">
        <f ca="1">IF(C283="","",IF($P$11="CFPS",[1]!S_STM07_CS(D283,84,$G$5,$H$13)/IF([1]!S_SHARE_TOTAL(D283,$G$5)=0,[1]!S_SHARE_TOTAL(D283,[1]!s_ipo_listeddate(D283)),[1]!S_SHARE_TOTAL(D283,$G$5)),[1]!S_STM07_CS(D283,84,$G$5,$H$13)/$E$5))</f>
        <v/>
      </c>
      <c r="Q283" s="198" t="str">
        <f ca="1">IF(C283="","",F283/([1]!S_STM07_IS(D283,61,$G$5,$H$13)/IF([1]!S_SHARE_TOTAL(D283,$G$5)=0,[1]!S_SHARE_TOTAL(D283,[1]!s_ipo_listeddate(D283)),[1]!S_SHARE_TOTAL(D283,$G$5))))</f>
        <v/>
      </c>
      <c r="R283" s="198" t="str">
        <f ca="1">IF(C283="","",F283/([1]!S_STM07_BS(D283,141,$G$5,$H$13)/IF([1]!S_SHARE_TOTAL(D283,$G$5)=0,[1]!S_SHARE_TOTAL(D283,[1]!s_ipo_listeddate(D283)),[1]!S_SHARE_TOTAL(D283,$G$5))))</f>
        <v/>
      </c>
      <c r="S283" s="249" t="str">
        <f ca="1">IF(C283="","",[1]!S_SHARE_TOTAL(D283,TODAY())/$E$5)</f>
        <v/>
      </c>
      <c r="T283" s="249" t="str">
        <f t="shared" ca="1" si="31"/>
        <v/>
      </c>
      <c r="U283" s="172" t="str">
        <f t="shared" ca="1" si="32"/>
        <v/>
      </c>
      <c r="V283" s="343" t="str">
        <f t="shared" ca="1" si="33"/>
        <v/>
      </c>
      <c r="W283" s="139"/>
      <c r="Y283" s="1"/>
    </row>
    <row r="284" spans="3:25" ht="12" customHeight="1">
      <c r="C284" s="342" t="str">
        <f t="shared" ca="1" si="34"/>
        <v/>
      </c>
      <c r="D284" s="153" t="str">
        <f t="shared" ca="1" si="29"/>
        <v/>
      </c>
      <c r="E284" s="153" t="str">
        <f t="shared" ca="1" si="30"/>
        <v/>
      </c>
      <c r="F284" s="170" t="str">
        <f ca="1">IF(C284="","",[1]!S_DQ_CLOSE(D284,TODAY(),1))</f>
        <v/>
      </c>
      <c r="G284" s="171" t="str">
        <f ca="1">IF(C284="","",[1]!s_pq_pctchange(D284,TODAY()-$G$12,TODAY())/100)</f>
        <v/>
      </c>
      <c r="H284" s="247" t="str">
        <f ca="1">IF(C284="","",IF($H$11="收入",[1]!S_STM07_IS(D284,9,$G$5,$H$13)/$E$5,[1]!S_STM07_IS(D284,48,$G$5,$H$13)/$E$5))</f>
        <v/>
      </c>
      <c r="I284" s="247" t="str">
        <f ca="1">IF(C284="","",IF($I$11="毛利率",([1]!S_STM07_IS(D284,9,$G$5,$H$13)-[1]!S_STM07_IS(D284,10,$G$5,$H$13))/[1]!S_STM07_IS(D284,9,$G$5,$H$13),[1]!S_STM07_IS(D284,14,$G$5,$H$13)/$E$5))</f>
        <v/>
      </c>
      <c r="J284" s="247" t="str">
        <f ca="1">IF(C284="","",IF($J$11="营业利润率",[1]!S_STM07_IS(D284,48,$G$5,$H$13)/[1]!S_STM07_IS(D284,9,$G$5,$H$13),([1]!S_STM07_CS(D284,87,$G$5,$H$13)+[1]!S_STM07_CS(D284,88,$G$5,$H$13)+[1]!S_STM07_CS(D284,89,$G$5,$H$13))/$E$5))</f>
        <v/>
      </c>
      <c r="K284" s="247" t="str">
        <f ca="1">IF(C284="","",IF($K$11="净利润率",[1]!S_STM07_IS(D284,61,$G$5,$H$13)/[1]!S_STM07_IS(D284,9,$G$5,$H$13),[1]!S_STM07_IS(D284,55,$G$5,$H$13)/$E$5))</f>
        <v/>
      </c>
      <c r="L284" s="247" t="str">
        <f ca="1">IF(C284="","",IF($L$11="ROA",[1]!S_STM07_IS(D284,61,$G$5,$H$13)/[1]!S_STM07_BS(D284,74,$G$5,$H$13),1-[1]!S_STM07_IS(D284,61,$G$5,$H$13)/[1]!S_STM07_IS(D284,55,$G$5,$H$13)))</f>
        <v/>
      </c>
      <c r="M284" s="247" t="str">
        <f ca="1">IF(C284="","",IF($M$11="ROE",[1]!S_STM07_IS(D284,61,$G$5,$H$13)/[1]!S_STM07_BS(D284,141,$G$5,$H$13),([1]!S_STM07_BS(D284,25,$G$5,$H$13)-[1]!S_STM07_BS(D284,93,$G$5,$H$13))/$E$5))</f>
        <v/>
      </c>
      <c r="N284" s="247" t="str">
        <f ca="1">IF(C284="","",IF($N$11="EPS",[1]!S_STM07_IS(D284,61,$G$5,$H$13)/IF([1]!S_SHARE_TOTAL(D284,$G$5)=0,[1]!S_SHARE_TOTAL(D284,[1]!s_ipo_listeddate(D284)),[1]!S_SHARE_TOTAL(D284,$G$5)),([1]!S_STM07_BS(D284,75,$G$5,$H$13)+[1]!S_STM07_BS(D284,88,$G$5,$H$13)+[1]!S_STM07_BS(D284,94,$G$5,$H$13)+[1]!S_STM07_BS(D284,95,$G$5,$H$13))/$E$5))</f>
        <v/>
      </c>
      <c r="O284" s="247" t="str">
        <f ca="1">IF(C284="","",IF($O$11="BPS",[1]!S_STM07_BS(D284,141,$G$5,$H$13)/IF([1]!S_SHARE_TOTAL(D284,$G$5)=0,[1]!S_SHARE_TOTAL(D284,[1]!s_ipo_listeddate(D284)),[1]!S_SHARE_TOTAL(D284,$G$5)),[1]!S_STM07_CS(D284,49,$G$5,$H$13)/$E$5))</f>
        <v/>
      </c>
      <c r="P284" s="247" t="str">
        <f ca="1">IF(C284="","",IF($P$11="CFPS",[1]!S_STM07_CS(D284,84,$G$5,$H$13)/IF([1]!S_SHARE_TOTAL(D284,$G$5)=0,[1]!S_SHARE_TOTAL(D284,[1]!s_ipo_listeddate(D284)),[1]!S_SHARE_TOTAL(D284,$G$5)),[1]!S_STM07_CS(D284,84,$G$5,$H$13)/$E$5))</f>
        <v/>
      </c>
      <c r="Q284" s="248" t="str">
        <f ca="1">IF(C284="","",F284/([1]!S_STM07_IS(D284,61,$G$5,$H$13)/IF([1]!S_SHARE_TOTAL(D284,$G$5)=0,[1]!S_SHARE_TOTAL(D284,[1]!s_ipo_listeddate(D284)),[1]!S_SHARE_TOTAL(D284,$G$5))))</f>
        <v/>
      </c>
      <c r="R284" s="248" t="str">
        <f ca="1">IF(C284="","",F284/([1]!S_STM07_BS(D284,141,$G$5,$H$13)/IF([1]!S_SHARE_TOTAL(D284,$G$5)=0,[1]!S_SHARE_TOTAL(D284,[1]!s_ipo_listeddate(D284)),[1]!S_SHARE_TOTAL(D284,$G$5))))</f>
        <v/>
      </c>
      <c r="S284" s="247" t="str">
        <f ca="1">IF(C284="","",[1]!S_SHARE_TOTAL(D284,TODAY())/$E$5)</f>
        <v/>
      </c>
      <c r="T284" s="247" t="str">
        <f t="shared" ca="1" si="31"/>
        <v/>
      </c>
      <c r="U284" s="218" t="str">
        <f t="shared" ca="1" si="32"/>
        <v/>
      </c>
      <c r="V284" s="342" t="str">
        <f t="shared" ca="1" si="33"/>
        <v/>
      </c>
      <c r="W284" s="139"/>
      <c r="Y284" s="1"/>
    </row>
    <row r="285" spans="3:25" ht="12" customHeight="1">
      <c r="C285" s="343" t="str">
        <f t="shared" ca="1" si="34"/>
        <v/>
      </c>
      <c r="D285" s="124" t="str">
        <f t="shared" ca="1" si="29"/>
        <v/>
      </c>
      <c r="E285" s="124" t="str">
        <f t="shared" ca="1" si="30"/>
        <v/>
      </c>
      <c r="F285" s="172" t="str">
        <f ca="1">IF(C285="","",[1]!S_DQ_CLOSE(D285,TODAY(),1))</f>
        <v/>
      </c>
      <c r="G285" s="173" t="str">
        <f ca="1">IF(C285="","",[1]!s_pq_pctchange(D285,TODAY()-$G$12,TODAY())/100)</f>
        <v/>
      </c>
      <c r="H285" s="249" t="str">
        <f ca="1">IF(C285="","",IF($H$11="收入",[1]!S_STM07_IS(D285,9,$G$5,$H$13)/$E$5,[1]!S_STM07_IS(D285,48,$G$5,$H$13)/$E$5))</f>
        <v/>
      </c>
      <c r="I285" s="249" t="str">
        <f ca="1">IF(C285="","",IF($I$11="毛利率",([1]!S_STM07_IS(D285,9,$G$5,$H$13)-[1]!S_STM07_IS(D285,10,$G$5,$H$13))/[1]!S_STM07_IS(D285,9,$G$5,$H$13),[1]!S_STM07_IS(D285,14,$G$5,$H$13)/$E$5))</f>
        <v/>
      </c>
      <c r="J285" s="249" t="str">
        <f ca="1">IF(C285="","",IF($J$11="营业利润率",[1]!S_STM07_IS(D285,48,$G$5,$H$13)/[1]!S_STM07_IS(D285,9,$G$5,$H$13),([1]!S_STM07_CS(D285,87,$G$5,$H$13)+[1]!S_STM07_CS(D285,88,$G$5,$H$13)+[1]!S_STM07_CS(D285,89,$G$5,$H$13))/$E$5))</f>
        <v/>
      </c>
      <c r="K285" s="249" t="str">
        <f ca="1">IF(C285="","",IF($K$11="净利润率",[1]!S_STM07_IS(D285,61,$G$5,$H$13)/[1]!S_STM07_IS(D285,9,$G$5,$H$13),[1]!S_STM07_IS(D285,55,$G$5,$H$13)/$E$5))</f>
        <v/>
      </c>
      <c r="L285" s="249" t="str">
        <f ca="1">IF(C285="","",IF($L$11="ROA",[1]!S_STM07_IS(D285,61,$G$5,$H$13)/[1]!S_STM07_BS(D285,74,$G$5,$H$13),1-[1]!S_STM07_IS(D285,61,$G$5,$H$13)/[1]!S_STM07_IS(D285,55,$G$5,$H$13)))</f>
        <v/>
      </c>
      <c r="M285" s="249" t="str">
        <f ca="1">IF(C285="","",IF($M$11="ROE",[1]!S_STM07_IS(D285,61,$G$5,$H$13)/[1]!S_STM07_BS(D285,141,$G$5,$H$13),([1]!S_STM07_BS(D285,25,$G$5,$H$13)-[1]!S_STM07_BS(D285,93,$G$5,$H$13))/$E$5))</f>
        <v/>
      </c>
      <c r="N285" s="250" t="str">
        <f ca="1">IF(C285="","",IF($N$11="EPS",[1]!S_STM07_IS(D285,61,$G$5,$H$13)/IF([1]!S_SHARE_TOTAL(D285,$G$5)=0,[1]!S_SHARE_TOTAL(D285,[1]!s_ipo_listeddate(D285)),[1]!S_SHARE_TOTAL(D285,$G$5)),([1]!S_STM07_BS(D285,75,$G$5,$H$13)+[1]!S_STM07_BS(D285,88,$G$5,$H$13)+[1]!S_STM07_BS(D285,94,$G$5,$H$13)+[1]!S_STM07_BS(D285,95,$G$5,$H$13))/$E$5))</f>
        <v/>
      </c>
      <c r="O285" s="250" t="str">
        <f ca="1">IF(C285="","",IF($O$11="BPS",[1]!S_STM07_BS(D285,141,$G$5,$H$13)/IF([1]!S_SHARE_TOTAL(D285,$G$5)=0,[1]!S_SHARE_TOTAL(D285,[1]!s_ipo_listeddate(D285)),[1]!S_SHARE_TOTAL(D285,$G$5)),[1]!S_STM07_CS(D285,49,$G$5,$H$13)/$E$5))</f>
        <v/>
      </c>
      <c r="P285" s="250" t="str">
        <f ca="1">IF(C285="","",IF($P$11="CFPS",[1]!S_STM07_CS(D285,84,$G$5,$H$13)/IF([1]!S_SHARE_TOTAL(D285,$G$5)=0,[1]!S_SHARE_TOTAL(D285,[1]!s_ipo_listeddate(D285)),[1]!S_SHARE_TOTAL(D285,$G$5)),[1]!S_STM07_CS(D285,84,$G$5,$H$13)/$E$5))</f>
        <v/>
      </c>
      <c r="Q285" s="198" t="str">
        <f ca="1">IF(C285="","",F285/([1]!S_STM07_IS(D285,61,$G$5,$H$13)/IF([1]!S_SHARE_TOTAL(D285,$G$5)=0,[1]!S_SHARE_TOTAL(D285,[1]!s_ipo_listeddate(D285)),[1]!S_SHARE_TOTAL(D285,$G$5))))</f>
        <v/>
      </c>
      <c r="R285" s="198" t="str">
        <f ca="1">IF(C285="","",F285/([1]!S_STM07_BS(D285,141,$G$5,$H$13)/IF([1]!S_SHARE_TOTAL(D285,$G$5)=0,[1]!S_SHARE_TOTAL(D285,[1]!s_ipo_listeddate(D285)),[1]!S_SHARE_TOTAL(D285,$G$5))))</f>
        <v/>
      </c>
      <c r="S285" s="249" t="str">
        <f ca="1">IF(C285="","",[1]!S_SHARE_TOTAL(D285,TODAY())/$E$5)</f>
        <v/>
      </c>
      <c r="T285" s="249" t="str">
        <f t="shared" ca="1" si="31"/>
        <v/>
      </c>
      <c r="U285" s="172" t="str">
        <f t="shared" ca="1" si="32"/>
        <v/>
      </c>
      <c r="V285" s="343" t="str">
        <f t="shared" ca="1" si="33"/>
        <v/>
      </c>
      <c r="W285" s="139"/>
      <c r="Y285" s="1"/>
    </row>
    <row r="286" spans="3:25" ht="12" customHeight="1">
      <c r="C286" s="342" t="str">
        <f t="shared" ca="1" si="34"/>
        <v/>
      </c>
      <c r="D286" s="153" t="str">
        <f t="shared" ca="1" si="29"/>
        <v/>
      </c>
      <c r="E286" s="153" t="str">
        <f t="shared" ca="1" si="30"/>
        <v/>
      </c>
      <c r="F286" s="170" t="str">
        <f ca="1">IF(C286="","",[1]!S_DQ_CLOSE(D286,TODAY(),1))</f>
        <v/>
      </c>
      <c r="G286" s="171" t="str">
        <f ca="1">IF(C286="","",[1]!s_pq_pctchange(D286,TODAY()-$G$12,TODAY())/100)</f>
        <v/>
      </c>
      <c r="H286" s="247" t="str">
        <f ca="1">IF(C286="","",IF($H$11="收入",[1]!S_STM07_IS(D286,9,$G$5,$H$13)/$E$5,[1]!S_STM07_IS(D286,48,$G$5,$H$13)/$E$5))</f>
        <v/>
      </c>
      <c r="I286" s="247" t="str">
        <f ca="1">IF(C286="","",IF($I$11="毛利率",([1]!S_STM07_IS(D286,9,$G$5,$H$13)-[1]!S_STM07_IS(D286,10,$G$5,$H$13))/[1]!S_STM07_IS(D286,9,$G$5,$H$13),[1]!S_STM07_IS(D286,14,$G$5,$H$13)/$E$5))</f>
        <v/>
      </c>
      <c r="J286" s="247" t="str">
        <f ca="1">IF(C286="","",IF($J$11="营业利润率",[1]!S_STM07_IS(D286,48,$G$5,$H$13)/[1]!S_STM07_IS(D286,9,$G$5,$H$13),([1]!S_STM07_CS(D286,87,$G$5,$H$13)+[1]!S_STM07_CS(D286,88,$G$5,$H$13)+[1]!S_STM07_CS(D286,89,$G$5,$H$13))/$E$5))</f>
        <v/>
      </c>
      <c r="K286" s="247" t="str">
        <f ca="1">IF(C286="","",IF($K$11="净利润率",[1]!S_STM07_IS(D286,61,$G$5,$H$13)/[1]!S_STM07_IS(D286,9,$G$5,$H$13),[1]!S_STM07_IS(D286,55,$G$5,$H$13)/$E$5))</f>
        <v/>
      </c>
      <c r="L286" s="247" t="str">
        <f ca="1">IF(C286="","",IF($L$11="ROA",[1]!S_STM07_IS(D286,61,$G$5,$H$13)/[1]!S_STM07_BS(D286,74,$G$5,$H$13),1-[1]!S_STM07_IS(D286,61,$G$5,$H$13)/[1]!S_STM07_IS(D286,55,$G$5,$H$13)))</f>
        <v/>
      </c>
      <c r="M286" s="247" t="str">
        <f ca="1">IF(C286="","",IF($M$11="ROE",[1]!S_STM07_IS(D286,61,$G$5,$H$13)/[1]!S_STM07_BS(D286,141,$G$5,$H$13),([1]!S_STM07_BS(D286,25,$G$5,$H$13)-[1]!S_STM07_BS(D286,93,$G$5,$H$13))/$E$5))</f>
        <v/>
      </c>
      <c r="N286" s="247" t="str">
        <f ca="1">IF(C286="","",IF($N$11="EPS",[1]!S_STM07_IS(D286,61,$G$5,$H$13)/IF([1]!S_SHARE_TOTAL(D286,$G$5)=0,[1]!S_SHARE_TOTAL(D286,[1]!s_ipo_listeddate(D286)),[1]!S_SHARE_TOTAL(D286,$G$5)),([1]!S_STM07_BS(D286,75,$G$5,$H$13)+[1]!S_STM07_BS(D286,88,$G$5,$H$13)+[1]!S_STM07_BS(D286,94,$G$5,$H$13)+[1]!S_STM07_BS(D286,95,$G$5,$H$13))/$E$5))</f>
        <v/>
      </c>
      <c r="O286" s="247" t="str">
        <f ca="1">IF(C286="","",IF($O$11="BPS",[1]!S_STM07_BS(D286,141,$G$5,$H$13)/IF([1]!S_SHARE_TOTAL(D286,$G$5)=0,[1]!S_SHARE_TOTAL(D286,[1]!s_ipo_listeddate(D286)),[1]!S_SHARE_TOTAL(D286,$G$5)),[1]!S_STM07_CS(D286,49,$G$5,$H$13)/$E$5))</f>
        <v/>
      </c>
      <c r="P286" s="247" t="str">
        <f ca="1">IF(C286="","",IF($P$11="CFPS",[1]!S_STM07_CS(D286,84,$G$5,$H$13)/IF([1]!S_SHARE_TOTAL(D286,$G$5)=0,[1]!S_SHARE_TOTAL(D286,[1]!s_ipo_listeddate(D286)),[1]!S_SHARE_TOTAL(D286,$G$5)),[1]!S_STM07_CS(D286,84,$G$5,$H$13)/$E$5))</f>
        <v/>
      </c>
      <c r="Q286" s="248" t="str">
        <f ca="1">IF(C286="","",F286/([1]!S_STM07_IS(D286,61,$G$5,$H$13)/IF([1]!S_SHARE_TOTAL(D286,$G$5)=0,[1]!S_SHARE_TOTAL(D286,[1]!s_ipo_listeddate(D286)),[1]!S_SHARE_TOTAL(D286,$G$5))))</f>
        <v/>
      </c>
      <c r="R286" s="248" t="str">
        <f ca="1">IF(C286="","",F286/([1]!S_STM07_BS(D286,141,$G$5,$H$13)/IF([1]!S_SHARE_TOTAL(D286,$G$5)=0,[1]!S_SHARE_TOTAL(D286,[1]!s_ipo_listeddate(D286)),[1]!S_SHARE_TOTAL(D286,$G$5))))</f>
        <v/>
      </c>
      <c r="S286" s="247" t="str">
        <f ca="1">IF(C286="","",[1]!S_SHARE_TOTAL(D286,TODAY())/$E$5)</f>
        <v/>
      </c>
      <c r="T286" s="247" t="str">
        <f t="shared" ca="1" si="31"/>
        <v/>
      </c>
      <c r="U286" s="218" t="str">
        <f t="shared" ca="1" si="32"/>
        <v/>
      </c>
      <c r="V286" s="342" t="str">
        <f t="shared" ca="1" si="33"/>
        <v/>
      </c>
      <c r="W286" s="139"/>
      <c r="Y286" s="1"/>
    </row>
    <row r="287" spans="3:25" ht="12" customHeight="1">
      <c r="C287" s="343" t="str">
        <f t="shared" ca="1" si="34"/>
        <v/>
      </c>
      <c r="D287" s="124" t="str">
        <f t="shared" ca="1" si="29"/>
        <v/>
      </c>
      <c r="E287" s="124" t="str">
        <f t="shared" ca="1" si="30"/>
        <v/>
      </c>
      <c r="F287" s="172" t="str">
        <f ca="1">IF(C287="","",[1]!S_DQ_CLOSE(D287,TODAY(),1))</f>
        <v/>
      </c>
      <c r="G287" s="173" t="str">
        <f ca="1">IF(C287="","",[1]!s_pq_pctchange(D287,TODAY()-$G$12,TODAY())/100)</f>
        <v/>
      </c>
      <c r="H287" s="249" t="str">
        <f ca="1">IF(C287="","",IF($H$11="收入",[1]!S_STM07_IS(D287,9,$G$5,$H$13)/$E$5,[1]!S_STM07_IS(D287,48,$G$5,$H$13)/$E$5))</f>
        <v/>
      </c>
      <c r="I287" s="249" t="str">
        <f ca="1">IF(C287="","",IF($I$11="毛利率",([1]!S_STM07_IS(D287,9,$G$5,$H$13)-[1]!S_STM07_IS(D287,10,$G$5,$H$13))/[1]!S_STM07_IS(D287,9,$G$5,$H$13),[1]!S_STM07_IS(D287,14,$G$5,$H$13)/$E$5))</f>
        <v/>
      </c>
      <c r="J287" s="249" t="str">
        <f ca="1">IF(C287="","",IF($J$11="营业利润率",[1]!S_STM07_IS(D287,48,$G$5,$H$13)/[1]!S_STM07_IS(D287,9,$G$5,$H$13),([1]!S_STM07_CS(D287,87,$G$5,$H$13)+[1]!S_STM07_CS(D287,88,$G$5,$H$13)+[1]!S_STM07_CS(D287,89,$G$5,$H$13))/$E$5))</f>
        <v/>
      </c>
      <c r="K287" s="249" t="str">
        <f ca="1">IF(C287="","",IF($K$11="净利润率",[1]!S_STM07_IS(D287,61,$G$5,$H$13)/[1]!S_STM07_IS(D287,9,$G$5,$H$13),[1]!S_STM07_IS(D287,55,$G$5,$H$13)/$E$5))</f>
        <v/>
      </c>
      <c r="L287" s="249" t="str">
        <f ca="1">IF(C287="","",IF($L$11="ROA",[1]!S_STM07_IS(D287,61,$G$5,$H$13)/[1]!S_STM07_BS(D287,74,$G$5,$H$13),1-[1]!S_STM07_IS(D287,61,$G$5,$H$13)/[1]!S_STM07_IS(D287,55,$G$5,$H$13)))</f>
        <v/>
      </c>
      <c r="M287" s="249" t="str">
        <f ca="1">IF(C287="","",IF($M$11="ROE",[1]!S_STM07_IS(D287,61,$G$5,$H$13)/[1]!S_STM07_BS(D287,141,$G$5,$H$13),([1]!S_STM07_BS(D287,25,$G$5,$H$13)-[1]!S_STM07_BS(D287,93,$G$5,$H$13))/$E$5))</f>
        <v/>
      </c>
      <c r="N287" s="250" t="str">
        <f ca="1">IF(C287="","",IF($N$11="EPS",[1]!S_STM07_IS(D287,61,$G$5,$H$13)/IF([1]!S_SHARE_TOTAL(D287,$G$5)=0,[1]!S_SHARE_TOTAL(D287,[1]!s_ipo_listeddate(D287)),[1]!S_SHARE_TOTAL(D287,$G$5)),([1]!S_STM07_BS(D287,75,$G$5,$H$13)+[1]!S_STM07_BS(D287,88,$G$5,$H$13)+[1]!S_STM07_BS(D287,94,$G$5,$H$13)+[1]!S_STM07_BS(D287,95,$G$5,$H$13))/$E$5))</f>
        <v/>
      </c>
      <c r="O287" s="250" t="str">
        <f ca="1">IF(C287="","",IF($O$11="BPS",[1]!S_STM07_BS(D287,141,$G$5,$H$13)/IF([1]!S_SHARE_TOTAL(D287,$G$5)=0,[1]!S_SHARE_TOTAL(D287,[1]!s_ipo_listeddate(D287)),[1]!S_SHARE_TOTAL(D287,$G$5)),[1]!S_STM07_CS(D287,49,$G$5,$H$13)/$E$5))</f>
        <v/>
      </c>
      <c r="P287" s="250" t="str">
        <f ca="1">IF(C287="","",IF($P$11="CFPS",[1]!S_STM07_CS(D287,84,$G$5,$H$13)/IF([1]!S_SHARE_TOTAL(D287,$G$5)=0,[1]!S_SHARE_TOTAL(D287,[1]!s_ipo_listeddate(D287)),[1]!S_SHARE_TOTAL(D287,$G$5)),[1]!S_STM07_CS(D287,84,$G$5,$H$13)/$E$5))</f>
        <v/>
      </c>
      <c r="Q287" s="198" t="str">
        <f ca="1">IF(C287="","",F287/([1]!S_STM07_IS(D287,61,$G$5,$H$13)/IF([1]!S_SHARE_TOTAL(D287,$G$5)=0,[1]!S_SHARE_TOTAL(D287,[1]!s_ipo_listeddate(D287)),[1]!S_SHARE_TOTAL(D287,$G$5))))</f>
        <v/>
      </c>
      <c r="R287" s="198" t="str">
        <f ca="1">IF(C287="","",F287/([1]!S_STM07_BS(D287,141,$G$5,$H$13)/IF([1]!S_SHARE_TOTAL(D287,$G$5)=0,[1]!S_SHARE_TOTAL(D287,[1]!s_ipo_listeddate(D287)),[1]!S_SHARE_TOTAL(D287,$G$5))))</f>
        <v/>
      </c>
      <c r="S287" s="249" t="str">
        <f ca="1">IF(C287="","",[1]!S_SHARE_TOTAL(D287,TODAY())/$E$5)</f>
        <v/>
      </c>
      <c r="T287" s="249" t="str">
        <f t="shared" ca="1" si="31"/>
        <v/>
      </c>
      <c r="U287" s="172" t="str">
        <f t="shared" ca="1" si="32"/>
        <v/>
      </c>
      <c r="V287" s="343" t="str">
        <f t="shared" ca="1" si="33"/>
        <v/>
      </c>
      <c r="W287" s="139"/>
      <c r="Y287" s="1"/>
    </row>
    <row r="288" spans="3:25" ht="12" customHeight="1">
      <c r="C288" s="342" t="str">
        <f t="shared" ca="1" si="34"/>
        <v/>
      </c>
      <c r="D288" s="153" t="str">
        <f t="shared" ca="1" si="29"/>
        <v/>
      </c>
      <c r="E288" s="153" t="str">
        <f t="shared" ca="1" si="30"/>
        <v/>
      </c>
      <c r="F288" s="170" t="str">
        <f ca="1">IF(C288="","",[1]!S_DQ_CLOSE(D288,TODAY(),1))</f>
        <v/>
      </c>
      <c r="G288" s="171" t="str">
        <f ca="1">IF(C288="","",[1]!s_pq_pctchange(D288,TODAY()-$G$12,TODAY())/100)</f>
        <v/>
      </c>
      <c r="H288" s="247" t="str">
        <f ca="1">IF(C288="","",IF($H$11="收入",[1]!S_STM07_IS(D288,9,$G$5,$H$13)/$E$5,[1]!S_STM07_IS(D288,48,$G$5,$H$13)/$E$5))</f>
        <v/>
      </c>
      <c r="I288" s="247" t="str">
        <f ca="1">IF(C288="","",IF($I$11="毛利率",([1]!S_STM07_IS(D288,9,$G$5,$H$13)-[1]!S_STM07_IS(D288,10,$G$5,$H$13))/[1]!S_STM07_IS(D288,9,$G$5,$H$13),[1]!S_STM07_IS(D288,14,$G$5,$H$13)/$E$5))</f>
        <v/>
      </c>
      <c r="J288" s="247" t="str">
        <f ca="1">IF(C288="","",IF($J$11="营业利润率",[1]!S_STM07_IS(D288,48,$G$5,$H$13)/[1]!S_STM07_IS(D288,9,$G$5,$H$13),([1]!S_STM07_CS(D288,87,$G$5,$H$13)+[1]!S_STM07_CS(D288,88,$G$5,$H$13)+[1]!S_STM07_CS(D288,89,$G$5,$H$13))/$E$5))</f>
        <v/>
      </c>
      <c r="K288" s="247" t="str">
        <f ca="1">IF(C288="","",IF($K$11="净利润率",[1]!S_STM07_IS(D288,61,$G$5,$H$13)/[1]!S_STM07_IS(D288,9,$G$5,$H$13),[1]!S_STM07_IS(D288,55,$G$5,$H$13)/$E$5))</f>
        <v/>
      </c>
      <c r="L288" s="247" t="str">
        <f ca="1">IF(C288="","",IF($L$11="ROA",[1]!S_STM07_IS(D288,61,$G$5,$H$13)/[1]!S_STM07_BS(D288,74,$G$5,$H$13),1-[1]!S_STM07_IS(D288,61,$G$5,$H$13)/[1]!S_STM07_IS(D288,55,$G$5,$H$13)))</f>
        <v/>
      </c>
      <c r="M288" s="247" t="str">
        <f ca="1">IF(C288="","",IF($M$11="ROE",[1]!S_STM07_IS(D288,61,$G$5,$H$13)/[1]!S_STM07_BS(D288,141,$G$5,$H$13),([1]!S_STM07_BS(D288,25,$G$5,$H$13)-[1]!S_STM07_BS(D288,93,$G$5,$H$13))/$E$5))</f>
        <v/>
      </c>
      <c r="N288" s="247" t="str">
        <f ca="1">IF(C288="","",IF($N$11="EPS",[1]!S_STM07_IS(D288,61,$G$5,$H$13)/IF([1]!S_SHARE_TOTAL(D288,$G$5)=0,[1]!S_SHARE_TOTAL(D288,[1]!s_ipo_listeddate(D288)),[1]!S_SHARE_TOTAL(D288,$G$5)),([1]!S_STM07_BS(D288,75,$G$5,$H$13)+[1]!S_STM07_BS(D288,88,$G$5,$H$13)+[1]!S_STM07_BS(D288,94,$G$5,$H$13)+[1]!S_STM07_BS(D288,95,$G$5,$H$13))/$E$5))</f>
        <v/>
      </c>
      <c r="O288" s="247" t="str">
        <f ca="1">IF(C288="","",IF($O$11="BPS",[1]!S_STM07_BS(D288,141,$G$5,$H$13)/IF([1]!S_SHARE_TOTAL(D288,$G$5)=0,[1]!S_SHARE_TOTAL(D288,[1]!s_ipo_listeddate(D288)),[1]!S_SHARE_TOTAL(D288,$G$5)),[1]!S_STM07_CS(D288,49,$G$5,$H$13)/$E$5))</f>
        <v/>
      </c>
      <c r="P288" s="247" t="str">
        <f ca="1">IF(C288="","",IF($P$11="CFPS",[1]!S_STM07_CS(D288,84,$G$5,$H$13)/IF([1]!S_SHARE_TOTAL(D288,$G$5)=0,[1]!S_SHARE_TOTAL(D288,[1]!s_ipo_listeddate(D288)),[1]!S_SHARE_TOTAL(D288,$G$5)),[1]!S_STM07_CS(D288,84,$G$5,$H$13)/$E$5))</f>
        <v/>
      </c>
      <c r="Q288" s="248" t="str">
        <f ca="1">IF(C288="","",F288/([1]!S_STM07_IS(D288,61,$G$5,$H$13)/IF([1]!S_SHARE_TOTAL(D288,$G$5)=0,[1]!S_SHARE_TOTAL(D288,[1]!s_ipo_listeddate(D288)),[1]!S_SHARE_TOTAL(D288,$G$5))))</f>
        <v/>
      </c>
      <c r="R288" s="248" t="str">
        <f ca="1">IF(C288="","",F288/([1]!S_STM07_BS(D288,141,$G$5,$H$13)/IF([1]!S_SHARE_TOTAL(D288,$G$5)=0,[1]!S_SHARE_TOTAL(D288,[1]!s_ipo_listeddate(D288)),[1]!S_SHARE_TOTAL(D288,$G$5))))</f>
        <v/>
      </c>
      <c r="S288" s="247" t="str">
        <f ca="1">IF(C288="","",[1]!S_SHARE_TOTAL(D288,TODAY())/$E$5)</f>
        <v/>
      </c>
      <c r="T288" s="247" t="str">
        <f t="shared" ca="1" si="31"/>
        <v/>
      </c>
      <c r="U288" s="218" t="str">
        <f t="shared" ca="1" si="32"/>
        <v/>
      </c>
      <c r="V288" s="342" t="str">
        <f t="shared" ca="1" si="33"/>
        <v/>
      </c>
      <c r="W288" s="139"/>
      <c r="Y288" s="1"/>
    </row>
    <row r="289" spans="3:25" ht="12" customHeight="1">
      <c r="C289" s="343" t="str">
        <f t="shared" ca="1" si="34"/>
        <v/>
      </c>
      <c r="D289" s="124" t="str">
        <f t="shared" ca="1" si="29"/>
        <v/>
      </c>
      <c r="E289" s="124" t="str">
        <f t="shared" ca="1" si="30"/>
        <v/>
      </c>
      <c r="F289" s="172" t="str">
        <f ca="1">IF(C289="","",[1]!S_DQ_CLOSE(D289,TODAY(),1))</f>
        <v/>
      </c>
      <c r="G289" s="173" t="str">
        <f ca="1">IF(C289="","",[1]!s_pq_pctchange(D289,TODAY()-$G$12,TODAY())/100)</f>
        <v/>
      </c>
      <c r="H289" s="249" t="str">
        <f ca="1">IF(C289="","",IF($H$11="收入",[1]!S_STM07_IS(D289,9,$G$5,$H$13)/$E$5,[1]!S_STM07_IS(D289,48,$G$5,$H$13)/$E$5))</f>
        <v/>
      </c>
      <c r="I289" s="249" t="str">
        <f ca="1">IF(C289="","",IF($I$11="毛利率",([1]!S_STM07_IS(D289,9,$G$5,$H$13)-[1]!S_STM07_IS(D289,10,$G$5,$H$13))/[1]!S_STM07_IS(D289,9,$G$5,$H$13),[1]!S_STM07_IS(D289,14,$G$5,$H$13)/$E$5))</f>
        <v/>
      </c>
      <c r="J289" s="249" t="str">
        <f ca="1">IF(C289="","",IF($J$11="营业利润率",[1]!S_STM07_IS(D289,48,$G$5,$H$13)/[1]!S_STM07_IS(D289,9,$G$5,$H$13),([1]!S_STM07_CS(D289,87,$G$5,$H$13)+[1]!S_STM07_CS(D289,88,$G$5,$H$13)+[1]!S_STM07_CS(D289,89,$G$5,$H$13))/$E$5))</f>
        <v/>
      </c>
      <c r="K289" s="249" t="str">
        <f ca="1">IF(C289="","",IF($K$11="净利润率",[1]!S_STM07_IS(D289,61,$G$5,$H$13)/[1]!S_STM07_IS(D289,9,$G$5,$H$13),[1]!S_STM07_IS(D289,55,$G$5,$H$13)/$E$5))</f>
        <v/>
      </c>
      <c r="L289" s="249" t="str">
        <f ca="1">IF(C289="","",IF($L$11="ROA",[1]!S_STM07_IS(D289,61,$G$5,$H$13)/[1]!S_STM07_BS(D289,74,$G$5,$H$13),1-[1]!S_STM07_IS(D289,61,$G$5,$H$13)/[1]!S_STM07_IS(D289,55,$G$5,$H$13)))</f>
        <v/>
      </c>
      <c r="M289" s="249" t="str">
        <f ca="1">IF(C289="","",IF($M$11="ROE",[1]!S_STM07_IS(D289,61,$G$5,$H$13)/[1]!S_STM07_BS(D289,141,$G$5,$H$13),([1]!S_STM07_BS(D289,25,$G$5,$H$13)-[1]!S_STM07_BS(D289,93,$G$5,$H$13))/$E$5))</f>
        <v/>
      </c>
      <c r="N289" s="250" t="str">
        <f ca="1">IF(C289="","",IF($N$11="EPS",[1]!S_STM07_IS(D289,61,$G$5,$H$13)/IF([1]!S_SHARE_TOTAL(D289,$G$5)=0,[1]!S_SHARE_TOTAL(D289,[1]!s_ipo_listeddate(D289)),[1]!S_SHARE_TOTAL(D289,$G$5)),([1]!S_STM07_BS(D289,75,$G$5,$H$13)+[1]!S_STM07_BS(D289,88,$G$5,$H$13)+[1]!S_STM07_BS(D289,94,$G$5,$H$13)+[1]!S_STM07_BS(D289,95,$G$5,$H$13))/$E$5))</f>
        <v/>
      </c>
      <c r="O289" s="250" t="str">
        <f ca="1">IF(C289="","",IF($O$11="BPS",[1]!S_STM07_BS(D289,141,$G$5,$H$13)/IF([1]!S_SHARE_TOTAL(D289,$G$5)=0,[1]!S_SHARE_TOTAL(D289,[1]!s_ipo_listeddate(D289)),[1]!S_SHARE_TOTAL(D289,$G$5)),[1]!S_STM07_CS(D289,49,$G$5,$H$13)/$E$5))</f>
        <v/>
      </c>
      <c r="P289" s="250" t="str">
        <f ca="1">IF(C289="","",IF($P$11="CFPS",[1]!S_STM07_CS(D289,84,$G$5,$H$13)/IF([1]!S_SHARE_TOTAL(D289,$G$5)=0,[1]!S_SHARE_TOTAL(D289,[1]!s_ipo_listeddate(D289)),[1]!S_SHARE_TOTAL(D289,$G$5)),[1]!S_STM07_CS(D289,84,$G$5,$H$13)/$E$5))</f>
        <v/>
      </c>
      <c r="Q289" s="198" t="str">
        <f ca="1">IF(C289="","",F289/([1]!S_STM07_IS(D289,61,$G$5,$H$13)/IF([1]!S_SHARE_TOTAL(D289,$G$5)=0,[1]!S_SHARE_TOTAL(D289,[1]!s_ipo_listeddate(D289)),[1]!S_SHARE_TOTAL(D289,$G$5))))</f>
        <v/>
      </c>
      <c r="R289" s="198" t="str">
        <f ca="1">IF(C289="","",F289/([1]!S_STM07_BS(D289,141,$G$5,$H$13)/IF([1]!S_SHARE_TOTAL(D289,$G$5)=0,[1]!S_SHARE_TOTAL(D289,[1]!s_ipo_listeddate(D289)),[1]!S_SHARE_TOTAL(D289,$G$5))))</f>
        <v/>
      </c>
      <c r="S289" s="249" t="str">
        <f ca="1">IF(C289="","",[1]!S_SHARE_TOTAL(D289,TODAY())/$E$5)</f>
        <v/>
      </c>
      <c r="T289" s="249" t="str">
        <f t="shared" ca="1" si="31"/>
        <v/>
      </c>
      <c r="U289" s="172" t="str">
        <f t="shared" ca="1" si="32"/>
        <v/>
      </c>
      <c r="V289" s="343" t="str">
        <f t="shared" ca="1" si="33"/>
        <v/>
      </c>
      <c r="W289" s="139"/>
      <c r="Y289" s="1"/>
    </row>
    <row r="290" spans="3:25" ht="12" customHeight="1">
      <c r="C290" s="342" t="str">
        <f t="shared" ca="1" si="34"/>
        <v/>
      </c>
      <c r="D290" s="153" t="str">
        <f t="shared" ca="1" si="29"/>
        <v/>
      </c>
      <c r="E290" s="153" t="str">
        <f t="shared" ca="1" si="30"/>
        <v/>
      </c>
      <c r="F290" s="170" t="str">
        <f ca="1">IF(C290="","",[1]!S_DQ_CLOSE(D290,TODAY(),1))</f>
        <v/>
      </c>
      <c r="G290" s="171" t="str">
        <f ca="1">IF(C290="","",[1]!s_pq_pctchange(D290,TODAY()-$G$12,TODAY())/100)</f>
        <v/>
      </c>
      <c r="H290" s="247" t="str">
        <f ca="1">IF(C290="","",IF($H$11="收入",[1]!S_STM07_IS(D290,9,$G$5,$H$13)/$E$5,[1]!S_STM07_IS(D290,48,$G$5,$H$13)/$E$5))</f>
        <v/>
      </c>
      <c r="I290" s="247" t="str">
        <f ca="1">IF(C290="","",IF($I$11="毛利率",([1]!S_STM07_IS(D290,9,$G$5,$H$13)-[1]!S_STM07_IS(D290,10,$G$5,$H$13))/[1]!S_STM07_IS(D290,9,$G$5,$H$13),[1]!S_STM07_IS(D290,14,$G$5,$H$13)/$E$5))</f>
        <v/>
      </c>
      <c r="J290" s="247" t="str">
        <f ca="1">IF(C290="","",IF($J$11="营业利润率",[1]!S_STM07_IS(D290,48,$G$5,$H$13)/[1]!S_STM07_IS(D290,9,$G$5,$H$13),([1]!S_STM07_CS(D290,87,$G$5,$H$13)+[1]!S_STM07_CS(D290,88,$G$5,$H$13)+[1]!S_STM07_CS(D290,89,$G$5,$H$13))/$E$5))</f>
        <v/>
      </c>
      <c r="K290" s="247" t="str">
        <f ca="1">IF(C290="","",IF($K$11="净利润率",[1]!S_STM07_IS(D290,61,$G$5,$H$13)/[1]!S_STM07_IS(D290,9,$G$5,$H$13),[1]!S_STM07_IS(D290,55,$G$5,$H$13)/$E$5))</f>
        <v/>
      </c>
      <c r="L290" s="247" t="str">
        <f ca="1">IF(C290="","",IF($L$11="ROA",[1]!S_STM07_IS(D290,61,$G$5,$H$13)/[1]!S_STM07_BS(D290,74,$G$5,$H$13),1-[1]!S_STM07_IS(D290,61,$G$5,$H$13)/[1]!S_STM07_IS(D290,55,$G$5,$H$13)))</f>
        <v/>
      </c>
      <c r="M290" s="247" t="str">
        <f ca="1">IF(C290="","",IF($M$11="ROE",[1]!S_STM07_IS(D290,61,$G$5,$H$13)/[1]!S_STM07_BS(D290,141,$G$5,$H$13),([1]!S_STM07_BS(D290,25,$G$5,$H$13)-[1]!S_STM07_BS(D290,93,$G$5,$H$13))/$E$5))</f>
        <v/>
      </c>
      <c r="N290" s="247" t="str">
        <f ca="1">IF(C290="","",IF($N$11="EPS",[1]!S_STM07_IS(D290,61,$G$5,$H$13)/IF([1]!S_SHARE_TOTAL(D290,$G$5)=0,[1]!S_SHARE_TOTAL(D290,[1]!s_ipo_listeddate(D290)),[1]!S_SHARE_TOTAL(D290,$G$5)),([1]!S_STM07_BS(D290,75,$G$5,$H$13)+[1]!S_STM07_BS(D290,88,$G$5,$H$13)+[1]!S_STM07_BS(D290,94,$G$5,$H$13)+[1]!S_STM07_BS(D290,95,$G$5,$H$13))/$E$5))</f>
        <v/>
      </c>
      <c r="O290" s="247" t="str">
        <f ca="1">IF(C290="","",IF($O$11="BPS",[1]!S_STM07_BS(D290,141,$G$5,$H$13)/IF([1]!S_SHARE_TOTAL(D290,$G$5)=0,[1]!S_SHARE_TOTAL(D290,[1]!s_ipo_listeddate(D290)),[1]!S_SHARE_TOTAL(D290,$G$5)),[1]!S_STM07_CS(D290,49,$G$5,$H$13)/$E$5))</f>
        <v/>
      </c>
      <c r="P290" s="247" t="str">
        <f ca="1">IF(C290="","",IF($P$11="CFPS",[1]!S_STM07_CS(D290,84,$G$5,$H$13)/IF([1]!S_SHARE_TOTAL(D290,$G$5)=0,[1]!S_SHARE_TOTAL(D290,[1]!s_ipo_listeddate(D290)),[1]!S_SHARE_TOTAL(D290,$G$5)),[1]!S_STM07_CS(D290,84,$G$5,$H$13)/$E$5))</f>
        <v/>
      </c>
      <c r="Q290" s="248" t="str">
        <f ca="1">IF(C290="","",F290/([1]!S_STM07_IS(D290,61,$G$5,$H$13)/IF([1]!S_SHARE_TOTAL(D290,$G$5)=0,[1]!S_SHARE_TOTAL(D290,[1]!s_ipo_listeddate(D290)),[1]!S_SHARE_TOTAL(D290,$G$5))))</f>
        <v/>
      </c>
      <c r="R290" s="248" t="str">
        <f ca="1">IF(C290="","",F290/([1]!S_STM07_BS(D290,141,$G$5,$H$13)/IF([1]!S_SHARE_TOTAL(D290,$G$5)=0,[1]!S_SHARE_TOTAL(D290,[1]!s_ipo_listeddate(D290)),[1]!S_SHARE_TOTAL(D290,$G$5))))</f>
        <v/>
      </c>
      <c r="S290" s="247" t="str">
        <f ca="1">IF(C290="","",[1]!S_SHARE_TOTAL(D290,TODAY())/$E$5)</f>
        <v/>
      </c>
      <c r="T290" s="247" t="str">
        <f t="shared" ca="1" si="31"/>
        <v/>
      </c>
      <c r="U290" s="218" t="str">
        <f t="shared" ca="1" si="32"/>
        <v/>
      </c>
      <c r="V290" s="342" t="str">
        <f t="shared" ca="1" si="33"/>
        <v/>
      </c>
      <c r="W290" s="139"/>
      <c r="Y290" s="1"/>
    </row>
    <row r="291" spans="3:25" ht="12" customHeight="1">
      <c r="C291" s="343" t="str">
        <f t="shared" ca="1" si="34"/>
        <v/>
      </c>
      <c r="D291" s="124" t="str">
        <f t="shared" ca="1" si="29"/>
        <v/>
      </c>
      <c r="E291" s="124" t="str">
        <f t="shared" ca="1" si="30"/>
        <v/>
      </c>
      <c r="F291" s="172" t="str">
        <f ca="1">IF(C291="","",[1]!S_DQ_CLOSE(D291,TODAY(),1))</f>
        <v/>
      </c>
      <c r="G291" s="173" t="str">
        <f ca="1">IF(C291="","",[1]!s_pq_pctchange(D291,TODAY()-$G$12,TODAY())/100)</f>
        <v/>
      </c>
      <c r="H291" s="249" t="str">
        <f ca="1">IF(C291="","",IF($H$11="收入",[1]!S_STM07_IS(D291,9,$G$5,$H$13)/$E$5,[1]!S_STM07_IS(D291,48,$G$5,$H$13)/$E$5))</f>
        <v/>
      </c>
      <c r="I291" s="249" t="str">
        <f ca="1">IF(C291="","",IF($I$11="毛利率",([1]!S_STM07_IS(D291,9,$G$5,$H$13)-[1]!S_STM07_IS(D291,10,$G$5,$H$13))/[1]!S_STM07_IS(D291,9,$G$5,$H$13),[1]!S_STM07_IS(D291,14,$G$5,$H$13)/$E$5))</f>
        <v/>
      </c>
      <c r="J291" s="249" t="str">
        <f ca="1">IF(C291="","",IF($J$11="营业利润率",[1]!S_STM07_IS(D291,48,$G$5,$H$13)/[1]!S_STM07_IS(D291,9,$G$5,$H$13),([1]!S_STM07_CS(D291,87,$G$5,$H$13)+[1]!S_STM07_CS(D291,88,$G$5,$H$13)+[1]!S_STM07_CS(D291,89,$G$5,$H$13))/$E$5))</f>
        <v/>
      </c>
      <c r="K291" s="249" t="str">
        <f ca="1">IF(C291="","",IF($K$11="净利润率",[1]!S_STM07_IS(D291,61,$G$5,$H$13)/[1]!S_STM07_IS(D291,9,$G$5,$H$13),[1]!S_STM07_IS(D291,55,$G$5,$H$13)/$E$5))</f>
        <v/>
      </c>
      <c r="L291" s="249" t="str">
        <f ca="1">IF(C291="","",IF($L$11="ROA",[1]!S_STM07_IS(D291,61,$G$5,$H$13)/[1]!S_STM07_BS(D291,74,$G$5,$H$13),1-[1]!S_STM07_IS(D291,61,$G$5,$H$13)/[1]!S_STM07_IS(D291,55,$G$5,$H$13)))</f>
        <v/>
      </c>
      <c r="M291" s="249" t="str">
        <f ca="1">IF(C291="","",IF($M$11="ROE",[1]!S_STM07_IS(D291,61,$G$5,$H$13)/[1]!S_STM07_BS(D291,141,$G$5,$H$13),([1]!S_STM07_BS(D291,25,$G$5,$H$13)-[1]!S_STM07_BS(D291,93,$G$5,$H$13))/$E$5))</f>
        <v/>
      </c>
      <c r="N291" s="250" t="str">
        <f ca="1">IF(C291="","",IF($N$11="EPS",[1]!S_STM07_IS(D291,61,$G$5,$H$13)/IF([1]!S_SHARE_TOTAL(D291,$G$5)=0,[1]!S_SHARE_TOTAL(D291,[1]!s_ipo_listeddate(D291)),[1]!S_SHARE_TOTAL(D291,$G$5)),([1]!S_STM07_BS(D291,75,$G$5,$H$13)+[1]!S_STM07_BS(D291,88,$G$5,$H$13)+[1]!S_STM07_BS(D291,94,$G$5,$H$13)+[1]!S_STM07_BS(D291,95,$G$5,$H$13))/$E$5))</f>
        <v/>
      </c>
      <c r="O291" s="250" t="str">
        <f ca="1">IF(C291="","",IF($O$11="BPS",[1]!S_STM07_BS(D291,141,$G$5,$H$13)/IF([1]!S_SHARE_TOTAL(D291,$G$5)=0,[1]!S_SHARE_TOTAL(D291,[1]!s_ipo_listeddate(D291)),[1]!S_SHARE_TOTAL(D291,$G$5)),[1]!S_STM07_CS(D291,49,$G$5,$H$13)/$E$5))</f>
        <v/>
      </c>
      <c r="P291" s="250" t="str">
        <f ca="1">IF(C291="","",IF($P$11="CFPS",[1]!S_STM07_CS(D291,84,$G$5,$H$13)/IF([1]!S_SHARE_TOTAL(D291,$G$5)=0,[1]!S_SHARE_TOTAL(D291,[1]!s_ipo_listeddate(D291)),[1]!S_SHARE_TOTAL(D291,$G$5)),[1]!S_STM07_CS(D291,84,$G$5,$H$13)/$E$5))</f>
        <v/>
      </c>
      <c r="Q291" s="198" t="str">
        <f ca="1">IF(C291="","",F291/([1]!S_STM07_IS(D291,61,$G$5,$H$13)/IF([1]!S_SHARE_TOTAL(D291,$G$5)=0,[1]!S_SHARE_TOTAL(D291,[1]!s_ipo_listeddate(D291)),[1]!S_SHARE_TOTAL(D291,$G$5))))</f>
        <v/>
      </c>
      <c r="R291" s="198" t="str">
        <f ca="1">IF(C291="","",F291/([1]!S_STM07_BS(D291,141,$G$5,$H$13)/IF([1]!S_SHARE_TOTAL(D291,$G$5)=0,[1]!S_SHARE_TOTAL(D291,[1]!s_ipo_listeddate(D291)),[1]!S_SHARE_TOTAL(D291,$G$5))))</f>
        <v/>
      </c>
      <c r="S291" s="249" t="str">
        <f ca="1">IF(C291="","",[1]!S_SHARE_TOTAL(D291,TODAY())/$E$5)</f>
        <v/>
      </c>
      <c r="T291" s="249" t="str">
        <f t="shared" ca="1" si="31"/>
        <v/>
      </c>
      <c r="U291" s="172" t="str">
        <f t="shared" ca="1" si="32"/>
        <v/>
      </c>
      <c r="V291" s="343" t="str">
        <f t="shared" ca="1" si="33"/>
        <v/>
      </c>
      <c r="W291" s="139"/>
      <c r="Y291" s="1"/>
    </row>
    <row r="292" spans="3:25" ht="12" customHeight="1">
      <c r="C292" s="342" t="str">
        <f t="shared" ca="1" si="34"/>
        <v/>
      </c>
      <c r="D292" s="153" t="str">
        <f t="shared" ca="1" si="29"/>
        <v/>
      </c>
      <c r="E292" s="153" t="str">
        <f t="shared" ca="1" si="30"/>
        <v/>
      </c>
      <c r="F292" s="170" t="str">
        <f ca="1">IF(C292="","",[1]!S_DQ_CLOSE(D292,TODAY(),1))</f>
        <v/>
      </c>
      <c r="G292" s="171" t="str">
        <f ca="1">IF(C292="","",[1]!s_pq_pctchange(D292,TODAY()-$G$12,TODAY())/100)</f>
        <v/>
      </c>
      <c r="H292" s="247" t="str">
        <f ca="1">IF(C292="","",IF($H$11="收入",[1]!S_STM07_IS(D292,9,$G$5,$H$13)/$E$5,[1]!S_STM07_IS(D292,48,$G$5,$H$13)/$E$5))</f>
        <v/>
      </c>
      <c r="I292" s="247" t="str">
        <f ca="1">IF(C292="","",IF($I$11="毛利率",([1]!S_STM07_IS(D292,9,$G$5,$H$13)-[1]!S_STM07_IS(D292,10,$G$5,$H$13))/[1]!S_STM07_IS(D292,9,$G$5,$H$13),[1]!S_STM07_IS(D292,14,$G$5,$H$13)/$E$5))</f>
        <v/>
      </c>
      <c r="J292" s="247" t="str">
        <f ca="1">IF(C292="","",IF($J$11="营业利润率",[1]!S_STM07_IS(D292,48,$G$5,$H$13)/[1]!S_STM07_IS(D292,9,$G$5,$H$13),([1]!S_STM07_CS(D292,87,$G$5,$H$13)+[1]!S_STM07_CS(D292,88,$G$5,$H$13)+[1]!S_STM07_CS(D292,89,$G$5,$H$13))/$E$5))</f>
        <v/>
      </c>
      <c r="K292" s="247" t="str">
        <f ca="1">IF(C292="","",IF($K$11="净利润率",[1]!S_STM07_IS(D292,61,$G$5,$H$13)/[1]!S_STM07_IS(D292,9,$G$5,$H$13),[1]!S_STM07_IS(D292,55,$G$5,$H$13)/$E$5))</f>
        <v/>
      </c>
      <c r="L292" s="247" t="str">
        <f ca="1">IF(C292="","",IF($L$11="ROA",[1]!S_STM07_IS(D292,61,$G$5,$H$13)/[1]!S_STM07_BS(D292,74,$G$5,$H$13),1-[1]!S_STM07_IS(D292,61,$G$5,$H$13)/[1]!S_STM07_IS(D292,55,$G$5,$H$13)))</f>
        <v/>
      </c>
      <c r="M292" s="247" t="str">
        <f ca="1">IF(C292="","",IF($M$11="ROE",[1]!S_STM07_IS(D292,61,$G$5,$H$13)/[1]!S_STM07_BS(D292,141,$G$5,$H$13),([1]!S_STM07_BS(D292,25,$G$5,$H$13)-[1]!S_STM07_BS(D292,93,$G$5,$H$13))/$E$5))</f>
        <v/>
      </c>
      <c r="N292" s="247" t="str">
        <f ca="1">IF(C292="","",IF($N$11="EPS",[1]!S_STM07_IS(D292,61,$G$5,$H$13)/IF([1]!S_SHARE_TOTAL(D292,$G$5)=0,[1]!S_SHARE_TOTAL(D292,[1]!s_ipo_listeddate(D292)),[1]!S_SHARE_TOTAL(D292,$G$5)),([1]!S_STM07_BS(D292,75,$G$5,$H$13)+[1]!S_STM07_BS(D292,88,$G$5,$H$13)+[1]!S_STM07_BS(D292,94,$G$5,$H$13)+[1]!S_STM07_BS(D292,95,$G$5,$H$13))/$E$5))</f>
        <v/>
      </c>
      <c r="O292" s="247" t="str">
        <f ca="1">IF(C292="","",IF($O$11="BPS",[1]!S_STM07_BS(D292,141,$G$5,$H$13)/IF([1]!S_SHARE_TOTAL(D292,$G$5)=0,[1]!S_SHARE_TOTAL(D292,[1]!s_ipo_listeddate(D292)),[1]!S_SHARE_TOTAL(D292,$G$5)),[1]!S_STM07_CS(D292,49,$G$5,$H$13)/$E$5))</f>
        <v/>
      </c>
      <c r="P292" s="247" t="str">
        <f ca="1">IF(C292="","",IF($P$11="CFPS",[1]!S_STM07_CS(D292,84,$G$5,$H$13)/IF([1]!S_SHARE_TOTAL(D292,$G$5)=0,[1]!S_SHARE_TOTAL(D292,[1]!s_ipo_listeddate(D292)),[1]!S_SHARE_TOTAL(D292,$G$5)),[1]!S_STM07_CS(D292,84,$G$5,$H$13)/$E$5))</f>
        <v/>
      </c>
      <c r="Q292" s="248" t="str">
        <f ca="1">IF(C292="","",F292/([1]!S_STM07_IS(D292,61,$G$5,$H$13)/IF([1]!S_SHARE_TOTAL(D292,$G$5)=0,[1]!S_SHARE_TOTAL(D292,[1]!s_ipo_listeddate(D292)),[1]!S_SHARE_TOTAL(D292,$G$5))))</f>
        <v/>
      </c>
      <c r="R292" s="248" t="str">
        <f ca="1">IF(C292="","",F292/([1]!S_STM07_BS(D292,141,$G$5,$H$13)/IF([1]!S_SHARE_TOTAL(D292,$G$5)=0,[1]!S_SHARE_TOTAL(D292,[1]!s_ipo_listeddate(D292)),[1]!S_SHARE_TOTAL(D292,$G$5))))</f>
        <v/>
      </c>
      <c r="S292" s="247" t="str">
        <f ca="1">IF(C292="","",[1]!S_SHARE_TOTAL(D292,TODAY())/$E$5)</f>
        <v/>
      </c>
      <c r="T292" s="247" t="str">
        <f t="shared" ca="1" si="31"/>
        <v/>
      </c>
      <c r="U292" s="218" t="str">
        <f t="shared" ca="1" si="32"/>
        <v/>
      </c>
      <c r="V292" s="342" t="str">
        <f t="shared" ca="1" si="33"/>
        <v/>
      </c>
      <c r="W292" s="139"/>
      <c r="Y292" s="1"/>
    </row>
    <row r="293" spans="3:25" ht="12" customHeight="1">
      <c r="C293" s="343" t="str">
        <f t="shared" ca="1" si="34"/>
        <v/>
      </c>
      <c r="D293" s="124" t="str">
        <f t="shared" ref="D293:D356" ca="1" si="35">IF(C293="","",VLOOKUP(C293,comppool,2,FALSE))</f>
        <v/>
      </c>
      <c r="E293" s="124" t="str">
        <f t="shared" ref="E293:E356" ca="1" si="36">IF(C293="","",VLOOKUP(C293,comppool,3,FALSE))</f>
        <v/>
      </c>
      <c r="F293" s="172" t="str">
        <f ca="1">IF(C293="","",[1]!S_DQ_CLOSE(D293,TODAY(),1))</f>
        <v/>
      </c>
      <c r="G293" s="173" t="str">
        <f ca="1">IF(C293="","",[1]!s_pq_pctchange(D293,TODAY()-$G$12,TODAY())/100)</f>
        <v/>
      </c>
      <c r="H293" s="249" t="str">
        <f ca="1">IF(C293="","",IF($H$11="收入",[1]!S_STM07_IS(D293,9,$G$5,$H$13)/$E$5,[1]!S_STM07_IS(D293,48,$G$5,$H$13)/$E$5))</f>
        <v/>
      </c>
      <c r="I293" s="249" t="str">
        <f ca="1">IF(C293="","",IF($I$11="毛利率",([1]!S_STM07_IS(D293,9,$G$5,$H$13)-[1]!S_STM07_IS(D293,10,$G$5,$H$13))/[1]!S_STM07_IS(D293,9,$G$5,$H$13),[1]!S_STM07_IS(D293,14,$G$5,$H$13)/$E$5))</f>
        <v/>
      </c>
      <c r="J293" s="249" t="str">
        <f ca="1">IF(C293="","",IF($J$11="营业利润率",[1]!S_STM07_IS(D293,48,$G$5,$H$13)/[1]!S_STM07_IS(D293,9,$G$5,$H$13),([1]!S_STM07_CS(D293,87,$G$5,$H$13)+[1]!S_STM07_CS(D293,88,$G$5,$H$13)+[1]!S_STM07_CS(D293,89,$G$5,$H$13))/$E$5))</f>
        <v/>
      </c>
      <c r="K293" s="249" t="str">
        <f ca="1">IF(C293="","",IF($K$11="净利润率",[1]!S_STM07_IS(D293,61,$G$5,$H$13)/[1]!S_STM07_IS(D293,9,$G$5,$H$13),[1]!S_STM07_IS(D293,55,$G$5,$H$13)/$E$5))</f>
        <v/>
      </c>
      <c r="L293" s="249" t="str">
        <f ca="1">IF(C293="","",IF($L$11="ROA",[1]!S_STM07_IS(D293,61,$G$5,$H$13)/[1]!S_STM07_BS(D293,74,$G$5,$H$13),1-[1]!S_STM07_IS(D293,61,$G$5,$H$13)/[1]!S_STM07_IS(D293,55,$G$5,$H$13)))</f>
        <v/>
      </c>
      <c r="M293" s="249" t="str">
        <f ca="1">IF(C293="","",IF($M$11="ROE",[1]!S_STM07_IS(D293,61,$G$5,$H$13)/[1]!S_STM07_BS(D293,141,$G$5,$H$13),([1]!S_STM07_BS(D293,25,$G$5,$H$13)-[1]!S_STM07_BS(D293,93,$G$5,$H$13))/$E$5))</f>
        <v/>
      </c>
      <c r="N293" s="250" t="str">
        <f ca="1">IF(C293="","",IF($N$11="EPS",[1]!S_STM07_IS(D293,61,$G$5,$H$13)/IF([1]!S_SHARE_TOTAL(D293,$G$5)=0,[1]!S_SHARE_TOTAL(D293,[1]!s_ipo_listeddate(D293)),[1]!S_SHARE_TOTAL(D293,$G$5)),([1]!S_STM07_BS(D293,75,$G$5,$H$13)+[1]!S_STM07_BS(D293,88,$G$5,$H$13)+[1]!S_STM07_BS(D293,94,$G$5,$H$13)+[1]!S_STM07_BS(D293,95,$G$5,$H$13))/$E$5))</f>
        <v/>
      </c>
      <c r="O293" s="250" t="str">
        <f ca="1">IF(C293="","",IF($O$11="BPS",[1]!S_STM07_BS(D293,141,$G$5,$H$13)/IF([1]!S_SHARE_TOTAL(D293,$G$5)=0,[1]!S_SHARE_TOTAL(D293,[1]!s_ipo_listeddate(D293)),[1]!S_SHARE_TOTAL(D293,$G$5)),[1]!S_STM07_CS(D293,49,$G$5,$H$13)/$E$5))</f>
        <v/>
      </c>
      <c r="P293" s="250" t="str">
        <f ca="1">IF(C293="","",IF($P$11="CFPS",[1]!S_STM07_CS(D293,84,$G$5,$H$13)/IF([1]!S_SHARE_TOTAL(D293,$G$5)=0,[1]!S_SHARE_TOTAL(D293,[1]!s_ipo_listeddate(D293)),[1]!S_SHARE_TOTAL(D293,$G$5)),[1]!S_STM07_CS(D293,84,$G$5,$H$13)/$E$5))</f>
        <v/>
      </c>
      <c r="Q293" s="198" t="str">
        <f ca="1">IF(C293="","",F293/([1]!S_STM07_IS(D293,61,$G$5,$H$13)/IF([1]!S_SHARE_TOTAL(D293,$G$5)=0,[1]!S_SHARE_TOTAL(D293,[1]!s_ipo_listeddate(D293)),[1]!S_SHARE_TOTAL(D293,$G$5))))</f>
        <v/>
      </c>
      <c r="R293" s="198" t="str">
        <f ca="1">IF(C293="","",F293/([1]!S_STM07_BS(D293,141,$G$5,$H$13)/IF([1]!S_SHARE_TOTAL(D293,$G$5)=0,[1]!S_SHARE_TOTAL(D293,[1]!s_ipo_listeddate(D293)),[1]!S_SHARE_TOTAL(D293,$G$5))))</f>
        <v/>
      </c>
      <c r="S293" s="249" t="str">
        <f ca="1">IF(C293="","",[1]!S_SHARE_TOTAL(D293,TODAY())/$E$5)</f>
        <v/>
      </c>
      <c r="T293" s="249" t="str">
        <f t="shared" ref="T293:T356" ca="1" si="37">IF(C293="","",F293*S293)</f>
        <v/>
      </c>
      <c r="U293" s="172" t="str">
        <f t="shared" ref="U293:U356" ca="1" si="38">IF(C293="","",HLOOKUP($V$12,$G$11:$T$20003,ROW()-ROW($G$11)+1,FALSE))</f>
        <v/>
      </c>
      <c r="V293" s="343" t="str">
        <f t="shared" ref="V293:V356" ca="1" si="39">IF(C293="","",RANK(U293,U:U,0))</f>
        <v/>
      </c>
      <c r="W293" s="139"/>
      <c r="Y293" s="1"/>
    </row>
    <row r="294" spans="3:25" ht="12" customHeight="1">
      <c r="C294" s="342" t="str">
        <f t="shared" ca="1" si="34"/>
        <v/>
      </c>
      <c r="D294" s="153" t="str">
        <f t="shared" ca="1" si="35"/>
        <v/>
      </c>
      <c r="E294" s="153" t="str">
        <f t="shared" ca="1" si="36"/>
        <v/>
      </c>
      <c r="F294" s="170" t="str">
        <f ca="1">IF(C294="","",[1]!S_DQ_CLOSE(D294,TODAY(),1))</f>
        <v/>
      </c>
      <c r="G294" s="171" t="str">
        <f ca="1">IF(C294="","",[1]!s_pq_pctchange(D294,TODAY()-$G$12,TODAY())/100)</f>
        <v/>
      </c>
      <c r="H294" s="247" t="str">
        <f ca="1">IF(C294="","",IF($H$11="收入",[1]!S_STM07_IS(D294,9,$G$5,$H$13)/$E$5,[1]!S_STM07_IS(D294,48,$G$5,$H$13)/$E$5))</f>
        <v/>
      </c>
      <c r="I294" s="247" t="str">
        <f ca="1">IF(C294="","",IF($I$11="毛利率",([1]!S_STM07_IS(D294,9,$G$5,$H$13)-[1]!S_STM07_IS(D294,10,$G$5,$H$13))/[1]!S_STM07_IS(D294,9,$G$5,$H$13),[1]!S_STM07_IS(D294,14,$G$5,$H$13)/$E$5))</f>
        <v/>
      </c>
      <c r="J294" s="247" t="str">
        <f ca="1">IF(C294="","",IF($J$11="营业利润率",[1]!S_STM07_IS(D294,48,$G$5,$H$13)/[1]!S_STM07_IS(D294,9,$G$5,$H$13),([1]!S_STM07_CS(D294,87,$G$5,$H$13)+[1]!S_STM07_CS(D294,88,$G$5,$H$13)+[1]!S_STM07_CS(D294,89,$G$5,$H$13))/$E$5))</f>
        <v/>
      </c>
      <c r="K294" s="247" t="str">
        <f ca="1">IF(C294="","",IF($K$11="净利润率",[1]!S_STM07_IS(D294,61,$G$5,$H$13)/[1]!S_STM07_IS(D294,9,$G$5,$H$13),[1]!S_STM07_IS(D294,55,$G$5,$H$13)/$E$5))</f>
        <v/>
      </c>
      <c r="L294" s="247" t="str">
        <f ca="1">IF(C294="","",IF($L$11="ROA",[1]!S_STM07_IS(D294,61,$G$5,$H$13)/[1]!S_STM07_BS(D294,74,$G$5,$H$13),1-[1]!S_STM07_IS(D294,61,$G$5,$H$13)/[1]!S_STM07_IS(D294,55,$G$5,$H$13)))</f>
        <v/>
      </c>
      <c r="M294" s="247" t="str">
        <f ca="1">IF(C294="","",IF($M$11="ROE",[1]!S_STM07_IS(D294,61,$G$5,$H$13)/[1]!S_STM07_BS(D294,141,$G$5,$H$13),([1]!S_STM07_BS(D294,25,$G$5,$H$13)-[1]!S_STM07_BS(D294,93,$G$5,$H$13))/$E$5))</f>
        <v/>
      </c>
      <c r="N294" s="247" t="str">
        <f ca="1">IF(C294="","",IF($N$11="EPS",[1]!S_STM07_IS(D294,61,$G$5,$H$13)/IF([1]!S_SHARE_TOTAL(D294,$G$5)=0,[1]!S_SHARE_TOTAL(D294,[1]!s_ipo_listeddate(D294)),[1]!S_SHARE_TOTAL(D294,$G$5)),([1]!S_STM07_BS(D294,75,$G$5,$H$13)+[1]!S_STM07_BS(D294,88,$G$5,$H$13)+[1]!S_STM07_BS(D294,94,$G$5,$H$13)+[1]!S_STM07_BS(D294,95,$G$5,$H$13))/$E$5))</f>
        <v/>
      </c>
      <c r="O294" s="247" t="str">
        <f ca="1">IF(C294="","",IF($O$11="BPS",[1]!S_STM07_BS(D294,141,$G$5,$H$13)/IF([1]!S_SHARE_TOTAL(D294,$G$5)=0,[1]!S_SHARE_TOTAL(D294,[1]!s_ipo_listeddate(D294)),[1]!S_SHARE_TOTAL(D294,$G$5)),[1]!S_STM07_CS(D294,49,$G$5,$H$13)/$E$5))</f>
        <v/>
      </c>
      <c r="P294" s="247" t="str">
        <f ca="1">IF(C294="","",IF($P$11="CFPS",[1]!S_STM07_CS(D294,84,$G$5,$H$13)/IF([1]!S_SHARE_TOTAL(D294,$G$5)=0,[1]!S_SHARE_TOTAL(D294,[1]!s_ipo_listeddate(D294)),[1]!S_SHARE_TOTAL(D294,$G$5)),[1]!S_STM07_CS(D294,84,$G$5,$H$13)/$E$5))</f>
        <v/>
      </c>
      <c r="Q294" s="248" t="str">
        <f ca="1">IF(C294="","",F294/([1]!S_STM07_IS(D294,61,$G$5,$H$13)/IF([1]!S_SHARE_TOTAL(D294,$G$5)=0,[1]!S_SHARE_TOTAL(D294,[1]!s_ipo_listeddate(D294)),[1]!S_SHARE_TOTAL(D294,$G$5))))</f>
        <v/>
      </c>
      <c r="R294" s="248" t="str">
        <f ca="1">IF(C294="","",F294/([1]!S_STM07_BS(D294,141,$G$5,$H$13)/IF([1]!S_SHARE_TOTAL(D294,$G$5)=0,[1]!S_SHARE_TOTAL(D294,[1]!s_ipo_listeddate(D294)),[1]!S_SHARE_TOTAL(D294,$G$5))))</f>
        <v/>
      </c>
      <c r="S294" s="247" t="str">
        <f ca="1">IF(C294="","",[1]!S_SHARE_TOTAL(D294,TODAY())/$E$5)</f>
        <v/>
      </c>
      <c r="T294" s="247" t="str">
        <f t="shared" ca="1" si="37"/>
        <v/>
      </c>
      <c r="U294" s="218" t="str">
        <f t="shared" ca="1" si="38"/>
        <v/>
      </c>
      <c r="V294" s="342" t="str">
        <f t="shared" ca="1" si="39"/>
        <v/>
      </c>
      <c r="W294" s="139"/>
      <c r="Y294" s="1"/>
    </row>
    <row r="295" spans="3:25" ht="12" customHeight="1">
      <c r="C295" s="343" t="str">
        <f t="shared" ca="1" si="34"/>
        <v/>
      </c>
      <c r="D295" s="124" t="str">
        <f t="shared" ca="1" si="35"/>
        <v/>
      </c>
      <c r="E295" s="124" t="str">
        <f t="shared" ca="1" si="36"/>
        <v/>
      </c>
      <c r="F295" s="172" t="str">
        <f ca="1">IF(C295="","",[1]!S_DQ_CLOSE(D295,TODAY(),1))</f>
        <v/>
      </c>
      <c r="G295" s="173" t="str">
        <f ca="1">IF(C295="","",[1]!s_pq_pctchange(D295,TODAY()-$G$12,TODAY())/100)</f>
        <v/>
      </c>
      <c r="H295" s="249" t="str">
        <f ca="1">IF(C295="","",IF($H$11="收入",[1]!S_STM07_IS(D295,9,$G$5,$H$13)/$E$5,[1]!S_STM07_IS(D295,48,$G$5,$H$13)/$E$5))</f>
        <v/>
      </c>
      <c r="I295" s="249" t="str">
        <f ca="1">IF(C295="","",IF($I$11="毛利率",([1]!S_STM07_IS(D295,9,$G$5,$H$13)-[1]!S_STM07_IS(D295,10,$G$5,$H$13))/[1]!S_STM07_IS(D295,9,$G$5,$H$13),[1]!S_STM07_IS(D295,14,$G$5,$H$13)/$E$5))</f>
        <v/>
      </c>
      <c r="J295" s="249" t="str">
        <f ca="1">IF(C295="","",IF($J$11="营业利润率",[1]!S_STM07_IS(D295,48,$G$5,$H$13)/[1]!S_STM07_IS(D295,9,$G$5,$H$13),([1]!S_STM07_CS(D295,87,$G$5,$H$13)+[1]!S_STM07_CS(D295,88,$G$5,$H$13)+[1]!S_STM07_CS(D295,89,$G$5,$H$13))/$E$5))</f>
        <v/>
      </c>
      <c r="K295" s="249" t="str">
        <f ca="1">IF(C295="","",IF($K$11="净利润率",[1]!S_STM07_IS(D295,61,$G$5,$H$13)/[1]!S_STM07_IS(D295,9,$G$5,$H$13),[1]!S_STM07_IS(D295,55,$G$5,$H$13)/$E$5))</f>
        <v/>
      </c>
      <c r="L295" s="249" t="str">
        <f ca="1">IF(C295="","",IF($L$11="ROA",[1]!S_STM07_IS(D295,61,$G$5,$H$13)/[1]!S_STM07_BS(D295,74,$G$5,$H$13),1-[1]!S_STM07_IS(D295,61,$G$5,$H$13)/[1]!S_STM07_IS(D295,55,$G$5,$H$13)))</f>
        <v/>
      </c>
      <c r="M295" s="249" t="str">
        <f ca="1">IF(C295="","",IF($M$11="ROE",[1]!S_STM07_IS(D295,61,$G$5,$H$13)/[1]!S_STM07_BS(D295,141,$G$5,$H$13),([1]!S_STM07_BS(D295,25,$G$5,$H$13)-[1]!S_STM07_BS(D295,93,$G$5,$H$13))/$E$5))</f>
        <v/>
      </c>
      <c r="N295" s="250" t="str">
        <f ca="1">IF(C295="","",IF($N$11="EPS",[1]!S_STM07_IS(D295,61,$G$5,$H$13)/IF([1]!S_SHARE_TOTAL(D295,$G$5)=0,[1]!S_SHARE_TOTAL(D295,[1]!s_ipo_listeddate(D295)),[1]!S_SHARE_TOTAL(D295,$G$5)),([1]!S_STM07_BS(D295,75,$G$5,$H$13)+[1]!S_STM07_BS(D295,88,$G$5,$H$13)+[1]!S_STM07_BS(D295,94,$G$5,$H$13)+[1]!S_STM07_BS(D295,95,$G$5,$H$13))/$E$5))</f>
        <v/>
      </c>
      <c r="O295" s="250" t="str">
        <f ca="1">IF(C295="","",IF($O$11="BPS",[1]!S_STM07_BS(D295,141,$G$5,$H$13)/IF([1]!S_SHARE_TOTAL(D295,$G$5)=0,[1]!S_SHARE_TOTAL(D295,[1]!s_ipo_listeddate(D295)),[1]!S_SHARE_TOTAL(D295,$G$5)),[1]!S_STM07_CS(D295,49,$G$5,$H$13)/$E$5))</f>
        <v/>
      </c>
      <c r="P295" s="250" t="str">
        <f ca="1">IF(C295="","",IF($P$11="CFPS",[1]!S_STM07_CS(D295,84,$G$5,$H$13)/IF([1]!S_SHARE_TOTAL(D295,$G$5)=0,[1]!S_SHARE_TOTAL(D295,[1]!s_ipo_listeddate(D295)),[1]!S_SHARE_TOTAL(D295,$G$5)),[1]!S_STM07_CS(D295,84,$G$5,$H$13)/$E$5))</f>
        <v/>
      </c>
      <c r="Q295" s="198" t="str">
        <f ca="1">IF(C295="","",F295/([1]!S_STM07_IS(D295,61,$G$5,$H$13)/IF([1]!S_SHARE_TOTAL(D295,$G$5)=0,[1]!S_SHARE_TOTAL(D295,[1]!s_ipo_listeddate(D295)),[1]!S_SHARE_TOTAL(D295,$G$5))))</f>
        <v/>
      </c>
      <c r="R295" s="198" t="str">
        <f ca="1">IF(C295="","",F295/([1]!S_STM07_BS(D295,141,$G$5,$H$13)/IF([1]!S_SHARE_TOTAL(D295,$G$5)=0,[1]!S_SHARE_TOTAL(D295,[1]!s_ipo_listeddate(D295)),[1]!S_SHARE_TOTAL(D295,$G$5))))</f>
        <v/>
      </c>
      <c r="S295" s="249" t="str">
        <f ca="1">IF(C295="","",[1]!S_SHARE_TOTAL(D295,TODAY())/$E$5)</f>
        <v/>
      </c>
      <c r="T295" s="249" t="str">
        <f t="shared" ca="1" si="37"/>
        <v/>
      </c>
      <c r="U295" s="172" t="str">
        <f t="shared" ca="1" si="38"/>
        <v/>
      </c>
      <c r="V295" s="343" t="str">
        <f t="shared" ca="1" si="39"/>
        <v/>
      </c>
      <c r="W295" s="139"/>
      <c r="Y295" s="1"/>
    </row>
    <row r="296" spans="3:25" ht="12" customHeight="1">
      <c r="C296" s="342" t="str">
        <f t="shared" ca="1" si="34"/>
        <v/>
      </c>
      <c r="D296" s="153" t="str">
        <f t="shared" ca="1" si="35"/>
        <v/>
      </c>
      <c r="E296" s="153" t="str">
        <f t="shared" ca="1" si="36"/>
        <v/>
      </c>
      <c r="F296" s="170" t="str">
        <f ca="1">IF(C296="","",[1]!S_DQ_CLOSE(D296,TODAY(),1))</f>
        <v/>
      </c>
      <c r="G296" s="171" t="str">
        <f ca="1">IF(C296="","",[1]!s_pq_pctchange(D296,TODAY()-$G$12,TODAY())/100)</f>
        <v/>
      </c>
      <c r="H296" s="247" t="str">
        <f ca="1">IF(C296="","",IF($H$11="收入",[1]!S_STM07_IS(D296,9,$G$5,$H$13)/$E$5,[1]!S_STM07_IS(D296,48,$G$5,$H$13)/$E$5))</f>
        <v/>
      </c>
      <c r="I296" s="247" t="str">
        <f ca="1">IF(C296="","",IF($I$11="毛利率",([1]!S_STM07_IS(D296,9,$G$5,$H$13)-[1]!S_STM07_IS(D296,10,$G$5,$H$13))/[1]!S_STM07_IS(D296,9,$G$5,$H$13),[1]!S_STM07_IS(D296,14,$G$5,$H$13)/$E$5))</f>
        <v/>
      </c>
      <c r="J296" s="247" t="str">
        <f ca="1">IF(C296="","",IF($J$11="营业利润率",[1]!S_STM07_IS(D296,48,$G$5,$H$13)/[1]!S_STM07_IS(D296,9,$G$5,$H$13),([1]!S_STM07_CS(D296,87,$G$5,$H$13)+[1]!S_STM07_CS(D296,88,$G$5,$H$13)+[1]!S_STM07_CS(D296,89,$G$5,$H$13))/$E$5))</f>
        <v/>
      </c>
      <c r="K296" s="247" t="str">
        <f ca="1">IF(C296="","",IF($K$11="净利润率",[1]!S_STM07_IS(D296,61,$G$5,$H$13)/[1]!S_STM07_IS(D296,9,$G$5,$H$13),[1]!S_STM07_IS(D296,55,$G$5,$H$13)/$E$5))</f>
        <v/>
      </c>
      <c r="L296" s="247" t="str">
        <f ca="1">IF(C296="","",IF($L$11="ROA",[1]!S_STM07_IS(D296,61,$G$5,$H$13)/[1]!S_STM07_BS(D296,74,$G$5,$H$13),1-[1]!S_STM07_IS(D296,61,$G$5,$H$13)/[1]!S_STM07_IS(D296,55,$G$5,$H$13)))</f>
        <v/>
      </c>
      <c r="M296" s="247" t="str">
        <f ca="1">IF(C296="","",IF($M$11="ROE",[1]!S_STM07_IS(D296,61,$G$5,$H$13)/[1]!S_STM07_BS(D296,141,$G$5,$H$13),([1]!S_STM07_BS(D296,25,$G$5,$H$13)-[1]!S_STM07_BS(D296,93,$G$5,$H$13))/$E$5))</f>
        <v/>
      </c>
      <c r="N296" s="247" t="str">
        <f ca="1">IF(C296="","",IF($N$11="EPS",[1]!S_STM07_IS(D296,61,$G$5,$H$13)/IF([1]!S_SHARE_TOTAL(D296,$G$5)=0,[1]!S_SHARE_TOTAL(D296,[1]!s_ipo_listeddate(D296)),[1]!S_SHARE_TOTAL(D296,$G$5)),([1]!S_STM07_BS(D296,75,$G$5,$H$13)+[1]!S_STM07_BS(D296,88,$G$5,$H$13)+[1]!S_STM07_BS(D296,94,$G$5,$H$13)+[1]!S_STM07_BS(D296,95,$G$5,$H$13))/$E$5))</f>
        <v/>
      </c>
      <c r="O296" s="247" t="str">
        <f ca="1">IF(C296="","",IF($O$11="BPS",[1]!S_STM07_BS(D296,141,$G$5,$H$13)/IF([1]!S_SHARE_TOTAL(D296,$G$5)=0,[1]!S_SHARE_TOTAL(D296,[1]!s_ipo_listeddate(D296)),[1]!S_SHARE_TOTAL(D296,$G$5)),[1]!S_STM07_CS(D296,49,$G$5,$H$13)/$E$5))</f>
        <v/>
      </c>
      <c r="P296" s="247" t="str">
        <f ca="1">IF(C296="","",IF($P$11="CFPS",[1]!S_STM07_CS(D296,84,$G$5,$H$13)/IF([1]!S_SHARE_TOTAL(D296,$G$5)=0,[1]!S_SHARE_TOTAL(D296,[1]!s_ipo_listeddate(D296)),[1]!S_SHARE_TOTAL(D296,$G$5)),[1]!S_STM07_CS(D296,84,$G$5,$H$13)/$E$5))</f>
        <v/>
      </c>
      <c r="Q296" s="248" t="str">
        <f ca="1">IF(C296="","",F296/([1]!S_STM07_IS(D296,61,$G$5,$H$13)/IF([1]!S_SHARE_TOTAL(D296,$G$5)=0,[1]!S_SHARE_TOTAL(D296,[1]!s_ipo_listeddate(D296)),[1]!S_SHARE_TOTAL(D296,$G$5))))</f>
        <v/>
      </c>
      <c r="R296" s="248" t="str">
        <f ca="1">IF(C296="","",F296/([1]!S_STM07_BS(D296,141,$G$5,$H$13)/IF([1]!S_SHARE_TOTAL(D296,$G$5)=0,[1]!S_SHARE_TOTAL(D296,[1]!s_ipo_listeddate(D296)),[1]!S_SHARE_TOTAL(D296,$G$5))))</f>
        <v/>
      </c>
      <c r="S296" s="247" t="str">
        <f ca="1">IF(C296="","",[1]!S_SHARE_TOTAL(D296,TODAY())/$E$5)</f>
        <v/>
      </c>
      <c r="T296" s="247" t="str">
        <f t="shared" ca="1" si="37"/>
        <v/>
      </c>
      <c r="U296" s="218" t="str">
        <f t="shared" ca="1" si="38"/>
        <v/>
      </c>
      <c r="V296" s="342" t="str">
        <f t="shared" ca="1" si="39"/>
        <v/>
      </c>
      <c r="W296" s="139"/>
      <c r="Y296" s="1"/>
    </row>
    <row r="297" spans="3:25" ht="12" customHeight="1">
      <c r="C297" s="343" t="str">
        <f t="shared" ca="1" si="34"/>
        <v/>
      </c>
      <c r="D297" s="124" t="str">
        <f t="shared" ca="1" si="35"/>
        <v/>
      </c>
      <c r="E297" s="124" t="str">
        <f t="shared" ca="1" si="36"/>
        <v/>
      </c>
      <c r="F297" s="172" t="str">
        <f ca="1">IF(C297="","",[1]!S_DQ_CLOSE(D297,TODAY(),1))</f>
        <v/>
      </c>
      <c r="G297" s="173" t="str">
        <f ca="1">IF(C297="","",[1]!s_pq_pctchange(D297,TODAY()-$G$12,TODAY())/100)</f>
        <v/>
      </c>
      <c r="H297" s="249" t="str">
        <f ca="1">IF(C297="","",IF($H$11="收入",[1]!S_STM07_IS(D297,9,$G$5,$H$13)/$E$5,[1]!S_STM07_IS(D297,48,$G$5,$H$13)/$E$5))</f>
        <v/>
      </c>
      <c r="I297" s="249" t="str">
        <f ca="1">IF(C297="","",IF($I$11="毛利率",([1]!S_STM07_IS(D297,9,$G$5,$H$13)-[1]!S_STM07_IS(D297,10,$G$5,$H$13))/[1]!S_STM07_IS(D297,9,$G$5,$H$13),[1]!S_STM07_IS(D297,14,$G$5,$H$13)/$E$5))</f>
        <v/>
      </c>
      <c r="J297" s="249" t="str">
        <f ca="1">IF(C297="","",IF($J$11="营业利润率",[1]!S_STM07_IS(D297,48,$G$5,$H$13)/[1]!S_STM07_IS(D297,9,$G$5,$H$13),([1]!S_STM07_CS(D297,87,$G$5,$H$13)+[1]!S_STM07_CS(D297,88,$G$5,$H$13)+[1]!S_STM07_CS(D297,89,$G$5,$H$13))/$E$5))</f>
        <v/>
      </c>
      <c r="K297" s="249" t="str">
        <f ca="1">IF(C297="","",IF($K$11="净利润率",[1]!S_STM07_IS(D297,61,$G$5,$H$13)/[1]!S_STM07_IS(D297,9,$G$5,$H$13),[1]!S_STM07_IS(D297,55,$G$5,$H$13)/$E$5))</f>
        <v/>
      </c>
      <c r="L297" s="249" t="str">
        <f ca="1">IF(C297="","",IF($L$11="ROA",[1]!S_STM07_IS(D297,61,$G$5,$H$13)/[1]!S_STM07_BS(D297,74,$G$5,$H$13),1-[1]!S_STM07_IS(D297,61,$G$5,$H$13)/[1]!S_STM07_IS(D297,55,$G$5,$H$13)))</f>
        <v/>
      </c>
      <c r="M297" s="249" t="str">
        <f ca="1">IF(C297="","",IF($M$11="ROE",[1]!S_STM07_IS(D297,61,$G$5,$H$13)/[1]!S_STM07_BS(D297,141,$G$5,$H$13),([1]!S_STM07_BS(D297,25,$G$5,$H$13)-[1]!S_STM07_BS(D297,93,$G$5,$H$13))/$E$5))</f>
        <v/>
      </c>
      <c r="N297" s="250" t="str">
        <f ca="1">IF(C297="","",IF($N$11="EPS",[1]!S_STM07_IS(D297,61,$G$5,$H$13)/IF([1]!S_SHARE_TOTAL(D297,$G$5)=0,[1]!S_SHARE_TOTAL(D297,[1]!s_ipo_listeddate(D297)),[1]!S_SHARE_TOTAL(D297,$G$5)),([1]!S_STM07_BS(D297,75,$G$5,$H$13)+[1]!S_STM07_BS(D297,88,$G$5,$H$13)+[1]!S_STM07_BS(D297,94,$G$5,$H$13)+[1]!S_STM07_BS(D297,95,$G$5,$H$13))/$E$5))</f>
        <v/>
      </c>
      <c r="O297" s="250" t="str">
        <f ca="1">IF(C297="","",IF($O$11="BPS",[1]!S_STM07_BS(D297,141,$G$5,$H$13)/IF([1]!S_SHARE_TOTAL(D297,$G$5)=0,[1]!S_SHARE_TOTAL(D297,[1]!s_ipo_listeddate(D297)),[1]!S_SHARE_TOTAL(D297,$G$5)),[1]!S_STM07_CS(D297,49,$G$5,$H$13)/$E$5))</f>
        <v/>
      </c>
      <c r="P297" s="250" t="str">
        <f ca="1">IF(C297="","",IF($P$11="CFPS",[1]!S_STM07_CS(D297,84,$G$5,$H$13)/IF([1]!S_SHARE_TOTAL(D297,$G$5)=0,[1]!S_SHARE_TOTAL(D297,[1]!s_ipo_listeddate(D297)),[1]!S_SHARE_TOTAL(D297,$G$5)),[1]!S_STM07_CS(D297,84,$G$5,$H$13)/$E$5))</f>
        <v/>
      </c>
      <c r="Q297" s="198" t="str">
        <f ca="1">IF(C297="","",F297/([1]!S_STM07_IS(D297,61,$G$5,$H$13)/IF([1]!S_SHARE_TOTAL(D297,$G$5)=0,[1]!S_SHARE_TOTAL(D297,[1]!s_ipo_listeddate(D297)),[1]!S_SHARE_TOTAL(D297,$G$5))))</f>
        <v/>
      </c>
      <c r="R297" s="198" t="str">
        <f ca="1">IF(C297="","",F297/([1]!S_STM07_BS(D297,141,$G$5,$H$13)/IF([1]!S_SHARE_TOTAL(D297,$G$5)=0,[1]!S_SHARE_TOTAL(D297,[1]!s_ipo_listeddate(D297)),[1]!S_SHARE_TOTAL(D297,$G$5))))</f>
        <v/>
      </c>
      <c r="S297" s="249" t="str">
        <f ca="1">IF(C297="","",[1]!S_SHARE_TOTAL(D297,TODAY())/$E$5)</f>
        <v/>
      </c>
      <c r="T297" s="249" t="str">
        <f t="shared" ca="1" si="37"/>
        <v/>
      </c>
      <c r="U297" s="172" t="str">
        <f t="shared" ca="1" si="38"/>
        <v/>
      </c>
      <c r="V297" s="343" t="str">
        <f t="shared" ca="1" si="39"/>
        <v/>
      </c>
      <c r="W297" s="139"/>
      <c r="Y297" s="1"/>
    </row>
    <row r="298" spans="3:25" ht="12" customHeight="1">
      <c r="C298" s="342" t="str">
        <f t="shared" ca="1" si="34"/>
        <v/>
      </c>
      <c r="D298" s="153" t="str">
        <f t="shared" ca="1" si="35"/>
        <v/>
      </c>
      <c r="E298" s="153" t="str">
        <f t="shared" ca="1" si="36"/>
        <v/>
      </c>
      <c r="F298" s="170" t="str">
        <f ca="1">IF(C298="","",[1]!S_DQ_CLOSE(D298,TODAY(),1))</f>
        <v/>
      </c>
      <c r="G298" s="171" t="str">
        <f ca="1">IF(C298="","",[1]!s_pq_pctchange(D298,TODAY()-$G$12,TODAY())/100)</f>
        <v/>
      </c>
      <c r="H298" s="247" t="str">
        <f ca="1">IF(C298="","",IF($H$11="收入",[1]!S_STM07_IS(D298,9,$G$5,$H$13)/$E$5,[1]!S_STM07_IS(D298,48,$G$5,$H$13)/$E$5))</f>
        <v/>
      </c>
      <c r="I298" s="247" t="str">
        <f ca="1">IF(C298="","",IF($I$11="毛利率",([1]!S_STM07_IS(D298,9,$G$5,$H$13)-[1]!S_STM07_IS(D298,10,$G$5,$H$13))/[1]!S_STM07_IS(D298,9,$G$5,$H$13),[1]!S_STM07_IS(D298,14,$G$5,$H$13)/$E$5))</f>
        <v/>
      </c>
      <c r="J298" s="247" t="str">
        <f ca="1">IF(C298="","",IF($J$11="营业利润率",[1]!S_STM07_IS(D298,48,$G$5,$H$13)/[1]!S_STM07_IS(D298,9,$G$5,$H$13),([1]!S_STM07_CS(D298,87,$G$5,$H$13)+[1]!S_STM07_CS(D298,88,$G$5,$H$13)+[1]!S_STM07_CS(D298,89,$G$5,$H$13))/$E$5))</f>
        <v/>
      </c>
      <c r="K298" s="247" t="str">
        <f ca="1">IF(C298="","",IF($K$11="净利润率",[1]!S_STM07_IS(D298,61,$G$5,$H$13)/[1]!S_STM07_IS(D298,9,$G$5,$H$13),[1]!S_STM07_IS(D298,55,$G$5,$H$13)/$E$5))</f>
        <v/>
      </c>
      <c r="L298" s="247" t="str">
        <f ca="1">IF(C298="","",IF($L$11="ROA",[1]!S_STM07_IS(D298,61,$G$5,$H$13)/[1]!S_STM07_BS(D298,74,$G$5,$H$13),1-[1]!S_STM07_IS(D298,61,$G$5,$H$13)/[1]!S_STM07_IS(D298,55,$G$5,$H$13)))</f>
        <v/>
      </c>
      <c r="M298" s="247" t="str">
        <f ca="1">IF(C298="","",IF($M$11="ROE",[1]!S_STM07_IS(D298,61,$G$5,$H$13)/[1]!S_STM07_BS(D298,141,$G$5,$H$13),([1]!S_STM07_BS(D298,25,$G$5,$H$13)-[1]!S_STM07_BS(D298,93,$G$5,$H$13))/$E$5))</f>
        <v/>
      </c>
      <c r="N298" s="247" t="str">
        <f ca="1">IF(C298="","",IF($N$11="EPS",[1]!S_STM07_IS(D298,61,$G$5,$H$13)/IF([1]!S_SHARE_TOTAL(D298,$G$5)=0,[1]!S_SHARE_TOTAL(D298,[1]!s_ipo_listeddate(D298)),[1]!S_SHARE_TOTAL(D298,$G$5)),([1]!S_STM07_BS(D298,75,$G$5,$H$13)+[1]!S_STM07_BS(D298,88,$G$5,$H$13)+[1]!S_STM07_BS(D298,94,$G$5,$H$13)+[1]!S_STM07_BS(D298,95,$G$5,$H$13))/$E$5))</f>
        <v/>
      </c>
      <c r="O298" s="247" t="str">
        <f ca="1">IF(C298="","",IF($O$11="BPS",[1]!S_STM07_BS(D298,141,$G$5,$H$13)/IF([1]!S_SHARE_TOTAL(D298,$G$5)=0,[1]!S_SHARE_TOTAL(D298,[1]!s_ipo_listeddate(D298)),[1]!S_SHARE_TOTAL(D298,$G$5)),[1]!S_STM07_CS(D298,49,$G$5,$H$13)/$E$5))</f>
        <v/>
      </c>
      <c r="P298" s="247" t="str">
        <f ca="1">IF(C298="","",IF($P$11="CFPS",[1]!S_STM07_CS(D298,84,$G$5,$H$13)/IF([1]!S_SHARE_TOTAL(D298,$G$5)=0,[1]!S_SHARE_TOTAL(D298,[1]!s_ipo_listeddate(D298)),[1]!S_SHARE_TOTAL(D298,$G$5)),[1]!S_STM07_CS(D298,84,$G$5,$H$13)/$E$5))</f>
        <v/>
      </c>
      <c r="Q298" s="248" t="str">
        <f ca="1">IF(C298="","",F298/([1]!S_STM07_IS(D298,61,$G$5,$H$13)/IF([1]!S_SHARE_TOTAL(D298,$G$5)=0,[1]!S_SHARE_TOTAL(D298,[1]!s_ipo_listeddate(D298)),[1]!S_SHARE_TOTAL(D298,$G$5))))</f>
        <v/>
      </c>
      <c r="R298" s="248" t="str">
        <f ca="1">IF(C298="","",F298/([1]!S_STM07_BS(D298,141,$G$5,$H$13)/IF([1]!S_SHARE_TOTAL(D298,$G$5)=0,[1]!S_SHARE_TOTAL(D298,[1]!s_ipo_listeddate(D298)),[1]!S_SHARE_TOTAL(D298,$G$5))))</f>
        <v/>
      </c>
      <c r="S298" s="247" t="str">
        <f ca="1">IF(C298="","",[1]!S_SHARE_TOTAL(D298,TODAY())/$E$5)</f>
        <v/>
      </c>
      <c r="T298" s="247" t="str">
        <f t="shared" ca="1" si="37"/>
        <v/>
      </c>
      <c r="U298" s="218" t="str">
        <f t="shared" ca="1" si="38"/>
        <v/>
      </c>
      <c r="V298" s="342" t="str">
        <f t="shared" ca="1" si="39"/>
        <v/>
      </c>
      <c r="W298" s="139"/>
      <c r="Y298" s="1"/>
    </row>
    <row r="299" spans="3:25" ht="12" customHeight="1">
      <c r="C299" s="343" t="str">
        <f t="shared" ca="1" si="34"/>
        <v/>
      </c>
      <c r="D299" s="124" t="str">
        <f t="shared" ca="1" si="35"/>
        <v/>
      </c>
      <c r="E299" s="124" t="str">
        <f t="shared" ca="1" si="36"/>
        <v/>
      </c>
      <c r="F299" s="172" t="str">
        <f ca="1">IF(C299="","",[1]!S_DQ_CLOSE(D299,TODAY(),1))</f>
        <v/>
      </c>
      <c r="G299" s="173" t="str">
        <f ca="1">IF(C299="","",[1]!s_pq_pctchange(D299,TODAY()-$G$12,TODAY())/100)</f>
        <v/>
      </c>
      <c r="H299" s="249" t="str">
        <f ca="1">IF(C299="","",IF($H$11="收入",[1]!S_STM07_IS(D299,9,$G$5,$H$13)/$E$5,[1]!S_STM07_IS(D299,48,$G$5,$H$13)/$E$5))</f>
        <v/>
      </c>
      <c r="I299" s="249" t="str">
        <f ca="1">IF(C299="","",IF($I$11="毛利率",([1]!S_STM07_IS(D299,9,$G$5,$H$13)-[1]!S_STM07_IS(D299,10,$G$5,$H$13))/[1]!S_STM07_IS(D299,9,$G$5,$H$13),[1]!S_STM07_IS(D299,14,$G$5,$H$13)/$E$5))</f>
        <v/>
      </c>
      <c r="J299" s="249" t="str">
        <f ca="1">IF(C299="","",IF($J$11="营业利润率",[1]!S_STM07_IS(D299,48,$G$5,$H$13)/[1]!S_STM07_IS(D299,9,$G$5,$H$13),([1]!S_STM07_CS(D299,87,$G$5,$H$13)+[1]!S_STM07_CS(D299,88,$G$5,$H$13)+[1]!S_STM07_CS(D299,89,$G$5,$H$13))/$E$5))</f>
        <v/>
      </c>
      <c r="K299" s="249" t="str">
        <f ca="1">IF(C299="","",IF($K$11="净利润率",[1]!S_STM07_IS(D299,61,$G$5,$H$13)/[1]!S_STM07_IS(D299,9,$G$5,$H$13),[1]!S_STM07_IS(D299,55,$G$5,$H$13)/$E$5))</f>
        <v/>
      </c>
      <c r="L299" s="249" t="str">
        <f ca="1">IF(C299="","",IF($L$11="ROA",[1]!S_STM07_IS(D299,61,$G$5,$H$13)/[1]!S_STM07_BS(D299,74,$G$5,$H$13),1-[1]!S_STM07_IS(D299,61,$G$5,$H$13)/[1]!S_STM07_IS(D299,55,$G$5,$H$13)))</f>
        <v/>
      </c>
      <c r="M299" s="249" t="str">
        <f ca="1">IF(C299="","",IF($M$11="ROE",[1]!S_STM07_IS(D299,61,$G$5,$H$13)/[1]!S_STM07_BS(D299,141,$G$5,$H$13),([1]!S_STM07_BS(D299,25,$G$5,$H$13)-[1]!S_STM07_BS(D299,93,$G$5,$H$13))/$E$5))</f>
        <v/>
      </c>
      <c r="N299" s="250" t="str">
        <f ca="1">IF(C299="","",IF($N$11="EPS",[1]!S_STM07_IS(D299,61,$G$5,$H$13)/IF([1]!S_SHARE_TOTAL(D299,$G$5)=0,[1]!S_SHARE_TOTAL(D299,[1]!s_ipo_listeddate(D299)),[1]!S_SHARE_TOTAL(D299,$G$5)),([1]!S_STM07_BS(D299,75,$G$5,$H$13)+[1]!S_STM07_BS(D299,88,$G$5,$H$13)+[1]!S_STM07_BS(D299,94,$G$5,$H$13)+[1]!S_STM07_BS(D299,95,$G$5,$H$13))/$E$5))</f>
        <v/>
      </c>
      <c r="O299" s="250" t="str">
        <f ca="1">IF(C299="","",IF($O$11="BPS",[1]!S_STM07_BS(D299,141,$G$5,$H$13)/IF([1]!S_SHARE_TOTAL(D299,$G$5)=0,[1]!S_SHARE_TOTAL(D299,[1]!s_ipo_listeddate(D299)),[1]!S_SHARE_TOTAL(D299,$G$5)),[1]!S_STM07_CS(D299,49,$G$5,$H$13)/$E$5))</f>
        <v/>
      </c>
      <c r="P299" s="250" t="str">
        <f ca="1">IF(C299="","",IF($P$11="CFPS",[1]!S_STM07_CS(D299,84,$G$5,$H$13)/IF([1]!S_SHARE_TOTAL(D299,$G$5)=0,[1]!S_SHARE_TOTAL(D299,[1]!s_ipo_listeddate(D299)),[1]!S_SHARE_TOTAL(D299,$G$5)),[1]!S_STM07_CS(D299,84,$G$5,$H$13)/$E$5))</f>
        <v/>
      </c>
      <c r="Q299" s="198" t="str">
        <f ca="1">IF(C299="","",F299/([1]!S_STM07_IS(D299,61,$G$5,$H$13)/IF([1]!S_SHARE_TOTAL(D299,$G$5)=0,[1]!S_SHARE_TOTAL(D299,[1]!s_ipo_listeddate(D299)),[1]!S_SHARE_TOTAL(D299,$G$5))))</f>
        <v/>
      </c>
      <c r="R299" s="198" t="str">
        <f ca="1">IF(C299="","",F299/([1]!S_STM07_BS(D299,141,$G$5,$H$13)/IF([1]!S_SHARE_TOTAL(D299,$G$5)=0,[1]!S_SHARE_TOTAL(D299,[1]!s_ipo_listeddate(D299)),[1]!S_SHARE_TOTAL(D299,$G$5))))</f>
        <v/>
      </c>
      <c r="S299" s="249" t="str">
        <f ca="1">IF(C299="","",[1]!S_SHARE_TOTAL(D299,TODAY())/$E$5)</f>
        <v/>
      </c>
      <c r="T299" s="249" t="str">
        <f t="shared" ca="1" si="37"/>
        <v/>
      </c>
      <c r="U299" s="172" t="str">
        <f t="shared" ca="1" si="38"/>
        <v/>
      </c>
      <c r="V299" s="343" t="str">
        <f t="shared" ca="1" si="39"/>
        <v/>
      </c>
      <c r="W299" s="139"/>
      <c r="Y299" s="1"/>
    </row>
    <row r="300" spans="3:25" ht="12" customHeight="1">
      <c r="C300" s="342" t="str">
        <f t="shared" ca="1" si="34"/>
        <v/>
      </c>
      <c r="D300" s="153" t="str">
        <f t="shared" ca="1" si="35"/>
        <v/>
      </c>
      <c r="E300" s="153" t="str">
        <f t="shared" ca="1" si="36"/>
        <v/>
      </c>
      <c r="F300" s="170" t="str">
        <f ca="1">IF(C300="","",[1]!S_DQ_CLOSE(D300,TODAY(),1))</f>
        <v/>
      </c>
      <c r="G300" s="171" t="str">
        <f ca="1">IF(C300="","",[1]!s_pq_pctchange(D300,TODAY()-$G$12,TODAY())/100)</f>
        <v/>
      </c>
      <c r="H300" s="247" t="str">
        <f ca="1">IF(C300="","",IF($H$11="收入",[1]!S_STM07_IS(D300,9,$G$5,$H$13)/$E$5,[1]!S_STM07_IS(D300,48,$G$5,$H$13)/$E$5))</f>
        <v/>
      </c>
      <c r="I300" s="247" t="str">
        <f ca="1">IF(C300="","",IF($I$11="毛利率",([1]!S_STM07_IS(D300,9,$G$5,$H$13)-[1]!S_STM07_IS(D300,10,$G$5,$H$13))/[1]!S_STM07_IS(D300,9,$G$5,$H$13),[1]!S_STM07_IS(D300,14,$G$5,$H$13)/$E$5))</f>
        <v/>
      </c>
      <c r="J300" s="247" t="str">
        <f ca="1">IF(C300="","",IF($J$11="营业利润率",[1]!S_STM07_IS(D300,48,$G$5,$H$13)/[1]!S_STM07_IS(D300,9,$G$5,$H$13),([1]!S_STM07_CS(D300,87,$G$5,$H$13)+[1]!S_STM07_CS(D300,88,$G$5,$H$13)+[1]!S_STM07_CS(D300,89,$G$5,$H$13))/$E$5))</f>
        <v/>
      </c>
      <c r="K300" s="247" t="str">
        <f ca="1">IF(C300="","",IF($K$11="净利润率",[1]!S_STM07_IS(D300,61,$G$5,$H$13)/[1]!S_STM07_IS(D300,9,$G$5,$H$13),[1]!S_STM07_IS(D300,55,$G$5,$H$13)/$E$5))</f>
        <v/>
      </c>
      <c r="L300" s="247" t="str">
        <f ca="1">IF(C300="","",IF($L$11="ROA",[1]!S_STM07_IS(D300,61,$G$5,$H$13)/[1]!S_STM07_BS(D300,74,$G$5,$H$13),1-[1]!S_STM07_IS(D300,61,$G$5,$H$13)/[1]!S_STM07_IS(D300,55,$G$5,$H$13)))</f>
        <v/>
      </c>
      <c r="M300" s="247" t="str">
        <f ca="1">IF(C300="","",IF($M$11="ROE",[1]!S_STM07_IS(D300,61,$G$5,$H$13)/[1]!S_STM07_BS(D300,141,$G$5,$H$13),([1]!S_STM07_BS(D300,25,$G$5,$H$13)-[1]!S_STM07_BS(D300,93,$G$5,$H$13))/$E$5))</f>
        <v/>
      </c>
      <c r="N300" s="247" t="str">
        <f ca="1">IF(C300="","",IF($N$11="EPS",[1]!S_STM07_IS(D300,61,$G$5,$H$13)/IF([1]!S_SHARE_TOTAL(D300,$G$5)=0,[1]!S_SHARE_TOTAL(D300,[1]!s_ipo_listeddate(D300)),[1]!S_SHARE_TOTAL(D300,$G$5)),([1]!S_STM07_BS(D300,75,$G$5,$H$13)+[1]!S_STM07_BS(D300,88,$G$5,$H$13)+[1]!S_STM07_BS(D300,94,$G$5,$H$13)+[1]!S_STM07_BS(D300,95,$G$5,$H$13))/$E$5))</f>
        <v/>
      </c>
      <c r="O300" s="247" t="str">
        <f ca="1">IF(C300="","",IF($O$11="BPS",[1]!S_STM07_BS(D300,141,$G$5,$H$13)/IF([1]!S_SHARE_TOTAL(D300,$G$5)=0,[1]!S_SHARE_TOTAL(D300,[1]!s_ipo_listeddate(D300)),[1]!S_SHARE_TOTAL(D300,$G$5)),[1]!S_STM07_CS(D300,49,$G$5,$H$13)/$E$5))</f>
        <v/>
      </c>
      <c r="P300" s="247" t="str">
        <f ca="1">IF(C300="","",IF($P$11="CFPS",[1]!S_STM07_CS(D300,84,$G$5,$H$13)/IF([1]!S_SHARE_TOTAL(D300,$G$5)=0,[1]!S_SHARE_TOTAL(D300,[1]!s_ipo_listeddate(D300)),[1]!S_SHARE_TOTAL(D300,$G$5)),[1]!S_STM07_CS(D300,84,$G$5,$H$13)/$E$5))</f>
        <v/>
      </c>
      <c r="Q300" s="248" t="str">
        <f ca="1">IF(C300="","",F300/([1]!S_STM07_IS(D300,61,$G$5,$H$13)/IF([1]!S_SHARE_TOTAL(D300,$G$5)=0,[1]!S_SHARE_TOTAL(D300,[1]!s_ipo_listeddate(D300)),[1]!S_SHARE_TOTAL(D300,$G$5))))</f>
        <v/>
      </c>
      <c r="R300" s="248" t="str">
        <f ca="1">IF(C300="","",F300/([1]!S_STM07_BS(D300,141,$G$5,$H$13)/IF([1]!S_SHARE_TOTAL(D300,$G$5)=0,[1]!S_SHARE_TOTAL(D300,[1]!s_ipo_listeddate(D300)),[1]!S_SHARE_TOTAL(D300,$G$5))))</f>
        <v/>
      </c>
      <c r="S300" s="247" t="str">
        <f ca="1">IF(C300="","",[1]!S_SHARE_TOTAL(D300,TODAY())/$E$5)</f>
        <v/>
      </c>
      <c r="T300" s="247" t="str">
        <f t="shared" ca="1" si="37"/>
        <v/>
      </c>
      <c r="U300" s="218" t="str">
        <f t="shared" ca="1" si="38"/>
        <v/>
      </c>
      <c r="V300" s="342" t="str">
        <f t="shared" ca="1" si="39"/>
        <v/>
      </c>
      <c r="W300" s="139"/>
      <c r="Y300" s="1"/>
    </row>
    <row r="301" spans="3:25" ht="12" customHeight="1">
      <c r="C301" s="343" t="str">
        <f t="shared" ca="1" si="34"/>
        <v/>
      </c>
      <c r="D301" s="124" t="str">
        <f t="shared" ca="1" si="35"/>
        <v/>
      </c>
      <c r="E301" s="124" t="str">
        <f t="shared" ca="1" si="36"/>
        <v/>
      </c>
      <c r="F301" s="172" t="str">
        <f ca="1">IF(C301="","",[1]!S_DQ_CLOSE(D301,TODAY(),1))</f>
        <v/>
      </c>
      <c r="G301" s="173" t="str">
        <f ca="1">IF(C301="","",[1]!s_pq_pctchange(D301,TODAY()-$G$12,TODAY())/100)</f>
        <v/>
      </c>
      <c r="H301" s="249" t="str">
        <f ca="1">IF(C301="","",IF($H$11="收入",[1]!S_STM07_IS(D301,9,$G$5,$H$13)/$E$5,[1]!S_STM07_IS(D301,48,$G$5,$H$13)/$E$5))</f>
        <v/>
      </c>
      <c r="I301" s="249" t="str">
        <f ca="1">IF(C301="","",IF($I$11="毛利率",([1]!S_STM07_IS(D301,9,$G$5,$H$13)-[1]!S_STM07_IS(D301,10,$G$5,$H$13))/[1]!S_STM07_IS(D301,9,$G$5,$H$13),[1]!S_STM07_IS(D301,14,$G$5,$H$13)/$E$5))</f>
        <v/>
      </c>
      <c r="J301" s="249" t="str">
        <f ca="1">IF(C301="","",IF($J$11="营业利润率",[1]!S_STM07_IS(D301,48,$G$5,$H$13)/[1]!S_STM07_IS(D301,9,$G$5,$H$13),([1]!S_STM07_CS(D301,87,$G$5,$H$13)+[1]!S_STM07_CS(D301,88,$G$5,$H$13)+[1]!S_STM07_CS(D301,89,$G$5,$H$13))/$E$5))</f>
        <v/>
      </c>
      <c r="K301" s="249" t="str">
        <f ca="1">IF(C301="","",IF($K$11="净利润率",[1]!S_STM07_IS(D301,61,$G$5,$H$13)/[1]!S_STM07_IS(D301,9,$G$5,$H$13),[1]!S_STM07_IS(D301,55,$G$5,$H$13)/$E$5))</f>
        <v/>
      </c>
      <c r="L301" s="249" t="str">
        <f ca="1">IF(C301="","",IF($L$11="ROA",[1]!S_STM07_IS(D301,61,$G$5,$H$13)/[1]!S_STM07_BS(D301,74,$G$5,$H$13),1-[1]!S_STM07_IS(D301,61,$G$5,$H$13)/[1]!S_STM07_IS(D301,55,$G$5,$H$13)))</f>
        <v/>
      </c>
      <c r="M301" s="249" t="str">
        <f ca="1">IF(C301="","",IF($M$11="ROE",[1]!S_STM07_IS(D301,61,$G$5,$H$13)/[1]!S_STM07_BS(D301,141,$G$5,$H$13),([1]!S_STM07_BS(D301,25,$G$5,$H$13)-[1]!S_STM07_BS(D301,93,$G$5,$H$13))/$E$5))</f>
        <v/>
      </c>
      <c r="N301" s="250" t="str">
        <f ca="1">IF(C301="","",IF($N$11="EPS",[1]!S_STM07_IS(D301,61,$G$5,$H$13)/IF([1]!S_SHARE_TOTAL(D301,$G$5)=0,[1]!S_SHARE_TOTAL(D301,[1]!s_ipo_listeddate(D301)),[1]!S_SHARE_TOTAL(D301,$G$5)),([1]!S_STM07_BS(D301,75,$G$5,$H$13)+[1]!S_STM07_BS(D301,88,$G$5,$H$13)+[1]!S_STM07_BS(D301,94,$G$5,$H$13)+[1]!S_STM07_BS(D301,95,$G$5,$H$13))/$E$5))</f>
        <v/>
      </c>
      <c r="O301" s="250" t="str">
        <f ca="1">IF(C301="","",IF($O$11="BPS",[1]!S_STM07_BS(D301,141,$G$5,$H$13)/IF([1]!S_SHARE_TOTAL(D301,$G$5)=0,[1]!S_SHARE_TOTAL(D301,[1]!s_ipo_listeddate(D301)),[1]!S_SHARE_TOTAL(D301,$G$5)),[1]!S_STM07_CS(D301,49,$G$5,$H$13)/$E$5))</f>
        <v/>
      </c>
      <c r="P301" s="250" t="str">
        <f ca="1">IF(C301="","",IF($P$11="CFPS",[1]!S_STM07_CS(D301,84,$G$5,$H$13)/IF([1]!S_SHARE_TOTAL(D301,$G$5)=0,[1]!S_SHARE_TOTAL(D301,[1]!s_ipo_listeddate(D301)),[1]!S_SHARE_TOTAL(D301,$G$5)),[1]!S_STM07_CS(D301,84,$G$5,$H$13)/$E$5))</f>
        <v/>
      </c>
      <c r="Q301" s="198" t="str">
        <f ca="1">IF(C301="","",F301/([1]!S_STM07_IS(D301,61,$G$5,$H$13)/IF([1]!S_SHARE_TOTAL(D301,$G$5)=0,[1]!S_SHARE_TOTAL(D301,[1]!s_ipo_listeddate(D301)),[1]!S_SHARE_TOTAL(D301,$G$5))))</f>
        <v/>
      </c>
      <c r="R301" s="198" t="str">
        <f ca="1">IF(C301="","",F301/([1]!S_STM07_BS(D301,141,$G$5,$H$13)/IF([1]!S_SHARE_TOTAL(D301,$G$5)=0,[1]!S_SHARE_TOTAL(D301,[1]!s_ipo_listeddate(D301)),[1]!S_SHARE_TOTAL(D301,$G$5))))</f>
        <v/>
      </c>
      <c r="S301" s="249" t="str">
        <f ca="1">IF(C301="","",[1]!S_SHARE_TOTAL(D301,TODAY())/$E$5)</f>
        <v/>
      </c>
      <c r="T301" s="249" t="str">
        <f t="shared" ca="1" si="37"/>
        <v/>
      </c>
      <c r="U301" s="172" t="str">
        <f t="shared" ca="1" si="38"/>
        <v/>
      </c>
      <c r="V301" s="343" t="str">
        <f t="shared" ca="1" si="39"/>
        <v/>
      </c>
      <c r="W301" s="139"/>
      <c r="Y301" s="1"/>
    </row>
    <row r="302" spans="3:25" ht="12" customHeight="1">
      <c r="C302" s="342" t="str">
        <f t="shared" ca="1" si="34"/>
        <v/>
      </c>
      <c r="D302" s="153" t="str">
        <f t="shared" ca="1" si="35"/>
        <v/>
      </c>
      <c r="E302" s="153" t="str">
        <f t="shared" ca="1" si="36"/>
        <v/>
      </c>
      <c r="F302" s="170" t="str">
        <f ca="1">IF(C302="","",[1]!S_DQ_CLOSE(D302,TODAY(),1))</f>
        <v/>
      </c>
      <c r="G302" s="171" t="str">
        <f ca="1">IF(C302="","",[1]!s_pq_pctchange(D302,TODAY()-$G$12,TODAY())/100)</f>
        <v/>
      </c>
      <c r="H302" s="247" t="str">
        <f ca="1">IF(C302="","",IF($H$11="收入",[1]!S_STM07_IS(D302,9,$G$5,$H$13)/$E$5,[1]!S_STM07_IS(D302,48,$G$5,$H$13)/$E$5))</f>
        <v/>
      </c>
      <c r="I302" s="247" t="str">
        <f ca="1">IF(C302="","",IF($I$11="毛利率",([1]!S_STM07_IS(D302,9,$G$5,$H$13)-[1]!S_STM07_IS(D302,10,$G$5,$H$13))/[1]!S_STM07_IS(D302,9,$G$5,$H$13),[1]!S_STM07_IS(D302,14,$G$5,$H$13)/$E$5))</f>
        <v/>
      </c>
      <c r="J302" s="247" t="str">
        <f ca="1">IF(C302="","",IF($J$11="营业利润率",[1]!S_STM07_IS(D302,48,$G$5,$H$13)/[1]!S_STM07_IS(D302,9,$G$5,$H$13),([1]!S_STM07_CS(D302,87,$G$5,$H$13)+[1]!S_STM07_CS(D302,88,$G$5,$H$13)+[1]!S_STM07_CS(D302,89,$G$5,$H$13))/$E$5))</f>
        <v/>
      </c>
      <c r="K302" s="247" t="str">
        <f ca="1">IF(C302="","",IF($K$11="净利润率",[1]!S_STM07_IS(D302,61,$G$5,$H$13)/[1]!S_STM07_IS(D302,9,$G$5,$H$13),[1]!S_STM07_IS(D302,55,$G$5,$H$13)/$E$5))</f>
        <v/>
      </c>
      <c r="L302" s="247" t="str">
        <f ca="1">IF(C302="","",IF($L$11="ROA",[1]!S_STM07_IS(D302,61,$G$5,$H$13)/[1]!S_STM07_BS(D302,74,$G$5,$H$13),1-[1]!S_STM07_IS(D302,61,$G$5,$H$13)/[1]!S_STM07_IS(D302,55,$G$5,$H$13)))</f>
        <v/>
      </c>
      <c r="M302" s="247" t="str">
        <f ca="1">IF(C302="","",IF($M$11="ROE",[1]!S_STM07_IS(D302,61,$G$5,$H$13)/[1]!S_STM07_BS(D302,141,$G$5,$H$13),([1]!S_STM07_BS(D302,25,$G$5,$H$13)-[1]!S_STM07_BS(D302,93,$G$5,$H$13))/$E$5))</f>
        <v/>
      </c>
      <c r="N302" s="247" t="str">
        <f ca="1">IF(C302="","",IF($N$11="EPS",[1]!S_STM07_IS(D302,61,$G$5,$H$13)/IF([1]!S_SHARE_TOTAL(D302,$G$5)=0,[1]!S_SHARE_TOTAL(D302,[1]!s_ipo_listeddate(D302)),[1]!S_SHARE_TOTAL(D302,$G$5)),([1]!S_STM07_BS(D302,75,$G$5,$H$13)+[1]!S_STM07_BS(D302,88,$G$5,$H$13)+[1]!S_STM07_BS(D302,94,$G$5,$H$13)+[1]!S_STM07_BS(D302,95,$G$5,$H$13))/$E$5))</f>
        <v/>
      </c>
      <c r="O302" s="247" t="str">
        <f ca="1">IF(C302="","",IF($O$11="BPS",[1]!S_STM07_BS(D302,141,$G$5,$H$13)/IF([1]!S_SHARE_TOTAL(D302,$G$5)=0,[1]!S_SHARE_TOTAL(D302,[1]!s_ipo_listeddate(D302)),[1]!S_SHARE_TOTAL(D302,$G$5)),[1]!S_STM07_CS(D302,49,$G$5,$H$13)/$E$5))</f>
        <v/>
      </c>
      <c r="P302" s="247" t="str">
        <f ca="1">IF(C302="","",IF($P$11="CFPS",[1]!S_STM07_CS(D302,84,$G$5,$H$13)/IF([1]!S_SHARE_TOTAL(D302,$G$5)=0,[1]!S_SHARE_TOTAL(D302,[1]!s_ipo_listeddate(D302)),[1]!S_SHARE_TOTAL(D302,$G$5)),[1]!S_STM07_CS(D302,84,$G$5,$H$13)/$E$5))</f>
        <v/>
      </c>
      <c r="Q302" s="248" t="str">
        <f ca="1">IF(C302="","",F302/([1]!S_STM07_IS(D302,61,$G$5,$H$13)/IF([1]!S_SHARE_TOTAL(D302,$G$5)=0,[1]!S_SHARE_TOTAL(D302,[1]!s_ipo_listeddate(D302)),[1]!S_SHARE_TOTAL(D302,$G$5))))</f>
        <v/>
      </c>
      <c r="R302" s="248" t="str">
        <f ca="1">IF(C302="","",F302/([1]!S_STM07_BS(D302,141,$G$5,$H$13)/IF([1]!S_SHARE_TOTAL(D302,$G$5)=0,[1]!S_SHARE_TOTAL(D302,[1]!s_ipo_listeddate(D302)),[1]!S_SHARE_TOTAL(D302,$G$5))))</f>
        <v/>
      </c>
      <c r="S302" s="247" t="str">
        <f ca="1">IF(C302="","",[1]!S_SHARE_TOTAL(D302,TODAY())/$E$5)</f>
        <v/>
      </c>
      <c r="T302" s="247" t="str">
        <f t="shared" ca="1" si="37"/>
        <v/>
      </c>
      <c r="U302" s="218" t="str">
        <f t="shared" ca="1" si="38"/>
        <v/>
      </c>
      <c r="V302" s="342" t="str">
        <f t="shared" ca="1" si="39"/>
        <v/>
      </c>
      <c r="W302" s="139"/>
      <c r="Y302" s="1"/>
    </row>
    <row r="303" spans="3:25" ht="12" customHeight="1">
      <c r="C303" s="343" t="str">
        <f t="shared" ca="1" si="34"/>
        <v/>
      </c>
      <c r="D303" s="124" t="str">
        <f t="shared" ca="1" si="35"/>
        <v/>
      </c>
      <c r="E303" s="124" t="str">
        <f t="shared" ca="1" si="36"/>
        <v/>
      </c>
      <c r="F303" s="172" t="str">
        <f ca="1">IF(C303="","",[1]!S_DQ_CLOSE(D303,TODAY(),1))</f>
        <v/>
      </c>
      <c r="G303" s="173" t="str">
        <f ca="1">IF(C303="","",[1]!s_pq_pctchange(D303,TODAY()-$G$12,TODAY())/100)</f>
        <v/>
      </c>
      <c r="H303" s="249" t="str">
        <f ca="1">IF(C303="","",IF($H$11="收入",[1]!S_STM07_IS(D303,9,$G$5,$H$13)/$E$5,[1]!S_STM07_IS(D303,48,$G$5,$H$13)/$E$5))</f>
        <v/>
      </c>
      <c r="I303" s="249" t="str">
        <f ca="1">IF(C303="","",IF($I$11="毛利率",([1]!S_STM07_IS(D303,9,$G$5,$H$13)-[1]!S_STM07_IS(D303,10,$G$5,$H$13))/[1]!S_STM07_IS(D303,9,$G$5,$H$13),[1]!S_STM07_IS(D303,14,$G$5,$H$13)/$E$5))</f>
        <v/>
      </c>
      <c r="J303" s="249" t="str">
        <f ca="1">IF(C303="","",IF($J$11="营业利润率",[1]!S_STM07_IS(D303,48,$G$5,$H$13)/[1]!S_STM07_IS(D303,9,$G$5,$H$13),([1]!S_STM07_CS(D303,87,$G$5,$H$13)+[1]!S_STM07_CS(D303,88,$G$5,$H$13)+[1]!S_STM07_CS(D303,89,$G$5,$H$13))/$E$5))</f>
        <v/>
      </c>
      <c r="K303" s="249" t="str">
        <f ca="1">IF(C303="","",IF($K$11="净利润率",[1]!S_STM07_IS(D303,61,$G$5,$H$13)/[1]!S_STM07_IS(D303,9,$G$5,$H$13),[1]!S_STM07_IS(D303,55,$G$5,$H$13)/$E$5))</f>
        <v/>
      </c>
      <c r="L303" s="249" t="str">
        <f ca="1">IF(C303="","",IF($L$11="ROA",[1]!S_STM07_IS(D303,61,$G$5,$H$13)/[1]!S_STM07_BS(D303,74,$G$5,$H$13),1-[1]!S_STM07_IS(D303,61,$G$5,$H$13)/[1]!S_STM07_IS(D303,55,$G$5,$H$13)))</f>
        <v/>
      </c>
      <c r="M303" s="249" t="str">
        <f ca="1">IF(C303="","",IF($M$11="ROE",[1]!S_STM07_IS(D303,61,$G$5,$H$13)/[1]!S_STM07_BS(D303,141,$G$5,$H$13),([1]!S_STM07_BS(D303,25,$G$5,$H$13)-[1]!S_STM07_BS(D303,93,$G$5,$H$13))/$E$5))</f>
        <v/>
      </c>
      <c r="N303" s="250" t="str">
        <f ca="1">IF(C303="","",IF($N$11="EPS",[1]!S_STM07_IS(D303,61,$G$5,$H$13)/IF([1]!S_SHARE_TOTAL(D303,$G$5)=0,[1]!S_SHARE_TOTAL(D303,[1]!s_ipo_listeddate(D303)),[1]!S_SHARE_TOTAL(D303,$G$5)),([1]!S_STM07_BS(D303,75,$G$5,$H$13)+[1]!S_STM07_BS(D303,88,$G$5,$H$13)+[1]!S_STM07_BS(D303,94,$G$5,$H$13)+[1]!S_STM07_BS(D303,95,$G$5,$H$13))/$E$5))</f>
        <v/>
      </c>
      <c r="O303" s="250" t="str">
        <f ca="1">IF(C303="","",IF($O$11="BPS",[1]!S_STM07_BS(D303,141,$G$5,$H$13)/IF([1]!S_SHARE_TOTAL(D303,$G$5)=0,[1]!S_SHARE_TOTAL(D303,[1]!s_ipo_listeddate(D303)),[1]!S_SHARE_TOTAL(D303,$G$5)),[1]!S_STM07_CS(D303,49,$G$5,$H$13)/$E$5))</f>
        <v/>
      </c>
      <c r="P303" s="250" t="str">
        <f ca="1">IF(C303="","",IF($P$11="CFPS",[1]!S_STM07_CS(D303,84,$G$5,$H$13)/IF([1]!S_SHARE_TOTAL(D303,$G$5)=0,[1]!S_SHARE_TOTAL(D303,[1]!s_ipo_listeddate(D303)),[1]!S_SHARE_TOTAL(D303,$G$5)),[1]!S_STM07_CS(D303,84,$G$5,$H$13)/$E$5))</f>
        <v/>
      </c>
      <c r="Q303" s="198" t="str">
        <f ca="1">IF(C303="","",F303/([1]!S_STM07_IS(D303,61,$G$5,$H$13)/IF([1]!S_SHARE_TOTAL(D303,$G$5)=0,[1]!S_SHARE_TOTAL(D303,[1]!s_ipo_listeddate(D303)),[1]!S_SHARE_TOTAL(D303,$G$5))))</f>
        <v/>
      </c>
      <c r="R303" s="198" t="str">
        <f ca="1">IF(C303="","",F303/([1]!S_STM07_BS(D303,141,$G$5,$H$13)/IF([1]!S_SHARE_TOTAL(D303,$G$5)=0,[1]!S_SHARE_TOTAL(D303,[1]!s_ipo_listeddate(D303)),[1]!S_SHARE_TOTAL(D303,$G$5))))</f>
        <v/>
      </c>
      <c r="S303" s="249" t="str">
        <f ca="1">IF(C303="","",[1]!S_SHARE_TOTAL(D303,TODAY())/$E$5)</f>
        <v/>
      </c>
      <c r="T303" s="249" t="str">
        <f t="shared" ca="1" si="37"/>
        <v/>
      </c>
      <c r="U303" s="172" t="str">
        <f t="shared" ca="1" si="38"/>
        <v/>
      </c>
      <c r="V303" s="343" t="str">
        <f t="shared" ca="1" si="39"/>
        <v/>
      </c>
      <c r="W303" s="139"/>
      <c r="Y303" s="1"/>
    </row>
    <row r="304" spans="3:25" ht="12" customHeight="1">
      <c r="C304" s="342" t="str">
        <f t="shared" ca="1" si="34"/>
        <v/>
      </c>
      <c r="D304" s="153" t="str">
        <f t="shared" ca="1" si="35"/>
        <v/>
      </c>
      <c r="E304" s="153" t="str">
        <f t="shared" ca="1" si="36"/>
        <v/>
      </c>
      <c r="F304" s="170" t="str">
        <f ca="1">IF(C304="","",[1]!S_DQ_CLOSE(D304,TODAY(),1))</f>
        <v/>
      </c>
      <c r="G304" s="171" t="str">
        <f ca="1">IF(C304="","",[1]!s_pq_pctchange(D304,TODAY()-$G$12,TODAY())/100)</f>
        <v/>
      </c>
      <c r="H304" s="247" t="str">
        <f ca="1">IF(C304="","",IF($H$11="收入",[1]!S_STM07_IS(D304,9,$G$5,$H$13)/$E$5,[1]!S_STM07_IS(D304,48,$G$5,$H$13)/$E$5))</f>
        <v/>
      </c>
      <c r="I304" s="247" t="str">
        <f ca="1">IF(C304="","",IF($I$11="毛利率",([1]!S_STM07_IS(D304,9,$G$5,$H$13)-[1]!S_STM07_IS(D304,10,$G$5,$H$13))/[1]!S_STM07_IS(D304,9,$G$5,$H$13),[1]!S_STM07_IS(D304,14,$G$5,$H$13)/$E$5))</f>
        <v/>
      </c>
      <c r="J304" s="247" t="str">
        <f ca="1">IF(C304="","",IF($J$11="营业利润率",[1]!S_STM07_IS(D304,48,$G$5,$H$13)/[1]!S_STM07_IS(D304,9,$G$5,$H$13),([1]!S_STM07_CS(D304,87,$G$5,$H$13)+[1]!S_STM07_CS(D304,88,$G$5,$H$13)+[1]!S_STM07_CS(D304,89,$G$5,$H$13))/$E$5))</f>
        <v/>
      </c>
      <c r="K304" s="247" t="str">
        <f ca="1">IF(C304="","",IF($K$11="净利润率",[1]!S_STM07_IS(D304,61,$G$5,$H$13)/[1]!S_STM07_IS(D304,9,$G$5,$H$13),[1]!S_STM07_IS(D304,55,$G$5,$H$13)/$E$5))</f>
        <v/>
      </c>
      <c r="L304" s="247" t="str">
        <f ca="1">IF(C304="","",IF($L$11="ROA",[1]!S_STM07_IS(D304,61,$G$5,$H$13)/[1]!S_STM07_BS(D304,74,$G$5,$H$13),1-[1]!S_STM07_IS(D304,61,$G$5,$H$13)/[1]!S_STM07_IS(D304,55,$G$5,$H$13)))</f>
        <v/>
      </c>
      <c r="M304" s="247" t="str">
        <f ca="1">IF(C304="","",IF($M$11="ROE",[1]!S_STM07_IS(D304,61,$G$5,$H$13)/[1]!S_STM07_BS(D304,141,$G$5,$H$13),([1]!S_STM07_BS(D304,25,$G$5,$H$13)-[1]!S_STM07_BS(D304,93,$G$5,$H$13))/$E$5))</f>
        <v/>
      </c>
      <c r="N304" s="247" t="str">
        <f ca="1">IF(C304="","",IF($N$11="EPS",[1]!S_STM07_IS(D304,61,$G$5,$H$13)/IF([1]!S_SHARE_TOTAL(D304,$G$5)=0,[1]!S_SHARE_TOTAL(D304,[1]!s_ipo_listeddate(D304)),[1]!S_SHARE_TOTAL(D304,$G$5)),([1]!S_STM07_BS(D304,75,$G$5,$H$13)+[1]!S_STM07_BS(D304,88,$G$5,$H$13)+[1]!S_STM07_BS(D304,94,$G$5,$H$13)+[1]!S_STM07_BS(D304,95,$G$5,$H$13))/$E$5))</f>
        <v/>
      </c>
      <c r="O304" s="247" t="str">
        <f ca="1">IF(C304="","",IF($O$11="BPS",[1]!S_STM07_BS(D304,141,$G$5,$H$13)/IF([1]!S_SHARE_TOTAL(D304,$G$5)=0,[1]!S_SHARE_TOTAL(D304,[1]!s_ipo_listeddate(D304)),[1]!S_SHARE_TOTAL(D304,$G$5)),[1]!S_STM07_CS(D304,49,$G$5,$H$13)/$E$5))</f>
        <v/>
      </c>
      <c r="P304" s="247" t="str">
        <f ca="1">IF(C304="","",IF($P$11="CFPS",[1]!S_STM07_CS(D304,84,$G$5,$H$13)/IF([1]!S_SHARE_TOTAL(D304,$G$5)=0,[1]!S_SHARE_TOTAL(D304,[1]!s_ipo_listeddate(D304)),[1]!S_SHARE_TOTAL(D304,$G$5)),[1]!S_STM07_CS(D304,84,$G$5,$H$13)/$E$5))</f>
        <v/>
      </c>
      <c r="Q304" s="248" t="str">
        <f ca="1">IF(C304="","",F304/([1]!S_STM07_IS(D304,61,$G$5,$H$13)/IF([1]!S_SHARE_TOTAL(D304,$G$5)=0,[1]!S_SHARE_TOTAL(D304,[1]!s_ipo_listeddate(D304)),[1]!S_SHARE_TOTAL(D304,$G$5))))</f>
        <v/>
      </c>
      <c r="R304" s="248" t="str">
        <f ca="1">IF(C304="","",F304/([1]!S_STM07_BS(D304,141,$G$5,$H$13)/IF([1]!S_SHARE_TOTAL(D304,$G$5)=0,[1]!S_SHARE_TOTAL(D304,[1]!s_ipo_listeddate(D304)),[1]!S_SHARE_TOTAL(D304,$G$5))))</f>
        <v/>
      </c>
      <c r="S304" s="247" t="str">
        <f ca="1">IF(C304="","",[1]!S_SHARE_TOTAL(D304,TODAY())/$E$5)</f>
        <v/>
      </c>
      <c r="T304" s="247" t="str">
        <f t="shared" ca="1" si="37"/>
        <v/>
      </c>
      <c r="U304" s="218" t="str">
        <f t="shared" ca="1" si="38"/>
        <v/>
      </c>
      <c r="V304" s="342" t="str">
        <f t="shared" ca="1" si="39"/>
        <v/>
      </c>
      <c r="W304" s="139"/>
      <c r="Y304" s="1"/>
    </row>
    <row r="305" spans="3:25" ht="12" customHeight="1">
      <c r="C305" s="343" t="str">
        <f t="shared" ca="1" si="34"/>
        <v/>
      </c>
      <c r="D305" s="124" t="str">
        <f t="shared" ca="1" si="35"/>
        <v/>
      </c>
      <c r="E305" s="124" t="str">
        <f t="shared" ca="1" si="36"/>
        <v/>
      </c>
      <c r="F305" s="172" t="str">
        <f ca="1">IF(C305="","",[1]!S_DQ_CLOSE(D305,TODAY(),1))</f>
        <v/>
      </c>
      <c r="G305" s="173" t="str">
        <f ca="1">IF(C305="","",[1]!s_pq_pctchange(D305,TODAY()-$G$12,TODAY())/100)</f>
        <v/>
      </c>
      <c r="H305" s="249" t="str">
        <f ca="1">IF(C305="","",IF($H$11="收入",[1]!S_STM07_IS(D305,9,$G$5,$H$13)/$E$5,[1]!S_STM07_IS(D305,48,$G$5,$H$13)/$E$5))</f>
        <v/>
      </c>
      <c r="I305" s="249" t="str">
        <f ca="1">IF(C305="","",IF($I$11="毛利率",([1]!S_STM07_IS(D305,9,$G$5,$H$13)-[1]!S_STM07_IS(D305,10,$G$5,$H$13))/[1]!S_STM07_IS(D305,9,$G$5,$H$13),[1]!S_STM07_IS(D305,14,$G$5,$H$13)/$E$5))</f>
        <v/>
      </c>
      <c r="J305" s="249" t="str">
        <f ca="1">IF(C305="","",IF($J$11="营业利润率",[1]!S_STM07_IS(D305,48,$G$5,$H$13)/[1]!S_STM07_IS(D305,9,$G$5,$H$13),([1]!S_STM07_CS(D305,87,$G$5,$H$13)+[1]!S_STM07_CS(D305,88,$G$5,$H$13)+[1]!S_STM07_CS(D305,89,$G$5,$H$13))/$E$5))</f>
        <v/>
      </c>
      <c r="K305" s="249" t="str">
        <f ca="1">IF(C305="","",IF($K$11="净利润率",[1]!S_STM07_IS(D305,61,$G$5,$H$13)/[1]!S_STM07_IS(D305,9,$G$5,$H$13),[1]!S_STM07_IS(D305,55,$G$5,$H$13)/$E$5))</f>
        <v/>
      </c>
      <c r="L305" s="249" t="str">
        <f ca="1">IF(C305="","",IF($L$11="ROA",[1]!S_STM07_IS(D305,61,$G$5,$H$13)/[1]!S_STM07_BS(D305,74,$G$5,$H$13),1-[1]!S_STM07_IS(D305,61,$G$5,$H$13)/[1]!S_STM07_IS(D305,55,$G$5,$H$13)))</f>
        <v/>
      </c>
      <c r="M305" s="249" t="str">
        <f ca="1">IF(C305="","",IF($M$11="ROE",[1]!S_STM07_IS(D305,61,$G$5,$H$13)/[1]!S_STM07_BS(D305,141,$G$5,$H$13),([1]!S_STM07_BS(D305,25,$G$5,$H$13)-[1]!S_STM07_BS(D305,93,$G$5,$H$13))/$E$5))</f>
        <v/>
      </c>
      <c r="N305" s="250" t="str">
        <f ca="1">IF(C305="","",IF($N$11="EPS",[1]!S_STM07_IS(D305,61,$G$5,$H$13)/IF([1]!S_SHARE_TOTAL(D305,$G$5)=0,[1]!S_SHARE_TOTAL(D305,[1]!s_ipo_listeddate(D305)),[1]!S_SHARE_TOTAL(D305,$G$5)),([1]!S_STM07_BS(D305,75,$G$5,$H$13)+[1]!S_STM07_BS(D305,88,$G$5,$H$13)+[1]!S_STM07_BS(D305,94,$G$5,$H$13)+[1]!S_STM07_BS(D305,95,$G$5,$H$13))/$E$5))</f>
        <v/>
      </c>
      <c r="O305" s="250" t="str">
        <f ca="1">IF(C305="","",IF($O$11="BPS",[1]!S_STM07_BS(D305,141,$G$5,$H$13)/IF([1]!S_SHARE_TOTAL(D305,$G$5)=0,[1]!S_SHARE_TOTAL(D305,[1]!s_ipo_listeddate(D305)),[1]!S_SHARE_TOTAL(D305,$G$5)),[1]!S_STM07_CS(D305,49,$G$5,$H$13)/$E$5))</f>
        <v/>
      </c>
      <c r="P305" s="250" t="str">
        <f ca="1">IF(C305="","",IF($P$11="CFPS",[1]!S_STM07_CS(D305,84,$G$5,$H$13)/IF([1]!S_SHARE_TOTAL(D305,$G$5)=0,[1]!S_SHARE_TOTAL(D305,[1]!s_ipo_listeddate(D305)),[1]!S_SHARE_TOTAL(D305,$G$5)),[1]!S_STM07_CS(D305,84,$G$5,$H$13)/$E$5))</f>
        <v/>
      </c>
      <c r="Q305" s="198" t="str">
        <f ca="1">IF(C305="","",F305/([1]!S_STM07_IS(D305,61,$G$5,$H$13)/IF([1]!S_SHARE_TOTAL(D305,$G$5)=0,[1]!S_SHARE_TOTAL(D305,[1]!s_ipo_listeddate(D305)),[1]!S_SHARE_TOTAL(D305,$G$5))))</f>
        <v/>
      </c>
      <c r="R305" s="198" t="str">
        <f ca="1">IF(C305="","",F305/([1]!S_STM07_BS(D305,141,$G$5,$H$13)/IF([1]!S_SHARE_TOTAL(D305,$G$5)=0,[1]!S_SHARE_TOTAL(D305,[1]!s_ipo_listeddate(D305)),[1]!S_SHARE_TOTAL(D305,$G$5))))</f>
        <v/>
      </c>
      <c r="S305" s="249" t="str">
        <f ca="1">IF(C305="","",[1]!S_SHARE_TOTAL(D305,TODAY())/$E$5)</f>
        <v/>
      </c>
      <c r="T305" s="249" t="str">
        <f t="shared" ca="1" si="37"/>
        <v/>
      </c>
      <c r="U305" s="172" t="str">
        <f t="shared" ca="1" si="38"/>
        <v/>
      </c>
      <c r="V305" s="343" t="str">
        <f t="shared" ca="1" si="39"/>
        <v/>
      </c>
      <c r="W305" s="139"/>
      <c r="Y305" s="1"/>
    </row>
    <row r="306" spans="3:25" ht="12" customHeight="1">
      <c r="C306" s="342" t="str">
        <f t="shared" ca="1" si="34"/>
        <v/>
      </c>
      <c r="D306" s="153" t="str">
        <f t="shared" ca="1" si="35"/>
        <v/>
      </c>
      <c r="E306" s="153" t="str">
        <f t="shared" ca="1" si="36"/>
        <v/>
      </c>
      <c r="F306" s="170" t="str">
        <f ca="1">IF(C306="","",[1]!S_DQ_CLOSE(D306,TODAY(),1))</f>
        <v/>
      </c>
      <c r="G306" s="171" t="str">
        <f ca="1">IF(C306="","",[1]!s_pq_pctchange(D306,TODAY()-$G$12,TODAY())/100)</f>
        <v/>
      </c>
      <c r="H306" s="247" t="str">
        <f ca="1">IF(C306="","",IF($H$11="收入",[1]!S_STM07_IS(D306,9,$G$5,$H$13)/$E$5,[1]!S_STM07_IS(D306,48,$G$5,$H$13)/$E$5))</f>
        <v/>
      </c>
      <c r="I306" s="247" t="str">
        <f ca="1">IF(C306="","",IF($I$11="毛利率",([1]!S_STM07_IS(D306,9,$G$5,$H$13)-[1]!S_STM07_IS(D306,10,$G$5,$H$13))/[1]!S_STM07_IS(D306,9,$G$5,$H$13),[1]!S_STM07_IS(D306,14,$G$5,$H$13)/$E$5))</f>
        <v/>
      </c>
      <c r="J306" s="247" t="str">
        <f ca="1">IF(C306="","",IF($J$11="营业利润率",[1]!S_STM07_IS(D306,48,$G$5,$H$13)/[1]!S_STM07_IS(D306,9,$G$5,$H$13),([1]!S_STM07_CS(D306,87,$G$5,$H$13)+[1]!S_STM07_CS(D306,88,$G$5,$H$13)+[1]!S_STM07_CS(D306,89,$G$5,$H$13))/$E$5))</f>
        <v/>
      </c>
      <c r="K306" s="247" t="str">
        <f ca="1">IF(C306="","",IF($K$11="净利润率",[1]!S_STM07_IS(D306,61,$G$5,$H$13)/[1]!S_STM07_IS(D306,9,$G$5,$H$13),[1]!S_STM07_IS(D306,55,$G$5,$H$13)/$E$5))</f>
        <v/>
      </c>
      <c r="L306" s="247" t="str">
        <f ca="1">IF(C306="","",IF($L$11="ROA",[1]!S_STM07_IS(D306,61,$G$5,$H$13)/[1]!S_STM07_BS(D306,74,$G$5,$H$13),1-[1]!S_STM07_IS(D306,61,$G$5,$H$13)/[1]!S_STM07_IS(D306,55,$G$5,$H$13)))</f>
        <v/>
      </c>
      <c r="M306" s="247" t="str">
        <f ca="1">IF(C306="","",IF($M$11="ROE",[1]!S_STM07_IS(D306,61,$G$5,$H$13)/[1]!S_STM07_BS(D306,141,$G$5,$H$13),([1]!S_STM07_BS(D306,25,$G$5,$H$13)-[1]!S_STM07_BS(D306,93,$G$5,$H$13))/$E$5))</f>
        <v/>
      </c>
      <c r="N306" s="247" t="str">
        <f ca="1">IF(C306="","",IF($N$11="EPS",[1]!S_STM07_IS(D306,61,$G$5,$H$13)/IF([1]!S_SHARE_TOTAL(D306,$G$5)=0,[1]!S_SHARE_TOTAL(D306,[1]!s_ipo_listeddate(D306)),[1]!S_SHARE_TOTAL(D306,$G$5)),([1]!S_STM07_BS(D306,75,$G$5,$H$13)+[1]!S_STM07_BS(D306,88,$G$5,$H$13)+[1]!S_STM07_BS(D306,94,$G$5,$H$13)+[1]!S_STM07_BS(D306,95,$G$5,$H$13))/$E$5))</f>
        <v/>
      </c>
      <c r="O306" s="247" t="str">
        <f ca="1">IF(C306="","",IF($O$11="BPS",[1]!S_STM07_BS(D306,141,$G$5,$H$13)/IF([1]!S_SHARE_TOTAL(D306,$G$5)=0,[1]!S_SHARE_TOTAL(D306,[1]!s_ipo_listeddate(D306)),[1]!S_SHARE_TOTAL(D306,$G$5)),[1]!S_STM07_CS(D306,49,$G$5,$H$13)/$E$5))</f>
        <v/>
      </c>
      <c r="P306" s="247" t="str">
        <f ca="1">IF(C306="","",IF($P$11="CFPS",[1]!S_STM07_CS(D306,84,$G$5,$H$13)/IF([1]!S_SHARE_TOTAL(D306,$G$5)=0,[1]!S_SHARE_TOTAL(D306,[1]!s_ipo_listeddate(D306)),[1]!S_SHARE_TOTAL(D306,$G$5)),[1]!S_STM07_CS(D306,84,$G$5,$H$13)/$E$5))</f>
        <v/>
      </c>
      <c r="Q306" s="248" t="str">
        <f ca="1">IF(C306="","",F306/([1]!S_STM07_IS(D306,61,$G$5,$H$13)/IF([1]!S_SHARE_TOTAL(D306,$G$5)=0,[1]!S_SHARE_TOTAL(D306,[1]!s_ipo_listeddate(D306)),[1]!S_SHARE_TOTAL(D306,$G$5))))</f>
        <v/>
      </c>
      <c r="R306" s="248" t="str">
        <f ca="1">IF(C306="","",F306/([1]!S_STM07_BS(D306,141,$G$5,$H$13)/IF([1]!S_SHARE_TOTAL(D306,$G$5)=0,[1]!S_SHARE_TOTAL(D306,[1]!s_ipo_listeddate(D306)),[1]!S_SHARE_TOTAL(D306,$G$5))))</f>
        <v/>
      </c>
      <c r="S306" s="247" t="str">
        <f ca="1">IF(C306="","",[1]!S_SHARE_TOTAL(D306,TODAY())/$E$5)</f>
        <v/>
      </c>
      <c r="T306" s="247" t="str">
        <f t="shared" ca="1" si="37"/>
        <v/>
      </c>
      <c r="U306" s="218" t="str">
        <f t="shared" ca="1" si="38"/>
        <v/>
      </c>
      <c r="V306" s="342" t="str">
        <f t="shared" ca="1" si="39"/>
        <v/>
      </c>
      <c r="W306" s="139"/>
      <c r="Y306" s="1"/>
    </row>
    <row r="307" spans="3:25" ht="12" customHeight="1">
      <c r="C307" s="343" t="str">
        <f t="shared" ca="1" si="34"/>
        <v/>
      </c>
      <c r="D307" s="124" t="str">
        <f t="shared" ca="1" si="35"/>
        <v/>
      </c>
      <c r="E307" s="124" t="str">
        <f t="shared" ca="1" si="36"/>
        <v/>
      </c>
      <c r="F307" s="172" t="str">
        <f ca="1">IF(C307="","",[1]!S_DQ_CLOSE(D307,TODAY(),1))</f>
        <v/>
      </c>
      <c r="G307" s="173" t="str">
        <f ca="1">IF(C307="","",[1]!s_pq_pctchange(D307,TODAY()-$G$12,TODAY())/100)</f>
        <v/>
      </c>
      <c r="H307" s="249" t="str">
        <f ca="1">IF(C307="","",IF($H$11="收入",[1]!S_STM07_IS(D307,9,$G$5,$H$13)/$E$5,[1]!S_STM07_IS(D307,48,$G$5,$H$13)/$E$5))</f>
        <v/>
      </c>
      <c r="I307" s="249" t="str">
        <f ca="1">IF(C307="","",IF($I$11="毛利率",([1]!S_STM07_IS(D307,9,$G$5,$H$13)-[1]!S_STM07_IS(D307,10,$G$5,$H$13))/[1]!S_STM07_IS(D307,9,$G$5,$H$13),[1]!S_STM07_IS(D307,14,$G$5,$H$13)/$E$5))</f>
        <v/>
      </c>
      <c r="J307" s="249" t="str">
        <f ca="1">IF(C307="","",IF($J$11="营业利润率",[1]!S_STM07_IS(D307,48,$G$5,$H$13)/[1]!S_STM07_IS(D307,9,$G$5,$H$13),([1]!S_STM07_CS(D307,87,$G$5,$H$13)+[1]!S_STM07_CS(D307,88,$G$5,$H$13)+[1]!S_STM07_CS(D307,89,$G$5,$H$13))/$E$5))</f>
        <v/>
      </c>
      <c r="K307" s="249" t="str">
        <f ca="1">IF(C307="","",IF($K$11="净利润率",[1]!S_STM07_IS(D307,61,$G$5,$H$13)/[1]!S_STM07_IS(D307,9,$G$5,$H$13),[1]!S_STM07_IS(D307,55,$G$5,$H$13)/$E$5))</f>
        <v/>
      </c>
      <c r="L307" s="249" t="str">
        <f ca="1">IF(C307="","",IF($L$11="ROA",[1]!S_STM07_IS(D307,61,$G$5,$H$13)/[1]!S_STM07_BS(D307,74,$G$5,$H$13),1-[1]!S_STM07_IS(D307,61,$G$5,$H$13)/[1]!S_STM07_IS(D307,55,$G$5,$H$13)))</f>
        <v/>
      </c>
      <c r="M307" s="249" t="str">
        <f ca="1">IF(C307="","",IF($M$11="ROE",[1]!S_STM07_IS(D307,61,$G$5,$H$13)/[1]!S_STM07_BS(D307,141,$G$5,$H$13),([1]!S_STM07_BS(D307,25,$G$5,$H$13)-[1]!S_STM07_BS(D307,93,$G$5,$H$13))/$E$5))</f>
        <v/>
      </c>
      <c r="N307" s="250" t="str">
        <f ca="1">IF(C307="","",IF($N$11="EPS",[1]!S_STM07_IS(D307,61,$G$5,$H$13)/IF([1]!S_SHARE_TOTAL(D307,$G$5)=0,[1]!S_SHARE_TOTAL(D307,[1]!s_ipo_listeddate(D307)),[1]!S_SHARE_TOTAL(D307,$G$5)),([1]!S_STM07_BS(D307,75,$G$5,$H$13)+[1]!S_STM07_BS(D307,88,$G$5,$H$13)+[1]!S_STM07_BS(D307,94,$G$5,$H$13)+[1]!S_STM07_BS(D307,95,$G$5,$H$13))/$E$5))</f>
        <v/>
      </c>
      <c r="O307" s="250" t="str">
        <f ca="1">IF(C307="","",IF($O$11="BPS",[1]!S_STM07_BS(D307,141,$G$5,$H$13)/IF([1]!S_SHARE_TOTAL(D307,$G$5)=0,[1]!S_SHARE_TOTAL(D307,[1]!s_ipo_listeddate(D307)),[1]!S_SHARE_TOTAL(D307,$G$5)),[1]!S_STM07_CS(D307,49,$G$5,$H$13)/$E$5))</f>
        <v/>
      </c>
      <c r="P307" s="250" t="str">
        <f ca="1">IF(C307="","",IF($P$11="CFPS",[1]!S_STM07_CS(D307,84,$G$5,$H$13)/IF([1]!S_SHARE_TOTAL(D307,$G$5)=0,[1]!S_SHARE_TOTAL(D307,[1]!s_ipo_listeddate(D307)),[1]!S_SHARE_TOTAL(D307,$G$5)),[1]!S_STM07_CS(D307,84,$G$5,$H$13)/$E$5))</f>
        <v/>
      </c>
      <c r="Q307" s="198" t="str">
        <f ca="1">IF(C307="","",F307/([1]!S_STM07_IS(D307,61,$G$5,$H$13)/IF([1]!S_SHARE_TOTAL(D307,$G$5)=0,[1]!S_SHARE_TOTAL(D307,[1]!s_ipo_listeddate(D307)),[1]!S_SHARE_TOTAL(D307,$G$5))))</f>
        <v/>
      </c>
      <c r="R307" s="198" t="str">
        <f ca="1">IF(C307="","",F307/([1]!S_STM07_BS(D307,141,$G$5,$H$13)/IF([1]!S_SHARE_TOTAL(D307,$G$5)=0,[1]!S_SHARE_TOTAL(D307,[1]!s_ipo_listeddate(D307)),[1]!S_SHARE_TOTAL(D307,$G$5))))</f>
        <v/>
      </c>
      <c r="S307" s="249" t="str">
        <f ca="1">IF(C307="","",[1]!S_SHARE_TOTAL(D307,TODAY())/$E$5)</f>
        <v/>
      </c>
      <c r="T307" s="249" t="str">
        <f t="shared" ca="1" si="37"/>
        <v/>
      </c>
      <c r="U307" s="172" t="str">
        <f t="shared" ca="1" si="38"/>
        <v/>
      </c>
      <c r="V307" s="343" t="str">
        <f t="shared" ca="1" si="39"/>
        <v/>
      </c>
      <c r="W307" s="139"/>
      <c r="Y307" s="1"/>
    </row>
    <row r="308" spans="3:25" ht="12" customHeight="1">
      <c r="C308" s="342" t="str">
        <f t="shared" ca="1" si="34"/>
        <v/>
      </c>
      <c r="D308" s="153" t="str">
        <f t="shared" ca="1" si="35"/>
        <v/>
      </c>
      <c r="E308" s="153" t="str">
        <f t="shared" ca="1" si="36"/>
        <v/>
      </c>
      <c r="F308" s="170" t="str">
        <f ca="1">IF(C308="","",[1]!S_DQ_CLOSE(D308,TODAY(),1))</f>
        <v/>
      </c>
      <c r="G308" s="171" t="str">
        <f ca="1">IF(C308="","",[1]!s_pq_pctchange(D308,TODAY()-$G$12,TODAY())/100)</f>
        <v/>
      </c>
      <c r="H308" s="247" t="str">
        <f ca="1">IF(C308="","",IF($H$11="收入",[1]!S_STM07_IS(D308,9,$G$5,$H$13)/$E$5,[1]!S_STM07_IS(D308,48,$G$5,$H$13)/$E$5))</f>
        <v/>
      </c>
      <c r="I308" s="247" t="str">
        <f ca="1">IF(C308="","",IF($I$11="毛利率",([1]!S_STM07_IS(D308,9,$G$5,$H$13)-[1]!S_STM07_IS(D308,10,$G$5,$H$13))/[1]!S_STM07_IS(D308,9,$G$5,$H$13),[1]!S_STM07_IS(D308,14,$G$5,$H$13)/$E$5))</f>
        <v/>
      </c>
      <c r="J308" s="247" t="str">
        <f ca="1">IF(C308="","",IF($J$11="营业利润率",[1]!S_STM07_IS(D308,48,$G$5,$H$13)/[1]!S_STM07_IS(D308,9,$G$5,$H$13),([1]!S_STM07_CS(D308,87,$G$5,$H$13)+[1]!S_STM07_CS(D308,88,$G$5,$H$13)+[1]!S_STM07_CS(D308,89,$G$5,$H$13))/$E$5))</f>
        <v/>
      </c>
      <c r="K308" s="247" t="str">
        <f ca="1">IF(C308="","",IF($K$11="净利润率",[1]!S_STM07_IS(D308,61,$G$5,$H$13)/[1]!S_STM07_IS(D308,9,$G$5,$H$13),[1]!S_STM07_IS(D308,55,$G$5,$H$13)/$E$5))</f>
        <v/>
      </c>
      <c r="L308" s="247" t="str">
        <f ca="1">IF(C308="","",IF($L$11="ROA",[1]!S_STM07_IS(D308,61,$G$5,$H$13)/[1]!S_STM07_BS(D308,74,$G$5,$H$13),1-[1]!S_STM07_IS(D308,61,$G$5,$H$13)/[1]!S_STM07_IS(D308,55,$G$5,$H$13)))</f>
        <v/>
      </c>
      <c r="M308" s="247" t="str">
        <f ca="1">IF(C308="","",IF($M$11="ROE",[1]!S_STM07_IS(D308,61,$G$5,$H$13)/[1]!S_STM07_BS(D308,141,$G$5,$H$13),([1]!S_STM07_BS(D308,25,$G$5,$H$13)-[1]!S_STM07_BS(D308,93,$G$5,$H$13))/$E$5))</f>
        <v/>
      </c>
      <c r="N308" s="247" t="str">
        <f ca="1">IF(C308="","",IF($N$11="EPS",[1]!S_STM07_IS(D308,61,$G$5,$H$13)/IF([1]!S_SHARE_TOTAL(D308,$G$5)=0,[1]!S_SHARE_TOTAL(D308,[1]!s_ipo_listeddate(D308)),[1]!S_SHARE_TOTAL(D308,$G$5)),([1]!S_STM07_BS(D308,75,$G$5,$H$13)+[1]!S_STM07_BS(D308,88,$G$5,$H$13)+[1]!S_STM07_BS(D308,94,$G$5,$H$13)+[1]!S_STM07_BS(D308,95,$G$5,$H$13))/$E$5))</f>
        <v/>
      </c>
      <c r="O308" s="247" t="str">
        <f ca="1">IF(C308="","",IF($O$11="BPS",[1]!S_STM07_BS(D308,141,$G$5,$H$13)/IF([1]!S_SHARE_TOTAL(D308,$G$5)=0,[1]!S_SHARE_TOTAL(D308,[1]!s_ipo_listeddate(D308)),[1]!S_SHARE_TOTAL(D308,$G$5)),[1]!S_STM07_CS(D308,49,$G$5,$H$13)/$E$5))</f>
        <v/>
      </c>
      <c r="P308" s="247" t="str">
        <f ca="1">IF(C308="","",IF($P$11="CFPS",[1]!S_STM07_CS(D308,84,$G$5,$H$13)/IF([1]!S_SHARE_TOTAL(D308,$G$5)=0,[1]!S_SHARE_TOTAL(D308,[1]!s_ipo_listeddate(D308)),[1]!S_SHARE_TOTAL(D308,$G$5)),[1]!S_STM07_CS(D308,84,$G$5,$H$13)/$E$5))</f>
        <v/>
      </c>
      <c r="Q308" s="248" t="str">
        <f ca="1">IF(C308="","",F308/([1]!S_STM07_IS(D308,61,$G$5,$H$13)/IF([1]!S_SHARE_TOTAL(D308,$G$5)=0,[1]!S_SHARE_TOTAL(D308,[1]!s_ipo_listeddate(D308)),[1]!S_SHARE_TOTAL(D308,$G$5))))</f>
        <v/>
      </c>
      <c r="R308" s="248" t="str">
        <f ca="1">IF(C308="","",F308/([1]!S_STM07_BS(D308,141,$G$5,$H$13)/IF([1]!S_SHARE_TOTAL(D308,$G$5)=0,[1]!S_SHARE_TOTAL(D308,[1]!s_ipo_listeddate(D308)),[1]!S_SHARE_TOTAL(D308,$G$5))))</f>
        <v/>
      </c>
      <c r="S308" s="247" t="str">
        <f ca="1">IF(C308="","",[1]!S_SHARE_TOTAL(D308,TODAY())/$E$5)</f>
        <v/>
      </c>
      <c r="T308" s="247" t="str">
        <f t="shared" ca="1" si="37"/>
        <v/>
      </c>
      <c r="U308" s="218" t="str">
        <f t="shared" ca="1" si="38"/>
        <v/>
      </c>
      <c r="V308" s="342" t="str">
        <f t="shared" ca="1" si="39"/>
        <v/>
      </c>
      <c r="W308" s="139"/>
      <c r="Y308" s="1"/>
    </row>
    <row r="309" spans="3:25" ht="12" customHeight="1">
      <c r="C309" s="343" t="str">
        <f t="shared" ca="1" si="34"/>
        <v/>
      </c>
      <c r="D309" s="124" t="str">
        <f t="shared" ca="1" si="35"/>
        <v/>
      </c>
      <c r="E309" s="124" t="str">
        <f t="shared" ca="1" si="36"/>
        <v/>
      </c>
      <c r="F309" s="172" t="str">
        <f ca="1">IF(C309="","",[1]!S_DQ_CLOSE(D309,TODAY(),1))</f>
        <v/>
      </c>
      <c r="G309" s="173" t="str">
        <f ca="1">IF(C309="","",[1]!s_pq_pctchange(D309,TODAY()-$G$12,TODAY())/100)</f>
        <v/>
      </c>
      <c r="H309" s="249" t="str">
        <f ca="1">IF(C309="","",IF($H$11="收入",[1]!S_STM07_IS(D309,9,$G$5,$H$13)/$E$5,[1]!S_STM07_IS(D309,48,$G$5,$H$13)/$E$5))</f>
        <v/>
      </c>
      <c r="I309" s="249" t="str">
        <f ca="1">IF(C309="","",IF($I$11="毛利率",([1]!S_STM07_IS(D309,9,$G$5,$H$13)-[1]!S_STM07_IS(D309,10,$G$5,$H$13))/[1]!S_STM07_IS(D309,9,$G$5,$H$13),[1]!S_STM07_IS(D309,14,$G$5,$H$13)/$E$5))</f>
        <v/>
      </c>
      <c r="J309" s="249" t="str">
        <f ca="1">IF(C309="","",IF($J$11="营业利润率",[1]!S_STM07_IS(D309,48,$G$5,$H$13)/[1]!S_STM07_IS(D309,9,$G$5,$H$13),([1]!S_STM07_CS(D309,87,$G$5,$H$13)+[1]!S_STM07_CS(D309,88,$G$5,$H$13)+[1]!S_STM07_CS(D309,89,$G$5,$H$13))/$E$5))</f>
        <v/>
      </c>
      <c r="K309" s="249" t="str">
        <f ca="1">IF(C309="","",IF($K$11="净利润率",[1]!S_STM07_IS(D309,61,$G$5,$H$13)/[1]!S_STM07_IS(D309,9,$G$5,$H$13),[1]!S_STM07_IS(D309,55,$G$5,$H$13)/$E$5))</f>
        <v/>
      </c>
      <c r="L309" s="249" t="str">
        <f ca="1">IF(C309="","",IF($L$11="ROA",[1]!S_STM07_IS(D309,61,$G$5,$H$13)/[1]!S_STM07_BS(D309,74,$G$5,$H$13),1-[1]!S_STM07_IS(D309,61,$G$5,$H$13)/[1]!S_STM07_IS(D309,55,$G$5,$H$13)))</f>
        <v/>
      </c>
      <c r="M309" s="249" t="str">
        <f ca="1">IF(C309="","",IF($M$11="ROE",[1]!S_STM07_IS(D309,61,$G$5,$H$13)/[1]!S_STM07_BS(D309,141,$G$5,$H$13),([1]!S_STM07_BS(D309,25,$G$5,$H$13)-[1]!S_STM07_BS(D309,93,$G$5,$H$13))/$E$5))</f>
        <v/>
      </c>
      <c r="N309" s="250" t="str">
        <f ca="1">IF(C309="","",IF($N$11="EPS",[1]!S_STM07_IS(D309,61,$G$5,$H$13)/IF([1]!S_SHARE_TOTAL(D309,$G$5)=0,[1]!S_SHARE_TOTAL(D309,[1]!s_ipo_listeddate(D309)),[1]!S_SHARE_TOTAL(D309,$G$5)),([1]!S_STM07_BS(D309,75,$G$5,$H$13)+[1]!S_STM07_BS(D309,88,$G$5,$H$13)+[1]!S_STM07_BS(D309,94,$G$5,$H$13)+[1]!S_STM07_BS(D309,95,$G$5,$H$13))/$E$5))</f>
        <v/>
      </c>
      <c r="O309" s="250" t="str">
        <f ca="1">IF(C309="","",IF($O$11="BPS",[1]!S_STM07_BS(D309,141,$G$5,$H$13)/IF([1]!S_SHARE_TOTAL(D309,$G$5)=0,[1]!S_SHARE_TOTAL(D309,[1]!s_ipo_listeddate(D309)),[1]!S_SHARE_TOTAL(D309,$G$5)),[1]!S_STM07_CS(D309,49,$G$5,$H$13)/$E$5))</f>
        <v/>
      </c>
      <c r="P309" s="250" t="str">
        <f ca="1">IF(C309="","",IF($P$11="CFPS",[1]!S_STM07_CS(D309,84,$G$5,$H$13)/IF([1]!S_SHARE_TOTAL(D309,$G$5)=0,[1]!S_SHARE_TOTAL(D309,[1]!s_ipo_listeddate(D309)),[1]!S_SHARE_TOTAL(D309,$G$5)),[1]!S_STM07_CS(D309,84,$G$5,$H$13)/$E$5))</f>
        <v/>
      </c>
      <c r="Q309" s="198" t="str">
        <f ca="1">IF(C309="","",F309/([1]!S_STM07_IS(D309,61,$G$5,$H$13)/IF([1]!S_SHARE_TOTAL(D309,$G$5)=0,[1]!S_SHARE_TOTAL(D309,[1]!s_ipo_listeddate(D309)),[1]!S_SHARE_TOTAL(D309,$G$5))))</f>
        <v/>
      </c>
      <c r="R309" s="198" t="str">
        <f ca="1">IF(C309="","",F309/([1]!S_STM07_BS(D309,141,$G$5,$H$13)/IF([1]!S_SHARE_TOTAL(D309,$G$5)=0,[1]!S_SHARE_TOTAL(D309,[1]!s_ipo_listeddate(D309)),[1]!S_SHARE_TOTAL(D309,$G$5))))</f>
        <v/>
      </c>
      <c r="S309" s="249" t="str">
        <f ca="1">IF(C309="","",[1]!S_SHARE_TOTAL(D309,TODAY())/$E$5)</f>
        <v/>
      </c>
      <c r="T309" s="249" t="str">
        <f t="shared" ca="1" si="37"/>
        <v/>
      </c>
      <c r="U309" s="172" t="str">
        <f t="shared" ca="1" si="38"/>
        <v/>
      </c>
      <c r="V309" s="343" t="str">
        <f t="shared" ca="1" si="39"/>
        <v/>
      </c>
      <c r="W309" s="139"/>
      <c r="Y309" s="1"/>
    </row>
    <row r="310" spans="3:25" ht="12" customHeight="1">
      <c r="C310" s="342" t="str">
        <f t="shared" ca="1" si="34"/>
        <v/>
      </c>
      <c r="D310" s="153" t="str">
        <f t="shared" ca="1" si="35"/>
        <v/>
      </c>
      <c r="E310" s="153" t="str">
        <f t="shared" ca="1" si="36"/>
        <v/>
      </c>
      <c r="F310" s="170" t="str">
        <f ca="1">IF(C310="","",[1]!S_DQ_CLOSE(D310,TODAY(),1))</f>
        <v/>
      </c>
      <c r="G310" s="171" t="str">
        <f ca="1">IF(C310="","",[1]!s_pq_pctchange(D310,TODAY()-$G$12,TODAY())/100)</f>
        <v/>
      </c>
      <c r="H310" s="247" t="str">
        <f ca="1">IF(C310="","",IF($H$11="收入",[1]!S_STM07_IS(D310,9,$G$5,$H$13)/$E$5,[1]!S_STM07_IS(D310,48,$G$5,$H$13)/$E$5))</f>
        <v/>
      </c>
      <c r="I310" s="247" t="str">
        <f ca="1">IF(C310="","",IF($I$11="毛利率",([1]!S_STM07_IS(D310,9,$G$5,$H$13)-[1]!S_STM07_IS(D310,10,$G$5,$H$13))/[1]!S_STM07_IS(D310,9,$G$5,$H$13),[1]!S_STM07_IS(D310,14,$G$5,$H$13)/$E$5))</f>
        <v/>
      </c>
      <c r="J310" s="247" t="str">
        <f ca="1">IF(C310="","",IF($J$11="营业利润率",[1]!S_STM07_IS(D310,48,$G$5,$H$13)/[1]!S_STM07_IS(D310,9,$G$5,$H$13),([1]!S_STM07_CS(D310,87,$G$5,$H$13)+[1]!S_STM07_CS(D310,88,$G$5,$H$13)+[1]!S_STM07_CS(D310,89,$G$5,$H$13))/$E$5))</f>
        <v/>
      </c>
      <c r="K310" s="247" t="str">
        <f ca="1">IF(C310="","",IF($K$11="净利润率",[1]!S_STM07_IS(D310,61,$G$5,$H$13)/[1]!S_STM07_IS(D310,9,$G$5,$H$13),[1]!S_STM07_IS(D310,55,$G$5,$H$13)/$E$5))</f>
        <v/>
      </c>
      <c r="L310" s="247" t="str">
        <f ca="1">IF(C310="","",IF($L$11="ROA",[1]!S_STM07_IS(D310,61,$G$5,$H$13)/[1]!S_STM07_BS(D310,74,$G$5,$H$13),1-[1]!S_STM07_IS(D310,61,$G$5,$H$13)/[1]!S_STM07_IS(D310,55,$G$5,$H$13)))</f>
        <v/>
      </c>
      <c r="M310" s="247" t="str">
        <f ca="1">IF(C310="","",IF($M$11="ROE",[1]!S_STM07_IS(D310,61,$G$5,$H$13)/[1]!S_STM07_BS(D310,141,$G$5,$H$13),([1]!S_STM07_BS(D310,25,$G$5,$H$13)-[1]!S_STM07_BS(D310,93,$G$5,$H$13))/$E$5))</f>
        <v/>
      </c>
      <c r="N310" s="247" t="str">
        <f ca="1">IF(C310="","",IF($N$11="EPS",[1]!S_STM07_IS(D310,61,$G$5,$H$13)/IF([1]!S_SHARE_TOTAL(D310,$G$5)=0,[1]!S_SHARE_TOTAL(D310,[1]!s_ipo_listeddate(D310)),[1]!S_SHARE_TOTAL(D310,$G$5)),([1]!S_STM07_BS(D310,75,$G$5,$H$13)+[1]!S_STM07_BS(D310,88,$G$5,$H$13)+[1]!S_STM07_BS(D310,94,$G$5,$H$13)+[1]!S_STM07_BS(D310,95,$G$5,$H$13))/$E$5))</f>
        <v/>
      </c>
      <c r="O310" s="247" t="str">
        <f ca="1">IF(C310="","",IF($O$11="BPS",[1]!S_STM07_BS(D310,141,$G$5,$H$13)/IF([1]!S_SHARE_TOTAL(D310,$G$5)=0,[1]!S_SHARE_TOTAL(D310,[1]!s_ipo_listeddate(D310)),[1]!S_SHARE_TOTAL(D310,$G$5)),[1]!S_STM07_CS(D310,49,$G$5,$H$13)/$E$5))</f>
        <v/>
      </c>
      <c r="P310" s="247" t="str">
        <f ca="1">IF(C310="","",IF($P$11="CFPS",[1]!S_STM07_CS(D310,84,$G$5,$H$13)/IF([1]!S_SHARE_TOTAL(D310,$G$5)=0,[1]!S_SHARE_TOTAL(D310,[1]!s_ipo_listeddate(D310)),[1]!S_SHARE_TOTAL(D310,$G$5)),[1]!S_STM07_CS(D310,84,$G$5,$H$13)/$E$5))</f>
        <v/>
      </c>
      <c r="Q310" s="248" t="str">
        <f ca="1">IF(C310="","",F310/([1]!S_STM07_IS(D310,61,$G$5,$H$13)/IF([1]!S_SHARE_TOTAL(D310,$G$5)=0,[1]!S_SHARE_TOTAL(D310,[1]!s_ipo_listeddate(D310)),[1]!S_SHARE_TOTAL(D310,$G$5))))</f>
        <v/>
      </c>
      <c r="R310" s="248" t="str">
        <f ca="1">IF(C310="","",F310/([1]!S_STM07_BS(D310,141,$G$5,$H$13)/IF([1]!S_SHARE_TOTAL(D310,$G$5)=0,[1]!S_SHARE_TOTAL(D310,[1]!s_ipo_listeddate(D310)),[1]!S_SHARE_TOTAL(D310,$G$5))))</f>
        <v/>
      </c>
      <c r="S310" s="247" t="str">
        <f ca="1">IF(C310="","",[1]!S_SHARE_TOTAL(D310,TODAY())/$E$5)</f>
        <v/>
      </c>
      <c r="T310" s="247" t="str">
        <f t="shared" ca="1" si="37"/>
        <v/>
      </c>
      <c r="U310" s="218" t="str">
        <f t="shared" ca="1" si="38"/>
        <v/>
      </c>
      <c r="V310" s="342" t="str">
        <f t="shared" ca="1" si="39"/>
        <v/>
      </c>
      <c r="W310" s="139"/>
      <c r="Y310" s="1"/>
    </row>
    <row r="311" spans="3:25" ht="12" customHeight="1">
      <c r="C311" s="343" t="str">
        <f t="shared" ca="1" si="34"/>
        <v/>
      </c>
      <c r="D311" s="124" t="str">
        <f t="shared" ca="1" si="35"/>
        <v/>
      </c>
      <c r="E311" s="124" t="str">
        <f t="shared" ca="1" si="36"/>
        <v/>
      </c>
      <c r="F311" s="172" t="str">
        <f ca="1">IF(C311="","",[1]!S_DQ_CLOSE(D311,TODAY(),1))</f>
        <v/>
      </c>
      <c r="G311" s="173" t="str">
        <f ca="1">IF(C311="","",[1]!s_pq_pctchange(D311,TODAY()-$G$12,TODAY())/100)</f>
        <v/>
      </c>
      <c r="H311" s="249" t="str">
        <f ca="1">IF(C311="","",IF($H$11="收入",[1]!S_STM07_IS(D311,9,$G$5,$H$13)/$E$5,[1]!S_STM07_IS(D311,48,$G$5,$H$13)/$E$5))</f>
        <v/>
      </c>
      <c r="I311" s="249" t="str">
        <f ca="1">IF(C311="","",IF($I$11="毛利率",([1]!S_STM07_IS(D311,9,$G$5,$H$13)-[1]!S_STM07_IS(D311,10,$G$5,$H$13))/[1]!S_STM07_IS(D311,9,$G$5,$H$13),[1]!S_STM07_IS(D311,14,$G$5,$H$13)/$E$5))</f>
        <v/>
      </c>
      <c r="J311" s="249" t="str">
        <f ca="1">IF(C311="","",IF($J$11="营业利润率",[1]!S_STM07_IS(D311,48,$G$5,$H$13)/[1]!S_STM07_IS(D311,9,$G$5,$H$13),([1]!S_STM07_CS(D311,87,$G$5,$H$13)+[1]!S_STM07_CS(D311,88,$G$5,$H$13)+[1]!S_STM07_CS(D311,89,$G$5,$H$13))/$E$5))</f>
        <v/>
      </c>
      <c r="K311" s="249" t="str">
        <f ca="1">IF(C311="","",IF($K$11="净利润率",[1]!S_STM07_IS(D311,61,$G$5,$H$13)/[1]!S_STM07_IS(D311,9,$G$5,$H$13),[1]!S_STM07_IS(D311,55,$G$5,$H$13)/$E$5))</f>
        <v/>
      </c>
      <c r="L311" s="249" t="str">
        <f ca="1">IF(C311="","",IF($L$11="ROA",[1]!S_STM07_IS(D311,61,$G$5,$H$13)/[1]!S_STM07_BS(D311,74,$G$5,$H$13),1-[1]!S_STM07_IS(D311,61,$G$5,$H$13)/[1]!S_STM07_IS(D311,55,$G$5,$H$13)))</f>
        <v/>
      </c>
      <c r="M311" s="249" t="str">
        <f ca="1">IF(C311="","",IF($M$11="ROE",[1]!S_STM07_IS(D311,61,$G$5,$H$13)/[1]!S_STM07_BS(D311,141,$G$5,$H$13),([1]!S_STM07_BS(D311,25,$G$5,$H$13)-[1]!S_STM07_BS(D311,93,$G$5,$H$13))/$E$5))</f>
        <v/>
      </c>
      <c r="N311" s="250" t="str">
        <f ca="1">IF(C311="","",IF($N$11="EPS",[1]!S_STM07_IS(D311,61,$G$5,$H$13)/IF([1]!S_SHARE_TOTAL(D311,$G$5)=0,[1]!S_SHARE_TOTAL(D311,[1]!s_ipo_listeddate(D311)),[1]!S_SHARE_TOTAL(D311,$G$5)),([1]!S_STM07_BS(D311,75,$G$5,$H$13)+[1]!S_STM07_BS(D311,88,$G$5,$H$13)+[1]!S_STM07_BS(D311,94,$G$5,$H$13)+[1]!S_STM07_BS(D311,95,$G$5,$H$13))/$E$5))</f>
        <v/>
      </c>
      <c r="O311" s="250" t="str">
        <f ca="1">IF(C311="","",IF($O$11="BPS",[1]!S_STM07_BS(D311,141,$G$5,$H$13)/IF([1]!S_SHARE_TOTAL(D311,$G$5)=0,[1]!S_SHARE_TOTAL(D311,[1]!s_ipo_listeddate(D311)),[1]!S_SHARE_TOTAL(D311,$G$5)),[1]!S_STM07_CS(D311,49,$G$5,$H$13)/$E$5))</f>
        <v/>
      </c>
      <c r="P311" s="250" t="str">
        <f ca="1">IF(C311="","",IF($P$11="CFPS",[1]!S_STM07_CS(D311,84,$G$5,$H$13)/IF([1]!S_SHARE_TOTAL(D311,$G$5)=0,[1]!S_SHARE_TOTAL(D311,[1]!s_ipo_listeddate(D311)),[1]!S_SHARE_TOTAL(D311,$G$5)),[1]!S_STM07_CS(D311,84,$G$5,$H$13)/$E$5))</f>
        <v/>
      </c>
      <c r="Q311" s="198" t="str">
        <f ca="1">IF(C311="","",F311/([1]!S_STM07_IS(D311,61,$G$5,$H$13)/IF([1]!S_SHARE_TOTAL(D311,$G$5)=0,[1]!S_SHARE_TOTAL(D311,[1]!s_ipo_listeddate(D311)),[1]!S_SHARE_TOTAL(D311,$G$5))))</f>
        <v/>
      </c>
      <c r="R311" s="198" t="str">
        <f ca="1">IF(C311="","",F311/([1]!S_STM07_BS(D311,141,$G$5,$H$13)/IF([1]!S_SHARE_TOTAL(D311,$G$5)=0,[1]!S_SHARE_TOTAL(D311,[1]!s_ipo_listeddate(D311)),[1]!S_SHARE_TOTAL(D311,$G$5))))</f>
        <v/>
      </c>
      <c r="S311" s="249" t="str">
        <f ca="1">IF(C311="","",[1]!S_SHARE_TOTAL(D311,TODAY())/$E$5)</f>
        <v/>
      </c>
      <c r="T311" s="249" t="str">
        <f t="shared" ca="1" si="37"/>
        <v/>
      </c>
      <c r="U311" s="172" t="str">
        <f t="shared" ca="1" si="38"/>
        <v/>
      </c>
      <c r="V311" s="343" t="str">
        <f t="shared" ca="1" si="39"/>
        <v/>
      </c>
      <c r="W311" s="139"/>
      <c r="Y311" s="1"/>
    </row>
    <row r="312" spans="3:25" ht="12" customHeight="1">
      <c r="C312" s="342" t="str">
        <f t="shared" ca="1" si="34"/>
        <v/>
      </c>
      <c r="D312" s="153" t="str">
        <f t="shared" ca="1" si="35"/>
        <v/>
      </c>
      <c r="E312" s="153" t="str">
        <f t="shared" ca="1" si="36"/>
        <v/>
      </c>
      <c r="F312" s="170" t="str">
        <f ca="1">IF(C312="","",[1]!S_DQ_CLOSE(D312,TODAY(),1))</f>
        <v/>
      </c>
      <c r="G312" s="171" t="str">
        <f ca="1">IF(C312="","",[1]!s_pq_pctchange(D312,TODAY()-$G$12,TODAY())/100)</f>
        <v/>
      </c>
      <c r="H312" s="247" t="str">
        <f ca="1">IF(C312="","",IF($H$11="收入",[1]!S_STM07_IS(D312,9,$G$5,$H$13)/$E$5,[1]!S_STM07_IS(D312,48,$G$5,$H$13)/$E$5))</f>
        <v/>
      </c>
      <c r="I312" s="247" t="str">
        <f ca="1">IF(C312="","",IF($I$11="毛利率",([1]!S_STM07_IS(D312,9,$G$5,$H$13)-[1]!S_STM07_IS(D312,10,$G$5,$H$13))/[1]!S_STM07_IS(D312,9,$G$5,$H$13),[1]!S_STM07_IS(D312,14,$G$5,$H$13)/$E$5))</f>
        <v/>
      </c>
      <c r="J312" s="247" t="str">
        <f ca="1">IF(C312="","",IF($J$11="营业利润率",[1]!S_STM07_IS(D312,48,$G$5,$H$13)/[1]!S_STM07_IS(D312,9,$G$5,$H$13),([1]!S_STM07_CS(D312,87,$G$5,$H$13)+[1]!S_STM07_CS(D312,88,$G$5,$H$13)+[1]!S_STM07_CS(D312,89,$G$5,$H$13))/$E$5))</f>
        <v/>
      </c>
      <c r="K312" s="247" t="str">
        <f ca="1">IF(C312="","",IF($K$11="净利润率",[1]!S_STM07_IS(D312,61,$G$5,$H$13)/[1]!S_STM07_IS(D312,9,$G$5,$H$13),[1]!S_STM07_IS(D312,55,$G$5,$H$13)/$E$5))</f>
        <v/>
      </c>
      <c r="L312" s="247" t="str">
        <f ca="1">IF(C312="","",IF($L$11="ROA",[1]!S_STM07_IS(D312,61,$G$5,$H$13)/[1]!S_STM07_BS(D312,74,$G$5,$H$13),1-[1]!S_STM07_IS(D312,61,$G$5,$H$13)/[1]!S_STM07_IS(D312,55,$G$5,$H$13)))</f>
        <v/>
      </c>
      <c r="M312" s="247" t="str">
        <f ca="1">IF(C312="","",IF($M$11="ROE",[1]!S_STM07_IS(D312,61,$G$5,$H$13)/[1]!S_STM07_BS(D312,141,$G$5,$H$13),([1]!S_STM07_BS(D312,25,$G$5,$H$13)-[1]!S_STM07_BS(D312,93,$G$5,$H$13))/$E$5))</f>
        <v/>
      </c>
      <c r="N312" s="247" t="str">
        <f ca="1">IF(C312="","",IF($N$11="EPS",[1]!S_STM07_IS(D312,61,$G$5,$H$13)/IF([1]!S_SHARE_TOTAL(D312,$G$5)=0,[1]!S_SHARE_TOTAL(D312,[1]!s_ipo_listeddate(D312)),[1]!S_SHARE_TOTAL(D312,$G$5)),([1]!S_STM07_BS(D312,75,$G$5,$H$13)+[1]!S_STM07_BS(D312,88,$G$5,$H$13)+[1]!S_STM07_BS(D312,94,$G$5,$H$13)+[1]!S_STM07_BS(D312,95,$G$5,$H$13))/$E$5))</f>
        <v/>
      </c>
      <c r="O312" s="247" t="str">
        <f ca="1">IF(C312="","",IF($O$11="BPS",[1]!S_STM07_BS(D312,141,$G$5,$H$13)/IF([1]!S_SHARE_TOTAL(D312,$G$5)=0,[1]!S_SHARE_TOTAL(D312,[1]!s_ipo_listeddate(D312)),[1]!S_SHARE_TOTAL(D312,$G$5)),[1]!S_STM07_CS(D312,49,$G$5,$H$13)/$E$5))</f>
        <v/>
      </c>
      <c r="P312" s="247" t="str">
        <f ca="1">IF(C312="","",IF($P$11="CFPS",[1]!S_STM07_CS(D312,84,$G$5,$H$13)/IF([1]!S_SHARE_TOTAL(D312,$G$5)=0,[1]!S_SHARE_TOTAL(D312,[1]!s_ipo_listeddate(D312)),[1]!S_SHARE_TOTAL(D312,$G$5)),[1]!S_STM07_CS(D312,84,$G$5,$H$13)/$E$5))</f>
        <v/>
      </c>
      <c r="Q312" s="248" t="str">
        <f ca="1">IF(C312="","",F312/([1]!S_STM07_IS(D312,61,$G$5,$H$13)/IF([1]!S_SHARE_TOTAL(D312,$G$5)=0,[1]!S_SHARE_TOTAL(D312,[1]!s_ipo_listeddate(D312)),[1]!S_SHARE_TOTAL(D312,$G$5))))</f>
        <v/>
      </c>
      <c r="R312" s="248" t="str">
        <f ca="1">IF(C312="","",F312/([1]!S_STM07_BS(D312,141,$G$5,$H$13)/IF([1]!S_SHARE_TOTAL(D312,$G$5)=0,[1]!S_SHARE_TOTAL(D312,[1]!s_ipo_listeddate(D312)),[1]!S_SHARE_TOTAL(D312,$G$5))))</f>
        <v/>
      </c>
      <c r="S312" s="247" t="str">
        <f ca="1">IF(C312="","",[1]!S_SHARE_TOTAL(D312,TODAY())/$E$5)</f>
        <v/>
      </c>
      <c r="T312" s="247" t="str">
        <f t="shared" ca="1" si="37"/>
        <v/>
      </c>
      <c r="U312" s="218" t="str">
        <f t="shared" ca="1" si="38"/>
        <v/>
      </c>
      <c r="V312" s="342" t="str">
        <f t="shared" ca="1" si="39"/>
        <v/>
      </c>
      <c r="W312" s="139"/>
      <c r="Y312" s="1"/>
    </row>
    <row r="313" spans="3:25" ht="12" customHeight="1">
      <c r="C313" s="343" t="str">
        <f t="shared" ca="1" si="34"/>
        <v/>
      </c>
      <c r="D313" s="124" t="str">
        <f t="shared" ca="1" si="35"/>
        <v/>
      </c>
      <c r="E313" s="124" t="str">
        <f t="shared" ca="1" si="36"/>
        <v/>
      </c>
      <c r="F313" s="172" t="str">
        <f ca="1">IF(C313="","",[1]!S_DQ_CLOSE(D313,TODAY(),1))</f>
        <v/>
      </c>
      <c r="G313" s="173" t="str">
        <f ca="1">IF(C313="","",[1]!s_pq_pctchange(D313,TODAY()-$G$12,TODAY())/100)</f>
        <v/>
      </c>
      <c r="H313" s="249" t="str">
        <f ca="1">IF(C313="","",IF($H$11="收入",[1]!S_STM07_IS(D313,9,$G$5,$H$13)/$E$5,[1]!S_STM07_IS(D313,48,$G$5,$H$13)/$E$5))</f>
        <v/>
      </c>
      <c r="I313" s="249" t="str">
        <f ca="1">IF(C313="","",IF($I$11="毛利率",([1]!S_STM07_IS(D313,9,$G$5,$H$13)-[1]!S_STM07_IS(D313,10,$G$5,$H$13))/[1]!S_STM07_IS(D313,9,$G$5,$H$13),[1]!S_STM07_IS(D313,14,$G$5,$H$13)/$E$5))</f>
        <v/>
      </c>
      <c r="J313" s="249" t="str">
        <f ca="1">IF(C313="","",IF($J$11="营业利润率",[1]!S_STM07_IS(D313,48,$G$5,$H$13)/[1]!S_STM07_IS(D313,9,$G$5,$H$13),([1]!S_STM07_CS(D313,87,$G$5,$H$13)+[1]!S_STM07_CS(D313,88,$G$5,$H$13)+[1]!S_STM07_CS(D313,89,$G$5,$H$13))/$E$5))</f>
        <v/>
      </c>
      <c r="K313" s="249" t="str">
        <f ca="1">IF(C313="","",IF($K$11="净利润率",[1]!S_STM07_IS(D313,61,$G$5,$H$13)/[1]!S_STM07_IS(D313,9,$G$5,$H$13),[1]!S_STM07_IS(D313,55,$G$5,$H$13)/$E$5))</f>
        <v/>
      </c>
      <c r="L313" s="249" t="str">
        <f ca="1">IF(C313="","",IF($L$11="ROA",[1]!S_STM07_IS(D313,61,$G$5,$H$13)/[1]!S_STM07_BS(D313,74,$G$5,$H$13),1-[1]!S_STM07_IS(D313,61,$G$5,$H$13)/[1]!S_STM07_IS(D313,55,$G$5,$H$13)))</f>
        <v/>
      </c>
      <c r="M313" s="249" t="str">
        <f ca="1">IF(C313="","",IF($M$11="ROE",[1]!S_STM07_IS(D313,61,$G$5,$H$13)/[1]!S_STM07_BS(D313,141,$G$5,$H$13),([1]!S_STM07_BS(D313,25,$G$5,$H$13)-[1]!S_STM07_BS(D313,93,$G$5,$H$13))/$E$5))</f>
        <v/>
      </c>
      <c r="N313" s="250" t="str">
        <f ca="1">IF(C313="","",IF($N$11="EPS",[1]!S_STM07_IS(D313,61,$G$5,$H$13)/IF([1]!S_SHARE_TOTAL(D313,$G$5)=0,[1]!S_SHARE_TOTAL(D313,[1]!s_ipo_listeddate(D313)),[1]!S_SHARE_TOTAL(D313,$G$5)),([1]!S_STM07_BS(D313,75,$G$5,$H$13)+[1]!S_STM07_BS(D313,88,$G$5,$H$13)+[1]!S_STM07_BS(D313,94,$G$5,$H$13)+[1]!S_STM07_BS(D313,95,$G$5,$H$13))/$E$5))</f>
        <v/>
      </c>
      <c r="O313" s="250" t="str">
        <f ca="1">IF(C313="","",IF($O$11="BPS",[1]!S_STM07_BS(D313,141,$G$5,$H$13)/IF([1]!S_SHARE_TOTAL(D313,$G$5)=0,[1]!S_SHARE_TOTAL(D313,[1]!s_ipo_listeddate(D313)),[1]!S_SHARE_TOTAL(D313,$G$5)),[1]!S_STM07_CS(D313,49,$G$5,$H$13)/$E$5))</f>
        <v/>
      </c>
      <c r="P313" s="250" t="str">
        <f ca="1">IF(C313="","",IF($P$11="CFPS",[1]!S_STM07_CS(D313,84,$G$5,$H$13)/IF([1]!S_SHARE_TOTAL(D313,$G$5)=0,[1]!S_SHARE_TOTAL(D313,[1]!s_ipo_listeddate(D313)),[1]!S_SHARE_TOTAL(D313,$G$5)),[1]!S_STM07_CS(D313,84,$G$5,$H$13)/$E$5))</f>
        <v/>
      </c>
      <c r="Q313" s="198" t="str">
        <f ca="1">IF(C313="","",F313/([1]!S_STM07_IS(D313,61,$G$5,$H$13)/IF([1]!S_SHARE_TOTAL(D313,$G$5)=0,[1]!S_SHARE_TOTAL(D313,[1]!s_ipo_listeddate(D313)),[1]!S_SHARE_TOTAL(D313,$G$5))))</f>
        <v/>
      </c>
      <c r="R313" s="198" t="str">
        <f ca="1">IF(C313="","",F313/([1]!S_STM07_BS(D313,141,$G$5,$H$13)/IF([1]!S_SHARE_TOTAL(D313,$G$5)=0,[1]!S_SHARE_TOTAL(D313,[1]!s_ipo_listeddate(D313)),[1]!S_SHARE_TOTAL(D313,$G$5))))</f>
        <v/>
      </c>
      <c r="S313" s="249" t="str">
        <f ca="1">IF(C313="","",[1]!S_SHARE_TOTAL(D313,TODAY())/$E$5)</f>
        <v/>
      </c>
      <c r="T313" s="249" t="str">
        <f t="shared" ca="1" si="37"/>
        <v/>
      </c>
      <c r="U313" s="172" t="str">
        <f t="shared" ca="1" si="38"/>
        <v/>
      </c>
      <c r="V313" s="343" t="str">
        <f t="shared" ca="1" si="39"/>
        <v/>
      </c>
      <c r="W313" s="139"/>
      <c r="Y313" s="1"/>
    </row>
    <row r="314" spans="3:25" ht="12" customHeight="1">
      <c r="C314" s="342" t="str">
        <f t="shared" ca="1" si="34"/>
        <v/>
      </c>
      <c r="D314" s="153" t="str">
        <f t="shared" ca="1" si="35"/>
        <v/>
      </c>
      <c r="E314" s="153" t="str">
        <f t="shared" ca="1" si="36"/>
        <v/>
      </c>
      <c r="F314" s="170" t="str">
        <f ca="1">IF(C314="","",[1]!S_DQ_CLOSE(D314,TODAY(),1))</f>
        <v/>
      </c>
      <c r="G314" s="171" t="str">
        <f ca="1">IF(C314="","",[1]!s_pq_pctchange(D314,TODAY()-$G$12,TODAY())/100)</f>
        <v/>
      </c>
      <c r="H314" s="247" t="str">
        <f ca="1">IF(C314="","",IF($H$11="收入",[1]!S_STM07_IS(D314,9,$G$5,$H$13)/$E$5,[1]!S_STM07_IS(D314,48,$G$5,$H$13)/$E$5))</f>
        <v/>
      </c>
      <c r="I314" s="247" t="str">
        <f ca="1">IF(C314="","",IF($I$11="毛利率",([1]!S_STM07_IS(D314,9,$G$5,$H$13)-[1]!S_STM07_IS(D314,10,$G$5,$H$13))/[1]!S_STM07_IS(D314,9,$G$5,$H$13),[1]!S_STM07_IS(D314,14,$G$5,$H$13)/$E$5))</f>
        <v/>
      </c>
      <c r="J314" s="247" t="str">
        <f ca="1">IF(C314="","",IF($J$11="营业利润率",[1]!S_STM07_IS(D314,48,$G$5,$H$13)/[1]!S_STM07_IS(D314,9,$G$5,$H$13),([1]!S_STM07_CS(D314,87,$G$5,$H$13)+[1]!S_STM07_CS(D314,88,$G$5,$H$13)+[1]!S_STM07_CS(D314,89,$G$5,$H$13))/$E$5))</f>
        <v/>
      </c>
      <c r="K314" s="247" t="str">
        <f ca="1">IF(C314="","",IF($K$11="净利润率",[1]!S_STM07_IS(D314,61,$G$5,$H$13)/[1]!S_STM07_IS(D314,9,$G$5,$H$13),[1]!S_STM07_IS(D314,55,$G$5,$H$13)/$E$5))</f>
        <v/>
      </c>
      <c r="L314" s="247" t="str">
        <f ca="1">IF(C314="","",IF($L$11="ROA",[1]!S_STM07_IS(D314,61,$G$5,$H$13)/[1]!S_STM07_BS(D314,74,$G$5,$H$13),1-[1]!S_STM07_IS(D314,61,$G$5,$H$13)/[1]!S_STM07_IS(D314,55,$G$5,$H$13)))</f>
        <v/>
      </c>
      <c r="M314" s="247" t="str">
        <f ca="1">IF(C314="","",IF($M$11="ROE",[1]!S_STM07_IS(D314,61,$G$5,$H$13)/[1]!S_STM07_BS(D314,141,$G$5,$H$13),([1]!S_STM07_BS(D314,25,$G$5,$H$13)-[1]!S_STM07_BS(D314,93,$G$5,$H$13))/$E$5))</f>
        <v/>
      </c>
      <c r="N314" s="247" t="str">
        <f ca="1">IF(C314="","",IF($N$11="EPS",[1]!S_STM07_IS(D314,61,$G$5,$H$13)/IF([1]!S_SHARE_TOTAL(D314,$G$5)=0,[1]!S_SHARE_TOTAL(D314,[1]!s_ipo_listeddate(D314)),[1]!S_SHARE_TOTAL(D314,$G$5)),([1]!S_STM07_BS(D314,75,$G$5,$H$13)+[1]!S_STM07_BS(D314,88,$G$5,$H$13)+[1]!S_STM07_BS(D314,94,$G$5,$H$13)+[1]!S_STM07_BS(D314,95,$G$5,$H$13))/$E$5))</f>
        <v/>
      </c>
      <c r="O314" s="247" t="str">
        <f ca="1">IF(C314="","",IF($O$11="BPS",[1]!S_STM07_BS(D314,141,$G$5,$H$13)/IF([1]!S_SHARE_TOTAL(D314,$G$5)=0,[1]!S_SHARE_TOTAL(D314,[1]!s_ipo_listeddate(D314)),[1]!S_SHARE_TOTAL(D314,$G$5)),[1]!S_STM07_CS(D314,49,$G$5,$H$13)/$E$5))</f>
        <v/>
      </c>
      <c r="P314" s="247" t="str">
        <f ca="1">IF(C314="","",IF($P$11="CFPS",[1]!S_STM07_CS(D314,84,$G$5,$H$13)/IF([1]!S_SHARE_TOTAL(D314,$G$5)=0,[1]!S_SHARE_TOTAL(D314,[1]!s_ipo_listeddate(D314)),[1]!S_SHARE_TOTAL(D314,$G$5)),[1]!S_STM07_CS(D314,84,$G$5,$H$13)/$E$5))</f>
        <v/>
      </c>
      <c r="Q314" s="248" t="str">
        <f ca="1">IF(C314="","",F314/([1]!S_STM07_IS(D314,61,$G$5,$H$13)/IF([1]!S_SHARE_TOTAL(D314,$G$5)=0,[1]!S_SHARE_TOTAL(D314,[1]!s_ipo_listeddate(D314)),[1]!S_SHARE_TOTAL(D314,$G$5))))</f>
        <v/>
      </c>
      <c r="R314" s="248" t="str">
        <f ca="1">IF(C314="","",F314/([1]!S_STM07_BS(D314,141,$G$5,$H$13)/IF([1]!S_SHARE_TOTAL(D314,$G$5)=0,[1]!S_SHARE_TOTAL(D314,[1]!s_ipo_listeddate(D314)),[1]!S_SHARE_TOTAL(D314,$G$5))))</f>
        <v/>
      </c>
      <c r="S314" s="247" t="str">
        <f ca="1">IF(C314="","",[1]!S_SHARE_TOTAL(D314,TODAY())/$E$5)</f>
        <v/>
      </c>
      <c r="T314" s="247" t="str">
        <f t="shared" ca="1" si="37"/>
        <v/>
      </c>
      <c r="U314" s="218" t="str">
        <f t="shared" ca="1" si="38"/>
        <v/>
      </c>
      <c r="V314" s="342" t="str">
        <f t="shared" ca="1" si="39"/>
        <v/>
      </c>
      <c r="W314" s="139"/>
      <c r="Y314" s="1"/>
    </row>
    <row r="315" spans="3:25" ht="12" customHeight="1">
      <c r="C315" s="343" t="str">
        <f t="shared" ca="1" si="34"/>
        <v/>
      </c>
      <c r="D315" s="124" t="str">
        <f t="shared" ca="1" si="35"/>
        <v/>
      </c>
      <c r="E315" s="124" t="str">
        <f t="shared" ca="1" si="36"/>
        <v/>
      </c>
      <c r="F315" s="172" t="str">
        <f ca="1">IF(C315="","",[1]!S_DQ_CLOSE(D315,TODAY(),1))</f>
        <v/>
      </c>
      <c r="G315" s="173" t="str">
        <f ca="1">IF(C315="","",[1]!s_pq_pctchange(D315,TODAY()-$G$12,TODAY())/100)</f>
        <v/>
      </c>
      <c r="H315" s="249" t="str">
        <f ca="1">IF(C315="","",IF($H$11="收入",[1]!S_STM07_IS(D315,9,$G$5,$H$13)/$E$5,[1]!S_STM07_IS(D315,48,$G$5,$H$13)/$E$5))</f>
        <v/>
      </c>
      <c r="I315" s="249" t="str">
        <f ca="1">IF(C315="","",IF($I$11="毛利率",([1]!S_STM07_IS(D315,9,$G$5,$H$13)-[1]!S_STM07_IS(D315,10,$G$5,$H$13))/[1]!S_STM07_IS(D315,9,$G$5,$H$13),[1]!S_STM07_IS(D315,14,$G$5,$H$13)/$E$5))</f>
        <v/>
      </c>
      <c r="J315" s="249" t="str">
        <f ca="1">IF(C315="","",IF($J$11="营业利润率",[1]!S_STM07_IS(D315,48,$G$5,$H$13)/[1]!S_STM07_IS(D315,9,$G$5,$H$13),([1]!S_STM07_CS(D315,87,$G$5,$H$13)+[1]!S_STM07_CS(D315,88,$G$5,$H$13)+[1]!S_STM07_CS(D315,89,$G$5,$H$13))/$E$5))</f>
        <v/>
      </c>
      <c r="K315" s="249" t="str">
        <f ca="1">IF(C315="","",IF($K$11="净利润率",[1]!S_STM07_IS(D315,61,$G$5,$H$13)/[1]!S_STM07_IS(D315,9,$G$5,$H$13),[1]!S_STM07_IS(D315,55,$G$5,$H$13)/$E$5))</f>
        <v/>
      </c>
      <c r="L315" s="249" t="str">
        <f ca="1">IF(C315="","",IF($L$11="ROA",[1]!S_STM07_IS(D315,61,$G$5,$H$13)/[1]!S_STM07_BS(D315,74,$G$5,$H$13),1-[1]!S_STM07_IS(D315,61,$G$5,$H$13)/[1]!S_STM07_IS(D315,55,$G$5,$H$13)))</f>
        <v/>
      </c>
      <c r="M315" s="249" t="str">
        <f ca="1">IF(C315="","",IF($M$11="ROE",[1]!S_STM07_IS(D315,61,$G$5,$H$13)/[1]!S_STM07_BS(D315,141,$G$5,$H$13),([1]!S_STM07_BS(D315,25,$G$5,$H$13)-[1]!S_STM07_BS(D315,93,$G$5,$H$13))/$E$5))</f>
        <v/>
      </c>
      <c r="N315" s="250" t="str">
        <f ca="1">IF(C315="","",IF($N$11="EPS",[1]!S_STM07_IS(D315,61,$G$5,$H$13)/IF([1]!S_SHARE_TOTAL(D315,$G$5)=0,[1]!S_SHARE_TOTAL(D315,[1]!s_ipo_listeddate(D315)),[1]!S_SHARE_TOTAL(D315,$G$5)),([1]!S_STM07_BS(D315,75,$G$5,$H$13)+[1]!S_STM07_BS(D315,88,$G$5,$H$13)+[1]!S_STM07_BS(D315,94,$G$5,$H$13)+[1]!S_STM07_BS(D315,95,$G$5,$H$13))/$E$5))</f>
        <v/>
      </c>
      <c r="O315" s="250" t="str">
        <f ca="1">IF(C315="","",IF($O$11="BPS",[1]!S_STM07_BS(D315,141,$G$5,$H$13)/IF([1]!S_SHARE_TOTAL(D315,$G$5)=0,[1]!S_SHARE_TOTAL(D315,[1]!s_ipo_listeddate(D315)),[1]!S_SHARE_TOTAL(D315,$G$5)),[1]!S_STM07_CS(D315,49,$G$5,$H$13)/$E$5))</f>
        <v/>
      </c>
      <c r="P315" s="250" t="str">
        <f ca="1">IF(C315="","",IF($P$11="CFPS",[1]!S_STM07_CS(D315,84,$G$5,$H$13)/IF([1]!S_SHARE_TOTAL(D315,$G$5)=0,[1]!S_SHARE_TOTAL(D315,[1]!s_ipo_listeddate(D315)),[1]!S_SHARE_TOTAL(D315,$G$5)),[1]!S_STM07_CS(D315,84,$G$5,$H$13)/$E$5))</f>
        <v/>
      </c>
      <c r="Q315" s="198" t="str">
        <f ca="1">IF(C315="","",F315/([1]!S_STM07_IS(D315,61,$G$5,$H$13)/IF([1]!S_SHARE_TOTAL(D315,$G$5)=0,[1]!S_SHARE_TOTAL(D315,[1]!s_ipo_listeddate(D315)),[1]!S_SHARE_TOTAL(D315,$G$5))))</f>
        <v/>
      </c>
      <c r="R315" s="198" t="str">
        <f ca="1">IF(C315="","",F315/([1]!S_STM07_BS(D315,141,$G$5,$H$13)/IF([1]!S_SHARE_TOTAL(D315,$G$5)=0,[1]!S_SHARE_TOTAL(D315,[1]!s_ipo_listeddate(D315)),[1]!S_SHARE_TOTAL(D315,$G$5))))</f>
        <v/>
      </c>
      <c r="S315" s="249" t="str">
        <f ca="1">IF(C315="","",[1]!S_SHARE_TOTAL(D315,TODAY())/$E$5)</f>
        <v/>
      </c>
      <c r="T315" s="249" t="str">
        <f t="shared" ca="1" si="37"/>
        <v/>
      </c>
      <c r="U315" s="172" t="str">
        <f t="shared" ca="1" si="38"/>
        <v/>
      </c>
      <c r="V315" s="343" t="str">
        <f t="shared" ca="1" si="39"/>
        <v/>
      </c>
      <c r="W315" s="139"/>
      <c r="Y315" s="1"/>
    </row>
    <row r="316" spans="3:25" ht="12" customHeight="1">
      <c r="C316" s="342" t="str">
        <f t="shared" ca="1" si="34"/>
        <v/>
      </c>
      <c r="D316" s="153" t="str">
        <f t="shared" ca="1" si="35"/>
        <v/>
      </c>
      <c r="E316" s="153" t="str">
        <f t="shared" ca="1" si="36"/>
        <v/>
      </c>
      <c r="F316" s="170" t="str">
        <f ca="1">IF(C316="","",[1]!S_DQ_CLOSE(D316,TODAY(),1))</f>
        <v/>
      </c>
      <c r="G316" s="171" t="str">
        <f ca="1">IF(C316="","",[1]!s_pq_pctchange(D316,TODAY()-$G$12,TODAY())/100)</f>
        <v/>
      </c>
      <c r="H316" s="247" t="str">
        <f ca="1">IF(C316="","",IF($H$11="收入",[1]!S_STM07_IS(D316,9,$G$5,$H$13)/$E$5,[1]!S_STM07_IS(D316,48,$G$5,$H$13)/$E$5))</f>
        <v/>
      </c>
      <c r="I316" s="247" t="str">
        <f ca="1">IF(C316="","",IF($I$11="毛利率",([1]!S_STM07_IS(D316,9,$G$5,$H$13)-[1]!S_STM07_IS(D316,10,$G$5,$H$13))/[1]!S_STM07_IS(D316,9,$G$5,$H$13),[1]!S_STM07_IS(D316,14,$G$5,$H$13)/$E$5))</f>
        <v/>
      </c>
      <c r="J316" s="247" t="str">
        <f ca="1">IF(C316="","",IF($J$11="营业利润率",[1]!S_STM07_IS(D316,48,$G$5,$H$13)/[1]!S_STM07_IS(D316,9,$G$5,$H$13),([1]!S_STM07_CS(D316,87,$G$5,$H$13)+[1]!S_STM07_CS(D316,88,$G$5,$H$13)+[1]!S_STM07_CS(D316,89,$G$5,$H$13))/$E$5))</f>
        <v/>
      </c>
      <c r="K316" s="247" t="str">
        <f ca="1">IF(C316="","",IF($K$11="净利润率",[1]!S_STM07_IS(D316,61,$G$5,$H$13)/[1]!S_STM07_IS(D316,9,$G$5,$H$13),[1]!S_STM07_IS(D316,55,$G$5,$H$13)/$E$5))</f>
        <v/>
      </c>
      <c r="L316" s="247" t="str">
        <f ca="1">IF(C316="","",IF($L$11="ROA",[1]!S_STM07_IS(D316,61,$G$5,$H$13)/[1]!S_STM07_BS(D316,74,$G$5,$H$13),1-[1]!S_STM07_IS(D316,61,$G$5,$H$13)/[1]!S_STM07_IS(D316,55,$G$5,$H$13)))</f>
        <v/>
      </c>
      <c r="M316" s="247" t="str">
        <f ca="1">IF(C316="","",IF($M$11="ROE",[1]!S_STM07_IS(D316,61,$G$5,$H$13)/[1]!S_STM07_BS(D316,141,$G$5,$H$13),([1]!S_STM07_BS(D316,25,$G$5,$H$13)-[1]!S_STM07_BS(D316,93,$G$5,$H$13))/$E$5))</f>
        <v/>
      </c>
      <c r="N316" s="247" t="str">
        <f ca="1">IF(C316="","",IF($N$11="EPS",[1]!S_STM07_IS(D316,61,$G$5,$H$13)/IF([1]!S_SHARE_TOTAL(D316,$G$5)=0,[1]!S_SHARE_TOTAL(D316,[1]!s_ipo_listeddate(D316)),[1]!S_SHARE_TOTAL(D316,$G$5)),([1]!S_STM07_BS(D316,75,$G$5,$H$13)+[1]!S_STM07_BS(D316,88,$G$5,$H$13)+[1]!S_STM07_BS(D316,94,$G$5,$H$13)+[1]!S_STM07_BS(D316,95,$G$5,$H$13))/$E$5))</f>
        <v/>
      </c>
      <c r="O316" s="247" t="str">
        <f ca="1">IF(C316="","",IF($O$11="BPS",[1]!S_STM07_BS(D316,141,$G$5,$H$13)/IF([1]!S_SHARE_TOTAL(D316,$G$5)=0,[1]!S_SHARE_TOTAL(D316,[1]!s_ipo_listeddate(D316)),[1]!S_SHARE_TOTAL(D316,$G$5)),[1]!S_STM07_CS(D316,49,$G$5,$H$13)/$E$5))</f>
        <v/>
      </c>
      <c r="P316" s="247" t="str">
        <f ca="1">IF(C316="","",IF($P$11="CFPS",[1]!S_STM07_CS(D316,84,$G$5,$H$13)/IF([1]!S_SHARE_TOTAL(D316,$G$5)=0,[1]!S_SHARE_TOTAL(D316,[1]!s_ipo_listeddate(D316)),[1]!S_SHARE_TOTAL(D316,$G$5)),[1]!S_STM07_CS(D316,84,$G$5,$H$13)/$E$5))</f>
        <v/>
      </c>
      <c r="Q316" s="248" t="str">
        <f ca="1">IF(C316="","",F316/([1]!S_STM07_IS(D316,61,$G$5,$H$13)/IF([1]!S_SHARE_TOTAL(D316,$G$5)=0,[1]!S_SHARE_TOTAL(D316,[1]!s_ipo_listeddate(D316)),[1]!S_SHARE_TOTAL(D316,$G$5))))</f>
        <v/>
      </c>
      <c r="R316" s="248" t="str">
        <f ca="1">IF(C316="","",F316/([1]!S_STM07_BS(D316,141,$G$5,$H$13)/IF([1]!S_SHARE_TOTAL(D316,$G$5)=0,[1]!S_SHARE_TOTAL(D316,[1]!s_ipo_listeddate(D316)),[1]!S_SHARE_TOTAL(D316,$G$5))))</f>
        <v/>
      </c>
      <c r="S316" s="247" t="str">
        <f ca="1">IF(C316="","",[1]!S_SHARE_TOTAL(D316,TODAY())/$E$5)</f>
        <v/>
      </c>
      <c r="T316" s="247" t="str">
        <f t="shared" ca="1" si="37"/>
        <v/>
      </c>
      <c r="U316" s="218" t="str">
        <f t="shared" ca="1" si="38"/>
        <v/>
      </c>
      <c r="V316" s="342" t="str">
        <f t="shared" ca="1" si="39"/>
        <v/>
      </c>
      <c r="W316" s="139"/>
      <c r="Y316" s="1"/>
    </row>
    <row r="317" spans="3:25" ht="12" customHeight="1">
      <c r="C317" s="343" t="str">
        <f t="shared" ca="1" si="34"/>
        <v/>
      </c>
      <c r="D317" s="124" t="str">
        <f t="shared" ca="1" si="35"/>
        <v/>
      </c>
      <c r="E317" s="124" t="str">
        <f t="shared" ca="1" si="36"/>
        <v/>
      </c>
      <c r="F317" s="172" t="str">
        <f ca="1">IF(C317="","",[1]!S_DQ_CLOSE(D317,TODAY(),1))</f>
        <v/>
      </c>
      <c r="G317" s="173" t="str">
        <f ca="1">IF(C317="","",[1]!s_pq_pctchange(D317,TODAY()-$G$12,TODAY())/100)</f>
        <v/>
      </c>
      <c r="H317" s="249" t="str">
        <f ca="1">IF(C317="","",IF($H$11="收入",[1]!S_STM07_IS(D317,9,$G$5,$H$13)/$E$5,[1]!S_STM07_IS(D317,48,$G$5,$H$13)/$E$5))</f>
        <v/>
      </c>
      <c r="I317" s="249" t="str">
        <f ca="1">IF(C317="","",IF($I$11="毛利率",([1]!S_STM07_IS(D317,9,$G$5,$H$13)-[1]!S_STM07_IS(D317,10,$G$5,$H$13))/[1]!S_STM07_IS(D317,9,$G$5,$H$13),[1]!S_STM07_IS(D317,14,$G$5,$H$13)/$E$5))</f>
        <v/>
      </c>
      <c r="J317" s="249" t="str">
        <f ca="1">IF(C317="","",IF($J$11="营业利润率",[1]!S_STM07_IS(D317,48,$G$5,$H$13)/[1]!S_STM07_IS(D317,9,$G$5,$H$13),([1]!S_STM07_CS(D317,87,$G$5,$H$13)+[1]!S_STM07_CS(D317,88,$G$5,$H$13)+[1]!S_STM07_CS(D317,89,$G$5,$H$13))/$E$5))</f>
        <v/>
      </c>
      <c r="K317" s="249" t="str">
        <f ca="1">IF(C317="","",IF($K$11="净利润率",[1]!S_STM07_IS(D317,61,$G$5,$H$13)/[1]!S_STM07_IS(D317,9,$G$5,$H$13),[1]!S_STM07_IS(D317,55,$G$5,$H$13)/$E$5))</f>
        <v/>
      </c>
      <c r="L317" s="249" t="str">
        <f ca="1">IF(C317="","",IF($L$11="ROA",[1]!S_STM07_IS(D317,61,$G$5,$H$13)/[1]!S_STM07_BS(D317,74,$G$5,$H$13),1-[1]!S_STM07_IS(D317,61,$G$5,$H$13)/[1]!S_STM07_IS(D317,55,$G$5,$H$13)))</f>
        <v/>
      </c>
      <c r="M317" s="249" t="str">
        <f ca="1">IF(C317="","",IF($M$11="ROE",[1]!S_STM07_IS(D317,61,$G$5,$H$13)/[1]!S_STM07_BS(D317,141,$G$5,$H$13),([1]!S_STM07_BS(D317,25,$G$5,$H$13)-[1]!S_STM07_BS(D317,93,$G$5,$H$13))/$E$5))</f>
        <v/>
      </c>
      <c r="N317" s="250" t="str">
        <f ca="1">IF(C317="","",IF($N$11="EPS",[1]!S_STM07_IS(D317,61,$G$5,$H$13)/IF([1]!S_SHARE_TOTAL(D317,$G$5)=0,[1]!S_SHARE_TOTAL(D317,[1]!s_ipo_listeddate(D317)),[1]!S_SHARE_TOTAL(D317,$G$5)),([1]!S_STM07_BS(D317,75,$G$5,$H$13)+[1]!S_STM07_BS(D317,88,$G$5,$H$13)+[1]!S_STM07_BS(D317,94,$G$5,$H$13)+[1]!S_STM07_BS(D317,95,$G$5,$H$13))/$E$5))</f>
        <v/>
      </c>
      <c r="O317" s="250" t="str">
        <f ca="1">IF(C317="","",IF($O$11="BPS",[1]!S_STM07_BS(D317,141,$G$5,$H$13)/IF([1]!S_SHARE_TOTAL(D317,$G$5)=0,[1]!S_SHARE_TOTAL(D317,[1]!s_ipo_listeddate(D317)),[1]!S_SHARE_TOTAL(D317,$G$5)),[1]!S_STM07_CS(D317,49,$G$5,$H$13)/$E$5))</f>
        <v/>
      </c>
      <c r="P317" s="250" t="str">
        <f ca="1">IF(C317="","",IF($P$11="CFPS",[1]!S_STM07_CS(D317,84,$G$5,$H$13)/IF([1]!S_SHARE_TOTAL(D317,$G$5)=0,[1]!S_SHARE_TOTAL(D317,[1]!s_ipo_listeddate(D317)),[1]!S_SHARE_TOTAL(D317,$G$5)),[1]!S_STM07_CS(D317,84,$G$5,$H$13)/$E$5))</f>
        <v/>
      </c>
      <c r="Q317" s="198" t="str">
        <f ca="1">IF(C317="","",F317/([1]!S_STM07_IS(D317,61,$G$5,$H$13)/IF([1]!S_SHARE_TOTAL(D317,$G$5)=0,[1]!S_SHARE_TOTAL(D317,[1]!s_ipo_listeddate(D317)),[1]!S_SHARE_TOTAL(D317,$G$5))))</f>
        <v/>
      </c>
      <c r="R317" s="198" t="str">
        <f ca="1">IF(C317="","",F317/([1]!S_STM07_BS(D317,141,$G$5,$H$13)/IF([1]!S_SHARE_TOTAL(D317,$G$5)=0,[1]!S_SHARE_TOTAL(D317,[1]!s_ipo_listeddate(D317)),[1]!S_SHARE_TOTAL(D317,$G$5))))</f>
        <v/>
      </c>
      <c r="S317" s="249" t="str">
        <f ca="1">IF(C317="","",[1]!S_SHARE_TOTAL(D317,TODAY())/$E$5)</f>
        <v/>
      </c>
      <c r="T317" s="249" t="str">
        <f t="shared" ca="1" si="37"/>
        <v/>
      </c>
      <c r="U317" s="172" t="str">
        <f t="shared" ca="1" si="38"/>
        <v/>
      </c>
      <c r="V317" s="343" t="str">
        <f t="shared" ca="1" si="39"/>
        <v/>
      </c>
      <c r="W317" s="139"/>
      <c r="Y317" s="1"/>
    </row>
    <row r="318" spans="3:25" ht="12" customHeight="1">
      <c r="C318" s="342" t="str">
        <f t="shared" ca="1" si="34"/>
        <v/>
      </c>
      <c r="D318" s="153" t="str">
        <f t="shared" ca="1" si="35"/>
        <v/>
      </c>
      <c r="E318" s="153" t="str">
        <f t="shared" ca="1" si="36"/>
        <v/>
      </c>
      <c r="F318" s="170" t="str">
        <f ca="1">IF(C318="","",[1]!S_DQ_CLOSE(D318,TODAY(),1))</f>
        <v/>
      </c>
      <c r="G318" s="171" t="str">
        <f ca="1">IF(C318="","",[1]!s_pq_pctchange(D318,TODAY()-$G$12,TODAY())/100)</f>
        <v/>
      </c>
      <c r="H318" s="247" t="str">
        <f ca="1">IF(C318="","",IF($H$11="收入",[1]!S_STM07_IS(D318,9,$G$5,$H$13)/$E$5,[1]!S_STM07_IS(D318,48,$G$5,$H$13)/$E$5))</f>
        <v/>
      </c>
      <c r="I318" s="247" t="str">
        <f ca="1">IF(C318="","",IF($I$11="毛利率",([1]!S_STM07_IS(D318,9,$G$5,$H$13)-[1]!S_STM07_IS(D318,10,$G$5,$H$13))/[1]!S_STM07_IS(D318,9,$G$5,$H$13),[1]!S_STM07_IS(D318,14,$G$5,$H$13)/$E$5))</f>
        <v/>
      </c>
      <c r="J318" s="247" t="str">
        <f ca="1">IF(C318="","",IF($J$11="营业利润率",[1]!S_STM07_IS(D318,48,$G$5,$H$13)/[1]!S_STM07_IS(D318,9,$G$5,$H$13),([1]!S_STM07_CS(D318,87,$G$5,$H$13)+[1]!S_STM07_CS(D318,88,$G$5,$H$13)+[1]!S_STM07_CS(D318,89,$G$5,$H$13))/$E$5))</f>
        <v/>
      </c>
      <c r="K318" s="247" t="str">
        <f ca="1">IF(C318="","",IF($K$11="净利润率",[1]!S_STM07_IS(D318,61,$G$5,$H$13)/[1]!S_STM07_IS(D318,9,$G$5,$H$13),[1]!S_STM07_IS(D318,55,$G$5,$H$13)/$E$5))</f>
        <v/>
      </c>
      <c r="L318" s="247" t="str">
        <f ca="1">IF(C318="","",IF($L$11="ROA",[1]!S_STM07_IS(D318,61,$G$5,$H$13)/[1]!S_STM07_BS(D318,74,$G$5,$H$13),1-[1]!S_STM07_IS(D318,61,$G$5,$H$13)/[1]!S_STM07_IS(D318,55,$G$5,$H$13)))</f>
        <v/>
      </c>
      <c r="M318" s="247" t="str">
        <f ca="1">IF(C318="","",IF($M$11="ROE",[1]!S_STM07_IS(D318,61,$G$5,$H$13)/[1]!S_STM07_BS(D318,141,$G$5,$H$13),([1]!S_STM07_BS(D318,25,$G$5,$H$13)-[1]!S_STM07_BS(D318,93,$G$5,$H$13))/$E$5))</f>
        <v/>
      </c>
      <c r="N318" s="247" t="str">
        <f ca="1">IF(C318="","",IF($N$11="EPS",[1]!S_STM07_IS(D318,61,$G$5,$H$13)/IF([1]!S_SHARE_TOTAL(D318,$G$5)=0,[1]!S_SHARE_TOTAL(D318,[1]!s_ipo_listeddate(D318)),[1]!S_SHARE_TOTAL(D318,$G$5)),([1]!S_STM07_BS(D318,75,$G$5,$H$13)+[1]!S_STM07_BS(D318,88,$G$5,$H$13)+[1]!S_STM07_BS(D318,94,$G$5,$H$13)+[1]!S_STM07_BS(D318,95,$G$5,$H$13))/$E$5))</f>
        <v/>
      </c>
      <c r="O318" s="247" t="str">
        <f ca="1">IF(C318="","",IF($O$11="BPS",[1]!S_STM07_BS(D318,141,$G$5,$H$13)/IF([1]!S_SHARE_TOTAL(D318,$G$5)=0,[1]!S_SHARE_TOTAL(D318,[1]!s_ipo_listeddate(D318)),[1]!S_SHARE_TOTAL(D318,$G$5)),[1]!S_STM07_CS(D318,49,$G$5,$H$13)/$E$5))</f>
        <v/>
      </c>
      <c r="P318" s="247" t="str">
        <f ca="1">IF(C318="","",IF($P$11="CFPS",[1]!S_STM07_CS(D318,84,$G$5,$H$13)/IF([1]!S_SHARE_TOTAL(D318,$G$5)=0,[1]!S_SHARE_TOTAL(D318,[1]!s_ipo_listeddate(D318)),[1]!S_SHARE_TOTAL(D318,$G$5)),[1]!S_STM07_CS(D318,84,$G$5,$H$13)/$E$5))</f>
        <v/>
      </c>
      <c r="Q318" s="248" t="str">
        <f ca="1">IF(C318="","",F318/([1]!S_STM07_IS(D318,61,$G$5,$H$13)/IF([1]!S_SHARE_TOTAL(D318,$G$5)=0,[1]!S_SHARE_TOTAL(D318,[1]!s_ipo_listeddate(D318)),[1]!S_SHARE_TOTAL(D318,$G$5))))</f>
        <v/>
      </c>
      <c r="R318" s="248" t="str">
        <f ca="1">IF(C318="","",F318/([1]!S_STM07_BS(D318,141,$G$5,$H$13)/IF([1]!S_SHARE_TOTAL(D318,$G$5)=0,[1]!S_SHARE_TOTAL(D318,[1]!s_ipo_listeddate(D318)),[1]!S_SHARE_TOTAL(D318,$G$5))))</f>
        <v/>
      </c>
      <c r="S318" s="247" t="str">
        <f ca="1">IF(C318="","",[1]!S_SHARE_TOTAL(D318,TODAY())/$E$5)</f>
        <v/>
      </c>
      <c r="T318" s="247" t="str">
        <f t="shared" ca="1" si="37"/>
        <v/>
      </c>
      <c r="U318" s="218" t="str">
        <f t="shared" ca="1" si="38"/>
        <v/>
      </c>
      <c r="V318" s="342" t="str">
        <f t="shared" ca="1" si="39"/>
        <v/>
      </c>
      <c r="W318" s="139"/>
      <c r="Y318" s="1"/>
    </row>
    <row r="319" spans="3:25" ht="12" customHeight="1">
      <c r="C319" s="343" t="str">
        <f t="shared" ca="1" si="34"/>
        <v/>
      </c>
      <c r="D319" s="124" t="str">
        <f t="shared" ca="1" si="35"/>
        <v/>
      </c>
      <c r="E319" s="124" t="str">
        <f t="shared" ca="1" si="36"/>
        <v/>
      </c>
      <c r="F319" s="172" t="str">
        <f ca="1">IF(C319="","",[1]!S_DQ_CLOSE(D319,TODAY(),1))</f>
        <v/>
      </c>
      <c r="G319" s="173" t="str">
        <f ca="1">IF(C319="","",[1]!s_pq_pctchange(D319,TODAY()-$G$12,TODAY())/100)</f>
        <v/>
      </c>
      <c r="H319" s="249" t="str">
        <f ca="1">IF(C319="","",IF($H$11="收入",[1]!S_STM07_IS(D319,9,$G$5,$H$13)/$E$5,[1]!S_STM07_IS(D319,48,$G$5,$H$13)/$E$5))</f>
        <v/>
      </c>
      <c r="I319" s="249" t="str">
        <f ca="1">IF(C319="","",IF($I$11="毛利率",([1]!S_STM07_IS(D319,9,$G$5,$H$13)-[1]!S_STM07_IS(D319,10,$G$5,$H$13))/[1]!S_STM07_IS(D319,9,$G$5,$H$13),[1]!S_STM07_IS(D319,14,$G$5,$H$13)/$E$5))</f>
        <v/>
      </c>
      <c r="J319" s="249" t="str">
        <f ca="1">IF(C319="","",IF($J$11="营业利润率",[1]!S_STM07_IS(D319,48,$G$5,$H$13)/[1]!S_STM07_IS(D319,9,$G$5,$H$13),([1]!S_STM07_CS(D319,87,$G$5,$H$13)+[1]!S_STM07_CS(D319,88,$G$5,$H$13)+[1]!S_STM07_CS(D319,89,$G$5,$H$13))/$E$5))</f>
        <v/>
      </c>
      <c r="K319" s="249" t="str">
        <f ca="1">IF(C319="","",IF($K$11="净利润率",[1]!S_STM07_IS(D319,61,$G$5,$H$13)/[1]!S_STM07_IS(D319,9,$G$5,$H$13),[1]!S_STM07_IS(D319,55,$G$5,$H$13)/$E$5))</f>
        <v/>
      </c>
      <c r="L319" s="249" t="str">
        <f ca="1">IF(C319="","",IF($L$11="ROA",[1]!S_STM07_IS(D319,61,$G$5,$H$13)/[1]!S_STM07_BS(D319,74,$G$5,$H$13),1-[1]!S_STM07_IS(D319,61,$G$5,$H$13)/[1]!S_STM07_IS(D319,55,$G$5,$H$13)))</f>
        <v/>
      </c>
      <c r="M319" s="249" t="str">
        <f ca="1">IF(C319="","",IF($M$11="ROE",[1]!S_STM07_IS(D319,61,$G$5,$H$13)/[1]!S_STM07_BS(D319,141,$G$5,$H$13),([1]!S_STM07_BS(D319,25,$G$5,$H$13)-[1]!S_STM07_BS(D319,93,$G$5,$H$13))/$E$5))</f>
        <v/>
      </c>
      <c r="N319" s="250" t="str">
        <f ca="1">IF(C319="","",IF($N$11="EPS",[1]!S_STM07_IS(D319,61,$G$5,$H$13)/IF([1]!S_SHARE_TOTAL(D319,$G$5)=0,[1]!S_SHARE_TOTAL(D319,[1]!s_ipo_listeddate(D319)),[1]!S_SHARE_TOTAL(D319,$G$5)),([1]!S_STM07_BS(D319,75,$G$5,$H$13)+[1]!S_STM07_BS(D319,88,$G$5,$H$13)+[1]!S_STM07_BS(D319,94,$G$5,$H$13)+[1]!S_STM07_BS(D319,95,$G$5,$H$13))/$E$5))</f>
        <v/>
      </c>
      <c r="O319" s="250" t="str">
        <f ca="1">IF(C319="","",IF($O$11="BPS",[1]!S_STM07_BS(D319,141,$G$5,$H$13)/IF([1]!S_SHARE_TOTAL(D319,$G$5)=0,[1]!S_SHARE_TOTAL(D319,[1]!s_ipo_listeddate(D319)),[1]!S_SHARE_TOTAL(D319,$G$5)),[1]!S_STM07_CS(D319,49,$G$5,$H$13)/$E$5))</f>
        <v/>
      </c>
      <c r="P319" s="250" t="str">
        <f ca="1">IF(C319="","",IF($P$11="CFPS",[1]!S_STM07_CS(D319,84,$G$5,$H$13)/IF([1]!S_SHARE_TOTAL(D319,$G$5)=0,[1]!S_SHARE_TOTAL(D319,[1]!s_ipo_listeddate(D319)),[1]!S_SHARE_TOTAL(D319,$G$5)),[1]!S_STM07_CS(D319,84,$G$5,$H$13)/$E$5))</f>
        <v/>
      </c>
      <c r="Q319" s="198" t="str">
        <f ca="1">IF(C319="","",F319/([1]!S_STM07_IS(D319,61,$G$5,$H$13)/IF([1]!S_SHARE_TOTAL(D319,$G$5)=0,[1]!S_SHARE_TOTAL(D319,[1]!s_ipo_listeddate(D319)),[1]!S_SHARE_TOTAL(D319,$G$5))))</f>
        <v/>
      </c>
      <c r="R319" s="198" t="str">
        <f ca="1">IF(C319="","",F319/([1]!S_STM07_BS(D319,141,$G$5,$H$13)/IF([1]!S_SHARE_TOTAL(D319,$G$5)=0,[1]!S_SHARE_TOTAL(D319,[1]!s_ipo_listeddate(D319)),[1]!S_SHARE_TOTAL(D319,$G$5))))</f>
        <v/>
      </c>
      <c r="S319" s="249" t="str">
        <f ca="1">IF(C319="","",[1]!S_SHARE_TOTAL(D319,TODAY())/$E$5)</f>
        <v/>
      </c>
      <c r="T319" s="249" t="str">
        <f t="shared" ca="1" si="37"/>
        <v/>
      </c>
      <c r="U319" s="172" t="str">
        <f t="shared" ca="1" si="38"/>
        <v/>
      </c>
      <c r="V319" s="343" t="str">
        <f t="shared" ca="1" si="39"/>
        <v/>
      </c>
      <c r="W319" s="139"/>
      <c r="Y319" s="1"/>
    </row>
    <row r="320" spans="3:25" ht="12" customHeight="1">
      <c r="C320" s="342" t="str">
        <f t="shared" ca="1" si="34"/>
        <v/>
      </c>
      <c r="D320" s="153" t="str">
        <f t="shared" ca="1" si="35"/>
        <v/>
      </c>
      <c r="E320" s="153" t="str">
        <f t="shared" ca="1" si="36"/>
        <v/>
      </c>
      <c r="F320" s="170" t="str">
        <f ca="1">IF(C320="","",[1]!S_DQ_CLOSE(D320,TODAY(),1))</f>
        <v/>
      </c>
      <c r="G320" s="171" t="str">
        <f ca="1">IF(C320="","",[1]!s_pq_pctchange(D320,TODAY()-$G$12,TODAY())/100)</f>
        <v/>
      </c>
      <c r="H320" s="247" t="str">
        <f ca="1">IF(C320="","",IF($H$11="收入",[1]!S_STM07_IS(D320,9,$G$5,$H$13)/$E$5,[1]!S_STM07_IS(D320,48,$G$5,$H$13)/$E$5))</f>
        <v/>
      </c>
      <c r="I320" s="247" t="str">
        <f ca="1">IF(C320="","",IF($I$11="毛利率",([1]!S_STM07_IS(D320,9,$G$5,$H$13)-[1]!S_STM07_IS(D320,10,$G$5,$H$13))/[1]!S_STM07_IS(D320,9,$G$5,$H$13),[1]!S_STM07_IS(D320,14,$G$5,$H$13)/$E$5))</f>
        <v/>
      </c>
      <c r="J320" s="247" t="str">
        <f ca="1">IF(C320="","",IF($J$11="营业利润率",[1]!S_STM07_IS(D320,48,$G$5,$H$13)/[1]!S_STM07_IS(D320,9,$G$5,$H$13),([1]!S_STM07_CS(D320,87,$G$5,$H$13)+[1]!S_STM07_CS(D320,88,$G$5,$H$13)+[1]!S_STM07_CS(D320,89,$G$5,$H$13))/$E$5))</f>
        <v/>
      </c>
      <c r="K320" s="247" t="str">
        <f ca="1">IF(C320="","",IF($K$11="净利润率",[1]!S_STM07_IS(D320,61,$G$5,$H$13)/[1]!S_STM07_IS(D320,9,$G$5,$H$13),[1]!S_STM07_IS(D320,55,$G$5,$H$13)/$E$5))</f>
        <v/>
      </c>
      <c r="L320" s="247" t="str">
        <f ca="1">IF(C320="","",IF($L$11="ROA",[1]!S_STM07_IS(D320,61,$G$5,$H$13)/[1]!S_STM07_BS(D320,74,$G$5,$H$13),1-[1]!S_STM07_IS(D320,61,$G$5,$H$13)/[1]!S_STM07_IS(D320,55,$G$5,$H$13)))</f>
        <v/>
      </c>
      <c r="M320" s="247" t="str">
        <f ca="1">IF(C320="","",IF($M$11="ROE",[1]!S_STM07_IS(D320,61,$G$5,$H$13)/[1]!S_STM07_BS(D320,141,$G$5,$H$13),([1]!S_STM07_BS(D320,25,$G$5,$H$13)-[1]!S_STM07_BS(D320,93,$G$5,$H$13))/$E$5))</f>
        <v/>
      </c>
      <c r="N320" s="247" t="str">
        <f ca="1">IF(C320="","",IF($N$11="EPS",[1]!S_STM07_IS(D320,61,$G$5,$H$13)/IF([1]!S_SHARE_TOTAL(D320,$G$5)=0,[1]!S_SHARE_TOTAL(D320,[1]!s_ipo_listeddate(D320)),[1]!S_SHARE_TOTAL(D320,$G$5)),([1]!S_STM07_BS(D320,75,$G$5,$H$13)+[1]!S_STM07_BS(D320,88,$G$5,$H$13)+[1]!S_STM07_BS(D320,94,$G$5,$H$13)+[1]!S_STM07_BS(D320,95,$G$5,$H$13))/$E$5))</f>
        <v/>
      </c>
      <c r="O320" s="247" t="str">
        <f ca="1">IF(C320="","",IF($O$11="BPS",[1]!S_STM07_BS(D320,141,$G$5,$H$13)/IF([1]!S_SHARE_TOTAL(D320,$G$5)=0,[1]!S_SHARE_TOTAL(D320,[1]!s_ipo_listeddate(D320)),[1]!S_SHARE_TOTAL(D320,$G$5)),[1]!S_STM07_CS(D320,49,$G$5,$H$13)/$E$5))</f>
        <v/>
      </c>
      <c r="P320" s="247" t="str">
        <f ca="1">IF(C320="","",IF($P$11="CFPS",[1]!S_STM07_CS(D320,84,$G$5,$H$13)/IF([1]!S_SHARE_TOTAL(D320,$G$5)=0,[1]!S_SHARE_TOTAL(D320,[1]!s_ipo_listeddate(D320)),[1]!S_SHARE_TOTAL(D320,$G$5)),[1]!S_STM07_CS(D320,84,$G$5,$H$13)/$E$5))</f>
        <v/>
      </c>
      <c r="Q320" s="248" t="str">
        <f ca="1">IF(C320="","",F320/([1]!S_STM07_IS(D320,61,$G$5,$H$13)/IF([1]!S_SHARE_TOTAL(D320,$G$5)=0,[1]!S_SHARE_TOTAL(D320,[1]!s_ipo_listeddate(D320)),[1]!S_SHARE_TOTAL(D320,$G$5))))</f>
        <v/>
      </c>
      <c r="R320" s="248" t="str">
        <f ca="1">IF(C320="","",F320/([1]!S_STM07_BS(D320,141,$G$5,$H$13)/IF([1]!S_SHARE_TOTAL(D320,$G$5)=0,[1]!S_SHARE_TOTAL(D320,[1]!s_ipo_listeddate(D320)),[1]!S_SHARE_TOTAL(D320,$G$5))))</f>
        <v/>
      </c>
      <c r="S320" s="247" t="str">
        <f ca="1">IF(C320="","",[1]!S_SHARE_TOTAL(D320,TODAY())/$E$5)</f>
        <v/>
      </c>
      <c r="T320" s="247" t="str">
        <f t="shared" ca="1" si="37"/>
        <v/>
      </c>
      <c r="U320" s="218" t="str">
        <f t="shared" ca="1" si="38"/>
        <v/>
      </c>
      <c r="V320" s="342" t="str">
        <f t="shared" ca="1" si="39"/>
        <v/>
      </c>
      <c r="W320" s="139"/>
      <c r="Y320" s="1"/>
    </row>
    <row r="321" spans="3:25" ht="12" customHeight="1">
      <c r="C321" s="343" t="str">
        <f t="shared" ca="1" si="34"/>
        <v/>
      </c>
      <c r="D321" s="124" t="str">
        <f t="shared" ca="1" si="35"/>
        <v/>
      </c>
      <c r="E321" s="124" t="str">
        <f t="shared" ca="1" si="36"/>
        <v/>
      </c>
      <c r="F321" s="172" t="str">
        <f ca="1">IF(C321="","",[1]!S_DQ_CLOSE(D321,TODAY(),1))</f>
        <v/>
      </c>
      <c r="G321" s="173" t="str">
        <f ca="1">IF(C321="","",[1]!s_pq_pctchange(D321,TODAY()-$G$12,TODAY())/100)</f>
        <v/>
      </c>
      <c r="H321" s="249" t="str">
        <f ca="1">IF(C321="","",IF($H$11="收入",[1]!S_STM07_IS(D321,9,$G$5,$H$13)/$E$5,[1]!S_STM07_IS(D321,48,$G$5,$H$13)/$E$5))</f>
        <v/>
      </c>
      <c r="I321" s="249" t="str">
        <f ca="1">IF(C321="","",IF($I$11="毛利率",([1]!S_STM07_IS(D321,9,$G$5,$H$13)-[1]!S_STM07_IS(D321,10,$G$5,$H$13))/[1]!S_STM07_IS(D321,9,$G$5,$H$13),[1]!S_STM07_IS(D321,14,$G$5,$H$13)/$E$5))</f>
        <v/>
      </c>
      <c r="J321" s="249" t="str">
        <f ca="1">IF(C321="","",IF($J$11="营业利润率",[1]!S_STM07_IS(D321,48,$G$5,$H$13)/[1]!S_STM07_IS(D321,9,$G$5,$H$13),([1]!S_STM07_CS(D321,87,$G$5,$H$13)+[1]!S_STM07_CS(D321,88,$G$5,$H$13)+[1]!S_STM07_CS(D321,89,$G$5,$H$13))/$E$5))</f>
        <v/>
      </c>
      <c r="K321" s="249" t="str">
        <f ca="1">IF(C321="","",IF($K$11="净利润率",[1]!S_STM07_IS(D321,61,$G$5,$H$13)/[1]!S_STM07_IS(D321,9,$G$5,$H$13),[1]!S_STM07_IS(D321,55,$G$5,$H$13)/$E$5))</f>
        <v/>
      </c>
      <c r="L321" s="249" t="str">
        <f ca="1">IF(C321="","",IF($L$11="ROA",[1]!S_STM07_IS(D321,61,$G$5,$H$13)/[1]!S_STM07_BS(D321,74,$G$5,$H$13),1-[1]!S_STM07_IS(D321,61,$G$5,$H$13)/[1]!S_STM07_IS(D321,55,$G$5,$H$13)))</f>
        <v/>
      </c>
      <c r="M321" s="249" t="str">
        <f ca="1">IF(C321="","",IF($M$11="ROE",[1]!S_STM07_IS(D321,61,$G$5,$H$13)/[1]!S_STM07_BS(D321,141,$G$5,$H$13),([1]!S_STM07_BS(D321,25,$G$5,$H$13)-[1]!S_STM07_BS(D321,93,$G$5,$H$13))/$E$5))</f>
        <v/>
      </c>
      <c r="N321" s="250" t="str">
        <f ca="1">IF(C321="","",IF($N$11="EPS",[1]!S_STM07_IS(D321,61,$G$5,$H$13)/IF([1]!S_SHARE_TOTAL(D321,$G$5)=0,[1]!S_SHARE_TOTAL(D321,[1]!s_ipo_listeddate(D321)),[1]!S_SHARE_TOTAL(D321,$G$5)),([1]!S_STM07_BS(D321,75,$G$5,$H$13)+[1]!S_STM07_BS(D321,88,$G$5,$H$13)+[1]!S_STM07_BS(D321,94,$G$5,$H$13)+[1]!S_STM07_BS(D321,95,$G$5,$H$13))/$E$5))</f>
        <v/>
      </c>
      <c r="O321" s="250" t="str">
        <f ca="1">IF(C321="","",IF($O$11="BPS",[1]!S_STM07_BS(D321,141,$G$5,$H$13)/IF([1]!S_SHARE_TOTAL(D321,$G$5)=0,[1]!S_SHARE_TOTAL(D321,[1]!s_ipo_listeddate(D321)),[1]!S_SHARE_TOTAL(D321,$G$5)),[1]!S_STM07_CS(D321,49,$G$5,$H$13)/$E$5))</f>
        <v/>
      </c>
      <c r="P321" s="250" t="str">
        <f ca="1">IF(C321="","",IF($P$11="CFPS",[1]!S_STM07_CS(D321,84,$G$5,$H$13)/IF([1]!S_SHARE_TOTAL(D321,$G$5)=0,[1]!S_SHARE_TOTAL(D321,[1]!s_ipo_listeddate(D321)),[1]!S_SHARE_TOTAL(D321,$G$5)),[1]!S_STM07_CS(D321,84,$G$5,$H$13)/$E$5))</f>
        <v/>
      </c>
      <c r="Q321" s="198" t="str">
        <f ca="1">IF(C321="","",F321/([1]!S_STM07_IS(D321,61,$G$5,$H$13)/IF([1]!S_SHARE_TOTAL(D321,$G$5)=0,[1]!S_SHARE_TOTAL(D321,[1]!s_ipo_listeddate(D321)),[1]!S_SHARE_TOTAL(D321,$G$5))))</f>
        <v/>
      </c>
      <c r="R321" s="198" t="str">
        <f ca="1">IF(C321="","",F321/([1]!S_STM07_BS(D321,141,$G$5,$H$13)/IF([1]!S_SHARE_TOTAL(D321,$G$5)=0,[1]!S_SHARE_TOTAL(D321,[1]!s_ipo_listeddate(D321)),[1]!S_SHARE_TOTAL(D321,$G$5))))</f>
        <v/>
      </c>
      <c r="S321" s="249" t="str">
        <f ca="1">IF(C321="","",[1]!S_SHARE_TOTAL(D321,TODAY())/$E$5)</f>
        <v/>
      </c>
      <c r="T321" s="249" t="str">
        <f t="shared" ca="1" si="37"/>
        <v/>
      </c>
      <c r="U321" s="172" t="str">
        <f t="shared" ca="1" si="38"/>
        <v/>
      </c>
      <c r="V321" s="343" t="str">
        <f t="shared" ca="1" si="39"/>
        <v/>
      </c>
      <c r="W321" s="139"/>
      <c r="Y321" s="1"/>
    </row>
    <row r="322" spans="3:25" ht="12" customHeight="1">
      <c r="C322" s="342" t="str">
        <f t="shared" ca="1" si="34"/>
        <v/>
      </c>
      <c r="D322" s="153" t="str">
        <f t="shared" ca="1" si="35"/>
        <v/>
      </c>
      <c r="E322" s="153" t="str">
        <f t="shared" ca="1" si="36"/>
        <v/>
      </c>
      <c r="F322" s="170" t="str">
        <f ca="1">IF(C322="","",[1]!S_DQ_CLOSE(D322,TODAY(),1))</f>
        <v/>
      </c>
      <c r="G322" s="171" t="str">
        <f ca="1">IF(C322="","",[1]!s_pq_pctchange(D322,TODAY()-$G$12,TODAY())/100)</f>
        <v/>
      </c>
      <c r="H322" s="247" t="str">
        <f ca="1">IF(C322="","",IF($H$11="收入",[1]!S_STM07_IS(D322,9,$G$5,$H$13)/$E$5,[1]!S_STM07_IS(D322,48,$G$5,$H$13)/$E$5))</f>
        <v/>
      </c>
      <c r="I322" s="247" t="str">
        <f ca="1">IF(C322="","",IF($I$11="毛利率",([1]!S_STM07_IS(D322,9,$G$5,$H$13)-[1]!S_STM07_IS(D322,10,$G$5,$H$13))/[1]!S_STM07_IS(D322,9,$G$5,$H$13),[1]!S_STM07_IS(D322,14,$G$5,$H$13)/$E$5))</f>
        <v/>
      </c>
      <c r="J322" s="247" t="str">
        <f ca="1">IF(C322="","",IF($J$11="营业利润率",[1]!S_STM07_IS(D322,48,$G$5,$H$13)/[1]!S_STM07_IS(D322,9,$G$5,$H$13),([1]!S_STM07_CS(D322,87,$G$5,$H$13)+[1]!S_STM07_CS(D322,88,$G$5,$H$13)+[1]!S_STM07_CS(D322,89,$G$5,$H$13))/$E$5))</f>
        <v/>
      </c>
      <c r="K322" s="247" t="str">
        <f ca="1">IF(C322="","",IF($K$11="净利润率",[1]!S_STM07_IS(D322,61,$G$5,$H$13)/[1]!S_STM07_IS(D322,9,$G$5,$H$13),[1]!S_STM07_IS(D322,55,$G$5,$H$13)/$E$5))</f>
        <v/>
      </c>
      <c r="L322" s="247" t="str">
        <f ca="1">IF(C322="","",IF($L$11="ROA",[1]!S_STM07_IS(D322,61,$G$5,$H$13)/[1]!S_STM07_BS(D322,74,$G$5,$H$13),1-[1]!S_STM07_IS(D322,61,$G$5,$H$13)/[1]!S_STM07_IS(D322,55,$G$5,$H$13)))</f>
        <v/>
      </c>
      <c r="M322" s="247" t="str">
        <f ca="1">IF(C322="","",IF($M$11="ROE",[1]!S_STM07_IS(D322,61,$G$5,$H$13)/[1]!S_STM07_BS(D322,141,$G$5,$H$13),([1]!S_STM07_BS(D322,25,$G$5,$H$13)-[1]!S_STM07_BS(D322,93,$G$5,$H$13))/$E$5))</f>
        <v/>
      </c>
      <c r="N322" s="247" t="str">
        <f ca="1">IF(C322="","",IF($N$11="EPS",[1]!S_STM07_IS(D322,61,$G$5,$H$13)/IF([1]!S_SHARE_TOTAL(D322,$G$5)=0,[1]!S_SHARE_TOTAL(D322,[1]!s_ipo_listeddate(D322)),[1]!S_SHARE_TOTAL(D322,$G$5)),([1]!S_STM07_BS(D322,75,$G$5,$H$13)+[1]!S_STM07_BS(D322,88,$G$5,$H$13)+[1]!S_STM07_BS(D322,94,$G$5,$H$13)+[1]!S_STM07_BS(D322,95,$G$5,$H$13))/$E$5))</f>
        <v/>
      </c>
      <c r="O322" s="247" t="str">
        <f ca="1">IF(C322="","",IF($O$11="BPS",[1]!S_STM07_BS(D322,141,$G$5,$H$13)/IF([1]!S_SHARE_TOTAL(D322,$G$5)=0,[1]!S_SHARE_TOTAL(D322,[1]!s_ipo_listeddate(D322)),[1]!S_SHARE_TOTAL(D322,$G$5)),[1]!S_STM07_CS(D322,49,$G$5,$H$13)/$E$5))</f>
        <v/>
      </c>
      <c r="P322" s="247" t="str">
        <f ca="1">IF(C322="","",IF($P$11="CFPS",[1]!S_STM07_CS(D322,84,$G$5,$H$13)/IF([1]!S_SHARE_TOTAL(D322,$G$5)=0,[1]!S_SHARE_TOTAL(D322,[1]!s_ipo_listeddate(D322)),[1]!S_SHARE_TOTAL(D322,$G$5)),[1]!S_STM07_CS(D322,84,$G$5,$H$13)/$E$5))</f>
        <v/>
      </c>
      <c r="Q322" s="248" t="str">
        <f ca="1">IF(C322="","",F322/([1]!S_STM07_IS(D322,61,$G$5,$H$13)/IF([1]!S_SHARE_TOTAL(D322,$G$5)=0,[1]!S_SHARE_TOTAL(D322,[1]!s_ipo_listeddate(D322)),[1]!S_SHARE_TOTAL(D322,$G$5))))</f>
        <v/>
      </c>
      <c r="R322" s="248" t="str">
        <f ca="1">IF(C322="","",F322/([1]!S_STM07_BS(D322,141,$G$5,$H$13)/IF([1]!S_SHARE_TOTAL(D322,$G$5)=0,[1]!S_SHARE_TOTAL(D322,[1]!s_ipo_listeddate(D322)),[1]!S_SHARE_TOTAL(D322,$G$5))))</f>
        <v/>
      </c>
      <c r="S322" s="247" t="str">
        <f ca="1">IF(C322="","",[1]!S_SHARE_TOTAL(D322,TODAY())/$E$5)</f>
        <v/>
      </c>
      <c r="T322" s="247" t="str">
        <f t="shared" ca="1" si="37"/>
        <v/>
      </c>
      <c r="U322" s="218" t="str">
        <f t="shared" ca="1" si="38"/>
        <v/>
      </c>
      <c r="V322" s="342" t="str">
        <f t="shared" ca="1" si="39"/>
        <v/>
      </c>
      <c r="W322" s="139"/>
      <c r="Y322" s="1"/>
    </row>
    <row r="323" spans="3:25" ht="12" customHeight="1">
      <c r="C323" s="343" t="str">
        <f t="shared" ca="1" si="34"/>
        <v/>
      </c>
      <c r="D323" s="124" t="str">
        <f t="shared" ca="1" si="35"/>
        <v/>
      </c>
      <c r="E323" s="124" t="str">
        <f t="shared" ca="1" si="36"/>
        <v/>
      </c>
      <c r="F323" s="172" t="str">
        <f ca="1">IF(C323="","",[1]!S_DQ_CLOSE(D323,TODAY(),1))</f>
        <v/>
      </c>
      <c r="G323" s="173" t="str">
        <f ca="1">IF(C323="","",[1]!s_pq_pctchange(D323,TODAY()-$G$12,TODAY())/100)</f>
        <v/>
      </c>
      <c r="H323" s="249" t="str">
        <f ca="1">IF(C323="","",IF($H$11="收入",[1]!S_STM07_IS(D323,9,$G$5,$H$13)/$E$5,[1]!S_STM07_IS(D323,48,$G$5,$H$13)/$E$5))</f>
        <v/>
      </c>
      <c r="I323" s="249" t="str">
        <f ca="1">IF(C323="","",IF($I$11="毛利率",([1]!S_STM07_IS(D323,9,$G$5,$H$13)-[1]!S_STM07_IS(D323,10,$G$5,$H$13))/[1]!S_STM07_IS(D323,9,$G$5,$H$13),[1]!S_STM07_IS(D323,14,$G$5,$H$13)/$E$5))</f>
        <v/>
      </c>
      <c r="J323" s="249" t="str">
        <f ca="1">IF(C323="","",IF($J$11="营业利润率",[1]!S_STM07_IS(D323,48,$G$5,$H$13)/[1]!S_STM07_IS(D323,9,$G$5,$H$13),([1]!S_STM07_CS(D323,87,$G$5,$H$13)+[1]!S_STM07_CS(D323,88,$G$5,$H$13)+[1]!S_STM07_CS(D323,89,$G$5,$H$13))/$E$5))</f>
        <v/>
      </c>
      <c r="K323" s="249" t="str">
        <f ca="1">IF(C323="","",IF($K$11="净利润率",[1]!S_STM07_IS(D323,61,$G$5,$H$13)/[1]!S_STM07_IS(D323,9,$G$5,$H$13),[1]!S_STM07_IS(D323,55,$G$5,$H$13)/$E$5))</f>
        <v/>
      </c>
      <c r="L323" s="249" t="str">
        <f ca="1">IF(C323="","",IF($L$11="ROA",[1]!S_STM07_IS(D323,61,$G$5,$H$13)/[1]!S_STM07_BS(D323,74,$G$5,$H$13),1-[1]!S_STM07_IS(D323,61,$G$5,$H$13)/[1]!S_STM07_IS(D323,55,$G$5,$H$13)))</f>
        <v/>
      </c>
      <c r="M323" s="249" t="str">
        <f ca="1">IF(C323="","",IF($M$11="ROE",[1]!S_STM07_IS(D323,61,$G$5,$H$13)/[1]!S_STM07_BS(D323,141,$G$5,$H$13),([1]!S_STM07_BS(D323,25,$G$5,$H$13)-[1]!S_STM07_BS(D323,93,$G$5,$H$13))/$E$5))</f>
        <v/>
      </c>
      <c r="N323" s="250" t="str">
        <f ca="1">IF(C323="","",IF($N$11="EPS",[1]!S_STM07_IS(D323,61,$G$5,$H$13)/IF([1]!S_SHARE_TOTAL(D323,$G$5)=0,[1]!S_SHARE_TOTAL(D323,[1]!s_ipo_listeddate(D323)),[1]!S_SHARE_TOTAL(D323,$G$5)),([1]!S_STM07_BS(D323,75,$G$5,$H$13)+[1]!S_STM07_BS(D323,88,$G$5,$H$13)+[1]!S_STM07_BS(D323,94,$G$5,$H$13)+[1]!S_STM07_BS(D323,95,$G$5,$H$13))/$E$5))</f>
        <v/>
      </c>
      <c r="O323" s="250" t="str">
        <f ca="1">IF(C323="","",IF($O$11="BPS",[1]!S_STM07_BS(D323,141,$G$5,$H$13)/IF([1]!S_SHARE_TOTAL(D323,$G$5)=0,[1]!S_SHARE_TOTAL(D323,[1]!s_ipo_listeddate(D323)),[1]!S_SHARE_TOTAL(D323,$G$5)),[1]!S_STM07_CS(D323,49,$G$5,$H$13)/$E$5))</f>
        <v/>
      </c>
      <c r="P323" s="250" t="str">
        <f ca="1">IF(C323="","",IF($P$11="CFPS",[1]!S_STM07_CS(D323,84,$G$5,$H$13)/IF([1]!S_SHARE_TOTAL(D323,$G$5)=0,[1]!S_SHARE_TOTAL(D323,[1]!s_ipo_listeddate(D323)),[1]!S_SHARE_TOTAL(D323,$G$5)),[1]!S_STM07_CS(D323,84,$G$5,$H$13)/$E$5))</f>
        <v/>
      </c>
      <c r="Q323" s="198" t="str">
        <f ca="1">IF(C323="","",F323/([1]!S_STM07_IS(D323,61,$G$5,$H$13)/IF([1]!S_SHARE_TOTAL(D323,$G$5)=0,[1]!S_SHARE_TOTAL(D323,[1]!s_ipo_listeddate(D323)),[1]!S_SHARE_TOTAL(D323,$G$5))))</f>
        <v/>
      </c>
      <c r="R323" s="198" t="str">
        <f ca="1">IF(C323="","",F323/([1]!S_STM07_BS(D323,141,$G$5,$H$13)/IF([1]!S_SHARE_TOTAL(D323,$G$5)=0,[1]!S_SHARE_TOTAL(D323,[1]!s_ipo_listeddate(D323)),[1]!S_SHARE_TOTAL(D323,$G$5))))</f>
        <v/>
      </c>
      <c r="S323" s="249" t="str">
        <f ca="1">IF(C323="","",[1]!S_SHARE_TOTAL(D323,TODAY())/$E$5)</f>
        <v/>
      </c>
      <c r="T323" s="249" t="str">
        <f t="shared" ca="1" si="37"/>
        <v/>
      </c>
      <c r="U323" s="172" t="str">
        <f t="shared" ca="1" si="38"/>
        <v/>
      </c>
      <c r="V323" s="343" t="str">
        <f t="shared" ca="1" si="39"/>
        <v/>
      </c>
      <c r="W323" s="139"/>
      <c r="Y323" s="1"/>
    </row>
    <row r="324" spans="3:25" ht="12" customHeight="1">
      <c r="C324" s="342" t="str">
        <f t="shared" ca="1" si="34"/>
        <v/>
      </c>
      <c r="D324" s="153" t="str">
        <f t="shared" ca="1" si="35"/>
        <v/>
      </c>
      <c r="E324" s="153" t="str">
        <f t="shared" ca="1" si="36"/>
        <v/>
      </c>
      <c r="F324" s="170" t="str">
        <f ca="1">IF(C324="","",[1]!S_DQ_CLOSE(D324,TODAY(),1))</f>
        <v/>
      </c>
      <c r="G324" s="171" t="str">
        <f ca="1">IF(C324="","",[1]!s_pq_pctchange(D324,TODAY()-$G$12,TODAY())/100)</f>
        <v/>
      </c>
      <c r="H324" s="247" t="str">
        <f ca="1">IF(C324="","",IF($H$11="收入",[1]!S_STM07_IS(D324,9,$G$5,$H$13)/$E$5,[1]!S_STM07_IS(D324,48,$G$5,$H$13)/$E$5))</f>
        <v/>
      </c>
      <c r="I324" s="247" t="str">
        <f ca="1">IF(C324="","",IF($I$11="毛利率",([1]!S_STM07_IS(D324,9,$G$5,$H$13)-[1]!S_STM07_IS(D324,10,$G$5,$H$13))/[1]!S_STM07_IS(D324,9,$G$5,$H$13),[1]!S_STM07_IS(D324,14,$G$5,$H$13)/$E$5))</f>
        <v/>
      </c>
      <c r="J324" s="247" t="str">
        <f ca="1">IF(C324="","",IF($J$11="营业利润率",[1]!S_STM07_IS(D324,48,$G$5,$H$13)/[1]!S_STM07_IS(D324,9,$G$5,$H$13),([1]!S_STM07_CS(D324,87,$G$5,$H$13)+[1]!S_STM07_CS(D324,88,$G$5,$H$13)+[1]!S_STM07_CS(D324,89,$G$5,$H$13))/$E$5))</f>
        <v/>
      </c>
      <c r="K324" s="247" t="str">
        <f ca="1">IF(C324="","",IF($K$11="净利润率",[1]!S_STM07_IS(D324,61,$G$5,$H$13)/[1]!S_STM07_IS(D324,9,$G$5,$H$13),[1]!S_STM07_IS(D324,55,$G$5,$H$13)/$E$5))</f>
        <v/>
      </c>
      <c r="L324" s="247" t="str">
        <f ca="1">IF(C324="","",IF($L$11="ROA",[1]!S_STM07_IS(D324,61,$G$5,$H$13)/[1]!S_STM07_BS(D324,74,$G$5,$H$13),1-[1]!S_STM07_IS(D324,61,$G$5,$H$13)/[1]!S_STM07_IS(D324,55,$G$5,$H$13)))</f>
        <v/>
      </c>
      <c r="M324" s="247" t="str">
        <f ca="1">IF(C324="","",IF($M$11="ROE",[1]!S_STM07_IS(D324,61,$G$5,$H$13)/[1]!S_STM07_BS(D324,141,$G$5,$H$13),([1]!S_STM07_BS(D324,25,$G$5,$H$13)-[1]!S_STM07_BS(D324,93,$G$5,$H$13))/$E$5))</f>
        <v/>
      </c>
      <c r="N324" s="247" t="str">
        <f ca="1">IF(C324="","",IF($N$11="EPS",[1]!S_STM07_IS(D324,61,$G$5,$H$13)/IF([1]!S_SHARE_TOTAL(D324,$G$5)=0,[1]!S_SHARE_TOTAL(D324,[1]!s_ipo_listeddate(D324)),[1]!S_SHARE_TOTAL(D324,$G$5)),([1]!S_STM07_BS(D324,75,$G$5,$H$13)+[1]!S_STM07_BS(D324,88,$G$5,$H$13)+[1]!S_STM07_BS(D324,94,$G$5,$H$13)+[1]!S_STM07_BS(D324,95,$G$5,$H$13))/$E$5))</f>
        <v/>
      </c>
      <c r="O324" s="247" t="str">
        <f ca="1">IF(C324="","",IF($O$11="BPS",[1]!S_STM07_BS(D324,141,$G$5,$H$13)/IF([1]!S_SHARE_TOTAL(D324,$G$5)=0,[1]!S_SHARE_TOTAL(D324,[1]!s_ipo_listeddate(D324)),[1]!S_SHARE_TOTAL(D324,$G$5)),[1]!S_STM07_CS(D324,49,$G$5,$H$13)/$E$5))</f>
        <v/>
      </c>
      <c r="P324" s="247" t="str">
        <f ca="1">IF(C324="","",IF($P$11="CFPS",[1]!S_STM07_CS(D324,84,$G$5,$H$13)/IF([1]!S_SHARE_TOTAL(D324,$G$5)=0,[1]!S_SHARE_TOTAL(D324,[1]!s_ipo_listeddate(D324)),[1]!S_SHARE_TOTAL(D324,$G$5)),[1]!S_STM07_CS(D324,84,$G$5,$H$13)/$E$5))</f>
        <v/>
      </c>
      <c r="Q324" s="248" t="str">
        <f ca="1">IF(C324="","",F324/([1]!S_STM07_IS(D324,61,$G$5,$H$13)/IF([1]!S_SHARE_TOTAL(D324,$G$5)=0,[1]!S_SHARE_TOTAL(D324,[1]!s_ipo_listeddate(D324)),[1]!S_SHARE_TOTAL(D324,$G$5))))</f>
        <v/>
      </c>
      <c r="R324" s="248" t="str">
        <f ca="1">IF(C324="","",F324/([1]!S_STM07_BS(D324,141,$G$5,$H$13)/IF([1]!S_SHARE_TOTAL(D324,$G$5)=0,[1]!S_SHARE_TOTAL(D324,[1]!s_ipo_listeddate(D324)),[1]!S_SHARE_TOTAL(D324,$G$5))))</f>
        <v/>
      </c>
      <c r="S324" s="247" t="str">
        <f ca="1">IF(C324="","",[1]!S_SHARE_TOTAL(D324,TODAY())/$E$5)</f>
        <v/>
      </c>
      <c r="T324" s="247" t="str">
        <f t="shared" ca="1" si="37"/>
        <v/>
      </c>
      <c r="U324" s="218" t="str">
        <f t="shared" ca="1" si="38"/>
        <v/>
      </c>
      <c r="V324" s="342" t="str">
        <f t="shared" ca="1" si="39"/>
        <v/>
      </c>
      <c r="W324" s="139"/>
      <c r="Y324" s="1"/>
    </row>
    <row r="325" spans="3:25" ht="12" customHeight="1">
      <c r="C325" s="343" t="str">
        <f t="shared" ca="1" si="34"/>
        <v/>
      </c>
      <c r="D325" s="124" t="str">
        <f t="shared" ca="1" si="35"/>
        <v/>
      </c>
      <c r="E325" s="124" t="str">
        <f t="shared" ca="1" si="36"/>
        <v/>
      </c>
      <c r="F325" s="172" t="str">
        <f ca="1">IF(C325="","",[1]!S_DQ_CLOSE(D325,TODAY(),1))</f>
        <v/>
      </c>
      <c r="G325" s="173" t="str">
        <f ca="1">IF(C325="","",[1]!s_pq_pctchange(D325,TODAY()-$G$12,TODAY())/100)</f>
        <v/>
      </c>
      <c r="H325" s="249" t="str">
        <f ca="1">IF(C325="","",IF($H$11="收入",[1]!S_STM07_IS(D325,9,$G$5,$H$13)/$E$5,[1]!S_STM07_IS(D325,48,$G$5,$H$13)/$E$5))</f>
        <v/>
      </c>
      <c r="I325" s="249" t="str">
        <f ca="1">IF(C325="","",IF($I$11="毛利率",([1]!S_STM07_IS(D325,9,$G$5,$H$13)-[1]!S_STM07_IS(D325,10,$G$5,$H$13))/[1]!S_STM07_IS(D325,9,$G$5,$H$13),[1]!S_STM07_IS(D325,14,$G$5,$H$13)/$E$5))</f>
        <v/>
      </c>
      <c r="J325" s="249" t="str">
        <f ca="1">IF(C325="","",IF($J$11="营业利润率",[1]!S_STM07_IS(D325,48,$G$5,$H$13)/[1]!S_STM07_IS(D325,9,$G$5,$H$13),([1]!S_STM07_CS(D325,87,$G$5,$H$13)+[1]!S_STM07_CS(D325,88,$G$5,$H$13)+[1]!S_STM07_CS(D325,89,$G$5,$H$13))/$E$5))</f>
        <v/>
      </c>
      <c r="K325" s="249" t="str">
        <f ca="1">IF(C325="","",IF($K$11="净利润率",[1]!S_STM07_IS(D325,61,$G$5,$H$13)/[1]!S_STM07_IS(D325,9,$G$5,$H$13),[1]!S_STM07_IS(D325,55,$G$5,$H$13)/$E$5))</f>
        <v/>
      </c>
      <c r="L325" s="249" t="str">
        <f ca="1">IF(C325="","",IF($L$11="ROA",[1]!S_STM07_IS(D325,61,$G$5,$H$13)/[1]!S_STM07_BS(D325,74,$G$5,$H$13),1-[1]!S_STM07_IS(D325,61,$G$5,$H$13)/[1]!S_STM07_IS(D325,55,$G$5,$H$13)))</f>
        <v/>
      </c>
      <c r="M325" s="249" t="str">
        <f ca="1">IF(C325="","",IF($M$11="ROE",[1]!S_STM07_IS(D325,61,$G$5,$H$13)/[1]!S_STM07_BS(D325,141,$G$5,$H$13),([1]!S_STM07_BS(D325,25,$G$5,$H$13)-[1]!S_STM07_BS(D325,93,$G$5,$H$13))/$E$5))</f>
        <v/>
      </c>
      <c r="N325" s="250" t="str">
        <f ca="1">IF(C325="","",IF($N$11="EPS",[1]!S_STM07_IS(D325,61,$G$5,$H$13)/IF([1]!S_SHARE_TOTAL(D325,$G$5)=0,[1]!S_SHARE_TOTAL(D325,[1]!s_ipo_listeddate(D325)),[1]!S_SHARE_TOTAL(D325,$G$5)),([1]!S_STM07_BS(D325,75,$G$5,$H$13)+[1]!S_STM07_BS(D325,88,$G$5,$H$13)+[1]!S_STM07_BS(D325,94,$G$5,$H$13)+[1]!S_STM07_BS(D325,95,$G$5,$H$13))/$E$5))</f>
        <v/>
      </c>
      <c r="O325" s="250" t="str">
        <f ca="1">IF(C325="","",IF($O$11="BPS",[1]!S_STM07_BS(D325,141,$G$5,$H$13)/IF([1]!S_SHARE_TOTAL(D325,$G$5)=0,[1]!S_SHARE_TOTAL(D325,[1]!s_ipo_listeddate(D325)),[1]!S_SHARE_TOTAL(D325,$G$5)),[1]!S_STM07_CS(D325,49,$G$5,$H$13)/$E$5))</f>
        <v/>
      </c>
      <c r="P325" s="250" t="str">
        <f ca="1">IF(C325="","",IF($P$11="CFPS",[1]!S_STM07_CS(D325,84,$G$5,$H$13)/IF([1]!S_SHARE_TOTAL(D325,$G$5)=0,[1]!S_SHARE_TOTAL(D325,[1]!s_ipo_listeddate(D325)),[1]!S_SHARE_TOTAL(D325,$G$5)),[1]!S_STM07_CS(D325,84,$G$5,$H$13)/$E$5))</f>
        <v/>
      </c>
      <c r="Q325" s="198" t="str">
        <f ca="1">IF(C325="","",F325/([1]!S_STM07_IS(D325,61,$G$5,$H$13)/IF([1]!S_SHARE_TOTAL(D325,$G$5)=0,[1]!S_SHARE_TOTAL(D325,[1]!s_ipo_listeddate(D325)),[1]!S_SHARE_TOTAL(D325,$G$5))))</f>
        <v/>
      </c>
      <c r="R325" s="198" t="str">
        <f ca="1">IF(C325="","",F325/([1]!S_STM07_BS(D325,141,$G$5,$H$13)/IF([1]!S_SHARE_TOTAL(D325,$G$5)=0,[1]!S_SHARE_TOTAL(D325,[1]!s_ipo_listeddate(D325)),[1]!S_SHARE_TOTAL(D325,$G$5))))</f>
        <v/>
      </c>
      <c r="S325" s="249" t="str">
        <f ca="1">IF(C325="","",[1]!S_SHARE_TOTAL(D325,TODAY())/$E$5)</f>
        <v/>
      </c>
      <c r="T325" s="249" t="str">
        <f t="shared" ca="1" si="37"/>
        <v/>
      </c>
      <c r="U325" s="172" t="str">
        <f t="shared" ca="1" si="38"/>
        <v/>
      </c>
      <c r="V325" s="343" t="str">
        <f t="shared" ca="1" si="39"/>
        <v/>
      </c>
      <c r="W325" s="139"/>
      <c r="Y325" s="1"/>
    </row>
    <row r="326" spans="3:25" ht="12" customHeight="1">
      <c r="C326" s="342" t="str">
        <f t="shared" ca="1" si="34"/>
        <v/>
      </c>
      <c r="D326" s="153" t="str">
        <f t="shared" ca="1" si="35"/>
        <v/>
      </c>
      <c r="E326" s="153" t="str">
        <f t="shared" ca="1" si="36"/>
        <v/>
      </c>
      <c r="F326" s="170" t="str">
        <f ca="1">IF(C326="","",[1]!S_DQ_CLOSE(D326,TODAY(),1))</f>
        <v/>
      </c>
      <c r="G326" s="171" t="str">
        <f ca="1">IF(C326="","",[1]!s_pq_pctchange(D326,TODAY()-$G$12,TODAY())/100)</f>
        <v/>
      </c>
      <c r="H326" s="247" t="str">
        <f ca="1">IF(C326="","",IF($H$11="收入",[1]!S_STM07_IS(D326,9,$G$5,$H$13)/$E$5,[1]!S_STM07_IS(D326,48,$G$5,$H$13)/$E$5))</f>
        <v/>
      </c>
      <c r="I326" s="247" t="str">
        <f ca="1">IF(C326="","",IF($I$11="毛利率",([1]!S_STM07_IS(D326,9,$G$5,$H$13)-[1]!S_STM07_IS(D326,10,$G$5,$H$13))/[1]!S_STM07_IS(D326,9,$G$5,$H$13),[1]!S_STM07_IS(D326,14,$G$5,$H$13)/$E$5))</f>
        <v/>
      </c>
      <c r="J326" s="247" t="str">
        <f ca="1">IF(C326="","",IF($J$11="营业利润率",[1]!S_STM07_IS(D326,48,$G$5,$H$13)/[1]!S_STM07_IS(D326,9,$G$5,$H$13),([1]!S_STM07_CS(D326,87,$G$5,$H$13)+[1]!S_STM07_CS(D326,88,$G$5,$H$13)+[1]!S_STM07_CS(D326,89,$G$5,$H$13))/$E$5))</f>
        <v/>
      </c>
      <c r="K326" s="247" t="str">
        <f ca="1">IF(C326="","",IF($K$11="净利润率",[1]!S_STM07_IS(D326,61,$G$5,$H$13)/[1]!S_STM07_IS(D326,9,$G$5,$H$13),[1]!S_STM07_IS(D326,55,$G$5,$H$13)/$E$5))</f>
        <v/>
      </c>
      <c r="L326" s="247" t="str">
        <f ca="1">IF(C326="","",IF($L$11="ROA",[1]!S_STM07_IS(D326,61,$G$5,$H$13)/[1]!S_STM07_BS(D326,74,$G$5,$H$13),1-[1]!S_STM07_IS(D326,61,$G$5,$H$13)/[1]!S_STM07_IS(D326,55,$G$5,$H$13)))</f>
        <v/>
      </c>
      <c r="M326" s="247" t="str">
        <f ca="1">IF(C326="","",IF($M$11="ROE",[1]!S_STM07_IS(D326,61,$G$5,$H$13)/[1]!S_STM07_BS(D326,141,$G$5,$H$13),([1]!S_STM07_BS(D326,25,$G$5,$H$13)-[1]!S_STM07_BS(D326,93,$G$5,$H$13))/$E$5))</f>
        <v/>
      </c>
      <c r="N326" s="247" t="str">
        <f ca="1">IF(C326="","",IF($N$11="EPS",[1]!S_STM07_IS(D326,61,$G$5,$H$13)/IF([1]!S_SHARE_TOTAL(D326,$G$5)=0,[1]!S_SHARE_TOTAL(D326,[1]!s_ipo_listeddate(D326)),[1]!S_SHARE_TOTAL(D326,$G$5)),([1]!S_STM07_BS(D326,75,$G$5,$H$13)+[1]!S_STM07_BS(D326,88,$G$5,$H$13)+[1]!S_STM07_BS(D326,94,$G$5,$H$13)+[1]!S_STM07_BS(D326,95,$G$5,$H$13))/$E$5))</f>
        <v/>
      </c>
      <c r="O326" s="247" t="str">
        <f ca="1">IF(C326="","",IF($O$11="BPS",[1]!S_STM07_BS(D326,141,$G$5,$H$13)/IF([1]!S_SHARE_TOTAL(D326,$G$5)=0,[1]!S_SHARE_TOTAL(D326,[1]!s_ipo_listeddate(D326)),[1]!S_SHARE_TOTAL(D326,$G$5)),[1]!S_STM07_CS(D326,49,$G$5,$H$13)/$E$5))</f>
        <v/>
      </c>
      <c r="P326" s="247" t="str">
        <f ca="1">IF(C326="","",IF($P$11="CFPS",[1]!S_STM07_CS(D326,84,$G$5,$H$13)/IF([1]!S_SHARE_TOTAL(D326,$G$5)=0,[1]!S_SHARE_TOTAL(D326,[1]!s_ipo_listeddate(D326)),[1]!S_SHARE_TOTAL(D326,$G$5)),[1]!S_STM07_CS(D326,84,$G$5,$H$13)/$E$5))</f>
        <v/>
      </c>
      <c r="Q326" s="248" t="str">
        <f ca="1">IF(C326="","",F326/([1]!S_STM07_IS(D326,61,$G$5,$H$13)/IF([1]!S_SHARE_TOTAL(D326,$G$5)=0,[1]!S_SHARE_TOTAL(D326,[1]!s_ipo_listeddate(D326)),[1]!S_SHARE_TOTAL(D326,$G$5))))</f>
        <v/>
      </c>
      <c r="R326" s="248" t="str">
        <f ca="1">IF(C326="","",F326/([1]!S_STM07_BS(D326,141,$G$5,$H$13)/IF([1]!S_SHARE_TOTAL(D326,$G$5)=0,[1]!S_SHARE_TOTAL(D326,[1]!s_ipo_listeddate(D326)),[1]!S_SHARE_TOTAL(D326,$G$5))))</f>
        <v/>
      </c>
      <c r="S326" s="247" t="str">
        <f ca="1">IF(C326="","",[1]!S_SHARE_TOTAL(D326,TODAY())/$E$5)</f>
        <v/>
      </c>
      <c r="T326" s="247" t="str">
        <f t="shared" ca="1" si="37"/>
        <v/>
      </c>
      <c r="U326" s="218" t="str">
        <f t="shared" ca="1" si="38"/>
        <v/>
      </c>
      <c r="V326" s="342" t="str">
        <f t="shared" ca="1" si="39"/>
        <v/>
      </c>
      <c r="W326" s="139"/>
      <c r="Y326" s="1"/>
    </row>
    <row r="327" spans="3:25" ht="12" customHeight="1">
      <c r="C327" s="343" t="str">
        <f t="shared" ca="1" si="34"/>
        <v/>
      </c>
      <c r="D327" s="124" t="str">
        <f t="shared" ca="1" si="35"/>
        <v/>
      </c>
      <c r="E327" s="124" t="str">
        <f t="shared" ca="1" si="36"/>
        <v/>
      </c>
      <c r="F327" s="172" t="str">
        <f ca="1">IF(C327="","",[1]!S_DQ_CLOSE(D327,TODAY(),1))</f>
        <v/>
      </c>
      <c r="G327" s="173" t="str">
        <f ca="1">IF(C327="","",[1]!s_pq_pctchange(D327,TODAY()-$G$12,TODAY())/100)</f>
        <v/>
      </c>
      <c r="H327" s="249" t="str">
        <f ca="1">IF(C327="","",IF($H$11="收入",[1]!S_STM07_IS(D327,9,$G$5,$H$13)/$E$5,[1]!S_STM07_IS(D327,48,$G$5,$H$13)/$E$5))</f>
        <v/>
      </c>
      <c r="I327" s="249" t="str">
        <f ca="1">IF(C327="","",IF($I$11="毛利率",([1]!S_STM07_IS(D327,9,$G$5,$H$13)-[1]!S_STM07_IS(D327,10,$G$5,$H$13))/[1]!S_STM07_IS(D327,9,$G$5,$H$13),[1]!S_STM07_IS(D327,14,$G$5,$H$13)/$E$5))</f>
        <v/>
      </c>
      <c r="J327" s="249" t="str">
        <f ca="1">IF(C327="","",IF($J$11="营业利润率",[1]!S_STM07_IS(D327,48,$G$5,$H$13)/[1]!S_STM07_IS(D327,9,$G$5,$H$13),([1]!S_STM07_CS(D327,87,$G$5,$H$13)+[1]!S_STM07_CS(D327,88,$G$5,$H$13)+[1]!S_STM07_CS(D327,89,$G$5,$H$13))/$E$5))</f>
        <v/>
      </c>
      <c r="K327" s="249" t="str">
        <f ca="1">IF(C327="","",IF($K$11="净利润率",[1]!S_STM07_IS(D327,61,$G$5,$H$13)/[1]!S_STM07_IS(D327,9,$G$5,$H$13),[1]!S_STM07_IS(D327,55,$G$5,$H$13)/$E$5))</f>
        <v/>
      </c>
      <c r="L327" s="249" t="str">
        <f ca="1">IF(C327="","",IF($L$11="ROA",[1]!S_STM07_IS(D327,61,$G$5,$H$13)/[1]!S_STM07_BS(D327,74,$G$5,$H$13),1-[1]!S_STM07_IS(D327,61,$G$5,$H$13)/[1]!S_STM07_IS(D327,55,$G$5,$H$13)))</f>
        <v/>
      </c>
      <c r="M327" s="249" t="str">
        <f ca="1">IF(C327="","",IF($M$11="ROE",[1]!S_STM07_IS(D327,61,$G$5,$H$13)/[1]!S_STM07_BS(D327,141,$G$5,$H$13),([1]!S_STM07_BS(D327,25,$G$5,$H$13)-[1]!S_STM07_BS(D327,93,$G$5,$H$13))/$E$5))</f>
        <v/>
      </c>
      <c r="N327" s="250" t="str">
        <f ca="1">IF(C327="","",IF($N$11="EPS",[1]!S_STM07_IS(D327,61,$G$5,$H$13)/IF([1]!S_SHARE_TOTAL(D327,$G$5)=0,[1]!S_SHARE_TOTAL(D327,[1]!s_ipo_listeddate(D327)),[1]!S_SHARE_TOTAL(D327,$G$5)),([1]!S_STM07_BS(D327,75,$G$5,$H$13)+[1]!S_STM07_BS(D327,88,$G$5,$H$13)+[1]!S_STM07_BS(D327,94,$G$5,$H$13)+[1]!S_STM07_BS(D327,95,$G$5,$H$13))/$E$5))</f>
        <v/>
      </c>
      <c r="O327" s="250" t="str">
        <f ca="1">IF(C327="","",IF($O$11="BPS",[1]!S_STM07_BS(D327,141,$G$5,$H$13)/IF([1]!S_SHARE_TOTAL(D327,$G$5)=0,[1]!S_SHARE_TOTAL(D327,[1]!s_ipo_listeddate(D327)),[1]!S_SHARE_TOTAL(D327,$G$5)),[1]!S_STM07_CS(D327,49,$G$5,$H$13)/$E$5))</f>
        <v/>
      </c>
      <c r="P327" s="250" t="str">
        <f ca="1">IF(C327="","",IF($P$11="CFPS",[1]!S_STM07_CS(D327,84,$G$5,$H$13)/IF([1]!S_SHARE_TOTAL(D327,$G$5)=0,[1]!S_SHARE_TOTAL(D327,[1]!s_ipo_listeddate(D327)),[1]!S_SHARE_TOTAL(D327,$G$5)),[1]!S_STM07_CS(D327,84,$G$5,$H$13)/$E$5))</f>
        <v/>
      </c>
      <c r="Q327" s="198" t="str">
        <f ca="1">IF(C327="","",F327/([1]!S_STM07_IS(D327,61,$G$5,$H$13)/IF([1]!S_SHARE_TOTAL(D327,$G$5)=0,[1]!S_SHARE_TOTAL(D327,[1]!s_ipo_listeddate(D327)),[1]!S_SHARE_TOTAL(D327,$G$5))))</f>
        <v/>
      </c>
      <c r="R327" s="198" t="str">
        <f ca="1">IF(C327="","",F327/([1]!S_STM07_BS(D327,141,$G$5,$H$13)/IF([1]!S_SHARE_TOTAL(D327,$G$5)=0,[1]!S_SHARE_TOTAL(D327,[1]!s_ipo_listeddate(D327)),[1]!S_SHARE_TOTAL(D327,$G$5))))</f>
        <v/>
      </c>
      <c r="S327" s="249" t="str">
        <f ca="1">IF(C327="","",[1]!S_SHARE_TOTAL(D327,TODAY())/$E$5)</f>
        <v/>
      </c>
      <c r="T327" s="249" t="str">
        <f t="shared" ca="1" si="37"/>
        <v/>
      </c>
      <c r="U327" s="172" t="str">
        <f t="shared" ca="1" si="38"/>
        <v/>
      </c>
      <c r="V327" s="343" t="str">
        <f t="shared" ca="1" si="39"/>
        <v/>
      </c>
      <c r="W327" s="139"/>
      <c r="Y327" s="1"/>
    </row>
    <row r="328" spans="3:25" ht="12" customHeight="1">
      <c r="C328" s="342" t="str">
        <f t="shared" ca="1" si="34"/>
        <v/>
      </c>
      <c r="D328" s="153" t="str">
        <f t="shared" ca="1" si="35"/>
        <v/>
      </c>
      <c r="E328" s="153" t="str">
        <f t="shared" ca="1" si="36"/>
        <v/>
      </c>
      <c r="F328" s="170" t="str">
        <f ca="1">IF(C328="","",[1]!S_DQ_CLOSE(D328,TODAY(),1))</f>
        <v/>
      </c>
      <c r="G328" s="171" t="str">
        <f ca="1">IF(C328="","",[1]!s_pq_pctchange(D328,TODAY()-$G$12,TODAY())/100)</f>
        <v/>
      </c>
      <c r="H328" s="247" t="str">
        <f ca="1">IF(C328="","",IF($H$11="收入",[1]!S_STM07_IS(D328,9,$G$5,$H$13)/$E$5,[1]!S_STM07_IS(D328,48,$G$5,$H$13)/$E$5))</f>
        <v/>
      </c>
      <c r="I328" s="247" t="str">
        <f ca="1">IF(C328="","",IF($I$11="毛利率",([1]!S_STM07_IS(D328,9,$G$5,$H$13)-[1]!S_STM07_IS(D328,10,$G$5,$H$13))/[1]!S_STM07_IS(D328,9,$G$5,$H$13),[1]!S_STM07_IS(D328,14,$G$5,$H$13)/$E$5))</f>
        <v/>
      </c>
      <c r="J328" s="247" t="str">
        <f ca="1">IF(C328="","",IF($J$11="营业利润率",[1]!S_STM07_IS(D328,48,$G$5,$H$13)/[1]!S_STM07_IS(D328,9,$G$5,$H$13),([1]!S_STM07_CS(D328,87,$G$5,$H$13)+[1]!S_STM07_CS(D328,88,$G$5,$H$13)+[1]!S_STM07_CS(D328,89,$G$5,$H$13))/$E$5))</f>
        <v/>
      </c>
      <c r="K328" s="247" t="str">
        <f ca="1">IF(C328="","",IF($K$11="净利润率",[1]!S_STM07_IS(D328,61,$G$5,$H$13)/[1]!S_STM07_IS(D328,9,$G$5,$H$13),[1]!S_STM07_IS(D328,55,$G$5,$H$13)/$E$5))</f>
        <v/>
      </c>
      <c r="L328" s="247" t="str">
        <f ca="1">IF(C328="","",IF($L$11="ROA",[1]!S_STM07_IS(D328,61,$G$5,$H$13)/[1]!S_STM07_BS(D328,74,$G$5,$H$13),1-[1]!S_STM07_IS(D328,61,$G$5,$H$13)/[1]!S_STM07_IS(D328,55,$G$5,$H$13)))</f>
        <v/>
      </c>
      <c r="M328" s="247" t="str">
        <f ca="1">IF(C328="","",IF($M$11="ROE",[1]!S_STM07_IS(D328,61,$G$5,$H$13)/[1]!S_STM07_BS(D328,141,$G$5,$H$13),([1]!S_STM07_BS(D328,25,$G$5,$H$13)-[1]!S_STM07_BS(D328,93,$G$5,$H$13))/$E$5))</f>
        <v/>
      </c>
      <c r="N328" s="247" t="str">
        <f ca="1">IF(C328="","",IF($N$11="EPS",[1]!S_STM07_IS(D328,61,$G$5,$H$13)/IF([1]!S_SHARE_TOTAL(D328,$G$5)=0,[1]!S_SHARE_TOTAL(D328,[1]!s_ipo_listeddate(D328)),[1]!S_SHARE_TOTAL(D328,$G$5)),([1]!S_STM07_BS(D328,75,$G$5,$H$13)+[1]!S_STM07_BS(D328,88,$G$5,$H$13)+[1]!S_STM07_BS(D328,94,$G$5,$H$13)+[1]!S_STM07_BS(D328,95,$G$5,$H$13))/$E$5))</f>
        <v/>
      </c>
      <c r="O328" s="247" t="str">
        <f ca="1">IF(C328="","",IF($O$11="BPS",[1]!S_STM07_BS(D328,141,$G$5,$H$13)/IF([1]!S_SHARE_TOTAL(D328,$G$5)=0,[1]!S_SHARE_TOTAL(D328,[1]!s_ipo_listeddate(D328)),[1]!S_SHARE_TOTAL(D328,$G$5)),[1]!S_STM07_CS(D328,49,$G$5,$H$13)/$E$5))</f>
        <v/>
      </c>
      <c r="P328" s="247" t="str">
        <f ca="1">IF(C328="","",IF($P$11="CFPS",[1]!S_STM07_CS(D328,84,$G$5,$H$13)/IF([1]!S_SHARE_TOTAL(D328,$G$5)=0,[1]!S_SHARE_TOTAL(D328,[1]!s_ipo_listeddate(D328)),[1]!S_SHARE_TOTAL(D328,$G$5)),[1]!S_STM07_CS(D328,84,$G$5,$H$13)/$E$5))</f>
        <v/>
      </c>
      <c r="Q328" s="248" t="str">
        <f ca="1">IF(C328="","",F328/([1]!S_STM07_IS(D328,61,$G$5,$H$13)/IF([1]!S_SHARE_TOTAL(D328,$G$5)=0,[1]!S_SHARE_TOTAL(D328,[1]!s_ipo_listeddate(D328)),[1]!S_SHARE_TOTAL(D328,$G$5))))</f>
        <v/>
      </c>
      <c r="R328" s="248" t="str">
        <f ca="1">IF(C328="","",F328/([1]!S_STM07_BS(D328,141,$G$5,$H$13)/IF([1]!S_SHARE_TOTAL(D328,$G$5)=0,[1]!S_SHARE_TOTAL(D328,[1]!s_ipo_listeddate(D328)),[1]!S_SHARE_TOTAL(D328,$G$5))))</f>
        <v/>
      </c>
      <c r="S328" s="247" t="str">
        <f ca="1">IF(C328="","",[1]!S_SHARE_TOTAL(D328,TODAY())/$E$5)</f>
        <v/>
      </c>
      <c r="T328" s="247" t="str">
        <f t="shared" ca="1" si="37"/>
        <v/>
      </c>
      <c r="U328" s="218" t="str">
        <f t="shared" ca="1" si="38"/>
        <v/>
      </c>
      <c r="V328" s="342" t="str">
        <f t="shared" ca="1" si="39"/>
        <v/>
      </c>
      <c r="W328" s="139"/>
      <c r="Y328" s="1"/>
    </row>
    <row r="329" spans="3:25" ht="12" customHeight="1">
      <c r="C329" s="343" t="str">
        <f t="shared" ca="1" si="34"/>
        <v/>
      </c>
      <c r="D329" s="124" t="str">
        <f t="shared" ca="1" si="35"/>
        <v/>
      </c>
      <c r="E329" s="124" t="str">
        <f t="shared" ca="1" si="36"/>
        <v/>
      </c>
      <c r="F329" s="172" t="str">
        <f ca="1">IF(C329="","",[1]!S_DQ_CLOSE(D329,TODAY(),1))</f>
        <v/>
      </c>
      <c r="G329" s="173" t="str">
        <f ca="1">IF(C329="","",[1]!s_pq_pctchange(D329,TODAY()-$G$12,TODAY())/100)</f>
        <v/>
      </c>
      <c r="H329" s="249" t="str">
        <f ca="1">IF(C329="","",IF($H$11="收入",[1]!S_STM07_IS(D329,9,$G$5,$H$13)/$E$5,[1]!S_STM07_IS(D329,48,$G$5,$H$13)/$E$5))</f>
        <v/>
      </c>
      <c r="I329" s="249" t="str">
        <f ca="1">IF(C329="","",IF($I$11="毛利率",([1]!S_STM07_IS(D329,9,$G$5,$H$13)-[1]!S_STM07_IS(D329,10,$G$5,$H$13))/[1]!S_STM07_IS(D329,9,$G$5,$H$13),[1]!S_STM07_IS(D329,14,$G$5,$H$13)/$E$5))</f>
        <v/>
      </c>
      <c r="J329" s="249" t="str">
        <f ca="1">IF(C329="","",IF($J$11="营业利润率",[1]!S_STM07_IS(D329,48,$G$5,$H$13)/[1]!S_STM07_IS(D329,9,$G$5,$H$13),([1]!S_STM07_CS(D329,87,$G$5,$H$13)+[1]!S_STM07_CS(D329,88,$G$5,$H$13)+[1]!S_STM07_CS(D329,89,$G$5,$H$13))/$E$5))</f>
        <v/>
      </c>
      <c r="K329" s="249" t="str">
        <f ca="1">IF(C329="","",IF($K$11="净利润率",[1]!S_STM07_IS(D329,61,$G$5,$H$13)/[1]!S_STM07_IS(D329,9,$G$5,$H$13),[1]!S_STM07_IS(D329,55,$G$5,$H$13)/$E$5))</f>
        <v/>
      </c>
      <c r="L329" s="249" t="str">
        <f ca="1">IF(C329="","",IF($L$11="ROA",[1]!S_STM07_IS(D329,61,$G$5,$H$13)/[1]!S_STM07_BS(D329,74,$G$5,$H$13),1-[1]!S_STM07_IS(D329,61,$G$5,$H$13)/[1]!S_STM07_IS(D329,55,$G$5,$H$13)))</f>
        <v/>
      </c>
      <c r="M329" s="249" t="str">
        <f ca="1">IF(C329="","",IF($M$11="ROE",[1]!S_STM07_IS(D329,61,$G$5,$H$13)/[1]!S_STM07_BS(D329,141,$G$5,$H$13),([1]!S_STM07_BS(D329,25,$G$5,$H$13)-[1]!S_STM07_BS(D329,93,$G$5,$H$13))/$E$5))</f>
        <v/>
      </c>
      <c r="N329" s="250" t="str">
        <f ca="1">IF(C329="","",IF($N$11="EPS",[1]!S_STM07_IS(D329,61,$G$5,$H$13)/IF([1]!S_SHARE_TOTAL(D329,$G$5)=0,[1]!S_SHARE_TOTAL(D329,[1]!s_ipo_listeddate(D329)),[1]!S_SHARE_TOTAL(D329,$G$5)),([1]!S_STM07_BS(D329,75,$G$5,$H$13)+[1]!S_STM07_BS(D329,88,$G$5,$H$13)+[1]!S_STM07_BS(D329,94,$G$5,$H$13)+[1]!S_STM07_BS(D329,95,$G$5,$H$13))/$E$5))</f>
        <v/>
      </c>
      <c r="O329" s="250" t="str">
        <f ca="1">IF(C329="","",IF($O$11="BPS",[1]!S_STM07_BS(D329,141,$G$5,$H$13)/IF([1]!S_SHARE_TOTAL(D329,$G$5)=0,[1]!S_SHARE_TOTAL(D329,[1]!s_ipo_listeddate(D329)),[1]!S_SHARE_TOTAL(D329,$G$5)),[1]!S_STM07_CS(D329,49,$G$5,$H$13)/$E$5))</f>
        <v/>
      </c>
      <c r="P329" s="250" t="str">
        <f ca="1">IF(C329="","",IF($P$11="CFPS",[1]!S_STM07_CS(D329,84,$G$5,$H$13)/IF([1]!S_SHARE_TOTAL(D329,$G$5)=0,[1]!S_SHARE_TOTAL(D329,[1]!s_ipo_listeddate(D329)),[1]!S_SHARE_TOTAL(D329,$G$5)),[1]!S_STM07_CS(D329,84,$G$5,$H$13)/$E$5))</f>
        <v/>
      </c>
      <c r="Q329" s="198" t="str">
        <f ca="1">IF(C329="","",F329/([1]!S_STM07_IS(D329,61,$G$5,$H$13)/IF([1]!S_SHARE_TOTAL(D329,$G$5)=0,[1]!S_SHARE_TOTAL(D329,[1]!s_ipo_listeddate(D329)),[1]!S_SHARE_TOTAL(D329,$G$5))))</f>
        <v/>
      </c>
      <c r="R329" s="198" t="str">
        <f ca="1">IF(C329="","",F329/([1]!S_STM07_BS(D329,141,$G$5,$H$13)/IF([1]!S_SHARE_TOTAL(D329,$G$5)=0,[1]!S_SHARE_TOTAL(D329,[1]!s_ipo_listeddate(D329)),[1]!S_SHARE_TOTAL(D329,$G$5))))</f>
        <v/>
      </c>
      <c r="S329" s="249" t="str">
        <f ca="1">IF(C329="","",[1]!S_SHARE_TOTAL(D329,TODAY())/$E$5)</f>
        <v/>
      </c>
      <c r="T329" s="249" t="str">
        <f t="shared" ca="1" si="37"/>
        <v/>
      </c>
      <c r="U329" s="172" t="str">
        <f t="shared" ca="1" si="38"/>
        <v/>
      </c>
      <c r="V329" s="343" t="str">
        <f t="shared" ca="1" si="39"/>
        <v/>
      </c>
      <c r="W329" s="139"/>
      <c r="Y329" s="1"/>
    </row>
    <row r="330" spans="3:25" ht="12" customHeight="1">
      <c r="C330" s="342" t="str">
        <f t="shared" ca="1" si="34"/>
        <v/>
      </c>
      <c r="D330" s="153" t="str">
        <f t="shared" ca="1" si="35"/>
        <v/>
      </c>
      <c r="E330" s="153" t="str">
        <f t="shared" ca="1" si="36"/>
        <v/>
      </c>
      <c r="F330" s="170" t="str">
        <f ca="1">IF(C330="","",[1]!S_DQ_CLOSE(D330,TODAY(),1))</f>
        <v/>
      </c>
      <c r="G330" s="171" t="str">
        <f ca="1">IF(C330="","",[1]!s_pq_pctchange(D330,TODAY()-$G$12,TODAY())/100)</f>
        <v/>
      </c>
      <c r="H330" s="247" t="str">
        <f ca="1">IF(C330="","",IF($H$11="收入",[1]!S_STM07_IS(D330,9,$G$5,$H$13)/$E$5,[1]!S_STM07_IS(D330,48,$G$5,$H$13)/$E$5))</f>
        <v/>
      </c>
      <c r="I330" s="247" t="str">
        <f ca="1">IF(C330="","",IF($I$11="毛利率",([1]!S_STM07_IS(D330,9,$G$5,$H$13)-[1]!S_STM07_IS(D330,10,$G$5,$H$13))/[1]!S_STM07_IS(D330,9,$G$5,$H$13),[1]!S_STM07_IS(D330,14,$G$5,$H$13)/$E$5))</f>
        <v/>
      </c>
      <c r="J330" s="247" t="str">
        <f ca="1">IF(C330="","",IF($J$11="营业利润率",[1]!S_STM07_IS(D330,48,$G$5,$H$13)/[1]!S_STM07_IS(D330,9,$G$5,$H$13),([1]!S_STM07_CS(D330,87,$G$5,$H$13)+[1]!S_STM07_CS(D330,88,$G$5,$H$13)+[1]!S_STM07_CS(D330,89,$G$5,$H$13))/$E$5))</f>
        <v/>
      </c>
      <c r="K330" s="247" t="str">
        <f ca="1">IF(C330="","",IF($K$11="净利润率",[1]!S_STM07_IS(D330,61,$G$5,$H$13)/[1]!S_STM07_IS(D330,9,$G$5,$H$13),[1]!S_STM07_IS(D330,55,$G$5,$H$13)/$E$5))</f>
        <v/>
      </c>
      <c r="L330" s="247" t="str">
        <f ca="1">IF(C330="","",IF($L$11="ROA",[1]!S_STM07_IS(D330,61,$G$5,$H$13)/[1]!S_STM07_BS(D330,74,$G$5,$H$13),1-[1]!S_STM07_IS(D330,61,$G$5,$H$13)/[1]!S_STM07_IS(D330,55,$G$5,$H$13)))</f>
        <v/>
      </c>
      <c r="M330" s="247" t="str">
        <f ca="1">IF(C330="","",IF($M$11="ROE",[1]!S_STM07_IS(D330,61,$G$5,$H$13)/[1]!S_STM07_BS(D330,141,$G$5,$H$13),([1]!S_STM07_BS(D330,25,$G$5,$H$13)-[1]!S_STM07_BS(D330,93,$G$5,$H$13))/$E$5))</f>
        <v/>
      </c>
      <c r="N330" s="247" t="str">
        <f ca="1">IF(C330="","",IF($N$11="EPS",[1]!S_STM07_IS(D330,61,$G$5,$H$13)/IF([1]!S_SHARE_TOTAL(D330,$G$5)=0,[1]!S_SHARE_TOTAL(D330,[1]!s_ipo_listeddate(D330)),[1]!S_SHARE_TOTAL(D330,$G$5)),([1]!S_STM07_BS(D330,75,$G$5,$H$13)+[1]!S_STM07_BS(D330,88,$G$5,$H$13)+[1]!S_STM07_BS(D330,94,$G$5,$H$13)+[1]!S_STM07_BS(D330,95,$G$5,$H$13))/$E$5))</f>
        <v/>
      </c>
      <c r="O330" s="247" t="str">
        <f ca="1">IF(C330="","",IF($O$11="BPS",[1]!S_STM07_BS(D330,141,$G$5,$H$13)/IF([1]!S_SHARE_TOTAL(D330,$G$5)=0,[1]!S_SHARE_TOTAL(D330,[1]!s_ipo_listeddate(D330)),[1]!S_SHARE_TOTAL(D330,$G$5)),[1]!S_STM07_CS(D330,49,$G$5,$H$13)/$E$5))</f>
        <v/>
      </c>
      <c r="P330" s="247" t="str">
        <f ca="1">IF(C330="","",IF($P$11="CFPS",[1]!S_STM07_CS(D330,84,$G$5,$H$13)/IF([1]!S_SHARE_TOTAL(D330,$G$5)=0,[1]!S_SHARE_TOTAL(D330,[1]!s_ipo_listeddate(D330)),[1]!S_SHARE_TOTAL(D330,$G$5)),[1]!S_STM07_CS(D330,84,$G$5,$H$13)/$E$5))</f>
        <v/>
      </c>
      <c r="Q330" s="248" t="str">
        <f ca="1">IF(C330="","",F330/([1]!S_STM07_IS(D330,61,$G$5,$H$13)/IF([1]!S_SHARE_TOTAL(D330,$G$5)=0,[1]!S_SHARE_TOTAL(D330,[1]!s_ipo_listeddate(D330)),[1]!S_SHARE_TOTAL(D330,$G$5))))</f>
        <v/>
      </c>
      <c r="R330" s="248" t="str">
        <f ca="1">IF(C330="","",F330/([1]!S_STM07_BS(D330,141,$G$5,$H$13)/IF([1]!S_SHARE_TOTAL(D330,$G$5)=0,[1]!S_SHARE_TOTAL(D330,[1]!s_ipo_listeddate(D330)),[1]!S_SHARE_TOTAL(D330,$G$5))))</f>
        <v/>
      </c>
      <c r="S330" s="247" t="str">
        <f ca="1">IF(C330="","",[1]!S_SHARE_TOTAL(D330,TODAY())/$E$5)</f>
        <v/>
      </c>
      <c r="T330" s="247" t="str">
        <f t="shared" ca="1" si="37"/>
        <v/>
      </c>
      <c r="U330" s="218" t="str">
        <f t="shared" ca="1" si="38"/>
        <v/>
      </c>
      <c r="V330" s="342" t="str">
        <f t="shared" ca="1" si="39"/>
        <v/>
      </c>
      <c r="W330" s="139"/>
      <c r="Y330" s="1"/>
    </row>
    <row r="331" spans="3:25" ht="12" customHeight="1">
      <c r="C331" s="343" t="str">
        <f t="shared" ca="1" si="34"/>
        <v/>
      </c>
      <c r="D331" s="124" t="str">
        <f t="shared" ca="1" si="35"/>
        <v/>
      </c>
      <c r="E331" s="124" t="str">
        <f t="shared" ca="1" si="36"/>
        <v/>
      </c>
      <c r="F331" s="172" t="str">
        <f ca="1">IF(C331="","",[1]!S_DQ_CLOSE(D331,TODAY(),1))</f>
        <v/>
      </c>
      <c r="G331" s="173" t="str">
        <f ca="1">IF(C331="","",[1]!s_pq_pctchange(D331,TODAY()-$G$12,TODAY())/100)</f>
        <v/>
      </c>
      <c r="H331" s="249" t="str">
        <f ca="1">IF(C331="","",IF($H$11="收入",[1]!S_STM07_IS(D331,9,$G$5,$H$13)/$E$5,[1]!S_STM07_IS(D331,48,$G$5,$H$13)/$E$5))</f>
        <v/>
      </c>
      <c r="I331" s="249" t="str">
        <f ca="1">IF(C331="","",IF($I$11="毛利率",([1]!S_STM07_IS(D331,9,$G$5,$H$13)-[1]!S_STM07_IS(D331,10,$G$5,$H$13))/[1]!S_STM07_IS(D331,9,$G$5,$H$13),[1]!S_STM07_IS(D331,14,$G$5,$H$13)/$E$5))</f>
        <v/>
      </c>
      <c r="J331" s="249" t="str">
        <f ca="1">IF(C331="","",IF($J$11="营业利润率",[1]!S_STM07_IS(D331,48,$G$5,$H$13)/[1]!S_STM07_IS(D331,9,$G$5,$H$13),([1]!S_STM07_CS(D331,87,$G$5,$H$13)+[1]!S_STM07_CS(D331,88,$G$5,$H$13)+[1]!S_STM07_CS(D331,89,$G$5,$H$13))/$E$5))</f>
        <v/>
      </c>
      <c r="K331" s="249" t="str">
        <f ca="1">IF(C331="","",IF($K$11="净利润率",[1]!S_STM07_IS(D331,61,$G$5,$H$13)/[1]!S_STM07_IS(D331,9,$G$5,$H$13),[1]!S_STM07_IS(D331,55,$G$5,$H$13)/$E$5))</f>
        <v/>
      </c>
      <c r="L331" s="249" t="str">
        <f ca="1">IF(C331="","",IF($L$11="ROA",[1]!S_STM07_IS(D331,61,$G$5,$H$13)/[1]!S_STM07_BS(D331,74,$G$5,$H$13),1-[1]!S_STM07_IS(D331,61,$G$5,$H$13)/[1]!S_STM07_IS(D331,55,$G$5,$H$13)))</f>
        <v/>
      </c>
      <c r="M331" s="249" t="str">
        <f ca="1">IF(C331="","",IF($M$11="ROE",[1]!S_STM07_IS(D331,61,$G$5,$H$13)/[1]!S_STM07_BS(D331,141,$G$5,$H$13),([1]!S_STM07_BS(D331,25,$G$5,$H$13)-[1]!S_STM07_BS(D331,93,$G$5,$H$13))/$E$5))</f>
        <v/>
      </c>
      <c r="N331" s="250" t="str">
        <f ca="1">IF(C331="","",IF($N$11="EPS",[1]!S_STM07_IS(D331,61,$G$5,$H$13)/IF([1]!S_SHARE_TOTAL(D331,$G$5)=0,[1]!S_SHARE_TOTAL(D331,[1]!s_ipo_listeddate(D331)),[1]!S_SHARE_TOTAL(D331,$G$5)),([1]!S_STM07_BS(D331,75,$G$5,$H$13)+[1]!S_STM07_BS(D331,88,$G$5,$H$13)+[1]!S_STM07_BS(D331,94,$G$5,$H$13)+[1]!S_STM07_BS(D331,95,$G$5,$H$13))/$E$5))</f>
        <v/>
      </c>
      <c r="O331" s="250" t="str">
        <f ca="1">IF(C331="","",IF($O$11="BPS",[1]!S_STM07_BS(D331,141,$G$5,$H$13)/IF([1]!S_SHARE_TOTAL(D331,$G$5)=0,[1]!S_SHARE_TOTAL(D331,[1]!s_ipo_listeddate(D331)),[1]!S_SHARE_TOTAL(D331,$G$5)),[1]!S_STM07_CS(D331,49,$G$5,$H$13)/$E$5))</f>
        <v/>
      </c>
      <c r="P331" s="250" t="str">
        <f ca="1">IF(C331="","",IF($P$11="CFPS",[1]!S_STM07_CS(D331,84,$G$5,$H$13)/IF([1]!S_SHARE_TOTAL(D331,$G$5)=0,[1]!S_SHARE_TOTAL(D331,[1]!s_ipo_listeddate(D331)),[1]!S_SHARE_TOTAL(D331,$G$5)),[1]!S_STM07_CS(D331,84,$G$5,$H$13)/$E$5))</f>
        <v/>
      </c>
      <c r="Q331" s="198" t="str">
        <f ca="1">IF(C331="","",F331/([1]!S_STM07_IS(D331,61,$G$5,$H$13)/IF([1]!S_SHARE_TOTAL(D331,$G$5)=0,[1]!S_SHARE_TOTAL(D331,[1]!s_ipo_listeddate(D331)),[1]!S_SHARE_TOTAL(D331,$G$5))))</f>
        <v/>
      </c>
      <c r="R331" s="198" t="str">
        <f ca="1">IF(C331="","",F331/([1]!S_STM07_BS(D331,141,$G$5,$H$13)/IF([1]!S_SHARE_TOTAL(D331,$G$5)=0,[1]!S_SHARE_TOTAL(D331,[1]!s_ipo_listeddate(D331)),[1]!S_SHARE_TOTAL(D331,$G$5))))</f>
        <v/>
      </c>
      <c r="S331" s="249" t="str">
        <f ca="1">IF(C331="","",[1]!S_SHARE_TOTAL(D331,TODAY())/$E$5)</f>
        <v/>
      </c>
      <c r="T331" s="249" t="str">
        <f t="shared" ca="1" si="37"/>
        <v/>
      </c>
      <c r="U331" s="172" t="str">
        <f t="shared" ca="1" si="38"/>
        <v/>
      </c>
      <c r="V331" s="343" t="str">
        <f t="shared" ca="1" si="39"/>
        <v/>
      </c>
      <c r="W331" s="139"/>
      <c r="Y331" s="1"/>
    </row>
    <row r="332" spans="3:25" ht="12" customHeight="1">
      <c r="C332" s="342" t="str">
        <f t="shared" ca="1" si="34"/>
        <v/>
      </c>
      <c r="D332" s="153" t="str">
        <f t="shared" ca="1" si="35"/>
        <v/>
      </c>
      <c r="E332" s="153" t="str">
        <f t="shared" ca="1" si="36"/>
        <v/>
      </c>
      <c r="F332" s="170" t="str">
        <f ca="1">IF(C332="","",[1]!S_DQ_CLOSE(D332,TODAY(),1))</f>
        <v/>
      </c>
      <c r="G332" s="171" t="str">
        <f ca="1">IF(C332="","",[1]!s_pq_pctchange(D332,TODAY()-$G$12,TODAY())/100)</f>
        <v/>
      </c>
      <c r="H332" s="247" t="str">
        <f ca="1">IF(C332="","",IF($H$11="收入",[1]!S_STM07_IS(D332,9,$G$5,$H$13)/$E$5,[1]!S_STM07_IS(D332,48,$G$5,$H$13)/$E$5))</f>
        <v/>
      </c>
      <c r="I332" s="247" t="str">
        <f ca="1">IF(C332="","",IF($I$11="毛利率",([1]!S_STM07_IS(D332,9,$G$5,$H$13)-[1]!S_STM07_IS(D332,10,$G$5,$H$13))/[1]!S_STM07_IS(D332,9,$G$5,$H$13),[1]!S_STM07_IS(D332,14,$G$5,$H$13)/$E$5))</f>
        <v/>
      </c>
      <c r="J332" s="247" t="str">
        <f ca="1">IF(C332="","",IF($J$11="营业利润率",[1]!S_STM07_IS(D332,48,$G$5,$H$13)/[1]!S_STM07_IS(D332,9,$G$5,$H$13),([1]!S_STM07_CS(D332,87,$G$5,$H$13)+[1]!S_STM07_CS(D332,88,$G$5,$H$13)+[1]!S_STM07_CS(D332,89,$G$5,$H$13))/$E$5))</f>
        <v/>
      </c>
      <c r="K332" s="247" t="str">
        <f ca="1">IF(C332="","",IF($K$11="净利润率",[1]!S_STM07_IS(D332,61,$G$5,$H$13)/[1]!S_STM07_IS(D332,9,$G$5,$H$13),[1]!S_STM07_IS(D332,55,$G$5,$H$13)/$E$5))</f>
        <v/>
      </c>
      <c r="L332" s="247" t="str">
        <f ca="1">IF(C332="","",IF($L$11="ROA",[1]!S_STM07_IS(D332,61,$G$5,$H$13)/[1]!S_STM07_BS(D332,74,$G$5,$H$13),1-[1]!S_STM07_IS(D332,61,$G$5,$H$13)/[1]!S_STM07_IS(D332,55,$G$5,$H$13)))</f>
        <v/>
      </c>
      <c r="M332" s="247" t="str">
        <f ca="1">IF(C332="","",IF($M$11="ROE",[1]!S_STM07_IS(D332,61,$G$5,$H$13)/[1]!S_STM07_BS(D332,141,$G$5,$H$13),([1]!S_STM07_BS(D332,25,$G$5,$H$13)-[1]!S_STM07_BS(D332,93,$G$5,$H$13))/$E$5))</f>
        <v/>
      </c>
      <c r="N332" s="247" t="str">
        <f ca="1">IF(C332="","",IF($N$11="EPS",[1]!S_STM07_IS(D332,61,$G$5,$H$13)/IF([1]!S_SHARE_TOTAL(D332,$G$5)=0,[1]!S_SHARE_TOTAL(D332,[1]!s_ipo_listeddate(D332)),[1]!S_SHARE_TOTAL(D332,$G$5)),([1]!S_STM07_BS(D332,75,$G$5,$H$13)+[1]!S_STM07_BS(D332,88,$G$5,$H$13)+[1]!S_STM07_BS(D332,94,$G$5,$H$13)+[1]!S_STM07_BS(D332,95,$G$5,$H$13))/$E$5))</f>
        <v/>
      </c>
      <c r="O332" s="247" t="str">
        <f ca="1">IF(C332="","",IF($O$11="BPS",[1]!S_STM07_BS(D332,141,$G$5,$H$13)/IF([1]!S_SHARE_TOTAL(D332,$G$5)=0,[1]!S_SHARE_TOTAL(D332,[1]!s_ipo_listeddate(D332)),[1]!S_SHARE_TOTAL(D332,$G$5)),[1]!S_STM07_CS(D332,49,$G$5,$H$13)/$E$5))</f>
        <v/>
      </c>
      <c r="P332" s="247" t="str">
        <f ca="1">IF(C332="","",IF($P$11="CFPS",[1]!S_STM07_CS(D332,84,$G$5,$H$13)/IF([1]!S_SHARE_TOTAL(D332,$G$5)=0,[1]!S_SHARE_TOTAL(D332,[1]!s_ipo_listeddate(D332)),[1]!S_SHARE_TOTAL(D332,$G$5)),[1]!S_STM07_CS(D332,84,$G$5,$H$13)/$E$5))</f>
        <v/>
      </c>
      <c r="Q332" s="248" t="str">
        <f ca="1">IF(C332="","",F332/([1]!S_STM07_IS(D332,61,$G$5,$H$13)/IF([1]!S_SHARE_TOTAL(D332,$G$5)=0,[1]!S_SHARE_TOTAL(D332,[1]!s_ipo_listeddate(D332)),[1]!S_SHARE_TOTAL(D332,$G$5))))</f>
        <v/>
      </c>
      <c r="R332" s="248" t="str">
        <f ca="1">IF(C332="","",F332/([1]!S_STM07_BS(D332,141,$G$5,$H$13)/IF([1]!S_SHARE_TOTAL(D332,$G$5)=0,[1]!S_SHARE_TOTAL(D332,[1]!s_ipo_listeddate(D332)),[1]!S_SHARE_TOTAL(D332,$G$5))))</f>
        <v/>
      </c>
      <c r="S332" s="247" t="str">
        <f ca="1">IF(C332="","",[1]!S_SHARE_TOTAL(D332,TODAY())/$E$5)</f>
        <v/>
      </c>
      <c r="T332" s="247" t="str">
        <f t="shared" ca="1" si="37"/>
        <v/>
      </c>
      <c r="U332" s="218" t="str">
        <f t="shared" ca="1" si="38"/>
        <v/>
      </c>
      <c r="V332" s="342" t="str">
        <f t="shared" ca="1" si="39"/>
        <v/>
      </c>
      <c r="W332" s="139"/>
      <c r="Y332" s="1"/>
    </row>
    <row r="333" spans="3:25" ht="12" customHeight="1">
      <c r="C333" s="343" t="str">
        <f t="shared" ca="1" si="34"/>
        <v/>
      </c>
      <c r="D333" s="124" t="str">
        <f t="shared" ca="1" si="35"/>
        <v/>
      </c>
      <c r="E333" s="124" t="str">
        <f t="shared" ca="1" si="36"/>
        <v/>
      </c>
      <c r="F333" s="172" t="str">
        <f ca="1">IF(C333="","",[1]!S_DQ_CLOSE(D333,TODAY(),1))</f>
        <v/>
      </c>
      <c r="G333" s="173" t="str">
        <f ca="1">IF(C333="","",[1]!s_pq_pctchange(D333,TODAY()-$G$12,TODAY())/100)</f>
        <v/>
      </c>
      <c r="H333" s="249" t="str">
        <f ca="1">IF(C333="","",IF($H$11="收入",[1]!S_STM07_IS(D333,9,$G$5,$H$13)/$E$5,[1]!S_STM07_IS(D333,48,$G$5,$H$13)/$E$5))</f>
        <v/>
      </c>
      <c r="I333" s="249" t="str">
        <f ca="1">IF(C333="","",IF($I$11="毛利率",([1]!S_STM07_IS(D333,9,$G$5,$H$13)-[1]!S_STM07_IS(D333,10,$G$5,$H$13))/[1]!S_STM07_IS(D333,9,$G$5,$H$13),[1]!S_STM07_IS(D333,14,$G$5,$H$13)/$E$5))</f>
        <v/>
      </c>
      <c r="J333" s="249" t="str">
        <f ca="1">IF(C333="","",IF($J$11="营业利润率",[1]!S_STM07_IS(D333,48,$G$5,$H$13)/[1]!S_STM07_IS(D333,9,$G$5,$H$13),([1]!S_STM07_CS(D333,87,$G$5,$H$13)+[1]!S_STM07_CS(D333,88,$G$5,$H$13)+[1]!S_STM07_CS(D333,89,$G$5,$H$13))/$E$5))</f>
        <v/>
      </c>
      <c r="K333" s="249" t="str">
        <f ca="1">IF(C333="","",IF($K$11="净利润率",[1]!S_STM07_IS(D333,61,$G$5,$H$13)/[1]!S_STM07_IS(D333,9,$G$5,$H$13),[1]!S_STM07_IS(D333,55,$G$5,$H$13)/$E$5))</f>
        <v/>
      </c>
      <c r="L333" s="249" t="str">
        <f ca="1">IF(C333="","",IF($L$11="ROA",[1]!S_STM07_IS(D333,61,$G$5,$H$13)/[1]!S_STM07_BS(D333,74,$G$5,$H$13),1-[1]!S_STM07_IS(D333,61,$G$5,$H$13)/[1]!S_STM07_IS(D333,55,$G$5,$H$13)))</f>
        <v/>
      </c>
      <c r="M333" s="249" t="str">
        <f ca="1">IF(C333="","",IF($M$11="ROE",[1]!S_STM07_IS(D333,61,$G$5,$H$13)/[1]!S_STM07_BS(D333,141,$G$5,$H$13),([1]!S_STM07_BS(D333,25,$G$5,$H$13)-[1]!S_STM07_BS(D333,93,$G$5,$H$13))/$E$5))</f>
        <v/>
      </c>
      <c r="N333" s="250" t="str">
        <f ca="1">IF(C333="","",IF($N$11="EPS",[1]!S_STM07_IS(D333,61,$G$5,$H$13)/IF([1]!S_SHARE_TOTAL(D333,$G$5)=0,[1]!S_SHARE_TOTAL(D333,[1]!s_ipo_listeddate(D333)),[1]!S_SHARE_TOTAL(D333,$G$5)),([1]!S_STM07_BS(D333,75,$G$5,$H$13)+[1]!S_STM07_BS(D333,88,$G$5,$H$13)+[1]!S_STM07_BS(D333,94,$G$5,$H$13)+[1]!S_STM07_BS(D333,95,$G$5,$H$13))/$E$5))</f>
        <v/>
      </c>
      <c r="O333" s="250" t="str">
        <f ca="1">IF(C333="","",IF($O$11="BPS",[1]!S_STM07_BS(D333,141,$G$5,$H$13)/IF([1]!S_SHARE_TOTAL(D333,$G$5)=0,[1]!S_SHARE_TOTAL(D333,[1]!s_ipo_listeddate(D333)),[1]!S_SHARE_TOTAL(D333,$G$5)),[1]!S_STM07_CS(D333,49,$G$5,$H$13)/$E$5))</f>
        <v/>
      </c>
      <c r="P333" s="250" t="str">
        <f ca="1">IF(C333="","",IF($P$11="CFPS",[1]!S_STM07_CS(D333,84,$G$5,$H$13)/IF([1]!S_SHARE_TOTAL(D333,$G$5)=0,[1]!S_SHARE_TOTAL(D333,[1]!s_ipo_listeddate(D333)),[1]!S_SHARE_TOTAL(D333,$G$5)),[1]!S_STM07_CS(D333,84,$G$5,$H$13)/$E$5))</f>
        <v/>
      </c>
      <c r="Q333" s="198" t="str">
        <f ca="1">IF(C333="","",F333/([1]!S_STM07_IS(D333,61,$G$5,$H$13)/IF([1]!S_SHARE_TOTAL(D333,$G$5)=0,[1]!S_SHARE_TOTAL(D333,[1]!s_ipo_listeddate(D333)),[1]!S_SHARE_TOTAL(D333,$G$5))))</f>
        <v/>
      </c>
      <c r="R333" s="198" t="str">
        <f ca="1">IF(C333="","",F333/([1]!S_STM07_BS(D333,141,$G$5,$H$13)/IF([1]!S_SHARE_TOTAL(D333,$G$5)=0,[1]!S_SHARE_TOTAL(D333,[1]!s_ipo_listeddate(D333)),[1]!S_SHARE_TOTAL(D333,$G$5))))</f>
        <v/>
      </c>
      <c r="S333" s="249" t="str">
        <f ca="1">IF(C333="","",[1]!S_SHARE_TOTAL(D333,TODAY())/$E$5)</f>
        <v/>
      </c>
      <c r="T333" s="249" t="str">
        <f t="shared" ca="1" si="37"/>
        <v/>
      </c>
      <c r="U333" s="172" t="str">
        <f t="shared" ca="1" si="38"/>
        <v/>
      </c>
      <c r="V333" s="343" t="str">
        <f t="shared" ca="1" si="39"/>
        <v/>
      </c>
      <c r="W333" s="139"/>
      <c r="Y333" s="1"/>
    </row>
    <row r="334" spans="3:25" ht="12" customHeight="1">
      <c r="C334" s="342" t="str">
        <f t="shared" ref="C334:C397" ca="1" si="40">IF(ROW()-13&lt;=MAX(series),ROW()-13,"")</f>
        <v/>
      </c>
      <c r="D334" s="153" t="str">
        <f t="shared" ca="1" si="35"/>
        <v/>
      </c>
      <c r="E334" s="153" t="str">
        <f t="shared" ca="1" si="36"/>
        <v/>
      </c>
      <c r="F334" s="170" t="str">
        <f ca="1">IF(C334="","",[1]!S_DQ_CLOSE(D334,TODAY(),1))</f>
        <v/>
      </c>
      <c r="G334" s="171" t="str">
        <f ca="1">IF(C334="","",[1]!s_pq_pctchange(D334,TODAY()-$G$12,TODAY())/100)</f>
        <v/>
      </c>
      <c r="H334" s="247" t="str">
        <f ca="1">IF(C334="","",IF($H$11="收入",[1]!S_STM07_IS(D334,9,$G$5,$H$13)/$E$5,[1]!S_STM07_IS(D334,48,$G$5,$H$13)/$E$5))</f>
        <v/>
      </c>
      <c r="I334" s="247" t="str">
        <f ca="1">IF(C334="","",IF($I$11="毛利率",([1]!S_STM07_IS(D334,9,$G$5,$H$13)-[1]!S_STM07_IS(D334,10,$G$5,$H$13))/[1]!S_STM07_IS(D334,9,$G$5,$H$13),[1]!S_STM07_IS(D334,14,$G$5,$H$13)/$E$5))</f>
        <v/>
      </c>
      <c r="J334" s="247" t="str">
        <f ca="1">IF(C334="","",IF($J$11="营业利润率",[1]!S_STM07_IS(D334,48,$G$5,$H$13)/[1]!S_STM07_IS(D334,9,$G$5,$H$13),([1]!S_STM07_CS(D334,87,$G$5,$H$13)+[1]!S_STM07_CS(D334,88,$G$5,$H$13)+[1]!S_STM07_CS(D334,89,$G$5,$H$13))/$E$5))</f>
        <v/>
      </c>
      <c r="K334" s="247" t="str">
        <f ca="1">IF(C334="","",IF($K$11="净利润率",[1]!S_STM07_IS(D334,61,$G$5,$H$13)/[1]!S_STM07_IS(D334,9,$G$5,$H$13),[1]!S_STM07_IS(D334,55,$G$5,$H$13)/$E$5))</f>
        <v/>
      </c>
      <c r="L334" s="247" t="str">
        <f ca="1">IF(C334="","",IF($L$11="ROA",[1]!S_STM07_IS(D334,61,$G$5,$H$13)/[1]!S_STM07_BS(D334,74,$G$5,$H$13),1-[1]!S_STM07_IS(D334,61,$G$5,$H$13)/[1]!S_STM07_IS(D334,55,$G$5,$H$13)))</f>
        <v/>
      </c>
      <c r="M334" s="247" t="str">
        <f ca="1">IF(C334="","",IF($M$11="ROE",[1]!S_STM07_IS(D334,61,$G$5,$H$13)/[1]!S_STM07_BS(D334,141,$G$5,$H$13),([1]!S_STM07_BS(D334,25,$G$5,$H$13)-[1]!S_STM07_BS(D334,93,$G$5,$H$13))/$E$5))</f>
        <v/>
      </c>
      <c r="N334" s="247" t="str">
        <f ca="1">IF(C334="","",IF($N$11="EPS",[1]!S_STM07_IS(D334,61,$G$5,$H$13)/IF([1]!S_SHARE_TOTAL(D334,$G$5)=0,[1]!S_SHARE_TOTAL(D334,[1]!s_ipo_listeddate(D334)),[1]!S_SHARE_TOTAL(D334,$G$5)),([1]!S_STM07_BS(D334,75,$G$5,$H$13)+[1]!S_STM07_BS(D334,88,$G$5,$H$13)+[1]!S_STM07_BS(D334,94,$G$5,$H$13)+[1]!S_STM07_BS(D334,95,$G$5,$H$13))/$E$5))</f>
        <v/>
      </c>
      <c r="O334" s="247" t="str">
        <f ca="1">IF(C334="","",IF($O$11="BPS",[1]!S_STM07_BS(D334,141,$G$5,$H$13)/IF([1]!S_SHARE_TOTAL(D334,$G$5)=0,[1]!S_SHARE_TOTAL(D334,[1]!s_ipo_listeddate(D334)),[1]!S_SHARE_TOTAL(D334,$G$5)),[1]!S_STM07_CS(D334,49,$G$5,$H$13)/$E$5))</f>
        <v/>
      </c>
      <c r="P334" s="247" t="str">
        <f ca="1">IF(C334="","",IF($P$11="CFPS",[1]!S_STM07_CS(D334,84,$G$5,$H$13)/IF([1]!S_SHARE_TOTAL(D334,$G$5)=0,[1]!S_SHARE_TOTAL(D334,[1]!s_ipo_listeddate(D334)),[1]!S_SHARE_TOTAL(D334,$G$5)),[1]!S_STM07_CS(D334,84,$G$5,$H$13)/$E$5))</f>
        <v/>
      </c>
      <c r="Q334" s="248" t="str">
        <f ca="1">IF(C334="","",F334/([1]!S_STM07_IS(D334,61,$G$5,$H$13)/IF([1]!S_SHARE_TOTAL(D334,$G$5)=0,[1]!S_SHARE_TOTAL(D334,[1]!s_ipo_listeddate(D334)),[1]!S_SHARE_TOTAL(D334,$G$5))))</f>
        <v/>
      </c>
      <c r="R334" s="248" t="str">
        <f ca="1">IF(C334="","",F334/([1]!S_STM07_BS(D334,141,$G$5,$H$13)/IF([1]!S_SHARE_TOTAL(D334,$G$5)=0,[1]!S_SHARE_TOTAL(D334,[1]!s_ipo_listeddate(D334)),[1]!S_SHARE_TOTAL(D334,$G$5))))</f>
        <v/>
      </c>
      <c r="S334" s="247" t="str">
        <f ca="1">IF(C334="","",[1]!S_SHARE_TOTAL(D334,TODAY())/$E$5)</f>
        <v/>
      </c>
      <c r="T334" s="247" t="str">
        <f t="shared" ca="1" si="37"/>
        <v/>
      </c>
      <c r="U334" s="218" t="str">
        <f t="shared" ca="1" si="38"/>
        <v/>
      </c>
      <c r="V334" s="342" t="str">
        <f t="shared" ca="1" si="39"/>
        <v/>
      </c>
      <c r="W334" s="139"/>
      <c r="Y334" s="1"/>
    </row>
    <row r="335" spans="3:25" ht="12" customHeight="1">
      <c r="C335" s="343" t="str">
        <f t="shared" ca="1" si="40"/>
        <v/>
      </c>
      <c r="D335" s="124" t="str">
        <f t="shared" ca="1" si="35"/>
        <v/>
      </c>
      <c r="E335" s="124" t="str">
        <f t="shared" ca="1" si="36"/>
        <v/>
      </c>
      <c r="F335" s="172" t="str">
        <f ca="1">IF(C335="","",[1]!S_DQ_CLOSE(D335,TODAY(),1))</f>
        <v/>
      </c>
      <c r="G335" s="173" t="str">
        <f ca="1">IF(C335="","",[1]!s_pq_pctchange(D335,TODAY()-$G$12,TODAY())/100)</f>
        <v/>
      </c>
      <c r="H335" s="249" t="str">
        <f ca="1">IF(C335="","",IF($H$11="收入",[1]!S_STM07_IS(D335,9,$G$5,$H$13)/$E$5,[1]!S_STM07_IS(D335,48,$G$5,$H$13)/$E$5))</f>
        <v/>
      </c>
      <c r="I335" s="249" t="str">
        <f ca="1">IF(C335="","",IF($I$11="毛利率",([1]!S_STM07_IS(D335,9,$G$5,$H$13)-[1]!S_STM07_IS(D335,10,$G$5,$H$13))/[1]!S_STM07_IS(D335,9,$G$5,$H$13),[1]!S_STM07_IS(D335,14,$G$5,$H$13)/$E$5))</f>
        <v/>
      </c>
      <c r="J335" s="249" t="str">
        <f ca="1">IF(C335="","",IF($J$11="营业利润率",[1]!S_STM07_IS(D335,48,$G$5,$H$13)/[1]!S_STM07_IS(D335,9,$G$5,$H$13),([1]!S_STM07_CS(D335,87,$G$5,$H$13)+[1]!S_STM07_CS(D335,88,$G$5,$H$13)+[1]!S_STM07_CS(D335,89,$G$5,$H$13))/$E$5))</f>
        <v/>
      </c>
      <c r="K335" s="249" t="str">
        <f ca="1">IF(C335="","",IF($K$11="净利润率",[1]!S_STM07_IS(D335,61,$G$5,$H$13)/[1]!S_STM07_IS(D335,9,$G$5,$H$13),[1]!S_STM07_IS(D335,55,$G$5,$H$13)/$E$5))</f>
        <v/>
      </c>
      <c r="L335" s="249" t="str">
        <f ca="1">IF(C335="","",IF($L$11="ROA",[1]!S_STM07_IS(D335,61,$G$5,$H$13)/[1]!S_STM07_BS(D335,74,$G$5,$H$13),1-[1]!S_STM07_IS(D335,61,$G$5,$H$13)/[1]!S_STM07_IS(D335,55,$G$5,$H$13)))</f>
        <v/>
      </c>
      <c r="M335" s="249" t="str">
        <f ca="1">IF(C335="","",IF($M$11="ROE",[1]!S_STM07_IS(D335,61,$G$5,$H$13)/[1]!S_STM07_BS(D335,141,$G$5,$H$13),([1]!S_STM07_BS(D335,25,$G$5,$H$13)-[1]!S_STM07_BS(D335,93,$G$5,$H$13))/$E$5))</f>
        <v/>
      </c>
      <c r="N335" s="250" t="str">
        <f ca="1">IF(C335="","",IF($N$11="EPS",[1]!S_STM07_IS(D335,61,$G$5,$H$13)/IF([1]!S_SHARE_TOTAL(D335,$G$5)=0,[1]!S_SHARE_TOTAL(D335,[1]!s_ipo_listeddate(D335)),[1]!S_SHARE_TOTAL(D335,$G$5)),([1]!S_STM07_BS(D335,75,$G$5,$H$13)+[1]!S_STM07_BS(D335,88,$G$5,$H$13)+[1]!S_STM07_BS(D335,94,$G$5,$H$13)+[1]!S_STM07_BS(D335,95,$G$5,$H$13))/$E$5))</f>
        <v/>
      </c>
      <c r="O335" s="250" t="str">
        <f ca="1">IF(C335="","",IF($O$11="BPS",[1]!S_STM07_BS(D335,141,$G$5,$H$13)/IF([1]!S_SHARE_TOTAL(D335,$G$5)=0,[1]!S_SHARE_TOTAL(D335,[1]!s_ipo_listeddate(D335)),[1]!S_SHARE_TOTAL(D335,$G$5)),[1]!S_STM07_CS(D335,49,$G$5,$H$13)/$E$5))</f>
        <v/>
      </c>
      <c r="P335" s="250" t="str">
        <f ca="1">IF(C335="","",IF($P$11="CFPS",[1]!S_STM07_CS(D335,84,$G$5,$H$13)/IF([1]!S_SHARE_TOTAL(D335,$G$5)=0,[1]!S_SHARE_TOTAL(D335,[1]!s_ipo_listeddate(D335)),[1]!S_SHARE_TOTAL(D335,$G$5)),[1]!S_STM07_CS(D335,84,$G$5,$H$13)/$E$5))</f>
        <v/>
      </c>
      <c r="Q335" s="198" t="str">
        <f ca="1">IF(C335="","",F335/([1]!S_STM07_IS(D335,61,$G$5,$H$13)/IF([1]!S_SHARE_TOTAL(D335,$G$5)=0,[1]!S_SHARE_TOTAL(D335,[1]!s_ipo_listeddate(D335)),[1]!S_SHARE_TOTAL(D335,$G$5))))</f>
        <v/>
      </c>
      <c r="R335" s="198" t="str">
        <f ca="1">IF(C335="","",F335/([1]!S_STM07_BS(D335,141,$G$5,$H$13)/IF([1]!S_SHARE_TOTAL(D335,$G$5)=0,[1]!S_SHARE_TOTAL(D335,[1]!s_ipo_listeddate(D335)),[1]!S_SHARE_TOTAL(D335,$G$5))))</f>
        <v/>
      </c>
      <c r="S335" s="249" t="str">
        <f ca="1">IF(C335="","",[1]!S_SHARE_TOTAL(D335,TODAY())/$E$5)</f>
        <v/>
      </c>
      <c r="T335" s="249" t="str">
        <f t="shared" ca="1" si="37"/>
        <v/>
      </c>
      <c r="U335" s="172" t="str">
        <f t="shared" ca="1" si="38"/>
        <v/>
      </c>
      <c r="V335" s="343" t="str">
        <f t="shared" ca="1" si="39"/>
        <v/>
      </c>
      <c r="W335" s="139"/>
      <c r="Y335" s="1"/>
    </row>
    <row r="336" spans="3:25" ht="12" customHeight="1">
      <c r="C336" s="342" t="str">
        <f t="shared" ca="1" si="40"/>
        <v/>
      </c>
      <c r="D336" s="153" t="str">
        <f t="shared" ca="1" si="35"/>
        <v/>
      </c>
      <c r="E336" s="153" t="str">
        <f t="shared" ca="1" si="36"/>
        <v/>
      </c>
      <c r="F336" s="170" t="str">
        <f ca="1">IF(C336="","",[1]!S_DQ_CLOSE(D336,TODAY(),1))</f>
        <v/>
      </c>
      <c r="G336" s="171" t="str">
        <f ca="1">IF(C336="","",[1]!s_pq_pctchange(D336,TODAY()-$G$12,TODAY())/100)</f>
        <v/>
      </c>
      <c r="H336" s="247" t="str">
        <f ca="1">IF(C336="","",IF($H$11="收入",[1]!S_STM07_IS(D336,9,$G$5,$H$13)/$E$5,[1]!S_STM07_IS(D336,48,$G$5,$H$13)/$E$5))</f>
        <v/>
      </c>
      <c r="I336" s="247" t="str">
        <f ca="1">IF(C336="","",IF($I$11="毛利率",([1]!S_STM07_IS(D336,9,$G$5,$H$13)-[1]!S_STM07_IS(D336,10,$G$5,$H$13))/[1]!S_STM07_IS(D336,9,$G$5,$H$13),[1]!S_STM07_IS(D336,14,$G$5,$H$13)/$E$5))</f>
        <v/>
      </c>
      <c r="J336" s="247" t="str">
        <f ca="1">IF(C336="","",IF($J$11="营业利润率",[1]!S_STM07_IS(D336,48,$G$5,$H$13)/[1]!S_STM07_IS(D336,9,$G$5,$H$13),([1]!S_STM07_CS(D336,87,$G$5,$H$13)+[1]!S_STM07_CS(D336,88,$G$5,$H$13)+[1]!S_STM07_CS(D336,89,$G$5,$H$13))/$E$5))</f>
        <v/>
      </c>
      <c r="K336" s="247" t="str">
        <f ca="1">IF(C336="","",IF($K$11="净利润率",[1]!S_STM07_IS(D336,61,$G$5,$H$13)/[1]!S_STM07_IS(D336,9,$G$5,$H$13),[1]!S_STM07_IS(D336,55,$G$5,$H$13)/$E$5))</f>
        <v/>
      </c>
      <c r="L336" s="247" t="str">
        <f ca="1">IF(C336="","",IF($L$11="ROA",[1]!S_STM07_IS(D336,61,$G$5,$H$13)/[1]!S_STM07_BS(D336,74,$G$5,$H$13),1-[1]!S_STM07_IS(D336,61,$G$5,$H$13)/[1]!S_STM07_IS(D336,55,$G$5,$H$13)))</f>
        <v/>
      </c>
      <c r="M336" s="247" t="str">
        <f ca="1">IF(C336="","",IF($M$11="ROE",[1]!S_STM07_IS(D336,61,$G$5,$H$13)/[1]!S_STM07_BS(D336,141,$G$5,$H$13),([1]!S_STM07_BS(D336,25,$G$5,$H$13)-[1]!S_STM07_BS(D336,93,$G$5,$H$13))/$E$5))</f>
        <v/>
      </c>
      <c r="N336" s="247" t="str">
        <f ca="1">IF(C336="","",IF($N$11="EPS",[1]!S_STM07_IS(D336,61,$G$5,$H$13)/IF([1]!S_SHARE_TOTAL(D336,$G$5)=0,[1]!S_SHARE_TOTAL(D336,[1]!s_ipo_listeddate(D336)),[1]!S_SHARE_TOTAL(D336,$G$5)),([1]!S_STM07_BS(D336,75,$G$5,$H$13)+[1]!S_STM07_BS(D336,88,$G$5,$H$13)+[1]!S_STM07_BS(D336,94,$G$5,$H$13)+[1]!S_STM07_BS(D336,95,$G$5,$H$13))/$E$5))</f>
        <v/>
      </c>
      <c r="O336" s="247" t="str">
        <f ca="1">IF(C336="","",IF($O$11="BPS",[1]!S_STM07_BS(D336,141,$G$5,$H$13)/IF([1]!S_SHARE_TOTAL(D336,$G$5)=0,[1]!S_SHARE_TOTAL(D336,[1]!s_ipo_listeddate(D336)),[1]!S_SHARE_TOTAL(D336,$G$5)),[1]!S_STM07_CS(D336,49,$G$5,$H$13)/$E$5))</f>
        <v/>
      </c>
      <c r="P336" s="247" t="str">
        <f ca="1">IF(C336="","",IF($P$11="CFPS",[1]!S_STM07_CS(D336,84,$G$5,$H$13)/IF([1]!S_SHARE_TOTAL(D336,$G$5)=0,[1]!S_SHARE_TOTAL(D336,[1]!s_ipo_listeddate(D336)),[1]!S_SHARE_TOTAL(D336,$G$5)),[1]!S_STM07_CS(D336,84,$G$5,$H$13)/$E$5))</f>
        <v/>
      </c>
      <c r="Q336" s="248" t="str">
        <f ca="1">IF(C336="","",F336/([1]!S_STM07_IS(D336,61,$G$5,$H$13)/IF([1]!S_SHARE_TOTAL(D336,$G$5)=0,[1]!S_SHARE_TOTAL(D336,[1]!s_ipo_listeddate(D336)),[1]!S_SHARE_TOTAL(D336,$G$5))))</f>
        <v/>
      </c>
      <c r="R336" s="248" t="str">
        <f ca="1">IF(C336="","",F336/([1]!S_STM07_BS(D336,141,$G$5,$H$13)/IF([1]!S_SHARE_TOTAL(D336,$G$5)=0,[1]!S_SHARE_TOTAL(D336,[1]!s_ipo_listeddate(D336)),[1]!S_SHARE_TOTAL(D336,$G$5))))</f>
        <v/>
      </c>
      <c r="S336" s="247" t="str">
        <f ca="1">IF(C336="","",[1]!S_SHARE_TOTAL(D336,TODAY())/$E$5)</f>
        <v/>
      </c>
      <c r="T336" s="247" t="str">
        <f t="shared" ca="1" si="37"/>
        <v/>
      </c>
      <c r="U336" s="218" t="str">
        <f t="shared" ca="1" si="38"/>
        <v/>
      </c>
      <c r="V336" s="342" t="str">
        <f t="shared" ca="1" si="39"/>
        <v/>
      </c>
      <c r="W336" s="139"/>
      <c r="Y336" s="1"/>
    </row>
    <row r="337" spans="3:25" ht="12" customHeight="1">
      <c r="C337" s="343" t="str">
        <f t="shared" ca="1" si="40"/>
        <v/>
      </c>
      <c r="D337" s="124" t="str">
        <f t="shared" ca="1" si="35"/>
        <v/>
      </c>
      <c r="E337" s="124" t="str">
        <f t="shared" ca="1" si="36"/>
        <v/>
      </c>
      <c r="F337" s="172" t="str">
        <f ca="1">IF(C337="","",[1]!S_DQ_CLOSE(D337,TODAY(),1))</f>
        <v/>
      </c>
      <c r="G337" s="173" t="str">
        <f ca="1">IF(C337="","",[1]!s_pq_pctchange(D337,TODAY()-$G$12,TODAY())/100)</f>
        <v/>
      </c>
      <c r="H337" s="249" t="str">
        <f ca="1">IF(C337="","",IF($H$11="收入",[1]!S_STM07_IS(D337,9,$G$5,$H$13)/$E$5,[1]!S_STM07_IS(D337,48,$G$5,$H$13)/$E$5))</f>
        <v/>
      </c>
      <c r="I337" s="249" t="str">
        <f ca="1">IF(C337="","",IF($I$11="毛利率",([1]!S_STM07_IS(D337,9,$G$5,$H$13)-[1]!S_STM07_IS(D337,10,$G$5,$H$13))/[1]!S_STM07_IS(D337,9,$G$5,$H$13),[1]!S_STM07_IS(D337,14,$G$5,$H$13)/$E$5))</f>
        <v/>
      </c>
      <c r="J337" s="249" t="str">
        <f ca="1">IF(C337="","",IF($J$11="营业利润率",[1]!S_STM07_IS(D337,48,$G$5,$H$13)/[1]!S_STM07_IS(D337,9,$G$5,$H$13),([1]!S_STM07_CS(D337,87,$G$5,$H$13)+[1]!S_STM07_CS(D337,88,$G$5,$H$13)+[1]!S_STM07_CS(D337,89,$G$5,$H$13))/$E$5))</f>
        <v/>
      </c>
      <c r="K337" s="249" t="str">
        <f ca="1">IF(C337="","",IF($K$11="净利润率",[1]!S_STM07_IS(D337,61,$G$5,$H$13)/[1]!S_STM07_IS(D337,9,$G$5,$H$13),[1]!S_STM07_IS(D337,55,$G$5,$H$13)/$E$5))</f>
        <v/>
      </c>
      <c r="L337" s="249" t="str">
        <f ca="1">IF(C337="","",IF($L$11="ROA",[1]!S_STM07_IS(D337,61,$G$5,$H$13)/[1]!S_STM07_BS(D337,74,$G$5,$H$13),1-[1]!S_STM07_IS(D337,61,$G$5,$H$13)/[1]!S_STM07_IS(D337,55,$G$5,$H$13)))</f>
        <v/>
      </c>
      <c r="M337" s="249" t="str">
        <f ca="1">IF(C337="","",IF($M$11="ROE",[1]!S_STM07_IS(D337,61,$G$5,$H$13)/[1]!S_STM07_BS(D337,141,$G$5,$H$13),([1]!S_STM07_BS(D337,25,$G$5,$H$13)-[1]!S_STM07_BS(D337,93,$G$5,$H$13))/$E$5))</f>
        <v/>
      </c>
      <c r="N337" s="250" t="str">
        <f ca="1">IF(C337="","",IF($N$11="EPS",[1]!S_STM07_IS(D337,61,$G$5,$H$13)/IF([1]!S_SHARE_TOTAL(D337,$G$5)=0,[1]!S_SHARE_TOTAL(D337,[1]!s_ipo_listeddate(D337)),[1]!S_SHARE_TOTAL(D337,$G$5)),([1]!S_STM07_BS(D337,75,$G$5,$H$13)+[1]!S_STM07_BS(D337,88,$G$5,$H$13)+[1]!S_STM07_BS(D337,94,$G$5,$H$13)+[1]!S_STM07_BS(D337,95,$G$5,$H$13))/$E$5))</f>
        <v/>
      </c>
      <c r="O337" s="250" t="str">
        <f ca="1">IF(C337="","",IF($O$11="BPS",[1]!S_STM07_BS(D337,141,$G$5,$H$13)/IF([1]!S_SHARE_TOTAL(D337,$G$5)=0,[1]!S_SHARE_TOTAL(D337,[1]!s_ipo_listeddate(D337)),[1]!S_SHARE_TOTAL(D337,$G$5)),[1]!S_STM07_CS(D337,49,$G$5,$H$13)/$E$5))</f>
        <v/>
      </c>
      <c r="P337" s="250" t="str">
        <f ca="1">IF(C337="","",IF($P$11="CFPS",[1]!S_STM07_CS(D337,84,$G$5,$H$13)/IF([1]!S_SHARE_TOTAL(D337,$G$5)=0,[1]!S_SHARE_TOTAL(D337,[1]!s_ipo_listeddate(D337)),[1]!S_SHARE_TOTAL(D337,$G$5)),[1]!S_STM07_CS(D337,84,$G$5,$H$13)/$E$5))</f>
        <v/>
      </c>
      <c r="Q337" s="198" t="str">
        <f ca="1">IF(C337="","",F337/([1]!S_STM07_IS(D337,61,$G$5,$H$13)/IF([1]!S_SHARE_TOTAL(D337,$G$5)=0,[1]!S_SHARE_TOTAL(D337,[1]!s_ipo_listeddate(D337)),[1]!S_SHARE_TOTAL(D337,$G$5))))</f>
        <v/>
      </c>
      <c r="R337" s="198" t="str">
        <f ca="1">IF(C337="","",F337/([1]!S_STM07_BS(D337,141,$G$5,$H$13)/IF([1]!S_SHARE_TOTAL(D337,$G$5)=0,[1]!S_SHARE_TOTAL(D337,[1]!s_ipo_listeddate(D337)),[1]!S_SHARE_TOTAL(D337,$G$5))))</f>
        <v/>
      </c>
      <c r="S337" s="249" t="str">
        <f ca="1">IF(C337="","",[1]!S_SHARE_TOTAL(D337,TODAY())/$E$5)</f>
        <v/>
      </c>
      <c r="T337" s="249" t="str">
        <f t="shared" ca="1" si="37"/>
        <v/>
      </c>
      <c r="U337" s="172" t="str">
        <f t="shared" ca="1" si="38"/>
        <v/>
      </c>
      <c r="V337" s="343" t="str">
        <f t="shared" ca="1" si="39"/>
        <v/>
      </c>
      <c r="W337" s="139"/>
      <c r="Y337" s="1"/>
    </row>
    <row r="338" spans="3:25" ht="12" customHeight="1">
      <c r="C338" s="342" t="str">
        <f t="shared" ca="1" si="40"/>
        <v/>
      </c>
      <c r="D338" s="153" t="str">
        <f t="shared" ca="1" si="35"/>
        <v/>
      </c>
      <c r="E338" s="153" t="str">
        <f t="shared" ca="1" si="36"/>
        <v/>
      </c>
      <c r="F338" s="170" t="str">
        <f ca="1">IF(C338="","",[1]!S_DQ_CLOSE(D338,TODAY(),1))</f>
        <v/>
      </c>
      <c r="G338" s="171" t="str">
        <f ca="1">IF(C338="","",[1]!s_pq_pctchange(D338,TODAY()-$G$12,TODAY())/100)</f>
        <v/>
      </c>
      <c r="H338" s="247" t="str">
        <f ca="1">IF(C338="","",IF($H$11="收入",[1]!S_STM07_IS(D338,9,$G$5,$H$13)/$E$5,[1]!S_STM07_IS(D338,48,$G$5,$H$13)/$E$5))</f>
        <v/>
      </c>
      <c r="I338" s="247" t="str">
        <f ca="1">IF(C338="","",IF($I$11="毛利率",([1]!S_STM07_IS(D338,9,$G$5,$H$13)-[1]!S_STM07_IS(D338,10,$G$5,$H$13))/[1]!S_STM07_IS(D338,9,$G$5,$H$13),[1]!S_STM07_IS(D338,14,$G$5,$H$13)/$E$5))</f>
        <v/>
      </c>
      <c r="J338" s="247" t="str">
        <f ca="1">IF(C338="","",IF($J$11="营业利润率",[1]!S_STM07_IS(D338,48,$G$5,$H$13)/[1]!S_STM07_IS(D338,9,$G$5,$H$13),([1]!S_STM07_CS(D338,87,$G$5,$H$13)+[1]!S_STM07_CS(D338,88,$G$5,$H$13)+[1]!S_STM07_CS(D338,89,$G$5,$H$13))/$E$5))</f>
        <v/>
      </c>
      <c r="K338" s="247" t="str">
        <f ca="1">IF(C338="","",IF($K$11="净利润率",[1]!S_STM07_IS(D338,61,$G$5,$H$13)/[1]!S_STM07_IS(D338,9,$G$5,$H$13),[1]!S_STM07_IS(D338,55,$G$5,$H$13)/$E$5))</f>
        <v/>
      </c>
      <c r="L338" s="247" t="str">
        <f ca="1">IF(C338="","",IF($L$11="ROA",[1]!S_STM07_IS(D338,61,$G$5,$H$13)/[1]!S_STM07_BS(D338,74,$G$5,$H$13),1-[1]!S_STM07_IS(D338,61,$G$5,$H$13)/[1]!S_STM07_IS(D338,55,$G$5,$H$13)))</f>
        <v/>
      </c>
      <c r="M338" s="247" t="str">
        <f ca="1">IF(C338="","",IF($M$11="ROE",[1]!S_STM07_IS(D338,61,$G$5,$H$13)/[1]!S_STM07_BS(D338,141,$G$5,$H$13),([1]!S_STM07_BS(D338,25,$G$5,$H$13)-[1]!S_STM07_BS(D338,93,$G$5,$H$13))/$E$5))</f>
        <v/>
      </c>
      <c r="N338" s="247" t="str">
        <f ca="1">IF(C338="","",IF($N$11="EPS",[1]!S_STM07_IS(D338,61,$G$5,$H$13)/IF([1]!S_SHARE_TOTAL(D338,$G$5)=0,[1]!S_SHARE_TOTAL(D338,[1]!s_ipo_listeddate(D338)),[1]!S_SHARE_TOTAL(D338,$G$5)),([1]!S_STM07_BS(D338,75,$G$5,$H$13)+[1]!S_STM07_BS(D338,88,$G$5,$H$13)+[1]!S_STM07_BS(D338,94,$G$5,$H$13)+[1]!S_STM07_BS(D338,95,$G$5,$H$13))/$E$5))</f>
        <v/>
      </c>
      <c r="O338" s="247" t="str">
        <f ca="1">IF(C338="","",IF($O$11="BPS",[1]!S_STM07_BS(D338,141,$G$5,$H$13)/IF([1]!S_SHARE_TOTAL(D338,$G$5)=0,[1]!S_SHARE_TOTAL(D338,[1]!s_ipo_listeddate(D338)),[1]!S_SHARE_TOTAL(D338,$G$5)),[1]!S_STM07_CS(D338,49,$G$5,$H$13)/$E$5))</f>
        <v/>
      </c>
      <c r="P338" s="247" t="str">
        <f ca="1">IF(C338="","",IF($P$11="CFPS",[1]!S_STM07_CS(D338,84,$G$5,$H$13)/IF([1]!S_SHARE_TOTAL(D338,$G$5)=0,[1]!S_SHARE_TOTAL(D338,[1]!s_ipo_listeddate(D338)),[1]!S_SHARE_TOTAL(D338,$G$5)),[1]!S_STM07_CS(D338,84,$G$5,$H$13)/$E$5))</f>
        <v/>
      </c>
      <c r="Q338" s="248" t="str">
        <f ca="1">IF(C338="","",F338/([1]!S_STM07_IS(D338,61,$G$5,$H$13)/IF([1]!S_SHARE_TOTAL(D338,$G$5)=0,[1]!S_SHARE_TOTAL(D338,[1]!s_ipo_listeddate(D338)),[1]!S_SHARE_TOTAL(D338,$G$5))))</f>
        <v/>
      </c>
      <c r="R338" s="248" t="str">
        <f ca="1">IF(C338="","",F338/([1]!S_STM07_BS(D338,141,$G$5,$H$13)/IF([1]!S_SHARE_TOTAL(D338,$G$5)=0,[1]!S_SHARE_TOTAL(D338,[1]!s_ipo_listeddate(D338)),[1]!S_SHARE_TOTAL(D338,$G$5))))</f>
        <v/>
      </c>
      <c r="S338" s="247" t="str">
        <f ca="1">IF(C338="","",[1]!S_SHARE_TOTAL(D338,TODAY())/$E$5)</f>
        <v/>
      </c>
      <c r="T338" s="247" t="str">
        <f t="shared" ca="1" si="37"/>
        <v/>
      </c>
      <c r="U338" s="218" t="str">
        <f t="shared" ca="1" si="38"/>
        <v/>
      </c>
      <c r="V338" s="342" t="str">
        <f t="shared" ca="1" si="39"/>
        <v/>
      </c>
      <c r="W338" s="139"/>
      <c r="Y338" s="1"/>
    </row>
    <row r="339" spans="3:25" ht="12" customHeight="1">
      <c r="C339" s="343" t="str">
        <f t="shared" ca="1" si="40"/>
        <v/>
      </c>
      <c r="D339" s="124" t="str">
        <f t="shared" ca="1" si="35"/>
        <v/>
      </c>
      <c r="E339" s="124" t="str">
        <f t="shared" ca="1" si="36"/>
        <v/>
      </c>
      <c r="F339" s="172" t="str">
        <f ca="1">IF(C339="","",[1]!S_DQ_CLOSE(D339,TODAY(),1))</f>
        <v/>
      </c>
      <c r="G339" s="173" t="str">
        <f ca="1">IF(C339="","",[1]!s_pq_pctchange(D339,TODAY()-$G$12,TODAY())/100)</f>
        <v/>
      </c>
      <c r="H339" s="249" t="str">
        <f ca="1">IF(C339="","",IF($H$11="收入",[1]!S_STM07_IS(D339,9,$G$5,$H$13)/$E$5,[1]!S_STM07_IS(D339,48,$G$5,$H$13)/$E$5))</f>
        <v/>
      </c>
      <c r="I339" s="249" t="str">
        <f ca="1">IF(C339="","",IF($I$11="毛利率",([1]!S_STM07_IS(D339,9,$G$5,$H$13)-[1]!S_STM07_IS(D339,10,$G$5,$H$13))/[1]!S_STM07_IS(D339,9,$G$5,$H$13),[1]!S_STM07_IS(D339,14,$G$5,$H$13)/$E$5))</f>
        <v/>
      </c>
      <c r="J339" s="249" t="str">
        <f ca="1">IF(C339="","",IF($J$11="营业利润率",[1]!S_STM07_IS(D339,48,$G$5,$H$13)/[1]!S_STM07_IS(D339,9,$G$5,$H$13),([1]!S_STM07_CS(D339,87,$G$5,$H$13)+[1]!S_STM07_CS(D339,88,$G$5,$H$13)+[1]!S_STM07_CS(D339,89,$G$5,$H$13))/$E$5))</f>
        <v/>
      </c>
      <c r="K339" s="249" t="str">
        <f ca="1">IF(C339="","",IF($K$11="净利润率",[1]!S_STM07_IS(D339,61,$G$5,$H$13)/[1]!S_STM07_IS(D339,9,$G$5,$H$13),[1]!S_STM07_IS(D339,55,$G$5,$H$13)/$E$5))</f>
        <v/>
      </c>
      <c r="L339" s="249" t="str">
        <f ca="1">IF(C339="","",IF($L$11="ROA",[1]!S_STM07_IS(D339,61,$G$5,$H$13)/[1]!S_STM07_BS(D339,74,$G$5,$H$13),1-[1]!S_STM07_IS(D339,61,$G$5,$H$13)/[1]!S_STM07_IS(D339,55,$G$5,$H$13)))</f>
        <v/>
      </c>
      <c r="M339" s="249" t="str">
        <f ca="1">IF(C339="","",IF($M$11="ROE",[1]!S_STM07_IS(D339,61,$G$5,$H$13)/[1]!S_STM07_BS(D339,141,$G$5,$H$13),([1]!S_STM07_BS(D339,25,$G$5,$H$13)-[1]!S_STM07_BS(D339,93,$G$5,$H$13))/$E$5))</f>
        <v/>
      </c>
      <c r="N339" s="250" t="str">
        <f ca="1">IF(C339="","",IF($N$11="EPS",[1]!S_STM07_IS(D339,61,$G$5,$H$13)/IF([1]!S_SHARE_TOTAL(D339,$G$5)=0,[1]!S_SHARE_TOTAL(D339,[1]!s_ipo_listeddate(D339)),[1]!S_SHARE_TOTAL(D339,$G$5)),([1]!S_STM07_BS(D339,75,$G$5,$H$13)+[1]!S_STM07_BS(D339,88,$G$5,$H$13)+[1]!S_STM07_BS(D339,94,$G$5,$H$13)+[1]!S_STM07_BS(D339,95,$G$5,$H$13))/$E$5))</f>
        <v/>
      </c>
      <c r="O339" s="250" t="str">
        <f ca="1">IF(C339="","",IF($O$11="BPS",[1]!S_STM07_BS(D339,141,$G$5,$H$13)/IF([1]!S_SHARE_TOTAL(D339,$G$5)=0,[1]!S_SHARE_TOTAL(D339,[1]!s_ipo_listeddate(D339)),[1]!S_SHARE_TOTAL(D339,$G$5)),[1]!S_STM07_CS(D339,49,$G$5,$H$13)/$E$5))</f>
        <v/>
      </c>
      <c r="P339" s="250" t="str">
        <f ca="1">IF(C339="","",IF($P$11="CFPS",[1]!S_STM07_CS(D339,84,$G$5,$H$13)/IF([1]!S_SHARE_TOTAL(D339,$G$5)=0,[1]!S_SHARE_TOTAL(D339,[1]!s_ipo_listeddate(D339)),[1]!S_SHARE_TOTAL(D339,$G$5)),[1]!S_STM07_CS(D339,84,$G$5,$H$13)/$E$5))</f>
        <v/>
      </c>
      <c r="Q339" s="198" t="str">
        <f ca="1">IF(C339="","",F339/([1]!S_STM07_IS(D339,61,$G$5,$H$13)/IF([1]!S_SHARE_TOTAL(D339,$G$5)=0,[1]!S_SHARE_TOTAL(D339,[1]!s_ipo_listeddate(D339)),[1]!S_SHARE_TOTAL(D339,$G$5))))</f>
        <v/>
      </c>
      <c r="R339" s="198" t="str">
        <f ca="1">IF(C339="","",F339/([1]!S_STM07_BS(D339,141,$G$5,$H$13)/IF([1]!S_SHARE_TOTAL(D339,$G$5)=0,[1]!S_SHARE_TOTAL(D339,[1]!s_ipo_listeddate(D339)),[1]!S_SHARE_TOTAL(D339,$G$5))))</f>
        <v/>
      </c>
      <c r="S339" s="249" t="str">
        <f ca="1">IF(C339="","",[1]!S_SHARE_TOTAL(D339,TODAY())/$E$5)</f>
        <v/>
      </c>
      <c r="T339" s="249" t="str">
        <f t="shared" ca="1" si="37"/>
        <v/>
      </c>
      <c r="U339" s="172" t="str">
        <f t="shared" ca="1" si="38"/>
        <v/>
      </c>
      <c r="V339" s="343" t="str">
        <f t="shared" ca="1" si="39"/>
        <v/>
      </c>
      <c r="W339" s="139"/>
      <c r="Y339" s="1"/>
    </row>
    <row r="340" spans="3:25" ht="12" customHeight="1">
      <c r="C340" s="342" t="str">
        <f t="shared" ca="1" si="40"/>
        <v/>
      </c>
      <c r="D340" s="153" t="str">
        <f t="shared" ca="1" si="35"/>
        <v/>
      </c>
      <c r="E340" s="153" t="str">
        <f t="shared" ca="1" si="36"/>
        <v/>
      </c>
      <c r="F340" s="170" t="str">
        <f ca="1">IF(C340="","",[1]!S_DQ_CLOSE(D340,TODAY(),1))</f>
        <v/>
      </c>
      <c r="G340" s="171" t="str">
        <f ca="1">IF(C340="","",[1]!s_pq_pctchange(D340,TODAY()-$G$12,TODAY())/100)</f>
        <v/>
      </c>
      <c r="H340" s="247" t="str">
        <f ca="1">IF(C340="","",IF($H$11="收入",[1]!S_STM07_IS(D340,9,$G$5,$H$13)/$E$5,[1]!S_STM07_IS(D340,48,$G$5,$H$13)/$E$5))</f>
        <v/>
      </c>
      <c r="I340" s="247" t="str">
        <f ca="1">IF(C340="","",IF($I$11="毛利率",([1]!S_STM07_IS(D340,9,$G$5,$H$13)-[1]!S_STM07_IS(D340,10,$G$5,$H$13))/[1]!S_STM07_IS(D340,9,$G$5,$H$13),[1]!S_STM07_IS(D340,14,$G$5,$H$13)/$E$5))</f>
        <v/>
      </c>
      <c r="J340" s="247" t="str">
        <f ca="1">IF(C340="","",IF($J$11="营业利润率",[1]!S_STM07_IS(D340,48,$G$5,$H$13)/[1]!S_STM07_IS(D340,9,$G$5,$H$13),([1]!S_STM07_CS(D340,87,$G$5,$H$13)+[1]!S_STM07_CS(D340,88,$G$5,$H$13)+[1]!S_STM07_CS(D340,89,$G$5,$H$13))/$E$5))</f>
        <v/>
      </c>
      <c r="K340" s="247" t="str">
        <f ca="1">IF(C340="","",IF($K$11="净利润率",[1]!S_STM07_IS(D340,61,$G$5,$H$13)/[1]!S_STM07_IS(D340,9,$G$5,$H$13),[1]!S_STM07_IS(D340,55,$G$5,$H$13)/$E$5))</f>
        <v/>
      </c>
      <c r="L340" s="247" t="str">
        <f ca="1">IF(C340="","",IF($L$11="ROA",[1]!S_STM07_IS(D340,61,$G$5,$H$13)/[1]!S_STM07_BS(D340,74,$G$5,$H$13),1-[1]!S_STM07_IS(D340,61,$G$5,$H$13)/[1]!S_STM07_IS(D340,55,$G$5,$H$13)))</f>
        <v/>
      </c>
      <c r="M340" s="247" t="str">
        <f ca="1">IF(C340="","",IF($M$11="ROE",[1]!S_STM07_IS(D340,61,$G$5,$H$13)/[1]!S_STM07_BS(D340,141,$G$5,$H$13),([1]!S_STM07_BS(D340,25,$G$5,$H$13)-[1]!S_STM07_BS(D340,93,$G$5,$H$13))/$E$5))</f>
        <v/>
      </c>
      <c r="N340" s="247" t="str">
        <f ca="1">IF(C340="","",IF($N$11="EPS",[1]!S_STM07_IS(D340,61,$G$5,$H$13)/IF([1]!S_SHARE_TOTAL(D340,$G$5)=0,[1]!S_SHARE_TOTAL(D340,[1]!s_ipo_listeddate(D340)),[1]!S_SHARE_TOTAL(D340,$G$5)),([1]!S_STM07_BS(D340,75,$G$5,$H$13)+[1]!S_STM07_BS(D340,88,$G$5,$H$13)+[1]!S_STM07_BS(D340,94,$G$5,$H$13)+[1]!S_STM07_BS(D340,95,$G$5,$H$13))/$E$5))</f>
        <v/>
      </c>
      <c r="O340" s="247" t="str">
        <f ca="1">IF(C340="","",IF($O$11="BPS",[1]!S_STM07_BS(D340,141,$G$5,$H$13)/IF([1]!S_SHARE_TOTAL(D340,$G$5)=0,[1]!S_SHARE_TOTAL(D340,[1]!s_ipo_listeddate(D340)),[1]!S_SHARE_TOTAL(D340,$G$5)),[1]!S_STM07_CS(D340,49,$G$5,$H$13)/$E$5))</f>
        <v/>
      </c>
      <c r="P340" s="247" t="str">
        <f ca="1">IF(C340="","",IF($P$11="CFPS",[1]!S_STM07_CS(D340,84,$G$5,$H$13)/IF([1]!S_SHARE_TOTAL(D340,$G$5)=0,[1]!S_SHARE_TOTAL(D340,[1]!s_ipo_listeddate(D340)),[1]!S_SHARE_TOTAL(D340,$G$5)),[1]!S_STM07_CS(D340,84,$G$5,$H$13)/$E$5))</f>
        <v/>
      </c>
      <c r="Q340" s="248" t="str">
        <f ca="1">IF(C340="","",F340/([1]!S_STM07_IS(D340,61,$G$5,$H$13)/IF([1]!S_SHARE_TOTAL(D340,$G$5)=0,[1]!S_SHARE_TOTAL(D340,[1]!s_ipo_listeddate(D340)),[1]!S_SHARE_TOTAL(D340,$G$5))))</f>
        <v/>
      </c>
      <c r="R340" s="248" t="str">
        <f ca="1">IF(C340="","",F340/([1]!S_STM07_BS(D340,141,$G$5,$H$13)/IF([1]!S_SHARE_TOTAL(D340,$G$5)=0,[1]!S_SHARE_TOTAL(D340,[1]!s_ipo_listeddate(D340)),[1]!S_SHARE_TOTAL(D340,$G$5))))</f>
        <v/>
      </c>
      <c r="S340" s="247" t="str">
        <f ca="1">IF(C340="","",[1]!S_SHARE_TOTAL(D340,TODAY())/$E$5)</f>
        <v/>
      </c>
      <c r="T340" s="247" t="str">
        <f t="shared" ca="1" si="37"/>
        <v/>
      </c>
      <c r="U340" s="218" t="str">
        <f t="shared" ca="1" si="38"/>
        <v/>
      </c>
      <c r="V340" s="342" t="str">
        <f t="shared" ca="1" si="39"/>
        <v/>
      </c>
      <c r="W340" s="139"/>
      <c r="Y340" s="1"/>
    </row>
    <row r="341" spans="3:25" ht="12" customHeight="1">
      <c r="C341" s="343" t="str">
        <f t="shared" ca="1" si="40"/>
        <v/>
      </c>
      <c r="D341" s="124" t="str">
        <f t="shared" ca="1" si="35"/>
        <v/>
      </c>
      <c r="E341" s="124" t="str">
        <f t="shared" ca="1" si="36"/>
        <v/>
      </c>
      <c r="F341" s="172" t="str">
        <f ca="1">IF(C341="","",[1]!S_DQ_CLOSE(D341,TODAY(),1))</f>
        <v/>
      </c>
      <c r="G341" s="173" t="str">
        <f ca="1">IF(C341="","",[1]!s_pq_pctchange(D341,TODAY()-$G$12,TODAY())/100)</f>
        <v/>
      </c>
      <c r="H341" s="249" t="str">
        <f ca="1">IF(C341="","",IF($H$11="收入",[1]!S_STM07_IS(D341,9,$G$5,$H$13)/$E$5,[1]!S_STM07_IS(D341,48,$G$5,$H$13)/$E$5))</f>
        <v/>
      </c>
      <c r="I341" s="249" t="str">
        <f ca="1">IF(C341="","",IF($I$11="毛利率",([1]!S_STM07_IS(D341,9,$G$5,$H$13)-[1]!S_STM07_IS(D341,10,$G$5,$H$13))/[1]!S_STM07_IS(D341,9,$G$5,$H$13),[1]!S_STM07_IS(D341,14,$G$5,$H$13)/$E$5))</f>
        <v/>
      </c>
      <c r="J341" s="249" t="str">
        <f ca="1">IF(C341="","",IF($J$11="营业利润率",[1]!S_STM07_IS(D341,48,$G$5,$H$13)/[1]!S_STM07_IS(D341,9,$G$5,$H$13),([1]!S_STM07_CS(D341,87,$G$5,$H$13)+[1]!S_STM07_CS(D341,88,$G$5,$H$13)+[1]!S_STM07_CS(D341,89,$G$5,$H$13))/$E$5))</f>
        <v/>
      </c>
      <c r="K341" s="249" t="str">
        <f ca="1">IF(C341="","",IF($K$11="净利润率",[1]!S_STM07_IS(D341,61,$G$5,$H$13)/[1]!S_STM07_IS(D341,9,$G$5,$H$13),[1]!S_STM07_IS(D341,55,$G$5,$H$13)/$E$5))</f>
        <v/>
      </c>
      <c r="L341" s="249" t="str">
        <f ca="1">IF(C341="","",IF($L$11="ROA",[1]!S_STM07_IS(D341,61,$G$5,$H$13)/[1]!S_STM07_BS(D341,74,$G$5,$H$13),1-[1]!S_STM07_IS(D341,61,$G$5,$H$13)/[1]!S_STM07_IS(D341,55,$G$5,$H$13)))</f>
        <v/>
      </c>
      <c r="M341" s="249" t="str">
        <f ca="1">IF(C341="","",IF($M$11="ROE",[1]!S_STM07_IS(D341,61,$G$5,$H$13)/[1]!S_STM07_BS(D341,141,$G$5,$H$13),([1]!S_STM07_BS(D341,25,$G$5,$H$13)-[1]!S_STM07_BS(D341,93,$G$5,$H$13))/$E$5))</f>
        <v/>
      </c>
      <c r="N341" s="250" t="str">
        <f ca="1">IF(C341="","",IF($N$11="EPS",[1]!S_STM07_IS(D341,61,$G$5,$H$13)/IF([1]!S_SHARE_TOTAL(D341,$G$5)=0,[1]!S_SHARE_TOTAL(D341,[1]!s_ipo_listeddate(D341)),[1]!S_SHARE_TOTAL(D341,$G$5)),([1]!S_STM07_BS(D341,75,$G$5,$H$13)+[1]!S_STM07_BS(D341,88,$G$5,$H$13)+[1]!S_STM07_BS(D341,94,$G$5,$H$13)+[1]!S_STM07_BS(D341,95,$G$5,$H$13))/$E$5))</f>
        <v/>
      </c>
      <c r="O341" s="250" t="str">
        <f ca="1">IF(C341="","",IF($O$11="BPS",[1]!S_STM07_BS(D341,141,$G$5,$H$13)/IF([1]!S_SHARE_TOTAL(D341,$G$5)=0,[1]!S_SHARE_TOTAL(D341,[1]!s_ipo_listeddate(D341)),[1]!S_SHARE_TOTAL(D341,$G$5)),[1]!S_STM07_CS(D341,49,$G$5,$H$13)/$E$5))</f>
        <v/>
      </c>
      <c r="P341" s="250" t="str">
        <f ca="1">IF(C341="","",IF($P$11="CFPS",[1]!S_STM07_CS(D341,84,$G$5,$H$13)/IF([1]!S_SHARE_TOTAL(D341,$G$5)=0,[1]!S_SHARE_TOTAL(D341,[1]!s_ipo_listeddate(D341)),[1]!S_SHARE_TOTAL(D341,$G$5)),[1]!S_STM07_CS(D341,84,$G$5,$H$13)/$E$5))</f>
        <v/>
      </c>
      <c r="Q341" s="198" t="str">
        <f ca="1">IF(C341="","",F341/([1]!S_STM07_IS(D341,61,$G$5,$H$13)/IF([1]!S_SHARE_TOTAL(D341,$G$5)=0,[1]!S_SHARE_TOTAL(D341,[1]!s_ipo_listeddate(D341)),[1]!S_SHARE_TOTAL(D341,$G$5))))</f>
        <v/>
      </c>
      <c r="R341" s="198" t="str">
        <f ca="1">IF(C341="","",F341/([1]!S_STM07_BS(D341,141,$G$5,$H$13)/IF([1]!S_SHARE_TOTAL(D341,$G$5)=0,[1]!S_SHARE_TOTAL(D341,[1]!s_ipo_listeddate(D341)),[1]!S_SHARE_TOTAL(D341,$G$5))))</f>
        <v/>
      </c>
      <c r="S341" s="249" t="str">
        <f ca="1">IF(C341="","",[1]!S_SHARE_TOTAL(D341,TODAY())/$E$5)</f>
        <v/>
      </c>
      <c r="T341" s="249" t="str">
        <f t="shared" ca="1" si="37"/>
        <v/>
      </c>
      <c r="U341" s="172" t="str">
        <f t="shared" ca="1" si="38"/>
        <v/>
      </c>
      <c r="V341" s="343" t="str">
        <f t="shared" ca="1" si="39"/>
        <v/>
      </c>
      <c r="W341" s="139"/>
      <c r="Y341" s="1"/>
    </row>
    <row r="342" spans="3:25" ht="12" customHeight="1">
      <c r="C342" s="342" t="str">
        <f t="shared" ca="1" si="40"/>
        <v/>
      </c>
      <c r="D342" s="153" t="str">
        <f t="shared" ca="1" si="35"/>
        <v/>
      </c>
      <c r="E342" s="153" t="str">
        <f t="shared" ca="1" si="36"/>
        <v/>
      </c>
      <c r="F342" s="170" t="str">
        <f ca="1">IF(C342="","",[1]!S_DQ_CLOSE(D342,TODAY(),1))</f>
        <v/>
      </c>
      <c r="G342" s="171" t="str">
        <f ca="1">IF(C342="","",[1]!s_pq_pctchange(D342,TODAY()-$G$12,TODAY())/100)</f>
        <v/>
      </c>
      <c r="H342" s="247" t="str">
        <f ca="1">IF(C342="","",IF($H$11="收入",[1]!S_STM07_IS(D342,9,$G$5,$H$13)/$E$5,[1]!S_STM07_IS(D342,48,$G$5,$H$13)/$E$5))</f>
        <v/>
      </c>
      <c r="I342" s="247" t="str">
        <f ca="1">IF(C342="","",IF($I$11="毛利率",([1]!S_STM07_IS(D342,9,$G$5,$H$13)-[1]!S_STM07_IS(D342,10,$G$5,$H$13))/[1]!S_STM07_IS(D342,9,$G$5,$H$13),[1]!S_STM07_IS(D342,14,$G$5,$H$13)/$E$5))</f>
        <v/>
      </c>
      <c r="J342" s="247" t="str">
        <f ca="1">IF(C342="","",IF($J$11="营业利润率",[1]!S_STM07_IS(D342,48,$G$5,$H$13)/[1]!S_STM07_IS(D342,9,$G$5,$H$13),([1]!S_STM07_CS(D342,87,$G$5,$H$13)+[1]!S_STM07_CS(D342,88,$G$5,$H$13)+[1]!S_STM07_CS(D342,89,$G$5,$H$13))/$E$5))</f>
        <v/>
      </c>
      <c r="K342" s="247" t="str">
        <f ca="1">IF(C342="","",IF($K$11="净利润率",[1]!S_STM07_IS(D342,61,$G$5,$H$13)/[1]!S_STM07_IS(D342,9,$G$5,$H$13),[1]!S_STM07_IS(D342,55,$G$5,$H$13)/$E$5))</f>
        <v/>
      </c>
      <c r="L342" s="247" t="str">
        <f ca="1">IF(C342="","",IF($L$11="ROA",[1]!S_STM07_IS(D342,61,$G$5,$H$13)/[1]!S_STM07_BS(D342,74,$G$5,$H$13),1-[1]!S_STM07_IS(D342,61,$G$5,$H$13)/[1]!S_STM07_IS(D342,55,$G$5,$H$13)))</f>
        <v/>
      </c>
      <c r="M342" s="247" t="str">
        <f ca="1">IF(C342="","",IF($M$11="ROE",[1]!S_STM07_IS(D342,61,$G$5,$H$13)/[1]!S_STM07_BS(D342,141,$G$5,$H$13),([1]!S_STM07_BS(D342,25,$G$5,$H$13)-[1]!S_STM07_BS(D342,93,$G$5,$H$13))/$E$5))</f>
        <v/>
      </c>
      <c r="N342" s="247" t="str">
        <f ca="1">IF(C342="","",IF($N$11="EPS",[1]!S_STM07_IS(D342,61,$G$5,$H$13)/IF([1]!S_SHARE_TOTAL(D342,$G$5)=0,[1]!S_SHARE_TOTAL(D342,[1]!s_ipo_listeddate(D342)),[1]!S_SHARE_TOTAL(D342,$G$5)),([1]!S_STM07_BS(D342,75,$G$5,$H$13)+[1]!S_STM07_BS(D342,88,$G$5,$H$13)+[1]!S_STM07_BS(D342,94,$G$5,$H$13)+[1]!S_STM07_BS(D342,95,$G$5,$H$13))/$E$5))</f>
        <v/>
      </c>
      <c r="O342" s="247" t="str">
        <f ca="1">IF(C342="","",IF($O$11="BPS",[1]!S_STM07_BS(D342,141,$G$5,$H$13)/IF([1]!S_SHARE_TOTAL(D342,$G$5)=0,[1]!S_SHARE_TOTAL(D342,[1]!s_ipo_listeddate(D342)),[1]!S_SHARE_TOTAL(D342,$G$5)),[1]!S_STM07_CS(D342,49,$G$5,$H$13)/$E$5))</f>
        <v/>
      </c>
      <c r="P342" s="247" t="str">
        <f ca="1">IF(C342="","",IF($P$11="CFPS",[1]!S_STM07_CS(D342,84,$G$5,$H$13)/IF([1]!S_SHARE_TOTAL(D342,$G$5)=0,[1]!S_SHARE_TOTAL(D342,[1]!s_ipo_listeddate(D342)),[1]!S_SHARE_TOTAL(D342,$G$5)),[1]!S_STM07_CS(D342,84,$G$5,$H$13)/$E$5))</f>
        <v/>
      </c>
      <c r="Q342" s="248" t="str">
        <f ca="1">IF(C342="","",F342/([1]!S_STM07_IS(D342,61,$G$5,$H$13)/IF([1]!S_SHARE_TOTAL(D342,$G$5)=0,[1]!S_SHARE_TOTAL(D342,[1]!s_ipo_listeddate(D342)),[1]!S_SHARE_TOTAL(D342,$G$5))))</f>
        <v/>
      </c>
      <c r="R342" s="248" t="str">
        <f ca="1">IF(C342="","",F342/([1]!S_STM07_BS(D342,141,$G$5,$H$13)/IF([1]!S_SHARE_TOTAL(D342,$G$5)=0,[1]!S_SHARE_TOTAL(D342,[1]!s_ipo_listeddate(D342)),[1]!S_SHARE_TOTAL(D342,$G$5))))</f>
        <v/>
      </c>
      <c r="S342" s="247" t="str">
        <f ca="1">IF(C342="","",[1]!S_SHARE_TOTAL(D342,TODAY())/$E$5)</f>
        <v/>
      </c>
      <c r="T342" s="247" t="str">
        <f t="shared" ca="1" si="37"/>
        <v/>
      </c>
      <c r="U342" s="218" t="str">
        <f t="shared" ca="1" si="38"/>
        <v/>
      </c>
      <c r="V342" s="342" t="str">
        <f t="shared" ca="1" si="39"/>
        <v/>
      </c>
      <c r="W342" s="139"/>
      <c r="Y342" s="1"/>
    </row>
    <row r="343" spans="3:25" ht="12" customHeight="1">
      <c r="C343" s="343" t="str">
        <f t="shared" ca="1" si="40"/>
        <v/>
      </c>
      <c r="D343" s="124" t="str">
        <f t="shared" ca="1" si="35"/>
        <v/>
      </c>
      <c r="E343" s="124" t="str">
        <f t="shared" ca="1" si="36"/>
        <v/>
      </c>
      <c r="F343" s="172" t="str">
        <f ca="1">IF(C343="","",[1]!S_DQ_CLOSE(D343,TODAY(),1))</f>
        <v/>
      </c>
      <c r="G343" s="173" t="str">
        <f ca="1">IF(C343="","",[1]!s_pq_pctchange(D343,TODAY()-$G$12,TODAY())/100)</f>
        <v/>
      </c>
      <c r="H343" s="249" t="str">
        <f ca="1">IF(C343="","",IF($H$11="收入",[1]!S_STM07_IS(D343,9,$G$5,$H$13)/$E$5,[1]!S_STM07_IS(D343,48,$G$5,$H$13)/$E$5))</f>
        <v/>
      </c>
      <c r="I343" s="249" t="str">
        <f ca="1">IF(C343="","",IF($I$11="毛利率",([1]!S_STM07_IS(D343,9,$G$5,$H$13)-[1]!S_STM07_IS(D343,10,$G$5,$H$13))/[1]!S_STM07_IS(D343,9,$G$5,$H$13),[1]!S_STM07_IS(D343,14,$G$5,$H$13)/$E$5))</f>
        <v/>
      </c>
      <c r="J343" s="249" t="str">
        <f ca="1">IF(C343="","",IF($J$11="营业利润率",[1]!S_STM07_IS(D343,48,$G$5,$H$13)/[1]!S_STM07_IS(D343,9,$G$5,$H$13),([1]!S_STM07_CS(D343,87,$G$5,$H$13)+[1]!S_STM07_CS(D343,88,$G$5,$H$13)+[1]!S_STM07_CS(D343,89,$G$5,$H$13))/$E$5))</f>
        <v/>
      </c>
      <c r="K343" s="249" t="str">
        <f ca="1">IF(C343="","",IF($K$11="净利润率",[1]!S_STM07_IS(D343,61,$G$5,$H$13)/[1]!S_STM07_IS(D343,9,$G$5,$H$13),[1]!S_STM07_IS(D343,55,$G$5,$H$13)/$E$5))</f>
        <v/>
      </c>
      <c r="L343" s="249" t="str">
        <f ca="1">IF(C343="","",IF($L$11="ROA",[1]!S_STM07_IS(D343,61,$G$5,$H$13)/[1]!S_STM07_BS(D343,74,$G$5,$H$13),1-[1]!S_STM07_IS(D343,61,$G$5,$H$13)/[1]!S_STM07_IS(D343,55,$G$5,$H$13)))</f>
        <v/>
      </c>
      <c r="M343" s="249" t="str">
        <f ca="1">IF(C343="","",IF($M$11="ROE",[1]!S_STM07_IS(D343,61,$G$5,$H$13)/[1]!S_STM07_BS(D343,141,$G$5,$H$13),([1]!S_STM07_BS(D343,25,$G$5,$H$13)-[1]!S_STM07_BS(D343,93,$G$5,$H$13))/$E$5))</f>
        <v/>
      </c>
      <c r="N343" s="250" t="str">
        <f ca="1">IF(C343="","",IF($N$11="EPS",[1]!S_STM07_IS(D343,61,$G$5,$H$13)/IF([1]!S_SHARE_TOTAL(D343,$G$5)=0,[1]!S_SHARE_TOTAL(D343,[1]!s_ipo_listeddate(D343)),[1]!S_SHARE_TOTAL(D343,$G$5)),([1]!S_STM07_BS(D343,75,$G$5,$H$13)+[1]!S_STM07_BS(D343,88,$G$5,$H$13)+[1]!S_STM07_BS(D343,94,$G$5,$H$13)+[1]!S_STM07_BS(D343,95,$G$5,$H$13))/$E$5))</f>
        <v/>
      </c>
      <c r="O343" s="250" t="str">
        <f ca="1">IF(C343="","",IF($O$11="BPS",[1]!S_STM07_BS(D343,141,$G$5,$H$13)/IF([1]!S_SHARE_TOTAL(D343,$G$5)=0,[1]!S_SHARE_TOTAL(D343,[1]!s_ipo_listeddate(D343)),[1]!S_SHARE_TOTAL(D343,$G$5)),[1]!S_STM07_CS(D343,49,$G$5,$H$13)/$E$5))</f>
        <v/>
      </c>
      <c r="P343" s="250" t="str">
        <f ca="1">IF(C343="","",IF($P$11="CFPS",[1]!S_STM07_CS(D343,84,$G$5,$H$13)/IF([1]!S_SHARE_TOTAL(D343,$G$5)=0,[1]!S_SHARE_TOTAL(D343,[1]!s_ipo_listeddate(D343)),[1]!S_SHARE_TOTAL(D343,$G$5)),[1]!S_STM07_CS(D343,84,$G$5,$H$13)/$E$5))</f>
        <v/>
      </c>
      <c r="Q343" s="198" t="str">
        <f ca="1">IF(C343="","",F343/([1]!S_STM07_IS(D343,61,$G$5,$H$13)/IF([1]!S_SHARE_TOTAL(D343,$G$5)=0,[1]!S_SHARE_TOTAL(D343,[1]!s_ipo_listeddate(D343)),[1]!S_SHARE_TOTAL(D343,$G$5))))</f>
        <v/>
      </c>
      <c r="R343" s="198" t="str">
        <f ca="1">IF(C343="","",F343/([1]!S_STM07_BS(D343,141,$G$5,$H$13)/IF([1]!S_SHARE_TOTAL(D343,$G$5)=0,[1]!S_SHARE_TOTAL(D343,[1]!s_ipo_listeddate(D343)),[1]!S_SHARE_TOTAL(D343,$G$5))))</f>
        <v/>
      </c>
      <c r="S343" s="249" t="str">
        <f ca="1">IF(C343="","",[1]!S_SHARE_TOTAL(D343,TODAY())/$E$5)</f>
        <v/>
      </c>
      <c r="T343" s="249" t="str">
        <f t="shared" ca="1" si="37"/>
        <v/>
      </c>
      <c r="U343" s="172" t="str">
        <f t="shared" ca="1" si="38"/>
        <v/>
      </c>
      <c r="V343" s="343" t="str">
        <f t="shared" ca="1" si="39"/>
        <v/>
      </c>
      <c r="W343" s="139"/>
      <c r="Y343" s="1"/>
    </row>
    <row r="344" spans="3:25" ht="12" customHeight="1">
      <c r="C344" s="342" t="str">
        <f t="shared" ca="1" si="40"/>
        <v/>
      </c>
      <c r="D344" s="153" t="str">
        <f t="shared" ca="1" si="35"/>
        <v/>
      </c>
      <c r="E344" s="153" t="str">
        <f t="shared" ca="1" si="36"/>
        <v/>
      </c>
      <c r="F344" s="170" t="str">
        <f ca="1">IF(C344="","",[1]!S_DQ_CLOSE(D344,TODAY(),1))</f>
        <v/>
      </c>
      <c r="G344" s="171" t="str">
        <f ca="1">IF(C344="","",[1]!s_pq_pctchange(D344,TODAY()-$G$12,TODAY())/100)</f>
        <v/>
      </c>
      <c r="H344" s="247" t="str">
        <f ca="1">IF(C344="","",IF($H$11="收入",[1]!S_STM07_IS(D344,9,$G$5,$H$13)/$E$5,[1]!S_STM07_IS(D344,48,$G$5,$H$13)/$E$5))</f>
        <v/>
      </c>
      <c r="I344" s="247" t="str">
        <f ca="1">IF(C344="","",IF($I$11="毛利率",([1]!S_STM07_IS(D344,9,$G$5,$H$13)-[1]!S_STM07_IS(D344,10,$G$5,$H$13))/[1]!S_STM07_IS(D344,9,$G$5,$H$13),[1]!S_STM07_IS(D344,14,$G$5,$H$13)/$E$5))</f>
        <v/>
      </c>
      <c r="J344" s="247" t="str">
        <f ca="1">IF(C344="","",IF($J$11="营业利润率",[1]!S_STM07_IS(D344,48,$G$5,$H$13)/[1]!S_STM07_IS(D344,9,$G$5,$H$13),([1]!S_STM07_CS(D344,87,$G$5,$H$13)+[1]!S_STM07_CS(D344,88,$G$5,$H$13)+[1]!S_STM07_CS(D344,89,$G$5,$H$13))/$E$5))</f>
        <v/>
      </c>
      <c r="K344" s="247" t="str">
        <f ca="1">IF(C344="","",IF($K$11="净利润率",[1]!S_STM07_IS(D344,61,$G$5,$H$13)/[1]!S_STM07_IS(D344,9,$G$5,$H$13),[1]!S_STM07_IS(D344,55,$G$5,$H$13)/$E$5))</f>
        <v/>
      </c>
      <c r="L344" s="247" t="str">
        <f ca="1">IF(C344="","",IF($L$11="ROA",[1]!S_STM07_IS(D344,61,$G$5,$H$13)/[1]!S_STM07_BS(D344,74,$G$5,$H$13),1-[1]!S_STM07_IS(D344,61,$G$5,$H$13)/[1]!S_STM07_IS(D344,55,$G$5,$H$13)))</f>
        <v/>
      </c>
      <c r="M344" s="247" t="str">
        <f ca="1">IF(C344="","",IF($M$11="ROE",[1]!S_STM07_IS(D344,61,$G$5,$H$13)/[1]!S_STM07_BS(D344,141,$G$5,$H$13),([1]!S_STM07_BS(D344,25,$G$5,$H$13)-[1]!S_STM07_BS(D344,93,$G$5,$H$13))/$E$5))</f>
        <v/>
      </c>
      <c r="N344" s="247" t="str">
        <f ca="1">IF(C344="","",IF($N$11="EPS",[1]!S_STM07_IS(D344,61,$G$5,$H$13)/IF([1]!S_SHARE_TOTAL(D344,$G$5)=0,[1]!S_SHARE_TOTAL(D344,[1]!s_ipo_listeddate(D344)),[1]!S_SHARE_TOTAL(D344,$G$5)),([1]!S_STM07_BS(D344,75,$G$5,$H$13)+[1]!S_STM07_BS(D344,88,$G$5,$H$13)+[1]!S_STM07_BS(D344,94,$G$5,$H$13)+[1]!S_STM07_BS(D344,95,$G$5,$H$13))/$E$5))</f>
        <v/>
      </c>
      <c r="O344" s="247" t="str">
        <f ca="1">IF(C344="","",IF($O$11="BPS",[1]!S_STM07_BS(D344,141,$G$5,$H$13)/IF([1]!S_SHARE_TOTAL(D344,$G$5)=0,[1]!S_SHARE_TOTAL(D344,[1]!s_ipo_listeddate(D344)),[1]!S_SHARE_TOTAL(D344,$G$5)),[1]!S_STM07_CS(D344,49,$G$5,$H$13)/$E$5))</f>
        <v/>
      </c>
      <c r="P344" s="247" t="str">
        <f ca="1">IF(C344="","",IF($P$11="CFPS",[1]!S_STM07_CS(D344,84,$G$5,$H$13)/IF([1]!S_SHARE_TOTAL(D344,$G$5)=0,[1]!S_SHARE_TOTAL(D344,[1]!s_ipo_listeddate(D344)),[1]!S_SHARE_TOTAL(D344,$G$5)),[1]!S_STM07_CS(D344,84,$G$5,$H$13)/$E$5))</f>
        <v/>
      </c>
      <c r="Q344" s="248" t="str">
        <f ca="1">IF(C344="","",F344/([1]!S_STM07_IS(D344,61,$G$5,$H$13)/IF([1]!S_SHARE_TOTAL(D344,$G$5)=0,[1]!S_SHARE_TOTAL(D344,[1]!s_ipo_listeddate(D344)),[1]!S_SHARE_TOTAL(D344,$G$5))))</f>
        <v/>
      </c>
      <c r="R344" s="248" t="str">
        <f ca="1">IF(C344="","",F344/([1]!S_STM07_BS(D344,141,$G$5,$H$13)/IF([1]!S_SHARE_TOTAL(D344,$G$5)=0,[1]!S_SHARE_TOTAL(D344,[1]!s_ipo_listeddate(D344)),[1]!S_SHARE_TOTAL(D344,$G$5))))</f>
        <v/>
      </c>
      <c r="S344" s="247" t="str">
        <f ca="1">IF(C344="","",[1]!S_SHARE_TOTAL(D344,TODAY())/$E$5)</f>
        <v/>
      </c>
      <c r="T344" s="247" t="str">
        <f t="shared" ca="1" si="37"/>
        <v/>
      </c>
      <c r="U344" s="218" t="str">
        <f t="shared" ca="1" si="38"/>
        <v/>
      </c>
      <c r="V344" s="342" t="str">
        <f t="shared" ca="1" si="39"/>
        <v/>
      </c>
      <c r="W344" s="139"/>
      <c r="Y344" s="1"/>
    </row>
    <row r="345" spans="3:25" ht="12" customHeight="1">
      <c r="C345" s="343" t="str">
        <f t="shared" ca="1" si="40"/>
        <v/>
      </c>
      <c r="D345" s="124" t="str">
        <f t="shared" ca="1" si="35"/>
        <v/>
      </c>
      <c r="E345" s="124" t="str">
        <f t="shared" ca="1" si="36"/>
        <v/>
      </c>
      <c r="F345" s="172" t="str">
        <f ca="1">IF(C345="","",[1]!S_DQ_CLOSE(D345,TODAY(),1))</f>
        <v/>
      </c>
      <c r="G345" s="173" t="str">
        <f ca="1">IF(C345="","",[1]!s_pq_pctchange(D345,TODAY()-$G$12,TODAY())/100)</f>
        <v/>
      </c>
      <c r="H345" s="249" t="str">
        <f ca="1">IF(C345="","",IF($H$11="收入",[1]!S_STM07_IS(D345,9,$G$5,$H$13)/$E$5,[1]!S_STM07_IS(D345,48,$G$5,$H$13)/$E$5))</f>
        <v/>
      </c>
      <c r="I345" s="249" t="str">
        <f ca="1">IF(C345="","",IF($I$11="毛利率",([1]!S_STM07_IS(D345,9,$G$5,$H$13)-[1]!S_STM07_IS(D345,10,$G$5,$H$13))/[1]!S_STM07_IS(D345,9,$G$5,$H$13),[1]!S_STM07_IS(D345,14,$G$5,$H$13)/$E$5))</f>
        <v/>
      </c>
      <c r="J345" s="249" t="str">
        <f ca="1">IF(C345="","",IF($J$11="营业利润率",[1]!S_STM07_IS(D345,48,$G$5,$H$13)/[1]!S_STM07_IS(D345,9,$G$5,$H$13),([1]!S_STM07_CS(D345,87,$G$5,$H$13)+[1]!S_STM07_CS(D345,88,$G$5,$H$13)+[1]!S_STM07_CS(D345,89,$G$5,$H$13))/$E$5))</f>
        <v/>
      </c>
      <c r="K345" s="249" t="str">
        <f ca="1">IF(C345="","",IF($K$11="净利润率",[1]!S_STM07_IS(D345,61,$G$5,$H$13)/[1]!S_STM07_IS(D345,9,$G$5,$H$13),[1]!S_STM07_IS(D345,55,$G$5,$H$13)/$E$5))</f>
        <v/>
      </c>
      <c r="L345" s="249" t="str">
        <f ca="1">IF(C345="","",IF($L$11="ROA",[1]!S_STM07_IS(D345,61,$G$5,$H$13)/[1]!S_STM07_BS(D345,74,$G$5,$H$13),1-[1]!S_STM07_IS(D345,61,$G$5,$H$13)/[1]!S_STM07_IS(D345,55,$G$5,$H$13)))</f>
        <v/>
      </c>
      <c r="M345" s="249" t="str">
        <f ca="1">IF(C345="","",IF($M$11="ROE",[1]!S_STM07_IS(D345,61,$G$5,$H$13)/[1]!S_STM07_BS(D345,141,$G$5,$H$13),([1]!S_STM07_BS(D345,25,$G$5,$H$13)-[1]!S_STM07_BS(D345,93,$G$5,$H$13))/$E$5))</f>
        <v/>
      </c>
      <c r="N345" s="250" t="str">
        <f ca="1">IF(C345="","",IF($N$11="EPS",[1]!S_STM07_IS(D345,61,$G$5,$H$13)/IF([1]!S_SHARE_TOTAL(D345,$G$5)=0,[1]!S_SHARE_TOTAL(D345,[1]!s_ipo_listeddate(D345)),[1]!S_SHARE_TOTAL(D345,$G$5)),([1]!S_STM07_BS(D345,75,$G$5,$H$13)+[1]!S_STM07_BS(D345,88,$G$5,$H$13)+[1]!S_STM07_BS(D345,94,$G$5,$H$13)+[1]!S_STM07_BS(D345,95,$G$5,$H$13))/$E$5))</f>
        <v/>
      </c>
      <c r="O345" s="250" t="str">
        <f ca="1">IF(C345="","",IF($O$11="BPS",[1]!S_STM07_BS(D345,141,$G$5,$H$13)/IF([1]!S_SHARE_TOTAL(D345,$G$5)=0,[1]!S_SHARE_TOTAL(D345,[1]!s_ipo_listeddate(D345)),[1]!S_SHARE_TOTAL(D345,$G$5)),[1]!S_STM07_CS(D345,49,$G$5,$H$13)/$E$5))</f>
        <v/>
      </c>
      <c r="P345" s="250" t="str">
        <f ca="1">IF(C345="","",IF($P$11="CFPS",[1]!S_STM07_CS(D345,84,$G$5,$H$13)/IF([1]!S_SHARE_TOTAL(D345,$G$5)=0,[1]!S_SHARE_TOTAL(D345,[1]!s_ipo_listeddate(D345)),[1]!S_SHARE_TOTAL(D345,$G$5)),[1]!S_STM07_CS(D345,84,$G$5,$H$13)/$E$5))</f>
        <v/>
      </c>
      <c r="Q345" s="198" t="str">
        <f ca="1">IF(C345="","",F345/([1]!S_STM07_IS(D345,61,$G$5,$H$13)/IF([1]!S_SHARE_TOTAL(D345,$G$5)=0,[1]!S_SHARE_TOTAL(D345,[1]!s_ipo_listeddate(D345)),[1]!S_SHARE_TOTAL(D345,$G$5))))</f>
        <v/>
      </c>
      <c r="R345" s="198" t="str">
        <f ca="1">IF(C345="","",F345/([1]!S_STM07_BS(D345,141,$G$5,$H$13)/IF([1]!S_SHARE_TOTAL(D345,$G$5)=0,[1]!S_SHARE_TOTAL(D345,[1]!s_ipo_listeddate(D345)),[1]!S_SHARE_TOTAL(D345,$G$5))))</f>
        <v/>
      </c>
      <c r="S345" s="249" t="str">
        <f ca="1">IF(C345="","",[1]!S_SHARE_TOTAL(D345,TODAY())/$E$5)</f>
        <v/>
      </c>
      <c r="T345" s="249" t="str">
        <f t="shared" ca="1" si="37"/>
        <v/>
      </c>
      <c r="U345" s="172" t="str">
        <f t="shared" ca="1" si="38"/>
        <v/>
      </c>
      <c r="V345" s="343" t="str">
        <f t="shared" ca="1" si="39"/>
        <v/>
      </c>
      <c r="W345" s="139"/>
      <c r="Y345" s="1"/>
    </row>
    <row r="346" spans="3:25" ht="12" customHeight="1">
      <c r="C346" s="342" t="str">
        <f t="shared" ca="1" si="40"/>
        <v/>
      </c>
      <c r="D346" s="153" t="str">
        <f t="shared" ca="1" si="35"/>
        <v/>
      </c>
      <c r="E346" s="153" t="str">
        <f t="shared" ca="1" si="36"/>
        <v/>
      </c>
      <c r="F346" s="170" t="str">
        <f ca="1">IF(C346="","",[1]!S_DQ_CLOSE(D346,TODAY(),1))</f>
        <v/>
      </c>
      <c r="G346" s="171" t="str">
        <f ca="1">IF(C346="","",[1]!s_pq_pctchange(D346,TODAY()-$G$12,TODAY())/100)</f>
        <v/>
      </c>
      <c r="H346" s="247" t="str">
        <f ca="1">IF(C346="","",IF($H$11="收入",[1]!S_STM07_IS(D346,9,$G$5,$H$13)/$E$5,[1]!S_STM07_IS(D346,48,$G$5,$H$13)/$E$5))</f>
        <v/>
      </c>
      <c r="I346" s="247" t="str">
        <f ca="1">IF(C346="","",IF($I$11="毛利率",([1]!S_STM07_IS(D346,9,$G$5,$H$13)-[1]!S_STM07_IS(D346,10,$G$5,$H$13))/[1]!S_STM07_IS(D346,9,$G$5,$H$13),[1]!S_STM07_IS(D346,14,$G$5,$H$13)/$E$5))</f>
        <v/>
      </c>
      <c r="J346" s="247" t="str">
        <f ca="1">IF(C346="","",IF($J$11="营业利润率",[1]!S_STM07_IS(D346,48,$G$5,$H$13)/[1]!S_STM07_IS(D346,9,$G$5,$H$13),([1]!S_STM07_CS(D346,87,$G$5,$H$13)+[1]!S_STM07_CS(D346,88,$G$5,$H$13)+[1]!S_STM07_CS(D346,89,$G$5,$H$13))/$E$5))</f>
        <v/>
      </c>
      <c r="K346" s="247" t="str">
        <f ca="1">IF(C346="","",IF($K$11="净利润率",[1]!S_STM07_IS(D346,61,$G$5,$H$13)/[1]!S_STM07_IS(D346,9,$G$5,$H$13),[1]!S_STM07_IS(D346,55,$G$5,$H$13)/$E$5))</f>
        <v/>
      </c>
      <c r="L346" s="247" t="str">
        <f ca="1">IF(C346="","",IF($L$11="ROA",[1]!S_STM07_IS(D346,61,$G$5,$H$13)/[1]!S_STM07_BS(D346,74,$G$5,$H$13),1-[1]!S_STM07_IS(D346,61,$G$5,$H$13)/[1]!S_STM07_IS(D346,55,$G$5,$H$13)))</f>
        <v/>
      </c>
      <c r="M346" s="247" t="str">
        <f ca="1">IF(C346="","",IF($M$11="ROE",[1]!S_STM07_IS(D346,61,$G$5,$H$13)/[1]!S_STM07_BS(D346,141,$G$5,$H$13),([1]!S_STM07_BS(D346,25,$G$5,$H$13)-[1]!S_STM07_BS(D346,93,$G$5,$H$13))/$E$5))</f>
        <v/>
      </c>
      <c r="N346" s="247" t="str">
        <f ca="1">IF(C346="","",IF($N$11="EPS",[1]!S_STM07_IS(D346,61,$G$5,$H$13)/IF([1]!S_SHARE_TOTAL(D346,$G$5)=0,[1]!S_SHARE_TOTAL(D346,[1]!s_ipo_listeddate(D346)),[1]!S_SHARE_TOTAL(D346,$G$5)),([1]!S_STM07_BS(D346,75,$G$5,$H$13)+[1]!S_STM07_BS(D346,88,$G$5,$H$13)+[1]!S_STM07_BS(D346,94,$G$5,$H$13)+[1]!S_STM07_BS(D346,95,$G$5,$H$13))/$E$5))</f>
        <v/>
      </c>
      <c r="O346" s="247" t="str">
        <f ca="1">IF(C346="","",IF($O$11="BPS",[1]!S_STM07_BS(D346,141,$G$5,$H$13)/IF([1]!S_SHARE_TOTAL(D346,$G$5)=0,[1]!S_SHARE_TOTAL(D346,[1]!s_ipo_listeddate(D346)),[1]!S_SHARE_TOTAL(D346,$G$5)),[1]!S_STM07_CS(D346,49,$G$5,$H$13)/$E$5))</f>
        <v/>
      </c>
      <c r="P346" s="247" t="str">
        <f ca="1">IF(C346="","",IF($P$11="CFPS",[1]!S_STM07_CS(D346,84,$G$5,$H$13)/IF([1]!S_SHARE_TOTAL(D346,$G$5)=0,[1]!S_SHARE_TOTAL(D346,[1]!s_ipo_listeddate(D346)),[1]!S_SHARE_TOTAL(D346,$G$5)),[1]!S_STM07_CS(D346,84,$G$5,$H$13)/$E$5))</f>
        <v/>
      </c>
      <c r="Q346" s="248" t="str">
        <f ca="1">IF(C346="","",F346/([1]!S_STM07_IS(D346,61,$G$5,$H$13)/IF([1]!S_SHARE_TOTAL(D346,$G$5)=0,[1]!S_SHARE_TOTAL(D346,[1]!s_ipo_listeddate(D346)),[1]!S_SHARE_TOTAL(D346,$G$5))))</f>
        <v/>
      </c>
      <c r="R346" s="248" t="str">
        <f ca="1">IF(C346="","",F346/([1]!S_STM07_BS(D346,141,$G$5,$H$13)/IF([1]!S_SHARE_TOTAL(D346,$G$5)=0,[1]!S_SHARE_TOTAL(D346,[1]!s_ipo_listeddate(D346)),[1]!S_SHARE_TOTAL(D346,$G$5))))</f>
        <v/>
      </c>
      <c r="S346" s="247" t="str">
        <f ca="1">IF(C346="","",[1]!S_SHARE_TOTAL(D346,TODAY())/$E$5)</f>
        <v/>
      </c>
      <c r="T346" s="247" t="str">
        <f t="shared" ca="1" si="37"/>
        <v/>
      </c>
      <c r="U346" s="218" t="str">
        <f t="shared" ca="1" si="38"/>
        <v/>
      </c>
      <c r="V346" s="342" t="str">
        <f t="shared" ca="1" si="39"/>
        <v/>
      </c>
      <c r="W346" s="139"/>
      <c r="Y346" s="1"/>
    </row>
    <row r="347" spans="3:25" ht="12" customHeight="1">
      <c r="C347" s="343" t="str">
        <f t="shared" ca="1" si="40"/>
        <v/>
      </c>
      <c r="D347" s="124" t="str">
        <f t="shared" ca="1" si="35"/>
        <v/>
      </c>
      <c r="E347" s="124" t="str">
        <f t="shared" ca="1" si="36"/>
        <v/>
      </c>
      <c r="F347" s="172" t="str">
        <f ca="1">IF(C347="","",[1]!S_DQ_CLOSE(D347,TODAY(),1))</f>
        <v/>
      </c>
      <c r="G347" s="173" t="str">
        <f ca="1">IF(C347="","",[1]!s_pq_pctchange(D347,TODAY()-$G$12,TODAY())/100)</f>
        <v/>
      </c>
      <c r="H347" s="249" t="str">
        <f ca="1">IF(C347="","",IF($H$11="收入",[1]!S_STM07_IS(D347,9,$G$5,$H$13)/$E$5,[1]!S_STM07_IS(D347,48,$G$5,$H$13)/$E$5))</f>
        <v/>
      </c>
      <c r="I347" s="249" t="str">
        <f ca="1">IF(C347="","",IF($I$11="毛利率",([1]!S_STM07_IS(D347,9,$G$5,$H$13)-[1]!S_STM07_IS(D347,10,$G$5,$H$13))/[1]!S_STM07_IS(D347,9,$G$5,$H$13),[1]!S_STM07_IS(D347,14,$G$5,$H$13)/$E$5))</f>
        <v/>
      </c>
      <c r="J347" s="249" t="str">
        <f ca="1">IF(C347="","",IF($J$11="营业利润率",[1]!S_STM07_IS(D347,48,$G$5,$H$13)/[1]!S_STM07_IS(D347,9,$G$5,$H$13),([1]!S_STM07_CS(D347,87,$G$5,$H$13)+[1]!S_STM07_CS(D347,88,$G$5,$H$13)+[1]!S_STM07_CS(D347,89,$G$5,$H$13))/$E$5))</f>
        <v/>
      </c>
      <c r="K347" s="249" t="str">
        <f ca="1">IF(C347="","",IF($K$11="净利润率",[1]!S_STM07_IS(D347,61,$G$5,$H$13)/[1]!S_STM07_IS(D347,9,$G$5,$H$13),[1]!S_STM07_IS(D347,55,$G$5,$H$13)/$E$5))</f>
        <v/>
      </c>
      <c r="L347" s="249" t="str">
        <f ca="1">IF(C347="","",IF($L$11="ROA",[1]!S_STM07_IS(D347,61,$G$5,$H$13)/[1]!S_STM07_BS(D347,74,$G$5,$H$13),1-[1]!S_STM07_IS(D347,61,$G$5,$H$13)/[1]!S_STM07_IS(D347,55,$G$5,$H$13)))</f>
        <v/>
      </c>
      <c r="M347" s="249" t="str">
        <f ca="1">IF(C347="","",IF($M$11="ROE",[1]!S_STM07_IS(D347,61,$G$5,$H$13)/[1]!S_STM07_BS(D347,141,$G$5,$H$13),([1]!S_STM07_BS(D347,25,$G$5,$H$13)-[1]!S_STM07_BS(D347,93,$G$5,$H$13))/$E$5))</f>
        <v/>
      </c>
      <c r="N347" s="250" t="str">
        <f ca="1">IF(C347="","",IF($N$11="EPS",[1]!S_STM07_IS(D347,61,$G$5,$H$13)/IF([1]!S_SHARE_TOTAL(D347,$G$5)=0,[1]!S_SHARE_TOTAL(D347,[1]!s_ipo_listeddate(D347)),[1]!S_SHARE_TOTAL(D347,$G$5)),([1]!S_STM07_BS(D347,75,$G$5,$H$13)+[1]!S_STM07_BS(D347,88,$G$5,$H$13)+[1]!S_STM07_BS(D347,94,$G$5,$H$13)+[1]!S_STM07_BS(D347,95,$G$5,$H$13))/$E$5))</f>
        <v/>
      </c>
      <c r="O347" s="250" t="str">
        <f ca="1">IF(C347="","",IF($O$11="BPS",[1]!S_STM07_BS(D347,141,$G$5,$H$13)/IF([1]!S_SHARE_TOTAL(D347,$G$5)=0,[1]!S_SHARE_TOTAL(D347,[1]!s_ipo_listeddate(D347)),[1]!S_SHARE_TOTAL(D347,$G$5)),[1]!S_STM07_CS(D347,49,$G$5,$H$13)/$E$5))</f>
        <v/>
      </c>
      <c r="P347" s="250" t="str">
        <f ca="1">IF(C347="","",IF($P$11="CFPS",[1]!S_STM07_CS(D347,84,$G$5,$H$13)/IF([1]!S_SHARE_TOTAL(D347,$G$5)=0,[1]!S_SHARE_TOTAL(D347,[1]!s_ipo_listeddate(D347)),[1]!S_SHARE_TOTAL(D347,$G$5)),[1]!S_STM07_CS(D347,84,$G$5,$H$13)/$E$5))</f>
        <v/>
      </c>
      <c r="Q347" s="198" t="str">
        <f ca="1">IF(C347="","",F347/([1]!S_STM07_IS(D347,61,$G$5,$H$13)/IF([1]!S_SHARE_TOTAL(D347,$G$5)=0,[1]!S_SHARE_TOTAL(D347,[1]!s_ipo_listeddate(D347)),[1]!S_SHARE_TOTAL(D347,$G$5))))</f>
        <v/>
      </c>
      <c r="R347" s="198" t="str">
        <f ca="1">IF(C347="","",F347/([1]!S_STM07_BS(D347,141,$G$5,$H$13)/IF([1]!S_SHARE_TOTAL(D347,$G$5)=0,[1]!S_SHARE_TOTAL(D347,[1]!s_ipo_listeddate(D347)),[1]!S_SHARE_TOTAL(D347,$G$5))))</f>
        <v/>
      </c>
      <c r="S347" s="249" t="str">
        <f ca="1">IF(C347="","",[1]!S_SHARE_TOTAL(D347,TODAY())/$E$5)</f>
        <v/>
      </c>
      <c r="T347" s="249" t="str">
        <f t="shared" ca="1" si="37"/>
        <v/>
      </c>
      <c r="U347" s="172" t="str">
        <f t="shared" ca="1" si="38"/>
        <v/>
      </c>
      <c r="V347" s="343" t="str">
        <f t="shared" ca="1" si="39"/>
        <v/>
      </c>
      <c r="W347" s="139"/>
      <c r="Y347" s="1"/>
    </row>
    <row r="348" spans="3:25" ht="12" customHeight="1">
      <c r="C348" s="342" t="str">
        <f t="shared" ca="1" si="40"/>
        <v/>
      </c>
      <c r="D348" s="153" t="str">
        <f t="shared" ca="1" si="35"/>
        <v/>
      </c>
      <c r="E348" s="153" t="str">
        <f t="shared" ca="1" si="36"/>
        <v/>
      </c>
      <c r="F348" s="170" t="str">
        <f ca="1">IF(C348="","",[1]!S_DQ_CLOSE(D348,TODAY(),1))</f>
        <v/>
      </c>
      <c r="G348" s="171" t="str">
        <f ca="1">IF(C348="","",[1]!s_pq_pctchange(D348,TODAY()-$G$12,TODAY())/100)</f>
        <v/>
      </c>
      <c r="H348" s="247" t="str">
        <f ca="1">IF(C348="","",IF($H$11="收入",[1]!S_STM07_IS(D348,9,$G$5,$H$13)/$E$5,[1]!S_STM07_IS(D348,48,$G$5,$H$13)/$E$5))</f>
        <v/>
      </c>
      <c r="I348" s="247" t="str">
        <f ca="1">IF(C348="","",IF($I$11="毛利率",([1]!S_STM07_IS(D348,9,$G$5,$H$13)-[1]!S_STM07_IS(D348,10,$G$5,$H$13))/[1]!S_STM07_IS(D348,9,$G$5,$H$13),[1]!S_STM07_IS(D348,14,$G$5,$H$13)/$E$5))</f>
        <v/>
      </c>
      <c r="J348" s="247" t="str">
        <f ca="1">IF(C348="","",IF($J$11="营业利润率",[1]!S_STM07_IS(D348,48,$G$5,$H$13)/[1]!S_STM07_IS(D348,9,$G$5,$H$13),([1]!S_STM07_CS(D348,87,$G$5,$H$13)+[1]!S_STM07_CS(D348,88,$G$5,$H$13)+[1]!S_STM07_CS(D348,89,$G$5,$H$13))/$E$5))</f>
        <v/>
      </c>
      <c r="K348" s="247" t="str">
        <f ca="1">IF(C348="","",IF($K$11="净利润率",[1]!S_STM07_IS(D348,61,$G$5,$H$13)/[1]!S_STM07_IS(D348,9,$G$5,$H$13),[1]!S_STM07_IS(D348,55,$G$5,$H$13)/$E$5))</f>
        <v/>
      </c>
      <c r="L348" s="247" t="str">
        <f ca="1">IF(C348="","",IF($L$11="ROA",[1]!S_STM07_IS(D348,61,$G$5,$H$13)/[1]!S_STM07_BS(D348,74,$G$5,$H$13),1-[1]!S_STM07_IS(D348,61,$G$5,$H$13)/[1]!S_STM07_IS(D348,55,$G$5,$H$13)))</f>
        <v/>
      </c>
      <c r="M348" s="247" t="str">
        <f ca="1">IF(C348="","",IF($M$11="ROE",[1]!S_STM07_IS(D348,61,$G$5,$H$13)/[1]!S_STM07_BS(D348,141,$G$5,$H$13),([1]!S_STM07_BS(D348,25,$G$5,$H$13)-[1]!S_STM07_BS(D348,93,$G$5,$H$13))/$E$5))</f>
        <v/>
      </c>
      <c r="N348" s="247" t="str">
        <f ca="1">IF(C348="","",IF($N$11="EPS",[1]!S_STM07_IS(D348,61,$G$5,$H$13)/IF([1]!S_SHARE_TOTAL(D348,$G$5)=0,[1]!S_SHARE_TOTAL(D348,[1]!s_ipo_listeddate(D348)),[1]!S_SHARE_TOTAL(D348,$G$5)),([1]!S_STM07_BS(D348,75,$G$5,$H$13)+[1]!S_STM07_BS(D348,88,$G$5,$H$13)+[1]!S_STM07_BS(D348,94,$G$5,$H$13)+[1]!S_STM07_BS(D348,95,$G$5,$H$13))/$E$5))</f>
        <v/>
      </c>
      <c r="O348" s="247" t="str">
        <f ca="1">IF(C348="","",IF($O$11="BPS",[1]!S_STM07_BS(D348,141,$G$5,$H$13)/IF([1]!S_SHARE_TOTAL(D348,$G$5)=0,[1]!S_SHARE_TOTAL(D348,[1]!s_ipo_listeddate(D348)),[1]!S_SHARE_TOTAL(D348,$G$5)),[1]!S_STM07_CS(D348,49,$G$5,$H$13)/$E$5))</f>
        <v/>
      </c>
      <c r="P348" s="247" t="str">
        <f ca="1">IF(C348="","",IF($P$11="CFPS",[1]!S_STM07_CS(D348,84,$G$5,$H$13)/IF([1]!S_SHARE_TOTAL(D348,$G$5)=0,[1]!S_SHARE_TOTAL(D348,[1]!s_ipo_listeddate(D348)),[1]!S_SHARE_TOTAL(D348,$G$5)),[1]!S_STM07_CS(D348,84,$G$5,$H$13)/$E$5))</f>
        <v/>
      </c>
      <c r="Q348" s="248" t="str">
        <f ca="1">IF(C348="","",F348/([1]!S_STM07_IS(D348,61,$G$5,$H$13)/IF([1]!S_SHARE_TOTAL(D348,$G$5)=0,[1]!S_SHARE_TOTAL(D348,[1]!s_ipo_listeddate(D348)),[1]!S_SHARE_TOTAL(D348,$G$5))))</f>
        <v/>
      </c>
      <c r="R348" s="248" t="str">
        <f ca="1">IF(C348="","",F348/([1]!S_STM07_BS(D348,141,$G$5,$H$13)/IF([1]!S_SHARE_TOTAL(D348,$G$5)=0,[1]!S_SHARE_TOTAL(D348,[1]!s_ipo_listeddate(D348)),[1]!S_SHARE_TOTAL(D348,$G$5))))</f>
        <v/>
      </c>
      <c r="S348" s="247" t="str">
        <f ca="1">IF(C348="","",[1]!S_SHARE_TOTAL(D348,TODAY())/$E$5)</f>
        <v/>
      </c>
      <c r="T348" s="247" t="str">
        <f t="shared" ca="1" si="37"/>
        <v/>
      </c>
      <c r="U348" s="218" t="str">
        <f t="shared" ca="1" si="38"/>
        <v/>
      </c>
      <c r="V348" s="342" t="str">
        <f t="shared" ca="1" si="39"/>
        <v/>
      </c>
      <c r="W348" s="139"/>
      <c r="Y348" s="1"/>
    </row>
    <row r="349" spans="3:25" ht="12" customHeight="1">
      <c r="C349" s="343" t="str">
        <f t="shared" ca="1" si="40"/>
        <v/>
      </c>
      <c r="D349" s="124" t="str">
        <f t="shared" ca="1" si="35"/>
        <v/>
      </c>
      <c r="E349" s="124" t="str">
        <f t="shared" ca="1" si="36"/>
        <v/>
      </c>
      <c r="F349" s="172" t="str">
        <f ca="1">IF(C349="","",[1]!S_DQ_CLOSE(D349,TODAY(),1))</f>
        <v/>
      </c>
      <c r="G349" s="173" t="str">
        <f ca="1">IF(C349="","",[1]!s_pq_pctchange(D349,TODAY()-$G$12,TODAY())/100)</f>
        <v/>
      </c>
      <c r="H349" s="249" t="str">
        <f ca="1">IF(C349="","",IF($H$11="收入",[1]!S_STM07_IS(D349,9,$G$5,$H$13)/$E$5,[1]!S_STM07_IS(D349,48,$G$5,$H$13)/$E$5))</f>
        <v/>
      </c>
      <c r="I349" s="249" t="str">
        <f ca="1">IF(C349="","",IF($I$11="毛利率",([1]!S_STM07_IS(D349,9,$G$5,$H$13)-[1]!S_STM07_IS(D349,10,$G$5,$H$13))/[1]!S_STM07_IS(D349,9,$G$5,$H$13),[1]!S_STM07_IS(D349,14,$G$5,$H$13)/$E$5))</f>
        <v/>
      </c>
      <c r="J349" s="249" t="str">
        <f ca="1">IF(C349="","",IF($J$11="营业利润率",[1]!S_STM07_IS(D349,48,$G$5,$H$13)/[1]!S_STM07_IS(D349,9,$G$5,$H$13),([1]!S_STM07_CS(D349,87,$G$5,$H$13)+[1]!S_STM07_CS(D349,88,$G$5,$H$13)+[1]!S_STM07_CS(D349,89,$G$5,$H$13))/$E$5))</f>
        <v/>
      </c>
      <c r="K349" s="249" t="str">
        <f ca="1">IF(C349="","",IF($K$11="净利润率",[1]!S_STM07_IS(D349,61,$G$5,$H$13)/[1]!S_STM07_IS(D349,9,$G$5,$H$13),[1]!S_STM07_IS(D349,55,$G$5,$H$13)/$E$5))</f>
        <v/>
      </c>
      <c r="L349" s="249" t="str">
        <f ca="1">IF(C349="","",IF($L$11="ROA",[1]!S_STM07_IS(D349,61,$G$5,$H$13)/[1]!S_STM07_BS(D349,74,$G$5,$H$13),1-[1]!S_STM07_IS(D349,61,$G$5,$H$13)/[1]!S_STM07_IS(D349,55,$G$5,$H$13)))</f>
        <v/>
      </c>
      <c r="M349" s="249" t="str">
        <f ca="1">IF(C349="","",IF($M$11="ROE",[1]!S_STM07_IS(D349,61,$G$5,$H$13)/[1]!S_STM07_BS(D349,141,$G$5,$H$13),([1]!S_STM07_BS(D349,25,$G$5,$H$13)-[1]!S_STM07_BS(D349,93,$G$5,$H$13))/$E$5))</f>
        <v/>
      </c>
      <c r="N349" s="250" t="str">
        <f ca="1">IF(C349="","",IF($N$11="EPS",[1]!S_STM07_IS(D349,61,$G$5,$H$13)/IF([1]!S_SHARE_TOTAL(D349,$G$5)=0,[1]!S_SHARE_TOTAL(D349,[1]!s_ipo_listeddate(D349)),[1]!S_SHARE_TOTAL(D349,$G$5)),([1]!S_STM07_BS(D349,75,$G$5,$H$13)+[1]!S_STM07_BS(D349,88,$G$5,$H$13)+[1]!S_STM07_BS(D349,94,$G$5,$H$13)+[1]!S_STM07_BS(D349,95,$G$5,$H$13))/$E$5))</f>
        <v/>
      </c>
      <c r="O349" s="250" t="str">
        <f ca="1">IF(C349="","",IF($O$11="BPS",[1]!S_STM07_BS(D349,141,$G$5,$H$13)/IF([1]!S_SHARE_TOTAL(D349,$G$5)=0,[1]!S_SHARE_TOTAL(D349,[1]!s_ipo_listeddate(D349)),[1]!S_SHARE_TOTAL(D349,$G$5)),[1]!S_STM07_CS(D349,49,$G$5,$H$13)/$E$5))</f>
        <v/>
      </c>
      <c r="P349" s="250" t="str">
        <f ca="1">IF(C349="","",IF($P$11="CFPS",[1]!S_STM07_CS(D349,84,$G$5,$H$13)/IF([1]!S_SHARE_TOTAL(D349,$G$5)=0,[1]!S_SHARE_TOTAL(D349,[1]!s_ipo_listeddate(D349)),[1]!S_SHARE_TOTAL(D349,$G$5)),[1]!S_STM07_CS(D349,84,$G$5,$H$13)/$E$5))</f>
        <v/>
      </c>
      <c r="Q349" s="198" t="str">
        <f ca="1">IF(C349="","",F349/([1]!S_STM07_IS(D349,61,$G$5,$H$13)/IF([1]!S_SHARE_TOTAL(D349,$G$5)=0,[1]!S_SHARE_TOTAL(D349,[1]!s_ipo_listeddate(D349)),[1]!S_SHARE_TOTAL(D349,$G$5))))</f>
        <v/>
      </c>
      <c r="R349" s="198" t="str">
        <f ca="1">IF(C349="","",F349/([1]!S_STM07_BS(D349,141,$G$5,$H$13)/IF([1]!S_SHARE_TOTAL(D349,$G$5)=0,[1]!S_SHARE_TOTAL(D349,[1]!s_ipo_listeddate(D349)),[1]!S_SHARE_TOTAL(D349,$G$5))))</f>
        <v/>
      </c>
      <c r="S349" s="249" t="str">
        <f ca="1">IF(C349="","",[1]!S_SHARE_TOTAL(D349,TODAY())/$E$5)</f>
        <v/>
      </c>
      <c r="T349" s="249" t="str">
        <f t="shared" ca="1" si="37"/>
        <v/>
      </c>
      <c r="U349" s="172" t="str">
        <f t="shared" ca="1" si="38"/>
        <v/>
      </c>
      <c r="V349" s="343" t="str">
        <f t="shared" ca="1" si="39"/>
        <v/>
      </c>
      <c r="W349" s="139"/>
      <c r="Y349" s="1"/>
    </row>
    <row r="350" spans="3:25" ht="12" customHeight="1">
      <c r="C350" s="342" t="str">
        <f t="shared" ca="1" si="40"/>
        <v/>
      </c>
      <c r="D350" s="153" t="str">
        <f t="shared" ca="1" si="35"/>
        <v/>
      </c>
      <c r="E350" s="153" t="str">
        <f t="shared" ca="1" si="36"/>
        <v/>
      </c>
      <c r="F350" s="170" t="str">
        <f ca="1">IF(C350="","",[1]!S_DQ_CLOSE(D350,TODAY(),1))</f>
        <v/>
      </c>
      <c r="G350" s="171" t="str">
        <f ca="1">IF(C350="","",[1]!s_pq_pctchange(D350,TODAY()-$G$12,TODAY())/100)</f>
        <v/>
      </c>
      <c r="H350" s="247" t="str">
        <f ca="1">IF(C350="","",IF($H$11="收入",[1]!S_STM07_IS(D350,9,$G$5,$H$13)/$E$5,[1]!S_STM07_IS(D350,48,$G$5,$H$13)/$E$5))</f>
        <v/>
      </c>
      <c r="I350" s="247" t="str">
        <f ca="1">IF(C350="","",IF($I$11="毛利率",([1]!S_STM07_IS(D350,9,$G$5,$H$13)-[1]!S_STM07_IS(D350,10,$G$5,$H$13))/[1]!S_STM07_IS(D350,9,$G$5,$H$13),[1]!S_STM07_IS(D350,14,$G$5,$H$13)/$E$5))</f>
        <v/>
      </c>
      <c r="J350" s="247" t="str">
        <f ca="1">IF(C350="","",IF($J$11="营业利润率",[1]!S_STM07_IS(D350,48,$G$5,$H$13)/[1]!S_STM07_IS(D350,9,$G$5,$H$13),([1]!S_STM07_CS(D350,87,$G$5,$H$13)+[1]!S_STM07_CS(D350,88,$G$5,$H$13)+[1]!S_STM07_CS(D350,89,$G$5,$H$13))/$E$5))</f>
        <v/>
      </c>
      <c r="K350" s="247" t="str">
        <f ca="1">IF(C350="","",IF($K$11="净利润率",[1]!S_STM07_IS(D350,61,$G$5,$H$13)/[1]!S_STM07_IS(D350,9,$G$5,$H$13),[1]!S_STM07_IS(D350,55,$G$5,$H$13)/$E$5))</f>
        <v/>
      </c>
      <c r="L350" s="247" t="str">
        <f ca="1">IF(C350="","",IF($L$11="ROA",[1]!S_STM07_IS(D350,61,$G$5,$H$13)/[1]!S_STM07_BS(D350,74,$G$5,$H$13),1-[1]!S_STM07_IS(D350,61,$G$5,$H$13)/[1]!S_STM07_IS(D350,55,$G$5,$H$13)))</f>
        <v/>
      </c>
      <c r="M350" s="247" t="str">
        <f ca="1">IF(C350="","",IF($M$11="ROE",[1]!S_STM07_IS(D350,61,$G$5,$H$13)/[1]!S_STM07_BS(D350,141,$G$5,$H$13),([1]!S_STM07_BS(D350,25,$G$5,$H$13)-[1]!S_STM07_BS(D350,93,$G$5,$H$13))/$E$5))</f>
        <v/>
      </c>
      <c r="N350" s="247" t="str">
        <f ca="1">IF(C350="","",IF($N$11="EPS",[1]!S_STM07_IS(D350,61,$G$5,$H$13)/IF([1]!S_SHARE_TOTAL(D350,$G$5)=0,[1]!S_SHARE_TOTAL(D350,[1]!s_ipo_listeddate(D350)),[1]!S_SHARE_TOTAL(D350,$G$5)),([1]!S_STM07_BS(D350,75,$G$5,$H$13)+[1]!S_STM07_BS(D350,88,$G$5,$H$13)+[1]!S_STM07_BS(D350,94,$G$5,$H$13)+[1]!S_STM07_BS(D350,95,$G$5,$H$13))/$E$5))</f>
        <v/>
      </c>
      <c r="O350" s="247" t="str">
        <f ca="1">IF(C350="","",IF($O$11="BPS",[1]!S_STM07_BS(D350,141,$G$5,$H$13)/IF([1]!S_SHARE_TOTAL(D350,$G$5)=0,[1]!S_SHARE_TOTAL(D350,[1]!s_ipo_listeddate(D350)),[1]!S_SHARE_TOTAL(D350,$G$5)),[1]!S_STM07_CS(D350,49,$G$5,$H$13)/$E$5))</f>
        <v/>
      </c>
      <c r="P350" s="247" t="str">
        <f ca="1">IF(C350="","",IF($P$11="CFPS",[1]!S_STM07_CS(D350,84,$G$5,$H$13)/IF([1]!S_SHARE_TOTAL(D350,$G$5)=0,[1]!S_SHARE_TOTAL(D350,[1]!s_ipo_listeddate(D350)),[1]!S_SHARE_TOTAL(D350,$G$5)),[1]!S_STM07_CS(D350,84,$G$5,$H$13)/$E$5))</f>
        <v/>
      </c>
      <c r="Q350" s="248" t="str">
        <f ca="1">IF(C350="","",F350/([1]!S_STM07_IS(D350,61,$G$5,$H$13)/IF([1]!S_SHARE_TOTAL(D350,$G$5)=0,[1]!S_SHARE_TOTAL(D350,[1]!s_ipo_listeddate(D350)),[1]!S_SHARE_TOTAL(D350,$G$5))))</f>
        <v/>
      </c>
      <c r="R350" s="248" t="str">
        <f ca="1">IF(C350="","",F350/([1]!S_STM07_BS(D350,141,$G$5,$H$13)/IF([1]!S_SHARE_TOTAL(D350,$G$5)=0,[1]!S_SHARE_TOTAL(D350,[1]!s_ipo_listeddate(D350)),[1]!S_SHARE_TOTAL(D350,$G$5))))</f>
        <v/>
      </c>
      <c r="S350" s="247" t="str">
        <f ca="1">IF(C350="","",[1]!S_SHARE_TOTAL(D350,TODAY())/$E$5)</f>
        <v/>
      </c>
      <c r="T350" s="247" t="str">
        <f t="shared" ca="1" si="37"/>
        <v/>
      </c>
      <c r="U350" s="218" t="str">
        <f t="shared" ca="1" si="38"/>
        <v/>
      </c>
      <c r="V350" s="342" t="str">
        <f t="shared" ca="1" si="39"/>
        <v/>
      </c>
      <c r="W350" s="139"/>
      <c r="Y350" s="1"/>
    </row>
    <row r="351" spans="3:25" ht="12" customHeight="1">
      <c r="C351" s="343" t="str">
        <f t="shared" ca="1" si="40"/>
        <v/>
      </c>
      <c r="D351" s="124" t="str">
        <f t="shared" ca="1" si="35"/>
        <v/>
      </c>
      <c r="E351" s="124" t="str">
        <f t="shared" ca="1" si="36"/>
        <v/>
      </c>
      <c r="F351" s="172" t="str">
        <f ca="1">IF(C351="","",[1]!S_DQ_CLOSE(D351,TODAY(),1))</f>
        <v/>
      </c>
      <c r="G351" s="173" t="str">
        <f ca="1">IF(C351="","",[1]!s_pq_pctchange(D351,TODAY()-$G$12,TODAY())/100)</f>
        <v/>
      </c>
      <c r="H351" s="249" t="str">
        <f ca="1">IF(C351="","",IF($H$11="收入",[1]!S_STM07_IS(D351,9,$G$5,$H$13)/$E$5,[1]!S_STM07_IS(D351,48,$G$5,$H$13)/$E$5))</f>
        <v/>
      </c>
      <c r="I351" s="249" t="str">
        <f ca="1">IF(C351="","",IF($I$11="毛利率",([1]!S_STM07_IS(D351,9,$G$5,$H$13)-[1]!S_STM07_IS(D351,10,$G$5,$H$13))/[1]!S_STM07_IS(D351,9,$G$5,$H$13),[1]!S_STM07_IS(D351,14,$G$5,$H$13)/$E$5))</f>
        <v/>
      </c>
      <c r="J351" s="249" t="str">
        <f ca="1">IF(C351="","",IF($J$11="营业利润率",[1]!S_STM07_IS(D351,48,$G$5,$H$13)/[1]!S_STM07_IS(D351,9,$G$5,$H$13),([1]!S_STM07_CS(D351,87,$G$5,$H$13)+[1]!S_STM07_CS(D351,88,$G$5,$H$13)+[1]!S_STM07_CS(D351,89,$G$5,$H$13))/$E$5))</f>
        <v/>
      </c>
      <c r="K351" s="249" t="str">
        <f ca="1">IF(C351="","",IF($K$11="净利润率",[1]!S_STM07_IS(D351,61,$G$5,$H$13)/[1]!S_STM07_IS(D351,9,$G$5,$H$13),[1]!S_STM07_IS(D351,55,$G$5,$H$13)/$E$5))</f>
        <v/>
      </c>
      <c r="L351" s="249" t="str">
        <f ca="1">IF(C351="","",IF($L$11="ROA",[1]!S_STM07_IS(D351,61,$G$5,$H$13)/[1]!S_STM07_BS(D351,74,$G$5,$H$13),1-[1]!S_STM07_IS(D351,61,$G$5,$H$13)/[1]!S_STM07_IS(D351,55,$G$5,$H$13)))</f>
        <v/>
      </c>
      <c r="M351" s="249" t="str">
        <f ca="1">IF(C351="","",IF($M$11="ROE",[1]!S_STM07_IS(D351,61,$G$5,$H$13)/[1]!S_STM07_BS(D351,141,$G$5,$H$13),([1]!S_STM07_BS(D351,25,$G$5,$H$13)-[1]!S_STM07_BS(D351,93,$G$5,$H$13))/$E$5))</f>
        <v/>
      </c>
      <c r="N351" s="250" t="str">
        <f ca="1">IF(C351="","",IF($N$11="EPS",[1]!S_STM07_IS(D351,61,$G$5,$H$13)/IF([1]!S_SHARE_TOTAL(D351,$G$5)=0,[1]!S_SHARE_TOTAL(D351,[1]!s_ipo_listeddate(D351)),[1]!S_SHARE_TOTAL(D351,$G$5)),([1]!S_STM07_BS(D351,75,$G$5,$H$13)+[1]!S_STM07_BS(D351,88,$G$5,$H$13)+[1]!S_STM07_BS(D351,94,$G$5,$H$13)+[1]!S_STM07_BS(D351,95,$G$5,$H$13))/$E$5))</f>
        <v/>
      </c>
      <c r="O351" s="250" t="str">
        <f ca="1">IF(C351="","",IF($O$11="BPS",[1]!S_STM07_BS(D351,141,$G$5,$H$13)/IF([1]!S_SHARE_TOTAL(D351,$G$5)=0,[1]!S_SHARE_TOTAL(D351,[1]!s_ipo_listeddate(D351)),[1]!S_SHARE_TOTAL(D351,$G$5)),[1]!S_STM07_CS(D351,49,$G$5,$H$13)/$E$5))</f>
        <v/>
      </c>
      <c r="P351" s="250" t="str">
        <f ca="1">IF(C351="","",IF($P$11="CFPS",[1]!S_STM07_CS(D351,84,$G$5,$H$13)/IF([1]!S_SHARE_TOTAL(D351,$G$5)=0,[1]!S_SHARE_TOTAL(D351,[1]!s_ipo_listeddate(D351)),[1]!S_SHARE_TOTAL(D351,$G$5)),[1]!S_STM07_CS(D351,84,$G$5,$H$13)/$E$5))</f>
        <v/>
      </c>
      <c r="Q351" s="198" t="str">
        <f ca="1">IF(C351="","",F351/([1]!S_STM07_IS(D351,61,$G$5,$H$13)/IF([1]!S_SHARE_TOTAL(D351,$G$5)=0,[1]!S_SHARE_TOTAL(D351,[1]!s_ipo_listeddate(D351)),[1]!S_SHARE_TOTAL(D351,$G$5))))</f>
        <v/>
      </c>
      <c r="R351" s="198" t="str">
        <f ca="1">IF(C351="","",F351/([1]!S_STM07_BS(D351,141,$G$5,$H$13)/IF([1]!S_SHARE_TOTAL(D351,$G$5)=0,[1]!S_SHARE_TOTAL(D351,[1]!s_ipo_listeddate(D351)),[1]!S_SHARE_TOTAL(D351,$G$5))))</f>
        <v/>
      </c>
      <c r="S351" s="249" t="str">
        <f ca="1">IF(C351="","",[1]!S_SHARE_TOTAL(D351,TODAY())/$E$5)</f>
        <v/>
      </c>
      <c r="T351" s="249" t="str">
        <f t="shared" ca="1" si="37"/>
        <v/>
      </c>
      <c r="U351" s="172" t="str">
        <f t="shared" ca="1" si="38"/>
        <v/>
      </c>
      <c r="V351" s="343" t="str">
        <f t="shared" ca="1" si="39"/>
        <v/>
      </c>
      <c r="W351" s="139"/>
      <c r="Y351" s="1"/>
    </row>
    <row r="352" spans="3:25" ht="12" customHeight="1">
      <c r="C352" s="342" t="str">
        <f t="shared" ca="1" si="40"/>
        <v/>
      </c>
      <c r="D352" s="153" t="str">
        <f t="shared" ca="1" si="35"/>
        <v/>
      </c>
      <c r="E352" s="153" t="str">
        <f t="shared" ca="1" si="36"/>
        <v/>
      </c>
      <c r="F352" s="170" t="str">
        <f ca="1">IF(C352="","",[1]!S_DQ_CLOSE(D352,TODAY(),1))</f>
        <v/>
      </c>
      <c r="G352" s="171" t="str">
        <f ca="1">IF(C352="","",[1]!s_pq_pctchange(D352,TODAY()-$G$12,TODAY())/100)</f>
        <v/>
      </c>
      <c r="H352" s="247" t="str">
        <f ca="1">IF(C352="","",IF($H$11="收入",[1]!S_STM07_IS(D352,9,$G$5,$H$13)/$E$5,[1]!S_STM07_IS(D352,48,$G$5,$H$13)/$E$5))</f>
        <v/>
      </c>
      <c r="I352" s="247" t="str">
        <f ca="1">IF(C352="","",IF($I$11="毛利率",([1]!S_STM07_IS(D352,9,$G$5,$H$13)-[1]!S_STM07_IS(D352,10,$G$5,$H$13))/[1]!S_STM07_IS(D352,9,$G$5,$H$13),[1]!S_STM07_IS(D352,14,$G$5,$H$13)/$E$5))</f>
        <v/>
      </c>
      <c r="J352" s="247" t="str">
        <f ca="1">IF(C352="","",IF($J$11="营业利润率",[1]!S_STM07_IS(D352,48,$G$5,$H$13)/[1]!S_STM07_IS(D352,9,$G$5,$H$13),([1]!S_STM07_CS(D352,87,$G$5,$H$13)+[1]!S_STM07_CS(D352,88,$G$5,$H$13)+[1]!S_STM07_CS(D352,89,$G$5,$H$13))/$E$5))</f>
        <v/>
      </c>
      <c r="K352" s="247" t="str">
        <f ca="1">IF(C352="","",IF($K$11="净利润率",[1]!S_STM07_IS(D352,61,$G$5,$H$13)/[1]!S_STM07_IS(D352,9,$G$5,$H$13),[1]!S_STM07_IS(D352,55,$G$5,$H$13)/$E$5))</f>
        <v/>
      </c>
      <c r="L352" s="247" t="str">
        <f ca="1">IF(C352="","",IF($L$11="ROA",[1]!S_STM07_IS(D352,61,$G$5,$H$13)/[1]!S_STM07_BS(D352,74,$G$5,$H$13),1-[1]!S_STM07_IS(D352,61,$G$5,$H$13)/[1]!S_STM07_IS(D352,55,$G$5,$H$13)))</f>
        <v/>
      </c>
      <c r="M352" s="247" t="str">
        <f ca="1">IF(C352="","",IF($M$11="ROE",[1]!S_STM07_IS(D352,61,$G$5,$H$13)/[1]!S_STM07_BS(D352,141,$G$5,$H$13),([1]!S_STM07_BS(D352,25,$G$5,$H$13)-[1]!S_STM07_BS(D352,93,$G$5,$H$13))/$E$5))</f>
        <v/>
      </c>
      <c r="N352" s="247" t="str">
        <f ca="1">IF(C352="","",IF($N$11="EPS",[1]!S_STM07_IS(D352,61,$G$5,$H$13)/IF([1]!S_SHARE_TOTAL(D352,$G$5)=0,[1]!S_SHARE_TOTAL(D352,[1]!s_ipo_listeddate(D352)),[1]!S_SHARE_TOTAL(D352,$G$5)),([1]!S_STM07_BS(D352,75,$G$5,$H$13)+[1]!S_STM07_BS(D352,88,$G$5,$H$13)+[1]!S_STM07_BS(D352,94,$G$5,$H$13)+[1]!S_STM07_BS(D352,95,$G$5,$H$13))/$E$5))</f>
        <v/>
      </c>
      <c r="O352" s="247" t="str">
        <f ca="1">IF(C352="","",IF($O$11="BPS",[1]!S_STM07_BS(D352,141,$G$5,$H$13)/IF([1]!S_SHARE_TOTAL(D352,$G$5)=0,[1]!S_SHARE_TOTAL(D352,[1]!s_ipo_listeddate(D352)),[1]!S_SHARE_TOTAL(D352,$G$5)),[1]!S_STM07_CS(D352,49,$G$5,$H$13)/$E$5))</f>
        <v/>
      </c>
      <c r="P352" s="247" t="str">
        <f ca="1">IF(C352="","",IF($P$11="CFPS",[1]!S_STM07_CS(D352,84,$G$5,$H$13)/IF([1]!S_SHARE_TOTAL(D352,$G$5)=0,[1]!S_SHARE_TOTAL(D352,[1]!s_ipo_listeddate(D352)),[1]!S_SHARE_TOTAL(D352,$G$5)),[1]!S_STM07_CS(D352,84,$G$5,$H$13)/$E$5))</f>
        <v/>
      </c>
      <c r="Q352" s="248" t="str">
        <f ca="1">IF(C352="","",F352/([1]!S_STM07_IS(D352,61,$G$5,$H$13)/IF([1]!S_SHARE_TOTAL(D352,$G$5)=0,[1]!S_SHARE_TOTAL(D352,[1]!s_ipo_listeddate(D352)),[1]!S_SHARE_TOTAL(D352,$G$5))))</f>
        <v/>
      </c>
      <c r="R352" s="248" t="str">
        <f ca="1">IF(C352="","",F352/([1]!S_STM07_BS(D352,141,$G$5,$H$13)/IF([1]!S_SHARE_TOTAL(D352,$G$5)=0,[1]!S_SHARE_TOTAL(D352,[1]!s_ipo_listeddate(D352)),[1]!S_SHARE_TOTAL(D352,$G$5))))</f>
        <v/>
      </c>
      <c r="S352" s="247" t="str">
        <f ca="1">IF(C352="","",[1]!S_SHARE_TOTAL(D352,TODAY())/$E$5)</f>
        <v/>
      </c>
      <c r="T352" s="247" t="str">
        <f t="shared" ca="1" si="37"/>
        <v/>
      </c>
      <c r="U352" s="218" t="str">
        <f t="shared" ca="1" si="38"/>
        <v/>
      </c>
      <c r="V352" s="342" t="str">
        <f t="shared" ca="1" si="39"/>
        <v/>
      </c>
      <c r="W352" s="139"/>
      <c r="Y352" s="1"/>
    </row>
    <row r="353" spans="3:25" ht="12" customHeight="1">
      <c r="C353" s="343" t="str">
        <f t="shared" ca="1" si="40"/>
        <v/>
      </c>
      <c r="D353" s="124" t="str">
        <f t="shared" ca="1" si="35"/>
        <v/>
      </c>
      <c r="E353" s="124" t="str">
        <f t="shared" ca="1" si="36"/>
        <v/>
      </c>
      <c r="F353" s="172" t="str">
        <f ca="1">IF(C353="","",[1]!S_DQ_CLOSE(D353,TODAY(),1))</f>
        <v/>
      </c>
      <c r="G353" s="173" t="str">
        <f ca="1">IF(C353="","",[1]!s_pq_pctchange(D353,TODAY()-$G$12,TODAY())/100)</f>
        <v/>
      </c>
      <c r="H353" s="249" t="str">
        <f ca="1">IF(C353="","",IF($H$11="收入",[1]!S_STM07_IS(D353,9,$G$5,$H$13)/$E$5,[1]!S_STM07_IS(D353,48,$G$5,$H$13)/$E$5))</f>
        <v/>
      </c>
      <c r="I353" s="249" t="str">
        <f ca="1">IF(C353="","",IF($I$11="毛利率",([1]!S_STM07_IS(D353,9,$G$5,$H$13)-[1]!S_STM07_IS(D353,10,$G$5,$H$13))/[1]!S_STM07_IS(D353,9,$G$5,$H$13),[1]!S_STM07_IS(D353,14,$G$5,$H$13)/$E$5))</f>
        <v/>
      </c>
      <c r="J353" s="249" t="str">
        <f ca="1">IF(C353="","",IF($J$11="营业利润率",[1]!S_STM07_IS(D353,48,$G$5,$H$13)/[1]!S_STM07_IS(D353,9,$G$5,$H$13),([1]!S_STM07_CS(D353,87,$G$5,$H$13)+[1]!S_STM07_CS(D353,88,$G$5,$H$13)+[1]!S_STM07_CS(D353,89,$G$5,$H$13))/$E$5))</f>
        <v/>
      </c>
      <c r="K353" s="249" t="str">
        <f ca="1">IF(C353="","",IF($K$11="净利润率",[1]!S_STM07_IS(D353,61,$G$5,$H$13)/[1]!S_STM07_IS(D353,9,$G$5,$H$13),[1]!S_STM07_IS(D353,55,$G$5,$H$13)/$E$5))</f>
        <v/>
      </c>
      <c r="L353" s="249" t="str">
        <f ca="1">IF(C353="","",IF($L$11="ROA",[1]!S_STM07_IS(D353,61,$G$5,$H$13)/[1]!S_STM07_BS(D353,74,$G$5,$H$13),1-[1]!S_STM07_IS(D353,61,$G$5,$H$13)/[1]!S_STM07_IS(D353,55,$G$5,$H$13)))</f>
        <v/>
      </c>
      <c r="M353" s="249" t="str">
        <f ca="1">IF(C353="","",IF($M$11="ROE",[1]!S_STM07_IS(D353,61,$G$5,$H$13)/[1]!S_STM07_BS(D353,141,$G$5,$H$13),([1]!S_STM07_BS(D353,25,$G$5,$H$13)-[1]!S_STM07_BS(D353,93,$G$5,$H$13))/$E$5))</f>
        <v/>
      </c>
      <c r="N353" s="250" t="str">
        <f ca="1">IF(C353="","",IF($N$11="EPS",[1]!S_STM07_IS(D353,61,$G$5,$H$13)/IF([1]!S_SHARE_TOTAL(D353,$G$5)=0,[1]!S_SHARE_TOTAL(D353,[1]!s_ipo_listeddate(D353)),[1]!S_SHARE_TOTAL(D353,$G$5)),([1]!S_STM07_BS(D353,75,$G$5,$H$13)+[1]!S_STM07_BS(D353,88,$G$5,$H$13)+[1]!S_STM07_BS(D353,94,$G$5,$H$13)+[1]!S_STM07_BS(D353,95,$G$5,$H$13))/$E$5))</f>
        <v/>
      </c>
      <c r="O353" s="250" t="str">
        <f ca="1">IF(C353="","",IF($O$11="BPS",[1]!S_STM07_BS(D353,141,$G$5,$H$13)/IF([1]!S_SHARE_TOTAL(D353,$G$5)=0,[1]!S_SHARE_TOTAL(D353,[1]!s_ipo_listeddate(D353)),[1]!S_SHARE_TOTAL(D353,$G$5)),[1]!S_STM07_CS(D353,49,$G$5,$H$13)/$E$5))</f>
        <v/>
      </c>
      <c r="P353" s="250" t="str">
        <f ca="1">IF(C353="","",IF($P$11="CFPS",[1]!S_STM07_CS(D353,84,$G$5,$H$13)/IF([1]!S_SHARE_TOTAL(D353,$G$5)=0,[1]!S_SHARE_TOTAL(D353,[1]!s_ipo_listeddate(D353)),[1]!S_SHARE_TOTAL(D353,$G$5)),[1]!S_STM07_CS(D353,84,$G$5,$H$13)/$E$5))</f>
        <v/>
      </c>
      <c r="Q353" s="198" t="str">
        <f ca="1">IF(C353="","",F353/([1]!S_STM07_IS(D353,61,$G$5,$H$13)/IF([1]!S_SHARE_TOTAL(D353,$G$5)=0,[1]!S_SHARE_TOTAL(D353,[1]!s_ipo_listeddate(D353)),[1]!S_SHARE_TOTAL(D353,$G$5))))</f>
        <v/>
      </c>
      <c r="R353" s="198" t="str">
        <f ca="1">IF(C353="","",F353/([1]!S_STM07_BS(D353,141,$G$5,$H$13)/IF([1]!S_SHARE_TOTAL(D353,$G$5)=0,[1]!S_SHARE_TOTAL(D353,[1]!s_ipo_listeddate(D353)),[1]!S_SHARE_TOTAL(D353,$G$5))))</f>
        <v/>
      </c>
      <c r="S353" s="249" t="str">
        <f ca="1">IF(C353="","",[1]!S_SHARE_TOTAL(D353,TODAY())/$E$5)</f>
        <v/>
      </c>
      <c r="T353" s="249" t="str">
        <f t="shared" ca="1" si="37"/>
        <v/>
      </c>
      <c r="U353" s="172" t="str">
        <f t="shared" ca="1" si="38"/>
        <v/>
      </c>
      <c r="V353" s="343" t="str">
        <f t="shared" ca="1" si="39"/>
        <v/>
      </c>
      <c r="W353" s="139"/>
      <c r="Y353" s="1"/>
    </row>
    <row r="354" spans="3:25" ht="12" customHeight="1">
      <c r="C354" s="342" t="str">
        <f t="shared" ca="1" si="40"/>
        <v/>
      </c>
      <c r="D354" s="153" t="str">
        <f t="shared" ca="1" si="35"/>
        <v/>
      </c>
      <c r="E354" s="153" t="str">
        <f t="shared" ca="1" si="36"/>
        <v/>
      </c>
      <c r="F354" s="170" t="str">
        <f ca="1">IF(C354="","",[1]!S_DQ_CLOSE(D354,TODAY(),1))</f>
        <v/>
      </c>
      <c r="G354" s="171" t="str">
        <f ca="1">IF(C354="","",[1]!s_pq_pctchange(D354,TODAY()-$G$12,TODAY())/100)</f>
        <v/>
      </c>
      <c r="H354" s="247" t="str">
        <f ca="1">IF(C354="","",IF($H$11="收入",[1]!S_STM07_IS(D354,9,$G$5,$H$13)/$E$5,[1]!S_STM07_IS(D354,48,$G$5,$H$13)/$E$5))</f>
        <v/>
      </c>
      <c r="I354" s="247" t="str">
        <f ca="1">IF(C354="","",IF($I$11="毛利率",([1]!S_STM07_IS(D354,9,$G$5,$H$13)-[1]!S_STM07_IS(D354,10,$G$5,$H$13))/[1]!S_STM07_IS(D354,9,$G$5,$H$13),[1]!S_STM07_IS(D354,14,$G$5,$H$13)/$E$5))</f>
        <v/>
      </c>
      <c r="J354" s="247" t="str">
        <f ca="1">IF(C354="","",IF($J$11="营业利润率",[1]!S_STM07_IS(D354,48,$G$5,$H$13)/[1]!S_STM07_IS(D354,9,$G$5,$H$13),([1]!S_STM07_CS(D354,87,$G$5,$H$13)+[1]!S_STM07_CS(D354,88,$G$5,$H$13)+[1]!S_STM07_CS(D354,89,$G$5,$H$13))/$E$5))</f>
        <v/>
      </c>
      <c r="K354" s="247" t="str">
        <f ca="1">IF(C354="","",IF($K$11="净利润率",[1]!S_STM07_IS(D354,61,$G$5,$H$13)/[1]!S_STM07_IS(D354,9,$G$5,$H$13),[1]!S_STM07_IS(D354,55,$G$5,$H$13)/$E$5))</f>
        <v/>
      </c>
      <c r="L354" s="247" t="str">
        <f ca="1">IF(C354="","",IF($L$11="ROA",[1]!S_STM07_IS(D354,61,$G$5,$H$13)/[1]!S_STM07_BS(D354,74,$G$5,$H$13),1-[1]!S_STM07_IS(D354,61,$G$5,$H$13)/[1]!S_STM07_IS(D354,55,$G$5,$H$13)))</f>
        <v/>
      </c>
      <c r="M354" s="247" t="str">
        <f ca="1">IF(C354="","",IF($M$11="ROE",[1]!S_STM07_IS(D354,61,$G$5,$H$13)/[1]!S_STM07_BS(D354,141,$G$5,$H$13),([1]!S_STM07_BS(D354,25,$G$5,$H$13)-[1]!S_STM07_BS(D354,93,$G$5,$H$13))/$E$5))</f>
        <v/>
      </c>
      <c r="N354" s="247" t="str">
        <f ca="1">IF(C354="","",IF($N$11="EPS",[1]!S_STM07_IS(D354,61,$G$5,$H$13)/IF([1]!S_SHARE_TOTAL(D354,$G$5)=0,[1]!S_SHARE_TOTAL(D354,[1]!s_ipo_listeddate(D354)),[1]!S_SHARE_TOTAL(D354,$G$5)),([1]!S_STM07_BS(D354,75,$G$5,$H$13)+[1]!S_STM07_BS(D354,88,$G$5,$H$13)+[1]!S_STM07_BS(D354,94,$G$5,$H$13)+[1]!S_STM07_BS(D354,95,$G$5,$H$13))/$E$5))</f>
        <v/>
      </c>
      <c r="O354" s="247" t="str">
        <f ca="1">IF(C354="","",IF($O$11="BPS",[1]!S_STM07_BS(D354,141,$G$5,$H$13)/IF([1]!S_SHARE_TOTAL(D354,$G$5)=0,[1]!S_SHARE_TOTAL(D354,[1]!s_ipo_listeddate(D354)),[1]!S_SHARE_TOTAL(D354,$G$5)),[1]!S_STM07_CS(D354,49,$G$5,$H$13)/$E$5))</f>
        <v/>
      </c>
      <c r="P354" s="247" t="str">
        <f ca="1">IF(C354="","",IF($P$11="CFPS",[1]!S_STM07_CS(D354,84,$G$5,$H$13)/IF([1]!S_SHARE_TOTAL(D354,$G$5)=0,[1]!S_SHARE_TOTAL(D354,[1]!s_ipo_listeddate(D354)),[1]!S_SHARE_TOTAL(D354,$G$5)),[1]!S_STM07_CS(D354,84,$G$5,$H$13)/$E$5))</f>
        <v/>
      </c>
      <c r="Q354" s="248" t="str">
        <f ca="1">IF(C354="","",F354/([1]!S_STM07_IS(D354,61,$G$5,$H$13)/IF([1]!S_SHARE_TOTAL(D354,$G$5)=0,[1]!S_SHARE_TOTAL(D354,[1]!s_ipo_listeddate(D354)),[1]!S_SHARE_TOTAL(D354,$G$5))))</f>
        <v/>
      </c>
      <c r="R354" s="248" t="str">
        <f ca="1">IF(C354="","",F354/([1]!S_STM07_BS(D354,141,$G$5,$H$13)/IF([1]!S_SHARE_TOTAL(D354,$G$5)=0,[1]!S_SHARE_TOTAL(D354,[1]!s_ipo_listeddate(D354)),[1]!S_SHARE_TOTAL(D354,$G$5))))</f>
        <v/>
      </c>
      <c r="S354" s="247" t="str">
        <f ca="1">IF(C354="","",[1]!S_SHARE_TOTAL(D354,TODAY())/$E$5)</f>
        <v/>
      </c>
      <c r="T354" s="247" t="str">
        <f t="shared" ca="1" si="37"/>
        <v/>
      </c>
      <c r="U354" s="218" t="str">
        <f t="shared" ca="1" si="38"/>
        <v/>
      </c>
      <c r="V354" s="342" t="str">
        <f t="shared" ca="1" si="39"/>
        <v/>
      </c>
      <c r="W354" s="139"/>
      <c r="Y354" s="1"/>
    </row>
    <row r="355" spans="3:25" ht="12" customHeight="1">
      <c r="C355" s="343" t="str">
        <f t="shared" ca="1" si="40"/>
        <v/>
      </c>
      <c r="D355" s="124" t="str">
        <f t="shared" ca="1" si="35"/>
        <v/>
      </c>
      <c r="E355" s="124" t="str">
        <f t="shared" ca="1" si="36"/>
        <v/>
      </c>
      <c r="F355" s="172" t="str">
        <f ca="1">IF(C355="","",[1]!S_DQ_CLOSE(D355,TODAY(),1))</f>
        <v/>
      </c>
      <c r="G355" s="173" t="str">
        <f ca="1">IF(C355="","",[1]!s_pq_pctchange(D355,TODAY()-$G$12,TODAY())/100)</f>
        <v/>
      </c>
      <c r="H355" s="249" t="str">
        <f ca="1">IF(C355="","",IF($H$11="收入",[1]!S_STM07_IS(D355,9,$G$5,$H$13)/$E$5,[1]!S_STM07_IS(D355,48,$G$5,$H$13)/$E$5))</f>
        <v/>
      </c>
      <c r="I355" s="249" t="str">
        <f ca="1">IF(C355="","",IF($I$11="毛利率",([1]!S_STM07_IS(D355,9,$G$5,$H$13)-[1]!S_STM07_IS(D355,10,$G$5,$H$13))/[1]!S_STM07_IS(D355,9,$G$5,$H$13),[1]!S_STM07_IS(D355,14,$G$5,$H$13)/$E$5))</f>
        <v/>
      </c>
      <c r="J355" s="249" t="str">
        <f ca="1">IF(C355="","",IF($J$11="营业利润率",[1]!S_STM07_IS(D355,48,$G$5,$H$13)/[1]!S_STM07_IS(D355,9,$G$5,$H$13),([1]!S_STM07_CS(D355,87,$G$5,$H$13)+[1]!S_STM07_CS(D355,88,$G$5,$H$13)+[1]!S_STM07_CS(D355,89,$G$5,$H$13))/$E$5))</f>
        <v/>
      </c>
      <c r="K355" s="249" t="str">
        <f ca="1">IF(C355="","",IF($K$11="净利润率",[1]!S_STM07_IS(D355,61,$G$5,$H$13)/[1]!S_STM07_IS(D355,9,$G$5,$H$13),[1]!S_STM07_IS(D355,55,$G$5,$H$13)/$E$5))</f>
        <v/>
      </c>
      <c r="L355" s="249" t="str">
        <f ca="1">IF(C355="","",IF($L$11="ROA",[1]!S_STM07_IS(D355,61,$G$5,$H$13)/[1]!S_STM07_BS(D355,74,$G$5,$H$13),1-[1]!S_STM07_IS(D355,61,$G$5,$H$13)/[1]!S_STM07_IS(D355,55,$G$5,$H$13)))</f>
        <v/>
      </c>
      <c r="M355" s="249" t="str">
        <f ca="1">IF(C355="","",IF($M$11="ROE",[1]!S_STM07_IS(D355,61,$G$5,$H$13)/[1]!S_STM07_BS(D355,141,$G$5,$H$13),([1]!S_STM07_BS(D355,25,$G$5,$H$13)-[1]!S_STM07_BS(D355,93,$G$5,$H$13))/$E$5))</f>
        <v/>
      </c>
      <c r="N355" s="250" t="str">
        <f ca="1">IF(C355="","",IF($N$11="EPS",[1]!S_STM07_IS(D355,61,$G$5,$H$13)/IF([1]!S_SHARE_TOTAL(D355,$G$5)=0,[1]!S_SHARE_TOTAL(D355,[1]!s_ipo_listeddate(D355)),[1]!S_SHARE_TOTAL(D355,$G$5)),([1]!S_STM07_BS(D355,75,$G$5,$H$13)+[1]!S_STM07_BS(D355,88,$G$5,$H$13)+[1]!S_STM07_BS(D355,94,$G$5,$H$13)+[1]!S_STM07_BS(D355,95,$G$5,$H$13))/$E$5))</f>
        <v/>
      </c>
      <c r="O355" s="250" t="str">
        <f ca="1">IF(C355="","",IF($O$11="BPS",[1]!S_STM07_BS(D355,141,$G$5,$H$13)/IF([1]!S_SHARE_TOTAL(D355,$G$5)=0,[1]!S_SHARE_TOTAL(D355,[1]!s_ipo_listeddate(D355)),[1]!S_SHARE_TOTAL(D355,$G$5)),[1]!S_STM07_CS(D355,49,$G$5,$H$13)/$E$5))</f>
        <v/>
      </c>
      <c r="P355" s="250" t="str">
        <f ca="1">IF(C355="","",IF($P$11="CFPS",[1]!S_STM07_CS(D355,84,$G$5,$H$13)/IF([1]!S_SHARE_TOTAL(D355,$G$5)=0,[1]!S_SHARE_TOTAL(D355,[1]!s_ipo_listeddate(D355)),[1]!S_SHARE_TOTAL(D355,$G$5)),[1]!S_STM07_CS(D355,84,$G$5,$H$13)/$E$5))</f>
        <v/>
      </c>
      <c r="Q355" s="198" t="str">
        <f ca="1">IF(C355="","",F355/([1]!S_STM07_IS(D355,61,$G$5,$H$13)/IF([1]!S_SHARE_TOTAL(D355,$G$5)=0,[1]!S_SHARE_TOTAL(D355,[1]!s_ipo_listeddate(D355)),[1]!S_SHARE_TOTAL(D355,$G$5))))</f>
        <v/>
      </c>
      <c r="R355" s="198" t="str">
        <f ca="1">IF(C355="","",F355/([1]!S_STM07_BS(D355,141,$G$5,$H$13)/IF([1]!S_SHARE_TOTAL(D355,$G$5)=0,[1]!S_SHARE_TOTAL(D355,[1]!s_ipo_listeddate(D355)),[1]!S_SHARE_TOTAL(D355,$G$5))))</f>
        <v/>
      </c>
      <c r="S355" s="249" t="str">
        <f ca="1">IF(C355="","",[1]!S_SHARE_TOTAL(D355,TODAY())/$E$5)</f>
        <v/>
      </c>
      <c r="T355" s="249" t="str">
        <f t="shared" ca="1" si="37"/>
        <v/>
      </c>
      <c r="U355" s="172" t="str">
        <f t="shared" ca="1" si="38"/>
        <v/>
      </c>
      <c r="V355" s="343" t="str">
        <f t="shared" ca="1" si="39"/>
        <v/>
      </c>
      <c r="W355" s="139"/>
      <c r="Y355" s="1"/>
    </row>
    <row r="356" spans="3:25" ht="12" customHeight="1">
      <c r="C356" s="342" t="str">
        <f t="shared" ca="1" si="40"/>
        <v/>
      </c>
      <c r="D356" s="153" t="str">
        <f t="shared" ca="1" si="35"/>
        <v/>
      </c>
      <c r="E356" s="153" t="str">
        <f t="shared" ca="1" si="36"/>
        <v/>
      </c>
      <c r="F356" s="170" t="str">
        <f ca="1">IF(C356="","",[1]!S_DQ_CLOSE(D356,TODAY(),1))</f>
        <v/>
      </c>
      <c r="G356" s="171" t="str">
        <f ca="1">IF(C356="","",[1]!s_pq_pctchange(D356,TODAY()-$G$12,TODAY())/100)</f>
        <v/>
      </c>
      <c r="H356" s="247" t="str">
        <f ca="1">IF(C356="","",IF($H$11="收入",[1]!S_STM07_IS(D356,9,$G$5,$H$13)/$E$5,[1]!S_STM07_IS(D356,48,$G$5,$H$13)/$E$5))</f>
        <v/>
      </c>
      <c r="I356" s="247" t="str">
        <f ca="1">IF(C356="","",IF($I$11="毛利率",([1]!S_STM07_IS(D356,9,$G$5,$H$13)-[1]!S_STM07_IS(D356,10,$G$5,$H$13))/[1]!S_STM07_IS(D356,9,$G$5,$H$13),[1]!S_STM07_IS(D356,14,$G$5,$H$13)/$E$5))</f>
        <v/>
      </c>
      <c r="J356" s="247" t="str">
        <f ca="1">IF(C356="","",IF($J$11="营业利润率",[1]!S_STM07_IS(D356,48,$G$5,$H$13)/[1]!S_STM07_IS(D356,9,$G$5,$H$13),([1]!S_STM07_CS(D356,87,$G$5,$H$13)+[1]!S_STM07_CS(D356,88,$G$5,$H$13)+[1]!S_STM07_CS(D356,89,$G$5,$H$13))/$E$5))</f>
        <v/>
      </c>
      <c r="K356" s="247" t="str">
        <f ca="1">IF(C356="","",IF($K$11="净利润率",[1]!S_STM07_IS(D356,61,$G$5,$H$13)/[1]!S_STM07_IS(D356,9,$G$5,$H$13),[1]!S_STM07_IS(D356,55,$G$5,$H$13)/$E$5))</f>
        <v/>
      </c>
      <c r="L356" s="247" t="str">
        <f ca="1">IF(C356="","",IF($L$11="ROA",[1]!S_STM07_IS(D356,61,$G$5,$H$13)/[1]!S_STM07_BS(D356,74,$G$5,$H$13),1-[1]!S_STM07_IS(D356,61,$G$5,$H$13)/[1]!S_STM07_IS(D356,55,$G$5,$H$13)))</f>
        <v/>
      </c>
      <c r="M356" s="247" t="str">
        <f ca="1">IF(C356="","",IF($M$11="ROE",[1]!S_STM07_IS(D356,61,$G$5,$H$13)/[1]!S_STM07_BS(D356,141,$G$5,$H$13),([1]!S_STM07_BS(D356,25,$G$5,$H$13)-[1]!S_STM07_BS(D356,93,$G$5,$H$13))/$E$5))</f>
        <v/>
      </c>
      <c r="N356" s="247" t="str">
        <f ca="1">IF(C356="","",IF($N$11="EPS",[1]!S_STM07_IS(D356,61,$G$5,$H$13)/IF([1]!S_SHARE_TOTAL(D356,$G$5)=0,[1]!S_SHARE_TOTAL(D356,[1]!s_ipo_listeddate(D356)),[1]!S_SHARE_TOTAL(D356,$G$5)),([1]!S_STM07_BS(D356,75,$G$5,$H$13)+[1]!S_STM07_BS(D356,88,$G$5,$H$13)+[1]!S_STM07_BS(D356,94,$G$5,$H$13)+[1]!S_STM07_BS(D356,95,$G$5,$H$13))/$E$5))</f>
        <v/>
      </c>
      <c r="O356" s="247" t="str">
        <f ca="1">IF(C356="","",IF($O$11="BPS",[1]!S_STM07_BS(D356,141,$G$5,$H$13)/IF([1]!S_SHARE_TOTAL(D356,$G$5)=0,[1]!S_SHARE_TOTAL(D356,[1]!s_ipo_listeddate(D356)),[1]!S_SHARE_TOTAL(D356,$G$5)),[1]!S_STM07_CS(D356,49,$G$5,$H$13)/$E$5))</f>
        <v/>
      </c>
      <c r="P356" s="247" t="str">
        <f ca="1">IF(C356="","",IF($P$11="CFPS",[1]!S_STM07_CS(D356,84,$G$5,$H$13)/IF([1]!S_SHARE_TOTAL(D356,$G$5)=0,[1]!S_SHARE_TOTAL(D356,[1]!s_ipo_listeddate(D356)),[1]!S_SHARE_TOTAL(D356,$G$5)),[1]!S_STM07_CS(D356,84,$G$5,$H$13)/$E$5))</f>
        <v/>
      </c>
      <c r="Q356" s="248" t="str">
        <f ca="1">IF(C356="","",F356/([1]!S_STM07_IS(D356,61,$G$5,$H$13)/IF([1]!S_SHARE_TOTAL(D356,$G$5)=0,[1]!S_SHARE_TOTAL(D356,[1]!s_ipo_listeddate(D356)),[1]!S_SHARE_TOTAL(D356,$G$5))))</f>
        <v/>
      </c>
      <c r="R356" s="248" t="str">
        <f ca="1">IF(C356="","",F356/([1]!S_STM07_BS(D356,141,$G$5,$H$13)/IF([1]!S_SHARE_TOTAL(D356,$G$5)=0,[1]!S_SHARE_TOTAL(D356,[1]!s_ipo_listeddate(D356)),[1]!S_SHARE_TOTAL(D356,$G$5))))</f>
        <v/>
      </c>
      <c r="S356" s="247" t="str">
        <f ca="1">IF(C356="","",[1]!S_SHARE_TOTAL(D356,TODAY())/$E$5)</f>
        <v/>
      </c>
      <c r="T356" s="247" t="str">
        <f t="shared" ca="1" si="37"/>
        <v/>
      </c>
      <c r="U356" s="218" t="str">
        <f t="shared" ca="1" si="38"/>
        <v/>
      </c>
      <c r="V356" s="342" t="str">
        <f t="shared" ca="1" si="39"/>
        <v/>
      </c>
      <c r="W356" s="139"/>
      <c r="Y356" s="1"/>
    </row>
    <row r="357" spans="3:25" ht="12" customHeight="1">
      <c r="C357" s="343" t="str">
        <f t="shared" ca="1" si="40"/>
        <v/>
      </c>
      <c r="D357" s="124" t="str">
        <f t="shared" ref="D357:D420" ca="1" si="41">IF(C357="","",VLOOKUP(C357,comppool,2,FALSE))</f>
        <v/>
      </c>
      <c r="E357" s="124" t="str">
        <f t="shared" ref="E357:E420" ca="1" si="42">IF(C357="","",VLOOKUP(C357,comppool,3,FALSE))</f>
        <v/>
      </c>
      <c r="F357" s="172" t="str">
        <f ca="1">IF(C357="","",[1]!S_DQ_CLOSE(D357,TODAY(),1))</f>
        <v/>
      </c>
      <c r="G357" s="173" t="str">
        <f ca="1">IF(C357="","",[1]!s_pq_pctchange(D357,TODAY()-$G$12,TODAY())/100)</f>
        <v/>
      </c>
      <c r="H357" s="249" t="str">
        <f ca="1">IF(C357="","",IF($H$11="收入",[1]!S_STM07_IS(D357,9,$G$5,$H$13)/$E$5,[1]!S_STM07_IS(D357,48,$G$5,$H$13)/$E$5))</f>
        <v/>
      </c>
      <c r="I357" s="249" t="str">
        <f ca="1">IF(C357="","",IF($I$11="毛利率",([1]!S_STM07_IS(D357,9,$G$5,$H$13)-[1]!S_STM07_IS(D357,10,$G$5,$H$13))/[1]!S_STM07_IS(D357,9,$G$5,$H$13),[1]!S_STM07_IS(D357,14,$G$5,$H$13)/$E$5))</f>
        <v/>
      </c>
      <c r="J357" s="249" t="str">
        <f ca="1">IF(C357="","",IF($J$11="营业利润率",[1]!S_STM07_IS(D357,48,$G$5,$H$13)/[1]!S_STM07_IS(D357,9,$G$5,$H$13),([1]!S_STM07_CS(D357,87,$G$5,$H$13)+[1]!S_STM07_CS(D357,88,$G$5,$H$13)+[1]!S_STM07_CS(D357,89,$G$5,$H$13))/$E$5))</f>
        <v/>
      </c>
      <c r="K357" s="249" t="str">
        <f ca="1">IF(C357="","",IF($K$11="净利润率",[1]!S_STM07_IS(D357,61,$G$5,$H$13)/[1]!S_STM07_IS(D357,9,$G$5,$H$13),[1]!S_STM07_IS(D357,55,$G$5,$H$13)/$E$5))</f>
        <v/>
      </c>
      <c r="L357" s="249" t="str">
        <f ca="1">IF(C357="","",IF($L$11="ROA",[1]!S_STM07_IS(D357,61,$G$5,$H$13)/[1]!S_STM07_BS(D357,74,$G$5,$H$13),1-[1]!S_STM07_IS(D357,61,$G$5,$H$13)/[1]!S_STM07_IS(D357,55,$G$5,$H$13)))</f>
        <v/>
      </c>
      <c r="M357" s="249" t="str">
        <f ca="1">IF(C357="","",IF($M$11="ROE",[1]!S_STM07_IS(D357,61,$G$5,$H$13)/[1]!S_STM07_BS(D357,141,$G$5,$H$13),([1]!S_STM07_BS(D357,25,$G$5,$H$13)-[1]!S_STM07_BS(D357,93,$G$5,$H$13))/$E$5))</f>
        <v/>
      </c>
      <c r="N357" s="250" t="str">
        <f ca="1">IF(C357="","",IF($N$11="EPS",[1]!S_STM07_IS(D357,61,$G$5,$H$13)/IF([1]!S_SHARE_TOTAL(D357,$G$5)=0,[1]!S_SHARE_TOTAL(D357,[1]!s_ipo_listeddate(D357)),[1]!S_SHARE_TOTAL(D357,$G$5)),([1]!S_STM07_BS(D357,75,$G$5,$H$13)+[1]!S_STM07_BS(D357,88,$G$5,$H$13)+[1]!S_STM07_BS(D357,94,$G$5,$H$13)+[1]!S_STM07_BS(D357,95,$G$5,$H$13))/$E$5))</f>
        <v/>
      </c>
      <c r="O357" s="250" t="str">
        <f ca="1">IF(C357="","",IF($O$11="BPS",[1]!S_STM07_BS(D357,141,$G$5,$H$13)/IF([1]!S_SHARE_TOTAL(D357,$G$5)=0,[1]!S_SHARE_TOTAL(D357,[1]!s_ipo_listeddate(D357)),[1]!S_SHARE_TOTAL(D357,$G$5)),[1]!S_STM07_CS(D357,49,$G$5,$H$13)/$E$5))</f>
        <v/>
      </c>
      <c r="P357" s="250" t="str">
        <f ca="1">IF(C357="","",IF($P$11="CFPS",[1]!S_STM07_CS(D357,84,$G$5,$H$13)/IF([1]!S_SHARE_TOTAL(D357,$G$5)=0,[1]!S_SHARE_TOTAL(D357,[1]!s_ipo_listeddate(D357)),[1]!S_SHARE_TOTAL(D357,$G$5)),[1]!S_STM07_CS(D357,84,$G$5,$H$13)/$E$5))</f>
        <v/>
      </c>
      <c r="Q357" s="198" t="str">
        <f ca="1">IF(C357="","",F357/([1]!S_STM07_IS(D357,61,$G$5,$H$13)/IF([1]!S_SHARE_TOTAL(D357,$G$5)=0,[1]!S_SHARE_TOTAL(D357,[1]!s_ipo_listeddate(D357)),[1]!S_SHARE_TOTAL(D357,$G$5))))</f>
        <v/>
      </c>
      <c r="R357" s="198" t="str">
        <f ca="1">IF(C357="","",F357/([1]!S_STM07_BS(D357,141,$G$5,$H$13)/IF([1]!S_SHARE_TOTAL(D357,$G$5)=0,[1]!S_SHARE_TOTAL(D357,[1]!s_ipo_listeddate(D357)),[1]!S_SHARE_TOTAL(D357,$G$5))))</f>
        <v/>
      </c>
      <c r="S357" s="249" t="str">
        <f ca="1">IF(C357="","",[1]!S_SHARE_TOTAL(D357,TODAY())/$E$5)</f>
        <v/>
      </c>
      <c r="T357" s="249" t="str">
        <f t="shared" ref="T357:T420" ca="1" si="43">IF(C357="","",F357*S357)</f>
        <v/>
      </c>
      <c r="U357" s="172" t="str">
        <f t="shared" ref="U357:U420" ca="1" si="44">IF(C357="","",HLOOKUP($V$12,$G$11:$T$20003,ROW()-ROW($G$11)+1,FALSE))</f>
        <v/>
      </c>
      <c r="V357" s="343" t="str">
        <f t="shared" ref="V357:V420" ca="1" si="45">IF(C357="","",RANK(U357,U:U,0))</f>
        <v/>
      </c>
      <c r="W357" s="139"/>
      <c r="Y357" s="1"/>
    </row>
    <row r="358" spans="3:25" ht="12" customHeight="1">
      <c r="C358" s="342" t="str">
        <f t="shared" ca="1" si="40"/>
        <v/>
      </c>
      <c r="D358" s="153" t="str">
        <f t="shared" ca="1" si="41"/>
        <v/>
      </c>
      <c r="E358" s="153" t="str">
        <f t="shared" ca="1" si="42"/>
        <v/>
      </c>
      <c r="F358" s="170" t="str">
        <f ca="1">IF(C358="","",[1]!S_DQ_CLOSE(D358,TODAY(),1))</f>
        <v/>
      </c>
      <c r="G358" s="171" t="str">
        <f ca="1">IF(C358="","",[1]!s_pq_pctchange(D358,TODAY()-$G$12,TODAY())/100)</f>
        <v/>
      </c>
      <c r="H358" s="247" t="str">
        <f ca="1">IF(C358="","",IF($H$11="收入",[1]!S_STM07_IS(D358,9,$G$5,$H$13)/$E$5,[1]!S_STM07_IS(D358,48,$G$5,$H$13)/$E$5))</f>
        <v/>
      </c>
      <c r="I358" s="247" t="str">
        <f ca="1">IF(C358="","",IF($I$11="毛利率",([1]!S_STM07_IS(D358,9,$G$5,$H$13)-[1]!S_STM07_IS(D358,10,$G$5,$H$13))/[1]!S_STM07_IS(D358,9,$G$5,$H$13),[1]!S_STM07_IS(D358,14,$G$5,$H$13)/$E$5))</f>
        <v/>
      </c>
      <c r="J358" s="247" t="str">
        <f ca="1">IF(C358="","",IF($J$11="营业利润率",[1]!S_STM07_IS(D358,48,$G$5,$H$13)/[1]!S_STM07_IS(D358,9,$G$5,$H$13),([1]!S_STM07_CS(D358,87,$G$5,$H$13)+[1]!S_STM07_CS(D358,88,$G$5,$H$13)+[1]!S_STM07_CS(D358,89,$G$5,$H$13))/$E$5))</f>
        <v/>
      </c>
      <c r="K358" s="247" t="str">
        <f ca="1">IF(C358="","",IF($K$11="净利润率",[1]!S_STM07_IS(D358,61,$G$5,$H$13)/[1]!S_STM07_IS(D358,9,$G$5,$H$13),[1]!S_STM07_IS(D358,55,$G$5,$H$13)/$E$5))</f>
        <v/>
      </c>
      <c r="L358" s="247" t="str">
        <f ca="1">IF(C358="","",IF($L$11="ROA",[1]!S_STM07_IS(D358,61,$G$5,$H$13)/[1]!S_STM07_BS(D358,74,$G$5,$H$13),1-[1]!S_STM07_IS(D358,61,$G$5,$H$13)/[1]!S_STM07_IS(D358,55,$G$5,$H$13)))</f>
        <v/>
      </c>
      <c r="M358" s="247" t="str">
        <f ca="1">IF(C358="","",IF($M$11="ROE",[1]!S_STM07_IS(D358,61,$G$5,$H$13)/[1]!S_STM07_BS(D358,141,$G$5,$H$13),([1]!S_STM07_BS(D358,25,$G$5,$H$13)-[1]!S_STM07_BS(D358,93,$G$5,$H$13))/$E$5))</f>
        <v/>
      </c>
      <c r="N358" s="247" t="str">
        <f ca="1">IF(C358="","",IF($N$11="EPS",[1]!S_STM07_IS(D358,61,$G$5,$H$13)/IF([1]!S_SHARE_TOTAL(D358,$G$5)=0,[1]!S_SHARE_TOTAL(D358,[1]!s_ipo_listeddate(D358)),[1]!S_SHARE_TOTAL(D358,$G$5)),([1]!S_STM07_BS(D358,75,$G$5,$H$13)+[1]!S_STM07_BS(D358,88,$G$5,$H$13)+[1]!S_STM07_BS(D358,94,$G$5,$H$13)+[1]!S_STM07_BS(D358,95,$G$5,$H$13))/$E$5))</f>
        <v/>
      </c>
      <c r="O358" s="247" t="str">
        <f ca="1">IF(C358="","",IF($O$11="BPS",[1]!S_STM07_BS(D358,141,$G$5,$H$13)/IF([1]!S_SHARE_TOTAL(D358,$G$5)=0,[1]!S_SHARE_TOTAL(D358,[1]!s_ipo_listeddate(D358)),[1]!S_SHARE_TOTAL(D358,$G$5)),[1]!S_STM07_CS(D358,49,$G$5,$H$13)/$E$5))</f>
        <v/>
      </c>
      <c r="P358" s="247" t="str">
        <f ca="1">IF(C358="","",IF($P$11="CFPS",[1]!S_STM07_CS(D358,84,$G$5,$H$13)/IF([1]!S_SHARE_TOTAL(D358,$G$5)=0,[1]!S_SHARE_TOTAL(D358,[1]!s_ipo_listeddate(D358)),[1]!S_SHARE_TOTAL(D358,$G$5)),[1]!S_STM07_CS(D358,84,$G$5,$H$13)/$E$5))</f>
        <v/>
      </c>
      <c r="Q358" s="248" t="str">
        <f ca="1">IF(C358="","",F358/([1]!S_STM07_IS(D358,61,$G$5,$H$13)/IF([1]!S_SHARE_TOTAL(D358,$G$5)=0,[1]!S_SHARE_TOTAL(D358,[1]!s_ipo_listeddate(D358)),[1]!S_SHARE_TOTAL(D358,$G$5))))</f>
        <v/>
      </c>
      <c r="R358" s="248" t="str">
        <f ca="1">IF(C358="","",F358/([1]!S_STM07_BS(D358,141,$G$5,$H$13)/IF([1]!S_SHARE_TOTAL(D358,$G$5)=0,[1]!S_SHARE_TOTAL(D358,[1]!s_ipo_listeddate(D358)),[1]!S_SHARE_TOTAL(D358,$G$5))))</f>
        <v/>
      </c>
      <c r="S358" s="247" t="str">
        <f ca="1">IF(C358="","",[1]!S_SHARE_TOTAL(D358,TODAY())/$E$5)</f>
        <v/>
      </c>
      <c r="T358" s="247" t="str">
        <f t="shared" ca="1" si="43"/>
        <v/>
      </c>
      <c r="U358" s="218" t="str">
        <f t="shared" ca="1" si="44"/>
        <v/>
      </c>
      <c r="V358" s="342" t="str">
        <f t="shared" ca="1" si="45"/>
        <v/>
      </c>
      <c r="W358" s="139"/>
      <c r="Y358" s="1"/>
    </row>
    <row r="359" spans="3:25" ht="12" customHeight="1">
      <c r="C359" s="343" t="str">
        <f t="shared" ca="1" si="40"/>
        <v/>
      </c>
      <c r="D359" s="124" t="str">
        <f t="shared" ca="1" si="41"/>
        <v/>
      </c>
      <c r="E359" s="124" t="str">
        <f t="shared" ca="1" si="42"/>
        <v/>
      </c>
      <c r="F359" s="172" t="str">
        <f ca="1">IF(C359="","",[1]!S_DQ_CLOSE(D359,TODAY(),1))</f>
        <v/>
      </c>
      <c r="G359" s="173" t="str">
        <f ca="1">IF(C359="","",[1]!s_pq_pctchange(D359,TODAY()-$G$12,TODAY())/100)</f>
        <v/>
      </c>
      <c r="H359" s="249" t="str">
        <f ca="1">IF(C359="","",IF($H$11="收入",[1]!S_STM07_IS(D359,9,$G$5,$H$13)/$E$5,[1]!S_STM07_IS(D359,48,$G$5,$H$13)/$E$5))</f>
        <v/>
      </c>
      <c r="I359" s="249" t="str">
        <f ca="1">IF(C359="","",IF($I$11="毛利率",([1]!S_STM07_IS(D359,9,$G$5,$H$13)-[1]!S_STM07_IS(D359,10,$G$5,$H$13))/[1]!S_STM07_IS(D359,9,$G$5,$H$13),[1]!S_STM07_IS(D359,14,$G$5,$H$13)/$E$5))</f>
        <v/>
      </c>
      <c r="J359" s="249" t="str">
        <f ca="1">IF(C359="","",IF($J$11="营业利润率",[1]!S_STM07_IS(D359,48,$G$5,$H$13)/[1]!S_STM07_IS(D359,9,$G$5,$H$13),([1]!S_STM07_CS(D359,87,$G$5,$H$13)+[1]!S_STM07_CS(D359,88,$G$5,$H$13)+[1]!S_STM07_CS(D359,89,$G$5,$H$13))/$E$5))</f>
        <v/>
      </c>
      <c r="K359" s="249" t="str">
        <f ca="1">IF(C359="","",IF($K$11="净利润率",[1]!S_STM07_IS(D359,61,$G$5,$H$13)/[1]!S_STM07_IS(D359,9,$G$5,$H$13),[1]!S_STM07_IS(D359,55,$G$5,$H$13)/$E$5))</f>
        <v/>
      </c>
      <c r="L359" s="249" t="str">
        <f ca="1">IF(C359="","",IF($L$11="ROA",[1]!S_STM07_IS(D359,61,$G$5,$H$13)/[1]!S_STM07_BS(D359,74,$G$5,$H$13),1-[1]!S_STM07_IS(D359,61,$G$5,$H$13)/[1]!S_STM07_IS(D359,55,$G$5,$H$13)))</f>
        <v/>
      </c>
      <c r="M359" s="249" t="str">
        <f ca="1">IF(C359="","",IF($M$11="ROE",[1]!S_STM07_IS(D359,61,$G$5,$H$13)/[1]!S_STM07_BS(D359,141,$G$5,$H$13),([1]!S_STM07_BS(D359,25,$G$5,$H$13)-[1]!S_STM07_BS(D359,93,$G$5,$H$13))/$E$5))</f>
        <v/>
      </c>
      <c r="N359" s="250" t="str">
        <f ca="1">IF(C359="","",IF($N$11="EPS",[1]!S_STM07_IS(D359,61,$G$5,$H$13)/IF([1]!S_SHARE_TOTAL(D359,$G$5)=0,[1]!S_SHARE_TOTAL(D359,[1]!s_ipo_listeddate(D359)),[1]!S_SHARE_TOTAL(D359,$G$5)),([1]!S_STM07_BS(D359,75,$G$5,$H$13)+[1]!S_STM07_BS(D359,88,$G$5,$H$13)+[1]!S_STM07_BS(D359,94,$G$5,$H$13)+[1]!S_STM07_BS(D359,95,$G$5,$H$13))/$E$5))</f>
        <v/>
      </c>
      <c r="O359" s="250" t="str">
        <f ca="1">IF(C359="","",IF($O$11="BPS",[1]!S_STM07_BS(D359,141,$G$5,$H$13)/IF([1]!S_SHARE_TOTAL(D359,$G$5)=0,[1]!S_SHARE_TOTAL(D359,[1]!s_ipo_listeddate(D359)),[1]!S_SHARE_TOTAL(D359,$G$5)),[1]!S_STM07_CS(D359,49,$G$5,$H$13)/$E$5))</f>
        <v/>
      </c>
      <c r="P359" s="250" t="str">
        <f ca="1">IF(C359="","",IF($P$11="CFPS",[1]!S_STM07_CS(D359,84,$G$5,$H$13)/IF([1]!S_SHARE_TOTAL(D359,$G$5)=0,[1]!S_SHARE_TOTAL(D359,[1]!s_ipo_listeddate(D359)),[1]!S_SHARE_TOTAL(D359,$G$5)),[1]!S_STM07_CS(D359,84,$G$5,$H$13)/$E$5))</f>
        <v/>
      </c>
      <c r="Q359" s="198" t="str">
        <f ca="1">IF(C359="","",F359/([1]!S_STM07_IS(D359,61,$G$5,$H$13)/IF([1]!S_SHARE_TOTAL(D359,$G$5)=0,[1]!S_SHARE_TOTAL(D359,[1]!s_ipo_listeddate(D359)),[1]!S_SHARE_TOTAL(D359,$G$5))))</f>
        <v/>
      </c>
      <c r="R359" s="198" t="str">
        <f ca="1">IF(C359="","",F359/([1]!S_STM07_BS(D359,141,$G$5,$H$13)/IF([1]!S_SHARE_TOTAL(D359,$G$5)=0,[1]!S_SHARE_TOTAL(D359,[1]!s_ipo_listeddate(D359)),[1]!S_SHARE_TOTAL(D359,$G$5))))</f>
        <v/>
      </c>
      <c r="S359" s="249" t="str">
        <f ca="1">IF(C359="","",[1]!S_SHARE_TOTAL(D359,TODAY())/$E$5)</f>
        <v/>
      </c>
      <c r="T359" s="249" t="str">
        <f t="shared" ca="1" si="43"/>
        <v/>
      </c>
      <c r="U359" s="172" t="str">
        <f t="shared" ca="1" si="44"/>
        <v/>
      </c>
      <c r="V359" s="343" t="str">
        <f t="shared" ca="1" si="45"/>
        <v/>
      </c>
      <c r="W359" s="139"/>
      <c r="Y359" s="1"/>
    </row>
    <row r="360" spans="3:25" ht="12" customHeight="1">
      <c r="C360" s="342" t="str">
        <f t="shared" ca="1" si="40"/>
        <v/>
      </c>
      <c r="D360" s="153" t="str">
        <f t="shared" ca="1" si="41"/>
        <v/>
      </c>
      <c r="E360" s="153" t="str">
        <f t="shared" ca="1" si="42"/>
        <v/>
      </c>
      <c r="F360" s="170" t="str">
        <f ca="1">IF(C360="","",[1]!S_DQ_CLOSE(D360,TODAY(),1))</f>
        <v/>
      </c>
      <c r="G360" s="171" t="str">
        <f ca="1">IF(C360="","",[1]!s_pq_pctchange(D360,TODAY()-$G$12,TODAY())/100)</f>
        <v/>
      </c>
      <c r="H360" s="247" t="str">
        <f ca="1">IF(C360="","",IF($H$11="收入",[1]!S_STM07_IS(D360,9,$G$5,$H$13)/$E$5,[1]!S_STM07_IS(D360,48,$G$5,$H$13)/$E$5))</f>
        <v/>
      </c>
      <c r="I360" s="247" t="str">
        <f ca="1">IF(C360="","",IF($I$11="毛利率",([1]!S_STM07_IS(D360,9,$G$5,$H$13)-[1]!S_STM07_IS(D360,10,$G$5,$H$13))/[1]!S_STM07_IS(D360,9,$G$5,$H$13),[1]!S_STM07_IS(D360,14,$G$5,$H$13)/$E$5))</f>
        <v/>
      </c>
      <c r="J360" s="247" t="str">
        <f ca="1">IF(C360="","",IF($J$11="营业利润率",[1]!S_STM07_IS(D360,48,$G$5,$H$13)/[1]!S_STM07_IS(D360,9,$G$5,$H$13),([1]!S_STM07_CS(D360,87,$G$5,$H$13)+[1]!S_STM07_CS(D360,88,$G$5,$H$13)+[1]!S_STM07_CS(D360,89,$G$5,$H$13))/$E$5))</f>
        <v/>
      </c>
      <c r="K360" s="247" t="str">
        <f ca="1">IF(C360="","",IF($K$11="净利润率",[1]!S_STM07_IS(D360,61,$G$5,$H$13)/[1]!S_STM07_IS(D360,9,$G$5,$H$13),[1]!S_STM07_IS(D360,55,$G$5,$H$13)/$E$5))</f>
        <v/>
      </c>
      <c r="L360" s="247" t="str">
        <f ca="1">IF(C360="","",IF($L$11="ROA",[1]!S_STM07_IS(D360,61,$G$5,$H$13)/[1]!S_STM07_BS(D360,74,$G$5,$H$13),1-[1]!S_STM07_IS(D360,61,$G$5,$H$13)/[1]!S_STM07_IS(D360,55,$G$5,$H$13)))</f>
        <v/>
      </c>
      <c r="M360" s="247" t="str">
        <f ca="1">IF(C360="","",IF($M$11="ROE",[1]!S_STM07_IS(D360,61,$G$5,$H$13)/[1]!S_STM07_BS(D360,141,$G$5,$H$13),([1]!S_STM07_BS(D360,25,$G$5,$H$13)-[1]!S_STM07_BS(D360,93,$G$5,$H$13))/$E$5))</f>
        <v/>
      </c>
      <c r="N360" s="247" t="str">
        <f ca="1">IF(C360="","",IF($N$11="EPS",[1]!S_STM07_IS(D360,61,$G$5,$H$13)/IF([1]!S_SHARE_TOTAL(D360,$G$5)=0,[1]!S_SHARE_TOTAL(D360,[1]!s_ipo_listeddate(D360)),[1]!S_SHARE_TOTAL(D360,$G$5)),([1]!S_STM07_BS(D360,75,$G$5,$H$13)+[1]!S_STM07_BS(D360,88,$G$5,$H$13)+[1]!S_STM07_BS(D360,94,$G$5,$H$13)+[1]!S_STM07_BS(D360,95,$G$5,$H$13))/$E$5))</f>
        <v/>
      </c>
      <c r="O360" s="247" t="str">
        <f ca="1">IF(C360="","",IF($O$11="BPS",[1]!S_STM07_BS(D360,141,$G$5,$H$13)/IF([1]!S_SHARE_TOTAL(D360,$G$5)=0,[1]!S_SHARE_TOTAL(D360,[1]!s_ipo_listeddate(D360)),[1]!S_SHARE_TOTAL(D360,$G$5)),[1]!S_STM07_CS(D360,49,$G$5,$H$13)/$E$5))</f>
        <v/>
      </c>
      <c r="P360" s="247" t="str">
        <f ca="1">IF(C360="","",IF($P$11="CFPS",[1]!S_STM07_CS(D360,84,$G$5,$H$13)/IF([1]!S_SHARE_TOTAL(D360,$G$5)=0,[1]!S_SHARE_TOTAL(D360,[1]!s_ipo_listeddate(D360)),[1]!S_SHARE_TOTAL(D360,$G$5)),[1]!S_STM07_CS(D360,84,$G$5,$H$13)/$E$5))</f>
        <v/>
      </c>
      <c r="Q360" s="248" t="str">
        <f ca="1">IF(C360="","",F360/([1]!S_STM07_IS(D360,61,$G$5,$H$13)/IF([1]!S_SHARE_TOTAL(D360,$G$5)=0,[1]!S_SHARE_TOTAL(D360,[1]!s_ipo_listeddate(D360)),[1]!S_SHARE_TOTAL(D360,$G$5))))</f>
        <v/>
      </c>
      <c r="R360" s="248" t="str">
        <f ca="1">IF(C360="","",F360/([1]!S_STM07_BS(D360,141,$G$5,$H$13)/IF([1]!S_SHARE_TOTAL(D360,$G$5)=0,[1]!S_SHARE_TOTAL(D360,[1]!s_ipo_listeddate(D360)),[1]!S_SHARE_TOTAL(D360,$G$5))))</f>
        <v/>
      </c>
      <c r="S360" s="247" t="str">
        <f ca="1">IF(C360="","",[1]!S_SHARE_TOTAL(D360,TODAY())/$E$5)</f>
        <v/>
      </c>
      <c r="T360" s="247" t="str">
        <f t="shared" ca="1" si="43"/>
        <v/>
      </c>
      <c r="U360" s="218" t="str">
        <f t="shared" ca="1" si="44"/>
        <v/>
      </c>
      <c r="V360" s="342" t="str">
        <f t="shared" ca="1" si="45"/>
        <v/>
      </c>
      <c r="W360" s="139"/>
      <c r="Y360" s="1"/>
    </row>
    <row r="361" spans="3:25" ht="12" customHeight="1">
      <c r="C361" s="343" t="str">
        <f t="shared" ca="1" si="40"/>
        <v/>
      </c>
      <c r="D361" s="124" t="str">
        <f t="shared" ca="1" si="41"/>
        <v/>
      </c>
      <c r="E361" s="124" t="str">
        <f t="shared" ca="1" si="42"/>
        <v/>
      </c>
      <c r="F361" s="172" t="str">
        <f ca="1">IF(C361="","",[1]!S_DQ_CLOSE(D361,TODAY(),1))</f>
        <v/>
      </c>
      <c r="G361" s="173" t="str">
        <f ca="1">IF(C361="","",[1]!s_pq_pctchange(D361,TODAY()-$G$12,TODAY())/100)</f>
        <v/>
      </c>
      <c r="H361" s="249" t="str">
        <f ca="1">IF(C361="","",IF($H$11="收入",[1]!S_STM07_IS(D361,9,$G$5,$H$13)/$E$5,[1]!S_STM07_IS(D361,48,$G$5,$H$13)/$E$5))</f>
        <v/>
      </c>
      <c r="I361" s="249" t="str">
        <f ca="1">IF(C361="","",IF($I$11="毛利率",([1]!S_STM07_IS(D361,9,$G$5,$H$13)-[1]!S_STM07_IS(D361,10,$G$5,$H$13))/[1]!S_STM07_IS(D361,9,$G$5,$H$13),[1]!S_STM07_IS(D361,14,$G$5,$H$13)/$E$5))</f>
        <v/>
      </c>
      <c r="J361" s="249" t="str">
        <f ca="1">IF(C361="","",IF($J$11="营业利润率",[1]!S_STM07_IS(D361,48,$G$5,$H$13)/[1]!S_STM07_IS(D361,9,$G$5,$H$13),([1]!S_STM07_CS(D361,87,$G$5,$H$13)+[1]!S_STM07_CS(D361,88,$G$5,$H$13)+[1]!S_STM07_CS(D361,89,$G$5,$H$13))/$E$5))</f>
        <v/>
      </c>
      <c r="K361" s="249" t="str">
        <f ca="1">IF(C361="","",IF($K$11="净利润率",[1]!S_STM07_IS(D361,61,$G$5,$H$13)/[1]!S_STM07_IS(D361,9,$G$5,$H$13),[1]!S_STM07_IS(D361,55,$G$5,$H$13)/$E$5))</f>
        <v/>
      </c>
      <c r="L361" s="249" t="str">
        <f ca="1">IF(C361="","",IF($L$11="ROA",[1]!S_STM07_IS(D361,61,$G$5,$H$13)/[1]!S_STM07_BS(D361,74,$G$5,$H$13),1-[1]!S_STM07_IS(D361,61,$G$5,$H$13)/[1]!S_STM07_IS(D361,55,$G$5,$H$13)))</f>
        <v/>
      </c>
      <c r="M361" s="249" t="str">
        <f ca="1">IF(C361="","",IF($M$11="ROE",[1]!S_STM07_IS(D361,61,$G$5,$H$13)/[1]!S_STM07_BS(D361,141,$G$5,$H$13),([1]!S_STM07_BS(D361,25,$G$5,$H$13)-[1]!S_STM07_BS(D361,93,$G$5,$H$13))/$E$5))</f>
        <v/>
      </c>
      <c r="N361" s="250" t="str">
        <f ca="1">IF(C361="","",IF($N$11="EPS",[1]!S_STM07_IS(D361,61,$G$5,$H$13)/IF([1]!S_SHARE_TOTAL(D361,$G$5)=0,[1]!S_SHARE_TOTAL(D361,[1]!s_ipo_listeddate(D361)),[1]!S_SHARE_TOTAL(D361,$G$5)),([1]!S_STM07_BS(D361,75,$G$5,$H$13)+[1]!S_STM07_BS(D361,88,$G$5,$H$13)+[1]!S_STM07_BS(D361,94,$G$5,$H$13)+[1]!S_STM07_BS(D361,95,$G$5,$H$13))/$E$5))</f>
        <v/>
      </c>
      <c r="O361" s="250" t="str">
        <f ca="1">IF(C361="","",IF($O$11="BPS",[1]!S_STM07_BS(D361,141,$G$5,$H$13)/IF([1]!S_SHARE_TOTAL(D361,$G$5)=0,[1]!S_SHARE_TOTAL(D361,[1]!s_ipo_listeddate(D361)),[1]!S_SHARE_TOTAL(D361,$G$5)),[1]!S_STM07_CS(D361,49,$G$5,$H$13)/$E$5))</f>
        <v/>
      </c>
      <c r="P361" s="250" t="str">
        <f ca="1">IF(C361="","",IF($P$11="CFPS",[1]!S_STM07_CS(D361,84,$G$5,$H$13)/IF([1]!S_SHARE_TOTAL(D361,$G$5)=0,[1]!S_SHARE_TOTAL(D361,[1]!s_ipo_listeddate(D361)),[1]!S_SHARE_TOTAL(D361,$G$5)),[1]!S_STM07_CS(D361,84,$G$5,$H$13)/$E$5))</f>
        <v/>
      </c>
      <c r="Q361" s="198" t="str">
        <f ca="1">IF(C361="","",F361/([1]!S_STM07_IS(D361,61,$G$5,$H$13)/IF([1]!S_SHARE_TOTAL(D361,$G$5)=0,[1]!S_SHARE_TOTAL(D361,[1]!s_ipo_listeddate(D361)),[1]!S_SHARE_TOTAL(D361,$G$5))))</f>
        <v/>
      </c>
      <c r="R361" s="198" t="str">
        <f ca="1">IF(C361="","",F361/([1]!S_STM07_BS(D361,141,$G$5,$H$13)/IF([1]!S_SHARE_TOTAL(D361,$G$5)=0,[1]!S_SHARE_TOTAL(D361,[1]!s_ipo_listeddate(D361)),[1]!S_SHARE_TOTAL(D361,$G$5))))</f>
        <v/>
      </c>
      <c r="S361" s="249" t="str">
        <f ca="1">IF(C361="","",[1]!S_SHARE_TOTAL(D361,TODAY())/$E$5)</f>
        <v/>
      </c>
      <c r="T361" s="249" t="str">
        <f t="shared" ca="1" si="43"/>
        <v/>
      </c>
      <c r="U361" s="172" t="str">
        <f t="shared" ca="1" si="44"/>
        <v/>
      </c>
      <c r="V361" s="343" t="str">
        <f t="shared" ca="1" si="45"/>
        <v/>
      </c>
      <c r="W361" s="139"/>
      <c r="Y361" s="1"/>
    </row>
    <row r="362" spans="3:25" ht="12" customHeight="1">
      <c r="C362" s="342" t="str">
        <f t="shared" ca="1" si="40"/>
        <v/>
      </c>
      <c r="D362" s="153" t="str">
        <f t="shared" ca="1" si="41"/>
        <v/>
      </c>
      <c r="E362" s="153" t="str">
        <f t="shared" ca="1" si="42"/>
        <v/>
      </c>
      <c r="F362" s="170" t="str">
        <f ca="1">IF(C362="","",[1]!S_DQ_CLOSE(D362,TODAY(),1))</f>
        <v/>
      </c>
      <c r="G362" s="171" t="str">
        <f ca="1">IF(C362="","",[1]!s_pq_pctchange(D362,TODAY()-$G$12,TODAY())/100)</f>
        <v/>
      </c>
      <c r="H362" s="247" t="str">
        <f ca="1">IF(C362="","",IF($H$11="收入",[1]!S_STM07_IS(D362,9,$G$5,$H$13)/$E$5,[1]!S_STM07_IS(D362,48,$G$5,$H$13)/$E$5))</f>
        <v/>
      </c>
      <c r="I362" s="247" t="str">
        <f ca="1">IF(C362="","",IF($I$11="毛利率",([1]!S_STM07_IS(D362,9,$G$5,$H$13)-[1]!S_STM07_IS(D362,10,$G$5,$H$13))/[1]!S_STM07_IS(D362,9,$G$5,$H$13),[1]!S_STM07_IS(D362,14,$G$5,$H$13)/$E$5))</f>
        <v/>
      </c>
      <c r="J362" s="247" t="str">
        <f ca="1">IF(C362="","",IF($J$11="营业利润率",[1]!S_STM07_IS(D362,48,$G$5,$H$13)/[1]!S_STM07_IS(D362,9,$G$5,$H$13),([1]!S_STM07_CS(D362,87,$G$5,$H$13)+[1]!S_STM07_CS(D362,88,$G$5,$H$13)+[1]!S_STM07_CS(D362,89,$G$5,$H$13))/$E$5))</f>
        <v/>
      </c>
      <c r="K362" s="247" t="str">
        <f ca="1">IF(C362="","",IF($K$11="净利润率",[1]!S_STM07_IS(D362,61,$G$5,$H$13)/[1]!S_STM07_IS(D362,9,$G$5,$H$13),[1]!S_STM07_IS(D362,55,$G$5,$H$13)/$E$5))</f>
        <v/>
      </c>
      <c r="L362" s="247" t="str">
        <f ca="1">IF(C362="","",IF($L$11="ROA",[1]!S_STM07_IS(D362,61,$G$5,$H$13)/[1]!S_STM07_BS(D362,74,$G$5,$H$13),1-[1]!S_STM07_IS(D362,61,$G$5,$H$13)/[1]!S_STM07_IS(D362,55,$G$5,$H$13)))</f>
        <v/>
      </c>
      <c r="M362" s="247" t="str">
        <f ca="1">IF(C362="","",IF($M$11="ROE",[1]!S_STM07_IS(D362,61,$G$5,$H$13)/[1]!S_STM07_BS(D362,141,$G$5,$H$13),([1]!S_STM07_BS(D362,25,$G$5,$H$13)-[1]!S_STM07_BS(D362,93,$G$5,$H$13))/$E$5))</f>
        <v/>
      </c>
      <c r="N362" s="247" t="str">
        <f ca="1">IF(C362="","",IF($N$11="EPS",[1]!S_STM07_IS(D362,61,$G$5,$H$13)/IF([1]!S_SHARE_TOTAL(D362,$G$5)=0,[1]!S_SHARE_TOTAL(D362,[1]!s_ipo_listeddate(D362)),[1]!S_SHARE_TOTAL(D362,$G$5)),([1]!S_STM07_BS(D362,75,$G$5,$H$13)+[1]!S_STM07_BS(D362,88,$G$5,$H$13)+[1]!S_STM07_BS(D362,94,$G$5,$H$13)+[1]!S_STM07_BS(D362,95,$G$5,$H$13))/$E$5))</f>
        <v/>
      </c>
      <c r="O362" s="247" t="str">
        <f ca="1">IF(C362="","",IF($O$11="BPS",[1]!S_STM07_BS(D362,141,$G$5,$H$13)/IF([1]!S_SHARE_TOTAL(D362,$G$5)=0,[1]!S_SHARE_TOTAL(D362,[1]!s_ipo_listeddate(D362)),[1]!S_SHARE_TOTAL(D362,$G$5)),[1]!S_STM07_CS(D362,49,$G$5,$H$13)/$E$5))</f>
        <v/>
      </c>
      <c r="P362" s="247" t="str">
        <f ca="1">IF(C362="","",IF($P$11="CFPS",[1]!S_STM07_CS(D362,84,$G$5,$H$13)/IF([1]!S_SHARE_TOTAL(D362,$G$5)=0,[1]!S_SHARE_TOTAL(D362,[1]!s_ipo_listeddate(D362)),[1]!S_SHARE_TOTAL(D362,$G$5)),[1]!S_STM07_CS(D362,84,$G$5,$H$13)/$E$5))</f>
        <v/>
      </c>
      <c r="Q362" s="248" t="str">
        <f ca="1">IF(C362="","",F362/([1]!S_STM07_IS(D362,61,$G$5,$H$13)/IF([1]!S_SHARE_TOTAL(D362,$G$5)=0,[1]!S_SHARE_TOTAL(D362,[1]!s_ipo_listeddate(D362)),[1]!S_SHARE_TOTAL(D362,$G$5))))</f>
        <v/>
      </c>
      <c r="R362" s="248" t="str">
        <f ca="1">IF(C362="","",F362/([1]!S_STM07_BS(D362,141,$G$5,$H$13)/IF([1]!S_SHARE_TOTAL(D362,$G$5)=0,[1]!S_SHARE_TOTAL(D362,[1]!s_ipo_listeddate(D362)),[1]!S_SHARE_TOTAL(D362,$G$5))))</f>
        <v/>
      </c>
      <c r="S362" s="247" t="str">
        <f ca="1">IF(C362="","",[1]!S_SHARE_TOTAL(D362,TODAY())/$E$5)</f>
        <v/>
      </c>
      <c r="T362" s="247" t="str">
        <f t="shared" ca="1" si="43"/>
        <v/>
      </c>
      <c r="U362" s="218" t="str">
        <f t="shared" ca="1" si="44"/>
        <v/>
      </c>
      <c r="V362" s="342" t="str">
        <f t="shared" ca="1" si="45"/>
        <v/>
      </c>
      <c r="W362" s="139"/>
      <c r="Y362" s="1"/>
    </row>
    <row r="363" spans="3:25" ht="12" customHeight="1">
      <c r="C363" s="343" t="str">
        <f t="shared" ca="1" si="40"/>
        <v/>
      </c>
      <c r="D363" s="124" t="str">
        <f t="shared" ca="1" si="41"/>
        <v/>
      </c>
      <c r="E363" s="124" t="str">
        <f t="shared" ca="1" si="42"/>
        <v/>
      </c>
      <c r="F363" s="172" t="str">
        <f ca="1">IF(C363="","",[1]!S_DQ_CLOSE(D363,TODAY(),1))</f>
        <v/>
      </c>
      <c r="G363" s="173" t="str">
        <f ca="1">IF(C363="","",[1]!s_pq_pctchange(D363,TODAY()-$G$12,TODAY())/100)</f>
        <v/>
      </c>
      <c r="H363" s="249" t="str">
        <f ca="1">IF(C363="","",IF($H$11="收入",[1]!S_STM07_IS(D363,9,$G$5,$H$13)/$E$5,[1]!S_STM07_IS(D363,48,$G$5,$H$13)/$E$5))</f>
        <v/>
      </c>
      <c r="I363" s="249" t="str">
        <f ca="1">IF(C363="","",IF($I$11="毛利率",([1]!S_STM07_IS(D363,9,$G$5,$H$13)-[1]!S_STM07_IS(D363,10,$G$5,$H$13))/[1]!S_STM07_IS(D363,9,$G$5,$H$13),[1]!S_STM07_IS(D363,14,$G$5,$H$13)/$E$5))</f>
        <v/>
      </c>
      <c r="J363" s="249" t="str">
        <f ca="1">IF(C363="","",IF($J$11="营业利润率",[1]!S_STM07_IS(D363,48,$G$5,$H$13)/[1]!S_STM07_IS(D363,9,$G$5,$H$13),([1]!S_STM07_CS(D363,87,$G$5,$H$13)+[1]!S_STM07_CS(D363,88,$G$5,$H$13)+[1]!S_STM07_CS(D363,89,$G$5,$H$13))/$E$5))</f>
        <v/>
      </c>
      <c r="K363" s="249" t="str">
        <f ca="1">IF(C363="","",IF($K$11="净利润率",[1]!S_STM07_IS(D363,61,$G$5,$H$13)/[1]!S_STM07_IS(D363,9,$G$5,$H$13),[1]!S_STM07_IS(D363,55,$G$5,$H$13)/$E$5))</f>
        <v/>
      </c>
      <c r="L363" s="249" t="str">
        <f ca="1">IF(C363="","",IF($L$11="ROA",[1]!S_STM07_IS(D363,61,$G$5,$H$13)/[1]!S_STM07_BS(D363,74,$G$5,$H$13),1-[1]!S_STM07_IS(D363,61,$G$5,$H$13)/[1]!S_STM07_IS(D363,55,$G$5,$H$13)))</f>
        <v/>
      </c>
      <c r="M363" s="249" t="str">
        <f ca="1">IF(C363="","",IF($M$11="ROE",[1]!S_STM07_IS(D363,61,$G$5,$H$13)/[1]!S_STM07_BS(D363,141,$G$5,$H$13),([1]!S_STM07_BS(D363,25,$G$5,$H$13)-[1]!S_STM07_BS(D363,93,$G$5,$H$13))/$E$5))</f>
        <v/>
      </c>
      <c r="N363" s="250" t="str">
        <f ca="1">IF(C363="","",IF($N$11="EPS",[1]!S_STM07_IS(D363,61,$G$5,$H$13)/IF([1]!S_SHARE_TOTAL(D363,$G$5)=0,[1]!S_SHARE_TOTAL(D363,[1]!s_ipo_listeddate(D363)),[1]!S_SHARE_TOTAL(D363,$G$5)),([1]!S_STM07_BS(D363,75,$G$5,$H$13)+[1]!S_STM07_BS(D363,88,$G$5,$H$13)+[1]!S_STM07_BS(D363,94,$G$5,$H$13)+[1]!S_STM07_BS(D363,95,$G$5,$H$13))/$E$5))</f>
        <v/>
      </c>
      <c r="O363" s="250" t="str">
        <f ca="1">IF(C363="","",IF($O$11="BPS",[1]!S_STM07_BS(D363,141,$G$5,$H$13)/IF([1]!S_SHARE_TOTAL(D363,$G$5)=0,[1]!S_SHARE_TOTAL(D363,[1]!s_ipo_listeddate(D363)),[1]!S_SHARE_TOTAL(D363,$G$5)),[1]!S_STM07_CS(D363,49,$G$5,$H$13)/$E$5))</f>
        <v/>
      </c>
      <c r="P363" s="250" t="str">
        <f ca="1">IF(C363="","",IF($P$11="CFPS",[1]!S_STM07_CS(D363,84,$G$5,$H$13)/IF([1]!S_SHARE_TOTAL(D363,$G$5)=0,[1]!S_SHARE_TOTAL(D363,[1]!s_ipo_listeddate(D363)),[1]!S_SHARE_TOTAL(D363,$G$5)),[1]!S_STM07_CS(D363,84,$G$5,$H$13)/$E$5))</f>
        <v/>
      </c>
      <c r="Q363" s="198" t="str">
        <f ca="1">IF(C363="","",F363/([1]!S_STM07_IS(D363,61,$G$5,$H$13)/IF([1]!S_SHARE_TOTAL(D363,$G$5)=0,[1]!S_SHARE_TOTAL(D363,[1]!s_ipo_listeddate(D363)),[1]!S_SHARE_TOTAL(D363,$G$5))))</f>
        <v/>
      </c>
      <c r="R363" s="198" t="str">
        <f ca="1">IF(C363="","",F363/([1]!S_STM07_BS(D363,141,$G$5,$H$13)/IF([1]!S_SHARE_TOTAL(D363,$G$5)=0,[1]!S_SHARE_TOTAL(D363,[1]!s_ipo_listeddate(D363)),[1]!S_SHARE_TOTAL(D363,$G$5))))</f>
        <v/>
      </c>
      <c r="S363" s="249" t="str">
        <f ca="1">IF(C363="","",[1]!S_SHARE_TOTAL(D363,TODAY())/$E$5)</f>
        <v/>
      </c>
      <c r="T363" s="249" t="str">
        <f t="shared" ca="1" si="43"/>
        <v/>
      </c>
      <c r="U363" s="172" t="str">
        <f t="shared" ca="1" si="44"/>
        <v/>
      </c>
      <c r="V363" s="343" t="str">
        <f t="shared" ca="1" si="45"/>
        <v/>
      </c>
      <c r="W363" s="139"/>
      <c r="Y363" s="1"/>
    </row>
    <row r="364" spans="3:25" ht="12" customHeight="1">
      <c r="C364" s="342" t="str">
        <f t="shared" ca="1" si="40"/>
        <v/>
      </c>
      <c r="D364" s="153" t="str">
        <f t="shared" ca="1" si="41"/>
        <v/>
      </c>
      <c r="E364" s="153" t="str">
        <f t="shared" ca="1" si="42"/>
        <v/>
      </c>
      <c r="F364" s="170" t="str">
        <f ca="1">IF(C364="","",[1]!S_DQ_CLOSE(D364,TODAY(),1))</f>
        <v/>
      </c>
      <c r="G364" s="171" t="str">
        <f ca="1">IF(C364="","",[1]!s_pq_pctchange(D364,TODAY()-$G$12,TODAY())/100)</f>
        <v/>
      </c>
      <c r="H364" s="247" t="str">
        <f ca="1">IF(C364="","",IF($H$11="收入",[1]!S_STM07_IS(D364,9,$G$5,$H$13)/$E$5,[1]!S_STM07_IS(D364,48,$G$5,$H$13)/$E$5))</f>
        <v/>
      </c>
      <c r="I364" s="247" t="str">
        <f ca="1">IF(C364="","",IF($I$11="毛利率",([1]!S_STM07_IS(D364,9,$G$5,$H$13)-[1]!S_STM07_IS(D364,10,$G$5,$H$13))/[1]!S_STM07_IS(D364,9,$G$5,$H$13),[1]!S_STM07_IS(D364,14,$G$5,$H$13)/$E$5))</f>
        <v/>
      </c>
      <c r="J364" s="247" t="str">
        <f ca="1">IF(C364="","",IF($J$11="营业利润率",[1]!S_STM07_IS(D364,48,$G$5,$H$13)/[1]!S_STM07_IS(D364,9,$G$5,$H$13),([1]!S_STM07_CS(D364,87,$G$5,$H$13)+[1]!S_STM07_CS(D364,88,$G$5,$H$13)+[1]!S_STM07_CS(D364,89,$G$5,$H$13))/$E$5))</f>
        <v/>
      </c>
      <c r="K364" s="247" t="str">
        <f ca="1">IF(C364="","",IF($K$11="净利润率",[1]!S_STM07_IS(D364,61,$G$5,$H$13)/[1]!S_STM07_IS(D364,9,$G$5,$H$13),[1]!S_STM07_IS(D364,55,$G$5,$H$13)/$E$5))</f>
        <v/>
      </c>
      <c r="L364" s="247" t="str">
        <f ca="1">IF(C364="","",IF($L$11="ROA",[1]!S_STM07_IS(D364,61,$G$5,$H$13)/[1]!S_STM07_BS(D364,74,$G$5,$H$13),1-[1]!S_STM07_IS(D364,61,$G$5,$H$13)/[1]!S_STM07_IS(D364,55,$G$5,$H$13)))</f>
        <v/>
      </c>
      <c r="M364" s="247" t="str">
        <f ca="1">IF(C364="","",IF($M$11="ROE",[1]!S_STM07_IS(D364,61,$G$5,$H$13)/[1]!S_STM07_BS(D364,141,$G$5,$H$13),([1]!S_STM07_BS(D364,25,$G$5,$H$13)-[1]!S_STM07_BS(D364,93,$G$5,$H$13))/$E$5))</f>
        <v/>
      </c>
      <c r="N364" s="247" t="str">
        <f ca="1">IF(C364="","",IF($N$11="EPS",[1]!S_STM07_IS(D364,61,$G$5,$H$13)/IF([1]!S_SHARE_TOTAL(D364,$G$5)=0,[1]!S_SHARE_TOTAL(D364,[1]!s_ipo_listeddate(D364)),[1]!S_SHARE_TOTAL(D364,$G$5)),([1]!S_STM07_BS(D364,75,$G$5,$H$13)+[1]!S_STM07_BS(D364,88,$G$5,$H$13)+[1]!S_STM07_BS(D364,94,$G$5,$H$13)+[1]!S_STM07_BS(D364,95,$G$5,$H$13))/$E$5))</f>
        <v/>
      </c>
      <c r="O364" s="247" t="str">
        <f ca="1">IF(C364="","",IF($O$11="BPS",[1]!S_STM07_BS(D364,141,$G$5,$H$13)/IF([1]!S_SHARE_TOTAL(D364,$G$5)=0,[1]!S_SHARE_TOTAL(D364,[1]!s_ipo_listeddate(D364)),[1]!S_SHARE_TOTAL(D364,$G$5)),[1]!S_STM07_CS(D364,49,$G$5,$H$13)/$E$5))</f>
        <v/>
      </c>
      <c r="P364" s="247" t="str">
        <f ca="1">IF(C364="","",IF($P$11="CFPS",[1]!S_STM07_CS(D364,84,$G$5,$H$13)/IF([1]!S_SHARE_TOTAL(D364,$G$5)=0,[1]!S_SHARE_TOTAL(D364,[1]!s_ipo_listeddate(D364)),[1]!S_SHARE_TOTAL(D364,$G$5)),[1]!S_STM07_CS(D364,84,$G$5,$H$13)/$E$5))</f>
        <v/>
      </c>
      <c r="Q364" s="248" t="str">
        <f ca="1">IF(C364="","",F364/([1]!S_STM07_IS(D364,61,$G$5,$H$13)/IF([1]!S_SHARE_TOTAL(D364,$G$5)=0,[1]!S_SHARE_TOTAL(D364,[1]!s_ipo_listeddate(D364)),[1]!S_SHARE_TOTAL(D364,$G$5))))</f>
        <v/>
      </c>
      <c r="R364" s="248" t="str">
        <f ca="1">IF(C364="","",F364/([1]!S_STM07_BS(D364,141,$G$5,$H$13)/IF([1]!S_SHARE_TOTAL(D364,$G$5)=0,[1]!S_SHARE_TOTAL(D364,[1]!s_ipo_listeddate(D364)),[1]!S_SHARE_TOTAL(D364,$G$5))))</f>
        <v/>
      </c>
      <c r="S364" s="247" t="str">
        <f ca="1">IF(C364="","",[1]!S_SHARE_TOTAL(D364,TODAY())/$E$5)</f>
        <v/>
      </c>
      <c r="T364" s="247" t="str">
        <f t="shared" ca="1" si="43"/>
        <v/>
      </c>
      <c r="U364" s="218" t="str">
        <f t="shared" ca="1" si="44"/>
        <v/>
      </c>
      <c r="V364" s="342" t="str">
        <f t="shared" ca="1" si="45"/>
        <v/>
      </c>
      <c r="W364" s="139"/>
      <c r="Y364" s="1"/>
    </row>
    <row r="365" spans="3:25" ht="12" customHeight="1">
      <c r="C365" s="343" t="str">
        <f t="shared" ca="1" si="40"/>
        <v/>
      </c>
      <c r="D365" s="124" t="str">
        <f t="shared" ca="1" si="41"/>
        <v/>
      </c>
      <c r="E365" s="124" t="str">
        <f t="shared" ca="1" si="42"/>
        <v/>
      </c>
      <c r="F365" s="172" t="str">
        <f ca="1">IF(C365="","",[1]!S_DQ_CLOSE(D365,TODAY(),1))</f>
        <v/>
      </c>
      <c r="G365" s="173" t="str">
        <f ca="1">IF(C365="","",[1]!s_pq_pctchange(D365,TODAY()-$G$12,TODAY())/100)</f>
        <v/>
      </c>
      <c r="H365" s="249" t="str">
        <f ca="1">IF(C365="","",IF($H$11="收入",[1]!S_STM07_IS(D365,9,$G$5,$H$13)/$E$5,[1]!S_STM07_IS(D365,48,$G$5,$H$13)/$E$5))</f>
        <v/>
      </c>
      <c r="I365" s="249" t="str">
        <f ca="1">IF(C365="","",IF($I$11="毛利率",([1]!S_STM07_IS(D365,9,$G$5,$H$13)-[1]!S_STM07_IS(D365,10,$G$5,$H$13))/[1]!S_STM07_IS(D365,9,$G$5,$H$13),[1]!S_STM07_IS(D365,14,$G$5,$H$13)/$E$5))</f>
        <v/>
      </c>
      <c r="J365" s="249" t="str">
        <f ca="1">IF(C365="","",IF($J$11="营业利润率",[1]!S_STM07_IS(D365,48,$G$5,$H$13)/[1]!S_STM07_IS(D365,9,$G$5,$H$13),([1]!S_STM07_CS(D365,87,$G$5,$H$13)+[1]!S_STM07_CS(D365,88,$G$5,$H$13)+[1]!S_STM07_CS(D365,89,$G$5,$H$13))/$E$5))</f>
        <v/>
      </c>
      <c r="K365" s="249" t="str">
        <f ca="1">IF(C365="","",IF($K$11="净利润率",[1]!S_STM07_IS(D365,61,$G$5,$H$13)/[1]!S_STM07_IS(D365,9,$G$5,$H$13),[1]!S_STM07_IS(D365,55,$G$5,$H$13)/$E$5))</f>
        <v/>
      </c>
      <c r="L365" s="249" t="str">
        <f ca="1">IF(C365="","",IF($L$11="ROA",[1]!S_STM07_IS(D365,61,$G$5,$H$13)/[1]!S_STM07_BS(D365,74,$G$5,$H$13),1-[1]!S_STM07_IS(D365,61,$G$5,$H$13)/[1]!S_STM07_IS(D365,55,$G$5,$H$13)))</f>
        <v/>
      </c>
      <c r="M365" s="249" t="str">
        <f ca="1">IF(C365="","",IF($M$11="ROE",[1]!S_STM07_IS(D365,61,$G$5,$H$13)/[1]!S_STM07_BS(D365,141,$G$5,$H$13),([1]!S_STM07_BS(D365,25,$G$5,$H$13)-[1]!S_STM07_BS(D365,93,$G$5,$H$13))/$E$5))</f>
        <v/>
      </c>
      <c r="N365" s="250" t="str">
        <f ca="1">IF(C365="","",IF($N$11="EPS",[1]!S_STM07_IS(D365,61,$G$5,$H$13)/IF([1]!S_SHARE_TOTAL(D365,$G$5)=0,[1]!S_SHARE_TOTAL(D365,[1]!s_ipo_listeddate(D365)),[1]!S_SHARE_TOTAL(D365,$G$5)),([1]!S_STM07_BS(D365,75,$G$5,$H$13)+[1]!S_STM07_BS(D365,88,$G$5,$H$13)+[1]!S_STM07_BS(D365,94,$G$5,$H$13)+[1]!S_STM07_BS(D365,95,$G$5,$H$13))/$E$5))</f>
        <v/>
      </c>
      <c r="O365" s="250" t="str">
        <f ca="1">IF(C365="","",IF($O$11="BPS",[1]!S_STM07_BS(D365,141,$G$5,$H$13)/IF([1]!S_SHARE_TOTAL(D365,$G$5)=0,[1]!S_SHARE_TOTAL(D365,[1]!s_ipo_listeddate(D365)),[1]!S_SHARE_TOTAL(D365,$G$5)),[1]!S_STM07_CS(D365,49,$G$5,$H$13)/$E$5))</f>
        <v/>
      </c>
      <c r="P365" s="250" t="str">
        <f ca="1">IF(C365="","",IF($P$11="CFPS",[1]!S_STM07_CS(D365,84,$G$5,$H$13)/IF([1]!S_SHARE_TOTAL(D365,$G$5)=0,[1]!S_SHARE_TOTAL(D365,[1]!s_ipo_listeddate(D365)),[1]!S_SHARE_TOTAL(D365,$G$5)),[1]!S_STM07_CS(D365,84,$G$5,$H$13)/$E$5))</f>
        <v/>
      </c>
      <c r="Q365" s="198" t="str">
        <f ca="1">IF(C365="","",F365/([1]!S_STM07_IS(D365,61,$G$5,$H$13)/IF([1]!S_SHARE_TOTAL(D365,$G$5)=0,[1]!S_SHARE_TOTAL(D365,[1]!s_ipo_listeddate(D365)),[1]!S_SHARE_TOTAL(D365,$G$5))))</f>
        <v/>
      </c>
      <c r="R365" s="198" t="str">
        <f ca="1">IF(C365="","",F365/([1]!S_STM07_BS(D365,141,$G$5,$H$13)/IF([1]!S_SHARE_TOTAL(D365,$G$5)=0,[1]!S_SHARE_TOTAL(D365,[1]!s_ipo_listeddate(D365)),[1]!S_SHARE_TOTAL(D365,$G$5))))</f>
        <v/>
      </c>
      <c r="S365" s="249" t="str">
        <f ca="1">IF(C365="","",[1]!S_SHARE_TOTAL(D365,TODAY())/$E$5)</f>
        <v/>
      </c>
      <c r="T365" s="249" t="str">
        <f t="shared" ca="1" si="43"/>
        <v/>
      </c>
      <c r="U365" s="172" t="str">
        <f t="shared" ca="1" si="44"/>
        <v/>
      </c>
      <c r="V365" s="343" t="str">
        <f t="shared" ca="1" si="45"/>
        <v/>
      </c>
      <c r="W365" s="139"/>
      <c r="Y365" s="1"/>
    </row>
    <row r="366" spans="3:25" ht="12" customHeight="1">
      <c r="C366" s="342" t="str">
        <f t="shared" ca="1" si="40"/>
        <v/>
      </c>
      <c r="D366" s="153" t="str">
        <f t="shared" ca="1" si="41"/>
        <v/>
      </c>
      <c r="E366" s="153" t="str">
        <f t="shared" ca="1" si="42"/>
        <v/>
      </c>
      <c r="F366" s="170" t="str">
        <f ca="1">IF(C366="","",[1]!S_DQ_CLOSE(D366,TODAY(),1))</f>
        <v/>
      </c>
      <c r="G366" s="171" t="str">
        <f ca="1">IF(C366="","",[1]!s_pq_pctchange(D366,TODAY()-$G$12,TODAY())/100)</f>
        <v/>
      </c>
      <c r="H366" s="247" t="str">
        <f ca="1">IF(C366="","",IF($H$11="收入",[1]!S_STM07_IS(D366,9,$G$5,$H$13)/$E$5,[1]!S_STM07_IS(D366,48,$G$5,$H$13)/$E$5))</f>
        <v/>
      </c>
      <c r="I366" s="247" t="str">
        <f ca="1">IF(C366="","",IF($I$11="毛利率",([1]!S_STM07_IS(D366,9,$G$5,$H$13)-[1]!S_STM07_IS(D366,10,$G$5,$H$13))/[1]!S_STM07_IS(D366,9,$G$5,$H$13),[1]!S_STM07_IS(D366,14,$G$5,$H$13)/$E$5))</f>
        <v/>
      </c>
      <c r="J366" s="247" t="str">
        <f ca="1">IF(C366="","",IF($J$11="营业利润率",[1]!S_STM07_IS(D366,48,$G$5,$H$13)/[1]!S_STM07_IS(D366,9,$G$5,$H$13),([1]!S_STM07_CS(D366,87,$G$5,$H$13)+[1]!S_STM07_CS(D366,88,$G$5,$H$13)+[1]!S_STM07_CS(D366,89,$G$5,$H$13))/$E$5))</f>
        <v/>
      </c>
      <c r="K366" s="247" t="str">
        <f ca="1">IF(C366="","",IF($K$11="净利润率",[1]!S_STM07_IS(D366,61,$G$5,$H$13)/[1]!S_STM07_IS(D366,9,$G$5,$H$13),[1]!S_STM07_IS(D366,55,$G$5,$H$13)/$E$5))</f>
        <v/>
      </c>
      <c r="L366" s="247" t="str">
        <f ca="1">IF(C366="","",IF($L$11="ROA",[1]!S_STM07_IS(D366,61,$G$5,$H$13)/[1]!S_STM07_BS(D366,74,$G$5,$H$13),1-[1]!S_STM07_IS(D366,61,$G$5,$H$13)/[1]!S_STM07_IS(D366,55,$G$5,$H$13)))</f>
        <v/>
      </c>
      <c r="M366" s="247" t="str">
        <f ca="1">IF(C366="","",IF($M$11="ROE",[1]!S_STM07_IS(D366,61,$G$5,$H$13)/[1]!S_STM07_BS(D366,141,$G$5,$H$13),([1]!S_STM07_BS(D366,25,$G$5,$H$13)-[1]!S_STM07_BS(D366,93,$G$5,$H$13))/$E$5))</f>
        <v/>
      </c>
      <c r="N366" s="247" t="str">
        <f ca="1">IF(C366="","",IF($N$11="EPS",[1]!S_STM07_IS(D366,61,$G$5,$H$13)/IF([1]!S_SHARE_TOTAL(D366,$G$5)=0,[1]!S_SHARE_TOTAL(D366,[1]!s_ipo_listeddate(D366)),[1]!S_SHARE_TOTAL(D366,$G$5)),([1]!S_STM07_BS(D366,75,$G$5,$H$13)+[1]!S_STM07_BS(D366,88,$G$5,$H$13)+[1]!S_STM07_BS(D366,94,$G$5,$H$13)+[1]!S_STM07_BS(D366,95,$G$5,$H$13))/$E$5))</f>
        <v/>
      </c>
      <c r="O366" s="247" t="str">
        <f ca="1">IF(C366="","",IF($O$11="BPS",[1]!S_STM07_BS(D366,141,$G$5,$H$13)/IF([1]!S_SHARE_TOTAL(D366,$G$5)=0,[1]!S_SHARE_TOTAL(D366,[1]!s_ipo_listeddate(D366)),[1]!S_SHARE_TOTAL(D366,$G$5)),[1]!S_STM07_CS(D366,49,$G$5,$H$13)/$E$5))</f>
        <v/>
      </c>
      <c r="P366" s="247" t="str">
        <f ca="1">IF(C366="","",IF($P$11="CFPS",[1]!S_STM07_CS(D366,84,$G$5,$H$13)/IF([1]!S_SHARE_TOTAL(D366,$G$5)=0,[1]!S_SHARE_TOTAL(D366,[1]!s_ipo_listeddate(D366)),[1]!S_SHARE_TOTAL(D366,$G$5)),[1]!S_STM07_CS(D366,84,$G$5,$H$13)/$E$5))</f>
        <v/>
      </c>
      <c r="Q366" s="248" t="str">
        <f ca="1">IF(C366="","",F366/([1]!S_STM07_IS(D366,61,$G$5,$H$13)/IF([1]!S_SHARE_TOTAL(D366,$G$5)=0,[1]!S_SHARE_TOTAL(D366,[1]!s_ipo_listeddate(D366)),[1]!S_SHARE_TOTAL(D366,$G$5))))</f>
        <v/>
      </c>
      <c r="R366" s="248" t="str">
        <f ca="1">IF(C366="","",F366/([1]!S_STM07_BS(D366,141,$G$5,$H$13)/IF([1]!S_SHARE_TOTAL(D366,$G$5)=0,[1]!S_SHARE_TOTAL(D366,[1]!s_ipo_listeddate(D366)),[1]!S_SHARE_TOTAL(D366,$G$5))))</f>
        <v/>
      </c>
      <c r="S366" s="247" t="str">
        <f ca="1">IF(C366="","",[1]!S_SHARE_TOTAL(D366,TODAY())/$E$5)</f>
        <v/>
      </c>
      <c r="T366" s="247" t="str">
        <f t="shared" ca="1" si="43"/>
        <v/>
      </c>
      <c r="U366" s="218" t="str">
        <f t="shared" ca="1" si="44"/>
        <v/>
      </c>
      <c r="V366" s="342" t="str">
        <f t="shared" ca="1" si="45"/>
        <v/>
      </c>
      <c r="W366" s="139"/>
      <c r="Y366" s="1"/>
    </row>
    <row r="367" spans="3:25" ht="12" customHeight="1">
      <c r="C367" s="343" t="str">
        <f t="shared" ca="1" si="40"/>
        <v/>
      </c>
      <c r="D367" s="124" t="str">
        <f t="shared" ca="1" si="41"/>
        <v/>
      </c>
      <c r="E367" s="124" t="str">
        <f t="shared" ca="1" si="42"/>
        <v/>
      </c>
      <c r="F367" s="172" t="str">
        <f ca="1">IF(C367="","",[1]!S_DQ_CLOSE(D367,TODAY(),1))</f>
        <v/>
      </c>
      <c r="G367" s="173" t="str">
        <f ca="1">IF(C367="","",[1]!s_pq_pctchange(D367,TODAY()-$G$12,TODAY())/100)</f>
        <v/>
      </c>
      <c r="H367" s="249" t="str">
        <f ca="1">IF(C367="","",IF($H$11="收入",[1]!S_STM07_IS(D367,9,$G$5,$H$13)/$E$5,[1]!S_STM07_IS(D367,48,$G$5,$H$13)/$E$5))</f>
        <v/>
      </c>
      <c r="I367" s="249" t="str">
        <f ca="1">IF(C367="","",IF($I$11="毛利率",([1]!S_STM07_IS(D367,9,$G$5,$H$13)-[1]!S_STM07_IS(D367,10,$G$5,$H$13))/[1]!S_STM07_IS(D367,9,$G$5,$H$13),[1]!S_STM07_IS(D367,14,$G$5,$H$13)/$E$5))</f>
        <v/>
      </c>
      <c r="J367" s="249" t="str">
        <f ca="1">IF(C367="","",IF($J$11="营业利润率",[1]!S_STM07_IS(D367,48,$G$5,$H$13)/[1]!S_STM07_IS(D367,9,$G$5,$H$13),([1]!S_STM07_CS(D367,87,$G$5,$H$13)+[1]!S_STM07_CS(D367,88,$G$5,$H$13)+[1]!S_STM07_CS(D367,89,$G$5,$H$13))/$E$5))</f>
        <v/>
      </c>
      <c r="K367" s="249" t="str">
        <f ca="1">IF(C367="","",IF($K$11="净利润率",[1]!S_STM07_IS(D367,61,$G$5,$H$13)/[1]!S_STM07_IS(D367,9,$G$5,$H$13),[1]!S_STM07_IS(D367,55,$G$5,$H$13)/$E$5))</f>
        <v/>
      </c>
      <c r="L367" s="249" t="str">
        <f ca="1">IF(C367="","",IF($L$11="ROA",[1]!S_STM07_IS(D367,61,$G$5,$H$13)/[1]!S_STM07_BS(D367,74,$G$5,$H$13),1-[1]!S_STM07_IS(D367,61,$G$5,$H$13)/[1]!S_STM07_IS(D367,55,$G$5,$H$13)))</f>
        <v/>
      </c>
      <c r="M367" s="249" t="str">
        <f ca="1">IF(C367="","",IF($M$11="ROE",[1]!S_STM07_IS(D367,61,$G$5,$H$13)/[1]!S_STM07_BS(D367,141,$G$5,$H$13),([1]!S_STM07_BS(D367,25,$G$5,$H$13)-[1]!S_STM07_BS(D367,93,$G$5,$H$13))/$E$5))</f>
        <v/>
      </c>
      <c r="N367" s="250" t="str">
        <f ca="1">IF(C367="","",IF($N$11="EPS",[1]!S_STM07_IS(D367,61,$G$5,$H$13)/IF([1]!S_SHARE_TOTAL(D367,$G$5)=0,[1]!S_SHARE_TOTAL(D367,[1]!s_ipo_listeddate(D367)),[1]!S_SHARE_TOTAL(D367,$G$5)),([1]!S_STM07_BS(D367,75,$G$5,$H$13)+[1]!S_STM07_BS(D367,88,$G$5,$H$13)+[1]!S_STM07_BS(D367,94,$G$5,$H$13)+[1]!S_STM07_BS(D367,95,$G$5,$H$13))/$E$5))</f>
        <v/>
      </c>
      <c r="O367" s="250" t="str">
        <f ca="1">IF(C367="","",IF($O$11="BPS",[1]!S_STM07_BS(D367,141,$G$5,$H$13)/IF([1]!S_SHARE_TOTAL(D367,$G$5)=0,[1]!S_SHARE_TOTAL(D367,[1]!s_ipo_listeddate(D367)),[1]!S_SHARE_TOTAL(D367,$G$5)),[1]!S_STM07_CS(D367,49,$G$5,$H$13)/$E$5))</f>
        <v/>
      </c>
      <c r="P367" s="250" t="str">
        <f ca="1">IF(C367="","",IF($P$11="CFPS",[1]!S_STM07_CS(D367,84,$G$5,$H$13)/IF([1]!S_SHARE_TOTAL(D367,$G$5)=0,[1]!S_SHARE_TOTAL(D367,[1]!s_ipo_listeddate(D367)),[1]!S_SHARE_TOTAL(D367,$G$5)),[1]!S_STM07_CS(D367,84,$G$5,$H$13)/$E$5))</f>
        <v/>
      </c>
      <c r="Q367" s="198" t="str">
        <f ca="1">IF(C367="","",F367/([1]!S_STM07_IS(D367,61,$G$5,$H$13)/IF([1]!S_SHARE_TOTAL(D367,$G$5)=0,[1]!S_SHARE_TOTAL(D367,[1]!s_ipo_listeddate(D367)),[1]!S_SHARE_TOTAL(D367,$G$5))))</f>
        <v/>
      </c>
      <c r="R367" s="198" t="str">
        <f ca="1">IF(C367="","",F367/([1]!S_STM07_BS(D367,141,$G$5,$H$13)/IF([1]!S_SHARE_TOTAL(D367,$G$5)=0,[1]!S_SHARE_TOTAL(D367,[1]!s_ipo_listeddate(D367)),[1]!S_SHARE_TOTAL(D367,$G$5))))</f>
        <v/>
      </c>
      <c r="S367" s="249" t="str">
        <f ca="1">IF(C367="","",[1]!S_SHARE_TOTAL(D367,TODAY())/$E$5)</f>
        <v/>
      </c>
      <c r="T367" s="249" t="str">
        <f t="shared" ca="1" si="43"/>
        <v/>
      </c>
      <c r="U367" s="172" t="str">
        <f t="shared" ca="1" si="44"/>
        <v/>
      </c>
      <c r="V367" s="343" t="str">
        <f t="shared" ca="1" si="45"/>
        <v/>
      </c>
      <c r="W367" s="139"/>
      <c r="Y367" s="1"/>
    </row>
    <row r="368" spans="3:25" ht="12" customHeight="1">
      <c r="C368" s="342" t="str">
        <f t="shared" ca="1" si="40"/>
        <v/>
      </c>
      <c r="D368" s="153" t="str">
        <f t="shared" ca="1" si="41"/>
        <v/>
      </c>
      <c r="E368" s="153" t="str">
        <f t="shared" ca="1" si="42"/>
        <v/>
      </c>
      <c r="F368" s="170" t="str">
        <f ca="1">IF(C368="","",[1]!S_DQ_CLOSE(D368,TODAY(),1))</f>
        <v/>
      </c>
      <c r="G368" s="171" t="str">
        <f ca="1">IF(C368="","",[1]!s_pq_pctchange(D368,TODAY()-$G$12,TODAY())/100)</f>
        <v/>
      </c>
      <c r="H368" s="247" t="str">
        <f ca="1">IF(C368="","",IF($H$11="收入",[1]!S_STM07_IS(D368,9,$G$5,$H$13)/$E$5,[1]!S_STM07_IS(D368,48,$G$5,$H$13)/$E$5))</f>
        <v/>
      </c>
      <c r="I368" s="247" t="str">
        <f ca="1">IF(C368="","",IF($I$11="毛利率",([1]!S_STM07_IS(D368,9,$G$5,$H$13)-[1]!S_STM07_IS(D368,10,$G$5,$H$13))/[1]!S_STM07_IS(D368,9,$G$5,$H$13),[1]!S_STM07_IS(D368,14,$G$5,$H$13)/$E$5))</f>
        <v/>
      </c>
      <c r="J368" s="247" t="str">
        <f ca="1">IF(C368="","",IF($J$11="营业利润率",[1]!S_STM07_IS(D368,48,$G$5,$H$13)/[1]!S_STM07_IS(D368,9,$G$5,$H$13),([1]!S_STM07_CS(D368,87,$G$5,$H$13)+[1]!S_STM07_CS(D368,88,$G$5,$H$13)+[1]!S_STM07_CS(D368,89,$G$5,$H$13))/$E$5))</f>
        <v/>
      </c>
      <c r="K368" s="247" t="str">
        <f ca="1">IF(C368="","",IF($K$11="净利润率",[1]!S_STM07_IS(D368,61,$G$5,$H$13)/[1]!S_STM07_IS(D368,9,$G$5,$H$13),[1]!S_STM07_IS(D368,55,$G$5,$H$13)/$E$5))</f>
        <v/>
      </c>
      <c r="L368" s="247" t="str">
        <f ca="1">IF(C368="","",IF($L$11="ROA",[1]!S_STM07_IS(D368,61,$G$5,$H$13)/[1]!S_STM07_BS(D368,74,$G$5,$H$13),1-[1]!S_STM07_IS(D368,61,$G$5,$H$13)/[1]!S_STM07_IS(D368,55,$G$5,$H$13)))</f>
        <v/>
      </c>
      <c r="M368" s="247" t="str">
        <f ca="1">IF(C368="","",IF($M$11="ROE",[1]!S_STM07_IS(D368,61,$G$5,$H$13)/[1]!S_STM07_BS(D368,141,$G$5,$H$13),([1]!S_STM07_BS(D368,25,$G$5,$H$13)-[1]!S_STM07_BS(D368,93,$G$5,$H$13))/$E$5))</f>
        <v/>
      </c>
      <c r="N368" s="247" t="str">
        <f ca="1">IF(C368="","",IF($N$11="EPS",[1]!S_STM07_IS(D368,61,$G$5,$H$13)/IF([1]!S_SHARE_TOTAL(D368,$G$5)=0,[1]!S_SHARE_TOTAL(D368,[1]!s_ipo_listeddate(D368)),[1]!S_SHARE_TOTAL(D368,$G$5)),([1]!S_STM07_BS(D368,75,$G$5,$H$13)+[1]!S_STM07_BS(D368,88,$G$5,$H$13)+[1]!S_STM07_BS(D368,94,$G$5,$H$13)+[1]!S_STM07_BS(D368,95,$G$5,$H$13))/$E$5))</f>
        <v/>
      </c>
      <c r="O368" s="247" t="str">
        <f ca="1">IF(C368="","",IF($O$11="BPS",[1]!S_STM07_BS(D368,141,$G$5,$H$13)/IF([1]!S_SHARE_TOTAL(D368,$G$5)=0,[1]!S_SHARE_TOTAL(D368,[1]!s_ipo_listeddate(D368)),[1]!S_SHARE_TOTAL(D368,$G$5)),[1]!S_STM07_CS(D368,49,$G$5,$H$13)/$E$5))</f>
        <v/>
      </c>
      <c r="P368" s="247" t="str">
        <f ca="1">IF(C368="","",IF($P$11="CFPS",[1]!S_STM07_CS(D368,84,$G$5,$H$13)/IF([1]!S_SHARE_TOTAL(D368,$G$5)=0,[1]!S_SHARE_TOTAL(D368,[1]!s_ipo_listeddate(D368)),[1]!S_SHARE_TOTAL(D368,$G$5)),[1]!S_STM07_CS(D368,84,$G$5,$H$13)/$E$5))</f>
        <v/>
      </c>
      <c r="Q368" s="248" t="str">
        <f ca="1">IF(C368="","",F368/([1]!S_STM07_IS(D368,61,$G$5,$H$13)/IF([1]!S_SHARE_TOTAL(D368,$G$5)=0,[1]!S_SHARE_TOTAL(D368,[1]!s_ipo_listeddate(D368)),[1]!S_SHARE_TOTAL(D368,$G$5))))</f>
        <v/>
      </c>
      <c r="R368" s="248" t="str">
        <f ca="1">IF(C368="","",F368/([1]!S_STM07_BS(D368,141,$G$5,$H$13)/IF([1]!S_SHARE_TOTAL(D368,$G$5)=0,[1]!S_SHARE_TOTAL(D368,[1]!s_ipo_listeddate(D368)),[1]!S_SHARE_TOTAL(D368,$G$5))))</f>
        <v/>
      </c>
      <c r="S368" s="247" t="str">
        <f ca="1">IF(C368="","",[1]!S_SHARE_TOTAL(D368,TODAY())/$E$5)</f>
        <v/>
      </c>
      <c r="T368" s="247" t="str">
        <f t="shared" ca="1" si="43"/>
        <v/>
      </c>
      <c r="U368" s="218" t="str">
        <f t="shared" ca="1" si="44"/>
        <v/>
      </c>
      <c r="V368" s="342" t="str">
        <f t="shared" ca="1" si="45"/>
        <v/>
      </c>
      <c r="W368" s="139"/>
      <c r="Y368" s="1"/>
    </row>
    <row r="369" spans="3:25" ht="12" customHeight="1">
      <c r="C369" s="343" t="str">
        <f t="shared" ca="1" si="40"/>
        <v/>
      </c>
      <c r="D369" s="124" t="str">
        <f t="shared" ca="1" si="41"/>
        <v/>
      </c>
      <c r="E369" s="124" t="str">
        <f t="shared" ca="1" si="42"/>
        <v/>
      </c>
      <c r="F369" s="172" t="str">
        <f ca="1">IF(C369="","",[1]!S_DQ_CLOSE(D369,TODAY(),1))</f>
        <v/>
      </c>
      <c r="G369" s="173" t="str">
        <f ca="1">IF(C369="","",[1]!s_pq_pctchange(D369,TODAY()-$G$12,TODAY())/100)</f>
        <v/>
      </c>
      <c r="H369" s="249" t="str">
        <f ca="1">IF(C369="","",IF($H$11="收入",[1]!S_STM07_IS(D369,9,$G$5,$H$13)/$E$5,[1]!S_STM07_IS(D369,48,$G$5,$H$13)/$E$5))</f>
        <v/>
      </c>
      <c r="I369" s="249" t="str">
        <f ca="1">IF(C369="","",IF($I$11="毛利率",([1]!S_STM07_IS(D369,9,$G$5,$H$13)-[1]!S_STM07_IS(D369,10,$G$5,$H$13))/[1]!S_STM07_IS(D369,9,$G$5,$H$13),[1]!S_STM07_IS(D369,14,$G$5,$H$13)/$E$5))</f>
        <v/>
      </c>
      <c r="J369" s="249" t="str">
        <f ca="1">IF(C369="","",IF($J$11="营业利润率",[1]!S_STM07_IS(D369,48,$G$5,$H$13)/[1]!S_STM07_IS(D369,9,$G$5,$H$13),([1]!S_STM07_CS(D369,87,$G$5,$H$13)+[1]!S_STM07_CS(D369,88,$G$5,$H$13)+[1]!S_STM07_CS(D369,89,$G$5,$H$13))/$E$5))</f>
        <v/>
      </c>
      <c r="K369" s="249" t="str">
        <f ca="1">IF(C369="","",IF($K$11="净利润率",[1]!S_STM07_IS(D369,61,$G$5,$H$13)/[1]!S_STM07_IS(D369,9,$G$5,$H$13),[1]!S_STM07_IS(D369,55,$G$5,$H$13)/$E$5))</f>
        <v/>
      </c>
      <c r="L369" s="249" t="str">
        <f ca="1">IF(C369="","",IF($L$11="ROA",[1]!S_STM07_IS(D369,61,$G$5,$H$13)/[1]!S_STM07_BS(D369,74,$G$5,$H$13),1-[1]!S_STM07_IS(D369,61,$G$5,$H$13)/[1]!S_STM07_IS(D369,55,$G$5,$H$13)))</f>
        <v/>
      </c>
      <c r="M369" s="249" t="str">
        <f ca="1">IF(C369="","",IF($M$11="ROE",[1]!S_STM07_IS(D369,61,$G$5,$H$13)/[1]!S_STM07_BS(D369,141,$G$5,$H$13),([1]!S_STM07_BS(D369,25,$G$5,$H$13)-[1]!S_STM07_BS(D369,93,$G$5,$H$13))/$E$5))</f>
        <v/>
      </c>
      <c r="N369" s="250" t="str">
        <f ca="1">IF(C369="","",IF($N$11="EPS",[1]!S_STM07_IS(D369,61,$G$5,$H$13)/IF([1]!S_SHARE_TOTAL(D369,$G$5)=0,[1]!S_SHARE_TOTAL(D369,[1]!s_ipo_listeddate(D369)),[1]!S_SHARE_TOTAL(D369,$G$5)),([1]!S_STM07_BS(D369,75,$G$5,$H$13)+[1]!S_STM07_BS(D369,88,$G$5,$H$13)+[1]!S_STM07_BS(D369,94,$G$5,$H$13)+[1]!S_STM07_BS(D369,95,$G$5,$H$13))/$E$5))</f>
        <v/>
      </c>
      <c r="O369" s="250" t="str">
        <f ca="1">IF(C369="","",IF($O$11="BPS",[1]!S_STM07_BS(D369,141,$G$5,$H$13)/IF([1]!S_SHARE_TOTAL(D369,$G$5)=0,[1]!S_SHARE_TOTAL(D369,[1]!s_ipo_listeddate(D369)),[1]!S_SHARE_TOTAL(D369,$G$5)),[1]!S_STM07_CS(D369,49,$G$5,$H$13)/$E$5))</f>
        <v/>
      </c>
      <c r="P369" s="250" t="str">
        <f ca="1">IF(C369="","",IF($P$11="CFPS",[1]!S_STM07_CS(D369,84,$G$5,$H$13)/IF([1]!S_SHARE_TOTAL(D369,$G$5)=0,[1]!S_SHARE_TOTAL(D369,[1]!s_ipo_listeddate(D369)),[1]!S_SHARE_TOTAL(D369,$G$5)),[1]!S_STM07_CS(D369,84,$G$5,$H$13)/$E$5))</f>
        <v/>
      </c>
      <c r="Q369" s="198" t="str">
        <f ca="1">IF(C369="","",F369/([1]!S_STM07_IS(D369,61,$G$5,$H$13)/IF([1]!S_SHARE_TOTAL(D369,$G$5)=0,[1]!S_SHARE_TOTAL(D369,[1]!s_ipo_listeddate(D369)),[1]!S_SHARE_TOTAL(D369,$G$5))))</f>
        <v/>
      </c>
      <c r="R369" s="198" t="str">
        <f ca="1">IF(C369="","",F369/([1]!S_STM07_BS(D369,141,$G$5,$H$13)/IF([1]!S_SHARE_TOTAL(D369,$G$5)=0,[1]!S_SHARE_TOTAL(D369,[1]!s_ipo_listeddate(D369)),[1]!S_SHARE_TOTAL(D369,$G$5))))</f>
        <v/>
      </c>
      <c r="S369" s="249" t="str">
        <f ca="1">IF(C369="","",[1]!S_SHARE_TOTAL(D369,TODAY())/$E$5)</f>
        <v/>
      </c>
      <c r="T369" s="249" t="str">
        <f t="shared" ca="1" si="43"/>
        <v/>
      </c>
      <c r="U369" s="172" t="str">
        <f t="shared" ca="1" si="44"/>
        <v/>
      </c>
      <c r="V369" s="343" t="str">
        <f t="shared" ca="1" si="45"/>
        <v/>
      </c>
      <c r="W369" s="139"/>
      <c r="Y369" s="1"/>
    </row>
    <row r="370" spans="3:25" ht="12" customHeight="1">
      <c r="C370" s="342" t="str">
        <f t="shared" ca="1" si="40"/>
        <v/>
      </c>
      <c r="D370" s="153" t="str">
        <f t="shared" ca="1" si="41"/>
        <v/>
      </c>
      <c r="E370" s="153" t="str">
        <f t="shared" ca="1" si="42"/>
        <v/>
      </c>
      <c r="F370" s="170" t="str">
        <f ca="1">IF(C370="","",[1]!S_DQ_CLOSE(D370,TODAY(),1))</f>
        <v/>
      </c>
      <c r="G370" s="171" t="str">
        <f ca="1">IF(C370="","",[1]!s_pq_pctchange(D370,TODAY()-$G$12,TODAY())/100)</f>
        <v/>
      </c>
      <c r="H370" s="247" t="str">
        <f ca="1">IF(C370="","",IF($H$11="收入",[1]!S_STM07_IS(D370,9,$G$5,$H$13)/$E$5,[1]!S_STM07_IS(D370,48,$G$5,$H$13)/$E$5))</f>
        <v/>
      </c>
      <c r="I370" s="247" t="str">
        <f ca="1">IF(C370="","",IF($I$11="毛利率",([1]!S_STM07_IS(D370,9,$G$5,$H$13)-[1]!S_STM07_IS(D370,10,$G$5,$H$13))/[1]!S_STM07_IS(D370,9,$G$5,$H$13),[1]!S_STM07_IS(D370,14,$G$5,$H$13)/$E$5))</f>
        <v/>
      </c>
      <c r="J370" s="247" t="str">
        <f ca="1">IF(C370="","",IF($J$11="营业利润率",[1]!S_STM07_IS(D370,48,$G$5,$H$13)/[1]!S_STM07_IS(D370,9,$G$5,$H$13),([1]!S_STM07_CS(D370,87,$G$5,$H$13)+[1]!S_STM07_CS(D370,88,$G$5,$H$13)+[1]!S_STM07_CS(D370,89,$G$5,$H$13))/$E$5))</f>
        <v/>
      </c>
      <c r="K370" s="247" t="str">
        <f ca="1">IF(C370="","",IF($K$11="净利润率",[1]!S_STM07_IS(D370,61,$G$5,$H$13)/[1]!S_STM07_IS(D370,9,$G$5,$H$13),[1]!S_STM07_IS(D370,55,$G$5,$H$13)/$E$5))</f>
        <v/>
      </c>
      <c r="L370" s="247" t="str">
        <f ca="1">IF(C370="","",IF($L$11="ROA",[1]!S_STM07_IS(D370,61,$G$5,$H$13)/[1]!S_STM07_BS(D370,74,$G$5,$H$13),1-[1]!S_STM07_IS(D370,61,$G$5,$H$13)/[1]!S_STM07_IS(D370,55,$G$5,$H$13)))</f>
        <v/>
      </c>
      <c r="M370" s="247" t="str">
        <f ca="1">IF(C370="","",IF($M$11="ROE",[1]!S_STM07_IS(D370,61,$G$5,$H$13)/[1]!S_STM07_BS(D370,141,$G$5,$H$13),([1]!S_STM07_BS(D370,25,$G$5,$H$13)-[1]!S_STM07_BS(D370,93,$G$5,$H$13))/$E$5))</f>
        <v/>
      </c>
      <c r="N370" s="247" t="str">
        <f ca="1">IF(C370="","",IF($N$11="EPS",[1]!S_STM07_IS(D370,61,$G$5,$H$13)/IF([1]!S_SHARE_TOTAL(D370,$G$5)=0,[1]!S_SHARE_TOTAL(D370,[1]!s_ipo_listeddate(D370)),[1]!S_SHARE_TOTAL(D370,$G$5)),([1]!S_STM07_BS(D370,75,$G$5,$H$13)+[1]!S_STM07_BS(D370,88,$G$5,$H$13)+[1]!S_STM07_BS(D370,94,$G$5,$H$13)+[1]!S_STM07_BS(D370,95,$G$5,$H$13))/$E$5))</f>
        <v/>
      </c>
      <c r="O370" s="247" t="str">
        <f ca="1">IF(C370="","",IF($O$11="BPS",[1]!S_STM07_BS(D370,141,$G$5,$H$13)/IF([1]!S_SHARE_TOTAL(D370,$G$5)=0,[1]!S_SHARE_TOTAL(D370,[1]!s_ipo_listeddate(D370)),[1]!S_SHARE_TOTAL(D370,$G$5)),[1]!S_STM07_CS(D370,49,$G$5,$H$13)/$E$5))</f>
        <v/>
      </c>
      <c r="P370" s="247" t="str">
        <f ca="1">IF(C370="","",IF($P$11="CFPS",[1]!S_STM07_CS(D370,84,$G$5,$H$13)/IF([1]!S_SHARE_TOTAL(D370,$G$5)=0,[1]!S_SHARE_TOTAL(D370,[1]!s_ipo_listeddate(D370)),[1]!S_SHARE_TOTAL(D370,$G$5)),[1]!S_STM07_CS(D370,84,$G$5,$H$13)/$E$5))</f>
        <v/>
      </c>
      <c r="Q370" s="248" t="str">
        <f ca="1">IF(C370="","",F370/([1]!S_STM07_IS(D370,61,$G$5,$H$13)/IF([1]!S_SHARE_TOTAL(D370,$G$5)=0,[1]!S_SHARE_TOTAL(D370,[1]!s_ipo_listeddate(D370)),[1]!S_SHARE_TOTAL(D370,$G$5))))</f>
        <v/>
      </c>
      <c r="R370" s="248" t="str">
        <f ca="1">IF(C370="","",F370/([1]!S_STM07_BS(D370,141,$G$5,$H$13)/IF([1]!S_SHARE_TOTAL(D370,$G$5)=0,[1]!S_SHARE_TOTAL(D370,[1]!s_ipo_listeddate(D370)),[1]!S_SHARE_TOTAL(D370,$G$5))))</f>
        <v/>
      </c>
      <c r="S370" s="247" t="str">
        <f ca="1">IF(C370="","",[1]!S_SHARE_TOTAL(D370,TODAY())/$E$5)</f>
        <v/>
      </c>
      <c r="T370" s="247" t="str">
        <f t="shared" ca="1" si="43"/>
        <v/>
      </c>
      <c r="U370" s="218" t="str">
        <f t="shared" ca="1" si="44"/>
        <v/>
      </c>
      <c r="V370" s="342" t="str">
        <f t="shared" ca="1" si="45"/>
        <v/>
      </c>
      <c r="W370" s="139"/>
      <c r="Y370" s="1"/>
    </row>
    <row r="371" spans="3:25" ht="12" customHeight="1">
      <c r="C371" s="343" t="str">
        <f t="shared" ca="1" si="40"/>
        <v/>
      </c>
      <c r="D371" s="124" t="str">
        <f t="shared" ca="1" si="41"/>
        <v/>
      </c>
      <c r="E371" s="124" t="str">
        <f t="shared" ca="1" si="42"/>
        <v/>
      </c>
      <c r="F371" s="172" t="str">
        <f ca="1">IF(C371="","",[1]!S_DQ_CLOSE(D371,TODAY(),1))</f>
        <v/>
      </c>
      <c r="G371" s="173" t="str">
        <f ca="1">IF(C371="","",[1]!s_pq_pctchange(D371,TODAY()-$G$12,TODAY())/100)</f>
        <v/>
      </c>
      <c r="H371" s="249" t="str">
        <f ca="1">IF(C371="","",IF($H$11="收入",[1]!S_STM07_IS(D371,9,$G$5,$H$13)/$E$5,[1]!S_STM07_IS(D371,48,$G$5,$H$13)/$E$5))</f>
        <v/>
      </c>
      <c r="I371" s="249" t="str">
        <f ca="1">IF(C371="","",IF($I$11="毛利率",([1]!S_STM07_IS(D371,9,$G$5,$H$13)-[1]!S_STM07_IS(D371,10,$G$5,$H$13))/[1]!S_STM07_IS(D371,9,$G$5,$H$13),[1]!S_STM07_IS(D371,14,$G$5,$H$13)/$E$5))</f>
        <v/>
      </c>
      <c r="J371" s="249" t="str">
        <f ca="1">IF(C371="","",IF($J$11="营业利润率",[1]!S_STM07_IS(D371,48,$G$5,$H$13)/[1]!S_STM07_IS(D371,9,$G$5,$H$13),([1]!S_STM07_CS(D371,87,$G$5,$H$13)+[1]!S_STM07_CS(D371,88,$G$5,$H$13)+[1]!S_STM07_CS(D371,89,$G$5,$H$13))/$E$5))</f>
        <v/>
      </c>
      <c r="K371" s="249" t="str">
        <f ca="1">IF(C371="","",IF($K$11="净利润率",[1]!S_STM07_IS(D371,61,$G$5,$H$13)/[1]!S_STM07_IS(D371,9,$G$5,$H$13),[1]!S_STM07_IS(D371,55,$G$5,$H$13)/$E$5))</f>
        <v/>
      </c>
      <c r="L371" s="249" t="str">
        <f ca="1">IF(C371="","",IF($L$11="ROA",[1]!S_STM07_IS(D371,61,$G$5,$H$13)/[1]!S_STM07_BS(D371,74,$G$5,$H$13),1-[1]!S_STM07_IS(D371,61,$G$5,$H$13)/[1]!S_STM07_IS(D371,55,$G$5,$H$13)))</f>
        <v/>
      </c>
      <c r="M371" s="249" t="str">
        <f ca="1">IF(C371="","",IF($M$11="ROE",[1]!S_STM07_IS(D371,61,$G$5,$H$13)/[1]!S_STM07_BS(D371,141,$G$5,$H$13),([1]!S_STM07_BS(D371,25,$G$5,$H$13)-[1]!S_STM07_BS(D371,93,$G$5,$H$13))/$E$5))</f>
        <v/>
      </c>
      <c r="N371" s="250" t="str">
        <f ca="1">IF(C371="","",IF($N$11="EPS",[1]!S_STM07_IS(D371,61,$G$5,$H$13)/IF([1]!S_SHARE_TOTAL(D371,$G$5)=0,[1]!S_SHARE_TOTAL(D371,[1]!s_ipo_listeddate(D371)),[1]!S_SHARE_TOTAL(D371,$G$5)),([1]!S_STM07_BS(D371,75,$G$5,$H$13)+[1]!S_STM07_BS(D371,88,$G$5,$H$13)+[1]!S_STM07_BS(D371,94,$G$5,$H$13)+[1]!S_STM07_BS(D371,95,$G$5,$H$13))/$E$5))</f>
        <v/>
      </c>
      <c r="O371" s="250" t="str">
        <f ca="1">IF(C371="","",IF($O$11="BPS",[1]!S_STM07_BS(D371,141,$G$5,$H$13)/IF([1]!S_SHARE_TOTAL(D371,$G$5)=0,[1]!S_SHARE_TOTAL(D371,[1]!s_ipo_listeddate(D371)),[1]!S_SHARE_TOTAL(D371,$G$5)),[1]!S_STM07_CS(D371,49,$G$5,$H$13)/$E$5))</f>
        <v/>
      </c>
      <c r="P371" s="250" t="str">
        <f ca="1">IF(C371="","",IF($P$11="CFPS",[1]!S_STM07_CS(D371,84,$G$5,$H$13)/IF([1]!S_SHARE_TOTAL(D371,$G$5)=0,[1]!S_SHARE_TOTAL(D371,[1]!s_ipo_listeddate(D371)),[1]!S_SHARE_TOTAL(D371,$G$5)),[1]!S_STM07_CS(D371,84,$G$5,$H$13)/$E$5))</f>
        <v/>
      </c>
      <c r="Q371" s="198" t="str">
        <f ca="1">IF(C371="","",F371/([1]!S_STM07_IS(D371,61,$G$5,$H$13)/IF([1]!S_SHARE_TOTAL(D371,$G$5)=0,[1]!S_SHARE_TOTAL(D371,[1]!s_ipo_listeddate(D371)),[1]!S_SHARE_TOTAL(D371,$G$5))))</f>
        <v/>
      </c>
      <c r="R371" s="198" t="str">
        <f ca="1">IF(C371="","",F371/([1]!S_STM07_BS(D371,141,$G$5,$H$13)/IF([1]!S_SHARE_TOTAL(D371,$G$5)=0,[1]!S_SHARE_TOTAL(D371,[1]!s_ipo_listeddate(D371)),[1]!S_SHARE_TOTAL(D371,$G$5))))</f>
        <v/>
      </c>
      <c r="S371" s="249" t="str">
        <f ca="1">IF(C371="","",[1]!S_SHARE_TOTAL(D371,TODAY())/$E$5)</f>
        <v/>
      </c>
      <c r="T371" s="249" t="str">
        <f t="shared" ca="1" si="43"/>
        <v/>
      </c>
      <c r="U371" s="172" t="str">
        <f t="shared" ca="1" si="44"/>
        <v/>
      </c>
      <c r="V371" s="343" t="str">
        <f t="shared" ca="1" si="45"/>
        <v/>
      </c>
      <c r="W371" s="139"/>
      <c r="Y371" s="1"/>
    </row>
    <row r="372" spans="3:25" ht="12" customHeight="1">
      <c r="C372" s="342" t="str">
        <f t="shared" ca="1" si="40"/>
        <v/>
      </c>
      <c r="D372" s="153" t="str">
        <f t="shared" ca="1" si="41"/>
        <v/>
      </c>
      <c r="E372" s="153" t="str">
        <f t="shared" ca="1" si="42"/>
        <v/>
      </c>
      <c r="F372" s="170" t="str">
        <f ca="1">IF(C372="","",[1]!S_DQ_CLOSE(D372,TODAY(),1))</f>
        <v/>
      </c>
      <c r="G372" s="171" t="str">
        <f ca="1">IF(C372="","",[1]!s_pq_pctchange(D372,TODAY()-$G$12,TODAY())/100)</f>
        <v/>
      </c>
      <c r="H372" s="247" t="str">
        <f ca="1">IF(C372="","",IF($H$11="收入",[1]!S_STM07_IS(D372,9,$G$5,$H$13)/$E$5,[1]!S_STM07_IS(D372,48,$G$5,$H$13)/$E$5))</f>
        <v/>
      </c>
      <c r="I372" s="247" t="str">
        <f ca="1">IF(C372="","",IF($I$11="毛利率",([1]!S_STM07_IS(D372,9,$G$5,$H$13)-[1]!S_STM07_IS(D372,10,$G$5,$H$13))/[1]!S_STM07_IS(D372,9,$G$5,$H$13),[1]!S_STM07_IS(D372,14,$G$5,$H$13)/$E$5))</f>
        <v/>
      </c>
      <c r="J372" s="247" t="str">
        <f ca="1">IF(C372="","",IF($J$11="营业利润率",[1]!S_STM07_IS(D372,48,$G$5,$H$13)/[1]!S_STM07_IS(D372,9,$G$5,$H$13),([1]!S_STM07_CS(D372,87,$G$5,$H$13)+[1]!S_STM07_CS(D372,88,$G$5,$H$13)+[1]!S_STM07_CS(D372,89,$G$5,$H$13))/$E$5))</f>
        <v/>
      </c>
      <c r="K372" s="247" t="str">
        <f ca="1">IF(C372="","",IF($K$11="净利润率",[1]!S_STM07_IS(D372,61,$G$5,$H$13)/[1]!S_STM07_IS(D372,9,$G$5,$H$13),[1]!S_STM07_IS(D372,55,$G$5,$H$13)/$E$5))</f>
        <v/>
      </c>
      <c r="L372" s="247" t="str">
        <f ca="1">IF(C372="","",IF($L$11="ROA",[1]!S_STM07_IS(D372,61,$G$5,$H$13)/[1]!S_STM07_BS(D372,74,$G$5,$H$13),1-[1]!S_STM07_IS(D372,61,$G$5,$H$13)/[1]!S_STM07_IS(D372,55,$G$5,$H$13)))</f>
        <v/>
      </c>
      <c r="M372" s="247" t="str">
        <f ca="1">IF(C372="","",IF($M$11="ROE",[1]!S_STM07_IS(D372,61,$G$5,$H$13)/[1]!S_STM07_BS(D372,141,$G$5,$H$13),([1]!S_STM07_BS(D372,25,$G$5,$H$13)-[1]!S_STM07_BS(D372,93,$G$5,$H$13))/$E$5))</f>
        <v/>
      </c>
      <c r="N372" s="247" t="str">
        <f ca="1">IF(C372="","",IF($N$11="EPS",[1]!S_STM07_IS(D372,61,$G$5,$H$13)/IF([1]!S_SHARE_TOTAL(D372,$G$5)=0,[1]!S_SHARE_TOTAL(D372,[1]!s_ipo_listeddate(D372)),[1]!S_SHARE_TOTAL(D372,$G$5)),([1]!S_STM07_BS(D372,75,$G$5,$H$13)+[1]!S_STM07_BS(D372,88,$G$5,$H$13)+[1]!S_STM07_BS(D372,94,$G$5,$H$13)+[1]!S_STM07_BS(D372,95,$G$5,$H$13))/$E$5))</f>
        <v/>
      </c>
      <c r="O372" s="247" t="str">
        <f ca="1">IF(C372="","",IF($O$11="BPS",[1]!S_STM07_BS(D372,141,$G$5,$H$13)/IF([1]!S_SHARE_TOTAL(D372,$G$5)=0,[1]!S_SHARE_TOTAL(D372,[1]!s_ipo_listeddate(D372)),[1]!S_SHARE_TOTAL(D372,$G$5)),[1]!S_STM07_CS(D372,49,$G$5,$H$13)/$E$5))</f>
        <v/>
      </c>
      <c r="P372" s="247" t="str">
        <f ca="1">IF(C372="","",IF($P$11="CFPS",[1]!S_STM07_CS(D372,84,$G$5,$H$13)/IF([1]!S_SHARE_TOTAL(D372,$G$5)=0,[1]!S_SHARE_TOTAL(D372,[1]!s_ipo_listeddate(D372)),[1]!S_SHARE_TOTAL(D372,$G$5)),[1]!S_STM07_CS(D372,84,$G$5,$H$13)/$E$5))</f>
        <v/>
      </c>
      <c r="Q372" s="248" t="str">
        <f ca="1">IF(C372="","",F372/([1]!S_STM07_IS(D372,61,$G$5,$H$13)/IF([1]!S_SHARE_TOTAL(D372,$G$5)=0,[1]!S_SHARE_TOTAL(D372,[1]!s_ipo_listeddate(D372)),[1]!S_SHARE_TOTAL(D372,$G$5))))</f>
        <v/>
      </c>
      <c r="R372" s="248" t="str">
        <f ca="1">IF(C372="","",F372/([1]!S_STM07_BS(D372,141,$G$5,$H$13)/IF([1]!S_SHARE_TOTAL(D372,$G$5)=0,[1]!S_SHARE_TOTAL(D372,[1]!s_ipo_listeddate(D372)),[1]!S_SHARE_TOTAL(D372,$G$5))))</f>
        <v/>
      </c>
      <c r="S372" s="247" t="str">
        <f ca="1">IF(C372="","",[1]!S_SHARE_TOTAL(D372,TODAY())/$E$5)</f>
        <v/>
      </c>
      <c r="T372" s="247" t="str">
        <f t="shared" ca="1" si="43"/>
        <v/>
      </c>
      <c r="U372" s="218" t="str">
        <f t="shared" ca="1" si="44"/>
        <v/>
      </c>
      <c r="V372" s="342" t="str">
        <f t="shared" ca="1" si="45"/>
        <v/>
      </c>
      <c r="W372" s="139"/>
      <c r="Y372" s="1"/>
    </row>
    <row r="373" spans="3:25" ht="12" customHeight="1">
      <c r="C373" s="343" t="str">
        <f t="shared" ca="1" si="40"/>
        <v/>
      </c>
      <c r="D373" s="124" t="str">
        <f t="shared" ca="1" si="41"/>
        <v/>
      </c>
      <c r="E373" s="124" t="str">
        <f t="shared" ca="1" si="42"/>
        <v/>
      </c>
      <c r="F373" s="172" t="str">
        <f ca="1">IF(C373="","",[1]!S_DQ_CLOSE(D373,TODAY(),1))</f>
        <v/>
      </c>
      <c r="G373" s="173" t="str">
        <f ca="1">IF(C373="","",[1]!s_pq_pctchange(D373,TODAY()-$G$12,TODAY())/100)</f>
        <v/>
      </c>
      <c r="H373" s="249" t="str">
        <f ca="1">IF(C373="","",IF($H$11="收入",[1]!S_STM07_IS(D373,9,$G$5,$H$13)/$E$5,[1]!S_STM07_IS(D373,48,$G$5,$H$13)/$E$5))</f>
        <v/>
      </c>
      <c r="I373" s="249" t="str">
        <f ca="1">IF(C373="","",IF($I$11="毛利率",([1]!S_STM07_IS(D373,9,$G$5,$H$13)-[1]!S_STM07_IS(D373,10,$G$5,$H$13))/[1]!S_STM07_IS(D373,9,$G$5,$H$13),[1]!S_STM07_IS(D373,14,$G$5,$H$13)/$E$5))</f>
        <v/>
      </c>
      <c r="J373" s="249" t="str">
        <f ca="1">IF(C373="","",IF($J$11="营业利润率",[1]!S_STM07_IS(D373,48,$G$5,$H$13)/[1]!S_STM07_IS(D373,9,$G$5,$H$13),([1]!S_STM07_CS(D373,87,$G$5,$H$13)+[1]!S_STM07_CS(D373,88,$G$5,$H$13)+[1]!S_STM07_CS(D373,89,$G$5,$H$13))/$E$5))</f>
        <v/>
      </c>
      <c r="K373" s="249" t="str">
        <f ca="1">IF(C373="","",IF($K$11="净利润率",[1]!S_STM07_IS(D373,61,$G$5,$H$13)/[1]!S_STM07_IS(D373,9,$G$5,$H$13),[1]!S_STM07_IS(D373,55,$G$5,$H$13)/$E$5))</f>
        <v/>
      </c>
      <c r="L373" s="249" t="str">
        <f ca="1">IF(C373="","",IF($L$11="ROA",[1]!S_STM07_IS(D373,61,$G$5,$H$13)/[1]!S_STM07_BS(D373,74,$G$5,$H$13),1-[1]!S_STM07_IS(D373,61,$G$5,$H$13)/[1]!S_STM07_IS(D373,55,$G$5,$H$13)))</f>
        <v/>
      </c>
      <c r="M373" s="249" t="str">
        <f ca="1">IF(C373="","",IF($M$11="ROE",[1]!S_STM07_IS(D373,61,$G$5,$H$13)/[1]!S_STM07_BS(D373,141,$G$5,$H$13),([1]!S_STM07_BS(D373,25,$G$5,$H$13)-[1]!S_STM07_BS(D373,93,$G$5,$H$13))/$E$5))</f>
        <v/>
      </c>
      <c r="N373" s="250" t="str">
        <f ca="1">IF(C373="","",IF($N$11="EPS",[1]!S_STM07_IS(D373,61,$G$5,$H$13)/IF([1]!S_SHARE_TOTAL(D373,$G$5)=0,[1]!S_SHARE_TOTAL(D373,[1]!s_ipo_listeddate(D373)),[1]!S_SHARE_TOTAL(D373,$G$5)),([1]!S_STM07_BS(D373,75,$G$5,$H$13)+[1]!S_STM07_BS(D373,88,$G$5,$H$13)+[1]!S_STM07_BS(D373,94,$G$5,$H$13)+[1]!S_STM07_BS(D373,95,$G$5,$H$13))/$E$5))</f>
        <v/>
      </c>
      <c r="O373" s="250" t="str">
        <f ca="1">IF(C373="","",IF($O$11="BPS",[1]!S_STM07_BS(D373,141,$G$5,$H$13)/IF([1]!S_SHARE_TOTAL(D373,$G$5)=0,[1]!S_SHARE_TOTAL(D373,[1]!s_ipo_listeddate(D373)),[1]!S_SHARE_TOTAL(D373,$G$5)),[1]!S_STM07_CS(D373,49,$G$5,$H$13)/$E$5))</f>
        <v/>
      </c>
      <c r="P373" s="250" t="str">
        <f ca="1">IF(C373="","",IF($P$11="CFPS",[1]!S_STM07_CS(D373,84,$G$5,$H$13)/IF([1]!S_SHARE_TOTAL(D373,$G$5)=0,[1]!S_SHARE_TOTAL(D373,[1]!s_ipo_listeddate(D373)),[1]!S_SHARE_TOTAL(D373,$G$5)),[1]!S_STM07_CS(D373,84,$G$5,$H$13)/$E$5))</f>
        <v/>
      </c>
      <c r="Q373" s="198" t="str">
        <f ca="1">IF(C373="","",F373/([1]!S_STM07_IS(D373,61,$G$5,$H$13)/IF([1]!S_SHARE_TOTAL(D373,$G$5)=0,[1]!S_SHARE_TOTAL(D373,[1]!s_ipo_listeddate(D373)),[1]!S_SHARE_TOTAL(D373,$G$5))))</f>
        <v/>
      </c>
      <c r="R373" s="198" t="str">
        <f ca="1">IF(C373="","",F373/([1]!S_STM07_BS(D373,141,$G$5,$H$13)/IF([1]!S_SHARE_TOTAL(D373,$G$5)=0,[1]!S_SHARE_TOTAL(D373,[1]!s_ipo_listeddate(D373)),[1]!S_SHARE_TOTAL(D373,$G$5))))</f>
        <v/>
      </c>
      <c r="S373" s="249" t="str">
        <f ca="1">IF(C373="","",[1]!S_SHARE_TOTAL(D373,TODAY())/$E$5)</f>
        <v/>
      </c>
      <c r="T373" s="249" t="str">
        <f t="shared" ca="1" si="43"/>
        <v/>
      </c>
      <c r="U373" s="172" t="str">
        <f t="shared" ca="1" si="44"/>
        <v/>
      </c>
      <c r="V373" s="343" t="str">
        <f t="shared" ca="1" si="45"/>
        <v/>
      </c>
      <c r="W373" s="139"/>
      <c r="Y373" s="1"/>
    </row>
    <row r="374" spans="3:25" ht="12" customHeight="1">
      <c r="C374" s="342" t="str">
        <f t="shared" ca="1" si="40"/>
        <v/>
      </c>
      <c r="D374" s="153" t="str">
        <f t="shared" ca="1" si="41"/>
        <v/>
      </c>
      <c r="E374" s="153" t="str">
        <f t="shared" ca="1" si="42"/>
        <v/>
      </c>
      <c r="F374" s="170" t="str">
        <f ca="1">IF(C374="","",[1]!S_DQ_CLOSE(D374,TODAY(),1))</f>
        <v/>
      </c>
      <c r="G374" s="171" t="str">
        <f ca="1">IF(C374="","",[1]!s_pq_pctchange(D374,TODAY()-$G$12,TODAY())/100)</f>
        <v/>
      </c>
      <c r="H374" s="247" t="str">
        <f ca="1">IF(C374="","",IF($H$11="收入",[1]!S_STM07_IS(D374,9,$G$5,$H$13)/$E$5,[1]!S_STM07_IS(D374,48,$G$5,$H$13)/$E$5))</f>
        <v/>
      </c>
      <c r="I374" s="247" t="str">
        <f ca="1">IF(C374="","",IF($I$11="毛利率",([1]!S_STM07_IS(D374,9,$G$5,$H$13)-[1]!S_STM07_IS(D374,10,$G$5,$H$13))/[1]!S_STM07_IS(D374,9,$G$5,$H$13),[1]!S_STM07_IS(D374,14,$G$5,$H$13)/$E$5))</f>
        <v/>
      </c>
      <c r="J374" s="247" t="str">
        <f ca="1">IF(C374="","",IF($J$11="营业利润率",[1]!S_STM07_IS(D374,48,$G$5,$H$13)/[1]!S_STM07_IS(D374,9,$G$5,$H$13),([1]!S_STM07_CS(D374,87,$G$5,$H$13)+[1]!S_STM07_CS(D374,88,$G$5,$H$13)+[1]!S_STM07_CS(D374,89,$G$5,$H$13))/$E$5))</f>
        <v/>
      </c>
      <c r="K374" s="247" t="str">
        <f ca="1">IF(C374="","",IF($K$11="净利润率",[1]!S_STM07_IS(D374,61,$G$5,$H$13)/[1]!S_STM07_IS(D374,9,$G$5,$H$13),[1]!S_STM07_IS(D374,55,$G$5,$H$13)/$E$5))</f>
        <v/>
      </c>
      <c r="L374" s="247" t="str">
        <f ca="1">IF(C374="","",IF($L$11="ROA",[1]!S_STM07_IS(D374,61,$G$5,$H$13)/[1]!S_STM07_BS(D374,74,$G$5,$H$13),1-[1]!S_STM07_IS(D374,61,$G$5,$H$13)/[1]!S_STM07_IS(D374,55,$G$5,$H$13)))</f>
        <v/>
      </c>
      <c r="M374" s="247" t="str">
        <f ca="1">IF(C374="","",IF($M$11="ROE",[1]!S_STM07_IS(D374,61,$G$5,$H$13)/[1]!S_STM07_BS(D374,141,$G$5,$H$13),([1]!S_STM07_BS(D374,25,$G$5,$H$13)-[1]!S_STM07_BS(D374,93,$G$5,$H$13))/$E$5))</f>
        <v/>
      </c>
      <c r="N374" s="247" t="str">
        <f ca="1">IF(C374="","",IF($N$11="EPS",[1]!S_STM07_IS(D374,61,$G$5,$H$13)/IF([1]!S_SHARE_TOTAL(D374,$G$5)=0,[1]!S_SHARE_TOTAL(D374,[1]!s_ipo_listeddate(D374)),[1]!S_SHARE_TOTAL(D374,$G$5)),([1]!S_STM07_BS(D374,75,$G$5,$H$13)+[1]!S_STM07_BS(D374,88,$G$5,$H$13)+[1]!S_STM07_BS(D374,94,$G$5,$H$13)+[1]!S_STM07_BS(D374,95,$G$5,$H$13))/$E$5))</f>
        <v/>
      </c>
      <c r="O374" s="247" t="str">
        <f ca="1">IF(C374="","",IF($O$11="BPS",[1]!S_STM07_BS(D374,141,$G$5,$H$13)/IF([1]!S_SHARE_TOTAL(D374,$G$5)=0,[1]!S_SHARE_TOTAL(D374,[1]!s_ipo_listeddate(D374)),[1]!S_SHARE_TOTAL(D374,$G$5)),[1]!S_STM07_CS(D374,49,$G$5,$H$13)/$E$5))</f>
        <v/>
      </c>
      <c r="P374" s="247" t="str">
        <f ca="1">IF(C374="","",IF($P$11="CFPS",[1]!S_STM07_CS(D374,84,$G$5,$H$13)/IF([1]!S_SHARE_TOTAL(D374,$G$5)=0,[1]!S_SHARE_TOTAL(D374,[1]!s_ipo_listeddate(D374)),[1]!S_SHARE_TOTAL(D374,$G$5)),[1]!S_STM07_CS(D374,84,$G$5,$H$13)/$E$5))</f>
        <v/>
      </c>
      <c r="Q374" s="248" t="str">
        <f ca="1">IF(C374="","",F374/([1]!S_STM07_IS(D374,61,$G$5,$H$13)/IF([1]!S_SHARE_TOTAL(D374,$G$5)=0,[1]!S_SHARE_TOTAL(D374,[1]!s_ipo_listeddate(D374)),[1]!S_SHARE_TOTAL(D374,$G$5))))</f>
        <v/>
      </c>
      <c r="R374" s="248" t="str">
        <f ca="1">IF(C374="","",F374/([1]!S_STM07_BS(D374,141,$G$5,$H$13)/IF([1]!S_SHARE_TOTAL(D374,$G$5)=0,[1]!S_SHARE_TOTAL(D374,[1]!s_ipo_listeddate(D374)),[1]!S_SHARE_TOTAL(D374,$G$5))))</f>
        <v/>
      </c>
      <c r="S374" s="247" t="str">
        <f ca="1">IF(C374="","",[1]!S_SHARE_TOTAL(D374,TODAY())/$E$5)</f>
        <v/>
      </c>
      <c r="T374" s="247" t="str">
        <f t="shared" ca="1" si="43"/>
        <v/>
      </c>
      <c r="U374" s="218" t="str">
        <f t="shared" ca="1" si="44"/>
        <v/>
      </c>
      <c r="V374" s="342" t="str">
        <f t="shared" ca="1" si="45"/>
        <v/>
      </c>
      <c r="W374" s="139"/>
      <c r="Y374" s="1"/>
    </row>
    <row r="375" spans="3:25" ht="12" customHeight="1">
      <c r="C375" s="343" t="str">
        <f t="shared" ca="1" si="40"/>
        <v/>
      </c>
      <c r="D375" s="124" t="str">
        <f t="shared" ca="1" si="41"/>
        <v/>
      </c>
      <c r="E375" s="124" t="str">
        <f t="shared" ca="1" si="42"/>
        <v/>
      </c>
      <c r="F375" s="172" t="str">
        <f ca="1">IF(C375="","",[1]!S_DQ_CLOSE(D375,TODAY(),1))</f>
        <v/>
      </c>
      <c r="G375" s="173" t="str">
        <f ca="1">IF(C375="","",[1]!s_pq_pctchange(D375,TODAY()-$G$12,TODAY())/100)</f>
        <v/>
      </c>
      <c r="H375" s="249" t="str">
        <f ca="1">IF(C375="","",IF($H$11="收入",[1]!S_STM07_IS(D375,9,$G$5,$H$13)/$E$5,[1]!S_STM07_IS(D375,48,$G$5,$H$13)/$E$5))</f>
        <v/>
      </c>
      <c r="I375" s="249" t="str">
        <f ca="1">IF(C375="","",IF($I$11="毛利率",([1]!S_STM07_IS(D375,9,$G$5,$H$13)-[1]!S_STM07_IS(D375,10,$G$5,$H$13))/[1]!S_STM07_IS(D375,9,$G$5,$H$13),[1]!S_STM07_IS(D375,14,$G$5,$H$13)/$E$5))</f>
        <v/>
      </c>
      <c r="J375" s="249" t="str">
        <f ca="1">IF(C375="","",IF($J$11="营业利润率",[1]!S_STM07_IS(D375,48,$G$5,$H$13)/[1]!S_STM07_IS(D375,9,$G$5,$H$13),([1]!S_STM07_CS(D375,87,$G$5,$H$13)+[1]!S_STM07_CS(D375,88,$G$5,$H$13)+[1]!S_STM07_CS(D375,89,$G$5,$H$13))/$E$5))</f>
        <v/>
      </c>
      <c r="K375" s="249" t="str">
        <f ca="1">IF(C375="","",IF($K$11="净利润率",[1]!S_STM07_IS(D375,61,$G$5,$H$13)/[1]!S_STM07_IS(D375,9,$G$5,$H$13),[1]!S_STM07_IS(D375,55,$G$5,$H$13)/$E$5))</f>
        <v/>
      </c>
      <c r="L375" s="249" t="str">
        <f ca="1">IF(C375="","",IF($L$11="ROA",[1]!S_STM07_IS(D375,61,$G$5,$H$13)/[1]!S_STM07_BS(D375,74,$G$5,$H$13),1-[1]!S_STM07_IS(D375,61,$G$5,$H$13)/[1]!S_STM07_IS(D375,55,$G$5,$H$13)))</f>
        <v/>
      </c>
      <c r="M375" s="249" t="str">
        <f ca="1">IF(C375="","",IF($M$11="ROE",[1]!S_STM07_IS(D375,61,$G$5,$H$13)/[1]!S_STM07_BS(D375,141,$G$5,$H$13),([1]!S_STM07_BS(D375,25,$G$5,$H$13)-[1]!S_STM07_BS(D375,93,$G$5,$H$13))/$E$5))</f>
        <v/>
      </c>
      <c r="N375" s="250" t="str">
        <f ca="1">IF(C375="","",IF($N$11="EPS",[1]!S_STM07_IS(D375,61,$G$5,$H$13)/IF([1]!S_SHARE_TOTAL(D375,$G$5)=0,[1]!S_SHARE_TOTAL(D375,[1]!s_ipo_listeddate(D375)),[1]!S_SHARE_TOTAL(D375,$G$5)),([1]!S_STM07_BS(D375,75,$G$5,$H$13)+[1]!S_STM07_BS(D375,88,$G$5,$H$13)+[1]!S_STM07_BS(D375,94,$G$5,$H$13)+[1]!S_STM07_BS(D375,95,$G$5,$H$13))/$E$5))</f>
        <v/>
      </c>
      <c r="O375" s="250" t="str">
        <f ca="1">IF(C375="","",IF($O$11="BPS",[1]!S_STM07_BS(D375,141,$G$5,$H$13)/IF([1]!S_SHARE_TOTAL(D375,$G$5)=0,[1]!S_SHARE_TOTAL(D375,[1]!s_ipo_listeddate(D375)),[1]!S_SHARE_TOTAL(D375,$G$5)),[1]!S_STM07_CS(D375,49,$G$5,$H$13)/$E$5))</f>
        <v/>
      </c>
      <c r="P375" s="250" t="str">
        <f ca="1">IF(C375="","",IF($P$11="CFPS",[1]!S_STM07_CS(D375,84,$G$5,$H$13)/IF([1]!S_SHARE_TOTAL(D375,$G$5)=0,[1]!S_SHARE_TOTAL(D375,[1]!s_ipo_listeddate(D375)),[1]!S_SHARE_TOTAL(D375,$G$5)),[1]!S_STM07_CS(D375,84,$G$5,$H$13)/$E$5))</f>
        <v/>
      </c>
      <c r="Q375" s="198" t="str">
        <f ca="1">IF(C375="","",F375/([1]!S_STM07_IS(D375,61,$G$5,$H$13)/IF([1]!S_SHARE_TOTAL(D375,$G$5)=0,[1]!S_SHARE_TOTAL(D375,[1]!s_ipo_listeddate(D375)),[1]!S_SHARE_TOTAL(D375,$G$5))))</f>
        <v/>
      </c>
      <c r="R375" s="198" t="str">
        <f ca="1">IF(C375="","",F375/([1]!S_STM07_BS(D375,141,$G$5,$H$13)/IF([1]!S_SHARE_TOTAL(D375,$G$5)=0,[1]!S_SHARE_TOTAL(D375,[1]!s_ipo_listeddate(D375)),[1]!S_SHARE_TOTAL(D375,$G$5))))</f>
        <v/>
      </c>
      <c r="S375" s="249" t="str">
        <f ca="1">IF(C375="","",[1]!S_SHARE_TOTAL(D375,TODAY())/$E$5)</f>
        <v/>
      </c>
      <c r="T375" s="249" t="str">
        <f t="shared" ca="1" si="43"/>
        <v/>
      </c>
      <c r="U375" s="172" t="str">
        <f t="shared" ca="1" si="44"/>
        <v/>
      </c>
      <c r="V375" s="343" t="str">
        <f t="shared" ca="1" si="45"/>
        <v/>
      </c>
      <c r="W375" s="139"/>
      <c r="Y375" s="1"/>
    </row>
    <row r="376" spans="3:25" ht="12" customHeight="1">
      <c r="C376" s="342" t="str">
        <f t="shared" ca="1" si="40"/>
        <v/>
      </c>
      <c r="D376" s="153" t="str">
        <f t="shared" ca="1" si="41"/>
        <v/>
      </c>
      <c r="E376" s="153" t="str">
        <f t="shared" ca="1" si="42"/>
        <v/>
      </c>
      <c r="F376" s="170" t="str">
        <f ca="1">IF(C376="","",[1]!S_DQ_CLOSE(D376,TODAY(),1))</f>
        <v/>
      </c>
      <c r="G376" s="171" t="str">
        <f ca="1">IF(C376="","",[1]!s_pq_pctchange(D376,TODAY()-$G$12,TODAY())/100)</f>
        <v/>
      </c>
      <c r="H376" s="247" t="str">
        <f ca="1">IF(C376="","",IF($H$11="收入",[1]!S_STM07_IS(D376,9,$G$5,$H$13)/$E$5,[1]!S_STM07_IS(D376,48,$G$5,$H$13)/$E$5))</f>
        <v/>
      </c>
      <c r="I376" s="247" t="str">
        <f ca="1">IF(C376="","",IF($I$11="毛利率",([1]!S_STM07_IS(D376,9,$G$5,$H$13)-[1]!S_STM07_IS(D376,10,$G$5,$H$13))/[1]!S_STM07_IS(D376,9,$G$5,$H$13),[1]!S_STM07_IS(D376,14,$G$5,$H$13)/$E$5))</f>
        <v/>
      </c>
      <c r="J376" s="247" t="str">
        <f ca="1">IF(C376="","",IF($J$11="营业利润率",[1]!S_STM07_IS(D376,48,$G$5,$H$13)/[1]!S_STM07_IS(D376,9,$G$5,$H$13),([1]!S_STM07_CS(D376,87,$G$5,$H$13)+[1]!S_STM07_CS(D376,88,$G$5,$H$13)+[1]!S_STM07_CS(D376,89,$G$5,$H$13))/$E$5))</f>
        <v/>
      </c>
      <c r="K376" s="247" t="str">
        <f ca="1">IF(C376="","",IF($K$11="净利润率",[1]!S_STM07_IS(D376,61,$G$5,$H$13)/[1]!S_STM07_IS(D376,9,$G$5,$H$13),[1]!S_STM07_IS(D376,55,$G$5,$H$13)/$E$5))</f>
        <v/>
      </c>
      <c r="L376" s="247" t="str">
        <f ca="1">IF(C376="","",IF($L$11="ROA",[1]!S_STM07_IS(D376,61,$G$5,$H$13)/[1]!S_STM07_BS(D376,74,$G$5,$H$13),1-[1]!S_STM07_IS(D376,61,$G$5,$H$13)/[1]!S_STM07_IS(D376,55,$G$5,$H$13)))</f>
        <v/>
      </c>
      <c r="M376" s="247" t="str">
        <f ca="1">IF(C376="","",IF($M$11="ROE",[1]!S_STM07_IS(D376,61,$G$5,$H$13)/[1]!S_STM07_BS(D376,141,$G$5,$H$13),([1]!S_STM07_BS(D376,25,$G$5,$H$13)-[1]!S_STM07_BS(D376,93,$G$5,$H$13))/$E$5))</f>
        <v/>
      </c>
      <c r="N376" s="247" t="str">
        <f ca="1">IF(C376="","",IF($N$11="EPS",[1]!S_STM07_IS(D376,61,$G$5,$H$13)/IF([1]!S_SHARE_TOTAL(D376,$G$5)=0,[1]!S_SHARE_TOTAL(D376,[1]!s_ipo_listeddate(D376)),[1]!S_SHARE_TOTAL(D376,$G$5)),([1]!S_STM07_BS(D376,75,$G$5,$H$13)+[1]!S_STM07_BS(D376,88,$G$5,$H$13)+[1]!S_STM07_BS(D376,94,$G$5,$H$13)+[1]!S_STM07_BS(D376,95,$G$5,$H$13))/$E$5))</f>
        <v/>
      </c>
      <c r="O376" s="247" t="str">
        <f ca="1">IF(C376="","",IF($O$11="BPS",[1]!S_STM07_BS(D376,141,$G$5,$H$13)/IF([1]!S_SHARE_TOTAL(D376,$G$5)=0,[1]!S_SHARE_TOTAL(D376,[1]!s_ipo_listeddate(D376)),[1]!S_SHARE_TOTAL(D376,$G$5)),[1]!S_STM07_CS(D376,49,$G$5,$H$13)/$E$5))</f>
        <v/>
      </c>
      <c r="P376" s="247" t="str">
        <f ca="1">IF(C376="","",IF($P$11="CFPS",[1]!S_STM07_CS(D376,84,$G$5,$H$13)/IF([1]!S_SHARE_TOTAL(D376,$G$5)=0,[1]!S_SHARE_TOTAL(D376,[1]!s_ipo_listeddate(D376)),[1]!S_SHARE_TOTAL(D376,$G$5)),[1]!S_STM07_CS(D376,84,$G$5,$H$13)/$E$5))</f>
        <v/>
      </c>
      <c r="Q376" s="248" t="str">
        <f ca="1">IF(C376="","",F376/([1]!S_STM07_IS(D376,61,$G$5,$H$13)/IF([1]!S_SHARE_TOTAL(D376,$G$5)=0,[1]!S_SHARE_TOTAL(D376,[1]!s_ipo_listeddate(D376)),[1]!S_SHARE_TOTAL(D376,$G$5))))</f>
        <v/>
      </c>
      <c r="R376" s="248" t="str">
        <f ca="1">IF(C376="","",F376/([1]!S_STM07_BS(D376,141,$G$5,$H$13)/IF([1]!S_SHARE_TOTAL(D376,$G$5)=0,[1]!S_SHARE_TOTAL(D376,[1]!s_ipo_listeddate(D376)),[1]!S_SHARE_TOTAL(D376,$G$5))))</f>
        <v/>
      </c>
      <c r="S376" s="247" t="str">
        <f ca="1">IF(C376="","",[1]!S_SHARE_TOTAL(D376,TODAY())/$E$5)</f>
        <v/>
      </c>
      <c r="T376" s="247" t="str">
        <f t="shared" ca="1" si="43"/>
        <v/>
      </c>
      <c r="U376" s="218" t="str">
        <f t="shared" ca="1" si="44"/>
        <v/>
      </c>
      <c r="V376" s="342" t="str">
        <f t="shared" ca="1" si="45"/>
        <v/>
      </c>
      <c r="W376" s="139"/>
      <c r="Y376" s="1"/>
    </row>
    <row r="377" spans="3:25" ht="12" customHeight="1">
      <c r="C377" s="343" t="str">
        <f t="shared" ca="1" si="40"/>
        <v/>
      </c>
      <c r="D377" s="124" t="str">
        <f t="shared" ca="1" si="41"/>
        <v/>
      </c>
      <c r="E377" s="124" t="str">
        <f t="shared" ca="1" si="42"/>
        <v/>
      </c>
      <c r="F377" s="172" t="str">
        <f ca="1">IF(C377="","",[1]!S_DQ_CLOSE(D377,TODAY(),1))</f>
        <v/>
      </c>
      <c r="G377" s="173" t="str">
        <f ca="1">IF(C377="","",[1]!s_pq_pctchange(D377,TODAY()-$G$12,TODAY())/100)</f>
        <v/>
      </c>
      <c r="H377" s="249" t="str">
        <f ca="1">IF(C377="","",IF($H$11="收入",[1]!S_STM07_IS(D377,9,$G$5,$H$13)/$E$5,[1]!S_STM07_IS(D377,48,$G$5,$H$13)/$E$5))</f>
        <v/>
      </c>
      <c r="I377" s="249" t="str">
        <f ca="1">IF(C377="","",IF($I$11="毛利率",([1]!S_STM07_IS(D377,9,$G$5,$H$13)-[1]!S_STM07_IS(D377,10,$G$5,$H$13))/[1]!S_STM07_IS(D377,9,$G$5,$H$13),[1]!S_STM07_IS(D377,14,$G$5,$H$13)/$E$5))</f>
        <v/>
      </c>
      <c r="J377" s="249" t="str">
        <f ca="1">IF(C377="","",IF($J$11="营业利润率",[1]!S_STM07_IS(D377,48,$G$5,$H$13)/[1]!S_STM07_IS(D377,9,$G$5,$H$13),([1]!S_STM07_CS(D377,87,$G$5,$H$13)+[1]!S_STM07_CS(D377,88,$G$5,$H$13)+[1]!S_STM07_CS(D377,89,$G$5,$H$13))/$E$5))</f>
        <v/>
      </c>
      <c r="K377" s="249" t="str">
        <f ca="1">IF(C377="","",IF($K$11="净利润率",[1]!S_STM07_IS(D377,61,$G$5,$H$13)/[1]!S_STM07_IS(D377,9,$G$5,$H$13),[1]!S_STM07_IS(D377,55,$G$5,$H$13)/$E$5))</f>
        <v/>
      </c>
      <c r="L377" s="249" t="str">
        <f ca="1">IF(C377="","",IF($L$11="ROA",[1]!S_STM07_IS(D377,61,$G$5,$H$13)/[1]!S_STM07_BS(D377,74,$G$5,$H$13),1-[1]!S_STM07_IS(D377,61,$G$5,$H$13)/[1]!S_STM07_IS(D377,55,$G$5,$H$13)))</f>
        <v/>
      </c>
      <c r="M377" s="249" t="str">
        <f ca="1">IF(C377="","",IF($M$11="ROE",[1]!S_STM07_IS(D377,61,$G$5,$H$13)/[1]!S_STM07_BS(D377,141,$G$5,$H$13),([1]!S_STM07_BS(D377,25,$G$5,$H$13)-[1]!S_STM07_BS(D377,93,$G$5,$H$13))/$E$5))</f>
        <v/>
      </c>
      <c r="N377" s="250" t="str">
        <f ca="1">IF(C377="","",IF($N$11="EPS",[1]!S_STM07_IS(D377,61,$G$5,$H$13)/IF([1]!S_SHARE_TOTAL(D377,$G$5)=0,[1]!S_SHARE_TOTAL(D377,[1]!s_ipo_listeddate(D377)),[1]!S_SHARE_TOTAL(D377,$G$5)),([1]!S_STM07_BS(D377,75,$G$5,$H$13)+[1]!S_STM07_BS(D377,88,$G$5,$H$13)+[1]!S_STM07_BS(D377,94,$G$5,$H$13)+[1]!S_STM07_BS(D377,95,$G$5,$H$13))/$E$5))</f>
        <v/>
      </c>
      <c r="O377" s="250" t="str">
        <f ca="1">IF(C377="","",IF($O$11="BPS",[1]!S_STM07_BS(D377,141,$G$5,$H$13)/IF([1]!S_SHARE_TOTAL(D377,$G$5)=0,[1]!S_SHARE_TOTAL(D377,[1]!s_ipo_listeddate(D377)),[1]!S_SHARE_TOTAL(D377,$G$5)),[1]!S_STM07_CS(D377,49,$G$5,$H$13)/$E$5))</f>
        <v/>
      </c>
      <c r="P377" s="250" t="str">
        <f ca="1">IF(C377="","",IF($P$11="CFPS",[1]!S_STM07_CS(D377,84,$G$5,$H$13)/IF([1]!S_SHARE_TOTAL(D377,$G$5)=0,[1]!S_SHARE_TOTAL(D377,[1]!s_ipo_listeddate(D377)),[1]!S_SHARE_TOTAL(D377,$G$5)),[1]!S_STM07_CS(D377,84,$G$5,$H$13)/$E$5))</f>
        <v/>
      </c>
      <c r="Q377" s="198" t="str">
        <f ca="1">IF(C377="","",F377/([1]!S_STM07_IS(D377,61,$G$5,$H$13)/IF([1]!S_SHARE_TOTAL(D377,$G$5)=0,[1]!S_SHARE_TOTAL(D377,[1]!s_ipo_listeddate(D377)),[1]!S_SHARE_TOTAL(D377,$G$5))))</f>
        <v/>
      </c>
      <c r="R377" s="198" t="str">
        <f ca="1">IF(C377="","",F377/([1]!S_STM07_BS(D377,141,$G$5,$H$13)/IF([1]!S_SHARE_TOTAL(D377,$G$5)=0,[1]!S_SHARE_TOTAL(D377,[1]!s_ipo_listeddate(D377)),[1]!S_SHARE_TOTAL(D377,$G$5))))</f>
        <v/>
      </c>
      <c r="S377" s="249" t="str">
        <f ca="1">IF(C377="","",[1]!S_SHARE_TOTAL(D377,TODAY())/$E$5)</f>
        <v/>
      </c>
      <c r="T377" s="249" t="str">
        <f t="shared" ca="1" si="43"/>
        <v/>
      </c>
      <c r="U377" s="172" t="str">
        <f t="shared" ca="1" si="44"/>
        <v/>
      </c>
      <c r="V377" s="343" t="str">
        <f t="shared" ca="1" si="45"/>
        <v/>
      </c>
      <c r="W377" s="139"/>
      <c r="Y377" s="1"/>
    </row>
    <row r="378" spans="3:25" ht="12" customHeight="1">
      <c r="C378" s="342" t="str">
        <f t="shared" ca="1" si="40"/>
        <v/>
      </c>
      <c r="D378" s="153" t="str">
        <f t="shared" ca="1" si="41"/>
        <v/>
      </c>
      <c r="E378" s="153" t="str">
        <f t="shared" ca="1" si="42"/>
        <v/>
      </c>
      <c r="F378" s="170" t="str">
        <f ca="1">IF(C378="","",[1]!S_DQ_CLOSE(D378,TODAY(),1))</f>
        <v/>
      </c>
      <c r="G378" s="171" t="str">
        <f ca="1">IF(C378="","",[1]!s_pq_pctchange(D378,TODAY()-$G$12,TODAY())/100)</f>
        <v/>
      </c>
      <c r="H378" s="247" t="str">
        <f ca="1">IF(C378="","",IF($H$11="收入",[1]!S_STM07_IS(D378,9,$G$5,$H$13)/$E$5,[1]!S_STM07_IS(D378,48,$G$5,$H$13)/$E$5))</f>
        <v/>
      </c>
      <c r="I378" s="247" t="str">
        <f ca="1">IF(C378="","",IF($I$11="毛利率",([1]!S_STM07_IS(D378,9,$G$5,$H$13)-[1]!S_STM07_IS(D378,10,$G$5,$H$13))/[1]!S_STM07_IS(D378,9,$G$5,$H$13),[1]!S_STM07_IS(D378,14,$G$5,$H$13)/$E$5))</f>
        <v/>
      </c>
      <c r="J378" s="247" t="str">
        <f ca="1">IF(C378="","",IF($J$11="营业利润率",[1]!S_STM07_IS(D378,48,$G$5,$H$13)/[1]!S_STM07_IS(D378,9,$G$5,$H$13),([1]!S_STM07_CS(D378,87,$G$5,$H$13)+[1]!S_STM07_CS(D378,88,$G$5,$H$13)+[1]!S_STM07_CS(D378,89,$G$5,$H$13))/$E$5))</f>
        <v/>
      </c>
      <c r="K378" s="247" t="str">
        <f ca="1">IF(C378="","",IF($K$11="净利润率",[1]!S_STM07_IS(D378,61,$G$5,$H$13)/[1]!S_STM07_IS(D378,9,$G$5,$H$13),[1]!S_STM07_IS(D378,55,$G$5,$H$13)/$E$5))</f>
        <v/>
      </c>
      <c r="L378" s="247" t="str">
        <f ca="1">IF(C378="","",IF($L$11="ROA",[1]!S_STM07_IS(D378,61,$G$5,$H$13)/[1]!S_STM07_BS(D378,74,$G$5,$H$13),1-[1]!S_STM07_IS(D378,61,$G$5,$H$13)/[1]!S_STM07_IS(D378,55,$G$5,$H$13)))</f>
        <v/>
      </c>
      <c r="M378" s="247" t="str">
        <f ca="1">IF(C378="","",IF($M$11="ROE",[1]!S_STM07_IS(D378,61,$G$5,$H$13)/[1]!S_STM07_BS(D378,141,$G$5,$H$13),([1]!S_STM07_BS(D378,25,$G$5,$H$13)-[1]!S_STM07_BS(D378,93,$G$5,$H$13))/$E$5))</f>
        <v/>
      </c>
      <c r="N378" s="247" t="str">
        <f ca="1">IF(C378="","",IF($N$11="EPS",[1]!S_STM07_IS(D378,61,$G$5,$H$13)/IF([1]!S_SHARE_TOTAL(D378,$G$5)=0,[1]!S_SHARE_TOTAL(D378,[1]!s_ipo_listeddate(D378)),[1]!S_SHARE_TOTAL(D378,$G$5)),([1]!S_STM07_BS(D378,75,$G$5,$H$13)+[1]!S_STM07_BS(D378,88,$G$5,$H$13)+[1]!S_STM07_BS(D378,94,$G$5,$H$13)+[1]!S_STM07_BS(D378,95,$G$5,$H$13))/$E$5))</f>
        <v/>
      </c>
      <c r="O378" s="247" t="str">
        <f ca="1">IF(C378="","",IF($O$11="BPS",[1]!S_STM07_BS(D378,141,$G$5,$H$13)/IF([1]!S_SHARE_TOTAL(D378,$G$5)=0,[1]!S_SHARE_TOTAL(D378,[1]!s_ipo_listeddate(D378)),[1]!S_SHARE_TOTAL(D378,$G$5)),[1]!S_STM07_CS(D378,49,$G$5,$H$13)/$E$5))</f>
        <v/>
      </c>
      <c r="P378" s="247" t="str">
        <f ca="1">IF(C378="","",IF($P$11="CFPS",[1]!S_STM07_CS(D378,84,$G$5,$H$13)/IF([1]!S_SHARE_TOTAL(D378,$G$5)=0,[1]!S_SHARE_TOTAL(D378,[1]!s_ipo_listeddate(D378)),[1]!S_SHARE_TOTAL(D378,$G$5)),[1]!S_STM07_CS(D378,84,$G$5,$H$13)/$E$5))</f>
        <v/>
      </c>
      <c r="Q378" s="248" t="str">
        <f ca="1">IF(C378="","",F378/([1]!S_STM07_IS(D378,61,$G$5,$H$13)/IF([1]!S_SHARE_TOTAL(D378,$G$5)=0,[1]!S_SHARE_TOTAL(D378,[1]!s_ipo_listeddate(D378)),[1]!S_SHARE_TOTAL(D378,$G$5))))</f>
        <v/>
      </c>
      <c r="R378" s="248" t="str">
        <f ca="1">IF(C378="","",F378/([1]!S_STM07_BS(D378,141,$G$5,$H$13)/IF([1]!S_SHARE_TOTAL(D378,$G$5)=0,[1]!S_SHARE_TOTAL(D378,[1]!s_ipo_listeddate(D378)),[1]!S_SHARE_TOTAL(D378,$G$5))))</f>
        <v/>
      </c>
      <c r="S378" s="247" t="str">
        <f ca="1">IF(C378="","",[1]!S_SHARE_TOTAL(D378,TODAY())/$E$5)</f>
        <v/>
      </c>
      <c r="T378" s="247" t="str">
        <f t="shared" ca="1" si="43"/>
        <v/>
      </c>
      <c r="U378" s="218" t="str">
        <f t="shared" ca="1" si="44"/>
        <v/>
      </c>
      <c r="V378" s="342" t="str">
        <f t="shared" ca="1" si="45"/>
        <v/>
      </c>
      <c r="W378" s="139"/>
      <c r="Y378" s="1"/>
    </row>
    <row r="379" spans="3:25" ht="12" customHeight="1">
      <c r="C379" s="343" t="str">
        <f t="shared" ca="1" si="40"/>
        <v/>
      </c>
      <c r="D379" s="124" t="str">
        <f t="shared" ca="1" si="41"/>
        <v/>
      </c>
      <c r="E379" s="124" t="str">
        <f t="shared" ca="1" si="42"/>
        <v/>
      </c>
      <c r="F379" s="172" t="str">
        <f ca="1">IF(C379="","",[1]!S_DQ_CLOSE(D379,TODAY(),1))</f>
        <v/>
      </c>
      <c r="G379" s="173" t="str">
        <f ca="1">IF(C379="","",[1]!s_pq_pctchange(D379,TODAY()-$G$12,TODAY())/100)</f>
        <v/>
      </c>
      <c r="H379" s="249" t="str">
        <f ca="1">IF(C379="","",IF($H$11="收入",[1]!S_STM07_IS(D379,9,$G$5,$H$13)/$E$5,[1]!S_STM07_IS(D379,48,$G$5,$H$13)/$E$5))</f>
        <v/>
      </c>
      <c r="I379" s="249" t="str">
        <f ca="1">IF(C379="","",IF($I$11="毛利率",([1]!S_STM07_IS(D379,9,$G$5,$H$13)-[1]!S_STM07_IS(D379,10,$G$5,$H$13))/[1]!S_STM07_IS(D379,9,$G$5,$H$13),[1]!S_STM07_IS(D379,14,$G$5,$H$13)/$E$5))</f>
        <v/>
      </c>
      <c r="J379" s="249" t="str">
        <f ca="1">IF(C379="","",IF($J$11="营业利润率",[1]!S_STM07_IS(D379,48,$G$5,$H$13)/[1]!S_STM07_IS(D379,9,$G$5,$H$13),([1]!S_STM07_CS(D379,87,$G$5,$H$13)+[1]!S_STM07_CS(D379,88,$G$5,$H$13)+[1]!S_STM07_CS(D379,89,$G$5,$H$13))/$E$5))</f>
        <v/>
      </c>
      <c r="K379" s="249" t="str">
        <f ca="1">IF(C379="","",IF($K$11="净利润率",[1]!S_STM07_IS(D379,61,$G$5,$H$13)/[1]!S_STM07_IS(D379,9,$G$5,$H$13),[1]!S_STM07_IS(D379,55,$G$5,$H$13)/$E$5))</f>
        <v/>
      </c>
      <c r="L379" s="249" t="str">
        <f ca="1">IF(C379="","",IF($L$11="ROA",[1]!S_STM07_IS(D379,61,$G$5,$H$13)/[1]!S_STM07_BS(D379,74,$G$5,$H$13),1-[1]!S_STM07_IS(D379,61,$G$5,$H$13)/[1]!S_STM07_IS(D379,55,$G$5,$H$13)))</f>
        <v/>
      </c>
      <c r="M379" s="249" t="str">
        <f ca="1">IF(C379="","",IF($M$11="ROE",[1]!S_STM07_IS(D379,61,$G$5,$H$13)/[1]!S_STM07_BS(D379,141,$G$5,$H$13),([1]!S_STM07_BS(D379,25,$G$5,$H$13)-[1]!S_STM07_BS(D379,93,$G$5,$H$13))/$E$5))</f>
        <v/>
      </c>
      <c r="N379" s="250" t="str">
        <f ca="1">IF(C379="","",IF($N$11="EPS",[1]!S_STM07_IS(D379,61,$G$5,$H$13)/IF([1]!S_SHARE_TOTAL(D379,$G$5)=0,[1]!S_SHARE_TOTAL(D379,[1]!s_ipo_listeddate(D379)),[1]!S_SHARE_TOTAL(D379,$G$5)),([1]!S_STM07_BS(D379,75,$G$5,$H$13)+[1]!S_STM07_BS(D379,88,$G$5,$H$13)+[1]!S_STM07_BS(D379,94,$G$5,$H$13)+[1]!S_STM07_BS(D379,95,$G$5,$H$13))/$E$5))</f>
        <v/>
      </c>
      <c r="O379" s="250" t="str">
        <f ca="1">IF(C379="","",IF($O$11="BPS",[1]!S_STM07_BS(D379,141,$G$5,$H$13)/IF([1]!S_SHARE_TOTAL(D379,$G$5)=0,[1]!S_SHARE_TOTAL(D379,[1]!s_ipo_listeddate(D379)),[1]!S_SHARE_TOTAL(D379,$G$5)),[1]!S_STM07_CS(D379,49,$G$5,$H$13)/$E$5))</f>
        <v/>
      </c>
      <c r="P379" s="250" t="str">
        <f ca="1">IF(C379="","",IF($P$11="CFPS",[1]!S_STM07_CS(D379,84,$G$5,$H$13)/IF([1]!S_SHARE_TOTAL(D379,$G$5)=0,[1]!S_SHARE_TOTAL(D379,[1]!s_ipo_listeddate(D379)),[1]!S_SHARE_TOTAL(D379,$G$5)),[1]!S_STM07_CS(D379,84,$G$5,$H$13)/$E$5))</f>
        <v/>
      </c>
      <c r="Q379" s="198" t="str">
        <f ca="1">IF(C379="","",F379/([1]!S_STM07_IS(D379,61,$G$5,$H$13)/IF([1]!S_SHARE_TOTAL(D379,$G$5)=0,[1]!S_SHARE_TOTAL(D379,[1]!s_ipo_listeddate(D379)),[1]!S_SHARE_TOTAL(D379,$G$5))))</f>
        <v/>
      </c>
      <c r="R379" s="198" t="str">
        <f ca="1">IF(C379="","",F379/([1]!S_STM07_BS(D379,141,$G$5,$H$13)/IF([1]!S_SHARE_TOTAL(D379,$G$5)=0,[1]!S_SHARE_TOTAL(D379,[1]!s_ipo_listeddate(D379)),[1]!S_SHARE_TOTAL(D379,$G$5))))</f>
        <v/>
      </c>
      <c r="S379" s="249" t="str">
        <f ca="1">IF(C379="","",[1]!S_SHARE_TOTAL(D379,TODAY())/$E$5)</f>
        <v/>
      </c>
      <c r="T379" s="249" t="str">
        <f t="shared" ca="1" si="43"/>
        <v/>
      </c>
      <c r="U379" s="172" t="str">
        <f t="shared" ca="1" si="44"/>
        <v/>
      </c>
      <c r="V379" s="343" t="str">
        <f t="shared" ca="1" si="45"/>
        <v/>
      </c>
      <c r="W379" s="139"/>
      <c r="Y379" s="1"/>
    </row>
    <row r="380" spans="3:25" ht="12" customHeight="1">
      <c r="C380" s="342" t="str">
        <f t="shared" ca="1" si="40"/>
        <v/>
      </c>
      <c r="D380" s="153" t="str">
        <f t="shared" ca="1" si="41"/>
        <v/>
      </c>
      <c r="E380" s="153" t="str">
        <f t="shared" ca="1" si="42"/>
        <v/>
      </c>
      <c r="F380" s="170" t="str">
        <f ca="1">IF(C380="","",[1]!S_DQ_CLOSE(D380,TODAY(),1))</f>
        <v/>
      </c>
      <c r="G380" s="171" t="str">
        <f ca="1">IF(C380="","",[1]!s_pq_pctchange(D380,TODAY()-$G$12,TODAY())/100)</f>
        <v/>
      </c>
      <c r="H380" s="247" t="str">
        <f ca="1">IF(C380="","",IF($H$11="收入",[1]!S_STM07_IS(D380,9,$G$5,$H$13)/$E$5,[1]!S_STM07_IS(D380,48,$G$5,$H$13)/$E$5))</f>
        <v/>
      </c>
      <c r="I380" s="247" t="str">
        <f ca="1">IF(C380="","",IF($I$11="毛利率",([1]!S_STM07_IS(D380,9,$G$5,$H$13)-[1]!S_STM07_IS(D380,10,$G$5,$H$13))/[1]!S_STM07_IS(D380,9,$G$5,$H$13),[1]!S_STM07_IS(D380,14,$G$5,$H$13)/$E$5))</f>
        <v/>
      </c>
      <c r="J380" s="247" t="str">
        <f ca="1">IF(C380="","",IF($J$11="营业利润率",[1]!S_STM07_IS(D380,48,$G$5,$H$13)/[1]!S_STM07_IS(D380,9,$G$5,$H$13),([1]!S_STM07_CS(D380,87,$G$5,$H$13)+[1]!S_STM07_CS(D380,88,$G$5,$H$13)+[1]!S_STM07_CS(D380,89,$G$5,$H$13))/$E$5))</f>
        <v/>
      </c>
      <c r="K380" s="247" t="str">
        <f ca="1">IF(C380="","",IF($K$11="净利润率",[1]!S_STM07_IS(D380,61,$G$5,$H$13)/[1]!S_STM07_IS(D380,9,$G$5,$H$13),[1]!S_STM07_IS(D380,55,$G$5,$H$13)/$E$5))</f>
        <v/>
      </c>
      <c r="L380" s="247" t="str">
        <f ca="1">IF(C380="","",IF($L$11="ROA",[1]!S_STM07_IS(D380,61,$G$5,$H$13)/[1]!S_STM07_BS(D380,74,$G$5,$H$13),1-[1]!S_STM07_IS(D380,61,$G$5,$H$13)/[1]!S_STM07_IS(D380,55,$G$5,$H$13)))</f>
        <v/>
      </c>
      <c r="M380" s="247" t="str">
        <f ca="1">IF(C380="","",IF($M$11="ROE",[1]!S_STM07_IS(D380,61,$G$5,$H$13)/[1]!S_STM07_BS(D380,141,$G$5,$H$13),([1]!S_STM07_BS(D380,25,$G$5,$H$13)-[1]!S_STM07_BS(D380,93,$G$5,$H$13))/$E$5))</f>
        <v/>
      </c>
      <c r="N380" s="247" t="str">
        <f ca="1">IF(C380="","",IF($N$11="EPS",[1]!S_STM07_IS(D380,61,$G$5,$H$13)/IF([1]!S_SHARE_TOTAL(D380,$G$5)=0,[1]!S_SHARE_TOTAL(D380,[1]!s_ipo_listeddate(D380)),[1]!S_SHARE_TOTAL(D380,$G$5)),([1]!S_STM07_BS(D380,75,$G$5,$H$13)+[1]!S_STM07_BS(D380,88,$G$5,$H$13)+[1]!S_STM07_BS(D380,94,$G$5,$H$13)+[1]!S_STM07_BS(D380,95,$G$5,$H$13))/$E$5))</f>
        <v/>
      </c>
      <c r="O380" s="247" t="str">
        <f ca="1">IF(C380="","",IF($O$11="BPS",[1]!S_STM07_BS(D380,141,$G$5,$H$13)/IF([1]!S_SHARE_TOTAL(D380,$G$5)=0,[1]!S_SHARE_TOTAL(D380,[1]!s_ipo_listeddate(D380)),[1]!S_SHARE_TOTAL(D380,$G$5)),[1]!S_STM07_CS(D380,49,$G$5,$H$13)/$E$5))</f>
        <v/>
      </c>
      <c r="P380" s="247" t="str">
        <f ca="1">IF(C380="","",IF($P$11="CFPS",[1]!S_STM07_CS(D380,84,$G$5,$H$13)/IF([1]!S_SHARE_TOTAL(D380,$G$5)=0,[1]!S_SHARE_TOTAL(D380,[1]!s_ipo_listeddate(D380)),[1]!S_SHARE_TOTAL(D380,$G$5)),[1]!S_STM07_CS(D380,84,$G$5,$H$13)/$E$5))</f>
        <v/>
      </c>
      <c r="Q380" s="248" t="str">
        <f ca="1">IF(C380="","",F380/([1]!S_STM07_IS(D380,61,$G$5,$H$13)/IF([1]!S_SHARE_TOTAL(D380,$G$5)=0,[1]!S_SHARE_TOTAL(D380,[1]!s_ipo_listeddate(D380)),[1]!S_SHARE_TOTAL(D380,$G$5))))</f>
        <v/>
      </c>
      <c r="R380" s="248" t="str">
        <f ca="1">IF(C380="","",F380/([1]!S_STM07_BS(D380,141,$G$5,$H$13)/IF([1]!S_SHARE_TOTAL(D380,$G$5)=0,[1]!S_SHARE_TOTAL(D380,[1]!s_ipo_listeddate(D380)),[1]!S_SHARE_TOTAL(D380,$G$5))))</f>
        <v/>
      </c>
      <c r="S380" s="247" t="str">
        <f ca="1">IF(C380="","",[1]!S_SHARE_TOTAL(D380,TODAY())/$E$5)</f>
        <v/>
      </c>
      <c r="T380" s="247" t="str">
        <f t="shared" ca="1" si="43"/>
        <v/>
      </c>
      <c r="U380" s="218" t="str">
        <f t="shared" ca="1" si="44"/>
        <v/>
      </c>
      <c r="V380" s="342" t="str">
        <f t="shared" ca="1" si="45"/>
        <v/>
      </c>
      <c r="W380" s="139"/>
      <c r="Y380" s="1"/>
    </row>
    <row r="381" spans="3:25" ht="12" customHeight="1">
      <c r="C381" s="343" t="str">
        <f t="shared" ca="1" si="40"/>
        <v/>
      </c>
      <c r="D381" s="124" t="str">
        <f t="shared" ca="1" si="41"/>
        <v/>
      </c>
      <c r="E381" s="124" t="str">
        <f t="shared" ca="1" si="42"/>
        <v/>
      </c>
      <c r="F381" s="172" t="str">
        <f ca="1">IF(C381="","",[1]!S_DQ_CLOSE(D381,TODAY(),1))</f>
        <v/>
      </c>
      <c r="G381" s="173" t="str">
        <f ca="1">IF(C381="","",[1]!s_pq_pctchange(D381,TODAY()-$G$12,TODAY())/100)</f>
        <v/>
      </c>
      <c r="H381" s="249" t="str">
        <f ca="1">IF(C381="","",IF($H$11="收入",[1]!S_STM07_IS(D381,9,$G$5,$H$13)/$E$5,[1]!S_STM07_IS(D381,48,$G$5,$H$13)/$E$5))</f>
        <v/>
      </c>
      <c r="I381" s="249" t="str">
        <f ca="1">IF(C381="","",IF($I$11="毛利率",([1]!S_STM07_IS(D381,9,$G$5,$H$13)-[1]!S_STM07_IS(D381,10,$G$5,$H$13))/[1]!S_STM07_IS(D381,9,$G$5,$H$13),[1]!S_STM07_IS(D381,14,$G$5,$H$13)/$E$5))</f>
        <v/>
      </c>
      <c r="J381" s="249" t="str">
        <f ca="1">IF(C381="","",IF($J$11="营业利润率",[1]!S_STM07_IS(D381,48,$G$5,$H$13)/[1]!S_STM07_IS(D381,9,$G$5,$H$13),([1]!S_STM07_CS(D381,87,$G$5,$H$13)+[1]!S_STM07_CS(D381,88,$G$5,$H$13)+[1]!S_STM07_CS(D381,89,$G$5,$H$13))/$E$5))</f>
        <v/>
      </c>
      <c r="K381" s="249" t="str">
        <f ca="1">IF(C381="","",IF($K$11="净利润率",[1]!S_STM07_IS(D381,61,$G$5,$H$13)/[1]!S_STM07_IS(D381,9,$G$5,$H$13),[1]!S_STM07_IS(D381,55,$G$5,$H$13)/$E$5))</f>
        <v/>
      </c>
      <c r="L381" s="249" t="str">
        <f ca="1">IF(C381="","",IF($L$11="ROA",[1]!S_STM07_IS(D381,61,$G$5,$H$13)/[1]!S_STM07_BS(D381,74,$G$5,$H$13),1-[1]!S_STM07_IS(D381,61,$G$5,$H$13)/[1]!S_STM07_IS(D381,55,$G$5,$H$13)))</f>
        <v/>
      </c>
      <c r="M381" s="249" t="str">
        <f ca="1">IF(C381="","",IF($M$11="ROE",[1]!S_STM07_IS(D381,61,$G$5,$H$13)/[1]!S_STM07_BS(D381,141,$G$5,$H$13),([1]!S_STM07_BS(D381,25,$G$5,$H$13)-[1]!S_STM07_BS(D381,93,$G$5,$H$13))/$E$5))</f>
        <v/>
      </c>
      <c r="N381" s="250" t="str">
        <f ca="1">IF(C381="","",IF($N$11="EPS",[1]!S_STM07_IS(D381,61,$G$5,$H$13)/IF([1]!S_SHARE_TOTAL(D381,$G$5)=0,[1]!S_SHARE_TOTAL(D381,[1]!s_ipo_listeddate(D381)),[1]!S_SHARE_TOTAL(D381,$G$5)),([1]!S_STM07_BS(D381,75,$G$5,$H$13)+[1]!S_STM07_BS(D381,88,$G$5,$H$13)+[1]!S_STM07_BS(D381,94,$G$5,$H$13)+[1]!S_STM07_BS(D381,95,$G$5,$H$13))/$E$5))</f>
        <v/>
      </c>
      <c r="O381" s="250" t="str">
        <f ca="1">IF(C381="","",IF($O$11="BPS",[1]!S_STM07_BS(D381,141,$G$5,$H$13)/IF([1]!S_SHARE_TOTAL(D381,$G$5)=0,[1]!S_SHARE_TOTAL(D381,[1]!s_ipo_listeddate(D381)),[1]!S_SHARE_TOTAL(D381,$G$5)),[1]!S_STM07_CS(D381,49,$G$5,$H$13)/$E$5))</f>
        <v/>
      </c>
      <c r="P381" s="250" t="str">
        <f ca="1">IF(C381="","",IF($P$11="CFPS",[1]!S_STM07_CS(D381,84,$G$5,$H$13)/IF([1]!S_SHARE_TOTAL(D381,$G$5)=0,[1]!S_SHARE_TOTAL(D381,[1]!s_ipo_listeddate(D381)),[1]!S_SHARE_TOTAL(D381,$G$5)),[1]!S_STM07_CS(D381,84,$G$5,$H$13)/$E$5))</f>
        <v/>
      </c>
      <c r="Q381" s="198" t="str">
        <f ca="1">IF(C381="","",F381/([1]!S_STM07_IS(D381,61,$G$5,$H$13)/IF([1]!S_SHARE_TOTAL(D381,$G$5)=0,[1]!S_SHARE_TOTAL(D381,[1]!s_ipo_listeddate(D381)),[1]!S_SHARE_TOTAL(D381,$G$5))))</f>
        <v/>
      </c>
      <c r="R381" s="198" t="str">
        <f ca="1">IF(C381="","",F381/([1]!S_STM07_BS(D381,141,$G$5,$H$13)/IF([1]!S_SHARE_TOTAL(D381,$G$5)=0,[1]!S_SHARE_TOTAL(D381,[1]!s_ipo_listeddate(D381)),[1]!S_SHARE_TOTAL(D381,$G$5))))</f>
        <v/>
      </c>
      <c r="S381" s="249" t="str">
        <f ca="1">IF(C381="","",[1]!S_SHARE_TOTAL(D381,TODAY())/$E$5)</f>
        <v/>
      </c>
      <c r="T381" s="249" t="str">
        <f t="shared" ca="1" si="43"/>
        <v/>
      </c>
      <c r="U381" s="172" t="str">
        <f t="shared" ca="1" si="44"/>
        <v/>
      </c>
      <c r="V381" s="343" t="str">
        <f t="shared" ca="1" si="45"/>
        <v/>
      </c>
      <c r="W381" s="139"/>
      <c r="Y381" s="1"/>
    </row>
    <row r="382" spans="3:25" ht="12" customHeight="1">
      <c r="C382" s="342" t="str">
        <f t="shared" ca="1" si="40"/>
        <v/>
      </c>
      <c r="D382" s="153" t="str">
        <f t="shared" ca="1" si="41"/>
        <v/>
      </c>
      <c r="E382" s="153" t="str">
        <f t="shared" ca="1" si="42"/>
        <v/>
      </c>
      <c r="F382" s="170" t="str">
        <f ca="1">IF(C382="","",[1]!S_DQ_CLOSE(D382,TODAY(),1))</f>
        <v/>
      </c>
      <c r="G382" s="171" t="str">
        <f ca="1">IF(C382="","",[1]!s_pq_pctchange(D382,TODAY()-$G$12,TODAY())/100)</f>
        <v/>
      </c>
      <c r="H382" s="247" t="str">
        <f ca="1">IF(C382="","",IF($H$11="收入",[1]!S_STM07_IS(D382,9,$G$5,$H$13)/$E$5,[1]!S_STM07_IS(D382,48,$G$5,$H$13)/$E$5))</f>
        <v/>
      </c>
      <c r="I382" s="247" t="str">
        <f ca="1">IF(C382="","",IF($I$11="毛利率",([1]!S_STM07_IS(D382,9,$G$5,$H$13)-[1]!S_STM07_IS(D382,10,$G$5,$H$13))/[1]!S_STM07_IS(D382,9,$G$5,$H$13),[1]!S_STM07_IS(D382,14,$G$5,$H$13)/$E$5))</f>
        <v/>
      </c>
      <c r="J382" s="247" t="str">
        <f ca="1">IF(C382="","",IF($J$11="营业利润率",[1]!S_STM07_IS(D382,48,$G$5,$H$13)/[1]!S_STM07_IS(D382,9,$G$5,$H$13),([1]!S_STM07_CS(D382,87,$G$5,$H$13)+[1]!S_STM07_CS(D382,88,$G$5,$H$13)+[1]!S_STM07_CS(D382,89,$G$5,$H$13))/$E$5))</f>
        <v/>
      </c>
      <c r="K382" s="247" t="str">
        <f ca="1">IF(C382="","",IF($K$11="净利润率",[1]!S_STM07_IS(D382,61,$G$5,$H$13)/[1]!S_STM07_IS(D382,9,$G$5,$H$13),[1]!S_STM07_IS(D382,55,$G$5,$H$13)/$E$5))</f>
        <v/>
      </c>
      <c r="L382" s="247" t="str">
        <f ca="1">IF(C382="","",IF($L$11="ROA",[1]!S_STM07_IS(D382,61,$G$5,$H$13)/[1]!S_STM07_BS(D382,74,$G$5,$H$13),1-[1]!S_STM07_IS(D382,61,$G$5,$H$13)/[1]!S_STM07_IS(D382,55,$G$5,$H$13)))</f>
        <v/>
      </c>
      <c r="M382" s="247" t="str">
        <f ca="1">IF(C382="","",IF($M$11="ROE",[1]!S_STM07_IS(D382,61,$G$5,$H$13)/[1]!S_STM07_BS(D382,141,$G$5,$H$13),([1]!S_STM07_BS(D382,25,$G$5,$H$13)-[1]!S_STM07_BS(D382,93,$G$5,$H$13))/$E$5))</f>
        <v/>
      </c>
      <c r="N382" s="247" t="str">
        <f ca="1">IF(C382="","",IF($N$11="EPS",[1]!S_STM07_IS(D382,61,$G$5,$H$13)/IF([1]!S_SHARE_TOTAL(D382,$G$5)=0,[1]!S_SHARE_TOTAL(D382,[1]!s_ipo_listeddate(D382)),[1]!S_SHARE_TOTAL(D382,$G$5)),([1]!S_STM07_BS(D382,75,$G$5,$H$13)+[1]!S_STM07_BS(D382,88,$G$5,$H$13)+[1]!S_STM07_BS(D382,94,$G$5,$H$13)+[1]!S_STM07_BS(D382,95,$G$5,$H$13))/$E$5))</f>
        <v/>
      </c>
      <c r="O382" s="247" t="str">
        <f ca="1">IF(C382="","",IF($O$11="BPS",[1]!S_STM07_BS(D382,141,$G$5,$H$13)/IF([1]!S_SHARE_TOTAL(D382,$G$5)=0,[1]!S_SHARE_TOTAL(D382,[1]!s_ipo_listeddate(D382)),[1]!S_SHARE_TOTAL(D382,$G$5)),[1]!S_STM07_CS(D382,49,$G$5,$H$13)/$E$5))</f>
        <v/>
      </c>
      <c r="P382" s="247" t="str">
        <f ca="1">IF(C382="","",IF($P$11="CFPS",[1]!S_STM07_CS(D382,84,$G$5,$H$13)/IF([1]!S_SHARE_TOTAL(D382,$G$5)=0,[1]!S_SHARE_TOTAL(D382,[1]!s_ipo_listeddate(D382)),[1]!S_SHARE_TOTAL(D382,$G$5)),[1]!S_STM07_CS(D382,84,$G$5,$H$13)/$E$5))</f>
        <v/>
      </c>
      <c r="Q382" s="248" t="str">
        <f ca="1">IF(C382="","",F382/([1]!S_STM07_IS(D382,61,$G$5,$H$13)/IF([1]!S_SHARE_TOTAL(D382,$G$5)=0,[1]!S_SHARE_TOTAL(D382,[1]!s_ipo_listeddate(D382)),[1]!S_SHARE_TOTAL(D382,$G$5))))</f>
        <v/>
      </c>
      <c r="R382" s="248" t="str">
        <f ca="1">IF(C382="","",F382/([1]!S_STM07_BS(D382,141,$G$5,$H$13)/IF([1]!S_SHARE_TOTAL(D382,$G$5)=0,[1]!S_SHARE_TOTAL(D382,[1]!s_ipo_listeddate(D382)),[1]!S_SHARE_TOTAL(D382,$G$5))))</f>
        <v/>
      </c>
      <c r="S382" s="247" t="str">
        <f ca="1">IF(C382="","",[1]!S_SHARE_TOTAL(D382,TODAY())/$E$5)</f>
        <v/>
      </c>
      <c r="T382" s="247" t="str">
        <f t="shared" ca="1" si="43"/>
        <v/>
      </c>
      <c r="U382" s="218" t="str">
        <f t="shared" ca="1" si="44"/>
        <v/>
      </c>
      <c r="V382" s="342" t="str">
        <f t="shared" ca="1" si="45"/>
        <v/>
      </c>
      <c r="W382" s="139"/>
      <c r="Y382" s="1"/>
    </row>
    <row r="383" spans="3:25" ht="12" customHeight="1">
      <c r="C383" s="343" t="str">
        <f t="shared" ca="1" si="40"/>
        <v/>
      </c>
      <c r="D383" s="124" t="str">
        <f t="shared" ca="1" si="41"/>
        <v/>
      </c>
      <c r="E383" s="124" t="str">
        <f t="shared" ca="1" si="42"/>
        <v/>
      </c>
      <c r="F383" s="172" t="str">
        <f ca="1">IF(C383="","",[1]!S_DQ_CLOSE(D383,TODAY(),1))</f>
        <v/>
      </c>
      <c r="G383" s="173" t="str">
        <f ca="1">IF(C383="","",[1]!s_pq_pctchange(D383,TODAY()-$G$12,TODAY())/100)</f>
        <v/>
      </c>
      <c r="H383" s="249" t="str">
        <f ca="1">IF(C383="","",IF($H$11="收入",[1]!S_STM07_IS(D383,9,$G$5,$H$13)/$E$5,[1]!S_STM07_IS(D383,48,$G$5,$H$13)/$E$5))</f>
        <v/>
      </c>
      <c r="I383" s="249" t="str">
        <f ca="1">IF(C383="","",IF($I$11="毛利率",([1]!S_STM07_IS(D383,9,$G$5,$H$13)-[1]!S_STM07_IS(D383,10,$G$5,$H$13))/[1]!S_STM07_IS(D383,9,$G$5,$H$13),[1]!S_STM07_IS(D383,14,$G$5,$H$13)/$E$5))</f>
        <v/>
      </c>
      <c r="J383" s="249" t="str">
        <f ca="1">IF(C383="","",IF($J$11="营业利润率",[1]!S_STM07_IS(D383,48,$G$5,$H$13)/[1]!S_STM07_IS(D383,9,$G$5,$H$13),([1]!S_STM07_CS(D383,87,$G$5,$H$13)+[1]!S_STM07_CS(D383,88,$G$5,$H$13)+[1]!S_STM07_CS(D383,89,$G$5,$H$13))/$E$5))</f>
        <v/>
      </c>
      <c r="K383" s="249" t="str">
        <f ca="1">IF(C383="","",IF($K$11="净利润率",[1]!S_STM07_IS(D383,61,$G$5,$H$13)/[1]!S_STM07_IS(D383,9,$G$5,$H$13),[1]!S_STM07_IS(D383,55,$G$5,$H$13)/$E$5))</f>
        <v/>
      </c>
      <c r="L383" s="249" t="str">
        <f ca="1">IF(C383="","",IF($L$11="ROA",[1]!S_STM07_IS(D383,61,$G$5,$H$13)/[1]!S_STM07_BS(D383,74,$G$5,$H$13),1-[1]!S_STM07_IS(D383,61,$G$5,$H$13)/[1]!S_STM07_IS(D383,55,$G$5,$H$13)))</f>
        <v/>
      </c>
      <c r="M383" s="249" t="str">
        <f ca="1">IF(C383="","",IF($M$11="ROE",[1]!S_STM07_IS(D383,61,$G$5,$H$13)/[1]!S_STM07_BS(D383,141,$G$5,$H$13),([1]!S_STM07_BS(D383,25,$G$5,$H$13)-[1]!S_STM07_BS(D383,93,$G$5,$H$13))/$E$5))</f>
        <v/>
      </c>
      <c r="N383" s="250" t="str">
        <f ca="1">IF(C383="","",IF($N$11="EPS",[1]!S_STM07_IS(D383,61,$G$5,$H$13)/IF([1]!S_SHARE_TOTAL(D383,$G$5)=0,[1]!S_SHARE_TOTAL(D383,[1]!s_ipo_listeddate(D383)),[1]!S_SHARE_TOTAL(D383,$G$5)),([1]!S_STM07_BS(D383,75,$G$5,$H$13)+[1]!S_STM07_BS(D383,88,$G$5,$H$13)+[1]!S_STM07_BS(D383,94,$G$5,$H$13)+[1]!S_STM07_BS(D383,95,$G$5,$H$13))/$E$5))</f>
        <v/>
      </c>
      <c r="O383" s="250" t="str">
        <f ca="1">IF(C383="","",IF($O$11="BPS",[1]!S_STM07_BS(D383,141,$G$5,$H$13)/IF([1]!S_SHARE_TOTAL(D383,$G$5)=0,[1]!S_SHARE_TOTAL(D383,[1]!s_ipo_listeddate(D383)),[1]!S_SHARE_TOTAL(D383,$G$5)),[1]!S_STM07_CS(D383,49,$G$5,$H$13)/$E$5))</f>
        <v/>
      </c>
      <c r="P383" s="250" t="str">
        <f ca="1">IF(C383="","",IF($P$11="CFPS",[1]!S_STM07_CS(D383,84,$G$5,$H$13)/IF([1]!S_SHARE_TOTAL(D383,$G$5)=0,[1]!S_SHARE_TOTAL(D383,[1]!s_ipo_listeddate(D383)),[1]!S_SHARE_TOTAL(D383,$G$5)),[1]!S_STM07_CS(D383,84,$G$5,$H$13)/$E$5))</f>
        <v/>
      </c>
      <c r="Q383" s="198" t="str">
        <f ca="1">IF(C383="","",F383/([1]!S_STM07_IS(D383,61,$G$5,$H$13)/IF([1]!S_SHARE_TOTAL(D383,$G$5)=0,[1]!S_SHARE_TOTAL(D383,[1]!s_ipo_listeddate(D383)),[1]!S_SHARE_TOTAL(D383,$G$5))))</f>
        <v/>
      </c>
      <c r="R383" s="198" t="str">
        <f ca="1">IF(C383="","",F383/([1]!S_STM07_BS(D383,141,$G$5,$H$13)/IF([1]!S_SHARE_TOTAL(D383,$G$5)=0,[1]!S_SHARE_TOTAL(D383,[1]!s_ipo_listeddate(D383)),[1]!S_SHARE_TOTAL(D383,$G$5))))</f>
        <v/>
      </c>
      <c r="S383" s="249" t="str">
        <f ca="1">IF(C383="","",[1]!S_SHARE_TOTAL(D383,TODAY())/$E$5)</f>
        <v/>
      </c>
      <c r="T383" s="249" t="str">
        <f t="shared" ca="1" si="43"/>
        <v/>
      </c>
      <c r="U383" s="172" t="str">
        <f t="shared" ca="1" si="44"/>
        <v/>
      </c>
      <c r="V383" s="343" t="str">
        <f t="shared" ca="1" si="45"/>
        <v/>
      </c>
      <c r="W383" s="139"/>
      <c r="Y383" s="1"/>
    </row>
    <row r="384" spans="3:25" ht="12" customHeight="1">
      <c r="C384" s="342" t="str">
        <f t="shared" ca="1" si="40"/>
        <v/>
      </c>
      <c r="D384" s="153" t="str">
        <f t="shared" ca="1" si="41"/>
        <v/>
      </c>
      <c r="E384" s="153" t="str">
        <f t="shared" ca="1" si="42"/>
        <v/>
      </c>
      <c r="F384" s="170" t="str">
        <f ca="1">IF(C384="","",[1]!S_DQ_CLOSE(D384,TODAY(),1))</f>
        <v/>
      </c>
      <c r="G384" s="171" t="str">
        <f ca="1">IF(C384="","",[1]!s_pq_pctchange(D384,TODAY()-$G$12,TODAY())/100)</f>
        <v/>
      </c>
      <c r="H384" s="247" t="str">
        <f ca="1">IF(C384="","",IF($H$11="收入",[1]!S_STM07_IS(D384,9,$G$5,$H$13)/$E$5,[1]!S_STM07_IS(D384,48,$G$5,$H$13)/$E$5))</f>
        <v/>
      </c>
      <c r="I384" s="247" t="str">
        <f ca="1">IF(C384="","",IF($I$11="毛利率",([1]!S_STM07_IS(D384,9,$G$5,$H$13)-[1]!S_STM07_IS(D384,10,$G$5,$H$13))/[1]!S_STM07_IS(D384,9,$G$5,$H$13),[1]!S_STM07_IS(D384,14,$G$5,$H$13)/$E$5))</f>
        <v/>
      </c>
      <c r="J384" s="247" t="str">
        <f ca="1">IF(C384="","",IF($J$11="营业利润率",[1]!S_STM07_IS(D384,48,$G$5,$H$13)/[1]!S_STM07_IS(D384,9,$G$5,$H$13),([1]!S_STM07_CS(D384,87,$G$5,$H$13)+[1]!S_STM07_CS(D384,88,$G$5,$H$13)+[1]!S_STM07_CS(D384,89,$G$5,$H$13))/$E$5))</f>
        <v/>
      </c>
      <c r="K384" s="247" t="str">
        <f ca="1">IF(C384="","",IF($K$11="净利润率",[1]!S_STM07_IS(D384,61,$G$5,$H$13)/[1]!S_STM07_IS(D384,9,$G$5,$H$13),[1]!S_STM07_IS(D384,55,$G$5,$H$13)/$E$5))</f>
        <v/>
      </c>
      <c r="L384" s="247" t="str">
        <f ca="1">IF(C384="","",IF($L$11="ROA",[1]!S_STM07_IS(D384,61,$G$5,$H$13)/[1]!S_STM07_BS(D384,74,$G$5,$H$13),1-[1]!S_STM07_IS(D384,61,$G$5,$H$13)/[1]!S_STM07_IS(D384,55,$G$5,$H$13)))</f>
        <v/>
      </c>
      <c r="M384" s="247" t="str">
        <f ca="1">IF(C384="","",IF($M$11="ROE",[1]!S_STM07_IS(D384,61,$G$5,$H$13)/[1]!S_STM07_BS(D384,141,$G$5,$H$13),([1]!S_STM07_BS(D384,25,$G$5,$H$13)-[1]!S_STM07_BS(D384,93,$G$5,$H$13))/$E$5))</f>
        <v/>
      </c>
      <c r="N384" s="247" t="str">
        <f ca="1">IF(C384="","",IF($N$11="EPS",[1]!S_STM07_IS(D384,61,$G$5,$H$13)/IF([1]!S_SHARE_TOTAL(D384,$G$5)=0,[1]!S_SHARE_TOTAL(D384,[1]!s_ipo_listeddate(D384)),[1]!S_SHARE_TOTAL(D384,$G$5)),([1]!S_STM07_BS(D384,75,$G$5,$H$13)+[1]!S_STM07_BS(D384,88,$G$5,$H$13)+[1]!S_STM07_BS(D384,94,$G$5,$H$13)+[1]!S_STM07_BS(D384,95,$G$5,$H$13))/$E$5))</f>
        <v/>
      </c>
      <c r="O384" s="247" t="str">
        <f ca="1">IF(C384="","",IF($O$11="BPS",[1]!S_STM07_BS(D384,141,$G$5,$H$13)/IF([1]!S_SHARE_TOTAL(D384,$G$5)=0,[1]!S_SHARE_TOTAL(D384,[1]!s_ipo_listeddate(D384)),[1]!S_SHARE_TOTAL(D384,$G$5)),[1]!S_STM07_CS(D384,49,$G$5,$H$13)/$E$5))</f>
        <v/>
      </c>
      <c r="P384" s="247" t="str">
        <f ca="1">IF(C384="","",IF($P$11="CFPS",[1]!S_STM07_CS(D384,84,$G$5,$H$13)/IF([1]!S_SHARE_TOTAL(D384,$G$5)=0,[1]!S_SHARE_TOTAL(D384,[1]!s_ipo_listeddate(D384)),[1]!S_SHARE_TOTAL(D384,$G$5)),[1]!S_STM07_CS(D384,84,$G$5,$H$13)/$E$5))</f>
        <v/>
      </c>
      <c r="Q384" s="248" t="str">
        <f ca="1">IF(C384="","",F384/([1]!S_STM07_IS(D384,61,$G$5,$H$13)/IF([1]!S_SHARE_TOTAL(D384,$G$5)=0,[1]!S_SHARE_TOTAL(D384,[1]!s_ipo_listeddate(D384)),[1]!S_SHARE_TOTAL(D384,$G$5))))</f>
        <v/>
      </c>
      <c r="R384" s="248" t="str">
        <f ca="1">IF(C384="","",F384/([1]!S_STM07_BS(D384,141,$G$5,$H$13)/IF([1]!S_SHARE_TOTAL(D384,$G$5)=0,[1]!S_SHARE_TOTAL(D384,[1]!s_ipo_listeddate(D384)),[1]!S_SHARE_TOTAL(D384,$G$5))))</f>
        <v/>
      </c>
      <c r="S384" s="247" t="str">
        <f ca="1">IF(C384="","",[1]!S_SHARE_TOTAL(D384,TODAY())/$E$5)</f>
        <v/>
      </c>
      <c r="T384" s="247" t="str">
        <f t="shared" ca="1" si="43"/>
        <v/>
      </c>
      <c r="U384" s="218" t="str">
        <f t="shared" ca="1" si="44"/>
        <v/>
      </c>
      <c r="V384" s="342" t="str">
        <f t="shared" ca="1" si="45"/>
        <v/>
      </c>
      <c r="W384" s="139"/>
      <c r="Y384" s="1"/>
    </row>
    <row r="385" spans="3:25" ht="12" customHeight="1">
      <c r="C385" s="343" t="str">
        <f t="shared" ca="1" si="40"/>
        <v/>
      </c>
      <c r="D385" s="124" t="str">
        <f t="shared" ca="1" si="41"/>
        <v/>
      </c>
      <c r="E385" s="124" t="str">
        <f t="shared" ca="1" si="42"/>
        <v/>
      </c>
      <c r="F385" s="172" t="str">
        <f ca="1">IF(C385="","",[1]!S_DQ_CLOSE(D385,TODAY(),1))</f>
        <v/>
      </c>
      <c r="G385" s="173" t="str">
        <f ca="1">IF(C385="","",[1]!s_pq_pctchange(D385,TODAY()-$G$12,TODAY())/100)</f>
        <v/>
      </c>
      <c r="H385" s="249" t="str">
        <f ca="1">IF(C385="","",IF($H$11="收入",[1]!S_STM07_IS(D385,9,$G$5,$H$13)/$E$5,[1]!S_STM07_IS(D385,48,$G$5,$H$13)/$E$5))</f>
        <v/>
      </c>
      <c r="I385" s="249" t="str">
        <f ca="1">IF(C385="","",IF($I$11="毛利率",([1]!S_STM07_IS(D385,9,$G$5,$H$13)-[1]!S_STM07_IS(D385,10,$G$5,$H$13))/[1]!S_STM07_IS(D385,9,$G$5,$H$13),[1]!S_STM07_IS(D385,14,$G$5,$H$13)/$E$5))</f>
        <v/>
      </c>
      <c r="J385" s="249" t="str">
        <f ca="1">IF(C385="","",IF($J$11="营业利润率",[1]!S_STM07_IS(D385,48,$G$5,$H$13)/[1]!S_STM07_IS(D385,9,$G$5,$H$13),([1]!S_STM07_CS(D385,87,$G$5,$H$13)+[1]!S_STM07_CS(D385,88,$G$5,$H$13)+[1]!S_STM07_CS(D385,89,$G$5,$H$13))/$E$5))</f>
        <v/>
      </c>
      <c r="K385" s="249" t="str">
        <f ca="1">IF(C385="","",IF($K$11="净利润率",[1]!S_STM07_IS(D385,61,$G$5,$H$13)/[1]!S_STM07_IS(D385,9,$G$5,$H$13),[1]!S_STM07_IS(D385,55,$G$5,$H$13)/$E$5))</f>
        <v/>
      </c>
      <c r="L385" s="249" t="str">
        <f ca="1">IF(C385="","",IF($L$11="ROA",[1]!S_STM07_IS(D385,61,$G$5,$H$13)/[1]!S_STM07_BS(D385,74,$G$5,$H$13),1-[1]!S_STM07_IS(D385,61,$G$5,$H$13)/[1]!S_STM07_IS(D385,55,$G$5,$H$13)))</f>
        <v/>
      </c>
      <c r="M385" s="249" t="str">
        <f ca="1">IF(C385="","",IF($M$11="ROE",[1]!S_STM07_IS(D385,61,$G$5,$H$13)/[1]!S_STM07_BS(D385,141,$G$5,$H$13),([1]!S_STM07_BS(D385,25,$G$5,$H$13)-[1]!S_STM07_BS(D385,93,$G$5,$H$13))/$E$5))</f>
        <v/>
      </c>
      <c r="N385" s="250" t="str">
        <f ca="1">IF(C385="","",IF($N$11="EPS",[1]!S_STM07_IS(D385,61,$G$5,$H$13)/IF([1]!S_SHARE_TOTAL(D385,$G$5)=0,[1]!S_SHARE_TOTAL(D385,[1]!s_ipo_listeddate(D385)),[1]!S_SHARE_TOTAL(D385,$G$5)),([1]!S_STM07_BS(D385,75,$G$5,$H$13)+[1]!S_STM07_BS(D385,88,$G$5,$H$13)+[1]!S_STM07_BS(D385,94,$G$5,$H$13)+[1]!S_STM07_BS(D385,95,$G$5,$H$13))/$E$5))</f>
        <v/>
      </c>
      <c r="O385" s="250" t="str">
        <f ca="1">IF(C385="","",IF($O$11="BPS",[1]!S_STM07_BS(D385,141,$G$5,$H$13)/IF([1]!S_SHARE_TOTAL(D385,$G$5)=0,[1]!S_SHARE_TOTAL(D385,[1]!s_ipo_listeddate(D385)),[1]!S_SHARE_TOTAL(D385,$G$5)),[1]!S_STM07_CS(D385,49,$G$5,$H$13)/$E$5))</f>
        <v/>
      </c>
      <c r="P385" s="250" t="str">
        <f ca="1">IF(C385="","",IF($P$11="CFPS",[1]!S_STM07_CS(D385,84,$G$5,$H$13)/IF([1]!S_SHARE_TOTAL(D385,$G$5)=0,[1]!S_SHARE_TOTAL(D385,[1]!s_ipo_listeddate(D385)),[1]!S_SHARE_TOTAL(D385,$G$5)),[1]!S_STM07_CS(D385,84,$G$5,$H$13)/$E$5))</f>
        <v/>
      </c>
      <c r="Q385" s="198" t="str">
        <f ca="1">IF(C385="","",F385/([1]!S_STM07_IS(D385,61,$G$5,$H$13)/IF([1]!S_SHARE_TOTAL(D385,$G$5)=0,[1]!S_SHARE_TOTAL(D385,[1]!s_ipo_listeddate(D385)),[1]!S_SHARE_TOTAL(D385,$G$5))))</f>
        <v/>
      </c>
      <c r="R385" s="198" t="str">
        <f ca="1">IF(C385="","",F385/([1]!S_STM07_BS(D385,141,$G$5,$H$13)/IF([1]!S_SHARE_TOTAL(D385,$G$5)=0,[1]!S_SHARE_TOTAL(D385,[1]!s_ipo_listeddate(D385)),[1]!S_SHARE_TOTAL(D385,$G$5))))</f>
        <v/>
      </c>
      <c r="S385" s="249" t="str">
        <f ca="1">IF(C385="","",[1]!S_SHARE_TOTAL(D385,TODAY())/$E$5)</f>
        <v/>
      </c>
      <c r="T385" s="249" t="str">
        <f t="shared" ca="1" si="43"/>
        <v/>
      </c>
      <c r="U385" s="172" t="str">
        <f t="shared" ca="1" si="44"/>
        <v/>
      </c>
      <c r="V385" s="343" t="str">
        <f t="shared" ca="1" si="45"/>
        <v/>
      </c>
      <c r="W385" s="139"/>
      <c r="Y385" s="1"/>
    </row>
    <row r="386" spans="3:25" ht="12" customHeight="1">
      <c r="C386" s="342" t="str">
        <f t="shared" ca="1" si="40"/>
        <v/>
      </c>
      <c r="D386" s="153" t="str">
        <f t="shared" ca="1" si="41"/>
        <v/>
      </c>
      <c r="E386" s="153" t="str">
        <f t="shared" ca="1" si="42"/>
        <v/>
      </c>
      <c r="F386" s="170" t="str">
        <f ca="1">IF(C386="","",[1]!S_DQ_CLOSE(D386,TODAY(),1))</f>
        <v/>
      </c>
      <c r="G386" s="171" t="str">
        <f ca="1">IF(C386="","",[1]!s_pq_pctchange(D386,TODAY()-$G$12,TODAY())/100)</f>
        <v/>
      </c>
      <c r="H386" s="247" t="str">
        <f ca="1">IF(C386="","",IF($H$11="收入",[1]!S_STM07_IS(D386,9,$G$5,$H$13)/$E$5,[1]!S_STM07_IS(D386,48,$G$5,$H$13)/$E$5))</f>
        <v/>
      </c>
      <c r="I386" s="247" t="str">
        <f ca="1">IF(C386="","",IF($I$11="毛利率",([1]!S_STM07_IS(D386,9,$G$5,$H$13)-[1]!S_STM07_IS(D386,10,$G$5,$H$13))/[1]!S_STM07_IS(D386,9,$G$5,$H$13),[1]!S_STM07_IS(D386,14,$G$5,$H$13)/$E$5))</f>
        <v/>
      </c>
      <c r="J386" s="247" t="str">
        <f ca="1">IF(C386="","",IF($J$11="营业利润率",[1]!S_STM07_IS(D386,48,$G$5,$H$13)/[1]!S_STM07_IS(D386,9,$G$5,$H$13),([1]!S_STM07_CS(D386,87,$G$5,$H$13)+[1]!S_STM07_CS(D386,88,$G$5,$H$13)+[1]!S_STM07_CS(D386,89,$G$5,$H$13))/$E$5))</f>
        <v/>
      </c>
      <c r="K386" s="247" t="str">
        <f ca="1">IF(C386="","",IF($K$11="净利润率",[1]!S_STM07_IS(D386,61,$G$5,$H$13)/[1]!S_STM07_IS(D386,9,$G$5,$H$13),[1]!S_STM07_IS(D386,55,$G$5,$H$13)/$E$5))</f>
        <v/>
      </c>
      <c r="L386" s="247" t="str">
        <f ca="1">IF(C386="","",IF($L$11="ROA",[1]!S_STM07_IS(D386,61,$G$5,$H$13)/[1]!S_STM07_BS(D386,74,$G$5,$H$13),1-[1]!S_STM07_IS(D386,61,$G$5,$H$13)/[1]!S_STM07_IS(D386,55,$G$5,$H$13)))</f>
        <v/>
      </c>
      <c r="M386" s="247" t="str">
        <f ca="1">IF(C386="","",IF($M$11="ROE",[1]!S_STM07_IS(D386,61,$G$5,$H$13)/[1]!S_STM07_BS(D386,141,$G$5,$H$13),([1]!S_STM07_BS(D386,25,$G$5,$H$13)-[1]!S_STM07_BS(D386,93,$G$5,$H$13))/$E$5))</f>
        <v/>
      </c>
      <c r="N386" s="247" t="str">
        <f ca="1">IF(C386="","",IF($N$11="EPS",[1]!S_STM07_IS(D386,61,$G$5,$H$13)/IF([1]!S_SHARE_TOTAL(D386,$G$5)=0,[1]!S_SHARE_TOTAL(D386,[1]!s_ipo_listeddate(D386)),[1]!S_SHARE_TOTAL(D386,$G$5)),([1]!S_STM07_BS(D386,75,$G$5,$H$13)+[1]!S_STM07_BS(D386,88,$G$5,$H$13)+[1]!S_STM07_BS(D386,94,$G$5,$H$13)+[1]!S_STM07_BS(D386,95,$G$5,$H$13))/$E$5))</f>
        <v/>
      </c>
      <c r="O386" s="247" t="str">
        <f ca="1">IF(C386="","",IF($O$11="BPS",[1]!S_STM07_BS(D386,141,$G$5,$H$13)/IF([1]!S_SHARE_TOTAL(D386,$G$5)=0,[1]!S_SHARE_TOTAL(D386,[1]!s_ipo_listeddate(D386)),[1]!S_SHARE_TOTAL(D386,$G$5)),[1]!S_STM07_CS(D386,49,$G$5,$H$13)/$E$5))</f>
        <v/>
      </c>
      <c r="P386" s="247" t="str">
        <f ca="1">IF(C386="","",IF($P$11="CFPS",[1]!S_STM07_CS(D386,84,$G$5,$H$13)/IF([1]!S_SHARE_TOTAL(D386,$G$5)=0,[1]!S_SHARE_TOTAL(D386,[1]!s_ipo_listeddate(D386)),[1]!S_SHARE_TOTAL(D386,$G$5)),[1]!S_STM07_CS(D386,84,$G$5,$H$13)/$E$5))</f>
        <v/>
      </c>
      <c r="Q386" s="248" t="str">
        <f ca="1">IF(C386="","",F386/([1]!S_STM07_IS(D386,61,$G$5,$H$13)/IF([1]!S_SHARE_TOTAL(D386,$G$5)=0,[1]!S_SHARE_TOTAL(D386,[1]!s_ipo_listeddate(D386)),[1]!S_SHARE_TOTAL(D386,$G$5))))</f>
        <v/>
      </c>
      <c r="R386" s="248" t="str">
        <f ca="1">IF(C386="","",F386/([1]!S_STM07_BS(D386,141,$G$5,$H$13)/IF([1]!S_SHARE_TOTAL(D386,$G$5)=0,[1]!S_SHARE_TOTAL(D386,[1]!s_ipo_listeddate(D386)),[1]!S_SHARE_TOTAL(D386,$G$5))))</f>
        <v/>
      </c>
      <c r="S386" s="247" t="str">
        <f ca="1">IF(C386="","",[1]!S_SHARE_TOTAL(D386,TODAY())/$E$5)</f>
        <v/>
      </c>
      <c r="T386" s="247" t="str">
        <f t="shared" ca="1" si="43"/>
        <v/>
      </c>
      <c r="U386" s="218" t="str">
        <f t="shared" ca="1" si="44"/>
        <v/>
      </c>
      <c r="V386" s="342" t="str">
        <f t="shared" ca="1" si="45"/>
        <v/>
      </c>
      <c r="W386" s="139"/>
      <c r="Y386" s="1"/>
    </row>
    <row r="387" spans="3:25" ht="12" customHeight="1">
      <c r="C387" s="343" t="str">
        <f t="shared" ca="1" si="40"/>
        <v/>
      </c>
      <c r="D387" s="124" t="str">
        <f t="shared" ca="1" si="41"/>
        <v/>
      </c>
      <c r="E387" s="124" t="str">
        <f t="shared" ca="1" si="42"/>
        <v/>
      </c>
      <c r="F387" s="172" t="str">
        <f ca="1">IF(C387="","",[1]!S_DQ_CLOSE(D387,TODAY(),1))</f>
        <v/>
      </c>
      <c r="G387" s="173" t="str">
        <f ca="1">IF(C387="","",[1]!s_pq_pctchange(D387,TODAY()-$G$12,TODAY())/100)</f>
        <v/>
      </c>
      <c r="H387" s="249" t="str">
        <f ca="1">IF(C387="","",IF($H$11="收入",[1]!S_STM07_IS(D387,9,$G$5,$H$13)/$E$5,[1]!S_STM07_IS(D387,48,$G$5,$H$13)/$E$5))</f>
        <v/>
      </c>
      <c r="I387" s="249" t="str">
        <f ca="1">IF(C387="","",IF($I$11="毛利率",([1]!S_STM07_IS(D387,9,$G$5,$H$13)-[1]!S_STM07_IS(D387,10,$G$5,$H$13))/[1]!S_STM07_IS(D387,9,$G$5,$H$13),[1]!S_STM07_IS(D387,14,$G$5,$H$13)/$E$5))</f>
        <v/>
      </c>
      <c r="J387" s="249" t="str">
        <f ca="1">IF(C387="","",IF($J$11="营业利润率",[1]!S_STM07_IS(D387,48,$G$5,$H$13)/[1]!S_STM07_IS(D387,9,$G$5,$H$13),([1]!S_STM07_CS(D387,87,$G$5,$H$13)+[1]!S_STM07_CS(D387,88,$G$5,$H$13)+[1]!S_STM07_CS(D387,89,$G$5,$H$13))/$E$5))</f>
        <v/>
      </c>
      <c r="K387" s="249" t="str">
        <f ca="1">IF(C387="","",IF($K$11="净利润率",[1]!S_STM07_IS(D387,61,$G$5,$H$13)/[1]!S_STM07_IS(D387,9,$G$5,$H$13),[1]!S_STM07_IS(D387,55,$G$5,$H$13)/$E$5))</f>
        <v/>
      </c>
      <c r="L387" s="249" t="str">
        <f ca="1">IF(C387="","",IF($L$11="ROA",[1]!S_STM07_IS(D387,61,$G$5,$H$13)/[1]!S_STM07_BS(D387,74,$G$5,$H$13),1-[1]!S_STM07_IS(D387,61,$G$5,$H$13)/[1]!S_STM07_IS(D387,55,$G$5,$H$13)))</f>
        <v/>
      </c>
      <c r="M387" s="249" t="str">
        <f ca="1">IF(C387="","",IF($M$11="ROE",[1]!S_STM07_IS(D387,61,$G$5,$H$13)/[1]!S_STM07_BS(D387,141,$G$5,$H$13),([1]!S_STM07_BS(D387,25,$G$5,$H$13)-[1]!S_STM07_BS(D387,93,$G$5,$H$13))/$E$5))</f>
        <v/>
      </c>
      <c r="N387" s="250" t="str">
        <f ca="1">IF(C387="","",IF($N$11="EPS",[1]!S_STM07_IS(D387,61,$G$5,$H$13)/IF([1]!S_SHARE_TOTAL(D387,$G$5)=0,[1]!S_SHARE_TOTAL(D387,[1]!s_ipo_listeddate(D387)),[1]!S_SHARE_TOTAL(D387,$G$5)),([1]!S_STM07_BS(D387,75,$G$5,$H$13)+[1]!S_STM07_BS(D387,88,$G$5,$H$13)+[1]!S_STM07_BS(D387,94,$G$5,$H$13)+[1]!S_STM07_BS(D387,95,$G$5,$H$13))/$E$5))</f>
        <v/>
      </c>
      <c r="O387" s="250" t="str">
        <f ca="1">IF(C387="","",IF($O$11="BPS",[1]!S_STM07_BS(D387,141,$G$5,$H$13)/IF([1]!S_SHARE_TOTAL(D387,$G$5)=0,[1]!S_SHARE_TOTAL(D387,[1]!s_ipo_listeddate(D387)),[1]!S_SHARE_TOTAL(D387,$G$5)),[1]!S_STM07_CS(D387,49,$G$5,$H$13)/$E$5))</f>
        <v/>
      </c>
      <c r="P387" s="250" t="str">
        <f ca="1">IF(C387="","",IF($P$11="CFPS",[1]!S_STM07_CS(D387,84,$G$5,$H$13)/IF([1]!S_SHARE_TOTAL(D387,$G$5)=0,[1]!S_SHARE_TOTAL(D387,[1]!s_ipo_listeddate(D387)),[1]!S_SHARE_TOTAL(D387,$G$5)),[1]!S_STM07_CS(D387,84,$G$5,$H$13)/$E$5))</f>
        <v/>
      </c>
      <c r="Q387" s="198" t="str">
        <f ca="1">IF(C387="","",F387/([1]!S_STM07_IS(D387,61,$G$5,$H$13)/IF([1]!S_SHARE_TOTAL(D387,$G$5)=0,[1]!S_SHARE_TOTAL(D387,[1]!s_ipo_listeddate(D387)),[1]!S_SHARE_TOTAL(D387,$G$5))))</f>
        <v/>
      </c>
      <c r="R387" s="198" t="str">
        <f ca="1">IF(C387="","",F387/([1]!S_STM07_BS(D387,141,$G$5,$H$13)/IF([1]!S_SHARE_TOTAL(D387,$G$5)=0,[1]!S_SHARE_TOTAL(D387,[1]!s_ipo_listeddate(D387)),[1]!S_SHARE_TOTAL(D387,$G$5))))</f>
        <v/>
      </c>
      <c r="S387" s="249" t="str">
        <f ca="1">IF(C387="","",[1]!S_SHARE_TOTAL(D387,TODAY())/$E$5)</f>
        <v/>
      </c>
      <c r="T387" s="249" t="str">
        <f t="shared" ca="1" si="43"/>
        <v/>
      </c>
      <c r="U387" s="172" t="str">
        <f t="shared" ca="1" si="44"/>
        <v/>
      </c>
      <c r="V387" s="343" t="str">
        <f t="shared" ca="1" si="45"/>
        <v/>
      </c>
      <c r="W387" s="139"/>
      <c r="Y387" s="1"/>
    </row>
    <row r="388" spans="3:25" ht="12" customHeight="1">
      <c r="C388" s="342" t="str">
        <f t="shared" ca="1" si="40"/>
        <v/>
      </c>
      <c r="D388" s="153" t="str">
        <f t="shared" ca="1" si="41"/>
        <v/>
      </c>
      <c r="E388" s="153" t="str">
        <f t="shared" ca="1" si="42"/>
        <v/>
      </c>
      <c r="F388" s="170" t="str">
        <f ca="1">IF(C388="","",[1]!S_DQ_CLOSE(D388,TODAY(),1))</f>
        <v/>
      </c>
      <c r="G388" s="171" t="str">
        <f ca="1">IF(C388="","",[1]!s_pq_pctchange(D388,TODAY()-$G$12,TODAY())/100)</f>
        <v/>
      </c>
      <c r="H388" s="247" t="str">
        <f ca="1">IF(C388="","",IF($H$11="收入",[1]!S_STM07_IS(D388,9,$G$5,$H$13)/$E$5,[1]!S_STM07_IS(D388,48,$G$5,$H$13)/$E$5))</f>
        <v/>
      </c>
      <c r="I388" s="247" t="str">
        <f ca="1">IF(C388="","",IF($I$11="毛利率",([1]!S_STM07_IS(D388,9,$G$5,$H$13)-[1]!S_STM07_IS(D388,10,$G$5,$H$13))/[1]!S_STM07_IS(D388,9,$G$5,$H$13),[1]!S_STM07_IS(D388,14,$G$5,$H$13)/$E$5))</f>
        <v/>
      </c>
      <c r="J388" s="247" t="str">
        <f ca="1">IF(C388="","",IF($J$11="营业利润率",[1]!S_STM07_IS(D388,48,$G$5,$H$13)/[1]!S_STM07_IS(D388,9,$G$5,$H$13),([1]!S_STM07_CS(D388,87,$G$5,$H$13)+[1]!S_STM07_CS(D388,88,$G$5,$H$13)+[1]!S_STM07_CS(D388,89,$G$5,$H$13))/$E$5))</f>
        <v/>
      </c>
      <c r="K388" s="247" t="str">
        <f ca="1">IF(C388="","",IF($K$11="净利润率",[1]!S_STM07_IS(D388,61,$G$5,$H$13)/[1]!S_STM07_IS(D388,9,$G$5,$H$13),[1]!S_STM07_IS(D388,55,$G$5,$H$13)/$E$5))</f>
        <v/>
      </c>
      <c r="L388" s="247" t="str">
        <f ca="1">IF(C388="","",IF($L$11="ROA",[1]!S_STM07_IS(D388,61,$G$5,$H$13)/[1]!S_STM07_BS(D388,74,$G$5,$H$13),1-[1]!S_STM07_IS(D388,61,$G$5,$H$13)/[1]!S_STM07_IS(D388,55,$G$5,$H$13)))</f>
        <v/>
      </c>
      <c r="M388" s="247" t="str">
        <f ca="1">IF(C388="","",IF($M$11="ROE",[1]!S_STM07_IS(D388,61,$G$5,$H$13)/[1]!S_STM07_BS(D388,141,$G$5,$H$13),([1]!S_STM07_BS(D388,25,$G$5,$H$13)-[1]!S_STM07_BS(D388,93,$G$5,$H$13))/$E$5))</f>
        <v/>
      </c>
      <c r="N388" s="247" t="str">
        <f ca="1">IF(C388="","",IF($N$11="EPS",[1]!S_STM07_IS(D388,61,$G$5,$H$13)/IF([1]!S_SHARE_TOTAL(D388,$G$5)=0,[1]!S_SHARE_TOTAL(D388,[1]!s_ipo_listeddate(D388)),[1]!S_SHARE_TOTAL(D388,$G$5)),([1]!S_STM07_BS(D388,75,$G$5,$H$13)+[1]!S_STM07_BS(D388,88,$G$5,$H$13)+[1]!S_STM07_BS(D388,94,$G$5,$H$13)+[1]!S_STM07_BS(D388,95,$G$5,$H$13))/$E$5))</f>
        <v/>
      </c>
      <c r="O388" s="247" t="str">
        <f ca="1">IF(C388="","",IF($O$11="BPS",[1]!S_STM07_BS(D388,141,$G$5,$H$13)/IF([1]!S_SHARE_TOTAL(D388,$G$5)=0,[1]!S_SHARE_TOTAL(D388,[1]!s_ipo_listeddate(D388)),[1]!S_SHARE_TOTAL(D388,$G$5)),[1]!S_STM07_CS(D388,49,$G$5,$H$13)/$E$5))</f>
        <v/>
      </c>
      <c r="P388" s="247" t="str">
        <f ca="1">IF(C388="","",IF($P$11="CFPS",[1]!S_STM07_CS(D388,84,$G$5,$H$13)/IF([1]!S_SHARE_TOTAL(D388,$G$5)=0,[1]!S_SHARE_TOTAL(D388,[1]!s_ipo_listeddate(D388)),[1]!S_SHARE_TOTAL(D388,$G$5)),[1]!S_STM07_CS(D388,84,$G$5,$H$13)/$E$5))</f>
        <v/>
      </c>
      <c r="Q388" s="248" t="str">
        <f ca="1">IF(C388="","",F388/([1]!S_STM07_IS(D388,61,$G$5,$H$13)/IF([1]!S_SHARE_TOTAL(D388,$G$5)=0,[1]!S_SHARE_TOTAL(D388,[1]!s_ipo_listeddate(D388)),[1]!S_SHARE_TOTAL(D388,$G$5))))</f>
        <v/>
      </c>
      <c r="R388" s="248" t="str">
        <f ca="1">IF(C388="","",F388/([1]!S_STM07_BS(D388,141,$G$5,$H$13)/IF([1]!S_SHARE_TOTAL(D388,$G$5)=0,[1]!S_SHARE_TOTAL(D388,[1]!s_ipo_listeddate(D388)),[1]!S_SHARE_TOTAL(D388,$G$5))))</f>
        <v/>
      </c>
      <c r="S388" s="247" t="str">
        <f ca="1">IF(C388="","",[1]!S_SHARE_TOTAL(D388,TODAY())/$E$5)</f>
        <v/>
      </c>
      <c r="T388" s="247" t="str">
        <f t="shared" ca="1" si="43"/>
        <v/>
      </c>
      <c r="U388" s="218" t="str">
        <f t="shared" ca="1" si="44"/>
        <v/>
      </c>
      <c r="V388" s="342" t="str">
        <f t="shared" ca="1" si="45"/>
        <v/>
      </c>
      <c r="W388" s="139"/>
      <c r="Y388" s="1"/>
    </row>
    <row r="389" spans="3:25" ht="12" customHeight="1">
      <c r="C389" s="343" t="str">
        <f t="shared" ca="1" si="40"/>
        <v/>
      </c>
      <c r="D389" s="124" t="str">
        <f t="shared" ca="1" si="41"/>
        <v/>
      </c>
      <c r="E389" s="124" t="str">
        <f t="shared" ca="1" si="42"/>
        <v/>
      </c>
      <c r="F389" s="172" t="str">
        <f ca="1">IF(C389="","",[1]!S_DQ_CLOSE(D389,TODAY(),1))</f>
        <v/>
      </c>
      <c r="G389" s="173" t="str">
        <f ca="1">IF(C389="","",[1]!s_pq_pctchange(D389,TODAY()-$G$12,TODAY())/100)</f>
        <v/>
      </c>
      <c r="H389" s="249" t="str">
        <f ca="1">IF(C389="","",IF($H$11="收入",[1]!S_STM07_IS(D389,9,$G$5,$H$13)/$E$5,[1]!S_STM07_IS(D389,48,$G$5,$H$13)/$E$5))</f>
        <v/>
      </c>
      <c r="I389" s="249" t="str">
        <f ca="1">IF(C389="","",IF($I$11="毛利率",([1]!S_STM07_IS(D389,9,$G$5,$H$13)-[1]!S_STM07_IS(D389,10,$G$5,$H$13))/[1]!S_STM07_IS(D389,9,$G$5,$H$13),[1]!S_STM07_IS(D389,14,$G$5,$H$13)/$E$5))</f>
        <v/>
      </c>
      <c r="J389" s="249" t="str">
        <f ca="1">IF(C389="","",IF($J$11="营业利润率",[1]!S_STM07_IS(D389,48,$G$5,$H$13)/[1]!S_STM07_IS(D389,9,$G$5,$H$13),([1]!S_STM07_CS(D389,87,$G$5,$H$13)+[1]!S_STM07_CS(D389,88,$G$5,$H$13)+[1]!S_STM07_CS(D389,89,$G$5,$H$13))/$E$5))</f>
        <v/>
      </c>
      <c r="K389" s="249" t="str">
        <f ca="1">IF(C389="","",IF($K$11="净利润率",[1]!S_STM07_IS(D389,61,$G$5,$H$13)/[1]!S_STM07_IS(D389,9,$G$5,$H$13),[1]!S_STM07_IS(D389,55,$G$5,$H$13)/$E$5))</f>
        <v/>
      </c>
      <c r="L389" s="249" t="str">
        <f ca="1">IF(C389="","",IF($L$11="ROA",[1]!S_STM07_IS(D389,61,$G$5,$H$13)/[1]!S_STM07_BS(D389,74,$G$5,$H$13),1-[1]!S_STM07_IS(D389,61,$G$5,$H$13)/[1]!S_STM07_IS(D389,55,$G$5,$H$13)))</f>
        <v/>
      </c>
      <c r="M389" s="249" t="str">
        <f ca="1">IF(C389="","",IF($M$11="ROE",[1]!S_STM07_IS(D389,61,$G$5,$H$13)/[1]!S_STM07_BS(D389,141,$G$5,$H$13),([1]!S_STM07_BS(D389,25,$G$5,$H$13)-[1]!S_STM07_BS(D389,93,$G$5,$H$13))/$E$5))</f>
        <v/>
      </c>
      <c r="N389" s="250" t="str">
        <f ca="1">IF(C389="","",IF($N$11="EPS",[1]!S_STM07_IS(D389,61,$G$5,$H$13)/IF([1]!S_SHARE_TOTAL(D389,$G$5)=0,[1]!S_SHARE_TOTAL(D389,[1]!s_ipo_listeddate(D389)),[1]!S_SHARE_TOTAL(D389,$G$5)),([1]!S_STM07_BS(D389,75,$G$5,$H$13)+[1]!S_STM07_BS(D389,88,$G$5,$H$13)+[1]!S_STM07_BS(D389,94,$G$5,$H$13)+[1]!S_STM07_BS(D389,95,$G$5,$H$13))/$E$5))</f>
        <v/>
      </c>
      <c r="O389" s="250" t="str">
        <f ca="1">IF(C389="","",IF($O$11="BPS",[1]!S_STM07_BS(D389,141,$G$5,$H$13)/IF([1]!S_SHARE_TOTAL(D389,$G$5)=0,[1]!S_SHARE_TOTAL(D389,[1]!s_ipo_listeddate(D389)),[1]!S_SHARE_TOTAL(D389,$G$5)),[1]!S_STM07_CS(D389,49,$G$5,$H$13)/$E$5))</f>
        <v/>
      </c>
      <c r="P389" s="250" t="str">
        <f ca="1">IF(C389="","",IF($P$11="CFPS",[1]!S_STM07_CS(D389,84,$G$5,$H$13)/IF([1]!S_SHARE_TOTAL(D389,$G$5)=0,[1]!S_SHARE_TOTAL(D389,[1]!s_ipo_listeddate(D389)),[1]!S_SHARE_TOTAL(D389,$G$5)),[1]!S_STM07_CS(D389,84,$G$5,$H$13)/$E$5))</f>
        <v/>
      </c>
      <c r="Q389" s="198" t="str">
        <f ca="1">IF(C389="","",F389/([1]!S_STM07_IS(D389,61,$G$5,$H$13)/IF([1]!S_SHARE_TOTAL(D389,$G$5)=0,[1]!S_SHARE_TOTAL(D389,[1]!s_ipo_listeddate(D389)),[1]!S_SHARE_TOTAL(D389,$G$5))))</f>
        <v/>
      </c>
      <c r="R389" s="198" t="str">
        <f ca="1">IF(C389="","",F389/([1]!S_STM07_BS(D389,141,$G$5,$H$13)/IF([1]!S_SHARE_TOTAL(D389,$G$5)=0,[1]!S_SHARE_TOTAL(D389,[1]!s_ipo_listeddate(D389)),[1]!S_SHARE_TOTAL(D389,$G$5))))</f>
        <v/>
      </c>
      <c r="S389" s="249" t="str">
        <f ca="1">IF(C389="","",[1]!S_SHARE_TOTAL(D389,TODAY())/$E$5)</f>
        <v/>
      </c>
      <c r="T389" s="249" t="str">
        <f t="shared" ca="1" si="43"/>
        <v/>
      </c>
      <c r="U389" s="172" t="str">
        <f t="shared" ca="1" si="44"/>
        <v/>
      </c>
      <c r="V389" s="343" t="str">
        <f t="shared" ca="1" si="45"/>
        <v/>
      </c>
      <c r="W389" s="139"/>
      <c r="Y389" s="1"/>
    </row>
    <row r="390" spans="3:25" ht="12" customHeight="1">
      <c r="C390" s="342" t="str">
        <f t="shared" ca="1" si="40"/>
        <v/>
      </c>
      <c r="D390" s="153" t="str">
        <f t="shared" ca="1" si="41"/>
        <v/>
      </c>
      <c r="E390" s="153" t="str">
        <f t="shared" ca="1" si="42"/>
        <v/>
      </c>
      <c r="F390" s="170" t="str">
        <f ca="1">IF(C390="","",[1]!S_DQ_CLOSE(D390,TODAY(),1))</f>
        <v/>
      </c>
      <c r="G390" s="171" t="str">
        <f ca="1">IF(C390="","",[1]!s_pq_pctchange(D390,TODAY()-$G$12,TODAY())/100)</f>
        <v/>
      </c>
      <c r="H390" s="247" t="str">
        <f ca="1">IF(C390="","",IF($H$11="收入",[1]!S_STM07_IS(D390,9,$G$5,$H$13)/$E$5,[1]!S_STM07_IS(D390,48,$G$5,$H$13)/$E$5))</f>
        <v/>
      </c>
      <c r="I390" s="247" t="str">
        <f ca="1">IF(C390="","",IF($I$11="毛利率",([1]!S_STM07_IS(D390,9,$G$5,$H$13)-[1]!S_STM07_IS(D390,10,$G$5,$H$13))/[1]!S_STM07_IS(D390,9,$G$5,$H$13),[1]!S_STM07_IS(D390,14,$G$5,$H$13)/$E$5))</f>
        <v/>
      </c>
      <c r="J390" s="247" t="str">
        <f ca="1">IF(C390="","",IF($J$11="营业利润率",[1]!S_STM07_IS(D390,48,$G$5,$H$13)/[1]!S_STM07_IS(D390,9,$G$5,$H$13),([1]!S_STM07_CS(D390,87,$G$5,$H$13)+[1]!S_STM07_CS(D390,88,$G$5,$H$13)+[1]!S_STM07_CS(D390,89,$G$5,$H$13))/$E$5))</f>
        <v/>
      </c>
      <c r="K390" s="247" t="str">
        <f ca="1">IF(C390="","",IF($K$11="净利润率",[1]!S_STM07_IS(D390,61,$G$5,$H$13)/[1]!S_STM07_IS(D390,9,$G$5,$H$13),[1]!S_STM07_IS(D390,55,$G$5,$H$13)/$E$5))</f>
        <v/>
      </c>
      <c r="L390" s="247" t="str">
        <f ca="1">IF(C390="","",IF($L$11="ROA",[1]!S_STM07_IS(D390,61,$G$5,$H$13)/[1]!S_STM07_BS(D390,74,$G$5,$H$13),1-[1]!S_STM07_IS(D390,61,$G$5,$H$13)/[1]!S_STM07_IS(D390,55,$G$5,$H$13)))</f>
        <v/>
      </c>
      <c r="M390" s="247" t="str">
        <f ca="1">IF(C390="","",IF($M$11="ROE",[1]!S_STM07_IS(D390,61,$G$5,$H$13)/[1]!S_STM07_BS(D390,141,$G$5,$H$13),([1]!S_STM07_BS(D390,25,$G$5,$H$13)-[1]!S_STM07_BS(D390,93,$G$5,$H$13))/$E$5))</f>
        <v/>
      </c>
      <c r="N390" s="247" t="str">
        <f ca="1">IF(C390="","",IF($N$11="EPS",[1]!S_STM07_IS(D390,61,$G$5,$H$13)/IF([1]!S_SHARE_TOTAL(D390,$G$5)=0,[1]!S_SHARE_TOTAL(D390,[1]!s_ipo_listeddate(D390)),[1]!S_SHARE_TOTAL(D390,$G$5)),([1]!S_STM07_BS(D390,75,$G$5,$H$13)+[1]!S_STM07_BS(D390,88,$G$5,$H$13)+[1]!S_STM07_BS(D390,94,$G$5,$H$13)+[1]!S_STM07_BS(D390,95,$G$5,$H$13))/$E$5))</f>
        <v/>
      </c>
      <c r="O390" s="247" t="str">
        <f ca="1">IF(C390="","",IF($O$11="BPS",[1]!S_STM07_BS(D390,141,$G$5,$H$13)/IF([1]!S_SHARE_TOTAL(D390,$G$5)=0,[1]!S_SHARE_TOTAL(D390,[1]!s_ipo_listeddate(D390)),[1]!S_SHARE_TOTAL(D390,$G$5)),[1]!S_STM07_CS(D390,49,$G$5,$H$13)/$E$5))</f>
        <v/>
      </c>
      <c r="P390" s="247" t="str">
        <f ca="1">IF(C390="","",IF($P$11="CFPS",[1]!S_STM07_CS(D390,84,$G$5,$H$13)/IF([1]!S_SHARE_TOTAL(D390,$G$5)=0,[1]!S_SHARE_TOTAL(D390,[1]!s_ipo_listeddate(D390)),[1]!S_SHARE_TOTAL(D390,$G$5)),[1]!S_STM07_CS(D390,84,$G$5,$H$13)/$E$5))</f>
        <v/>
      </c>
      <c r="Q390" s="248" t="str">
        <f ca="1">IF(C390="","",F390/([1]!S_STM07_IS(D390,61,$G$5,$H$13)/IF([1]!S_SHARE_TOTAL(D390,$G$5)=0,[1]!S_SHARE_TOTAL(D390,[1]!s_ipo_listeddate(D390)),[1]!S_SHARE_TOTAL(D390,$G$5))))</f>
        <v/>
      </c>
      <c r="R390" s="248" t="str">
        <f ca="1">IF(C390="","",F390/([1]!S_STM07_BS(D390,141,$G$5,$H$13)/IF([1]!S_SHARE_TOTAL(D390,$G$5)=0,[1]!S_SHARE_TOTAL(D390,[1]!s_ipo_listeddate(D390)),[1]!S_SHARE_TOTAL(D390,$G$5))))</f>
        <v/>
      </c>
      <c r="S390" s="247" t="str">
        <f ca="1">IF(C390="","",[1]!S_SHARE_TOTAL(D390,TODAY())/$E$5)</f>
        <v/>
      </c>
      <c r="T390" s="247" t="str">
        <f t="shared" ca="1" si="43"/>
        <v/>
      </c>
      <c r="U390" s="218" t="str">
        <f t="shared" ca="1" si="44"/>
        <v/>
      </c>
      <c r="V390" s="342" t="str">
        <f t="shared" ca="1" si="45"/>
        <v/>
      </c>
      <c r="W390" s="139"/>
      <c r="Y390" s="1"/>
    </row>
    <row r="391" spans="3:25" ht="12" customHeight="1">
      <c r="C391" s="343" t="str">
        <f t="shared" ca="1" si="40"/>
        <v/>
      </c>
      <c r="D391" s="124" t="str">
        <f t="shared" ca="1" si="41"/>
        <v/>
      </c>
      <c r="E391" s="124" t="str">
        <f t="shared" ca="1" si="42"/>
        <v/>
      </c>
      <c r="F391" s="172" t="str">
        <f ca="1">IF(C391="","",[1]!S_DQ_CLOSE(D391,TODAY(),1))</f>
        <v/>
      </c>
      <c r="G391" s="173" t="str">
        <f ca="1">IF(C391="","",[1]!s_pq_pctchange(D391,TODAY()-$G$12,TODAY())/100)</f>
        <v/>
      </c>
      <c r="H391" s="249" t="str">
        <f ca="1">IF(C391="","",IF($H$11="收入",[1]!S_STM07_IS(D391,9,$G$5,$H$13)/$E$5,[1]!S_STM07_IS(D391,48,$G$5,$H$13)/$E$5))</f>
        <v/>
      </c>
      <c r="I391" s="249" t="str">
        <f ca="1">IF(C391="","",IF($I$11="毛利率",([1]!S_STM07_IS(D391,9,$G$5,$H$13)-[1]!S_STM07_IS(D391,10,$G$5,$H$13))/[1]!S_STM07_IS(D391,9,$G$5,$H$13),[1]!S_STM07_IS(D391,14,$G$5,$H$13)/$E$5))</f>
        <v/>
      </c>
      <c r="J391" s="249" t="str">
        <f ca="1">IF(C391="","",IF($J$11="营业利润率",[1]!S_STM07_IS(D391,48,$G$5,$H$13)/[1]!S_STM07_IS(D391,9,$G$5,$H$13),([1]!S_STM07_CS(D391,87,$G$5,$H$13)+[1]!S_STM07_CS(D391,88,$G$5,$H$13)+[1]!S_STM07_CS(D391,89,$G$5,$H$13))/$E$5))</f>
        <v/>
      </c>
      <c r="K391" s="249" t="str">
        <f ca="1">IF(C391="","",IF($K$11="净利润率",[1]!S_STM07_IS(D391,61,$G$5,$H$13)/[1]!S_STM07_IS(D391,9,$G$5,$H$13),[1]!S_STM07_IS(D391,55,$G$5,$H$13)/$E$5))</f>
        <v/>
      </c>
      <c r="L391" s="249" t="str">
        <f ca="1">IF(C391="","",IF($L$11="ROA",[1]!S_STM07_IS(D391,61,$G$5,$H$13)/[1]!S_STM07_BS(D391,74,$G$5,$H$13),1-[1]!S_STM07_IS(D391,61,$G$5,$H$13)/[1]!S_STM07_IS(D391,55,$G$5,$H$13)))</f>
        <v/>
      </c>
      <c r="M391" s="249" t="str">
        <f ca="1">IF(C391="","",IF($M$11="ROE",[1]!S_STM07_IS(D391,61,$G$5,$H$13)/[1]!S_STM07_BS(D391,141,$G$5,$H$13),([1]!S_STM07_BS(D391,25,$G$5,$H$13)-[1]!S_STM07_BS(D391,93,$G$5,$H$13))/$E$5))</f>
        <v/>
      </c>
      <c r="N391" s="250" t="str">
        <f ca="1">IF(C391="","",IF($N$11="EPS",[1]!S_STM07_IS(D391,61,$G$5,$H$13)/IF([1]!S_SHARE_TOTAL(D391,$G$5)=0,[1]!S_SHARE_TOTAL(D391,[1]!s_ipo_listeddate(D391)),[1]!S_SHARE_TOTAL(D391,$G$5)),([1]!S_STM07_BS(D391,75,$G$5,$H$13)+[1]!S_STM07_BS(D391,88,$G$5,$H$13)+[1]!S_STM07_BS(D391,94,$G$5,$H$13)+[1]!S_STM07_BS(D391,95,$G$5,$H$13))/$E$5))</f>
        <v/>
      </c>
      <c r="O391" s="250" t="str">
        <f ca="1">IF(C391="","",IF($O$11="BPS",[1]!S_STM07_BS(D391,141,$G$5,$H$13)/IF([1]!S_SHARE_TOTAL(D391,$G$5)=0,[1]!S_SHARE_TOTAL(D391,[1]!s_ipo_listeddate(D391)),[1]!S_SHARE_TOTAL(D391,$G$5)),[1]!S_STM07_CS(D391,49,$G$5,$H$13)/$E$5))</f>
        <v/>
      </c>
      <c r="P391" s="250" t="str">
        <f ca="1">IF(C391="","",IF($P$11="CFPS",[1]!S_STM07_CS(D391,84,$G$5,$H$13)/IF([1]!S_SHARE_TOTAL(D391,$G$5)=0,[1]!S_SHARE_TOTAL(D391,[1]!s_ipo_listeddate(D391)),[1]!S_SHARE_TOTAL(D391,$G$5)),[1]!S_STM07_CS(D391,84,$G$5,$H$13)/$E$5))</f>
        <v/>
      </c>
      <c r="Q391" s="198" t="str">
        <f ca="1">IF(C391="","",F391/([1]!S_STM07_IS(D391,61,$G$5,$H$13)/IF([1]!S_SHARE_TOTAL(D391,$G$5)=0,[1]!S_SHARE_TOTAL(D391,[1]!s_ipo_listeddate(D391)),[1]!S_SHARE_TOTAL(D391,$G$5))))</f>
        <v/>
      </c>
      <c r="R391" s="198" t="str">
        <f ca="1">IF(C391="","",F391/([1]!S_STM07_BS(D391,141,$G$5,$H$13)/IF([1]!S_SHARE_TOTAL(D391,$G$5)=0,[1]!S_SHARE_TOTAL(D391,[1]!s_ipo_listeddate(D391)),[1]!S_SHARE_TOTAL(D391,$G$5))))</f>
        <v/>
      </c>
      <c r="S391" s="249" t="str">
        <f ca="1">IF(C391="","",[1]!S_SHARE_TOTAL(D391,TODAY())/$E$5)</f>
        <v/>
      </c>
      <c r="T391" s="249" t="str">
        <f t="shared" ca="1" si="43"/>
        <v/>
      </c>
      <c r="U391" s="172" t="str">
        <f t="shared" ca="1" si="44"/>
        <v/>
      </c>
      <c r="V391" s="343" t="str">
        <f t="shared" ca="1" si="45"/>
        <v/>
      </c>
      <c r="W391" s="139"/>
      <c r="Y391" s="1"/>
    </row>
    <row r="392" spans="3:25" ht="12" customHeight="1">
      <c r="C392" s="342" t="str">
        <f t="shared" ca="1" si="40"/>
        <v/>
      </c>
      <c r="D392" s="153" t="str">
        <f t="shared" ca="1" si="41"/>
        <v/>
      </c>
      <c r="E392" s="153" t="str">
        <f t="shared" ca="1" si="42"/>
        <v/>
      </c>
      <c r="F392" s="170" t="str">
        <f ca="1">IF(C392="","",[1]!S_DQ_CLOSE(D392,TODAY(),1))</f>
        <v/>
      </c>
      <c r="G392" s="171" t="str">
        <f ca="1">IF(C392="","",[1]!s_pq_pctchange(D392,TODAY()-$G$12,TODAY())/100)</f>
        <v/>
      </c>
      <c r="H392" s="247" t="str">
        <f ca="1">IF(C392="","",IF($H$11="收入",[1]!S_STM07_IS(D392,9,$G$5,$H$13)/$E$5,[1]!S_STM07_IS(D392,48,$G$5,$H$13)/$E$5))</f>
        <v/>
      </c>
      <c r="I392" s="247" t="str">
        <f ca="1">IF(C392="","",IF($I$11="毛利率",([1]!S_STM07_IS(D392,9,$G$5,$H$13)-[1]!S_STM07_IS(D392,10,$G$5,$H$13))/[1]!S_STM07_IS(D392,9,$G$5,$H$13),[1]!S_STM07_IS(D392,14,$G$5,$H$13)/$E$5))</f>
        <v/>
      </c>
      <c r="J392" s="247" t="str">
        <f ca="1">IF(C392="","",IF($J$11="营业利润率",[1]!S_STM07_IS(D392,48,$G$5,$H$13)/[1]!S_STM07_IS(D392,9,$G$5,$H$13),([1]!S_STM07_CS(D392,87,$G$5,$H$13)+[1]!S_STM07_CS(D392,88,$G$5,$H$13)+[1]!S_STM07_CS(D392,89,$G$5,$H$13))/$E$5))</f>
        <v/>
      </c>
      <c r="K392" s="247" t="str">
        <f ca="1">IF(C392="","",IF($K$11="净利润率",[1]!S_STM07_IS(D392,61,$G$5,$H$13)/[1]!S_STM07_IS(D392,9,$G$5,$H$13),[1]!S_STM07_IS(D392,55,$G$5,$H$13)/$E$5))</f>
        <v/>
      </c>
      <c r="L392" s="247" t="str">
        <f ca="1">IF(C392="","",IF($L$11="ROA",[1]!S_STM07_IS(D392,61,$G$5,$H$13)/[1]!S_STM07_BS(D392,74,$G$5,$H$13),1-[1]!S_STM07_IS(D392,61,$G$5,$H$13)/[1]!S_STM07_IS(D392,55,$G$5,$H$13)))</f>
        <v/>
      </c>
      <c r="M392" s="247" t="str">
        <f ca="1">IF(C392="","",IF($M$11="ROE",[1]!S_STM07_IS(D392,61,$G$5,$H$13)/[1]!S_STM07_BS(D392,141,$G$5,$H$13),([1]!S_STM07_BS(D392,25,$G$5,$H$13)-[1]!S_STM07_BS(D392,93,$G$5,$H$13))/$E$5))</f>
        <v/>
      </c>
      <c r="N392" s="247" t="str">
        <f ca="1">IF(C392="","",IF($N$11="EPS",[1]!S_STM07_IS(D392,61,$G$5,$H$13)/IF([1]!S_SHARE_TOTAL(D392,$G$5)=0,[1]!S_SHARE_TOTAL(D392,[1]!s_ipo_listeddate(D392)),[1]!S_SHARE_TOTAL(D392,$G$5)),([1]!S_STM07_BS(D392,75,$G$5,$H$13)+[1]!S_STM07_BS(D392,88,$G$5,$H$13)+[1]!S_STM07_BS(D392,94,$G$5,$H$13)+[1]!S_STM07_BS(D392,95,$G$5,$H$13))/$E$5))</f>
        <v/>
      </c>
      <c r="O392" s="247" t="str">
        <f ca="1">IF(C392="","",IF($O$11="BPS",[1]!S_STM07_BS(D392,141,$G$5,$H$13)/IF([1]!S_SHARE_TOTAL(D392,$G$5)=0,[1]!S_SHARE_TOTAL(D392,[1]!s_ipo_listeddate(D392)),[1]!S_SHARE_TOTAL(D392,$G$5)),[1]!S_STM07_CS(D392,49,$G$5,$H$13)/$E$5))</f>
        <v/>
      </c>
      <c r="P392" s="247" t="str">
        <f ca="1">IF(C392="","",IF($P$11="CFPS",[1]!S_STM07_CS(D392,84,$G$5,$H$13)/IF([1]!S_SHARE_TOTAL(D392,$G$5)=0,[1]!S_SHARE_TOTAL(D392,[1]!s_ipo_listeddate(D392)),[1]!S_SHARE_TOTAL(D392,$G$5)),[1]!S_STM07_CS(D392,84,$G$5,$H$13)/$E$5))</f>
        <v/>
      </c>
      <c r="Q392" s="248" t="str">
        <f ca="1">IF(C392="","",F392/([1]!S_STM07_IS(D392,61,$G$5,$H$13)/IF([1]!S_SHARE_TOTAL(D392,$G$5)=0,[1]!S_SHARE_TOTAL(D392,[1]!s_ipo_listeddate(D392)),[1]!S_SHARE_TOTAL(D392,$G$5))))</f>
        <v/>
      </c>
      <c r="R392" s="248" t="str">
        <f ca="1">IF(C392="","",F392/([1]!S_STM07_BS(D392,141,$G$5,$H$13)/IF([1]!S_SHARE_TOTAL(D392,$G$5)=0,[1]!S_SHARE_TOTAL(D392,[1]!s_ipo_listeddate(D392)),[1]!S_SHARE_TOTAL(D392,$G$5))))</f>
        <v/>
      </c>
      <c r="S392" s="247" t="str">
        <f ca="1">IF(C392="","",[1]!S_SHARE_TOTAL(D392,TODAY())/$E$5)</f>
        <v/>
      </c>
      <c r="T392" s="247" t="str">
        <f t="shared" ca="1" si="43"/>
        <v/>
      </c>
      <c r="U392" s="218" t="str">
        <f t="shared" ca="1" si="44"/>
        <v/>
      </c>
      <c r="V392" s="342" t="str">
        <f t="shared" ca="1" si="45"/>
        <v/>
      </c>
      <c r="W392" s="139"/>
      <c r="Y392" s="1"/>
    </row>
    <row r="393" spans="3:25" ht="12" customHeight="1">
      <c r="C393" s="343" t="str">
        <f t="shared" ca="1" si="40"/>
        <v/>
      </c>
      <c r="D393" s="124" t="str">
        <f t="shared" ca="1" si="41"/>
        <v/>
      </c>
      <c r="E393" s="124" t="str">
        <f t="shared" ca="1" si="42"/>
        <v/>
      </c>
      <c r="F393" s="172" t="str">
        <f ca="1">IF(C393="","",[1]!S_DQ_CLOSE(D393,TODAY(),1))</f>
        <v/>
      </c>
      <c r="G393" s="173" t="str">
        <f ca="1">IF(C393="","",[1]!s_pq_pctchange(D393,TODAY()-$G$12,TODAY())/100)</f>
        <v/>
      </c>
      <c r="H393" s="249" t="str">
        <f ca="1">IF(C393="","",IF($H$11="收入",[1]!S_STM07_IS(D393,9,$G$5,$H$13)/$E$5,[1]!S_STM07_IS(D393,48,$G$5,$H$13)/$E$5))</f>
        <v/>
      </c>
      <c r="I393" s="249" t="str">
        <f ca="1">IF(C393="","",IF($I$11="毛利率",([1]!S_STM07_IS(D393,9,$G$5,$H$13)-[1]!S_STM07_IS(D393,10,$G$5,$H$13))/[1]!S_STM07_IS(D393,9,$G$5,$H$13),[1]!S_STM07_IS(D393,14,$G$5,$H$13)/$E$5))</f>
        <v/>
      </c>
      <c r="J393" s="249" t="str">
        <f ca="1">IF(C393="","",IF($J$11="营业利润率",[1]!S_STM07_IS(D393,48,$G$5,$H$13)/[1]!S_STM07_IS(D393,9,$G$5,$H$13),([1]!S_STM07_CS(D393,87,$G$5,$H$13)+[1]!S_STM07_CS(D393,88,$G$5,$H$13)+[1]!S_STM07_CS(D393,89,$G$5,$H$13))/$E$5))</f>
        <v/>
      </c>
      <c r="K393" s="249" t="str">
        <f ca="1">IF(C393="","",IF($K$11="净利润率",[1]!S_STM07_IS(D393,61,$G$5,$H$13)/[1]!S_STM07_IS(D393,9,$G$5,$H$13),[1]!S_STM07_IS(D393,55,$G$5,$H$13)/$E$5))</f>
        <v/>
      </c>
      <c r="L393" s="249" t="str">
        <f ca="1">IF(C393="","",IF($L$11="ROA",[1]!S_STM07_IS(D393,61,$G$5,$H$13)/[1]!S_STM07_BS(D393,74,$G$5,$H$13),1-[1]!S_STM07_IS(D393,61,$G$5,$H$13)/[1]!S_STM07_IS(D393,55,$G$5,$H$13)))</f>
        <v/>
      </c>
      <c r="M393" s="249" t="str">
        <f ca="1">IF(C393="","",IF($M$11="ROE",[1]!S_STM07_IS(D393,61,$G$5,$H$13)/[1]!S_STM07_BS(D393,141,$G$5,$H$13),([1]!S_STM07_BS(D393,25,$G$5,$H$13)-[1]!S_STM07_BS(D393,93,$G$5,$H$13))/$E$5))</f>
        <v/>
      </c>
      <c r="N393" s="250" t="str">
        <f ca="1">IF(C393="","",IF($N$11="EPS",[1]!S_STM07_IS(D393,61,$G$5,$H$13)/IF([1]!S_SHARE_TOTAL(D393,$G$5)=0,[1]!S_SHARE_TOTAL(D393,[1]!s_ipo_listeddate(D393)),[1]!S_SHARE_TOTAL(D393,$G$5)),([1]!S_STM07_BS(D393,75,$G$5,$H$13)+[1]!S_STM07_BS(D393,88,$G$5,$H$13)+[1]!S_STM07_BS(D393,94,$G$5,$H$13)+[1]!S_STM07_BS(D393,95,$G$5,$H$13))/$E$5))</f>
        <v/>
      </c>
      <c r="O393" s="250" t="str">
        <f ca="1">IF(C393="","",IF($O$11="BPS",[1]!S_STM07_BS(D393,141,$G$5,$H$13)/IF([1]!S_SHARE_TOTAL(D393,$G$5)=0,[1]!S_SHARE_TOTAL(D393,[1]!s_ipo_listeddate(D393)),[1]!S_SHARE_TOTAL(D393,$G$5)),[1]!S_STM07_CS(D393,49,$G$5,$H$13)/$E$5))</f>
        <v/>
      </c>
      <c r="P393" s="250" t="str">
        <f ca="1">IF(C393="","",IF($P$11="CFPS",[1]!S_STM07_CS(D393,84,$G$5,$H$13)/IF([1]!S_SHARE_TOTAL(D393,$G$5)=0,[1]!S_SHARE_TOTAL(D393,[1]!s_ipo_listeddate(D393)),[1]!S_SHARE_TOTAL(D393,$G$5)),[1]!S_STM07_CS(D393,84,$G$5,$H$13)/$E$5))</f>
        <v/>
      </c>
      <c r="Q393" s="198" t="str">
        <f ca="1">IF(C393="","",F393/([1]!S_STM07_IS(D393,61,$G$5,$H$13)/IF([1]!S_SHARE_TOTAL(D393,$G$5)=0,[1]!S_SHARE_TOTAL(D393,[1]!s_ipo_listeddate(D393)),[1]!S_SHARE_TOTAL(D393,$G$5))))</f>
        <v/>
      </c>
      <c r="R393" s="198" t="str">
        <f ca="1">IF(C393="","",F393/([1]!S_STM07_BS(D393,141,$G$5,$H$13)/IF([1]!S_SHARE_TOTAL(D393,$G$5)=0,[1]!S_SHARE_TOTAL(D393,[1]!s_ipo_listeddate(D393)),[1]!S_SHARE_TOTAL(D393,$G$5))))</f>
        <v/>
      </c>
      <c r="S393" s="249" t="str">
        <f ca="1">IF(C393="","",[1]!S_SHARE_TOTAL(D393,TODAY())/$E$5)</f>
        <v/>
      </c>
      <c r="T393" s="249" t="str">
        <f t="shared" ca="1" si="43"/>
        <v/>
      </c>
      <c r="U393" s="172" t="str">
        <f t="shared" ca="1" si="44"/>
        <v/>
      </c>
      <c r="V393" s="343" t="str">
        <f t="shared" ca="1" si="45"/>
        <v/>
      </c>
      <c r="W393" s="139"/>
      <c r="Y393" s="1"/>
    </row>
    <row r="394" spans="3:25" ht="12" customHeight="1">
      <c r="C394" s="342" t="str">
        <f t="shared" ca="1" si="40"/>
        <v/>
      </c>
      <c r="D394" s="153" t="str">
        <f t="shared" ca="1" si="41"/>
        <v/>
      </c>
      <c r="E394" s="153" t="str">
        <f t="shared" ca="1" si="42"/>
        <v/>
      </c>
      <c r="F394" s="170" t="str">
        <f ca="1">IF(C394="","",[1]!S_DQ_CLOSE(D394,TODAY(),1))</f>
        <v/>
      </c>
      <c r="G394" s="171" t="str">
        <f ca="1">IF(C394="","",[1]!s_pq_pctchange(D394,TODAY()-$G$12,TODAY())/100)</f>
        <v/>
      </c>
      <c r="H394" s="247" t="str">
        <f ca="1">IF(C394="","",IF($H$11="收入",[1]!S_STM07_IS(D394,9,$G$5,$H$13)/$E$5,[1]!S_STM07_IS(D394,48,$G$5,$H$13)/$E$5))</f>
        <v/>
      </c>
      <c r="I394" s="247" t="str">
        <f ca="1">IF(C394="","",IF($I$11="毛利率",([1]!S_STM07_IS(D394,9,$G$5,$H$13)-[1]!S_STM07_IS(D394,10,$G$5,$H$13))/[1]!S_STM07_IS(D394,9,$G$5,$H$13),[1]!S_STM07_IS(D394,14,$G$5,$H$13)/$E$5))</f>
        <v/>
      </c>
      <c r="J394" s="247" t="str">
        <f ca="1">IF(C394="","",IF($J$11="营业利润率",[1]!S_STM07_IS(D394,48,$G$5,$H$13)/[1]!S_STM07_IS(D394,9,$G$5,$H$13),([1]!S_STM07_CS(D394,87,$G$5,$H$13)+[1]!S_STM07_CS(D394,88,$G$5,$H$13)+[1]!S_STM07_CS(D394,89,$G$5,$H$13))/$E$5))</f>
        <v/>
      </c>
      <c r="K394" s="247" t="str">
        <f ca="1">IF(C394="","",IF($K$11="净利润率",[1]!S_STM07_IS(D394,61,$G$5,$H$13)/[1]!S_STM07_IS(D394,9,$G$5,$H$13),[1]!S_STM07_IS(D394,55,$G$5,$H$13)/$E$5))</f>
        <v/>
      </c>
      <c r="L394" s="247" t="str">
        <f ca="1">IF(C394="","",IF($L$11="ROA",[1]!S_STM07_IS(D394,61,$G$5,$H$13)/[1]!S_STM07_BS(D394,74,$G$5,$H$13),1-[1]!S_STM07_IS(D394,61,$G$5,$H$13)/[1]!S_STM07_IS(D394,55,$G$5,$H$13)))</f>
        <v/>
      </c>
      <c r="M394" s="247" t="str">
        <f ca="1">IF(C394="","",IF($M$11="ROE",[1]!S_STM07_IS(D394,61,$G$5,$H$13)/[1]!S_STM07_BS(D394,141,$G$5,$H$13),([1]!S_STM07_BS(D394,25,$G$5,$H$13)-[1]!S_STM07_BS(D394,93,$G$5,$H$13))/$E$5))</f>
        <v/>
      </c>
      <c r="N394" s="247" t="str">
        <f ca="1">IF(C394="","",IF($N$11="EPS",[1]!S_STM07_IS(D394,61,$G$5,$H$13)/IF([1]!S_SHARE_TOTAL(D394,$G$5)=0,[1]!S_SHARE_TOTAL(D394,[1]!s_ipo_listeddate(D394)),[1]!S_SHARE_TOTAL(D394,$G$5)),([1]!S_STM07_BS(D394,75,$G$5,$H$13)+[1]!S_STM07_BS(D394,88,$G$5,$H$13)+[1]!S_STM07_BS(D394,94,$G$5,$H$13)+[1]!S_STM07_BS(D394,95,$G$5,$H$13))/$E$5))</f>
        <v/>
      </c>
      <c r="O394" s="247" t="str">
        <f ca="1">IF(C394="","",IF($O$11="BPS",[1]!S_STM07_BS(D394,141,$G$5,$H$13)/IF([1]!S_SHARE_TOTAL(D394,$G$5)=0,[1]!S_SHARE_TOTAL(D394,[1]!s_ipo_listeddate(D394)),[1]!S_SHARE_TOTAL(D394,$G$5)),[1]!S_STM07_CS(D394,49,$G$5,$H$13)/$E$5))</f>
        <v/>
      </c>
      <c r="P394" s="247" t="str">
        <f ca="1">IF(C394="","",IF($P$11="CFPS",[1]!S_STM07_CS(D394,84,$G$5,$H$13)/IF([1]!S_SHARE_TOTAL(D394,$G$5)=0,[1]!S_SHARE_TOTAL(D394,[1]!s_ipo_listeddate(D394)),[1]!S_SHARE_TOTAL(D394,$G$5)),[1]!S_STM07_CS(D394,84,$G$5,$H$13)/$E$5))</f>
        <v/>
      </c>
      <c r="Q394" s="248" t="str">
        <f ca="1">IF(C394="","",F394/([1]!S_STM07_IS(D394,61,$G$5,$H$13)/IF([1]!S_SHARE_TOTAL(D394,$G$5)=0,[1]!S_SHARE_TOTAL(D394,[1]!s_ipo_listeddate(D394)),[1]!S_SHARE_TOTAL(D394,$G$5))))</f>
        <v/>
      </c>
      <c r="R394" s="248" t="str">
        <f ca="1">IF(C394="","",F394/([1]!S_STM07_BS(D394,141,$G$5,$H$13)/IF([1]!S_SHARE_TOTAL(D394,$G$5)=0,[1]!S_SHARE_TOTAL(D394,[1]!s_ipo_listeddate(D394)),[1]!S_SHARE_TOTAL(D394,$G$5))))</f>
        <v/>
      </c>
      <c r="S394" s="247" t="str">
        <f ca="1">IF(C394="","",[1]!S_SHARE_TOTAL(D394,TODAY())/$E$5)</f>
        <v/>
      </c>
      <c r="T394" s="247" t="str">
        <f t="shared" ca="1" si="43"/>
        <v/>
      </c>
      <c r="U394" s="218" t="str">
        <f t="shared" ca="1" si="44"/>
        <v/>
      </c>
      <c r="V394" s="342" t="str">
        <f t="shared" ca="1" si="45"/>
        <v/>
      </c>
      <c r="W394" s="139"/>
      <c r="Y394" s="1"/>
    </row>
    <row r="395" spans="3:25" ht="12" customHeight="1">
      <c r="C395" s="343" t="str">
        <f t="shared" ca="1" si="40"/>
        <v/>
      </c>
      <c r="D395" s="124" t="str">
        <f t="shared" ca="1" si="41"/>
        <v/>
      </c>
      <c r="E395" s="124" t="str">
        <f t="shared" ca="1" si="42"/>
        <v/>
      </c>
      <c r="F395" s="172" t="str">
        <f ca="1">IF(C395="","",[1]!S_DQ_CLOSE(D395,TODAY(),1))</f>
        <v/>
      </c>
      <c r="G395" s="173" t="str">
        <f ca="1">IF(C395="","",[1]!s_pq_pctchange(D395,TODAY()-$G$12,TODAY())/100)</f>
        <v/>
      </c>
      <c r="H395" s="249" t="str">
        <f ca="1">IF(C395="","",IF($H$11="收入",[1]!S_STM07_IS(D395,9,$G$5,$H$13)/$E$5,[1]!S_STM07_IS(D395,48,$G$5,$H$13)/$E$5))</f>
        <v/>
      </c>
      <c r="I395" s="249" t="str">
        <f ca="1">IF(C395="","",IF($I$11="毛利率",([1]!S_STM07_IS(D395,9,$G$5,$H$13)-[1]!S_STM07_IS(D395,10,$G$5,$H$13))/[1]!S_STM07_IS(D395,9,$G$5,$H$13),[1]!S_STM07_IS(D395,14,$G$5,$H$13)/$E$5))</f>
        <v/>
      </c>
      <c r="J395" s="249" t="str">
        <f ca="1">IF(C395="","",IF($J$11="营业利润率",[1]!S_STM07_IS(D395,48,$G$5,$H$13)/[1]!S_STM07_IS(D395,9,$G$5,$H$13),([1]!S_STM07_CS(D395,87,$G$5,$H$13)+[1]!S_STM07_CS(D395,88,$G$5,$H$13)+[1]!S_STM07_CS(D395,89,$G$5,$H$13))/$E$5))</f>
        <v/>
      </c>
      <c r="K395" s="249" t="str">
        <f ca="1">IF(C395="","",IF($K$11="净利润率",[1]!S_STM07_IS(D395,61,$G$5,$H$13)/[1]!S_STM07_IS(D395,9,$G$5,$H$13),[1]!S_STM07_IS(D395,55,$G$5,$H$13)/$E$5))</f>
        <v/>
      </c>
      <c r="L395" s="249" t="str">
        <f ca="1">IF(C395="","",IF($L$11="ROA",[1]!S_STM07_IS(D395,61,$G$5,$H$13)/[1]!S_STM07_BS(D395,74,$G$5,$H$13),1-[1]!S_STM07_IS(D395,61,$G$5,$H$13)/[1]!S_STM07_IS(D395,55,$G$5,$H$13)))</f>
        <v/>
      </c>
      <c r="M395" s="249" t="str">
        <f ca="1">IF(C395="","",IF($M$11="ROE",[1]!S_STM07_IS(D395,61,$G$5,$H$13)/[1]!S_STM07_BS(D395,141,$G$5,$H$13),([1]!S_STM07_BS(D395,25,$G$5,$H$13)-[1]!S_STM07_BS(D395,93,$G$5,$H$13))/$E$5))</f>
        <v/>
      </c>
      <c r="N395" s="250" t="str">
        <f ca="1">IF(C395="","",IF($N$11="EPS",[1]!S_STM07_IS(D395,61,$G$5,$H$13)/IF([1]!S_SHARE_TOTAL(D395,$G$5)=0,[1]!S_SHARE_TOTAL(D395,[1]!s_ipo_listeddate(D395)),[1]!S_SHARE_TOTAL(D395,$G$5)),([1]!S_STM07_BS(D395,75,$G$5,$H$13)+[1]!S_STM07_BS(D395,88,$G$5,$H$13)+[1]!S_STM07_BS(D395,94,$G$5,$H$13)+[1]!S_STM07_BS(D395,95,$G$5,$H$13))/$E$5))</f>
        <v/>
      </c>
      <c r="O395" s="250" t="str">
        <f ca="1">IF(C395="","",IF($O$11="BPS",[1]!S_STM07_BS(D395,141,$G$5,$H$13)/IF([1]!S_SHARE_TOTAL(D395,$G$5)=0,[1]!S_SHARE_TOTAL(D395,[1]!s_ipo_listeddate(D395)),[1]!S_SHARE_TOTAL(D395,$G$5)),[1]!S_STM07_CS(D395,49,$G$5,$H$13)/$E$5))</f>
        <v/>
      </c>
      <c r="P395" s="250" t="str">
        <f ca="1">IF(C395="","",IF($P$11="CFPS",[1]!S_STM07_CS(D395,84,$G$5,$H$13)/IF([1]!S_SHARE_TOTAL(D395,$G$5)=0,[1]!S_SHARE_TOTAL(D395,[1]!s_ipo_listeddate(D395)),[1]!S_SHARE_TOTAL(D395,$G$5)),[1]!S_STM07_CS(D395,84,$G$5,$H$13)/$E$5))</f>
        <v/>
      </c>
      <c r="Q395" s="198" t="str">
        <f ca="1">IF(C395="","",F395/([1]!S_STM07_IS(D395,61,$G$5,$H$13)/IF([1]!S_SHARE_TOTAL(D395,$G$5)=0,[1]!S_SHARE_TOTAL(D395,[1]!s_ipo_listeddate(D395)),[1]!S_SHARE_TOTAL(D395,$G$5))))</f>
        <v/>
      </c>
      <c r="R395" s="198" t="str">
        <f ca="1">IF(C395="","",F395/([1]!S_STM07_BS(D395,141,$G$5,$H$13)/IF([1]!S_SHARE_TOTAL(D395,$G$5)=0,[1]!S_SHARE_TOTAL(D395,[1]!s_ipo_listeddate(D395)),[1]!S_SHARE_TOTAL(D395,$G$5))))</f>
        <v/>
      </c>
      <c r="S395" s="249" t="str">
        <f ca="1">IF(C395="","",[1]!S_SHARE_TOTAL(D395,TODAY())/$E$5)</f>
        <v/>
      </c>
      <c r="T395" s="249" t="str">
        <f t="shared" ca="1" si="43"/>
        <v/>
      </c>
      <c r="U395" s="172" t="str">
        <f t="shared" ca="1" si="44"/>
        <v/>
      </c>
      <c r="V395" s="343" t="str">
        <f t="shared" ca="1" si="45"/>
        <v/>
      </c>
      <c r="W395" s="139"/>
      <c r="Y395" s="1"/>
    </row>
    <row r="396" spans="3:25" ht="12" customHeight="1">
      <c r="C396" s="342" t="str">
        <f t="shared" ca="1" si="40"/>
        <v/>
      </c>
      <c r="D396" s="153" t="str">
        <f t="shared" ca="1" si="41"/>
        <v/>
      </c>
      <c r="E396" s="153" t="str">
        <f t="shared" ca="1" si="42"/>
        <v/>
      </c>
      <c r="F396" s="170" t="str">
        <f ca="1">IF(C396="","",[1]!S_DQ_CLOSE(D396,TODAY(),1))</f>
        <v/>
      </c>
      <c r="G396" s="171" t="str">
        <f ca="1">IF(C396="","",[1]!s_pq_pctchange(D396,TODAY()-$G$12,TODAY())/100)</f>
        <v/>
      </c>
      <c r="H396" s="247" t="str">
        <f ca="1">IF(C396="","",IF($H$11="收入",[1]!S_STM07_IS(D396,9,$G$5,$H$13)/$E$5,[1]!S_STM07_IS(D396,48,$G$5,$H$13)/$E$5))</f>
        <v/>
      </c>
      <c r="I396" s="247" t="str">
        <f ca="1">IF(C396="","",IF($I$11="毛利率",([1]!S_STM07_IS(D396,9,$G$5,$H$13)-[1]!S_STM07_IS(D396,10,$G$5,$H$13))/[1]!S_STM07_IS(D396,9,$G$5,$H$13),[1]!S_STM07_IS(D396,14,$G$5,$H$13)/$E$5))</f>
        <v/>
      </c>
      <c r="J396" s="247" t="str">
        <f ca="1">IF(C396="","",IF($J$11="营业利润率",[1]!S_STM07_IS(D396,48,$G$5,$H$13)/[1]!S_STM07_IS(D396,9,$G$5,$H$13),([1]!S_STM07_CS(D396,87,$G$5,$H$13)+[1]!S_STM07_CS(D396,88,$G$5,$H$13)+[1]!S_STM07_CS(D396,89,$G$5,$H$13))/$E$5))</f>
        <v/>
      </c>
      <c r="K396" s="247" t="str">
        <f ca="1">IF(C396="","",IF($K$11="净利润率",[1]!S_STM07_IS(D396,61,$G$5,$H$13)/[1]!S_STM07_IS(D396,9,$G$5,$H$13),[1]!S_STM07_IS(D396,55,$G$5,$H$13)/$E$5))</f>
        <v/>
      </c>
      <c r="L396" s="247" t="str">
        <f ca="1">IF(C396="","",IF($L$11="ROA",[1]!S_STM07_IS(D396,61,$G$5,$H$13)/[1]!S_STM07_BS(D396,74,$G$5,$H$13),1-[1]!S_STM07_IS(D396,61,$G$5,$H$13)/[1]!S_STM07_IS(D396,55,$G$5,$H$13)))</f>
        <v/>
      </c>
      <c r="M396" s="247" t="str">
        <f ca="1">IF(C396="","",IF($M$11="ROE",[1]!S_STM07_IS(D396,61,$G$5,$H$13)/[1]!S_STM07_BS(D396,141,$G$5,$H$13),([1]!S_STM07_BS(D396,25,$G$5,$H$13)-[1]!S_STM07_BS(D396,93,$G$5,$H$13))/$E$5))</f>
        <v/>
      </c>
      <c r="N396" s="247" t="str">
        <f ca="1">IF(C396="","",IF($N$11="EPS",[1]!S_STM07_IS(D396,61,$G$5,$H$13)/IF([1]!S_SHARE_TOTAL(D396,$G$5)=0,[1]!S_SHARE_TOTAL(D396,[1]!s_ipo_listeddate(D396)),[1]!S_SHARE_TOTAL(D396,$G$5)),([1]!S_STM07_BS(D396,75,$G$5,$H$13)+[1]!S_STM07_BS(D396,88,$G$5,$H$13)+[1]!S_STM07_BS(D396,94,$G$5,$H$13)+[1]!S_STM07_BS(D396,95,$G$5,$H$13))/$E$5))</f>
        <v/>
      </c>
      <c r="O396" s="247" t="str">
        <f ca="1">IF(C396="","",IF($O$11="BPS",[1]!S_STM07_BS(D396,141,$G$5,$H$13)/IF([1]!S_SHARE_TOTAL(D396,$G$5)=0,[1]!S_SHARE_TOTAL(D396,[1]!s_ipo_listeddate(D396)),[1]!S_SHARE_TOTAL(D396,$G$5)),[1]!S_STM07_CS(D396,49,$G$5,$H$13)/$E$5))</f>
        <v/>
      </c>
      <c r="P396" s="247" t="str">
        <f ca="1">IF(C396="","",IF($P$11="CFPS",[1]!S_STM07_CS(D396,84,$G$5,$H$13)/IF([1]!S_SHARE_TOTAL(D396,$G$5)=0,[1]!S_SHARE_TOTAL(D396,[1]!s_ipo_listeddate(D396)),[1]!S_SHARE_TOTAL(D396,$G$5)),[1]!S_STM07_CS(D396,84,$G$5,$H$13)/$E$5))</f>
        <v/>
      </c>
      <c r="Q396" s="248" t="str">
        <f ca="1">IF(C396="","",F396/([1]!S_STM07_IS(D396,61,$G$5,$H$13)/IF([1]!S_SHARE_TOTAL(D396,$G$5)=0,[1]!S_SHARE_TOTAL(D396,[1]!s_ipo_listeddate(D396)),[1]!S_SHARE_TOTAL(D396,$G$5))))</f>
        <v/>
      </c>
      <c r="R396" s="248" t="str">
        <f ca="1">IF(C396="","",F396/([1]!S_STM07_BS(D396,141,$G$5,$H$13)/IF([1]!S_SHARE_TOTAL(D396,$G$5)=0,[1]!S_SHARE_TOTAL(D396,[1]!s_ipo_listeddate(D396)),[1]!S_SHARE_TOTAL(D396,$G$5))))</f>
        <v/>
      </c>
      <c r="S396" s="247" t="str">
        <f ca="1">IF(C396="","",[1]!S_SHARE_TOTAL(D396,TODAY())/$E$5)</f>
        <v/>
      </c>
      <c r="T396" s="247" t="str">
        <f t="shared" ca="1" si="43"/>
        <v/>
      </c>
      <c r="U396" s="218" t="str">
        <f t="shared" ca="1" si="44"/>
        <v/>
      </c>
      <c r="V396" s="342" t="str">
        <f t="shared" ca="1" si="45"/>
        <v/>
      </c>
      <c r="W396" s="139"/>
      <c r="Y396" s="1"/>
    </row>
    <row r="397" spans="3:25" ht="12" customHeight="1">
      <c r="C397" s="343" t="str">
        <f t="shared" ca="1" si="40"/>
        <v/>
      </c>
      <c r="D397" s="124" t="str">
        <f t="shared" ca="1" si="41"/>
        <v/>
      </c>
      <c r="E397" s="124" t="str">
        <f t="shared" ca="1" si="42"/>
        <v/>
      </c>
      <c r="F397" s="172" t="str">
        <f ca="1">IF(C397="","",[1]!S_DQ_CLOSE(D397,TODAY(),1))</f>
        <v/>
      </c>
      <c r="G397" s="173" t="str">
        <f ca="1">IF(C397="","",[1]!s_pq_pctchange(D397,TODAY()-$G$12,TODAY())/100)</f>
        <v/>
      </c>
      <c r="H397" s="249" t="str">
        <f ca="1">IF(C397="","",IF($H$11="收入",[1]!S_STM07_IS(D397,9,$G$5,$H$13)/$E$5,[1]!S_STM07_IS(D397,48,$G$5,$H$13)/$E$5))</f>
        <v/>
      </c>
      <c r="I397" s="249" t="str">
        <f ca="1">IF(C397="","",IF($I$11="毛利率",([1]!S_STM07_IS(D397,9,$G$5,$H$13)-[1]!S_STM07_IS(D397,10,$G$5,$H$13))/[1]!S_STM07_IS(D397,9,$G$5,$H$13),[1]!S_STM07_IS(D397,14,$G$5,$H$13)/$E$5))</f>
        <v/>
      </c>
      <c r="J397" s="249" t="str">
        <f ca="1">IF(C397="","",IF($J$11="营业利润率",[1]!S_STM07_IS(D397,48,$G$5,$H$13)/[1]!S_STM07_IS(D397,9,$G$5,$H$13),([1]!S_STM07_CS(D397,87,$G$5,$H$13)+[1]!S_STM07_CS(D397,88,$G$5,$H$13)+[1]!S_STM07_CS(D397,89,$G$5,$H$13))/$E$5))</f>
        <v/>
      </c>
      <c r="K397" s="249" t="str">
        <f ca="1">IF(C397="","",IF($K$11="净利润率",[1]!S_STM07_IS(D397,61,$G$5,$H$13)/[1]!S_STM07_IS(D397,9,$G$5,$H$13),[1]!S_STM07_IS(D397,55,$G$5,$H$13)/$E$5))</f>
        <v/>
      </c>
      <c r="L397" s="249" t="str">
        <f ca="1">IF(C397="","",IF($L$11="ROA",[1]!S_STM07_IS(D397,61,$G$5,$H$13)/[1]!S_STM07_BS(D397,74,$G$5,$H$13),1-[1]!S_STM07_IS(D397,61,$G$5,$H$13)/[1]!S_STM07_IS(D397,55,$G$5,$H$13)))</f>
        <v/>
      </c>
      <c r="M397" s="249" t="str">
        <f ca="1">IF(C397="","",IF($M$11="ROE",[1]!S_STM07_IS(D397,61,$G$5,$H$13)/[1]!S_STM07_BS(D397,141,$G$5,$H$13),([1]!S_STM07_BS(D397,25,$G$5,$H$13)-[1]!S_STM07_BS(D397,93,$G$5,$H$13))/$E$5))</f>
        <v/>
      </c>
      <c r="N397" s="250" t="str">
        <f ca="1">IF(C397="","",IF($N$11="EPS",[1]!S_STM07_IS(D397,61,$G$5,$H$13)/IF([1]!S_SHARE_TOTAL(D397,$G$5)=0,[1]!S_SHARE_TOTAL(D397,[1]!s_ipo_listeddate(D397)),[1]!S_SHARE_TOTAL(D397,$G$5)),([1]!S_STM07_BS(D397,75,$G$5,$H$13)+[1]!S_STM07_BS(D397,88,$G$5,$H$13)+[1]!S_STM07_BS(D397,94,$G$5,$H$13)+[1]!S_STM07_BS(D397,95,$G$5,$H$13))/$E$5))</f>
        <v/>
      </c>
      <c r="O397" s="250" t="str">
        <f ca="1">IF(C397="","",IF($O$11="BPS",[1]!S_STM07_BS(D397,141,$G$5,$H$13)/IF([1]!S_SHARE_TOTAL(D397,$G$5)=0,[1]!S_SHARE_TOTAL(D397,[1]!s_ipo_listeddate(D397)),[1]!S_SHARE_TOTAL(D397,$G$5)),[1]!S_STM07_CS(D397,49,$G$5,$H$13)/$E$5))</f>
        <v/>
      </c>
      <c r="P397" s="250" t="str">
        <f ca="1">IF(C397="","",IF($P$11="CFPS",[1]!S_STM07_CS(D397,84,$G$5,$H$13)/IF([1]!S_SHARE_TOTAL(D397,$G$5)=0,[1]!S_SHARE_TOTAL(D397,[1]!s_ipo_listeddate(D397)),[1]!S_SHARE_TOTAL(D397,$G$5)),[1]!S_STM07_CS(D397,84,$G$5,$H$13)/$E$5))</f>
        <v/>
      </c>
      <c r="Q397" s="198" t="str">
        <f ca="1">IF(C397="","",F397/([1]!S_STM07_IS(D397,61,$G$5,$H$13)/IF([1]!S_SHARE_TOTAL(D397,$G$5)=0,[1]!S_SHARE_TOTAL(D397,[1]!s_ipo_listeddate(D397)),[1]!S_SHARE_TOTAL(D397,$G$5))))</f>
        <v/>
      </c>
      <c r="R397" s="198" t="str">
        <f ca="1">IF(C397="","",F397/([1]!S_STM07_BS(D397,141,$G$5,$H$13)/IF([1]!S_SHARE_TOTAL(D397,$G$5)=0,[1]!S_SHARE_TOTAL(D397,[1]!s_ipo_listeddate(D397)),[1]!S_SHARE_TOTAL(D397,$G$5))))</f>
        <v/>
      </c>
      <c r="S397" s="249" t="str">
        <f ca="1">IF(C397="","",[1]!S_SHARE_TOTAL(D397,TODAY())/$E$5)</f>
        <v/>
      </c>
      <c r="T397" s="249" t="str">
        <f t="shared" ca="1" si="43"/>
        <v/>
      </c>
      <c r="U397" s="172" t="str">
        <f t="shared" ca="1" si="44"/>
        <v/>
      </c>
      <c r="V397" s="343" t="str">
        <f t="shared" ca="1" si="45"/>
        <v/>
      </c>
      <c r="W397" s="139"/>
      <c r="Y397" s="1"/>
    </row>
    <row r="398" spans="3:25" ht="12" customHeight="1">
      <c r="C398" s="342" t="str">
        <f t="shared" ref="C398:C461" ca="1" si="46">IF(ROW()-13&lt;=MAX(series),ROW()-13,"")</f>
        <v/>
      </c>
      <c r="D398" s="153" t="str">
        <f t="shared" ca="1" si="41"/>
        <v/>
      </c>
      <c r="E398" s="153" t="str">
        <f t="shared" ca="1" si="42"/>
        <v/>
      </c>
      <c r="F398" s="170" t="str">
        <f ca="1">IF(C398="","",[1]!S_DQ_CLOSE(D398,TODAY(),1))</f>
        <v/>
      </c>
      <c r="G398" s="171" t="str">
        <f ca="1">IF(C398="","",[1]!s_pq_pctchange(D398,TODAY()-$G$12,TODAY())/100)</f>
        <v/>
      </c>
      <c r="H398" s="247" t="str">
        <f ca="1">IF(C398="","",IF($H$11="收入",[1]!S_STM07_IS(D398,9,$G$5,$H$13)/$E$5,[1]!S_STM07_IS(D398,48,$G$5,$H$13)/$E$5))</f>
        <v/>
      </c>
      <c r="I398" s="247" t="str">
        <f ca="1">IF(C398="","",IF($I$11="毛利率",([1]!S_STM07_IS(D398,9,$G$5,$H$13)-[1]!S_STM07_IS(D398,10,$G$5,$H$13))/[1]!S_STM07_IS(D398,9,$G$5,$H$13),[1]!S_STM07_IS(D398,14,$G$5,$H$13)/$E$5))</f>
        <v/>
      </c>
      <c r="J398" s="247" t="str">
        <f ca="1">IF(C398="","",IF($J$11="营业利润率",[1]!S_STM07_IS(D398,48,$G$5,$H$13)/[1]!S_STM07_IS(D398,9,$G$5,$H$13),([1]!S_STM07_CS(D398,87,$G$5,$H$13)+[1]!S_STM07_CS(D398,88,$G$5,$H$13)+[1]!S_STM07_CS(D398,89,$G$5,$H$13))/$E$5))</f>
        <v/>
      </c>
      <c r="K398" s="247" t="str">
        <f ca="1">IF(C398="","",IF($K$11="净利润率",[1]!S_STM07_IS(D398,61,$G$5,$H$13)/[1]!S_STM07_IS(D398,9,$G$5,$H$13),[1]!S_STM07_IS(D398,55,$G$5,$H$13)/$E$5))</f>
        <v/>
      </c>
      <c r="L398" s="247" t="str">
        <f ca="1">IF(C398="","",IF($L$11="ROA",[1]!S_STM07_IS(D398,61,$G$5,$H$13)/[1]!S_STM07_BS(D398,74,$G$5,$H$13),1-[1]!S_STM07_IS(D398,61,$G$5,$H$13)/[1]!S_STM07_IS(D398,55,$G$5,$H$13)))</f>
        <v/>
      </c>
      <c r="M398" s="247" t="str">
        <f ca="1">IF(C398="","",IF($M$11="ROE",[1]!S_STM07_IS(D398,61,$G$5,$H$13)/[1]!S_STM07_BS(D398,141,$G$5,$H$13),([1]!S_STM07_BS(D398,25,$G$5,$H$13)-[1]!S_STM07_BS(D398,93,$G$5,$H$13))/$E$5))</f>
        <v/>
      </c>
      <c r="N398" s="247" t="str">
        <f ca="1">IF(C398="","",IF($N$11="EPS",[1]!S_STM07_IS(D398,61,$G$5,$H$13)/IF([1]!S_SHARE_TOTAL(D398,$G$5)=0,[1]!S_SHARE_TOTAL(D398,[1]!s_ipo_listeddate(D398)),[1]!S_SHARE_TOTAL(D398,$G$5)),([1]!S_STM07_BS(D398,75,$G$5,$H$13)+[1]!S_STM07_BS(D398,88,$G$5,$H$13)+[1]!S_STM07_BS(D398,94,$G$5,$H$13)+[1]!S_STM07_BS(D398,95,$G$5,$H$13))/$E$5))</f>
        <v/>
      </c>
      <c r="O398" s="247" t="str">
        <f ca="1">IF(C398="","",IF($O$11="BPS",[1]!S_STM07_BS(D398,141,$G$5,$H$13)/IF([1]!S_SHARE_TOTAL(D398,$G$5)=0,[1]!S_SHARE_TOTAL(D398,[1]!s_ipo_listeddate(D398)),[1]!S_SHARE_TOTAL(D398,$G$5)),[1]!S_STM07_CS(D398,49,$G$5,$H$13)/$E$5))</f>
        <v/>
      </c>
      <c r="P398" s="247" t="str">
        <f ca="1">IF(C398="","",IF($P$11="CFPS",[1]!S_STM07_CS(D398,84,$G$5,$H$13)/IF([1]!S_SHARE_TOTAL(D398,$G$5)=0,[1]!S_SHARE_TOTAL(D398,[1]!s_ipo_listeddate(D398)),[1]!S_SHARE_TOTAL(D398,$G$5)),[1]!S_STM07_CS(D398,84,$G$5,$H$13)/$E$5))</f>
        <v/>
      </c>
      <c r="Q398" s="248" t="str">
        <f ca="1">IF(C398="","",F398/([1]!S_STM07_IS(D398,61,$G$5,$H$13)/IF([1]!S_SHARE_TOTAL(D398,$G$5)=0,[1]!S_SHARE_TOTAL(D398,[1]!s_ipo_listeddate(D398)),[1]!S_SHARE_TOTAL(D398,$G$5))))</f>
        <v/>
      </c>
      <c r="R398" s="248" t="str">
        <f ca="1">IF(C398="","",F398/([1]!S_STM07_BS(D398,141,$G$5,$H$13)/IF([1]!S_SHARE_TOTAL(D398,$G$5)=0,[1]!S_SHARE_TOTAL(D398,[1]!s_ipo_listeddate(D398)),[1]!S_SHARE_TOTAL(D398,$G$5))))</f>
        <v/>
      </c>
      <c r="S398" s="247" t="str">
        <f ca="1">IF(C398="","",[1]!S_SHARE_TOTAL(D398,TODAY())/$E$5)</f>
        <v/>
      </c>
      <c r="T398" s="247" t="str">
        <f t="shared" ca="1" si="43"/>
        <v/>
      </c>
      <c r="U398" s="218" t="str">
        <f t="shared" ca="1" si="44"/>
        <v/>
      </c>
      <c r="V398" s="342" t="str">
        <f t="shared" ca="1" si="45"/>
        <v/>
      </c>
      <c r="W398" s="139"/>
      <c r="Y398" s="1"/>
    </row>
    <row r="399" spans="3:25" ht="12" customHeight="1">
      <c r="C399" s="343" t="str">
        <f t="shared" ca="1" si="46"/>
        <v/>
      </c>
      <c r="D399" s="124" t="str">
        <f t="shared" ca="1" si="41"/>
        <v/>
      </c>
      <c r="E399" s="124" t="str">
        <f t="shared" ca="1" si="42"/>
        <v/>
      </c>
      <c r="F399" s="172" t="str">
        <f ca="1">IF(C399="","",[1]!S_DQ_CLOSE(D399,TODAY(),1))</f>
        <v/>
      </c>
      <c r="G399" s="173" t="str">
        <f ca="1">IF(C399="","",[1]!s_pq_pctchange(D399,TODAY()-$G$12,TODAY())/100)</f>
        <v/>
      </c>
      <c r="H399" s="249" t="str">
        <f ca="1">IF(C399="","",IF($H$11="收入",[1]!S_STM07_IS(D399,9,$G$5,$H$13)/$E$5,[1]!S_STM07_IS(D399,48,$G$5,$H$13)/$E$5))</f>
        <v/>
      </c>
      <c r="I399" s="249" t="str">
        <f ca="1">IF(C399="","",IF($I$11="毛利率",([1]!S_STM07_IS(D399,9,$G$5,$H$13)-[1]!S_STM07_IS(D399,10,$G$5,$H$13))/[1]!S_STM07_IS(D399,9,$G$5,$H$13),[1]!S_STM07_IS(D399,14,$G$5,$H$13)/$E$5))</f>
        <v/>
      </c>
      <c r="J399" s="249" t="str">
        <f ca="1">IF(C399="","",IF($J$11="营业利润率",[1]!S_STM07_IS(D399,48,$G$5,$H$13)/[1]!S_STM07_IS(D399,9,$G$5,$H$13),([1]!S_STM07_CS(D399,87,$G$5,$H$13)+[1]!S_STM07_CS(D399,88,$G$5,$H$13)+[1]!S_STM07_CS(D399,89,$G$5,$H$13))/$E$5))</f>
        <v/>
      </c>
      <c r="K399" s="249" t="str">
        <f ca="1">IF(C399="","",IF($K$11="净利润率",[1]!S_STM07_IS(D399,61,$G$5,$H$13)/[1]!S_STM07_IS(D399,9,$G$5,$H$13),[1]!S_STM07_IS(D399,55,$G$5,$H$13)/$E$5))</f>
        <v/>
      </c>
      <c r="L399" s="249" t="str">
        <f ca="1">IF(C399="","",IF($L$11="ROA",[1]!S_STM07_IS(D399,61,$G$5,$H$13)/[1]!S_STM07_BS(D399,74,$G$5,$H$13),1-[1]!S_STM07_IS(D399,61,$G$5,$H$13)/[1]!S_STM07_IS(D399,55,$G$5,$H$13)))</f>
        <v/>
      </c>
      <c r="M399" s="249" t="str">
        <f ca="1">IF(C399="","",IF($M$11="ROE",[1]!S_STM07_IS(D399,61,$G$5,$H$13)/[1]!S_STM07_BS(D399,141,$G$5,$H$13),([1]!S_STM07_BS(D399,25,$G$5,$H$13)-[1]!S_STM07_BS(D399,93,$G$5,$H$13))/$E$5))</f>
        <v/>
      </c>
      <c r="N399" s="250" t="str">
        <f ca="1">IF(C399="","",IF($N$11="EPS",[1]!S_STM07_IS(D399,61,$G$5,$H$13)/IF([1]!S_SHARE_TOTAL(D399,$G$5)=0,[1]!S_SHARE_TOTAL(D399,[1]!s_ipo_listeddate(D399)),[1]!S_SHARE_TOTAL(D399,$G$5)),([1]!S_STM07_BS(D399,75,$G$5,$H$13)+[1]!S_STM07_BS(D399,88,$G$5,$H$13)+[1]!S_STM07_BS(D399,94,$G$5,$H$13)+[1]!S_STM07_BS(D399,95,$G$5,$H$13))/$E$5))</f>
        <v/>
      </c>
      <c r="O399" s="250" t="str">
        <f ca="1">IF(C399="","",IF($O$11="BPS",[1]!S_STM07_BS(D399,141,$G$5,$H$13)/IF([1]!S_SHARE_TOTAL(D399,$G$5)=0,[1]!S_SHARE_TOTAL(D399,[1]!s_ipo_listeddate(D399)),[1]!S_SHARE_TOTAL(D399,$G$5)),[1]!S_STM07_CS(D399,49,$G$5,$H$13)/$E$5))</f>
        <v/>
      </c>
      <c r="P399" s="250" t="str">
        <f ca="1">IF(C399="","",IF($P$11="CFPS",[1]!S_STM07_CS(D399,84,$G$5,$H$13)/IF([1]!S_SHARE_TOTAL(D399,$G$5)=0,[1]!S_SHARE_TOTAL(D399,[1]!s_ipo_listeddate(D399)),[1]!S_SHARE_TOTAL(D399,$G$5)),[1]!S_STM07_CS(D399,84,$G$5,$H$13)/$E$5))</f>
        <v/>
      </c>
      <c r="Q399" s="198" t="str">
        <f ca="1">IF(C399="","",F399/([1]!S_STM07_IS(D399,61,$G$5,$H$13)/IF([1]!S_SHARE_TOTAL(D399,$G$5)=0,[1]!S_SHARE_TOTAL(D399,[1]!s_ipo_listeddate(D399)),[1]!S_SHARE_TOTAL(D399,$G$5))))</f>
        <v/>
      </c>
      <c r="R399" s="198" t="str">
        <f ca="1">IF(C399="","",F399/([1]!S_STM07_BS(D399,141,$G$5,$H$13)/IF([1]!S_SHARE_TOTAL(D399,$G$5)=0,[1]!S_SHARE_TOTAL(D399,[1]!s_ipo_listeddate(D399)),[1]!S_SHARE_TOTAL(D399,$G$5))))</f>
        <v/>
      </c>
      <c r="S399" s="249" t="str">
        <f ca="1">IF(C399="","",[1]!S_SHARE_TOTAL(D399,TODAY())/$E$5)</f>
        <v/>
      </c>
      <c r="T399" s="249" t="str">
        <f t="shared" ca="1" si="43"/>
        <v/>
      </c>
      <c r="U399" s="172" t="str">
        <f t="shared" ca="1" si="44"/>
        <v/>
      </c>
      <c r="V399" s="343" t="str">
        <f t="shared" ca="1" si="45"/>
        <v/>
      </c>
      <c r="W399" s="139"/>
      <c r="Y399" s="1"/>
    </row>
    <row r="400" spans="3:25" ht="12" customHeight="1">
      <c r="C400" s="342" t="str">
        <f t="shared" ca="1" si="46"/>
        <v/>
      </c>
      <c r="D400" s="153" t="str">
        <f t="shared" ca="1" si="41"/>
        <v/>
      </c>
      <c r="E400" s="153" t="str">
        <f t="shared" ca="1" si="42"/>
        <v/>
      </c>
      <c r="F400" s="170" t="str">
        <f ca="1">IF(C400="","",[1]!S_DQ_CLOSE(D400,TODAY(),1))</f>
        <v/>
      </c>
      <c r="G400" s="171" t="str">
        <f ca="1">IF(C400="","",[1]!s_pq_pctchange(D400,TODAY()-$G$12,TODAY())/100)</f>
        <v/>
      </c>
      <c r="H400" s="247" t="str">
        <f ca="1">IF(C400="","",IF($H$11="收入",[1]!S_STM07_IS(D400,9,$G$5,$H$13)/$E$5,[1]!S_STM07_IS(D400,48,$G$5,$H$13)/$E$5))</f>
        <v/>
      </c>
      <c r="I400" s="247" t="str">
        <f ca="1">IF(C400="","",IF($I$11="毛利率",([1]!S_STM07_IS(D400,9,$G$5,$H$13)-[1]!S_STM07_IS(D400,10,$G$5,$H$13))/[1]!S_STM07_IS(D400,9,$G$5,$H$13),[1]!S_STM07_IS(D400,14,$G$5,$H$13)/$E$5))</f>
        <v/>
      </c>
      <c r="J400" s="247" t="str">
        <f ca="1">IF(C400="","",IF($J$11="营业利润率",[1]!S_STM07_IS(D400,48,$G$5,$H$13)/[1]!S_STM07_IS(D400,9,$G$5,$H$13),([1]!S_STM07_CS(D400,87,$G$5,$H$13)+[1]!S_STM07_CS(D400,88,$G$5,$H$13)+[1]!S_STM07_CS(D400,89,$G$5,$H$13))/$E$5))</f>
        <v/>
      </c>
      <c r="K400" s="247" t="str">
        <f ca="1">IF(C400="","",IF($K$11="净利润率",[1]!S_STM07_IS(D400,61,$G$5,$H$13)/[1]!S_STM07_IS(D400,9,$G$5,$H$13),[1]!S_STM07_IS(D400,55,$G$5,$H$13)/$E$5))</f>
        <v/>
      </c>
      <c r="L400" s="247" t="str">
        <f ca="1">IF(C400="","",IF($L$11="ROA",[1]!S_STM07_IS(D400,61,$G$5,$H$13)/[1]!S_STM07_BS(D400,74,$G$5,$H$13),1-[1]!S_STM07_IS(D400,61,$G$5,$H$13)/[1]!S_STM07_IS(D400,55,$G$5,$H$13)))</f>
        <v/>
      </c>
      <c r="M400" s="247" t="str">
        <f ca="1">IF(C400="","",IF($M$11="ROE",[1]!S_STM07_IS(D400,61,$G$5,$H$13)/[1]!S_STM07_BS(D400,141,$G$5,$H$13),([1]!S_STM07_BS(D400,25,$G$5,$H$13)-[1]!S_STM07_BS(D400,93,$G$5,$H$13))/$E$5))</f>
        <v/>
      </c>
      <c r="N400" s="247" t="str">
        <f ca="1">IF(C400="","",IF($N$11="EPS",[1]!S_STM07_IS(D400,61,$G$5,$H$13)/IF([1]!S_SHARE_TOTAL(D400,$G$5)=0,[1]!S_SHARE_TOTAL(D400,[1]!s_ipo_listeddate(D400)),[1]!S_SHARE_TOTAL(D400,$G$5)),([1]!S_STM07_BS(D400,75,$G$5,$H$13)+[1]!S_STM07_BS(D400,88,$G$5,$H$13)+[1]!S_STM07_BS(D400,94,$G$5,$H$13)+[1]!S_STM07_BS(D400,95,$G$5,$H$13))/$E$5))</f>
        <v/>
      </c>
      <c r="O400" s="247" t="str">
        <f ca="1">IF(C400="","",IF($O$11="BPS",[1]!S_STM07_BS(D400,141,$G$5,$H$13)/IF([1]!S_SHARE_TOTAL(D400,$G$5)=0,[1]!S_SHARE_TOTAL(D400,[1]!s_ipo_listeddate(D400)),[1]!S_SHARE_TOTAL(D400,$G$5)),[1]!S_STM07_CS(D400,49,$G$5,$H$13)/$E$5))</f>
        <v/>
      </c>
      <c r="P400" s="247" t="str">
        <f ca="1">IF(C400="","",IF($P$11="CFPS",[1]!S_STM07_CS(D400,84,$G$5,$H$13)/IF([1]!S_SHARE_TOTAL(D400,$G$5)=0,[1]!S_SHARE_TOTAL(D400,[1]!s_ipo_listeddate(D400)),[1]!S_SHARE_TOTAL(D400,$G$5)),[1]!S_STM07_CS(D400,84,$G$5,$H$13)/$E$5))</f>
        <v/>
      </c>
      <c r="Q400" s="248" t="str">
        <f ca="1">IF(C400="","",F400/([1]!S_STM07_IS(D400,61,$G$5,$H$13)/IF([1]!S_SHARE_TOTAL(D400,$G$5)=0,[1]!S_SHARE_TOTAL(D400,[1]!s_ipo_listeddate(D400)),[1]!S_SHARE_TOTAL(D400,$G$5))))</f>
        <v/>
      </c>
      <c r="R400" s="248" t="str">
        <f ca="1">IF(C400="","",F400/([1]!S_STM07_BS(D400,141,$G$5,$H$13)/IF([1]!S_SHARE_TOTAL(D400,$G$5)=0,[1]!S_SHARE_TOTAL(D400,[1]!s_ipo_listeddate(D400)),[1]!S_SHARE_TOTAL(D400,$G$5))))</f>
        <v/>
      </c>
      <c r="S400" s="247" t="str">
        <f ca="1">IF(C400="","",[1]!S_SHARE_TOTAL(D400,TODAY())/$E$5)</f>
        <v/>
      </c>
      <c r="T400" s="247" t="str">
        <f t="shared" ca="1" si="43"/>
        <v/>
      </c>
      <c r="U400" s="218" t="str">
        <f t="shared" ca="1" si="44"/>
        <v/>
      </c>
      <c r="V400" s="342" t="str">
        <f t="shared" ca="1" si="45"/>
        <v/>
      </c>
      <c r="W400" s="139"/>
      <c r="Y400" s="1"/>
    </row>
    <row r="401" spans="3:25" ht="12" customHeight="1">
      <c r="C401" s="343" t="str">
        <f t="shared" ca="1" si="46"/>
        <v/>
      </c>
      <c r="D401" s="124" t="str">
        <f t="shared" ca="1" si="41"/>
        <v/>
      </c>
      <c r="E401" s="124" t="str">
        <f t="shared" ca="1" si="42"/>
        <v/>
      </c>
      <c r="F401" s="172" t="str">
        <f ca="1">IF(C401="","",[1]!S_DQ_CLOSE(D401,TODAY(),1))</f>
        <v/>
      </c>
      <c r="G401" s="173" t="str">
        <f ca="1">IF(C401="","",[1]!s_pq_pctchange(D401,TODAY()-$G$12,TODAY())/100)</f>
        <v/>
      </c>
      <c r="H401" s="249" t="str">
        <f ca="1">IF(C401="","",IF($H$11="收入",[1]!S_STM07_IS(D401,9,$G$5,$H$13)/$E$5,[1]!S_STM07_IS(D401,48,$G$5,$H$13)/$E$5))</f>
        <v/>
      </c>
      <c r="I401" s="249" t="str">
        <f ca="1">IF(C401="","",IF($I$11="毛利率",([1]!S_STM07_IS(D401,9,$G$5,$H$13)-[1]!S_STM07_IS(D401,10,$G$5,$H$13))/[1]!S_STM07_IS(D401,9,$G$5,$H$13),[1]!S_STM07_IS(D401,14,$G$5,$H$13)/$E$5))</f>
        <v/>
      </c>
      <c r="J401" s="249" t="str">
        <f ca="1">IF(C401="","",IF($J$11="营业利润率",[1]!S_STM07_IS(D401,48,$G$5,$H$13)/[1]!S_STM07_IS(D401,9,$G$5,$H$13),([1]!S_STM07_CS(D401,87,$G$5,$H$13)+[1]!S_STM07_CS(D401,88,$G$5,$H$13)+[1]!S_STM07_CS(D401,89,$G$5,$H$13))/$E$5))</f>
        <v/>
      </c>
      <c r="K401" s="249" t="str">
        <f ca="1">IF(C401="","",IF($K$11="净利润率",[1]!S_STM07_IS(D401,61,$G$5,$H$13)/[1]!S_STM07_IS(D401,9,$G$5,$H$13),[1]!S_STM07_IS(D401,55,$G$5,$H$13)/$E$5))</f>
        <v/>
      </c>
      <c r="L401" s="249" t="str">
        <f ca="1">IF(C401="","",IF($L$11="ROA",[1]!S_STM07_IS(D401,61,$G$5,$H$13)/[1]!S_STM07_BS(D401,74,$G$5,$H$13),1-[1]!S_STM07_IS(D401,61,$G$5,$H$13)/[1]!S_STM07_IS(D401,55,$G$5,$H$13)))</f>
        <v/>
      </c>
      <c r="M401" s="249" t="str">
        <f ca="1">IF(C401="","",IF($M$11="ROE",[1]!S_STM07_IS(D401,61,$G$5,$H$13)/[1]!S_STM07_BS(D401,141,$G$5,$H$13),([1]!S_STM07_BS(D401,25,$G$5,$H$13)-[1]!S_STM07_BS(D401,93,$G$5,$H$13))/$E$5))</f>
        <v/>
      </c>
      <c r="N401" s="250" t="str">
        <f ca="1">IF(C401="","",IF($N$11="EPS",[1]!S_STM07_IS(D401,61,$G$5,$H$13)/IF([1]!S_SHARE_TOTAL(D401,$G$5)=0,[1]!S_SHARE_TOTAL(D401,[1]!s_ipo_listeddate(D401)),[1]!S_SHARE_TOTAL(D401,$G$5)),([1]!S_STM07_BS(D401,75,$G$5,$H$13)+[1]!S_STM07_BS(D401,88,$G$5,$H$13)+[1]!S_STM07_BS(D401,94,$G$5,$H$13)+[1]!S_STM07_BS(D401,95,$G$5,$H$13))/$E$5))</f>
        <v/>
      </c>
      <c r="O401" s="250" t="str">
        <f ca="1">IF(C401="","",IF($O$11="BPS",[1]!S_STM07_BS(D401,141,$G$5,$H$13)/IF([1]!S_SHARE_TOTAL(D401,$G$5)=0,[1]!S_SHARE_TOTAL(D401,[1]!s_ipo_listeddate(D401)),[1]!S_SHARE_TOTAL(D401,$G$5)),[1]!S_STM07_CS(D401,49,$G$5,$H$13)/$E$5))</f>
        <v/>
      </c>
      <c r="P401" s="250" t="str">
        <f ca="1">IF(C401="","",IF($P$11="CFPS",[1]!S_STM07_CS(D401,84,$G$5,$H$13)/IF([1]!S_SHARE_TOTAL(D401,$G$5)=0,[1]!S_SHARE_TOTAL(D401,[1]!s_ipo_listeddate(D401)),[1]!S_SHARE_TOTAL(D401,$G$5)),[1]!S_STM07_CS(D401,84,$G$5,$H$13)/$E$5))</f>
        <v/>
      </c>
      <c r="Q401" s="198" t="str">
        <f ca="1">IF(C401="","",F401/([1]!S_STM07_IS(D401,61,$G$5,$H$13)/IF([1]!S_SHARE_TOTAL(D401,$G$5)=0,[1]!S_SHARE_TOTAL(D401,[1]!s_ipo_listeddate(D401)),[1]!S_SHARE_TOTAL(D401,$G$5))))</f>
        <v/>
      </c>
      <c r="R401" s="198" t="str">
        <f ca="1">IF(C401="","",F401/([1]!S_STM07_BS(D401,141,$G$5,$H$13)/IF([1]!S_SHARE_TOTAL(D401,$G$5)=0,[1]!S_SHARE_TOTAL(D401,[1]!s_ipo_listeddate(D401)),[1]!S_SHARE_TOTAL(D401,$G$5))))</f>
        <v/>
      </c>
      <c r="S401" s="249" t="str">
        <f ca="1">IF(C401="","",[1]!S_SHARE_TOTAL(D401,TODAY())/$E$5)</f>
        <v/>
      </c>
      <c r="T401" s="249" t="str">
        <f t="shared" ca="1" si="43"/>
        <v/>
      </c>
      <c r="U401" s="172" t="str">
        <f t="shared" ca="1" si="44"/>
        <v/>
      </c>
      <c r="V401" s="343" t="str">
        <f t="shared" ca="1" si="45"/>
        <v/>
      </c>
      <c r="W401" s="139"/>
      <c r="Y401" s="1"/>
    </row>
    <row r="402" spans="3:25" ht="12" customHeight="1">
      <c r="C402" s="342" t="str">
        <f t="shared" ca="1" si="46"/>
        <v/>
      </c>
      <c r="D402" s="153" t="str">
        <f t="shared" ca="1" si="41"/>
        <v/>
      </c>
      <c r="E402" s="153" t="str">
        <f t="shared" ca="1" si="42"/>
        <v/>
      </c>
      <c r="F402" s="170" t="str">
        <f ca="1">IF(C402="","",[1]!S_DQ_CLOSE(D402,TODAY(),1))</f>
        <v/>
      </c>
      <c r="G402" s="171" t="str">
        <f ca="1">IF(C402="","",[1]!s_pq_pctchange(D402,TODAY()-$G$12,TODAY())/100)</f>
        <v/>
      </c>
      <c r="H402" s="247" t="str">
        <f ca="1">IF(C402="","",IF($H$11="收入",[1]!S_STM07_IS(D402,9,$G$5,$H$13)/$E$5,[1]!S_STM07_IS(D402,48,$G$5,$H$13)/$E$5))</f>
        <v/>
      </c>
      <c r="I402" s="247" t="str">
        <f ca="1">IF(C402="","",IF($I$11="毛利率",([1]!S_STM07_IS(D402,9,$G$5,$H$13)-[1]!S_STM07_IS(D402,10,$G$5,$H$13))/[1]!S_STM07_IS(D402,9,$G$5,$H$13),[1]!S_STM07_IS(D402,14,$G$5,$H$13)/$E$5))</f>
        <v/>
      </c>
      <c r="J402" s="247" t="str">
        <f ca="1">IF(C402="","",IF($J$11="营业利润率",[1]!S_STM07_IS(D402,48,$G$5,$H$13)/[1]!S_STM07_IS(D402,9,$G$5,$H$13),([1]!S_STM07_CS(D402,87,$G$5,$H$13)+[1]!S_STM07_CS(D402,88,$G$5,$H$13)+[1]!S_STM07_CS(D402,89,$G$5,$H$13))/$E$5))</f>
        <v/>
      </c>
      <c r="K402" s="247" t="str">
        <f ca="1">IF(C402="","",IF($K$11="净利润率",[1]!S_STM07_IS(D402,61,$G$5,$H$13)/[1]!S_STM07_IS(D402,9,$G$5,$H$13),[1]!S_STM07_IS(D402,55,$G$5,$H$13)/$E$5))</f>
        <v/>
      </c>
      <c r="L402" s="247" t="str">
        <f ca="1">IF(C402="","",IF($L$11="ROA",[1]!S_STM07_IS(D402,61,$G$5,$H$13)/[1]!S_STM07_BS(D402,74,$G$5,$H$13),1-[1]!S_STM07_IS(D402,61,$G$5,$H$13)/[1]!S_STM07_IS(D402,55,$G$5,$H$13)))</f>
        <v/>
      </c>
      <c r="M402" s="247" t="str">
        <f ca="1">IF(C402="","",IF($M$11="ROE",[1]!S_STM07_IS(D402,61,$G$5,$H$13)/[1]!S_STM07_BS(D402,141,$G$5,$H$13),([1]!S_STM07_BS(D402,25,$G$5,$H$13)-[1]!S_STM07_BS(D402,93,$G$5,$H$13))/$E$5))</f>
        <v/>
      </c>
      <c r="N402" s="247" t="str">
        <f ca="1">IF(C402="","",IF($N$11="EPS",[1]!S_STM07_IS(D402,61,$G$5,$H$13)/IF([1]!S_SHARE_TOTAL(D402,$G$5)=0,[1]!S_SHARE_TOTAL(D402,[1]!s_ipo_listeddate(D402)),[1]!S_SHARE_TOTAL(D402,$G$5)),([1]!S_STM07_BS(D402,75,$G$5,$H$13)+[1]!S_STM07_BS(D402,88,$G$5,$H$13)+[1]!S_STM07_BS(D402,94,$G$5,$H$13)+[1]!S_STM07_BS(D402,95,$G$5,$H$13))/$E$5))</f>
        <v/>
      </c>
      <c r="O402" s="247" t="str">
        <f ca="1">IF(C402="","",IF($O$11="BPS",[1]!S_STM07_BS(D402,141,$G$5,$H$13)/IF([1]!S_SHARE_TOTAL(D402,$G$5)=0,[1]!S_SHARE_TOTAL(D402,[1]!s_ipo_listeddate(D402)),[1]!S_SHARE_TOTAL(D402,$G$5)),[1]!S_STM07_CS(D402,49,$G$5,$H$13)/$E$5))</f>
        <v/>
      </c>
      <c r="P402" s="247" t="str">
        <f ca="1">IF(C402="","",IF($P$11="CFPS",[1]!S_STM07_CS(D402,84,$G$5,$H$13)/IF([1]!S_SHARE_TOTAL(D402,$G$5)=0,[1]!S_SHARE_TOTAL(D402,[1]!s_ipo_listeddate(D402)),[1]!S_SHARE_TOTAL(D402,$G$5)),[1]!S_STM07_CS(D402,84,$G$5,$H$13)/$E$5))</f>
        <v/>
      </c>
      <c r="Q402" s="248" t="str">
        <f ca="1">IF(C402="","",F402/([1]!S_STM07_IS(D402,61,$G$5,$H$13)/IF([1]!S_SHARE_TOTAL(D402,$G$5)=0,[1]!S_SHARE_TOTAL(D402,[1]!s_ipo_listeddate(D402)),[1]!S_SHARE_TOTAL(D402,$G$5))))</f>
        <v/>
      </c>
      <c r="R402" s="248" t="str">
        <f ca="1">IF(C402="","",F402/([1]!S_STM07_BS(D402,141,$G$5,$H$13)/IF([1]!S_SHARE_TOTAL(D402,$G$5)=0,[1]!S_SHARE_TOTAL(D402,[1]!s_ipo_listeddate(D402)),[1]!S_SHARE_TOTAL(D402,$G$5))))</f>
        <v/>
      </c>
      <c r="S402" s="247" t="str">
        <f ca="1">IF(C402="","",[1]!S_SHARE_TOTAL(D402,TODAY())/$E$5)</f>
        <v/>
      </c>
      <c r="T402" s="247" t="str">
        <f t="shared" ca="1" si="43"/>
        <v/>
      </c>
      <c r="U402" s="218" t="str">
        <f t="shared" ca="1" si="44"/>
        <v/>
      </c>
      <c r="V402" s="342" t="str">
        <f t="shared" ca="1" si="45"/>
        <v/>
      </c>
      <c r="W402" s="139"/>
      <c r="Y402" s="1"/>
    </row>
    <row r="403" spans="3:25" ht="12" customHeight="1">
      <c r="C403" s="343" t="str">
        <f t="shared" ca="1" si="46"/>
        <v/>
      </c>
      <c r="D403" s="124" t="str">
        <f t="shared" ca="1" si="41"/>
        <v/>
      </c>
      <c r="E403" s="124" t="str">
        <f t="shared" ca="1" si="42"/>
        <v/>
      </c>
      <c r="F403" s="172" t="str">
        <f ca="1">IF(C403="","",[1]!S_DQ_CLOSE(D403,TODAY(),1))</f>
        <v/>
      </c>
      <c r="G403" s="173" t="str">
        <f ca="1">IF(C403="","",[1]!s_pq_pctchange(D403,TODAY()-$G$12,TODAY())/100)</f>
        <v/>
      </c>
      <c r="H403" s="249" t="str">
        <f ca="1">IF(C403="","",IF($H$11="收入",[1]!S_STM07_IS(D403,9,$G$5,$H$13)/$E$5,[1]!S_STM07_IS(D403,48,$G$5,$H$13)/$E$5))</f>
        <v/>
      </c>
      <c r="I403" s="249" t="str">
        <f ca="1">IF(C403="","",IF($I$11="毛利率",([1]!S_STM07_IS(D403,9,$G$5,$H$13)-[1]!S_STM07_IS(D403,10,$G$5,$H$13))/[1]!S_STM07_IS(D403,9,$G$5,$H$13),[1]!S_STM07_IS(D403,14,$G$5,$H$13)/$E$5))</f>
        <v/>
      </c>
      <c r="J403" s="249" t="str">
        <f ca="1">IF(C403="","",IF($J$11="营业利润率",[1]!S_STM07_IS(D403,48,$G$5,$H$13)/[1]!S_STM07_IS(D403,9,$G$5,$H$13),([1]!S_STM07_CS(D403,87,$G$5,$H$13)+[1]!S_STM07_CS(D403,88,$G$5,$H$13)+[1]!S_STM07_CS(D403,89,$G$5,$H$13))/$E$5))</f>
        <v/>
      </c>
      <c r="K403" s="249" t="str">
        <f ca="1">IF(C403="","",IF($K$11="净利润率",[1]!S_STM07_IS(D403,61,$G$5,$H$13)/[1]!S_STM07_IS(D403,9,$G$5,$H$13),[1]!S_STM07_IS(D403,55,$G$5,$H$13)/$E$5))</f>
        <v/>
      </c>
      <c r="L403" s="249" t="str">
        <f ca="1">IF(C403="","",IF($L$11="ROA",[1]!S_STM07_IS(D403,61,$G$5,$H$13)/[1]!S_STM07_BS(D403,74,$G$5,$H$13),1-[1]!S_STM07_IS(D403,61,$G$5,$H$13)/[1]!S_STM07_IS(D403,55,$G$5,$H$13)))</f>
        <v/>
      </c>
      <c r="M403" s="249" t="str">
        <f ca="1">IF(C403="","",IF($M$11="ROE",[1]!S_STM07_IS(D403,61,$G$5,$H$13)/[1]!S_STM07_BS(D403,141,$G$5,$H$13),([1]!S_STM07_BS(D403,25,$G$5,$H$13)-[1]!S_STM07_BS(D403,93,$G$5,$H$13))/$E$5))</f>
        <v/>
      </c>
      <c r="N403" s="250" t="str">
        <f ca="1">IF(C403="","",IF($N$11="EPS",[1]!S_STM07_IS(D403,61,$G$5,$H$13)/IF([1]!S_SHARE_TOTAL(D403,$G$5)=0,[1]!S_SHARE_TOTAL(D403,[1]!s_ipo_listeddate(D403)),[1]!S_SHARE_TOTAL(D403,$G$5)),([1]!S_STM07_BS(D403,75,$G$5,$H$13)+[1]!S_STM07_BS(D403,88,$G$5,$H$13)+[1]!S_STM07_BS(D403,94,$G$5,$H$13)+[1]!S_STM07_BS(D403,95,$G$5,$H$13))/$E$5))</f>
        <v/>
      </c>
      <c r="O403" s="250" t="str">
        <f ca="1">IF(C403="","",IF($O$11="BPS",[1]!S_STM07_BS(D403,141,$G$5,$H$13)/IF([1]!S_SHARE_TOTAL(D403,$G$5)=0,[1]!S_SHARE_TOTAL(D403,[1]!s_ipo_listeddate(D403)),[1]!S_SHARE_TOTAL(D403,$G$5)),[1]!S_STM07_CS(D403,49,$G$5,$H$13)/$E$5))</f>
        <v/>
      </c>
      <c r="P403" s="250" t="str">
        <f ca="1">IF(C403="","",IF($P$11="CFPS",[1]!S_STM07_CS(D403,84,$G$5,$H$13)/IF([1]!S_SHARE_TOTAL(D403,$G$5)=0,[1]!S_SHARE_TOTAL(D403,[1]!s_ipo_listeddate(D403)),[1]!S_SHARE_TOTAL(D403,$G$5)),[1]!S_STM07_CS(D403,84,$G$5,$H$13)/$E$5))</f>
        <v/>
      </c>
      <c r="Q403" s="198" t="str">
        <f ca="1">IF(C403="","",F403/([1]!S_STM07_IS(D403,61,$G$5,$H$13)/IF([1]!S_SHARE_TOTAL(D403,$G$5)=0,[1]!S_SHARE_TOTAL(D403,[1]!s_ipo_listeddate(D403)),[1]!S_SHARE_TOTAL(D403,$G$5))))</f>
        <v/>
      </c>
      <c r="R403" s="198" t="str">
        <f ca="1">IF(C403="","",F403/([1]!S_STM07_BS(D403,141,$G$5,$H$13)/IF([1]!S_SHARE_TOTAL(D403,$G$5)=0,[1]!S_SHARE_TOTAL(D403,[1]!s_ipo_listeddate(D403)),[1]!S_SHARE_TOTAL(D403,$G$5))))</f>
        <v/>
      </c>
      <c r="S403" s="249" t="str">
        <f ca="1">IF(C403="","",[1]!S_SHARE_TOTAL(D403,TODAY())/$E$5)</f>
        <v/>
      </c>
      <c r="T403" s="249" t="str">
        <f t="shared" ca="1" si="43"/>
        <v/>
      </c>
      <c r="U403" s="172" t="str">
        <f t="shared" ca="1" si="44"/>
        <v/>
      </c>
      <c r="V403" s="343" t="str">
        <f t="shared" ca="1" si="45"/>
        <v/>
      </c>
      <c r="W403" s="139"/>
      <c r="Y403" s="1"/>
    </row>
    <row r="404" spans="3:25" ht="12" customHeight="1">
      <c r="C404" s="342" t="str">
        <f t="shared" ca="1" si="46"/>
        <v/>
      </c>
      <c r="D404" s="153" t="str">
        <f t="shared" ca="1" si="41"/>
        <v/>
      </c>
      <c r="E404" s="153" t="str">
        <f t="shared" ca="1" si="42"/>
        <v/>
      </c>
      <c r="F404" s="170" t="str">
        <f ca="1">IF(C404="","",[1]!S_DQ_CLOSE(D404,TODAY(),1))</f>
        <v/>
      </c>
      <c r="G404" s="171" t="str">
        <f ca="1">IF(C404="","",[1]!s_pq_pctchange(D404,TODAY()-$G$12,TODAY())/100)</f>
        <v/>
      </c>
      <c r="H404" s="247" t="str">
        <f ca="1">IF(C404="","",IF($H$11="收入",[1]!S_STM07_IS(D404,9,$G$5,$H$13)/$E$5,[1]!S_STM07_IS(D404,48,$G$5,$H$13)/$E$5))</f>
        <v/>
      </c>
      <c r="I404" s="247" t="str">
        <f ca="1">IF(C404="","",IF($I$11="毛利率",([1]!S_STM07_IS(D404,9,$G$5,$H$13)-[1]!S_STM07_IS(D404,10,$G$5,$H$13))/[1]!S_STM07_IS(D404,9,$G$5,$H$13),[1]!S_STM07_IS(D404,14,$G$5,$H$13)/$E$5))</f>
        <v/>
      </c>
      <c r="J404" s="247" t="str">
        <f ca="1">IF(C404="","",IF($J$11="营业利润率",[1]!S_STM07_IS(D404,48,$G$5,$H$13)/[1]!S_STM07_IS(D404,9,$G$5,$H$13),([1]!S_STM07_CS(D404,87,$G$5,$H$13)+[1]!S_STM07_CS(D404,88,$G$5,$H$13)+[1]!S_STM07_CS(D404,89,$G$5,$H$13))/$E$5))</f>
        <v/>
      </c>
      <c r="K404" s="247" t="str">
        <f ca="1">IF(C404="","",IF($K$11="净利润率",[1]!S_STM07_IS(D404,61,$G$5,$H$13)/[1]!S_STM07_IS(D404,9,$G$5,$H$13),[1]!S_STM07_IS(D404,55,$G$5,$H$13)/$E$5))</f>
        <v/>
      </c>
      <c r="L404" s="247" t="str">
        <f ca="1">IF(C404="","",IF($L$11="ROA",[1]!S_STM07_IS(D404,61,$G$5,$H$13)/[1]!S_STM07_BS(D404,74,$G$5,$H$13),1-[1]!S_STM07_IS(D404,61,$G$5,$H$13)/[1]!S_STM07_IS(D404,55,$G$5,$H$13)))</f>
        <v/>
      </c>
      <c r="M404" s="247" t="str">
        <f ca="1">IF(C404="","",IF($M$11="ROE",[1]!S_STM07_IS(D404,61,$G$5,$H$13)/[1]!S_STM07_BS(D404,141,$G$5,$H$13),([1]!S_STM07_BS(D404,25,$G$5,$H$13)-[1]!S_STM07_BS(D404,93,$G$5,$H$13))/$E$5))</f>
        <v/>
      </c>
      <c r="N404" s="247" t="str">
        <f ca="1">IF(C404="","",IF($N$11="EPS",[1]!S_STM07_IS(D404,61,$G$5,$H$13)/IF([1]!S_SHARE_TOTAL(D404,$G$5)=0,[1]!S_SHARE_TOTAL(D404,[1]!s_ipo_listeddate(D404)),[1]!S_SHARE_TOTAL(D404,$G$5)),([1]!S_STM07_BS(D404,75,$G$5,$H$13)+[1]!S_STM07_BS(D404,88,$G$5,$H$13)+[1]!S_STM07_BS(D404,94,$G$5,$H$13)+[1]!S_STM07_BS(D404,95,$G$5,$H$13))/$E$5))</f>
        <v/>
      </c>
      <c r="O404" s="247" t="str">
        <f ca="1">IF(C404="","",IF($O$11="BPS",[1]!S_STM07_BS(D404,141,$G$5,$H$13)/IF([1]!S_SHARE_TOTAL(D404,$G$5)=0,[1]!S_SHARE_TOTAL(D404,[1]!s_ipo_listeddate(D404)),[1]!S_SHARE_TOTAL(D404,$G$5)),[1]!S_STM07_CS(D404,49,$G$5,$H$13)/$E$5))</f>
        <v/>
      </c>
      <c r="P404" s="247" t="str">
        <f ca="1">IF(C404="","",IF($P$11="CFPS",[1]!S_STM07_CS(D404,84,$G$5,$H$13)/IF([1]!S_SHARE_TOTAL(D404,$G$5)=0,[1]!S_SHARE_TOTAL(D404,[1]!s_ipo_listeddate(D404)),[1]!S_SHARE_TOTAL(D404,$G$5)),[1]!S_STM07_CS(D404,84,$G$5,$H$13)/$E$5))</f>
        <v/>
      </c>
      <c r="Q404" s="248" t="str">
        <f ca="1">IF(C404="","",F404/([1]!S_STM07_IS(D404,61,$G$5,$H$13)/IF([1]!S_SHARE_TOTAL(D404,$G$5)=0,[1]!S_SHARE_TOTAL(D404,[1]!s_ipo_listeddate(D404)),[1]!S_SHARE_TOTAL(D404,$G$5))))</f>
        <v/>
      </c>
      <c r="R404" s="248" t="str">
        <f ca="1">IF(C404="","",F404/([1]!S_STM07_BS(D404,141,$G$5,$H$13)/IF([1]!S_SHARE_TOTAL(D404,$G$5)=0,[1]!S_SHARE_TOTAL(D404,[1]!s_ipo_listeddate(D404)),[1]!S_SHARE_TOTAL(D404,$G$5))))</f>
        <v/>
      </c>
      <c r="S404" s="247" t="str">
        <f ca="1">IF(C404="","",[1]!S_SHARE_TOTAL(D404,TODAY())/$E$5)</f>
        <v/>
      </c>
      <c r="T404" s="247" t="str">
        <f t="shared" ca="1" si="43"/>
        <v/>
      </c>
      <c r="U404" s="218" t="str">
        <f t="shared" ca="1" si="44"/>
        <v/>
      </c>
      <c r="V404" s="342" t="str">
        <f t="shared" ca="1" si="45"/>
        <v/>
      </c>
      <c r="W404" s="139"/>
      <c r="Y404" s="1"/>
    </row>
    <row r="405" spans="3:25" ht="12" customHeight="1">
      <c r="C405" s="343" t="str">
        <f t="shared" ca="1" si="46"/>
        <v/>
      </c>
      <c r="D405" s="124" t="str">
        <f t="shared" ca="1" si="41"/>
        <v/>
      </c>
      <c r="E405" s="124" t="str">
        <f t="shared" ca="1" si="42"/>
        <v/>
      </c>
      <c r="F405" s="172" t="str">
        <f ca="1">IF(C405="","",[1]!S_DQ_CLOSE(D405,TODAY(),1))</f>
        <v/>
      </c>
      <c r="G405" s="173" t="str">
        <f ca="1">IF(C405="","",[1]!s_pq_pctchange(D405,TODAY()-$G$12,TODAY())/100)</f>
        <v/>
      </c>
      <c r="H405" s="249" t="str">
        <f ca="1">IF(C405="","",IF($H$11="收入",[1]!S_STM07_IS(D405,9,$G$5,$H$13)/$E$5,[1]!S_STM07_IS(D405,48,$G$5,$H$13)/$E$5))</f>
        <v/>
      </c>
      <c r="I405" s="249" t="str">
        <f ca="1">IF(C405="","",IF($I$11="毛利率",([1]!S_STM07_IS(D405,9,$G$5,$H$13)-[1]!S_STM07_IS(D405,10,$G$5,$H$13))/[1]!S_STM07_IS(D405,9,$G$5,$H$13),[1]!S_STM07_IS(D405,14,$G$5,$H$13)/$E$5))</f>
        <v/>
      </c>
      <c r="J405" s="249" t="str">
        <f ca="1">IF(C405="","",IF($J$11="营业利润率",[1]!S_STM07_IS(D405,48,$G$5,$H$13)/[1]!S_STM07_IS(D405,9,$G$5,$H$13),([1]!S_STM07_CS(D405,87,$G$5,$H$13)+[1]!S_STM07_CS(D405,88,$G$5,$H$13)+[1]!S_STM07_CS(D405,89,$G$5,$H$13))/$E$5))</f>
        <v/>
      </c>
      <c r="K405" s="249" t="str">
        <f ca="1">IF(C405="","",IF($K$11="净利润率",[1]!S_STM07_IS(D405,61,$G$5,$H$13)/[1]!S_STM07_IS(D405,9,$G$5,$H$13),[1]!S_STM07_IS(D405,55,$G$5,$H$13)/$E$5))</f>
        <v/>
      </c>
      <c r="L405" s="249" t="str">
        <f ca="1">IF(C405="","",IF($L$11="ROA",[1]!S_STM07_IS(D405,61,$G$5,$H$13)/[1]!S_STM07_BS(D405,74,$G$5,$H$13),1-[1]!S_STM07_IS(D405,61,$G$5,$H$13)/[1]!S_STM07_IS(D405,55,$G$5,$H$13)))</f>
        <v/>
      </c>
      <c r="M405" s="249" t="str">
        <f ca="1">IF(C405="","",IF($M$11="ROE",[1]!S_STM07_IS(D405,61,$G$5,$H$13)/[1]!S_STM07_BS(D405,141,$G$5,$H$13),([1]!S_STM07_BS(D405,25,$G$5,$H$13)-[1]!S_STM07_BS(D405,93,$G$5,$H$13))/$E$5))</f>
        <v/>
      </c>
      <c r="N405" s="250" t="str">
        <f ca="1">IF(C405="","",IF($N$11="EPS",[1]!S_STM07_IS(D405,61,$G$5,$H$13)/IF([1]!S_SHARE_TOTAL(D405,$G$5)=0,[1]!S_SHARE_TOTAL(D405,[1]!s_ipo_listeddate(D405)),[1]!S_SHARE_TOTAL(D405,$G$5)),([1]!S_STM07_BS(D405,75,$G$5,$H$13)+[1]!S_STM07_BS(D405,88,$G$5,$H$13)+[1]!S_STM07_BS(D405,94,$G$5,$H$13)+[1]!S_STM07_BS(D405,95,$G$5,$H$13))/$E$5))</f>
        <v/>
      </c>
      <c r="O405" s="250" t="str">
        <f ca="1">IF(C405="","",IF($O$11="BPS",[1]!S_STM07_BS(D405,141,$G$5,$H$13)/IF([1]!S_SHARE_TOTAL(D405,$G$5)=0,[1]!S_SHARE_TOTAL(D405,[1]!s_ipo_listeddate(D405)),[1]!S_SHARE_TOTAL(D405,$G$5)),[1]!S_STM07_CS(D405,49,$G$5,$H$13)/$E$5))</f>
        <v/>
      </c>
      <c r="P405" s="250" t="str">
        <f ca="1">IF(C405="","",IF($P$11="CFPS",[1]!S_STM07_CS(D405,84,$G$5,$H$13)/IF([1]!S_SHARE_TOTAL(D405,$G$5)=0,[1]!S_SHARE_TOTAL(D405,[1]!s_ipo_listeddate(D405)),[1]!S_SHARE_TOTAL(D405,$G$5)),[1]!S_STM07_CS(D405,84,$G$5,$H$13)/$E$5))</f>
        <v/>
      </c>
      <c r="Q405" s="198" t="str">
        <f ca="1">IF(C405="","",F405/([1]!S_STM07_IS(D405,61,$G$5,$H$13)/IF([1]!S_SHARE_TOTAL(D405,$G$5)=0,[1]!S_SHARE_TOTAL(D405,[1]!s_ipo_listeddate(D405)),[1]!S_SHARE_TOTAL(D405,$G$5))))</f>
        <v/>
      </c>
      <c r="R405" s="198" t="str">
        <f ca="1">IF(C405="","",F405/([1]!S_STM07_BS(D405,141,$G$5,$H$13)/IF([1]!S_SHARE_TOTAL(D405,$G$5)=0,[1]!S_SHARE_TOTAL(D405,[1]!s_ipo_listeddate(D405)),[1]!S_SHARE_TOTAL(D405,$G$5))))</f>
        <v/>
      </c>
      <c r="S405" s="249" t="str">
        <f ca="1">IF(C405="","",[1]!S_SHARE_TOTAL(D405,TODAY())/$E$5)</f>
        <v/>
      </c>
      <c r="T405" s="249" t="str">
        <f t="shared" ca="1" si="43"/>
        <v/>
      </c>
      <c r="U405" s="172" t="str">
        <f t="shared" ca="1" si="44"/>
        <v/>
      </c>
      <c r="V405" s="343" t="str">
        <f t="shared" ca="1" si="45"/>
        <v/>
      </c>
      <c r="W405" s="139"/>
      <c r="Y405" s="1"/>
    </row>
    <row r="406" spans="3:25" ht="12" customHeight="1">
      <c r="C406" s="342" t="str">
        <f t="shared" ca="1" si="46"/>
        <v/>
      </c>
      <c r="D406" s="153" t="str">
        <f t="shared" ca="1" si="41"/>
        <v/>
      </c>
      <c r="E406" s="153" t="str">
        <f t="shared" ca="1" si="42"/>
        <v/>
      </c>
      <c r="F406" s="170" t="str">
        <f ca="1">IF(C406="","",[1]!S_DQ_CLOSE(D406,TODAY(),1))</f>
        <v/>
      </c>
      <c r="G406" s="171" t="str">
        <f ca="1">IF(C406="","",[1]!s_pq_pctchange(D406,TODAY()-$G$12,TODAY())/100)</f>
        <v/>
      </c>
      <c r="H406" s="247" t="str">
        <f ca="1">IF(C406="","",IF($H$11="收入",[1]!S_STM07_IS(D406,9,$G$5,$H$13)/$E$5,[1]!S_STM07_IS(D406,48,$G$5,$H$13)/$E$5))</f>
        <v/>
      </c>
      <c r="I406" s="247" t="str">
        <f ca="1">IF(C406="","",IF($I$11="毛利率",([1]!S_STM07_IS(D406,9,$G$5,$H$13)-[1]!S_STM07_IS(D406,10,$G$5,$H$13))/[1]!S_STM07_IS(D406,9,$G$5,$H$13),[1]!S_STM07_IS(D406,14,$G$5,$H$13)/$E$5))</f>
        <v/>
      </c>
      <c r="J406" s="247" t="str">
        <f ca="1">IF(C406="","",IF($J$11="营业利润率",[1]!S_STM07_IS(D406,48,$G$5,$H$13)/[1]!S_STM07_IS(D406,9,$G$5,$H$13),([1]!S_STM07_CS(D406,87,$G$5,$H$13)+[1]!S_STM07_CS(D406,88,$G$5,$H$13)+[1]!S_STM07_CS(D406,89,$G$5,$H$13))/$E$5))</f>
        <v/>
      </c>
      <c r="K406" s="247" t="str">
        <f ca="1">IF(C406="","",IF($K$11="净利润率",[1]!S_STM07_IS(D406,61,$G$5,$H$13)/[1]!S_STM07_IS(D406,9,$G$5,$H$13),[1]!S_STM07_IS(D406,55,$G$5,$H$13)/$E$5))</f>
        <v/>
      </c>
      <c r="L406" s="247" t="str">
        <f ca="1">IF(C406="","",IF($L$11="ROA",[1]!S_STM07_IS(D406,61,$G$5,$H$13)/[1]!S_STM07_BS(D406,74,$G$5,$H$13),1-[1]!S_STM07_IS(D406,61,$G$5,$H$13)/[1]!S_STM07_IS(D406,55,$G$5,$H$13)))</f>
        <v/>
      </c>
      <c r="M406" s="247" t="str">
        <f ca="1">IF(C406="","",IF($M$11="ROE",[1]!S_STM07_IS(D406,61,$G$5,$H$13)/[1]!S_STM07_BS(D406,141,$G$5,$H$13),([1]!S_STM07_BS(D406,25,$G$5,$H$13)-[1]!S_STM07_BS(D406,93,$G$5,$H$13))/$E$5))</f>
        <v/>
      </c>
      <c r="N406" s="247" t="str">
        <f ca="1">IF(C406="","",IF($N$11="EPS",[1]!S_STM07_IS(D406,61,$G$5,$H$13)/IF([1]!S_SHARE_TOTAL(D406,$G$5)=0,[1]!S_SHARE_TOTAL(D406,[1]!s_ipo_listeddate(D406)),[1]!S_SHARE_TOTAL(D406,$G$5)),([1]!S_STM07_BS(D406,75,$G$5,$H$13)+[1]!S_STM07_BS(D406,88,$G$5,$H$13)+[1]!S_STM07_BS(D406,94,$G$5,$H$13)+[1]!S_STM07_BS(D406,95,$G$5,$H$13))/$E$5))</f>
        <v/>
      </c>
      <c r="O406" s="247" t="str">
        <f ca="1">IF(C406="","",IF($O$11="BPS",[1]!S_STM07_BS(D406,141,$G$5,$H$13)/IF([1]!S_SHARE_TOTAL(D406,$G$5)=0,[1]!S_SHARE_TOTAL(D406,[1]!s_ipo_listeddate(D406)),[1]!S_SHARE_TOTAL(D406,$G$5)),[1]!S_STM07_CS(D406,49,$G$5,$H$13)/$E$5))</f>
        <v/>
      </c>
      <c r="P406" s="247" t="str">
        <f ca="1">IF(C406="","",IF($P$11="CFPS",[1]!S_STM07_CS(D406,84,$G$5,$H$13)/IF([1]!S_SHARE_TOTAL(D406,$G$5)=0,[1]!S_SHARE_TOTAL(D406,[1]!s_ipo_listeddate(D406)),[1]!S_SHARE_TOTAL(D406,$G$5)),[1]!S_STM07_CS(D406,84,$G$5,$H$13)/$E$5))</f>
        <v/>
      </c>
      <c r="Q406" s="248" t="str">
        <f ca="1">IF(C406="","",F406/([1]!S_STM07_IS(D406,61,$G$5,$H$13)/IF([1]!S_SHARE_TOTAL(D406,$G$5)=0,[1]!S_SHARE_TOTAL(D406,[1]!s_ipo_listeddate(D406)),[1]!S_SHARE_TOTAL(D406,$G$5))))</f>
        <v/>
      </c>
      <c r="R406" s="248" t="str">
        <f ca="1">IF(C406="","",F406/([1]!S_STM07_BS(D406,141,$G$5,$H$13)/IF([1]!S_SHARE_TOTAL(D406,$G$5)=0,[1]!S_SHARE_TOTAL(D406,[1]!s_ipo_listeddate(D406)),[1]!S_SHARE_TOTAL(D406,$G$5))))</f>
        <v/>
      </c>
      <c r="S406" s="247" t="str">
        <f ca="1">IF(C406="","",[1]!S_SHARE_TOTAL(D406,TODAY())/$E$5)</f>
        <v/>
      </c>
      <c r="T406" s="247" t="str">
        <f t="shared" ca="1" si="43"/>
        <v/>
      </c>
      <c r="U406" s="218" t="str">
        <f t="shared" ca="1" si="44"/>
        <v/>
      </c>
      <c r="V406" s="342" t="str">
        <f t="shared" ca="1" si="45"/>
        <v/>
      </c>
      <c r="W406" s="139"/>
      <c r="Y406" s="1"/>
    </row>
    <row r="407" spans="3:25" ht="12" customHeight="1">
      <c r="C407" s="343" t="str">
        <f t="shared" ca="1" si="46"/>
        <v/>
      </c>
      <c r="D407" s="124" t="str">
        <f t="shared" ca="1" si="41"/>
        <v/>
      </c>
      <c r="E407" s="124" t="str">
        <f t="shared" ca="1" si="42"/>
        <v/>
      </c>
      <c r="F407" s="172" t="str">
        <f ca="1">IF(C407="","",[1]!S_DQ_CLOSE(D407,TODAY(),1))</f>
        <v/>
      </c>
      <c r="G407" s="173" t="str">
        <f ca="1">IF(C407="","",[1]!s_pq_pctchange(D407,TODAY()-$G$12,TODAY())/100)</f>
        <v/>
      </c>
      <c r="H407" s="249" t="str">
        <f ca="1">IF(C407="","",IF($H$11="收入",[1]!S_STM07_IS(D407,9,$G$5,$H$13)/$E$5,[1]!S_STM07_IS(D407,48,$G$5,$H$13)/$E$5))</f>
        <v/>
      </c>
      <c r="I407" s="249" t="str">
        <f ca="1">IF(C407="","",IF($I$11="毛利率",([1]!S_STM07_IS(D407,9,$G$5,$H$13)-[1]!S_STM07_IS(D407,10,$G$5,$H$13))/[1]!S_STM07_IS(D407,9,$G$5,$H$13),[1]!S_STM07_IS(D407,14,$G$5,$H$13)/$E$5))</f>
        <v/>
      </c>
      <c r="J407" s="249" t="str">
        <f ca="1">IF(C407="","",IF($J$11="营业利润率",[1]!S_STM07_IS(D407,48,$G$5,$H$13)/[1]!S_STM07_IS(D407,9,$G$5,$H$13),([1]!S_STM07_CS(D407,87,$G$5,$H$13)+[1]!S_STM07_CS(D407,88,$G$5,$H$13)+[1]!S_STM07_CS(D407,89,$G$5,$H$13))/$E$5))</f>
        <v/>
      </c>
      <c r="K407" s="249" t="str">
        <f ca="1">IF(C407="","",IF($K$11="净利润率",[1]!S_STM07_IS(D407,61,$G$5,$H$13)/[1]!S_STM07_IS(D407,9,$G$5,$H$13),[1]!S_STM07_IS(D407,55,$G$5,$H$13)/$E$5))</f>
        <v/>
      </c>
      <c r="L407" s="249" t="str">
        <f ca="1">IF(C407="","",IF($L$11="ROA",[1]!S_STM07_IS(D407,61,$G$5,$H$13)/[1]!S_STM07_BS(D407,74,$G$5,$H$13),1-[1]!S_STM07_IS(D407,61,$G$5,$H$13)/[1]!S_STM07_IS(D407,55,$G$5,$H$13)))</f>
        <v/>
      </c>
      <c r="M407" s="249" t="str">
        <f ca="1">IF(C407="","",IF($M$11="ROE",[1]!S_STM07_IS(D407,61,$G$5,$H$13)/[1]!S_STM07_BS(D407,141,$G$5,$H$13),([1]!S_STM07_BS(D407,25,$G$5,$H$13)-[1]!S_STM07_BS(D407,93,$G$5,$H$13))/$E$5))</f>
        <v/>
      </c>
      <c r="N407" s="250" t="str">
        <f ca="1">IF(C407="","",IF($N$11="EPS",[1]!S_STM07_IS(D407,61,$G$5,$H$13)/IF([1]!S_SHARE_TOTAL(D407,$G$5)=0,[1]!S_SHARE_TOTAL(D407,[1]!s_ipo_listeddate(D407)),[1]!S_SHARE_TOTAL(D407,$G$5)),([1]!S_STM07_BS(D407,75,$G$5,$H$13)+[1]!S_STM07_BS(D407,88,$G$5,$H$13)+[1]!S_STM07_BS(D407,94,$G$5,$H$13)+[1]!S_STM07_BS(D407,95,$G$5,$H$13))/$E$5))</f>
        <v/>
      </c>
      <c r="O407" s="250" t="str">
        <f ca="1">IF(C407="","",IF($O$11="BPS",[1]!S_STM07_BS(D407,141,$G$5,$H$13)/IF([1]!S_SHARE_TOTAL(D407,$G$5)=0,[1]!S_SHARE_TOTAL(D407,[1]!s_ipo_listeddate(D407)),[1]!S_SHARE_TOTAL(D407,$G$5)),[1]!S_STM07_CS(D407,49,$G$5,$H$13)/$E$5))</f>
        <v/>
      </c>
      <c r="P407" s="250" t="str">
        <f ca="1">IF(C407="","",IF($P$11="CFPS",[1]!S_STM07_CS(D407,84,$G$5,$H$13)/IF([1]!S_SHARE_TOTAL(D407,$G$5)=0,[1]!S_SHARE_TOTAL(D407,[1]!s_ipo_listeddate(D407)),[1]!S_SHARE_TOTAL(D407,$G$5)),[1]!S_STM07_CS(D407,84,$G$5,$H$13)/$E$5))</f>
        <v/>
      </c>
      <c r="Q407" s="198" t="str">
        <f ca="1">IF(C407="","",F407/([1]!S_STM07_IS(D407,61,$G$5,$H$13)/IF([1]!S_SHARE_TOTAL(D407,$G$5)=0,[1]!S_SHARE_TOTAL(D407,[1]!s_ipo_listeddate(D407)),[1]!S_SHARE_TOTAL(D407,$G$5))))</f>
        <v/>
      </c>
      <c r="R407" s="198" t="str">
        <f ca="1">IF(C407="","",F407/([1]!S_STM07_BS(D407,141,$G$5,$H$13)/IF([1]!S_SHARE_TOTAL(D407,$G$5)=0,[1]!S_SHARE_TOTAL(D407,[1]!s_ipo_listeddate(D407)),[1]!S_SHARE_TOTAL(D407,$G$5))))</f>
        <v/>
      </c>
      <c r="S407" s="249" t="str">
        <f ca="1">IF(C407="","",[1]!S_SHARE_TOTAL(D407,TODAY())/$E$5)</f>
        <v/>
      </c>
      <c r="T407" s="249" t="str">
        <f t="shared" ca="1" si="43"/>
        <v/>
      </c>
      <c r="U407" s="172" t="str">
        <f t="shared" ca="1" si="44"/>
        <v/>
      </c>
      <c r="V407" s="343" t="str">
        <f t="shared" ca="1" si="45"/>
        <v/>
      </c>
      <c r="W407" s="139"/>
      <c r="Y407" s="1"/>
    </row>
    <row r="408" spans="3:25" ht="12" customHeight="1">
      <c r="C408" s="342" t="str">
        <f t="shared" ca="1" si="46"/>
        <v/>
      </c>
      <c r="D408" s="153" t="str">
        <f t="shared" ca="1" si="41"/>
        <v/>
      </c>
      <c r="E408" s="153" t="str">
        <f t="shared" ca="1" si="42"/>
        <v/>
      </c>
      <c r="F408" s="170" t="str">
        <f ca="1">IF(C408="","",[1]!S_DQ_CLOSE(D408,TODAY(),1))</f>
        <v/>
      </c>
      <c r="G408" s="171" t="str">
        <f ca="1">IF(C408="","",[1]!s_pq_pctchange(D408,TODAY()-$G$12,TODAY())/100)</f>
        <v/>
      </c>
      <c r="H408" s="247" t="str">
        <f ca="1">IF(C408="","",IF($H$11="收入",[1]!S_STM07_IS(D408,9,$G$5,$H$13)/$E$5,[1]!S_STM07_IS(D408,48,$G$5,$H$13)/$E$5))</f>
        <v/>
      </c>
      <c r="I408" s="247" t="str">
        <f ca="1">IF(C408="","",IF($I$11="毛利率",([1]!S_STM07_IS(D408,9,$G$5,$H$13)-[1]!S_STM07_IS(D408,10,$G$5,$H$13))/[1]!S_STM07_IS(D408,9,$G$5,$H$13),[1]!S_STM07_IS(D408,14,$G$5,$H$13)/$E$5))</f>
        <v/>
      </c>
      <c r="J408" s="247" t="str">
        <f ca="1">IF(C408="","",IF($J$11="营业利润率",[1]!S_STM07_IS(D408,48,$G$5,$H$13)/[1]!S_STM07_IS(D408,9,$G$5,$H$13),([1]!S_STM07_CS(D408,87,$G$5,$H$13)+[1]!S_STM07_CS(D408,88,$G$5,$H$13)+[1]!S_STM07_CS(D408,89,$G$5,$H$13))/$E$5))</f>
        <v/>
      </c>
      <c r="K408" s="247" t="str">
        <f ca="1">IF(C408="","",IF($K$11="净利润率",[1]!S_STM07_IS(D408,61,$G$5,$H$13)/[1]!S_STM07_IS(D408,9,$G$5,$H$13),[1]!S_STM07_IS(D408,55,$G$5,$H$13)/$E$5))</f>
        <v/>
      </c>
      <c r="L408" s="247" t="str">
        <f ca="1">IF(C408="","",IF($L$11="ROA",[1]!S_STM07_IS(D408,61,$G$5,$H$13)/[1]!S_STM07_BS(D408,74,$G$5,$H$13),1-[1]!S_STM07_IS(D408,61,$G$5,$H$13)/[1]!S_STM07_IS(D408,55,$G$5,$H$13)))</f>
        <v/>
      </c>
      <c r="M408" s="247" t="str">
        <f ca="1">IF(C408="","",IF($M$11="ROE",[1]!S_STM07_IS(D408,61,$G$5,$H$13)/[1]!S_STM07_BS(D408,141,$G$5,$H$13),([1]!S_STM07_BS(D408,25,$G$5,$H$13)-[1]!S_STM07_BS(D408,93,$G$5,$H$13))/$E$5))</f>
        <v/>
      </c>
      <c r="N408" s="247" t="str">
        <f ca="1">IF(C408="","",IF($N$11="EPS",[1]!S_STM07_IS(D408,61,$G$5,$H$13)/IF([1]!S_SHARE_TOTAL(D408,$G$5)=0,[1]!S_SHARE_TOTAL(D408,[1]!s_ipo_listeddate(D408)),[1]!S_SHARE_TOTAL(D408,$G$5)),([1]!S_STM07_BS(D408,75,$G$5,$H$13)+[1]!S_STM07_BS(D408,88,$G$5,$H$13)+[1]!S_STM07_BS(D408,94,$G$5,$H$13)+[1]!S_STM07_BS(D408,95,$G$5,$H$13))/$E$5))</f>
        <v/>
      </c>
      <c r="O408" s="247" t="str">
        <f ca="1">IF(C408="","",IF($O$11="BPS",[1]!S_STM07_BS(D408,141,$G$5,$H$13)/IF([1]!S_SHARE_TOTAL(D408,$G$5)=0,[1]!S_SHARE_TOTAL(D408,[1]!s_ipo_listeddate(D408)),[1]!S_SHARE_TOTAL(D408,$G$5)),[1]!S_STM07_CS(D408,49,$G$5,$H$13)/$E$5))</f>
        <v/>
      </c>
      <c r="P408" s="247" t="str">
        <f ca="1">IF(C408="","",IF($P$11="CFPS",[1]!S_STM07_CS(D408,84,$G$5,$H$13)/IF([1]!S_SHARE_TOTAL(D408,$G$5)=0,[1]!S_SHARE_TOTAL(D408,[1]!s_ipo_listeddate(D408)),[1]!S_SHARE_TOTAL(D408,$G$5)),[1]!S_STM07_CS(D408,84,$G$5,$H$13)/$E$5))</f>
        <v/>
      </c>
      <c r="Q408" s="248" t="str">
        <f ca="1">IF(C408="","",F408/([1]!S_STM07_IS(D408,61,$G$5,$H$13)/IF([1]!S_SHARE_TOTAL(D408,$G$5)=0,[1]!S_SHARE_TOTAL(D408,[1]!s_ipo_listeddate(D408)),[1]!S_SHARE_TOTAL(D408,$G$5))))</f>
        <v/>
      </c>
      <c r="R408" s="248" t="str">
        <f ca="1">IF(C408="","",F408/([1]!S_STM07_BS(D408,141,$G$5,$H$13)/IF([1]!S_SHARE_TOTAL(D408,$G$5)=0,[1]!S_SHARE_TOTAL(D408,[1]!s_ipo_listeddate(D408)),[1]!S_SHARE_TOTAL(D408,$G$5))))</f>
        <v/>
      </c>
      <c r="S408" s="247" t="str">
        <f ca="1">IF(C408="","",[1]!S_SHARE_TOTAL(D408,TODAY())/$E$5)</f>
        <v/>
      </c>
      <c r="T408" s="247" t="str">
        <f t="shared" ca="1" si="43"/>
        <v/>
      </c>
      <c r="U408" s="218" t="str">
        <f t="shared" ca="1" si="44"/>
        <v/>
      </c>
      <c r="V408" s="342" t="str">
        <f t="shared" ca="1" si="45"/>
        <v/>
      </c>
      <c r="W408" s="139"/>
      <c r="Y408" s="1"/>
    </row>
    <row r="409" spans="3:25" ht="12" customHeight="1">
      <c r="C409" s="343" t="str">
        <f t="shared" ca="1" si="46"/>
        <v/>
      </c>
      <c r="D409" s="124" t="str">
        <f t="shared" ca="1" si="41"/>
        <v/>
      </c>
      <c r="E409" s="124" t="str">
        <f t="shared" ca="1" si="42"/>
        <v/>
      </c>
      <c r="F409" s="172" t="str">
        <f ca="1">IF(C409="","",[1]!S_DQ_CLOSE(D409,TODAY(),1))</f>
        <v/>
      </c>
      <c r="G409" s="173" t="str">
        <f ca="1">IF(C409="","",[1]!s_pq_pctchange(D409,TODAY()-$G$12,TODAY())/100)</f>
        <v/>
      </c>
      <c r="H409" s="249" t="str">
        <f ca="1">IF(C409="","",IF($H$11="收入",[1]!S_STM07_IS(D409,9,$G$5,$H$13)/$E$5,[1]!S_STM07_IS(D409,48,$G$5,$H$13)/$E$5))</f>
        <v/>
      </c>
      <c r="I409" s="249" t="str">
        <f ca="1">IF(C409="","",IF($I$11="毛利率",([1]!S_STM07_IS(D409,9,$G$5,$H$13)-[1]!S_STM07_IS(D409,10,$G$5,$H$13))/[1]!S_STM07_IS(D409,9,$G$5,$H$13),[1]!S_STM07_IS(D409,14,$G$5,$H$13)/$E$5))</f>
        <v/>
      </c>
      <c r="J409" s="249" t="str">
        <f ca="1">IF(C409="","",IF($J$11="营业利润率",[1]!S_STM07_IS(D409,48,$G$5,$H$13)/[1]!S_STM07_IS(D409,9,$G$5,$H$13),([1]!S_STM07_CS(D409,87,$G$5,$H$13)+[1]!S_STM07_CS(D409,88,$G$5,$H$13)+[1]!S_STM07_CS(D409,89,$G$5,$H$13))/$E$5))</f>
        <v/>
      </c>
      <c r="K409" s="249" t="str">
        <f ca="1">IF(C409="","",IF($K$11="净利润率",[1]!S_STM07_IS(D409,61,$G$5,$H$13)/[1]!S_STM07_IS(D409,9,$G$5,$H$13),[1]!S_STM07_IS(D409,55,$G$5,$H$13)/$E$5))</f>
        <v/>
      </c>
      <c r="L409" s="249" t="str">
        <f ca="1">IF(C409="","",IF($L$11="ROA",[1]!S_STM07_IS(D409,61,$G$5,$H$13)/[1]!S_STM07_BS(D409,74,$G$5,$H$13),1-[1]!S_STM07_IS(D409,61,$G$5,$H$13)/[1]!S_STM07_IS(D409,55,$G$5,$H$13)))</f>
        <v/>
      </c>
      <c r="M409" s="249" t="str">
        <f ca="1">IF(C409="","",IF($M$11="ROE",[1]!S_STM07_IS(D409,61,$G$5,$H$13)/[1]!S_STM07_BS(D409,141,$G$5,$H$13),([1]!S_STM07_BS(D409,25,$G$5,$H$13)-[1]!S_STM07_BS(D409,93,$G$5,$H$13))/$E$5))</f>
        <v/>
      </c>
      <c r="N409" s="250" t="str">
        <f ca="1">IF(C409="","",IF($N$11="EPS",[1]!S_STM07_IS(D409,61,$G$5,$H$13)/IF([1]!S_SHARE_TOTAL(D409,$G$5)=0,[1]!S_SHARE_TOTAL(D409,[1]!s_ipo_listeddate(D409)),[1]!S_SHARE_TOTAL(D409,$G$5)),([1]!S_STM07_BS(D409,75,$G$5,$H$13)+[1]!S_STM07_BS(D409,88,$G$5,$H$13)+[1]!S_STM07_BS(D409,94,$G$5,$H$13)+[1]!S_STM07_BS(D409,95,$G$5,$H$13))/$E$5))</f>
        <v/>
      </c>
      <c r="O409" s="250" t="str">
        <f ca="1">IF(C409="","",IF($O$11="BPS",[1]!S_STM07_BS(D409,141,$G$5,$H$13)/IF([1]!S_SHARE_TOTAL(D409,$G$5)=0,[1]!S_SHARE_TOTAL(D409,[1]!s_ipo_listeddate(D409)),[1]!S_SHARE_TOTAL(D409,$G$5)),[1]!S_STM07_CS(D409,49,$G$5,$H$13)/$E$5))</f>
        <v/>
      </c>
      <c r="P409" s="250" t="str">
        <f ca="1">IF(C409="","",IF($P$11="CFPS",[1]!S_STM07_CS(D409,84,$G$5,$H$13)/IF([1]!S_SHARE_TOTAL(D409,$G$5)=0,[1]!S_SHARE_TOTAL(D409,[1]!s_ipo_listeddate(D409)),[1]!S_SHARE_TOTAL(D409,$G$5)),[1]!S_STM07_CS(D409,84,$G$5,$H$13)/$E$5))</f>
        <v/>
      </c>
      <c r="Q409" s="198" t="str">
        <f ca="1">IF(C409="","",F409/([1]!S_STM07_IS(D409,61,$G$5,$H$13)/IF([1]!S_SHARE_TOTAL(D409,$G$5)=0,[1]!S_SHARE_TOTAL(D409,[1]!s_ipo_listeddate(D409)),[1]!S_SHARE_TOTAL(D409,$G$5))))</f>
        <v/>
      </c>
      <c r="R409" s="198" t="str">
        <f ca="1">IF(C409="","",F409/([1]!S_STM07_BS(D409,141,$G$5,$H$13)/IF([1]!S_SHARE_TOTAL(D409,$G$5)=0,[1]!S_SHARE_TOTAL(D409,[1]!s_ipo_listeddate(D409)),[1]!S_SHARE_TOTAL(D409,$G$5))))</f>
        <v/>
      </c>
      <c r="S409" s="249" t="str">
        <f ca="1">IF(C409="","",[1]!S_SHARE_TOTAL(D409,TODAY())/$E$5)</f>
        <v/>
      </c>
      <c r="T409" s="249" t="str">
        <f t="shared" ca="1" si="43"/>
        <v/>
      </c>
      <c r="U409" s="172" t="str">
        <f t="shared" ca="1" si="44"/>
        <v/>
      </c>
      <c r="V409" s="343" t="str">
        <f t="shared" ca="1" si="45"/>
        <v/>
      </c>
      <c r="W409" s="139"/>
      <c r="Y409" s="1"/>
    </row>
    <row r="410" spans="3:25" ht="12" customHeight="1">
      <c r="C410" s="342" t="str">
        <f t="shared" ca="1" si="46"/>
        <v/>
      </c>
      <c r="D410" s="153" t="str">
        <f t="shared" ca="1" si="41"/>
        <v/>
      </c>
      <c r="E410" s="153" t="str">
        <f t="shared" ca="1" si="42"/>
        <v/>
      </c>
      <c r="F410" s="170" t="str">
        <f ca="1">IF(C410="","",[1]!S_DQ_CLOSE(D410,TODAY(),1))</f>
        <v/>
      </c>
      <c r="G410" s="171" t="str">
        <f ca="1">IF(C410="","",[1]!s_pq_pctchange(D410,TODAY()-$G$12,TODAY())/100)</f>
        <v/>
      </c>
      <c r="H410" s="247" t="str">
        <f ca="1">IF(C410="","",IF($H$11="收入",[1]!S_STM07_IS(D410,9,$G$5,$H$13)/$E$5,[1]!S_STM07_IS(D410,48,$G$5,$H$13)/$E$5))</f>
        <v/>
      </c>
      <c r="I410" s="247" t="str">
        <f ca="1">IF(C410="","",IF($I$11="毛利率",([1]!S_STM07_IS(D410,9,$G$5,$H$13)-[1]!S_STM07_IS(D410,10,$G$5,$H$13))/[1]!S_STM07_IS(D410,9,$G$5,$H$13),[1]!S_STM07_IS(D410,14,$G$5,$H$13)/$E$5))</f>
        <v/>
      </c>
      <c r="J410" s="247" t="str">
        <f ca="1">IF(C410="","",IF($J$11="营业利润率",[1]!S_STM07_IS(D410,48,$G$5,$H$13)/[1]!S_STM07_IS(D410,9,$G$5,$H$13),([1]!S_STM07_CS(D410,87,$G$5,$H$13)+[1]!S_STM07_CS(D410,88,$G$5,$H$13)+[1]!S_STM07_CS(D410,89,$G$5,$H$13))/$E$5))</f>
        <v/>
      </c>
      <c r="K410" s="247" t="str">
        <f ca="1">IF(C410="","",IF($K$11="净利润率",[1]!S_STM07_IS(D410,61,$G$5,$H$13)/[1]!S_STM07_IS(D410,9,$G$5,$H$13),[1]!S_STM07_IS(D410,55,$G$5,$H$13)/$E$5))</f>
        <v/>
      </c>
      <c r="L410" s="247" t="str">
        <f ca="1">IF(C410="","",IF($L$11="ROA",[1]!S_STM07_IS(D410,61,$G$5,$H$13)/[1]!S_STM07_BS(D410,74,$G$5,$H$13),1-[1]!S_STM07_IS(D410,61,$G$5,$H$13)/[1]!S_STM07_IS(D410,55,$G$5,$H$13)))</f>
        <v/>
      </c>
      <c r="M410" s="247" t="str">
        <f ca="1">IF(C410="","",IF($M$11="ROE",[1]!S_STM07_IS(D410,61,$G$5,$H$13)/[1]!S_STM07_BS(D410,141,$G$5,$H$13),([1]!S_STM07_BS(D410,25,$G$5,$H$13)-[1]!S_STM07_BS(D410,93,$G$5,$H$13))/$E$5))</f>
        <v/>
      </c>
      <c r="N410" s="247" t="str">
        <f ca="1">IF(C410="","",IF($N$11="EPS",[1]!S_STM07_IS(D410,61,$G$5,$H$13)/IF([1]!S_SHARE_TOTAL(D410,$G$5)=0,[1]!S_SHARE_TOTAL(D410,[1]!s_ipo_listeddate(D410)),[1]!S_SHARE_TOTAL(D410,$G$5)),([1]!S_STM07_BS(D410,75,$G$5,$H$13)+[1]!S_STM07_BS(D410,88,$G$5,$H$13)+[1]!S_STM07_BS(D410,94,$G$5,$H$13)+[1]!S_STM07_BS(D410,95,$G$5,$H$13))/$E$5))</f>
        <v/>
      </c>
      <c r="O410" s="247" t="str">
        <f ca="1">IF(C410="","",IF($O$11="BPS",[1]!S_STM07_BS(D410,141,$G$5,$H$13)/IF([1]!S_SHARE_TOTAL(D410,$G$5)=0,[1]!S_SHARE_TOTAL(D410,[1]!s_ipo_listeddate(D410)),[1]!S_SHARE_TOTAL(D410,$G$5)),[1]!S_STM07_CS(D410,49,$G$5,$H$13)/$E$5))</f>
        <v/>
      </c>
      <c r="P410" s="247" t="str">
        <f ca="1">IF(C410="","",IF($P$11="CFPS",[1]!S_STM07_CS(D410,84,$G$5,$H$13)/IF([1]!S_SHARE_TOTAL(D410,$G$5)=0,[1]!S_SHARE_TOTAL(D410,[1]!s_ipo_listeddate(D410)),[1]!S_SHARE_TOTAL(D410,$G$5)),[1]!S_STM07_CS(D410,84,$G$5,$H$13)/$E$5))</f>
        <v/>
      </c>
      <c r="Q410" s="248" t="str">
        <f ca="1">IF(C410="","",F410/([1]!S_STM07_IS(D410,61,$G$5,$H$13)/IF([1]!S_SHARE_TOTAL(D410,$G$5)=0,[1]!S_SHARE_TOTAL(D410,[1]!s_ipo_listeddate(D410)),[1]!S_SHARE_TOTAL(D410,$G$5))))</f>
        <v/>
      </c>
      <c r="R410" s="248" t="str">
        <f ca="1">IF(C410="","",F410/([1]!S_STM07_BS(D410,141,$G$5,$H$13)/IF([1]!S_SHARE_TOTAL(D410,$G$5)=0,[1]!S_SHARE_TOTAL(D410,[1]!s_ipo_listeddate(D410)),[1]!S_SHARE_TOTAL(D410,$G$5))))</f>
        <v/>
      </c>
      <c r="S410" s="247" t="str">
        <f ca="1">IF(C410="","",[1]!S_SHARE_TOTAL(D410,TODAY())/$E$5)</f>
        <v/>
      </c>
      <c r="T410" s="247" t="str">
        <f t="shared" ca="1" si="43"/>
        <v/>
      </c>
      <c r="U410" s="218" t="str">
        <f t="shared" ca="1" si="44"/>
        <v/>
      </c>
      <c r="V410" s="342" t="str">
        <f t="shared" ca="1" si="45"/>
        <v/>
      </c>
      <c r="W410" s="139"/>
      <c r="Y410" s="1"/>
    </row>
    <row r="411" spans="3:25" ht="12" customHeight="1">
      <c r="C411" s="343" t="str">
        <f t="shared" ca="1" si="46"/>
        <v/>
      </c>
      <c r="D411" s="124" t="str">
        <f t="shared" ca="1" si="41"/>
        <v/>
      </c>
      <c r="E411" s="124" t="str">
        <f t="shared" ca="1" si="42"/>
        <v/>
      </c>
      <c r="F411" s="172" t="str">
        <f ca="1">IF(C411="","",[1]!S_DQ_CLOSE(D411,TODAY(),1))</f>
        <v/>
      </c>
      <c r="G411" s="173" t="str">
        <f ca="1">IF(C411="","",[1]!s_pq_pctchange(D411,TODAY()-$G$12,TODAY())/100)</f>
        <v/>
      </c>
      <c r="H411" s="249" t="str">
        <f ca="1">IF(C411="","",IF($H$11="收入",[1]!S_STM07_IS(D411,9,$G$5,$H$13)/$E$5,[1]!S_STM07_IS(D411,48,$G$5,$H$13)/$E$5))</f>
        <v/>
      </c>
      <c r="I411" s="249" t="str">
        <f ca="1">IF(C411="","",IF($I$11="毛利率",([1]!S_STM07_IS(D411,9,$G$5,$H$13)-[1]!S_STM07_IS(D411,10,$G$5,$H$13))/[1]!S_STM07_IS(D411,9,$G$5,$H$13),[1]!S_STM07_IS(D411,14,$G$5,$H$13)/$E$5))</f>
        <v/>
      </c>
      <c r="J411" s="249" t="str">
        <f ca="1">IF(C411="","",IF($J$11="营业利润率",[1]!S_STM07_IS(D411,48,$G$5,$H$13)/[1]!S_STM07_IS(D411,9,$G$5,$H$13),([1]!S_STM07_CS(D411,87,$G$5,$H$13)+[1]!S_STM07_CS(D411,88,$G$5,$H$13)+[1]!S_STM07_CS(D411,89,$G$5,$H$13))/$E$5))</f>
        <v/>
      </c>
      <c r="K411" s="249" t="str">
        <f ca="1">IF(C411="","",IF($K$11="净利润率",[1]!S_STM07_IS(D411,61,$G$5,$H$13)/[1]!S_STM07_IS(D411,9,$G$5,$H$13),[1]!S_STM07_IS(D411,55,$G$5,$H$13)/$E$5))</f>
        <v/>
      </c>
      <c r="L411" s="249" t="str">
        <f ca="1">IF(C411="","",IF($L$11="ROA",[1]!S_STM07_IS(D411,61,$G$5,$H$13)/[1]!S_STM07_BS(D411,74,$G$5,$H$13),1-[1]!S_STM07_IS(D411,61,$G$5,$H$13)/[1]!S_STM07_IS(D411,55,$G$5,$H$13)))</f>
        <v/>
      </c>
      <c r="M411" s="249" t="str">
        <f ca="1">IF(C411="","",IF($M$11="ROE",[1]!S_STM07_IS(D411,61,$G$5,$H$13)/[1]!S_STM07_BS(D411,141,$G$5,$H$13),([1]!S_STM07_BS(D411,25,$G$5,$H$13)-[1]!S_STM07_BS(D411,93,$G$5,$H$13))/$E$5))</f>
        <v/>
      </c>
      <c r="N411" s="250" t="str">
        <f ca="1">IF(C411="","",IF($N$11="EPS",[1]!S_STM07_IS(D411,61,$G$5,$H$13)/IF([1]!S_SHARE_TOTAL(D411,$G$5)=0,[1]!S_SHARE_TOTAL(D411,[1]!s_ipo_listeddate(D411)),[1]!S_SHARE_TOTAL(D411,$G$5)),([1]!S_STM07_BS(D411,75,$G$5,$H$13)+[1]!S_STM07_BS(D411,88,$G$5,$H$13)+[1]!S_STM07_BS(D411,94,$G$5,$H$13)+[1]!S_STM07_BS(D411,95,$G$5,$H$13))/$E$5))</f>
        <v/>
      </c>
      <c r="O411" s="250" t="str">
        <f ca="1">IF(C411="","",IF($O$11="BPS",[1]!S_STM07_BS(D411,141,$G$5,$H$13)/IF([1]!S_SHARE_TOTAL(D411,$G$5)=0,[1]!S_SHARE_TOTAL(D411,[1]!s_ipo_listeddate(D411)),[1]!S_SHARE_TOTAL(D411,$G$5)),[1]!S_STM07_CS(D411,49,$G$5,$H$13)/$E$5))</f>
        <v/>
      </c>
      <c r="P411" s="250" t="str">
        <f ca="1">IF(C411="","",IF($P$11="CFPS",[1]!S_STM07_CS(D411,84,$G$5,$H$13)/IF([1]!S_SHARE_TOTAL(D411,$G$5)=0,[1]!S_SHARE_TOTAL(D411,[1]!s_ipo_listeddate(D411)),[1]!S_SHARE_TOTAL(D411,$G$5)),[1]!S_STM07_CS(D411,84,$G$5,$H$13)/$E$5))</f>
        <v/>
      </c>
      <c r="Q411" s="198" t="str">
        <f ca="1">IF(C411="","",F411/([1]!S_STM07_IS(D411,61,$G$5,$H$13)/IF([1]!S_SHARE_TOTAL(D411,$G$5)=0,[1]!S_SHARE_TOTAL(D411,[1]!s_ipo_listeddate(D411)),[1]!S_SHARE_TOTAL(D411,$G$5))))</f>
        <v/>
      </c>
      <c r="R411" s="198" t="str">
        <f ca="1">IF(C411="","",F411/([1]!S_STM07_BS(D411,141,$G$5,$H$13)/IF([1]!S_SHARE_TOTAL(D411,$G$5)=0,[1]!S_SHARE_TOTAL(D411,[1]!s_ipo_listeddate(D411)),[1]!S_SHARE_TOTAL(D411,$G$5))))</f>
        <v/>
      </c>
      <c r="S411" s="249" t="str">
        <f ca="1">IF(C411="","",[1]!S_SHARE_TOTAL(D411,TODAY())/$E$5)</f>
        <v/>
      </c>
      <c r="T411" s="249" t="str">
        <f t="shared" ca="1" si="43"/>
        <v/>
      </c>
      <c r="U411" s="172" t="str">
        <f t="shared" ca="1" si="44"/>
        <v/>
      </c>
      <c r="V411" s="343" t="str">
        <f t="shared" ca="1" si="45"/>
        <v/>
      </c>
      <c r="W411" s="139"/>
      <c r="Y411" s="1"/>
    </row>
    <row r="412" spans="3:25" ht="12" customHeight="1">
      <c r="C412" s="342" t="str">
        <f t="shared" ca="1" si="46"/>
        <v/>
      </c>
      <c r="D412" s="153" t="str">
        <f t="shared" ca="1" si="41"/>
        <v/>
      </c>
      <c r="E412" s="153" t="str">
        <f t="shared" ca="1" si="42"/>
        <v/>
      </c>
      <c r="F412" s="170" t="str">
        <f ca="1">IF(C412="","",[1]!S_DQ_CLOSE(D412,TODAY(),1))</f>
        <v/>
      </c>
      <c r="G412" s="171" t="str">
        <f ca="1">IF(C412="","",[1]!s_pq_pctchange(D412,TODAY()-$G$12,TODAY())/100)</f>
        <v/>
      </c>
      <c r="H412" s="247" t="str">
        <f ca="1">IF(C412="","",IF($H$11="收入",[1]!S_STM07_IS(D412,9,$G$5,$H$13)/$E$5,[1]!S_STM07_IS(D412,48,$G$5,$H$13)/$E$5))</f>
        <v/>
      </c>
      <c r="I412" s="247" t="str">
        <f ca="1">IF(C412="","",IF($I$11="毛利率",([1]!S_STM07_IS(D412,9,$G$5,$H$13)-[1]!S_STM07_IS(D412,10,$G$5,$H$13))/[1]!S_STM07_IS(D412,9,$G$5,$H$13),[1]!S_STM07_IS(D412,14,$G$5,$H$13)/$E$5))</f>
        <v/>
      </c>
      <c r="J412" s="247" t="str">
        <f ca="1">IF(C412="","",IF($J$11="营业利润率",[1]!S_STM07_IS(D412,48,$G$5,$H$13)/[1]!S_STM07_IS(D412,9,$G$5,$H$13),([1]!S_STM07_CS(D412,87,$G$5,$H$13)+[1]!S_STM07_CS(D412,88,$G$5,$H$13)+[1]!S_STM07_CS(D412,89,$G$5,$H$13))/$E$5))</f>
        <v/>
      </c>
      <c r="K412" s="247" t="str">
        <f ca="1">IF(C412="","",IF($K$11="净利润率",[1]!S_STM07_IS(D412,61,$G$5,$H$13)/[1]!S_STM07_IS(D412,9,$G$5,$H$13),[1]!S_STM07_IS(D412,55,$G$5,$H$13)/$E$5))</f>
        <v/>
      </c>
      <c r="L412" s="247" t="str">
        <f ca="1">IF(C412="","",IF($L$11="ROA",[1]!S_STM07_IS(D412,61,$G$5,$H$13)/[1]!S_STM07_BS(D412,74,$G$5,$H$13),1-[1]!S_STM07_IS(D412,61,$G$5,$H$13)/[1]!S_STM07_IS(D412,55,$G$5,$H$13)))</f>
        <v/>
      </c>
      <c r="M412" s="247" t="str">
        <f ca="1">IF(C412="","",IF($M$11="ROE",[1]!S_STM07_IS(D412,61,$G$5,$H$13)/[1]!S_STM07_BS(D412,141,$G$5,$H$13),([1]!S_STM07_BS(D412,25,$G$5,$H$13)-[1]!S_STM07_BS(D412,93,$G$5,$H$13))/$E$5))</f>
        <v/>
      </c>
      <c r="N412" s="247" t="str">
        <f ca="1">IF(C412="","",IF($N$11="EPS",[1]!S_STM07_IS(D412,61,$G$5,$H$13)/IF([1]!S_SHARE_TOTAL(D412,$G$5)=0,[1]!S_SHARE_TOTAL(D412,[1]!s_ipo_listeddate(D412)),[1]!S_SHARE_TOTAL(D412,$G$5)),([1]!S_STM07_BS(D412,75,$G$5,$H$13)+[1]!S_STM07_BS(D412,88,$G$5,$H$13)+[1]!S_STM07_BS(D412,94,$G$5,$H$13)+[1]!S_STM07_BS(D412,95,$G$5,$H$13))/$E$5))</f>
        <v/>
      </c>
      <c r="O412" s="247" t="str">
        <f ca="1">IF(C412="","",IF($O$11="BPS",[1]!S_STM07_BS(D412,141,$G$5,$H$13)/IF([1]!S_SHARE_TOTAL(D412,$G$5)=0,[1]!S_SHARE_TOTAL(D412,[1]!s_ipo_listeddate(D412)),[1]!S_SHARE_TOTAL(D412,$G$5)),[1]!S_STM07_CS(D412,49,$G$5,$H$13)/$E$5))</f>
        <v/>
      </c>
      <c r="P412" s="247" t="str">
        <f ca="1">IF(C412="","",IF($P$11="CFPS",[1]!S_STM07_CS(D412,84,$G$5,$H$13)/IF([1]!S_SHARE_TOTAL(D412,$G$5)=0,[1]!S_SHARE_TOTAL(D412,[1]!s_ipo_listeddate(D412)),[1]!S_SHARE_TOTAL(D412,$G$5)),[1]!S_STM07_CS(D412,84,$G$5,$H$13)/$E$5))</f>
        <v/>
      </c>
      <c r="Q412" s="248" t="str">
        <f ca="1">IF(C412="","",F412/([1]!S_STM07_IS(D412,61,$G$5,$H$13)/IF([1]!S_SHARE_TOTAL(D412,$G$5)=0,[1]!S_SHARE_TOTAL(D412,[1]!s_ipo_listeddate(D412)),[1]!S_SHARE_TOTAL(D412,$G$5))))</f>
        <v/>
      </c>
      <c r="R412" s="248" t="str">
        <f ca="1">IF(C412="","",F412/([1]!S_STM07_BS(D412,141,$G$5,$H$13)/IF([1]!S_SHARE_TOTAL(D412,$G$5)=0,[1]!S_SHARE_TOTAL(D412,[1]!s_ipo_listeddate(D412)),[1]!S_SHARE_TOTAL(D412,$G$5))))</f>
        <v/>
      </c>
      <c r="S412" s="247" t="str">
        <f ca="1">IF(C412="","",[1]!S_SHARE_TOTAL(D412,TODAY())/$E$5)</f>
        <v/>
      </c>
      <c r="T412" s="247" t="str">
        <f t="shared" ca="1" si="43"/>
        <v/>
      </c>
      <c r="U412" s="218" t="str">
        <f t="shared" ca="1" si="44"/>
        <v/>
      </c>
      <c r="V412" s="342" t="str">
        <f t="shared" ca="1" si="45"/>
        <v/>
      </c>
      <c r="W412" s="139"/>
      <c r="Y412" s="1"/>
    </row>
    <row r="413" spans="3:25" ht="12" customHeight="1">
      <c r="C413" s="343" t="str">
        <f t="shared" ca="1" si="46"/>
        <v/>
      </c>
      <c r="D413" s="124" t="str">
        <f t="shared" ca="1" si="41"/>
        <v/>
      </c>
      <c r="E413" s="124" t="str">
        <f t="shared" ca="1" si="42"/>
        <v/>
      </c>
      <c r="F413" s="172" t="str">
        <f ca="1">IF(C413="","",[1]!S_DQ_CLOSE(D413,TODAY(),1))</f>
        <v/>
      </c>
      <c r="G413" s="173" t="str">
        <f ca="1">IF(C413="","",[1]!s_pq_pctchange(D413,TODAY()-$G$12,TODAY())/100)</f>
        <v/>
      </c>
      <c r="H413" s="249" t="str">
        <f ca="1">IF(C413="","",IF($H$11="收入",[1]!S_STM07_IS(D413,9,$G$5,$H$13)/$E$5,[1]!S_STM07_IS(D413,48,$G$5,$H$13)/$E$5))</f>
        <v/>
      </c>
      <c r="I413" s="249" t="str">
        <f ca="1">IF(C413="","",IF($I$11="毛利率",([1]!S_STM07_IS(D413,9,$G$5,$H$13)-[1]!S_STM07_IS(D413,10,$G$5,$H$13))/[1]!S_STM07_IS(D413,9,$G$5,$H$13),[1]!S_STM07_IS(D413,14,$G$5,$H$13)/$E$5))</f>
        <v/>
      </c>
      <c r="J413" s="249" t="str">
        <f ca="1">IF(C413="","",IF($J$11="营业利润率",[1]!S_STM07_IS(D413,48,$G$5,$H$13)/[1]!S_STM07_IS(D413,9,$G$5,$H$13),([1]!S_STM07_CS(D413,87,$G$5,$H$13)+[1]!S_STM07_CS(D413,88,$G$5,$H$13)+[1]!S_STM07_CS(D413,89,$G$5,$H$13))/$E$5))</f>
        <v/>
      </c>
      <c r="K413" s="249" t="str">
        <f ca="1">IF(C413="","",IF($K$11="净利润率",[1]!S_STM07_IS(D413,61,$G$5,$H$13)/[1]!S_STM07_IS(D413,9,$G$5,$H$13),[1]!S_STM07_IS(D413,55,$G$5,$H$13)/$E$5))</f>
        <v/>
      </c>
      <c r="L413" s="249" t="str">
        <f ca="1">IF(C413="","",IF($L$11="ROA",[1]!S_STM07_IS(D413,61,$G$5,$H$13)/[1]!S_STM07_BS(D413,74,$G$5,$H$13),1-[1]!S_STM07_IS(D413,61,$G$5,$H$13)/[1]!S_STM07_IS(D413,55,$G$5,$H$13)))</f>
        <v/>
      </c>
      <c r="M413" s="249" t="str">
        <f ca="1">IF(C413="","",IF($M$11="ROE",[1]!S_STM07_IS(D413,61,$G$5,$H$13)/[1]!S_STM07_BS(D413,141,$G$5,$H$13),([1]!S_STM07_BS(D413,25,$G$5,$H$13)-[1]!S_STM07_BS(D413,93,$G$5,$H$13))/$E$5))</f>
        <v/>
      </c>
      <c r="N413" s="250" t="str">
        <f ca="1">IF(C413="","",IF($N$11="EPS",[1]!S_STM07_IS(D413,61,$G$5,$H$13)/IF([1]!S_SHARE_TOTAL(D413,$G$5)=0,[1]!S_SHARE_TOTAL(D413,[1]!s_ipo_listeddate(D413)),[1]!S_SHARE_TOTAL(D413,$G$5)),([1]!S_STM07_BS(D413,75,$G$5,$H$13)+[1]!S_STM07_BS(D413,88,$G$5,$H$13)+[1]!S_STM07_BS(D413,94,$G$5,$H$13)+[1]!S_STM07_BS(D413,95,$G$5,$H$13))/$E$5))</f>
        <v/>
      </c>
      <c r="O413" s="250" t="str">
        <f ca="1">IF(C413="","",IF($O$11="BPS",[1]!S_STM07_BS(D413,141,$G$5,$H$13)/IF([1]!S_SHARE_TOTAL(D413,$G$5)=0,[1]!S_SHARE_TOTAL(D413,[1]!s_ipo_listeddate(D413)),[1]!S_SHARE_TOTAL(D413,$G$5)),[1]!S_STM07_CS(D413,49,$G$5,$H$13)/$E$5))</f>
        <v/>
      </c>
      <c r="P413" s="250" t="str">
        <f ca="1">IF(C413="","",IF($P$11="CFPS",[1]!S_STM07_CS(D413,84,$G$5,$H$13)/IF([1]!S_SHARE_TOTAL(D413,$G$5)=0,[1]!S_SHARE_TOTAL(D413,[1]!s_ipo_listeddate(D413)),[1]!S_SHARE_TOTAL(D413,$G$5)),[1]!S_STM07_CS(D413,84,$G$5,$H$13)/$E$5))</f>
        <v/>
      </c>
      <c r="Q413" s="198" t="str">
        <f ca="1">IF(C413="","",F413/([1]!S_STM07_IS(D413,61,$G$5,$H$13)/IF([1]!S_SHARE_TOTAL(D413,$G$5)=0,[1]!S_SHARE_TOTAL(D413,[1]!s_ipo_listeddate(D413)),[1]!S_SHARE_TOTAL(D413,$G$5))))</f>
        <v/>
      </c>
      <c r="R413" s="198" t="str">
        <f ca="1">IF(C413="","",F413/([1]!S_STM07_BS(D413,141,$G$5,$H$13)/IF([1]!S_SHARE_TOTAL(D413,$G$5)=0,[1]!S_SHARE_TOTAL(D413,[1]!s_ipo_listeddate(D413)),[1]!S_SHARE_TOTAL(D413,$G$5))))</f>
        <v/>
      </c>
      <c r="S413" s="249" t="str">
        <f ca="1">IF(C413="","",[1]!S_SHARE_TOTAL(D413,TODAY())/$E$5)</f>
        <v/>
      </c>
      <c r="T413" s="249" t="str">
        <f t="shared" ca="1" si="43"/>
        <v/>
      </c>
      <c r="U413" s="172" t="str">
        <f t="shared" ca="1" si="44"/>
        <v/>
      </c>
      <c r="V413" s="343" t="str">
        <f t="shared" ca="1" si="45"/>
        <v/>
      </c>
      <c r="W413" s="139"/>
      <c r="Y413" s="1"/>
    </row>
    <row r="414" spans="3:25" ht="12" customHeight="1">
      <c r="C414" s="342" t="str">
        <f t="shared" ca="1" si="46"/>
        <v/>
      </c>
      <c r="D414" s="153" t="str">
        <f t="shared" ca="1" si="41"/>
        <v/>
      </c>
      <c r="E414" s="153" t="str">
        <f t="shared" ca="1" si="42"/>
        <v/>
      </c>
      <c r="F414" s="170" t="str">
        <f ca="1">IF(C414="","",[1]!S_DQ_CLOSE(D414,TODAY(),1))</f>
        <v/>
      </c>
      <c r="G414" s="171" t="str">
        <f ca="1">IF(C414="","",[1]!s_pq_pctchange(D414,TODAY()-$G$12,TODAY())/100)</f>
        <v/>
      </c>
      <c r="H414" s="247" t="str">
        <f ca="1">IF(C414="","",IF($H$11="收入",[1]!S_STM07_IS(D414,9,$G$5,$H$13)/$E$5,[1]!S_STM07_IS(D414,48,$G$5,$H$13)/$E$5))</f>
        <v/>
      </c>
      <c r="I414" s="247" t="str">
        <f ca="1">IF(C414="","",IF($I$11="毛利率",([1]!S_STM07_IS(D414,9,$G$5,$H$13)-[1]!S_STM07_IS(D414,10,$G$5,$H$13))/[1]!S_STM07_IS(D414,9,$G$5,$H$13),[1]!S_STM07_IS(D414,14,$G$5,$H$13)/$E$5))</f>
        <v/>
      </c>
      <c r="J414" s="247" t="str">
        <f ca="1">IF(C414="","",IF($J$11="营业利润率",[1]!S_STM07_IS(D414,48,$G$5,$H$13)/[1]!S_STM07_IS(D414,9,$G$5,$H$13),([1]!S_STM07_CS(D414,87,$G$5,$H$13)+[1]!S_STM07_CS(D414,88,$G$5,$H$13)+[1]!S_STM07_CS(D414,89,$G$5,$H$13))/$E$5))</f>
        <v/>
      </c>
      <c r="K414" s="247" t="str">
        <f ca="1">IF(C414="","",IF($K$11="净利润率",[1]!S_STM07_IS(D414,61,$G$5,$H$13)/[1]!S_STM07_IS(D414,9,$G$5,$H$13),[1]!S_STM07_IS(D414,55,$G$5,$H$13)/$E$5))</f>
        <v/>
      </c>
      <c r="L414" s="247" t="str">
        <f ca="1">IF(C414="","",IF($L$11="ROA",[1]!S_STM07_IS(D414,61,$G$5,$H$13)/[1]!S_STM07_BS(D414,74,$G$5,$H$13),1-[1]!S_STM07_IS(D414,61,$G$5,$H$13)/[1]!S_STM07_IS(D414,55,$G$5,$H$13)))</f>
        <v/>
      </c>
      <c r="M414" s="247" t="str">
        <f ca="1">IF(C414="","",IF($M$11="ROE",[1]!S_STM07_IS(D414,61,$G$5,$H$13)/[1]!S_STM07_BS(D414,141,$G$5,$H$13),([1]!S_STM07_BS(D414,25,$G$5,$H$13)-[1]!S_STM07_BS(D414,93,$G$5,$H$13))/$E$5))</f>
        <v/>
      </c>
      <c r="N414" s="247" t="str">
        <f ca="1">IF(C414="","",IF($N$11="EPS",[1]!S_STM07_IS(D414,61,$G$5,$H$13)/IF([1]!S_SHARE_TOTAL(D414,$G$5)=0,[1]!S_SHARE_TOTAL(D414,[1]!s_ipo_listeddate(D414)),[1]!S_SHARE_TOTAL(D414,$G$5)),([1]!S_STM07_BS(D414,75,$G$5,$H$13)+[1]!S_STM07_BS(D414,88,$G$5,$H$13)+[1]!S_STM07_BS(D414,94,$G$5,$H$13)+[1]!S_STM07_BS(D414,95,$G$5,$H$13))/$E$5))</f>
        <v/>
      </c>
      <c r="O414" s="247" t="str">
        <f ca="1">IF(C414="","",IF($O$11="BPS",[1]!S_STM07_BS(D414,141,$G$5,$H$13)/IF([1]!S_SHARE_TOTAL(D414,$G$5)=0,[1]!S_SHARE_TOTAL(D414,[1]!s_ipo_listeddate(D414)),[1]!S_SHARE_TOTAL(D414,$G$5)),[1]!S_STM07_CS(D414,49,$G$5,$H$13)/$E$5))</f>
        <v/>
      </c>
      <c r="P414" s="247" t="str">
        <f ca="1">IF(C414="","",IF($P$11="CFPS",[1]!S_STM07_CS(D414,84,$G$5,$H$13)/IF([1]!S_SHARE_TOTAL(D414,$G$5)=0,[1]!S_SHARE_TOTAL(D414,[1]!s_ipo_listeddate(D414)),[1]!S_SHARE_TOTAL(D414,$G$5)),[1]!S_STM07_CS(D414,84,$G$5,$H$13)/$E$5))</f>
        <v/>
      </c>
      <c r="Q414" s="248" t="str">
        <f ca="1">IF(C414="","",F414/([1]!S_STM07_IS(D414,61,$G$5,$H$13)/IF([1]!S_SHARE_TOTAL(D414,$G$5)=0,[1]!S_SHARE_TOTAL(D414,[1]!s_ipo_listeddate(D414)),[1]!S_SHARE_TOTAL(D414,$G$5))))</f>
        <v/>
      </c>
      <c r="R414" s="248" t="str">
        <f ca="1">IF(C414="","",F414/([1]!S_STM07_BS(D414,141,$G$5,$H$13)/IF([1]!S_SHARE_TOTAL(D414,$G$5)=0,[1]!S_SHARE_TOTAL(D414,[1]!s_ipo_listeddate(D414)),[1]!S_SHARE_TOTAL(D414,$G$5))))</f>
        <v/>
      </c>
      <c r="S414" s="247" t="str">
        <f ca="1">IF(C414="","",[1]!S_SHARE_TOTAL(D414,TODAY())/$E$5)</f>
        <v/>
      </c>
      <c r="T414" s="247" t="str">
        <f t="shared" ca="1" si="43"/>
        <v/>
      </c>
      <c r="U414" s="218" t="str">
        <f t="shared" ca="1" si="44"/>
        <v/>
      </c>
      <c r="V414" s="342" t="str">
        <f t="shared" ca="1" si="45"/>
        <v/>
      </c>
      <c r="W414" s="139"/>
      <c r="Y414" s="1"/>
    </row>
    <row r="415" spans="3:25" ht="12" customHeight="1">
      <c r="C415" s="343" t="str">
        <f t="shared" ca="1" si="46"/>
        <v/>
      </c>
      <c r="D415" s="124" t="str">
        <f t="shared" ca="1" si="41"/>
        <v/>
      </c>
      <c r="E415" s="124" t="str">
        <f t="shared" ca="1" si="42"/>
        <v/>
      </c>
      <c r="F415" s="172" t="str">
        <f ca="1">IF(C415="","",[1]!S_DQ_CLOSE(D415,TODAY(),1))</f>
        <v/>
      </c>
      <c r="G415" s="173" t="str">
        <f ca="1">IF(C415="","",[1]!s_pq_pctchange(D415,TODAY()-$G$12,TODAY())/100)</f>
        <v/>
      </c>
      <c r="H415" s="249" t="str">
        <f ca="1">IF(C415="","",IF($H$11="收入",[1]!S_STM07_IS(D415,9,$G$5,$H$13)/$E$5,[1]!S_STM07_IS(D415,48,$G$5,$H$13)/$E$5))</f>
        <v/>
      </c>
      <c r="I415" s="249" t="str">
        <f ca="1">IF(C415="","",IF($I$11="毛利率",([1]!S_STM07_IS(D415,9,$G$5,$H$13)-[1]!S_STM07_IS(D415,10,$G$5,$H$13))/[1]!S_STM07_IS(D415,9,$G$5,$H$13),[1]!S_STM07_IS(D415,14,$G$5,$H$13)/$E$5))</f>
        <v/>
      </c>
      <c r="J415" s="249" t="str">
        <f ca="1">IF(C415="","",IF($J$11="营业利润率",[1]!S_STM07_IS(D415,48,$G$5,$H$13)/[1]!S_STM07_IS(D415,9,$G$5,$H$13),([1]!S_STM07_CS(D415,87,$G$5,$H$13)+[1]!S_STM07_CS(D415,88,$G$5,$H$13)+[1]!S_STM07_CS(D415,89,$G$5,$H$13))/$E$5))</f>
        <v/>
      </c>
      <c r="K415" s="249" t="str">
        <f ca="1">IF(C415="","",IF($K$11="净利润率",[1]!S_STM07_IS(D415,61,$G$5,$H$13)/[1]!S_STM07_IS(D415,9,$G$5,$H$13),[1]!S_STM07_IS(D415,55,$G$5,$H$13)/$E$5))</f>
        <v/>
      </c>
      <c r="L415" s="249" t="str">
        <f ca="1">IF(C415="","",IF($L$11="ROA",[1]!S_STM07_IS(D415,61,$G$5,$H$13)/[1]!S_STM07_BS(D415,74,$G$5,$H$13),1-[1]!S_STM07_IS(D415,61,$G$5,$H$13)/[1]!S_STM07_IS(D415,55,$G$5,$H$13)))</f>
        <v/>
      </c>
      <c r="M415" s="249" t="str">
        <f ca="1">IF(C415="","",IF($M$11="ROE",[1]!S_STM07_IS(D415,61,$G$5,$H$13)/[1]!S_STM07_BS(D415,141,$G$5,$H$13),([1]!S_STM07_BS(D415,25,$G$5,$H$13)-[1]!S_STM07_BS(D415,93,$G$5,$H$13))/$E$5))</f>
        <v/>
      </c>
      <c r="N415" s="250" t="str">
        <f ca="1">IF(C415="","",IF($N$11="EPS",[1]!S_STM07_IS(D415,61,$G$5,$H$13)/IF([1]!S_SHARE_TOTAL(D415,$G$5)=0,[1]!S_SHARE_TOTAL(D415,[1]!s_ipo_listeddate(D415)),[1]!S_SHARE_TOTAL(D415,$G$5)),([1]!S_STM07_BS(D415,75,$G$5,$H$13)+[1]!S_STM07_BS(D415,88,$G$5,$H$13)+[1]!S_STM07_BS(D415,94,$G$5,$H$13)+[1]!S_STM07_BS(D415,95,$G$5,$H$13))/$E$5))</f>
        <v/>
      </c>
      <c r="O415" s="250" t="str">
        <f ca="1">IF(C415="","",IF($O$11="BPS",[1]!S_STM07_BS(D415,141,$G$5,$H$13)/IF([1]!S_SHARE_TOTAL(D415,$G$5)=0,[1]!S_SHARE_TOTAL(D415,[1]!s_ipo_listeddate(D415)),[1]!S_SHARE_TOTAL(D415,$G$5)),[1]!S_STM07_CS(D415,49,$G$5,$H$13)/$E$5))</f>
        <v/>
      </c>
      <c r="P415" s="250" t="str">
        <f ca="1">IF(C415="","",IF($P$11="CFPS",[1]!S_STM07_CS(D415,84,$G$5,$H$13)/IF([1]!S_SHARE_TOTAL(D415,$G$5)=0,[1]!S_SHARE_TOTAL(D415,[1]!s_ipo_listeddate(D415)),[1]!S_SHARE_TOTAL(D415,$G$5)),[1]!S_STM07_CS(D415,84,$G$5,$H$13)/$E$5))</f>
        <v/>
      </c>
      <c r="Q415" s="198" t="str">
        <f ca="1">IF(C415="","",F415/([1]!S_STM07_IS(D415,61,$G$5,$H$13)/IF([1]!S_SHARE_TOTAL(D415,$G$5)=0,[1]!S_SHARE_TOTAL(D415,[1]!s_ipo_listeddate(D415)),[1]!S_SHARE_TOTAL(D415,$G$5))))</f>
        <v/>
      </c>
      <c r="R415" s="198" t="str">
        <f ca="1">IF(C415="","",F415/([1]!S_STM07_BS(D415,141,$G$5,$H$13)/IF([1]!S_SHARE_TOTAL(D415,$G$5)=0,[1]!S_SHARE_TOTAL(D415,[1]!s_ipo_listeddate(D415)),[1]!S_SHARE_TOTAL(D415,$G$5))))</f>
        <v/>
      </c>
      <c r="S415" s="249" t="str">
        <f ca="1">IF(C415="","",[1]!S_SHARE_TOTAL(D415,TODAY())/$E$5)</f>
        <v/>
      </c>
      <c r="T415" s="249" t="str">
        <f t="shared" ca="1" si="43"/>
        <v/>
      </c>
      <c r="U415" s="172" t="str">
        <f t="shared" ca="1" si="44"/>
        <v/>
      </c>
      <c r="V415" s="343" t="str">
        <f t="shared" ca="1" si="45"/>
        <v/>
      </c>
      <c r="W415" s="139"/>
      <c r="Y415" s="1"/>
    </row>
    <row r="416" spans="3:25" ht="12" customHeight="1">
      <c r="C416" s="342" t="str">
        <f t="shared" ca="1" si="46"/>
        <v/>
      </c>
      <c r="D416" s="153" t="str">
        <f t="shared" ca="1" si="41"/>
        <v/>
      </c>
      <c r="E416" s="153" t="str">
        <f t="shared" ca="1" si="42"/>
        <v/>
      </c>
      <c r="F416" s="170" t="str">
        <f ca="1">IF(C416="","",[1]!S_DQ_CLOSE(D416,TODAY(),1))</f>
        <v/>
      </c>
      <c r="G416" s="171" t="str">
        <f ca="1">IF(C416="","",[1]!s_pq_pctchange(D416,TODAY()-$G$12,TODAY())/100)</f>
        <v/>
      </c>
      <c r="H416" s="247" t="str">
        <f ca="1">IF(C416="","",IF($H$11="收入",[1]!S_STM07_IS(D416,9,$G$5,$H$13)/$E$5,[1]!S_STM07_IS(D416,48,$G$5,$H$13)/$E$5))</f>
        <v/>
      </c>
      <c r="I416" s="247" t="str">
        <f ca="1">IF(C416="","",IF($I$11="毛利率",([1]!S_STM07_IS(D416,9,$G$5,$H$13)-[1]!S_STM07_IS(D416,10,$G$5,$H$13))/[1]!S_STM07_IS(D416,9,$G$5,$H$13),[1]!S_STM07_IS(D416,14,$G$5,$H$13)/$E$5))</f>
        <v/>
      </c>
      <c r="J416" s="247" t="str">
        <f ca="1">IF(C416="","",IF($J$11="营业利润率",[1]!S_STM07_IS(D416,48,$G$5,$H$13)/[1]!S_STM07_IS(D416,9,$G$5,$H$13),([1]!S_STM07_CS(D416,87,$G$5,$H$13)+[1]!S_STM07_CS(D416,88,$G$5,$H$13)+[1]!S_STM07_CS(D416,89,$G$5,$H$13))/$E$5))</f>
        <v/>
      </c>
      <c r="K416" s="247" t="str">
        <f ca="1">IF(C416="","",IF($K$11="净利润率",[1]!S_STM07_IS(D416,61,$G$5,$H$13)/[1]!S_STM07_IS(D416,9,$G$5,$H$13),[1]!S_STM07_IS(D416,55,$G$5,$H$13)/$E$5))</f>
        <v/>
      </c>
      <c r="L416" s="247" t="str">
        <f ca="1">IF(C416="","",IF($L$11="ROA",[1]!S_STM07_IS(D416,61,$G$5,$H$13)/[1]!S_STM07_BS(D416,74,$G$5,$H$13),1-[1]!S_STM07_IS(D416,61,$G$5,$H$13)/[1]!S_STM07_IS(D416,55,$G$5,$H$13)))</f>
        <v/>
      </c>
      <c r="M416" s="247" t="str">
        <f ca="1">IF(C416="","",IF($M$11="ROE",[1]!S_STM07_IS(D416,61,$G$5,$H$13)/[1]!S_STM07_BS(D416,141,$G$5,$H$13),([1]!S_STM07_BS(D416,25,$G$5,$H$13)-[1]!S_STM07_BS(D416,93,$G$5,$H$13))/$E$5))</f>
        <v/>
      </c>
      <c r="N416" s="247" t="str">
        <f ca="1">IF(C416="","",IF($N$11="EPS",[1]!S_STM07_IS(D416,61,$G$5,$H$13)/IF([1]!S_SHARE_TOTAL(D416,$G$5)=0,[1]!S_SHARE_TOTAL(D416,[1]!s_ipo_listeddate(D416)),[1]!S_SHARE_TOTAL(D416,$G$5)),([1]!S_STM07_BS(D416,75,$G$5,$H$13)+[1]!S_STM07_BS(D416,88,$G$5,$H$13)+[1]!S_STM07_BS(D416,94,$G$5,$H$13)+[1]!S_STM07_BS(D416,95,$G$5,$H$13))/$E$5))</f>
        <v/>
      </c>
      <c r="O416" s="247" t="str">
        <f ca="1">IF(C416="","",IF($O$11="BPS",[1]!S_STM07_BS(D416,141,$G$5,$H$13)/IF([1]!S_SHARE_TOTAL(D416,$G$5)=0,[1]!S_SHARE_TOTAL(D416,[1]!s_ipo_listeddate(D416)),[1]!S_SHARE_TOTAL(D416,$G$5)),[1]!S_STM07_CS(D416,49,$G$5,$H$13)/$E$5))</f>
        <v/>
      </c>
      <c r="P416" s="247" t="str">
        <f ca="1">IF(C416="","",IF($P$11="CFPS",[1]!S_STM07_CS(D416,84,$G$5,$H$13)/IF([1]!S_SHARE_TOTAL(D416,$G$5)=0,[1]!S_SHARE_TOTAL(D416,[1]!s_ipo_listeddate(D416)),[1]!S_SHARE_TOTAL(D416,$G$5)),[1]!S_STM07_CS(D416,84,$G$5,$H$13)/$E$5))</f>
        <v/>
      </c>
      <c r="Q416" s="248" t="str">
        <f ca="1">IF(C416="","",F416/([1]!S_STM07_IS(D416,61,$G$5,$H$13)/IF([1]!S_SHARE_TOTAL(D416,$G$5)=0,[1]!S_SHARE_TOTAL(D416,[1]!s_ipo_listeddate(D416)),[1]!S_SHARE_TOTAL(D416,$G$5))))</f>
        <v/>
      </c>
      <c r="R416" s="248" t="str">
        <f ca="1">IF(C416="","",F416/([1]!S_STM07_BS(D416,141,$G$5,$H$13)/IF([1]!S_SHARE_TOTAL(D416,$G$5)=0,[1]!S_SHARE_TOTAL(D416,[1]!s_ipo_listeddate(D416)),[1]!S_SHARE_TOTAL(D416,$G$5))))</f>
        <v/>
      </c>
      <c r="S416" s="247" t="str">
        <f ca="1">IF(C416="","",[1]!S_SHARE_TOTAL(D416,TODAY())/$E$5)</f>
        <v/>
      </c>
      <c r="T416" s="247" t="str">
        <f t="shared" ca="1" si="43"/>
        <v/>
      </c>
      <c r="U416" s="218" t="str">
        <f t="shared" ca="1" si="44"/>
        <v/>
      </c>
      <c r="V416" s="342" t="str">
        <f t="shared" ca="1" si="45"/>
        <v/>
      </c>
      <c r="W416" s="139"/>
      <c r="Y416" s="1"/>
    </row>
    <row r="417" spans="3:25" ht="12" customHeight="1">
      <c r="C417" s="343" t="str">
        <f t="shared" ca="1" si="46"/>
        <v/>
      </c>
      <c r="D417" s="124" t="str">
        <f t="shared" ca="1" si="41"/>
        <v/>
      </c>
      <c r="E417" s="124" t="str">
        <f t="shared" ca="1" si="42"/>
        <v/>
      </c>
      <c r="F417" s="172" t="str">
        <f ca="1">IF(C417="","",[1]!S_DQ_CLOSE(D417,TODAY(),1))</f>
        <v/>
      </c>
      <c r="G417" s="173" t="str">
        <f ca="1">IF(C417="","",[1]!s_pq_pctchange(D417,TODAY()-$G$12,TODAY())/100)</f>
        <v/>
      </c>
      <c r="H417" s="249" t="str">
        <f ca="1">IF(C417="","",IF($H$11="收入",[1]!S_STM07_IS(D417,9,$G$5,$H$13)/$E$5,[1]!S_STM07_IS(D417,48,$G$5,$H$13)/$E$5))</f>
        <v/>
      </c>
      <c r="I417" s="249" t="str">
        <f ca="1">IF(C417="","",IF($I$11="毛利率",([1]!S_STM07_IS(D417,9,$G$5,$H$13)-[1]!S_STM07_IS(D417,10,$G$5,$H$13))/[1]!S_STM07_IS(D417,9,$G$5,$H$13),[1]!S_STM07_IS(D417,14,$G$5,$H$13)/$E$5))</f>
        <v/>
      </c>
      <c r="J417" s="249" t="str">
        <f ca="1">IF(C417="","",IF($J$11="营业利润率",[1]!S_STM07_IS(D417,48,$G$5,$H$13)/[1]!S_STM07_IS(D417,9,$G$5,$H$13),([1]!S_STM07_CS(D417,87,$G$5,$H$13)+[1]!S_STM07_CS(D417,88,$G$5,$H$13)+[1]!S_STM07_CS(D417,89,$G$5,$H$13))/$E$5))</f>
        <v/>
      </c>
      <c r="K417" s="249" t="str">
        <f ca="1">IF(C417="","",IF($K$11="净利润率",[1]!S_STM07_IS(D417,61,$G$5,$H$13)/[1]!S_STM07_IS(D417,9,$G$5,$H$13),[1]!S_STM07_IS(D417,55,$G$5,$H$13)/$E$5))</f>
        <v/>
      </c>
      <c r="L417" s="249" t="str">
        <f ca="1">IF(C417="","",IF($L$11="ROA",[1]!S_STM07_IS(D417,61,$G$5,$H$13)/[1]!S_STM07_BS(D417,74,$G$5,$H$13),1-[1]!S_STM07_IS(D417,61,$G$5,$H$13)/[1]!S_STM07_IS(D417,55,$G$5,$H$13)))</f>
        <v/>
      </c>
      <c r="M417" s="249" t="str">
        <f ca="1">IF(C417="","",IF($M$11="ROE",[1]!S_STM07_IS(D417,61,$G$5,$H$13)/[1]!S_STM07_BS(D417,141,$G$5,$H$13),([1]!S_STM07_BS(D417,25,$G$5,$H$13)-[1]!S_STM07_BS(D417,93,$G$5,$H$13))/$E$5))</f>
        <v/>
      </c>
      <c r="N417" s="250" t="str">
        <f ca="1">IF(C417="","",IF($N$11="EPS",[1]!S_STM07_IS(D417,61,$G$5,$H$13)/IF([1]!S_SHARE_TOTAL(D417,$G$5)=0,[1]!S_SHARE_TOTAL(D417,[1]!s_ipo_listeddate(D417)),[1]!S_SHARE_TOTAL(D417,$G$5)),([1]!S_STM07_BS(D417,75,$G$5,$H$13)+[1]!S_STM07_BS(D417,88,$G$5,$H$13)+[1]!S_STM07_BS(D417,94,$G$5,$H$13)+[1]!S_STM07_BS(D417,95,$G$5,$H$13))/$E$5))</f>
        <v/>
      </c>
      <c r="O417" s="250" t="str">
        <f ca="1">IF(C417="","",IF($O$11="BPS",[1]!S_STM07_BS(D417,141,$G$5,$H$13)/IF([1]!S_SHARE_TOTAL(D417,$G$5)=0,[1]!S_SHARE_TOTAL(D417,[1]!s_ipo_listeddate(D417)),[1]!S_SHARE_TOTAL(D417,$G$5)),[1]!S_STM07_CS(D417,49,$G$5,$H$13)/$E$5))</f>
        <v/>
      </c>
      <c r="P417" s="250" t="str">
        <f ca="1">IF(C417="","",IF($P$11="CFPS",[1]!S_STM07_CS(D417,84,$G$5,$H$13)/IF([1]!S_SHARE_TOTAL(D417,$G$5)=0,[1]!S_SHARE_TOTAL(D417,[1]!s_ipo_listeddate(D417)),[1]!S_SHARE_TOTAL(D417,$G$5)),[1]!S_STM07_CS(D417,84,$G$5,$H$13)/$E$5))</f>
        <v/>
      </c>
      <c r="Q417" s="198" t="str">
        <f ca="1">IF(C417="","",F417/([1]!S_STM07_IS(D417,61,$G$5,$H$13)/IF([1]!S_SHARE_TOTAL(D417,$G$5)=0,[1]!S_SHARE_TOTAL(D417,[1]!s_ipo_listeddate(D417)),[1]!S_SHARE_TOTAL(D417,$G$5))))</f>
        <v/>
      </c>
      <c r="R417" s="198" t="str">
        <f ca="1">IF(C417="","",F417/([1]!S_STM07_BS(D417,141,$G$5,$H$13)/IF([1]!S_SHARE_TOTAL(D417,$G$5)=0,[1]!S_SHARE_TOTAL(D417,[1]!s_ipo_listeddate(D417)),[1]!S_SHARE_TOTAL(D417,$G$5))))</f>
        <v/>
      </c>
      <c r="S417" s="249" t="str">
        <f ca="1">IF(C417="","",[1]!S_SHARE_TOTAL(D417,TODAY())/$E$5)</f>
        <v/>
      </c>
      <c r="T417" s="249" t="str">
        <f t="shared" ca="1" si="43"/>
        <v/>
      </c>
      <c r="U417" s="172" t="str">
        <f t="shared" ca="1" si="44"/>
        <v/>
      </c>
      <c r="V417" s="343" t="str">
        <f t="shared" ca="1" si="45"/>
        <v/>
      </c>
      <c r="W417" s="139"/>
      <c r="Y417" s="1"/>
    </row>
    <row r="418" spans="3:25" ht="12" customHeight="1">
      <c r="C418" s="342" t="str">
        <f t="shared" ca="1" si="46"/>
        <v/>
      </c>
      <c r="D418" s="153" t="str">
        <f t="shared" ca="1" si="41"/>
        <v/>
      </c>
      <c r="E418" s="153" t="str">
        <f t="shared" ca="1" si="42"/>
        <v/>
      </c>
      <c r="F418" s="170" t="str">
        <f ca="1">IF(C418="","",[1]!S_DQ_CLOSE(D418,TODAY(),1))</f>
        <v/>
      </c>
      <c r="G418" s="171" t="str">
        <f ca="1">IF(C418="","",[1]!s_pq_pctchange(D418,TODAY()-$G$12,TODAY())/100)</f>
        <v/>
      </c>
      <c r="H418" s="247" t="str">
        <f ca="1">IF(C418="","",IF($H$11="收入",[1]!S_STM07_IS(D418,9,$G$5,$H$13)/$E$5,[1]!S_STM07_IS(D418,48,$G$5,$H$13)/$E$5))</f>
        <v/>
      </c>
      <c r="I418" s="247" t="str">
        <f ca="1">IF(C418="","",IF($I$11="毛利率",([1]!S_STM07_IS(D418,9,$G$5,$H$13)-[1]!S_STM07_IS(D418,10,$G$5,$H$13))/[1]!S_STM07_IS(D418,9,$G$5,$H$13),[1]!S_STM07_IS(D418,14,$G$5,$H$13)/$E$5))</f>
        <v/>
      </c>
      <c r="J418" s="247" t="str">
        <f ca="1">IF(C418="","",IF($J$11="营业利润率",[1]!S_STM07_IS(D418,48,$G$5,$H$13)/[1]!S_STM07_IS(D418,9,$G$5,$H$13),([1]!S_STM07_CS(D418,87,$G$5,$H$13)+[1]!S_STM07_CS(D418,88,$G$5,$H$13)+[1]!S_STM07_CS(D418,89,$G$5,$H$13))/$E$5))</f>
        <v/>
      </c>
      <c r="K418" s="247" t="str">
        <f ca="1">IF(C418="","",IF($K$11="净利润率",[1]!S_STM07_IS(D418,61,$G$5,$H$13)/[1]!S_STM07_IS(D418,9,$G$5,$H$13),[1]!S_STM07_IS(D418,55,$G$5,$H$13)/$E$5))</f>
        <v/>
      </c>
      <c r="L418" s="247" t="str">
        <f ca="1">IF(C418="","",IF($L$11="ROA",[1]!S_STM07_IS(D418,61,$G$5,$H$13)/[1]!S_STM07_BS(D418,74,$G$5,$H$13),1-[1]!S_STM07_IS(D418,61,$G$5,$H$13)/[1]!S_STM07_IS(D418,55,$G$5,$H$13)))</f>
        <v/>
      </c>
      <c r="M418" s="247" t="str">
        <f ca="1">IF(C418="","",IF($M$11="ROE",[1]!S_STM07_IS(D418,61,$G$5,$H$13)/[1]!S_STM07_BS(D418,141,$G$5,$H$13),([1]!S_STM07_BS(D418,25,$G$5,$H$13)-[1]!S_STM07_BS(D418,93,$G$5,$H$13))/$E$5))</f>
        <v/>
      </c>
      <c r="N418" s="247" t="str">
        <f ca="1">IF(C418="","",IF($N$11="EPS",[1]!S_STM07_IS(D418,61,$G$5,$H$13)/IF([1]!S_SHARE_TOTAL(D418,$G$5)=0,[1]!S_SHARE_TOTAL(D418,[1]!s_ipo_listeddate(D418)),[1]!S_SHARE_TOTAL(D418,$G$5)),([1]!S_STM07_BS(D418,75,$G$5,$H$13)+[1]!S_STM07_BS(D418,88,$G$5,$H$13)+[1]!S_STM07_BS(D418,94,$G$5,$H$13)+[1]!S_STM07_BS(D418,95,$G$5,$H$13))/$E$5))</f>
        <v/>
      </c>
      <c r="O418" s="247" t="str">
        <f ca="1">IF(C418="","",IF($O$11="BPS",[1]!S_STM07_BS(D418,141,$G$5,$H$13)/IF([1]!S_SHARE_TOTAL(D418,$G$5)=0,[1]!S_SHARE_TOTAL(D418,[1]!s_ipo_listeddate(D418)),[1]!S_SHARE_TOTAL(D418,$G$5)),[1]!S_STM07_CS(D418,49,$G$5,$H$13)/$E$5))</f>
        <v/>
      </c>
      <c r="P418" s="247" t="str">
        <f ca="1">IF(C418="","",IF($P$11="CFPS",[1]!S_STM07_CS(D418,84,$G$5,$H$13)/IF([1]!S_SHARE_TOTAL(D418,$G$5)=0,[1]!S_SHARE_TOTAL(D418,[1]!s_ipo_listeddate(D418)),[1]!S_SHARE_TOTAL(D418,$G$5)),[1]!S_STM07_CS(D418,84,$G$5,$H$13)/$E$5))</f>
        <v/>
      </c>
      <c r="Q418" s="248" t="str">
        <f ca="1">IF(C418="","",F418/([1]!S_STM07_IS(D418,61,$G$5,$H$13)/IF([1]!S_SHARE_TOTAL(D418,$G$5)=0,[1]!S_SHARE_TOTAL(D418,[1]!s_ipo_listeddate(D418)),[1]!S_SHARE_TOTAL(D418,$G$5))))</f>
        <v/>
      </c>
      <c r="R418" s="248" t="str">
        <f ca="1">IF(C418="","",F418/([1]!S_STM07_BS(D418,141,$G$5,$H$13)/IF([1]!S_SHARE_TOTAL(D418,$G$5)=0,[1]!S_SHARE_TOTAL(D418,[1]!s_ipo_listeddate(D418)),[1]!S_SHARE_TOTAL(D418,$G$5))))</f>
        <v/>
      </c>
      <c r="S418" s="247" t="str">
        <f ca="1">IF(C418="","",[1]!S_SHARE_TOTAL(D418,TODAY())/$E$5)</f>
        <v/>
      </c>
      <c r="T418" s="247" t="str">
        <f t="shared" ca="1" si="43"/>
        <v/>
      </c>
      <c r="U418" s="218" t="str">
        <f t="shared" ca="1" si="44"/>
        <v/>
      </c>
      <c r="V418" s="342" t="str">
        <f t="shared" ca="1" si="45"/>
        <v/>
      </c>
      <c r="W418" s="139"/>
      <c r="Y418" s="1"/>
    </row>
    <row r="419" spans="3:25" ht="12" customHeight="1">
      <c r="C419" s="343" t="str">
        <f t="shared" ca="1" si="46"/>
        <v/>
      </c>
      <c r="D419" s="124" t="str">
        <f t="shared" ca="1" si="41"/>
        <v/>
      </c>
      <c r="E419" s="124" t="str">
        <f t="shared" ca="1" si="42"/>
        <v/>
      </c>
      <c r="F419" s="172" t="str">
        <f ca="1">IF(C419="","",[1]!S_DQ_CLOSE(D419,TODAY(),1))</f>
        <v/>
      </c>
      <c r="G419" s="173" t="str">
        <f ca="1">IF(C419="","",[1]!s_pq_pctchange(D419,TODAY()-$G$12,TODAY())/100)</f>
        <v/>
      </c>
      <c r="H419" s="249" t="str">
        <f ca="1">IF(C419="","",IF($H$11="收入",[1]!S_STM07_IS(D419,9,$G$5,$H$13)/$E$5,[1]!S_STM07_IS(D419,48,$G$5,$H$13)/$E$5))</f>
        <v/>
      </c>
      <c r="I419" s="249" t="str">
        <f ca="1">IF(C419="","",IF($I$11="毛利率",([1]!S_STM07_IS(D419,9,$G$5,$H$13)-[1]!S_STM07_IS(D419,10,$G$5,$H$13))/[1]!S_STM07_IS(D419,9,$G$5,$H$13),[1]!S_STM07_IS(D419,14,$G$5,$H$13)/$E$5))</f>
        <v/>
      </c>
      <c r="J419" s="249" t="str">
        <f ca="1">IF(C419="","",IF($J$11="营业利润率",[1]!S_STM07_IS(D419,48,$G$5,$H$13)/[1]!S_STM07_IS(D419,9,$G$5,$H$13),([1]!S_STM07_CS(D419,87,$G$5,$H$13)+[1]!S_STM07_CS(D419,88,$G$5,$H$13)+[1]!S_STM07_CS(D419,89,$G$5,$H$13))/$E$5))</f>
        <v/>
      </c>
      <c r="K419" s="249" t="str">
        <f ca="1">IF(C419="","",IF($K$11="净利润率",[1]!S_STM07_IS(D419,61,$G$5,$H$13)/[1]!S_STM07_IS(D419,9,$G$5,$H$13),[1]!S_STM07_IS(D419,55,$G$5,$H$13)/$E$5))</f>
        <v/>
      </c>
      <c r="L419" s="249" t="str">
        <f ca="1">IF(C419="","",IF($L$11="ROA",[1]!S_STM07_IS(D419,61,$G$5,$H$13)/[1]!S_STM07_BS(D419,74,$G$5,$H$13),1-[1]!S_STM07_IS(D419,61,$G$5,$H$13)/[1]!S_STM07_IS(D419,55,$G$5,$H$13)))</f>
        <v/>
      </c>
      <c r="M419" s="249" t="str">
        <f ca="1">IF(C419="","",IF($M$11="ROE",[1]!S_STM07_IS(D419,61,$G$5,$H$13)/[1]!S_STM07_BS(D419,141,$G$5,$H$13),([1]!S_STM07_BS(D419,25,$G$5,$H$13)-[1]!S_STM07_BS(D419,93,$G$5,$H$13))/$E$5))</f>
        <v/>
      </c>
      <c r="N419" s="250" t="str">
        <f ca="1">IF(C419="","",IF($N$11="EPS",[1]!S_STM07_IS(D419,61,$G$5,$H$13)/IF([1]!S_SHARE_TOTAL(D419,$G$5)=0,[1]!S_SHARE_TOTAL(D419,[1]!s_ipo_listeddate(D419)),[1]!S_SHARE_TOTAL(D419,$G$5)),([1]!S_STM07_BS(D419,75,$G$5,$H$13)+[1]!S_STM07_BS(D419,88,$G$5,$H$13)+[1]!S_STM07_BS(D419,94,$G$5,$H$13)+[1]!S_STM07_BS(D419,95,$G$5,$H$13))/$E$5))</f>
        <v/>
      </c>
      <c r="O419" s="250" t="str">
        <f ca="1">IF(C419="","",IF($O$11="BPS",[1]!S_STM07_BS(D419,141,$G$5,$H$13)/IF([1]!S_SHARE_TOTAL(D419,$G$5)=0,[1]!S_SHARE_TOTAL(D419,[1]!s_ipo_listeddate(D419)),[1]!S_SHARE_TOTAL(D419,$G$5)),[1]!S_STM07_CS(D419,49,$G$5,$H$13)/$E$5))</f>
        <v/>
      </c>
      <c r="P419" s="250" t="str">
        <f ca="1">IF(C419="","",IF($P$11="CFPS",[1]!S_STM07_CS(D419,84,$G$5,$H$13)/IF([1]!S_SHARE_TOTAL(D419,$G$5)=0,[1]!S_SHARE_TOTAL(D419,[1]!s_ipo_listeddate(D419)),[1]!S_SHARE_TOTAL(D419,$G$5)),[1]!S_STM07_CS(D419,84,$G$5,$H$13)/$E$5))</f>
        <v/>
      </c>
      <c r="Q419" s="198" t="str">
        <f ca="1">IF(C419="","",F419/([1]!S_STM07_IS(D419,61,$G$5,$H$13)/IF([1]!S_SHARE_TOTAL(D419,$G$5)=0,[1]!S_SHARE_TOTAL(D419,[1]!s_ipo_listeddate(D419)),[1]!S_SHARE_TOTAL(D419,$G$5))))</f>
        <v/>
      </c>
      <c r="R419" s="198" t="str">
        <f ca="1">IF(C419="","",F419/([1]!S_STM07_BS(D419,141,$G$5,$H$13)/IF([1]!S_SHARE_TOTAL(D419,$G$5)=0,[1]!S_SHARE_TOTAL(D419,[1]!s_ipo_listeddate(D419)),[1]!S_SHARE_TOTAL(D419,$G$5))))</f>
        <v/>
      </c>
      <c r="S419" s="249" t="str">
        <f ca="1">IF(C419="","",[1]!S_SHARE_TOTAL(D419,TODAY())/$E$5)</f>
        <v/>
      </c>
      <c r="T419" s="249" t="str">
        <f t="shared" ca="1" si="43"/>
        <v/>
      </c>
      <c r="U419" s="172" t="str">
        <f t="shared" ca="1" si="44"/>
        <v/>
      </c>
      <c r="V419" s="343" t="str">
        <f t="shared" ca="1" si="45"/>
        <v/>
      </c>
      <c r="W419" s="139"/>
      <c r="Y419" s="1"/>
    </row>
    <row r="420" spans="3:25" ht="12" customHeight="1">
      <c r="C420" s="342" t="str">
        <f t="shared" ca="1" si="46"/>
        <v/>
      </c>
      <c r="D420" s="153" t="str">
        <f t="shared" ca="1" si="41"/>
        <v/>
      </c>
      <c r="E420" s="153" t="str">
        <f t="shared" ca="1" si="42"/>
        <v/>
      </c>
      <c r="F420" s="170" t="str">
        <f ca="1">IF(C420="","",[1]!S_DQ_CLOSE(D420,TODAY(),1))</f>
        <v/>
      </c>
      <c r="G420" s="171" t="str">
        <f ca="1">IF(C420="","",[1]!s_pq_pctchange(D420,TODAY()-$G$12,TODAY())/100)</f>
        <v/>
      </c>
      <c r="H420" s="247" t="str">
        <f ca="1">IF(C420="","",IF($H$11="收入",[1]!S_STM07_IS(D420,9,$G$5,$H$13)/$E$5,[1]!S_STM07_IS(D420,48,$G$5,$H$13)/$E$5))</f>
        <v/>
      </c>
      <c r="I420" s="247" t="str">
        <f ca="1">IF(C420="","",IF($I$11="毛利率",([1]!S_STM07_IS(D420,9,$G$5,$H$13)-[1]!S_STM07_IS(D420,10,$G$5,$H$13))/[1]!S_STM07_IS(D420,9,$G$5,$H$13),[1]!S_STM07_IS(D420,14,$G$5,$H$13)/$E$5))</f>
        <v/>
      </c>
      <c r="J420" s="247" t="str">
        <f ca="1">IF(C420="","",IF($J$11="营业利润率",[1]!S_STM07_IS(D420,48,$G$5,$H$13)/[1]!S_STM07_IS(D420,9,$G$5,$H$13),([1]!S_STM07_CS(D420,87,$G$5,$H$13)+[1]!S_STM07_CS(D420,88,$G$5,$H$13)+[1]!S_STM07_CS(D420,89,$G$5,$H$13))/$E$5))</f>
        <v/>
      </c>
      <c r="K420" s="247" t="str">
        <f ca="1">IF(C420="","",IF($K$11="净利润率",[1]!S_STM07_IS(D420,61,$G$5,$H$13)/[1]!S_STM07_IS(D420,9,$G$5,$H$13),[1]!S_STM07_IS(D420,55,$G$5,$H$13)/$E$5))</f>
        <v/>
      </c>
      <c r="L420" s="247" t="str">
        <f ca="1">IF(C420="","",IF($L$11="ROA",[1]!S_STM07_IS(D420,61,$G$5,$H$13)/[1]!S_STM07_BS(D420,74,$G$5,$H$13),1-[1]!S_STM07_IS(D420,61,$G$5,$H$13)/[1]!S_STM07_IS(D420,55,$G$5,$H$13)))</f>
        <v/>
      </c>
      <c r="M420" s="247" t="str">
        <f ca="1">IF(C420="","",IF($M$11="ROE",[1]!S_STM07_IS(D420,61,$G$5,$H$13)/[1]!S_STM07_BS(D420,141,$G$5,$H$13),([1]!S_STM07_BS(D420,25,$G$5,$H$13)-[1]!S_STM07_BS(D420,93,$G$5,$H$13))/$E$5))</f>
        <v/>
      </c>
      <c r="N420" s="247" t="str">
        <f ca="1">IF(C420="","",IF($N$11="EPS",[1]!S_STM07_IS(D420,61,$G$5,$H$13)/IF([1]!S_SHARE_TOTAL(D420,$G$5)=0,[1]!S_SHARE_TOTAL(D420,[1]!s_ipo_listeddate(D420)),[1]!S_SHARE_TOTAL(D420,$G$5)),([1]!S_STM07_BS(D420,75,$G$5,$H$13)+[1]!S_STM07_BS(D420,88,$G$5,$H$13)+[1]!S_STM07_BS(D420,94,$G$5,$H$13)+[1]!S_STM07_BS(D420,95,$G$5,$H$13))/$E$5))</f>
        <v/>
      </c>
      <c r="O420" s="247" t="str">
        <f ca="1">IF(C420="","",IF($O$11="BPS",[1]!S_STM07_BS(D420,141,$G$5,$H$13)/IF([1]!S_SHARE_TOTAL(D420,$G$5)=0,[1]!S_SHARE_TOTAL(D420,[1]!s_ipo_listeddate(D420)),[1]!S_SHARE_TOTAL(D420,$G$5)),[1]!S_STM07_CS(D420,49,$G$5,$H$13)/$E$5))</f>
        <v/>
      </c>
      <c r="P420" s="247" t="str">
        <f ca="1">IF(C420="","",IF($P$11="CFPS",[1]!S_STM07_CS(D420,84,$G$5,$H$13)/IF([1]!S_SHARE_TOTAL(D420,$G$5)=0,[1]!S_SHARE_TOTAL(D420,[1]!s_ipo_listeddate(D420)),[1]!S_SHARE_TOTAL(D420,$G$5)),[1]!S_STM07_CS(D420,84,$G$5,$H$13)/$E$5))</f>
        <v/>
      </c>
      <c r="Q420" s="248" t="str">
        <f ca="1">IF(C420="","",F420/([1]!S_STM07_IS(D420,61,$G$5,$H$13)/IF([1]!S_SHARE_TOTAL(D420,$G$5)=0,[1]!S_SHARE_TOTAL(D420,[1]!s_ipo_listeddate(D420)),[1]!S_SHARE_TOTAL(D420,$G$5))))</f>
        <v/>
      </c>
      <c r="R420" s="248" t="str">
        <f ca="1">IF(C420="","",F420/([1]!S_STM07_BS(D420,141,$G$5,$H$13)/IF([1]!S_SHARE_TOTAL(D420,$G$5)=0,[1]!S_SHARE_TOTAL(D420,[1]!s_ipo_listeddate(D420)),[1]!S_SHARE_TOTAL(D420,$G$5))))</f>
        <v/>
      </c>
      <c r="S420" s="247" t="str">
        <f ca="1">IF(C420="","",[1]!S_SHARE_TOTAL(D420,TODAY())/$E$5)</f>
        <v/>
      </c>
      <c r="T420" s="247" t="str">
        <f t="shared" ca="1" si="43"/>
        <v/>
      </c>
      <c r="U420" s="218" t="str">
        <f t="shared" ca="1" si="44"/>
        <v/>
      </c>
      <c r="V420" s="342" t="str">
        <f t="shared" ca="1" si="45"/>
        <v/>
      </c>
      <c r="W420" s="139"/>
      <c r="Y420" s="1"/>
    </row>
    <row r="421" spans="3:25" ht="12" customHeight="1">
      <c r="C421" s="343" t="str">
        <f t="shared" ca="1" si="46"/>
        <v/>
      </c>
      <c r="D421" s="124" t="str">
        <f t="shared" ref="D421:D484" ca="1" si="47">IF(C421="","",VLOOKUP(C421,comppool,2,FALSE))</f>
        <v/>
      </c>
      <c r="E421" s="124" t="str">
        <f t="shared" ref="E421:E484" ca="1" si="48">IF(C421="","",VLOOKUP(C421,comppool,3,FALSE))</f>
        <v/>
      </c>
      <c r="F421" s="172" t="str">
        <f ca="1">IF(C421="","",[1]!S_DQ_CLOSE(D421,TODAY(),1))</f>
        <v/>
      </c>
      <c r="G421" s="173" t="str">
        <f ca="1">IF(C421="","",[1]!s_pq_pctchange(D421,TODAY()-$G$12,TODAY())/100)</f>
        <v/>
      </c>
      <c r="H421" s="249" t="str">
        <f ca="1">IF(C421="","",IF($H$11="收入",[1]!S_STM07_IS(D421,9,$G$5,$H$13)/$E$5,[1]!S_STM07_IS(D421,48,$G$5,$H$13)/$E$5))</f>
        <v/>
      </c>
      <c r="I421" s="249" t="str">
        <f ca="1">IF(C421="","",IF($I$11="毛利率",([1]!S_STM07_IS(D421,9,$G$5,$H$13)-[1]!S_STM07_IS(D421,10,$G$5,$H$13))/[1]!S_STM07_IS(D421,9,$G$5,$H$13),[1]!S_STM07_IS(D421,14,$G$5,$H$13)/$E$5))</f>
        <v/>
      </c>
      <c r="J421" s="249" t="str">
        <f ca="1">IF(C421="","",IF($J$11="营业利润率",[1]!S_STM07_IS(D421,48,$G$5,$H$13)/[1]!S_STM07_IS(D421,9,$G$5,$H$13),([1]!S_STM07_CS(D421,87,$G$5,$H$13)+[1]!S_STM07_CS(D421,88,$G$5,$H$13)+[1]!S_STM07_CS(D421,89,$G$5,$H$13))/$E$5))</f>
        <v/>
      </c>
      <c r="K421" s="249" t="str">
        <f ca="1">IF(C421="","",IF($K$11="净利润率",[1]!S_STM07_IS(D421,61,$G$5,$H$13)/[1]!S_STM07_IS(D421,9,$G$5,$H$13),[1]!S_STM07_IS(D421,55,$G$5,$H$13)/$E$5))</f>
        <v/>
      </c>
      <c r="L421" s="249" t="str">
        <f ca="1">IF(C421="","",IF($L$11="ROA",[1]!S_STM07_IS(D421,61,$G$5,$H$13)/[1]!S_STM07_BS(D421,74,$G$5,$H$13),1-[1]!S_STM07_IS(D421,61,$G$5,$H$13)/[1]!S_STM07_IS(D421,55,$G$5,$H$13)))</f>
        <v/>
      </c>
      <c r="M421" s="249" t="str">
        <f ca="1">IF(C421="","",IF($M$11="ROE",[1]!S_STM07_IS(D421,61,$G$5,$H$13)/[1]!S_STM07_BS(D421,141,$G$5,$H$13),([1]!S_STM07_BS(D421,25,$G$5,$H$13)-[1]!S_STM07_BS(D421,93,$G$5,$H$13))/$E$5))</f>
        <v/>
      </c>
      <c r="N421" s="250" t="str">
        <f ca="1">IF(C421="","",IF($N$11="EPS",[1]!S_STM07_IS(D421,61,$G$5,$H$13)/IF([1]!S_SHARE_TOTAL(D421,$G$5)=0,[1]!S_SHARE_TOTAL(D421,[1]!s_ipo_listeddate(D421)),[1]!S_SHARE_TOTAL(D421,$G$5)),([1]!S_STM07_BS(D421,75,$G$5,$H$13)+[1]!S_STM07_BS(D421,88,$G$5,$H$13)+[1]!S_STM07_BS(D421,94,$G$5,$H$13)+[1]!S_STM07_BS(D421,95,$G$5,$H$13))/$E$5))</f>
        <v/>
      </c>
      <c r="O421" s="250" t="str">
        <f ca="1">IF(C421="","",IF($O$11="BPS",[1]!S_STM07_BS(D421,141,$G$5,$H$13)/IF([1]!S_SHARE_TOTAL(D421,$G$5)=0,[1]!S_SHARE_TOTAL(D421,[1]!s_ipo_listeddate(D421)),[1]!S_SHARE_TOTAL(D421,$G$5)),[1]!S_STM07_CS(D421,49,$G$5,$H$13)/$E$5))</f>
        <v/>
      </c>
      <c r="P421" s="250" t="str">
        <f ca="1">IF(C421="","",IF($P$11="CFPS",[1]!S_STM07_CS(D421,84,$G$5,$H$13)/IF([1]!S_SHARE_TOTAL(D421,$G$5)=0,[1]!S_SHARE_TOTAL(D421,[1]!s_ipo_listeddate(D421)),[1]!S_SHARE_TOTAL(D421,$G$5)),[1]!S_STM07_CS(D421,84,$G$5,$H$13)/$E$5))</f>
        <v/>
      </c>
      <c r="Q421" s="198" t="str">
        <f ca="1">IF(C421="","",F421/([1]!S_STM07_IS(D421,61,$G$5,$H$13)/IF([1]!S_SHARE_TOTAL(D421,$G$5)=0,[1]!S_SHARE_TOTAL(D421,[1]!s_ipo_listeddate(D421)),[1]!S_SHARE_TOTAL(D421,$G$5))))</f>
        <v/>
      </c>
      <c r="R421" s="198" t="str">
        <f ca="1">IF(C421="","",F421/([1]!S_STM07_BS(D421,141,$G$5,$H$13)/IF([1]!S_SHARE_TOTAL(D421,$G$5)=0,[1]!S_SHARE_TOTAL(D421,[1]!s_ipo_listeddate(D421)),[1]!S_SHARE_TOTAL(D421,$G$5))))</f>
        <v/>
      </c>
      <c r="S421" s="249" t="str">
        <f ca="1">IF(C421="","",[1]!S_SHARE_TOTAL(D421,TODAY())/$E$5)</f>
        <v/>
      </c>
      <c r="T421" s="249" t="str">
        <f t="shared" ref="T421:T484" ca="1" si="49">IF(C421="","",F421*S421)</f>
        <v/>
      </c>
      <c r="U421" s="172" t="str">
        <f t="shared" ref="U421:U484" ca="1" si="50">IF(C421="","",HLOOKUP($V$12,$G$11:$T$20003,ROW()-ROW($G$11)+1,FALSE))</f>
        <v/>
      </c>
      <c r="V421" s="343" t="str">
        <f t="shared" ref="V421:V484" ca="1" si="51">IF(C421="","",RANK(U421,U:U,0))</f>
        <v/>
      </c>
      <c r="W421" s="139"/>
      <c r="Y421" s="1"/>
    </row>
    <row r="422" spans="3:25" ht="12" customHeight="1">
      <c r="C422" s="342" t="str">
        <f t="shared" ca="1" si="46"/>
        <v/>
      </c>
      <c r="D422" s="153" t="str">
        <f t="shared" ca="1" si="47"/>
        <v/>
      </c>
      <c r="E422" s="153" t="str">
        <f t="shared" ca="1" si="48"/>
        <v/>
      </c>
      <c r="F422" s="170" t="str">
        <f ca="1">IF(C422="","",[1]!S_DQ_CLOSE(D422,TODAY(),1))</f>
        <v/>
      </c>
      <c r="G422" s="171" t="str">
        <f ca="1">IF(C422="","",[1]!s_pq_pctchange(D422,TODAY()-$G$12,TODAY())/100)</f>
        <v/>
      </c>
      <c r="H422" s="247" t="str">
        <f ca="1">IF(C422="","",IF($H$11="收入",[1]!S_STM07_IS(D422,9,$G$5,$H$13)/$E$5,[1]!S_STM07_IS(D422,48,$G$5,$H$13)/$E$5))</f>
        <v/>
      </c>
      <c r="I422" s="247" t="str">
        <f ca="1">IF(C422="","",IF($I$11="毛利率",([1]!S_STM07_IS(D422,9,$G$5,$H$13)-[1]!S_STM07_IS(D422,10,$G$5,$H$13))/[1]!S_STM07_IS(D422,9,$G$5,$H$13),[1]!S_STM07_IS(D422,14,$G$5,$H$13)/$E$5))</f>
        <v/>
      </c>
      <c r="J422" s="247" t="str">
        <f ca="1">IF(C422="","",IF($J$11="营业利润率",[1]!S_STM07_IS(D422,48,$G$5,$H$13)/[1]!S_STM07_IS(D422,9,$G$5,$H$13),([1]!S_STM07_CS(D422,87,$G$5,$H$13)+[1]!S_STM07_CS(D422,88,$G$5,$H$13)+[1]!S_STM07_CS(D422,89,$G$5,$H$13))/$E$5))</f>
        <v/>
      </c>
      <c r="K422" s="247" t="str">
        <f ca="1">IF(C422="","",IF($K$11="净利润率",[1]!S_STM07_IS(D422,61,$G$5,$H$13)/[1]!S_STM07_IS(D422,9,$G$5,$H$13),[1]!S_STM07_IS(D422,55,$G$5,$H$13)/$E$5))</f>
        <v/>
      </c>
      <c r="L422" s="247" t="str">
        <f ca="1">IF(C422="","",IF($L$11="ROA",[1]!S_STM07_IS(D422,61,$G$5,$H$13)/[1]!S_STM07_BS(D422,74,$G$5,$H$13),1-[1]!S_STM07_IS(D422,61,$G$5,$H$13)/[1]!S_STM07_IS(D422,55,$G$5,$H$13)))</f>
        <v/>
      </c>
      <c r="M422" s="247" t="str">
        <f ca="1">IF(C422="","",IF($M$11="ROE",[1]!S_STM07_IS(D422,61,$G$5,$H$13)/[1]!S_STM07_BS(D422,141,$G$5,$H$13),([1]!S_STM07_BS(D422,25,$G$5,$H$13)-[1]!S_STM07_BS(D422,93,$G$5,$H$13))/$E$5))</f>
        <v/>
      </c>
      <c r="N422" s="247" t="str">
        <f ca="1">IF(C422="","",IF($N$11="EPS",[1]!S_STM07_IS(D422,61,$G$5,$H$13)/IF([1]!S_SHARE_TOTAL(D422,$G$5)=0,[1]!S_SHARE_TOTAL(D422,[1]!s_ipo_listeddate(D422)),[1]!S_SHARE_TOTAL(D422,$G$5)),([1]!S_STM07_BS(D422,75,$G$5,$H$13)+[1]!S_STM07_BS(D422,88,$G$5,$H$13)+[1]!S_STM07_BS(D422,94,$G$5,$H$13)+[1]!S_STM07_BS(D422,95,$G$5,$H$13))/$E$5))</f>
        <v/>
      </c>
      <c r="O422" s="247" t="str">
        <f ca="1">IF(C422="","",IF($O$11="BPS",[1]!S_STM07_BS(D422,141,$G$5,$H$13)/IF([1]!S_SHARE_TOTAL(D422,$G$5)=0,[1]!S_SHARE_TOTAL(D422,[1]!s_ipo_listeddate(D422)),[1]!S_SHARE_TOTAL(D422,$G$5)),[1]!S_STM07_CS(D422,49,$G$5,$H$13)/$E$5))</f>
        <v/>
      </c>
      <c r="P422" s="247" t="str">
        <f ca="1">IF(C422="","",IF($P$11="CFPS",[1]!S_STM07_CS(D422,84,$G$5,$H$13)/IF([1]!S_SHARE_TOTAL(D422,$G$5)=0,[1]!S_SHARE_TOTAL(D422,[1]!s_ipo_listeddate(D422)),[1]!S_SHARE_TOTAL(D422,$G$5)),[1]!S_STM07_CS(D422,84,$G$5,$H$13)/$E$5))</f>
        <v/>
      </c>
      <c r="Q422" s="248" t="str">
        <f ca="1">IF(C422="","",F422/([1]!S_STM07_IS(D422,61,$G$5,$H$13)/IF([1]!S_SHARE_TOTAL(D422,$G$5)=0,[1]!S_SHARE_TOTAL(D422,[1]!s_ipo_listeddate(D422)),[1]!S_SHARE_TOTAL(D422,$G$5))))</f>
        <v/>
      </c>
      <c r="R422" s="248" t="str">
        <f ca="1">IF(C422="","",F422/([1]!S_STM07_BS(D422,141,$G$5,$H$13)/IF([1]!S_SHARE_TOTAL(D422,$G$5)=0,[1]!S_SHARE_TOTAL(D422,[1]!s_ipo_listeddate(D422)),[1]!S_SHARE_TOTAL(D422,$G$5))))</f>
        <v/>
      </c>
      <c r="S422" s="247" t="str">
        <f ca="1">IF(C422="","",[1]!S_SHARE_TOTAL(D422,TODAY())/$E$5)</f>
        <v/>
      </c>
      <c r="T422" s="247" t="str">
        <f t="shared" ca="1" si="49"/>
        <v/>
      </c>
      <c r="U422" s="218" t="str">
        <f t="shared" ca="1" si="50"/>
        <v/>
      </c>
      <c r="V422" s="342" t="str">
        <f t="shared" ca="1" si="51"/>
        <v/>
      </c>
      <c r="W422" s="139"/>
      <c r="Y422" s="1"/>
    </row>
    <row r="423" spans="3:25" ht="12" customHeight="1">
      <c r="C423" s="343" t="str">
        <f t="shared" ca="1" si="46"/>
        <v/>
      </c>
      <c r="D423" s="124" t="str">
        <f t="shared" ca="1" si="47"/>
        <v/>
      </c>
      <c r="E423" s="124" t="str">
        <f t="shared" ca="1" si="48"/>
        <v/>
      </c>
      <c r="F423" s="172" t="str">
        <f ca="1">IF(C423="","",[1]!S_DQ_CLOSE(D423,TODAY(),1))</f>
        <v/>
      </c>
      <c r="G423" s="173" t="str">
        <f ca="1">IF(C423="","",[1]!s_pq_pctchange(D423,TODAY()-$G$12,TODAY())/100)</f>
        <v/>
      </c>
      <c r="H423" s="249" t="str">
        <f ca="1">IF(C423="","",IF($H$11="收入",[1]!S_STM07_IS(D423,9,$G$5,$H$13)/$E$5,[1]!S_STM07_IS(D423,48,$G$5,$H$13)/$E$5))</f>
        <v/>
      </c>
      <c r="I423" s="249" t="str">
        <f ca="1">IF(C423="","",IF($I$11="毛利率",([1]!S_STM07_IS(D423,9,$G$5,$H$13)-[1]!S_STM07_IS(D423,10,$G$5,$H$13))/[1]!S_STM07_IS(D423,9,$G$5,$H$13),[1]!S_STM07_IS(D423,14,$G$5,$H$13)/$E$5))</f>
        <v/>
      </c>
      <c r="J423" s="249" t="str">
        <f ca="1">IF(C423="","",IF($J$11="营业利润率",[1]!S_STM07_IS(D423,48,$G$5,$H$13)/[1]!S_STM07_IS(D423,9,$G$5,$H$13),([1]!S_STM07_CS(D423,87,$G$5,$H$13)+[1]!S_STM07_CS(D423,88,$G$5,$H$13)+[1]!S_STM07_CS(D423,89,$G$5,$H$13))/$E$5))</f>
        <v/>
      </c>
      <c r="K423" s="249" t="str">
        <f ca="1">IF(C423="","",IF($K$11="净利润率",[1]!S_STM07_IS(D423,61,$G$5,$H$13)/[1]!S_STM07_IS(D423,9,$G$5,$H$13),[1]!S_STM07_IS(D423,55,$G$5,$H$13)/$E$5))</f>
        <v/>
      </c>
      <c r="L423" s="249" t="str">
        <f ca="1">IF(C423="","",IF($L$11="ROA",[1]!S_STM07_IS(D423,61,$G$5,$H$13)/[1]!S_STM07_BS(D423,74,$G$5,$H$13),1-[1]!S_STM07_IS(D423,61,$G$5,$H$13)/[1]!S_STM07_IS(D423,55,$G$5,$H$13)))</f>
        <v/>
      </c>
      <c r="M423" s="249" t="str">
        <f ca="1">IF(C423="","",IF($M$11="ROE",[1]!S_STM07_IS(D423,61,$G$5,$H$13)/[1]!S_STM07_BS(D423,141,$G$5,$H$13),([1]!S_STM07_BS(D423,25,$G$5,$H$13)-[1]!S_STM07_BS(D423,93,$G$5,$H$13))/$E$5))</f>
        <v/>
      </c>
      <c r="N423" s="250" t="str">
        <f ca="1">IF(C423="","",IF($N$11="EPS",[1]!S_STM07_IS(D423,61,$G$5,$H$13)/IF([1]!S_SHARE_TOTAL(D423,$G$5)=0,[1]!S_SHARE_TOTAL(D423,[1]!s_ipo_listeddate(D423)),[1]!S_SHARE_TOTAL(D423,$G$5)),([1]!S_STM07_BS(D423,75,$G$5,$H$13)+[1]!S_STM07_BS(D423,88,$G$5,$H$13)+[1]!S_STM07_BS(D423,94,$G$5,$H$13)+[1]!S_STM07_BS(D423,95,$G$5,$H$13))/$E$5))</f>
        <v/>
      </c>
      <c r="O423" s="250" t="str">
        <f ca="1">IF(C423="","",IF($O$11="BPS",[1]!S_STM07_BS(D423,141,$G$5,$H$13)/IF([1]!S_SHARE_TOTAL(D423,$G$5)=0,[1]!S_SHARE_TOTAL(D423,[1]!s_ipo_listeddate(D423)),[1]!S_SHARE_TOTAL(D423,$G$5)),[1]!S_STM07_CS(D423,49,$G$5,$H$13)/$E$5))</f>
        <v/>
      </c>
      <c r="P423" s="250" t="str">
        <f ca="1">IF(C423="","",IF($P$11="CFPS",[1]!S_STM07_CS(D423,84,$G$5,$H$13)/IF([1]!S_SHARE_TOTAL(D423,$G$5)=0,[1]!S_SHARE_TOTAL(D423,[1]!s_ipo_listeddate(D423)),[1]!S_SHARE_TOTAL(D423,$G$5)),[1]!S_STM07_CS(D423,84,$G$5,$H$13)/$E$5))</f>
        <v/>
      </c>
      <c r="Q423" s="198" t="str">
        <f ca="1">IF(C423="","",F423/([1]!S_STM07_IS(D423,61,$G$5,$H$13)/IF([1]!S_SHARE_TOTAL(D423,$G$5)=0,[1]!S_SHARE_TOTAL(D423,[1]!s_ipo_listeddate(D423)),[1]!S_SHARE_TOTAL(D423,$G$5))))</f>
        <v/>
      </c>
      <c r="R423" s="198" t="str">
        <f ca="1">IF(C423="","",F423/([1]!S_STM07_BS(D423,141,$G$5,$H$13)/IF([1]!S_SHARE_TOTAL(D423,$G$5)=0,[1]!S_SHARE_TOTAL(D423,[1]!s_ipo_listeddate(D423)),[1]!S_SHARE_TOTAL(D423,$G$5))))</f>
        <v/>
      </c>
      <c r="S423" s="249" t="str">
        <f ca="1">IF(C423="","",[1]!S_SHARE_TOTAL(D423,TODAY())/$E$5)</f>
        <v/>
      </c>
      <c r="T423" s="249" t="str">
        <f t="shared" ca="1" si="49"/>
        <v/>
      </c>
      <c r="U423" s="172" t="str">
        <f t="shared" ca="1" si="50"/>
        <v/>
      </c>
      <c r="V423" s="343" t="str">
        <f t="shared" ca="1" si="51"/>
        <v/>
      </c>
      <c r="W423" s="139"/>
      <c r="Y423" s="1"/>
    </row>
    <row r="424" spans="3:25" ht="12" customHeight="1">
      <c r="C424" s="342" t="str">
        <f t="shared" ca="1" si="46"/>
        <v/>
      </c>
      <c r="D424" s="153" t="str">
        <f t="shared" ca="1" si="47"/>
        <v/>
      </c>
      <c r="E424" s="153" t="str">
        <f t="shared" ca="1" si="48"/>
        <v/>
      </c>
      <c r="F424" s="170" t="str">
        <f ca="1">IF(C424="","",[1]!S_DQ_CLOSE(D424,TODAY(),1))</f>
        <v/>
      </c>
      <c r="G424" s="171" t="str">
        <f ca="1">IF(C424="","",[1]!s_pq_pctchange(D424,TODAY()-$G$12,TODAY())/100)</f>
        <v/>
      </c>
      <c r="H424" s="247" t="str">
        <f ca="1">IF(C424="","",IF($H$11="收入",[1]!S_STM07_IS(D424,9,$G$5,$H$13)/$E$5,[1]!S_STM07_IS(D424,48,$G$5,$H$13)/$E$5))</f>
        <v/>
      </c>
      <c r="I424" s="247" t="str">
        <f ca="1">IF(C424="","",IF($I$11="毛利率",([1]!S_STM07_IS(D424,9,$G$5,$H$13)-[1]!S_STM07_IS(D424,10,$G$5,$H$13))/[1]!S_STM07_IS(D424,9,$G$5,$H$13),[1]!S_STM07_IS(D424,14,$G$5,$H$13)/$E$5))</f>
        <v/>
      </c>
      <c r="J424" s="247" t="str">
        <f ca="1">IF(C424="","",IF($J$11="营业利润率",[1]!S_STM07_IS(D424,48,$G$5,$H$13)/[1]!S_STM07_IS(D424,9,$G$5,$H$13),([1]!S_STM07_CS(D424,87,$G$5,$H$13)+[1]!S_STM07_CS(D424,88,$G$5,$H$13)+[1]!S_STM07_CS(D424,89,$G$5,$H$13))/$E$5))</f>
        <v/>
      </c>
      <c r="K424" s="247" t="str">
        <f ca="1">IF(C424="","",IF($K$11="净利润率",[1]!S_STM07_IS(D424,61,$G$5,$H$13)/[1]!S_STM07_IS(D424,9,$G$5,$H$13),[1]!S_STM07_IS(D424,55,$G$5,$H$13)/$E$5))</f>
        <v/>
      </c>
      <c r="L424" s="247" t="str">
        <f ca="1">IF(C424="","",IF($L$11="ROA",[1]!S_STM07_IS(D424,61,$G$5,$H$13)/[1]!S_STM07_BS(D424,74,$G$5,$H$13),1-[1]!S_STM07_IS(D424,61,$G$5,$H$13)/[1]!S_STM07_IS(D424,55,$G$5,$H$13)))</f>
        <v/>
      </c>
      <c r="M424" s="247" t="str">
        <f ca="1">IF(C424="","",IF($M$11="ROE",[1]!S_STM07_IS(D424,61,$G$5,$H$13)/[1]!S_STM07_BS(D424,141,$G$5,$H$13),([1]!S_STM07_BS(D424,25,$G$5,$H$13)-[1]!S_STM07_BS(D424,93,$G$5,$H$13))/$E$5))</f>
        <v/>
      </c>
      <c r="N424" s="247" t="str">
        <f ca="1">IF(C424="","",IF($N$11="EPS",[1]!S_STM07_IS(D424,61,$G$5,$H$13)/IF([1]!S_SHARE_TOTAL(D424,$G$5)=0,[1]!S_SHARE_TOTAL(D424,[1]!s_ipo_listeddate(D424)),[1]!S_SHARE_TOTAL(D424,$G$5)),([1]!S_STM07_BS(D424,75,$G$5,$H$13)+[1]!S_STM07_BS(D424,88,$G$5,$H$13)+[1]!S_STM07_BS(D424,94,$G$5,$H$13)+[1]!S_STM07_BS(D424,95,$G$5,$H$13))/$E$5))</f>
        <v/>
      </c>
      <c r="O424" s="247" t="str">
        <f ca="1">IF(C424="","",IF($O$11="BPS",[1]!S_STM07_BS(D424,141,$G$5,$H$13)/IF([1]!S_SHARE_TOTAL(D424,$G$5)=0,[1]!S_SHARE_TOTAL(D424,[1]!s_ipo_listeddate(D424)),[1]!S_SHARE_TOTAL(D424,$G$5)),[1]!S_STM07_CS(D424,49,$G$5,$H$13)/$E$5))</f>
        <v/>
      </c>
      <c r="P424" s="247" t="str">
        <f ca="1">IF(C424="","",IF($P$11="CFPS",[1]!S_STM07_CS(D424,84,$G$5,$H$13)/IF([1]!S_SHARE_TOTAL(D424,$G$5)=0,[1]!S_SHARE_TOTAL(D424,[1]!s_ipo_listeddate(D424)),[1]!S_SHARE_TOTAL(D424,$G$5)),[1]!S_STM07_CS(D424,84,$G$5,$H$13)/$E$5))</f>
        <v/>
      </c>
      <c r="Q424" s="248" t="str">
        <f ca="1">IF(C424="","",F424/([1]!S_STM07_IS(D424,61,$G$5,$H$13)/IF([1]!S_SHARE_TOTAL(D424,$G$5)=0,[1]!S_SHARE_TOTAL(D424,[1]!s_ipo_listeddate(D424)),[1]!S_SHARE_TOTAL(D424,$G$5))))</f>
        <v/>
      </c>
      <c r="R424" s="248" t="str">
        <f ca="1">IF(C424="","",F424/([1]!S_STM07_BS(D424,141,$G$5,$H$13)/IF([1]!S_SHARE_TOTAL(D424,$G$5)=0,[1]!S_SHARE_TOTAL(D424,[1]!s_ipo_listeddate(D424)),[1]!S_SHARE_TOTAL(D424,$G$5))))</f>
        <v/>
      </c>
      <c r="S424" s="247" t="str">
        <f ca="1">IF(C424="","",[1]!S_SHARE_TOTAL(D424,TODAY())/$E$5)</f>
        <v/>
      </c>
      <c r="T424" s="247" t="str">
        <f t="shared" ca="1" si="49"/>
        <v/>
      </c>
      <c r="U424" s="218" t="str">
        <f t="shared" ca="1" si="50"/>
        <v/>
      </c>
      <c r="V424" s="342" t="str">
        <f t="shared" ca="1" si="51"/>
        <v/>
      </c>
      <c r="W424" s="139"/>
      <c r="Y424" s="1"/>
    </row>
    <row r="425" spans="3:25" ht="12" customHeight="1">
      <c r="C425" s="343" t="str">
        <f t="shared" ca="1" si="46"/>
        <v/>
      </c>
      <c r="D425" s="124" t="str">
        <f t="shared" ca="1" si="47"/>
        <v/>
      </c>
      <c r="E425" s="124" t="str">
        <f t="shared" ca="1" si="48"/>
        <v/>
      </c>
      <c r="F425" s="172" t="str">
        <f ca="1">IF(C425="","",[1]!S_DQ_CLOSE(D425,TODAY(),1))</f>
        <v/>
      </c>
      <c r="G425" s="173" t="str">
        <f ca="1">IF(C425="","",[1]!s_pq_pctchange(D425,TODAY()-$G$12,TODAY())/100)</f>
        <v/>
      </c>
      <c r="H425" s="249" t="str">
        <f ca="1">IF(C425="","",IF($H$11="收入",[1]!S_STM07_IS(D425,9,$G$5,$H$13)/$E$5,[1]!S_STM07_IS(D425,48,$G$5,$H$13)/$E$5))</f>
        <v/>
      </c>
      <c r="I425" s="249" t="str">
        <f ca="1">IF(C425="","",IF($I$11="毛利率",([1]!S_STM07_IS(D425,9,$G$5,$H$13)-[1]!S_STM07_IS(D425,10,$G$5,$H$13))/[1]!S_STM07_IS(D425,9,$G$5,$H$13),[1]!S_STM07_IS(D425,14,$G$5,$H$13)/$E$5))</f>
        <v/>
      </c>
      <c r="J425" s="249" t="str">
        <f ca="1">IF(C425="","",IF($J$11="营业利润率",[1]!S_STM07_IS(D425,48,$G$5,$H$13)/[1]!S_STM07_IS(D425,9,$G$5,$H$13),([1]!S_STM07_CS(D425,87,$G$5,$H$13)+[1]!S_STM07_CS(D425,88,$G$5,$H$13)+[1]!S_STM07_CS(D425,89,$G$5,$H$13))/$E$5))</f>
        <v/>
      </c>
      <c r="K425" s="249" t="str">
        <f ca="1">IF(C425="","",IF($K$11="净利润率",[1]!S_STM07_IS(D425,61,$G$5,$H$13)/[1]!S_STM07_IS(D425,9,$G$5,$H$13),[1]!S_STM07_IS(D425,55,$G$5,$H$13)/$E$5))</f>
        <v/>
      </c>
      <c r="L425" s="249" t="str">
        <f ca="1">IF(C425="","",IF($L$11="ROA",[1]!S_STM07_IS(D425,61,$G$5,$H$13)/[1]!S_STM07_BS(D425,74,$G$5,$H$13),1-[1]!S_STM07_IS(D425,61,$G$5,$H$13)/[1]!S_STM07_IS(D425,55,$G$5,$H$13)))</f>
        <v/>
      </c>
      <c r="M425" s="249" t="str">
        <f ca="1">IF(C425="","",IF($M$11="ROE",[1]!S_STM07_IS(D425,61,$G$5,$H$13)/[1]!S_STM07_BS(D425,141,$G$5,$H$13),([1]!S_STM07_BS(D425,25,$G$5,$H$13)-[1]!S_STM07_BS(D425,93,$G$5,$H$13))/$E$5))</f>
        <v/>
      </c>
      <c r="N425" s="250" t="str">
        <f ca="1">IF(C425="","",IF($N$11="EPS",[1]!S_STM07_IS(D425,61,$G$5,$H$13)/IF([1]!S_SHARE_TOTAL(D425,$G$5)=0,[1]!S_SHARE_TOTAL(D425,[1]!s_ipo_listeddate(D425)),[1]!S_SHARE_TOTAL(D425,$G$5)),([1]!S_STM07_BS(D425,75,$G$5,$H$13)+[1]!S_STM07_BS(D425,88,$G$5,$H$13)+[1]!S_STM07_BS(D425,94,$G$5,$H$13)+[1]!S_STM07_BS(D425,95,$G$5,$H$13))/$E$5))</f>
        <v/>
      </c>
      <c r="O425" s="250" t="str">
        <f ca="1">IF(C425="","",IF($O$11="BPS",[1]!S_STM07_BS(D425,141,$G$5,$H$13)/IF([1]!S_SHARE_TOTAL(D425,$G$5)=0,[1]!S_SHARE_TOTAL(D425,[1]!s_ipo_listeddate(D425)),[1]!S_SHARE_TOTAL(D425,$G$5)),[1]!S_STM07_CS(D425,49,$G$5,$H$13)/$E$5))</f>
        <v/>
      </c>
      <c r="P425" s="250" t="str">
        <f ca="1">IF(C425="","",IF($P$11="CFPS",[1]!S_STM07_CS(D425,84,$G$5,$H$13)/IF([1]!S_SHARE_TOTAL(D425,$G$5)=0,[1]!S_SHARE_TOTAL(D425,[1]!s_ipo_listeddate(D425)),[1]!S_SHARE_TOTAL(D425,$G$5)),[1]!S_STM07_CS(D425,84,$G$5,$H$13)/$E$5))</f>
        <v/>
      </c>
      <c r="Q425" s="198" t="str">
        <f ca="1">IF(C425="","",F425/([1]!S_STM07_IS(D425,61,$G$5,$H$13)/IF([1]!S_SHARE_TOTAL(D425,$G$5)=0,[1]!S_SHARE_TOTAL(D425,[1]!s_ipo_listeddate(D425)),[1]!S_SHARE_TOTAL(D425,$G$5))))</f>
        <v/>
      </c>
      <c r="R425" s="198" t="str">
        <f ca="1">IF(C425="","",F425/([1]!S_STM07_BS(D425,141,$G$5,$H$13)/IF([1]!S_SHARE_TOTAL(D425,$G$5)=0,[1]!S_SHARE_TOTAL(D425,[1]!s_ipo_listeddate(D425)),[1]!S_SHARE_TOTAL(D425,$G$5))))</f>
        <v/>
      </c>
      <c r="S425" s="249" t="str">
        <f ca="1">IF(C425="","",[1]!S_SHARE_TOTAL(D425,TODAY())/$E$5)</f>
        <v/>
      </c>
      <c r="T425" s="249" t="str">
        <f t="shared" ca="1" si="49"/>
        <v/>
      </c>
      <c r="U425" s="172" t="str">
        <f t="shared" ca="1" si="50"/>
        <v/>
      </c>
      <c r="V425" s="343" t="str">
        <f t="shared" ca="1" si="51"/>
        <v/>
      </c>
      <c r="W425" s="139"/>
      <c r="Y425" s="1"/>
    </row>
    <row r="426" spans="3:25" ht="12" customHeight="1">
      <c r="C426" s="342" t="str">
        <f t="shared" ca="1" si="46"/>
        <v/>
      </c>
      <c r="D426" s="153" t="str">
        <f t="shared" ca="1" si="47"/>
        <v/>
      </c>
      <c r="E426" s="153" t="str">
        <f t="shared" ca="1" si="48"/>
        <v/>
      </c>
      <c r="F426" s="170" t="str">
        <f ca="1">IF(C426="","",[1]!S_DQ_CLOSE(D426,TODAY(),1))</f>
        <v/>
      </c>
      <c r="G426" s="171" t="str">
        <f ca="1">IF(C426="","",[1]!s_pq_pctchange(D426,TODAY()-$G$12,TODAY())/100)</f>
        <v/>
      </c>
      <c r="H426" s="247" t="str">
        <f ca="1">IF(C426="","",IF($H$11="收入",[1]!S_STM07_IS(D426,9,$G$5,$H$13)/$E$5,[1]!S_STM07_IS(D426,48,$G$5,$H$13)/$E$5))</f>
        <v/>
      </c>
      <c r="I426" s="247" t="str">
        <f ca="1">IF(C426="","",IF($I$11="毛利率",([1]!S_STM07_IS(D426,9,$G$5,$H$13)-[1]!S_STM07_IS(D426,10,$G$5,$H$13))/[1]!S_STM07_IS(D426,9,$G$5,$H$13),[1]!S_STM07_IS(D426,14,$G$5,$H$13)/$E$5))</f>
        <v/>
      </c>
      <c r="J426" s="247" t="str">
        <f ca="1">IF(C426="","",IF($J$11="营业利润率",[1]!S_STM07_IS(D426,48,$G$5,$H$13)/[1]!S_STM07_IS(D426,9,$G$5,$H$13),([1]!S_STM07_CS(D426,87,$G$5,$H$13)+[1]!S_STM07_CS(D426,88,$G$5,$H$13)+[1]!S_STM07_CS(D426,89,$G$5,$H$13))/$E$5))</f>
        <v/>
      </c>
      <c r="K426" s="247" t="str">
        <f ca="1">IF(C426="","",IF($K$11="净利润率",[1]!S_STM07_IS(D426,61,$G$5,$H$13)/[1]!S_STM07_IS(D426,9,$G$5,$H$13),[1]!S_STM07_IS(D426,55,$G$5,$H$13)/$E$5))</f>
        <v/>
      </c>
      <c r="L426" s="247" t="str">
        <f ca="1">IF(C426="","",IF($L$11="ROA",[1]!S_STM07_IS(D426,61,$G$5,$H$13)/[1]!S_STM07_BS(D426,74,$G$5,$H$13),1-[1]!S_STM07_IS(D426,61,$G$5,$H$13)/[1]!S_STM07_IS(D426,55,$G$5,$H$13)))</f>
        <v/>
      </c>
      <c r="M426" s="247" t="str">
        <f ca="1">IF(C426="","",IF($M$11="ROE",[1]!S_STM07_IS(D426,61,$G$5,$H$13)/[1]!S_STM07_BS(D426,141,$G$5,$H$13),([1]!S_STM07_BS(D426,25,$G$5,$H$13)-[1]!S_STM07_BS(D426,93,$G$5,$H$13))/$E$5))</f>
        <v/>
      </c>
      <c r="N426" s="247" t="str">
        <f ca="1">IF(C426="","",IF($N$11="EPS",[1]!S_STM07_IS(D426,61,$G$5,$H$13)/IF([1]!S_SHARE_TOTAL(D426,$G$5)=0,[1]!S_SHARE_TOTAL(D426,[1]!s_ipo_listeddate(D426)),[1]!S_SHARE_TOTAL(D426,$G$5)),([1]!S_STM07_BS(D426,75,$G$5,$H$13)+[1]!S_STM07_BS(D426,88,$G$5,$H$13)+[1]!S_STM07_BS(D426,94,$G$5,$H$13)+[1]!S_STM07_BS(D426,95,$G$5,$H$13))/$E$5))</f>
        <v/>
      </c>
      <c r="O426" s="247" t="str">
        <f ca="1">IF(C426="","",IF($O$11="BPS",[1]!S_STM07_BS(D426,141,$G$5,$H$13)/IF([1]!S_SHARE_TOTAL(D426,$G$5)=0,[1]!S_SHARE_TOTAL(D426,[1]!s_ipo_listeddate(D426)),[1]!S_SHARE_TOTAL(D426,$G$5)),[1]!S_STM07_CS(D426,49,$G$5,$H$13)/$E$5))</f>
        <v/>
      </c>
      <c r="P426" s="247" t="str">
        <f ca="1">IF(C426="","",IF($P$11="CFPS",[1]!S_STM07_CS(D426,84,$G$5,$H$13)/IF([1]!S_SHARE_TOTAL(D426,$G$5)=0,[1]!S_SHARE_TOTAL(D426,[1]!s_ipo_listeddate(D426)),[1]!S_SHARE_TOTAL(D426,$G$5)),[1]!S_STM07_CS(D426,84,$G$5,$H$13)/$E$5))</f>
        <v/>
      </c>
      <c r="Q426" s="248" t="str">
        <f ca="1">IF(C426="","",F426/([1]!S_STM07_IS(D426,61,$G$5,$H$13)/IF([1]!S_SHARE_TOTAL(D426,$G$5)=0,[1]!S_SHARE_TOTAL(D426,[1]!s_ipo_listeddate(D426)),[1]!S_SHARE_TOTAL(D426,$G$5))))</f>
        <v/>
      </c>
      <c r="R426" s="248" t="str">
        <f ca="1">IF(C426="","",F426/([1]!S_STM07_BS(D426,141,$G$5,$H$13)/IF([1]!S_SHARE_TOTAL(D426,$G$5)=0,[1]!S_SHARE_TOTAL(D426,[1]!s_ipo_listeddate(D426)),[1]!S_SHARE_TOTAL(D426,$G$5))))</f>
        <v/>
      </c>
      <c r="S426" s="247" t="str">
        <f ca="1">IF(C426="","",[1]!S_SHARE_TOTAL(D426,TODAY())/$E$5)</f>
        <v/>
      </c>
      <c r="T426" s="247" t="str">
        <f t="shared" ca="1" si="49"/>
        <v/>
      </c>
      <c r="U426" s="218" t="str">
        <f t="shared" ca="1" si="50"/>
        <v/>
      </c>
      <c r="V426" s="342" t="str">
        <f t="shared" ca="1" si="51"/>
        <v/>
      </c>
      <c r="W426" s="139"/>
      <c r="Y426" s="1"/>
    </row>
    <row r="427" spans="3:25" ht="12" customHeight="1">
      <c r="C427" s="343" t="str">
        <f t="shared" ca="1" si="46"/>
        <v/>
      </c>
      <c r="D427" s="124" t="str">
        <f t="shared" ca="1" si="47"/>
        <v/>
      </c>
      <c r="E427" s="124" t="str">
        <f t="shared" ca="1" si="48"/>
        <v/>
      </c>
      <c r="F427" s="172" t="str">
        <f ca="1">IF(C427="","",[1]!S_DQ_CLOSE(D427,TODAY(),1))</f>
        <v/>
      </c>
      <c r="G427" s="173" t="str">
        <f ca="1">IF(C427="","",[1]!s_pq_pctchange(D427,TODAY()-$G$12,TODAY())/100)</f>
        <v/>
      </c>
      <c r="H427" s="249" t="str">
        <f ca="1">IF(C427="","",IF($H$11="收入",[1]!S_STM07_IS(D427,9,$G$5,$H$13)/$E$5,[1]!S_STM07_IS(D427,48,$G$5,$H$13)/$E$5))</f>
        <v/>
      </c>
      <c r="I427" s="249" t="str">
        <f ca="1">IF(C427="","",IF($I$11="毛利率",([1]!S_STM07_IS(D427,9,$G$5,$H$13)-[1]!S_STM07_IS(D427,10,$G$5,$H$13))/[1]!S_STM07_IS(D427,9,$G$5,$H$13),[1]!S_STM07_IS(D427,14,$G$5,$H$13)/$E$5))</f>
        <v/>
      </c>
      <c r="J427" s="249" t="str">
        <f ca="1">IF(C427="","",IF($J$11="营业利润率",[1]!S_STM07_IS(D427,48,$G$5,$H$13)/[1]!S_STM07_IS(D427,9,$G$5,$H$13),([1]!S_STM07_CS(D427,87,$G$5,$H$13)+[1]!S_STM07_CS(D427,88,$G$5,$H$13)+[1]!S_STM07_CS(D427,89,$G$5,$H$13))/$E$5))</f>
        <v/>
      </c>
      <c r="K427" s="249" t="str">
        <f ca="1">IF(C427="","",IF($K$11="净利润率",[1]!S_STM07_IS(D427,61,$G$5,$H$13)/[1]!S_STM07_IS(D427,9,$G$5,$H$13),[1]!S_STM07_IS(D427,55,$G$5,$H$13)/$E$5))</f>
        <v/>
      </c>
      <c r="L427" s="249" t="str">
        <f ca="1">IF(C427="","",IF($L$11="ROA",[1]!S_STM07_IS(D427,61,$G$5,$H$13)/[1]!S_STM07_BS(D427,74,$G$5,$H$13),1-[1]!S_STM07_IS(D427,61,$G$5,$H$13)/[1]!S_STM07_IS(D427,55,$G$5,$H$13)))</f>
        <v/>
      </c>
      <c r="M427" s="249" t="str">
        <f ca="1">IF(C427="","",IF($M$11="ROE",[1]!S_STM07_IS(D427,61,$G$5,$H$13)/[1]!S_STM07_BS(D427,141,$G$5,$H$13),([1]!S_STM07_BS(D427,25,$G$5,$H$13)-[1]!S_STM07_BS(D427,93,$G$5,$H$13))/$E$5))</f>
        <v/>
      </c>
      <c r="N427" s="250" t="str">
        <f ca="1">IF(C427="","",IF($N$11="EPS",[1]!S_STM07_IS(D427,61,$G$5,$H$13)/IF([1]!S_SHARE_TOTAL(D427,$G$5)=0,[1]!S_SHARE_TOTAL(D427,[1]!s_ipo_listeddate(D427)),[1]!S_SHARE_TOTAL(D427,$G$5)),([1]!S_STM07_BS(D427,75,$G$5,$H$13)+[1]!S_STM07_BS(D427,88,$G$5,$H$13)+[1]!S_STM07_BS(D427,94,$G$5,$H$13)+[1]!S_STM07_BS(D427,95,$G$5,$H$13))/$E$5))</f>
        <v/>
      </c>
      <c r="O427" s="250" t="str">
        <f ca="1">IF(C427="","",IF($O$11="BPS",[1]!S_STM07_BS(D427,141,$G$5,$H$13)/IF([1]!S_SHARE_TOTAL(D427,$G$5)=0,[1]!S_SHARE_TOTAL(D427,[1]!s_ipo_listeddate(D427)),[1]!S_SHARE_TOTAL(D427,$G$5)),[1]!S_STM07_CS(D427,49,$G$5,$H$13)/$E$5))</f>
        <v/>
      </c>
      <c r="P427" s="250" t="str">
        <f ca="1">IF(C427="","",IF($P$11="CFPS",[1]!S_STM07_CS(D427,84,$G$5,$H$13)/IF([1]!S_SHARE_TOTAL(D427,$G$5)=0,[1]!S_SHARE_TOTAL(D427,[1]!s_ipo_listeddate(D427)),[1]!S_SHARE_TOTAL(D427,$G$5)),[1]!S_STM07_CS(D427,84,$G$5,$H$13)/$E$5))</f>
        <v/>
      </c>
      <c r="Q427" s="198" t="str">
        <f ca="1">IF(C427="","",F427/([1]!S_STM07_IS(D427,61,$G$5,$H$13)/IF([1]!S_SHARE_TOTAL(D427,$G$5)=0,[1]!S_SHARE_TOTAL(D427,[1]!s_ipo_listeddate(D427)),[1]!S_SHARE_TOTAL(D427,$G$5))))</f>
        <v/>
      </c>
      <c r="R427" s="198" t="str">
        <f ca="1">IF(C427="","",F427/([1]!S_STM07_BS(D427,141,$G$5,$H$13)/IF([1]!S_SHARE_TOTAL(D427,$G$5)=0,[1]!S_SHARE_TOTAL(D427,[1]!s_ipo_listeddate(D427)),[1]!S_SHARE_TOTAL(D427,$G$5))))</f>
        <v/>
      </c>
      <c r="S427" s="249" t="str">
        <f ca="1">IF(C427="","",[1]!S_SHARE_TOTAL(D427,TODAY())/$E$5)</f>
        <v/>
      </c>
      <c r="T427" s="249" t="str">
        <f t="shared" ca="1" si="49"/>
        <v/>
      </c>
      <c r="U427" s="172" t="str">
        <f t="shared" ca="1" si="50"/>
        <v/>
      </c>
      <c r="V427" s="343" t="str">
        <f t="shared" ca="1" si="51"/>
        <v/>
      </c>
      <c r="W427" s="139"/>
      <c r="Y427" s="1"/>
    </row>
    <row r="428" spans="3:25" ht="12" customHeight="1">
      <c r="C428" s="342" t="str">
        <f t="shared" ca="1" si="46"/>
        <v/>
      </c>
      <c r="D428" s="153" t="str">
        <f t="shared" ca="1" si="47"/>
        <v/>
      </c>
      <c r="E428" s="153" t="str">
        <f t="shared" ca="1" si="48"/>
        <v/>
      </c>
      <c r="F428" s="170" t="str">
        <f ca="1">IF(C428="","",[1]!S_DQ_CLOSE(D428,TODAY(),1))</f>
        <v/>
      </c>
      <c r="G428" s="171" t="str">
        <f ca="1">IF(C428="","",[1]!s_pq_pctchange(D428,TODAY()-$G$12,TODAY())/100)</f>
        <v/>
      </c>
      <c r="H428" s="247" t="str">
        <f ca="1">IF(C428="","",IF($H$11="收入",[1]!S_STM07_IS(D428,9,$G$5,$H$13)/$E$5,[1]!S_STM07_IS(D428,48,$G$5,$H$13)/$E$5))</f>
        <v/>
      </c>
      <c r="I428" s="247" t="str">
        <f ca="1">IF(C428="","",IF($I$11="毛利率",([1]!S_STM07_IS(D428,9,$G$5,$H$13)-[1]!S_STM07_IS(D428,10,$G$5,$H$13))/[1]!S_STM07_IS(D428,9,$G$5,$H$13),[1]!S_STM07_IS(D428,14,$G$5,$H$13)/$E$5))</f>
        <v/>
      </c>
      <c r="J428" s="247" t="str">
        <f ca="1">IF(C428="","",IF($J$11="营业利润率",[1]!S_STM07_IS(D428,48,$G$5,$H$13)/[1]!S_STM07_IS(D428,9,$G$5,$H$13),([1]!S_STM07_CS(D428,87,$G$5,$H$13)+[1]!S_STM07_CS(D428,88,$G$5,$H$13)+[1]!S_STM07_CS(D428,89,$G$5,$H$13))/$E$5))</f>
        <v/>
      </c>
      <c r="K428" s="247" t="str">
        <f ca="1">IF(C428="","",IF($K$11="净利润率",[1]!S_STM07_IS(D428,61,$G$5,$H$13)/[1]!S_STM07_IS(D428,9,$G$5,$H$13),[1]!S_STM07_IS(D428,55,$G$5,$H$13)/$E$5))</f>
        <v/>
      </c>
      <c r="L428" s="247" t="str">
        <f ca="1">IF(C428="","",IF($L$11="ROA",[1]!S_STM07_IS(D428,61,$G$5,$H$13)/[1]!S_STM07_BS(D428,74,$G$5,$H$13),1-[1]!S_STM07_IS(D428,61,$G$5,$H$13)/[1]!S_STM07_IS(D428,55,$G$5,$H$13)))</f>
        <v/>
      </c>
      <c r="M428" s="247" t="str">
        <f ca="1">IF(C428="","",IF($M$11="ROE",[1]!S_STM07_IS(D428,61,$G$5,$H$13)/[1]!S_STM07_BS(D428,141,$G$5,$H$13),([1]!S_STM07_BS(D428,25,$G$5,$H$13)-[1]!S_STM07_BS(D428,93,$G$5,$H$13))/$E$5))</f>
        <v/>
      </c>
      <c r="N428" s="247" t="str">
        <f ca="1">IF(C428="","",IF($N$11="EPS",[1]!S_STM07_IS(D428,61,$G$5,$H$13)/IF([1]!S_SHARE_TOTAL(D428,$G$5)=0,[1]!S_SHARE_TOTAL(D428,[1]!s_ipo_listeddate(D428)),[1]!S_SHARE_TOTAL(D428,$G$5)),([1]!S_STM07_BS(D428,75,$G$5,$H$13)+[1]!S_STM07_BS(D428,88,$G$5,$H$13)+[1]!S_STM07_BS(D428,94,$G$5,$H$13)+[1]!S_STM07_BS(D428,95,$G$5,$H$13))/$E$5))</f>
        <v/>
      </c>
      <c r="O428" s="247" t="str">
        <f ca="1">IF(C428="","",IF($O$11="BPS",[1]!S_STM07_BS(D428,141,$G$5,$H$13)/IF([1]!S_SHARE_TOTAL(D428,$G$5)=0,[1]!S_SHARE_TOTAL(D428,[1]!s_ipo_listeddate(D428)),[1]!S_SHARE_TOTAL(D428,$G$5)),[1]!S_STM07_CS(D428,49,$G$5,$H$13)/$E$5))</f>
        <v/>
      </c>
      <c r="P428" s="247" t="str">
        <f ca="1">IF(C428="","",IF($P$11="CFPS",[1]!S_STM07_CS(D428,84,$G$5,$H$13)/IF([1]!S_SHARE_TOTAL(D428,$G$5)=0,[1]!S_SHARE_TOTAL(D428,[1]!s_ipo_listeddate(D428)),[1]!S_SHARE_TOTAL(D428,$G$5)),[1]!S_STM07_CS(D428,84,$G$5,$H$13)/$E$5))</f>
        <v/>
      </c>
      <c r="Q428" s="248" t="str">
        <f ca="1">IF(C428="","",F428/([1]!S_STM07_IS(D428,61,$G$5,$H$13)/IF([1]!S_SHARE_TOTAL(D428,$G$5)=0,[1]!S_SHARE_TOTAL(D428,[1]!s_ipo_listeddate(D428)),[1]!S_SHARE_TOTAL(D428,$G$5))))</f>
        <v/>
      </c>
      <c r="R428" s="248" t="str">
        <f ca="1">IF(C428="","",F428/([1]!S_STM07_BS(D428,141,$G$5,$H$13)/IF([1]!S_SHARE_TOTAL(D428,$G$5)=0,[1]!S_SHARE_TOTAL(D428,[1]!s_ipo_listeddate(D428)),[1]!S_SHARE_TOTAL(D428,$G$5))))</f>
        <v/>
      </c>
      <c r="S428" s="247" t="str">
        <f ca="1">IF(C428="","",[1]!S_SHARE_TOTAL(D428,TODAY())/$E$5)</f>
        <v/>
      </c>
      <c r="T428" s="247" t="str">
        <f t="shared" ca="1" si="49"/>
        <v/>
      </c>
      <c r="U428" s="218" t="str">
        <f t="shared" ca="1" si="50"/>
        <v/>
      </c>
      <c r="V428" s="342" t="str">
        <f t="shared" ca="1" si="51"/>
        <v/>
      </c>
      <c r="W428" s="139"/>
      <c r="Y428" s="1"/>
    </row>
    <row r="429" spans="3:25" ht="12" customHeight="1">
      <c r="C429" s="343" t="str">
        <f t="shared" ca="1" si="46"/>
        <v/>
      </c>
      <c r="D429" s="124" t="str">
        <f t="shared" ca="1" si="47"/>
        <v/>
      </c>
      <c r="E429" s="124" t="str">
        <f t="shared" ca="1" si="48"/>
        <v/>
      </c>
      <c r="F429" s="172" t="str">
        <f ca="1">IF(C429="","",[1]!S_DQ_CLOSE(D429,TODAY(),1))</f>
        <v/>
      </c>
      <c r="G429" s="173" t="str">
        <f ca="1">IF(C429="","",[1]!s_pq_pctchange(D429,TODAY()-$G$12,TODAY())/100)</f>
        <v/>
      </c>
      <c r="H429" s="249" t="str">
        <f ca="1">IF(C429="","",IF($H$11="收入",[1]!S_STM07_IS(D429,9,$G$5,$H$13)/$E$5,[1]!S_STM07_IS(D429,48,$G$5,$H$13)/$E$5))</f>
        <v/>
      </c>
      <c r="I429" s="249" t="str">
        <f ca="1">IF(C429="","",IF($I$11="毛利率",([1]!S_STM07_IS(D429,9,$G$5,$H$13)-[1]!S_STM07_IS(D429,10,$G$5,$H$13))/[1]!S_STM07_IS(D429,9,$G$5,$H$13),[1]!S_STM07_IS(D429,14,$G$5,$H$13)/$E$5))</f>
        <v/>
      </c>
      <c r="J429" s="249" t="str">
        <f ca="1">IF(C429="","",IF($J$11="营业利润率",[1]!S_STM07_IS(D429,48,$G$5,$H$13)/[1]!S_STM07_IS(D429,9,$G$5,$H$13),([1]!S_STM07_CS(D429,87,$G$5,$H$13)+[1]!S_STM07_CS(D429,88,$G$5,$H$13)+[1]!S_STM07_CS(D429,89,$G$5,$H$13))/$E$5))</f>
        <v/>
      </c>
      <c r="K429" s="249" t="str">
        <f ca="1">IF(C429="","",IF($K$11="净利润率",[1]!S_STM07_IS(D429,61,$G$5,$H$13)/[1]!S_STM07_IS(D429,9,$G$5,$H$13),[1]!S_STM07_IS(D429,55,$G$5,$H$13)/$E$5))</f>
        <v/>
      </c>
      <c r="L429" s="249" t="str">
        <f ca="1">IF(C429="","",IF($L$11="ROA",[1]!S_STM07_IS(D429,61,$G$5,$H$13)/[1]!S_STM07_BS(D429,74,$G$5,$H$13),1-[1]!S_STM07_IS(D429,61,$G$5,$H$13)/[1]!S_STM07_IS(D429,55,$G$5,$H$13)))</f>
        <v/>
      </c>
      <c r="M429" s="249" t="str">
        <f ca="1">IF(C429="","",IF($M$11="ROE",[1]!S_STM07_IS(D429,61,$G$5,$H$13)/[1]!S_STM07_BS(D429,141,$G$5,$H$13),([1]!S_STM07_BS(D429,25,$G$5,$H$13)-[1]!S_STM07_BS(D429,93,$G$5,$H$13))/$E$5))</f>
        <v/>
      </c>
      <c r="N429" s="250" t="str">
        <f ca="1">IF(C429="","",IF($N$11="EPS",[1]!S_STM07_IS(D429,61,$G$5,$H$13)/IF([1]!S_SHARE_TOTAL(D429,$G$5)=0,[1]!S_SHARE_TOTAL(D429,[1]!s_ipo_listeddate(D429)),[1]!S_SHARE_TOTAL(D429,$G$5)),([1]!S_STM07_BS(D429,75,$G$5,$H$13)+[1]!S_STM07_BS(D429,88,$G$5,$H$13)+[1]!S_STM07_BS(D429,94,$G$5,$H$13)+[1]!S_STM07_BS(D429,95,$G$5,$H$13))/$E$5))</f>
        <v/>
      </c>
      <c r="O429" s="250" t="str">
        <f ca="1">IF(C429="","",IF($O$11="BPS",[1]!S_STM07_BS(D429,141,$G$5,$H$13)/IF([1]!S_SHARE_TOTAL(D429,$G$5)=0,[1]!S_SHARE_TOTAL(D429,[1]!s_ipo_listeddate(D429)),[1]!S_SHARE_TOTAL(D429,$G$5)),[1]!S_STM07_CS(D429,49,$G$5,$H$13)/$E$5))</f>
        <v/>
      </c>
      <c r="P429" s="250" t="str">
        <f ca="1">IF(C429="","",IF($P$11="CFPS",[1]!S_STM07_CS(D429,84,$G$5,$H$13)/IF([1]!S_SHARE_TOTAL(D429,$G$5)=0,[1]!S_SHARE_TOTAL(D429,[1]!s_ipo_listeddate(D429)),[1]!S_SHARE_TOTAL(D429,$G$5)),[1]!S_STM07_CS(D429,84,$G$5,$H$13)/$E$5))</f>
        <v/>
      </c>
      <c r="Q429" s="198" t="str">
        <f ca="1">IF(C429="","",F429/([1]!S_STM07_IS(D429,61,$G$5,$H$13)/IF([1]!S_SHARE_TOTAL(D429,$G$5)=0,[1]!S_SHARE_TOTAL(D429,[1]!s_ipo_listeddate(D429)),[1]!S_SHARE_TOTAL(D429,$G$5))))</f>
        <v/>
      </c>
      <c r="R429" s="198" t="str">
        <f ca="1">IF(C429="","",F429/([1]!S_STM07_BS(D429,141,$G$5,$H$13)/IF([1]!S_SHARE_TOTAL(D429,$G$5)=0,[1]!S_SHARE_TOTAL(D429,[1]!s_ipo_listeddate(D429)),[1]!S_SHARE_TOTAL(D429,$G$5))))</f>
        <v/>
      </c>
      <c r="S429" s="249" t="str">
        <f ca="1">IF(C429="","",[1]!S_SHARE_TOTAL(D429,TODAY())/$E$5)</f>
        <v/>
      </c>
      <c r="T429" s="249" t="str">
        <f t="shared" ca="1" si="49"/>
        <v/>
      </c>
      <c r="U429" s="172" t="str">
        <f t="shared" ca="1" si="50"/>
        <v/>
      </c>
      <c r="V429" s="343" t="str">
        <f t="shared" ca="1" si="51"/>
        <v/>
      </c>
      <c r="W429" s="139"/>
      <c r="Y429" s="1"/>
    </row>
    <row r="430" spans="3:25" ht="12" customHeight="1">
      <c r="C430" s="342" t="str">
        <f t="shared" ca="1" si="46"/>
        <v/>
      </c>
      <c r="D430" s="153" t="str">
        <f t="shared" ca="1" si="47"/>
        <v/>
      </c>
      <c r="E430" s="153" t="str">
        <f t="shared" ca="1" si="48"/>
        <v/>
      </c>
      <c r="F430" s="170" t="str">
        <f ca="1">IF(C430="","",[1]!S_DQ_CLOSE(D430,TODAY(),1))</f>
        <v/>
      </c>
      <c r="G430" s="171" t="str">
        <f ca="1">IF(C430="","",[1]!s_pq_pctchange(D430,TODAY()-$G$12,TODAY())/100)</f>
        <v/>
      </c>
      <c r="H430" s="247" t="str">
        <f ca="1">IF(C430="","",IF($H$11="收入",[1]!S_STM07_IS(D430,9,$G$5,$H$13)/$E$5,[1]!S_STM07_IS(D430,48,$G$5,$H$13)/$E$5))</f>
        <v/>
      </c>
      <c r="I430" s="247" t="str">
        <f ca="1">IF(C430="","",IF($I$11="毛利率",([1]!S_STM07_IS(D430,9,$G$5,$H$13)-[1]!S_STM07_IS(D430,10,$G$5,$H$13))/[1]!S_STM07_IS(D430,9,$G$5,$H$13),[1]!S_STM07_IS(D430,14,$G$5,$H$13)/$E$5))</f>
        <v/>
      </c>
      <c r="J430" s="247" t="str">
        <f ca="1">IF(C430="","",IF($J$11="营业利润率",[1]!S_STM07_IS(D430,48,$G$5,$H$13)/[1]!S_STM07_IS(D430,9,$G$5,$H$13),([1]!S_STM07_CS(D430,87,$G$5,$H$13)+[1]!S_STM07_CS(D430,88,$G$5,$H$13)+[1]!S_STM07_CS(D430,89,$G$5,$H$13))/$E$5))</f>
        <v/>
      </c>
      <c r="K430" s="247" t="str">
        <f ca="1">IF(C430="","",IF($K$11="净利润率",[1]!S_STM07_IS(D430,61,$G$5,$H$13)/[1]!S_STM07_IS(D430,9,$G$5,$H$13),[1]!S_STM07_IS(D430,55,$G$5,$H$13)/$E$5))</f>
        <v/>
      </c>
      <c r="L430" s="247" t="str">
        <f ca="1">IF(C430="","",IF($L$11="ROA",[1]!S_STM07_IS(D430,61,$G$5,$H$13)/[1]!S_STM07_BS(D430,74,$G$5,$H$13),1-[1]!S_STM07_IS(D430,61,$G$5,$H$13)/[1]!S_STM07_IS(D430,55,$G$5,$H$13)))</f>
        <v/>
      </c>
      <c r="M430" s="247" t="str">
        <f ca="1">IF(C430="","",IF($M$11="ROE",[1]!S_STM07_IS(D430,61,$G$5,$H$13)/[1]!S_STM07_BS(D430,141,$G$5,$H$13),([1]!S_STM07_BS(D430,25,$G$5,$H$13)-[1]!S_STM07_BS(D430,93,$G$5,$H$13))/$E$5))</f>
        <v/>
      </c>
      <c r="N430" s="247" t="str">
        <f ca="1">IF(C430="","",IF($N$11="EPS",[1]!S_STM07_IS(D430,61,$G$5,$H$13)/IF([1]!S_SHARE_TOTAL(D430,$G$5)=0,[1]!S_SHARE_TOTAL(D430,[1]!s_ipo_listeddate(D430)),[1]!S_SHARE_TOTAL(D430,$G$5)),([1]!S_STM07_BS(D430,75,$G$5,$H$13)+[1]!S_STM07_BS(D430,88,$G$5,$H$13)+[1]!S_STM07_BS(D430,94,$G$5,$H$13)+[1]!S_STM07_BS(D430,95,$G$5,$H$13))/$E$5))</f>
        <v/>
      </c>
      <c r="O430" s="247" t="str">
        <f ca="1">IF(C430="","",IF($O$11="BPS",[1]!S_STM07_BS(D430,141,$G$5,$H$13)/IF([1]!S_SHARE_TOTAL(D430,$G$5)=0,[1]!S_SHARE_TOTAL(D430,[1]!s_ipo_listeddate(D430)),[1]!S_SHARE_TOTAL(D430,$G$5)),[1]!S_STM07_CS(D430,49,$G$5,$H$13)/$E$5))</f>
        <v/>
      </c>
      <c r="P430" s="247" t="str">
        <f ca="1">IF(C430="","",IF($P$11="CFPS",[1]!S_STM07_CS(D430,84,$G$5,$H$13)/IF([1]!S_SHARE_TOTAL(D430,$G$5)=0,[1]!S_SHARE_TOTAL(D430,[1]!s_ipo_listeddate(D430)),[1]!S_SHARE_TOTAL(D430,$G$5)),[1]!S_STM07_CS(D430,84,$G$5,$H$13)/$E$5))</f>
        <v/>
      </c>
      <c r="Q430" s="248" t="str">
        <f ca="1">IF(C430="","",F430/([1]!S_STM07_IS(D430,61,$G$5,$H$13)/IF([1]!S_SHARE_TOTAL(D430,$G$5)=0,[1]!S_SHARE_TOTAL(D430,[1]!s_ipo_listeddate(D430)),[1]!S_SHARE_TOTAL(D430,$G$5))))</f>
        <v/>
      </c>
      <c r="R430" s="248" t="str">
        <f ca="1">IF(C430="","",F430/([1]!S_STM07_BS(D430,141,$G$5,$H$13)/IF([1]!S_SHARE_TOTAL(D430,$G$5)=0,[1]!S_SHARE_TOTAL(D430,[1]!s_ipo_listeddate(D430)),[1]!S_SHARE_TOTAL(D430,$G$5))))</f>
        <v/>
      </c>
      <c r="S430" s="247" t="str">
        <f ca="1">IF(C430="","",[1]!S_SHARE_TOTAL(D430,TODAY())/$E$5)</f>
        <v/>
      </c>
      <c r="T430" s="247" t="str">
        <f t="shared" ca="1" si="49"/>
        <v/>
      </c>
      <c r="U430" s="218" t="str">
        <f t="shared" ca="1" si="50"/>
        <v/>
      </c>
      <c r="V430" s="342" t="str">
        <f t="shared" ca="1" si="51"/>
        <v/>
      </c>
      <c r="W430" s="139"/>
      <c r="Y430" s="1"/>
    </row>
    <row r="431" spans="3:25" ht="12" customHeight="1">
      <c r="C431" s="343" t="str">
        <f t="shared" ca="1" si="46"/>
        <v/>
      </c>
      <c r="D431" s="124" t="str">
        <f t="shared" ca="1" si="47"/>
        <v/>
      </c>
      <c r="E431" s="124" t="str">
        <f t="shared" ca="1" si="48"/>
        <v/>
      </c>
      <c r="F431" s="172" t="str">
        <f ca="1">IF(C431="","",[1]!S_DQ_CLOSE(D431,TODAY(),1))</f>
        <v/>
      </c>
      <c r="G431" s="173" t="str">
        <f ca="1">IF(C431="","",[1]!s_pq_pctchange(D431,TODAY()-$G$12,TODAY())/100)</f>
        <v/>
      </c>
      <c r="H431" s="249" t="str">
        <f ca="1">IF(C431="","",IF($H$11="收入",[1]!S_STM07_IS(D431,9,$G$5,$H$13)/$E$5,[1]!S_STM07_IS(D431,48,$G$5,$H$13)/$E$5))</f>
        <v/>
      </c>
      <c r="I431" s="249" t="str">
        <f ca="1">IF(C431="","",IF($I$11="毛利率",([1]!S_STM07_IS(D431,9,$G$5,$H$13)-[1]!S_STM07_IS(D431,10,$G$5,$H$13))/[1]!S_STM07_IS(D431,9,$G$5,$H$13),[1]!S_STM07_IS(D431,14,$G$5,$H$13)/$E$5))</f>
        <v/>
      </c>
      <c r="J431" s="249" t="str">
        <f ca="1">IF(C431="","",IF($J$11="营业利润率",[1]!S_STM07_IS(D431,48,$G$5,$H$13)/[1]!S_STM07_IS(D431,9,$G$5,$H$13),([1]!S_STM07_CS(D431,87,$G$5,$H$13)+[1]!S_STM07_CS(D431,88,$G$5,$H$13)+[1]!S_STM07_CS(D431,89,$G$5,$H$13))/$E$5))</f>
        <v/>
      </c>
      <c r="K431" s="249" t="str">
        <f ca="1">IF(C431="","",IF($K$11="净利润率",[1]!S_STM07_IS(D431,61,$G$5,$H$13)/[1]!S_STM07_IS(D431,9,$G$5,$H$13),[1]!S_STM07_IS(D431,55,$G$5,$H$13)/$E$5))</f>
        <v/>
      </c>
      <c r="L431" s="249" t="str">
        <f ca="1">IF(C431="","",IF($L$11="ROA",[1]!S_STM07_IS(D431,61,$G$5,$H$13)/[1]!S_STM07_BS(D431,74,$G$5,$H$13),1-[1]!S_STM07_IS(D431,61,$G$5,$H$13)/[1]!S_STM07_IS(D431,55,$G$5,$H$13)))</f>
        <v/>
      </c>
      <c r="M431" s="249" t="str">
        <f ca="1">IF(C431="","",IF($M$11="ROE",[1]!S_STM07_IS(D431,61,$G$5,$H$13)/[1]!S_STM07_BS(D431,141,$G$5,$H$13),([1]!S_STM07_BS(D431,25,$G$5,$H$13)-[1]!S_STM07_BS(D431,93,$G$5,$H$13))/$E$5))</f>
        <v/>
      </c>
      <c r="N431" s="250" t="str">
        <f ca="1">IF(C431="","",IF($N$11="EPS",[1]!S_STM07_IS(D431,61,$G$5,$H$13)/IF([1]!S_SHARE_TOTAL(D431,$G$5)=0,[1]!S_SHARE_TOTAL(D431,[1]!s_ipo_listeddate(D431)),[1]!S_SHARE_TOTAL(D431,$G$5)),([1]!S_STM07_BS(D431,75,$G$5,$H$13)+[1]!S_STM07_BS(D431,88,$G$5,$H$13)+[1]!S_STM07_BS(D431,94,$G$5,$H$13)+[1]!S_STM07_BS(D431,95,$G$5,$H$13))/$E$5))</f>
        <v/>
      </c>
      <c r="O431" s="250" t="str">
        <f ca="1">IF(C431="","",IF($O$11="BPS",[1]!S_STM07_BS(D431,141,$G$5,$H$13)/IF([1]!S_SHARE_TOTAL(D431,$G$5)=0,[1]!S_SHARE_TOTAL(D431,[1]!s_ipo_listeddate(D431)),[1]!S_SHARE_TOTAL(D431,$G$5)),[1]!S_STM07_CS(D431,49,$G$5,$H$13)/$E$5))</f>
        <v/>
      </c>
      <c r="P431" s="250" t="str">
        <f ca="1">IF(C431="","",IF($P$11="CFPS",[1]!S_STM07_CS(D431,84,$G$5,$H$13)/IF([1]!S_SHARE_TOTAL(D431,$G$5)=0,[1]!S_SHARE_TOTAL(D431,[1]!s_ipo_listeddate(D431)),[1]!S_SHARE_TOTAL(D431,$G$5)),[1]!S_STM07_CS(D431,84,$G$5,$H$13)/$E$5))</f>
        <v/>
      </c>
      <c r="Q431" s="198" t="str">
        <f ca="1">IF(C431="","",F431/([1]!S_STM07_IS(D431,61,$G$5,$H$13)/IF([1]!S_SHARE_TOTAL(D431,$G$5)=0,[1]!S_SHARE_TOTAL(D431,[1]!s_ipo_listeddate(D431)),[1]!S_SHARE_TOTAL(D431,$G$5))))</f>
        <v/>
      </c>
      <c r="R431" s="198" t="str">
        <f ca="1">IF(C431="","",F431/([1]!S_STM07_BS(D431,141,$G$5,$H$13)/IF([1]!S_SHARE_TOTAL(D431,$G$5)=0,[1]!S_SHARE_TOTAL(D431,[1]!s_ipo_listeddate(D431)),[1]!S_SHARE_TOTAL(D431,$G$5))))</f>
        <v/>
      </c>
      <c r="S431" s="249" t="str">
        <f ca="1">IF(C431="","",[1]!S_SHARE_TOTAL(D431,TODAY())/$E$5)</f>
        <v/>
      </c>
      <c r="T431" s="249" t="str">
        <f t="shared" ca="1" si="49"/>
        <v/>
      </c>
      <c r="U431" s="172" t="str">
        <f t="shared" ca="1" si="50"/>
        <v/>
      </c>
      <c r="V431" s="343" t="str">
        <f t="shared" ca="1" si="51"/>
        <v/>
      </c>
      <c r="W431" s="139"/>
      <c r="Y431" s="1"/>
    </row>
    <row r="432" spans="3:25" ht="12" customHeight="1">
      <c r="C432" s="342" t="str">
        <f t="shared" ca="1" si="46"/>
        <v/>
      </c>
      <c r="D432" s="153" t="str">
        <f t="shared" ca="1" si="47"/>
        <v/>
      </c>
      <c r="E432" s="153" t="str">
        <f t="shared" ca="1" si="48"/>
        <v/>
      </c>
      <c r="F432" s="170" t="str">
        <f ca="1">IF(C432="","",[1]!S_DQ_CLOSE(D432,TODAY(),1))</f>
        <v/>
      </c>
      <c r="G432" s="171" t="str">
        <f ca="1">IF(C432="","",[1]!s_pq_pctchange(D432,TODAY()-$G$12,TODAY())/100)</f>
        <v/>
      </c>
      <c r="H432" s="247" t="str">
        <f ca="1">IF(C432="","",IF($H$11="收入",[1]!S_STM07_IS(D432,9,$G$5,$H$13)/$E$5,[1]!S_STM07_IS(D432,48,$G$5,$H$13)/$E$5))</f>
        <v/>
      </c>
      <c r="I432" s="247" t="str">
        <f ca="1">IF(C432="","",IF($I$11="毛利率",([1]!S_STM07_IS(D432,9,$G$5,$H$13)-[1]!S_STM07_IS(D432,10,$G$5,$H$13))/[1]!S_STM07_IS(D432,9,$G$5,$H$13),[1]!S_STM07_IS(D432,14,$G$5,$H$13)/$E$5))</f>
        <v/>
      </c>
      <c r="J432" s="247" t="str">
        <f ca="1">IF(C432="","",IF($J$11="营业利润率",[1]!S_STM07_IS(D432,48,$G$5,$H$13)/[1]!S_STM07_IS(D432,9,$G$5,$H$13),([1]!S_STM07_CS(D432,87,$G$5,$H$13)+[1]!S_STM07_CS(D432,88,$G$5,$H$13)+[1]!S_STM07_CS(D432,89,$G$5,$H$13))/$E$5))</f>
        <v/>
      </c>
      <c r="K432" s="247" t="str">
        <f ca="1">IF(C432="","",IF($K$11="净利润率",[1]!S_STM07_IS(D432,61,$G$5,$H$13)/[1]!S_STM07_IS(D432,9,$G$5,$H$13),[1]!S_STM07_IS(D432,55,$G$5,$H$13)/$E$5))</f>
        <v/>
      </c>
      <c r="L432" s="247" t="str">
        <f ca="1">IF(C432="","",IF($L$11="ROA",[1]!S_STM07_IS(D432,61,$G$5,$H$13)/[1]!S_STM07_BS(D432,74,$G$5,$H$13),1-[1]!S_STM07_IS(D432,61,$G$5,$H$13)/[1]!S_STM07_IS(D432,55,$G$5,$H$13)))</f>
        <v/>
      </c>
      <c r="M432" s="247" t="str">
        <f ca="1">IF(C432="","",IF($M$11="ROE",[1]!S_STM07_IS(D432,61,$G$5,$H$13)/[1]!S_STM07_BS(D432,141,$G$5,$H$13),([1]!S_STM07_BS(D432,25,$G$5,$H$13)-[1]!S_STM07_BS(D432,93,$G$5,$H$13))/$E$5))</f>
        <v/>
      </c>
      <c r="N432" s="247" t="str">
        <f ca="1">IF(C432="","",IF($N$11="EPS",[1]!S_STM07_IS(D432,61,$G$5,$H$13)/IF([1]!S_SHARE_TOTAL(D432,$G$5)=0,[1]!S_SHARE_TOTAL(D432,[1]!s_ipo_listeddate(D432)),[1]!S_SHARE_TOTAL(D432,$G$5)),([1]!S_STM07_BS(D432,75,$G$5,$H$13)+[1]!S_STM07_BS(D432,88,$G$5,$H$13)+[1]!S_STM07_BS(D432,94,$G$5,$H$13)+[1]!S_STM07_BS(D432,95,$G$5,$H$13))/$E$5))</f>
        <v/>
      </c>
      <c r="O432" s="247" t="str">
        <f ca="1">IF(C432="","",IF($O$11="BPS",[1]!S_STM07_BS(D432,141,$G$5,$H$13)/IF([1]!S_SHARE_TOTAL(D432,$G$5)=0,[1]!S_SHARE_TOTAL(D432,[1]!s_ipo_listeddate(D432)),[1]!S_SHARE_TOTAL(D432,$G$5)),[1]!S_STM07_CS(D432,49,$G$5,$H$13)/$E$5))</f>
        <v/>
      </c>
      <c r="P432" s="247" t="str">
        <f ca="1">IF(C432="","",IF($P$11="CFPS",[1]!S_STM07_CS(D432,84,$G$5,$H$13)/IF([1]!S_SHARE_TOTAL(D432,$G$5)=0,[1]!S_SHARE_TOTAL(D432,[1]!s_ipo_listeddate(D432)),[1]!S_SHARE_TOTAL(D432,$G$5)),[1]!S_STM07_CS(D432,84,$G$5,$H$13)/$E$5))</f>
        <v/>
      </c>
      <c r="Q432" s="248" t="str">
        <f ca="1">IF(C432="","",F432/([1]!S_STM07_IS(D432,61,$G$5,$H$13)/IF([1]!S_SHARE_TOTAL(D432,$G$5)=0,[1]!S_SHARE_TOTAL(D432,[1]!s_ipo_listeddate(D432)),[1]!S_SHARE_TOTAL(D432,$G$5))))</f>
        <v/>
      </c>
      <c r="R432" s="248" t="str">
        <f ca="1">IF(C432="","",F432/([1]!S_STM07_BS(D432,141,$G$5,$H$13)/IF([1]!S_SHARE_TOTAL(D432,$G$5)=0,[1]!S_SHARE_TOTAL(D432,[1]!s_ipo_listeddate(D432)),[1]!S_SHARE_TOTAL(D432,$G$5))))</f>
        <v/>
      </c>
      <c r="S432" s="247" t="str">
        <f ca="1">IF(C432="","",[1]!S_SHARE_TOTAL(D432,TODAY())/$E$5)</f>
        <v/>
      </c>
      <c r="T432" s="247" t="str">
        <f t="shared" ca="1" si="49"/>
        <v/>
      </c>
      <c r="U432" s="218" t="str">
        <f t="shared" ca="1" si="50"/>
        <v/>
      </c>
      <c r="V432" s="342" t="str">
        <f t="shared" ca="1" si="51"/>
        <v/>
      </c>
      <c r="W432" s="139"/>
      <c r="Y432" s="1"/>
    </row>
    <row r="433" spans="3:25" ht="12" customHeight="1">
      <c r="C433" s="343" t="str">
        <f t="shared" ca="1" si="46"/>
        <v/>
      </c>
      <c r="D433" s="124" t="str">
        <f t="shared" ca="1" si="47"/>
        <v/>
      </c>
      <c r="E433" s="124" t="str">
        <f t="shared" ca="1" si="48"/>
        <v/>
      </c>
      <c r="F433" s="172" t="str">
        <f ca="1">IF(C433="","",[1]!S_DQ_CLOSE(D433,TODAY(),1))</f>
        <v/>
      </c>
      <c r="G433" s="173" t="str">
        <f ca="1">IF(C433="","",[1]!s_pq_pctchange(D433,TODAY()-$G$12,TODAY())/100)</f>
        <v/>
      </c>
      <c r="H433" s="249" t="str">
        <f ca="1">IF(C433="","",IF($H$11="收入",[1]!S_STM07_IS(D433,9,$G$5,$H$13)/$E$5,[1]!S_STM07_IS(D433,48,$G$5,$H$13)/$E$5))</f>
        <v/>
      </c>
      <c r="I433" s="249" t="str">
        <f ca="1">IF(C433="","",IF($I$11="毛利率",([1]!S_STM07_IS(D433,9,$G$5,$H$13)-[1]!S_STM07_IS(D433,10,$G$5,$H$13))/[1]!S_STM07_IS(D433,9,$G$5,$H$13),[1]!S_STM07_IS(D433,14,$G$5,$H$13)/$E$5))</f>
        <v/>
      </c>
      <c r="J433" s="249" t="str">
        <f ca="1">IF(C433="","",IF($J$11="营业利润率",[1]!S_STM07_IS(D433,48,$G$5,$H$13)/[1]!S_STM07_IS(D433,9,$G$5,$H$13),([1]!S_STM07_CS(D433,87,$G$5,$H$13)+[1]!S_STM07_CS(D433,88,$G$5,$H$13)+[1]!S_STM07_CS(D433,89,$G$5,$H$13))/$E$5))</f>
        <v/>
      </c>
      <c r="K433" s="249" t="str">
        <f ca="1">IF(C433="","",IF($K$11="净利润率",[1]!S_STM07_IS(D433,61,$G$5,$H$13)/[1]!S_STM07_IS(D433,9,$G$5,$H$13),[1]!S_STM07_IS(D433,55,$G$5,$H$13)/$E$5))</f>
        <v/>
      </c>
      <c r="L433" s="249" t="str">
        <f ca="1">IF(C433="","",IF($L$11="ROA",[1]!S_STM07_IS(D433,61,$G$5,$H$13)/[1]!S_STM07_BS(D433,74,$G$5,$H$13),1-[1]!S_STM07_IS(D433,61,$G$5,$H$13)/[1]!S_STM07_IS(D433,55,$G$5,$H$13)))</f>
        <v/>
      </c>
      <c r="M433" s="249" t="str">
        <f ca="1">IF(C433="","",IF($M$11="ROE",[1]!S_STM07_IS(D433,61,$G$5,$H$13)/[1]!S_STM07_BS(D433,141,$G$5,$H$13),([1]!S_STM07_BS(D433,25,$G$5,$H$13)-[1]!S_STM07_BS(D433,93,$G$5,$H$13))/$E$5))</f>
        <v/>
      </c>
      <c r="N433" s="250" t="str">
        <f ca="1">IF(C433="","",IF($N$11="EPS",[1]!S_STM07_IS(D433,61,$G$5,$H$13)/IF([1]!S_SHARE_TOTAL(D433,$G$5)=0,[1]!S_SHARE_TOTAL(D433,[1]!s_ipo_listeddate(D433)),[1]!S_SHARE_TOTAL(D433,$G$5)),([1]!S_STM07_BS(D433,75,$G$5,$H$13)+[1]!S_STM07_BS(D433,88,$G$5,$H$13)+[1]!S_STM07_BS(D433,94,$G$5,$H$13)+[1]!S_STM07_BS(D433,95,$G$5,$H$13))/$E$5))</f>
        <v/>
      </c>
      <c r="O433" s="250" t="str">
        <f ca="1">IF(C433="","",IF($O$11="BPS",[1]!S_STM07_BS(D433,141,$G$5,$H$13)/IF([1]!S_SHARE_TOTAL(D433,$G$5)=0,[1]!S_SHARE_TOTAL(D433,[1]!s_ipo_listeddate(D433)),[1]!S_SHARE_TOTAL(D433,$G$5)),[1]!S_STM07_CS(D433,49,$G$5,$H$13)/$E$5))</f>
        <v/>
      </c>
      <c r="P433" s="250" t="str">
        <f ca="1">IF(C433="","",IF($P$11="CFPS",[1]!S_STM07_CS(D433,84,$G$5,$H$13)/IF([1]!S_SHARE_TOTAL(D433,$G$5)=0,[1]!S_SHARE_TOTAL(D433,[1]!s_ipo_listeddate(D433)),[1]!S_SHARE_TOTAL(D433,$G$5)),[1]!S_STM07_CS(D433,84,$G$5,$H$13)/$E$5))</f>
        <v/>
      </c>
      <c r="Q433" s="198" t="str">
        <f ca="1">IF(C433="","",F433/([1]!S_STM07_IS(D433,61,$G$5,$H$13)/IF([1]!S_SHARE_TOTAL(D433,$G$5)=0,[1]!S_SHARE_TOTAL(D433,[1]!s_ipo_listeddate(D433)),[1]!S_SHARE_TOTAL(D433,$G$5))))</f>
        <v/>
      </c>
      <c r="R433" s="198" t="str">
        <f ca="1">IF(C433="","",F433/([1]!S_STM07_BS(D433,141,$G$5,$H$13)/IF([1]!S_SHARE_TOTAL(D433,$G$5)=0,[1]!S_SHARE_TOTAL(D433,[1]!s_ipo_listeddate(D433)),[1]!S_SHARE_TOTAL(D433,$G$5))))</f>
        <v/>
      </c>
      <c r="S433" s="249" t="str">
        <f ca="1">IF(C433="","",[1]!S_SHARE_TOTAL(D433,TODAY())/$E$5)</f>
        <v/>
      </c>
      <c r="T433" s="249" t="str">
        <f t="shared" ca="1" si="49"/>
        <v/>
      </c>
      <c r="U433" s="172" t="str">
        <f t="shared" ca="1" si="50"/>
        <v/>
      </c>
      <c r="V433" s="343" t="str">
        <f t="shared" ca="1" si="51"/>
        <v/>
      </c>
      <c r="W433" s="139"/>
      <c r="Y433" s="1"/>
    </row>
    <row r="434" spans="3:25" ht="12" customHeight="1">
      <c r="C434" s="342" t="str">
        <f t="shared" ca="1" si="46"/>
        <v/>
      </c>
      <c r="D434" s="153" t="str">
        <f t="shared" ca="1" si="47"/>
        <v/>
      </c>
      <c r="E434" s="153" t="str">
        <f t="shared" ca="1" si="48"/>
        <v/>
      </c>
      <c r="F434" s="170" t="str">
        <f ca="1">IF(C434="","",[1]!S_DQ_CLOSE(D434,TODAY(),1))</f>
        <v/>
      </c>
      <c r="G434" s="171" t="str">
        <f ca="1">IF(C434="","",[1]!s_pq_pctchange(D434,TODAY()-$G$12,TODAY())/100)</f>
        <v/>
      </c>
      <c r="H434" s="247" t="str">
        <f ca="1">IF(C434="","",IF($H$11="收入",[1]!S_STM07_IS(D434,9,$G$5,$H$13)/$E$5,[1]!S_STM07_IS(D434,48,$G$5,$H$13)/$E$5))</f>
        <v/>
      </c>
      <c r="I434" s="247" t="str">
        <f ca="1">IF(C434="","",IF($I$11="毛利率",([1]!S_STM07_IS(D434,9,$G$5,$H$13)-[1]!S_STM07_IS(D434,10,$G$5,$H$13))/[1]!S_STM07_IS(D434,9,$G$5,$H$13),[1]!S_STM07_IS(D434,14,$G$5,$H$13)/$E$5))</f>
        <v/>
      </c>
      <c r="J434" s="247" t="str">
        <f ca="1">IF(C434="","",IF($J$11="营业利润率",[1]!S_STM07_IS(D434,48,$G$5,$H$13)/[1]!S_STM07_IS(D434,9,$G$5,$H$13),([1]!S_STM07_CS(D434,87,$G$5,$H$13)+[1]!S_STM07_CS(D434,88,$G$5,$H$13)+[1]!S_STM07_CS(D434,89,$G$5,$H$13))/$E$5))</f>
        <v/>
      </c>
      <c r="K434" s="247" t="str">
        <f ca="1">IF(C434="","",IF($K$11="净利润率",[1]!S_STM07_IS(D434,61,$G$5,$H$13)/[1]!S_STM07_IS(D434,9,$G$5,$H$13),[1]!S_STM07_IS(D434,55,$G$5,$H$13)/$E$5))</f>
        <v/>
      </c>
      <c r="L434" s="247" t="str">
        <f ca="1">IF(C434="","",IF($L$11="ROA",[1]!S_STM07_IS(D434,61,$G$5,$H$13)/[1]!S_STM07_BS(D434,74,$G$5,$H$13),1-[1]!S_STM07_IS(D434,61,$G$5,$H$13)/[1]!S_STM07_IS(D434,55,$G$5,$H$13)))</f>
        <v/>
      </c>
      <c r="M434" s="247" t="str">
        <f ca="1">IF(C434="","",IF($M$11="ROE",[1]!S_STM07_IS(D434,61,$G$5,$H$13)/[1]!S_STM07_BS(D434,141,$G$5,$H$13),([1]!S_STM07_BS(D434,25,$G$5,$H$13)-[1]!S_STM07_BS(D434,93,$G$5,$H$13))/$E$5))</f>
        <v/>
      </c>
      <c r="N434" s="247" t="str">
        <f ca="1">IF(C434="","",IF($N$11="EPS",[1]!S_STM07_IS(D434,61,$G$5,$H$13)/IF([1]!S_SHARE_TOTAL(D434,$G$5)=0,[1]!S_SHARE_TOTAL(D434,[1]!s_ipo_listeddate(D434)),[1]!S_SHARE_TOTAL(D434,$G$5)),([1]!S_STM07_BS(D434,75,$G$5,$H$13)+[1]!S_STM07_BS(D434,88,$G$5,$H$13)+[1]!S_STM07_BS(D434,94,$G$5,$H$13)+[1]!S_STM07_BS(D434,95,$G$5,$H$13))/$E$5))</f>
        <v/>
      </c>
      <c r="O434" s="247" t="str">
        <f ca="1">IF(C434="","",IF($O$11="BPS",[1]!S_STM07_BS(D434,141,$G$5,$H$13)/IF([1]!S_SHARE_TOTAL(D434,$G$5)=0,[1]!S_SHARE_TOTAL(D434,[1]!s_ipo_listeddate(D434)),[1]!S_SHARE_TOTAL(D434,$G$5)),[1]!S_STM07_CS(D434,49,$G$5,$H$13)/$E$5))</f>
        <v/>
      </c>
      <c r="P434" s="247" t="str">
        <f ca="1">IF(C434="","",IF($P$11="CFPS",[1]!S_STM07_CS(D434,84,$G$5,$H$13)/IF([1]!S_SHARE_TOTAL(D434,$G$5)=0,[1]!S_SHARE_TOTAL(D434,[1]!s_ipo_listeddate(D434)),[1]!S_SHARE_TOTAL(D434,$G$5)),[1]!S_STM07_CS(D434,84,$G$5,$H$13)/$E$5))</f>
        <v/>
      </c>
      <c r="Q434" s="248" t="str">
        <f ca="1">IF(C434="","",F434/([1]!S_STM07_IS(D434,61,$G$5,$H$13)/IF([1]!S_SHARE_TOTAL(D434,$G$5)=0,[1]!S_SHARE_TOTAL(D434,[1]!s_ipo_listeddate(D434)),[1]!S_SHARE_TOTAL(D434,$G$5))))</f>
        <v/>
      </c>
      <c r="R434" s="248" t="str">
        <f ca="1">IF(C434="","",F434/([1]!S_STM07_BS(D434,141,$G$5,$H$13)/IF([1]!S_SHARE_TOTAL(D434,$G$5)=0,[1]!S_SHARE_TOTAL(D434,[1]!s_ipo_listeddate(D434)),[1]!S_SHARE_TOTAL(D434,$G$5))))</f>
        <v/>
      </c>
      <c r="S434" s="247" t="str">
        <f ca="1">IF(C434="","",[1]!S_SHARE_TOTAL(D434,TODAY())/$E$5)</f>
        <v/>
      </c>
      <c r="T434" s="247" t="str">
        <f t="shared" ca="1" si="49"/>
        <v/>
      </c>
      <c r="U434" s="218" t="str">
        <f t="shared" ca="1" si="50"/>
        <v/>
      </c>
      <c r="V434" s="342" t="str">
        <f t="shared" ca="1" si="51"/>
        <v/>
      </c>
      <c r="W434" s="139"/>
      <c r="Y434" s="1"/>
    </row>
    <row r="435" spans="3:25" ht="12" customHeight="1">
      <c r="C435" s="343" t="str">
        <f t="shared" ca="1" si="46"/>
        <v/>
      </c>
      <c r="D435" s="124" t="str">
        <f t="shared" ca="1" si="47"/>
        <v/>
      </c>
      <c r="E435" s="124" t="str">
        <f t="shared" ca="1" si="48"/>
        <v/>
      </c>
      <c r="F435" s="172" t="str">
        <f ca="1">IF(C435="","",[1]!S_DQ_CLOSE(D435,TODAY(),1))</f>
        <v/>
      </c>
      <c r="G435" s="173" t="str">
        <f ca="1">IF(C435="","",[1]!s_pq_pctchange(D435,TODAY()-$G$12,TODAY())/100)</f>
        <v/>
      </c>
      <c r="H435" s="249" t="str">
        <f ca="1">IF(C435="","",IF($H$11="收入",[1]!S_STM07_IS(D435,9,$G$5,$H$13)/$E$5,[1]!S_STM07_IS(D435,48,$G$5,$H$13)/$E$5))</f>
        <v/>
      </c>
      <c r="I435" s="249" t="str">
        <f ca="1">IF(C435="","",IF($I$11="毛利率",([1]!S_STM07_IS(D435,9,$G$5,$H$13)-[1]!S_STM07_IS(D435,10,$G$5,$H$13))/[1]!S_STM07_IS(D435,9,$G$5,$H$13),[1]!S_STM07_IS(D435,14,$G$5,$H$13)/$E$5))</f>
        <v/>
      </c>
      <c r="J435" s="249" t="str">
        <f ca="1">IF(C435="","",IF($J$11="营业利润率",[1]!S_STM07_IS(D435,48,$G$5,$H$13)/[1]!S_STM07_IS(D435,9,$G$5,$H$13),([1]!S_STM07_CS(D435,87,$G$5,$H$13)+[1]!S_STM07_CS(D435,88,$G$5,$H$13)+[1]!S_STM07_CS(D435,89,$G$5,$H$13))/$E$5))</f>
        <v/>
      </c>
      <c r="K435" s="249" t="str">
        <f ca="1">IF(C435="","",IF($K$11="净利润率",[1]!S_STM07_IS(D435,61,$G$5,$H$13)/[1]!S_STM07_IS(D435,9,$G$5,$H$13),[1]!S_STM07_IS(D435,55,$G$5,$H$13)/$E$5))</f>
        <v/>
      </c>
      <c r="L435" s="249" t="str">
        <f ca="1">IF(C435="","",IF($L$11="ROA",[1]!S_STM07_IS(D435,61,$G$5,$H$13)/[1]!S_STM07_BS(D435,74,$G$5,$H$13),1-[1]!S_STM07_IS(D435,61,$G$5,$H$13)/[1]!S_STM07_IS(D435,55,$G$5,$H$13)))</f>
        <v/>
      </c>
      <c r="M435" s="249" t="str">
        <f ca="1">IF(C435="","",IF($M$11="ROE",[1]!S_STM07_IS(D435,61,$G$5,$H$13)/[1]!S_STM07_BS(D435,141,$G$5,$H$13),([1]!S_STM07_BS(D435,25,$G$5,$H$13)-[1]!S_STM07_BS(D435,93,$G$5,$H$13))/$E$5))</f>
        <v/>
      </c>
      <c r="N435" s="250" t="str">
        <f ca="1">IF(C435="","",IF($N$11="EPS",[1]!S_STM07_IS(D435,61,$G$5,$H$13)/IF([1]!S_SHARE_TOTAL(D435,$G$5)=0,[1]!S_SHARE_TOTAL(D435,[1]!s_ipo_listeddate(D435)),[1]!S_SHARE_TOTAL(D435,$G$5)),([1]!S_STM07_BS(D435,75,$G$5,$H$13)+[1]!S_STM07_BS(D435,88,$G$5,$H$13)+[1]!S_STM07_BS(D435,94,$G$5,$H$13)+[1]!S_STM07_BS(D435,95,$G$5,$H$13))/$E$5))</f>
        <v/>
      </c>
      <c r="O435" s="250" t="str">
        <f ca="1">IF(C435="","",IF($O$11="BPS",[1]!S_STM07_BS(D435,141,$G$5,$H$13)/IF([1]!S_SHARE_TOTAL(D435,$G$5)=0,[1]!S_SHARE_TOTAL(D435,[1]!s_ipo_listeddate(D435)),[1]!S_SHARE_TOTAL(D435,$G$5)),[1]!S_STM07_CS(D435,49,$G$5,$H$13)/$E$5))</f>
        <v/>
      </c>
      <c r="P435" s="250" t="str">
        <f ca="1">IF(C435="","",IF($P$11="CFPS",[1]!S_STM07_CS(D435,84,$G$5,$H$13)/IF([1]!S_SHARE_TOTAL(D435,$G$5)=0,[1]!S_SHARE_TOTAL(D435,[1]!s_ipo_listeddate(D435)),[1]!S_SHARE_TOTAL(D435,$G$5)),[1]!S_STM07_CS(D435,84,$G$5,$H$13)/$E$5))</f>
        <v/>
      </c>
      <c r="Q435" s="198" t="str">
        <f ca="1">IF(C435="","",F435/([1]!S_STM07_IS(D435,61,$G$5,$H$13)/IF([1]!S_SHARE_TOTAL(D435,$G$5)=0,[1]!S_SHARE_TOTAL(D435,[1]!s_ipo_listeddate(D435)),[1]!S_SHARE_TOTAL(D435,$G$5))))</f>
        <v/>
      </c>
      <c r="R435" s="198" t="str">
        <f ca="1">IF(C435="","",F435/([1]!S_STM07_BS(D435,141,$G$5,$H$13)/IF([1]!S_SHARE_TOTAL(D435,$G$5)=0,[1]!S_SHARE_TOTAL(D435,[1]!s_ipo_listeddate(D435)),[1]!S_SHARE_TOTAL(D435,$G$5))))</f>
        <v/>
      </c>
      <c r="S435" s="249" t="str">
        <f ca="1">IF(C435="","",[1]!S_SHARE_TOTAL(D435,TODAY())/$E$5)</f>
        <v/>
      </c>
      <c r="T435" s="249" t="str">
        <f t="shared" ca="1" si="49"/>
        <v/>
      </c>
      <c r="U435" s="172" t="str">
        <f t="shared" ca="1" si="50"/>
        <v/>
      </c>
      <c r="V435" s="343" t="str">
        <f t="shared" ca="1" si="51"/>
        <v/>
      </c>
      <c r="W435" s="139"/>
      <c r="Y435" s="1"/>
    </row>
    <row r="436" spans="3:25" ht="12" customHeight="1">
      <c r="C436" s="342" t="str">
        <f t="shared" ca="1" si="46"/>
        <v/>
      </c>
      <c r="D436" s="153" t="str">
        <f t="shared" ca="1" si="47"/>
        <v/>
      </c>
      <c r="E436" s="153" t="str">
        <f t="shared" ca="1" si="48"/>
        <v/>
      </c>
      <c r="F436" s="170" t="str">
        <f ca="1">IF(C436="","",[1]!S_DQ_CLOSE(D436,TODAY(),1))</f>
        <v/>
      </c>
      <c r="G436" s="171" t="str">
        <f ca="1">IF(C436="","",[1]!s_pq_pctchange(D436,TODAY()-$G$12,TODAY())/100)</f>
        <v/>
      </c>
      <c r="H436" s="247" t="str">
        <f ca="1">IF(C436="","",IF($H$11="收入",[1]!S_STM07_IS(D436,9,$G$5,$H$13)/$E$5,[1]!S_STM07_IS(D436,48,$G$5,$H$13)/$E$5))</f>
        <v/>
      </c>
      <c r="I436" s="247" t="str">
        <f ca="1">IF(C436="","",IF($I$11="毛利率",([1]!S_STM07_IS(D436,9,$G$5,$H$13)-[1]!S_STM07_IS(D436,10,$G$5,$H$13))/[1]!S_STM07_IS(D436,9,$G$5,$H$13),[1]!S_STM07_IS(D436,14,$G$5,$H$13)/$E$5))</f>
        <v/>
      </c>
      <c r="J436" s="247" t="str">
        <f ca="1">IF(C436="","",IF($J$11="营业利润率",[1]!S_STM07_IS(D436,48,$G$5,$H$13)/[1]!S_STM07_IS(D436,9,$G$5,$H$13),([1]!S_STM07_CS(D436,87,$G$5,$H$13)+[1]!S_STM07_CS(D436,88,$G$5,$H$13)+[1]!S_STM07_CS(D436,89,$G$5,$H$13))/$E$5))</f>
        <v/>
      </c>
      <c r="K436" s="247" t="str">
        <f ca="1">IF(C436="","",IF($K$11="净利润率",[1]!S_STM07_IS(D436,61,$G$5,$H$13)/[1]!S_STM07_IS(D436,9,$G$5,$H$13),[1]!S_STM07_IS(D436,55,$G$5,$H$13)/$E$5))</f>
        <v/>
      </c>
      <c r="L436" s="247" t="str">
        <f ca="1">IF(C436="","",IF($L$11="ROA",[1]!S_STM07_IS(D436,61,$G$5,$H$13)/[1]!S_STM07_BS(D436,74,$G$5,$H$13),1-[1]!S_STM07_IS(D436,61,$G$5,$H$13)/[1]!S_STM07_IS(D436,55,$G$5,$H$13)))</f>
        <v/>
      </c>
      <c r="M436" s="247" t="str">
        <f ca="1">IF(C436="","",IF($M$11="ROE",[1]!S_STM07_IS(D436,61,$G$5,$H$13)/[1]!S_STM07_BS(D436,141,$G$5,$H$13),([1]!S_STM07_BS(D436,25,$G$5,$H$13)-[1]!S_STM07_BS(D436,93,$G$5,$H$13))/$E$5))</f>
        <v/>
      </c>
      <c r="N436" s="247" t="str">
        <f ca="1">IF(C436="","",IF($N$11="EPS",[1]!S_STM07_IS(D436,61,$G$5,$H$13)/IF([1]!S_SHARE_TOTAL(D436,$G$5)=0,[1]!S_SHARE_TOTAL(D436,[1]!s_ipo_listeddate(D436)),[1]!S_SHARE_TOTAL(D436,$G$5)),([1]!S_STM07_BS(D436,75,$G$5,$H$13)+[1]!S_STM07_BS(D436,88,$G$5,$H$13)+[1]!S_STM07_BS(D436,94,$G$5,$H$13)+[1]!S_STM07_BS(D436,95,$G$5,$H$13))/$E$5))</f>
        <v/>
      </c>
      <c r="O436" s="247" t="str">
        <f ca="1">IF(C436="","",IF($O$11="BPS",[1]!S_STM07_BS(D436,141,$G$5,$H$13)/IF([1]!S_SHARE_TOTAL(D436,$G$5)=0,[1]!S_SHARE_TOTAL(D436,[1]!s_ipo_listeddate(D436)),[1]!S_SHARE_TOTAL(D436,$G$5)),[1]!S_STM07_CS(D436,49,$G$5,$H$13)/$E$5))</f>
        <v/>
      </c>
      <c r="P436" s="247" t="str">
        <f ca="1">IF(C436="","",IF($P$11="CFPS",[1]!S_STM07_CS(D436,84,$G$5,$H$13)/IF([1]!S_SHARE_TOTAL(D436,$G$5)=0,[1]!S_SHARE_TOTAL(D436,[1]!s_ipo_listeddate(D436)),[1]!S_SHARE_TOTAL(D436,$G$5)),[1]!S_STM07_CS(D436,84,$G$5,$H$13)/$E$5))</f>
        <v/>
      </c>
      <c r="Q436" s="248" t="str">
        <f ca="1">IF(C436="","",F436/([1]!S_STM07_IS(D436,61,$G$5,$H$13)/IF([1]!S_SHARE_TOTAL(D436,$G$5)=0,[1]!S_SHARE_TOTAL(D436,[1]!s_ipo_listeddate(D436)),[1]!S_SHARE_TOTAL(D436,$G$5))))</f>
        <v/>
      </c>
      <c r="R436" s="248" t="str">
        <f ca="1">IF(C436="","",F436/([1]!S_STM07_BS(D436,141,$G$5,$H$13)/IF([1]!S_SHARE_TOTAL(D436,$G$5)=0,[1]!S_SHARE_TOTAL(D436,[1]!s_ipo_listeddate(D436)),[1]!S_SHARE_TOTAL(D436,$G$5))))</f>
        <v/>
      </c>
      <c r="S436" s="247" t="str">
        <f ca="1">IF(C436="","",[1]!S_SHARE_TOTAL(D436,TODAY())/$E$5)</f>
        <v/>
      </c>
      <c r="T436" s="247" t="str">
        <f t="shared" ca="1" si="49"/>
        <v/>
      </c>
      <c r="U436" s="218" t="str">
        <f t="shared" ca="1" si="50"/>
        <v/>
      </c>
      <c r="V436" s="342" t="str">
        <f t="shared" ca="1" si="51"/>
        <v/>
      </c>
      <c r="W436" s="139"/>
      <c r="Y436" s="1"/>
    </row>
    <row r="437" spans="3:25" ht="12" customHeight="1">
      <c r="C437" s="343" t="str">
        <f t="shared" ca="1" si="46"/>
        <v/>
      </c>
      <c r="D437" s="124" t="str">
        <f t="shared" ca="1" si="47"/>
        <v/>
      </c>
      <c r="E437" s="124" t="str">
        <f t="shared" ca="1" si="48"/>
        <v/>
      </c>
      <c r="F437" s="172" t="str">
        <f ca="1">IF(C437="","",[1]!S_DQ_CLOSE(D437,TODAY(),1))</f>
        <v/>
      </c>
      <c r="G437" s="173" t="str">
        <f ca="1">IF(C437="","",[1]!s_pq_pctchange(D437,TODAY()-$G$12,TODAY())/100)</f>
        <v/>
      </c>
      <c r="H437" s="249" t="str">
        <f ca="1">IF(C437="","",IF($H$11="收入",[1]!S_STM07_IS(D437,9,$G$5,$H$13)/$E$5,[1]!S_STM07_IS(D437,48,$G$5,$H$13)/$E$5))</f>
        <v/>
      </c>
      <c r="I437" s="249" t="str">
        <f ca="1">IF(C437="","",IF($I$11="毛利率",([1]!S_STM07_IS(D437,9,$G$5,$H$13)-[1]!S_STM07_IS(D437,10,$G$5,$H$13))/[1]!S_STM07_IS(D437,9,$G$5,$H$13),[1]!S_STM07_IS(D437,14,$G$5,$H$13)/$E$5))</f>
        <v/>
      </c>
      <c r="J437" s="249" t="str">
        <f ca="1">IF(C437="","",IF($J$11="营业利润率",[1]!S_STM07_IS(D437,48,$G$5,$H$13)/[1]!S_STM07_IS(D437,9,$G$5,$H$13),([1]!S_STM07_CS(D437,87,$G$5,$H$13)+[1]!S_STM07_CS(D437,88,$G$5,$H$13)+[1]!S_STM07_CS(D437,89,$G$5,$H$13))/$E$5))</f>
        <v/>
      </c>
      <c r="K437" s="249" t="str">
        <f ca="1">IF(C437="","",IF($K$11="净利润率",[1]!S_STM07_IS(D437,61,$G$5,$H$13)/[1]!S_STM07_IS(D437,9,$G$5,$H$13),[1]!S_STM07_IS(D437,55,$G$5,$H$13)/$E$5))</f>
        <v/>
      </c>
      <c r="L437" s="249" t="str">
        <f ca="1">IF(C437="","",IF($L$11="ROA",[1]!S_STM07_IS(D437,61,$G$5,$H$13)/[1]!S_STM07_BS(D437,74,$G$5,$H$13),1-[1]!S_STM07_IS(D437,61,$G$5,$H$13)/[1]!S_STM07_IS(D437,55,$G$5,$H$13)))</f>
        <v/>
      </c>
      <c r="M437" s="249" t="str">
        <f ca="1">IF(C437="","",IF($M$11="ROE",[1]!S_STM07_IS(D437,61,$G$5,$H$13)/[1]!S_STM07_BS(D437,141,$G$5,$H$13),([1]!S_STM07_BS(D437,25,$G$5,$H$13)-[1]!S_STM07_BS(D437,93,$G$5,$H$13))/$E$5))</f>
        <v/>
      </c>
      <c r="N437" s="250" t="str">
        <f ca="1">IF(C437="","",IF($N$11="EPS",[1]!S_STM07_IS(D437,61,$G$5,$H$13)/IF([1]!S_SHARE_TOTAL(D437,$G$5)=0,[1]!S_SHARE_TOTAL(D437,[1]!s_ipo_listeddate(D437)),[1]!S_SHARE_TOTAL(D437,$G$5)),([1]!S_STM07_BS(D437,75,$G$5,$H$13)+[1]!S_STM07_BS(D437,88,$G$5,$H$13)+[1]!S_STM07_BS(D437,94,$G$5,$H$13)+[1]!S_STM07_BS(D437,95,$G$5,$H$13))/$E$5))</f>
        <v/>
      </c>
      <c r="O437" s="250" t="str">
        <f ca="1">IF(C437="","",IF($O$11="BPS",[1]!S_STM07_BS(D437,141,$G$5,$H$13)/IF([1]!S_SHARE_TOTAL(D437,$G$5)=0,[1]!S_SHARE_TOTAL(D437,[1]!s_ipo_listeddate(D437)),[1]!S_SHARE_TOTAL(D437,$G$5)),[1]!S_STM07_CS(D437,49,$G$5,$H$13)/$E$5))</f>
        <v/>
      </c>
      <c r="P437" s="250" t="str">
        <f ca="1">IF(C437="","",IF($P$11="CFPS",[1]!S_STM07_CS(D437,84,$G$5,$H$13)/IF([1]!S_SHARE_TOTAL(D437,$G$5)=0,[1]!S_SHARE_TOTAL(D437,[1]!s_ipo_listeddate(D437)),[1]!S_SHARE_TOTAL(D437,$G$5)),[1]!S_STM07_CS(D437,84,$G$5,$H$13)/$E$5))</f>
        <v/>
      </c>
      <c r="Q437" s="198" t="str">
        <f ca="1">IF(C437="","",F437/([1]!S_STM07_IS(D437,61,$G$5,$H$13)/IF([1]!S_SHARE_TOTAL(D437,$G$5)=0,[1]!S_SHARE_TOTAL(D437,[1]!s_ipo_listeddate(D437)),[1]!S_SHARE_TOTAL(D437,$G$5))))</f>
        <v/>
      </c>
      <c r="R437" s="198" t="str">
        <f ca="1">IF(C437="","",F437/([1]!S_STM07_BS(D437,141,$G$5,$H$13)/IF([1]!S_SHARE_TOTAL(D437,$G$5)=0,[1]!S_SHARE_TOTAL(D437,[1]!s_ipo_listeddate(D437)),[1]!S_SHARE_TOTAL(D437,$G$5))))</f>
        <v/>
      </c>
      <c r="S437" s="249" t="str">
        <f ca="1">IF(C437="","",[1]!S_SHARE_TOTAL(D437,TODAY())/$E$5)</f>
        <v/>
      </c>
      <c r="T437" s="249" t="str">
        <f t="shared" ca="1" si="49"/>
        <v/>
      </c>
      <c r="U437" s="172" t="str">
        <f t="shared" ca="1" si="50"/>
        <v/>
      </c>
      <c r="V437" s="343" t="str">
        <f t="shared" ca="1" si="51"/>
        <v/>
      </c>
      <c r="W437" s="139"/>
      <c r="Y437" s="1"/>
    </row>
    <row r="438" spans="3:25" ht="12" customHeight="1">
      <c r="C438" s="342" t="str">
        <f t="shared" ca="1" si="46"/>
        <v/>
      </c>
      <c r="D438" s="153" t="str">
        <f t="shared" ca="1" si="47"/>
        <v/>
      </c>
      <c r="E438" s="153" t="str">
        <f t="shared" ca="1" si="48"/>
        <v/>
      </c>
      <c r="F438" s="170" t="str">
        <f ca="1">IF(C438="","",[1]!S_DQ_CLOSE(D438,TODAY(),1))</f>
        <v/>
      </c>
      <c r="G438" s="171" t="str">
        <f ca="1">IF(C438="","",[1]!s_pq_pctchange(D438,TODAY()-$G$12,TODAY())/100)</f>
        <v/>
      </c>
      <c r="H438" s="247" t="str">
        <f ca="1">IF(C438="","",IF($H$11="收入",[1]!S_STM07_IS(D438,9,$G$5,$H$13)/$E$5,[1]!S_STM07_IS(D438,48,$G$5,$H$13)/$E$5))</f>
        <v/>
      </c>
      <c r="I438" s="247" t="str">
        <f ca="1">IF(C438="","",IF($I$11="毛利率",([1]!S_STM07_IS(D438,9,$G$5,$H$13)-[1]!S_STM07_IS(D438,10,$G$5,$H$13))/[1]!S_STM07_IS(D438,9,$G$5,$H$13),[1]!S_STM07_IS(D438,14,$G$5,$H$13)/$E$5))</f>
        <v/>
      </c>
      <c r="J438" s="247" t="str">
        <f ca="1">IF(C438="","",IF($J$11="营业利润率",[1]!S_STM07_IS(D438,48,$G$5,$H$13)/[1]!S_STM07_IS(D438,9,$G$5,$H$13),([1]!S_STM07_CS(D438,87,$G$5,$H$13)+[1]!S_STM07_CS(D438,88,$G$5,$H$13)+[1]!S_STM07_CS(D438,89,$G$5,$H$13))/$E$5))</f>
        <v/>
      </c>
      <c r="K438" s="247" t="str">
        <f ca="1">IF(C438="","",IF($K$11="净利润率",[1]!S_STM07_IS(D438,61,$G$5,$H$13)/[1]!S_STM07_IS(D438,9,$G$5,$H$13),[1]!S_STM07_IS(D438,55,$G$5,$H$13)/$E$5))</f>
        <v/>
      </c>
      <c r="L438" s="247" t="str">
        <f ca="1">IF(C438="","",IF($L$11="ROA",[1]!S_STM07_IS(D438,61,$G$5,$H$13)/[1]!S_STM07_BS(D438,74,$G$5,$H$13),1-[1]!S_STM07_IS(D438,61,$G$5,$H$13)/[1]!S_STM07_IS(D438,55,$G$5,$H$13)))</f>
        <v/>
      </c>
      <c r="M438" s="247" t="str">
        <f ca="1">IF(C438="","",IF($M$11="ROE",[1]!S_STM07_IS(D438,61,$G$5,$H$13)/[1]!S_STM07_BS(D438,141,$G$5,$H$13),([1]!S_STM07_BS(D438,25,$G$5,$H$13)-[1]!S_STM07_BS(D438,93,$G$5,$H$13))/$E$5))</f>
        <v/>
      </c>
      <c r="N438" s="247" t="str">
        <f ca="1">IF(C438="","",IF($N$11="EPS",[1]!S_STM07_IS(D438,61,$G$5,$H$13)/IF([1]!S_SHARE_TOTAL(D438,$G$5)=0,[1]!S_SHARE_TOTAL(D438,[1]!s_ipo_listeddate(D438)),[1]!S_SHARE_TOTAL(D438,$G$5)),([1]!S_STM07_BS(D438,75,$G$5,$H$13)+[1]!S_STM07_BS(D438,88,$G$5,$H$13)+[1]!S_STM07_BS(D438,94,$G$5,$H$13)+[1]!S_STM07_BS(D438,95,$G$5,$H$13))/$E$5))</f>
        <v/>
      </c>
      <c r="O438" s="247" t="str">
        <f ca="1">IF(C438="","",IF($O$11="BPS",[1]!S_STM07_BS(D438,141,$G$5,$H$13)/IF([1]!S_SHARE_TOTAL(D438,$G$5)=0,[1]!S_SHARE_TOTAL(D438,[1]!s_ipo_listeddate(D438)),[1]!S_SHARE_TOTAL(D438,$G$5)),[1]!S_STM07_CS(D438,49,$G$5,$H$13)/$E$5))</f>
        <v/>
      </c>
      <c r="P438" s="247" t="str">
        <f ca="1">IF(C438="","",IF($P$11="CFPS",[1]!S_STM07_CS(D438,84,$G$5,$H$13)/IF([1]!S_SHARE_TOTAL(D438,$G$5)=0,[1]!S_SHARE_TOTAL(D438,[1]!s_ipo_listeddate(D438)),[1]!S_SHARE_TOTAL(D438,$G$5)),[1]!S_STM07_CS(D438,84,$G$5,$H$13)/$E$5))</f>
        <v/>
      </c>
      <c r="Q438" s="248" t="str">
        <f ca="1">IF(C438="","",F438/([1]!S_STM07_IS(D438,61,$G$5,$H$13)/IF([1]!S_SHARE_TOTAL(D438,$G$5)=0,[1]!S_SHARE_TOTAL(D438,[1]!s_ipo_listeddate(D438)),[1]!S_SHARE_TOTAL(D438,$G$5))))</f>
        <v/>
      </c>
      <c r="R438" s="248" t="str">
        <f ca="1">IF(C438="","",F438/([1]!S_STM07_BS(D438,141,$G$5,$H$13)/IF([1]!S_SHARE_TOTAL(D438,$G$5)=0,[1]!S_SHARE_TOTAL(D438,[1]!s_ipo_listeddate(D438)),[1]!S_SHARE_TOTAL(D438,$G$5))))</f>
        <v/>
      </c>
      <c r="S438" s="247" t="str">
        <f ca="1">IF(C438="","",[1]!S_SHARE_TOTAL(D438,TODAY())/$E$5)</f>
        <v/>
      </c>
      <c r="T438" s="247" t="str">
        <f t="shared" ca="1" si="49"/>
        <v/>
      </c>
      <c r="U438" s="218" t="str">
        <f t="shared" ca="1" si="50"/>
        <v/>
      </c>
      <c r="V438" s="342" t="str">
        <f t="shared" ca="1" si="51"/>
        <v/>
      </c>
      <c r="W438" s="139"/>
      <c r="Y438" s="1"/>
    </row>
    <row r="439" spans="3:25" ht="12" customHeight="1">
      <c r="C439" s="343" t="str">
        <f t="shared" ca="1" si="46"/>
        <v/>
      </c>
      <c r="D439" s="124" t="str">
        <f t="shared" ca="1" si="47"/>
        <v/>
      </c>
      <c r="E439" s="124" t="str">
        <f t="shared" ca="1" si="48"/>
        <v/>
      </c>
      <c r="F439" s="172" t="str">
        <f ca="1">IF(C439="","",[1]!S_DQ_CLOSE(D439,TODAY(),1))</f>
        <v/>
      </c>
      <c r="G439" s="173" t="str">
        <f ca="1">IF(C439="","",[1]!s_pq_pctchange(D439,TODAY()-$G$12,TODAY())/100)</f>
        <v/>
      </c>
      <c r="H439" s="249" t="str">
        <f ca="1">IF(C439="","",IF($H$11="收入",[1]!S_STM07_IS(D439,9,$G$5,$H$13)/$E$5,[1]!S_STM07_IS(D439,48,$G$5,$H$13)/$E$5))</f>
        <v/>
      </c>
      <c r="I439" s="249" t="str">
        <f ca="1">IF(C439="","",IF($I$11="毛利率",([1]!S_STM07_IS(D439,9,$G$5,$H$13)-[1]!S_STM07_IS(D439,10,$G$5,$H$13))/[1]!S_STM07_IS(D439,9,$G$5,$H$13),[1]!S_STM07_IS(D439,14,$G$5,$H$13)/$E$5))</f>
        <v/>
      </c>
      <c r="J439" s="249" t="str">
        <f ca="1">IF(C439="","",IF($J$11="营业利润率",[1]!S_STM07_IS(D439,48,$G$5,$H$13)/[1]!S_STM07_IS(D439,9,$G$5,$H$13),([1]!S_STM07_CS(D439,87,$G$5,$H$13)+[1]!S_STM07_CS(D439,88,$G$5,$H$13)+[1]!S_STM07_CS(D439,89,$G$5,$H$13))/$E$5))</f>
        <v/>
      </c>
      <c r="K439" s="249" t="str">
        <f ca="1">IF(C439="","",IF($K$11="净利润率",[1]!S_STM07_IS(D439,61,$G$5,$H$13)/[1]!S_STM07_IS(D439,9,$G$5,$H$13),[1]!S_STM07_IS(D439,55,$G$5,$H$13)/$E$5))</f>
        <v/>
      </c>
      <c r="L439" s="249" t="str">
        <f ca="1">IF(C439="","",IF($L$11="ROA",[1]!S_STM07_IS(D439,61,$G$5,$H$13)/[1]!S_STM07_BS(D439,74,$G$5,$H$13),1-[1]!S_STM07_IS(D439,61,$G$5,$H$13)/[1]!S_STM07_IS(D439,55,$G$5,$H$13)))</f>
        <v/>
      </c>
      <c r="M439" s="249" t="str">
        <f ca="1">IF(C439="","",IF($M$11="ROE",[1]!S_STM07_IS(D439,61,$G$5,$H$13)/[1]!S_STM07_BS(D439,141,$G$5,$H$13),([1]!S_STM07_BS(D439,25,$G$5,$H$13)-[1]!S_STM07_BS(D439,93,$G$5,$H$13))/$E$5))</f>
        <v/>
      </c>
      <c r="N439" s="250" t="str">
        <f ca="1">IF(C439="","",IF($N$11="EPS",[1]!S_STM07_IS(D439,61,$G$5,$H$13)/IF([1]!S_SHARE_TOTAL(D439,$G$5)=0,[1]!S_SHARE_TOTAL(D439,[1]!s_ipo_listeddate(D439)),[1]!S_SHARE_TOTAL(D439,$G$5)),([1]!S_STM07_BS(D439,75,$G$5,$H$13)+[1]!S_STM07_BS(D439,88,$G$5,$H$13)+[1]!S_STM07_BS(D439,94,$G$5,$H$13)+[1]!S_STM07_BS(D439,95,$G$5,$H$13))/$E$5))</f>
        <v/>
      </c>
      <c r="O439" s="250" t="str">
        <f ca="1">IF(C439="","",IF($O$11="BPS",[1]!S_STM07_BS(D439,141,$G$5,$H$13)/IF([1]!S_SHARE_TOTAL(D439,$G$5)=0,[1]!S_SHARE_TOTAL(D439,[1]!s_ipo_listeddate(D439)),[1]!S_SHARE_TOTAL(D439,$G$5)),[1]!S_STM07_CS(D439,49,$G$5,$H$13)/$E$5))</f>
        <v/>
      </c>
      <c r="P439" s="250" t="str">
        <f ca="1">IF(C439="","",IF($P$11="CFPS",[1]!S_STM07_CS(D439,84,$G$5,$H$13)/IF([1]!S_SHARE_TOTAL(D439,$G$5)=0,[1]!S_SHARE_TOTAL(D439,[1]!s_ipo_listeddate(D439)),[1]!S_SHARE_TOTAL(D439,$G$5)),[1]!S_STM07_CS(D439,84,$G$5,$H$13)/$E$5))</f>
        <v/>
      </c>
      <c r="Q439" s="198" t="str">
        <f ca="1">IF(C439="","",F439/([1]!S_STM07_IS(D439,61,$G$5,$H$13)/IF([1]!S_SHARE_TOTAL(D439,$G$5)=0,[1]!S_SHARE_TOTAL(D439,[1]!s_ipo_listeddate(D439)),[1]!S_SHARE_TOTAL(D439,$G$5))))</f>
        <v/>
      </c>
      <c r="R439" s="198" t="str">
        <f ca="1">IF(C439="","",F439/([1]!S_STM07_BS(D439,141,$G$5,$H$13)/IF([1]!S_SHARE_TOTAL(D439,$G$5)=0,[1]!S_SHARE_TOTAL(D439,[1]!s_ipo_listeddate(D439)),[1]!S_SHARE_TOTAL(D439,$G$5))))</f>
        <v/>
      </c>
      <c r="S439" s="249" t="str">
        <f ca="1">IF(C439="","",[1]!S_SHARE_TOTAL(D439,TODAY())/$E$5)</f>
        <v/>
      </c>
      <c r="T439" s="249" t="str">
        <f t="shared" ca="1" si="49"/>
        <v/>
      </c>
      <c r="U439" s="172" t="str">
        <f t="shared" ca="1" si="50"/>
        <v/>
      </c>
      <c r="V439" s="343" t="str">
        <f t="shared" ca="1" si="51"/>
        <v/>
      </c>
      <c r="W439" s="139"/>
      <c r="Y439" s="1"/>
    </row>
    <row r="440" spans="3:25" ht="12" customHeight="1">
      <c r="C440" s="342" t="str">
        <f t="shared" ca="1" si="46"/>
        <v/>
      </c>
      <c r="D440" s="153" t="str">
        <f t="shared" ca="1" si="47"/>
        <v/>
      </c>
      <c r="E440" s="153" t="str">
        <f t="shared" ca="1" si="48"/>
        <v/>
      </c>
      <c r="F440" s="170" t="str">
        <f ca="1">IF(C440="","",[1]!S_DQ_CLOSE(D440,TODAY(),1))</f>
        <v/>
      </c>
      <c r="G440" s="171" t="str">
        <f ca="1">IF(C440="","",[1]!s_pq_pctchange(D440,TODAY()-$G$12,TODAY())/100)</f>
        <v/>
      </c>
      <c r="H440" s="247" t="str">
        <f ca="1">IF(C440="","",IF($H$11="收入",[1]!S_STM07_IS(D440,9,$G$5,$H$13)/$E$5,[1]!S_STM07_IS(D440,48,$G$5,$H$13)/$E$5))</f>
        <v/>
      </c>
      <c r="I440" s="247" t="str">
        <f ca="1">IF(C440="","",IF($I$11="毛利率",([1]!S_STM07_IS(D440,9,$G$5,$H$13)-[1]!S_STM07_IS(D440,10,$G$5,$H$13))/[1]!S_STM07_IS(D440,9,$G$5,$H$13),[1]!S_STM07_IS(D440,14,$G$5,$H$13)/$E$5))</f>
        <v/>
      </c>
      <c r="J440" s="247" t="str">
        <f ca="1">IF(C440="","",IF($J$11="营业利润率",[1]!S_STM07_IS(D440,48,$G$5,$H$13)/[1]!S_STM07_IS(D440,9,$G$5,$H$13),([1]!S_STM07_CS(D440,87,$G$5,$H$13)+[1]!S_STM07_CS(D440,88,$G$5,$H$13)+[1]!S_STM07_CS(D440,89,$G$5,$H$13))/$E$5))</f>
        <v/>
      </c>
      <c r="K440" s="247" t="str">
        <f ca="1">IF(C440="","",IF($K$11="净利润率",[1]!S_STM07_IS(D440,61,$G$5,$H$13)/[1]!S_STM07_IS(D440,9,$G$5,$H$13),[1]!S_STM07_IS(D440,55,$G$5,$H$13)/$E$5))</f>
        <v/>
      </c>
      <c r="L440" s="247" t="str">
        <f ca="1">IF(C440="","",IF($L$11="ROA",[1]!S_STM07_IS(D440,61,$G$5,$H$13)/[1]!S_STM07_BS(D440,74,$G$5,$H$13),1-[1]!S_STM07_IS(D440,61,$G$5,$H$13)/[1]!S_STM07_IS(D440,55,$G$5,$H$13)))</f>
        <v/>
      </c>
      <c r="M440" s="247" t="str">
        <f ca="1">IF(C440="","",IF($M$11="ROE",[1]!S_STM07_IS(D440,61,$G$5,$H$13)/[1]!S_STM07_BS(D440,141,$G$5,$H$13),([1]!S_STM07_BS(D440,25,$G$5,$H$13)-[1]!S_STM07_BS(D440,93,$G$5,$H$13))/$E$5))</f>
        <v/>
      </c>
      <c r="N440" s="247" t="str">
        <f ca="1">IF(C440="","",IF($N$11="EPS",[1]!S_STM07_IS(D440,61,$G$5,$H$13)/IF([1]!S_SHARE_TOTAL(D440,$G$5)=0,[1]!S_SHARE_TOTAL(D440,[1]!s_ipo_listeddate(D440)),[1]!S_SHARE_TOTAL(D440,$G$5)),([1]!S_STM07_BS(D440,75,$G$5,$H$13)+[1]!S_STM07_BS(D440,88,$G$5,$H$13)+[1]!S_STM07_BS(D440,94,$G$5,$H$13)+[1]!S_STM07_BS(D440,95,$G$5,$H$13))/$E$5))</f>
        <v/>
      </c>
      <c r="O440" s="247" t="str">
        <f ca="1">IF(C440="","",IF($O$11="BPS",[1]!S_STM07_BS(D440,141,$G$5,$H$13)/IF([1]!S_SHARE_TOTAL(D440,$G$5)=0,[1]!S_SHARE_TOTAL(D440,[1]!s_ipo_listeddate(D440)),[1]!S_SHARE_TOTAL(D440,$G$5)),[1]!S_STM07_CS(D440,49,$G$5,$H$13)/$E$5))</f>
        <v/>
      </c>
      <c r="P440" s="247" t="str">
        <f ca="1">IF(C440="","",IF($P$11="CFPS",[1]!S_STM07_CS(D440,84,$G$5,$H$13)/IF([1]!S_SHARE_TOTAL(D440,$G$5)=0,[1]!S_SHARE_TOTAL(D440,[1]!s_ipo_listeddate(D440)),[1]!S_SHARE_TOTAL(D440,$G$5)),[1]!S_STM07_CS(D440,84,$G$5,$H$13)/$E$5))</f>
        <v/>
      </c>
      <c r="Q440" s="248" t="str">
        <f ca="1">IF(C440="","",F440/([1]!S_STM07_IS(D440,61,$G$5,$H$13)/IF([1]!S_SHARE_TOTAL(D440,$G$5)=0,[1]!S_SHARE_TOTAL(D440,[1]!s_ipo_listeddate(D440)),[1]!S_SHARE_TOTAL(D440,$G$5))))</f>
        <v/>
      </c>
      <c r="R440" s="248" t="str">
        <f ca="1">IF(C440="","",F440/([1]!S_STM07_BS(D440,141,$G$5,$H$13)/IF([1]!S_SHARE_TOTAL(D440,$G$5)=0,[1]!S_SHARE_TOTAL(D440,[1]!s_ipo_listeddate(D440)),[1]!S_SHARE_TOTAL(D440,$G$5))))</f>
        <v/>
      </c>
      <c r="S440" s="247" t="str">
        <f ca="1">IF(C440="","",[1]!S_SHARE_TOTAL(D440,TODAY())/$E$5)</f>
        <v/>
      </c>
      <c r="T440" s="247" t="str">
        <f t="shared" ca="1" si="49"/>
        <v/>
      </c>
      <c r="U440" s="218" t="str">
        <f t="shared" ca="1" si="50"/>
        <v/>
      </c>
      <c r="V440" s="342" t="str">
        <f t="shared" ca="1" si="51"/>
        <v/>
      </c>
      <c r="W440" s="139"/>
      <c r="Y440" s="1"/>
    </row>
    <row r="441" spans="3:25" ht="12" customHeight="1">
      <c r="C441" s="343" t="str">
        <f t="shared" ca="1" si="46"/>
        <v/>
      </c>
      <c r="D441" s="124" t="str">
        <f t="shared" ca="1" si="47"/>
        <v/>
      </c>
      <c r="E441" s="124" t="str">
        <f t="shared" ca="1" si="48"/>
        <v/>
      </c>
      <c r="F441" s="172" t="str">
        <f ca="1">IF(C441="","",[1]!S_DQ_CLOSE(D441,TODAY(),1))</f>
        <v/>
      </c>
      <c r="G441" s="173" t="str">
        <f ca="1">IF(C441="","",[1]!s_pq_pctchange(D441,TODAY()-$G$12,TODAY())/100)</f>
        <v/>
      </c>
      <c r="H441" s="249" t="str">
        <f ca="1">IF(C441="","",IF($H$11="收入",[1]!S_STM07_IS(D441,9,$G$5,$H$13)/$E$5,[1]!S_STM07_IS(D441,48,$G$5,$H$13)/$E$5))</f>
        <v/>
      </c>
      <c r="I441" s="249" t="str">
        <f ca="1">IF(C441="","",IF($I$11="毛利率",([1]!S_STM07_IS(D441,9,$G$5,$H$13)-[1]!S_STM07_IS(D441,10,$G$5,$H$13))/[1]!S_STM07_IS(D441,9,$G$5,$H$13),[1]!S_STM07_IS(D441,14,$G$5,$H$13)/$E$5))</f>
        <v/>
      </c>
      <c r="J441" s="249" t="str">
        <f ca="1">IF(C441="","",IF($J$11="营业利润率",[1]!S_STM07_IS(D441,48,$G$5,$H$13)/[1]!S_STM07_IS(D441,9,$G$5,$H$13),([1]!S_STM07_CS(D441,87,$G$5,$H$13)+[1]!S_STM07_CS(D441,88,$G$5,$H$13)+[1]!S_STM07_CS(D441,89,$G$5,$H$13))/$E$5))</f>
        <v/>
      </c>
      <c r="K441" s="249" t="str">
        <f ca="1">IF(C441="","",IF($K$11="净利润率",[1]!S_STM07_IS(D441,61,$G$5,$H$13)/[1]!S_STM07_IS(D441,9,$G$5,$H$13),[1]!S_STM07_IS(D441,55,$G$5,$H$13)/$E$5))</f>
        <v/>
      </c>
      <c r="L441" s="249" t="str">
        <f ca="1">IF(C441="","",IF($L$11="ROA",[1]!S_STM07_IS(D441,61,$G$5,$H$13)/[1]!S_STM07_BS(D441,74,$G$5,$H$13),1-[1]!S_STM07_IS(D441,61,$G$5,$H$13)/[1]!S_STM07_IS(D441,55,$G$5,$H$13)))</f>
        <v/>
      </c>
      <c r="M441" s="249" t="str">
        <f ca="1">IF(C441="","",IF($M$11="ROE",[1]!S_STM07_IS(D441,61,$G$5,$H$13)/[1]!S_STM07_BS(D441,141,$G$5,$H$13),([1]!S_STM07_BS(D441,25,$G$5,$H$13)-[1]!S_STM07_BS(D441,93,$G$5,$H$13))/$E$5))</f>
        <v/>
      </c>
      <c r="N441" s="250" t="str">
        <f ca="1">IF(C441="","",IF($N$11="EPS",[1]!S_STM07_IS(D441,61,$G$5,$H$13)/IF([1]!S_SHARE_TOTAL(D441,$G$5)=0,[1]!S_SHARE_TOTAL(D441,[1]!s_ipo_listeddate(D441)),[1]!S_SHARE_TOTAL(D441,$G$5)),([1]!S_STM07_BS(D441,75,$G$5,$H$13)+[1]!S_STM07_BS(D441,88,$G$5,$H$13)+[1]!S_STM07_BS(D441,94,$G$5,$H$13)+[1]!S_STM07_BS(D441,95,$G$5,$H$13))/$E$5))</f>
        <v/>
      </c>
      <c r="O441" s="250" t="str">
        <f ca="1">IF(C441="","",IF($O$11="BPS",[1]!S_STM07_BS(D441,141,$G$5,$H$13)/IF([1]!S_SHARE_TOTAL(D441,$G$5)=0,[1]!S_SHARE_TOTAL(D441,[1]!s_ipo_listeddate(D441)),[1]!S_SHARE_TOTAL(D441,$G$5)),[1]!S_STM07_CS(D441,49,$G$5,$H$13)/$E$5))</f>
        <v/>
      </c>
      <c r="P441" s="250" t="str">
        <f ca="1">IF(C441="","",IF($P$11="CFPS",[1]!S_STM07_CS(D441,84,$G$5,$H$13)/IF([1]!S_SHARE_TOTAL(D441,$G$5)=0,[1]!S_SHARE_TOTAL(D441,[1]!s_ipo_listeddate(D441)),[1]!S_SHARE_TOTAL(D441,$G$5)),[1]!S_STM07_CS(D441,84,$G$5,$H$13)/$E$5))</f>
        <v/>
      </c>
      <c r="Q441" s="198" t="str">
        <f ca="1">IF(C441="","",F441/([1]!S_STM07_IS(D441,61,$G$5,$H$13)/IF([1]!S_SHARE_TOTAL(D441,$G$5)=0,[1]!S_SHARE_TOTAL(D441,[1]!s_ipo_listeddate(D441)),[1]!S_SHARE_TOTAL(D441,$G$5))))</f>
        <v/>
      </c>
      <c r="R441" s="198" t="str">
        <f ca="1">IF(C441="","",F441/([1]!S_STM07_BS(D441,141,$G$5,$H$13)/IF([1]!S_SHARE_TOTAL(D441,$G$5)=0,[1]!S_SHARE_TOTAL(D441,[1]!s_ipo_listeddate(D441)),[1]!S_SHARE_TOTAL(D441,$G$5))))</f>
        <v/>
      </c>
      <c r="S441" s="249" t="str">
        <f ca="1">IF(C441="","",[1]!S_SHARE_TOTAL(D441,TODAY())/$E$5)</f>
        <v/>
      </c>
      <c r="T441" s="249" t="str">
        <f t="shared" ca="1" si="49"/>
        <v/>
      </c>
      <c r="U441" s="172" t="str">
        <f t="shared" ca="1" si="50"/>
        <v/>
      </c>
      <c r="V441" s="343" t="str">
        <f t="shared" ca="1" si="51"/>
        <v/>
      </c>
      <c r="W441" s="139"/>
      <c r="Y441" s="1"/>
    </row>
    <row r="442" spans="3:25" ht="12" customHeight="1">
      <c r="C442" s="342" t="str">
        <f t="shared" ca="1" si="46"/>
        <v/>
      </c>
      <c r="D442" s="153" t="str">
        <f t="shared" ca="1" si="47"/>
        <v/>
      </c>
      <c r="E442" s="153" t="str">
        <f t="shared" ca="1" si="48"/>
        <v/>
      </c>
      <c r="F442" s="170" t="str">
        <f ca="1">IF(C442="","",[1]!S_DQ_CLOSE(D442,TODAY(),1))</f>
        <v/>
      </c>
      <c r="G442" s="171" t="str">
        <f ca="1">IF(C442="","",[1]!s_pq_pctchange(D442,TODAY()-$G$12,TODAY())/100)</f>
        <v/>
      </c>
      <c r="H442" s="247" t="str">
        <f ca="1">IF(C442="","",IF($H$11="收入",[1]!S_STM07_IS(D442,9,$G$5,$H$13)/$E$5,[1]!S_STM07_IS(D442,48,$G$5,$H$13)/$E$5))</f>
        <v/>
      </c>
      <c r="I442" s="247" t="str">
        <f ca="1">IF(C442="","",IF($I$11="毛利率",([1]!S_STM07_IS(D442,9,$G$5,$H$13)-[1]!S_STM07_IS(D442,10,$G$5,$H$13))/[1]!S_STM07_IS(D442,9,$G$5,$H$13),[1]!S_STM07_IS(D442,14,$G$5,$H$13)/$E$5))</f>
        <v/>
      </c>
      <c r="J442" s="247" t="str">
        <f ca="1">IF(C442="","",IF($J$11="营业利润率",[1]!S_STM07_IS(D442,48,$G$5,$H$13)/[1]!S_STM07_IS(D442,9,$G$5,$H$13),([1]!S_STM07_CS(D442,87,$G$5,$H$13)+[1]!S_STM07_CS(D442,88,$G$5,$H$13)+[1]!S_STM07_CS(D442,89,$G$5,$H$13))/$E$5))</f>
        <v/>
      </c>
      <c r="K442" s="247" t="str">
        <f ca="1">IF(C442="","",IF($K$11="净利润率",[1]!S_STM07_IS(D442,61,$G$5,$H$13)/[1]!S_STM07_IS(D442,9,$G$5,$H$13),[1]!S_STM07_IS(D442,55,$G$5,$H$13)/$E$5))</f>
        <v/>
      </c>
      <c r="L442" s="247" t="str">
        <f ca="1">IF(C442="","",IF($L$11="ROA",[1]!S_STM07_IS(D442,61,$G$5,$H$13)/[1]!S_STM07_BS(D442,74,$G$5,$H$13),1-[1]!S_STM07_IS(D442,61,$G$5,$H$13)/[1]!S_STM07_IS(D442,55,$G$5,$H$13)))</f>
        <v/>
      </c>
      <c r="M442" s="247" t="str">
        <f ca="1">IF(C442="","",IF($M$11="ROE",[1]!S_STM07_IS(D442,61,$G$5,$H$13)/[1]!S_STM07_BS(D442,141,$G$5,$H$13),([1]!S_STM07_BS(D442,25,$G$5,$H$13)-[1]!S_STM07_BS(D442,93,$G$5,$H$13))/$E$5))</f>
        <v/>
      </c>
      <c r="N442" s="247" t="str">
        <f ca="1">IF(C442="","",IF($N$11="EPS",[1]!S_STM07_IS(D442,61,$G$5,$H$13)/IF([1]!S_SHARE_TOTAL(D442,$G$5)=0,[1]!S_SHARE_TOTAL(D442,[1]!s_ipo_listeddate(D442)),[1]!S_SHARE_TOTAL(D442,$G$5)),([1]!S_STM07_BS(D442,75,$G$5,$H$13)+[1]!S_STM07_BS(D442,88,$G$5,$H$13)+[1]!S_STM07_BS(D442,94,$G$5,$H$13)+[1]!S_STM07_BS(D442,95,$G$5,$H$13))/$E$5))</f>
        <v/>
      </c>
      <c r="O442" s="247" t="str">
        <f ca="1">IF(C442="","",IF($O$11="BPS",[1]!S_STM07_BS(D442,141,$G$5,$H$13)/IF([1]!S_SHARE_TOTAL(D442,$G$5)=0,[1]!S_SHARE_TOTAL(D442,[1]!s_ipo_listeddate(D442)),[1]!S_SHARE_TOTAL(D442,$G$5)),[1]!S_STM07_CS(D442,49,$G$5,$H$13)/$E$5))</f>
        <v/>
      </c>
      <c r="P442" s="247" t="str">
        <f ca="1">IF(C442="","",IF($P$11="CFPS",[1]!S_STM07_CS(D442,84,$G$5,$H$13)/IF([1]!S_SHARE_TOTAL(D442,$G$5)=0,[1]!S_SHARE_TOTAL(D442,[1]!s_ipo_listeddate(D442)),[1]!S_SHARE_TOTAL(D442,$G$5)),[1]!S_STM07_CS(D442,84,$G$5,$H$13)/$E$5))</f>
        <v/>
      </c>
      <c r="Q442" s="248" t="str">
        <f ca="1">IF(C442="","",F442/([1]!S_STM07_IS(D442,61,$G$5,$H$13)/IF([1]!S_SHARE_TOTAL(D442,$G$5)=0,[1]!S_SHARE_TOTAL(D442,[1]!s_ipo_listeddate(D442)),[1]!S_SHARE_TOTAL(D442,$G$5))))</f>
        <v/>
      </c>
      <c r="R442" s="248" t="str">
        <f ca="1">IF(C442="","",F442/([1]!S_STM07_BS(D442,141,$G$5,$H$13)/IF([1]!S_SHARE_TOTAL(D442,$G$5)=0,[1]!S_SHARE_TOTAL(D442,[1]!s_ipo_listeddate(D442)),[1]!S_SHARE_TOTAL(D442,$G$5))))</f>
        <v/>
      </c>
      <c r="S442" s="247" t="str">
        <f ca="1">IF(C442="","",[1]!S_SHARE_TOTAL(D442,TODAY())/$E$5)</f>
        <v/>
      </c>
      <c r="T442" s="247" t="str">
        <f t="shared" ca="1" si="49"/>
        <v/>
      </c>
      <c r="U442" s="218" t="str">
        <f t="shared" ca="1" si="50"/>
        <v/>
      </c>
      <c r="V442" s="342" t="str">
        <f t="shared" ca="1" si="51"/>
        <v/>
      </c>
      <c r="W442" s="139"/>
      <c r="Y442" s="1"/>
    </row>
    <row r="443" spans="3:25" ht="12" customHeight="1">
      <c r="C443" s="343" t="str">
        <f t="shared" ca="1" si="46"/>
        <v/>
      </c>
      <c r="D443" s="124" t="str">
        <f t="shared" ca="1" si="47"/>
        <v/>
      </c>
      <c r="E443" s="124" t="str">
        <f t="shared" ca="1" si="48"/>
        <v/>
      </c>
      <c r="F443" s="172" t="str">
        <f ca="1">IF(C443="","",[1]!S_DQ_CLOSE(D443,TODAY(),1))</f>
        <v/>
      </c>
      <c r="G443" s="173" t="str">
        <f ca="1">IF(C443="","",[1]!s_pq_pctchange(D443,TODAY()-$G$12,TODAY())/100)</f>
        <v/>
      </c>
      <c r="H443" s="249" t="str">
        <f ca="1">IF(C443="","",IF($H$11="收入",[1]!S_STM07_IS(D443,9,$G$5,$H$13)/$E$5,[1]!S_STM07_IS(D443,48,$G$5,$H$13)/$E$5))</f>
        <v/>
      </c>
      <c r="I443" s="249" t="str">
        <f ca="1">IF(C443="","",IF($I$11="毛利率",([1]!S_STM07_IS(D443,9,$G$5,$H$13)-[1]!S_STM07_IS(D443,10,$G$5,$H$13))/[1]!S_STM07_IS(D443,9,$G$5,$H$13),[1]!S_STM07_IS(D443,14,$G$5,$H$13)/$E$5))</f>
        <v/>
      </c>
      <c r="J443" s="249" t="str">
        <f ca="1">IF(C443="","",IF($J$11="营业利润率",[1]!S_STM07_IS(D443,48,$G$5,$H$13)/[1]!S_STM07_IS(D443,9,$G$5,$H$13),([1]!S_STM07_CS(D443,87,$G$5,$H$13)+[1]!S_STM07_CS(D443,88,$G$5,$H$13)+[1]!S_STM07_CS(D443,89,$G$5,$H$13))/$E$5))</f>
        <v/>
      </c>
      <c r="K443" s="249" t="str">
        <f ca="1">IF(C443="","",IF($K$11="净利润率",[1]!S_STM07_IS(D443,61,$G$5,$H$13)/[1]!S_STM07_IS(D443,9,$G$5,$H$13),[1]!S_STM07_IS(D443,55,$G$5,$H$13)/$E$5))</f>
        <v/>
      </c>
      <c r="L443" s="249" t="str">
        <f ca="1">IF(C443="","",IF($L$11="ROA",[1]!S_STM07_IS(D443,61,$G$5,$H$13)/[1]!S_STM07_BS(D443,74,$G$5,$H$13),1-[1]!S_STM07_IS(D443,61,$G$5,$H$13)/[1]!S_STM07_IS(D443,55,$G$5,$H$13)))</f>
        <v/>
      </c>
      <c r="M443" s="249" t="str">
        <f ca="1">IF(C443="","",IF($M$11="ROE",[1]!S_STM07_IS(D443,61,$G$5,$H$13)/[1]!S_STM07_BS(D443,141,$G$5,$H$13),([1]!S_STM07_BS(D443,25,$G$5,$H$13)-[1]!S_STM07_BS(D443,93,$G$5,$H$13))/$E$5))</f>
        <v/>
      </c>
      <c r="N443" s="250" t="str">
        <f ca="1">IF(C443="","",IF($N$11="EPS",[1]!S_STM07_IS(D443,61,$G$5,$H$13)/IF([1]!S_SHARE_TOTAL(D443,$G$5)=0,[1]!S_SHARE_TOTAL(D443,[1]!s_ipo_listeddate(D443)),[1]!S_SHARE_TOTAL(D443,$G$5)),([1]!S_STM07_BS(D443,75,$G$5,$H$13)+[1]!S_STM07_BS(D443,88,$G$5,$H$13)+[1]!S_STM07_BS(D443,94,$G$5,$H$13)+[1]!S_STM07_BS(D443,95,$G$5,$H$13))/$E$5))</f>
        <v/>
      </c>
      <c r="O443" s="250" t="str">
        <f ca="1">IF(C443="","",IF($O$11="BPS",[1]!S_STM07_BS(D443,141,$G$5,$H$13)/IF([1]!S_SHARE_TOTAL(D443,$G$5)=0,[1]!S_SHARE_TOTAL(D443,[1]!s_ipo_listeddate(D443)),[1]!S_SHARE_TOTAL(D443,$G$5)),[1]!S_STM07_CS(D443,49,$G$5,$H$13)/$E$5))</f>
        <v/>
      </c>
      <c r="P443" s="250" t="str">
        <f ca="1">IF(C443="","",IF($P$11="CFPS",[1]!S_STM07_CS(D443,84,$G$5,$H$13)/IF([1]!S_SHARE_TOTAL(D443,$G$5)=0,[1]!S_SHARE_TOTAL(D443,[1]!s_ipo_listeddate(D443)),[1]!S_SHARE_TOTAL(D443,$G$5)),[1]!S_STM07_CS(D443,84,$G$5,$H$13)/$E$5))</f>
        <v/>
      </c>
      <c r="Q443" s="198" t="str">
        <f ca="1">IF(C443="","",F443/([1]!S_STM07_IS(D443,61,$G$5,$H$13)/IF([1]!S_SHARE_TOTAL(D443,$G$5)=0,[1]!S_SHARE_TOTAL(D443,[1]!s_ipo_listeddate(D443)),[1]!S_SHARE_TOTAL(D443,$G$5))))</f>
        <v/>
      </c>
      <c r="R443" s="198" t="str">
        <f ca="1">IF(C443="","",F443/([1]!S_STM07_BS(D443,141,$G$5,$H$13)/IF([1]!S_SHARE_TOTAL(D443,$G$5)=0,[1]!S_SHARE_TOTAL(D443,[1]!s_ipo_listeddate(D443)),[1]!S_SHARE_TOTAL(D443,$G$5))))</f>
        <v/>
      </c>
      <c r="S443" s="249" t="str">
        <f ca="1">IF(C443="","",[1]!S_SHARE_TOTAL(D443,TODAY())/$E$5)</f>
        <v/>
      </c>
      <c r="T443" s="249" t="str">
        <f t="shared" ca="1" si="49"/>
        <v/>
      </c>
      <c r="U443" s="172" t="str">
        <f t="shared" ca="1" si="50"/>
        <v/>
      </c>
      <c r="V443" s="343" t="str">
        <f t="shared" ca="1" si="51"/>
        <v/>
      </c>
      <c r="W443" s="139"/>
      <c r="Y443" s="1"/>
    </row>
    <row r="444" spans="3:25" ht="12" customHeight="1">
      <c r="C444" s="342" t="str">
        <f t="shared" ca="1" si="46"/>
        <v/>
      </c>
      <c r="D444" s="153" t="str">
        <f t="shared" ca="1" si="47"/>
        <v/>
      </c>
      <c r="E444" s="153" t="str">
        <f t="shared" ca="1" si="48"/>
        <v/>
      </c>
      <c r="F444" s="170" t="str">
        <f ca="1">IF(C444="","",[1]!S_DQ_CLOSE(D444,TODAY(),1))</f>
        <v/>
      </c>
      <c r="G444" s="171" t="str">
        <f ca="1">IF(C444="","",[1]!s_pq_pctchange(D444,TODAY()-$G$12,TODAY())/100)</f>
        <v/>
      </c>
      <c r="H444" s="247" t="str">
        <f ca="1">IF(C444="","",IF($H$11="收入",[1]!S_STM07_IS(D444,9,$G$5,$H$13)/$E$5,[1]!S_STM07_IS(D444,48,$G$5,$H$13)/$E$5))</f>
        <v/>
      </c>
      <c r="I444" s="247" t="str">
        <f ca="1">IF(C444="","",IF($I$11="毛利率",([1]!S_STM07_IS(D444,9,$G$5,$H$13)-[1]!S_STM07_IS(D444,10,$G$5,$H$13))/[1]!S_STM07_IS(D444,9,$G$5,$H$13),[1]!S_STM07_IS(D444,14,$G$5,$H$13)/$E$5))</f>
        <v/>
      </c>
      <c r="J444" s="247" t="str">
        <f ca="1">IF(C444="","",IF($J$11="营业利润率",[1]!S_STM07_IS(D444,48,$G$5,$H$13)/[1]!S_STM07_IS(D444,9,$G$5,$H$13),([1]!S_STM07_CS(D444,87,$G$5,$H$13)+[1]!S_STM07_CS(D444,88,$G$5,$H$13)+[1]!S_STM07_CS(D444,89,$G$5,$H$13))/$E$5))</f>
        <v/>
      </c>
      <c r="K444" s="247" t="str">
        <f ca="1">IF(C444="","",IF($K$11="净利润率",[1]!S_STM07_IS(D444,61,$G$5,$H$13)/[1]!S_STM07_IS(D444,9,$G$5,$H$13),[1]!S_STM07_IS(D444,55,$G$5,$H$13)/$E$5))</f>
        <v/>
      </c>
      <c r="L444" s="247" t="str">
        <f ca="1">IF(C444="","",IF($L$11="ROA",[1]!S_STM07_IS(D444,61,$G$5,$H$13)/[1]!S_STM07_BS(D444,74,$G$5,$H$13),1-[1]!S_STM07_IS(D444,61,$G$5,$H$13)/[1]!S_STM07_IS(D444,55,$G$5,$H$13)))</f>
        <v/>
      </c>
      <c r="M444" s="247" t="str">
        <f ca="1">IF(C444="","",IF($M$11="ROE",[1]!S_STM07_IS(D444,61,$G$5,$H$13)/[1]!S_STM07_BS(D444,141,$G$5,$H$13),([1]!S_STM07_BS(D444,25,$G$5,$H$13)-[1]!S_STM07_BS(D444,93,$G$5,$H$13))/$E$5))</f>
        <v/>
      </c>
      <c r="N444" s="247" t="str">
        <f ca="1">IF(C444="","",IF($N$11="EPS",[1]!S_STM07_IS(D444,61,$G$5,$H$13)/IF([1]!S_SHARE_TOTAL(D444,$G$5)=0,[1]!S_SHARE_TOTAL(D444,[1]!s_ipo_listeddate(D444)),[1]!S_SHARE_TOTAL(D444,$G$5)),([1]!S_STM07_BS(D444,75,$G$5,$H$13)+[1]!S_STM07_BS(D444,88,$G$5,$H$13)+[1]!S_STM07_BS(D444,94,$G$5,$H$13)+[1]!S_STM07_BS(D444,95,$G$5,$H$13))/$E$5))</f>
        <v/>
      </c>
      <c r="O444" s="247" t="str">
        <f ca="1">IF(C444="","",IF($O$11="BPS",[1]!S_STM07_BS(D444,141,$G$5,$H$13)/IF([1]!S_SHARE_TOTAL(D444,$G$5)=0,[1]!S_SHARE_TOTAL(D444,[1]!s_ipo_listeddate(D444)),[1]!S_SHARE_TOTAL(D444,$G$5)),[1]!S_STM07_CS(D444,49,$G$5,$H$13)/$E$5))</f>
        <v/>
      </c>
      <c r="P444" s="247" t="str">
        <f ca="1">IF(C444="","",IF($P$11="CFPS",[1]!S_STM07_CS(D444,84,$G$5,$H$13)/IF([1]!S_SHARE_TOTAL(D444,$G$5)=0,[1]!S_SHARE_TOTAL(D444,[1]!s_ipo_listeddate(D444)),[1]!S_SHARE_TOTAL(D444,$G$5)),[1]!S_STM07_CS(D444,84,$G$5,$H$13)/$E$5))</f>
        <v/>
      </c>
      <c r="Q444" s="248" t="str">
        <f ca="1">IF(C444="","",F444/([1]!S_STM07_IS(D444,61,$G$5,$H$13)/IF([1]!S_SHARE_TOTAL(D444,$G$5)=0,[1]!S_SHARE_TOTAL(D444,[1]!s_ipo_listeddate(D444)),[1]!S_SHARE_TOTAL(D444,$G$5))))</f>
        <v/>
      </c>
      <c r="R444" s="248" t="str">
        <f ca="1">IF(C444="","",F444/([1]!S_STM07_BS(D444,141,$G$5,$H$13)/IF([1]!S_SHARE_TOTAL(D444,$G$5)=0,[1]!S_SHARE_TOTAL(D444,[1]!s_ipo_listeddate(D444)),[1]!S_SHARE_TOTAL(D444,$G$5))))</f>
        <v/>
      </c>
      <c r="S444" s="247" t="str">
        <f ca="1">IF(C444="","",[1]!S_SHARE_TOTAL(D444,TODAY())/$E$5)</f>
        <v/>
      </c>
      <c r="T444" s="247" t="str">
        <f t="shared" ca="1" si="49"/>
        <v/>
      </c>
      <c r="U444" s="218" t="str">
        <f t="shared" ca="1" si="50"/>
        <v/>
      </c>
      <c r="V444" s="342" t="str">
        <f t="shared" ca="1" si="51"/>
        <v/>
      </c>
      <c r="W444" s="139"/>
      <c r="Y444" s="1"/>
    </row>
    <row r="445" spans="3:25" ht="12" customHeight="1">
      <c r="C445" s="343" t="str">
        <f t="shared" ca="1" si="46"/>
        <v/>
      </c>
      <c r="D445" s="124" t="str">
        <f t="shared" ca="1" si="47"/>
        <v/>
      </c>
      <c r="E445" s="124" t="str">
        <f t="shared" ca="1" si="48"/>
        <v/>
      </c>
      <c r="F445" s="172" t="str">
        <f ca="1">IF(C445="","",[1]!S_DQ_CLOSE(D445,TODAY(),1))</f>
        <v/>
      </c>
      <c r="G445" s="173" t="str">
        <f ca="1">IF(C445="","",[1]!s_pq_pctchange(D445,TODAY()-$G$12,TODAY())/100)</f>
        <v/>
      </c>
      <c r="H445" s="249" t="str">
        <f ca="1">IF(C445="","",IF($H$11="收入",[1]!S_STM07_IS(D445,9,$G$5,$H$13)/$E$5,[1]!S_STM07_IS(D445,48,$G$5,$H$13)/$E$5))</f>
        <v/>
      </c>
      <c r="I445" s="249" t="str">
        <f ca="1">IF(C445="","",IF($I$11="毛利率",([1]!S_STM07_IS(D445,9,$G$5,$H$13)-[1]!S_STM07_IS(D445,10,$G$5,$H$13))/[1]!S_STM07_IS(D445,9,$G$5,$H$13),[1]!S_STM07_IS(D445,14,$G$5,$H$13)/$E$5))</f>
        <v/>
      </c>
      <c r="J445" s="249" t="str">
        <f ca="1">IF(C445="","",IF($J$11="营业利润率",[1]!S_STM07_IS(D445,48,$G$5,$H$13)/[1]!S_STM07_IS(D445,9,$G$5,$H$13),([1]!S_STM07_CS(D445,87,$G$5,$H$13)+[1]!S_STM07_CS(D445,88,$G$5,$H$13)+[1]!S_STM07_CS(D445,89,$G$5,$H$13))/$E$5))</f>
        <v/>
      </c>
      <c r="K445" s="249" t="str">
        <f ca="1">IF(C445="","",IF($K$11="净利润率",[1]!S_STM07_IS(D445,61,$G$5,$H$13)/[1]!S_STM07_IS(D445,9,$G$5,$H$13),[1]!S_STM07_IS(D445,55,$G$5,$H$13)/$E$5))</f>
        <v/>
      </c>
      <c r="L445" s="249" t="str">
        <f ca="1">IF(C445="","",IF($L$11="ROA",[1]!S_STM07_IS(D445,61,$G$5,$H$13)/[1]!S_STM07_BS(D445,74,$G$5,$H$13),1-[1]!S_STM07_IS(D445,61,$G$5,$H$13)/[1]!S_STM07_IS(D445,55,$G$5,$H$13)))</f>
        <v/>
      </c>
      <c r="M445" s="249" t="str">
        <f ca="1">IF(C445="","",IF($M$11="ROE",[1]!S_STM07_IS(D445,61,$G$5,$H$13)/[1]!S_STM07_BS(D445,141,$G$5,$H$13),([1]!S_STM07_BS(D445,25,$G$5,$H$13)-[1]!S_STM07_BS(D445,93,$G$5,$H$13))/$E$5))</f>
        <v/>
      </c>
      <c r="N445" s="250" t="str">
        <f ca="1">IF(C445="","",IF($N$11="EPS",[1]!S_STM07_IS(D445,61,$G$5,$H$13)/IF([1]!S_SHARE_TOTAL(D445,$G$5)=0,[1]!S_SHARE_TOTAL(D445,[1]!s_ipo_listeddate(D445)),[1]!S_SHARE_TOTAL(D445,$G$5)),([1]!S_STM07_BS(D445,75,$G$5,$H$13)+[1]!S_STM07_BS(D445,88,$G$5,$H$13)+[1]!S_STM07_BS(D445,94,$G$5,$H$13)+[1]!S_STM07_BS(D445,95,$G$5,$H$13))/$E$5))</f>
        <v/>
      </c>
      <c r="O445" s="250" t="str">
        <f ca="1">IF(C445="","",IF($O$11="BPS",[1]!S_STM07_BS(D445,141,$G$5,$H$13)/IF([1]!S_SHARE_TOTAL(D445,$G$5)=0,[1]!S_SHARE_TOTAL(D445,[1]!s_ipo_listeddate(D445)),[1]!S_SHARE_TOTAL(D445,$G$5)),[1]!S_STM07_CS(D445,49,$G$5,$H$13)/$E$5))</f>
        <v/>
      </c>
      <c r="P445" s="250" t="str">
        <f ca="1">IF(C445="","",IF($P$11="CFPS",[1]!S_STM07_CS(D445,84,$G$5,$H$13)/IF([1]!S_SHARE_TOTAL(D445,$G$5)=0,[1]!S_SHARE_TOTAL(D445,[1]!s_ipo_listeddate(D445)),[1]!S_SHARE_TOTAL(D445,$G$5)),[1]!S_STM07_CS(D445,84,$G$5,$H$13)/$E$5))</f>
        <v/>
      </c>
      <c r="Q445" s="198" t="str">
        <f ca="1">IF(C445="","",F445/([1]!S_STM07_IS(D445,61,$G$5,$H$13)/IF([1]!S_SHARE_TOTAL(D445,$G$5)=0,[1]!S_SHARE_TOTAL(D445,[1]!s_ipo_listeddate(D445)),[1]!S_SHARE_TOTAL(D445,$G$5))))</f>
        <v/>
      </c>
      <c r="R445" s="198" t="str">
        <f ca="1">IF(C445="","",F445/([1]!S_STM07_BS(D445,141,$G$5,$H$13)/IF([1]!S_SHARE_TOTAL(D445,$G$5)=0,[1]!S_SHARE_TOTAL(D445,[1]!s_ipo_listeddate(D445)),[1]!S_SHARE_TOTAL(D445,$G$5))))</f>
        <v/>
      </c>
      <c r="S445" s="249" t="str">
        <f ca="1">IF(C445="","",[1]!S_SHARE_TOTAL(D445,TODAY())/$E$5)</f>
        <v/>
      </c>
      <c r="T445" s="249" t="str">
        <f t="shared" ca="1" si="49"/>
        <v/>
      </c>
      <c r="U445" s="172" t="str">
        <f t="shared" ca="1" si="50"/>
        <v/>
      </c>
      <c r="V445" s="343" t="str">
        <f t="shared" ca="1" si="51"/>
        <v/>
      </c>
      <c r="W445" s="139"/>
      <c r="Y445" s="1"/>
    </row>
    <row r="446" spans="3:25" ht="12" customHeight="1">
      <c r="C446" s="342" t="str">
        <f t="shared" ca="1" si="46"/>
        <v/>
      </c>
      <c r="D446" s="153" t="str">
        <f t="shared" ca="1" si="47"/>
        <v/>
      </c>
      <c r="E446" s="153" t="str">
        <f t="shared" ca="1" si="48"/>
        <v/>
      </c>
      <c r="F446" s="170" t="str">
        <f ca="1">IF(C446="","",[1]!S_DQ_CLOSE(D446,TODAY(),1))</f>
        <v/>
      </c>
      <c r="G446" s="171" t="str">
        <f ca="1">IF(C446="","",[1]!s_pq_pctchange(D446,TODAY()-$G$12,TODAY())/100)</f>
        <v/>
      </c>
      <c r="H446" s="247" t="str">
        <f ca="1">IF(C446="","",IF($H$11="收入",[1]!S_STM07_IS(D446,9,$G$5,$H$13)/$E$5,[1]!S_STM07_IS(D446,48,$G$5,$H$13)/$E$5))</f>
        <v/>
      </c>
      <c r="I446" s="247" t="str">
        <f ca="1">IF(C446="","",IF($I$11="毛利率",([1]!S_STM07_IS(D446,9,$G$5,$H$13)-[1]!S_STM07_IS(D446,10,$G$5,$H$13))/[1]!S_STM07_IS(D446,9,$G$5,$H$13),[1]!S_STM07_IS(D446,14,$G$5,$H$13)/$E$5))</f>
        <v/>
      </c>
      <c r="J446" s="247" t="str">
        <f ca="1">IF(C446="","",IF($J$11="营业利润率",[1]!S_STM07_IS(D446,48,$G$5,$H$13)/[1]!S_STM07_IS(D446,9,$G$5,$H$13),([1]!S_STM07_CS(D446,87,$G$5,$H$13)+[1]!S_STM07_CS(D446,88,$G$5,$H$13)+[1]!S_STM07_CS(D446,89,$G$5,$H$13))/$E$5))</f>
        <v/>
      </c>
      <c r="K446" s="247" t="str">
        <f ca="1">IF(C446="","",IF($K$11="净利润率",[1]!S_STM07_IS(D446,61,$G$5,$H$13)/[1]!S_STM07_IS(D446,9,$G$5,$H$13),[1]!S_STM07_IS(D446,55,$G$5,$H$13)/$E$5))</f>
        <v/>
      </c>
      <c r="L446" s="247" t="str">
        <f ca="1">IF(C446="","",IF($L$11="ROA",[1]!S_STM07_IS(D446,61,$G$5,$H$13)/[1]!S_STM07_BS(D446,74,$G$5,$H$13),1-[1]!S_STM07_IS(D446,61,$G$5,$H$13)/[1]!S_STM07_IS(D446,55,$G$5,$H$13)))</f>
        <v/>
      </c>
      <c r="M446" s="247" t="str">
        <f ca="1">IF(C446="","",IF($M$11="ROE",[1]!S_STM07_IS(D446,61,$G$5,$H$13)/[1]!S_STM07_BS(D446,141,$G$5,$H$13),([1]!S_STM07_BS(D446,25,$G$5,$H$13)-[1]!S_STM07_BS(D446,93,$G$5,$H$13))/$E$5))</f>
        <v/>
      </c>
      <c r="N446" s="247" t="str">
        <f ca="1">IF(C446="","",IF($N$11="EPS",[1]!S_STM07_IS(D446,61,$G$5,$H$13)/IF([1]!S_SHARE_TOTAL(D446,$G$5)=0,[1]!S_SHARE_TOTAL(D446,[1]!s_ipo_listeddate(D446)),[1]!S_SHARE_TOTAL(D446,$G$5)),([1]!S_STM07_BS(D446,75,$G$5,$H$13)+[1]!S_STM07_BS(D446,88,$G$5,$H$13)+[1]!S_STM07_BS(D446,94,$G$5,$H$13)+[1]!S_STM07_BS(D446,95,$G$5,$H$13))/$E$5))</f>
        <v/>
      </c>
      <c r="O446" s="247" t="str">
        <f ca="1">IF(C446="","",IF($O$11="BPS",[1]!S_STM07_BS(D446,141,$G$5,$H$13)/IF([1]!S_SHARE_TOTAL(D446,$G$5)=0,[1]!S_SHARE_TOTAL(D446,[1]!s_ipo_listeddate(D446)),[1]!S_SHARE_TOTAL(D446,$G$5)),[1]!S_STM07_CS(D446,49,$G$5,$H$13)/$E$5))</f>
        <v/>
      </c>
      <c r="P446" s="247" t="str">
        <f ca="1">IF(C446="","",IF($P$11="CFPS",[1]!S_STM07_CS(D446,84,$G$5,$H$13)/IF([1]!S_SHARE_TOTAL(D446,$G$5)=0,[1]!S_SHARE_TOTAL(D446,[1]!s_ipo_listeddate(D446)),[1]!S_SHARE_TOTAL(D446,$G$5)),[1]!S_STM07_CS(D446,84,$G$5,$H$13)/$E$5))</f>
        <v/>
      </c>
      <c r="Q446" s="248" t="str">
        <f ca="1">IF(C446="","",F446/([1]!S_STM07_IS(D446,61,$G$5,$H$13)/IF([1]!S_SHARE_TOTAL(D446,$G$5)=0,[1]!S_SHARE_TOTAL(D446,[1]!s_ipo_listeddate(D446)),[1]!S_SHARE_TOTAL(D446,$G$5))))</f>
        <v/>
      </c>
      <c r="R446" s="248" t="str">
        <f ca="1">IF(C446="","",F446/([1]!S_STM07_BS(D446,141,$G$5,$H$13)/IF([1]!S_SHARE_TOTAL(D446,$G$5)=0,[1]!S_SHARE_TOTAL(D446,[1]!s_ipo_listeddate(D446)),[1]!S_SHARE_TOTAL(D446,$G$5))))</f>
        <v/>
      </c>
      <c r="S446" s="247" t="str">
        <f ca="1">IF(C446="","",[1]!S_SHARE_TOTAL(D446,TODAY())/$E$5)</f>
        <v/>
      </c>
      <c r="T446" s="247" t="str">
        <f t="shared" ca="1" si="49"/>
        <v/>
      </c>
      <c r="U446" s="218" t="str">
        <f t="shared" ca="1" si="50"/>
        <v/>
      </c>
      <c r="V446" s="342" t="str">
        <f t="shared" ca="1" si="51"/>
        <v/>
      </c>
      <c r="W446" s="139"/>
      <c r="Y446" s="1"/>
    </row>
    <row r="447" spans="3:25" ht="12" customHeight="1">
      <c r="C447" s="343" t="str">
        <f t="shared" ca="1" si="46"/>
        <v/>
      </c>
      <c r="D447" s="124" t="str">
        <f t="shared" ca="1" si="47"/>
        <v/>
      </c>
      <c r="E447" s="124" t="str">
        <f t="shared" ca="1" si="48"/>
        <v/>
      </c>
      <c r="F447" s="172" t="str">
        <f ca="1">IF(C447="","",[1]!S_DQ_CLOSE(D447,TODAY(),1))</f>
        <v/>
      </c>
      <c r="G447" s="173" t="str">
        <f ca="1">IF(C447="","",[1]!s_pq_pctchange(D447,TODAY()-$G$12,TODAY())/100)</f>
        <v/>
      </c>
      <c r="H447" s="249" t="str">
        <f ca="1">IF(C447="","",IF($H$11="收入",[1]!S_STM07_IS(D447,9,$G$5,$H$13)/$E$5,[1]!S_STM07_IS(D447,48,$G$5,$H$13)/$E$5))</f>
        <v/>
      </c>
      <c r="I447" s="249" t="str">
        <f ca="1">IF(C447="","",IF($I$11="毛利率",([1]!S_STM07_IS(D447,9,$G$5,$H$13)-[1]!S_STM07_IS(D447,10,$G$5,$H$13))/[1]!S_STM07_IS(D447,9,$G$5,$H$13),[1]!S_STM07_IS(D447,14,$G$5,$H$13)/$E$5))</f>
        <v/>
      </c>
      <c r="J447" s="249" t="str">
        <f ca="1">IF(C447="","",IF($J$11="营业利润率",[1]!S_STM07_IS(D447,48,$G$5,$H$13)/[1]!S_STM07_IS(D447,9,$G$5,$H$13),([1]!S_STM07_CS(D447,87,$G$5,$H$13)+[1]!S_STM07_CS(D447,88,$G$5,$H$13)+[1]!S_STM07_CS(D447,89,$G$5,$H$13))/$E$5))</f>
        <v/>
      </c>
      <c r="K447" s="249" t="str">
        <f ca="1">IF(C447="","",IF($K$11="净利润率",[1]!S_STM07_IS(D447,61,$G$5,$H$13)/[1]!S_STM07_IS(D447,9,$G$5,$H$13),[1]!S_STM07_IS(D447,55,$G$5,$H$13)/$E$5))</f>
        <v/>
      </c>
      <c r="L447" s="249" t="str">
        <f ca="1">IF(C447="","",IF($L$11="ROA",[1]!S_STM07_IS(D447,61,$G$5,$H$13)/[1]!S_STM07_BS(D447,74,$G$5,$H$13),1-[1]!S_STM07_IS(D447,61,$G$5,$H$13)/[1]!S_STM07_IS(D447,55,$G$5,$H$13)))</f>
        <v/>
      </c>
      <c r="M447" s="249" t="str">
        <f ca="1">IF(C447="","",IF($M$11="ROE",[1]!S_STM07_IS(D447,61,$G$5,$H$13)/[1]!S_STM07_BS(D447,141,$G$5,$H$13),([1]!S_STM07_BS(D447,25,$G$5,$H$13)-[1]!S_STM07_BS(D447,93,$G$5,$H$13))/$E$5))</f>
        <v/>
      </c>
      <c r="N447" s="250" t="str">
        <f ca="1">IF(C447="","",IF($N$11="EPS",[1]!S_STM07_IS(D447,61,$G$5,$H$13)/IF([1]!S_SHARE_TOTAL(D447,$G$5)=0,[1]!S_SHARE_TOTAL(D447,[1]!s_ipo_listeddate(D447)),[1]!S_SHARE_TOTAL(D447,$G$5)),([1]!S_STM07_BS(D447,75,$G$5,$H$13)+[1]!S_STM07_BS(D447,88,$G$5,$H$13)+[1]!S_STM07_BS(D447,94,$G$5,$H$13)+[1]!S_STM07_BS(D447,95,$G$5,$H$13))/$E$5))</f>
        <v/>
      </c>
      <c r="O447" s="250" t="str">
        <f ca="1">IF(C447="","",IF($O$11="BPS",[1]!S_STM07_BS(D447,141,$G$5,$H$13)/IF([1]!S_SHARE_TOTAL(D447,$G$5)=0,[1]!S_SHARE_TOTAL(D447,[1]!s_ipo_listeddate(D447)),[1]!S_SHARE_TOTAL(D447,$G$5)),[1]!S_STM07_CS(D447,49,$G$5,$H$13)/$E$5))</f>
        <v/>
      </c>
      <c r="P447" s="250" t="str">
        <f ca="1">IF(C447="","",IF($P$11="CFPS",[1]!S_STM07_CS(D447,84,$G$5,$H$13)/IF([1]!S_SHARE_TOTAL(D447,$G$5)=0,[1]!S_SHARE_TOTAL(D447,[1]!s_ipo_listeddate(D447)),[1]!S_SHARE_TOTAL(D447,$G$5)),[1]!S_STM07_CS(D447,84,$G$5,$H$13)/$E$5))</f>
        <v/>
      </c>
      <c r="Q447" s="198" t="str">
        <f ca="1">IF(C447="","",F447/([1]!S_STM07_IS(D447,61,$G$5,$H$13)/IF([1]!S_SHARE_TOTAL(D447,$G$5)=0,[1]!S_SHARE_TOTAL(D447,[1]!s_ipo_listeddate(D447)),[1]!S_SHARE_TOTAL(D447,$G$5))))</f>
        <v/>
      </c>
      <c r="R447" s="198" t="str">
        <f ca="1">IF(C447="","",F447/([1]!S_STM07_BS(D447,141,$G$5,$H$13)/IF([1]!S_SHARE_TOTAL(D447,$G$5)=0,[1]!S_SHARE_TOTAL(D447,[1]!s_ipo_listeddate(D447)),[1]!S_SHARE_TOTAL(D447,$G$5))))</f>
        <v/>
      </c>
      <c r="S447" s="249" t="str">
        <f ca="1">IF(C447="","",[1]!S_SHARE_TOTAL(D447,TODAY())/$E$5)</f>
        <v/>
      </c>
      <c r="T447" s="249" t="str">
        <f t="shared" ca="1" si="49"/>
        <v/>
      </c>
      <c r="U447" s="172" t="str">
        <f t="shared" ca="1" si="50"/>
        <v/>
      </c>
      <c r="V447" s="343" t="str">
        <f t="shared" ca="1" si="51"/>
        <v/>
      </c>
      <c r="W447" s="139"/>
      <c r="Y447" s="1"/>
    </row>
    <row r="448" spans="3:25" ht="12" customHeight="1">
      <c r="C448" s="342" t="str">
        <f t="shared" ca="1" si="46"/>
        <v/>
      </c>
      <c r="D448" s="153" t="str">
        <f t="shared" ca="1" si="47"/>
        <v/>
      </c>
      <c r="E448" s="153" t="str">
        <f t="shared" ca="1" si="48"/>
        <v/>
      </c>
      <c r="F448" s="170" t="str">
        <f ca="1">IF(C448="","",[1]!S_DQ_CLOSE(D448,TODAY(),1))</f>
        <v/>
      </c>
      <c r="G448" s="171" t="str">
        <f ca="1">IF(C448="","",[1]!s_pq_pctchange(D448,TODAY()-$G$12,TODAY())/100)</f>
        <v/>
      </c>
      <c r="H448" s="247" t="str">
        <f ca="1">IF(C448="","",IF($H$11="收入",[1]!S_STM07_IS(D448,9,$G$5,$H$13)/$E$5,[1]!S_STM07_IS(D448,48,$G$5,$H$13)/$E$5))</f>
        <v/>
      </c>
      <c r="I448" s="247" t="str">
        <f ca="1">IF(C448="","",IF($I$11="毛利率",([1]!S_STM07_IS(D448,9,$G$5,$H$13)-[1]!S_STM07_IS(D448,10,$G$5,$H$13))/[1]!S_STM07_IS(D448,9,$G$5,$H$13),[1]!S_STM07_IS(D448,14,$G$5,$H$13)/$E$5))</f>
        <v/>
      </c>
      <c r="J448" s="247" t="str">
        <f ca="1">IF(C448="","",IF($J$11="营业利润率",[1]!S_STM07_IS(D448,48,$G$5,$H$13)/[1]!S_STM07_IS(D448,9,$G$5,$H$13),([1]!S_STM07_CS(D448,87,$G$5,$H$13)+[1]!S_STM07_CS(D448,88,$G$5,$H$13)+[1]!S_STM07_CS(D448,89,$G$5,$H$13))/$E$5))</f>
        <v/>
      </c>
      <c r="K448" s="247" t="str">
        <f ca="1">IF(C448="","",IF($K$11="净利润率",[1]!S_STM07_IS(D448,61,$G$5,$H$13)/[1]!S_STM07_IS(D448,9,$G$5,$H$13),[1]!S_STM07_IS(D448,55,$G$5,$H$13)/$E$5))</f>
        <v/>
      </c>
      <c r="L448" s="247" t="str">
        <f ca="1">IF(C448="","",IF($L$11="ROA",[1]!S_STM07_IS(D448,61,$G$5,$H$13)/[1]!S_STM07_BS(D448,74,$G$5,$H$13),1-[1]!S_STM07_IS(D448,61,$G$5,$H$13)/[1]!S_STM07_IS(D448,55,$G$5,$H$13)))</f>
        <v/>
      </c>
      <c r="M448" s="247" t="str">
        <f ca="1">IF(C448="","",IF($M$11="ROE",[1]!S_STM07_IS(D448,61,$G$5,$H$13)/[1]!S_STM07_BS(D448,141,$G$5,$H$13),([1]!S_STM07_BS(D448,25,$G$5,$H$13)-[1]!S_STM07_BS(D448,93,$G$5,$H$13))/$E$5))</f>
        <v/>
      </c>
      <c r="N448" s="247" t="str">
        <f ca="1">IF(C448="","",IF($N$11="EPS",[1]!S_STM07_IS(D448,61,$G$5,$H$13)/IF([1]!S_SHARE_TOTAL(D448,$G$5)=0,[1]!S_SHARE_TOTAL(D448,[1]!s_ipo_listeddate(D448)),[1]!S_SHARE_TOTAL(D448,$G$5)),([1]!S_STM07_BS(D448,75,$G$5,$H$13)+[1]!S_STM07_BS(D448,88,$G$5,$H$13)+[1]!S_STM07_BS(D448,94,$G$5,$H$13)+[1]!S_STM07_BS(D448,95,$G$5,$H$13))/$E$5))</f>
        <v/>
      </c>
      <c r="O448" s="247" t="str">
        <f ca="1">IF(C448="","",IF($O$11="BPS",[1]!S_STM07_BS(D448,141,$G$5,$H$13)/IF([1]!S_SHARE_TOTAL(D448,$G$5)=0,[1]!S_SHARE_TOTAL(D448,[1]!s_ipo_listeddate(D448)),[1]!S_SHARE_TOTAL(D448,$G$5)),[1]!S_STM07_CS(D448,49,$G$5,$H$13)/$E$5))</f>
        <v/>
      </c>
      <c r="P448" s="247" t="str">
        <f ca="1">IF(C448="","",IF($P$11="CFPS",[1]!S_STM07_CS(D448,84,$G$5,$H$13)/IF([1]!S_SHARE_TOTAL(D448,$G$5)=0,[1]!S_SHARE_TOTAL(D448,[1]!s_ipo_listeddate(D448)),[1]!S_SHARE_TOTAL(D448,$G$5)),[1]!S_STM07_CS(D448,84,$G$5,$H$13)/$E$5))</f>
        <v/>
      </c>
      <c r="Q448" s="248" t="str">
        <f ca="1">IF(C448="","",F448/([1]!S_STM07_IS(D448,61,$G$5,$H$13)/IF([1]!S_SHARE_TOTAL(D448,$G$5)=0,[1]!S_SHARE_TOTAL(D448,[1]!s_ipo_listeddate(D448)),[1]!S_SHARE_TOTAL(D448,$G$5))))</f>
        <v/>
      </c>
      <c r="R448" s="248" t="str">
        <f ca="1">IF(C448="","",F448/([1]!S_STM07_BS(D448,141,$G$5,$H$13)/IF([1]!S_SHARE_TOTAL(D448,$G$5)=0,[1]!S_SHARE_TOTAL(D448,[1]!s_ipo_listeddate(D448)),[1]!S_SHARE_TOTAL(D448,$G$5))))</f>
        <v/>
      </c>
      <c r="S448" s="247" t="str">
        <f ca="1">IF(C448="","",[1]!S_SHARE_TOTAL(D448,TODAY())/$E$5)</f>
        <v/>
      </c>
      <c r="T448" s="247" t="str">
        <f t="shared" ca="1" si="49"/>
        <v/>
      </c>
      <c r="U448" s="218" t="str">
        <f t="shared" ca="1" si="50"/>
        <v/>
      </c>
      <c r="V448" s="342" t="str">
        <f t="shared" ca="1" si="51"/>
        <v/>
      </c>
      <c r="W448" s="139"/>
      <c r="Y448" s="1"/>
    </row>
    <row r="449" spans="3:25" ht="12" customHeight="1">
      <c r="C449" s="343" t="str">
        <f t="shared" ca="1" si="46"/>
        <v/>
      </c>
      <c r="D449" s="124" t="str">
        <f t="shared" ca="1" si="47"/>
        <v/>
      </c>
      <c r="E449" s="124" t="str">
        <f t="shared" ca="1" si="48"/>
        <v/>
      </c>
      <c r="F449" s="172" t="str">
        <f ca="1">IF(C449="","",[1]!S_DQ_CLOSE(D449,TODAY(),1))</f>
        <v/>
      </c>
      <c r="G449" s="173" t="str">
        <f ca="1">IF(C449="","",[1]!s_pq_pctchange(D449,TODAY()-$G$12,TODAY())/100)</f>
        <v/>
      </c>
      <c r="H449" s="249" t="str">
        <f ca="1">IF(C449="","",IF($H$11="收入",[1]!S_STM07_IS(D449,9,$G$5,$H$13)/$E$5,[1]!S_STM07_IS(D449,48,$G$5,$H$13)/$E$5))</f>
        <v/>
      </c>
      <c r="I449" s="249" t="str">
        <f ca="1">IF(C449="","",IF($I$11="毛利率",([1]!S_STM07_IS(D449,9,$G$5,$H$13)-[1]!S_STM07_IS(D449,10,$G$5,$H$13))/[1]!S_STM07_IS(D449,9,$G$5,$H$13),[1]!S_STM07_IS(D449,14,$G$5,$H$13)/$E$5))</f>
        <v/>
      </c>
      <c r="J449" s="249" t="str">
        <f ca="1">IF(C449="","",IF($J$11="营业利润率",[1]!S_STM07_IS(D449,48,$G$5,$H$13)/[1]!S_STM07_IS(D449,9,$G$5,$H$13),([1]!S_STM07_CS(D449,87,$G$5,$H$13)+[1]!S_STM07_CS(D449,88,$G$5,$H$13)+[1]!S_STM07_CS(D449,89,$G$5,$H$13))/$E$5))</f>
        <v/>
      </c>
      <c r="K449" s="249" t="str">
        <f ca="1">IF(C449="","",IF($K$11="净利润率",[1]!S_STM07_IS(D449,61,$G$5,$H$13)/[1]!S_STM07_IS(D449,9,$G$5,$H$13),[1]!S_STM07_IS(D449,55,$G$5,$H$13)/$E$5))</f>
        <v/>
      </c>
      <c r="L449" s="249" t="str">
        <f ca="1">IF(C449="","",IF($L$11="ROA",[1]!S_STM07_IS(D449,61,$G$5,$H$13)/[1]!S_STM07_BS(D449,74,$G$5,$H$13),1-[1]!S_STM07_IS(D449,61,$G$5,$H$13)/[1]!S_STM07_IS(D449,55,$G$5,$H$13)))</f>
        <v/>
      </c>
      <c r="M449" s="249" t="str">
        <f ca="1">IF(C449="","",IF($M$11="ROE",[1]!S_STM07_IS(D449,61,$G$5,$H$13)/[1]!S_STM07_BS(D449,141,$G$5,$H$13),([1]!S_STM07_BS(D449,25,$G$5,$H$13)-[1]!S_STM07_BS(D449,93,$G$5,$H$13))/$E$5))</f>
        <v/>
      </c>
      <c r="N449" s="250" t="str">
        <f ca="1">IF(C449="","",IF($N$11="EPS",[1]!S_STM07_IS(D449,61,$G$5,$H$13)/IF([1]!S_SHARE_TOTAL(D449,$G$5)=0,[1]!S_SHARE_TOTAL(D449,[1]!s_ipo_listeddate(D449)),[1]!S_SHARE_TOTAL(D449,$G$5)),([1]!S_STM07_BS(D449,75,$G$5,$H$13)+[1]!S_STM07_BS(D449,88,$G$5,$H$13)+[1]!S_STM07_BS(D449,94,$G$5,$H$13)+[1]!S_STM07_BS(D449,95,$G$5,$H$13))/$E$5))</f>
        <v/>
      </c>
      <c r="O449" s="250" t="str">
        <f ca="1">IF(C449="","",IF($O$11="BPS",[1]!S_STM07_BS(D449,141,$G$5,$H$13)/IF([1]!S_SHARE_TOTAL(D449,$G$5)=0,[1]!S_SHARE_TOTAL(D449,[1]!s_ipo_listeddate(D449)),[1]!S_SHARE_TOTAL(D449,$G$5)),[1]!S_STM07_CS(D449,49,$G$5,$H$13)/$E$5))</f>
        <v/>
      </c>
      <c r="P449" s="250" t="str">
        <f ca="1">IF(C449="","",IF($P$11="CFPS",[1]!S_STM07_CS(D449,84,$G$5,$H$13)/IF([1]!S_SHARE_TOTAL(D449,$G$5)=0,[1]!S_SHARE_TOTAL(D449,[1]!s_ipo_listeddate(D449)),[1]!S_SHARE_TOTAL(D449,$G$5)),[1]!S_STM07_CS(D449,84,$G$5,$H$13)/$E$5))</f>
        <v/>
      </c>
      <c r="Q449" s="198" t="str">
        <f ca="1">IF(C449="","",F449/([1]!S_STM07_IS(D449,61,$G$5,$H$13)/IF([1]!S_SHARE_TOTAL(D449,$G$5)=0,[1]!S_SHARE_TOTAL(D449,[1]!s_ipo_listeddate(D449)),[1]!S_SHARE_TOTAL(D449,$G$5))))</f>
        <v/>
      </c>
      <c r="R449" s="198" t="str">
        <f ca="1">IF(C449="","",F449/([1]!S_STM07_BS(D449,141,$G$5,$H$13)/IF([1]!S_SHARE_TOTAL(D449,$G$5)=0,[1]!S_SHARE_TOTAL(D449,[1]!s_ipo_listeddate(D449)),[1]!S_SHARE_TOTAL(D449,$G$5))))</f>
        <v/>
      </c>
      <c r="S449" s="249" t="str">
        <f ca="1">IF(C449="","",[1]!S_SHARE_TOTAL(D449,TODAY())/$E$5)</f>
        <v/>
      </c>
      <c r="T449" s="249" t="str">
        <f t="shared" ca="1" si="49"/>
        <v/>
      </c>
      <c r="U449" s="172" t="str">
        <f t="shared" ca="1" si="50"/>
        <v/>
      </c>
      <c r="V449" s="343" t="str">
        <f t="shared" ca="1" si="51"/>
        <v/>
      </c>
      <c r="W449" s="139"/>
      <c r="Y449" s="1"/>
    </row>
    <row r="450" spans="3:25" ht="12" customHeight="1">
      <c r="C450" s="342" t="str">
        <f t="shared" ca="1" si="46"/>
        <v/>
      </c>
      <c r="D450" s="153" t="str">
        <f t="shared" ca="1" si="47"/>
        <v/>
      </c>
      <c r="E450" s="153" t="str">
        <f t="shared" ca="1" si="48"/>
        <v/>
      </c>
      <c r="F450" s="170" t="str">
        <f ca="1">IF(C450="","",[1]!S_DQ_CLOSE(D450,TODAY(),1))</f>
        <v/>
      </c>
      <c r="G450" s="171" t="str">
        <f ca="1">IF(C450="","",[1]!s_pq_pctchange(D450,TODAY()-$G$12,TODAY())/100)</f>
        <v/>
      </c>
      <c r="H450" s="247" t="str">
        <f ca="1">IF(C450="","",IF($H$11="收入",[1]!S_STM07_IS(D450,9,$G$5,$H$13)/$E$5,[1]!S_STM07_IS(D450,48,$G$5,$H$13)/$E$5))</f>
        <v/>
      </c>
      <c r="I450" s="247" t="str">
        <f ca="1">IF(C450="","",IF($I$11="毛利率",([1]!S_STM07_IS(D450,9,$G$5,$H$13)-[1]!S_STM07_IS(D450,10,$G$5,$H$13))/[1]!S_STM07_IS(D450,9,$G$5,$H$13),[1]!S_STM07_IS(D450,14,$G$5,$H$13)/$E$5))</f>
        <v/>
      </c>
      <c r="J450" s="247" t="str">
        <f ca="1">IF(C450="","",IF($J$11="营业利润率",[1]!S_STM07_IS(D450,48,$G$5,$H$13)/[1]!S_STM07_IS(D450,9,$G$5,$H$13),([1]!S_STM07_CS(D450,87,$G$5,$H$13)+[1]!S_STM07_CS(D450,88,$G$5,$H$13)+[1]!S_STM07_CS(D450,89,$G$5,$H$13))/$E$5))</f>
        <v/>
      </c>
      <c r="K450" s="247" t="str">
        <f ca="1">IF(C450="","",IF($K$11="净利润率",[1]!S_STM07_IS(D450,61,$G$5,$H$13)/[1]!S_STM07_IS(D450,9,$G$5,$H$13),[1]!S_STM07_IS(D450,55,$G$5,$H$13)/$E$5))</f>
        <v/>
      </c>
      <c r="L450" s="247" t="str">
        <f ca="1">IF(C450="","",IF($L$11="ROA",[1]!S_STM07_IS(D450,61,$G$5,$H$13)/[1]!S_STM07_BS(D450,74,$G$5,$H$13),1-[1]!S_STM07_IS(D450,61,$G$5,$H$13)/[1]!S_STM07_IS(D450,55,$G$5,$H$13)))</f>
        <v/>
      </c>
      <c r="M450" s="247" t="str">
        <f ca="1">IF(C450="","",IF($M$11="ROE",[1]!S_STM07_IS(D450,61,$G$5,$H$13)/[1]!S_STM07_BS(D450,141,$G$5,$H$13),([1]!S_STM07_BS(D450,25,$G$5,$H$13)-[1]!S_STM07_BS(D450,93,$G$5,$H$13))/$E$5))</f>
        <v/>
      </c>
      <c r="N450" s="247" t="str">
        <f ca="1">IF(C450="","",IF($N$11="EPS",[1]!S_STM07_IS(D450,61,$G$5,$H$13)/IF([1]!S_SHARE_TOTAL(D450,$G$5)=0,[1]!S_SHARE_TOTAL(D450,[1]!s_ipo_listeddate(D450)),[1]!S_SHARE_TOTAL(D450,$G$5)),([1]!S_STM07_BS(D450,75,$G$5,$H$13)+[1]!S_STM07_BS(D450,88,$G$5,$H$13)+[1]!S_STM07_BS(D450,94,$G$5,$H$13)+[1]!S_STM07_BS(D450,95,$G$5,$H$13))/$E$5))</f>
        <v/>
      </c>
      <c r="O450" s="247" t="str">
        <f ca="1">IF(C450="","",IF($O$11="BPS",[1]!S_STM07_BS(D450,141,$G$5,$H$13)/IF([1]!S_SHARE_TOTAL(D450,$G$5)=0,[1]!S_SHARE_TOTAL(D450,[1]!s_ipo_listeddate(D450)),[1]!S_SHARE_TOTAL(D450,$G$5)),[1]!S_STM07_CS(D450,49,$G$5,$H$13)/$E$5))</f>
        <v/>
      </c>
      <c r="P450" s="247" t="str">
        <f ca="1">IF(C450="","",IF($P$11="CFPS",[1]!S_STM07_CS(D450,84,$G$5,$H$13)/IF([1]!S_SHARE_TOTAL(D450,$G$5)=0,[1]!S_SHARE_TOTAL(D450,[1]!s_ipo_listeddate(D450)),[1]!S_SHARE_TOTAL(D450,$G$5)),[1]!S_STM07_CS(D450,84,$G$5,$H$13)/$E$5))</f>
        <v/>
      </c>
      <c r="Q450" s="248" t="str">
        <f ca="1">IF(C450="","",F450/([1]!S_STM07_IS(D450,61,$G$5,$H$13)/IF([1]!S_SHARE_TOTAL(D450,$G$5)=0,[1]!S_SHARE_TOTAL(D450,[1]!s_ipo_listeddate(D450)),[1]!S_SHARE_TOTAL(D450,$G$5))))</f>
        <v/>
      </c>
      <c r="R450" s="248" t="str">
        <f ca="1">IF(C450="","",F450/([1]!S_STM07_BS(D450,141,$G$5,$H$13)/IF([1]!S_SHARE_TOTAL(D450,$G$5)=0,[1]!S_SHARE_TOTAL(D450,[1]!s_ipo_listeddate(D450)),[1]!S_SHARE_TOTAL(D450,$G$5))))</f>
        <v/>
      </c>
      <c r="S450" s="247" t="str">
        <f ca="1">IF(C450="","",[1]!S_SHARE_TOTAL(D450,TODAY())/$E$5)</f>
        <v/>
      </c>
      <c r="T450" s="247" t="str">
        <f t="shared" ca="1" si="49"/>
        <v/>
      </c>
      <c r="U450" s="218" t="str">
        <f t="shared" ca="1" si="50"/>
        <v/>
      </c>
      <c r="V450" s="342" t="str">
        <f t="shared" ca="1" si="51"/>
        <v/>
      </c>
      <c r="W450" s="139"/>
      <c r="Y450" s="1"/>
    </row>
    <row r="451" spans="3:25" ht="12" customHeight="1">
      <c r="C451" s="343" t="str">
        <f t="shared" ca="1" si="46"/>
        <v/>
      </c>
      <c r="D451" s="124" t="str">
        <f t="shared" ca="1" si="47"/>
        <v/>
      </c>
      <c r="E451" s="124" t="str">
        <f t="shared" ca="1" si="48"/>
        <v/>
      </c>
      <c r="F451" s="172" t="str">
        <f ca="1">IF(C451="","",[1]!S_DQ_CLOSE(D451,TODAY(),1))</f>
        <v/>
      </c>
      <c r="G451" s="173" t="str">
        <f ca="1">IF(C451="","",[1]!s_pq_pctchange(D451,TODAY()-$G$12,TODAY())/100)</f>
        <v/>
      </c>
      <c r="H451" s="249" t="str">
        <f ca="1">IF(C451="","",IF($H$11="收入",[1]!S_STM07_IS(D451,9,$G$5,$H$13)/$E$5,[1]!S_STM07_IS(D451,48,$G$5,$H$13)/$E$5))</f>
        <v/>
      </c>
      <c r="I451" s="249" t="str">
        <f ca="1">IF(C451="","",IF($I$11="毛利率",([1]!S_STM07_IS(D451,9,$G$5,$H$13)-[1]!S_STM07_IS(D451,10,$G$5,$H$13))/[1]!S_STM07_IS(D451,9,$G$5,$H$13),[1]!S_STM07_IS(D451,14,$G$5,$H$13)/$E$5))</f>
        <v/>
      </c>
      <c r="J451" s="249" t="str">
        <f ca="1">IF(C451="","",IF($J$11="营业利润率",[1]!S_STM07_IS(D451,48,$G$5,$H$13)/[1]!S_STM07_IS(D451,9,$G$5,$H$13),([1]!S_STM07_CS(D451,87,$G$5,$H$13)+[1]!S_STM07_CS(D451,88,$G$5,$H$13)+[1]!S_STM07_CS(D451,89,$G$5,$H$13))/$E$5))</f>
        <v/>
      </c>
      <c r="K451" s="249" t="str">
        <f ca="1">IF(C451="","",IF($K$11="净利润率",[1]!S_STM07_IS(D451,61,$G$5,$H$13)/[1]!S_STM07_IS(D451,9,$G$5,$H$13),[1]!S_STM07_IS(D451,55,$G$5,$H$13)/$E$5))</f>
        <v/>
      </c>
      <c r="L451" s="249" t="str">
        <f ca="1">IF(C451="","",IF($L$11="ROA",[1]!S_STM07_IS(D451,61,$G$5,$H$13)/[1]!S_STM07_BS(D451,74,$G$5,$H$13),1-[1]!S_STM07_IS(D451,61,$G$5,$H$13)/[1]!S_STM07_IS(D451,55,$G$5,$H$13)))</f>
        <v/>
      </c>
      <c r="M451" s="249" t="str">
        <f ca="1">IF(C451="","",IF($M$11="ROE",[1]!S_STM07_IS(D451,61,$G$5,$H$13)/[1]!S_STM07_BS(D451,141,$G$5,$H$13),([1]!S_STM07_BS(D451,25,$G$5,$H$13)-[1]!S_STM07_BS(D451,93,$G$5,$H$13))/$E$5))</f>
        <v/>
      </c>
      <c r="N451" s="250" t="str">
        <f ca="1">IF(C451="","",IF($N$11="EPS",[1]!S_STM07_IS(D451,61,$G$5,$H$13)/IF([1]!S_SHARE_TOTAL(D451,$G$5)=0,[1]!S_SHARE_TOTAL(D451,[1]!s_ipo_listeddate(D451)),[1]!S_SHARE_TOTAL(D451,$G$5)),([1]!S_STM07_BS(D451,75,$G$5,$H$13)+[1]!S_STM07_BS(D451,88,$G$5,$H$13)+[1]!S_STM07_BS(D451,94,$G$5,$H$13)+[1]!S_STM07_BS(D451,95,$G$5,$H$13))/$E$5))</f>
        <v/>
      </c>
      <c r="O451" s="250" t="str">
        <f ca="1">IF(C451="","",IF($O$11="BPS",[1]!S_STM07_BS(D451,141,$G$5,$H$13)/IF([1]!S_SHARE_TOTAL(D451,$G$5)=0,[1]!S_SHARE_TOTAL(D451,[1]!s_ipo_listeddate(D451)),[1]!S_SHARE_TOTAL(D451,$G$5)),[1]!S_STM07_CS(D451,49,$G$5,$H$13)/$E$5))</f>
        <v/>
      </c>
      <c r="P451" s="250" t="str">
        <f ca="1">IF(C451="","",IF($P$11="CFPS",[1]!S_STM07_CS(D451,84,$G$5,$H$13)/IF([1]!S_SHARE_TOTAL(D451,$G$5)=0,[1]!S_SHARE_TOTAL(D451,[1]!s_ipo_listeddate(D451)),[1]!S_SHARE_TOTAL(D451,$G$5)),[1]!S_STM07_CS(D451,84,$G$5,$H$13)/$E$5))</f>
        <v/>
      </c>
      <c r="Q451" s="198" t="str">
        <f ca="1">IF(C451="","",F451/([1]!S_STM07_IS(D451,61,$G$5,$H$13)/IF([1]!S_SHARE_TOTAL(D451,$G$5)=0,[1]!S_SHARE_TOTAL(D451,[1]!s_ipo_listeddate(D451)),[1]!S_SHARE_TOTAL(D451,$G$5))))</f>
        <v/>
      </c>
      <c r="R451" s="198" t="str">
        <f ca="1">IF(C451="","",F451/([1]!S_STM07_BS(D451,141,$G$5,$H$13)/IF([1]!S_SHARE_TOTAL(D451,$G$5)=0,[1]!S_SHARE_TOTAL(D451,[1]!s_ipo_listeddate(D451)),[1]!S_SHARE_TOTAL(D451,$G$5))))</f>
        <v/>
      </c>
      <c r="S451" s="249" t="str">
        <f ca="1">IF(C451="","",[1]!S_SHARE_TOTAL(D451,TODAY())/$E$5)</f>
        <v/>
      </c>
      <c r="T451" s="249" t="str">
        <f t="shared" ca="1" si="49"/>
        <v/>
      </c>
      <c r="U451" s="172" t="str">
        <f t="shared" ca="1" si="50"/>
        <v/>
      </c>
      <c r="V451" s="343" t="str">
        <f t="shared" ca="1" si="51"/>
        <v/>
      </c>
      <c r="W451" s="139"/>
      <c r="Y451" s="1"/>
    </row>
    <row r="452" spans="3:25" ht="12" customHeight="1">
      <c r="C452" s="342" t="str">
        <f t="shared" ca="1" si="46"/>
        <v/>
      </c>
      <c r="D452" s="153" t="str">
        <f t="shared" ca="1" si="47"/>
        <v/>
      </c>
      <c r="E452" s="153" t="str">
        <f t="shared" ca="1" si="48"/>
        <v/>
      </c>
      <c r="F452" s="170" t="str">
        <f ca="1">IF(C452="","",[1]!S_DQ_CLOSE(D452,TODAY(),1))</f>
        <v/>
      </c>
      <c r="G452" s="171" t="str">
        <f ca="1">IF(C452="","",[1]!s_pq_pctchange(D452,TODAY()-$G$12,TODAY())/100)</f>
        <v/>
      </c>
      <c r="H452" s="247" t="str">
        <f ca="1">IF(C452="","",IF($H$11="收入",[1]!S_STM07_IS(D452,9,$G$5,$H$13)/$E$5,[1]!S_STM07_IS(D452,48,$G$5,$H$13)/$E$5))</f>
        <v/>
      </c>
      <c r="I452" s="247" t="str">
        <f ca="1">IF(C452="","",IF($I$11="毛利率",([1]!S_STM07_IS(D452,9,$G$5,$H$13)-[1]!S_STM07_IS(D452,10,$G$5,$H$13))/[1]!S_STM07_IS(D452,9,$G$5,$H$13),[1]!S_STM07_IS(D452,14,$G$5,$H$13)/$E$5))</f>
        <v/>
      </c>
      <c r="J452" s="247" t="str">
        <f ca="1">IF(C452="","",IF($J$11="营业利润率",[1]!S_STM07_IS(D452,48,$G$5,$H$13)/[1]!S_STM07_IS(D452,9,$G$5,$H$13),([1]!S_STM07_CS(D452,87,$G$5,$H$13)+[1]!S_STM07_CS(D452,88,$G$5,$H$13)+[1]!S_STM07_CS(D452,89,$G$5,$H$13))/$E$5))</f>
        <v/>
      </c>
      <c r="K452" s="247" t="str">
        <f ca="1">IF(C452="","",IF($K$11="净利润率",[1]!S_STM07_IS(D452,61,$G$5,$H$13)/[1]!S_STM07_IS(D452,9,$G$5,$H$13),[1]!S_STM07_IS(D452,55,$G$5,$H$13)/$E$5))</f>
        <v/>
      </c>
      <c r="L452" s="247" t="str">
        <f ca="1">IF(C452="","",IF($L$11="ROA",[1]!S_STM07_IS(D452,61,$G$5,$H$13)/[1]!S_STM07_BS(D452,74,$G$5,$H$13),1-[1]!S_STM07_IS(D452,61,$G$5,$H$13)/[1]!S_STM07_IS(D452,55,$G$5,$H$13)))</f>
        <v/>
      </c>
      <c r="M452" s="247" t="str">
        <f ca="1">IF(C452="","",IF($M$11="ROE",[1]!S_STM07_IS(D452,61,$G$5,$H$13)/[1]!S_STM07_BS(D452,141,$G$5,$H$13),([1]!S_STM07_BS(D452,25,$G$5,$H$13)-[1]!S_STM07_BS(D452,93,$G$5,$H$13))/$E$5))</f>
        <v/>
      </c>
      <c r="N452" s="247" t="str">
        <f ca="1">IF(C452="","",IF($N$11="EPS",[1]!S_STM07_IS(D452,61,$G$5,$H$13)/IF([1]!S_SHARE_TOTAL(D452,$G$5)=0,[1]!S_SHARE_TOTAL(D452,[1]!s_ipo_listeddate(D452)),[1]!S_SHARE_TOTAL(D452,$G$5)),([1]!S_STM07_BS(D452,75,$G$5,$H$13)+[1]!S_STM07_BS(D452,88,$G$5,$H$13)+[1]!S_STM07_BS(D452,94,$G$5,$H$13)+[1]!S_STM07_BS(D452,95,$G$5,$H$13))/$E$5))</f>
        <v/>
      </c>
      <c r="O452" s="247" t="str">
        <f ca="1">IF(C452="","",IF($O$11="BPS",[1]!S_STM07_BS(D452,141,$G$5,$H$13)/IF([1]!S_SHARE_TOTAL(D452,$G$5)=0,[1]!S_SHARE_TOTAL(D452,[1]!s_ipo_listeddate(D452)),[1]!S_SHARE_TOTAL(D452,$G$5)),[1]!S_STM07_CS(D452,49,$G$5,$H$13)/$E$5))</f>
        <v/>
      </c>
      <c r="P452" s="247" t="str">
        <f ca="1">IF(C452="","",IF($P$11="CFPS",[1]!S_STM07_CS(D452,84,$G$5,$H$13)/IF([1]!S_SHARE_TOTAL(D452,$G$5)=0,[1]!S_SHARE_TOTAL(D452,[1]!s_ipo_listeddate(D452)),[1]!S_SHARE_TOTAL(D452,$G$5)),[1]!S_STM07_CS(D452,84,$G$5,$H$13)/$E$5))</f>
        <v/>
      </c>
      <c r="Q452" s="248" t="str">
        <f ca="1">IF(C452="","",F452/([1]!S_STM07_IS(D452,61,$G$5,$H$13)/IF([1]!S_SHARE_TOTAL(D452,$G$5)=0,[1]!S_SHARE_TOTAL(D452,[1]!s_ipo_listeddate(D452)),[1]!S_SHARE_TOTAL(D452,$G$5))))</f>
        <v/>
      </c>
      <c r="R452" s="248" t="str">
        <f ca="1">IF(C452="","",F452/([1]!S_STM07_BS(D452,141,$G$5,$H$13)/IF([1]!S_SHARE_TOTAL(D452,$G$5)=0,[1]!S_SHARE_TOTAL(D452,[1]!s_ipo_listeddate(D452)),[1]!S_SHARE_TOTAL(D452,$G$5))))</f>
        <v/>
      </c>
      <c r="S452" s="247" t="str">
        <f ca="1">IF(C452="","",[1]!S_SHARE_TOTAL(D452,TODAY())/$E$5)</f>
        <v/>
      </c>
      <c r="T452" s="247" t="str">
        <f t="shared" ca="1" si="49"/>
        <v/>
      </c>
      <c r="U452" s="218" t="str">
        <f t="shared" ca="1" si="50"/>
        <v/>
      </c>
      <c r="V452" s="342" t="str">
        <f t="shared" ca="1" si="51"/>
        <v/>
      </c>
      <c r="W452" s="139"/>
      <c r="Y452" s="1"/>
    </row>
    <row r="453" spans="3:25" ht="12" customHeight="1">
      <c r="C453" s="343" t="str">
        <f t="shared" ca="1" si="46"/>
        <v/>
      </c>
      <c r="D453" s="124" t="str">
        <f t="shared" ca="1" si="47"/>
        <v/>
      </c>
      <c r="E453" s="124" t="str">
        <f t="shared" ca="1" si="48"/>
        <v/>
      </c>
      <c r="F453" s="172" t="str">
        <f ca="1">IF(C453="","",[1]!S_DQ_CLOSE(D453,TODAY(),1))</f>
        <v/>
      </c>
      <c r="G453" s="173" t="str">
        <f ca="1">IF(C453="","",[1]!s_pq_pctchange(D453,TODAY()-$G$12,TODAY())/100)</f>
        <v/>
      </c>
      <c r="H453" s="249" t="str">
        <f ca="1">IF(C453="","",IF($H$11="收入",[1]!S_STM07_IS(D453,9,$G$5,$H$13)/$E$5,[1]!S_STM07_IS(D453,48,$G$5,$H$13)/$E$5))</f>
        <v/>
      </c>
      <c r="I453" s="249" t="str">
        <f ca="1">IF(C453="","",IF($I$11="毛利率",([1]!S_STM07_IS(D453,9,$G$5,$H$13)-[1]!S_STM07_IS(D453,10,$G$5,$H$13))/[1]!S_STM07_IS(D453,9,$G$5,$H$13),[1]!S_STM07_IS(D453,14,$G$5,$H$13)/$E$5))</f>
        <v/>
      </c>
      <c r="J453" s="249" t="str">
        <f ca="1">IF(C453="","",IF($J$11="营业利润率",[1]!S_STM07_IS(D453,48,$G$5,$H$13)/[1]!S_STM07_IS(D453,9,$G$5,$H$13),([1]!S_STM07_CS(D453,87,$G$5,$H$13)+[1]!S_STM07_CS(D453,88,$G$5,$H$13)+[1]!S_STM07_CS(D453,89,$G$5,$H$13))/$E$5))</f>
        <v/>
      </c>
      <c r="K453" s="249" t="str">
        <f ca="1">IF(C453="","",IF($K$11="净利润率",[1]!S_STM07_IS(D453,61,$G$5,$H$13)/[1]!S_STM07_IS(D453,9,$G$5,$H$13),[1]!S_STM07_IS(D453,55,$G$5,$H$13)/$E$5))</f>
        <v/>
      </c>
      <c r="L453" s="249" t="str">
        <f ca="1">IF(C453="","",IF($L$11="ROA",[1]!S_STM07_IS(D453,61,$G$5,$H$13)/[1]!S_STM07_BS(D453,74,$G$5,$H$13),1-[1]!S_STM07_IS(D453,61,$G$5,$H$13)/[1]!S_STM07_IS(D453,55,$G$5,$H$13)))</f>
        <v/>
      </c>
      <c r="M453" s="249" t="str">
        <f ca="1">IF(C453="","",IF($M$11="ROE",[1]!S_STM07_IS(D453,61,$G$5,$H$13)/[1]!S_STM07_BS(D453,141,$G$5,$H$13),([1]!S_STM07_BS(D453,25,$G$5,$H$13)-[1]!S_STM07_BS(D453,93,$G$5,$H$13))/$E$5))</f>
        <v/>
      </c>
      <c r="N453" s="250" t="str">
        <f ca="1">IF(C453="","",IF($N$11="EPS",[1]!S_STM07_IS(D453,61,$G$5,$H$13)/IF([1]!S_SHARE_TOTAL(D453,$G$5)=0,[1]!S_SHARE_TOTAL(D453,[1]!s_ipo_listeddate(D453)),[1]!S_SHARE_TOTAL(D453,$G$5)),([1]!S_STM07_BS(D453,75,$G$5,$H$13)+[1]!S_STM07_BS(D453,88,$G$5,$H$13)+[1]!S_STM07_BS(D453,94,$G$5,$H$13)+[1]!S_STM07_BS(D453,95,$G$5,$H$13))/$E$5))</f>
        <v/>
      </c>
      <c r="O453" s="250" t="str">
        <f ca="1">IF(C453="","",IF($O$11="BPS",[1]!S_STM07_BS(D453,141,$G$5,$H$13)/IF([1]!S_SHARE_TOTAL(D453,$G$5)=0,[1]!S_SHARE_TOTAL(D453,[1]!s_ipo_listeddate(D453)),[1]!S_SHARE_TOTAL(D453,$G$5)),[1]!S_STM07_CS(D453,49,$G$5,$H$13)/$E$5))</f>
        <v/>
      </c>
      <c r="P453" s="250" t="str">
        <f ca="1">IF(C453="","",IF($P$11="CFPS",[1]!S_STM07_CS(D453,84,$G$5,$H$13)/IF([1]!S_SHARE_TOTAL(D453,$G$5)=0,[1]!S_SHARE_TOTAL(D453,[1]!s_ipo_listeddate(D453)),[1]!S_SHARE_TOTAL(D453,$G$5)),[1]!S_STM07_CS(D453,84,$G$5,$H$13)/$E$5))</f>
        <v/>
      </c>
      <c r="Q453" s="198" t="str">
        <f ca="1">IF(C453="","",F453/([1]!S_STM07_IS(D453,61,$G$5,$H$13)/IF([1]!S_SHARE_TOTAL(D453,$G$5)=0,[1]!S_SHARE_TOTAL(D453,[1]!s_ipo_listeddate(D453)),[1]!S_SHARE_TOTAL(D453,$G$5))))</f>
        <v/>
      </c>
      <c r="R453" s="198" t="str">
        <f ca="1">IF(C453="","",F453/([1]!S_STM07_BS(D453,141,$G$5,$H$13)/IF([1]!S_SHARE_TOTAL(D453,$G$5)=0,[1]!S_SHARE_TOTAL(D453,[1]!s_ipo_listeddate(D453)),[1]!S_SHARE_TOTAL(D453,$G$5))))</f>
        <v/>
      </c>
      <c r="S453" s="249" t="str">
        <f ca="1">IF(C453="","",[1]!S_SHARE_TOTAL(D453,TODAY())/$E$5)</f>
        <v/>
      </c>
      <c r="T453" s="249" t="str">
        <f t="shared" ca="1" si="49"/>
        <v/>
      </c>
      <c r="U453" s="172" t="str">
        <f t="shared" ca="1" si="50"/>
        <v/>
      </c>
      <c r="V453" s="343" t="str">
        <f t="shared" ca="1" si="51"/>
        <v/>
      </c>
      <c r="W453" s="139"/>
      <c r="Y453" s="1"/>
    </row>
    <row r="454" spans="3:25" ht="12" customHeight="1">
      <c r="C454" s="342" t="str">
        <f t="shared" ca="1" si="46"/>
        <v/>
      </c>
      <c r="D454" s="153" t="str">
        <f t="shared" ca="1" si="47"/>
        <v/>
      </c>
      <c r="E454" s="153" t="str">
        <f t="shared" ca="1" si="48"/>
        <v/>
      </c>
      <c r="F454" s="170" t="str">
        <f ca="1">IF(C454="","",[1]!S_DQ_CLOSE(D454,TODAY(),1))</f>
        <v/>
      </c>
      <c r="G454" s="171" t="str">
        <f ca="1">IF(C454="","",[1]!s_pq_pctchange(D454,TODAY()-$G$12,TODAY())/100)</f>
        <v/>
      </c>
      <c r="H454" s="247" t="str">
        <f ca="1">IF(C454="","",IF($H$11="收入",[1]!S_STM07_IS(D454,9,$G$5,$H$13)/$E$5,[1]!S_STM07_IS(D454,48,$G$5,$H$13)/$E$5))</f>
        <v/>
      </c>
      <c r="I454" s="247" t="str">
        <f ca="1">IF(C454="","",IF($I$11="毛利率",([1]!S_STM07_IS(D454,9,$G$5,$H$13)-[1]!S_STM07_IS(D454,10,$G$5,$H$13))/[1]!S_STM07_IS(D454,9,$G$5,$H$13),[1]!S_STM07_IS(D454,14,$G$5,$H$13)/$E$5))</f>
        <v/>
      </c>
      <c r="J454" s="247" t="str">
        <f ca="1">IF(C454="","",IF($J$11="营业利润率",[1]!S_STM07_IS(D454,48,$G$5,$H$13)/[1]!S_STM07_IS(D454,9,$G$5,$H$13),([1]!S_STM07_CS(D454,87,$G$5,$H$13)+[1]!S_STM07_CS(D454,88,$G$5,$H$13)+[1]!S_STM07_CS(D454,89,$G$5,$H$13))/$E$5))</f>
        <v/>
      </c>
      <c r="K454" s="247" t="str">
        <f ca="1">IF(C454="","",IF($K$11="净利润率",[1]!S_STM07_IS(D454,61,$G$5,$H$13)/[1]!S_STM07_IS(D454,9,$G$5,$H$13),[1]!S_STM07_IS(D454,55,$G$5,$H$13)/$E$5))</f>
        <v/>
      </c>
      <c r="L454" s="247" t="str">
        <f ca="1">IF(C454="","",IF($L$11="ROA",[1]!S_STM07_IS(D454,61,$G$5,$H$13)/[1]!S_STM07_BS(D454,74,$G$5,$H$13),1-[1]!S_STM07_IS(D454,61,$G$5,$H$13)/[1]!S_STM07_IS(D454,55,$G$5,$H$13)))</f>
        <v/>
      </c>
      <c r="M454" s="247" t="str">
        <f ca="1">IF(C454="","",IF($M$11="ROE",[1]!S_STM07_IS(D454,61,$G$5,$H$13)/[1]!S_STM07_BS(D454,141,$G$5,$H$13),([1]!S_STM07_BS(D454,25,$G$5,$H$13)-[1]!S_STM07_BS(D454,93,$G$5,$H$13))/$E$5))</f>
        <v/>
      </c>
      <c r="N454" s="247" t="str">
        <f ca="1">IF(C454="","",IF($N$11="EPS",[1]!S_STM07_IS(D454,61,$G$5,$H$13)/IF([1]!S_SHARE_TOTAL(D454,$G$5)=0,[1]!S_SHARE_TOTAL(D454,[1]!s_ipo_listeddate(D454)),[1]!S_SHARE_TOTAL(D454,$G$5)),([1]!S_STM07_BS(D454,75,$G$5,$H$13)+[1]!S_STM07_BS(D454,88,$G$5,$H$13)+[1]!S_STM07_BS(D454,94,$G$5,$H$13)+[1]!S_STM07_BS(D454,95,$G$5,$H$13))/$E$5))</f>
        <v/>
      </c>
      <c r="O454" s="247" t="str">
        <f ca="1">IF(C454="","",IF($O$11="BPS",[1]!S_STM07_BS(D454,141,$G$5,$H$13)/IF([1]!S_SHARE_TOTAL(D454,$G$5)=0,[1]!S_SHARE_TOTAL(D454,[1]!s_ipo_listeddate(D454)),[1]!S_SHARE_TOTAL(D454,$G$5)),[1]!S_STM07_CS(D454,49,$G$5,$H$13)/$E$5))</f>
        <v/>
      </c>
      <c r="P454" s="247" t="str">
        <f ca="1">IF(C454="","",IF($P$11="CFPS",[1]!S_STM07_CS(D454,84,$G$5,$H$13)/IF([1]!S_SHARE_TOTAL(D454,$G$5)=0,[1]!S_SHARE_TOTAL(D454,[1]!s_ipo_listeddate(D454)),[1]!S_SHARE_TOTAL(D454,$G$5)),[1]!S_STM07_CS(D454,84,$G$5,$H$13)/$E$5))</f>
        <v/>
      </c>
      <c r="Q454" s="248" t="str">
        <f ca="1">IF(C454="","",F454/([1]!S_STM07_IS(D454,61,$G$5,$H$13)/IF([1]!S_SHARE_TOTAL(D454,$G$5)=0,[1]!S_SHARE_TOTAL(D454,[1]!s_ipo_listeddate(D454)),[1]!S_SHARE_TOTAL(D454,$G$5))))</f>
        <v/>
      </c>
      <c r="R454" s="248" t="str">
        <f ca="1">IF(C454="","",F454/([1]!S_STM07_BS(D454,141,$G$5,$H$13)/IF([1]!S_SHARE_TOTAL(D454,$G$5)=0,[1]!S_SHARE_TOTAL(D454,[1]!s_ipo_listeddate(D454)),[1]!S_SHARE_TOTAL(D454,$G$5))))</f>
        <v/>
      </c>
      <c r="S454" s="247" t="str">
        <f ca="1">IF(C454="","",[1]!S_SHARE_TOTAL(D454,TODAY())/$E$5)</f>
        <v/>
      </c>
      <c r="T454" s="247" t="str">
        <f t="shared" ca="1" si="49"/>
        <v/>
      </c>
      <c r="U454" s="218" t="str">
        <f t="shared" ca="1" si="50"/>
        <v/>
      </c>
      <c r="V454" s="342" t="str">
        <f t="shared" ca="1" si="51"/>
        <v/>
      </c>
      <c r="W454" s="139"/>
      <c r="Y454" s="1"/>
    </row>
    <row r="455" spans="3:25" ht="12" customHeight="1">
      <c r="C455" s="343" t="str">
        <f t="shared" ca="1" si="46"/>
        <v/>
      </c>
      <c r="D455" s="124" t="str">
        <f t="shared" ca="1" si="47"/>
        <v/>
      </c>
      <c r="E455" s="124" t="str">
        <f t="shared" ca="1" si="48"/>
        <v/>
      </c>
      <c r="F455" s="172" t="str">
        <f ca="1">IF(C455="","",[1]!S_DQ_CLOSE(D455,TODAY(),1))</f>
        <v/>
      </c>
      <c r="G455" s="173" t="str">
        <f ca="1">IF(C455="","",[1]!s_pq_pctchange(D455,TODAY()-$G$12,TODAY())/100)</f>
        <v/>
      </c>
      <c r="H455" s="249" t="str">
        <f ca="1">IF(C455="","",IF($H$11="收入",[1]!S_STM07_IS(D455,9,$G$5,$H$13)/$E$5,[1]!S_STM07_IS(D455,48,$G$5,$H$13)/$E$5))</f>
        <v/>
      </c>
      <c r="I455" s="249" t="str">
        <f ca="1">IF(C455="","",IF($I$11="毛利率",([1]!S_STM07_IS(D455,9,$G$5,$H$13)-[1]!S_STM07_IS(D455,10,$G$5,$H$13))/[1]!S_STM07_IS(D455,9,$G$5,$H$13),[1]!S_STM07_IS(D455,14,$G$5,$H$13)/$E$5))</f>
        <v/>
      </c>
      <c r="J455" s="249" t="str">
        <f ca="1">IF(C455="","",IF($J$11="营业利润率",[1]!S_STM07_IS(D455,48,$G$5,$H$13)/[1]!S_STM07_IS(D455,9,$G$5,$H$13),([1]!S_STM07_CS(D455,87,$G$5,$H$13)+[1]!S_STM07_CS(D455,88,$G$5,$H$13)+[1]!S_STM07_CS(D455,89,$G$5,$H$13))/$E$5))</f>
        <v/>
      </c>
      <c r="K455" s="249" t="str">
        <f ca="1">IF(C455="","",IF($K$11="净利润率",[1]!S_STM07_IS(D455,61,$G$5,$H$13)/[1]!S_STM07_IS(D455,9,$G$5,$H$13),[1]!S_STM07_IS(D455,55,$G$5,$H$13)/$E$5))</f>
        <v/>
      </c>
      <c r="L455" s="249" t="str">
        <f ca="1">IF(C455="","",IF($L$11="ROA",[1]!S_STM07_IS(D455,61,$G$5,$H$13)/[1]!S_STM07_BS(D455,74,$G$5,$H$13),1-[1]!S_STM07_IS(D455,61,$G$5,$H$13)/[1]!S_STM07_IS(D455,55,$G$5,$H$13)))</f>
        <v/>
      </c>
      <c r="M455" s="249" t="str">
        <f ca="1">IF(C455="","",IF($M$11="ROE",[1]!S_STM07_IS(D455,61,$G$5,$H$13)/[1]!S_STM07_BS(D455,141,$G$5,$H$13),([1]!S_STM07_BS(D455,25,$G$5,$H$13)-[1]!S_STM07_BS(D455,93,$G$5,$H$13))/$E$5))</f>
        <v/>
      </c>
      <c r="N455" s="250" t="str">
        <f ca="1">IF(C455="","",IF($N$11="EPS",[1]!S_STM07_IS(D455,61,$G$5,$H$13)/IF([1]!S_SHARE_TOTAL(D455,$G$5)=0,[1]!S_SHARE_TOTAL(D455,[1]!s_ipo_listeddate(D455)),[1]!S_SHARE_TOTAL(D455,$G$5)),([1]!S_STM07_BS(D455,75,$G$5,$H$13)+[1]!S_STM07_BS(D455,88,$G$5,$H$13)+[1]!S_STM07_BS(D455,94,$G$5,$H$13)+[1]!S_STM07_BS(D455,95,$G$5,$H$13))/$E$5))</f>
        <v/>
      </c>
      <c r="O455" s="250" t="str">
        <f ca="1">IF(C455="","",IF($O$11="BPS",[1]!S_STM07_BS(D455,141,$G$5,$H$13)/IF([1]!S_SHARE_TOTAL(D455,$G$5)=0,[1]!S_SHARE_TOTAL(D455,[1]!s_ipo_listeddate(D455)),[1]!S_SHARE_TOTAL(D455,$G$5)),[1]!S_STM07_CS(D455,49,$G$5,$H$13)/$E$5))</f>
        <v/>
      </c>
      <c r="P455" s="250" t="str">
        <f ca="1">IF(C455="","",IF($P$11="CFPS",[1]!S_STM07_CS(D455,84,$G$5,$H$13)/IF([1]!S_SHARE_TOTAL(D455,$G$5)=0,[1]!S_SHARE_TOTAL(D455,[1]!s_ipo_listeddate(D455)),[1]!S_SHARE_TOTAL(D455,$G$5)),[1]!S_STM07_CS(D455,84,$G$5,$H$13)/$E$5))</f>
        <v/>
      </c>
      <c r="Q455" s="198" t="str">
        <f ca="1">IF(C455="","",F455/([1]!S_STM07_IS(D455,61,$G$5,$H$13)/IF([1]!S_SHARE_TOTAL(D455,$G$5)=0,[1]!S_SHARE_TOTAL(D455,[1]!s_ipo_listeddate(D455)),[1]!S_SHARE_TOTAL(D455,$G$5))))</f>
        <v/>
      </c>
      <c r="R455" s="198" t="str">
        <f ca="1">IF(C455="","",F455/([1]!S_STM07_BS(D455,141,$G$5,$H$13)/IF([1]!S_SHARE_TOTAL(D455,$G$5)=0,[1]!S_SHARE_TOTAL(D455,[1]!s_ipo_listeddate(D455)),[1]!S_SHARE_TOTAL(D455,$G$5))))</f>
        <v/>
      </c>
      <c r="S455" s="249" t="str">
        <f ca="1">IF(C455="","",[1]!S_SHARE_TOTAL(D455,TODAY())/$E$5)</f>
        <v/>
      </c>
      <c r="T455" s="249" t="str">
        <f t="shared" ca="1" si="49"/>
        <v/>
      </c>
      <c r="U455" s="172" t="str">
        <f t="shared" ca="1" si="50"/>
        <v/>
      </c>
      <c r="V455" s="343" t="str">
        <f t="shared" ca="1" si="51"/>
        <v/>
      </c>
      <c r="W455" s="139"/>
      <c r="Y455" s="1"/>
    </row>
    <row r="456" spans="3:25" ht="12" customHeight="1">
      <c r="C456" s="342" t="str">
        <f t="shared" ca="1" si="46"/>
        <v/>
      </c>
      <c r="D456" s="153" t="str">
        <f t="shared" ca="1" si="47"/>
        <v/>
      </c>
      <c r="E456" s="153" t="str">
        <f t="shared" ca="1" si="48"/>
        <v/>
      </c>
      <c r="F456" s="170" t="str">
        <f ca="1">IF(C456="","",[1]!S_DQ_CLOSE(D456,TODAY(),1))</f>
        <v/>
      </c>
      <c r="G456" s="171" t="str">
        <f ca="1">IF(C456="","",[1]!s_pq_pctchange(D456,TODAY()-$G$12,TODAY())/100)</f>
        <v/>
      </c>
      <c r="H456" s="247" t="str">
        <f ca="1">IF(C456="","",IF($H$11="收入",[1]!S_STM07_IS(D456,9,$G$5,$H$13)/$E$5,[1]!S_STM07_IS(D456,48,$G$5,$H$13)/$E$5))</f>
        <v/>
      </c>
      <c r="I456" s="247" t="str">
        <f ca="1">IF(C456="","",IF($I$11="毛利率",([1]!S_STM07_IS(D456,9,$G$5,$H$13)-[1]!S_STM07_IS(D456,10,$G$5,$H$13))/[1]!S_STM07_IS(D456,9,$G$5,$H$13),[1]!S_STM07_IS(D456,14,$G$5,$H$13)/$E$5))</f>
        <v/>
      </c>
      <c r="J456" s="247" t="str">
        <f ca="1">IF(C456="","",IF($J$11="营业利润率",[1]!S_STM07_IS(D456,48,$G$5,$H$13)/[1]!S_STM07_IS(D456,9,$G$5,$H$13),([1]!S_STM07_CS(D456,87,$G$5,$H$13)+[1]!S_STM07_CS(D456,88,$G$5,$H$13)+[1]!S_STM07_CS(D456,89,$G$5,$H$13))/$E$5))</f>
        <v/>
      </c>
      <c r="K456" s="247" t="str">
        <f ca="1">IF(C456="","",IF($K$11="净利润率",[1]!S_STM07_IS(D456,61,$G$5,$H$13)/[1]!S_STM07_IS(D456,9,$G$5,$H$13),[1]!S_STM07_IS(D456,55,$G$5,$H$13)/$E$5))</f>
        <v/>
      </c>
      <c r="L456" s="247" t="str">
        <f ca="1">IF(C456="","",IF($L$11="ROA",[1]!S_STM07_IS(D456,61,$G$5,$H$13)/[1]!S_STM07_BS(D456,74,$G$5,$H$13),1-[1]!S_STM07_IS(D456,61,$G$5,$H$13)/[1]!S_STM07_IS(D456,55,$G$5,$H$13)))</f>
        <v/>
      </c>
      <c r="M456" s="247" t="str">
        <f ca="1">IF(C456="","",IF($M$11="ROE",[1]!S_STM07_IS(D456,61,$G$5,$H$13)/[1]!S_STM07_BS(D456,141,$G$5,$H$13),([1]!S_STM07_BS(D456,25,$G$5,$H$13)-[1]!S_STM07_BS(D456,93,$G$5,$H$13))/$E$5))</f>
        <v/>
      </c>
      <c r="N456" s="247" t="str">
        <f ca="1">IF(C456="","",IF($N$11="EPS",[1]!S_STM07_IS(D456,61,$G$5,$H$13)/IF([1]!S_SHARE_TOTAL(D456,$G$5)=0,[1]!S_SHARE_TOTAL(D456,[1]!s_ipo_listeddate(D456)),[1]!S_SHARE_TOTAL(D456,$G$5)),([1]!S_STM07_BS(D456,75,$G$5,$H$13)+[1]!S_STM07_BS(D456,88,$G$5,$H$13)+[1]!S_STM07_BS(D456,94,$G$5,$H$13)+[1]!S_STM07_BS(D456,95,$G$5,$H$13))/$E$5))</f>
        <v/>
      </c>
      <c r="O456" s="247" t="str">
        <f ca="1">IF(C456="","",IF($O$11="BPS",[1]!S_STM07_BS(D456,141,$G$5,$H$13)/IF([1]!S_SHARE_TOTAL(D456,$G$5)=0,[1]!S_SHARE_TOTAL(D456,[1]!s_ipo_listeddate(D456)),[1]!S_SHARE_TOTAL(D456,$G$5)),[1]!S_STM07_CS(D456,49,$G$5,$H$13)/$E$5))</f>
        <v/>
      </c>
      <c r="P456" s="247" t="str">
        <f ca="1">IF(C456="","",IF($P$11="CFPS",[1]!S_STM07_CS(D456,84,$G$5,$H$13)/IF([1]!S_SHARE_TOTAL(D456,$G$5)=0,[1]!S_SHARE_TOTAL(D456,[1]!s_ipo_listeddate(D456)),[1]!S_SHARE_TOTAL(D456,$G$5)),[1]!S_STM07_CS(D456,84,$G$5,$H$13)/$E$5))</f>
        <v/>
      </c>
      <c r="Q456" s="248" t="str">
        <f ca="1">IF(C456="","",F456/([1]!S_STM07_IS(D456,61,$G$5,$H$13)/IF([1]!S_SHARE_TOTAL(D456,$G$5)=0,[1]!S_SHARE_TOTAL(D456,[1]!s_ipo_listeddate(D456)),[1]!S_SHARE_TOTAL(D456,$G$5))))</f>
        <v/>
      </c>
      <c r="R456" s="248" t="str">
        <f ca="1">IF(C456="","",F456/([1]!S_STM07_BS(D456,141,$G$5,$H$13)/IF([1]!S_SHARE_TOTAL(D456,$G$5)=0,[1]!S_SHARE_TOTAL(D456,[1]!s_ipo_listeddate(D456)),[1]!S_SHARE_TOTAL(D456,$G$5))))</f>
        <v/>
      </c>
      <c r="S456" s="247" t="str">
        <f ca="1">IF(C456="","",[1]!S_SHARE_TOTAL(D456,TODAY())/$E$5)</f>
        <v/>
      </c>
      <c r="T456" s="247" t="str">
        <f t="shared" ca="1" si="49"/>
        <v/>
      </c>
      <c r="U456" s="218" t="str">
        <f t="shared" ca="1" si="50"/>
        <v/>
      </c>
      <c r="V456" s="342" t="str">
        <f t="shared" ca="1" si="51"/>
        <v/>
      </c>
      <c r="W456" s="139"/>
      <c r="Y456" s="1"/>
    </row>
    <row r="457" spans="3:25" ht="12" customHeight="1">
      <c r="C457" s="343" t="str">
        <f t="shared" ca="1" si="46"/>
        <v/>
      </c>
      <c r="D457" s="124" t="str">
        <f t="shared" ca="1" si="47"/>
        <v/>
      </c>
      <c r="E457" s="124" t="str">
        <f t="shared" ca="1" si="48"/>
        <v/>
      </c>
      <c r="F457" s="172" t="str">
        <f ca="1">IF(C457="","",[1]!S_DQ_CLOSE(D457,TODAY(),1))</f>
        <v/>
      </c>
      <c r="G457" s="173" t="str">
        <f ca="1">IF(C457="","",[1]!s_pq_pctchange(D457,TODAY()-$G$12,TODAY())/100)</f>
        <v/>
      </c>
      <c r="H457" s="249" t="str">
        <f ca="1">IF(C457="","",IF($H$11="收入",[1]!S_STM07_IS(D457,9,$G$5,$H$13)/$E$5,[1]!S_STM07_IS(D457,48,$G$5,$H$13)/$E$5))</f>
        <v/>
      </c>
      <c r="I457" s="249" t="str">
        <f ca="1">IF(C457="","",IF($I$11="毛利率",([1]!S_STM07_IS(D457,9,$G$5,$H$13)-[1]!S_STM07_IS(D457,10,$G$5,$H$13))/[1]!S_STM07_IS(D457,9,$G$5,$H$13),[1]!S_STM07_IS(D457,14,$G$5,$H$13)/$E$5))</f>
        <v/>
      </c>
      <c r="J457" s="249" t="str">
        <f ca="1">IF(C457="","",IF($J$11="营业利润率",[1]!S_STM07_IS(D457,48,$G$5,$H$13)/[1]!S_STM07_IS(D457,9,$G$5,$H$13),([1]!S_STM07_CS(D457,87,$G$5,$H$13)+[1]!S_STM07_CS(D457,88,$G$5,$H$13)+[1]!S_STM07_CS(D457,89,$G$5,$H$13))/$E$5))</f>
        <v/>
      </c>
      <c r="K457" s="249" t="str">
        <f ca="1">IF(C457="","",IF($K$11="净利润率",[1]!S_STM07_IS(D457,61,$G$5,$H$13)/[1]!S_STM07_IS(D457,9,$G$5,$H$13),[1]!S_STM07_IS(D457,55,$G$5,$H$13)/$E$5))</f>
        <v/>
      </c>
      <c r="L457" s="249" t="str">
        <f ca="1">IF(C457="","",IF($L$11="ROA",[1]!S_STM07_IS(D457,61,$G$5,$H$13)/[1]!S_STM07_BS(D457,74,$G$5,$H$13),1-[1]!S_STM07_IS(D457,61,$G$5,$H$13)/[1]!S_STM07_IS(D457,55,$G$5,$H$13)))</f>
        <v/>
      </c>
      <c r="M457" s="249" t="str">
        <f ca="1">IF(C457="","",IF($M$11="ROE",[1]!S_STM07_IS(D457,61,$G$5,$H$13)/[1]!S_STM07_BS(D457,141,$G$5,$H$13),([1]!S_STM07_BS(D457,25,$G$5,$H$13)-[1]!S_STM07_BS(D457,93,$G$5,$H$13))/$E$5))</f>
        <v/>
      </c>
      <c r="N457" s="250" t="str">
        <f ca="1">IF(C457="","",IF($N$11="EPS",[1]!S_STM07_IS(D457,61,$G$5,$H$13)/IF([1]!S_SHARE_TOTAL(D457,$G$5)=0,[1]!S_SHARE_TOTAL(D457,[1]!s_ipo_listeddate(D457)),[1]!S_SHARE_TOTAL(D457,$G$5)),([1]!S_STM07_BS(D457,75,$G$5,$H$13)+[1]!S_STM07_BS(D457,88,$G$5,$H$13)+[1]!S_STM07_BS(D457,94,$G$5,$H$13)+[1]!S_STM07_BS(D457,95,$G$5,$H$13))/$E$5))</f>
        <v/>
      </c>
      <c r="O457" s="250" t="str">
        <f ca="1">IF(C457="","",IF($O$11="BPS",[1]!S_STM07_BS(D457,141,$G$5,$H$13)/IF([1]!S_SHARE_TOTAL(D457,$G$5)=0,[1]!S_SHARE_TOTAL(D457,[1]!s_ipo_listeddate(D457)),[1]!S_SHARE_TOTAL(D457,$G$5)),[1]!S_STM07_CS(D457,49,$G$5,$H$13)/$E$5))</f>
        <v/>
      </c>
      <c r="P457" s="250" t="str">
        <f ca="1">IF(C457="","",IF($P$11="CFPS",[1]!S_STM07_CS(D457,84,$G$5,$H$13)/IF([1]!S_SHARE_TOTAL(D457,$G$5)=0,[1]!S_SHARE_TOTAL(D457,[1]!s_ipo_listeddate(D457)),[1]!S_SHARE_TOTAL(D457,$G$5)),[1]!S_STM07_CS(D457,84,$G$5,$H$13)/$E$5))</f>
        <v/>
      </c>
      <c r="Q457" s="198" t="str">
        <f ca="1">IF(C457="","",F457/([1]!S_STM07_IS(D457,61,$G$5,$H$13)/IF([1]!S_SHARE_TOTAL(D457,$G$5)=0,[1]!S_SHARE_TOTAL(D457,[1]!s_ipo_listeddate(D457)),[1]!S_SHARE_TOTAL(D457,$G$5))))</f>
        <v/>
      </c>
      <c r="R457" s="198" t="str">
        <f ca="1">IF(C457="","",F457/([1]!S_STM07_BS(D457,141,$G$5,$H$13)/IF([1]!S_SHARE_TOTAL(D457,$G$5)=0,[1]!S_SHARE_TOTAL(D457,[1]!s_ipo_listeddate(D457)),[1]!S_SHARE_TOTAL(D457,$G$5))))</f>
        <v/>
      </c>
      <c r="S457" s="249" t="str">
        <f ca="1">IF(C457="","",[1]!S_SHARE_TOTAL(D457,TODAY())/$E$5)</f>
        <v/>
      </c>
      <c r="T457" s="249" t="str">
        <f t="shared" ca="1" si="49"/>
        <v/>
      </c>
      <c r="U457" s="172" t="str">
        <f t="shared" ca="1" si="50"/>
        <v/>
      </c>
      <c r="V457" s="343" t="str">
        <f t="shared" ca="1" si="51"/>
        <v/>
      </c>
      <c r="W457" s="139"/>
      <c r="Y457" s="1"/>
    </row>
    <row r="458" spans="3:25" ht="12" customHeight="1">
      <c r="C458" s="342" t="str">
        <f t="shared" ca="1" si="46"/>
        <v/>
      </c>
      <c r="D458" s="153" t="str">
        <f t="shared" ca="1" si="47"/>
        <v/>
      </c>
      <c r="E458" s="153" t="str">
        <f t="shared" ca="1" si="48"/>
        <v/>
      </c>
      <c r="F458" s="170" t="str">
        <f ca="1">IF(C458="","",[1]!S_DQ_CLOSE(D458,TODAY(),1))</f>
        <v/>
      </c>
      <c r="G458" s="171" t="str">
        <f ca="1">IF(C458="","",[1]!s_pq_pctchange(D458,TODAY()-$G$12,TODAY())/100)</f>
        <v/>
      </c>
      <c r="H458" s="247" t="str">
        <f ca="1">IF(C458="","",IF($H$11="收入",[1]!S_STM07_IS(D458,9,$G$5,$H$13)/$E$5,[1]!S_STM07_IS(D458,48,$G$5,$H$13)/$E$5))</f>
        <v/>
      </c>
      <c r="I458" s="247" t="str">
        <f ca="1">IF(C458="","",IF($I$11="毛利率",([1]!S_STM07_IS(D458,9,$G$5,$H$13)-[1]!S_STM07_IS(D458,10,$G$5,$H$13))/[1]!S_STM07_IS(D458,9,$G$5,$H$13),[1]!S_STM07_IS(D458,14,$G$5,$H$13)/$E$5))</f>
        <v/>
      </c>
      <c r="J458" s="247" t="str">
        <f ca="1">IF(C458="","",IF($J$11="营业利润率",[1]!S_STM07_IS(D458,48,$G$5,$H$13)/[1]!S_STM07_IS(D458,9,$G$5,$H$13),([1]!S_STM07_CS(D458,87,$G$5,$H$13)+[1]!S_STM07_CS(D458,88,$G$5,$H$13)+[1]!S_STM07_CS(D458,89,$G$5,$H$13))/$E$5))</f>
        <v/>
      </c>
      <c r="K458" s="247" t="str">
        <f ca="1">IF(C458="","",IF($K$11="净利润率",[1]!S_STM07_IS(D458,61,$G$5,$H$13)/[1]!S_STM07_IS(D458,9,$G$5,$H$13),[1]!S_STM07_IS(D458,55,$G$5,$H$13)/$E$5))</f>
        <v/>
      </c>
      <c r="L458" s="247" t="str">
        <f ca="1">IF(C458="","",IF($L$11="ROA",[1]!S_STM07_IS(D458,61,$G$5,$H$13)/[1]!S_STM07_BS(D458,74,$G$5,$H$13),1-[1]!S_STM07_IS(D458,61,$G$5,$H$13)/[1]!S_STM07_IS(D458,55,$G$5,$H$13)))</f>
        <v/>
      </c>
      <c r="M458" s="247" t="str">
        <f ca="1">IF(C458="","",IF($M$11="ROE",[1]!S_STM07_IS(D458,61,$G$5,$H$13)/[1]!S_STM07_BS(D458,141,$G$5,$H$13),([1]!S_STM07_BS(D458,25,$G$5,$H$13)-[1]!S_STM07_BS(D458,93,$G$5,$H$13))/$E$5))</f>
        <v/>
      </c>
      <c r="N458" s="247" t="str">
        <f ca="1">IF(C458="","",IF($N$11="EPS",[1]!S_STM07_IS(D458,61,$G$5,$H$13)/IF([1]!S_SHARE_TOTAL(D458,$G$5)=0,[1]!S_SHARE_TOTAL(D458,[1]!s_ipo_listeddate(D458)),[1]!S_SHARE_TOTAL(D458,$G$5)),([1]!S_STM07_BS(D458,75,$G$5,$H$13)+[1]!S_STM07_BS(D458,88,$G$5,$H$13)+[1]!S_STM07_BS(D458,94,$G$5,$H$13)+[1]!S_STM07_BS(D458,95,$G$5,$H$13))/$E$5))</f>
        <v/>
      </c>
      <c r="O458" s="247" t="str">
        <f ca="1">IF(C458="","",IF($O$11="BPS",[1]!S_STM07_BS(D458,141,$G$5,$H$13)/IF([1]!S_SHARE_TOTAL(D458,$G$5)=0,[1]!S_SHARE_TOTAL(D458,[1]!s_ipo_listeddate(D458)),[1]!S_SHARE_TOTAL(D458,$G$5)),[1]!S_STM07_CS(D458,49,$G$5,$H$13)/$E$5))</f>
        <v/>
      </c>
      <c r="P458" s="247" t="str">
        <f ca="1">IF(C458="","",IF($P$11="CFPS",[1]!S_STM07_CS(D458,84,$G$5,$H$13)/IF([1]!S_SHARE_TOTAL(D458,$G$5)=0,[1]!S_SHARE_TOTAL(D458,[1]!s_ipo_listeddate(D458)),[1]!S_SHARE_TOTAL(D458,$G$5)),[1]!S_STM07_CS(D458,84,$G$5,$H$13)/$E$5))</f>
        <v/>
      </c>
      <c r="Q458" s="248" t="str">
        <f ca="1">IF(C458="","",F458/([1]!S_STM07_IS(D458,61,$G$5,$H$13)/IF([1]!S_SHARE_TOTAL(D458,$G$5)=0,[1]!S_SHARE_TOTAL(D458,[1]!s_ipo_listeddate(D458)),[1]!S_SHARE_TOTAL(D458,$G$5))))</f>
        <v/>
      </c>
      <c r="R458" s="248" t="str">
        <f ca="1">IF(C458="","",F458/([1]!S_STM07_BS(D458,141,$G$5,$H$13)/IF([1]!S_SHARE_TOTAL(D458,$G$5)=0,[1]!S_SHARE_TOTAL(D458,[1]!s_ipo_listeddate(D458)),[1]!S_SHARE_TOTAL(D458,$G$5))))</f>
        <v/>
      </c>
      <c r="S458" s="247" t="str">
        <f ca="1">IF(C458="","",[1]!S_SHARE_TOTAL(D458,TODAY())/$E$5)</f>
        <v/>
      </c>
      <c r="T458" s="247" t="str">
        <f t="shared" ca="1" si="49"/>
        <v/>
      </c>
      <c r="U458" s="218" t="str">
        <f t="shared" ca="1" si="50"/>
        <v/>
      </c>
      <c r="V458" s="342" t="str">
        <f t="shared" ca="1" si="51"/>
        <v/>
      </c>
      <c r="W458" s="139"/>
      <c r="Y458" s="1"/>
    </row>
    <row r="459" spans="3:25" ht="12" customHeight="1">
      <c r="C459" s="343" t="str">
        <f t="shared" ca="1" si="46"/>
        <v/>
      </c>
      <c r="D459" s="124" t="str">
        <f t="shared" ca="1" si="47"/>
        <v/>
      </c>
      <c r="E459" s="124" t="str">
        <f t="shared" ca="1" si="48"/>
        <v/>
      </c>
      <c r="F459" s="172" t="str">
        <f ca="1">IF(C459="","",[1]!S_DQ_CLOSE(D459,TODAY(),1))</f>
        <v/>
      </c>
      <c r="G459" s="173" t="str">
        <f ca="1">IF(C459="","",[1]!s_pq_pctchange(D459,TODAY()-$G$12,TODAY())/100)</f>
        <v/>
      </c>
      <c r="H459" s="249" t="str">
        <f ca="1">IF(C459="","",IF($H$11="收入",[1]!S_STM07_IS(D459,9,$G$5,$H$13)/$E$5,[1]!S_STM07_IS(D459,48,$G$5,$H$13)/$E$5))</f>
        <v/>
      </c>
      <c r="I459" s="249" t="str">
        <f ca="1">IF(C459="","",IF($I$11="毛利率",([1]!S_STM07_IS(D459,9,$G$5,$H$13)-[1]!S_STM07_IS(D459,10,$G$5,$H$13))/[1]!S_STM07_IS(D459,9,$G$5,$H$13),[1]!S_STM07_IS(D459,14,$G$5,$H$13)/$E$5))</f>
        <v/>
      </c>
      <c r="J459" s="249" t="str">
        <f ca="1">IF(C459="","",IF($J$11="营业利润率",[1]!S_STM07_IS(D459,48,$G$5,$H$13)/[1]!S_STM07_IS(D459,9,$G$5,$H$13),([1]!S_STM07_CS(D459,87,$G$5,$H$13)+[1]!S_STM07_CS(D459,88,$G$5,$H$13)+[1]!S_STM07_CS(D459,89,$G$5,$H$13))/$E$5))</f>
        <v/>
      </c>
      <c r="K459" s="249" t="str">
        <f ca="1">IF(C459="","",IF($K$11="净利润率",[1]!S_STM07_IS(D459,61,$G$5,$H$13)/[1]!S_STM07_IS(D459,9,$G$5,$H$13),[1]!S_STM07_IS(D459,55,$G$5,$H$13)/$E$5))</f>
        <v/>
      </c>
      <c r="L459" s="249" t="str">
        <f ca="1">IF(C459="","",IF($L$11="ROA",[1]!S_STM07_IS(D459,61,$G$5,$H$13)/[1]!S_STM07_BS(D459,74,$G$5,$H$13),1-[1]!S_STM07_IS(D459,61,$G$5,$H$13)/[1]!S_STM07_IS(D459,55,$G$5,$H$13)))</f>
        <v/>
      </c>
      <c r="M459" s="249" t="str">
        <f ca="1">IF(C459="","",IF($M$11="ROE",[1]!S_STM07_IS(D459,61,$G$5,$H$13)/[1]!S_STM07_BS(D459,141,$G$5,$H$13),([1]!S_STM07_BS(D459,25,$G$5,$H$13)-[1]!S_STM07_BS(D459,93,$G$5,$H$13))/$E$5))</f>
        <v/>
      </c>
      <c r="N459" s="250" t="str">
        <f ca="1">IF(C459="","",IF($N$11="EPS",[1]!S_STM07_IS(D459,61,$G$5,$H$13)/IF([1]!S_SHARE_TOTAL(D459,$G$5)=0,[1]!S_SHARE_TOTAL(D459,[1]!s_ipo_listeddate(D459)),[1]!S_SHARE_TOTAL(D459,$G$5)),([1]!S_STM07_BS(D459,75,$G$5,$H$13)+[1]!S_STM07_BS(D459,88,$G$5,$H$13)+[1]!S_STM07_BS(D459,94,$G$5,$H$13)+[1]!S_STM07_BS(D459,95,$G$5,$H$13))/$E$5))</f>
        <v/>
      </c>
      <c r="O459" s="250" t="str">
        <f ca="1">IF(C459="","",IF($O$11="BPS",[1]!S_STM07_BS(D459,141,$G$5,$H$13)/IF([1]!S_SHARE_TOTAL(D459,$G$5)=0,[1]!S_SHARE_TOTAL(D459,[1]!s_ipo_listeddate(D459)),[1]!S_SHARE_TOTAL(D459,$G$5)),[1]!S_STM07_CS(D459,49,$G$5,$H$13)/$E$5))</f>
        <v/>
      </c>
      <c r="P459" s="250" t="str">
        <f ca="1">IF(C459="","",IF($P$11="CFPS",[1]!S_STM07_CS(D459,84,$G$5,$H$13)/IF([1]!S_SHARE_TOTAL(D459,$G$5)=0,[1]!S_SHARE_TOTAL(D459,[1]!s_ipo_listeddate(D459)),[1]!S_SHARE_TOTAL(D459,$G$5)),[1]!S_STM07_CS(D459,84,$G$5,$H$13)/$E$5))</f>
        <v/>
      </c>
      <c r="Q459" s="198" t="str">
        <f ca="1">IF(C459="","",F459/([1]!S_STM07_IS(D459,61,$G$5,$H$13)/IF([1]!S_SHARE_TOTAL(D459,$G$5)=0,[1]!S_SHARE_TOTAL(D459,[1]!s_ipo_listeddate(D459)),[1]!S_SHARE_TOTAL(D459,$G$5))))</f>
        <v/>
      </c>
      <c r="R459" s="198" t="str">
        <f ca="1">IF(C459="","",F459/([1]!S_STM07_BS(D459,141,$G$5,$H$13)/IF([1]!S_SHARE_TOTAL(D459,$G$5)=0,[1]!S_SHARE_TOTAL(D459,[1]!s_ipo_listeddate(D459)),[1]!S_SHARE_TOTAL(D459,$G$5))))</f>
        <v/>
      </c>
      <c r="S459" s="249" t="str">
        <f ca="1">IF(C459="","",[1]!S_SHARE_TOTAL(D459,TODAY())/$E$5)</f>
        <v/>
      </c>
      <c r="T459" s="249" t="str">
        <f t="shared" ca="1" si="49"/>
        <v/>
      </c>
      <c r="U459" s="172" t="str">
        <f t="shared" ca="1" si="50"/>
        <v/>
      </c>
      <c r="V459" s="343" t="str">
        <f t="shared" ca="1" si="51"/>
        <v/>
      </c>
      <c r="W459" s="139"/>
      <c r="Y459" s="1"/>
    </row>
    <row r="460" spans="3:25" ht="12" customHeight="1">
      <c r="C460" s="342" t="str">
        <f t="shared" ca="1" si="46"/>
        <v/>
      </c>
      <c r="D460" s="153" t="str">
        <f t="shared" ca="1" si="47"/>
        <v/>
      </c>
      <c r="E460" s="153" t="str">
        <f t="shared" ca="1" si="48"/>
        <v/>
      </c>
      <c r="F460" s="170" t="str">
        <f ca="1">IF(C460="","",[1]!S_DQ_CLOSE(D460,TODAY(),1))</f>
        <v/>
      </c>
      <c r="G460" s="171" t="str">
        <f ca="1">IF(C460="","",[1]!s_pq_pctchange(D460,TODAY()-$G$12,TODAY())/100)</f>
        <v/>
      </c>
      <c r="H460" s="247" t="str">
        <f ca="1">IF(C460="","",IF($H$11="收入",[1]!S_STM07_IS(D460,9,$G$5,$H$13)/$E$5,[1]!S_STM07_IS(D460,48,$G$5,$H$13)/$E$5))</f>
        <v/>
      </c>
      <c r="I460" s="247" t="str">
        <f ca="1">IF(C460="","",IF($I$11="毛利率",([1]!S_STM07_IS(D460,9,$G$5,$H$13)-[1]!S_STM07_IS(D460,10,$G$5,$H$13))/[1]!S_STM07_IS(D460,9,$G$5,$H$13),[1]!S_STM07_IS(D460,14,$G$5,$H$13)/$E$5))</f>
        <v/>
      </c>
      <c r="J460" s="247" t="str">
        <f ca="1">IF(C460="","",IF($J$11="营业利润率",[1]!S_STM07_IS(D460,48,$G$5,$H$13)/[1]!S_STM07_IS(D460,9,$G$5,$H$13),([1]!S_STM07_CS(D460,87,$G$5,$H$13)+[1]!S_STM07_CS(D460,88,$G$5,$H$13)+[1]!S_STM07_CS(D460,89,$G$5,$H$13))/$E$5))</f>
        <v/>
      </c>
      <c r="K460" s="247" t="str">
        <f ca="1">IF(C460="","",IF($K$11="净利润率",[1]!S_STM07_IS(D460,61,$G$5,$H$13)/[1]!S_STM07_IS(D460,9,$G$5,$H$13),[1]!S_STM07_IS(D460,55,$G$5,$H$13)/$E$5))</f>
        <v/>
      </c>
      <c r="L460" s="247" t="str">
        <f ca="1">IF(C460="","",IF($L$11="ROA",[1]!S_STM07_IS(D460,61,$G$5,$H$13)/[1]!S_STM07_BS(D460,74,$G$5,$H$13),1-[1]!S_STM07_IS(D460,61,$G$5,$H$13)/[1]!S_STM07_IS(D460,55,$G$5,$H$13)))</f>
        <v/>
      </c>
      <c r="M460" s="247" t="str">
        <f ca="1">IF(C460="","",IF($M$11="ROE",[1]!S_STM07_IS(D460,61,$G$5,$H$13)/[1]!S_STM07_BS(D460,141,$G$5,$H$13),([1]!S_STM07_BS(D460,25,$G$5,$H$13)-[1]!S_STM07_BS(D460,93,$G$5,$H$13))/$E$5))</f>
        <v/>
      </c>
      <c r="N460" s="247" t="str">
        <f ca="1">IF(C460="","",IF($N$11="EPS",[1]!S_STM07_IS(D460,61,$G$5,$H$13)/IF([1]!S_SHARE_TOTAL(D460,$G$5)=0,[1]!S_SHARE_TOTAL(D460,[1]!s_ipo_listeddate(D460)),[1]!S_SHARE_TOTAL(D460,$G$5)),([1]!S_STM07_BS(D460,75,$G$5,$H$13)+[1]!S_STM07_BS(D460,88,$G$5,$H$13)+[1]!S_STM07_BS(D460,94,$G$5,$H$13)+[1]!S_STM07_BS(D460,95,$G$5,$H$13))/$E$5))</f>
        <v/>
      </c>
      <c r="O460" s="247" t="str">
        <f ca="1">IF(C460="","",IF($O$11="BPS",[1]!S_STM07_BS(D460,141,$G$5,$H$13)/IF([1]!S_SHARE_TOTAL(D460,$G$5)=0,[1]!S_SHARE_TOTAL(D460,[1]!s_ipo_listeddate(D460)),[1]!S_SHARE_TOTAL(D460,$G$5)),[1]!S_STM07_CS(D460,49,$G$5,$H$13)/$E$5))</f>
        <v/>
      </c>
      <c r="P460" s="247" t="str">
        <f ca="1">IF(C460="","",IF($P$11="CFPS",[1]!S_STM07_CS(D460,84,$G$5,$H$13)/IF([1]!S_SHARE_TOTAL(D460,$G$5)=0,[1]!S_SHARE_TOTAL(D460,[1]!s_ipo_listeddate(D460)),[1]!S_SHARE_TOTAL(D460,$G$5)),[1]!S_STM07_CS(D460,84,$G$5,$H$13)/$E$5))</f>
        <v/>
      </c>
      <c r="Q460" s="248" t="str">
        <f ca="1">IF(C460="","",F460/([1]!S_STM07_IS(D460,61,$G$5,$H$13)/IF([1]!S_SHARE_TOTAL(D460,$G$5)=0,[1]!S_SHARE_TOTAL(D460,[1]!s_ipo_listeddate(D460)),[1]!S_SHARE_TOTAL(D460,$G$5))))</f>
        <v/>
      </c>
      <c r="R460" s="248" t="str">
        <f ca="1">IF(C460="","",F460/([1]!S_STM07_BS(D460,141,$G$5,$H$13)/IF([1]!S_SHARE_TOTAL(D460,$G$5)=0,[1]!S_SHARE_TOTAL(D460,[1]!s_ipo_listeddate(D460)),[1]!S_SHARE_TOTAL(D460,$G$5))))</f>
        <v/>
      </c>
      <c r="S460" s="247" t="str">
        <f ca="1">IF(C460="","",[1]!S_SHARE_TOTAL(D460,TODAY())/$E$5)</f>
        <v/>
      </c>
      <c r="T460" s="247" t="str">
        <f t="shared" ca="1" si="49"/>
        <v/>
      </c>
      <c r="U460" s="218" t="str">
        <f t="shared" ca="1" si="50"/>
        <v/>
      </c>
      <c r="V460" s="342" t="str">
        <f t="shared" ca="1" si="51"/>
        <v/>
      </c>
      <c r="W460" s="139"/>
      <c r="Y460" s="1"/>
    </row>
    <row r="461" spans="3:25" ht="12" customHeight="1">
      <c r="C461" s="343" t="str">
        <f t="shared" ca="1" si="46"/>
        <v/>
      </c>
      <c r="D461" s="124" t="str">
        <f t="shared" ca="1" si="47"/>
        <v/>
      </c>
      <c r="E461" s="124" t="str">
        <f t="shared" ca="1" si="48"/>
        <v/>
      </c>
      <c r="F461" s="172" t="str">
        <f ca="1">IF(C461="","",[1]!S_DQ_CLOSE(D461,TODAY(),1))</f>
        <v/>
      </c>
      <c r="G461" s="173" t="str">
        <f ca="1">IF(C461="","",[1]!s_pq_pctchange(D461,TODAY()-$G$12,TODAY())/100)</f>
        <v/>
      </c>
      <c r="H461" s="249" t="str">
        <f ca="1">IF(C461="","",IF($H$11="收入",[1]!S_STM07_IS(D461,9,$G$5,$H$13)/$E$5,[1]!S_STM07_IS(D461,48,$G$5,$H$13)/$E$5))</f>
        <v/>
      </c>
      <c r="I461" s="249" t="str">
        <f ca="1">IF(C461="","",IF($I$11="毛利率",([1]!S_STM07_IS(D461,9,$G$5,$H$13)-[1]!S_STM07_IS(D461,10,$G$5,$H$13))/[1]!S_STM07_IS(D461,9,$G$5,$H$13),[1]!S_STM07_IS(D461,14,$G$5,$H$13)/$E$5))</f>
        <v/>
      </c>
      <c r="J461" s="249" t="str">
        <f ca="1">IF(C461="","",IF($J$11="营业利润率",[1]!S_STM07_IS(D461,48,$G$5,$H$13)/[1]!S_STM07_IS(D461,9,$G$5,$H$13),([1]!S_STM07_CS(D461,87,$G$5,$H$13)+[1]!S_STM07_CS(D461,88,$G$5,$H$13)+[1]!S_STM07_CS(D461,89,$G$5,$H$13))/$E$5))</f>
        <v/>
      </c>
      <c r="K461" s="249" t="str">
        <f ca="1">IF(C461="","",IF($K$11="净利润率",[1]!S_STM07_IS(D461,61,$G$5,$H$13)/[1]!S_STM07_IS(D461,9,$G$5,$H$13),[1]!S_STM07_IS(D461,55,$G$5,$H$13)/$E$5))</f>
        <v/>
      </c>
      <c r="L461" s="249" t="str">
        <f ca="1">IF(C461="","",IF($L$11="ROA",[1]!S_STM07_IS(D461,61,$G$5,$H$13)/[1]!S_STM07_BS(D461,74,$G$5,$H$13),1-[1]!S_STM07_IS(D461,61,$G$5,$H$13)/[1]!S_STM07_IS(D461,55,$G$5,$H$13)))</f>
        <v/>
      </c>
      <c r="M461" s="249" t="str">
        <f ca="1">IF(C461="","",IF($M$11="ROE",[1]!S_STM07_IS(D461,61,$G$5,$H$13)/[1]!S_STM07_BS(D461,141,$G$5,$H$13),([1]!S_STM07_BS(D461,25,$G$5,$H$13)-[1]!S_STM07_BS(D461,93,$G$5,$H$13))/$E$5))</f>
        <v/>
      </c>
      <c r="N461" s="250" t="str">
        <f ca="1">IF(C461="","",IF($N$11="EPS",[1]!S_STM07_IS(D461,61,$G$5,$H$13)/IF([1]!S_SHARE_TOTAL(D461,$G$5)=0,[1]!S_SHARE_TOTAL(D461,[1]!s_ipo_listeddate(D461)),[1]!S_SHARE_TOTAL(D461,$G$5)),([1]!S_STM07_BS(D461,75,$G$5,$H$13)+[1]!S_STM07_BS(D461,88,$G$5,$H$13)+[1]!S_STM07_BS(D461,94,$G$5,$H$13)+[1]!S_STM07_BS(D461,95,$G$5,$H$13))/$E$5))</f>
        <v/>
      </c>
      <c r="O461" s="250" t="str">
        <f ca="1">IF(C461="","",IF($O$11="BPS",[1]!S_STM07_BS(D461,141,$G$5,$H$13)/IF([1]!S_SHARE_TOTAL(D461,$G$5)=0,[1]!S_SHARE_TOTAL(D461,[1]!s_ipo_listeddate(D461)),[1]!S_SHARE_TOTAL(D461,$G$5)),[1]!S_STM07_CS(D461,49,$G$5,$H$13)/$E$5))</f>
        <v/>
      </c>
      <c r="P461" s="250" t="str">
        <f ca="1">IF(C461="","",IF($P$11="CFPS",[1]!S_STM07_CS(D461,84,$G$5,$H$13)/IF([1]!S_SHARE_TOTAL(D461,$G$5)=0,[1]!S_SHARE_TOTAL(D461,[1]!s_ipo_listeddate(D461)),[1]!S_SHARE_TOTAL(D461,$G$5)),[1]!S_STM07_CS(D461,84,$G$5,$H$13)/$E$5))</f>
        <v/>
      </c>
      <c r="Q461" s="198" t="str">
        <f ca="1">IF(C461="","",F461/([1]!S_STM07_IS(D461,61,$G$5,$H$13)/IF([1]!S_SHARE_TOTAL(D461,$G$5)=0,[1]!S_SHARE_TOTAL(D461,[1]!s_ipo_listeddate(D461)),[1]!S_SHARE_TOTAL(D461,$G$5))))</f>
        <v/>
      </c>
      <c r="R461" s="198" t="str">
        <f ca="1">IF(C461="","",F461/([1]!S_STM07_BS(D461,141,$G$5,$H$13)/IF([1]!S_SHARE_TOTAL(D461,$G$5)=0,[1]!S_SHARE_TOTAL(D461,[1]!s_ipo_listeddate(D461)),[1]!S_SHARE_TOTAL(D461,$G$5))))</f>
        <v/>
      </c>
      <c r="S461" s="249" t="str">
        <f ca="1">IF(C461="","",[1]!S_SHARE_TOTAL(D461,TODAY())/$E$5)</f>
        <v/>
      </c>
      <c r="T461" s="249" t="str">
        <f t="shared" ca="1" si="49"/>
        <v/>
      </c>
      <c r="U461" s="172" t="str">
        <f t="shared" ca="1" si="50"/>
        <v/>
      </c>
      <c r="V461" s="343" t="str">
        <f t="shared" ca="1" si="51"/>
        <v/>
      </c>
      <c r="W461" s="139"/>
      <c r="Y461" s="1"/>
    </row>
    <row r="462" spans="3:25" ht="12" customHeight="1">
      <c r="C462" s="342" t="str">
        <f t="shared" ref="C462:C525" ca="1" si="52">IF(ROW()-13&lt;=MAX(series),ROW()-13,"")</f>
        <v/>
      </c>
      <c r="D462" s="153" t="str">
        <f t="shared" ca="1" si="47"/>
        <v/>
      </c>
      <c r="E462" s="153" t="str">
        <f t="shared" ca="1" si="48"/>
        <v/>
      </c>
      <c r="F462" s="170" t="str">
        <f ca="1">IF(C462="","",[1]!S_DQ_CLOSE(D462,TODAY(),1))</f>
        <v/>
      </c>
      <c r="G462" s="171" t="str">
        <f ca="1">IF(C462="","",[1]!s_pq_pctchange(D462,TODAY()-$G$12,TODAY())/100)</f>
        <v/>
      </c>
      <c r="H462" s="247" t="str">
        <f ca="1">IF(C462="","",IF($H$11="收入",[1]!S_STM07_IS(D462,9,$G$5,$H$13)/$E$5,[1]!S_STM07_IS(D462,48,$G$5,$H$13)/$E$5))</f>
        <v/>
      </c>
      <c r="I462" s="247" t="str">
        <f ca="1">IF(C462="","",IF($I$11="毛利率",([1]!S_STM07_IS(D462,9,$G$5,$H$13)-[1]!S_STM07_IS(D462,10,$G$5,$H$13))/[1]!S_STM07_IS(D462,9,$G$5,$H$13),[1]!S_STM07_IS(D462,14,$G$5,$H$13)/$E$5))</f>
        <v/>
      </c>
      <c r="J462" s="247" t="str">
        <f ca="1">IF(C462="","",IF($J$11="营业利润率",[1]!S_STM07_IS(D462,48,$G$5,$H$13)/[1]!S_STM07_IS(D462,9,$G$5,$H$13),([1]!S_STM07_CS(D462,87,$G$5,$H$13)+[1]!S_STM07_CS(D462,88,$G$5,$H$13)+[1]!S_STM07_CS(D462,89,$G$5,$H$13))/$E$5))</f>
        <v/>
      </c>
      <c r="K462" s="247" t="str">
        <f ca="1">IF(C462="","",IF($K$11="净利润率",[1]!S_STM07_IS(D462,61,$G$5,$H$13)/[1]!S_STM07_IS(D462,9,$G$5,$H$13),[1]!S_STM07_IS(D462,55,$G$5,$H$13)/$E$5))</f>
        <v/>
      </c>
      <c r="L462" s="247" t="str">
        <f ca="1">IF(C462="","",IF($L$11="ROA",[1]!S_STM07_IS(D462,61,$G$5,$H$13)/[1]!S_STM07_BS(D462,74,$G$5,$H$13),1-[1]!S_STM07_IS(D462,61,$G$5,$H$13)/[1]!S_STM07_IS(D462,55,$G$5,$H$13)))</f>
        <v/>
      </c>
      <c r="M462" s="247" t="str">
        <f ca="1">IF(C462="","",IF($M$11="ROE",[1]!S_STM07_IS(D462,61,$G$5,$H$13)/[1]!S_STM07_BS(D462,141,$G$5,$H$13),([1]!S_STM07_BS(D462,25,$G$5,$H$13)-[1]!S_STM07_BS(D462,93,$G$5,$H$13))/$E$5))</f>
        <v/>
      </c>
      <c r="N462" s="247" t="str">
        <f ca="1">IF(C462="","",IF($N$11="EPS",[1]!S_STM07_IS(D462,61,$G$5,$H$13)/IF([1]!S_SHARE_TOTAL(D462,$G$5)=0,[1]!S_SHARE_TOTAL(D462,[1]!s_ipo_listeddate(D462)),[1]!S_SHARE_TOTAL(D462,$G$5)),([1]!S_STM07_BS(D462,75,$G$5,$H$13)+[1]!S_STM07_BS(D462,88,$G$5,$H$13)+[1]!S_STM07_BS(D462,94,$G$5,$H$13)+[1]!S_STM07_BS(D462,95,$G$5,$H$13))/$E$5))</f>
        <v/>
      </c>
      <c r="O462" s="247" t="str">
        <f ca="1">IF(C462="","",IF($O$11="BPS",[1]!S_STM07_BS(D462,141,$G$5,$H$13)/IF([1]!S_SHARE_TOTAL(D462,$G$5)=0,[1]!S_SHARE_TOTAL(D462,[1]!s_ipo_listeddate(D462)),[1]!S_SHARE_TOTAL(D462,$G$5)),[1]!S_STM07_CS(D462,49,$G$5,$H$13)/$E$5))</f>
        <v/>
      </c>
      <c r="P462" s="247" t="str">
        <f ca="1">IF(C462="","",IF($P$11="CFPS",[1]!S_STM07_CS(D462,84,$G$5,$H$13)/IF([1]!S_SHARE_TOTAL(D462,$G$5)=0,[1]!S_SHARE_TOTAL(D462,[1]!s_ipo_listeddate(D462)),[1]!S_SHARE_TOTAL(D462,$G$5)),[1]!S_STM07_CS(D462,84,$G$5,$H$13)/$E$5))</f>
        <v/>
      </c>
      <c r="Q462" s="248" t="str">
        <f ca="1">IF(C462="","",F462/([1]!S_STM07_IS(D462,61,$G$5,$H$13)/IF([1]!S_SHARE_TOTAL(D462,$G$5)=0,[1]!S_SHARE_TOTAL(D462,[1]!s_ipo_listeddate(D462)),[1]!S_SHARE_TOTAL(D462,$G$5))))</f>
        <v/>
      </c>
      <c r="R462" s="248" t="str">
        <f ca="1">IF(C462="","",F462/([1]!S_STM07_BS(D462,141,$G$5,$H$13)/IF([1]!S_SHARE_TOTAL(D462,$G$5)=0,[1]!S_SHARE_TOTAL(D462,[1]!s_ipo_listeddate(D462)),[1]!S_SHARE_TOTAL(D462,$G$5))))</f>
        <v/>
      </c>
      <c r="S462" s="247" t="str">
        <f ca="1">IF(C462="","",[1]!S_SHARE_TOTAL(D462,TODAY())/$E$5)</f>
        <v/>
      </c>
      <c r="T462" s="247" t="str">
        <f t="shared" ca="1" si="49"/>
        <v/>
      </c>
      <c r="U462" s="218" t="str">
        <f t="shared" ca="1" si="50"/>
        <v/>
      </c>
      <c r="V462" s="342" t="str">
        <f t="shared" ca="1" si="51"/>
        <v/>
      </c>
      <c r="W462" s="139"/>
      <c r="Y462" s="1"/>
    </row>
    <row r="463" spans="3:25" ht="12" customHeight="1">
      <c r="C463" s="343" t="str">
        <f t="shared" ca="1" si="52"/>
        <v/>
      </c>
      <c r="D463" s="124" t="str">
        <f t="shared" ca="1" si="47"/>
        <v/>
      </c>
      <c r="E463" s="124" t="str">
        <f t="shared" ca="1" si="48"/>
        <v/>
      </c>
      <c r="F463" s="172" t="str">
        <f ca="1">IF(C463="","",[1]!S_DQ_CLOSE(D463,TODAY(),1))</f>
        <v/>
      </c>
      <c r="G463" s="173" t="str">
        <f ca="1">IF(C463="","",[1]!s_pq_pctchange(D463,TODAY()-$G$12,TODAY())/100)</f>
        <v/>
      </c>
      <c r="H463" s="249" t="str">
        <f ca="1">IF(C463="","",IF($H$11="收入",[1]!S_STM07_IS(D463,9,$G$5,$H$13)/$E$5,[1]!S_STM07_IS(D463,48,$G$5,$H$13)/$E$5))</f>
        <v/>
      </c>
      <c r="I463" s="249" t="str">
        <f ca="1">IF(C463="","",IF($I$11="毛利率",([1]!S_STM07_IS(D463,9,$G$5,$H$13)-[1]!S_STM07_IS(D463,10,$G$5,$H$13))/[1]!S_STM07_IS(D463,9,$G$5,$H$13),[1]!S_STM07_IS(D463,14,$G$5,$H$13)/$E$5))</f>
        <v/>
      </c>
      <c r="J463" s="249" t="str">
        <f ca="1">IF(C463="","",IF($J$11="营业利润率",[1]!S_STM07_IS(D463,48,$G$5,$H$13)/[1]!S_STM07_IS(D463,9,$G$5,$H$13),([1]!S_STM07_CS(D463,87,$G$5,$H$13)+[1]!S_STM07_CS(D463,88,$G$5,$H$13)+[1]!S_STM07_CS(D463,89,$G$5,$H$13))/$E$5))</f>
        <v/>
      </c>
      <c r="K463" s="249" t="str">
        <f ca="1">IF(C463="","",IF($K$11="净利润率",[1]!S_STM07_IS(D463,61,$G$5,$H$13)/[1]!S_STM07_IS(D463,9,$G$5,$H$13),[1]!S_STM07_IS(D463,55,$G$5,$H$13)/$E$5))</f>
        <v/>
      </c>
      <c r="L463" s="249" t="str">
        <f ca="1">IF(C463="","",IF($L$11="ROA",[1]!S_STM07_IS(D463,61,$G$5,$H$13)/[1]!S_STM07_BS(D463,74,$G$5,$H$13),1-[1]!S_STM07_IS(D463,61,$G$5,$H$13)/[1]!S_STM07_IS(D463,55,$G$5,$H$13)))</f>
        <v/>
      </c>
      <c r="M463" s="249" t="str">
        <f ca="1">IF(C463="","",IF($M$11="ROE",[1]!S_STM07_IS(D463,61,$G$5,$H$13)/[1]!S_STM07_BS(D463,141,$G$5,$H$13),([1]!S_STM07_BS(D463,25,$G$5,$H$13)-[1]!S_STM07_BS(D463,93,$G$5,$H$13))/$E$5))</f>
        <v/>
      </c>
      <c r="N463" s="250" t="str">
        <f ca="1">IF(C463="","",IF($N$11="EPS",[1]!S_STM07_IS(D463,61,$G$5,$H$13)/IF([1]!S_SHARE_TOTAL(D463,$G$5)=0,[1]!S_SHARE_TOTAL(D463,[1]!s_ipo_listeddate(D463)),[1]!S_SHARE_TOTAL(D463,$G$5)),([1]!S_STM07_BS(D463,75,$G$5,$H$13)+[1]!S_STM07_BS(D463,88,$G$5,$H$13)+[1]!S_STM07_BS(D463,94,$G$5,$H$13)+[1]!S_STM07_BS(D463,95,$G$5,$H$13))/$E$5))</f>
        <v/>
      </c>
      <c r="O463" s="250" t="str">
        <f ca="1">IF(C463="","",IF($O$11="BPS",[1]!S_STM07_BS(D463,141,$G$5,$H$13)/IF([1]!S_SHARE_TOTAL(D463,$G$5)=0,[1]!S_SHARE_TOTAL(D463,[1]!s_ipo_listeddate(D463)),[1]!S_SHARE_TOTAL(D463,$G$5)),[1]!S_STM07_CS(D463,49,$G$5,$H$13)/$E$5))</f>
        <v/>
      </c>
      <c r="P463" s="250" t="str">
        <f ca="1">IF(C463="","",IF($P$11="CFPS",[1]!S_STM07_CS(D463,84,$G$5,$H$13)/IF([1]!S_SHARE_TOTAL(D463,$G$5)=0,[1]!S_SHARE_TOTAL(D463,[1]!s_ipo_listeddate(D463)),[1]!S_SHARE_TOTAL(D463,$G$5)),[1]!S_STM07_CS(D463,84,$G$5,$H$13)/$E$5))</f>
        <v/>
      </c>
      <c r="Q463" s="198" t="str">
        <f ca="1">IF(C463="","",F463/([1]!S_STM07_IS(D463,61,$G$5,$H$13)/IF([1]!S_SHARE_TOTAL(D463,$G$5)=0,[1]!S_SHARE_TOTAL(D463,[1]!s_ipo_listeddate(D463)),[1]!S_SHARE_TOTAL(D463,$G$5))))</f>
        <v/>
      </c>
      <c r="R463" s="198" t="str">
        <f ca="1">IF(C463="","",F463/([1]!S_STM07_BS(D463,141,$G$5,$H$13)/IF([1]!S_SHARE_TOTAL(D463,$G$5)=0,[1]!S_SHARE_TOTAL(D463,[1]!s_ipo_listeddate(D463)),[1]!S_SHARE_TOTAL(D463,$G$5))))</f>
        <v/>
      </c>
      <c r="S463" s="249" t="str">
        <f ca="1">IF(C463="","",[1]!S_SHARE_TOTAL(D463,TODAY())/$E$5)</f>
        <v/>
      </c>
      <c r="T463" s="249" t="str">
        <f t="shared" ca="1" si="49"/>
        <v/>
      </c>
      <c r="U463" s="172" t="str">
        <f t="shared" ca="1" si="50"/>
        <v/>
      </c>
      <c r="V463" s="343" t="str">
        <f t="shared" ca="1" si="51"/>
        <v/>
      </c>
      <c r="W463" s="139"/>
      <c r="Y463" s="1"/>
    </row>
    <row r="464" spans="3:25" ht="12" customHeight="1">
      <c r="C464" s="342" t="str">
        <f t="shared" ca="1" si="52"/>
        <v/>
      </c>
      <c r="D464" s="153" t="str">
        <f t="shared" ca="1" si="47"/>
        <v/>
      </c>
      <c r="E464" s="153" t="str">
        <f t="shared" ca="1" si="48"/>
        <v/>
      </c>
      <c r="F464" s="170" t="str">
        <f ca="1">IF(C464="","",[1]!S_DQ_CLOSE(D464,TODAY(),1))</f>
        <v/>
      </c>
      <c r="G464" s="171" t="str">
        <f ca="1">IF(C464="","",[1]!s_pq_pctchange(D464,TODAY()-$G$12,TODAY())/100)</f>
        <v/>
      </c>
      <c r="H464" s="247" t="str">
        <f ca="1">IF(C464="","",IF($H$11="收入",[1]!S_STM07_IS(D464,9,$G$5,$H$13)/$E$5,[1]!S_STM07_IS(D464,48,$G$5,$H$13)/$E$5))</f>
        <v/>
      </c>
      <c r="I464" s="247" t="str">
        <f ca="1">IF(C464="","",IF($I$11="毛利率",([1]!S_STM07_IS(D464,9,$G$5,$H$13)-[1]!S_STM07_IS(D464,10,$G$5,$H$13))/[1]!S_STM07_IS(D464,9,$G$5,$H$13),[1]!S_STM07_IS(D464,14,$G$5,$H$13)/$E$5))</f>
        <v/>
      </c>
      <c r="J464" s="247" t="str">
        <f ca="1">IF(C464="","",IF($J$11="营业利润率",[1]!S_STM07_IS(D464,48,$G$5,$H$13)/[1]!S_STM07_IS(D464,9,$G$5,$H$13),([1]!S_STM07_CS(D464,87,$G$5,$H$13)+[1]!S_STM07_CS(D464,88,$G$5,$H$13)+[1]!S_STM07_CS(D464,89,$G$5,$H$13))/$E$5))</f>
        <v/>
      </c>
      <c r="K464" s="247" t="str">
        <f ca="1">IF(C464="","",IF($K$11="净利润率",[1]!S_STM07_IS(D464,61,$G$5,$H$13)/[1]!S_STM07_IS(D464,9,$G$5,$H$13),[1]!S_STM07_IS(D464,55,$G$5,$H$13)/$E$5))</f>
        <v/>
      </c>
      <c r="L464" s="247" t="str">
        <f ca="1">IF(C464="","",IF($L$11="ROA",[1]!S_STM07_IS(D464,61,$G$5,$H$13)/[1]!S_STM07_BS(D464,74,$G$5,$H$13),1-[1]!S_STM07_IS(D464,61,$G$5,$H$13)/[1]!S_STM07_IS(D464,55,$G$5,$H$13)))</f>
        <v/>
      </c>
      <c r="M464" s="247" t="str">
        <f ca="1">IF(C464="","",IF($M$11="ROE",[1]!S_STM07_IS(D464,61,$G$5,$H$13)/[1]!S_STM07_BS(D464,141,$G$5,$H$13),([1]!S_STM07_BS(D464,25,$G$5,$H$13)-[1]!S_STM07_BS(D464,93,$G$5,$H$13))/$E$5))</f>
        <v/>
      </c>
      <c r="N464" s="247" t="str">
        <f ca="1">IF(C464="","",IF($N$11="EPS",[1]!S_STM07_IS(D464,61,$G$5,$H$13)/IF([1]!S_SHARE_TOTAL(D464,$G$5)=0,[1]!S_SHARE_TOTAL(D464,[1]!s_ipo_listeddate(D464)),[1]!S_SHARE_TOTAL(D464,$G$5)),([1]!S_STM07_BS(D464,75,$G$5,$H$13)+[1]!S_STM07_BS(D464,88,$G$5,$H$13)+[1]!S_STM07_BS(D464,94,$G$5,$H$13)+[1]!S_STM07_BS(D464,95,$G$5,$H$13))/$E$5))</f>
        <v/>
      </c>
      <c r="O464" s="247" t="str">
        <f ca="1">IF(C464="","",IF($O$11="BPS",[1]!S_STM07_BS(D464,141,$G$5,$H$13)/IF([1]!S_SHARE_TOTAL(D464,$G$5)=0,[1]!S_SHARE_TOTAL(D464,[1]!s_ipo_listeddate(D464)),[1]!S_SHARE_TOTAL(D464,$G$5)),[1]!S_STM07_CS(D464,49,$G$5,$H$13)/$E$5))</f>
        <v/>
      </c>
      <c r="P464" s="247" t="str">
        <f ca="1">IF(C464="","",IF($P$11="CFPS",[1]!S_STM07_CS(D464,84,$G$5,$H$13)/IF([1]!S_SHARE_TOTAL(D464,$G$5)=0,[1]!S_SHARE_TOTAL(D464,[1]!s_ipo_listeddate(D464)),[1]!S_SHARE_TOTAL(D464,$G$5)),[1]!S_STM07_CS(D464,84,$G$5,$H$13)/$E$5))</f>
        <v/>
      </c>
      <c r="Q464" s="248" t="str">
        <f ca="1">IF(C464="","",F464/([1]!S_STM07_IS(D464,61,$G$5,$H$13)/IF([1]!S_SHARE_TOTAL(D464,$G$5)=0,[1]!S_SHARE_TOTAL(D464,[1]!s_ipo_listeddate(D464)),[1]!S_SHARE_TOTAL(D464,$G$5))))</f>
        <v/>
      </c>
      <c r="R464" s="248" t="str">
        <f ca="1">IF(C464="","",F464/([1]!S_STM07_BS(D464,141,$G$5,$H$13)/IF([1]!S_SHARE_TOTAL(D464,$G$5)=0,[1]!S_SHARE_TOTAL(D464,[1]!s_ipo_listeddate(D464)),[1]!S_SHARE_TOTAL(D464,$G$5))))</f>
        <v/>
      </c>
      <c r="S464" s="247" t="str">
        <f ca="1">IF(C464="","",[1]!S_SHARE_TOTAL(D464,TODAY())/$E$5)</f>
        <v/>
      </c>
      <c r="T464" s="247" t="str">
        <f t="shared" ca="1" si="49"/>
        <v/>
      </c>
      <c r="U464" s="218" t="str">
        <f t="shared" ca="1" si="50"/>
        <v/>
      </c>
      <c r="V464" s="342" t="str">
        <f t="shared" ca="1" si="51"/>
        <v/>
      </c>
      <c r="W464" s="139"/>
      <c r="Y464" s="1"/>
    </row>
    <row r="465" spans="3:25" ht="12" customHeight="1">
      <c r="C465" s="343" t="str">
        <f t="shared" ca="1" si="52"/>
        <v/>
      </c>
      <c r="D465" s="124" t="str">
        <f t="shared" ca="1" si="47"/>
        <v/>
      </c>
      <c r="E465" s="124" t="str">
        <f t="shared" ca="1" si="48"/>
        <v/>
      </c>
      <c r="F465" s="172" t="str">
        <f ca="1">IF(C465="","",[1]!S_DQ_CLOSE(D465,TODAY(),1))</f>
        <v/>
      </c>
      <c r="G465" s="173" t="str">
        <f ca="1">IF(C465="","",[1]!s_pq_pctchange(D465,TODAY()-$G$12,TODAY())/100)</f>
        <v/>
      </c>
      <c r="H465" s="249" t="str">
        <f ca="1">IF(C465="","",IF($H$11="收入",[1]!S_STM07_IS(D465,9,$G$5,$H$13)/$E$5,[1]!S_STM07_IS(D465,48,$G$5,$H$13)/$E$5))</f>
        <v/>
      </c>
      <c r="I465" s="249" t="str">
        <f ca="1">IF(C465="","",IF($I$11="毛利率",([1]!S_STM07_IS(D465,9,$G$5,$H$13)-[1]!S_STM07_IS(D465,10,$G$5,$H$13))/[1]!S_STM07_IS(D465,9,$G$5,$H$13),[1]!S_STM07_IS(D465,14,$G$5,$H$13)/$E$5))</f>
        <v/>
      </c>
      <c r="J465" s="249" t="str">
        <f ca="1">IF(C465="","",IF($J$11="营业利润率",[1]!S_STM07_IS(D465,48,$G$5,$H$13)/[1]!S_STM07_IS(D465,9,$G$5,$H$13),([1]!S_STM07_CS(D465,87,$G$5,$H$13)+[1]!S_STM07_CS(D465,88,$G$5,$H$13)+[1]!S_STM07_CS(D465,89,$G$5,$H$13))/$E$5))</f>
        <v/>
      </c>
      <c r="K465" s="249" t="str">
        <f ca="1">IF(C465="","",IF($K$11="净利润率",[1]!S_STM07_IS(D465,61,$G$5,$H$13)/[1]!S_STM07_IS(D465,9,$G$5,$H$13),[1]!S_STM07_IS(D465,55,$G$5,$H$13)/$E$5))</f>
        <v/>
      </c>
      <c r="L465" s="249" t="str">
        <f ca="1">IF(C465="","",IF($L$11="ROA",[1]!S_STM07_IS(D465,61,$G$5,$H$13)/[1]!S_STM07_BS(D465,74,$G$5,$H$13),1-[1]!S_STM07_IS(D465,61,$G$5,$H$13)/[1]!S_STM07_IS(D465,55,$G$5,$H$13)))</f>
        <v/>
      </c>
      <c r="M465" s="249" t="str">
        <f ca="1">IF(C465="","",IF($M$11="ROE",[1]!S_STM07_IS(D465,61,$G$5,$H$13)/[1]!S_STM07_BS(D465,141,$G$5,$H$13),([1]!S_STM07_BS(D465,25,$G$5,$H$13)-[1]!S_STM07_BS(D465,93,$G$5,$H$13))/$E$5))</f>
        <v/>
      </c>
      <c r="N465" s="250" t="str">
        <f ca="1">IF(C465="","",IF($N$11="EPS",[1]!S_STM07_IS(D465,61,$G$5,$H$13)/IF([1]!S_SHARE_TOTAL(D465,$G$5)=0,[1]!S_SHARE_TOTAL(D465,[1]!s_ipo_listeddate(D465)),[1]!S_SHARE_TOTAL(D465,$G$5)),([1]!S_STM07_BS(D465,75,$G$5,$H$13)+[1]!S_STM07_BS(D465,88,$G$5,$H$13)+[1]!S_STM07_BS(D465,94,$G$5,$H$13)+[1]!S_STM07_BS(D465,95,$G$5,$H$13))/$E$5))</f>
        <v/>
      </c>
      <c r="O465" s="250" t="str">
        <f ca="1">IF(C465="","",IF($O$11="BPS",[1]!S_STM07_BS(D465,141,$G$5,$H$13)/IF([1]!S_SHARE_TOTAL(D465,$G$5)=0,[1]!S_SHARE_TOTAL(D465,[1]!s_ipo_listeddate(D465)),[1]!S_SHARE_TOTAL(D465,$G$5)),[1]!S_STM07_CS(D465,49,$G$5,$H$13)/$E$5))</f>
        <v/>
      </c>
      <c r="P465" s="250" t="str">
        <f ca="1">IF(C465="","",IF($P$11="CFPS",[1]!S_STM07_CS(D465,84,$G$5,$H$13)/IF([1]!S_SHARE_TOTAL(D465,$G$5)=0,[1]!S_SHARE_TOTAL(D465,[1]!s_ipo_listeddate(D465)),[1]!S_SHARE_TOTAL(D465,$G$5)),[1]!S_STM07_CS(D465,84,$G$5,$H$13)/$E$5))</f>
        <v/>
      </c>
      <c r="Q465" s="198" t="str">
        <f ca="1">IF(C465="","",F465/([1]!S_STM07_IS(D465,61,$G$5,$H$13)/IF([1]!S_SHARE_TOTAL(D465,$G$5)=0,[1]!S_SHARE_TOTAL(D465,[1]!s_ipo_listeddate(D465)),[1]!S_SHARE_TOTAL(D465,$G$5))))</f>
        <v/>
      </c>
      <c r="R465" s="198" t="str">
        <f ca="1">IF(C465="","",F465/([1]!S_STM07_BS(D465,141,$G$5,$H$13)/IF([1]!S_SHARE_TOTAL(D465,$G$5)=0,[1]!S_SHARE_TOTAL(D465,[1]!s_ipo_listeddate(D465)),[1]!S_SHARE_TOTAL(D465,$G$5))))</f>
        <v/>
      </c>
      <c r="S465" s="249" t="str">
        <f ca="1">IF(C465="","",[1]!S_SHARE_TOTAL(D465,TODAY())/$E$5)</f>
        <v/>
      </c>
      <c r="T465" s="249" t="str">
        <f t="shared" ca="1" si="49"/>
        <v/>
      </c>
      <c r="U465" s="172" t="str">
        <f t="shared" ca="1" si="50"/>
        <v/>
      </c>
      <c r="V465" s="343" t="str">
        <f t="shared" ca="1" si="51"/>
        <v/>
      </c>
      <c r="W465" s="139"/>
      <c r="Y465" s="1"/>
    </row>
    <row r="466" spans="3:25" ht="12" customHeight="1">
      <c r="C466" s="342" t="str">
        <f t="shared" ca="1" si="52"/>
        <v/>
      </c>
      <c r="D466" s="153" t="str">
        <f t="shared" ca="1" si="47"/>
        <v/>
      </c>
      <c r="E466" s="153" t="str">
        <f t="shared" ca="1" si="48"/>
        <v/>
      </c>
      <c r="F466" s="170" t="str">
        <f ca="1">IF(C466="","",[1]!S_DQ_CLOSE(D466,TODAY(),1))</f>
        <v/>
      </c>
      <c r="G466" s="171" t="str">
        <f ca="1">IF(C466="","",[1]!s_pq_pctchange(D466,TODAY()-$G$12,TODAY())/100)</f>
        <v/>
      </c>
      <c r="H466" s="247" t="str">
        <f ca="1">IF(C466="","",IF($H$11="收入",[1]!S_STM07_IS(D466,9,$G$5,$H$13)/$E$5,[1]!S_STM07_IS(D466,48,$G$5,$H$13)/$E$5))</f>
        <v/>
      </c>
      <c r="I466" s="247" t="str">
        <f ca="1">IF(C466="","",IF($I$11="毛利率",([1]!S_STM07_IS(D466,9,$G$5,$H$13)-[1]!S_STM07_IS(D466,10,$G$5,$H$13))/[1]!S_STM07_IS(D466,9,$G$5,$H$13),[1]!S_STM07_IS(D466,14,$G$5,$H$13)/$E$5))</f>
        <v/>
      </c>
      <c r="J466" s="247" t="str">
        <f ca="1">IF(C466="","",IF($J$11="营业利润率",[1]!S_STM07_IS(D466,48,$G$5,$H$13)/[1]!S_STM07_IS(D466,9,$G$5,$H$13),([1]!S_STM07_CS(D466,87,$G$5,$H$13)+[1]!S_STM07_CS(D466,88,$G$5,$H$13)+[1]!S_STM07_CS(D466,89,$G$5,$H$13))/$E$5))</f>
        <v/>
      </c>
      <c r="K466" s="247" t="str">
        <f ca="1">IF(C466="","",IF($K$11="净利润率",[1]!S_STM07_IS(D466,61,$G$5,$H$13)/[1]!S_STM07_IS(D466,9,$G$5,$H$13),[1]!S_STM07_IS(D466,55,$G$5,$H$13)/$E$5))</f>
        <v/>
      </c>
      <c r="L466" s="247" t="str">
        <f ca="1">IF(C466="","",IF($L$11="ROA",[1]!S_STM07_IS(D466,61,$G$5,$H$13)/[1]!S_STM07_BS(D466,74,$G$5,$H$13),1-[1]!S_STM07_IS(D466,61,$G$5,$H$13)/[1]!S_STM07_IS(D466,55,$G$5,$H$13)))</f>
        <v/>
      </c>
      <c r="M466" s="247" t="str">
        <f ca="1">IF(C466="","",IF($M$11="ROE",[1]!S_STM07_IS(D466,61,$G$5,$H$13)/[1]!S_STM07_BS(D466,141,$G$5,$H$13),([1]!S_STM07_BS(D466,25,$G$5,$H$13)-[1]!S_STM07_BS(D466,93,$G$5,$H$13))/$E$5))</f>
        <v/>
      </c>
      <c r="N466" s="247" t="str">
        <f ca="1">IF(C466="","",IF($N$11="EPS",[1]!S_STM07_IS(D466,61,$G$5,$H$13)/IF([1]!S_SHARE_TOTAL(D466,$G$5)=0,[1]!S_SHARE_TOTAL(D466,[1]!s_ipo_listeddate(D466)),[1]!S_SHARE_TOTAL(D466,$G$5)),([1]!S_STM07_BS(D466,75,$G$5,$H$13)+[1]!S_STM07_BS(D466,88,$G$5,$H$13)+[1]!S_STM07_BS(D466,94,$G$5,$H$13)+[1]!S_STM07_BS(D466,95,$G$5,$H$13))/$E$5))</f>
        <v/>
      </c>
      <c r="O466" s="247" t="str">
        <f ca="1">IF(C466="","",IF($O$11="BPS",[1]!S_STM07_BS(D466,141,$G$5,$H$13)/IF([1]!S_SHARE_TOTAL(D466,$G$5)=0,[1]!S_SHARE_TOTAL(D466,[1]!s_ipo_listeddate(D466)),[1]!S_SHARE_TOTAL(D466,$G$5)),[1]!S_STM07_CS(D466,49,$G$5,$H$13)/$E$5))</f>
        <v/>
      </c>
      <c r="P466" s="247" t="str">
        <f ca="1">IF(C466="","",IF($P$11="CFPS",[1]!S_STM07_CS(D466,84,$G$5,$H$13)/IF([1]!S_SHARE_TOTAL(D466,$G$5)=0,[1]!S_SHARE_TOTAL(D466,[1]!s_ipo_listeddate(D466)),[1]!S_SHARE_TOTAL(D466,$G$5)),[1]!S_STM07_CS(D466,84,$G$5,$H$13)/$E$5))</f>
        <v/>
      </c>
      <c r="Q466" s="248" t="str">
        <f ca="1">IF(C466="","",F466/([1]!S_STM07_IS(D466,61,$G$5,$H$13)/IF([1]!S_SHARE_TOTAL(D466,$G$5)=0,[1]!S_SHARE_TOTAL(D466,[1]!s_ipo_listeddate(D466)),[1]!S_SHARE_TOTAL(D466,$G$5))))</f>
        <v/>
      </c>
      <c r="R466" s="248" t="str">
        <f ca="1">IF(C466="","",F466/([1]!S_STM07_BS(D466,141,$G$5,$H$13)/IF([1]!S_SHARE_TOTAL(D466,$G$5)=0,[1]!S_SHARE_TOTAL(D466,[1]!s_ipo_listeddate(D466)),[1]!S_SHARE_TOTAL(D466,$G$5))))</f>
        <v/>
      </c>
      <c r="S466" s="247" t="str">
        <f ca="1">IF(C466="","",[1]!S_SHARE_TOTAL(D466,TODAY())/$E$5)</f>
        <v/>
      </c>
      <c r="T466" s="247" t="str">
        <f t="shared" ca="1" si="49"/>
        <v/>
      </c>
      <c r="U466" s="218" t="str">
        <f t="shared" ca="1" si="50"/>
        <v/>
      </c>
      <c r="V466" s="342" t="str">
        <f t="shared" ca="1" si="51"/>
        <v/>
      </c>
      <c r="W466" s="139"/>
      <c r="Y466" s="1"/>
    </row>
    <row r="467" spans="3:25" ht="12" customHeight="1">
      <c r="C467" s="343" t="str">
        <f t="shared" ca="1" si="52"/>
        <v/>
      </c>
      <c r="D467" s="124" t="str">
        <f t="shared" ca="1" si="47"/>
        <v/>
      </c>
      <c r="E467" s="124" t="str">
        <f t="shared" ca="1" si="48"/>
        <v/>
      </c>
      <c r="F467" s="172" t="str">
        <f ca="1">IF(C467="","",[1]!S_DQ_CLOSE(D467,TODAY(),1))</f>
        <v/>
      </c>
      <c r="G467" s="173" t="str">
        <f ca="1">IF(C467="","",[1]!s_pq_pctchange(D467,TODAY()-$G$12,TODAY())/100)</f>
        <v/>
      </c>
      <c r="H467" s="249" t="str">
        <f ca="1">IF(C467="","",IF($H$11="收入",[1]!S_STM07_IS(D467,9,$G$5,$H$13)/$E$5,[1]!S_STM07_IS(D467,48,$G$5,$H$13)/$E$5))</f>
        <v/>
      </c>
      <c r="I467" s="249" t="str">
        <f ca="1">IF(C467="","",IF($I$11="毛利率",([1]!S_STM07_IS(D467,9,$G$5,$H$13)-[1]!S_STM07_IS(D467,10,$G$5,$H$13))/[1]!S_STM07_IS(D467,9,$G$5,$H$13),[1]!S_STM07_IS(D467,14,$G$5,$H$13)/$E$5))</f>
        <v/>
      </c>
      <c r="J467" s="249" t="str">
        <f ca="1">IF(C467="","",IF($J$11="营业利润率",[1]!S_STM07_IS(D467,48,$G$5,$H$13)/[1]!S_STM07_IS(D467,9,$G$5,$H$13),([1]!S_STM07_CS(D467,87,$G$5,$H$13)+[1]!S_STM07_CS(D467,88,$G$5,$H$13)+[1]!S_STM07_CS(D467,89,$G$5,$H$13))/$E$5))</f>
        <v/>
      </c>
      <c r="K467" s="249" t="str">
        <f ca="1">IF(C467="","",IF($K$11="净利润率",[1]!S_STM07_IS(D467,61,$G$5,$H$13)/[1]!S_STM07_IS(D467,9,$G$5,$H$13),[1]!S_STM07_IS(D467,55,$G$5,$H$13)/$E$5))</f>
        <v/>
      </c>
      <c r="L467" s="249" t="str">
        <f ca="1">IF(C467="","",IF($L$11="ROA",[1]!S_STM07_IS(D467,61,$G$5,$H$13)/[1]!S_STM07_BS(D467,74,$G$5,$H$13),1-[1]!S_STM07_IS(D467,61,$G$5,$H$13)/[1]!S_STM07_IS(D467,55,$G$5,$H$13)))</f>
        <v/>
      </c>
      <c r="M467" s="249" t="str">
        <f ca="1">IF(C467="","",IF($M$11="ROE",[1]!S_STM07_IS(D467,61,$G$5,$H$13)/[1]!S_STM07_BS(D467,141,$G$5,$H$13),([1]!S_STM07_BS(D467,25,$G$5,$H$13)-[1]!S_STM07_BS(D467,93,$G$5,$H$13))/$E$5))</f>
        <v/>
      </c>
      <c r="N467" s="250" t="str">
        <f ca="1">IF(C467="","",IF($N$11="EPS",[1]!S_STM07_IS(D467,61,$G$5,$H$13)/IF([1]!S_SHARE_TOTAL(D467,$G$5)=0,[1]!S_SHARE_TOTAL(D467,[1]!s_ipo_listeddate(D467)),[1]!S_SHARE_TOTAL(D467,$G$5)),([1]!S_STM07_BS(D467,75,$G$5,$H$13)+[1]!S_STM07_BS(D467,88,$G$5,$H$13)+[1]!S_STM07_BS(D467,94,$G$5,$H$13)+[1]!S_STM07_BS(D467,95,$G$5,$H$13))/$E$5))</f>
        <v/>
      </c>
      <c r="O467" s="250" t="str">
        <f ca="1">IF(C467="","",IF($O$11="BPS",[1]!S_STM07_BS(D467,141,$G$5,$H$13)/IF([1]!S_SHARE_TOTAL(D467,$G$5)=0,[1]!S_SHARE_TOTAL(D467,[1]!s_ipo_listeddate(D467)),[1]!S_SHARE_TOTAL(D467,$G$5)),[1]!S_STM07_CS(D467,49,$G$5,$H$13)/$E$5))</f>
        <v/>
      </c>
      <c r="P467" s="250" t="str">
        <f ca="1">IF(C467="","",IF($P$11="CFPS",[1]!S_STM07_CS(D467,84,$G$5,$H$13)/IF([1]!S_SHARE_TOTAL(D467,$G$5)=0,[1]!S_SHARE_TOTAL(D467,[1]!s_ipo_listeddate(D467)),[1]!S_SHARE_TOTAL(D467,$G$5)),[1]!S_STM07_CS(D467,84,$G$5,$H$13)/$E$5))</f>
        <v/>
      </c>
      <c r="Q467" s="198" t="str">
        <f ca="1">IF(C467="","",F467/([1]!S_STM07_IS(D467,61,$G$5,$H$13)/IF([1]!S_SHARE_TOTAL(D467,$G$5)=0,[1]!S_SHARE_TOTAL(D467,[1]!s_ipo_listeddate(D467)),[1]!S_SHARE_TOTAL(D467,$G$5))))</f>
        <v/>
      </c>
      <c r="R467" s="198" t="str">
        <f ca="1">IF(C467="","",F467/([1]!S_STM07_BS(D467,141,$G$5,$H$13)/IF([1]!S_SHARE_TOTAL(D467,$G$5)=0,[1]!S_SHARE_TOTAL(D467,[1]!s_ipo_listeddate(D467)),[1]!S_SHARE_TOTAL(D467,$G$5))))</f>
        <v/>
      </c>
      <c r="S467" s="249" t="str">
        <f ca="1">IF(C467="","",[1]!S_SHARE_TOTAL(D467,TODAY())/$E$5)</f>
        <v/>
      </c>
      <c r="T467" s="249" t="str">
        <f t="shared" ca="1" si="49"/>
        <v/>
      </c>
      <c r="U467" s="172" t="str">
        <f t="shared" ca="1" si="50"/>
        <v/>
      </c>
      <c r="V467" s="343" t="str">
        <f t="shared" ca="1" si="51"/>
        <v/>
      </c>
      <c r="W467" s="139"/>
      <c r="Y467" s="1"/>
    </row>
    <row r="468" spans="3:25" ht="12" customHeight="1">
      <c r="C468" s="342" t="str">
        <f t="shared" ca="1" si="52"/>
        <v/>
      </c>
      <c r="D468" s="153" t="str">
        <f t="shared" ca="1" si="47"/>
        <v/>
      </c>
      <c r="E468" s="153" t="str">
        <f t="shared" ca="1" si="48"/>
        <v/>
      </c>
      <c r="F468" s="170" t="str">
        <f ca="1">IF(C468="","",[1]!S_DQ_CLOSE(D468,TODAY(),1))</f>
        <v/>
      </c>
      <c r="G468" s="171" t="str">
        <f ca="1">IF(C468="","",[1]!s_pq_pctchange(D468,TODAY()-$G$12,TODAY())/100)</f>
        <v/>
      </c>
      <c r="H468" s="247" t="str">
        <f ca="1">IF(C468="","",IF($H$11="收入",[1]!S_STM07_IS(D468,9,$G$5,$H$13)/$E$5,[1]!S_STM07_IS(D468,48,$G$5,$H$13)/$E$5))</f>
        <v/>
      </c>
      <c r="I468" s="247" t="str">
        <f ca="1">IF(C468="","",IF($I$11="毛利率",([1]!S_STM07_IS(D468,9,$G$5,$H$13)-[1]!S_STM07_IS(D468,10,$G$5,$H$13))/[1]!S_STM07_IS(D468,9,$G$5,$H$13),[1]!S_STM07_IS(D468,14,$G$5,$H$13)/$E$5))</f>
        <v/>
      </c>
      <c r="J468" s="247" t="str">
        <f ca="1">IF(C468="","",IF($J$11="营业利润率",[1]!S_STM07_IS(D468,48,$G$5,$H$13)/[1]!S_STM07_IS(D468,9,$G$5,$H$13),([1]!S_STM07_CS(D468,87,$G$5,$H$13)+[1]!S_STM07_CS(D468,88,$G$5,$H$13)+[1]!S_STM07_CS(D468,89,$G$5,$H$13))/$E$5))</f>
        <v/>
      </c>
      <c r="K468" s="247" t="str">
        <f ca="1">IF(C468="","",IF($K$11="净利润率",[1]!S_STM07_IS(D468,61,$G$5,$H$13)/[1]!S_STM07_IS(D468,9,$G$5,$H$13),[1]!S_STM07_IS(D468,55,$G$5,$H$13)/$E$5))</f>
        <v/>
      </c>
      <c r="L468" s="247" t="str">
        <f ca="1">IF(C468="","",IF($L$11="ROA",[1]!S_STM07_IS(D468,61,$G$5,$H$13)/[1]!S_STM07_BS(D468,74,$G$5,$H$13),1-[1]!S_STM07_IS(D468,61,$G$5,$H$13)/[1]!S_STM07_IS(D468,55,$G$5,$H$13)))</f>
        <v/>
      </c>
      <c r="M468" s="247" t="str">
        <f ca="1">IF(C468="","",IF($M$11="ROE",[1]!S_STM07_IS(D468,61,$G$5,$H$13)/[1]!S_STM07_BS(D468,141,$G$5,$H$13),([1]!S_STM07_BS(D468,25,$G$5,$H$13)-[1]!S_STM07_BS(D468,93,$G$5,$H$13))/$E$5))</f>
        <v/>
      </c>
      <c r="N468" s="247" t="str">
        <f ca="1">IF(C468="","",IF($N$11="EPS",[1]!S_STM07_IS(D468,61,$G$5,$H$13)/IF([1]!S_SHARE_TOTAL(D468,$G$5)=0,[1]!S_SHARE_TOTAL(D468,[1]!s_ipo_listeddate(D468)),[1]!S_SHARE_TOTAL(D468,$G$5)),([1]!S_STM07_BS(D468,75,$G$5,$H$13)+[1]!S_STM07_BS(D468,88,$G$5,$H$13)+[1]!S_STM07_BS(D468,94,$G$5,$H$13)+[1]!S_STM07_BS(D468,95,$G$5,$H$13))/$E$5))</f>
        <v/>
      </c>
      <c r="O468" s="247" t="str">
        <f ca="1">IF(C468="","",IF($O$11="BPS",[1]!S_STM07_BS(D468,141,$G$5,$H$13)/IF([1]!S_SHARE_TOTAL(D468,$G$5)=0,[1]!S_SHARE_TOTAL(D468,[1]!s_ipo_listeddate(D468)),[1]!S_SHARE_TOTAL(D468,$G$5)),[1]!S_STM07_CS(D468,49,$G$5,$H$13)/$E$5))</f>
        <v/>
      </c>
      <c r="P468" s="247" t="str">
        <f ca="1">IF(C468="","",IF($P$11="CFPS",[1]!S_STM07_CS(D468,84,$G$5,$H$13)/IF([1]!S_SHARE_TOTAL(D468,$G$5)=0,[1]!S_SHARE_TOTAL(D468,[1]!s_ipo_listeddate(D468)),[1]!S_SHARE_TOTAL(D468,$G$5)),[1]!S_STM07_CS(D468,84,$G$5,$H$13)/$E$5))</f>
        <v/>
      </c>
      <c r="Q468" s="248" t="str">
        <f ca="1">IF(C468="","",F468/([1]!S_STM07_IS(D468,61,$G$5,$H$13)/IF([1]!S_SHARE_TOTAL(D468,$G$5)=0,[1]!S_SHARE_TOTAL(D468,[1]!s_ipo_listeddate(D468)),[1]!S_SHARE_TOTAL(D468,$G$5))))</f>
        <v/>
      </c>
      <c r="R468" s="248" t="str">
        <f ca="1">IF(C468="","",F468/([1]!S_STM07_BS(D468,141,$G$5,$H$13)/IF([1]!S_SHARE_TOTAL(D468,$G$5)=0,[1]!S_SHARE_TOTAL(D468,[1]!s_ipo_listeddate(D468)),[1]!S_SHARE_TOTAL(D468,$G$5))))</f>
        <v/>
      </c>
      <c r="S468" s="247" t="str">
        <f ca="1">IF(C468="","",[1]!S_SHARE_TOTAL(D468,TODAY())/$E$5)</f>
        <v/>
      </c>
      <c r="T468" s="247" t="str">
        <f t="shared" ca="1" si="49"/>
        <v/>
      </c>
      <c r="U468" s="218" t="str">
        <f t="shared" ca="1" si="50"/>
        <v/>
      </c>
      <c r="V468" s="342" t="str">
        <f t="shared" ca="1" si="51"/>
        <v/>
      </c>
      <c r="W468" s="139"/>
      <c r="Y468" s="1"/>
    </row>
    <row r="469" spans="3:25" ht="12" customHeight="1">
      <c r="C469" s="343" t="str">
        <f t="shared" ca="1" si="52"/>
        <v/>
      </c>
      <c r="D469" s="124" t="str">
        <f t="shared" ca="1" si="47"/>
        <v/>
      </c>
      <c r="E469" s="124" t="str">
        <f t="shared" ca="1" si="48"/>
        <v/>
      </c>
      <c r="F469" s="172" t="str">
        <f ca="1">IF(C469="","",[1]!S_DQ_CLOSE(D469,TODAY(),1))</f>
        <v/>
      </c>
      <c r="G469" s="173" t="str">
        <f ca="1">IF(C469="","",[1]!s_pq_pctchange(D469,TODAY()-$G$12,TODAY())/100)</f>
        <v/>
      </c>
      <c r="H469" s="249" t="str">
        <f ca="1">IF(C469="","",IF($H$11="收入",[1]!S_STM07_IS(D469,9,$G$5,$H$13)/$E$5,[1]!S_STM07_IS(D469,48,$G$5,$H$13)/$E$5))</f>
        <v/>
      </c>
      <c r="I469" s="249" t="str">
        <f ca="1">IF(C469="","",IF($I$11="毛利率",([1]!S_STM07_IS(D469,9,$G$5,$H$13)-[1]!S_STM07_IS(D469,10,$G$5,$H$13))/[1]!S_STM07_IS(D469,9,$G$5,$H$13),[1]!S_STM07_IS(D469,14,$G$5,$H$13)/$E$5))</f>
        <v/>
      </c>
      <c r="J469" s="249" t="str">
        <f ca="1">IF(C469="","",IF($J$11="营业利润率",[1]!S_STM07_IS(D469,48,$G$5,$H$13)/[1]!S_STM07_IS(D469,9,$G$5,$H$13),([1]!S_STM07_CS(D469,87,$G$5,$H$13)+[1]!S_STM07_CS(D469,88,$G$5,$H$13)+[1]!S_STM07_CS(D469,89,$G$5,$H$13))/$E$5))</f>
        <v/>
      </c>
      <c r="K469" s="249" t="str">
        <f ca="1">IF(C469="","",IF($K$11="净利润率",[1]!S_STM07_IS(D469,61,$G$5,$H$13)/[1]!S_STM07_IS(D469,9,$G$5,$H$13),[1]!S_STM07_IS(D469,55,$G$5,$H$13)/$E$5))</f>
        <v/>
      </c>
      <c r="L469" s="249" t="str">
        <f ca="1">IF(C469="","",IF($L$11="ROA",[1]!S_STM07_IS(D469,61,$G$5,$H$13)/[1]!S_STM07_BS(D469,74,$G$5,$H$13),1-[1]!S_STM07_IS(D469,61,$G$5,$H$13)/[1]!S_STM07_IS(D469,55,$G$5,$H$13)))</f>
        <v/>
      </c>
      <c r="M469" s="249" t="str">
        <f ca="1">IF(C469="","",IF($M$11="ROE",[1]!S_STM07_IS(D469,61,$G$5,$H$13)/[1]!S_STM07_BS(D469,141,$G$5,$H$13),([1]!S_STM07_BS(D469,25,$G$5,$H$13)-[1]!S_STM07_BS(D469,93,$G$5,$H$13))/$E$5))</f>
        <v/>
      </c>
      <c r="N469" s="250" t="str">
        <f ca="1">IF(C469="","",IF($N$11="EPS",[1]!S_STM07_IS(D469,61,$G$5,$H$13)/IF([1]!S_SHARE_TOTAL(D469,$G$5)=0,[1]!S_SHARE_TOTAL(D469,[1]!s_ipo_listeddate(D469)),[1]!S_SHARE_TOTAL(D469,$G$5)),([1]!S_STM07_BS(D469,75,$G$5,$H$13)+[1]!S_STM07_BS(D469,88,$G$5,$H$13)+[1]!S_STM07_BS(D469,94,$G$5,$H$13)+[1]!S_STM07_BS(D469,95,$G$5,$H$13))/$E$5))</f>
        <v/>
      </c>
      <c r="O469" s="250" t="str">
        <f ca="1">IF(C469="","",IF($O$11="BPS",[1]!S_STM07_BS(D469,141,$G$5,$H$13)/IF([1]!S_SHARE_TOTAL(D469,$G$5)=0,[1]!S_SHARE_TOTAL(D469,[1]!s_ipo_listeddate(D469)),[1]!S_SHARE_TOTAL(D469,$G$5)),[1]!S_STM07_CS(D469,49,$G$5,$H$13)/$E$5))</f>
        <v/>
      </c>
      <c r="P469" s="250" t="str">
        <f ca="1">IF(C469="","",IF($P$11="CFPS",[1]!S_STM07_CS(D469,84,$G$5,$H$13)/IF([1]!S_SHARE_TOTAL(D469,$G$5)=0,[1]!S_SHARE_TOTAL(D469,[1]!s_ipo_listeddate(D469)),[1]!S_SHARE_TOTAL(D469,$G$5)),[1]!S_STM07_CS(D469,84,$G$5,$H$13)/$E$5))</f>
        <v/>
      </c>
      <c r="Q469" s="198" t="str">
        <f ca="1">IF(C469="","",F469/([1]!S_STM07_IS(D469,61,$G$5,$H$13)/IF([1]!S_SHARE_TOTAL(D469,$G$5)=0,[1]!S_SHARE_TOTAL(D469,[1]!s_ipo_listeddate(D469)),[1]!S_SHARE_TOTAL(D469,$G$5))))</f>
        <v/>
      </c>
      <c r="R469" s="198" t="str">
        <f ca="1">IF(C469="","",F469/([1]!S_STM07_BS(D469,141,$G$5,$H$13)/IF([1]!S_SHARE_TOTAL(D469,$G$5)=0,[1]!S_SHARE_TOTAL(D469,[1]!s_ipo_listeddate(D469)),[1]!S_SHARE_TOTAL(D469,$G$5))))</f>
        <v/>
      </c>
      <c r="S469" s="249" t="str">
        <f ca="1">IF(C469="","",[1]!S_SHARE_TOTAL(D469,TODAY())/$E$5)</f>
        <v/>
      </c>
      <c r="T469" s="249" t="str">
        <f t="shared" ca="1" si="49"/>
        <v/>
      </c>
      <c r="U469" s="172" t="str">
        <f t="shared" ca="1" si="50"/>
        <v/>
      </c>
      <c r="V469" s="343" t="str">
        <f t="shared" ca="1" si="51"/>
        <v/>
      </c>
      <c r="W469" s="139"/>
      <c r="Y469" s="1"/>
    </row>
    <row r="470" spans="3:25" ht="12" customHeight="1">
      <c r="C470" s="342" t="str">
        <f t="shared" ca="1" si="52"/>
        <v/>
      </c>
      <c r="D470" s="153" t="str">
        <f t="shared" ca="1" si="47"/>
        <v/>
      </c>
      <c r="E470" s="153" t="str">
        <f t="shared" ca="1" si="48"/>
        <v/>
      </c>
      <c r="F470" s="170" t="str">
        <f ca="1">IF(C470="","",[1]!S_DQ_CLOSE(D470,TODAY(),1))</f>
        <v/>
      </c>
      <c r="G470" s="171" t="str">
        <f ca="1">IF(C470="","",[1]!s_pq_pctchange(D470,TODAY()-$G$12,TODAY())/100)</f>
        <v/>
      </c>
      <c r="H470" s="247" t="str">
        <f ca="1">IF(C470="","",IF($H$11="收入",[1]!S_STM07_IS(D470,9,$G$5,$H$13)/$E$5,[1]!S_STM07_IS(D470,48,$G$5,$H$13)/$E$5))</f>
        <v/>
      </c>
      <c r="I470" s="247" t="str">
        <f ca="1">IF(C470="","",IF($I$11="毛利率",([1]!S_STM07_IS(D470,9,$G$5,$H$13)-[1]!S_STM07_IS(D470,10,$G$5,$H$13))/[1]!S_STM07_IS(D470,9,$G$5,$H$13),[1]!S_STM07_IS(D470,14,$G$5,$H$13)/$E$5))</f>
        <v/>
      </c>
      <c r="J470" s="247" t="str">
        <f ca="1">IF(C470="","",IF($J$11="营业利润率",[1]!S_STM07_IS(D470,48,$G$5,$H$13)/[1]!S_STM07_IS(D470,9,$G$5,$H$13),([1]!S_STM07_CS(D470,87,$G$5,$H$13)+[1]!S_STM07_CS(D470,88,$G$5,$H$13)+[1]!S_STM07_CS(D470,89,$G$5,$H$13))/$E$5))</f>
        <v/>
      </c>
      <c r="K470" s="247" t="str">
        <f ca="1">IF(C470="","",IF($K$11="净利润率",[1]!S_STM07_IS(D470,61,$G$5,$H$13)/[1]!S_STM07_IS(D470,9,$G$5,$H$13),[1]!S_STM07_IS(D470,55,$G$5,$H$13)/$E$5))</f>
        <v/>
      </c>
      <c r="L470" s="247" t="str">
        <f ca="1">IF(C470="","",IF($L$11="ROA",[1]!S_STM07_IS(D470,61,$G$5,$H$13)/[1]!S_STM07_BS(D470,74,$G$5,$H$13),1-[1]!S_STM07_IS(D470,61,$G$5,$H$13)/[1]!S_STM07_IS(D470,55,$G$5,$H$13)))</f>
        <v/>
      </c>
      <c r="M470" s="247" t="str">
        <f ca="1">IF(C470="","",IF($M$11="ROE",[1]!S_STM07_IS(D470,61,$G$5,$H$13)/[1]!S_STM07_BS(D470,141,$G$5,$H$13),([1]!S_STM07_BS(D470,25,$G$5,$H$13)-[1]!S_STM07_BS(D470,93,$G$5,$H$13))/$E$5))</f>
        <v/>
      </c>
      <c r="N470" s="247" t="str">
        <f ca="1">IF(C470="","",IF($N$11="EPS",[1]!S_STM07_IS(D470,61,$G$5,$H$13)/IF([1]!S_SHARE_TOTAL(D470,$G$5)=0,[1]!S_SHARE_TOTAL(D470,[1]!s_ipo_listeddate(D470)),[1]!S_SHARE_TOTAL(D470,$G$5)),([1]!S_STM07_BS(D470,75,$G$5,$H$13)+[1]!S_STM07_BS(D470,88,$G$5,$H$13)+[1]!S_STM07_BS(D470,94,$G$5,$H$13)+[1]!S_STM07_BS(D470,95,$G$5,$H$13))/$E$5))</f>
        <v/>
      </c>
      <c r="O470" s="247" t="str">
        <f ca="1">IF(C470="","",IF($O$11="BPS",[1]!S_STM07_BS(D470,141,$G$5,$H$13)/IF([1]!S_SHARE_TOTAL(D470,$G$5)=0,[1]!S_SHARE_TOTAL(D470,[1]!s_ipo_listeddate(D470)),[1]!S_SHARE_TOTAL(D470,$G$5)),[1]!S_STM07_CS(D470,49,$G$5,$H$13)/$E$5))</f>
        <v/>
      </c>
      <c r="P470" s="247" t="str">
        <f ca="1">IF(C470="","",IF($P$11="CFPS",[1]!S_STM07_CS(D470,84,$G$5,$H$13)/IF([1]!S_SHARE_TOTAL(D470,$G$5)=0,[1]!S_SHARE_TOTAL(D470,[1]!s_ipo_listeddate(D470)),[1]!S_SHARE_TOTAL(D470,$G$5)),[1]!S_STM07_CS(D470,84,$G$5,$H$13)/$E$5))</f>
        <v/>
      </c>
      <c r="Q470" s="248" t="str">
        <f ca="1">IF(C470="","",F470/([1]!S_STM07_IS(D470,61,$G$5,$H$13)/IF([1]!S_SHARE_TOTAL(D470,$G$5)=0,[1]!S_SHARE_TOTAL(D470,[1]!s_ipo_listeddate(D470)),[1]!S_SHARE_TOTAL(D470,$G$5))))</f>
        <v/>
      </c>
      <c r="R470" s="248" t="str">
        <f ca="1">IF(C470="","",F470/([1]!S_STM07_BS(D470,141,$G$5,$H$13)/IF([1]!S_SHARE_TOTAL(D470,$G$5)=0,[1]!S_SHARE_TOTAL(D470,[1]!s_ipo_listeddate(D470)),[1]!S_SHARE_TOTAL(D470,$G$5))))</f>
        <v/>
      </c>
      <c r="S470" s="247" t="str">
        <f ca="1">IF(C470="","",[1]!S_SHARE_TOTAL(D470,TODAY())/$E$5)</f>
        <v/>
      </c>
      <c r="T470" s="247" t="str">
        <f t="shared" ca="1" si="49"/>
        <v/>
      </c>
      <c r="U470" s="218" t="str">
        <f t="shared" ca="1" si="50"/>
        <v/>
      </c>
      <c r="V470" s="342" t="str">
        <f t="shared" ca="1" si="51"/>
        <v/>
      </c>
      <c r="W470" s="139"/>
      <c r="Y470" s="1"/>
    </row>
    <row r="471" spans="3:25" ht="12" customHeight="1">
      <c r="C471" s="343" t="str">
        <f t="shared" ca="1" si="52"/>
        <v/>
      </c>
      <c r="D471" s="124" t="str">
        <f t="shared" ca="1" si="47"/>
        <v/>
      </c>
      <c r="E471" s="124" t="str">
        <f t="shared" ca="1" si="48"/>
        <v/>
      </c>
      <c r="F471" s="172" t="str">
        <f ca="1">IF(C471="","",[1]!S_DQ_CLOSE(D471,TODAY(),1))</f>
        <v/>
      </c>
      <c r="G471" s="173" t="str">
        <f ca="1">IF(C471="","",[1]!s_pq_pctchange(D471,TODAY()-$G$12,TODAY())/100)</f>
        <v/>
      </c>
      <c r="H471" s="249" t="str">
        <f ca="1">IF(C471="","",IF($H$11="收入",[1]!S_STM07_IS(D471,9,$G$5,$H$13)/$E$5,[1]!S_STM07_IS(D471,48,$G$5,$H$13)/$E$5))</f>
        <v/>
      </c>
      <c r="I471" s="249" t="str">
        <f ca="1">IF(C471="","",IF($I$11="毛利率",([1]!S_STM07_IS(D471,9,$G$5,$H$13)-[1]!S_STM07_IS(D471,10,$G$5,$H$13))/[1]!S_STM07_IS(D471,9,$G$5,$H$13),[1]!S_STM07_IS(D471,14,$G$5,$H$13)/$E$5))</f>
        <v/>
      </c>
      <c r="J471" s="249" t="str">
        <f ca="1">IF(C471="","",IF($J$11="营业利润率",[1]!S_STM07_IS(D471,48,$G$5,$H$13)/[1]!S_STM07_IS(D471,9,$G$5,$H$13),([1]!S_STM07_CS(D471,87,$G$5,$H$13)+[1]!S_STM07_CS(D471,88,$G$5,$H$13)+[1]!S_STM07_CS(D471,89,$G$5,$H$13))/$E$5))</f>
        <v/>
      </c>
      <c r="K471" s="249" t="str">
        <f ca="1">IF(C471="","",IF($K$11="净利润率",[1]!S_STM07_IS(D471,61,$G$5,$H$13)/[1]!S_STM07_IS(D471,9,$G$5,$H$13),[1]!S_STM07_IS(D471,55,$G$5,$H$13)/$E$5))</f>
        <v/>
      </c>
      <c r="L471" s="249" t="str">
        <f ca="1">IF(C471="","",IF($L$11="ROA",[1]!S_STM07_IS(D471,61,$G$5,$H$13)/[1]!S_STM07_BS(D471,74,$G$5,$H$13),1-[1]!S_STM07_IS(D471,61,$G$5,$H$13)/[1]!S_STM07_IS(D471,55,$G$5,$H$13)))</f>
        <v/>
      </c>
      <c r="M471" s="249" t="str">
        <f ca="1">IF(C471="","",IF($M$11="ROE",[1]!S_STM07_IS(D471,61,$G$5,$H$13)/[1]!S_STM07_BS(D471,141,$G$5,$H$13),([1]!S_STM07_BS(D471,25,$G$5,$H$13)-[1]!S_STM07_BS(D471,93,$G$5,$H$13))/$E$5))</f>
        <v/>
      </c>
      <c r="N471" s="250" t="str">
        <f ca="1">IF(C471="","",IF($N$11="EPS",[1]!S_STM07_IS(D471,61,$G$5,$H$13)/IF([1]!S_SHARE_TOTAL(D471,$G$5)=0,[1]!S_SHARE_TOTAL(D471,[1]!s_ipo_listeddate(D471)),[1]!S_SHARE_TOTAL(D471,$G$5)),([1]!S_STM07_BS(D471,75,$G$5,$H$13)+[1]!S_STM07_BS(D471,88,$G$5,$H$13)+[1]!S_STM07_BS(D471,94,$G$5,$H$13)+[1]!S_STM07_BS(D471,95,$G$5,$H$13))/$E$5))</f>
        <v/>
      </c>
      <c r="O471" s="250" t="str">
        <f ca="1">IF(C471="","",IF($O$11="BPS",[1]!S_STM07_BS(D471,141,$G$5,$H$13)/IF([1]!S_SHARE_TOTAL(D471,$G$5)=0,[1]!S_SHARE_TOTAL(D471,[1]!s_ipo_listeddate(D471)),[1]!S_SHARE_TOTAL(D471,$G$5)),[1]!S_STM07_CS(D471,49,$G$5,$H$13)/$E$5))</f>
        <v/>
      </c>
      <c r="P471" s="250" t="str">
        <f ca="1">IF(C471="","",IF($P$11="CFPS",[1]!S_STM07_CS(D471,84,$G$5,$H$13)/IF([1]!S_SHARE_TOTAL(D471,$G$5)=0,[1]!S_SHARE_TOTAL(D471,[1]!s_ipo_listeddate(D471)),[1]!S_SHARE_TOTAL(D471,$G$5)),[1]!S_STM07_CS(D471,84,$G$5,$H$13)/$E$5))</f>
        <v/>
      </c>
      <c r="Q471" s="198" t="str">
        <f ca="1">IF(C471="","",F471/([1]!S_STM07_IS(D471,61,$G$5,$H$13)/IF([1]!S_SHARE_TOTAL(D471,$G$5)=0,[1]!S_SHARE_TOTAL(D471,[1]!s_ipo_listeddate(D471)),[1]!S_SHARE_TOTAL(D471,$G$5))))</f>
        <v/>
      </c>
      <c r="R471" s="198" t="str">
        <f ca="1">IF(C471="","",F471/([1]!S_STM07_BS(D471,141,$G$5,$H$13)/IF([1]!S_SHARE_TOTAL(D471,$G$5)=0,[1]!S_SHARE_TOTAL(D471,[1]!s_ipo_listeddate(D471)),[1]!S_SHARE_TOTAL(D471,$G$5))))</f>
        <v/>
      </c>
      <c r="S471" s="249" t="str">
        <f ca="1">IF(C471="","",[1]!S_SHARE_TOTAL(D471,TODAY())/$E$5)</f>
        <v/>
      </c>
      <c r="T471" s="249" t="str">
        <f t="shared" ca="1" si="49"/>
        <v/>
      </c>
      <c r="U471" s="172" t="str">
        <f t="shared" ca="1" si="50"/>
        <v/>
      </c>
      <c r="V471" s="343" t="str">
        <f t="shared" ca="1" si="51"/>
        <v/>
      </c>
      <c r="W471" s="139"/>
      <c r="Y471" s="1"/>
    </row>
    <row r="472" spans="3:25" ht="12" customHeight="1">
      <c r="C472" s="342" t="str">
        <f t="shared" ca="1" si="52"/>
        <v/>
      </c>
      <c r="D472" s="153" t="str">
        <f t="shared" ca="1" si="47"/>
        <v/>
      </c>
      <c r="E472" s="153" t="str">
        <f t="shared" ca="1" si="48"/>
        <v/>
      </c>
      <c r="F472" s="170" t="str">
        <f ca="1">IF(C472="","",[1]!S_DQ_CLOSE(D472,TODAY(),1))</f>
        <v/>
      </c>
      <c r="G472" s="171" t="str">
        <f ca="1">IF(C472="","",[1]!s_pq_pctchange(D472,TODAY()-$G$12,TODAY())/100)</f>
        <v/>
      </c>
      <c r="H472" s="247" t="str">
        <f ca="1">IF(C472="","",IF($H$11="收入",[1]!S_STM07_IS(D472,9,$G$5,$H$13)/$E$5,[1]!S_STM07_IS(D472,48,$G$5,$H$13)/$E$5))</f>
        <v/>
      </c>
      <c r="I472" s="247" t="str">
        <f ca="1">IF(C472="","",IF($I$11="毛利率",([1]!S_STM07_IS(D472,9,$G$5,$H$13)-[1]!S_STM07_IS(D472,10,$G$5,$H$13))/[1]!S_STM07_IS(D472,9,$G$5,$H$13),[1]!S_STM07_IS(D472,14,$G$5,$H$13)/$E$5))</f>
        <v/>
      </c>
      <c r="J472" s="247" t="str">
        <f ca="1">IF(C472="","",IF($J$11="营业利润率",[1]!S_STM07_IS(D472,48,$G$5,$H$13)/[1]!S_STM07_IS(D472,9,$G$5,$H$13),([1]!S_STM07_CS(D472,87,$G$5,$H$13)+[1]!S_STM07_CS(D472,88,$G$5,$H$13)+[1]!S_STM07_CS(D472,89,$G$5,$H$13))/$E$5))</f>
        <v/>
      </c>
      <c r="K472" s="247" t="str">
        <f ca="1">IF(C472="","",IF($K$11="净利润率",[1]!S_STM07_IS(D472,61,$G$5,$H$13)/[1]!S_STM07_IS(D472,9,$G$5,$H$13),[1]!S_STM07_IS(D472,55,$G$5,$H$13)/$E$5))</f>
        <v/>
      </c>
      <c r="L472" s="247" t="str">
        <f ca="1">IF(C472="","",IF($L$11="ROA",[1]!S_STM07_IS(D472,61,$G$5,$H$13)/[1]!S_STM07_BS(D472,74,$G$5,$H$13),1-[1]!S_STM07_IS(D472,61,$G$5,$H$13)/[1]!S_STM07_IS(D472,55,$G$5,$H$13)))</f>
        <v/>
      </c>
      <c r="M472" s="247" t="str">
        <f ca="1">IF(C472="","",IF($M$11="ROE",[1]!S_STM07_IS(D472,61,$G$5,$H$13)/[1]!S_STM07_BS(D472,141,$G$5,$H$13),([1]!S_STM07_BS(D472,25,$G$5,$H$13)-[1]!S_STM07_BS(D472,93,$G$5,$H$13))/$E$5))</f>
        <v/>
      </c>
      <c r="N472" s="247" t="str">
        <f ca="1">IF(C472="","",IF($N$11="EPS",[1]!S_STM07_IS(D472,61,$G$5,$H$13)/IF([1]!S_SHARE_TOTAL(D472,$G$5)=0,[1]!S_SHARE_TOTAL(D472,[1]!s_ipo_listeddate(D472)),[1]!S_SHARE_TOTAL(D472,$G$5)),([1]!S_STM07_BS(D472,75,$G$5,$H$13)+[1]!S_STM07_BS(D472,88,$G$5,$H$13)+[1]!S_STM07_BS(D472,94,$G$5,$H$13)+[1]!S_STM07_BS(D472,95,$G$5,$H$13))/$E$5))</f>
        <v/>
      </c>
      <c r="O472" s="247" t="str">
        <f ca="1">IF(C472="","",IF($O$11="BPS",[1]!S_STM07_BS(D472,141,$G$5,$H$13)/IF([1]!S_SHARE_TOTAL(D472,$G$5)=0,[1]!S_SHARE_TOTAL(D472,[1]!s_ipo_listeddate(D472)),[1]!S_SHARE_TOTAL(D472,$G$5)),[1]!S_STM07_CS(D472,49,$G$5,$H$13)/$E$5))</f>
        <v/>
      </c>
      <c r="P472" s="247" t="str">
        <f ca="1">IF(C472="","",IF($P$11="CFPS",[1]!S_STM07_CS(D472,84,$G$5,$H$13)/IF([1]!S_SHARE_TOTAL(D472,$G$5)=0,[1]!S_SHARE_TOTAL(D472,[1]!s_ipo_listeddate(D472)),[1]!S_SHARE_TOTAL(D472,$G$5)),[1]!S_STM07_CS(D472,84,$G$5,$H$13)/$E$5))</f>
        <v/>
      </c>
      <c r="Q472" s="248" t="str">
        <f ca="1">IF(C472="","",F472/([1]!S_STM07_IS(D472,61,$G$5,$H$13)/IF([1]!S_SHARE_TOTAL(D472,$G$5)=0,[1]!S_SHARE_TOTAL(D472,[1]!s_ipo_listeddate(D472)),[1]!S_SHARE_TOTAL(D472,$G$5))))</f>
        <v/>
      </c>
      <c r="R472" s="248" t="str">
        <f ca="1">IF(C472="","",F472/([1]!S_STM07_BS(D472,141,$G$5,$H$13)/IF([1]!S_SHARE_TOTAL(D472,$G$5)=0,[1]!S_SHARE_TOTAL(D472,[1]!s_ipo_listeddate(D472)),[1]!S_SHARE_TOTAL(D472,$G$5))))</f>
        <v/>
      </c>
      <c r="S472" s="247" t="str">
        <f ca="1">IF(C472="","",[1]!S_SHARE_TOTAL(D472,TODAY())/$E$5)</f>
        <v/>
      </c>
      <c r="T472" s="247" t="str">
        <f t="shared" ca="1" si="49"/>
        <v/>
      </c>
      <c r="U472" s="218" t="str">
        <f t="shared" ca="1" si="50"/>
        <v/>
      </c>
      <c r="V472" s="342" t="str">
        <f t="shared" ca="1" si="51"/>
        <v/>
      </c>
      <c r="W472" s="139"/>
      <c r="Y472" s="1"/>
    </row>
    <row r="473" spans="3:25" ht="12" customHeight="1">
      <c r="C473" s="343" t="str">
        <f t="shared" ca="1" si="52"/>
        <v/>
      </c>
      <c r="D473" s="124" t="str">
        <f t="shared" ca="1" si="47"/>
        <v/>
      </c>
      <c r="E473" s="124" t="str">
        <f t="shared" ca="1" si="48"/>
        <v/>
      </c>
      <c r="F473" s="172" t="str">
        <f ca="1">IF(C473="","",[1]!S_DQ_CLOSE(D473,TODAY(),1))</f>
        <v/>
      </c>
      <c r="G473" s="173" t="str">
        <f ca="1">IF(C473="","",[1]!s_pq_pctchange(D473,TODAY()-$G$12,TODAY())/100)</f>
        <v/>
      </c>
      <c r="H473" s="249" t="str">
        <f ca="1">IF(C473="","",IF($H$11="收入",[1]!S_STM07_IS(D473,9,$G$5,$H$13)/$E$5,[1]!S_STM07_IS(D473,48,$G$5,$H$13)/$E$5))</f>
        <v/>
      </c>
      <c r="I473" s="249" t="str">
        <f ca="1">IF(C473="","",IF($I$11="毛利率",([1]!S_STM07_IS(D473,9,$G$5,$H$13)-[1]!S_STM07_IS(D473,10,$G$5,$H$13))/[1]!S_STM07_IS(D473,9,$G$5,$H$13),[1]!S_STM07_IS(D473,14,$G$5,$H$13)/$E$5))</f>
        <v/>
      </c>
      <c r="J473" s="249" t="str">
        <f ca="1">IF(C473="","",IF($J$11="营业利润率",[1]!S_STM07_IS(D473,48,$G$5,$H$13)/[1]!S_STM07_IS(D473,9,$G$5,$H$13),([1]!S_STM07_CS(D473,87,$G$5,$H$13)+[1]!S_STM07_CS(D473,88,$G$5,$H$13)+[1]!S_STM07_CS(D473,89,$G$5,$H$13))/$E$5))</f>
        <v/>
      </c>
      <c r="K473" s="249" t="str">
        <f ca="1">IF(C473="","",IF($K$11="净利润率",[1]!S_STM07_IS(D473,61,$G$5,$H$13)/[1]!S_STM07_IS(D473,9,$G$5,$H$13),[1]!S_STM07_IS(D473,55,$G$5,$H$13)/$E$5))</f>
        <v/>
      </c>
      <c r="L473" s="249" t="str">
        <f ca="1">IF(C473="","",IF($L$11="ROA",[1]!S_STM07_IS(D473,61,$G$5,$H$13)/[1]!S_STM07_BS(D473,74,$G$5,$H$13),1-[1]!S_STM07_IS(D473,61,$G$5,$H$13)/[1]!S_STM07_IS(D473,55,$G$5,$H$13)))</f>
        <v/>
      </c>
      <c r="M473" s="249" t="str">
        <f ca="1">IF(C473="","",IF($M$11="ROE",[1]!S_STM07_IS(D473,61,$G$5,$H$13)/[1]!S_STM07_BS(D473,141,$G$5,$H$13),([1]!S_STM07_BS(D473,25,$G$5,$H$13)-[1]!S_STM07_BS(D473,93,$G$5,$H$13))/$E$5))</f>
        <v/>
      </c>
      <c r="N473" s="250" t="str">
        <f ca="1">IF(C473="","",IF($N$11="EPS",[1]!S_STM07_IS(D473,61,$G$5,$H$13)/IF([1]!S_SHARE_TOTAL(D473,$G$5)=0,[1]!S_SHARE_TOTAL(D473,[1]!s_ipo_listeddate(D473)),[1]!S_SHARE_TOTAL(D473,$G$5)),([1]!S_STM07_BS(D473,75,$G$5,$H$13)+[1]!S_STM07_BS(D473,88,$G$5,$H$13)+[1]!S_STM07_BS(D473,94,$G$5,$H$13)+[1]!S_STM07_BS(D473,95,$G$5,$H$13))/$E$5))</f>
        <v/>
      </c>
      <c r="O473" s="250" t="str">
        <f ca="1">IF(C473="","",IF($O$11="BPS",[1]!S_STM07_BS(D473,141,$G$5,$H$13)/IF([1]!S_SHARE_TOTAL(D473,$G$5)=0,[1]!S_SHARE_TOTAL(D473,[1]!s_ipo_listeddate(D473)),[1]!S_SHARE_TOTAL(D473,$G$5)),[1]!S_STM07_CS(D473,49,$G$5,$H$13)/$E$5))</f>
        <v/>
      </c>
      <c r="P473" s="250" t="str">
        <f ca="1">IF(C473="","",IF($P$11="CFPS",[1]!S_STM07_CS(D473,84,$G$5,$H$13)/IF([1]!S_SHARE_TOTAL(D473,$G$5)=0,[1]!S_SHARE_TOTAL(D473,[1]!s_ipo_listeddate(D473)),[1]!S_SHARE_TOTAL(D473,$G$5)),[1]!S_STM07_CS(D473,84,$G$5,$H$13)/$E$5))</f>
        <v/>
      </c>
      <c r="Q473" s="198" t="str">
        <f ca="1">IF(C473="","",F473/([1]!S_STM07_IS(D473,61,$G$5,$H$13)/IF([1]!S_SHARE_TOTAL(D473,$G$5)=0,[1]!S_SHARE_TOTAL(D473,[1]!s_ipo_listeddate(D473)),[1]!S_SHARE_TOTAL(D473,$G$5))))</f>
        <v/>
      </c>
      <c r="R473" s="198" t="str">
        <f ca="1">IF(C473="","",F473/([1]!S_STM07_BS(D473,141,$G$5,$H$13)/IF([1]!S_SHARE_TOTAL(D473,$G$5)=0,[1]!S_SHARE_TOTAL(D473,[1]!s_ipo_listeddate(D473)),[1]!S_SHARE_TOTAL(D473,$G$5))))</f>
        <v/>
      </c>
      <c r="S473" s="249" t="str">
        <f ca="1">IF(C473="","",[1]!S_SHARE_TOTAL(D473,TODAY())/$E$5)</f>
        <v/>
      </c>
      <c r="T473" s="249" t="str">
        <f t="shared" ca="1" si="49"/>
        <v/>
      </c>
      <c r="U473" s="172" t="str">
        <f t="shared" ca="1" si="50"/>
        <v/>
      </c>
      <c r="V473" s="343" t="str">
        <f t="shared" ca="1" si="51"/>
        <v/>
      </c>
      <c r="W473" s="139"/>
      <c r="Y473" s="1"/>
    </row>
    <row r="474" spans="3:25" ht="12" customHeight="1">
      <c r="C474" s="342" t="str">
        <f t="shared" ca="1" si="52"/>
        <v/>
      </c>
      <c r="D474" s="153" t="str">
        <f t="shared" ca="1" si="47"/>
        <v/>
      </c>
      <c r="E474" s="153" t="str">
        <f t="shared" ca="1" si="48"/>
        <v/>
      </c>
      <c r="F474" s="170" t="str">
        <f ca="1">IF(C474="","",[1]!S_DQ_CLOSE(D474,TODAY(),1))</f>
        <v/>
      </c>
      <c r="G474" s="171" t="str">
        <f ca="1">IF(C474="","",[1]!s_pq_pctchange(D474,TODAY()-$G$12,TODAY())/100)</f>
        <v/>
      </c>
      <c r="H474" s="247" t="str">
        <f ca="1">IF(C474="","",IF($H$11="收入",[1]!S_STM07_IS(D474,9,$G$5,$H$13)/$E$5,[1]!S_STM07_IS(D474,48,$G$5,$H$13)/$E$5))</f>
        <v/>
      </c>
      <c r="I474" s="247" t="str">
        <f ca="1">IF(C474="","",IF($I$11="毛利率",([1]!S_STM07_IS(D474,9,$G$5,$H$13)-[1]!S_STM07_IS(D474,10,$G$5,$H$13))/[1]!S_STM07_IS(D474,9,$G$5,$H$13),[1]!S_STM07_IS(D474,14,$G$5,$H$13)/$E$5))</f>
        <v/>
      </c>
      <c r="J474" s="247" t="str">
        <f ca="1">IF(C474="","",IF($J$11="营业利润率",[1]!S_STM07_IS(D474,48,$G$5,$H$13)/[1]!S_STM07_IS(D474,9,$G$5,$H$13),([1]!S_STM07_CS(D474,87,$G$5,$H$13)+[1]!S_STM07_CS(D474,88,$G$5,$H$13)+[1]!S_STM07_CS(D474,89,$G$5,$H$13))/$E$5))</f>
        <v/>
      </c>
      <c r="K474" s="247" t="str">
        <f ca="1">IF(C474="","",IF($K$11="净利润率",[1]!S_STM07_IS(D474,61,$G$5,$H$13)/[1]!S_STM07_IS(D474,9,$G$5,$H$13),[1]!S_STM07_IS(D474,55,$G$5,$H$13)/$E$5))</f>
        <v/>
      </c>
      <c r="L474" s="247" t="str">
        <f ca="1">IF(C474="","",IF($L$11="ROA",[1]!S_STM07_IS(D474,61,$G$5,$H$13)/[1]!S_STM07_BS(D474,74,$G$5,$H$13),1-[1]!S_STM07_IS(D474,61,$G$5,$H$13)/[1]!S_STM07_IS(D474,55,$G$5,$H$13)))</f>
        <v/>
      </c>
      <c r="M474" s="247" t="str">
        <f ca="1">IF(C474="","",IF($M$11="ROE",[1]!S_STM07_IS(D474,61,$G$5,$H$13)/[1]!S_STM07_BS(D474,141,$G$5,$H$13),([1]!S_STM07_BS(D474,25,$G$5,$H$13)-[1]!S_STM07_BS(D474,93,$G$5,$H$13))/$E$5))</f>
        <v/>
      </c>
      <c r="N474" s="247" t="str">
        <f ca="1">IF(C474="","",IF($N$11="EPS",[1]!S_STM07_IS(D474,61,$G$5,$H$13)/IF([1]!S_SHARE_TOTAL(D474,$G$5)=0,[1]!S_SHARE_TOTAL(D474,[1]!s_ipo_listeddate(D474)),[1]!S_SHARE_TOTAL(D474,$G$5)),([1]!S_STM07_BS(D474,75,$G$5,$H$13)+[1]!S_STM07_BS(D474,88,$G$5,$H$13)+[1]!S_STM07_BS(D474,94,$G$5,$H$13)+[1]!S_STM07_BS(D474,95,$G$5,$H$13))/$E$5))</f>
        <v/>
      </c>
      <c r="O474" s="247" t="str">
        <f ca="1">IF(C474="","",IF($O$11="BPS",[1]!S_STM07_BS(D474,141,$G$5,$H$13)/IF([1]!S_SHARE_TOTAL(D474,$G$5)=0,[1]!S_SHARE_TOTAL(D474,[1]!s_ipo_listeddate(D474)),[1]!S_SHARE_TOTAL(D474,$G$5)),[1]!S_STM07_CS(D474,49,$G$5,$H$13)/$E$5))</f>
        <v/>
      </c>
      <c r="P474" s="247" t="str">
        <f ca="1">IF(C474="","",IF($P$11="CFPS",[1]!S_STM07_CS(D474,84,$G$5,$H$13)/IF([1]!S_SHARE_TOTAL(D474,$G$5)=0,[1]!S_SHARE_TOTAL(D474,[1]!s_ipo_listeddate(D474)),[1]!S_SHARE_TOTAL(D474,$G$5)),[1]!S_STM07_CS(D474,84,$G$5,$H$13)/$E$5))</f>
        <v/>
      </c>
      <c r="Q474" s="248" t="str">
        <f ca="1">IF(C474="","",F474/([1]!S_STM07_IS(D474,61,$G$5,$H$13)/IF([1]!S_SHARE_TOTAL(D474,$G$5)=0,[1]!S_SHARE_TOTAL(D474,[1]!s_ipo_listeddate(D474)),[1]!S_SHARE_TOTAL(D474,$G$5))))</f>
        <v/>
      </c>
      <c r="R474" s="248" t="str">
        <f ca="1">IF(C474="","",F474/([1]!S_STM07_BS(D474,141,$G$5,$H$13)/IF([1]!S_SHARE_TOTAL(D474,$G$5)=0,[1]!S_SHARE_TOTAL(D474,[1]!s_ipo_listeddate(D474)),[1]!S_SHARE_TOTAL(D474,$G$5))))</f>
        <v/>
      </c>
      <c r="S474" s="247" t="str">
        <f ca="1">IF(C474="","",[1]!S_SHARE_TOTAL(D474,TODAY())/$E$5)</f>
        <v/>
      </c>
      <c r="T474" s="247" t="str">
        <f t="shared" ca="1" si="49"/>
        <v/>
      </c>
      <c r="U474" s="218" t="str">
        <f t="shared" ca="1" si="50"/>
        <v/>
      </c>
      <c r="V474" s="342" t="str">
        <f t="shared" ca="1" si="51"/>
        <v/>
      </c>
      <c r="W474" s="139"/>
      <c r="Y474" s="1"/>
    </row>
    <row r="475" spans="3:25" ht="12" customHeight="1">
      <c r="C475" s="343" t="str">
        <f t="shared" ca="1" si="52"/>
        <v/>
      </c>
      <c r="D475" s="124" t="str">
        <f t="shared" ca="1" si="47"/>
        <v/>
      </c>
      <c r="E475" s="124" t="str">
        <f t="shared" ca="1" si="48"/>
        <v/>
      </c>
      <c r="F475" s="172" t="str">
        <f ca="1">IF(C475="","",[1]!S_DQ_CLOSE(D475,TODAY(),1))</f>
        <v/>
      </c>
      <c r="G475" s="173" t="str">
        <f ca="1">IF(C475="","",[1]!s_pq_pctchange(D475,TODAY()-$G$12,TODAY())/100)</f>
        <v/>
      </c>
      <c r="H475" s="249" t="str">
        <f ca="1">IF(C475="","",IF($H$11="收入",[1]!S_STM07_IS(D475,9,$G$5,$H$13)/$E$5,[1]!S_STM07_IS(D475,48,$G$5,$H$13)/$E$5))</f>
        <v/>
      </c>
      <c r="I475" s="249" t="str">
        <f ca="1">IF(C475="","",IF($I$11="毛利率",([1]!S_STM07_IS(D475,9,$G$5,$H$13)-[1]!S_STM07_IS(D475,10,$G$5,$H$13))/[1]!S_STM07_IS(D475,9,$G$5,$H$13),[1]!S_STM07_IS(D475,14,$G$5,$H$13)/$E$5))</f>
        <v/>
      </c>
      <c r="J475" s="249" t="str">
        <f ca="1">IF(C475="","",IF($J$11="营业利润率",[1]!S_STM07_IS(D475,48,$G$5,$H$13)/[1]!S_STM07_IS(D475,9,$G$5,$H$13),([1]!S_STM07_CS(D475,87,$G$5,$H$13)+[1]!S_STM07_CS(D475,88,$G$5,$H$13)+[1]!S_STM07_CS(D475,89,$G$5,$H$13))/$E$5))</f>
        <v/>
      </c>
      <c r="K475" s="249" t="str">
        <f ca="1">IF(C475="","",IF($K$11="净利润率",[1]!S_STM07_IS(D475,61,$G$5,$H$13)/[1]!S_STM07_IS(D475,9,$G$5,$H$13),[1]!S_STM07_IS(D475,55,$G$5,$H$13)/$E$5))</f>
        <v/>
      </c>
      <c r="L475" s="249" t="str">
        <f ca="1">IF(C475="","",IF($L$11="ROA",[1]!S_STM07_IS(D475,61,$G$5,$H$13)/[1]!S_STM07_BS(D475,74,$G$5,$H$13),1-[1]!S_STM07_IS(D475,61,$G$5,$H$13)/[1]!S_STM07_IS(D475,55,$G$5,$H$13)))</f>
        <v/>
      </c>
      <c r="M475" s="249" t="str">
        <f ca="1">IF(C475="","",IF($M$11="ROE",[1]!S_STM07_IS(D475,61,$G$5,$H$13)/[1]!S_STM07_BS(D475,141,$G$5,$H$13),([1]!S_STM07_BS(D475,25,$G$5,$H$13)-[1]!S_STM07_BS(D475,93,$G$5,$H$13))/$E$5))</f>
        <v/>
      </c>
      <c r="N475" s="250" t="str">
        <f ca="1">IF(C475="","",IF($N$11="EPS",[1]!S_STM07_IS(D475,61,$G$5,$H$13)/IF([1]!S_SHARE_TOTAL(D475,$G$5)=0,[1]!S_SHARE_TOTAL(D475,[1]!s_ipo_listeddate(D475)),[1]!S_SHARE_TOTAL(D475,$G$5)),([1]!S_STM07_BS(D475,75,$G$5,$H$13)+[1]!S_STM07_BS(D475,88,$G$5,$H$13)+[1]!S_STM07_BS(D475,94,$G$5,$H$13)+[1]!S_STM07_BS(D475,95,$G$5,$H$13))/$E$5))</f>
        <v/>
      </c>
      <c r="O475" s="250" t="str">
        <f ca="1">IF(C475="","",IF($O$11="BPS",[1]!S_STM07_BS(D475,141,$G$5,$H$13)/IF([1]!S_SHARE_TOTAL(D475,$G$5)=0,[1]!S_SHARE_TOTAL(D475,[1]!s_ipo_listeddate(D475)),[1]!S_SHARE_TOTAL(D475,$G$5)),[1]!S_STM07_CS(D475,49,$G$5,$H$13)/$E$5))</f>
        <v/>
      </c>
      <c r="P475" s="250" t="str">
        <f ca="1">IF(C475="","",IF($P$11="CFPS",[1]!S_STM07_CS(D475,84,$G$5,$H$13)/IF([1]!S_SHARE_TOTAL(D475,$G$5)=0,[1]!S_SHARE_TOTAL(D475,[1]!s_ipo_listeddate(D475)),[1]!S_SHARE_TOTAL(D475,$G$5)),[1]!S_STM07_CS(D475,84,$G$5,$H$13)/$E$5))</f>
        <v/>
      </c>
      <c r="Q475" s="198" t="str">
        <f ca="1">IF(C475="","",F475/([1]!S_STM07_IS(D475,61,$G$5,$H$13)/IF([1]!S_SHARE_TOTAL(D475,$G$5)=0,[1]!S_SHARE_TOTAL(D475,[1]!s_ipo_listeddate(D475)),[1]!S_SHARE_TOTAL(D475,$G$5))))</f>
        <v/>
      </c>
      <c r="R475" s="198" t="str">
        <f ca="1">IF(C475="","",F475/([1]!S_STM07_BS(D475,141,$G$5,$H$13)/IF([1]!S_SHARE_TOTAL(D475,$G$5)=0,[1]!S_SHARE_TOTAL(D475,[1]!s_ipo_listeddate(D475)),[1]!S_SHARE_TOTAL(D475,$G$5))))</f>
        <v/>
      </c>
      <c r="S475" s="249" t="str">
        <f ca="1">IF(C475="","",[1]!S_SHARE_TOTAL(D475,TODAY())/$E$5)</f>
        <v/>
      </c>
      <c r="T475" s="249" t="str">
        <f t="shared" ca="1" si="49"/>
        <v/>
      </c>
      <c r="U475" s="172" t="str">
        <f t="shared" ca="1" si="50"/>
        <v/>
      </c>
      <c r="V475" s="343" t="str">
        <f t="shared" ca="1" si="51"/>
        <v/>
      </c>
      <c r="W475" s="139"/>
      <c r="Y475" s="1"/>
    </row>
    <row r="476" spans="3:25" ht="12" customHeight="1">
      <c r="C476" s="342" t="str">
        <f t="shared" ca="1" si="52"/>
        <v/>
      </c>
      <c r="D476" s="153" t="str">
        <f t="shared" ca="1" si="47"/>
        <v/>
      </c>
      <c r="E476" s="153" t="str">
        <f t="shared" ca="1" si="48"/>
        <v/>
      </c>
      <c r="F476" s="170" t="str">
        <f ca="1">IF(C476="","",[1]!S_DQ_CLOSE(D476,TODAY(),1))</f>
        <v/>
      </c>
      <c r="G476" s="171" t="str">
        <f ca="1">IF(C476="","",[1]!s_pq_pctchange(D476,TODAY()-$G$12,TODAY())/100)</f>
        <v/>
      </c>
      <c r="H476" s="247" t="str">
        <f ca="1">IF(C476="","",IF($H$11="收入",[1]!S_STM07_IS(D476,9,$G$5,$H$13)/$E$5,[1]!S_STM07_IS(D476,48,$G$5,$H$13)/$E$5))</f>
        <v/>
      </c>
      <c r="I476" s="247" t="str">
        <f ca="1">IF(C476="","",IF($I$11="毛利率",([1]!S_STM07_IS(D476,9,$G$5,$H$13)-[1]!S_STM07_IS(D476,10,$G$5,$H$13))/[1]!S_STM07_IS(D476,9,$G$5,$H$13),[1]!S_STM07_IS(D476,14,$G$5,$H$13)/$E$5))</f>
        <v/>
      </c>
      <c r="J476" s="247" t="str">
        <f ca="1">IF(C476="","",IF($J$11="营业利润率",[1]!S_STM07_IS(D476,48,$G$5,$H$13)/[1]!S_STM07_IS(D476,9,$G$5,$H$13),([1]!S_STM07_CS(D476,87,$G$5,$H$13)+[1]!S_STM07_CS(D476,88,$G$5,$H$13)+[1]!S_STM07_CS(D476,89,$G$5,$H$13))/$E$5))</f>
        <v/>
      </c>
      <c r="K476" s="247" t="str">
        <f ca="1">IF(C476="","",IF($K$11="净利润率",[1]!S_STM07_IS(D476,61,$G$5,$H$13)/[1]!S_STM07_IS(D476,9,$G$5,$H$13),[1]!S_STM07_IS(D476,55,$G$5,$H$13)/$E$5))</f>
        <v/>
      </c>
      <c r="L476" s="247" t="str">
        <f ca="1">IF(C476="","",IF($L$11="ROA",[1]!S_STM07_IS(D476,61,$G$5,$H$13)/[1]!S_STM07_BS(D476,74,$G$5,$H$13),1-[1]!S_STM07_IS(D476,61,$G$5,$H$13)/[1]!S_STM07_IS(D476,55,$G$5,$H$13)))</f>
        <v/>
      </c>
      <c r="M476" s="247" t="str">
        <f ca="1">IF(C476="","",IF($M$11="ROE",[1]!S_STM07_IS(D476,61,$G$5,$H$13)/[1]!S_STM07_BS(D476,141,$G$5,$H$13),([1]!S_STM07_BS(D476,25,$G$5,$H$13)-[1]!S_STM07_BS(D476,93,$G$5,$H$13))/$E$5))</f>
        <v/>
      </c>
      <c r="N476" s="247" t="str">
        <f ca="1">IF(C476="","",IF($N$11="EPS",[1]!S_STM07_IS(D476,61,$G$5,$H$13)/IF([1]!S_SHARE_TOTAL(D476,$G$5)=0,[1]!S_SHARE_TOTAL(D476,[1]!s_ipo_listeddate(D476)),[1]!S_SHARE_TOTAL(D476,$G$5)),([1]!S_STM07_BS(D476,75,$G$5,$H$13)+[1]!S_STM07_BS(D476,88,$G$5,$H$13)+[1]!S_STM07_BS(D476,94,$G$5,$H$13)+[1]!S_STM07_BS(D476,95,$G$5,$H$13))/$E$5))</f>
        <v/>
      </c>
      <c r="O476" s="247" t="str">
        <f ca="1">IF(C476="","",IF($O$11="BPS",[1]!S_STM07_BS(D476,141,$G$5,$H$13)/IF([1]!S_SHARE_TOTAL(D476,$G$5)=0,[1]!S_SHARE_TOTAL(D476,[1]!s_ipo_listeddate(D476)),[1]!S_SHARE_TOTAL(D476,$G$5)),[1]!S_STM07_CS(D476,49,$G$5,$H$13)/$E$5))</f>
        <v/>
      </c>
      <c r="P476" s="247" t="str">
        <f ca="1">IF(C476="","",IF($P$11="CFPS",[1]!S_STM07_CS(D476,84,$G$5,$H$13)/IF([1]!S_SHARE_TOTAL(D476,$G$5)=0,[1]!S_SHARE_TOTAL(D476,[1]!s_ipo_listeddate(D476)),[1]!S_SHARE_TOTAL(D476,$G$5)),[1]!S_STM07_CS(D476,84,$G$5,$H$13)/$E$5))</f>
        <v/>
      </c>
      <c r="Q476" s="248" t="str">
        <f ca="1">IF(C476="","",F476/([1]!S_STM07_IS(D476,61,$G$5,$H$13)/IF([1]!S_SHARE_TOTAL(D476,$G$5)=0,[1]!S_SHARE_TOTAL(D476,[1]!s_ipo_listeddate(D476)),[1]!S_SHARE_TOTAL(D476,$G$5))))</f>
        <v/>
      </c>
      <c r="R476" s="248" t="str">
        <f ca="1">IF(C476="","",F476/([1]!S_STM07_BS(D476,141,$G$5,$H$13)/IF([1]!S_SHARE_TOTAL(D476,$G$5)=0,[1]!S_SHARE_TOTAL(D476,[1]!s_ipo_listeddate(D476)),[1]!S_SHARE_TOTAL(D476,$G$5))))</f>
        <v/>
      </c>
      <c r="S476" s="247" t="str">
        <f ca="1">IF(C476="","",[1]!S_SHARE_TOTAL(D476,TODAY())/$E$5)</f>
        <v/>
      </c>
      <c r="T476" s="247" t="str">
        <f t="shared" ca="1" si="49"/>
        <v/>
      </c>
      <c r="U476" s="218" t="str">
        <f t="shared" ca="1" si="50"/>
        <v/>
      </c>
      <c r="V476" s="342" t="str">
        <f t="shared" ca="1" si="51"/>
        <v/>
      </c>
      <c r="W476" s="139"/>
      <c r="Y476" s="1"/>
    </row>
    <row r="477" spans="3:25" ht="12" customHeight="1">
      <c r="C477" s="343" t="str">
        <f t="shared" ca="1" si="52"/>
        <v/>
      </c>
      <c r="D477" s="124" t="str">
        <f t="shared" ca="1" si="47"/>
        <v/>
      </c>
      <c r="E477" s="124" t="str">
        <f t="shared" ca="1" si="48"/>
        <v/>
      </c>
      <c r="F477" s="172" t="str">
        <f ca="1">IF(C477="","",[1]!S_DQ_CLOSE(D477,TODAY(),1))</f>
        <v/>
      </c>
      <c r="G477" s="173" t="str">
        <f ca="1">IF(C477="","",[1]!s_pq_pctchange(D477,TODAY()-$G$12,TODAY())/100)</f>
        <v/>
      </c>
      <c r="H477" s="249" t="str">
        <f ca="1">IF(C477="","",IF($H$11="收入",[1]!S_STM07_IS(D477,9,$G$5,$H$13)/$E$5,[1]!S_STM07_IS(D477,48,$G$5,$H$13)/$E$5))</f>
        <v/>
      </c>
      <c r="I477" s="249" t="str">
        <f ca="1">IF(C477="","",IF($I$11="毛利率",([1]!S_STM07_IS(D477,9,$G$5,$H$13)-[1]!S_STM07_IS(D477,10,$G$5,$H$13))/[1]!S_STM07_IS(D477,9,$G$5,$H$13),[1]!S_STM07_IS(D477,14,$G$5,$H$13)/$E$5))</f>
        <v/>
      </c>
      <c r="J477" s="249" t="str">
        <f ca="1">IF(C477="","",IF($J$11="营业利润率",[1]!S_STM07_IS(D477,48,$G$5,$H$13)/[1]!S_STM07_IS(D477,9,$G$5,$H$13),([1]!S_STM07_CS(D477,87,$G$5,$H$13)+[1]!S_STM07_CS(D477,88,$G$5,$H$13)+[1]!S_STM07_CS(D477,89,$G$5,$H$13))/$E$5))</f>
        <v/>
      </c>
      <c r="K477" s="249" t="str">
        <f ca="1">IF(C477="","",IF($K$11="净利润率",[1]!S_STM07_IS(D477,61,$G$5,$H$13)/[1]!S_STM07_IS(D477,9,$G$5,$H$13),[1]!S_STM07_IS(D477,55,$G$5,$H$13)/$E$5))</f>
        <v/>
      </c>
      <c r="L477" s="249" t="str">
        <f ca="1">IF(C477="","",IF($L$11="ROA",[1]!S_STM07_IS(D477,61,$G$5,$H$13)/[1]!S_STM07_BS(D477,74,$G$5,$H$13),1-[1]!S_STM07_IS(D477,61,$G$5,$H$13)/[1]!S_STM07_IS(D477,55,$G$5,$H$13)))</f>
        <v/>
      </c>
      <c r="M477" s="249" t="str">
        <f ca="1">IF(C477="","",IF($M$11="ROE",[1]!S_STM07_IS(D477,61,$G$5,$H$13)/[1]!S_STM07_BS(D477,141,$G$5,$H$13),([1]!S_STM07_BS(D477,25,$G$5,$H$13)-[1]!S_STM07_BS(D477,93,$G$5,$H$13))/$E$5))</f>
        <v/>
      </c>
      <c r="N477" s="250" t="str">
        <f ca="1">IF(C477="","",IF($N$11="EPS",[1]!S_STM07_IS(D477,61,$G$5,$H$13)/IF([1]!S_SHARE_TOTAL(D477,$G$5)=0,[1]!S_SHARE_TOTAL(D477,[1]!s_ipo_listeddate(D477)),[1]!S_SHARE_TOTAL(D477,$G$5)),([1]!S_STM07_BS(D477,75,$G$5,$H$13)+[1]!S_STM07_BS(D477,88,$G$5,$H$13)+[1]!S_STM07_BS(D477,94,$G$5,$H$13)+[1]!S_STM07_BS(D477,95,$G$5,$H$13))/$E$5))</f>
        <v/>
      </c>
      <c r="O477" s="250" t="str">
        <f ca="1">IF(C477="","",IF($O$11="BPS",[1]!S_STM07_BS(D477,141,$G$5,$H$13)/IF([1]!S_SHARE_TOTAL(D477,$G$5)=0,[1]!S_SHARE_TOTAL(D477,[1]!s_ipo_listeddate(D477)),[1]!S_SHARE_TOTAL(D477,$G$5)),[1]!S_STM07_CS(D477,49,$G$5,$H$13)/$E$5))</f>
        <v/>
      </c>
      <c r="P477" s="250" t="str">
        <f ca="1">IF(C477="","",IF($P$11="CFPS",[1]!S_STM07_CS(D477,84,$G$5,$H$13)/IF([1]!S_SHARE_TOTAL(D477,$G$5)=0,[1]!S_SHARE_TOTAL(D477,[1]!s_ipo_listeddate(D477)),[1]!S_SHARE_TOTAL(D477,$G$5)),[1]!S_STM07_CS(D477,84,$G$5,$H$13)/$E$5))</f>
        <v/>
      </c>
      <c r="Q477" s="198" t="str">
        <f ca="1">IF(C477="","",F477/([1]!S_STM07_IS(D477,61,$G$5,$H$13)/IF([1]!S_SHARE_TOTAL(D477,$G$5)=0,[1]!S_SHARE_TOTAL(D477,[1]!s_ipo_listeddate(D477)),[1]!S_SHARE_TOTAL(D477,$G$5))))</f>
        <v/>
      </c>
      <c r="R477" s="198" t="str">
        <f ca="1">IF(C477="","",F477/([1]!S_STM07_BS(D477,141,$G$5,$H$13)/IF([1]!S_SHARE_TOTAL(D477,$G$5)=0,[1]!S_SHARE_TOTAL(D477,[1]!s_ipo_listeddate(D477)),[1]!S_SHARE_TOTAL(D477,$G$5))))</f>
        <v/>
      </c>
      <c r="S477" s="249" t="str">
        <f ca="1">IF(C477="","",[1]!S_SHARE_TOTAL(D477,TODAY())/$E$5)</f>
        <v/>
      </c>
      <c r="T477" s="249" t="str">
        <f t="shared" ca="1" si="49"/>
        <v/>
      </c>
      <c r="U477" s="172" t="str">
        <f t="shared" ca="1" si="50"/>
        <v/>
      </c>
      <c r="V477" s="343" t="str">
        <f t="shared" ca="1" si="51"/>
        <v/>
      </c>
      <c r="W477" s="139"/>
      <c r="Y477" s="1"/>
    </row>
    <row r="478" spans="3:25" ht="12" customHeight="1">
      <c r="C478" s="342" t="str">
        <f t="shared" ca="1" si="52"/>
        <v/>
      </c>
      <c r="D478" s="153" t="str">
        <f t="shared" ca="1" si="47"/>
        <v/>
      </c>
      <c r="E478" s="153" t="str">
        <f t="shared" ca="1" si="48"/>
        <v/>
      </c>
      <c r="F478" s="170" t="str">
        <f ca="1">IF(C478="","",[1]!S_DQ_CLOSE(D478,TODAY(),1))</f>
        <v/>
      </c>
      <c r="G478" s="171" t="str">
        <f ca="1">IF(C478="","",[1]!s_pq_pctchange(D478,TODAY()-$G$12,TODAY())/100)</f>
        <v/>
      </c>
      <c r="H478" s="247" t="str">
        <f ca="1">IF(C478="","",IF($H$11="收入",[1]!S_STM07_IS(D478,9,$G$5,$H$13)/$E$5,[1]!S_STM07_IS(D478,48,$G$5,$H$13)/$E$5))</f>
        <v/>
      </c>
      <c r="I478" s="247" t="str">
        <f ca="1">IF(C478="","",IF($I$11="毛利率",([1]!S_STM07_IS(D478,9,$G$5,$H$13)-[1]!S_STM07_IS(D478,10,$G$5,$H$13))/[1]!S_STM07_IS(D478,9,$G$5,$H$13),[1]!S_STM07_IS(D478,14,$G$5,$H$13)/$E$5))</f>
        <v/>
      </c>
      <c r="J478" s="247" t="str">
        <f ca="1">IF(C478="","",IF($J$11="营业利润率",[1]!S_STM07_IS(D478,48,$G$5,$H$13)/[1]!S_STM07_IS(D478,9,$G$5,$H$13),([1]!S_STM07_CS(D478,87,$G$5,$H$13)+[1]!S_STM07_CS(D478,88,$G$5,$H$13)+[1]!S_STM07_CS(D478,89,$G$5,$H$13))/$E$5))</f>
        <v/>
      </c>
      <c r="K478" s="247" t="str">
        <f ca="1">IF(C478="","",IF($K$11="净利润率",[1]!S_STM07_IS(D478,61,$G$5,$H$13)/[1]!S_STM07_IS(D478,9,$G$5,$H$13),[1]!S_STM07_IS(D478,55,$G$5,$H$13)/$E$5))</f>
        <v/>
      </c>
      <c r="L478" s="247" t="str">
        <f ca="1">IF(C478="","",IF($L$11="ROA",[1]!S_STM07_IS(D478,61,$G$5,$H$13)/[1]!S_STM07_BS(D478,74,$G$5,$H$13),1-[1]!S_STM07_IS(D478,61,$G$5,$H$13)/[1]!S_STM07_IS(D478,55,$G$5,$H$13)))</f>
        <v/>
      </c>
      <c r="M478" s="247" t="str">
        <f ca="1">IF(C478="","",IF($M$11="ROE",[1]!S_STM07_IS(D478,61,$G$5,$H$13)/[1]!S_STM07_BS(D478,141,$G$5,$H$13),([1]!S_STM07_BS(D478,25,$G$5,$H$13)-[1]!S_STM07_BS(D478,93,$G$5,$H$13))/$E$5))</f>
        <v/>
      </c>
      <c r="N478" s="247" t="str">
        <f ca="1">IF(C478="","",IF($N$11="EPS",[1]!S_STM07_IS(D478,61,$G$5,$H$13)/IF([1]!S_SHARE_TOTAL(D478,$G$5)=0,[1]!S_SHARE_TOTAL(D478,[1]!s_ipo_listeddate(D478)),[1]!S_SHARE_TOTAL(D478,$G$5)),([1]!S_STM07_BS(D478,75,$G$5,$H$13)+[1]!S_STM07_BS(D478,88,$G$5,$H$13)+[1]!S_STM07_BS(D478,94,$G$5,$H$13)+[1]!S_STM07_BS(D478,95,$G$5,$H$13))/$E$5))</f>
        <v/>
      </c>
      <c r="O478" s="247" t="str">
        <f ca="1">IF(C478="","",IF($O$11="BPS",[1]!S_STM07_BS(D478,141,$G$5,$H$13)/IF([1]!S_SHARE_TOTAL(D478,$G$5)=0,[1]!S_SHARE_TOTAL(D478,[1]!s_ipo_listeddate(D478)),[1]!S_SHARE_TOTAL(D478,$G$5)),[1]!S_STM07_CS(D478,49,$G$5,$H$13)/$E$5))</f>
        <v/>
      </c>
      <c r="P478" s="247" t="str">
        <f ca="1">IF(C478="","",IF($P$11="CFPS",[1]!S_STM07_CS(D478,84,$G$5,$H$13)/IF([1]!S_SHARE_TOTAL(D478,$G$5)=0,[1]!S_SHARE_TOTAL(D478,[1]!s_ipo_listeddate(D478)),[1]!S_SHARE_TOTAL(D478,$G$5)),[1]!S_STM07_CS(D478,84,$G$5,$H$13)/$E$5))</f>
        <v/>
      </c>
      <c r="Q478" s="248" t="str">
        <f ca="1">IF(C478="","",F478/([1]!S_STM07_IS(D478,61,$G$5,$H$13)/IF([1]!S_SHARE_TOTAL(D478,$G$5)=0,[1]!S_SHARE_TOTAL(D478,[1]!s_ipo_listeddate(D478)),[1]!S_SHARE_TOTAL(D478,$G$5))))</f>
        <v/>
      </c>
      <c r="R478" s="248" t="str">
        <f ca="1">IF(C478="","",F478/([1]!S_STM07_BS(D478,141,$G$5,$H$13)/IF([1]!S_SHARE_TOTAL(D478,$G$5)=0,[1]!S_SHARE_TOTAL(D478,[1]!s_ipo_listeddate(D478)),[1]!S_SHARE_TOTAL(D478,$G$5))))</f>
        <v/>
      </c>
      <c r="S478" s="247" t="str">
        <f ca="1">IF(C478="","",[1]!S_SHARE_TOTAL(D478,TODAY())/$E$5)</f>
        <v/>
      </c>
      <c r="T478" s="247" t="str">
        <f t="shared" ca="1" si="49"/>
        <v/>
      </c>
      <c r="U478" s="218" t="str">
        <f t="shared" ca="1" si="50"/>
        <v/>
      </c>
      <c r="V478" s="342" t="str">
        <f t="shared" ca="1" si="51"/>
        <v/>
      </c>
      <c r="W478" s="139"/>
      <c r="Y478" s="1"/>
    </row>
    <row r="479" spans="3:25" ht="12" customHeight="1">
      <c r="C479" s="343" t="str">
        <f t="shared" ca="1" si="52"/>
        <v/>
      </c>
      <c r="D479" s="124" t="str">
        <f t="shared" ca="1" si="47"/>
        <v/>
      </c>
      <c r="E479" s="124" t="str">
        <f t="shared" ca="1" si="48"/>
        <v/>
      </c>
      <c r="F479" s="172" t="str">
        <f ca="1">IF(C479="","",[1]!S_DQ_CLOSE(D479,TODAY(),1))</f>
        <v/>
      </c>
      <c r="G479" s="173" t="str">
        <f ca="1">IF(C479="","",[1]!s_pq_pctchange(D479,TODAY()-$G$12,TODAY())/100)</f>
        <v/>
      </c>
      <c r="H479" s="249" t="str">
        <f ca="1">IF(C479="","",IF($H$11="收入",[1]!S_STM07_IS(D479,9,$G$5,$H$13)/$E$5,[1]!S_STM07_IS(D479,48,$G$5,$H$13)/$E$5))</f>
        <v/>
      </c>
      <c r="I479" s="249" t="str">
        <f ca="1">IF(C479="","",IF($I$11="毛利率",([1]!S_STM07_IS(D479,9,$G$5,$H$13)-[1]!S_STM07_IS(D479,10,$G$5,$H$13))/[1]!S_STM07_IS(D479,9,$G$5,$H$13),[1]!S_STM07_IS(D479,14,$G$5,$H$13)/$E$5))</f>
        <v/>
      </c>
      <c r="J479" s="249" t="str">
        <f ca="1">IF(C479="","",IF($J$11="营业利润率",[1]!S_STM07_IS(D479,48,$G$5,$H$13)/[1]!S_STM07_IS(D479,9,$G$5,$H$13),([1]!S_STM07_CS(D479,87,$G$5,$H$13)+[1]!S_STM07_CS(D479,88,$G$5,$H$13)+[1]!S_STM07_CS(D479,89,$G$5,$H$13))/$E$5))</f>
        <v/>
      </c>
      <c r="K479" s="249" t="str">
        <f ca="1">IF(C479="","",IF($K$11="净利润率",[1]!S_STM07_IS(D479,61,$G$5,$H$13)/[1]!S_STM07_IS(D479,9,$G$5,$H$13),[1]!S_STM07_IS(D479,55,$G$5,$H$13)/$E$5))</f>
        <v/>
      </c>
      <c r="L479" s="249" t="str">
        <f ca="1">IF(C479="","",IF($L$11="ROA",[1]!S_STM07_IS(D479,61,$G$5,$H$13)/[1]!S_STM07_BS(D479,74,$G$5,$H$13),1-[1]!S_STM07_IS(D479,61,$G$5,$H$13)/[1]!S_STM07_IS(D479,55,$G$5,$H$13)))</f>
        <v/>
      </c>
      <c r="M479" s="249" t="str">
        <f ca="1">IF(C479="","",IF($M$11="ROE",[1]!S_STM07_IS(D479,61,$G$5,$H$13)/[1]!S_STM07_BS(D479,141,$G$5,$H$13),([1]!S_STM07_BS(D479,25,$G$5,$H$13)-[1]!S_STM07_BS(D479,93,$G$5,$H$13))/$E$5))</f>
        <v/>
      </c>
      <c r="N479" s="250" t="str">
        <f ca="1">IF(C479="","",IF($N$11="EPS",[1]!S_STM07_IS(D479,61,$G$5,$H$13)/IF([1]!S_SHARE_TOTAL(D479,$G$5)=0,[1]!S_SHARE_TOTAL(D479,[1]!s_ipo_listeddate(D479)),[1]!S_SHARE_TOTAL(D479,$G$5)),([1]!S_STM07_BS(D479,75,$G$5,$H$13)+[1]!S_STM07_BS(D479,88,$G$5,$H$13)+[1]!S_STM07_BS(D479,94,$G$5,$H$13)+[1]!S_STM07_BS(D479,95,$G$5,$H$13))/$E$5))</f>
        <v/>
      </c>
      <c r="O479" s="250" t="str">
        <f ca="1">IF(C479="","",IF($O$11="BPS",[1]!S_STM07_BS(D479,141,$G$5,$H$13)/IF([1]!S_SHARE_TOTAL(D479,$G$5)=0,[1]!S_SHARE_TOTAL(D479,[1]!s_ipo_listeddate(D479)),[1]!S_SHARE_TOTAL(D479,$G$5)),[1]!S_STM07_CS(D479,49,$G$5,$H$13)/$E$5))</f>
        <v/>
      </c>
      <c r="P479" s="250" t="str">
        <f ca="1">IF(C479="","",IF($P$11="CFPS",[1]!S_STM07_CS(D479,84,$G$5,$H$13)/IF([1]!S_SHARE_TOTAL(D479,$G$5)=0,[1]!S_SHARE_TOTAL(D479,[1]!s_ipo_listeddate(D479)),[1]!S_SHARE_TOTAL(D479,$G$5)),[1]!S_STM07_CS(D479,84,$G$5,$H$13)/$E$5))</f>
        <v/>
      </c>
      <c r="Q479" s="198" t="str">
        <f ca="1">IF(C479="","",F479/([1]!S_STM07_IS(D479,61,$G$5,$H$13)/IF([1]!S_SHARE_TOTAL(D479,$G$5)=0,[1]!S_SHARE_TOTAL(D479,[1]!s_ipo_listeddate(D479)),[1]!S_SHARE_TOTAL(D479,$G$5))))</f>
        <v/>
      </c>
      <c r="R479" s="198" t="str">
        <f ca="1">IF(C479="","",F479/([1]!S_STM07_BS(D479,141,$G$5,$H$13)/IF([1]!S_SHARE_TOTAL(D479,$G$5)=0,[1]!S_SHARE_TOTAL(D479,[1]!s_ipo_listeddate(D479)),[1]!S_SHARE_TOTAL(D479,$G$5))))</f>
        <v/>
      </c>
      <c r="S479" s="249" t="str">
        <f ca="1">IF(C479="","",[1]!S_SHARE_TOTAL(D479,TODAY())/$E$5)</f>
        <v/>
      </c>
      <c r="T479" s="249" t="str">
        <f t="shared" ca="1" si="49"/>
        <v/>
      </c>
      <c r="U479" s="172" t="str">
        <f t="shared" ca="1" si="50"/>
        <v/>
      </c>
      <c r="V479" s="343" t="str">
        <f t="shared" ca="1" si="51"/>
        <v/>
      </c>
      <c r="W479" s="139"/>
      <c r="Y479" s="1"/>
    </row>
    <row r="480" spans="3:25" ht="12" customHeight="1">
      <c r="C480" s="342" t="str">
        <f t="shared" ca="1" si="52"/>
        <v/>
      </c>
      <c r="D480" s="153" t="str">
        <f t="shared" ca="1" si="47"/>
        <v/>
      </c>
      <c r="E480" s="153" t="str">
        <f t="shared" ca="1" si="48"/>
        <v/>
      </c>
      <c r="F480" s="170" t="str">
        <f ca="1">IF(C480="","",[1]!S_DQ_CLOSE(D480,TODAY(),1))</f>
        <v/>
      </c>
      <c r="G480" s="171" t="str">
        <f ca="1">IF(C480="","",[1]!s_pq_pctchange(D480,TODAY()-$G$12,TODAY())/100)</f>
        <v/>
      </c>
      <c r="H480" s="247" t="str">
        <f ca="1">IF(C480="","",IF($H$11="收入",[1]!S_STM07_IS(D480,9,$G$5,$H$13)/$E$5,[1]!S_STM07_IS(D480,48,$G$5,$H$13)/$E$5))</f>
        <v/>
      </c>
      <c r="I480" s="247" t="str">
        <f ca="1">IF(C480="","",IF($I$11="毛利率",([1]!S_STM07_IS(D480,9,$G$5,$H$13)-[1]!S_STM07_IS(D480,10,$G$5,$H$13))/[1]!S_STM07_IS(D480,9,$G$5,$H$13),[1]!S_STM07_IS(D480,14,$G$5,$H$13)/$E$5))</f>
        <v/>
      </c>
      <c r="J480" s="247" t="str">
        <f ca="1">IF(C480="","",IF($J$11="营业利润率",[1]!S_STM07_IS(D480,48,$G$5,$H$13)/[1]!S_STM07_IS(D480,9,$G$5,$H$13),([1]!S_STM07_CS(D480,87,$G$5,$H$13)+[1]!S_STM07_CS(D480,88,$G$5,$H$13)+[1]!S_STM07_CS(D480,89,$G$5,$H$13))/$E$5))</f>
        <v/>
      </c>
      <c r="K480" s="247" t="str">
        <f ca="1">IF(C480="","",IF($K$11="净利润率",[1]!S_STM07_IS(D480,61,$G$5,$H$13)/[1]!S_STM07_IS(D480,9,$G$5,$H$13),[1]!S_STM07_IS(D480,55,$G$5,$H$13)/$E$5))</f>
        <v/>
      </c>
      <c r="L480" s="247" t="str">
        <f ca="1">IF(C480="","",IF($L$11="ROA",[1]!S_STM07_IS(D480,61,$G$5,$H$13)/[1]!S_STM07_BS(D480,74,$G$5,$H$13),1-[1]!S_STM07_IS(D480,61,$G$5,$H$13)/[1]!S_STM07_IS(D480,55,$G$5,$H$13)))</f>
        <v/>
      </c>
      <c r="M480" s="247" t="str">
        <f ca="1">IF(C480="","",IF($M$11="ROE",[1]!S_STM07_IS(D480,61,$G$5,$H$13)/[1]!S_STM07_BS(D480,141,$G$5,$H$13),([1]!S_STM07_BS(D480,25,$G$5,$H$13)-[1]!S_STM07_BS(D480,93,$G$5,$H$13))/$E$5))</f>
        <v/>
      </c>
      <c r="N480" s="247" t="str">
        <f ca="1">IF(C480="","",IF($N$11="EPS",[1]!S_STM07_IS(D480,61,$G$5,$H$13)/IF([1]!S_SHARE_TOTAL(D480,$G$5)=0,[1]!S_SHARE_TOTAL(D480,[1]!s_ipo_listeddate(D480)),[1]!S_SHARE_TOTAL(D480,$G$5)),([1]!S_STM07_BS(D480,75,$G$5,$H$13)+[1]!S_STM07_BS(D480,88,$G$5,$H$13)+[1]!S_STM07_BS(D480,94,$G$5,$H$13)+[1]!S_STM07_BS(D480,95,$G$5,$H$13))/$E$5))</f>
        <v/>
      </c>
      <c r="O480" s="247" t="str">
        <f ca="1">IF(C480="","",IF($O$11="BPS",[1]!S_STM07_BS(D480,141,$G$5,$H$13)/IF([1]!S_SHARE_TOTAL(D480,$G$5)=0,[1]!S_SHARE_TOTAL(D480,[1]!s_ipo_listeddate(D480)),[1]!S_SHARE_TOTAL(D480,$G$5)),[1]!S_STM07_CS(D480,49,$G$5,$H$13)/$E$5))</f>
        <v/>
      </c>
      <c r="P480" s="247" t="str">
        <f ca="1">IF(C480="","",IF($P$11="CFPS",[1]!S_STM07_CS(D480,84,$G$5,$H$13)/IF([1]!S_SHARE_TOTAL(D480,$G$5)=0,[1]!S_SHARE_TOTAL(D480,[1]!s_ipo_listeddate(D480)),[1]!S_SHARE_TOTAL(D480,$G$5)),[1]!S_STM07_CS(D480,84,$G$5,$H$13)/$E$5))</f>
        <v/>
      </c>
      <c r="Q480" s="248" t="str">
        <f ca="1">IF(C480="","",F480/([1]!S_STM07_IS(D480,61,$G$5,$H$13)/IF([1]!S_SHARE_TOTAL(D480,$G$5)=0,[1]!S_SHARE_TOTAL(D480,[1]!s_ipo_listeddate(D480)),[1]!S_SHARE_TOTAL(D480,$G$5))))</f>
        <v/>
      </c>
      <c r="R480" s="248" t="str">
        <f ca="1">IF(C480="","",F480/([1]!S_STM07_BS(D480,141,$G$5,$H$13)/IF([1]!S_SHARE_TOTAL(D480,$G$5)=0,[1]!S_SHARE_TOTAL(D480,[1]!s_ipo_listeddate(D480)),[1]!S_SHARE_TOTAL(D480,$G$5))))</f>
        <v/>
      </c>
      <c r="S480" s="247" t="str">
        <f ca="1">IF(C480="","",[1]!S_SHARE_TOTAL(D480,TODAY())/$E$5)</f>
        <v/>
      </c>
      <c r="T480" s="247" t="str">
        <f t="shared" ca="1" si="49"/>
        <v/>
      </c>
      <c r="U480" s="218" t="str">
        <f t="shared" ca="1" si="50"/>
        <v/>
      </c>
      <c r="V480" s="342" t="str">
        <f t="shared" ca="1" si="51"/>
        <v/>
      </c>
      <c r="W480" s="139"/>
      <c r="Y480" s="1"/>
    </row>
    <row r="481" spans="3:25" ht="12" customHeight="1">
      <c r="C481" s="343" t="str">
        <f t="shared" ca="1" si="52"/>
        <v/>
      </c>
      <c r="D481" s="124" t="str">
        <f t="shared" ca="1" si="47"/>
        <v/>
      </c>
      <c r="E481" s="124" t="str">
        <f t="shared" ca="1" si="48"/>
        <v/>
      </c>
      <c r="F481" s="172" t="str">
        <f ca="1">IF(C481="","",[1]!S_DQ_CLOSE(D481,TODAY(),1))</f>
        <v/>
      </c>
      <c r="G481" s="173" t="str">
        <f ca="1">IF(C481="","",[1]!s_pq_pctchange(D481,TODAY()-$G$12,TODAY())/100)</f>
        <v/>
      </c>
      <c r="H481" s="249" t="str">
        <f ca="1">IF(C481="","",IF($H$11="收入",[1]!S_STM07_IS(D481,9,$G$5,$H$13)/$E$5,[1]!S_STM07_IS(D481,48,$G$5,$H$13)/$E$5))</f>
        <v/>
      </c>
      <c r="I481" s="249" t="str">
        <f ca="1">IF(C481="","",IF($I$11="毛利率",([1]!S_STM07_IS(D481,9,$G$5,$H$13)-[1]!S_STM07_IS(D481,10,$G$5,$H$13))/[1]!S_STM07_IS(D481,9,$G$5,$H$13),[1]!S_STM07_IS(D481,14,$G$5,$H$13)/$E$5))</f>
        <v/>
      </c>
      <c r="J481" s="249" t="str">
        <f ca="1">IF(C481="","",IF($J$11="营业利润率",[1]!S_STM07_IS(D481,48,$G$5,$H$13)/[1]!S_STM07_IS(D481,9,$G$5,$H$13),([1]!S_STM07_CS(D481,87,$G$5,$H$13)+[1]!S_STM07_CS(D481,88,$G$5,$H$13)+[1]!S_STM07_CS(D481,89,$G$5,$H$13))/$E$5))</f>
        <v/>
      </c>
      <c r="K481" s="249" t="str">
        <f ca="1">IF(C481="","",IF($K$11="净利润率",[1]!S_STM07_IS(D481,61,$G$5,$H$13)/[1]!S_STM07_IS(D481,9,$G$5,$H$13),[1]!S_STM07_IS(D481,55,$G$5,$H$13)/$E$5))</f>
        <v/>
      </c>
      <c r="L481" s="249" t="str">
        <f ca="1">IF(C481="","",IF($L$11="ROA",[1]!S_STM07_IS(D481,61,$G$5,$H$13)/[1]!S_STM07_BS(D481,74,$G$5,$H$13),1-[1]!S_STM07_IS(D481,61,$G$5,$H$13)/[1]!S_STM07_IS(D481,55,$G$5,$H$13)))</f>
        <v/>
      </c>
      <c r="M481" s="249" t="str">
        <f ca="1">IF(C481="","",IF($M$11="ROE",[1]!S_STM07_IS(D481,61,$G$5,$H$13)/[1]!S_STM07_BS(D481,141,$G$5,$H$13),([1]!S_STM07_BS(D481,25,$G$5,$H$13)-[1]!S_STM07_BS(D481,93,$G$5,$H$13))/$E$5))</f>
        <v/>
      </c>
      <c r="N481" s="250" t="str">
        <f ca="1">IF(C481="","",IF($N$11="EPS",[1]!S_STM07_IS(D481,61,$G$5,$H$13)/IF([1]!S_SHARE_TOTAL(D481,$G$5)=0,[1]!S_SHARE_TOTAL(D481,[1]!s_ipo_listeddate(D481)),[1]!S_SHARE_TOTAL(D481,$G$5)),([1]!S_STM07_BS(D481,75,$G$5,$H$13)+[1]!S_STM07_BS(D481,88,$G$5,$H$13)+[1]!S_STM07_BS(D481,94,$G$5,$H$13)+[1]!S_STM07_BS(D481,95,$G$5,$H$13))/$E$5))</f>
        <v/>
      </c>
      <c r="O481" s="250" t="str">
        <f ca="1">IF(C481="","",IF($O$11="BPS",[1]!S_STM07_BS(D481,141,$G$5,$H$13)/IF([1]!S_SHARE_TOTAL(D481,$G$5)=0,[1]!S_SHARE_TOTAL(D481,[1]!s_ipo_listeddate(D481)),[1]!S_SHARE_TOTAL(D481,$G$5)),[1]!S_STM07_CS(D481,49,$G$5,$H$13)/$E$5))</f>
        <v/>
      </c>
      <c r="P481" s="250" t="str">
        <f ca="1">IF(C481="","",IF($P$11="CFPS",[1]!S_STM07_CS(D481,84,$G$5,$H$13)/IF([1]!S_SHARE_TOTAL(D481,$G$5)=0,[1]!S_SHARE_TOTAL(D481,[1]!s_ipo_listeddate(D481)),[1]!S_SHARE_TOTAL(D481,$G$5)),[1]!S_STM07_CS(D481,84,$G$5,$H$13)/$E$5))</f>
        <v/>
      </c>
      <c r="Q481" s="198" t="str">
        <f ca="1">IF(C481="","",F481/([1]!S_STM07_IS(D481,61,$G$5,$H$13)/IF([1]!S_SHARE_TOTAL(D481,$G$5)=0,[1]!S_SHARE_TOTAL(D481,[1]!s_ipo_listeddate(D481)),[1]!S_SHARE_TOTAL(D481,$G$5))))</f>
        <v/>
      </c>
      <c r="R481" s="198" t="str">
        <f ca="1">IF(C481="","",F481/([1]!S_STM07_BS(D481,141,$G$5,$H$13)/IF([1]!S_SHARE_TOTAL(D481,$G$5)=0,[1]!S_SHARE_TOTAL(D481,[1]!s_ipo_listeddate(D481)),[1]!S_SHARE_TOTAL(D481,$G$5))))</f>
        <v/>
      </c>
      <c r="S481" s="249" t="str">
        <f ca="1">IF(C481="","",[1]!S_SHARE_TOTAL(D481,TODAY())/$E$5)</f>
        <v/>
      </c>
      <c r="T481" s="249" t="str">
        <f t="shared" ca="1" si="49"/>
        <v/>
      </c>
      <c r="U481" s="172" t="str">
        <f t="shared" ca="1" si="50"/>
        <v/>
      </c>
      <c r="V481" s="343" t="str">
        <f t="shared" ca="1" si="51"/>
        <v/>
      </c>
      <c r="W481" s="139"/>
      <c r="Y481" s="1"/>
    </row>
    <row r="482" spans="3:25" ht="12" customHeight="1">
      <c r="C482" s="342" t="str">
        <f t="shared" ca="1" si="52"/>
        <v/>
      </c>
      <c r="D482" s="153" t="str">
        <f t="shared" ca="1" si="47"/>
        <v/>
      </c>
      <c r="E482" s="153" t="str">
        <f t="shared" ca="1" si="48"/>
        <v/>
      </c>
      <c r="F482" s="170" t="str">
        <f ca="1">IF(C482="","",[1]!S_DQ_CLOSE(D482,TODAY(),1))</f>
        <v/>
      </c>
      <c r="G482" s="171" t="str">
        <f ca="1">IF(C482="","",[1]!s_pq_pctchange(D482,TODAY()-$G$12,TODAY())/100)</f>
        <v/>
      </c>
      <c r="H482" s="247" t="str">
        <f ca="1">IF(C482="","",IF($H$11="收入",[1]!S_STM07_IS(D482,9,$G$5,$H$13)/$E$5,[1]!S_STM07_IS(D482,48,$G$5,$H$13)/$E$5))</f>
        <v/>
      </c>
      <c r="I482" s="247" t="str">
        <f ca="1">IF(C482="","",IF($I$11="毛利率",([1]!S_STM07_IS(D482,9,$G$5,$H$13)-[1]!S_STM07_IS(D482,10,$G$5,$H$13))/[1]!S_STM07_IS(D482,9,$G$5,$H$13),[1]!S_STM07_IS(D482,14,$G$5,$H$13)/$E$5))</f>
        <v/>
      </c>
      <c r="J482" s="247" t="str">
        <f ca="1">IF(C482="","",IF($J$11="营业利润率",[1]!S_STM07_IS(D482,48,$G$5,$H$13)/[1]!S_STM07_IS(D482,9,$G$5,$H$13),([1]!S_STM07_CS(D482,87,$G$5,$H$13)+[1]!S_STM07_CS(D482,88,$G$5,$H$13)+[1]!S_STM07_CS(D482,89,$G$5,$H$13))/$E$5))</f>
        <v/>
      </c>
      <c r="K482" s="247" t="str">
        <f ca="1">IF(C482="","",IF($K$11="净利润率",[1]!S_STM07_IS(D482,61,$G$5,$H$13)/[1]!S_STM07_IS(D482,9,$G$5,$H$13),[1]!S_STM07_IS(D482,55,$G$5,$H$13)/$E$5))</f>
        <v/>
      </c>
      <c r="L482" s="247" t="str">
        <f ca="1">IF(C482="","",IF($L$11="ROA",[1]!S_STM07_IS(D482,61,$G$5,$H$13)/[1]!S_STM07_BS(D482,74,$G$5,$H$13),1-[1]!S_STM07_IS(D482,61,$G$5,$H$13)/[1]!S_STM07_IS(D482,55,$G$5,$H$13)))</f>
        <v/>
      </c>
      <c r="M482" s="247" t="str">
        <f ca="1">IF(C482="","",IF($M$11="ROE",[1]!S_STM07_IS(D482,61,$G$5,$H$13)/[1]!S_STM07_BS(D482,141,$G$5,$H$13),([1]!S_STM07_BS(D482,25,$G$5,$H$13)-[1]!S_STM07_BS(D482,93,$G$5,$H$13))/$E$5))</f>
        <v/>
      </c>
      <c r="N482" s="247" t="str">
        <f ca="1">IF(C482="","",IF($N$11="EPS",[1]!S_STM07_IS(D482,61,$G$5,$H$13)/IF([1]!S_SHARE_TOTAL(D482,$G$5)=0,[1]!S_SHARE_TOTAL(D482,[1]!s_ipo_listeddate(D482)),[1]!S_SHARE_TOTAL(D482,$G$5)),([1]!S_STM07_BS(D482,75,$G$5,$H$13)+[1]!S_STM07_BS(D482,88,$G$5,$H$13)+[1]!S_STM07_BS(D482,94,$G$5,$H$13)+[1]!S_STM07_BS(D482,95,$G$5,$H$13))/$E$5))</f>
        <v/>
      </c>
      <c r="O482" s="247" t="str">
        <f ca="1">IF(C482="","",IF($O$11="BPS",[1]!S_STM07_BS(D482,141,$G$5,$H$13)/IF([1]!S_SHARE_TOTAL(D482,$G$5)=0,[1]!S_SHARE_TOTAL(D482,[1]!s_ipo_listeddate(D482)),[1]!S_SHARE_TOTAL(D482,$G$5)),[1]!S_STM07_CS(D482,49,$G$5,$H$13)/$E$5))</f>
        <v/>
      </c>
      <c r="P482" s="247" t="str">
        <f ca="1">IF(C482="","",IF($P$11="CFPS",[1]!S_STM07_CS(D482,84,$G$5,$H$13)/IF([1]!S_SHARE_TOTAL(D482,$G$5)=0,[1]!S_SHARE_TOTAL(D482,[1]!s_ipo_listeddate(D482)),[1]!S_SHARE_TOTAL(D482,$G$5)),[1]!S_STM07_CS(D482,84,$G$5,$H$13)/$E$5))</f>
        <v/>
      </c>
      <c r="Q482" s="248" t="str">
        <f ca="1">IF(C482="","",F482/([1]!S_STM07_IS(D482,61,$G$5,$H$13)/IF([1]!S_SHARE_TOTAL(D482,$G$5)=0,[1]!S_SHARE_TOTAL(D482,[1]!s_ipo_listeddate(D482)),[1]!S_SHARE_TOTAL(D482,$G$5))))</f>
        <v/>
      </c>
      <c r="R482" s="248" t="str">
        <f ca="1">IF(C482="","",F482/([1]!S_STM07_BS(D482,141,$G$5,$H$13)/IF([1]!S_SHARE_TOTAL(D482,$G$5)=0,[1]!S_SHARE_TOTAL(D482,[1]!s_ipo_listeddate(D482)),[1]!S_SHARE_TOTAL(D482,$G$5))))</f>
        <v/>
      </c>
      <c r="S482" s="247" t="str">
        <f ca="1">IF(C482="","",[1]!S_SHARE_TOTAL(D482,TODAY())/$E$5)</f>
        <v/>
      </c>
      <c r="T482" s="247" t="str">
        <f t="shared" ca="1" si="49"/>
        <v/>
      </c>
      <c r="U482" s="218" t="str">
        <f t="shared" ca="1" si="50"/>
        <v/>
      </c>
      <c r="V482" s="342" t="str">
        <f t="shared" ca="1" si="51"/>
        <v/>
      </c>
      <c r="W482" s="139"/>
      <c r="Y482" s="1"/>
    </row>
    <row r="483" spans="3:25" ht="12" customHeight="1">
      <c r="C483" s="343" t="str">
        <f t="shared" ca="1" si="52"/>
        <v/>
      </c>
      <c r="D483" s="124" t="str">
        <f t="shared" ca="1" si="47"/>
        <v/>
      </c>
      <c r="E483" s="124" t="str">
        <f t="shared" ca="1" si="48"/>
        <v/>
      </c>
      <c r="F483" s="172" t="str">
        <f ca="1">IF(C483="","",[1]!S_DQ_CLOSE(D483,TODAY(),1))</f>
        <v/>
      </c>
      <c r="G483" s="173" t="str">
        <f ca="1">IF(C483="","",[1]!s_pq_pctchange(D483,TODAY()-$G$12,TODAY())/100)</f>
        <v/>
      </c>
      <c r="H483" s="249" t="str">
        <f ca="1">IF(C483="","",IF($H$11="收入",[1]!S_STM07_IS(D483,9,$G$5,$H$13)/$E$5,[1]!S_STM07_IS(D483,48,$G$5,$H$13)/$E$5))</f>
        <v/>
      </c>
      <c r="I483" s="249" t="str">
        <f ca="1">IF(C483="","",IF($I$11="毛利率",([1]!S_STM07_IS(D483,9,$G$5,$H$13)-[1]!S_STM07_IS(D483,10,$G$5,$H$13))/[1]!S_STM07_IS(D483,9,$G$5,$H$13),[1]!S_STM07_IS(D483,14,$G$5,$H$13)/$E$5))</f>
        <v/>
      </c>
      <c r="J483" s="249" t="str">
        <f ca="1">IF(C483="","",IF($J$11="营业利润率",[1]!S_STM07_IS(D483,48,$G$5,$H$13)/[1]!S_STM07_IS(D483,9,$G$5,$H$13),([1]!S_STM07_CS(D483,87,$G$5,$H$13)+[1]!S_STM07_CS(D483,88,$G$5,$H$13)+[1]!S_STM07_CS(D483,89,$G$5,$H$13))/$E$5))</f>
        <v/>
      </c>
      <c r="K483" s="249" t="str">
        <f ca="1">IF(C483="","",IF($K$11="净利润率",[1]!S_STM07_IS(D483,61,$G$5,$H$13)/[1]!S_STM07_IS(D483,9,$G$5,$H$13),[1]!S_STM07_IS(D483,55,$G$5,$H$13)/$E$5))</f>
        <v/>
      </c>
      <c r="L483" s="249" t="str">
        <f ca="1">IF(C483="","",IF($L$11="ROA",[1]!S_STM07_IS(D483,61,$G$5,$H$13)/[1]!S_STM07_BS(D483,74,$G$5,$H$13),1-[1]!S_STM07_IS(D483,61,$G$5,$H$13)/[1]!S_STM07_IS(D483,55,$G$5,$H$13)))</f>
        <v/>
      </c>
      <c r="M483" s="249" t="str">
        <f ca="1">IF(C483="","",IF($M$11="ROE",[1]!S_STM07_IS(D483,61,$G$5,$H$13)/[1]!S_STM07_BS(D483,141,$G$5,$H$13),([1]!S_STM07_BS(D483,25,$G$5,$H$13)-[1]!S_STM07_BS(D483,93,$G$5,$H$13))/$E$5))</f>
        <v/>
      </c>
      <c r="N483" s="250" t="str">
        <f ca="1">IF(C483="","",IF($N$11="EPS",[1]!S_STM07_IS(D483,61,$G$5,$H$13)/IF([1]!S_SHARE_TOTAL(D483,$G$5)=0,[1]!S_SHARE_TOTAL(D483,[1]!s_ipo_listeddate(D483)),[1]!S_SHARE_TOTAL(D483,$G$5)),([1]!S_STM07_BS(D483,75,$G$5,$H$13)+[1]!S_STM07_BS(D483,88,$G$5,$H$13)+[1]!S_STM07_BS(D483,94,$G$5,$H$13)+[1]!S_STM07_BS(D483,95,$G$5,$H$13))/$E$5))</f>
        <v/>
      </c>
      <c r="O483" s="250" t="str">
        <f ca="1">IF(C483="","",IF($O$11="BPS",[1]!S_STM07_BS(D483,141,$G$5,$H$13)/IF([1]!S_SHARE_TOTAL(D483,$G$5)=0,[1]!S_SHARE_TOTAL(D483,[1]!s_ipo_listeddate(D483)),[1]!S_SHARE_TOTAL(D483,$G$5)),[1]!S_STM07_CS(D483,49,$G$5,$H$13)/$E$5))</f>
        <v/>
      </c>
      <c r="P483" s="250" t="str">
        <f ca="1">IF(C483="","",IF($P$11="CFPS",[1]!S_STM07_CS(D483,84,$G$5,$H$13)/IF([1]!S_SHARE_TOTAL(D483,$G$5)=0,[1]!S_SHARE_TOTAL(D483,[1]!s_ipo_listeddate(D483)),[1]!S_SHARE_TOTAL(D483,$G$5)),[1]!S_STM07_CS(D483,84,$G$5,$H$13)/$E$5))</f>
        <v/>
      </c>
      <c r="Q483" s="198" t="str">
        <f ca="1">IF(C483="","",F483/([1]!S_STM07_IS(D483,61,$G$5,$H$13)/IF([1]!S_SHARE_TOTAL(D483,$G$5)=0,[1]!S_SHARE_TOTAL(D483,[1]!s_ipo_listeddate(D483)),[1]!S_SHARE_TOTAL(D483,$G$5))))</f>
        <v/>
      </c>
      <c r="R483" s="198" t="str">
        <f ca="1">IF(C483="","",F483/([1]!S_STM07_BS(D483,141,$G$5,$H$13)/IF([1]!S_SHARE_TOTAL(D483,$G$5)=0,[1]!S_SHARE_TOTAL(D483,[1]!s_ipo_listeddate(D483)),[1]!S_SHARE_TOTAL(D483,$G$5))))</f>
        <v/>
      </c>
      <c r="S483" s="249" t="str">
        <f ca="1">IF(C483="","",[1]!S_SHARE_TOTAL(D483,TODAY())/$E$5)</f>
        <v/>
      </c>
      <c r="T483" s="249" t="str">
        <f t="shared" ca="1" si="49"/>
        <v/>
      </c>
      <c r="U483" s="172" t="str">
        <f t="shared" ca="1" si="50"/>
        <v/>
      </c>
      <c r="V483" s="343" t="str">
        <f t="shared" ca="1" si="51"/>
        <v/>
      </c>
      <c r="W483" s="139"/>
      <c r="Y483" s="1"/>
    </row>
    <row r="484" spans="3:25" ht="12" customHeight="1">
      <c r="C484" s="342" t="str">
        <f t="shared" ca="1" si="52"/>
        <v/>
      </c>
      <c r="D484" s="153" t="str">
        <f t="shared" ca="1" si="47"/>
        <v/>
      </c>
      <c r="E484" s="153" t="str">
        <f t="shared" ca="1" si="48"/>
        <v/>
      </c>
      <c r="F484" s="170" t="str">
        <f ca="1">IF(C484="","",[1]!S_DQ_CLOSE(D484,TODAY(),1))</f>
        <v/>
      </c>
      <c r="G484" s="171" t="str">
        <f ca="1">IF(C484="","",[1]!s_pq_pctchange(D484,TODAY()-$G$12,TODAY())/100)</f>
        <v/>
      </c>
      <c r="H484" s="247" t="str">
        <f ca="1">IF(C484="","",IF($H$11="收入",[1]!S_STM07_IS(D484,9,$G$5,$H$13)/$E$5,[1]!S_STM07_IS(D484,48,$G$5,$H$13)/$E$5))</f>
        <v/>
      </c>
      <c r="I484" s="247" t="str">
        <f ca="1">IF(C484="","",IF($I$11="毛利率",([1]!S_STM07_IS(D484,9,$G$5,$H$13)-[1]!S_STM07_IS(D484,10,$G$5,$H$13))/[1]!S_STM07_IS(D484,9,$G$5,$H$13),[1]!S_STM07_IS(D484,14,$G$5,$H$13)/$E$5))</f>
        <v/>
      </c>
      <c r="J484" s="247" t="str">
        <f ca="1">IF(C484="","",IF($J$11="营业利润率",[1]!S_STM07_IS(D484,48,$G$5,$H$13)/[1]!S_STM07_IS(D484,9,$G$5,$H$13),([1]!S_STM07_CS(D484,87,$G$5,$H$13)+[1]!S_STM07_CS(D484,88,$G$5,$H$13)+[1]!S_STM07_CS(D484,89,$G$5,$H$13))/$E$5))</f>
        <v/>
      </c>
      <c r="K484" s="247" t="str">
        <f ca="1">IF(C484="","",IF($K$11="净利润率",[1]!S_STM07_IS(D484,61,$G$5,$H$13)/[1]!S_STM07_IS(D484,9,$G$5,$H$13),[1]!S_STM07_IS(D484,55,$G$5,$H$13)/$E$5))</f>
        <v/>
      </c>
      <c r="L484" s="247" t="str">
        <f ca="1">IF(C484="","",IF($L$11="ROA",[1]!S_STM07_IS(D484,61,$G$5,$H$13)/[1]!S_STM07_BS(D484,74,$G$5,$H$13),1-[1]!S_STM07_IS(D484,61,$G$5,$H$13)/[1]!S_STM07_IS(D484,55,$G$5,$H$13)))</f>
        <v/>
      </c>
      <c r="M484" s="247" t="str">
        <f ca="1">IF(C484="","",IF($M$11="ROE",[1]!S_STM07_IS(D484,61,$G$5,$H$13)/[1]!S_STM07_BS(D484,141,$G$5,$H$13),([1]!S_STM07_BS(D484,25,$G$5,$H$13)-[1]!S_STM07_BS(D484,93,$G$5,$H$13))/$E$5))</f>
        <v/>
      </c>
      <c r="N484" s="247" t="str">
        <f ca="1">IF(C484="","",IF($N$11="EPS",[1]!S_STM07_IS(D484,61,$G$5,$H$13)/IF([1]!S_SHARE_TOTAL(D484,$G$5)=0,[1]!S_SHARE_TOTAL(D484,[1]!s_ipo_listeddate(D484)),[1]!S_SHARE_TOTAL(D484,$G$5)),([1]!S_STM07_BS(D484,75,$G$5,$H$13)+[1]!S_STM07_BS(D484,88,$G$5,$H$13)+[1]!S_STM07_BS(D484,94,$G$5,$H$13)+[1]!S_STM07_BS(D484,95,$G$5,$H$13))/$E$5))</f>
        <v/>
      </c>
      <c r="O484" s="247" t="str">
        <f ca="1">IF(C484="","",IF($O$11="BPS",[1]!S_STM07_BS(D484,141,$G$5,$H$13)/IF([1]!S_SHARE_TOTAL(D484,$G$5)=0,[1]!S_SHARE_TOTAL(D484,[1]!s_ipo_listeddate(D484)),[1]!S_SHARE_TOTAL(D484,$G$5)),[1]!S_STM07_CS(D484,49,$G$5,$H$13)/$E$5))</f>
        <v/>
      </c>
      <c r="P484" s="247" t="str">
        <f ca="1">IF(C484="","",IF($P$11="CFPS",[1]!S_STM07_CS(D484,84,$G$5,$H$13)/IF([1]!S_SHARE_TOTAL(D484,$G$5)=0,[1]!S_SHARE_TOTAL(D484,[1]!s_ipo_listeddate(D484)),[1]!S_SHARE_TOTAL(D484,$G$5)),[1]!S_STM07_CS(D484,84,$G$5,$H$13)/$E$5))</f>
        <v/>
      </c>
      <c r="Q484" s="248" t="str">
        <f ca="1">IF(C484="","",F484/([1]!S_STM07_IS(D484,61,$G$5,$H$13)/IF([1]!S_SHARE_TOTAL(D484,$G$5)=0,[1]!S_SHARE_TOTAL(D484,[1]!s_ipo_listeddate(D484)),[1]!S_SHARE_TOTAL(D484,$G$5))))</f>
        <v/>
      </c>
      <c r="R484" s="248" t="str">
        <f ca="1">IF(C484="","",F484/([1]!S_STM07_BS(D484,141,$G$5,$H$13)/IF([1]!S_SHARE_TOTAL(D484,$G$5)=0,[1]!S_SHARE_TOTAL(D484,[1]!s_ipo_listeddate(D484)),[1]!S_SHARE_TOTAL(D484,$G$5))))</f>
        <v/>
      </c>
      <c r="S484" s="247" t="str">
        <f ca="1">IF(C484="","",[1]!S_SHARE_TOTAL(D484,TODAY())/$E$5)</f>
        <v/>
      </c>
      <c r="T484" s="247" t="str">
        <f t="shared" ca="1" si="49"/>
        <v/>
      </c>
      <c r="U484" s="218" t="str">
        <f t="shared" ca="1" si="50"/>
        <v/>
      </c>
      <c r="V484" s="342" t="str">
        <f t="shared" ca="1" si="51"/>
        <v/>
      </c>
      <c r="W484" s="139"/>
      <c r="Y484" s="1"/>
    </row>
    <row r="485" spans="3:25" ht="12" customHeight="1">
      <c r="C485" s="343" t="str">
        <f t="shared" ca="1" si="52"/>
        <v/>
      </c>
      <c r="D485" s="124" t="str">
        <f t="shared" ref="D485:D548" ca="1" si="53">IF(C485="","",VLOOKUP(C485,comppool,2,FALSE))</f>
        <v/>
      </c>
      <c r="E485" s="124" t="str">
        <f t="shared" ref="E485:E548" ca="1" si="54">IF(C485="","",VLOOKUP(C485,comppool,3,FALSE))</f>
        <v/>
      </c>
      <c r="F485" s="172" t="str">
        <f ca="1">IF(C485="","",[1]!S_DQ_CLOSE(D485,TODAY(),1))</f>
        <v/>
      </c>
      <c r="G485" s="173" t="str">
        <f ca="1">IF(C485="","",[1]!s_pq_pctchange(D485,TODAY()-$G$12,TODAY())/100)</f>
        <v/>
      </c>
      <c r="H485" s="249" t="str">
        <f ca="1">IF(C485="","",IF($H$11="收入",[1]!S_STM07_IS(D485,9,$G$5,$H$13)/$E$5,[1]!S_STM07_IS(D485,48,$G$5,$H$13)/$E$5))</f>
        <v/>
      </c>
      <c r="I485" s="249" t="str">
        <f ca="1">IF(C485="","",IF($I$11="毛利率",([1]!S_STM07_IS(D485,9,$G$5,$H$13)-[1]!S_STM07_IS(D485,10,$G$5,$H$13))/[1]!S_STM07_IS(D485,9,$G$5,$H$13),[1]!S_STM07_IS(D485,14,$G$5,$H$13)/$E$5))</f>
        <v/>
      </c>
      <c r="J485" s="249" t="str">
        <f ca="1">IF(C485="","",IF($J$11="营业利润率",[1]!S_STM07_IS(D485,48,$G$5,$H$13)/[1]!S_STM07_IS(D485,9,$G$5,$H$13),([1]!S_STM07_CS(D485,87,$G$5,$H$13)+[1]!S_STM07_CS(D485,88,$G$5,$H$13)+[1]!S_STM07_CS(D485,89,$G$5,$H$13))/$E$5))</f>
        <v/>
      </c>
      <c r="K485" s="249" t="str">
        <f ca="1">IF(C485="","",IF($K$11="净利润率",[1]!S_STM07_IS(D485,61,$G$5,$H$13)/[1]!S_STM07_IS(D485,9,$G$5,$H$13),[1]!S_STM07_IS(D485,55,$G$5,$H$13)/$E$5))</f>
        <v/>
      </c>
      <c r="L485" s="249" t="str">
        <f ca="1">IF(C485="","",IF($L$11="ROA",[1]!S_STM07_IS(D485,61,$G$5,$H$13)/[1]!S_STM07_BS(D485,74,$G$5,$H$13),1-[1]!S_STM07_IS(D485,61,$G$5,$H$13)/[1]!S_STM07_IS(D485,55,$G$5,$H$13)))</f>
        <v/>
      </c>
      <c r="M485" s="249" t="str">
        <f ca="1">IF(C485="","",IF($M$11="ROE",[1]!S_STM07_IS(D485,61,$G$5,$H$13)/[1]!S_STM07_BS(D485,141,$G$5,$H$13),([1]!S_STM07_BS(D485,25,$G$5,$H$13)-[1]!S_STM07_BS(D485,93,$G$5,$H$13))/$E$5))</f>
        <v/>
      </c>
      <c r="N485" s="250" t="str">
        <f ca="1">IF(C485="","",IF($N$11="EPS",[1]!S_STM07_IS(D485,61,$G$5,$H$13)/IF([1]!S_SHARE_TOTAL(D485,$G$5)=0,[1]!S_SHARE_TOTAL(D485,[1]!s_ipo_listeddate(D485)),[1]!S_SHARE_TOTAL(D485,$G$5)),([1]!S_STM07_BS(D485,75,$G$5,$H$13)+[1]!S_STM07_BS(D485,88,$G$5,$H$13)+[1]!S_STM07_BS(D485,94,$G$5,$H$13)+[1]!S_STM07_BS(D485,95,$G$5,$H$13))/$E$5))</f>
        <v/>
      </c>
      <c r="O485" s="250" t="str">
        <f ca="1">IF(C485="","",IF($O$11="BPS",[1]!S_STM07_BS(D485,141,$G$5,$H$13)/IF([1]!S_SHARE_TOTAL(D485,$G$5)=0,[1]!S_SHARE_TOTAL(D485,[1]!s_ipo_listeddate(D485)),[1]!S_SHARE_TOTAL(D485,$G$5)),[1]!S_STM07_CS(D485,49,$G$5,$H$13)/$E$5))</f>
        <v/>
      </c>
      <c r="P485" s="250" t="str">
        <f ca="1">IF(C485="","",IF($P$11="CFPS",[1]!S_STM07_CS(D485,84,$G$5,$H$13)/IF([1]!S_SHARE_TOTAL(D485,$G$5)=0,[1]!S_SHARE_TOTAL(D485,[1]!s_ipo_listeddate(D485)),[1]!S_SHARE_TOTAL(D485,$G$5)),[1]!S_STM07_CS(D485,84,$G$5,$H$13)/$E$5))</f>
        <v/>
      </c>
      <c r="Q485" s="198" t="str">
        <f ca="1">IF(C485="","",F485/([1]!S_STM07_IS(D485,61,$G$5,$H$13)/IF([1]!S_SHARE_TOTAL(D485,$G$5)=0,[1]!S_SHARE_TOTAL(D485,[1]!s_ipo_listeddate(D485)),[1]!S_SHARE_TOTAL(D485,$G$5))))</f>
        <v/>
      </c>
      <c r="R485" s="198" t="str">
        <f ca="1">IF(C485="","",F485/([1]!S_STM07_BS(D485,141,$G$5,$H$13)/IF([1]!S_SHARE_TOTAL(D485,$G$5)=0,[1]!S_SHARE_TOTAL(D485,[1]!s_ipo_listeddate(D485)),[1]!S_SHARE_TOTAL(D485,$G$5))))</f>
        <v/>
      </c>
      <c r="S485" s="249" t="str">
        <f ca="1">IF(C485="","",[1]!S_SHARE_TOTAL(D485,TODAY())/$E$5)</f>
        <v/>
      </c>
      <c r="T485" s="249" t="str">
        <f t="shared" ref="T485:T548" ca="1" si="55">IF(C485="","",F485*S485)</f>
        <v/>
      </c>
      <c r="U485" s="172" t="str">
        <f t="shared" ref="U485:U548" ca="1" si="56">IF(C485="","",HLOOKUP($V$12,$G$11:$T$20003,ROW()-ROW($G$11)+1,FALSE))</f>
        <v/>
      </c>
      <c r="V485" s="343" t="str">
        <f t="shared" ref="V485:V548" ca="1" si="57">IF(C485="","",RANK(U485,U:U,0))</f>
        <v/>
      </c>
      <c r="W485" s="139"/>
      <c r="Y485" s="1"/>
    </row>
    <row r="486" spans="3:25" ht="12" customHeight="1">
      <c r="C486" s="342" t="str">
        <f t="shared" ca="1" si="52"/>
        <v/>
      </c>
      <c r="D486" s="153" t="str">
        <f t="shared" ca="1" si="53"/>
        <v/>
      </c>
      <c r="E486" s="153" t="str">
        <f t="shared" ca="1" si="54"/>
        <v/>
      </c>
      <c r="F486" s="170" t="str">
        <f ca="1">IF(C486="","",[1]!S_DQ_CLOSE(D486,TODAY(),1))</f>
        <v/>
      </c>
      <c r="G486" s="171" t="str">
        <f ca="1">IF(C486="","",[1]!s_pq_pctchange(D486,TODAY()-$G$12,TODAY())/100)</f>
        <v/>
      </c>
      <c r="H486" s="247" t="str">
        <f ca="1">IF(C486="","",IF($H$11="收入",[1]!S_STM07_IS(D486,9,$G$5,$H$13)/$E$5,[1]!S_STM07_IS(D486,48,$G$5,$H$13)/$E$5))</f>
        <v/>
      </c>
      <c r="I486" s="247" t="str">
        <f ca="1">IF(C486="","",IF($I$11="毛利率",([1]!S_STM07_IS(D486,9,$G$5,$H$13)-[1]!S_STM07_IS(D486,10,$G$5,$H$13))/[1]!S_STM07_IS(D486,9,$G$5,$H$13),[1]!S_STM07_IS(D486,14,$G$5,$H$13)/$E$5))</f>
        <v/>
      </c>
      <c r="J486" s="247" t="str">
        <f ca="1">IF(C486="","",IF($J$11="营业利润率",[1]!S_STM07_IS(D486,48,$G$5,$H$13)/[1]!S_STM07_IS(D486,9,$G$5,$H$13),([1]!S_STM07_CS(D486,87,$G$5,$H$13)+[1]!S_STM07_CS(D486,88,$G$5,$H$13)+[1]!S_STM07_CS(D486,89,$G$5,$H$13))/$E$5))</f>
        <v/>
      </c>
      <c r="K486" s="247" t="str">
        <f ca="1">IF(C486="","",IF($K$11="净利润率",[1]!S_STM07_IS(D486,61,$G$5,$H$13)/[1]!S_STM07_IS(D486,9,$G$5,$H$13),[1]!S_STM07_IS(D486,55,$G$5,$H$13)/$E$5))</f>
        <v/>
      </c>
      <c r="L486" s="247" t="str">
        <f ca="1">IF(C486="","",IF($L$11="ROA",[1]!S_STM07_IS(D486,61,$G$5,$H$13)/[1]!S_STM07_BS(D486,74,$G$5,$H$13),1-[1]!S_STM07_IS(D486,61,$G$5,$H$13)/[1]!S_STM07_IS(D486,55,$G$5,$H$13)))</f>
        <v/>
      </c>
      <c r="M486" s="247" t="str">
        <f ca="1">IF(C486="","",IF($M$11="ROE",[1]!S_STM07_IS(D486,61,$G$5,$H$13)/[1]!S_STM07_BS(D486,141,$G$5,$H$13),([1]!S_STM07_BS(D486,25,$G$5,$H$13)-[1]!S_STM07_BS(D486,93,$G$5,$H$13))/$E$5))</f>
        <v/>
      </c>
      <c r="N486" s="247" t="str">
        <f ca="1">IF(C486="","",IF($N$11="EPS",[1]!S_STM07_IS(D486,61,$G$5,$H$13)/IF([1]!S_SHARE_TOTAL(D486,$G$5)=0,[1]!S_SHARE_TOTAL(D486,[1]!s_ipo_listeddate(D486)),[1]!S_SHARE_TOTAL(D486,$G$5)),([1]!S_STM07_BS(D486,75,$G$5,$H$13)+[1]!S_STM07_BS(D486,88,$G$5,$H$13)+[1]!S_STM07_BS(D486,94,$G$5,$H$13)+[1]!S_STM07_BS(D486,95,$G$5,$H$13))/$E$5))</f>
        <v/>
      </c>
      <c r="O486" s="247" t="str">
        <f ca="1">IF(C486="","",IF($O$11="BPS",[1]!S_STM07_BS(D486,141,$G$5,$H$13)/IF([1]!S_SHARE_TOTAL(D486,$G$5)=0,[1]!S_SHARE_TOTAL(D486,[1]!s_ipo_listeddate(D486)),[1]!S_SHARE_TOTAL(D486,$G$5)),[1]!S_STM07_CS(D486,49,$G$5,$H$13)/$E$5))</f>
        <v/>
      </c>
      <c r="P486" s="247" t="str">
        <f ca="1">IF(C486="","",IF($P$11="CFPS",[1]!S_STM07_CS(D486,84,$G$5,$H$13)/IF([1]!S_SHARE_TOTAL(D486,$G$5)=0,[1]!S_SHARE_TOTAL(D486,[1]!s_ipo_listeddate(D486)),[1]!S_SHARE_TOTAL(D486,$G$5)),[1]!S_STM07_CS(D486,84,$G$5,$H$13)/$E$5))</f>
        <v/>
      </c>
      <c r="Q486" s="248" t="str">
        <f ca="1">IF(C486="","",F486/([1]!S_STM07_IS(D486,61,$G$5,$H$13)/IF([1]!S_SHARE_TOTAL(D486,$G$5)=0,[1]!S_SHARE_TOTAL(D486,[1]!s_ipo_listeddate(D486)),[1]!S_SHARE_TOTAL(D486,$G$5))))</f>
        <v/>
      </c>
      <c r="R486" s="248" t="str">
        <f ca="1">IF(C486="","",F486/([1]!S_STM07_BS(D486,141,$G$5,$H$13)/IF([1]!S_SHARE_TOTAL(D486,$G$5)=0,[1]!S_SHARE_TOTAL(D486,[1]!s_ipo_listeddate(D486)),[1]!S_SHARE_TOTAL(D486,$G$5))))</f>
        <v/>
      </c>
      <c r="S486" s="247" t="str">
        <f ca="1">IF(C486="","",[1]!S_SHARE_TOTAL(D486,TODAY())/$E$5)</f>
        <v/>
      </c>
      <c r="T486" s="247" t="str">
        <f t="shared" ca="1" si="55"/>
        <v/>
      </c>
      <c r="U486" s="218" t="str">
        <f t="shared" ca="1" si="56"/>
        <v/>
      </c>
      <c r="V486" s="342" t="str">
        <f t="shared" ca="1" si="57"/>
        <v/>
      </c>
      <c r="W486" s="139"/>
      <c r="Y486" s="1"/>
    </row>
    <row r="487" spans="3:25" ht="12" customHeight="1">
      <c r="C487" s="343" t="str">
        <f t="shared" ca="1" si="52"/>
        <v/>
      </c>
      <c r="D487" s="124" t="str">
        <f t="shared" ca="1" si="53"/>
        <v/>
      </c>
      <c r="E487" s="124" t="str">
        <f t="shared" ca="1" si="54"/>
        <v/>
      </c>
      <c r="F487" s="172" t="str">
        <f ca="1">IF(C487="","",[1]!S_DQ_CLOSE(D487,TODAY(),1))</f>
        <v/>
      </c>
      <c r="G487" s="173" t="str">
        <f ca="1">IF(C487="","",[1]!s_pq_pctchange(D487,TODAY()-$G$12,TODAY())/100)</f>
        <v/>
      </c>
      <c r="H487" s="249" t="str">
        <f ca="1">IF(C487="","",IF($H$11="收入",[1]!S_STM07_IS(D487,9,$G$5,$H$13)/$E$5,[1]!S_STM07_IS(D487,48,$G$5,$H$13)/$E$5))</f>
        <v/>
      </c>
      <c r="I487" s="249" t="str">
        <f ca="1">IF(C487="","",IF($I$11="毛利率",([1]!S_STM07_IS(D487,9,$G$5,$H$13)-[1]!S_STM07_IS(D487,10,$G$5,$H$13))/[1]!S_STM07_IS(D487,9,$G$5,$H$13),[1]!S_STM07_IS(D487,14,$G$5,$H$13)/$E$5))</f>
        <v/>
      </c>
      <c r="J487" s="249" t="str">
        <f ca="1">IF(C487="","",IF($J$11="营业利润率",[1]!S_STM07_IS(D487,48,$G$5,$H$13)/[1]!S_STM07_IS(D487,9,$G$5,$H$13),([1]!S_STM07_CS(D487,87,$G$5,$H$13)+[1]!S_STM07_CS(D487,88,$G$5,$H$13)+[1]!S_STM07_CS(D487,89,$G$5,$H$13))/$E$5))</f>
        <v/>
      </c>
      <c r="K487" s="249" t="str">
        <f ca="1">IF(C487="","",IF($K$11="净利润率",[1]!S_STM07_IS(D487,61,$G$5,$H$13)/[1]!S_STM07_IS(D487,9,$G$5,$H$13),[1]!S_STM07_IS(D487,55,$G$5,$H$13)/$E$5))</f>
        <v/>
      </c>
      <c r="L487" s="249" t="str">
        <f ca="1">IF(C487="","",IF($L$11="ROA",[1]!S_STM07_IS(D487,61,$G$5,$H$13)/[1]!S_STM07_BS(D487,74,$G$5,$H$13),1-[1]!S_STM07_IS(D487,61,$G$5,$H$13)/[1]!S_STM07_IS(D487,55,$G$5,$H$13)))</f>
        <v/>
      </c>
      <c r="M487" s="249" t="str">
        <f ca="1">IF(C487="","",IF($M$11="ROE",[1]!S_STM07_IS(D487,61,$G$5,$H$13)/[1]!S_STM07_BS(D487,141,$G$5,$H$13),([1]!S_STM07_BS(D487,25,$G$5,$H$13)-[1]!S_STM07_BS(D487,93,$G$5,$H$13))/$E$5))</f>
        <v/>
      </c>
      <c r="N487" s="250" t="str">
        <f ca="1">IF(C487="","",IF($N$11="EPS",[1]!S_STM07_IS(D487,61,$G$5,$H$13)/IF([1]!S_SHARE_TOTAL(D487,$G$5)=0,[1]!S_SHARE_TOTAL(D487,[1]!s_ipo_listeddate(D487)),[1]!S_SHARE_TOTAL(D487,$G$5)),([1]!S_STM07_BS(D487,75,$G$5,$H$13)+[1]!S_STM07_BS(D487,88,$G$5,$H$13)+[1]!S_STM07_BS(D487,94,$G$5,$H$13)+[1]!S_STM07_BS(D487,95,$G$5,$H$13))/$E$5))</f>
        <v/>
      </c>
      <c r="O487" s="250" t="str">
        <f ca="1">IF(C487="","",IF($O$11="BPS",[1]!S_STM07_BS(D487,141,$G$5,$H$13)/IF([1]!S_SHARE_TOTAL(D487,$G$5)=0,[1]!S_SHARE_TOTAL(D487,[1]!s_ipo_listeddate(D487)),[1]!S_SHARE_TOTAL(D487,$G$5)),[1]!S_STM07_CS(D487,49,$G$5,$H$13)/$E$5))</f>
        <v/>
      </c>
      <c r="P487" s="250" t="str">
        <f ca="1">IF(C487="","",IF($P$11="CFPS",[1]!S_STM07_CS(D487,84,$G$5,$H$13)/IF([1]!S_SHARE_TOTAL(D487,$G$5)=0,[1]!S_SHARE_TOTAL(D487,[1]!s_ipo_listeddate(D487)),[1]!S_SHARE_TOTAL(D487,$G$5)),[1]!S_STM07_CS(D487,84,$G$5,$H$13)/$E$5))</f>
        <v/>
      </c>
      <c r="Q487" s="198" t="str">
        <f ca="1">IF(C487="","",F487/([1]!S_STM07_IS(D487,61,$G$5,$H$13)/IF([1]!S_SHARE_TOTAL(D487,$G$5)=0,[1]!S_SHARE_TOTAL(D487,[1]!s_ipo_listeddate(D487)),[1]!S_SHARE_TOTAL(D487,$G$5))))</f>
        <v/>
      </c>
      <c r="R487" s="198" t="str">
        <f ca="1">IF(C487="","",F487/([1]!S_STM07_BS(D487,141,$G$5,$H$13)/IF([1]!S_SHARE_TOTAL(D487,$G$5)=0,[1]!S_SHARE_TOTAL(D487,[1]!s_ipo_listeddate(D487)),[1]!S_SHARE_TOTAL(D487,$G$5))))</f>
        <v/>
      </c>
      <c r="S487" s="249" t="str">
        <f ca="1">IF(C487="","",[1]!S_SHARE_TOTAL(D487,TODAY())/$E$5)</f>
        <v/>
      </c>
      <c r="T487" s="249" t="str">
        <f t="shared" ca="1" si="55"/>
        <v/>
      </c>
      <c r="U487" s="172" t="str">
        <f t="shared" ca="1" si="56"/>
        <v/>
      </c>
      <c r="V487" s="343" t="str">
        <f t="shared" ca="1" si="57"/>
        <v/>
      </c>
      <c r="W487" s="139"/>
      <c r="Y487" s="1"/>
    </row>
    <row r="488" spans="3:25" ht="12" customHeight="1">
      <c r="C488" s="342" t="str">
        <f t="shared" ca="1" si="52"/>
        <v/>
      </c>
      <c r="D488" s="153" t="str">
        <f t="shared" ca="1" si="53"/>
        <v/>
      </c>
      <c r="E488" s="153" t="str">
        <f t="shared" ca="1" si="54"/>
        <v/>
      </c>
      <c r="F488" s="170" t="str">
        <f ca="1">IF(C488="","",[1]!S_DQ_CLOSE(D488,TODAY(),1))</f>
        <v/>
      </c>
      <c r="G488" s="171" t="str">
        <f ca="1">IF(C488="","",[1]!s_pq_pctchange(D488,TODAY()-$G$12,TODAY())/100)</f>
        <v/>
      </c>
      <c r="H488" s="247" t="str">
        <f ca="1">IF(C488="","",IF($H$11="收入",[1]!S_STM07_IS(D488,9,$G$5,$H$13)/$E$5,[1]!S_STM07_IS(D488,48,$G$5,$H$13)/$E$5))</f>
        <v/>
      </c>
      <c r="I488" s="247" t="str">
        <f ca="1">IF(C488="","",IF($I$11="毛利率",([1]!S_STM07_IS(D488,9,$G$5,$H$13)-[1]!S_STM07_IS(D488,10,$G$5,$H$13))/[1]!S_STM07_IS(D488,9,$G$5,$H$13),[1]!S_STM07_IS(D488,14,$G$5,$H$13)/$E$5))</f>
        <v/>
      </c>
      <c r="J488" s="247" t="str">
        <f ca="1">IF(C488="","",IF($J$11="营业利润率",[1]!S_STM07_IS(D488,48,$G$5,$H$13)/[1]!S_STM07_IS(D488,9,$G$5,$H$13),([1]!S_STM07_CS(D488,87,$G$5,$H$13)+[1]!S_STM07_CS(D488,88,$G$5,$H$13)+[1]!S_STM07_CS(D488,89,$G$5,$H$13))/$E$5))</f>
        <v/>
      </c>
      <c r="K488" s="247" t="str">
        <f ca="1">IF(C488="","",IF($K$11="净利润率",[1]!S_STM07_IS(D488,61,$G$5,$H$13)/[1]!S_STM07_IS(D488,9,$G$5,$H$13),[1]!S_STM07_IS(D488,55,$G$5,$H$13)/$E$5))</f>
        <v/>
      </c>
      <c r="L488" s="247" t="str">
        <f ca="1">IF(C488="","",IF($L$11="ROA",[1]!S_STM07_IS(D488,61,$G$5,$H$13)/[1]!S_STM07_BS(D488,74,$G$5,$H$13),1-[1]!S_STM07_IS(D488,61,$G$5,$H$13)/[1]!S_STM07_IS(D488,55,$G$5,$H$13)))</f>
        <v/>
      </c>
      <c r="M488" s="247" t="str">
        <f ca="1">IF(C488="","",IF($M$11="ROE",[1]!S_STM07_IS(D488,61,$G$5,$H$13)/[1]!S_STM07_BS(D488,141,$G$5,$H$13),([1]!S_STM07_BS(D488,25,$G$5,$H$13)-[1]!S_STM07_BS(D488,93,$G$5,$H$13))/$E$5))</f>
        <v/>
      </c>
      <c r="N488" s="247" t="str">
        <f ca="1">IF(C488="","",IF($N$11="EPS",[1]!S_STM07_IS(D488,61,$G$5,$H$13)/IF([1]!S_SHARE_TOTAL(D488,$G$5)=0,[1]!S_SHARE_TOTAL(D488,[1]!s_ipo_listeddate(D488)),[1]!S_SHARE_TOTAL(D488,$G$5)),([1]!S_STM07_BS(D488,75,$G$5,$H$13)+[1]!S_STM07_BS(D488,88,$G$5,$H$13)+[1]!S_STM07_BS(D488,94,$G$5,$H$13)+[1]!S_STM07_BS(D488,95,$G$5,$H$13))/$E$5))</f>
        <v/>
      </c>
      <c r="O488" s="247" t="str">
        <f ca="1">IF(C488="","",IF($O$11="BPS",[1]!S_STM07_BS(D488,141,$G$5,$H$13)/IF([1]!S_SHARE_TOTAL(D488,$G$5)=0,[1]!S_SHARE_TOTAL(D488,[1]!s_ipo_listeddate(D488)),[1]!S_SHARE_TOTAL(D488,$G$5)),[1]!S_STM07_CS(D488,49,$G$5,$H$13)/$E$5))</f>
        <v/>
      </c>
      <c r="P488" s="247" t="str">
        <f ca="1">IF(C488="","",IF($P$11="CFPS",[1]!S_STM07_CS(D488,84,$G$5,$H$13)/IF([1]!S_SHARE_TOTAL(D488,$G$5)=0,[1]!S_SHARE_TOTAL(D488,[1]!s_ipo_listeddate(D488)),[1]!S_SHARE_TOTAL(D488,$G$5)),[1]!S_STM07_CS(D488,84,$G$5,$H$13)/$E$5))</f>
        <v/>
      </c>
      <c r="Q488" s="248" t="str">
        <f ca="1">IF(C488="","",F488/([1]!S_STM07_IS(D488,61,$G$5,$H$13)/IF([1]!S_SHARE_TOTAL(D488,$G$5)=0,[1]!S_SHARE_TOTAL(D488,[1]!s_ipo_listeddate(D488)),[1]!S_SHARE_TOTAL(D488,$G$5))))</f>
        <v/>
      </c>
      <c r="R488" s="248" t="str">
        <f ca="1">IF(C488="","",F488/([1]!S_STM07_BS(D488,141,$G$5,$H$13)/IF([1]!S_SHARE_TOTAL(D488,$G$5)=0,[1]!S_SHARE_TOTAL(D488,[1]!s_ipo_listeddate(D488)),[1]!S_SHARE_TOTAL(D488,$G$5))))</f>
        <v/>
      </c>
      <c r="S488" s="247" t="str">
        <f ca="1">IF(C488="","",[1]!S_SHARE_TOTAL(D488,TODAY())/$E$5)</f>
        <v/>
      </c>
      <c r="T488" s="247" t="str">
        <f t="shared" ca="1" si="55"/>
        <v/>
      </c>
      <c r="U488" s="218" t="str">
        <f t="shared" ca="1" si="56"/>
        <v/>
      </c>
      <c r="V488" s="342" t="str">
        <f t="shared" ca="1" si="57"/>
        <v/>
      </c>
      <c r="W488" s="139"/>
      <c r="Y488" s="1"/>
    </row>
    <row r="489" spans="3:25" ht="12" customHeight="1">
      <c r="C489" s="343" t="str">
        <f t="shared" ca="1" si="52"/>
        <v/>
      </c>
      <c r="D489" s="124" t="str">
        <f t="shared" ca="1" si="53"/>
        <v/>
      </c>
      <c r="E489" s="124" t="str">
        <f t="shared" ca="1" si="54"/>
        <v/>
      </c>
      <c r="F489" s="172" t="str">
        <f ca="1">IF(C489="","",[1]!S_DQ_CLOSE(D489,TODAY(),1))</f>
        <v/>
      </c>
      <c r="G489" s="173" t="str">
        <f ca="1">IF(C489="","",[1]!s_pq_pctchange(D489,TODAY()-$G$12,TODAY())/100)</f>
        <v/>
      </c>
      <c r="H489" s="249" t="str">
        <f ca="1">IF(C489="","",IF($H$11="收入",[1]!S_STM07_IS(D489,9,$G$5,$H$13)/$E$5,[1]!S_STM07_IS(D489,48,$G$5,$H$13)/$E$5))</f>
        <v/>
      </c>
      <c r="I489" s="249" t="str">
        <f ca="1">IF(C489="","",IF($I$11="毛利率",([1]!S_STM07_IS(D489,9,$G$5,$H$13)-[1]!S_STM07_IS(D489,10,$G$5,$H$13))/[1]!S_STM07_IS(D489,9,$G$5,$H$13),[1]!S_STM07_IS(D489,14,$G$5,$H$13)/$E$5))</f>
        <v/>
      </c>
      <c r="J489" s="249" t="str">
        <f ca="1">IF(C489="","",IF($J$11="营业利润率",[1]!S_STM07_IS(D489,48,$G$5,$H$13)/[1]!S_STM07_IS(D489,9,$G$5,$H$13),([1]!S_STM07_CS(D489,87,$G$5,$H$13)+[1]!S_STM07_CS(D489,88,$G$5,$H$13)+[1]!S_STM07_CS(D489,89,$G$5,$H$13))/$E$5))</f>
        <v/>
      </c>
      <c r="K489" s="249" t="str">
        <f ca="1">IF(C489="","",IF($K$11="净利润率",[1]!S_STM07_IS(D489,61,$G$5,$H$13)/[1]!S_STM07_IS(D489,9,$G$5,$H$13),[1]!S_STM07_IS(D489,55,$G$5,$H$13)/$E$5))</f>
        <v/>
      </c>
      <c r="L489" s="249" t="str">
        <f ca="1">IF(C489="","",IF($L$11="ROA",[1]!S_STM07_IS(D489,61,$G$5,$H$13)/[1]!S_STM07_BS(D489,74,$G$5,$H$13),1-[1]!S_STM07_IS(D489,61,$G$5,$H$13)/[1]!S_STM07_IS(D489,55,$G$5,$H$13)))</f>
        <v/>
      </c>
      <c r="M489" s="249" t="str">
        <f ca="1">IF(C489="","",IF($M$11="ROE",[1]!S_STM07_IS(D489,61,$G$5,$H$13)/[1]!S_STM07_BS(D489,141,$G$5,$H$13),([1]!S_STM07_BS(D489,25,$G$5,$H$13)-[1]!S_STM07_BS(D489,93,$G$5,$H$13))/$E$5))</f>
        <v/>
      </c>
      <c r="N489" s="250" t="str">
        <f ca="1">IF(C489="","",IF($N$11="EPS",[1]!S_STM07_IS(D489,61,$G$5,$H$13)/IF([1]!S_SHARE_TOTAL(D489,$G$5)=0,[1]!S_SHARE_TOTAL(D489,[1]!s_ipo_listeddate(D489)),[1]!S_SHARE_TOTAL(D489,$G$5)),([1]!S_STM07_BS(D489,75,$G$5,$H$13)+[1]!S_STM07_BS(D489,88,$G$5,$H$13)+[1]!S_STM07_BS(D489,94,$G$5,$H$13)+[1]!S_STM07_BS(D489,95,$G$5,$H$13))/$E$5))</f>
        <v/>
      </c>
      <c r="O489" s="250" t="str">
        <f ca="1">IF(C489="","",IF($O$11="BPS",[1]!S_STM07_BS(D489,141,$G$5,$H$13)/IF([1]!S_SHARE_TOTAL(D489,$G$5)=0,[1]!S_SHARE_TOTAL(D489,[1]!s_ipo_listeddate(D489)),[1]!S_SHARE_TOTAL(D489,$G$5)),[1]!S_STM07_CS(D489,49,$G$5,$H$13)/$E$5))</f>
        <v/>
      </c>
      <c r="P489" s="250" t="str">
        <f ca="1">IF(C489="","",IF($P$11="CFPS",[1]!S_STM07_CS(D489,84,$G$5,$H$13)/IF([1]!S_SHARE_TOTAL(D489,$G$5)=0,[1]!S_SHARE_TOTAL(D489,[1]!s_ipo_listeddate(D489)),[1]!S_SHARE_TOTAL(D489,$G$5)),[1]!S_STM07_CS(D489,84,$G$5,$H$13)/$E$5))</f>
        <v/>
      </c>
      <c r="Q489" s="198" t="str">
        <f ca="1">IF(C489="","",F489/([1]!S_STM07_IS(D489,61,$G$5,$H$13)/IF([1]!S_SHARE_TOTAL(D489,$G$5)=0,[1]!S_SHARE_TOTAL(D489,[1]!s_ipo_listeddate(D489)),[1]!S_SHARE_TOTAL(D489,$G$5))))</f>
        <v/>
      </c>
      <c r="R489" s="198" t="str">
        <f ca="1">IF(C489="","",F489/([1]!S_STM07_BS(D489,141,$G$5,$H$13)/IF([1]!S_SHARE_TOTAL(D489,$G$5)=0,[1]!S_SHARE_TOTAL(D489,[1]!s_ipo_listeddate(D489)),[1]!S_SHARE_TOTAL(D489,$G$5))))</f>
        <v/>
      </c>
      <c r="S489" s="249" t="str">
        <f ca="1">IF(C489="","",[1]!S_SHARE_TOTAL(D489,TODAY())/$E$5)</f>
        <v/>
      </c>
      <c r="T489" s="249" t="str">
        <f t="shared" ca="1" si="55"/>
        <v/>
      </c>
      <c r="U489" s="172" t="str">
        <f t="shared" ca="1" si="56"/>
        <v/>
      </c>
      <c r="V489" s="343" t="str">
        <f t="shared" ca="1" si="57"/>
        <v/>
      </c>
      <c r="W489" s="139"/>
      <c r="Y489" s="1"/>
    </row>
    <row r="490" spans="3:25" ht="12" customHeight="1">
      <c r="C490" s="342" t="str">
        <f t="shared" ca="1" si="52"/>
        <v/>
      </c>
      <c r="D490" s="153" t="str">
        <f t="shared" ca="1" si="53"/>
        <v/>
      </c>
      <c r="E490" s="153" t="str">
        <f t="shared" ca="1" si="54"/>
        <v/>
      </c>
      <c r="F490" s="170" t="str">
        <f ca="1">IF(C490="","",[1]!S_DQ_CLOSE(D490,TODAY(),1))</f>
        <v/>
      </c>
      <c r="G490" s="171" t="str">
        <f ca="1">IF(C490="","",[1]!s_pq_pctchange(D490,TODAY()-$G$12,TODAY())/100)</f>
        <v/>
      </c>
      <c r="H490" s="247" t="str">
        <f ca="1">IF(C490="","",IF($H$11="收入",[1]!S_STM07_IS(D490,9,$G$5,$H$13)/$E$5,[1]!S_STM07_IS(D490,48,$G$5,$H$13)/$E$5))</f>
        <v/>
      </c>
      <c r="I490" s="247" t="str">
        <f ca="1">IF(C490="","",IF($I$11="毛利率",([1]!S_STM07_IS(D490,9,$G$5,$H$13)-[1]!S_STM07_IS(D490,10,$G$5,$H$13))/[1]!S_STM07_IS(D490,9,$G$5,$H$13),[1]!S_STM07_IS(D490,14,$G$5,$H$13)/$E$5))</f>
        <v/>
      </c>
      <c r="J490" s="247" t="str">
        <f ca="1">IF(C490="","",IF($J$11="营业利润率",[1]!S_STM07_IS(D490,48,$G$5,$H$13)/[1]!S_STM07_IS(D490,9,$G$5,$H$13),([1]!S_STM07_CS(D490,87,$G$5,$H$13)+[1]!S_STM07_CS(D490,88,$G$5,$H$13)+[1]!S_STM07_CS(D490,89,$G$5,$H$13))/$E$5))</f>
        <v/>
      </c>
      <c r="K490" s="247" t="str">
        <f ca="1">IF(C490="","",IF($K$11="净利润率",[1]!S_STM07_IS(D490,61,$G$5,$H$13)/[1]!S_STM07_IS(D490,9,$G$5,$H$13),[1]!S_STM07_IS(D490,55,$G$5,$H$13)/$E$5))</f>
        <v/>
      </c>
      <c r="L490" s="247" t="str">
        <f ca="1">IF(C490="","",IF($L$11="ROA",[1]!S_STM07_IS(D490,61,$G$5,$H$13)/[1]!S_STM07_BS(D490,74,$G$5,$H$13),1-[1]!S_STM07_IS(D490,61,$G$5,$H$13)/[1]!S_STM07_IS(D490,55,$G$5,$H$13)))</f>
        <v/>
      </c>
      <c r="M490" s="247" t="str">
        <f ca="1">IF(C490="","",IF($M$11="ROE",[1]!S_STM07_IS(D490,61,$G$5,$H$13)/[1]!S_STM07_BS(D490,141,$G$5,$H$13),([1]!S_STM07_BS(D490,25,$G$5,$H$13)-[1]!S_STM07_BS(D490,93,$G$5,$H$13))/$E$5))</f>
        <v/>
      </c>
      <c r="N490" s="247" t="str">
        <f ca="1">IF(C490="","",IF($N$11="EPS",[1]!S_STM07_IS(D490,61,$G$5,$H$13)/IF([1]!S_SHARE_TOTAL(D490,$G$5)=0,[1]!S_SHARE_TOTAL(D490,[1]!s_ipo_listeddate(D490)),[1]!S_SHARE_TOTAL(D490,$G$5)),([1]!S_STM07_BS(D490,75,$G$5,$H$13)+[1]!S_STM07_BS(D490,88,$G$5,$H$13)+[1]!S_STM07_BS(D490,94,$G$5,$H$13)+[1]!S_STM07_BS(D490,95,$G$5,$H$13))/$E$5))</f>
        <v/>
      </c>
      <c r="O490" s="247" t="str">
        <f ca="1">IF(C490="","",IF($O$11="BPS",[1]!S_STM07_BS(D490,141,$G$5,$H$13)/IF([1]!S_SHARE_TOTAL(D490,$G$5)=0,[1]!S_SHARE_TOTAL(D490,[1]!s_ipo_listeddate(D490)),[1]!S_SHARE_TOTAL(D490,$G$5)),[1]!S_STM07_CS(D490,49,$G$5,$H$13)/$E$5))</f>
        <v/>
      </c>
      <c r="P490" s="247" t="str">
        <f ca="1">IF(C490="","",IF($P$11="CFPS",[1]!S_STM07_CS(D490,84,$G$5,$H$13)/IF([1]!S_SHARE_TOTAL(D490,$G$5)=0,[1]!S_SHARE_TOTAL(D490,[1]!s_ipo_listeddate(D490)),[1]!S_SHARE_TOTAL(D490,$G$5)),[1]!S_STM07_CS(D490,84,$G$5,$H$13)/$E$5))</f>
        <v/>
      </c>
      <c r="Q490" s="248" t="str">
        <f ca="1">IF(C490="","",F490/([1]!S_STM07_IS(D490,61,$G$5,$H$13)/IF([1]!S_SHARE_TOTAL(D490,$G$5)=0,[1]!S_SHARE_TOTAL(D490,[1]!s_ipo_listeddate(D490)),[1]!S_SHARE_TOTAL(D490,$G$5))))</f>
        <v/>
      </c>
      <c r="R490" s="248" t="str">
        <f ca="1">IF(C490="","",F490/([1]!S_STM07_BS(D490,141,$G$5,$H$13)/IF([1]!S_SHARE_TOTAL(D490,$G$5)=0,[1]!S_SHARE_TOTAL(D490,[1]!s_ipo_listeddate(D490)),[1]!S_SHARE_TOTAL(D490,$G$5))))</f>
        <v/>
      </c>
      <c r="S490" s="247" t="str">
        <f ca="1">IF(C490="","",[1]!S_SHARE_TOTAL(D490,TODAY())/$E$5)</f>
        <v/>
      </c>
      <c r="T490" s="247" t="str">
        <f t="shared" ca="1" si="55"/>
        <v/>
      </c>
      <c r="U490" s="218" t="str">
        <f t="shared" ca="1" si="56"/>
        <v/>
      </c>
      <c r="V490" s="342" t="str">
        <f t="shared" ca="1" si="57"/>
        <v/>
      </c>
      <c r="W490" s="139"/>
      <c r="Y490" s="1"/>
    </row>
    <row r="491" spans="3:25" ht="12" customHeight="1">
      <c r="C491" s="343" t="str">
        <f t="shared" ca="1" si="52"/>
        <v/>
      </c>
      <c r="D491" s="124" t="str">
        <f t="shared" ca="1" si="53"/>
        <v/>
      </c>
      <c r="E491" s="124" t="str">
        <f t="shared" ca="1" si="54"/>
        <v/>
      </c>
      <c r="F491" s="172" t="str">
        <f ca="1">IF(C491="","",[1]!S_DQ_CLOSE(D491,TODAY(),1))</f>
        <v/>
      </c>
      <c r="G491" s="173" t="str">
        <f ca="1">IF(C491="","",[1]!s_pq_pctchange(D491,TODAY()-$G$12,TODAY())/100)</f>
        <v/>
      </c>
      <c r="H491" s="249" t="str">
        <f ca="1">IF(C491="","",IF($H$11="收入",[1]!S_STM07_IS(D491,9,$G$5,$H$13)/$E$5,[1]!S_STM07_IS(D491,48,$G$5,$H$13)/$E$5))</f>
        <v/>
      </c>
      <c r="I491" s="249" t="str">
        <f ca="1">IF(C491="","",IF($I$11="毛利率",([1]!S_STM07_IS(D491,9,$G$5,$H$13)-[1]!S_STM07_IS(D491,10,$G$5,$H$13))/[1]!S_STM07_IS(D491,9,$G$5,$H$13),[1]!S_STM07_IS(D491,14,$G$5,$H$13)/$E$5))</f>
        <v/>
      </c>
      <c r="J491" s="249" t="str">
        <f ca="1">IF(C491="","",IF($J$11="营业利润率",[1]!S_STM07_IS(D491,48,$G$5,$H$13)/[1]!S_STM07_IS(D491,9,$G$5,$H$13),([1]!S_STM07_CS(D491,87,$G$5,$H$13)+[1]!S_STM07_CS(D491,88,$G$5,$H$13)+[1]!S_STM07_CS(D491,89,$G$5,$H$13))/$E$5))</f>
        <v/>
      </c>
      <c r="K491" s="249" t="str">
        <f ca="1">IF(C491="","",IF($K$11="净利润率",[1]!S_STM07_IS(D491,61,$G$5,$H$13)/[1]!S_STM07_IS(D491,9,$G$5,$H$13),[1]!S_STM07_IS(D491,55,$G$5,$H$13)/$E$5))</f>
        <v/>
      </c>
      <c r="L491" s="249" t="str">
        <f ca="1">IF(C491="","",IF($L$11="ROA",[1]!S_STM07_IS(D491,61,$G$5,$H$13)/[1]!S_STM07_BS(D491,74,$G$5,$H$13),1-[1]!S_STM07_IS(D491,61,$G$5,$H$13)/[1]!S_STM07_IS(D491,55,$G$5,$H$13)))</f>
        <v/>
      </c>
      <c r="M491" s="249" t="str">
        <f ca="1">IF(C491="","",IF($M$11="ROE",[1]!S_STM07_IS(D491,61,$G$5,$H$13)/[1]!S_STM07_BS(D491,141,$G$5,$H$13),([1]!S_STM07_BS(D491,25,$G$5,$H$13)-[1]!S_STM07_BS(D491,93,$G$5,$H$13))/$E$5))</f>
        <v/>
      </c>
      <c r="N491" s="250" t="str">
        <f ca="1">IF(C491="","",IF($N$11="EPS",[1]!S_STM07_IS(D491,61,$G$5,$H$13)/IF([1]!S_SHARE_TOTAL(D491,$G$5)=0,[1]!S_SHARE_TOTAL(D491,[1]!s_ipo_listeddate(D491)),[1]!S_SHARE_TOTAL(D491,$G$5)),([1]!S_STM07_BS(D491,75,$G$5,$H$13)+[1]!S_STM07_BS(D491,88,$G$5,$H$13)+[1]!S_STM07_BS(D491,94,$G$5,$H$13)+[1]!S_STM07_BS(D491,95,$G$5,$H$13))/$E$5))</f>
        <v/>
      </c>
      <c r="O491" s="250" t="str">
        <f ca="1">IF(C491="","",IF($O$11="BPS",[1]!S_STM07_BS(D491,141,$G$5,$H$13)/IF([1]!S_SHARE_TOTAL(D491,$G$5)=0,[1]!S_SHARE_TOTAL(D491,[1]!s_ipo_listeddate(D491)),[1]!S_SHARE_TOTAL(D491,$G$5)),[1]!S_STM07_CS(D491,49,$G$5,$H$13)/$E$5))</f>
        <v/>
      </c>
      <c r="P491" s="250" t="str">
        <f ca="1">IF(C491="","",IF($P$11="CFPS",[1]!S_STM07_CS(D491,84,$G$5,$H$13)/IF([1]!S_SHARE_TOTAL(D491,$G$5)=0,[1]!S_SHARE_TOTAL(D491,[1]!s_ipo_listeddate(D491)),[1]!S_SHARE_TOTAL(D491,$G$5)),[1]!S_STM07_CS(D491,84,$G$5,$H$13)/$E$5))</f>
        <v/>
      </c>
      <c r="Q491" s="198" t="str">
        <f ca="1">IF(C491="","",F491/([1]!S_STM07_IS(D491,61,$G$5,$H$13)/IF([1]!S_SHARE_TOTAL(D491,$G$5)=0,[1]!S_SHARE_TOTAL(D491,[1]!s_ipo_listeddate(D491)),[1]!S_SHARE_TOTAL(D491,$G$5))))</f>
        <v/>
      </c>
      <c r="R491" s="198" t="str">
        <f ca="1">IF(C491="","",F491/([1]!S_STM07_BS(D491,141,$G$5,$H$13)/IF([1]!S_SHARE_TOTAL(D491,$G$5)=0,[1]!S_SHARE_TOTAL(D491,[1]!s_ipo_listeddate(D491)),[1]!S_SHARE_TOTAL(D491,$G$5))))</f>
        <v/>
      </c>
      <c r="S491" s="249" t="str">
        <f ca="1">IF(C491="","",[1]!S_SHARE_TOTAL(D491,TODAY())/$E$5)</f>
        <v/>
      </c>
      <c r="T491" s="249" t="str">
        <f t="shared" ca="1" si="55"/>
        <v/>
      </c>
      <c r="U491" s="172" t="str">
        <f t="shared" ca="1" si="56"/>
        <v/>
      </c>
      <c r="V491" s="343" t="str">
        <f t="shared" ca="1" si="57"/>
        <v/>
      </c>
      <c r="W491" s="139"/>
      <c r="Y491" s="1"/>
    </row>
    <row r="492" spans="3:25" ht="12" customHeight="1">
      <c r="C492" s="342" t="str">
        <f t="shared" ca="1" si="52"/>
        <v/>
      </c>
      <c r="D492" s="153" t="str">
        <f t="shared" ca="1" si="53"/>
        <v/>
      </c>
      <c r="E492" s="153" t="str">
        <f t="shared" ca="1" si="54"/>
        <v/>
      </c>
      <c r="F492" s="170" t="str">
        <f ca="1">IF(C492="","",[1]!S_DQ_CLOSE(D492,TODAY(),1))</f>
        <v/>
      </c>
      <c r="G492" s="171" t="str">
        <f ca="1">IF(C492="","",[1]!s_pq_pctchange(D492,TODAY()-$G$12,TODAY())/100)</f>
        <v/>
      </c>
      <c r="H492" s="247" t="str">
        <f ca="1">IF(C492="","",IF($H$11="收入",[1]!S_STM07_IS(D492,9,$G$5,$H$13)/$E$5,[1]!S_STM07_IS(D492,48,$G$5,$H$13)/$E$5))</f>
        <v/>
      </c>
      <c r="I492" s="247" t="str">
        <f ca="1">IF(C492="","",IF($I$11="毛利率",([1]!S_STM07_IS(D492,9,$G$5,$H$13)-[1]!S_STM07_IS(D492,10,$G$5,$H$13))/[1]!S_STM07_IS(D492,9,$G$5,$H$13),[1]!S_STM07_IS(D492,14,$G$5,$H$13)/$E$5))</f>
        <v/>
      </c>
      <c r="J492" s="247" t="str">
        <f ca="1">IF(C492="","",IF($J$11="营业利润率",[1]!S_STM07_IS(D492,48,$G$5,$H$13)/[1]!S_STM07_IS(D492,9,$G$5,$H$13),([1]!S_STM07_CS(D492,87,$G$5,$H$13)+[1]!S_STM07_CS(D492,88,$G$5,$H$13)+[1]!S_STM07_CS(D492,89,$G$5,$H$13))/$E$5))</f>
        <v/>
      </c>
      <c r="K492" s="247" t="str">
        <f ca="1">IF(C492="","",IF($K$11="净利润率",[1]!S_STM07_IS(D492,61,$G$5,$H$13)/[1]!S_STM07_IS(D492,9,$G$5,$H$13),[1]!S_STM07_IS(D492,55,$G$5,$H$13)/$E$5))</f>
        <v/>
      </c>
      <c r="L492" s="247" t="str">
        <f ca="1">IF(C492="","",IF($L$11="ROA",[1]!S_STM07_IS(D492,61,$G$5,$H$13)/[1]!S_STM07_BS(D492,74,$G$5,$H$13),1-[1]!S_STM07_IS(D492,61,$G$5,$H$13)/[1]!S_STM07_IS(D492,55,$G$5,$H$13)))</f>
        <v/>
      </c>
      <c r="M492" s="247" t="str">
        <f ca="1">IF(C492="","",IF($M$11="ROE",[1]!S_STM07_IS(D492,61,$G$5,$H$13)/[1]!S_STM07_BS(D492,141,$G$5,$H$13),([1]!S_STM07_BS(D492,25,$G$5,$H$13)-[1]!S_STM07_BS(D492,93,$G$5,$H$13))/$E$5))</f>
        <v/>
      </c>
      <c r="N492" s="247" t="str">
        <f ca="1">IF(C492="","",IF($N$11="EPS",[1]!S_STM07_IS(D492,61,$G$5,$H$13)/IF([1]!S_SHARE_TOTAL(D492,$G$5)=0,[1]!S_SHARE_TOTAL(D492,[1]!s_ipo_listeddate(D492)),[1]!S_SHARE_TOTAL(D492,$G$5)),([1]!S_STM07_BS(D492,75,$G$5,$H$13)+[1]!S_STM07_BS(D492,88,$G$5,$H$13)+[1]!S_STM07_BS(D492,94,$G$5,$H$13)+[1]!S_STM07_BS(D492,95,$G$5,$H$13))/$E$5))</f>
        <v/>
      </c>
      <c r="O492" s="247" t="str">
        <f ca="1">IF(C492="","",IF($O$11="BPS",[1]!S_STM07_BS(D492,141,$G$5,$H$13)/IF([1]!S_SHARE_TOTAL(D492,$G$5)=0,[1]!S_SHARE_TOTAL(D492,[1]!s_ipo_listeddate(D492)),[1]!S_SHARE_TOTAL(D492,$G$5)),[1]!S_STM07_CS(D492,49,$G$5,$H$13)/$E$5))</f>
        <v/>
      </c>
      <c r="P492" s="247" t="str">
        <f ca="1">IF(C492="","",IF($P$11="CFPS",[1]!S_STM07_CS(D492,84,$G$5,$H$13)/IF([1]!S_SHARE_TOTAL(D492,$G$5)=0,[1]!S_SHARE_TOTAL(D492,[1]!s_ipo_listeddate(D492)),[1]!S_SHARE_TOTAL(D492,$G$5)),[1]!S_STM07_CS(D492,84,$G$5,$H$13)/$E$5))</f>
        <v/>
      </c>
      <c r="Q492" s="248" t="str">
        <f ca="1">IF(C492="","",F492/([1]!S_STM07_IS(D492,61,$G$5,$H$13)/IF([1]!S_SHARE_TOTAL(D492,$G$5)=0,[1]!S_SHARE_TOTAL(D492,[1]!s_ipo_listeddate(D492)),[1]!S_SHARE_TOTAL(D492,$G$5))))</f>
        <v/>
      </c>
      <c r="R492" s="248" t="str">
        <f ca="1">IF(C492="","",F492/([1]!S_STM07_BS(D492,141,$G$5,$H$13)/IF([1]!S_SHARE_TOTAL(D492,$G$5)=0,[1]!S_SHARE_TOTAL(D492,[1]!s_ipo_listeddate(D492)),[1]!S_SHARE_TOTAL(D492,$G$5))))</f>
        <v/>
      </c>
      <c r="S492" s="247" t="str">
        <f ca="1">IF(C492="","",[1]!S_SHARE_TOTAL(D492,TODAY())/$E$5)</f>
        <v/>
      </c>
      <c r="T492" s="247" t="str">
        <f t="shared" ca="1" si="55"/>
        <v/>
      </c>
      <c r="U492" s="218" t="str">
        <f t="shared" ca="1" si="56"/>
        <v/>
      </c>
      <c r="V492" s="342" t="str">
        <f t="shared" ca="1" si="57"/>
        <v/>
      </c>
      <c r="W492" s="139"/>
      <c r="Y492" s="1"/>
    </row>
    <row r="493" spans="3:25" ht="12" customHeight="1">
      <c r="C493" s="343" t="str">
        <f t="shared" ca="1" si="52"/>
        <v/>
      </c>
      <c r="D493" s="124" t="str">
        <f t="shared" ca="1" si="53"/>
        <v/>
      </c>
      <c r="E493" s="124" t="str">
        <f t="shared" ca="1" si="54"/>
        <v/>
      </c>
      <c r="F493" s="172" t="str">
        <f ca="1">IF(C493="","",[1]!S_DQ_CLOSE(D493,TODAY(),1))</f>
        <v/>
      </c>
      <c r="G493" s="173" t="str">
        <f ca="1">IF(C493="","",[1]!s_pq_pctchange(D493,TODAY()-$G$12,TODAY())/100)</f>
        <v/>
      </c>
      <c r="H493" s="249" t="str">
        <f ca="1">IF(C493="","",IF($H$11="收入",[1]!S_STM07_IS(D493,9,$G$5,$H$13)/$E$5,[1]!S_STM07_IS(D493,48,$G$5,$H$13)/$E$5))</f>
        <v/>
      </c>
      <c r="I493" s="249" t="str">
        <f ca="1">IF(C493="","",IF($I$11="毛利率",([1]!S_STM07_IS(D493,9,$G$5,$H$13)-[1]!S_STM07_IS(D493,10,$G$5,$H$13))/[1]!S_STM07_IS(D493,9,$G$5,$H$13),[1]!S_STM07_IS(D493,14,$G$5,$H$13)/$E$5))</f>
        <v/>
      </c>
      <c r="J493" s="249" t="str">
        <f ca="1">IF(C493="","",IF($J$11="营业利润率",[1]!S_STM07_IS(D493,48,$G$5,$H$13)/[1]!S_STM07_IS(D493,9,$G$5,$H$13),([1]!S_STM07_CS(D493,87,$G$5,$H$13)+[1]!S_STM07_CS(D493,88,$G$5,$H$13)+[1]!S_STM07_CS(D493,89,$G$5,$H$13))/$E$5))</f>
        <v/>
      </c>
      <c r="K493" s="249" t="str">
        <f ca="1">IF(C493="","",IF($K$11="净利润率",[1]!S_STM07_IS(D493,61,$G$5,$H$13)/[1]!S_STM07_IS(D493,9,$G$5,$H$13),[1]!S_STM07_IS(D493,55,$G$5,$H$13)/$E$5))</f>
        <v/>
      </c>
      <c r="L493" s="249" t="str">
        <f ca="1">IF(C493="","",IF($L$11="ROA",[1]!S_STM07_IS(D493,61,$G$5,$H$13)/[1]!S_STM07_BS(D493,74,$G$5,$H$13),1-[1]!S_STM07_IS(D493,61,$G$5,$H$13)/[1]!S_STM07_IS(D493,55,$G$5,$H$13)))</f>
        <v/>
      </c>
      <c r="M493" s="249" t="str">
        <f ca="1">IF(C493="","",IF($M$11="ROE",[1]!S_STM07_IS(D493,61,$G$5,$H$13)/[1]!S_STM07_BS(D493,141,$G$5,$H$13),([1]!S_STM07_BS(D493,25,$G$5,$H$13)-[1]!S_STM07_BS(D493,93,$G$5,$H$13))/$E$5))</f>
        <v/>
      </c>
      <c r="N493" s="250" t="str">
        <f ca="1">IF(C493="","",IF($N$11="EPS",[1]!S_STM07_IS(D493,61,$G$5,$H$13)/IF([1]!S_SHARE_TOTAL(D493,$G$5)=0,[1]!S_SHARE_TOTAL(D493,[1]!s_ipo_listeddate(D493)),[1]!S_SHARE_TOTAL(D493,$G$5)),([1]!S_STM07_BS(D493,75,$G$5,$H$13)+[1]!S_STM07_BS(D493,88,$G$5,$H$13)+[1]!S_STM07_BS(D493,94,$G$5,$H$13)+[1]!S_STM07_BS(D493,95,$G$5,$H$13))/$E$5))</f>
        <v/>
      </c>
      <c r="O493" s="250" t="str">
        <f ca="1">IF(C493="","",IF($O$11="BPS",[1]!S_STM07_BS(D493,141,$G$5,$H$13)/IF([1]!S_SHARE_TOTAL(D493,$G$5)=0,[1]!S_SHARE_TOTAL(D493,[1]!s_ipo_listeddate(D493)),[1]!S_SHARE_TOTAL(D493,$G$5)),[1]!S_STM07_CS(D493,49,$G$5,$H$13)/$E$5))</f>
        <v/>
      </c>
      <c r="P493" s="250" t="str">
        <f ca="1">IF(C493="","",IF($P$11="CFPS",[1]!S_STM07_CS(D493,84,$G$5,$H$13)/IF([1]!S_SHARE_TOTAL(D493,$G$5)=0,[1]!S_SHARE_TOTAL(D493,[1]!s_ipo_listeddate(D493)),[1]!S_SHARE_TOTAL(D493,$G$5)),[1]!S_STM07_CS(D493,84,$G$5,$H$13)/$E$5))</f>
        <v/>
      </c>
      <c r="Q493" s="198" t="str">
        <f ca="1">IF(C493="","",F493/([1]!S_STM07_IS(D493,61,$G$5,$H$13)/IF([1]!S_SHARE_TOTAL(D493,$G$5)=0,[1]!S_SHARE_TOTAL(D493,[1]!s_ipo_listeddate(D493)),[1]!S_SHARE_TOTAL(D493,$G$5))))</f>
        <v/>
      </c>
      <c r="R493" s="198" t="str">
        <f ca="1">IF(C493="","",F493/([1]!S_STM07_BS(D493,141,$G$5,$H$13)/IF([1]!S_SHARE_TOTAL(D493,$G$5)=0,[1]!S_SHARE_TOTAL(D493,[1]!s_ipo_listeddate(D493)),[1]!S_SHARE_TOTAL(D493,$G$5))))</f>
        <v/>
      </c>
      <c r="S493" s="249" t="str">
        <f ca="1">IF(C493="","",[1]!S_SHARE_TOTAL(D493,TODAY())/$E$5)</f>
        <v/>
      </c>
      <c r="T493" s="249" t="str">
        <f t="shared" ca="1" si="55"/>
        <v/>
      </c>
      <c r="U493" s="172" t="str">
        <f t="shared" ca="1" si="56"/>
        <v/>
      </c>
      <c r="V493" s="343" t="str">
        <f t="shared" ca="1" si="57"/>
        <v/>
      </c>
      <c r="W493" s="139"/>
      <c r="Y493" s="1"/>
    </row>
    <row r="494" spans="3:25" ht="12" customHeight="1">
      <c r="C494" s="342" t="str">
        <f t="shared" ca="1" si="52"/>
        <v/>
      </c>
      <c r="D494" s="153" t="str">
        <f t="shared" ca="1" si="53"/>
        <v/>
      </c>
      <c r="E494" s="153" t="str">
        <f t="shared" ca="1" si="54"/>
        <v/>
      </c>
      <c r="F494" s="170" t="str">
        <f ca="1">IF(C494="","",[1]!S_DQ_CLOSE(D494,TODAY(),1))</f>
        <v/>
      </c>
      <c r="G494" s="171" t="str">
        <f ca="1">IF(C494="","",[1]!s_pq_pctchange(D494,TODAY()-$G$12,TODAY())/100)</f>
        <v/>
      </c>
      <c r="H494" s="247" t="str">
        <f ca="1">IF(C494="","",IF($H$11="收入",[1]!S_STM07_IS(D494,9,$G$5,$H$13)/$E$5,[1]!S_STM07_IS(D494,48,$G$5,$H$13)/$E$5))</f>
        <v/>
      </c>
      <c r="I494" s="247" t="str">
        <f ca="1">IF(C494="","",IF($I$11="毛利率",([1]!S_STM07_IS(D494,9,$G$5,$H$13)-[1]!S_STM07_IS(D494,10,$G$5,$H$13))/[1]!S_STM07_IS(D494,9,$G$5,$H$13),[1]!S_STM07_IS(D494,14,$G$5,$H$13)/$E$5))</f>
        <v/>
      </c>
      <c r="J494" s="247" t="str">
        <f ca="1">IF(C494="","",IF($J$11="营业利润率",[1]!S_STM07_IS(D494,48,$G$5,$H$13)/[1]!S_STM07_IS(D494,9,$G$5,$H$13),([1]!S_STM07_CS(D494,87,$G$5,$H$13)+[1]!S_STM07_CS(D494,88,$G$5,$H$13)+[1]!S_STM07_CS(D494,89,$G$5,$H$13))/$E$5))</f>
        <v/>
      </c>
      <c r="K494" s="247" t="str">
        <f ca="1">IF(C494="","",IF($K$11="净利润率",[1]!S_STM07_IS(D494,61,$G$5,$H$13)/[1]!S_STM07_IS(D494,9,$G$5,$H$13),[1]!S_STM07_IS(D494,55,$G$5,$H$13)/$E$5))</f>
        <v/>
      </c>
      <c r="L494" s="247" t="str">
        <f ca="1">IF(C494="","",IF($L$11="ROA",[1]!S_STM07_IS(D494,61,$G$5,$H$13)/[1]!S_STM07_BS(D494,74,$G$5,$H$13),1-[1]!S_STM07_IS(D494,61,$G$5,$H$13)/[1]!S_STM07_IS(D494,55,$G$5,$H$13)))</f>
        <v/>
      </c>
      <c r="M494" s="247" t="str">
        <f ca="1">IF(C494="","",IF($M$11="ROE",[1]!S_STM07_IS(D494,61,$G$5,$H$13)/[1]!S_STM07_BS(D494,141,$G$5,$H$13),([1]!S_STM07_BS(D494,25,$G$5,$H$13)-[1]!S_STM07_BS(D494,93,$G$5,$H$13))/$E$5))</f>
        <v/>
      </c>
      <c r="N494" s="247" t="str">
        <f ca="1">IF(C494="","",IF($N$11="EPS",[1]!S_STM07_IS(D494,61,$G$5,$H$13)/IF([1]!S_SHARE_TOTAL(D494,$G$5)=0,[1]!S_SHARE_TOTAL(D494,[1]!s_ipo_listeddate(D494)),[1]!S_SHARE_TOTAL(D494,$G$5)),([1]!S_STM07_BS(D494,75,$G$5,$H$13)+[1]!S_STM07_BS(D494,88,$G$5,$H$13)+[1]!S_STM07_BS(D494,94,$G$5,$H$13)+[1]!S_STM07_BS(D494,95,$G$5,$H$13))/$E$5))</f>
        <v/>
      </c>
      <c r="O494" s="247" t="str">
        <f ca="1">IF(C494="","",IF($O$11="BPS",[1]!S_STM07_BS(D494,141,$G$5,$H$13)/IF([1]!S_SHARE_TOTAL(D494,$G$5)=0,[1]!S_SHARE_TOTAL(D494,[1]!s_ipo_listeddate(D494)),[1]!S_SHARE_TOTAL(D494,$G$5)),[1]!S_STM07_CS(D494,49,$G$5,$H$13)/$E$5))</f>
        <v/>
      </c>
      <c r="P494" s="247" t="str">
        <f ca="1">IF(C494="","",IF($P$11="CFPS",[1]!S_STM07_CS(D494,84,$G$5,$H$13)/IF([1]!S_SHARE_TOTAL(D494,$G$5)=0,[1]!S_SHARE_TOTAL(D494,[1]!s_ipo_listeddate(D494)),[1]!S_SHARE_TOTAL(D494,$G$5)),[1]!S_STM07_CS(D494,84,$G$5,$H$13)/$E$5))</f>
        <v/>
      </c>
      <c r="Q494" s="248" t="str">
        <f ca="1">IF(C494="","",F494/([1]!S_STM07_IS(D494,61,$G$5,$H$13)/IF([1]!S_SHARE_TOTAL(D494,$G$5)=0,[1]!S_SHARE_TOTAL(D494,[1]!s_ipo_listeddate(D494)),[1]!S_SHARE_TOTAL(D494,$G$5))))</f>
        <v/>
      </c>
      <c r="R494" s="248" t="str">
        <f ca="1">IF(C494="","",F494/([1]!S_STM07_BS(D494,141,$G$5,$H$13)/IF([1]!S_SHARE_TOTAL(D494,$G$5)=0,[1]!S_SHARE_TOTAL(D494,[1]!s_ipo_listeddate(D494)),[1]!S_SHARE_TOTAL(D494,$G$5))))</f>
        <v/>
      </c>
      <c r="S494" s="247" t="str">
        <f ca="1">IF(C494="","",[1]!S_SHARE_TOTAL(D494,TODAY())/$E$5)</f>
        <v/>
      </c>
      <c r="T494" s="247" t="str">
        <f t="shared" ca="1" si="55"/>
        <v/>
      </c>
      <c r="U494" s="218" t="str">
        <f t="shared" ca="1" si="56"/>
        <v/>
      </c>
      <c r="V494" s="342" t="str">
        <f t="shared" ca="1" si="57"/>
        <v/>
      </c>
      <c r="W494" s="139"/>
      <c r="Y494" s="1"/>
    </row>
    <row r="495" spans="3:25" ht="12" customHeight="1">
      <c r="C495" s="343" t="str">
        <f t="shared" ca="1" si="52"/>
        <v/>
      </c>
      <c r="D495" s="124" t="str">
        <f t="shared" ca="1" si="53"/>
        <v/>
      </c>
      <c r="E495" s="124" t="str">
        <f t="shared" ca="1" si="54"/>
        <v/>
      </c>
      <c r="F495" s="172" t="str">
        <f ca="1">IF(C495="","",[1]!S_DQ_CLOSE(D495,TODAY(),1))</f>
        <v/>
      </c>
      <c r="G495" s="173" t="str">
        <f ca="1">IF(C495="","",[1]!s_pq_pctchange(D495,TODAY()-$G$12,TODAY())/100)</f>
        <v/>
      </c>
      <c r="H495" s="249" t="str">
        <f ca="1">IF(C495="","",IF($H$11="收入",[1]!S_STM07_IS(D495,9,$G$5,$H$13)/$E$5,[1]!S_STM07_IS(D495,48,$G$5,$H$13)/$E$5))</f>
        <v/>
      </c>
      <c r="I495" s="249" t="str">
        <f ca="1">IF(C495="","",IF($I$11="毛利率",([1]!S_STM07_IS(D495,9,$G$5,$H$13)-[1]!S_STM07_IS(D495,10,$G$5,$H$13))/[1]!S_STM07_IS(D495,9,$G$5,$H$13),[1]!S_STM07_IS(D495,14,$G$5,$H$13)/$E$5))</f>
        <v/>
      </c>
      <c r="J495" s="249" t="str">
        <f ca="1">IF(C495="","",IF($J$11="营业利润率",[1]!S_STM07_IS(D495,48,$G$5,$H$13)/[1]!S_STM07_IS(D495,9,$G$5,$H$13),([1]!S_STM07_CS(D495,87,$G$5,$H$13)+[1]!S_STM07_CS(D495,88,$G$5,$H$13)+[1]!S_STM07_CS(D495,89,$G$5,$H$13))/$E$5))</f>
        <v/>
      </c>
      <c r="K495" s="249" t="str">
        <f ca="1">IF(C495="","",IF($K$11="净利润率",[1]!S_STM07_IS(D495,61,$G$5,$H$13)/[1]!S_STM07_IS(D495,9,$G$5,$H$13),[1]!S_STM07_IS(D495,55,$G$5,$H$13)/$E$5))</f>
        <v/>
      </c>
      <c r="L495" s="249" t="str">
        <f ca="1">IF(C495="","",IF($L$11="ROA",[1]!S_STM07_IS(D495,61,$G$5,$H$13)/[1]!S_STM07_BS(D495,74,$G$5,$H$13),1-[1]!S_STM07_IS(D495,61,$G$5,$H$13)/[1]!S_STM07_IS(D495,55,$G$5,$H$13)))</f>
        <v/>
      </c>
      <c r="M495" s="249" t="str">
        <f ca="1">IF(C495="","",IF($M$11="ROE",[1]!S_STM07_IS(D495,61,$G$5,$H$13)/[1]!S_STM07_BS(D495,141,$G$5,$H$13),([1]!S_STM07_BS(D495,25,$G$5,$H$13)-[1]!S_STM07_BS(D495,93,$G$5,$H$13))/$E$5))</f>
        <v/>
      </c>
      <c r="N495" s="250" t="str">
        <f ca="1">IF(C495="","",IF($N$11="EPS",[1]!S_STM07_IS(D495,61,$G$5,$H$13)/IF([1]!S_SHARE_TOTAL(D495,$G$5)=0,[1]!S_SHARE_TOTAL(D495,[1]!s_ipo_listeddate(D495)),[1]!S_SHARE_TOTAL(D495,$G$5)),([1]!S_STM07_BS(D495,75,$G$5,$H$13)+[1]!S_STM07_BS(D495,88,$G$5,$H$13)+[1]!S_STM07_BS(D495,94,$G$5,$H$13)+[1]!S_STM07_BS(D495,95,$G$5,$H$13))/$E$5))</f>
        <v/>
      </c>
      <c r="O495" s="250" t="str">
        <f ca="1">IF(C495="","",IF($O$11="BPS",[1]!S_STM07_BS(D495,141,$G$5,$H$13)/IF([1]!S_SHARE_TOTAL(D495,$G$5)=0,[1]!S_SHARE_TOTAL(D495,[1]!s_ipo_listeddate(D495)),[1]!S_SHARE_TOTAL(D495,$G$5)),[1]!S_STM07_CS(D495,49,$G$5,$H$13)/$E$5))</f>
        <v/>
      </c>
      <c r="P495" s="250" t="str">
        <f ca="1">IF(C495="","",IF($P$11="CFPS",[1]!S_STM07_CS(D495,84,$G$5,$H$13)/IF([1]!S_SHARE_TOTAL(D495,$G$5)=0,[1]!S_SHARE_TOTAL(D495,[1]!s_ipo_listeddate(D495)),[1]!S_SHARE_TOTAL(D495,$G$5)),[1]!S_STM07_CS(D495,84,$G$5,$H$13)/$E$5))</f>
        <v/>
      </c>
      <c r="Q495" s="198" t="str">
        <f ca="1">IF(C495="","",F495/([1]!S_STM07_IS(D495,61,$G$5,$H$13)/IF([1]!S_SHARE_TOTAL(D495,$G$5)=0,[1]!S_SHARE_TOTAL(D495,[1]!s_ipo_listeddate(D495)),[1]!S_SHARE_TOTAL(D495,$G$5))))</f>
        <v/>
      </c>
      <c r="R495" s="198" t="str">
        <f ca="1">IF(C495="","",F495/([1]!S_STM07_BS(D495,141,$G$5,$H$13)/IF([1]!S_SHARE_TOTAL(D495,$G$5)=0,[1]!S_SHARE_TOTAL(D495,[1]!s_ipo_listeddate(D495)),[1]!S_SHARE_TOTAL(D495,$G$5))))</f>
        <v/>
      </c>
      <c r="S495" s="249" t="str">
        <f ca="1">IF(C495="","",[1]!S_SHARE_TOTAL(D495,TODAY())/$E$5)</f>
        <v/>
      </c>
      <c r="T495" s="249" t="str">
        <f t="shared" ca="1" si="55"/>
        <v/>
      </c>
      <c r="U495" s="172" t="str">
        <f t="shared" ca="1" si="56"/>
        <v/>
      </c>
      <c r="V495" s="343" t="str">
        <f t="shared" ca="1" si="57"/>
        <v/>
      </c>
      <c r="W495" s="139"/>
      <c r="Y495" s="1"/>
    </row>
    <row r="496" spans="3:25" ht="12" customHeight="1">
      <c r="C496" s="342" t="str">
        <f t="shared" ca="1" si="52"/>
        <v/>
      </c>
      <c r="D496" s="153" t="str">
        <f t="shared" ca="1" si="53"/>
        <v/>
      </c>
      <c r="E496" s="153" t="str">
        <f t="shared" ca="1" si="54"/>
        <v/>
      </c>
      <c r="F496" s="170" t="str">
        <f ca="1">IF(C496="","",[1]!S_DQ_CLOSE(D496,TODAY(),1))</f>
        <v/>
      </c>
      <c r="G496" s="171" t="str">
        <f ca="1">IF(C496="","",[1]!s_pq_pctchange(D496,TODAY()-$G$12,TODAY())/100)</f>
        <v/>
      </c>
      <c r="H496" s="247" t="str">
        <f ca="1">IF(C496="","",IF($H$11="收入",[1]!S_STM07_IS(D496,9,$G$5,$H$13)/$E$5,[1]!S_STM07_IS(D496,48,$G$5,$H$13)/$E$5))</f>
        <v/>
      </c>
      <c r="I496" s="247" t="str">
        <f ca="1">IF(C496="","",IF($I$11="毛利率",([1]!S_STM07_IS(D496,9,$G$5,$H$13)-[1]!S_STM07_IS(D496,10,$G$5,$H$13))/[1]!S_STM07_IS(D496,9,$G$5,$H$13),[1]!S_STM07_IS(D496,14,$G$5,$H$13)/$E$5))</f>
        <v/>
      </c>
      <c r="J496" s="247" t="str">
        <f ca="1">IF(C496="","",IF($J$11="营业利润率",[1]!S_STM07_IS(D496,48,$G$5,$H$13)/[1]!S_STM07_IS(D496,9,$G$5,$H$13),([1]!S_STM07_CS(D496,87,$G$5,$H$13)+[1]!S_STM07_CS(D496,88,$G$5,$H$13)+[1]!S_STM07_CS(D496,89,$G$5,$H$13))/$E$5))</f>
        <v/>
      </c>
      <c r="K496" s="247" t="str">
        <f ca="1">IF(C496="","",IF($K$11="净利润率",[1]!S_STM07_IS(D496,61,$G$5,$H$13)/[1]!S_STM07_IS(D496,9,$G$5,$H$13),[1]!S_STM07_IS(D496,55,$G$5,$H$13)/$E$5))</f>
        <v/>
      </c>
      <c r="L496" s="247" t="str">
        <f ca="1">IF(C496="","",IF($L$11="ROA",[1]!S_STM07_IS(D496,61,$G$5,$H$13)/[1]!S_STM07_BS(D496,74,$G$5,$H$13),1-[1]!S_STM07_IS(D496,61,$G$5,$H$13)/[1]!S_STM07_IS(D496,55,$G$5,$H$13)))</f>
        <v/>
      </c>
      <c r="M496" s="247" t="str">
        <f ca="1">IF(C496="","",IF($M$11="ROE",[1]!S_STM07_IS(D496,61,$G$5,$H$13)/[1]!S_STM07_BS(D496,141,$G$5,$H$13),([1]!S_STM07_BS(D496,25,$G$5,$H$13)-[1]!S_STM07_BS(D496,93,$G$5,$H$13))/$E$5))</f>
        <v/>
      </c>
      <c r="N496" s="247" t="str">
        <f ca="1">IF(C496="","",IF($N$11="EPS",[1]!S_STM07_IS(D496,61,$G$5,$H$13)/IF([1]!S_SHARE_TOTAL(D496,$G$5)=0,[1]!S_SHARE_TOTAL(D496,[1]!s_ipo_listeddate(D496)),[1]!S_SHARE_TOTAL(D496,$G$5)),([1]!S_STM07_BS(D496,75,$G$5,$H$13)+[1]!S_STM07_BS(D496,88,$G$5,$H$13)+[1]!S_STM07_BS(D496,94,$G$5,$H$13)+[1]!S_STM07_BS(D496,95,$G$5,$H$13))/$E$5))</f>
        <v/>
      </c>
      <c r="O496" s="247" t="str">
        <f ca="1">IF(C496="","",IF($O$11="BPS",[1]!S_STM07_BS(D496,141,$G$5,$H$13)/IF([1]!S_SHARE_TOTAL(D496,$G$5)=0,[1]!S_SHARE_TOTAL(D496,[1]!s_ipo_listeddate(D496)),[1]!S_SHARE_TOTAL(D496,$G$5)),[1]!S_STM07_CS(D496,49,$G$5,$H$13)/$E$5))</f>
        <v/>
      </c>
      <c r="P496" s="247" t="str">
        <f ca="1">IF(C496="","",IF($P$11="CFPS",[1]!S_STM07_CS(D496,84,$G$5,$H$13)/IF([1]!S_SHARE_TOTAL(D496,$G$5)=0,[1]!S_SHARE_TOTAL(D496,[1]!s_ipo_listeddate(D496)),[1]!S_SHARE_TOTAL(D496,$G$5)),[1]!S_STM07_CS(D496,84,$G$5,$H$13)/$E$5))</f>
        <v/>
      </c>
      <c r="Q496" s="248" t="str">
        <f ca="1">IF(C496="","",F496/([1]!S_STM07_IS(D496,61,$G$5,$H$13)/IF([1]!S_SHARE_TOTAL(D496,$G$5)=0,[1]!S_SHARE_TOTAL(D496,[1]!s_ipo_listeddate(D496)),[1]!S_SHARE_TOTAL(D496,$G$5))))</f>
        <v/>
      </c>
      <c r="R496" s="248" t="str">
        <f ca="1">IF(C496="","",F496/([1]!S_STM07_BS(D496,141,$G$5,$H$13)/IF([1]!S_SHARE_TOTAL(D496,$G$5)=0,[1]!S_SHARE_TOTAL(D496,[1]!s_ipo_listeddate(D496)),[1]!S_SHARE_TOTAL(D496,$G$5))))</f>
        <v/>
      </c>
      <c r="S496" s="247" t="str">
        <f ca="1">IF(C496="","",[1]!S_SHARE_TOTAL(D496,TODAY())/$E$5)</f>
        <v/>
      </c>
      <c r="T496" s="247" t="str">
        <f t="shared" ca="1" si="55"/>
        <v/>
      </c>
      <c r="U496" s="218" t="str">
        <f t="shared" ca="1" si="56"/>
        <v/>
      </c>
      <c r="V496" s="342" t="str">
        <f t="shared" ca="1" si="57"/>
        <v/>
      </c>
      <c r="W496" s="139"/>
      <c r="Y496" s="1"/>
    </row>
    <row r="497" spans="3:25" ht="12" customHeight="1">
      <c r="C497" s="343" t="str">
        <f t="shared" ca="1" si="52"/>
        <v/>
      </c>
      <c r="D497" s="124" t="str">
        <f t="shared" ca="1" si="53"/>
        <v/>
      </c>
      <c r="E497" s="124" t="str">
        <f t="shared" ca="1" si="54"/>
        <v/>
      </c>
      <c r="F497" s="172" t="str">
        <f ca="1">IF(C497="","",[1]!S_DQ_CLOSE(D497,TODAY(),1))</f>
        <v/>
      </c>
      <c r="G497" s="173" t="str">
        <f ca="1">IF(C497="","",[1]!s_pq_pctchange(D497,TODAY()-$G$12,TODAY())/100)</f>
        <v/>
      </c>
      <c r="H497" s="249" t="str">
        <f ca="1">IF(C497="","",IF($H$11="收入",[1]!S_STM07_IS(D497,9,$G$5,$H$13)/$E$5,[1]!S_STM07_IS(D497,48,$G$5,$H$13)/$E$5))</f>
        <v/>
      </c>
      <c r="I497" s="249" t="str">
        <f ca="1">IF(C497="","",IF($I$11="毛利率",([1]!S_STM07_IS(D497,9,$G$5,$H$13)-[1]!S_STM07_IS(D497,10,$G$5,$H$13))/[1]!S_STM07_IS(D497,9,$G$5,$H$13),[1]!S_STM07_IS(D497,14,$G$5,$H$13)/$E$5))</f>
        <v/>
      </c>
      <c r="J497" s="249" t="str">
        <f ca="1">IF(C497="","",IF($J$11="营业利润率",[1]!S_STM07_IS(D497,48,$G$5,$H$13)/[1]!S_STM07_IS(D497,9,$G$5,$H$13),([1]!S_STM07_CS(D497,87,$G$5,$H$13)+[1]!S_STM07_CS(D497,88,$G$5,$H$13)+[1]!S_STM07_CS(D497,89,$G$5,$H$13))/$E$5))</f>
        <v/>
      </c>
      <c r="K497" s="249" t="str">
        <f ca="1">IF(C497="","",IF($K$11="净利润率",[1]!S_STM07_IS(D497,61,$G$5,$H$13)/[1]!S_STM07_IS(D497,9,$G$5,$H$13),[1]!S_STM07_IS(D497,55,$G$5,$H$13)/$E$5))</f>
        <v/>
      </c>
      <c r="L497" s="249" t="str">
        <f ca="1">IF(C497="","",IF($L$11="ROA",[1]!S_STM07_IS(D497,61,$G$5,$H$13)/[1]!S_STM07_BS(D497,74,$G$5,$H$13),1-[1]!S_STM07_IS(D497,61,$G$5,$H$13)/[1]!S_STM07_IS(D497,55,$G$5,$H$13)))</f>
        <v/>
      </c>
      <c r="M497" s="249" t="str">
        <f ca="1">IF(C497="","",IF($M$11="ROE",[1]!S_STM07_IS(D497,61,$G$5,$H$13)/[1]!S_STM07_BS(D497,141,$G$5,$H$13),([1]!S_STM07_BS(D497,25,$G$5,$H$13)-[1]!S_STM07_BS(D497,93,$G$5,$H$13))/$E$5))</f>
        <v/>
      </c>
      <c r="N497" s="250" t="str">
        <f ca="1">IF(C497="","",IF($N$11="EPS",[1]!S_STM07_IS(D497,61,$G$5,$H$13)/IF([1]!S_SHARE_TOTAL(D497,$G$5)=0,[1]!S_SHARE_TOTAL(D497,[1]!s_ipo_listeddate(D497)),[1]!S_SHARE_TOTAL(D497,$G$5)),([1]!S_STM07_BS(D497,75,$G$5,$H$13)+[1]!S_STM07_BS(D497,88,$G$5,$H$13)+[1]!S_STM07_BS(D497,94,$G$5,$H$13)+[1]!S_STM07_BS(D497,95,$G$5,$H$13))/$E$5))</f>
        <v/>
      </c>
      <c r="O497" s="250" t="str">
        <f ca="1">IF(C497="","",IF($O$11="BPS",[1]!S_STM07_BS(D497,141,$G$5,$H$13)/IF([1]!S_SHARE_TOTAL(D497,$G$5)=0,[1]!S_SHARE_TOTAL(D497,[1]!s_ipo_listeddate(D497)),[1]!S_SHARE_TOTAL(D497,$G$5)),[1]!S_STM07_CS(D497,49,$G$5,$H$13)/$E$5))</f>
        <v/>
      </c>
      <c r="P497" s="250" t="str">
        <f ca="1">IF(C497="","",IF($P$11="CFPS",[1]!S_STM07_CS(D497,84,$G$5,$H$13)/IF([1]!S_SHARE_TOTAL(D497,$G$5)=0,[1]!S_SHARE_TOTAL(D497,[1]!s_ipo_listeddate(D497)),[1]!S_SHARE_TOTAL(D497,$G$5)),[1]!S_STM07_CS(D497,84,$G$5,$H$13)/$E$5))</f>
        <v/>
      </c>
      <c r="Q497" s="198" t="str">
        <f ca="1">IF(C497="","",F497/([1]!S_STM07_IS(D497,61,$G$5,$H$13)/IF([1]!S_SHARE_TOTAL(D497,$G$5)=0,[1]!S_SHARE_TOTAL(D497,[1]!s_ipo_listeddate(D497)),[1]!S_SHARE_TOTAL(D497,$G$5))))</f>
        <v/>
      </c>
      <c r="R497" s="198" t="str">
        <f ca="1">IF(C497="","",F497/([1]!S_STM07_BS(D497,141,$G$5,$H$13)/IF([1]!S_SHARE_TOTAL(D497,$G$5)=0,[1]!S_SHARE_TOTAL(D497,[1]!s_ipo_listeddate(D497)),[1]!S_SHARE_TOTAL(D497,$G$5))))</f>
        <v/>
      </c>
      <c r="S497" s="249" t="str">
        <f ca="1">IF(C497="","",[1]!S_SHARE_TOTAL(D497,TODAY())/$E$5)</f>
        <v/>
      </c>
      <c r="T497" s="249" t="str">
        <f t="shared" ca="1" si="55"/>
        <v/>
      </c>
      <c r="U497" s="172" t="str">
        <f t="shared" ca="1" si="56"/>
        <v/>
      </c>
      <c r="V497" s="343" t="str">
        <f t="shared" ca="1" si="57"/>
        <v/>
      </c>
      <c r="W497" s="139"/>
      <c r="Y497" s="1"/>
    </row>
    <row r="498" spans="3:25" ht="12" customHeight="1">
      <c r="C498" s="342" t="str">
        <f t="shared" ca="1" si="52"/>
        <v/>
      </c>
      <c r="D498" s="153" t="str">
        <f t="shared" ca="1" si="53"/>
        <v/>
      </c>
      <c r="E498" s="153" t="str">
        <f t="shared" ca="1" si="54"/>
        <v/>
      </c>
      <c r="F498" s="170" t="str">
        <f ca="1">IF(C498="","",[1]!S_DQ_CLOSE(D498,TODAY(),1))</f>
        <v/>
      </c>
      <c r="G498" s="171" t="str">
        <f ca="1">IF(C498="","",[1]!s_pq_pctchange(D498,TODAY()-$G$12,TODAY())/100)</f>
        <v/>
      </c>
      <c r="H498" s="247" t="str">
        <f ca="1">IF(C498="","",IF($H$11="收入",[1]!S_STM07_IS(D498,9,$G$5,$H$13)/$E$5,[1]!S_STM07_IS(D498,48,$G$5,$H$13)/$E$5))</f>
        <v/>
      </c>
      <c r="I498" s="247" t="str">
        <f ca="1">IF(C498="","",IF($I$11="毛利率",([1]!S_STM07_IS(D498,9,$G$5,$H$13)-[1]!S_STM07_IS(D498,10,$G$5,$H$13))/[1]!S_STM07_IS(D498,9,$G$5,$H$13),[1]!S_STM07_IS(D498,14,$G$5,$H$13)/$E$5))</f>
        <v/>
      </c>
      <c r="J498" s="247" t="str">
        <f ca="1">IF(C498="","",IF($J$11="营业利润率",[1]!S_STM07_IS(D498,48,$G$5,$H$13)/[1]!S_STM07_IS(D498,9,$G$5,$H$13),([1]!S_STM07_CS(D498,87,$G$5,$H$13)+[1]!S_STM07_CS(D498,88,$G$5,$H$13)+[1]!S_STM07_CS(D498,89,$G$5,$H$13))/$E$5))</f>
        <v/>
      </c>
      <c r="K498" s="247" t="str">
        <f ca="1">IF(C498="","",IF($K$11="净利润率",[1]!S_STM07_IS(D498,61,$G$5,$H$13)/[1]!S_STM07_IS(D498,9,$G$5,$H$13),[1]!S_STM07_IS(D498,55,$G$5,$H$13)/$E$5))</f>
        <v/>
      </c>
      <c r="L498" s="247" t="str">
        <f ca="1">IF(C498="","",IF($L$11="ROA",[1]!S_STM07_IS(D498,61,$G$5,$H$13)/[1]!S_STM07_BS(D498,74,$G$5,$H$13),1-[1]!S_STM07_IS(D498,61,$G$5,$H$13)/[1]!S_STM07_IS(D498,55,$G$5,$H$13)))</f>
        <v/>
      </c>
      <c r="M498" s="247" t="str">
        <f ca="1">IF(C498="","",IF($M$11="ROE",[1]!S_STM07_IS(D498,61,$G$5,$H$13)/[1]!S_STM07_BS(D498,141,$G$5,$H$13),([1]!S_STM07_BS(D498,25,$G$5,$H$13)-[1]!S_STM07_BS(D498,93,$G$5,$H$13))/$E$5))</f>
        <v/>
      </c>
      <c r="N498" s="247" t="str">
        <f ca="1">IF(C498="","",IF($N$11="EPS",[1]!S_STM07_IS(D498,61,$G$5,$H$13)/IF([1]!S_SHARE_TOTAL(D498,$G$5)=0,[1]!S_SHARE_TOTAL(D498,[1]!s_ipo_listeddate(D498)),[1]!S_SHARE_TOTAL(D498,$G$5)),([1]!S_STM07_BS(D498,75,$G$5,$H$13)+[1]!S_STM07_BS(D498,88,$G$5,$H$13)+[1]!S_STM07_BS(D498,94,$G$5,$H$13)+[1]!S_STM07_BS(D498,95,$G$5,$H$13))/$E$5))</f>
        <v/>
      </c>
      <c r="O498" s="247" t="str">
        <f ca="1">IF(C498="","",IF($O$11="BPS",[1]!S_STM07_BS(D498,141,$G$5,$H$13)/IF([1]!S_SHARE_TOTAL(D498,$G$5)=0,[1]!S_SHARE_TOTAL(D498,[1]!s_ipo_listeddate(D498)),[1]!S_SHARE_TOTAL(D498,$G$5)),[1]!S_STM07_CS(D498,49,$G$5,$H$13)/$E$5))</f>
        <v/>
      </c>
      <c r="P498" s="247" t="str">
        <f ca="1">IF(C498="","",IF($P$11="CFPS",[1]!S_STM07_CS(D498,84,$G$5,$H$13)/IF([1]!S_SHARE_TOTAL(D498,$G$5)=0,[1]!S_SHARE_TOTAL(D498,[1]!s_ipo_listeddate(D498)),[1]!S_SHARE_TOTAL(D498,$G$5)),[1]!S_STM07_CS(D498,84,$G$5,$H$13)/$E$5))</f>
        <v/>
      </c>
      <c r="Q498" s="248" t="str">
        <f ca="1">IF(C498="","",F498/([1]!S_STM07_IS(D498,61,$G$5,$H$13)/IF([1]!S_SHARE_TOTAL(D498,$G$5)=0,[1]!S_SHARE_TOTAL(D498,[1]!s_ipo_listeddate(D498)),[1]!S_SHARE_TOTAL(D498,$G$5))))</f>
        <v/>
      </c>
      <c r="R498" s="248" t="str">
        <f ca="1">IF(C498="","",F498/([1]!S_STM07_BS(D498,141,$G$5,$H$13)/IF([1]!S_SHARE_TOTAL(D498,$G$5)=0,[1]!S_SHARE_TOTAL(D498,[1]!s_ipo_listeddate(D498)),[1]!S_SHARE_TOTAL(D498,$G$5))))</f>
        <v/>
      </c>
      <c r="S498" s="247" t="str">
        <f ca="1">IF(C498="","",[1]!S_SHARE_TOTAL(D498,TODAY())/$E$5)</f>
        <v/>
      </c>
      <c r="T498" s="247" t="str">
        <f t="shared" ca="1" si="55"/>
        <v/>
      </c>
      <c r="U498" s="218" t="str">
        <f t="shared" ca="1" si="56"/>
        <v/>
      </c>
      <c r="V498" s="342" t="str">
        <f t="shared" ca="1" si="57"/>
        <v/>
      </c>
      <c r="W498" s="139"/>
      <c r="Y498" s="1"/>
    </row>
    <row r="499" spans="3:25" ht="12" customHeight="1">
      <c r="C499" s="343" t="str">
        <f t="shared" ca="1" si="52"/>
        <v/>
      </c>
      <c r="D499" s="124" t="str">
        <f t="shared" ca="1" si="53"/>
        <v/>
      </c>
      <c r="E499" s="124" t="str">
        <f t="shared" ca="1" si="54"/>
        <v/>
      </c>
      <c r="F499" s="172" t="str">
        <f ca="1">IF(C499="","",[1]!S_DQ_CLOSE(D499,TODAY(),1))</f>
        <v/>
      </c>
      <c r="G499" s="173" t="str">
        <f ca="1">IF(C499="","",[1]!s_pq_pctchange(D499,TODAY()-$G$12,TODAY())/100)</f>
        <v/>
      </c>
      <c r="H499" s="249" t="str">
        <f ca="1">IF(C499="","",IF($H$11="收入",[1]!S_STM07_IS(D499,9,$G$5,$H$13)/$E$5,[1]!S_STM07_IS(D499,48,$G$5,$H$13)/$E$5))</f>
        <v/>
      </c>
      <c r="I499" s="249" t="str">
        <f ca="1">IF(C499="","",IF($I$11="毛利率",([1]!S_STM07_IS(D499,9,$G$5,$H$13)-[1]!S_STM07_IS(D499,10,$G$5,$H$13))/[1]!S_STM07_IS(D499,9,$G$5,$H$13),[1]!S_STM07_IS(D499,14,$G$5,$H$13)/$E$5))</f>
        <v/>
      </c>
      <c r="J499" s="249" t="str">
        <f ca="1">IF(C499="","",IF($J$11="营业利润率",[1]!S_STM07_IS(D499,48,$G$5,$H$13)/[1]!S_STM07_IS(D499,9,$G$5,$H$13),([1]!S_STM07_CS(D499,87,$G$5,$H$13)+[1]!S_STM07_CS(D499,88,$G$5,$H$13)+[1]!S_STM07_CS(D499,89,$G$5,$H$13))/$E$5))</f>
        <v/>
      </c>
      <c r="K499" s="249" t="str">
        <f ca="1">IF(C499="","",IF($K$11="净利润率",[1]!S_STM07_IS(D499,61,$G$5,$H$13)/[1]!S_STM07_IS(D499,9,$G$5,$H$13),[1]!S_STM07_IS(D499,55,$G$5,$H$13)/$E$5))</f>
        <v/>
      </c>
      <c r="L499" s="249" t="str">
        <f ca="1">IF(C499="","",IF($L$11="ROA",[1]!S_STM07_IS(D499,61,$G$5,$H$13)/[1]!S_STM07_BS(D499,74,$G$5,$H$13),1-[1]!S_STM07_IS(D499,61,$G$5,$H$13)/[1]!S_STM07_IS(D499,55,$G$5,$H$13)))</f>
        <v/>
      </c>
      <c r="M499" s="249" t="str">
        <f ca="1">IF(C499="","",IF($M$11="ROE",[1]!S_STM07_IS(D499,61,$G$5,$H$13)/[1]!S_STM07_BS(D499,141,$G$5,$H$13),([1]!S_STM07_BS(D499,25,$G$5,$H$13)-[1]!S_STM07_BS(D499,93,$G$5,$H$13))/$E$5))</f>
        <v/>
      </c>
      <c r="N499" s="250" t="str">
        <f ca="1">IF(C499="","",IF($N$11="EPS",[1]!S_STM07_IS(D499,61,$G$5,$H$13)/IF([1]!S_SHARE_TOTAL(D499,$G$5)=0,[1]!S_SHARE_TOTAL(D499,[1]!s_ipo_listeddate(D499)),[1]!S_SHARE_TOTAL(D499,$G$5)),([1]!S_STM07_BS(D499,75,$G$5,$H$13)+[1]!S_STM07_BS(D499,88,$G$5,$H$13)+[1]!S_STM07_BS(D499,94,$G$5,$H$13)+[1]!S_STM07_BS(D499,95,$G$5,$H$13))/$E$5))</f>
        <v/>
      </c>
      <c r="O499" s="250" t="str">
        <f ca="1">IF(C499="","",IF($O$11="BPS",[1]!S_STM07_BS(D499,141,$G$5,$H$13)/IF([1]!S_SHARE_TOTAL(D499,$G$5)=0,[1]!S_SHARE_TOTAL(D499,[1]!s_ipo_listeddate(D499)),[1]!S_SHARE_TOTAL(D499,$G$5)),[1]!S_STM07_CS(D499,49,$G$5,$H$13)/$E$5))</f>
        <v/>
      </c>
      <c r="P499" s="250" t="str">
        <f ca="1">IF(C499="","",IF($P$11="CFPS",[1]!S_STM07_CS(D499,84,$G$5,$H$13)/IF([1]!S_SHARE_TOTAL(D499,$G$5)=0,[1]!S_SHARE_TOTAL(D499,[1]!s_ipo_listeddate(D499)),[1]!S_SHARE_TOTAL(D499,$G$5)),[1]!S_STM07_CS(D499,84,$G$5,$H$13)/$E$5))</f>
        <v/>
      </c>
      <c r="Q499" s="198" t="str">
        <f ca="1">IF(C499="","",F499/([1]!S_STM07_IS(D499,61,$G$5,$H$13)/IF([1]!S_SHARE_TOTAL(D499,$G$5)=0,[1]!S_SHARE_TOTAL(D499,[1]!s_ipo_listeddate(D499)),[1]!S_SHARE_TOTAL(D499,$G$5))))</f>
        <v/>
      </c>
      <c r="R499" s="198" t="str">
        <f ca="1">IF(C499="","",F499/([1]!S_STM07_BS(D499,141,$G$5,$H$13)/IF([1]!S_SHARE_TOTAL(D499,$G$5)=0,[1]!S_SHARE_TOTAL(D499,[1]!s_ipo_listeddate(D499)),[1]!S_SHARE_TOTAL(D499,$G$5))))</f>
        <v/>
      </c>
      <c r="S499" s="249" t="str">
        <f ca="1">IF(C499="","",[1]!S_SHARE_TOTAL(D499,TODAY())/$E$5)</f>
        <v/>
      </c>
      <c r="T499" s="249" t="str">
        <f t="shared" ca="1" si="55"/>
        <v/>
      </c>
      <c r="U499" s="172" t="str">
        <f t="shared" ca="1" si="56"/>
        <v/>
      </c>
      <c r="V499" s="343" t="str">
        <f t="shared" ca="1" si="57"/>
        <v/>
      </c>
      <c r="W499" s="139"/>
      <c r="Y499" s="1"/>
    </row>
    <row r="500" spans="3:25" ht="12" customHeight="1">
      <c r="C500" s="342" t="str">
        <f t="shared" ca="1" si="52"/>
        <v/>
      </c>
      <c r="D500" s="153" t="str">
        <f t="shared" ca="1" si="53"/>
        <v/>
      </c>
      <c r="E500" s="153" t="str">
        <f t="shared" ca="1" si="54"/>
        <v/>
      </c>
      <c r="F500" s="170" t="str">
        <f ca="1">IF(C500="","",[1]!S_DQ_CLOSE(D500,TODAY(),1))</f>
        <v/>
      </c>
      <c r="G500" s="171" t="str">
        <f ca="1">IF(C500="","",[1]!s_pq_pctchange(D500,TODAY()-$G$12,TODAY())/100)</f>
        <v/>
      </c>
      <c r="H500" s="247" t="str">
        <f ca="1">IF(C500="","",IF($H$11="收入",[1]!S_STM07_IS(D500,9,$G$5,$H$13)/$E$5,[1]!S_STM07_IS(D500,48,$G$5,$H$13)/$E$5))</f>
        <v/>
      </c>
      <c r="I500" s="247" t="str">
        <f ca="1">IF(C500="","",IF($I$11="毛利率",([1]!S_STM07_IS(D500,9,$G$5,$H$13)-[1]!S_STM07_IS(D500,10,$G$5,$H$13))/[1]!S_STM07_IS(D500,9,$G$5,$H$13),[1]!S_STM07_IS(D500,14,$G$5,$H$13)/$E$5))</f>
        <v/>
      </c>
      <c r="J500" s="247" t="str">
        <f ca="1">IF(C500="","",IF($J$11="营业利润率",[1]!S_STM07_IS(D500,48,$G$5,$H$13)/[1]!S_STM07_IS(D500,9,$G$5,$H$13),([1]!S_STM07_CS(D500,87,$G$5,$H$13)+[1]!S_STM07_CS(D500,88,$G$5,$H$13)+[1]!S_STM07_CS(D500,89,$G$5,$H$13))/$E$5))</f>
        <v/>
      </c>
      <c r="K500" s="247" t="str">
        <f ca="1">IF(C500="","",IF($K$11="净利润率",[1]!S_STM07_IS(D500,61,$G$5,$H$13)/[1]!S_STM07_IS(D500,9,$G$5,$H$13),[1]!S_STM07_IS(D500,55,$G$5,$H$13)/$E$5))</f>
        <v/>
      </c>
      <c r="L500" s="247" t="str">
        <f ca="1">IF(C500="","",IF($L$11="ROA",[1]!S_STM07_IS(D500,61,$G$5,$H$13)/[1]!S_STM07_BS(D500,74,$G$5,$H$13),1-[1]!S_STM07_IS(D500,61,$G$5,$H$13)/[1]!S_STM07_IS(D500,55,$G$5,$H$13)))</f>
        <v/>
      </c>
      <c r="M500" s="247" t="str">
        <f ca="1">IF(C500="","",IF($M$11="ROE",[1]!S_STM07_IS(D500,61,$G$5,$H$13)/[1]!S_STM07_BS(D500,141,$G$5,$H$13),([1]!S_STM07_BS(D500,25,$G$5,$H$13)-[1]!S_STM07_BS(D500,93,$G$5,$H$13))/$E$5))</f>
        <v/>
      </c>
      <c r="N500" s="247" t="str">
        <f ca="1">IF(C500="","",IF($N$11="EPS",[1]!S_STM07_IS(D500,61,$G$5,$H$13)/IF([1]!S_SHARE_TOTAL(D500,$G$5)=0,[1]!S_SHARE_TOTAL(D500,[1]!s_ipo_listeddate(D500)),[1]!S_SHARE_TOTAL(D500,$G$5)),([1]!S_STM07_BS(D500,75,$G$5,$H$13)+[1]!S_STM07_BS(D500,88,$G$5,$H$13)+[1]!S_STM07_BS(D500,94,$G$5,$H$13)+[1]!S_STM07_BS(D500,95,$G$5,$H$13))/$E$5))</f>
        <v/>
      </c>
      <c r="O500" s="247" t="str">
        <f ca="1">IF(C500="","",IF($O$11="BPS",[1]!S_STM07_BS(D500,141,$G$5,$H$13)/IF([1]!S_SHARE_TOTAL(D500,$G$5)=0,[1]!S_SHARE_TOTAL(D500,[1]!s_ipo_listeddate(D500)),[1]!S_SHARE_TOTAL(D500,$G$5)),[1]!S_STM07_CS(D500,49,$G$5,$H$13)/$E$5))</f>
        <v/>
      </c>
      <c r="P500" s="247" t="str">
        <f ca="1">IF(C500="","",IF($P$11="CFPS",[1]!S_STM07_CS(D500,84,$G$5,$H$13)/IF([1]!S_SHARE_TOTAL(D500,$G$5)=0,[1]!S_SHARE_TOTAL(D500,[1]!s_ipo_listeddate(D500)),[1]!S_SHARE_TOTAL(D500,$G$5)),[1]!S_STM07_CS(D500,84,$G$5,$H$13)/$E$5))</f>
        <v/>
      </c>
      <c r="Q500" s="248" t="str">
        <f ca="1">IF(C500="","",F500/([1]!S_STM07_IS(D500,61,$G$5,$H$13)/IF([1]!S_SHARE_TOTAL(D500,$G$5)=0,[1]!S_SHARE_TOTAL(D500,[1]!s_ipo_listeddate(D500)),[1]!S_SHARE_TOTAL(D500,$G$5))))</f>
        <v/>
      </c>
      <c r="R500" s="248" t="str">
        <f ca="1">IF(C500="","",F500/([1]!S_STM07_BS(D500,141,$G$5,$H$13)/IF([1]!S_SHARE_TOTAL(D500,$G$5)=0,[1]!S_SHARE_TOTAL(D500,[1]!s_ipo_listeddate(D500)),[1]!S_SHARE_TOTAL(D500,$G$5))))</f>
        <v/>
      </c>
      <c r="S500" s="247" t="str">
        <f ca="1">IF(C500="","",[1]!S_SHARE_TOTAL(D500,TODAY())/$E$5)</f>
        <v/>
      </c>
      <c r="T500" s="247" t="str">
        <f t="shared" ca="1" si="55"/>
        <v/>
      </c>
      <c r="U500" s="218" t="str">
        <f t="shared" ca="1" si="56"/>
        <v/>
      </c>
      <c r="V500" s="342" t="str">
        <f t="shared" ca="1" si="57"/>
        <v/>
      </c>
      <c r="W500" s="139"/>
      <c r="Y500" s="1"/>
    </row>
    <row r="501" spans="3:25" ht="12" customHeight="1">
      <c r="C501" s="343" t="str">
        <f t="shared" ca="1" si="52"/>
        <v/>
      </c>
      <c r="D501" s="124" t="str">
        <f t="shared" ca="1" si="53"/>
        <v/>
      </c>
      <c r="E501" s="124" t="str">
        <f t="shared" ca="1" si="54"/>
        <v/>
      </c>
      <c r="F501" s="172" t="str">
        <f ca="1">IF(C501="","",[1]!S_DQ_CLOSE(D501,TODAY(),1))</f>
        <v/>
      </c>
      <c r="G501" s="173" t="str">
        <f ca="1">IF(C501="","",[1]!s_pq_pctchange(D501,TODAY()-$G$12,TODAY())/100)</f>
        <v/>
      </c>
      <c r="H501" s="249" t="str">
        <f ca="1">IF(C501="","",IF($H$11="收入",[1]!S_STM07_IS(D501,9,$G$5,$H$13)/$E$5,[1]!S_STM07_IS(D501,48,$G$5,$H$13)/$E$5))</f>
        <v/>
      </c>
      <c r="I501" s="249" t="str">
        <f ca="1">IF(C501="","",IF($I$11="毛利率",([1]!S_STM07_IS(D501,9,$G$5,$H$13)-[1]!S_STM07_IS(D501,10,$G$5,$H$13))/[1]!S_STM07_IS(D501,9,$G$5,$H$13),[1]!S_STM07_IS(D501,14,$G$5,$H$13)/$E$5))</f>
        <v/>
      </c>
      <c r="J501" s="249" t="str">
        <f ca="1">IF(C501="","",IF($J$11="营业利润率",[1]!S_STM07_IS(D501,48,$G$5,$H$13)/[1]!S_STM07_IS(D501,9,$G$5,$H$13),([1]!S_STM07_CS(D501,87,$G$5,$H$13)+[1]!S_STM07_CS(D501,88,$G$5,$H$13)+[1]!S_STM07_CS(D501,89,$G$5,$H$13))/$E$5))</f>
        <v/>
      </c>
      <c r="K501" s="249" t="str">
        <f ca="1">IF(C501="","",IF($K$11="净利润率",[1]!S_STM07_IS(D501,61,$G$5,$H$13)/[1]!S_STM07_IS(D501,9,$G$5,$H$13),[1]!S_STM07_IS(D501,55,$G$5,$H$13)/$E$5))</f>
        <v/>
      </c>
      <c r="L501" s="249" t="str">
        <f ca="1">IF(C501="","",IF($L$11="ROA",[1]!S_STM07_IS(D501,61,$G$5,$H$13)/[1]!S_STM07_BS(D501,74,$G$5,$H$13),1-[1]!S_STM07_IS(D501,61,$G$5,$H$13)/[1]!S_STM07_IS(D501,55,$G$5,$H$13)))</f>
        <v/>
      </c>
      <c r="M501" s="249" t="str">
        <f ca="1">IF(C501="","",IF($M$11="ROE",[1]!S_STM07_IS(D501,61,$G$5,$H$13)/[1]!S_STM07_BS(D501,141,$G$5,$H$13),([1]!S_STM07_BS(D501,25,$G$5,$H$13)-[1]!S_STM07_BS(D501,93,$G$5,$H$13))/$E$5))</f>
        <v/>
      </c>
      <c r="N501" s="250" t="str">
        <f ca="1">IF(C501="","",IF($N$11="EPS",[1]!S_STM07_IS(D501,61,$G$5,$H$13)/IF([1]!S_SHARE_TOTAL(D501,$G$5)=0,[1]!S_SHARE_TOTAL(D501,[1]!s_ipo_listeddate(D501)),[1]!S_SHARE_TOTAL(D501,$G$5)),([1]!S_STM07_BS(D501,75,$G$5,$H$13)+[1]!S_STM07_BS(D501,88,$G$5,$H$13)+[1]!S_STM07_BS(D501,94,$G$5,$H$13)+[1]!S_STM07_BS(D501,95,$G$5,$H$13))/$E$5))</f>
        <v/>
      </c>
      <c r="O501" s="250" t="str">
        <f ca="1">IF(C501="","",IF($O$11="BPS",[1]!S_STM07_BS(D501,141,$G$5,$H$13)/IF([1]!S_SHARE_TOTAL(D501,$G$5)=0,[1]!S_SHARE_TOTAL(D501,[1]!s_ipo_listeddate(D501)),[1]!S_SHARE_TOTAL(D501,$G$5)),[1]!S_STM07_CS(D501,49,$G$5,$H$13)/$E$5))</f>
        <v/>
      </c>
      <c r="P501" s="250" t="str">
        <f ca="1">IF(C501="","",IF($P$11="CFPS",[1]!S_STM07_CS(D501,84,$G$5,$H$13)/IF([1]!S_SHARE_TOTAL(D501,$G$5)=0,[1]!S_SHARE_TOTAL(D501,[1]!s_ipo_listeddate(D501)),[1]!S_SHARE_TOTAL(D501,$G$5)),[1]!S_STM07_CS(D501,84,$G$5,$H$13)/$E$5))</f>
        <v/>
      </c>
      <c r="Q501" s="198" t="str">
        <f ca="1">IF(C501="","",F501/([1]!S_STM07_IS(D501,61,$G$5,$H$13)/IF([1]!S_SHARE_TOTAL(D501,$G$5)=0,[1]!S_SHARE_TOTAL(D501,[1]!s_ipo_listeddate(D501)),[1]!S_SHARE_TOTAL(D501,$G$5))))</f>
        <v/>
      </c>
      <c r="R501" s="198" t="str">
        <f ca="1">IF(C501="","",F501/([1]!S_STM07_BS(D501,141,$G$5,$H$13)/IF([1]!S_SHARE_TOTAL(D501,$G$5)=0,[1]!S_SHARE_TOTAL(D501,[1]!s_ipo_listeddate(D501)),[1]!S_SHARE_TOTAL(D501,$G$5))))</f>
        <v/>
      </c>
      <c r="S501" s="249" t="str">
        <f ca="1">IF(C501="","",[1]!S_SHARE_TOTAL(D501,TODAY())/$E$5)</f>
        <v/>
      </c>
      <c r="T501" s="249" t="str">
        <f t="shared" ca="1" si="55"/>
        <v/>
      </c>
      <c r="U501" s="172" t="str">
        <f t="shared" ca="1" si="56"/>
        <v/>
      </c>
      <c r="V501" s="343" t="str">
        <f t="shared" ca="1" si="57"/>
        <v/>
      </c>
      <c r="W501" s="139"/>
      <c r="Y501" s="1"/>
    </row>
    <row r="502" spans="3:25" ht="12" customHeight="1">
      <c r="C502" s="342" t="str">
        <f t="shared" ca="1" si="52"/>
        <v/>
      </c>
      <c r="D502" s="153" t="str">
        <f t="shared" ca="1" si="53"/>
        <v/>
      </c>
      <c r="E502" s="153" t="str">
        <f t="shared" ca="1" si="54"/>
        <v/>
      </c>
      <c r="F502" s="170" t="str">
        <f ca="1">IF(C502="","",[1]!S_DQ_CLOSE(D502,TODAY(),1))</f>
        <v/>
      </c>
      <c r="G502" s="171" t="str">
        <f ca="1">IF(C502="","",[1]!s_pq_pctchange(D502,TODAY()-$G$12,TODAY())/100)</f>
        <v/>
      </c>
      <c r="H502" s="247" t="str">
        <f ca="1">IF(C502="","",IF($H$11="收入",[1]!S_STM07_IS(D502,9,$G$5,$H$13)/$E$5,[1]!S_STM07_IS(D502,48,$G$5,$H$13)/$E$5))</f>
        <v/>
      </c>
      <c r="I502" s="247" t="str">
        <f ca="1">IF(C502="","",IF($I$11="毛利率",([1]!S_STM07_IS(D502,9,$G$5,$H$13)-[1]!S_STM07_IS(D502,10,$G$5,$H$13))/[1]!S_STM07_IS(D502,9,$G$5,$H$13),[1]!S_STM07_IS(D502,14,$G$5,$H$13)/$E$5))</f>
        <v/>
      </c>
      <c r="J502" s="247" t="str">
        <f ca="1">IF(C502="","",IF($J$11="营业利润率",[1]!S_STM07_IS(D502,48,$G$5,$H$13)/[1]!S_STM07_IS(D502,9,$G$5,$H$13),([1]!S_STM07_CS(D502,87,$G$5,$H$13)+[1]!S_STM07_CS(D502,88,$G$5,$H$13)+[1]!S_STM07_CS(D502,89,$G$5,$H$13))/$E$5))</f>
        <v/>
      </c>
      <c r="K502" s="247" t="str">
        <f ca="1">IF(C502="","",IF($K$11="净利润率",[1]!S_STM07_IS(D502,61,$G$5,$H$13)/[1]!S_STM07_IS(D502,9,$G$5,$H$13),[1]!S_STM07_IS(D502,55,$G$5,$H$13)/$E$5))</f>
        <v/>
      </c>
      <c r="L502" s="247" t="str">
        <f ca="1">IF(C502="","",IF($L$11="ROA",[1]!S_STM07_IS(D502,61,$G$5,$H$13)/[1]!S_STM07_BS(D502,74,$G$5,$H$13),1-[1]!S_STM07_IS(D502,61,$G$5,$H$13)/[1]!S_STM07_IS(D502,55,$G$5,$H$13)))</f>
        <v/>
      </c>
      <c r="M502" s="247" t="str">
        <f ca="1">IF(C502="","",IF($M$11="ROE",[1]!S_STM07_IS(D502,61,$G$5,$H$13)/[1]!S_STM07_BS(D502,141,$G$5,$H$13),([1]!S_STM07_BS(D502,25,$G$5,$H$13)-[1]!S_STM07_BS(D502,93,$G$5,$H$13))/$E$5))</f>
        <v/>
      </c>
      <c r="N502" s="247" t="str">
        <f ca="1">IF(C502="","",IF($N$11="EPS",[1]!S_STM07_IS(D502,61,$G$5,$H$13)/IF([1]!S_SHARE_TOTAL(D502,$G$5)=0,[1]!S_SHARE_TOTAL(D502,[1]!s_ipo_listeddate(D502)),[1]!S_SHARE_TOTAL(D502,$G$5)),([1]!S_STM07_BS(D502,75,$G$5,$H$13)+[1]!S_STM07_BS(D502,88,$G$5,$H$13)+[1]!S_STM07_BS(D502,94,$G$5,$H$13)+[1]!S_STM07_BS(D502,95,$G$5,$H$13))/$E$5))</f>
        <v/>
      </c>
      <c r="O502" s="247" t="str">
        <f ca="1">IF(C502="","",IF($O$11="BPS",[1]!S_STM07_BS(D502,141,$G$5,$H$13)/IF([1]!S_SHARE_TOTAL(D502,$G$5)=0,[1]!S_SHARE_TOTAL(D502,[1]!s_ipo_listeddate(D502)),[1]!S_SHARE_TOTAL(D502,$G$5)),[1]!S_STM07_CS(D502,49,$G$5,$H$13)/$E$5))</f>
        <v/>
      </c>
      <c r="P502" s="247" t="str">
        <f ca="1">IF(C502="","",IF($P$11="CFPS",[1]!S_STM07_CS(D502,84,$G$5,$H$13)/IF([1]!S_SHARE_TOTAL(D502,$G$5)=0,[1]!S_SHARE_TOTAL(D502,[1]!s_ipo_listeddate(D502)),[1]!S_SHARE_TOTAL(D502,$G$5)),[1]!S_STM07_CS(D502,84,$G$5,$H$13)/$E$5))</f>
        <v/>
      </c>
      <c r="Q502" s="248" t="str">
        <f ca="1">IF(C502="","",F502/([1]!S_STM07_IS(D502,61,$G$5,$H$13)/IF([1]!S_SHARE_TOTAL(D502,$G$5)=0,[1]!S_SHARE_TOTAL(D502,[1]!s_ipo_listeddate(D502)),[1]!S_SHARE_TOTAL(D502,$G$5))))</f>
        <v/>
      </c>
      <c r="R502" s="248" t="str">
        <f ca="1">IF(C502="","",F502/([1]!S_STM07_BS(D502,141,$G$5,$H$13)/IF([1]!S_SHARE_TOTAL(D502,$G$5)=0,[1]!S_SHARE_TOTAL(D502,[1]!s_ipo_listeddate(D502)),[1]!S_SHARE_TOTAL(D502,$G$5))))</f>
        <v/>
      </c>
      <c r="S502" s="247" t="str">
        <f ca="1">IF(C502="","",[1]!S_SHARE_TOTAL(D502,TODAY())/$E$5)</f>
        <v/>
      </c>
      <c r="T502" s="247" t="str">
        <f t="shared" ca="1" si="55"/>
        <v/>
      </c>
      <c r="U502" s="218" t="str">
        <f t="shared" ca="1" si="56"/>
        <v/>
      </c>
      <c r="V502" s="342" t="str">
        <f t="shared" ca="1" si="57"/>
        <v/>
      </c>
      <c r="W502" s="139"/>
      <c r="Y502" s="1"/>
    </row>
    <row r="503" spans="3:25" ht="12" customHeight="1">
      <c r="C503" s="343" t="str">
        <f t="shared" ca="1" si="52"/>
        <v/>
      </c>
      <c r="D503" s="124" t="str">
        <f t="shared" ca="1" si="53"/>
        <v/>
      </c>
      <c r="E503" s="124" t="str">
        <f t="shared" ca="1" si="54"/>
        <v/>
      </c>
      <c r="F503" s="172" t="str">
        <f ca="1">IF(C503="","",[1]!S_DQ_CLOSE(D503,TODAY(),1))</f>
        <v/>
      </c>
      <c r="G503" s="173" t="str">
        <f ca="1">IF(C503="","",[1]!s_pq_pctchange(D503,TODAY()-$G$12,TODAY())/100)</f>
        <v/>
      </c>
      <c r="H503" s="249" t="str">
        <f ca="1">IF(C503="","",IF($H$11="收入",[1]!S_STM07_IS(D503,9,$G$5,$H$13)/$E$5,[1]!S_STM07_IS(D503,48,$G$5,$H$13)/$E$5))</f>
        <v/>
      </c>
      <c r="I503" s="249" t="str">
        <f ca="1">IF(C503="","",IF($I$11="毛利率",([1]!S_STM07_IS(D503,9,$G$5,$H$13)-[1]!S_STM07_IS(D503,10,$G$5,$H$13))/[1]!S_STM07_IS(D503,9,$G$5,$H$13),[1]!S_STM07_IS(D503,14,$G$5,$H$13)/$E$5))</f>
        <v/>
      </c>
      <c r="J503" s="249" t="str">
        <f ca="1">IF(C503="","",IF($J$11="营业利润率",[1]!S_STM07_IS(D503,48,$G$5,$H$13)/[1]!S_STM07_IS(D503,9,$G$5,$H$13),([1]!S_STM07_CS(D503,87,$G$5,$H$13)+[1]!S_STM07_CS(D503,88,$G$5,$H$13)+[1]!S_STM07_CS(D503,89,$G$5,$H$13))/$E$5))</f>
        <v/>
      </c>
      <c r="K503" s="249" t="str">
        <f ca="1">IF(C503="","",IF($K$11="净利润率",[1]!S_STM07_IS(D503,61,$G$5,$H$13)/[1]!S_STM07_IS(D503,9,$G$5,$H$13),[1]!S_STM07_IS(D503,55,$G$5,$H$13)/$E$5))</f>
        <v/>
      </c>
      <c r="L503" s="249" t="str">
        <f ca="1">IF(C503="","",IF($L$11="ROA",[1]!S_STM07_IS(D503,61,$G$5,$H$13)/[1]!S_STM07_BS(D503,74,$G$5,$H$13),1-[1]!S_STM07_IS(D503,61,$G$5,$H$13)/[1]!S_STM07_IS(D503,55,$G$5,$H$13)))</f>
        <v/>
      </c>
      <c r="M503" s="249" t="str">
        <f ca="1">IF(C503="","",IF($M$11="ROE",[1]!S_STM07_IS(D503,61,$G$5,$H$13)/[1]!S_STM07_BS(D503,141,$G$5,$H$13),([1]!S_STM07_BS(D503,25,$G$5,$H$13)-[1]!S_STM07_BS(D503,93,$G$5,$H$13))/$E$5))</f>
        <v/>
      </c>
      <c r="N503" s="250" t="str">
        <f ca="1">IF(C503="","",IF($N$11="EPS",[1]!S_STM07_IS(D503,61,$G$5,$H$13)/IF([1]!S_SHARE_TOTAL(D503,$G$5)=0,[1]!S_SHARE_TOTAL(D503,[1]!s_ipo_listeddate(D503)),[1]!S_SHARE_TOTAL(D503,$G$5)),([1]!S_STM07_BS(D503,75,$G$5,$H$13)+[1]!S_STM07_BS(D503,88,$G$5,$H$13)+[1]!S_STM07_BS(D503,94,$G$5,$H$13)+[1]!S_STM07_BS(D503,95,$G$5,$H$13))/$E$5))</f>
        <v/>
      </c>
      <c r="O503" s="250" t="str">
        <f ca="1">IF(C503="","",IF($O$11="BPS",[1]!S_STM07_BS(D503,141,$G$5,$H$13)/IF([1]!S_SHARE_TOTAL(D503,$G$5)=0,[1]!S_SHARE_TOTAL(D503,[1]!s_ipo_listeddate(D503)),[1]!S_SHARE_TOTAL(D503,$G$5)),[1]!S_STM07_CS(D503,49,$G$5,$H$13)/$E$5))</f>
        <v/>
      </c>
      <c r="P503" s="250" t="str">
        <f ca="1">IF(C503="","",IF($P$11="CFPS",[1]!S_STM07_CS(D503,84,$G$5,$H$13)/IF([1]!S_SHARE_TOTAL(D503,$G$5)=0,[1]!S_SHARE_TOTAL(D503,[1]!s_ipo_listeddate(D503)),[1]!S_SHARE_TOTAL(D503,$G$5)),[1]!S_STM07_CS(D503,84,$G$5,$H$13)/$E$5))</f>
        <v/>
      </c>
      <c r="Q503" s="198" t="str">
        <f ca="1">IF(C503="","",F503/([1]!S_STM07_IS(D503,61,$G$5,$H$13)/IF([1]!S_SHARE_TOTAL(D503,$G$5)=0,[1]!S_SHARE_TOTAL(D503,[1]!s_ipo_listeddate(D503)),[1]!S_SHARE_TOTAL(D503,$G$5))))</f>
        <v/>
      </c>
      <c r="R503" s="198" t="str">
        <f ca="1">IF(C503="","",F503/([1]!S_STM07_BS(D503,141,$G$5,$H$13)/IF([1]!S_SHARE_TOTAL(D503,$G$5)=0,[1]!S_SHARE_TOTAL(D503,[1]!s_ipo_listeddate(D503)),[1]!S_SHARE_TOTAL(D503,$G$5))))</f>
        <v/>
      </c>
      <c r="S503" s="249" t="str">
        <f ca="1">IF(C503="","",[1]!S_SHARE_TOTAL(D503,TODAY())/$E$5)</f>
        <v/>
      </c>
      <c r="T503" s="249" t="str">
        <f t="shared" ca="1" si="55"/>
        <v/>
      </c>
      <c r="U503" s="172" t="str">
        <f t="shared" ca="1" si="56"/>
        <v/>
      </c>
      <c r="V503" s="343" t="str">
        <f t="shared" ca="1" si="57"/>
        <v/>
      </c>
      <c r="W503" s="139"/>
      <c r="Y503" s="1"/>
    </row>
    <row r="504" spans="3:25" ht="12" customHeight="1">
      <c r="C504" s="342" t="str">
        <f t="shared" ca="1" si="52"/>
        <v/>
      </c>
      <c r="D504" s="153" t="str">
        <f t="shared" ca="1" si="53"/>
        <v/>
      </c>
      <c r="E504" s="153" t="str">
        <f t="shared" ca="1" si="54"/>
        <v/>
      </c>
      <c r="F504" s="170" t="str">
        <f ca="1">IF(C504="","",[1]!S_DQ_CLOSE(D504,TODAY(),1))</f>
        <v/>
      </c>
      <c r="G504" s="171" t="str">
        <f ca="1">IF(C504="","",[1]!s_pq_pctchange(D504,TODAY()-$G$12,TODAY())/100)</f>
        <v/>
      </c>
      <c r="H504" s="247" t="str">
        <f ca="1">IF(C504="","",IF($H$11="收入",[1]!S_STM07_IS(D504,9,$G$5,$H$13)/$E$5,[1]!S_STM07_IS(D504,48,$G$5,$H$13)/$E$5))</f>
        <v/>
      </c>
      <c r="I504" s="247" t="str">
        <f ca="1">IF(C504="","",IF($I$11="毛利率",([1]!S_STM07_IS(D504,9,$G$5,$H$13)-[1]!S_STM07_IS(D504,10,$G$5,$H$13))/[1]!S_STM07_IS(D504,9,$G$5,$H$13),[1]!S_STM07_IS(D504,14,$G$5,$H$13)/$E$5))</f>
        <v/>
      </c>
      <c r="J504" s="247" t="str">
        <f ca="1">IF(C504="","",IF($J$11="营业利润率",[1]!S_STM07_IS(D504,48,$G$5,$H$13)/[1]!S_STM07_IS(D504,9,$G$5,$H$13),([1]!S_STM07_CS(D504,87,$G$5,$H$13)+[1]!S_STM07_CS(D504,88,$G$5,$H$13)+[1]!S_STM07_CS(D504,89,$G$5,$H$13))/$E$5))</f>
        <v/>
      </c>
      <c r="K504" s="247" t="str">
        <f ca="1">IF(C504="","",IF($K$11="净利润率",[1]!S_STM07_IS(D504,61,$G$5,$H$13)/[1]!S_STM07_IS(D504,9,$G$5,$H$13),[1]!S_STM07_IS(D504,55,$G$5,$H$13)/$E$5))</f>
        <v/>
      </c>
      <c r="L504" s="247" t="str">
        <f ca="1">IF(C504="","",IF($L$11="ROA",[1]!S_STM07_IS(D504,61,$G$5,$H$13)/[1]!S_STM07_BS(D504,74,$G$5,$H$13),1-[1]!S_STM07_IS(D504,61,$G$5,$H$13)/[1]!S_STM07_IS(D504,55,$G$5,$H$13)))</f>
        <v/>
      </c>
      <c r="M504" s="247" t="str">
        <f ca="1">IF(C504="","",IF($M$11="ROE",[1]!S_STM07_IS(D504,61,$G$5,$H$13)/[1]!S_STM07_BS(D504,141,$G$5,$H$13),([1]!S_STM07_BS(D504,25,$G$5,$H$13)-[1]!S_STM07_BS(D504,93,$G$5,$H$13))/$E$5))</f>
        <v/>
      </c>
      <c r="N504" s="247" t="str">
        <f ca="1">IF(C504="","",IF($N$11="EPS",[1]!S_STM07_IS(D504,61,$G$5,$H$13)/IF([1]!S_SHARE_TOTAL(D504,$G$5)=0,[1]!S_SHARE_TOTAL(D504,[1]!s_ipo_listeddate(D504)),[1]!S_SHARE_TOTAL(D504,$G$5)),([1]!S_STM07_BS(D504,75,$G$5,$H$13)+[1]!S_STM07_BS(D504,88,$G$5,$H$13)+[1]!S_STM07_BS(D504,94,$G$5,$H$13)+[1]!S_STM07_BS(D504,95,$G$5,$H$13))/$E$5))</f>
        <v/>
      </c>
      <c r="O504" s="247" t="str">
        <f ca="1">IF(C504="","",IF($O$11="BPS",[1]!S_STM07_BS(D504,141,$G$5,$H$13)/IF([1]!S_SHARE_TOTAL(D504,$G$5)=0,[1]!S_SHARE_TOTAL(D504,[1]!s_ipo_listeddate(D504)),[1]!S_SHARE_TOTAL(D504,$G$5)),[1]!S_STM07_CS(D504,49,$G$5,$H$13)/$E$5))</f>
        <v/>
      </c>
      <c r="P504" s="247" t="str">
        <f ca="1">IF(C504="","",IF($P$11="CFPS",[1]!S_STM07_CS(D504,84,$G$5,$H$13)/IF([1]!S_SHARE_TOTAL(D504,$G$5)=0,[1]!S_SHARE_TOTAL(D504,[1]!s_ipo_listeddate(D504)),[1]!S_SHARE_TOTAL(D504,$G$5)),[1]!S_STM07_CS(D504,84,$G$5,$H$13)/$E$5))</f>
        <v/>
      </c>
      <c r="Q504" s="248" t="str">
        <f ca="1">IF(C504="","",F504/([1]!S_STM07_IS(D504,61,$G$5,$H$13)/IF([1]!S_SHARE_TOTAL(D504,$G$5)=0,[1]!S_SHARE_TOTAL(D504,[1]!s_ipo_listeddate(D504)),[1]!S_SHARE_TOTAL(D504,$G$5))))</f>
        <v/>
      </c>
      <c r="R504" s="248" t="str">
        <f ca="1">IF(C504="","",F504/([1]!S_STM07_BS(D504,141,$G$5,$H$13)/IF([1]!S_SHARE_TOTAL(D504,$G$5)=0,[1]!S_SHARE_TOTAL(D504,[1]!s_ipo_listeddate(D504)),[1]!S_SHARE_TOTAL(D504,$G$5))))</f>
        <v/>
      </c>
      <c r="S504" s="247" t="str">
        <f ca="1">IF(C504="","",[1]!S_SHARE_TOTAL(D504,TODAY())/$E$5)</f>
        <v/>
      </c>
      <c r="T504" s="247" t="str">
        <f t="shared" ca="1" si="55"/>
        <v/>
      </c>
      <c r="U504" s="218" t="str">
        <f t="shared" ca="1" si="56"/>
        <v/>
      </c>
      <c r="V504" s="342" t="str">
        <f t="shared" ca="1" si="57"/>
        <v/>
      </c>
      <c r="W504" s="139"/>
      <c r="Y504" s="1"/>
    </row>
    <row r="505" spans="3:25" ht="12" customHeight="1">
      <c r="C505" s="343" t="str">
        <f t="shared" ca="1" si="52"/>
        <v/>
      </c>
      <c r="D505" s="124" t="str">
        <f t="shared" ca="1" si="53"/>
        <v/>
      </c>
      <c r="E505" s="124" t="str">
        <f t="shared" ca="1" si="54"/>
        <v/>
      </c>
      <c r="F505" s="172" t="str">
        <f ca="1">IF(C505="","",[1]!S_DQ_CLOSE(D505,TODAY(),1))</f>
        <v/>
      </c>
      <c r="G505" s="173" t="str">
        <f ca="1">IF(C505="","",[1]!s_pq_pctchange(D505,TODAY()-$G$12,TODAY())/100)</f>
        <v/>
      </c>
      <c r="H505" s="249" t="str">
        <f ca="1">IF(C505="","",IF($H$11="收入",[1]!S_STM07_IS(D505,9,$G$5,$H$13)/$E$5,[1]!S_STM07_IS(D505,48,$G$5,$H$13)/$E$5))</f>
        <v/>
      </c>
      <c r="I505" s="249" t="str">
        <f ca="1">IF(C505="","",IF($I$11="毛利率",([1]!S_STM07_IS(D505,9,$G$5,$H$13)-[1]!S_STM07_IS(D505,10,$G$5,$H$13))/[1]!S_STM07_IS(D505,9,$G$5,$H$13),[1]!S_STM07_IS(D505,14,$G$5,$H$13)/$E$5))</f>
        <v/>
      </c>
      <c r="J505" s="249" t="str">
        <f ca="1">IF(C505="","",IF($J$11="营业利润率",[1]!S_STM07_IS(D505,48,$G$5,$H$13)/[1]!S_STM07_IS(D505,9,$G$5,$H$13),([1]!S_STM07_CS(D505,87,$G$5,$H$13)+[1]!S_STM07_CS(D505,88,$G$5,$H$13)+[1]!S_STM07_CS(D505,89,$G$5,$H$13))/$E$5))</f>
        <v/>
      </c>
      <c r="K505" s="249" t="str">
        <f ca="1">IF(C505="","",IF($K$11="净利润率",[1]!S_STM07_IS(D505,61,$G$5,$H$13)/[1]!S_STM07_IS(D505,9,$G$5,$H$13),[1]!S_STM07_IS(D505,55,$G$5,$H$13)/$E$5))</f>
        <v/>
      </c>
      <c r="L505" s="249" t="str">
        <f ca="1">IF(C505="","",IF($L$11="ROA",[1]!S_STM07_IS(D505,61,$G$5,$H$13)/[1]!S_STM07_BS(D505,74,$G$5,$H$13),1-[1]!S_STM07_IS(D505,61,$G$5,$H$13)/[1]!S_STM07_IS(D505,55,$G$5,$H$13)))</f>
        <v/>
      </c>
      <c r="M505" s="249" t="str">
        <f ca="1">IF(C505="","",IF($M$11="ROE",[1]!S_STM07_IS(D505,61,$G$5,$H$13)/[1]!S_STM07_BS(D505,141,$G$5,$H$13),([1]!S_STM07_BS(D505,25,$G$5,$H$13)-[1]!S_STM07_BS(D505,93,$G$5,$H$13))/$E$5))</f>
        <v/>
      </c>
      <c r="N505" s="250" t="str">
        <f ca="1">IF(C505="","",IF($N$11="EPS",[1]!S_STM07_IS(D505,61,$G$5,$H$13)/IF([1]!S_SHARE_TOTAL(D505,$G$5)=0,[1]!S_SHARE_TOTAL(D505,[1]!s_ipo_listeddate(D505)),[1]!S_SHARE_TOTAL(D505,$G$5)),([1]!S_STM07_BS(D505,75,$G$5,$H$13)+[1]!S_STM07_BS(D505,88,$G$5,$H$13)+[1]!S_STM07_BS(D505,94,$G$5,$H$13)+[1]!S_STM07_BS(D505,95,$G$5,$H$13))/$E$5))</f>
        <v/>
      </c>
      <c r="O505" s="250" t="str">
        <f ca="1">IF(C505="","",IF($O$11="BPS",[1]!S_STM07_BS(D505,141,$G$5,$H$13)/IF([1]!S_SHARE_TOTAL(D505,$G$5)=0,[1]!S_SHARE_TOTAL(D505,[1]!s_ipo_listeddate(D505)),[1]!S_SHARE_TOTAL(D505,$G$5)),[1]!S_STM07_CS(D505,49,$G$5,$H$13)/$E$5))</f>
        <v/>
      </c>
      <c r="P505" s="250" t="str">
        <f ca="1">IF(C505="","",IF($P$11="CFPS",[1]!S_STM07_CS(D505,84,$G$5,$H$13)/IF([1]!S_SHARE_TOTAL(D505,$G$5)=0,[1]!S_SHARE_TOTAL(D505,[1]!s_ipo_listeddate(D505)),[1]!S_SHARE_TOTAL(D505,$G$5)),[1]!S_STM07_CS(D505,84,$G$5,$H$13)/$E$5))</f>
        <v/>
      </c>
      <c r="Q505" s="198" t="str">
        <f ca="1">IF(C505="","",F505/([1]!S_STM07_IS(D505,61,$G$5,$H$13)/IF([1]!S_SHARE_TOTAL(D505,$G$5)=0,[1]!S_SHARE_TOTAL(D505,[1]!s_ipo_listeddate(D505)),[1]!S_SHARE_TOTAL(D505,$G$5))))</f>
        <v/>
      </c>
      <c r="R505" s="198" t="str">
        <f ca="1">IF(C505="","",F505/([1]!S_STM07_BS(D505,141,$G$5,$H$13)/IF([1]!S_SHARE_TOTAL(D505,$G$5)=0,[1]!S_SHARE_TOTAL(D505,[1]!s_ipo_listeddate(D505)),[1]!S_SHARE_TOTAL(D505,$G$5))))</f>
        <v/>
      </c>
      <c r="S505" s="249" t="str">
        <f ca="1">IF(C505="","",[1]!S_SHARE_TOTAL(D505,TODAY())/$E$5)</f>
        <v/>
      </c>
      <c r="T505" s="249" t="str">
        <f t="shared" ca="1" si="55"/>
        <v/>
      </c>
      <c r="U505" s="172" t="str">
        <f t="shared" ca="1" si="56"/>
        <v/>
      </c>
      <c r="V505" s="343" t="str">
        <f t="shared" ca="1" si="57"/>
        <v/>
      </c>
      <c r="W505" s="139"/>
      <c r="Y505" s="1"/>
    </row>
    <row r="506" spans="3:25" ht="12" customHeight="1">
      <c r="C506" s="342" t="str">
        <f t="shared" ca="1" si="52"/>
        <v/>
      </c>
      <c r="D506" s="153" t="str">
        <f t="shared" ca="1" si="53"/>
        <v/>
      </c>
      <c r="E506" s="153" t="str">
        <f t="shared" ca="1" si="54"/>
        <v/>
      </c>
      <c r="F506" s="170" t="str">
        <f ca="1">IF(C506="","",[1]!S_DQ_CLOSE(D506,TODAY(),1))</f>
        <v/>
      </c>
      <c r="G506" s="171" t="str">
        <f ca="1">IF(C506="","",[1]!s_pq_pctchange(D506,TODAY()-$G$12,TODAY())/100)</f>
        <v/>
      </c>
      <c r="H506" s="247" t="str">
        <f ca="1">IF(C506="","",IF($H$11="收入",[1]!S_STM07_IS(D506,9,$G$5,$H$13)/$E$5,[1]!S_STM07_IS(D506,48,$G$5,$H$13)/$E$5))</f>
        <v/>
      </c>
      <c r="I506" s="247" t="str">
        <f ca="1">IF(C506="","",IF($I$11="毛利率",([1]!S_STM07_IS(D506,9,$G$5,$H$13)-[1]!S_STM07_IS(D506,10,$G$5,$H$13))/[1]!S_STM07_IS(D506,9,$G$5,$H$13),[1]!S_STM07_IS(D506,14,$G$5,$H$13)/$E$5))</f>
        <v/>
      </c>
      <c r="J506" s="247" t="str">
        <f ca="1">IF(C506="","",IF($J$11="营业利润率",[1]!S_STM07_IS(D506,48,$G$5,$H$13)/[1]!S_STM07_IS(D506,9,$G$5,$H$13),([1]!S_STM07_CS(D506,87,$G$5,$H$13)+[1]!S_STM07_CS(D506,88,$G$5,$H$13)+[1]!S_STM07_CS(D506,89,$G$5,$H$13))/$E$5))</f>
        <v/>
      </c>
      <c r="K506" s="247" t="str">
        <f ca="1">IF(C506="","",IF($K$11="净利润率",[1]!S_STM07_IS(D506,61,$G$5,$H$13)/[1]!S_STM07_IS(D506,9,$G$5,$H$13),[1]!S_STM07_IS(D506,55,$G$5,$H$13)/$E$5))</f>
        <v/>
      </c>
      <c r="L506" s="247" t="str">
        <f ca="1">IF(C506="","",IF($L$11="ROA",[1]!S_STM07_IS(D506,61,$G$5,$H$13)/[1]!S_STM07_BS(D506,74,$G$5,$H$13),1-[1]!S_STM07_IS(D506,61,$G$5,$H$13)/[1]!S_STM07_IS(D506,55,$G$5,$H$13)))</f>
        <v/>
      </c>
      <c r="M506" s="247" t="str">
        <f ca="1">IF(C506="","",IF($M$11="ROE",[1]!S_STM07_IS(D506,61,$G$5,$H$13)/[1]!S_STM07_BS(D506,141,$G$5,$H$13),([1]!S_STM07_BS(D506,25,$G$5,$H$13)-[1]!S_STM07_BS(D506,93,$G$5,$H$13))/$E$5))</f>
        <v/>
      </c>
      <c r="N506" s="247" t="str">
        <f ca="1">IF(C506="","",IF($N$11="EPS",[1]!S_STM07_IS(D506,61,$G$5,$H$13)/IF([1]!S_SHARE_TOTAL(D506,$G$5)=0,[1]!S_SHARE_TOTAL(D506,[1]!s_ipo_listeddate(D506)),[1]!S_SHARE_TOTAL(D506,$G$5)),([1]!S_STM07_BS(D506,75,$G$5,$H$13)+[1]!S_STM07_BS(D506,88,$G$5,$H$13)+[1]!S_STM07_BS(D506,94,$G$5,$H$13)+[1]!S_STM07_BS(D506,95,$G$5,$H$13))/$E$5))</f>
        <v/>
      </c>
      <c r="O506" s="247" t="str">
        <f ca="1">IF(C506="","",IF($O$11="BPS",[1]!S_STM07_BS(D506,141,$G$5,$H$13)/IF([1]!S_SHARE_TOTAL(D506,$G$5)=0,[1]!S_SHARE_TOTAL(D506,[1]!s_ipo_listeddate(D506)),[1]!S_SHARE_TOTAL(D506,$G$5)),[1]!S_STM07_CS(D506,49,$G$5,$H$13)/$E$5))</f>
        <v/>
      </c>
      <c r="P506" s="247" t="str">
        <f ca="1">IF(C506="","",IF($P$11="CFPS",[1]!S_STM07_CS(D506,84,$G$5,$H$13)/IF([1]!S_SHARE_TOTAL(D506,$G$5)=0,[1]!S_SHARE_TOTAL(D506,[1]!s_ipo_listeddate(D506)),[1]!S_SHARE_TOTAL(D506,$G$5)),[1]!S_STM07_CS(D506,84,$G$5,$H$13)/$E$5))</f>
        <v/>
      </c>
      <c r="Q506" s="248" t="str">
        <f ca="1">IF(C506="","",F506/([1]!S_STM07_IS(D506,61,$G$5,$H$13)/IF([1]!S_SHARE_TOTAL(D506,$G$5)=0,[1]!S_SHARE_TOTAL(D506,[1]!s_ipo_listeddate(D506)),[1]!S_SHARE_TOTAL(D506,$G$5))))</f>
        <v/>
      </c>
      <c r="R506" s="248" t="str">
        <f ca="1">IF(C506="","",F506/([1]!S_STM07_BS(D506,141,$G$5,$H$13)/IF([1]!S_SHARE_TOTAL(D506,$G$5)=0,[1]!S_SHARE_TOTAL(D506,[1]!s_ipo_listeddate(D506)),[1]!S_SHARE_TOTAL(D506,$G$5))))</f>
        <v/>
      </c>
      <c r="S506" s="247" t="str">
        <f ca="1">IF(C506="","",[1]!S_SHARE_TOTAL(D506,TODAY())/$E$5)</f>
        <v/>
      </c>
      <c r="T506" s="247" t="str">
        <f t="shared" ca="1" si="55"/>
        <v/>
      </c>
      <c r="U506" s="218" t="str">
        <f t="shared" ca="1" si="56"/>
        <v/>
      </c>
      <c r="V506" s="342" t="str">
        <f t="shared" ca="1" si="57"/>
        <v/>
      </c>
      <c r="W506" s="139"/>
      <c r="Y506" s="1"/>
    </row>
    <row r="507" spans="3:25" ht="12" customHeight="1">
      <c r="C507" s="343" t="str">
        <f t="shared" ca="1" si="52"/>
        <v/>
      </c>
      <c r="D507" s="124" t="str">
        <f t="shared" ca="1" si="53"/>
        <v/>
      </c>
      <c r="E507" s="124" t="str">
        <f t="shared" ca="1" si="54"/>
        <v/>
      </c>
      <c r="F507" s="172" t="str">
        <f ca="1">IF(C507="","",[1]!S_DQ_CLOSE(D507,TODAY(),1))</f>
        <v/>
      </c>
      <c r="G507" s="173" t="str">
        <f ca="1">IF(C507="","",[1]!s_pq_pctchange(D507,TODAY()-$G$12,TODAY())/100)</f>
        <v/>
      </c>
      <c r="H507" s="249" t="str">
        <f ca="1">IF(C507="","",IF($H$11="收入",[1]!S_STM07_IS(D507,9,$G$5,$H$13)/$E$5,[1]!S_STM07_IS(D507,48,$G$5,$H$13)/$E$5))</f>
        <v/>
      </c>
      <c r="I507" s="249" t="str">
        <f ca="1">IF(C507="","",IF($I$11="毛利率",([1]!S_STM07_IS(D507,9,$G$5,$H$13)-[1]!S_STM07_IS(D507,10,$G$5,$H$13))/[1]!S_STM07_IS(D507,9,$G$5,$H$13),[1]!S_STM07_IS(D507,14,$G$5,$H$13)/$E$5))</f>
        <v/>
      </c>
      <c r="J507" s="249" t="str">
        <f ca="1">IF(C507="","",IF($J$11="营业利润率",[1]!S_STM07_IS(D507,48,$G$5,$H$13)/[1]!S_STM07_IS(D507,9,$G$5,$H$13),([1]!S_STM07_CS(D507,87,$G$5,$H$13)+[1]!S_STM07_CS(D507,88,$G$5,$H$13)+[1]!S_STM07_CS(D507,89,$G$5,$H$13))/$E$5))</f>
        <v/>
      </c>
      <c r="K507" s="249" t="str">
        <f ca="1">IF(C507="","",IF($K$11="净利润率",[1]!S_STM07_IS(D507,61,$G$5,$H$13)/[1]!S_STM07_IS(D507,9,$G$5,$H$13),[1]!S_STM07_IS(D507,55,$G$5,$H$13)/$E$5))</f>
        <v/>
      </c>
      <c r="L507" s="249" t="str">
        <f ca="1">IF(C507="","",IF($L$11="ROA",[1]!S_STM07_IS(D507,61,$G$5,$H$13)/[1]!S_STM07_BS(D507,74,$G$5,$H$13),1-[1]!S_STM07_IS(D507,61,$G$5,$H$13)/[1]!S_STM07_IS(D507,55,$G$5,$H$13)))</f>
        <v/>
      </c>
      <c r="M507" s="249" t="str">
        <f ca="1">IF(C507="","",IF($M$11="ROE",[1]!S_STM07_IS(D507,61,$G$5,$H$13)/[1]!S_STM07_BS(D507,141,$G$5,$H$13),([1]!S_STM07_BS(D507,25,$G$5,$H$13)-[1]!S_STM07_BS(D507,93,$G$5,$H$13))/$E$5))</f>
        <v/>
      </c>
      <c r="N507" s="250" t="str">
        <f ca="1">IF(C507="","",IF($N$11="EPS",[1]!S_STM07_IS(D507,61,$G$5,$H$13)/IF([1]!S_SHARE_TOTAL(D507,$G$5)=0,[1]!S_SHARE_TOTAL(D507,[1]!s_ipo_listeddate(D507)),[1]!S_SHARE_TOTAL(D507,$G$5)),([1]!S_STM07_BS(D507,75,$G$5,$H$13)+[1]!S_STM07_BS(D507,88,$G$5,$H$13)+[1]!S_STM07_BS(D507,94,$G$5,$H$13)+[1]!S_STM07_BS(D507,95,$G$5,$H$13))/$E$5))</f>
        <v/>
      </c>
      <c r="O507" s="250" t="str">
        <f ca="1">IF(C507="","",IF($O$11="BPS",[1]!S_STM07_BS(D507,141,$G$5,$H$13)/IF([1]!S_SHARE_TOTAL(D507,$G$5)=0,[1]!S_SHARE_TOTAL(D507,[1]!s_ipo_listeddate(D507)),[1]!S_SHARE_TOTAL(D507,$G$5)),[1]!S_STM07_CS(D507,49,$G$5,$H$13)/$E$5))</f>
        <v/>
      </c>
      <c r="P507" s="250" t="str">
        <f ca="1">IF(C507="","",IF($P$11="CFPS",[1]!S_STM07_CS(D507,84,$G$5,$H$13)/IF([1]!S_SHARE_TOTAL(D507,$G$5)=0,[1]!S_SHARE_TOTAL(D507,[1]!s_ipo_listeddate(D507)),[1]!S_SHARE_TOTAL(D507,$G$5)),[1]!S_STM07_CS(D507,84,$G$5,$H$13)/$E$5))</f>
        <v/>
      </c>
      <c r="Q507" s="198" t="str">
        <f ca="1">IF(C507="","",F507/([1]!S_STM07_IS(D507,61,$G$5,$H$13)/IF([1]!S_SHARE_TOTAL(D507,$G$5)=0,[1]!S_SHARE_TOTAL(D507,[1]!s_ipo_listeddate(D507)),[1]!S_SHARE_TOTAL(D507,$G$5))))</f>
        <v/>
      </c>
      <c r="R507" s="198" t="str">
        <f ca="1">IF(C507="","",F507/([1]!S_STM07_BS(D507,141,$G$5,$H$13)/IF([1]!S_SHARE_TOTAL(D507,$G$5)=0,[1]!S_SHARE_TOTAL(D507,[1]!s_ipo_listeddate(D507)),[1]!S_SHARE_TOTAL(D507,$G$5))))</f>
        <v/>
      </c>
      <c r="S507" s="249" t="str">
        <f ca="1">IF(C507="","",[1]!S_SHARE_TOTAL(D507,TODAY())/$E$5)</f>
        <v/>
      </c>
      <c r="T507" s="249" t="str">
        <f t="shared" ca="1" si="55"/>
        <v/>
      </c>
      <c r="U507" s="172" t="str">
        <f t="shared" ca="1" si="56"/>
        <v/>
      </c>
      <c r="V507" s="343" t="str">
        <f t="shared" ca="1" si="57"/>
        <v/>
      </c>
      <c r="W507" s="139"/>
      <c r="Y507" s="1"/>
    </row>
    <row r="508" spans="3:25" ht="12" customHeight="1">
      <c r="C508" s="342" t="str">
        <f t="shared" ca="1" si="52"/>
        <v/>
      </c>
      <c r="D508" s="153" t="str">
        <f t="shared" ca="1" si="53"/>
        <v/>
      </c>
      <c r="E508" s="153" t="str">
        <f t="shared" ca="1" si="54"/>
        <v/>
      </c>
      <c r="F508" s="170" t="str">
        <f ca="1">IF(C508="","",[1]!S_DQ_CLOSE(D508,TODAY(),1))</f>
        <v/>
      </c>
      <c r="G508" s="171" t="str">
        <f ca="1">IF(C508="","",[1]!s_pq_pctchange(D508,TODAY()-$G$12,TODAY())/100)</f>
        <v/>
      </c>
      <c r="H508" s="247" t="str">
        <f ca="1">IF(C508="","",IF($H$11="收入",[1]!S_STM07_IS(D508,9,$G$5,$H$13)/$E$5,[1]!S_STM07_IS(D508,48,$G$5,$H$13)/$E$5))</f>
        <v/>
      </c>
      <c r="I508" s="247" t="str">
        <f ca="1">IF(C508="","",IF($I$11="毛利率",([1]!S_STM07_IS(D508,9,$G$5,$H$13)-[1]!S_STM07_IS(D508,10,$G$5,$H$13))/[1]!S_STM07_IS(D508,9,$G$5,$H$13),[1]!S_STM07_IS(D508,14,$G$5,$H$13)/$E$5))</f>
        <v/>
      </c>
      <c r="J508" s="247" t="str">
        <f ca="1">IF(C508="","",IF($J$11="营业利润率",[1]!S_STM07_IS(D508,48,$G$5,$H$13)/[1]!S_STM07_IS(D508,9,$G$5,$H$13),([1]!S_STM07_CS(D508,87,$G$5,$H$13)+[1]!S_STM07_CS(D508,88,$G$5,$H$13)+[1]!S_STM07_CS(D508,89,$G$5,$H$13))/$E$5))</f>
        <v/>
      </c>
      <c r="K508" s="247" t="str">
        <f ca="1">IF(C508="","",IF($K$11="净利润率",[1]!S_STM07_IS(D508,61,$G$5,$H$13)/[1]!S_STM07_IS(D508,9,$G$5,$H$13),[1]!S_STM07_IS(D508,55,$G$5,$H$13)/$E$5))</f>
        <v/>
      </c>
      <c r="L508" s="247" t="str">
        <f ca="1">IF(C508="","",IF($L$11="ROA",[1]!S_STM07_IS(D508,61,$G$5,$H$13)/[1]!S_STM07_BS(D508,74,$G$5,$H$13),1-[1]!S_STM07_IS(D508,61,$G$5,$H$13)/[1]!S_STM07_IS(D508,55,$G$5,$H$13)))</f>
        <v/>
      </c>
      <c r="M508" s="247" t="str">
        <f ca="1">IF(C508="","",IF($M$11="ROE",[1]!S_STM07_IS(D508,61,$G$5,$H$13)/[1]!S_STM07_BS(D508,141,$G$5,$H$13),([1]!S_STM07_BS(D508,25,$G$5,$H$13)-[1]!S_STM07_BS(D508,93,$G$5,$H$13))/$E$5))</f>
        <v/>
      </c>
      <c r="N508" s="247" t="str">
        <f ca="1">IF(C508="","",IF($N$11="EPS",[1]!S_STM07_IS(D508,61,$G$5,$H$13)/IF([1]!S_SHARE_TOTAL(D508,$G$5)=0,[1]!S_SHARE_TOTAL(D508,[1]!s_ipo_listeddate(D508)),[1]!S_SHARE_TOTAL(D508,$G$5)),([1]!S_STM07_BS(D508,75,$G$5,$H$13)+[1]!S_STM07_BS(D508,88,$G$5,$H$13)+[1]!S_STM07_BS(D508,94,$G$5,$H$13)+[1]!S_STM07_BS(D508,95,$G$5,$H$13))/$E$5))</f>
        <v/>
      </c>
      <c r="O508" s="247" t="str">
        <f ca="1">IF(C508="","",IF($O$11="BPS",[1]!S_STM07_BS(D508,141,$G$5,$H$13)/IF([1]!S_SHARE_TOTAL(D508,$G$5)=0,[1]!S_SHARE_TOTAL(D508,[1]!s_ipo_listeddate(D508)),[1]!S_SHARE_TOTAL(D508,$G$5)),[1]!S_STM07_CS(D508,49,$G$5,$H$13)/$E$5))</f>
        <v/>
      </c>
      <c r="P508" s="247" t="str">
        <f ca="1">IF(C508="","",IF($P$11="CFPS",[1]!S_STM07_CS(D508,84,$G$5,$H$13)/IF([1]!S_SHARE_TOTAL(D508,$G$5)=0,[1]!S_SHARE_TOTAL(D508,[1]!s_ipo_listeddate(D508)),[1]!S_SHARE_TOTAL(D508,$G$5)),[1]!S_STM07_CS(D508,84,$G$5,$H$13)/$E$5))</f>
        <v/>
      </c>
      <c r="Q508" s="248" t="str">
        <f ca="1">IF(C508="","",F508/([1]!S_STM07_IS(D508,61,$G$5,$H$13)/IF([1]!S_SHARE_TOTAL(D508,$G$5)=0,[1]!S_SHARE_TOTAL(D508,[1]!s_ipo_listeddate(D508)),[1]!S_SHARE_TOTAL(D508,$G$5))))</f>
        <v/>
      </c>
      <c r="R508" s="248" t="str">
        <f ca="1">IF(C508="","",F508/([1]!S_STM07_BS(D508,141,$G$5,$H$13)/IF([1]!S_SHARE_TOTAL(D508,$G$5)=0,[1]!S_SHARE_TOTAL(D508,[1]!s_ipo_listeddate(D508)),[1]!S_SHARE_TOTAL(D508,$G$5))))</f>
        <v/>
      </c>
      <c r="S508" s="247" t="str">
        <f ca="1">IF(C508="","",[1]!S_SHARE_TOTAL(D508,TODAY())/$E$5)</f>
        <v/>
      </c>
      <c r="T508" s="247" t="str">
        <f t="shared" ca="1" si="55"/>
        <v/>
      </c>
      <c r="U508" s="218" t="str">
        <f t="shared" ca="1" si="56"/>
        <v/>
      </c>
      <c r="V508" s="342" t="str">
        <f t="shared" ca="1" si="57"/>
        <v/>
      </c>
      <c r="W508" s="139"/>
      <c r="Y508" s="1"/>
    </row>
    <row r="509" spans="3:25" ht="12" customHeight="1">
      <c r="C509" s="343" t="str">
        <f t="shared" ca="1" si="52"/>
        <v/>
      </c>
      <c r="D509" s="124" t="str">
        <f t="shared" ca="1" si="53"/>
        <v/>
      </c>
      <c r="E509" s="124" t="str">
        <f t="shared" ca="1" si="54"/>
        <v/>
      </c>
      <c r="F509" s="172" t="str">
        <f ca="1">IF(C509="","",[1]!S_DQ_CLOSE(D509,TODAY(),1))</f>
        <v/>
      </c>
      <c r="G509" s="173" t="str">
        <f ca="1">IF(C509="","",[1]!s_pq_pctchange(D509,TODAY()-$G$12,TODAY())/100)</f>
        <v/>
      </c>
      <c r="H509" s="249" t="str">
        <f ca="1">IF(C509="","",IF($H$11="收入",[1]!S_STM07_IS(D509,9,$G$5,$H$13)/$E$5,[1]!S_STM07_IS(D509,48,$G$5,$H$13)/$E$5))</f>
        <v/>
      </c>
      <c r="I509" s="249" t="str">
        <f ca="1">IF(C509="","",IF($I$11="毛利率",([1]!S_STM07_IS(D509,9,$G$5,$H$13)-[1]!S_STM07_IS(D509,10,$G$5,$H$13))/[1]!S_STM07_IS(D509,9,$G$5,$H$13),[1]!S_STM07_IS(D509,14,$G$5,$H$13)/$E$5))</f>
        <v/>
      </c>
      <c r="J509" s="249" t="str">
        <f ca="1">IF(C509="","",IF($J$11="营业利润率",[1]!S_STM07_IS(D509,48,$G$5,$H$13)/[1]!S_STM07_IS(D509,9,$G$5,$H$13),([1]!S_STM07_CS(D509,87,$G$5,$H$13)+[1]!S_STM07_CS(D509,88,$G$5,$H$13)+[1]!S_STM07_CS(D509,89,$G$5,$H$13))/$E$5))</f>
        <v/>
      </c>
      <c r="K509" s="249" t="str">
        <f ca="1">IF(C509="","",IF($K$11="净利润率",[1]!S_STM07_IS(D509,61,$G$5,$H$13)/[1]!S_STM07_IS(D509,9,$G$5,$H$13),[1]!S_STM07_IS(D509,55,$G$5,$H$13)/$E$5))</f>
        <v/>
      </c>
      <c r="L509" s="249" t="str">
        <f ca="1">IF(C509="","",IF($L$11="ROA",[1]!S_STM07_IS(D509,61,$G$5,$H$13)/[1]!S_STM07_BS(D509,74,$G$5,$H$13),1-[1]!S_STM07_IS(D509,61,$G$5,$H$13)/[1]!S_STM07_IS(D509,55,$G$5,$H$13)))</f>
        <v/>
      </c>
      <c r="M509" s="249" t="str">
        <f ca="1">IF(C509="","",IF($M$11="ROE",[1]!S_STM07_IS(D509,61,$G$5,$H$13)/[1]!S_STM07_BS(D509,141,$G$5,$H$13),([1]!S_STM07_BS(D509,25,$G$5,$H$13)-[1]!S_STM07_BS(D509,93,$G$5,$H$13))/$E$5))</f>
        <v/>
      </c>
      <c r="N509" s="250" t="str">
        <f ca="1">IF(C509="","",IF($N$11="EPS",[1]!S_STM07_IS(D509,61,$G$5,$H$13)/IF([1]!S_SHARE_TOTAL(D509,$G$5)=0,[1]!S_SHARE_TOTAL(D509,[1]!s_ipo_listeddate(D509)),[1]!S_SHARE_TOTAL(D509,$G$5)),([1]!S_STM07_BS(D509,75,$G$5,$H$13)+[1]!S_STM07_BS(D509,88,$G$5,$H$13)+[1]!S_STM07_BS(D509,94,$G$5,$H$13)+[1]!S_STM07_BS(D509,95,$G$5,$H$13))/$E$5))</f>
        <v/>
      </c>
      <c r="O509" s="250" t="str">
        <f ca="1">IF(C509="","",IF($O$11="BPS",[1]!S_STM07_BS(D509,141,$G$5,$H$13)/IF([1]!S_SHARE_TOTAL(D509,$G$5)=0,[1]!S_SHARE_TOTAL(D509,[1]!s_ipo_listeddate(D509)),[1]!S_SHARE_TOTAL(D509,$G$5)),[1]!S_STM07_CS(D509,49,$G$5,$H$13)/$E$5))</f>
        <v/>
      </c>
      <c r="P509" s="250" t="str">
        <f ca="1">IF(C509="","",IF($P$11="CFPS",[1]!S_STM07_CS(D509,84,$G$5,$H$13)/IF([1]!S_SHARE_TOTAL(D509,$G$5)=0,[1]!S_SHARE_TOTAL(D509,[1]!s_ipo_listeddate(D509)),[1]!S_SHARE_TOTAL(D509,$G$5)),[1]!S_STM07_CS(D509,84,$G$5,$H$13)/$E$5))</f>
        <v/>
      </c>
      <c r="Q509" s="198" t="str">
        <f ca="1">IF(C509="","",F509/([1]!S_STM07_IS(D509,61,$G$5,$H$13)/IF([1]!S_SHARE_TOTAL(D509,$G$5)=0,[1]!S_SHARE_TOTAL(D509,[1]!s_ipo_listeddate(D509)),[1]!S_SHARE_TOTAL(D509,$G$5))))</f>
        <v/>
      </c>
      <c r="R509" s="198" t="str">
        <f ca="1">IF(C509="","",F509/([1]!S_STM07_BS(D509,141,$G$5,$H$13)/IF([1]!S_SHARE_TOTAL(D509,$G$5)=0,[1]!S_SHARE_TOTAL(D509,[1]!s_ipo_listeddate(D509)),[1]!S_SHARE_TOTAL(D509,$G$5))))</f>
        <v/>
      </c>
      <c r="S509" s="249" t="str">
        <f ca="1">IF(C509="","",[1]!S_SHARE_TOTAL(D509,TODAY())/$E$5)</f>
        <v/>
      </c>
      <c r="T509" s="249" t="str">
        <f t="shared" ca="1" si="55"/>
        <v/>
      </c>
      <c r="U509" s="172" t="str">
        <f t="shared" ca="1" si="56"/>
        <v/>
      </c>
      <c r="V509" s="343" t="str">
        <f t="shared" ca="1" si="57"/>
        <v/>
      </c>
      <c r="W509" s="139"/>
      <c r="Y509" s="1"/>
    </row>
    <row r="510" spans="3:25" ht="12" customHeight="1">
      <c r="C510" s="342" t="str">
        <f t="shared" ca="1" si="52"/>
        <v/>
      </c>
      <c r="D510" s="153" t="str">
        <f t="shared" ca="1" si="53"/>
        <v/>
      </c>
      <c r="E510" s="153" t="str">
        <f t="shared" ca="1" si="54"/>
        <v/>
      </c>
      <c r="F510" s="170" t="str">
        <f ca="1">IF(C510="","",[1]!S_DQ_CLOSE(D510,TODAY(),1))</f>
        <v/>
      </c>
      <c r="G510" s="171" t="str">
        <f ca="1">IF(C510="","",[1]!s_pq_pctchange(D510,TODAY()-$G$12,TODAY())/100)</f>
        <v/>
      </c>
      <c r="H510" s="247" t="str">
        <f ca="1">IF(C510="","",IF($H$11="收入",[1]!S_STM07_IS(D510,9,$G$5,$H$13)/$E$5,[1]!S_STM07_IS(D510,48,$G$5,$H$13)/$E$5))</f>
        <v/>
      </c>
      <c r="I510" s="247" t="str">
        <f ca="1">IF(C510="","",IF($I$11="毛利率",([1]!S_STM07_IS(D510,9,$G$5,$H$13)-[1]!S_STM07_IS(D510,10,$G$5,$H$13))/[1]!S_STM07_IS(D510,9,$G$5,$H$13),[1]!S_STM07_IS(D510,14,$G$5,$H$13)/$E$5))</f>
        <v/>
      </c>
      <c r="J510" s="247" t="str">
        <f ca="1">IF(C510="","",IF($J$11="营业利润率",[1]!S_STM07_IS(D510,48,$G$5,$H$13)/[1]!S_STM07_IS(D510,9,$G$5,$H$13),([1]!S_STM07_CS(D510,87,$G$5,$H$13)+[1]!S_STM07_CS(D510,88,$G$5,$H$13)+[1]!S_STM07_CS(D510,89,$G$5,$H$13))/$E$5))</f>
        <v/>
      </c>
      <c r="K510" s="247" t="str">
        <f ca="1">IF(C510="","",IF($K$11="净利润率",[1]!S_STM07_IS(D510,61,$G$5,$H$13)/[1]!S_STM07_IS(D510,9,$G$5,$H$13),[1]!S_STM07_IS(D510,55,$G$5,$H$13)/$E$5))</f>
        <v/>
      </c>
      <c r="L510" s="247" t="str">
        <f ca="1">IF(C510="","",IF($L$11="ROA",[1]!S_STM07_IS(D510,61,$G$5,$H$13)/[1]!S_STM07_BS(D510,74,$G$5,$H$13),1-[1]!S_STM07_IS(D510,61,$G$5,$H$13)/[1]!S_STM07_IS(D510,55,$G$5,$H$13)))</f>
        <v/>
      </c>
      <c r="M510" s="247" t="str">
        <f ca="1">IF(C510="","",IF($M$11="ROE",[1]!S_STM07_IS(D510,61,$G$5,$H$13)/[1]!S_STM07_BS(D510,141,$G$5,$H$13),([1]!S_STM07_BS(D510,25,$G$5,$H$13)-[1]!S_STM07_BS(D510,93,$G$5,$H$13))/$E$5))</f>
        <v/>
      </c>
      <c r="N510" s="247" t="str">
        <f ca="1">IF(C510="","",IF($N$11="EPS",[1]!S_STM07_IS(D510,61,$G$5,$H$13)/IF([1]!S_SHARE_TOTAL(D510,$G$5)=0,[1]!S_SHARE_TOTAL(D510,[1]!s_ipo_listeddate(D510)),[1]!S_SHARE_TOTAL(D510,$G$5)),([1]!S_STM07_BS(D510,75,$G$5,$H$13)+[1]!S_STM07_BS(D510,88,$G$5,$H$13)+[1]!S_STM07_BS(D510,94,$G$5,$H$13)+[1]!S_STM07_BS(D510,95,$G$5,$H$13))/$E$5))</f>
        <v/>
      </c>
      <c r="O510" s="247" t="str">
        <f ca="1">IF(C510="","",IF($O$11="BPS",[1]!S_STM07_BS(D510,141,$G$5,$H$13)/IF([1]!S_SHARE_TOTAL(D510,$G$5)=0,[1]!S_SHARE_TOTAL(D510,[1]!s_ipo_listeddate(D510)),[1]!S_SHARE_TOTAL(D510,$G$5)),[1]!S_STM07_CS(D510,49,$G$5,$H$13)/$E$5))</f>
        <v/>
      </c>
      <c r="P510" s="247" t="str">
        <f ca="1">IF(C510="","",IF($P$11="CFPS",[1]!S_STM07_CS(D510,84,$G$5,$H$13)/IF([1]!S_SHARE_TOTAL(D510,$G$5)=0,[1]!S_SHARE_TOTAL(D510,[1]!s_ipo_listeddate(D510)),[1]!S_SHARE_TOTAL(D510,$G$5)),[1]!S_STM07_CS(D510,84,$G$5,$H$13)/$E$5))</f>
        <v/>
      </c>
      <c r="Q510" s="248" t="str">
        <f ca="1">IF(C510="","",F510/([1]!S_STM07_IS(D510,61,$G$5,$H$13)/IF([1]!S_SHARE_TOTAL(D510,$G$5)=0,[1]!S_SHARE_TOTAL(D510,[1]!s_ipo_listeddate(D510)),[1]!S_SHARE_TOTAL(D510,$G$5))))</f>
        <v/>
      </c>
      <c r="R510" s="248" t="str">
        <f ca="1">IF(C510="","",F510/([1]!S_STM07_BS(D510,141,$G$5,$H$13)/IF([1]!S_SHARE_TOTAL(D510,$G$5)=0,[1]!S_SHARE_TOTAL(D510,[1]!s_ipo_listeddate(D510)),[1]!S_SHARE_TOTAL(D510,$G$5))))</f>
        <v/>
      </c>
      <c r="S510" s="247" t="str">
        <f ca="1">IF(C510="","",[1]!S_SHARE_TOTAL(D510,TODAY())/$E$5)</f>
        <v/>
      </c>
      <c r="T510" s="247" t="str">
        <f t="shared" ca="1" si="55"/>
        <v/>
      </c>
      <c r="U510" s="218" t="str">
        <f t="shared" ca="1" si="56"/>
        <v/>
      </c>
      <c r="V510" s="342" t="str">
        <f t="shared" ca="1" si="57"/>
        <v/>
      </c>
      <c r="W510" s="139"/>
      <c r="Y510" s="1"/>
    </row>
    <row r="511" spans="3:25" ht="12" customHeight="1">
      <c r="C511" s="343" t="str">
        <f t="shared" ca="1" si="52"/>
        <v/>
      </c>
      <c r="D511" s="124" t="str">
        <f t="shared" ca="1" si="53"/>
        <v/>
      </c>
      <c r="E511" s="124" t="str">
        <f t="shared" ca="1" si="54"/>
        <v/>
      </c>
      <c r="F511" s="172" t="str">
        <f ca="1">IF(C511="","",[1]!S_DQ_CLOSE(D511,TODAY(),1))</f>
        <v/>
      </c>
      <c r="G511" s="173" t="str">
        <f ca="1">IF(C511="","",[1]!s_pq_pctchange(D511,TODAY()-$G$12,TODAY())/100)</f>
        <v/>
      </c>
      <c r="H511" s="249" t="str">
        <f ca="1">IF(C511="","",IF($H$11="收入",[1]!S_STM07_IS(D511,9,$G$5,$H$13)/$E$5,[1]!S_STM07_IS(D511,48,$G$5,$H$13)/$E$5))</f>
        <v/>
      </c>
      <c r="I511" s="249" t="str">
        <f ca="1">IF(C511="","",IF($I$11="毛利率",([1]!S_STM07_IS(D511,9,$G$5,$H$13)-[1]!S_STM07_IS(D511,10,$G$5,$H$13))/[1]!S_STM07_IS(D511,9,$G$5,$H$13),[1]!S_STM07_IS(D511,14,$G$5,$H$13)/$E$5))</f>
        <v/>
      </c>
      <c r="J511" s="249" t="str">
        <f ca="1">IF(C511="","",IF($J$11="营业利润率",[1]!S_STM07_IS(D511,48,$G$5,$H$13)/[1]!S_STM07_IS(D511,9,$G$5,$H$13),([1]!S_STM07_CS(D511,87,$G$5,$H$13)+[1]!S_STM07_CS(D511,88,$G$5,$H$13)+[1]!S_STM07_CS(D511,89,$G$5,$H$13))/$E$5))</f>
        <v/>
      </c>
      <c r="K511" s="249" t="str">
        <f ca="1">IF(C511="","",IF($K$11="净利润率",[1]!S_STM07_IS(D511,61,$G$5,$H$13)/[1]!S_STM07_IS(D511,9,$G$5,$H$13),[1]!S_STM07_IS(D511,55,$G$5,$H$13)/$E$5))</f>
        <v/>
      </c>
      <c r="L511" s="249" t="str">
        <f ca="1">IF(C511="","",IF($L$11="ROA",[1]!S_STM07_IS(D511,61,$G$5,$H$13)/[1]!S_STM07_BS(D511,74,$G$5,$H$13),1-[1]!S_STM07_IS(D511,61,$G$5,$H$13)/[1]!S_STM07_IS(D511,55,$G$5,$H$13)))</f>
        <v/>
      </c>
      <c r="M511" s="249" t="str">
        <f ca="1">IF(C511="","",IF($M$11="ROE",[1]!S_STM07_IS(D511,61,$G$5,$H$13)/[1]!S_STM07_BS(D511,141,$G$5,$H$13),([1]!S_STM07_BS(D511,25,$G$5,$H$13)-[1]!S_STM07_BS(D511,93,$G$5,$H$13))/$E$5))</f>
        <v/>
      </c>
      <c r="N511" s="250" t="str">
        <f ca="1">IF(C511="","",IF($N$11="EPS",[1]!S_STM07_IS(D511,61,$G$5,$H$13)/IF([1]!S_SHARE_TOTAL(D511,$G$5)=0,[1]!S_SHARE_TOTAL(D511,[1]!s_ipo_listeddate(D511)),[1]!S_SHARE_TOTAL(D511,$G$5)),([1]!S_STM07_BS(D511,75,$G$5,$H$13)+[1]!S_STM07_BS(D511,88,$G$5,$H$13)+[1]!S_STM07_BS(D511,94,$G$5,$H$13)+[1]!S_STM07_BS(D511,95,$G$5,$H$13))/$E$5))</f>
        <v/>
      </c>
      <c r="O511" s="250" t="str">
        <f ca="1">IF(C511="","",IF($O$11="BPS",[1]!S_STM07_BS(D511,141,$G$5,$H$13)/IF([1]!S_SHARE_TOTAL(D511,$G$5)=0,[1]!S_SHARE_TOTAL(D511,[1]!s_ipo_listeddate(D511)),[1]!S_SHARE_TOTAL(D511,$G$5)),[1]!S_STM07_CS(D511,49,$G$5,$H$13)/$E$5))</f>
        <v/>
      </c>
      <c r="P511" s="250" t="str">
        <f ca="1">IF(C511="","",IF($P$11="CFPS",[1]!S_STM07_CS(D511,84,$G$5,$H$13)/IF([1]!S_SHARE_TOTAL(D511,$G$5)=0,[1]!S_SHARE_TOTAL(D511,[1]!s_ipo_listeddate(D511)),[1]!S_SHARE_TOTAL(D511,$G$5)),[1]!S_STM07_CS(D511,84,$G$5,$H$13)/$E$5))</f>
        <v/>
      </c>
      <c r="Q511" s="198" t="str">
        <f ca="1">IF(C511="","",F511/([1]!S_STM07_IS(D511,61,$G$5,$H$13)/IF([1]!S_SHARE_TOTAL(D511,$G$5)=0,[1]!S_SHARE_TOTAL(D511,[1]!s_ipo_listeddate(D511)),[1]!S_SHARE_TOTAL(D511,$G$5))))</f>
        <v/>
      </c>
      <c r="R511" s="198" t="str">
        <f ca="1">IF(C511="","",F511/([1]!S_STM07_BS(D511,141,$G$5,$H$13)/IF([1]!S_SHARE_TOTAL(D511,$G$5)=0,[1]!S_SHARE_TOTAL(D511,[1]!s_ipo_listeddate(D511)),[1]!S_SHARE_TOTAL(D511,$G$5))))</f>
        <v/>
      </c>
      <c r="S511" s="249" t="str">
        <f ca="1">IF(C511="","",[1]!S_SHARE_TOTAL(D511,TODAY())/$E$5)</f>
        <v/>
      </c>
      <c r="T511" s="249" t="str">
        <f t="shared" ca="1" si="55"/>
        <v/>
      </c>
      <c r="U511" s="172" t="str">
        <f t="shared" ca="1" si="56"/>
        <v/>
      </c>
      <c r="V511" s="343" t="str">
        <f t="shared" ca="1" si="57"/>
        <v/>
      </c>
      <c r="W511" s="139"/>
      <c r="Y511" s="1"/>
    </row>
    <row r="512" spans="3:25" ht="12" customHeight="1">
      <c r="C512" s="342" t="str">
        <f t="shared" ca="1" si="52"/>
        <v/>
      </c>
      <c r="D512" s="153" t="str">
        <f t="shared" ca="1" si="53"/>
        <v/>
      </c>
      <c r="E512" s="153" t="str">
        <f t="shared" ca="1" si="54"/>
        <v/>
      </c>
      <c r="F512" s="170" t="str">
        <f ca="1">IF(C512="","",[1]!S_DQ_CLOSE(D512,TODAY(),1))</f>
        <v/>
      </c>
      <c r="G512" s="171" t="str">
        <f ca="1">IF(C512="","",[1]!s_pq_pctchange(D512,TODAY()-$G$12,TODAY())/100)</f>
        <v/>
      </c>
      <c r="H512" s="247" t="str">
        <f ca="1">IF(C512="","",IF($H$11="收入",[1]!S_STM07_IS(D512,9,$G$5,$H$13)/$E$5,[1]!S_STM07_IS(D512,48,$G$5,$H$13)/$E$5))</f>
        <v/>
      </c>
      <c r="I512" s="247" t="str">
        <f ca="1">IF(C512="","",IF($I$11="毛利率",([1]!S_STM07_IS(D512,9,$G$5,$H$13)-[1]!S_STM07_IS(D512,10,$G$5,$H$13))/[1]!S_STM07_IS(D512,9,$G$5,$H$13),[1]!S_STM07_IS(D512,14,$G$5,$H$13)/$E$5))</f>
        <v/>
      </c>
      <c r="J512" s="247" t="str">
        <f ca="1">IF(C512="","",IF($J$11="营业利润率",[1]!S_STM07_IS(D512,48,$G$5,$H$13)/[1]!S_STM07_IS(D512,9,$G$5,$H$13),([1]!S_STM07_CS(D512,87,$G$5,$H$13)+[1]!S_STM07_CS(D512,88,$G$5,$H$13)+[1]!S_STM07_CS(D512,89,$G$5,$H$13))/$E$5))</f>
        <v/>
      </c>
      <c r="K512" s="247" t="str">
        <f ca="1">IF(C512="","",IF($K$11="净利润率",[1]!S_STM07_IS(D512,61,$G$5,$H$13)/[1]!S_STM07_IS(D512,9,$G$5,$H$13),[1]!S_STM07_IS(D512,55,$G$5,$H$13)/$E$5))</f>
        <v/>
      </c>
      <c r="L512" s="247" t="str">
        <f ca="1">IF(C512="","",IF($L$11="ROA",[1]!S_STM07_IS(D512,61,$G$5,$H$13)/[1]!S_STM07_BS(D512,74,$G$5,$H$13),1-[1]!S_STM07_IS(D512,61,$G$5,$H$13)/[1]!S_STM07_IS(D512,55,$G$5,$H$13)))</f>
        <v/>
      </c>
      <c r="M512" s="247" t="str">
        <f ca="1">IF(C512="","",IF($M$11="ROE",[1]!S_STM07_IS(D512,61,$G$5,$H$13)/[1]!S_STM07_BS(D512,141,$G$5,$H$13),([1]!S_STM07_BS(D512,25,$G$5,$H$13)-[1]!S_STM07_BS(D512,93,$G$5,$H$13))/$E$5))</f>
        <v/>
      </c>
      <c r="N512" s="247" t="str">
        <f ca="1">IF(C512="","",IF($N$11="EPS",[1]!S_STM07_IS(D512,61,$G$5,$H$13)/IF([1]!S_SHARE_TOTAL(D512,$G$5)=0,[1]!S_SHARE_TOTAL(D512,[1]!s_ipo_listeddate(D512)),[1]!S_SHARE_TOTAL(D512,$G$5)),([1]!S_STM07_BS(D512,75,$G$5,$H$13)+[1]!S_STM07_BS(D512,88,$G$5,$H$13)+[1]!S_STM07_BS(D512,94,$G$5,$H$13)+[1]!S_STM07_BS(D512,95,$G$5,$H$13))/$E$5))</f>
        <v/>
      </c>
      <c r="O512" s="247" t="str">
        <f ca="1">IF(C512="","",IF($O$11="BPS",[1]!S_STM07_BS(D512,141,$G$5,$H$13)/IF([1]!S_SHARE_TOTAL(D512,$G$5)=0,[1]!S_SHARE_TOTAL(D512,[1]!s_ipo_listeddate(D512)),[1]!S_SHARE_TOTAL(D512,$G$5)),[1]!S_STM07_CS(D512,49,$G$5,$H$13)/$E$5))</f>
        <v/>
      </c>
      <c r="P512" s="247" t="str">
        <f ca="1">IF(C512="","",IF($P$11="CFPS",[1]!S_STM07_CS(D512,84,$G$5,$H$13)/IF([1]!S_SHARE_TOTAL(D512,$G$5)=0,[1]!S_SHARE_TOTAL(D512,[1]!s_ipo_listeddate(D512)),[1]!S_SHARE_TOTAL(D512,$G$5)),[1]!S_STM07_CS(D512,84,$G$5,$H$13)/$E$5))</f>
        <v/>
      </c>
      <c r="Q512" s="248" t="str">
        <f ca="1">IF(C512="","",F512/([1]!S_STM07_IS(D512,61,$G$5,$H$13)/IF([1]!S_SHARE_TOTAL(D512,$G$5)=0,[1]!S_SHARE_TOTAL(D512,[1]!s_ipo_listeddate(D512)),[1]!S_SHARE_TOTAL(D512,$G$5))))</f>
        <v/>
      </c>
      <c r="R512" s="248" t="str">
        <f ca="1">IF(C512="","",F512/([1]!S_STM07_BS(D512,141,$G$5,$H$13)/IF([1]!S_SHARE_TOTAL(D512,$G$5)=0,[1]!S_SHARE_TOTAL(D512,[1]!s_ipo_listeddate(D512)),[1]!S_SHARE_TOTAL(D512,$G$5))))</f>
        <v/>
      </c>
      <c r="S512" s="247" t="str">
        <f ca="1">IF(C512="","",[1]!S_SHARE_TOTAL(D512,TODAY())/$E$5)</f>
        <v/>
      </c>
      <c r="T512" s="247" t="str">
        <f t="shared" ca="1" si="55"/>
        <v/>
      </c>
      <c r="U512" s="218" t="str">
        <f t="shared" ca="1" si="56"/>
        <v/>
      </c>
      <c r="V512" s="342" t="str">
        <f t="shared" ca="1" si="57"/>
        <v/>
      </c>
      <c r="W512" s="139"/>
      <c r="Y512" s="1"/>
    </row>
    <row r="513" spans="3:25" ht="12" customHeight="1">
      <c r="C513" s="343" t="str">
        <f t="shared" ca="1" si="52"/>
        <v/>
      </c>
      <c r="D513" s="124" t="str">
        <f t="shared" ca="1" si="53"/>
        <v/>
      </c>
      <c r="E513" s="124" t="str">
        <f t="shared" ca="1" si="54"/>
        <v/>
      </c>
      <c r="F513" s="172" t="str">
        <f ca="1">IF(C513="","",[1]!S_DQ_CLOSE(D513,TODAY(),1))</f>
        <v/>
      </c>
      <c r="G513" s="173" t="str">
        <f ca="1">IF(C513="","",[1]!s_pq_pctchange(D513,TODAY()-$G$12,TODAY())/100)</f>
        <v/>
      </c>
      <c r="H513" s="249" t="str">
        <f ca="1">IF(C513="","",IF($H$11="收入",[1]!S_STM07_IS(D513,9,$G$5,$H$13)/$E$5,[1]!S_STM07_IS(D513,48,$G$5,$H$13)/$E$5))</f>
        <v/>
      </c>
      <c r="I513" s="249" t="str">
        <f ca="1">IF(C513="","",IF($I$11="毛利率",([1]!S_STM07_IS(D513,9,$G$5,$H$13)-[1]!S_STM07_IS(D513,10,$G$5,$H$13))/[1]!S_STM07_IS(D513,9,$G$5,$H$13),[1]!S_STM07_IS(D513,14,$G$5,$H$13)/$E$5))</f>
        <v/>
      </c>
      <c r="J513" s="249" t="str">
        <f ca="1">IF(C513="","",IF($J$11="营业利润率",[1]!S_STM07_IS(D513,48,$G$5,$H$13)/[1]!S_STM07_IS(D513,9,$G$5,$H$13),([1]!S_STM07_CS(D513,87,$G$5,$H$13)+[1]!S_STM07_CS(D513,88,$G$5,$H$13)+[1]!S_STM07_CS(D513,89,$G$5,$H$13))/$E$5))</f>
        <v/>
      </c>
      <c r="K513" s="249" t="str">
        <f ca="1">IF(C513="","",IF($K$11="净利润率",[1]!S_STM07_IS(D513,61,$G$5,$H$13)/[1]!S_STM07_IS(D513,9,$G$5,$H$13),[1]!S_STM07_IS(D513,55,$G$5,$H$13)/$E$5))</f>
        <v/>
      </c>
      <c r="L513" s="249" t="str">
        <f ca="1">IF(C513="","",IF($L$11="ROA",[1]!S_STM07_IS(D513,61,$G$5,$H$13)/[1]!S_STM07_BS(D513,74,$G$5,$H$13),1-[1]!S_STM07_IS(D513,61,$G$5,$H$13)/[1]!S_STM07_IS(D513,55,$G$5,$H$13)))</f>
        <v/>
      </c>
      <c r="M513" s="249" t="str">
        <f ca="1">IF(C513="","",IF($M$11="ROE",[1]!S_STM07_IS(D513,61,$G$5,$H$13)/[1]!S_STM07_BS(D513,141,$G$5,$H$13),([1]!S_STM07_BS(D513,25,$G$5,$H$13)-[1]!S_STM07_BS(D513,93,$G$5,$H$13))/$E$5))</f>
        <v/>
      </c>
      <c r="N513" s="250" t="str">
        <f ca="1">IF(C513="","",IF($N$11="EPS",[1]!S_STM07_IS(D513,61,$G$5,$H$13)/IF([1]!S_SHARE_TOTAL(D513,$G$5)=0,[1]!S_SHARE_TOTAL(D513,[1]!s_ipo_listeddate(D513)),[1]!S_SHARE_TOTAL(D513,$G$5)),([1]!S_STM07_BS(D513,75,$G$5,$H$13)+[1]!S_STM07_BS(D513,88,$G$5,$H$13)+[1]!S_STM07_BS(D513,94,$G$5,$H$13)+[1]!S_STM07_BS(D513,95,$G$5,$H$13))/$E$5))</f>
        <v/>
      </c>
      <c r="O513" s="250" t="str">
        <f ca="1">IF(C513="","",IF($O$11="BPS",[1]!S_STM07_BS(D513,141,$G$5,$H$13)/IF([1]!S_SHARE_TOTAL(D513,$G$5)=0,[1]!S_SHARE_TOTAL(D513,[1]!s_ipo_listeddate(D513)),[1]!S_SHARE_TOTAL(D513,$G$5)),[1]!S_STM07_CS(D513,49,$G$5,$H$13)/$E$5))</f>
        <v/>
      </c>
      <c r="P513" s="250" t="str">
        <f ca="1">IF(C513="","",IF($P$11="CFPS",[1]!S_STM07_CS(D513,84,$G$5,$H$13)/IF([1]!S_SHARE_TOTAL(D513,$G$5)=0,[1]!S_SHARE_TOTAL(D513,[1]!s_ipo_listeddate(D513)),[1]!S_SHARE_TOTAL(D513,$G$5)),[1]!S_STM07_CS(D513,84,$G$5,$H$13)/$E$5))</f>
        <v/>
      </c>
      <c r="Q513" s="198" t="str">
        <f ca="1">IF(C513="","",F513/([1]!S_STM07_IS(D513,61,$G$5,$H$13)/IF([1]!S_SHARE_TOTAL(D513,$G$5)=0,[1]!S_SHARE_TOTAL(D513,[1]!s_ipo_listeddate(D513)),[1]!S_SHARE_TOTAL(D513,$G$5))))</f>
        <v/>
      </c>
      <c r="R513" s="198" t="str">
        <f ca="1">IF(C513="","",F513/([1]!S_STM07_BS(D513,141,$G$5,$H$13)/IF([1]!S_SHARE_TOTAL(D513,$G$5)=0,[1]!S_SHARE_TOTAL(D513,[1]!s_ipo_listeddate(D513)),[1]!S_SHARE_TOTAL(D513,$G$5))))</f>
        <v/>
      </c>
      <c r="S513" s="249" t="str">
        <f ca="1">IF(C513="","",[1]!S_SHARE_TOTAL(D513,TODAY())/$E$5)</f>
        <v/>
      </c>
      <c r="T513" s="249" t="str">
        <f t="shared" ca="1" si="55"/>
        <v/>
      </c>
      <c r="U513" s="172" t="str">
        <f t="shared" ca="1" si="56"/>
        <v/>
      </c>
      <c r="V513" s="343" t="str">
        <f t="shared" ca="1" si="57"/>
        <v/>
      </c>
      <c r="W513" s="139"/>
      <c r="Y513" s="1"/>
    </row>
    <row r="514" spans="3:25" ht="12" customHeight="1">
      <c r="C514" s="342" t="str">
        <f t="shared" ca="1" si="52"/>
        <v/>
      </c>
      <c r="D514" s="153" t="str">
        <f t="shared" ca="1" si="53"/>
        <v/>
      </c>
      <c r="E514" s="153" t="str">
        <f t="shared" ca="1" si="54"/>
        <v/>
      </c>
      <c r="F514" s="170" t="str">
        <f ca="1">IF(C514="","",[1]!S_DQ_CLOSE(D514,TODAY(),1))</f>
        <v/>
      </c>
      <c r="G514" s="171" t="str">
        <f ca="1">IF(C514="","",[1]!s_pq_pctchange(D514,TODAY()-$G$12,TODAY())/100)</f>
        <v/>
      </c>
      <c r="H514" s="247" t="str">
        <f ca="1">IF(C514="","",IF($H$11="收入",[1]!S_STM07_IS(D514,9,$G$5,$H$13)/$E$5,[1]!S_STM07_IS(D514,48,$G$5,$H$13)/$E$5))</f>
        <v/>
      </c>
      <c r="I514" s="247" t="str">
        <f ca="1">IF(C514="","",IF($I$11="毛利率",([1]!S_STM07_IS(D514,9,$G$5,$H$13)-[1]!S_STM07_IS(D514,10,$G$5,$H$13))/[1]!S_STM07_IS(D514,9,$G$5,$H$13),[1]!S_STM07_IS(D514,14,$G$5,$H$13)/$E$5))</f>
        <v/>
      </c>
      <c r="J514" s="247" t="str">
        <f ca="1">IF(C514="","",IF($J$11="营业利润率",[1]!S_STM07_IS(D514,48,$G$5,$H$13)/[1]!S_STM07_IS(D514,9,$G$5,$H$13),([1]!S_STM07_CS(D514,87,$G$5,$H$13)+[1]!S_STM07_CS(D514,88,$G$5,$H$13)+[1]!S_STM07_CS(D514,89,$G$5,$H$13))/$E$5))</f>
        <v/>
      </c>
      <c r="K514" s="247" t="str">
        <f ca="1">IF(C514="","",IF($K$11="净利润率",[1]!S_STM07_IS(D514,61,$G$5,$H$13)/[1]!S_STM07_IS(D514,9,$G$5,$H$13),[1]!S_STM07_IS(D514,55,$G$5,$H$13)/$E$5))</f>
        <v/>
      </c>
      <c r="L514" s="247" t="str">
        <f ca="1">IF(C514="","",IF($L$11="ROA",[1]!S_STM07_IS(D514,61,$G$5,$H$13)/[1]!S_STM07_BS(D514,74,$G$5,$H$13),1-[1]!S_STM07_IS(D514,61,$G$5,$H$13)/[1]!S_STM07_IS(D514,55,$G$5,$H$13)))</f>
        <v/>
      </c>
      <c r="M514" s="247" t="str">
        <f ca="1">IF(C514="","",IF($M$11="ROE",[1]!S_STM07_IS(D514,61,$G$5,$H$13)/[1]!S_STM07_BS(D514,141,$G$5,$H$13),([1]!S_STM07_BS(D514,25,$G$5,$H$13)-[1]!S_STM07_BS(D514,93,$G$5,$H$13))/$E$5))</f>
        <v/>
      </c>
      <c r="N514" s="247" t="str">
        <f ca="1">IF(C514="","",IF($N$11="EPS",[1]!S_STM07_IS(D514,61,$G$5,$H$13)/IF([1]!S_SHARE_TOTAL(D514,$G$5)=0,[1]!S_SHARE_TOTAL(D514,[1]!s_ipo_listeddate(D514)),[1]!S_SHARE_TOTAL(D514,$G$5)),([1]!S_STM07_BS(D514,75,$G$5,$H$13)+[1]!S_STM07_BS(D514,88,$G$5,$H$13)+[1]!S_STM07_BS(D514,94,$G$5,$H$13)+[1]!S_STM07_BS(D514,95,$G$5,$H$13))/$E$5))</f>
        <v/>
      </c>
      <c r="O514" s="247" t="str">
        <f ca="1">IF(C514="","",IF($O$11="BPS",[1]!S_STM07_BS(D514,141,$G$5,$H$13)/IF([1]!S_SHARE_TOTAL(D514,$G$5)=0,[1]!S_SHARE_TOTAL(D514,[1]!s_ipo_listeddate(D514)),[1]!S_SHARE_TOTAL(D514,$G$5)),[1]!S_STM07_CS(D514,49,$G$5,$H$13)/$E$5))</f>
        <v/>
      </c>
      <c r="P514" s="247" t="str">
        <f ca="1">IF(C514="","",IF($P$11="CFPS",[1]!S_STM07_CS(D514,84,$G$5,$H$13)/IF([1]!S_SHARE_TOTAL(D514,$G$5)=0,[1]!S_SHARE_TOTAL(D514,[1]!s_ipo_listeddate(D514)),[1]!S_SHARE_TOTAL(D514,$G$5)),[1]!S_STM07_CS(D514,84,$G$5,$H$13)/$E$5))</f>
        <v/>
      </c>
      <c r="Q514" s="248" t="str">
        <f ca="1">IF(C514="","",F514/([1]!S_STM07_IS(D514,61,$G$5,$H$13)/IF([1]!S_SHARE_TOTAL(D514,$G$5)=0,[1]!S_SHARE_TOTAL(D514,[1]!s_ipo_listeddate(D514)),[1]!S_SHARE_TOTAL(D514,$G$5))))</f>
        <v/>
      </c>
      <c r="R514" s="248" t="str">
        <f ca="1">IF(C514="","",F514/([1]!S_STM07_BS(D514,141,$G$5,$H$13)/IF([1]!S_SHARE_TOTAL(D514,$G$5)=0,[1]!S_SHARE_TOTAL(D514,[1]!s_ipo_listeddate(D514)),[1]!S_SHARE_TOTAL(D514,$G$5))))</f>
        <v/>
      </c>
      <c r="S514" s="247" t="str">
        <f ca="1">IF(C514="","",[1]!S_SHARE_TOTAL(D514,TODAY())/$E$5)</f>
        <v/>
      </c>
      <c r="T514" s="247" t="str">
        <f t="shared" ca="1" si="55"/>
        <v/>
      </c>
      <c r="U514" s="218" t="str">
        <f t="shared" ca="1" si="56"/>
        <v/>
      </c>
      <c r="V514" s="342" t="str">
        <f t="shared" ca="1" si="57"/>
        <v/>
      </c>
      <c r="W514" s="139"/>
      <c r="Y514" s="1"/>
    </row>
    <row r="515" spans="3:25" ht="12" customHeight="1">
      <c r="C515" s="343" t="str">
        <f t="shared" ca="1" si="52"/>
        <v/>
      </c>
      <c r="D515" s="124" t="str">
        <f t="shared" ca="1" si="53"/>
        <v/>
      </c>
      <c r="E515" s="124" t="str">
        <f t="shared" ca="1" si="54"/>
        <v/>
      </c>
      <c r="F515" s="172" t="str">
        <f ca="1">IF(C515="","",[1]!S_DQ_CLOSE(D515,TODAY(),1))</f>
        <v/>
      </c>
      <c r="G515" s="173" t="str">
        <f ca="1">IF(C515="","",[1]!s_pq_pctchange(D515,TODAY()-$G$12,TODAY())/100)</f>
        <v/>
      </c>
      <c r="H515" s="249" t="str">
        <f ca="1">IF(C515="","",IF($H$11="收入",[1]!S_STM07_IS(D515,9,$G$5,$H$13)/$E$5,[1]!S_STM07_IS(D515,48,$G$5,$H$13)/$E$5))</f>
        <v/>
      </c>
      <c r="I515" s="249" t="str">
        <f ca="1">IF(C515="","",IF($I$11="毛利率",([1]!S_STM07_IS(D515,9,$G$5,$H$13)-[1]!S_STM07_IS(D515,10,$G$5,$H$13))/[1]!S_STM07_IS(D515,9,$G$5,$H$13),[1]!S_STM07_IS(D515,14,$G$5,$H$13)/$E$5))</f>
        <v/>
      </c>
      <c r="J515" s="249" t="str">
        <f ca="1">IF(C515="","",IF($J$11="营业利润率",[1]!S_STM07_IS(D515,48,$G$5,$H$13)/[1]!S_STM07_IS(D515,9,$G$5,$H$13),([1]!S_STM07_CS(D515,87,$G$5,$H$13)+[1]!S_STM07_CS(D515,88,$G$5,$H$13)+[1]!S_STM07_CS(D515,89,$G$5,$H$13))/$E$5))</f>
        <v/>
      </c>
      <c r="K515" s="249" t="str">
        <f ca="1">IF(C515="","",IF($K$11="净利润率",[1]!S_STM07_IS(D515,61,$G$5,$H$13)/[1]!S_STM07_IS(D515,9,$G$5,$H$13),[1]!S_STM07_IS(D515,55,$G$5,$H$13)/$E$5))</f>
        <v/>
      </c>
      <c r="L515" s="249" t="str">
        <f ca="1">IF(C515="","",IF($L$11="ROA",[1]!S_STM07_IS(D515,61,$G$5,$H$13)/[1]!S_STM07_BS(D515,74,$G$5,$H$13),1-[1]!S_STM07_IS(D515,61,$G$5,$H$13)/[1]!S_STM07_IS(D515,55,$G$5,$H$13)))</f>
        <v/>
      </c>
      <c r="M515" s="249" t="str">
        <f ca="1">IF(C515="","",IF($M$11="ROE",[1]!S_STM07_IS(D515,61,$G$5,$H$13)/[1]!S_STM07_BS(D515,141,$G$5,$H$13),([1]!S_STM07_BS(D515,25,$G$5,$H$13)-[1]!S_STM07_BS(D515,93,$G$5,$H$13))/$E$5))</f>
        <v/>
      </c>
      <c r="N515" s="250" t="str">
        <f ca="1">IF(C515="","",IF($N$11="EPS",[1]!S_STM07_IS(D515,61,$G$5,$H$13)/IF([1]!S_SHARE_TOTAL(D515,$G$5)=0,[1]!S_SHARE_TOTAL(D515,[1]!s_ipo_listeddate(D515)),[1]!S_SHARE_TOTAL(D515,$G$5)),([1]!S_STM07_BS(D515,75,$G$5,$H$13)+[1]!S_STM07_BS(D515,88,$G$5,$H$13)+[1]!S_STM07_BS(D515,94,$G$5,$H$13)+[1]!S_STM07_BS(D515,95,$G$5,$H$13))/$E$5))</f>
        <v/>
      </c>
      <c r="O515" s="250" t="str">
        <f ca="1">IF(C515="","",IF($O$11="BPS",[1]!S_STM07_BS(D515,141,$G$5,$H$13)/IF([1]!S_SHARE_TOTAL(D515,$G$5)=0,[1]!S_SHARE_TOTAL(D515,[1]!s_ipo_listeddate(D515)),[1]!S_SHARE_TOTAL(D515,$G$5)),[1]!S_STM07_CS(D515,49,$G$5,$H$13)/$E$5))</f>
        <v/>
      </c>
      <c r="P515" s="250" t="str">
        <f ca="1">IF(C515="","",IF($P$11="CFPS",[1]!S_STM07_CS(D515,84,$G$5,$H$13)/IF([1]!S_SHARE_TOTAL(D515,$G$5)=0,[1]!S_SHARE_TOTAL(D515,[1]!s_ipo_listeddate(D515)),[1]!S_SHARE_TOTAL(D515,$G$5)),[1]!S_STM07_CS(D515,84,$G$5,$H$13)/$E$5))</f>
        <v/>
      </c>
      <c r="Q515" s="198" t="str">
        <f ca="1">IF(C515="","",F515/([1]!S_STM07_IS(D515,61,$G$5,$H$13)/IF([1]!S_SHARE_TOTAL(D515,$G$5)=0,[1]!S_SHARE_TOTAL(D515,[1]!s_ipo_listeddate(D515)),[1]!S_SHARE_TOTAL(D515,$G$5))))</f>
        <v/>
      </c>
      <c r="R515" s="198" t="str">
        <f ca="1">IF(C515="","",F515/([1]!S_STM07_BS(D515,141,$G$5,$H$13)/IF([1]!S_SHARE_TOTAL(D515,$G$5)=0,[1]!S_SHARE_TOTAL(D515,[1]!s_ipo_listeddate(D515)),[1]!S_SHARE_TOTAL(D515,$G$5))))</f>
        <v/>
      </c>
      <c r="S515" s="249" t="str">
        <f ca="1">IF(C515="","",[1]!S_SHARE_TOTAL(D515,TODAY())/$E$5)</f>
        <v/>
      </c>
      <c r="T515" s="249" t="str">
        <f t="shared" ca="1" si="55"/>
        <v/>
      </c>
      <c r="U515" s="172" t="str">
        <f t="shared" ca="1" si="56"/>
        <v/>
      </c>
      <c r="V515" s="343" t="str">
        <f t="shared" ca="1" si="57"/>
        <v/>
      </c>
      <c r="W515" s="139"/>
      <c r="Y515" s="1"/>
    </row>
    <row r="516" spans="3:25" ht="12" customHeight="1">
      <c r="C516" s="342" t="str">
        <f t="shared" ca="1" si="52"/>
        <v/>
      </c>
      <c r="D516" s="153" t="str">
        <f t="shared" ca="1" si="53"/>
        <v/>
      </c>
      <c r="E516" s="153" t="str">
        <f t="shared" ca="1" si="54"/>
        <v/>
      </c>
      <c r="F516" s="170" t="str">
        <f ca="1">IF(C516="","",[1]!S_DQ_CLOSE(D516,TODAY(),1))</f>
        <v/>
      </c>
      <c r="G516" s="171" t="str">
        <f ca="1">IF(C516="","",[1]!s_pq_pctchange(D516,TODAY()-$G$12,TODAY())/100)</f>
        <v/>
      </c>
      <c r="H516" s="247" t="str">
        <f ca="1">IF(C516="","",IF($H$11="收入",[1]!S_STM07_IS(D516,9,$G$5,$H$13)/$E$5,[1]!S_STM07_IS(D516,48,$G$5,$H$13)/$E$5))</f>
        <v/>
      </c>
      <c r="I516" s="247" t="str">
        <f ca="1">IF(C516="","",IF($I$11="毛利率",([1]!S_STM07_IS(D516,9,$G$5,$H$13)-[1]!S_STM07_IS(D516,10,$G$5,$H$13))/[1]!S_STM07_IS(D516,9,$G$5,$H$13),[1]!S_STM07_IS(D516,14,$G$5,$H$13)/$E$5))</f>
        <v/>
      </c>
      <c r="J516" s="247" t="str">
        <f ca="1">IF(C516="","",IF($J$11="营业利润率",[1]!S_STM07_IS(D516,48,$G$5,$H$13)/[1]!S_STM07_IS(D516,9,$G$5,$H$13),([1]!S_STM07_CS(D516,87,$G$5,$H$13)+[1]!S_STM07_CS(D516,88,$G$5,$H$13)+[1]!S_STM07_CS(D516,89,$G$5,$H$13))/$E$5))</f>
        <v/>
      </c>
      <c r="K516" s="247" t="str">
        <f ca="1">IF(C516="","",IF($K$11="净利润率",[1]!S_STM07_IS(D516,61,$G$5,$H$13)/[1]!S_STM07_IS(D516,9,$G$5,$H$13),[1]!S_STM07_IS(D516,55,$G$5,$H$13)/$E$5))</f>
        <v/>
      </c>
      <c r="L516" s="247" t="str">
        <f ca="1">IF(C516="","",IF($L$11="ROA",[1]!S_STM07_IS(D516,61,$G$5,$H$13)/[1]!S_STM07_BS(D516,74,$G$5,$H$13),1-[1]!S_STM07_IS(D516,61,$G$5,$H$13)/[1]!S_STM07_IS(D516,55,$G$5,$H$13)))</f>
        <v/>
      </c>
      <c r="M516" s="247" t="str">
        <f ca="1">IF(C516="","",IF($M$11="ROE",[1]!S_STM07_IS(D516,61,$G$5,$H$13)/[1]!S_STM07_BS(D516,141,$G$5,$H$13),([1]!S_STM07_BS(D516,25,$G$5,$H$13)-[1]!S_STM07_BS(D516,93,$G$5,$H$13))/$E$5))</f>
        <v/>
      </c>
      <c r="N516" s="247" t="str">
        <f ca="1">IF(C516="","",IF($N$11="EPS",[1]!S_STM07_IS(D516,61,$G$5,$H$13)/IF([1]!S_SHARE_TOTAL(D516,$G$5)=0,[1]!S_SHARE_TOTAL(D516,[1]!s_ipo_listeddate(D516)),[1]!S_SHARE_TOTAL(D516,$G$5)),([1]!S_STM07_BS(D516,75,$G$5,$H$13)+[1]!S_STM07_BS(D516,88,$G$5,$H$13)+[1]!S_STM07_BS(D516,94,$G$5,$H$13)+[1]!S_STM07_BS(D516,95,$G$5,$H$13))/$E$5))</f>
        <v/>
      </c>
      <c r="O516" s="247" t="str">
        <f ca="1">IF(C516="","",IF($O$11="BPS",[1]!S_STM07_BS(D516,141,$G$5,$H$13)/IF([1]!S_SHARE_TOTAL(D516,$G$5)=0,[1]!S_SHARE_TOTAL(D516,[1]!s_ipo_listeddate(D516)),[1]!S_SHARE_TOTAL(D516,$G$5)),[1]!S_STM07_CS(D516,49,$G$5,$H$13)/$E$5))</f>
        <v/>
      </c>
      <c r="P516" s="247" t="str">
        <f ca="1">IF(C516="","",IF($P$11="CFPS",[1]!S_STM07_CS(D516,84,$G$5,$H$13)/IF([1]!S_SHARE_TOTAL(D516,$G$5)=0,[1]!S_SHARE_TOTAL(D516,[1]!s_ipo_listeddate(D516)),[1]!S_SHARE_TOTAL(D516,$G$5)),[1]!S_STM07_CS(D516,84,$G$5,$H$13)/$E$5))</f>
        <v/>
      </c>
      <c r="Q516" s="248" t="str">
        <f ca="1">IF(C516="","",F516/([1]!S_STM07_IS(D516,61,$G$5,$H$13)/IF([1]!S_SHARE_TOTAL(D516,$G$5)=0,[1]!S_SHARE_TOTAL(D516,[1]!s_ipo_listeddate(D516)),[1]!S_SHARE_TOTAL(D516,$G$5))))</f>
        <v/>
      </c>
      <c r="R516" s="248" t="str">
        <f ca="1">IF(C516="","",F516/([1]!S_STM07_BS(D516,141,$G$5,$H$13)/IF([1]!S_SHARE_TOTAL(D516,$G$5)=0,[1]!S_SHARE_TOTAL(D516,[1]!s_ipo_listeddate(D516)),[1]!S_SHARE_TOTAL(D516,$G$5))))</f>
        <v/>
      </c>
      <c r="S516" s="247" t="str">
        <f ca="1">IF(C516="","",[1]!S_SHARE_TOTAL(D516,TODAY())/$E$5)</f>
        <v/>
      </c>
      <c r="T516" s="247" t="str">
        <f t="shared" ca="1" si="55"/>
        <v/>
      </c>
      <c r="U516" s="218" t="str">
        <f t="shared" ca="1" si="56"/>
        <v/>
      </c>
      <c r="V516" s="342" t="str">
        <f t="shared" ca="1" si="57"/>
        <v/>
      </c>
      <c r="W516" s="139"/>
      <c r="Y516" s="1"/>
    </row>
    <row r="517" spans="3:25" ht="12" customHeight="1">
      <c r="C517" s="343" t="str">
        <f t="shared" ca="1" si="52"/>
        <v/>
      </c>
      <c r="D517" s="124" t="str">
        <f t="shared" ca="1" si="53"/>
        <v/>
      </c>
      <c r="E517" s="124" t="str">
        <f t="shared" ca="1" si="54"/>
        <v/>
      </c>
      <c r="F517" s="172" t="str">
        <f ca="1">IF(C517="","",[1]!S_DQ_CLOSE(D517,TODAY(),1))</f>
        <v/>
      </c>
      <c r="G517" s="173" t="str">
        <f ca="1">IF(C517="","",[1]!s_pq_pctchange(D517,TODAY()-$G$12,TODAY())/100)</f>
        <v/>
      </c>
      <c r="H517" s="249" t="str">
        <f ca="1">IF(C517="","",IF($H$11="收入",[1]!S_STM07_IS(D517,9,$G$5,$H$13)/$E$5,[1]!S_STM07_IS(D517,48,$G$5,$H$13)/$E$5))</f>
        <v/>
      </c>
      <c r="I517" s="249" t="str">
        <f ca="1">IF(C517="","",IF($I$11="毛利率",([1]!S_STM07_IS(D517,9,$G$5,$H$13)-[1]!S_STM07_IS(D517,10,$G$5,$H$13))/[1]!S_STM07_IS(D517,9,$G$5,$H$13),[1]!S_STM07_IS(D517,14,$G$5,$H$13)/$E$5))</f>
        <v/>
      </c>
      <c r="J517" s="249" t="str">
        <f ca="1">IF(C517="","",IF($J$11="营业利润率",[1]!S_STM07_IS(D517,48,$G$5,$H$13)/[1]!S_STM07_IS(D517,9,$G$5,$H$13),([1]!S_STM07_CS(D517,87,$G$5,$H$13)+[1]!S_STM07_CS(D517,88,$G$5,$H$13)+[1]!S_STM07_CS(D517,89,$G$5,$H$13))/$E$5))</f>
        <v/>
      </c>
      <c r="K517" s="249" t="str">
        <f ca="1">IF(C517="","",IF($K$11="净利润率",[1]!S_STM07_IS(D517,61,$G$5,$H$13)/[1]!S_STM07_IS(D517,9,$G$5,$H$13),[1]!S_STM07_IS(D517,55,$G$5,$H$13)/$E$5))</f>
        <v/>
      </c>
      <c r="L517" s="249" t="str">
        <f ca="1">IF(C517="","",IF($L$11="ROA",[1]!S_STM07_IS(D517,61,$G$5,$H$13)/[1]!S_STM07_BS(D517,74,$G$5,$H$13),1-[1]!S_STM07_IS(D517,61,$G$5,$H$13)/[1]!S_STM07_IS(D517,55,$G$5,$H$13)))</f>
        <v/>
      </c>
      <c r="M517" s="249" t="str">
        <f ca="1">IF(C517="","",IF($M$11="ROE",[1]!S_STM07_IS(D517,61,$G$5,$H$13)/[1]!S_STM07_BS(D517,141,$G$5,$H$13),([1]!S_STM07_BS(D517,25,$G$5,$H$13)-[1]!S_STM07_BS(D517,93,$G$5,$H$13))/$E$5))</f>
        <v/>
      </c>
      <c r="N517" s="250" t="str">
        <f ca="1">IF(C517="","",IF($N$11="EPS",[1]!S_STM07_IS(D517,61,$G$5,$H$13)/IF([1]!S_SHARE_TOTAL(D517,$G$5)=0,[1]!S_SHARE_TOTAL(D517,[1]!s_ipo_listeddate(D517)),[1]!S_SHARE_TOTAL(D517,$G$5)),([1]!S_STM07_BS(D517,75,$G$5,$H$13)+[1]!S_STM07_BS(D517,88,$G$5,$H$13)+[1]!S_STM07_BS(D517,94,$G$5,$H$13)+[1]!S_STM07_BS(D517,95,$G$5,$H$13))/$E$5))</f>
        <v/>
      </c>
      <c r="O517" s="250" t="str">
        <f ca="1">IF(C517="","",IF($O$11="BPS",[1]!S_STM07_BS(D517,141,$G$5,$H$13)/IF([1]!S_SHARE_TOTAL(D517,$G$5)=0,[1]!S_SHARE_TOTAL(D517,[1]!s_ipo_listeddate(D517)),[1]!S_SHARE_TOTAL(D517,$G$5)),[1]!S_STM07_CS(D517,49,$G$5,$H$13)/$E$5))</f>
        <v/>
      </c>
      <c r="P517" s="250" t="str">
        <f ca="1">IF(C517="","",IF($P$11="CFPS",[1]!S_STM07_CS(D517,84,$G$5,$H$13)/IF([1]!S_SHARE_TOTAL(D517,$G$5)=0,[1]!S_SHARE_TOTAL(D517,[1]!s_ipo_listeddate(D517)),[1]!S_SHARE_TOTAL(D517,$G$5)),[1]!S_STM07_CS(D517,84,$G$5,$H$13)/$E$5))</f>
        <v/>
      </c>
      <c r="Q517" s="198" t="str">
        <f ca="1">IF(C517="","",F517/([1]!S_STM07_IS(D517,61,$G$5,$H$13)/IF([1]!S_SHARE_TOTAL(D517,$G$5)=0,[1]!S_SHARE_TOTAL(D517,[1]!s_ipo_listeddate(D517)),[1]!S_SHARE_TOTAL(D517,$G$5))))</f>
        <v/>
      </c>
      <c r="R517" s="198" t="str">
        <f ca="1">IF(C517="","",F517/([1]!S_STM07_BS(D517,141,$G$5,$H$13)/IF([1]!S_SHARE_TOTAL(D517,$G$5)=0,[1]!S_SHARE_TOTAL(D517,[1]!s_ipo_listeddate(D517)),[1]!S_SHARE_TOTAL(D517,$G$5))))</f>
        <v/>
      </c>
      <c r="S517" s="249" t="str">
        <f ca="1">IF(C517="","",[1]!S_SHARE_TOTAL(D517,TODAY())/$E$5)</f>
        <v/>
      </c>
      <c r="T517" s="249" t="str">
        <f t="shared" ca="1" si="55"/>
        <v/>
      </c>
      <c r="U517" s="172" t="str">
        <f t="shared" ca="1" si="56"/>
        <v/>
      </c>
      <c r="V517" s="343" t="str">
        <f t="shared" ca="1" si="57"/>
        <v/>
      </c>
      <c r="W517" s="139"/>
      <c r="Y517" s="1"/>
    </row>
    <row r="518" spans="3:25" ht="12" customHeight="1">
      <c r="C518" s="342" t="str">
        <f t="shared" ca="1" si="52"/>
        <v/>
      </c>
      <c r="D518" s="153" t="str">
        <f t="shared" ca="1" si="53"/>
        <v/>
      </c>
      <c r="E518" s="153" t="str">
        <f t="shared" ca="1" si="54"/>
        <v/>
      </c>
      <c r="F518" s="170" t="str">
        <f ca="1">IF(C518="","",[1]!S_DQ_CLOSE(D518,TODAY(),1))</f>
        <v/>
      </c>
      <c r="G518" s="171" t="str">
        <f ca="1">IF(C518="","",[1]!s_pq_pctchange(D518,TODAY()-$G$12,TODAY())/100)</f>
        <v/>
      </c>
      <c r="H518" s="247" t="str">
        <f ca="1">IF(C518="","",IF($H$11="收入",[1]!S_STM07_IS(D518,9,$G$5,$H$13)/$E$5,[1]!S_STM07_IS(D518,48,$G$5,$H$13)/$E$5))</f>
        <v/>
      </c>
      <c r="I518" s="247" t="str">
        <f ca="1">IF(C518="","",IF($I$11="毛利率",([1]!S_STM07_IS(D518,9,$G$5,$H$13)-[1]!S_STM07_IS(D518,10,$G$5,$H$13))/[1]!S_STM07_IS(D518,9,$G$5,$H$13),[1]!S_STM07_IS(D518,14,$G$5,$H$13)/$E$5))</f>
        <v/>
      </c>
      <c r="J518" s="247" t="str">
        <f ca="1">IF(C518="","",IF($J$11="营业利润率",[1]!S_STM07_IS(D518,48,$G$5,$H$13)/[1]!S_STM07_IS(D518,9,$G$5,$H$13),([1]!S_STM07_CS(D518,87,$G$5,$H$13)+[1]!S_STM07_CS(D518,88,$G$5,$H$13)+[1]!S_STM07_CS(D518,89,$G$5,$H$13))/$E$5))</f>
        <v/>
      </c>
      <c r="K518" s="247" t="str">
        <f ca="1">IF(C518="","",IF($K$11="净利润率",[1]!S_STM07_IS(D518,61,$G$5,$H$13)/[1]!S_STM07_IS(D518,9,$G$5,$H$13),[1]!S_STM07_IS(D518,55,$G$5,$H$13)/$E$5))</f>
        <v/>
      </c>
      <c r="L518" s="247" t="str">
        <f ca="1">IF(C518="","",IF($L$11="ROA",[1]!S_STM07_IS(D518,61,$G$5,$H$13)/[1]!S_STM07_BS(D518,74,$G$5,$H$13),1-[1]!S_STM07_IS(D518,61,$G$5,$H$13)/[1]!S_STM07_IS(D518,55,$G$5,$H$13)))</f>
        <v/>
      </c>
      <c r="M518" s="247" t="str">
        <f ca="1">IF(C518="","",IF($M$11="ROE",[1]!S_STM07_IS(D518,61,$G$5,$H$13)/[1]!S_STM07_BS(D518,141,$G$5,$H$13),([1]!S_STM07_BS(D518,25,$G$5,$H$13)-[1]!S_STM07_BS(D518,93,$G$5,$H$13))/$E$5))</f>
        <v/>
      </c>
      <c r="N518" s="247" t="str">
        <f ca="1">IF(C518="","",IF($N$11="EPS",[1]!S_STM07_IS(D518,61,$G$5,$H$13)/IF([1]!S_SHARE_TOTAL(D518,$G$5)=0,[1]!S_SHARE_TOTAL(D518,[1]!s_ipo_listeddate(D518)),[1]!S_SHARE_TOTAL(D518,$G$5)),([1]!S_STM07_BS(D518,75,$G$5,$H$13)+[1]!S_STM07_BS(D518,88,$G$5,$H$13)+[1]!S_STM07_BS(D518,94,$G$5,$H$13)+[1]!S_STM07_BS(D518,95,$G$5,$H$13))/$E$5))</f>
        <v/>
      </c>
      <c r="O518" s="247" t="str">
        <f ca="1">IF(C518="","",IF($O$11="BPS",[1]!S_STM07_BS(D518,141,$G$5,$H$13)/IF([1]!S_SHARE_TOTAL(D518,$G$5)=0,[1]!S_SHARE_TOTAL(D518,[1]!s_ipo_listeddate(D518)),[1]!S_SHARE_TOTAL(D518,$G$5)),[1]!S_STM07_CS(D518,49,$G$5,$H$13)/$E$5))</f>
        <v/>
      </c>
      <c r="P518" s="247" t="str">
        <f ca="1">IF(C518="","",IF($P$11="CFPS",[1]!S_STM07_CS(D518,84,$G$5,$H$13)/IF([1]!S_SHARE_TOTAL(D518,$G$5)=0,[1]!S_SHARE_TOTAL(D518,[1]!s_ipo_listeddate(D518)),[1]!S_SHARE_TOTAL(D518,$G$5)),[1]!S_STM07_CS(D518,84,$G$5,$H$13)/$E$5))</f>
        <v/>
      </c>
      <c r="Q518" s="248" t="str">
        <f ca="1">IF(C518="","",F518/([1]!S_STM07_IS(D518,61,$G$5,$H$13)/IF([1]!S_SHARE_TOTAL(D518,$G$5)=0,[1]!S_SHARE_TOTAL(D518,[1]!s_ipo_listeddate(D518)),[1]!S_SHARE_TOTAL(D518,$G$5))))</f>
        <v/>
      </c>
      <c r="R518" s="248" t="str">
        <f ca="1">IF(C518="","",F518/([1]!S_STM07_BS(D518,141,$G$5,$H$13)/IF([1]!S_SHARE_TOTAL(D518,$G$5)=0,[1]!S_SHARE_TOTAL(D518,[1]!s_ipo_listeddate(D518)),[1]!S_SHARE_TOTAL(D518,$G$5))))</f>
        <v/>
      </c>
      <c r="S518" s="247" t="str">
        <f ca="1">IF(C518="","",[1]!S_SHARE_TOTAL(D518,TODAY())/$E$5)</f>
        <v/>
      </c>
      <c r="T518" s="247" t="str">
        <f t="shared" ca="1" si="55"/>
        <v/>
      </c>
      <c r="U518" s="218" t="str">
        <f t="shared" ca="1" si="56"/>
        <v/>
      </c>
      <c r="V518" s="342" t="str">
        <f t="shared" ca="1" si="57"/>
        <v/>
      </c>
      <c r="W518" s="139"/>
      <c r="Y518" s="1"/>
    </row>
    <row r="519" spans="3:25" ht="12" customHeight="1">
      <c r="C519" s="343" t="str">
        <f t="shared" ca="1" si="52"/>
        <v/>
      </c>
      <c r="D519" s="124" t="str">
        <f t="shared" ca="1" si="53"/>
        <v/>
      </c>
      <c r="E519" s="124" t="str">
        <f t="shared" ca="1" si="54"/>
        <v/>
      </c>
      <c r="F519" s="172" t="str">
        <f ca="1">IF(C519="","",[1]!S_DQ_CLOSE(D519,TODAY(),1))</f>
        <v/>
      </c>
      <c r="G519" s="173" t="str">
        <f ca="1">IF(C519="","",[1]!s_pq_pctchange(D519,TODAY()-$G$12,TODAY())/100)</f>
        <v/>
      </c>
      <c r="H519" s="249" t="str">
        <f ca="1">IF(C519="","",IF($H$11="收入",[1]!S_STM07_IS(D519,9,$G$5,$H$13)/$E$5,[1]!S_STM07_IS(D519,48,$G$5,$H$13)/$E$5))</f>
        <v/>
      </c>
      <c r="I519" s="249" t="str">
        <f ca="1">IF(C519="","",IF($I$11="毛利率",([1]!S_STM07_IS(D519,9,$G$5,$H$13)-[1]!S_STM07_IS(D519,10,$G$5,$H$13))/[1]!S_STM07_IS(D519,9,$G$5,$H$13),[1]!S_STM07_IS(D519,14,$G$5,$H$13)/$E$5))</f>
        <v/>
      </c>
      <c r="J519" s="249" t="str">
        <f ca="1">IF(C519="","",IF($J$11="营业利润率",[1]!S_STM07_IS(D519,48,$G$5,$H$13)/[1]!S_STM07_IS(D519,9,$G$5,$H$13),([1]!S_STM07_CS(D519,87,$G$5,$H$13)+[1]!S_STM07_CS(D519,88,$G$5,$H$13)+[1]!S_STM07_CS(D519,89,$G$5,$H$13))/$E$5))</f>
        <v/>
      </c>
      <c r="K519" s="249" t="str">
        <f ca="1">IF(C519="","",IF($K$11="净利润率",[1]!S_STM07_IS(D519,61,$G$5,$H$13)/[1]!S_STM07_IS(D519,9,$G$5,$H$13),[1]!S_STM07_IS(D519,55,$G$5,$H$13)/$E$5))</f>
        <v/>
      </c>
      <c r="L519" s="249" t="str">
        <f ca="1">IF(C519="","",IF($L$11="ROA",[1]!S_STM07_IS(D519,61,$G$5,$H$13)/[1]!S_STM07_BS(D519,74,$G$5,$H$13),1-[1]!S_STM07_IS(D519,61,$G$5,$H$13)/[1]!S_STM07_IS(D519,55,$G$5,$H$13)))</f>
        <v/>
      </c>
      <c r="M519" s="249" t="str">
        <f ca="1">IF(C519="","",IF($M$11="ROE",[1]!S_STM07_IS(D519,61,$G$5,$H$13)/[1]!S_STM07_BS(D519,141,$G$5,$H$13),([1]!S_STM07_BS(D519,25,$G$5,$H$13)-[1]!S_STM07_BS(D519,93,$G$5,$H$13))/$E$5))</f>
        <v/>
      </c>
      <c r="N519" s="250" t="str">
        <f ca="1">IF(C519="","",IF($N$11="EPS",[1]!S_STM07_IS(D519,61,$G$5,$H$13)/IF([1]!S_SHARE_TOTAL(D519,$G$5)=0,[1]!S_SHARE_TOTAL(D519,[1]!s_ipo_listeddate(D519)),[1]!S_SHARE_TOTAL(D519,$G$5)),([1]!S_STM07_BS(D519,75,$G$5,$H$13)+[1]!S_STM07_BS(D519,88,$G$5,$H$13)+[1]!S_STM07_BS(D519,94,$G$5,$H$13)+[1]!S_STM07_BS(D519,95,$G$5,$H$13))/$E$5))</f>
        <v/>
      </c>
      <c r="O519" s="250" t="str">
        <f ca="1">IF(C519="","",IF($O$11="BPS",[1]!S_STM07_BS(D519,141,$G$5,$H$13)/IF([1]!S_SHARE_TOTAL(D519,$G$5)=0,[1]!S_SHARE_TOTAL(D519,[1]!s_ipo_listeddate(D519)),[1]!S_SHARE_TOTAL(D519,$G$5)),[1]!S_STM07_CS(D519,49,$G$5,$H$13)/$E$5))</f>
        <v/>
      </c>
      <c r="P519" s="250" t="str">
        <f ca="1">IF(C519="","",IF($P$11="CFPS",[1]!S_STM07_CS(D519,84,$G$5,$H$13)/IF([1]!S_SHARE_TOTAL(D519,$G$5)=0,[1]!S_SHARE_TOTAL(D519,[1]!s_ipo_listeddate(D519)),[1]!S_SHARE_TOTAL(D519,$G$5)),[1]!S_STM07_CS(D519,84,$G$5,$H$13)/$E$5))</f>
        <v/>
      </c>
      <c r="Q519" s="198" t="str">
        <f ca="1">IF(C519="","",F519/([1]!S_STM07_IS(D519,61,$G$5,$H$13)/IF([1]!S_SHARE_TOTAL(D519,$G$5)=0,[1]!S_SHARE_TOTAL(D519,[1]!s_ipo_listeddate(D519)),[1]!S_SHARE_TOTAL(D519,$G$5))))</f>
        <v/>
      </c>
      <c r="R519" s="198" t="str">
        <f ca="1">IF(C519="","",F519/([1]!S_STM07_BS(D519,141,$G$5,$H$13)/IF([1]!S_SHARE_TOTAL(D519,$G$5)=0,[1]!S_SHARE_TOTAL(D519,[1]!s_ipo_listeddate(D519)),[1]!S_SHARE_TOTAL(D519,$G$5))))</f>
        <v/>
      </c>
      <c r="S519" s="249" t="str">
        <f ca="1">IF(C519="","",[1]!S_SHARE_TOTAL(D519,TODAY())/$E$5)</f>
        <v/>
      </c>
      <c r="T519" s="249" t="str">
        <f t="shared" ca="1" si="55"/>
        <v/>
      </c>
      <c r="U519" s="172" t="str">
        <f t="shared" ca="1" si="56"/>
        <v/>
      </c>
      <c r="V519" s="343" t="str">
        <f t="shared" ca="1" si="57"/>
        <v/>
      </c>
      <c r="W519" s="139"/>
      <c r="Y519" s="1"/>
    </row>
    <row r="520" spans="3:25" ht="12" customHeight="1">
      <c r="C520" s="342" t="str">
        <f t="shared" ca="1" si="52"/>
        <v/>
      </c>
      <c r="D520" s="153" t="str">
        <f t="shared" ca="1" si="53"/>
        <v/>
      </c>
      <c r="E520" s="153" t="str">
        <f t="shared" ca="1" si="54"/>
        <v/>
      </c>
      <c r="F520" s="170" t="str">
        <f ca="1">IF(C520="","",[1]!S_DQ_CLOSE(D520,TODAY(),1))</f>
        <v/>
      </c>
      <c r="G520" s="171" t="str">
        <f ca="1">IF(C520="","",[1]!s_pq_pctchange(D520,TODAY()-$G$12,TODAY())/100)</f>
        <v/>
      </c>
      <c r="H520" s="247" t="str">
        <f ca="1">IF(C520="","",IF($H$11="收入",[1]!S_STM07_IS(D520,9,$G$5,$H$13)/$E$5,[1]!S_STM07_IS(D520,48,$G$5,$H$13)/$E$5))</f>
        <v/>
      </c>
      <c r="I520" s="247" t="str">
        <f ca="1">IF(C520="","",IF($I$11="毛利率",([1]!S_STM07_IS(D520,9,$G$5,$H$13)-[1]!S_STM07_IS(D520,10,$G$5,$H$13))/[1]!S_STM07_IS(D520,9,$G$5,$H$13),[1]!S_STM07_IS(D520,14,$G$5,$H$13)/$E$5))</f>
        <v/>
      </c>
      <c r="J520" s="247" t="str">
        <f ca="1">IF(C520="","",IF($J$11="营业利润率",[1]!S_STM07_IS(D520,48,$G$5,$H$13)/[1]!S_STM07_IS(D520,9,$G$5,$H$13),([1]!S_STM07_CS(D520,87,$G$5,$H$13)+[1]!S_STM07_CS(D520,88,$G$5,$H$13)+[1]!S_STM07_CS(D520,89,$G$5,$H$13))/$E$5))</f>
        <v/>
      </c>
      <c r="K520" s="247" t="str">
        <f ca="1">IF(C520="","",IF($K$11="净利润率",[1]!S_STM07_IS(D520,61,$G$5,$H$13)/[1]!S_STM07_IS(D520,9,$G$5,$H$13),[1]!S_STM07_IS(D520,55,$G$5,$H$13)/$E$5))</f>
        <v/>
      </c>
      <c r="L520" s="247" t="str">
        <f ca="1">IF(C520="","",IF($L$11="ROA",[1]!S_STM07_IS(D520,61,$G$5,$H$13)/[1]!S_STM07_BS(D520,74,$G$5,$H$13),1-[1]!S_STM07_IS(D520,61,$G$5,$H$13)/[1]!S_STM07_IS(D520,55,$G$5,$H$13)))</f>
        <v/>
      </c>
      <c r="M520" s="247" t="str">
        <f ca="1">IF(C520="","",IF($M$11="ROE",[1]!S_STM07_IS(D520,61,$G$5,$H$13)/[1]!S_STM07_BS(D520,141,$G$5,$H$13),([1]!S_STM07_BS(D520,25,$G$5,$H$13)-[1]!S_STM07_BS(D520,93,$G$5,$H$13))/$E$5))</f>
        <v/>
      </c>
      <c r="N520" s="247" t="str">
        <f ca="1">IF(C520="","",IF($N$11="EPS",[1]!S_STM07_IS(D520,61,$G$5,$H$13)/IF([1]!S_SHARE_TOTAL(D520,$G$5)=0,[1]!S_SHARE_TOTAL(D520,[1]!s_ipo_listeddate(D520)),[1]!S_SHARE_TOTAL(D520,$G$5)),([1]!S_STM07_BS(D520,75,$G$5,$H$13)+[1]!S_STM07_BS(D520,88,$G$5,$H$13)+[1]!S_STM07_BS(D520,94,$G$5,$H$13)+[1]!S_STM07_BS(D520,95,$G$5,$H$13))/$E$5))</f>
        <v/>
      </c>
      <c r="O520" s="247" t="str">
        <f ca="1">IF(C520="","",IF($O$11="BPS",[1]!S_STM07_BS(D520,141,$G$5,$H$13)/IF([1]!S_SHARE_TOTAL(D520,$G$5)=0,[1]!S_SHARE_TOTAL(D520,[1]!s_ipo_listeddate(D520)),[1]!S_SHARE_TOTAL(D520,$G$5)),[1]!S_STM07_CS(D520,49,$G$5,$H$13)/$E$5))</f>
        <v/>
      </c>
      <c r="P520" s="247" t="str">
        <f ca="1">IF(C520="","",IF($P$11="CFPS",[1]!S_STM07_CS(D520,84,$G$5,$H$13)/IF([1]!S_SHARE_TOTAL(D520,$G$5)=0,[1]!S_SHARE_TOTAL(D520,[1]!s_ipo_listeddate(D520)),[1]!S_SHARE_TOTAL(D520,$G$5)),[1]!S_STM07_CS(D520,84,$G$5,$H$13)/$E$5))</f>
        <v/>
      </c>
      <c r="Q520" s="248" t="str">
        <f ca="1">IF(C520="","",F520/([1]!S_STM07_IS(D520,61,$G$5,$H$13)/IF([1]!S_SHARE_TOTAL(D520,$G$5)=0,[1]!S_SHARE_TOTAL(D520,[1]!s_ipo_listeddate(D520)),[1]!S_SHARE_TOTAL(D520,$G$5))))</f>
        <v/>
      </c>
      <c r="R520" s="248" t="str">
        <f ca="1">IF(C520="","",F520/([1]!S_STM07_BS(D520,141,$G$5,$H$13)/IF([1]!S_SHARE_TOTAL(D520,$G$5)=0,[1]!S_SHARE_TOTAL(D520,[1]!s_ipo_listeddate(D520)),[1]!S_SHARE_TOTAL(D520,$G$5))))</f>
        <v/>
      </c>
      <c r="S520" s="247" t="str">
        <f ca="1">IF(C520="","",[1]!S_SHARE_TOTAL(D520,TODAY())/$E$5)</f>
        <v/>
      </c>
      <c r="T520" s="247" t="str">
        <f t="shared" ca="1" si="55"/>
        <v/>
      </c>
      <c r="U520" s="218" t="str">
        <f t="shared" ca="1" si="56"/>
        <v/>
      </c>
      <c r="V520" s="342" t="str">
        <f t="shared" ca="1" si="57"/>
        <v/>
      </c>
      <c r="W520" s="139"/>
      <c r="Y520" s="1"/>
    </row>
    <row r="521" spans="3:25" ht="12" customHeight="1">
      <c r="C521" s="343" t="str">
        <f t="shared" ca="1" si="52"/>
        <v/>
      </c>
      <c r="D521" s="124" t="str">
        <f t="shared" ca="1" si="53"/>
        <v/>
      </c>
      <c r="E521" s="124" t="str">
        <f t="shared" ca="1" si="54"/>
        <v/>
      </c>
      <c r="F521" s="172" t="str">
        <f ca="1">IF(C521="","",[1]!S_DQ_CLOSE(D521,TODAY(),1))</f>
        <v/>
      </c>
      <c r="G521" s="173" t="str">
        <f ca="1">IF(C521="","",[1]!s_pq_pctchange(D521,TODAY()-$G$12,TODAY())/100)</f>
        <v/>
      </c>
      <c r="H521" s="249" t="str">
        <f ca="1">IF(C521="","",IF($H$11="收入",[1]!S_STM07_IS(D521,9,$G$5,$H$13)/$E$5,[1]!S_STM07_IS(D521,48,$G$5,$H$13)/$E$5))</f>
        <v/>
      </c>
      <c r="I521" s="249" t="str">
        <f ca="1">IF(C521="","",IF($I$11="毛利率",([1]!S_STM07_IS(D521,9,$G$5,$H$13)-[1]!S_STM07_IS(D521,10,$G$5,$H$13))/[1]!S_STM07_IS(D521,9,$G$5,$H$13),[1]!S_STM07_IS(D521,14,$G$5,$H$13)/$E$5))</f>
        <v/>
      </c>
      <c r="J521" s="249" t="str">
        <f ca="1">IF(C521="","",IF($J$11="营业利润率",[1]!S_STM07_IS(D521,48,$G$5,$H$13)/[1]!S_STM07_IS(D521,9,$G$5,$H$13),([1]!S_STM07_CS(D521,87,$G$5,$H$13)+[1]!S_STM07_CS(D521,88,$G$5,$H$13)+[1]!S_STM07_CS(D521,89,$G$5,$H$13))/$E$5))</f>
        <v/>
      </c>
      <c r="K521" s="249" t="str">
        <f ca="1">IF(C521="","",IF($K$11="净利润率",[1]!S_STM07_IS(D521,61,$G$5,$H$13)/[1]!S_STM07_IS(D521,9,$G$5,$H$13),[1]!S_STM07_IS(D521,55,$G$5,$H$13)/$E$5))</f>
        <v/>
      </c>
      <c r="L521" s="249" t="str">
        <f ca="1">IF(C521="","",IF($L$11="ROA",[1]!S_STM07_IS(D521,61,$G$5,$H$13)/[1]!S_STM07_BS(D521,74,$G$5,$H$13),1-[1]!S_STM07_IS(D521,61,$G$5,$H$13)/[1]!S_STM07_IS(D521,55,$G$5,$H$13)))</f>
        <v/>
      </c>
      <c r="M521" s="249" t="str">
        <f ca="1">IF(C521="","",IF($M$11="ROE",[1]!S_STM07_IS(D521,61,$G$5,$H$13)/[1]!S_STM07_BS(D521,141,$G$5,$H$13),([1]!S_STM07_BS(D521,25,$G$5,$H$13)-[1]!S_STM07_BS(D521,93,$G$5,$H$13))/$E$5))</f>
        <v/>
      </c>
      <c r="N521" s="250" t="str">
        <f ca="1">IF(C521="","",IF($N$11="EPS",[1]!S_STM07_IS(D521,61,$G$5,$H$13)/IF([1]!S_SHARE_TOTAL(D521,$G$5)=0,[1]!S_SHARE_TOTAL(D521,[1]!s_ipo_listeddate(D521)),[1]!S_SHARE_TOTAL(D521,$G$5)),([1]!S_STM07_BS(D521,75,$G$5,$H$13)+[1]!S_STM07_BS(D521,88,$G$5,$H$13)+[1]!S_STM07_BS(D521,94,$G$5,$H$13)+[1]!S_STM07_BS(D521,95,$G$5,$H$13))/$E$5))</f>
        <v/>
      </c>
      <c r="O521" s="250" t="str">
        <f ca="1">IF(C521="","",IF($O$11="BPS",[1]!S_STM07_BS(D521,141,$G$5,$H$13)/IF([1]!S_SHARE_TOTAL(D521,$G$5)=0,[1]!S_SHARE_TOTAL(D521,[1]!s_ipo_listeddate(D521)),[1]!S_SHARE_TOTAL(D521,$G$5)),[1]!S_STM07_CS(D521,49,$G$5,$H$13)/$E$5))</f>
        <v/>
      </c>
      <c r="P521" s="250" t="str">
        <f ca="1">IF(C521="","",IF($P$11="CFPS",[1]!S_STM07_CS(D521,84,$G$5,$H$13)/IF([1]!S_SHARE_TOTAL(D521,$G$5)=0,[1]!S_SHARE_TOTAL(D521,[1]!s_ipo_listeddate(D521)),[1]!S_SHARE_TOTAL(D521,$G$5)),[1]!S_STM07_CS(D521,84,$G$5,$H$13)/$E$5))</f>
        <v/>
      </c>
      <c r="Q521" s="198" t="str">
        <f ca="1">IF(C521="","",F521/([1]!S_STM07_IS(D521,61,$G$5,$H$13)/IF([1]!S_SHARE_TOTAL(D521,$G$5)=0,[1]!S_SHARE_TOTAL(D521,[1]!s_ipo_listeddate(D521)),[1]!S_SHARE_TOTAL(D521,$G$5))))</f>
        <v/>
      </c>
      <c r="R521" s="198" t="str">
        <f ca="1">IF(C521="","",F521/([1]!S_STM07_BS(D521,141,$G$5,$H$13)/IF([1]!S_SHARE_TOTAL(D521,$G$5)=0,[1]!S_SHARE_TOTAL(D521,[1]!s_ipo_listeddate(D521)),[1]!S_SHARE_TOTAL(D521,$G$5))))</f>
        <v/>
      </c>
      <c r="S521" s="249" t="str">
        <f ca="1">IF(C521="","",[1]!S_SHARE_TOTAL(D521,TODAY())/$E$5)</f>
        <v/>
      </c>
      <c r="T521" s="249" t="str">
        <f t="shared" ca="1" si="55"/>
        <v/>
      </c>
      <c r="U521" s="172" t="str">
        <f t="shared" ca="1" si="56"/>
        <v/>
      </c>
      <c r="V521" s="343" t="str">
        <f t="shared" ca="1" si="57"/>
        <v/>
      </c>
      <c r="W521" s="139"/>
      <c r="Y521" s="1"/>
    </row>
    <row r="522" spans="3:25" ht="12" customHeight="1">
      <c r="C522" s="342" t="str">
        <f t="shared" ca="1" si="52"/>
        <v/>
      </c>
      <c r="D522" s="153" t="str">
        <f t="shared" ca="1" si="53"/>
        <v/>
      </c>
      <c r="E522" s="153" t="str">
        <f t="shared" ca="1" si="54"/>
        <v/>
      </c>
      <c r="F522" s="170" t="str">
        <f ca="1">IF(C522="","",[1]!S_DQ_CLOSE(D522,TODAY(),1))</f>
        <v/>
      </c>
      <c r="G522" s="171" t="str">
        <f ca="1">IF(C522="","",[1]!s_pq_pctchange(D522,TODAY()-$G$12,TODAY())/100)</f>
        <v/>
      </c>
      <c r="H522" s="247" t="str">
        <f ca="1">IF(C522="","",IF($H$11="收入",[1]!S_STM07_IS(D522,9,$G$5,$H$13)/$E$5,[1]!S_STM07_IS(D522,48,$G$5,$H$13)/$E$5))</f>
        <v/>
      </c>
      <c r="I522" s="247" t="str">
        <f ca="1">IF(C522="","",IF($I$11="毛利率",([1]!S_STM07_IS(D522,9,$G$5,$H$13)-[1]!S_STM07_IS(D522,10,$G$5,$H$13))/[1]!S_STM07_IS(D522,9,$G$5,$H$13),[1]!S_STM07_IS(D522,14,$G$5,$H$13)/$E$5))</f>
        <v/>
      </c>
      <c r="J522" s="247" t="str">
        <f ca="1">IF(C522="","",IF($J$11="营业利润率",[1]!S_STM07_IS(D522,48,$G$5,$H$13)/[1]!S_STM07_IS(D522,9,$G$5,$H$13),([1]!S_STM07_CS(D522,87,$G$5,$H$13)+[1]!S_STM07_CS(D522,88,$G$5,$H$13)+[1]!S_STM07_CS(D522,89,$G$5,$H$13))/$E$5))</f>
        <v/>
      </c>
      <c r="K522" s="247" t="str">
        <f ca="1">IF(C522="","",IF($K$11="净利润率",[1]!S_STM07_IS(D522,61,$G$5,$H$13)/[1]!S_STM07_IS(D522,9,$G$5,$H$13),[1]!S_STM07_IS(D522,55,$G$5,$H$13)/$E$5))</f>
        <v/>
      </c>
      <c r="L522" s="247" t="str">
        <f ca="1">IF(C522="","",IF($L$11="ROA",[1]!S_STM07_IS(D522,61,$G$5,$H$13)/[1]!S_STM07_BS(D522,74,$G$5,$H$13),1-[1]!S_STM07_IS(D522,61,$G$5,$H$13)/[1]!S_STM07_IS(D522,55,$G$5,$H$13)))</f>
        <v/>
      </c>
      <c r="M522" s="247" t="str">
        <f ca="1">IF(C522="","",IF($M$11="ROE",[1]!S_STM07_IS(D522,61,$G$5,$H$13)/[1]!S_STM07_BS(D522,141,$G$5,$H$13),([1]!S_STM07_BS(D522,25,$G$5,$H$13)-[1]!S_STM07_BS(D522,93,$G$5,$H$13))/$E$5))</f>
        <v/>
      </c>
      <c r="N522" s="247" t="str">
        <f ca="1">IF(C522="","",IF($N$11="EPS",[1]!S_STM07_IS(D522,61,$G$5,$H$13)/IF([1]!S_SHARE_TOTAL(D522,$G$5)=0,[1]!S_SHARE_TOTAL(D522,[1]!s_ipo_listeddate(D522)),[1]!S_SHARE_TOTAL(D522,$G$5)),([1]!S_STM07_BS(D522,75,$G$5,$H$13)+[1]!S_STM07_BS(D522,88,$G$5,$H$13)+[1]!S_STM07_BS(D522,94,$G$5,$H$13)+[1]!S_STM07_BS(D522,95,$G$5,$H$13))/$E$5))</f>
        <v/>
      </c>
      <c r="O522" s="247" t="str">
        <f ca="1">IF(C522="","",IF($O$11="BPS",[1]!S_STM07_BS(D522,141,$G$5,$H$13)/IF([1]!S_SHARE_TOTAL(D522,$G$5)=0,[1]!S_SHARE_TOTAL(D522,[1]!s_ipo_listeddate(D522)),[1]!S_SHARE_TOTAL(D522,$G$5)),[1]!S_STM07_CS(D522,49,$G$5,$H$13)/$E$5))</f>
        <v/>
      </c>
      <c r="P522" s="247" t="str">
        <f ca="1">IF(C522="","",IF($P$11="CFPS",[1]!S_STM07_CS(D522,84,$G$5,$H$13)/IF([1]!S_SHARE_TOTAL(D522,$G$5)=0,[1]!S_SHARE_TOTAL(D522,[1]!s_ipo_listeddate(D522)),[1]!S_SHARE_TOTAL(D522,$G$5)),[1]!S_STM07_CS(D522,84,$G$5,$H$13)/$E$5))</f>
        <v/>
      </c>
      <c r="Q522" s="248" t="str">
        <f ca="1">IF(C522="","",F522/([1]!S_STM07_IS(D522,61,$G$5,$H$13)/IF([1]!S_SHARE_TOTAL(D522,$G$5)=0,[1]!S_SHARE_TOTAL(D522,[1]!s_ipo_listeddate(D522)),[1]!S_SHARE_TOTAL(D522,$G$5))))</f>
        <v/>
      </c>
      <c r="R522" s="248" t="str">
        <f ca="1">IF(C522="","",F522/([1]!S_STM07_BS(D522,141,$G$5,$H$13)/IF([1]!S_SHARE_TOTAL(D522,$G$5)=0,[1]!S_SHARE_TOTAL(D522,[1]!s_ipo_listeddate(D522)),[1]!S_SHARE_TOTAL(D522,$G$5))))</f>
        <v/>
      </c>
      <c r="S522" s="247" t="str">
        <f ca="1">IF(C522="","",[1]!S_SHARE_TOTAL(D522,TODAY())/$E$5)</f>
        <v/>
      </c>
      <c r="T522" s="247" t="str">
        <f t="shared" ca="1" si="55"/>
        <v/>
      </c>
      <c r="U522" s="218" t="str">
        <f t="shared" ca="1" si="56"/>
        <v/>
      </c>
      <c r="V522" s="342" t="str">
        <f t="shared" ca="1" si="57"/>
        <v/>
      </c>
      <c r="W522" s="139"/>
      <c r="Y522" s="1"/>
    </row>
    <row r="523" spans="3:25" ht="12" customHeight="1">
      <c r="C523" s="343" t="str">
        <f t="shared" ca="1" si="52"/>
        <v/>
      </c>
      <c r="D523" s="124" t="str">
        <f t="shared" ca="1" si="53"/>
        <v/>
      </c>
      <c r="E523" s="124" t="str">
        <f t="shared" ca="1" si="54"/>
        <v/>
      </c>
      <c r="F523" s="172" t="str">
        <f ca="1">IF(C523="","",[1]!S_DQ_CLOSE(D523,TODAY(),1))</f>
        <v/>
      </c>
      <c r="G523" s="173" t="str">
        <f ca="1">IF(C523="","",[1]!s_pq_pctchange(D523,TODAY()-$G$12,TODAY())/100)</f>
        <v/>
      </c>
      <c r="H523" s="249" t="str">
        <f ca="1">IF(C523="","",IF($H$11="收入",[1]!S_STM07_IS(D523,9,$G$5,$H$13)/$E$5,[1]!S_STM07_IS(D523,48,$G$5,$H$13)/$E$5))</f>
        <v/>
      </c>
      <c r="I523" s="249" t="str">
        <f ca="1">IF(C523="","",IF($I$11="毛利率",([1]!S_STM07_IS(D523,9,$G$5,$H$13)-[1]!S_STM07_IS(D523,10,$G$5,$H$13))/[1]!S_STM07_IS(D523,9,$G$5,$H$13),[1]!S_STM07_IS(D523,14,$G$5,$H$13)/$E$5))</f>
        <v/>
      </c>
      <c r="J523" s="249" t="str">
        <f ca="1">IF(C523="","",IF($J$11="营业利润率",[1]!S_STM07_IS(D523,48,$G$5,$H$13)/[1]!S_STM07_IS(D523,9,$G$5,$H$13),([1]!S_STM07_CS(D523,87,$G$5,$H$13)+[1]!S_STM07_CS(D523,88,$G$5,$H$13)+[1]!S_STM07_CS(D523,89,$G$5,$H$13))/$E$5))</f>
        <v/>
      </c>
      <c r="K523" s="249" t="str">
        <f ca="1">IF(C523="","",IF($K$11="净利润率",[1]!S_STM07_IS(D523,61,$G$5,$H$13)/[1]!S_STM07_IS(D523,9,$G$5,$H$13),[1]!S_STM07_IS(D523,55,$G$5,$H$13)/$E$5))</f>
        <v/>
      </c>
      <c r="L523" s="249" t="str">
        <f ca="1">IF(C523="","",IF($L$11="ROA",[1]!S_STM07_IS(D523,61,$G$5,$H$13)/[1]!S_STM07_BS(D523,74,$G$5,$H$13),1-[1]!S_STM07_IS(D523,61,$G$5,$H$13)/[1]!S_STM07_IS(D523,55,$G$5,$H$13)))</f>
        <v/>
      </c>
      <c r="M523" s="249" t="str">
        <f ca="1">IF(C523="","",IF($M$11="ROE",[1]!S_STM07_IS(D523,61,$G$5,$H$13)/[1]!S_STM07_BS(D523,141,$G$5,$H$13),([1]!S_STM07_BS(D523,25,$G$5,$H$13)-[1]!S_STM07_BS(D523,93,$G$5,$H$13))/$E$5))</f>
        <v/>
      </c>
      <c r="N523" s="250" t="str">
        <f ca="1">IF(C523="","",IF($N$11="EPS",[1]!S_STM07_IS(D523,61,$G$5,$H$13)/IF([1]!S_SHARE_TOTAL(D523,$G$5)=0,[1]!S_SHARE_TOTAL(D523,[1]!s_ipo_listeddate(D523)),[1]!S_SHARE_TOTAL(D523,$G$5)),([1]!S_STM07_BS(D523,75,$G$5,$H$13)+[1]!S_STM07_BS(D523,88,$G$5,$H$13)+[1]!S_STM07_BS(D523,94,$G$5,$H$13)+[1]!S_STM07_BS(D523,95,$G$5,$H$13))/$E$5))</f>
        <v/>
      </c>
      <c r="O523" s="250" t="str">
        <f ca="1">IF(C523="","",IF($O$11="BPS",[1]!S_STM07_BS(D523,141,$G$5,$H$13)/IF([1]!S_SHARE_TOTAL(D523,$G$5)=0,[1]!S_SHARE_TOTAL(D523,[1]!s_ipo_listeddate(D523)),[1]!S_SHARE_TOTAL(D523,$G$5)),[1]!S_STM07_CS(D523,49,$G$5,$H$13)/$E$5))</f>
        <v/>
      </c>
      <c r="P523" s="250" t="str">
        <f ca="1">IF(C523="","",IF($P$11="CFPS",[1]!S_STM07_CS(D523,84,$G$5,$H$13)/IF([1]!S_SHARE_TOTAL(D523,$G$5)=0,[1]!S_SHARE_TOTAL(D523,[1]!s_ipo_listeddate(D523)),[1]!S_SHARE_TOTAL(D523,$G$5)),[1]!S_STM07_CS(D523,84,$G$5,$H$13)/$E$5))</f>
        <v/>
      </c>
      <c r="Q523" s="198" t="str">
        <f ca="1">IF(C523="","",F523/([1]!S_STM07_IS(D523,61,$G$5,$H$13)/IF([1]!S_SHARE_TOTAL(D523,$G$5)=0,[1]!S_SHARE_TOTAL(D523,[1]!s_ipo_listeddate(D523)),[1]!S_SHARE_TOTAL(D523,$G$5))))</f>
        <v/>
      </c>
      <c r="R523" s="198" t="str">
        <f ca="1">IF(C523="","",F523/([1]!S_STM07_BS(D523,141,$G$5,$H$13)/IF([1]!S_SHARE_TOTAL(D523,$G$5)=0,[1]!S_SHARE_TOTAL(D523,[1]!s_ipo_listeddate(D523)),[1]!S_SHARE_TOTAL(D523,$G$5))))</f>
        <v/>
      </c>
      <c r="S523" s="249" t="str">
        <f ca="1">IF(C523="","",[1]!S_SHARE_TOTAL(D523,TODAY())/$E$5)</f>
        <v/>
      </c>
      <c r="T523" s="249" t="str">
        <f t="shared" ca="1" si="55"/>
        <v/>
      </c>
      <c r="U523" s="172" t="str">
        <f t="shared" ca="1" si="56"/>
        <v/>
      </c>
      <c r="V523" s="343" t="str">
        <f t="shared" ca="1" si="57"/>
        <v/>
      </c>
      <c r="W523" s="139"/>
      <c r="Y523" s="1"/>
    </row>
    <row r="524" spans="3:25" ht="12" customHeight="1">
      <c r="C524" s="342" t="str">
        <f t="shared" ca="1" si="52"/>
        <v/>
      </c>
      <c r="D524" s="153" t="str">
        <f t="shared" ca="1" si="53"/>
        <v/>
      </c>
      <c r="E524" s="153" t="str">
        <f t="shared" ca="1" si="54"/>
        <v/>
      </c>
      <c r="F524" s="170" t="str">
        <f ca="1">IF(C524="","",[1]!S_DQ_CLOSE(D524,TODAY(),1))</f>
        <v/>
      </c>
      <c r="G524" s="171" t="str">
        <f ca="1">IF(C524="","",[1]!s_pq_pctchange(D524,TODAY()-$G$12,TODAY())/100)</f>
        <v/>
      </c>
      <c r="H524" s="247" t="str">
        <f ca="1">IF(C524="","",IF($H$11="收入",[1]!S_STM07_IS(D524,9,$G$5,$H$13)/$E$5,[1]!S_STM07_IS(D524,48,$G$5,$H$13)/$E$5))</f>
        <v/>
      </c>
      <c r="I524" s="247" t="str">
        <f ca="1">IF(C524="","",IF($I$11="毛利率",([1]!S_STM07_IS(D524,9,$G$5,$H$13)-[1]!S_STM07_IS(D524,10,$G$5,$H$13))/[1]!S_STM07_IS(D524,9,$G$5,$H$13),[1]!S_STM07_IS(D524,14,$G$5,$H$13)/$E$5))</f>
        <v/>
      </c>
      <c r="J524" s="247" t="str">
        <f ca="1">IF(C524="","",IF($J$11="营业利润率",[1]!S_STM07_IS(D524,48,$G$5,$H$13)/[1]!S_STM07_IS(D524,9,$G$5,$H$13),([1]!S_STM07_CS(D524,87,$G$5,$H$13)+[1]!S_STM07_CS(D524,88,$G$5,$H$13)+[1]!S_STM07_CS(D524,89,$G$5,$H$13))/$E$5))</f>
        <v/>
      </c>
      <c r="K524" s="247" t="str">
        <f ca="1">IF(C524="","",IF($K$11="净利润率",[1]!S_STM07_IS(D524,61,$G$5,$H$13)/[1]!S_STM07_IS(D524,9,$G$5,$H$13),[1]!S_STM07_IS(D524,55,$G$5,$H$13)/$E$5))</f>
        <v/>
      </c>
      <c r="L524" s="247" t="str">
        <f ca="1">IF(C524="","",IF($L$11="ROA",[1]!S_STM07_IS(D524,61,$G$5,$H$13)/[1]!S_STM07_BS(D524,74,$G$5,$H$13),1-[1]!S_STM07_IS(D524,61,$G$5,$H$13)/[1]!S_STM07_IS(D524,55,$G$5,$H$13)))</f>
        <v/>
      </c>
      <c r="M524" s="247" t="str">
        <f ca="1">IF(C524="","",IF($M$11="ROE",[1]!S_STM07_IS(D524,61,$G$5,$H$13)/[1]!S_STM07_BS(D524,141,$G$5,$H$13),([1]!S_STM07_BS(D524,25,$G$5,$H$13)-[1]!S_STM07_BS(D524,93,$G$5,$H$13))/$E$5))</f>
        <v/>
      </c>
      <c r="N524" s="247" t="str">
        <f ca="1">IF(C524="","",IF($N$11="EPS",[1]!S_STM07_IS(D524,61,$G$5,$H$13)/IF([1]!S_SHARE_TOTAL(D524,$G$5)=0,[1]!S_SHARE_TOTAL(D524,[1]!s_ipo_listeddate(D524)),[1]!S_SHARE_TOTAL(D524,$G$5)),([1]!S_STM07_BS(D524,75,$G$5,$H$13)+[1]!S_STM07_BS(D524,88,$G$5,$H$13)+[1]!S_STM07_BS(D524,94,$G$5,$H$13)+[1]!S_STM07_BS(D524,95,$G$5,$H$13))/$E$5))</f>
        <v/>
      </c>
      <c r="O524" s="247" t="str">
        <f ca="1">IF(C524="","",IF($O$11="BPS",[1]!S_STM07_BS(D524,141,$G$5,$H$13)/IF([1]!S_SHARE_TOTAL(D524,$G$5)=0,[1]!S_SHARE_TOTAL(D524,[1]!s_ipo_listeddate(D524)),[1]!S_SHARE_TOTAL(D524,$G$5)),[1]!S_STM07_CS(D524,49,$G$5,$H$13)/$E$5))</f>
        <v/>
      </c>
      <c r="P524" s="247" t="str">
        <f ca="1">IF(C524="","",IF($P$11="CFPS",[1]!S_STM07_CS(D524,84,$G$5,$H$13)/IF([1]!S_SHARE_TOTAL(D524,$G$5)=0,[1]!S_SHARE_TOTAL(D524,[1]!s_ipo_listeddate(D524)),[1]!S_SHARE_TOTAL(D524,$G$5)),[1]!S_STM07_CS(D524,84,$G$5,$H$13)/$E$5))</f>
        <v/>
      </c>
      <c r="Q524" s="248" t="str">
        <f ca="1">IF(C524="","",F524/([1]!S_STM07_IS(D524,61,$G$5,$H$13)/IF([1]!S_SHARE_TOTAL(D524,$G$5)=0,[1]!S_SHARE_TOTAL(D524,[1]!s_ipo_listeddate(D524)),[1]!S_SHARE_TOTAL(D524,$G$5))))</f>
        <v/>
      </c>
      <c r="R524" s="248" t="str">
        <f ca="1">IF(C524="","",F524/([1]!S_STM07_BS(D524,141,$G$5,$H$13)/IF([1]!S_SHARE_TOTAL(D524,$G$5)=0,[1]!S_SHARE_TOTAL(D524,[1]!s_ipo_listeddate(D524)),[1]!S_SHARE_TOTAL(D524,$G$5))))</f>
        <v/>
      </c>
      <c r="S524" s="247" t="str">
        <f ca="1">IF(C524="","",[1]!S_SHARE_TOTAL(D524,TODAY())/$E$5)</f>
        <v/>
      </c>
      <c r="T524" s="247" t="str">
        <f t="shared" ca="1" si="55"/>
        <v/>
      </c>
      <c r="U524" s="218" t="str">
        <f t="shared" ca="1" si="56"/>
        <v/>
      </c>
      <c r="V524" s="342" t="str">
        <f t="shared" ca="1" si="57"/>
        <v/>
      </c>
      <c r="W524" s="139"/>
      <c r="Y524" s="1"/>
    </row>
    <row r="525" spans="3:25" ht="12" customHeight="1">
      <c r="C525" s="343" t="str">
        <f t="shared" ca="1" si="52"/>
        <v/>
      </c>
      <c r="D525" s="124" t="str">
        <f t="shared" ca="1" si="53"/>
        <v/>
      </c>
      <c r="E525" s="124" t="str">
        <f t="shared" ca="1" si="54"/>
        <v/>
      </c>
      <c r="F525" s="172" t="str">
        <f ca="1">IF(C525="","",[1]!S_DQ_CLOSE(D525,TODAY(),1))</f>
        <v/>
      </c>
      <c r="G525" s="173" t="str">
        <f ca="1">IF(C525="","",[1]!s_pq_pctchange(D525,TODAY()-$G$12,TODAY())/100)</f>
        <v/>
      </c>
      <c r="H525" s="249" t="str">
        <f ca="1">IF(C525="","",IF($H$11="收入",[1]!S_STM07_IS(D525,9,$G$5,$H$13)/$E$5,[1]!S_STM07_IS(D525,48,$G$5,$H$13)/$E$5))</f>
        <v/>
      </c>
      <c r="I525" s="249" t="str">
        <f ca="1">IF(C525="","",IF($I$11="毛利率",([1]!S_STM07_IS(D525,9,$G$5,$H$13)-[1]!S_STM07_IS(D525,10,$G$5,$H$13))/[1]!S_STM07_IS(D525,9,$G$5,$H$13),[1]!S_STM07_IS(D525,14,$G$5,$H$13)/$E$5))</f>
        <v/>
      </c>
      <c r="J525" s="249" t="str">
        <f ca="1">IF(C525="","",IF($J$11="营业利润率",[1]!S_STM07_IS(D525,48,$G$5,$H$13)/[1]!S_STM07_IS(D525,9,$G$5,$H$13),([1]!S_STM07_CS(D525,87,$G$5,$H$13)+[1]!S_STM07_CS(D525,88,$G$5,$H$13)+[1]!S_STM07_CS(D525,89,$G$5,$H$13))/$E$5))</f>
        <v/>
      </c>
      <c r="K525" s="249" t="str">
        <f ca="1">IF(C525="","",IF($K$11="净利润率",[1]!S_STM07_IS(D525,61,$G$5,$H$13)/[1]!S_STM07_IS(D525,9,$G$5,$H$13),[1]!S_STM07_IS(D525,55,$G$5,$H$13)/$E$5))</f>
        <v/>
      </c>
      <c r="L525" s="249" t="str">
        <f ca="1">IF(C525="","",IF($L$11="ROA",[1]!S_STM07_IS(D525,61,$G$5,$H$13)/[1]!S_STM07_BS(D525,74,$G$5,$H$13),1-[1]!S_STM07_IS(D525,61,$G$5,$H$13)/[1]!S_STM07_IS(D525,55,$G$5,$H$13)))</f>
        <v/>
      </c>
      <c r="M525" s="249" t="str">
        <f ca="1">IF(C525="","",IF($M$11="ROE",[1]!S_STM07_IS(D525,61,$G$5,$H$13)/[1]!S_STM07_BS(D525,141,$G$5,$H$13),([1]!S_STM07_BS(D525,25,$G$5,$H$13)-[1]!S_STM07_BS(D525,93,$G$5,$H$13))/$E$5))</f>
        <v/>
      </c>
      <c r="N525" s="250" t="str">
        <f ca="1">IF(C525="","",IF($N$11="EPS",[1]!S_STM07_IS(D525,61,$G$5,$H$13)/IF([1]!S_SHARE_TOTAL(D525,$G$5)=0,[1]!S_SHARE_TOTAL(D525,[1]!s_ipo_listeddate(D525)),[1]!S_SHARE_TOTAL(D525,$G$5)),([1]!S_STM07_BS(D525,75,$G$5,$H$13)+[1]!S_STM07_BS(D525,88,$G$5,$H$13)+[1]!S_STM07_BS(D525,94,$G$5,$H$13)+[1]!S_STM07_BS(D525,95,$G$5,$H$13))/$E$5))</f>
        <v/>
      </c>
      <c r="O525" s="250" t="str">
        <f ca="1">IF(C525="","",IF($O$11="BPS",[1]!S_STM07_BS(D525,141,$G$5,$H$13)/IF([1]!S_SHARE_TOTAL(D525,$G$5)=0,[1]!S_SHARE_TOTAL(D525,[1]!s_ipo_listeddate(D525)),[1]!S_SHARE_TOTAL(D525,$G$5)),[1]!S_STM07_CS(D525,49,$G$5,$H$13)/$E$5))</f>
        <v/>
      </c>
      <c r="P525" s="250" t="str">
        <f ca="1">IF(C525="","",IF($P$11="CFPS",[1]!S_STM07_CS(D525,84,$G$5,$H$13)/IF([1]!S_SHARE_TOTAL(D525,$G$5)=0,[1]!S_SHARE_TOTAL(D525,[1]!s_ipo_listeddate(D525)),[1]!S_SHARE_TOTAL(D525,$G$5)),[1]!S_STM07_CS(D525,84,$G$5,$H$13)/$E$5))</f>
        <v/>
      </c>
      <c r="Q525" s="198" t="str">
        <f ca="1">IF(C525="","",F525/([1]!S_STM07_IS(D525,61,$G$5,$H$13)/IF([1]!S_SHARE_TOTAL(D525,$G$5)=0,[1]!S_SHARE_TOTAL(D525,[1]!s_ipo_listeddate(D525)),[1]!S_SHARE_TOTAL(D525,$G$5))))</f>
        <v/>
      </c>
      <c r="R525" s="198" t="str">
        <f ca="1">IF(C525="","",F525/([1]!S_STM07_BS(D525,141,$G$5,$H$13)/IF([1]!S_SHARE_TOTAL(D525,$G$5)=0,[1]!S_SHARE_TOTAL(D525,[1]!s_ipo_listeddate(D525)),[1]!S_SHARE_TOTAL(D525,$G$5))))</f>
        <v/>
      </c>
      <c r="S525" s="249" t="str">
        <f ca="1">IF(C525="","",[1]!S_SHARE_TOTAL(D525,TODAY())/$E$5)</f>
        <v/>
      </c>
      <c r="T525" s="249" t="str">
        <f t="shared" ca="1" si="55"/>
        <v/>
      </c>
      <c r="U525" s="172" t="str">
        <f t="shared" ca="1" si="56"/>
        <v/>
      </c>
      <c r="V525" s="343" t="str">
        <f t="shared" ca="1" si="57"/>
        <v/>
      </c>
      <c r="W525" s="139"/>
      <c r="Y525" s="1"/>
    </row>
    <row r="526" spans="3:25" ht="12" customHeight="1">
      <c r="C526" s="342" t="str">
        <f t="shared" ref="C526:C589" ca="1" si="58">IF(ROW()-13&lt;=MAX(series),ROW()-13,"")</f>
        <v/>
      </c>
      <c r="D526" s="153" t="str">
        <f t="shared" ca="1" si="53"/>
        <v/>
      </c>
      <c r="E526" s="153" t="str">
        <f t="shared" ca="1" si="54"/>
        <v/>
      </c>
      <c r="F526" s="170" t="str">
        <f ca="1">IF(C526="","",[1]!S_DQ_CLOSE(D526,TODAY(),1))</f>
        <v/>
      </c>
      <c r="G526" s="171" t="str">
        <f ca="1">IF(C526="","",[1]!s_pq_pctchange(D526,TODAY()-$G$12,TODAY())/100)</f>
        <v/>
      </c>
      <c r="H526" s="247" t="str">
        <f ca="1">IF(C526="","",IF($H$11="收入",[1]!S_STM07_IS(D526,9,$G$5,$H$13)/$E$5,[1]!S_STM07_IS(D526,48,$G$5,$H$13)/$E$5))</f>
        <v/>
      </c>
      <c r="I526" s="247" t="str">
        <f ca="1">IF(C526="","",IF($I$11="毛利率",([1]!S_STM07_IS(D526,9,$G$5,$H$13)-[1]!S_STM07_IS(D526,10,$G$5,$H$13))/[1]!S_STM07_IS(D526,9,$G$5,$H$13),[1]!S_STM07_IS(D526,14,$G$5,$H$13)/$E$5))</f>
        <v/>
      </c>
      <c r="J526" s="247" t="str">
        <f ca="1">IF(C526="","",IF($J$11="营业利润率",[1]!S_STM07_IS(D526,48,$G$5,$H$13)/[1]!S_STM07_IS(D526,9,$G$5,$H$13),([1]!S_STM07_CS(D526,87,$G$5,$H$13)+[1]!S_STM07_CS(D526,88,$G$5,$H$13)+[1]!S_STM07_CS(D526,89,$G$5,$H$13))/$E$5))</f>
        <v/>
      </c>
      <c r="K526" s="247" t="str">
        <f ca="1">IF(C526="","",IF($K$11="净利润率",[1]!S_STM07_IS(D526,61,$G$5,$H$13)/[1]!S_STM07_IS(D526,9,$G$5,$H$13),[1]!S_STM07_IS(D526,55,$G$5,$H$13)/$E$5))</f>
        <v/>
      </c>
      <c r="L526" s="247" t="str">
        <f ca="1">IF(C526="","",IF($L$11="ROA",[1]!S_STM07_IS(D526,61,$G$5,$H$13)/[1]!S_STM07_BS(D526,74,$G$5,$H$13),1-[1]!S_STM07_IS(D526,61,$G$5,$H$13)/[1]!S_STM07_IS(D526,55,$G$5,$H$13)))</f>
        <v/>
      </c>
      <c r="M526" s="247" t="str">
        <f ca="1">IF(C526="","",IF($M$11="ROE",[1]!S_STM07_IS(D526,61,$G$5,$H$13)/[1]!S_STM07_BS(D526,141,$G$5,$H$13),([1]!S_STM07_BS(D526,25,$G$5,$H$13)-[1]!S_STM07_BS(D526,93,$G$5,$H$13))/$E$5))</f>
        <v/>
      </c>
      <c r="N526" s="247" t="str">
        <f ca="1">IF(C526="","",IF($N$11="EPS",[1]!S_STM07_IS(D526,61,$G$5,$H$13)/IF([1]!S_SHARE_TOTAL(D526,$G$5)=0,[1]!S_SHARE_TOTAL(D526,[1]!s_ipo_listeddate(D526)),[1]!S_SHARE_TOTAL(D526,$G$5)),([1]!S_STM07_BS(D526,75,$G$5,$H$13)+[1]!S_STM07_BS(D526,88,$G$5,$H$13)+[1]!S_STM07_BS(D526,94,$G$5,$H$13)+[1]!S_STM07_BS(D526,95,$G$5,$H$13))/$E$5))</f>
        <v/>
      </c>
      <c r="O526" s="247" t="str">
        <f ca="1">IF(C526="","",IF($O$11="BPS",[1]!S_STM07_BS(D526,141,$G$5,$H$13)/IF([1]!S_SHARE_TOTAL(D526,$G$5)=0,[1]!S_SHARE_TOTAL(D526,[1]!s_ipo_listeddate(D526)),[1]!S_SHARE_TOTAL(D526,$G$5)),[1]!S_STM07_CS(D526,49,$G$5,$H$13)/$E$5))</f>
        <v/>
      </c>
      <c r="P526" s="247" t="str">
        <f ca="1">IF(C526="","",IF($P$11="CFPS",[1]!S_STM07_CS(D526,84,$G$5,$H$13)/IF([1]!S_SHARE_TOTAL(D526,$G$5)=0,[1]!S_SHARE_TOTAL(D526,[1]!s_ipo_listeddate(D526)),[1]!S_SHARE_TOTAL(D526,$G$5)),[1]!S_STM07_CS(D526,84,$G$5,$H$13)/$E$5))</f>
        <v/>
      </c>
      <c r="Q526" s="248" t="str">
        <f ca="1">IF(C526="","",F526/([1]!S_STM07_IS(D526,61,$G$5,$H$13)/IF([1]!S_SHARE_TOTAL(D526,$G$5)=0,[1]!S_SHARE_TOTAL(D526,[1]!s_ipo_listeddate(D526)),[1]!S_SHARE_TOTAL(D526,$G$5))))</f>
        <v/>
      </c>
      <c r="R526" s="248" t="str">
        <f ca="1">IF(C526="","",F526/([1]!S_STM07_BS(D526,141,$G$5,$H$13)/IF([1]!S_SHARE_TOTAL(D526,$G$5)=0,[1]!S_SHARE_TOTAL(D526,[1]!s_ipo_listeddate(D526)),[1]!S_SHARE_TOTAL(D526,$G$5))))</f>
        <v/>
      </c>
      <c r="S526" s="247" t="str">
        <f ca="1">IF(C526="","",[1]!S_SHARE_TOTAL(D526,TODAY())/$E$5)</f>
        <v/>
      </c>
      <c r="T526" s="247" t="str">
        <f t="shared" ca="1" si="55"/>
        <v/>
      </c>
      <c r="U526" s="218" t="str">
        <f t="shared" ca="1" si="56"/>
        <v/>
      </c>
      <c r="V526" s="342" t="str">
        <f t="shared" ca="1" si="57"/>
        <v/>
      </c>
      <c r="W526" s="139"/>
      <c r="Y526" s="1"/>
    </row>
    <row r="527" spans="3:25" ht="12" customHeight="1">
      <c r="C527" s="343" t="str">
        <f t="shared" ca="1" si="58"/>
        <v/>
      </c>
      <c r="D527" s="124" t="str">
        <f t="shared" ca="1" si="53"/>
        <v/>
      </c>
      <c r="E527" s="124" t="str">
        <f t="shared" ca="1" si="54"/>
        <v/>
      </c>
      <c r="F527" s="172" t="str">
        <f ca="1">IF(C527="","",[1]!S_DQ_CLOSE(D527,TODAY(),1))</f>
        <v/>
      </c>
      <c r="G527" s="173" t="str">
        <f ca="1">IF(C527="","",[1]!s_pq_pctchange(D527,TODAY()-$G$12,TODAY())/100)</f>
        <v/>
      </c>
      <c r="H527" s="249" t="str">
        <f ca="1">IF(C527="","",IF($H$11="收入",[1]!S_STM07_IS(D527,9,$G$5,$H$13)/$E$5,[1]!S_STM07_IS(D527,48,$G$5,$H$13)/$E$5))</f>
        <v/>
      </c>
      <c r="I527" s="249" t="str">
        <f ca="1">IF(C527="","",IF($I$11="毛利率",([1]!S_STM07_IS(D527,9,$G$5,$H$13)-[1]!S_STM07_IS(D527,10,$G$5,$H$13))/[1]!S_STM07_IS(D527,9,$G$5,$H$13),[1]!S_STM07_IS(D527,14,$G$5,$H$13)/$E$5))</f>
        <v/>
      </c>
      <c r="J527" s="249" t="str">
        <f ca="1">IF(C527="","",IF($J$11="营业利润率",[1]!S_STM07_IS(D527,48,$G$5,$H$13)/[1]!S_STM07_IS(D527,9,$G$5,$H$13),([1]!S_STM07_CS(D527,87,$G$5,$H$13)+[1]!S_STM07_CS(D527,88,$G$5,$H$13)+[1]!S_STM07_CS(D527,89,$G$5,$H$13))/$E$5))</f>
        <v/>
      </c>
      <c r="K527" s="249" t="str">
        <f ca="1">IF(C527="","",IF($K$11="净利润率",[1]!S_STM07_IS(D527,61,$G$5,$H$13)/[1]!S_STM07_IS(D527,9,$G$5,$H$13),[1]!S_STM07_IS(D527,55,$G$5,$H$13)/$E$5))</f>
        <v/>
      </c>
      <c r="L527" s="249" t="str">
        <f ca="1">IF(C527="","",IF($L$11="ROA",[1]!S_STM07_IS(D527,61,$G$5,$H$13)/[1]!S_STM07_BS(D527,74,$G$5,$H$13),1-[1]!S_STM07_IS(D527,61,$G$5,$H$13)/[1]!S_STM07_IS(D527,55,$G$5,$H$13)))</f>
        <v/>
      </c>
      <c r="M527" s="249" t="str">
        <f ca="1">IF(C527="","",IF($M$11="ROE",[1]!S_STM07_IS(D527,61,$G$5,$H$13)/[1]!S_STM07_BS(D527,141,$G$5,$H$13),([1]!S_STM07_BS(D527,25,$G$5,$H$13)-[1]!S_STM07_BS(D527,93,$G$5,$H$13))/$E$5))</f>
        <v/>
      </c>
      <c r="N527" s="250" t="str">
        <f ca="1">IF(C527="","",IF($N$11="EPS",[1]!S_STM07_IS(D527,61,$G$5,$H$13)/IF([1]!S_SHARE_TOTAL(D527,$G$5)=0,[1]!S_SHARE_TOTAL(D527,[1]!s_ipo_listeddate(D527)),[1]!S_SHARE_TOTAL(D527,$G$5)),([1]!S_STM07_BS(D527,75,$G$5,$H$13)+[1]!S_STM07_BS(D527,88,$G$5,$H$13)+[1]!S_STM07_BS(D527,94,$G$5,$H$13)+[1]!S_STM07_BS(D527,95,$G$5,$H$13))/$E$5))</f>
        <v/>
      </c>
      <c r="O527" s="250" t="str">
        <f ca="1">IF(C527="","",IF($O$11="BPS",[1]!S_STM07_BS(D527,141,$G$5,$H$13)/IF([1]!S_SHARE_TOTAL(D527,$G$5)=0,[1]!S_SHARE_TOTAL(D527,[1]!s_ipo_listeddate(D527)),[1]!S_SHARE_TOTAL(D527,$G$5)),[1]!S_STM07_CS(D527,49,$G$5,$H$13)/$E$5))</f>
        <v/>
      </c>
      <c r="P527" s="250" t="str">
        <f ca="1">IF(C527="","",IF($P$11="CFPS",[1]!S_STM07_CS(D527,84,$G$5,$H$13)/IF([1]!S_SHARE_TOTAL(D527,$G$5)=0,[1]!S_SHARE_TOTAL(D527,[1]!s_ipo_listeddate(D527)),[1]!S_SHARE_TOTAL(D527,$G$5)),[1]!S_STM07_CS(D527,84,$G$5,$H$13)/$E$5))</f>
        <v/>
      </c>
      <c r="Q527" s="198" t="str">
        <f ca="1">IF(C527="","",F527/([1]!S_STM07_IS(D527,61,$G$5,$H$13)/IF([1]!S_SHARE_TOTAL(D527,$G$5)=0,[1]!S_SHARE_TOTAL(D527,[1]!s_ipo_listeddate(D527)),[1]!S_SHARE_TOTAL(D527,$G$5))))</f>
        <v/>
      </c>
      <c r="R527" s="198" t="str">
        <f ca="1">IF(C527="","",F527/([1]!S_STM07_BS(D527,141,$G$5,$H$13)/IF([1]!S_SHARE_TOTAL(D527,$G$5)=0,[1]!S_SHARE_TOTAL(D527,[1]!s_ipo_listeddate(D527)),[1]!S_SHARE_TOTAL(D527,$G$5))))</f>
        <v/>
      </c>
      <c r="S527" s="249" t="str">
        <f ca="1">IF(C527="","",[1]!S_SHARE_TOTAL(D527,TODAY())/$E$5)</f>
        <v/>
      </c>
      <c r="T527" s="249" t="str">
        <f t="shared" ca="1" si="55"/>
        <v/>
      </c>
      <c r="U527" s="172" t="str">
        <f t="shared" ca="1" si="56"/>
        <v/>
      </c>
      <c r="V527" s="343" t="str">
        <f t="shared" ca="1" si="57"/>
        <v/>
      </c>
      <c r="W527" s="139"/>
      <c r="Y527" s="1"/>
    </row>
    <row r="528" spans="3:25" ht="12" customHeight="1">
      <c r="C528" s="342" t="str">
        <f t="shared" ca="1" si="58"/>
        <v/>
      </c>
      <c r="D528" s="153" t="str">
        <f t="shared" ca="1" si="53"/>
        <v/>
      </c>
      <c r="E528" s="153" t="str">
        <f t="shared" ca="1" si="54"/>
        <v/>
      </c>
      <c r="F528" s="170" t="str">
        <f ca="1">IF(C528="","",[1]!S_DQ_CLOSE(D528,TODAY(),1))</f>
        <v/>
      </c>
      <c r="G528" s="171" t="str">
        <f ca="1">IF(C528="","",[1]!s_pq_pctchange(D528,TODAY()-$G$12,TODAY())/100)</f>
        <v/>
      </c>
      <c r="H528" s="247" t="str">
        <f ca="1">IF(C528="","",IF($H$11="收入",[1]!S_STM07_IS(D528,9,$G$5,$H$13)/$E$5,[1]!S_STM07_IS(D528,48,$G$5,$H$13)/$E$5))</f>
        <v/>
      </c>
      <c r="I528" s="247" t="str">
        <f ca="1">IF(C528="","",IF($I$11="毛利率",([1]!S_STM07_IS(D528,9,$G$5,$H$13)-[1]!S_STM07_IS(D528,10,$G$5,$H$13))/[1]!S_STM07_IS(D528,9,$G$5,$H$13),[1]!S_STM07_IS(D528,14,$G$5,$H$13)/$E$5))</f>
        <v/>
      </c>
      <c r="J528" s="247" t="str">
        <f ca="1">IF(C528="","",IF($J$11="营业利润率",[1]!S_STM07_IS(D528,48,$G$5,$H$13)/[1]!S_STM07_IS(D528,9,$G$5,$H$13),([1]!S_STM07_CS(D528,87,$G$5,$H$13)+[1]!S_STM07_CS(D528,88,$G$5,$H$13)+[1]!S_STM07_CS(D528,89,$G$5,$H$13))/$E$5))</f>
        <v/>
      </c>
      <c r="K528" s="247" t="str">
        <f ca="1">IF(C528="","",IF($K$11="净利润率",[1]!S_STM07_IS(D528,61,$G$5,$H$13)/[1]!S_STM07_IS(D528,9,$G$5,$H$13),[1]!S_STM07_IS(D528,55,$G$5,$H$13)/$E$5))</f>
        <v/>
      </c>
      <c r="L528" s="247" t="str">
        <f ca="1">IF(C528="","",IF($L$11="ROA",[1]!S_STM07_IS(D528,61,$G$5,$H$13)/[1]!S_STM07_BS(D528,74,$G$5,$H$13),1-[1]!S_STM07_IS(D528,61,$G$5,$H$13)/[1]!S_STM07_IS(D528,55,$G$5,$H$13)))</f>
        <v/>
      </c>
      <c r="M528" s="247" t="str">
        <f ca="1">IF(C528="","",IF($M$11="ROE",[1]!S_STM07_IS(D528,61,$G$5,$H$13)/[1]!S_STM07_BS(D528,141,$G$5,$H$13),([1]!S_STM07_BS(D528,25,$G$5,$H$13)-[1]!S_STM07_BS(D528,93,$G$5,$H$13))/$E$5))</f>
        <v/>
      </c>
      <c r="N528" s="247" t="str">
        <f ca="1">IF(C528="","",IF($N$11="EPS",[1]!S_STM07_IS(D528,61,$G$5,$H$13)/IF([1]!S_SHARE_TOTAL(D528,$G$5)=0,[1]!S_SHARE_TOTAL(D528,[1]!s_ipo_listeddate(D528)),[1]!S_SHARE_TOTAL(D528,$G$5)),([1]!S_STM07_BS(D528,75,$G$5,$H$13)+[1]!S_STM07_BS(D528,88,$G$5,$H$13)+[1]!S_STM07_BS(D528,94,$G$5,$H$13)+[1]!S_STM07_BS(D528,95,$G$5,$H$13))/$E$5))</f>
        <v/>
      </c>
      <c r="O528" s="247" t="str">
        <f ca="1">IF(C528="","",IF($O$11="BPS",[1]!S_STM07_BS(D528,141,$G$5,$H$13)/IF([1]!S_SHARE_TOTAL(D528,$G$5)=0,[1]!S_SHARE_TOTAL(D528,[1]!s_ipo_listeddate(D528)),[1]!S_SHARE_TOTAL(D528,$G$5)),[1]!S_STM07_CS(D528,49,$G$5,$H$13)/$E$5))</f>
        <v/>
      </c>
      <c r="P528" s="247" t="str">
        <f ca="1">IF(C528="","",IF($P$11="CFPS",[1]!S_STM07_CS(D528,84,$G$5,$H$13)/IF([1]!S_SHARE_TOTAL(D528,$G$5)=0,[1]!S_SHARE_TOTAL(D528,[1]!s_ipo_listeddate(D528)),[1]!S_SHARE_TOTAL(D528,$G$5)),[1]!S_STM07_CS(D528,84,$G$5,$H$13)/$E$5))</f>
        <v/>
      </c>
      <c r="Q528" s="248" t="str">
        <f ca="1">IF(C528="","",F528/([1]!S_STM07_IS(D528,61,$G$5,$H$13)/IF([1]!S_SHARE_TOTAL(D528,$G$5)=0,[1]!S_SHARE_TOTAL(D528,[1]!s_ipo_listeddate(D528)),[1]!S_SHARE_TOTAL(D528,$G$5))))</f>
        <v/>
      </c>
      <c r="R528" s="248" t="str">
        <f ca="1">IF(C528="","",F528/([1]!S_STM07_BS(D528,141,$G$5,$H$13)/IF([1]!S_SHARE_TOTAL(D528,$G$5)=0,[1]!S_SHARE_TOTAL(D528,[1]!s_ipo_listeddate(D528)),[1]!S_SHARE_TOTAL(D528,$G$5))))</f>
        <v/>
      </c>
      <c r="S528" s="247" t="str">
        <f ca="1">IF(C528="","",[1]!S_SHARE_TOTAL(D528,TODAY())/$E$5)</f>
        <v/>
      </c>
      <c r="T528" s="247" t="str">
        <f t="shared" ca="1" si="55"/>
        <v/>
      </c>
      <c r="U528" s="218" t="str">
        <f t="shared" ca="1" si="56"/>
        <v/>
      </c>
      <c r="V528" s="342" t="str">
        <f t="shared" ca="1" si="57"/>
        <v/>
      </c>
      <c r="W528" s="139"/>
      <c r="Y528" s="1"/>
    </row>
    <row r="529" spans="3:25" ht="12" customHeight="1">
      <c r="C529" s="343" t="str">
        <f t="shared" ca="1" si="58"/>
        <v/>
      </c>
      <c r="D529" s="124" t="str">
        <f t="shared" ca="1" si="53"/>
        <v/>
      </c>
      <c r="E529" s="124" t="str">
        <f t="shared" ca="1" si="54"/>
        <v/>
      </c>
      <c r="F529" s="172" t="str">
        <f ca="1">IF(C529="","",[1]!S_DQ_CLOSE(D529,TODAY(),1))</f>
        <v/>
      </c>
      <c r="G529" s="173" t="str">
        <f ca="1">IF(C529="","",[1]!s_pq_pctchange(D529,TODAY()-$G$12,TODAY())/100)</f>
        <v/>
      </c>
      <c r="H529" s="249" t="str">
        <f ca="1">IF(C529="","",IF($H$11="收入",[1]!S_STM07_IS(D529,9,$G$5,$H$13)/$E$5,[1]!S_STM07_IS(D529,48,$G$5,$H$13)/$E$5))</f>
        <v/>
      </c>
      <c r="I529" s="249" t="str">
        <f ca="1">IF(C529="","",IF($I$11="毛利率",([1]!S_STM07_IS(D529,9,$G$5,$H$13)-[1]!S_STM07_IS(D529,10,$G$5,$H$13))/[1]!S_STM07_IS(D529,9,$G$5,$H$13),[1]!S_STM07_IS(D529,14,$G$5,$H$13)/$E$5))</f>
        <v/>
      </c>
      <c r="J529" s="249" t="str">
        <f ca="1">IF(C529="","",IF($J$11="营业利润率",[1]!S_STM07_IS(D529,48,$G$5,$H$13)/[1]!S_STM07_IS(D529,9,$G$5,$H$13),([1]!S_STM07_CS(D529,87,$G$5,$H$13)+[1]!S_STM07_CS(D529,88,$G$5,$H$13)+[1]!S_STM07_CS(D529,89,$G$5,$H$13))/$E$5))</f>
        <v/>
      </c>
      <c r="K529" s="249" t="str">
        <f ca="1">IF(C529="","",IF($K$11="净利润率",[1]!S_STM07_IS(D529,61,$G$5,$H$13)/[1]!S_STM07_IS(D529,9,$G$5,$H$13),[1]!S_STM07_IS(D529,55,$G$5,$H$13)/$E$5))</f>
        <v/>
      </c>
      <c r="L529" s="249" t="str">
        <f ca="1">IF(C529="","",IF($L$11="ROA",[1]!S_STM07_IS(D529,61,$G$5,$H$13)/[1]!S_STM07_BS(D529,74,$G$5,$H$13),1-[1]!S_STM07_IS(D529,61,$G$5,$H$13)/[1]!S_STM07_IS(D529,55,$G$5,$H$13)))</f>
        <v/>
      </c>
      <c r="M529" s="249" t="str">
        <f ca="1">IF(C529="","",IF($M$11="ROE",[1]!S_STM07_IS(D529,61,$G$5,$H$13)/[1]!S_STM07_BS(D529,141,$G$5,$H$13),([1]!S_STM07_BS(D529,25,$G$5,$H$13)-[1]!S_STM07_BS(D529,93,$G$5,$H$13))/$E$5))</f>
        <v/>
      </c>
      <c r="N529" s="250" t="str">
        <f ca="1">IF(C529="","",IF($N$11="EPS",[1]!S_STM07_IS(D529,61,$G$5,$H$13)/IF([1]!S_SHARE_TOTAL(D529,$G$5)=0,[1]!S_SHARE_TOTAL(D529,[1]!s_ipo_listeddate(D529)),[1]!S_SHARE_TOTAL(D529,$G$5)),([1]!S_STM07_BS(D529,75,$G$5,$H$13)+[1]!S_STM07_BS(D529,88,$G$5,$H$13)+[1]!S_STM07_BS(D529,94,$G$5,$H$13)+[1]!S_STM07_BS(D529,95,$G$5,$H$13))/$E$5))</f>
        <v/>
      </c>
      <c r="O529" s="250" t="str">
        <f ca="1">IF(C529="","",IF($O$11="BPS",[1]!S_STM07_BS(D529,141,$G$5,$H$13)/IF([1]!S_SHARE_TOTAL(D529,$G$5)=0,[1]!S_SHARE_TOTAL(D529,[1]!s_ipo_listeddate(D529)),[1]!S_SHARE_TOTAL(D529,$G$5)),[1]!S_STM07_CS(D529,49,$G$5,$H$13)/$E$5))</f>
        <v/>
      </c>
      <c r="P529" s="250" t="str">
        <f ca="1">IF(C529="","",IF($P$11="CFPS",[1]!S_STM07_CS(D529,84,$G$5,$H$13)/IF([1]!S_SHARE_TOTAL(D529,$G$5)=0,[1]!S_SHARE_TOTAL(D529,[1]!s_ipo_listeddate(D529)),[1]!S_SHARE_TOTAL(D529,$G$5)),[1]!S_STM07_CS(D529,84,$G$5,$H$13)/$E$5))</f>
        <v/>
      </c>
      <c r="Q529" s="198" t="str">
        <f ca="1">IF(C529="","",F529/([1]!S_STM07_IS(D529,61,$G$5,$H$13)/IF([1]!S_SHARE_TOTAL(D529,$G$5)=0,[1]!S_SHARE_TOTAL(D529,[1]!s_ipo_listeddate(D529)),[1]!S_SHARE_TOTAL(D529,$G$5))))</f>
        <v/>
      </c>
      <c r="R529" s="198" t="str">
        <f ca="1">IF(C529="","",F529/([1]!S_STM07_BS(D529,141,$G$5,$H$13)/IF([1]!S_SHARE_TOTAL(D529,$G$5)=0,[1]!S_SHARE_TOTAL(D529,[1]!s_ipo_listeddate(D529)),[1]!S_SHARE_TOTAL(D529,$G$5))))</f>
        <v/>
      </c>
      <c r="S529" s="249" t="str">
        <f ca="1">IF(C529="","",[1]!S_SHARE_TOTAL(D529,TODAY())/$E$5)</f>
        <v/>
      </c>
      <c r="T529" s="249" t="str">
        <f t="shared" ca="1" si="55"/>
        <v/>
      </c>
      <c r="U529" s="172" t="str">
        <f t="shared" ca="1" si="56"/>
        <v/>
      </c>
      <c r="V529" s="343" t="str">
        <f t="shared" ca="1" si="57"/>
        <v/>
      </c>
      <c r="W529" s="139"/>
      <c r="Y529" s="1"/>
    </row>
    <row r="530" spans="3:25" ht="12" customHeight="1">
      <c r="C530" s="342" t="str">
        <f t="shared" ca="1" si="58"/>
        <v/>
      </c>
      <c r="D530" s="153" t="str">
        <f t="shared" ca="1" si="53"/>
        <v/>
      </c>
      <c r="E530" s="153" t="str">
        <f t="shared" ca="1" si="54"/>
        <v/>
      </c>
      <c r="F530" s="170" t="str">
        <f ca="1">IF(C530="","",[1]!S_DQ_CLOSE(D530,TODAY(),1))</f>
        <v/>
      </c>
      <c r="G530" s="171" t="str">
        <f ca="1">IF(C530="","",[1]!s_pq_pctchange(D530,TODAY()-$G$12,TODAY())/100)</f>
        <v/>
      </c>
      <c r="H530" s="247" t="str">
        <f ca="1">IF(C530="","",IF($H$11="收入",[1]!S_STM07_IS(D530,9,$G$5,$H$13)/$E$5,[1]!S_STM07_IS(D530,48,$G$5,$H$13)/$E$5))</f>
        <v/>
      </c>
      <c r="I530" s="247" t="str">
        <f ca="1">IF(C530="","",IF($I$11="毛利率",([1]!S_STM07_IS(D530,9,$G$5,$H$13)-[1]!S_STM07_IS(D530,10,$G$5,$H$13))/[1]!S_STM07_IS(D530,9,$G$5,$H$13),[1]!S_STM07_IS(D530,14,$G$5,$H$13)/$E$5))</f>
        <v/>
      </c>
      <c r="J530" s="247" t="str">
        <f ca="1">IF(C530="","",IF($J$11="营业利润率",[1]!S_STM07_IS(D530,48,$G$5,$H$13)/[1]!S_STM07_IS(D530,9,$G$5,$H$13),([1]!S_STM07_CS(D530,87,$G$5,$H$13)+[1]!S_STM07_CS(D530,88,$G$5,$H$13)+[1]!S_STM07_CS(D530,89,$G$5,$H$13))/$E$5))</f>
        <v/>
      </c>
      <c r="K530" s="247" t="str">
        <f ca="1">IF(C530="","",IF($K$11="净利润率",[1]!S_STM07_IS(D530,61,$G$5,$H$13)/[1]!S_STM07_IS(D530,9,$G$5,$H$13),[1]!S_STM07_IS(D530,55,$G$5,$H$13)/$E$5))</f>
        <v/>
      </c>
      <c r="L530" s="247" t="str">
        <f ca="1">IF(C530="","",IF($L$11="ROA",[1]!S_STM07_IS(D530,61,$G$5,$H$13)/[1]!S_STM07_BS(D530,74,$G$5,$H$13),1-[1]!S_STM07_IS(D530,61,$G$5,$H$13)/[1]!S_STM07_IS(D530,55,$G$5,$H$13)))</f>
        <v/>
      </c>
      <c r="M530" s="247" t="str">
        <f ca="1">IF(C530="","",IF($M$11="ROE",[1]!S_STM07_IS(D530,61,$G$5,$H$13)/[1]!S_STM07_BS(D530,141,$G$5,$H$13),([1]!S_STM07_BS(D530,25,$G$5,$H$13)-[1]!S_STM07_BS(D530,93,$G$5,$H$13))/$E$5))</f>
        <v/>
      </c>
      <c r="N530" s="247" t="str">
        <f ca="1">IF(C530="","",IF($N$11="EPS",[1]!S_STM07_IS(D530,61,$G$5,$H$13)/IF([1]!S_SHARE_TOTAL(D530,$G$5)=0,[1]!S_SHARE_TOTAL(D530,[1]!s_ipo_listeddate(D530)),[1]!S_SHARE_TOTAL(D530,$G$5)),([1]!S_STM07_BS(D530,75,$G$5,$H$13)+[1]!S_STM07_BS(D530,88,$G$5,$H$13)+[1]!S_STM07_BS(D530,94,$G$5,$H$13)+[1]!S_STM07_BS(D530,95,$G$5,$H$13))/$E$5))</f>
        <v/>
      </c>
      <c r="O530" s="247" t="str">
        <f ca="1">IF(C530="","",IF($O$11="BPS",[1]!S_STM07_BS(D530,141,$G$5,$H$13)/IF([1]!S_SHARE_TOTAL(D530,$G$5)=0,[1]!S_SHARE_TOTAL(D530,[1]!s_ipo_listeddate(D530)),[1]!S_SHARE_TOTAL(D530,$G$5)),[1]!S_STM07_CS(D530,49,$G$5,$H$13)/$E$5))</f>
        <v/>
      </c>
      <c r="P530" s="247" t="str">
        <f ca="1">IF(C530="","",IF($P$11="CFPS",[1]!S_STM07_CS(D530,84,$G$5,$H$13)/IF([1]!S_SHARE_TOTAL(D530,$G$5)=0,[1]!S_SHARE_TOTAL(D530,[1]!s_ipo_listeddate(D530)),[1]!S_SHARE_TOTAL(D530,$G$5)),[1]!S_STM07_CS(D530,84,$G$5,$H$13)/$E$5))</f>
        <v/>
      </c>
      <c r="Q530" s="248" t="str">
        <f ca="1">IF(C530="","",F530/([1]!S_STM07_IS(D530,61,$G$5,$H$13)/IF([1]!S_SHARE_TOTAL(D530,$G$5)=0,[1]!S_SHARE_TOTAL(D530,[1]!s_ipo_listeddate(D530)),[1]!S_SHARE_TOTAL(D530,$G$5))))</f>
        <v/>
      </c>
      <c r="R530" s="248" t="str">
        <f ca="1">IF(C530="","",F530/([1]!S_STM07_BS(D530,141,$G$5,$H$13)/IF([1]!S_SHARE_TOTAL(D530,$G$5)=0,[1]!S_SHARE_TOTAL(D530,[1]!s_ipo_listeddate(D530)),[1]!S_SHARE_TOTAL(D530,$G$5))))</f>
        <v/>
      </c>
      <c r="S530" s="247" t="str">
        <f ca="1">IF(C530="","",[1]!S_SHARE_TOTAL(D530,TODAY())/$E$5)</f>
        <v/>
      </c>
      <c r="T530" s="247" t="str">
        <f t="shared" ca="1" si="55"/>
        <v/>
      </c>
      <c r="U530" s="218" t="str">
        <f t="shared" ca="1" si="56"/>
        <v/>
      </c>
      <c r="V530" s="342" t="str">
        <f t="shared" ca="1" si="57"/>
        <v/>
      </c>
      <c r="W530" s="139"/>
      <c r="Y530" s="1"/>
    </row>
    <row r="531" spans="3:25" ht="12" customHeight="1">
      <c r="C531" s="343" t="str">
        <f t="shared" ca="1" si="58"/>
        <v/>
      </c>
      <c r="D531" s="124" t="str">
        <f t="shared" ca="1" si="53"/>
        <v/>
      </c>
      <c r="E531" s="124" t="str">
        <f t="shared" ca="1" si="54"/>
        <v/>
      </c>
      <c r="F531" s="172" t="str">
        <f ca="1">IF(C531="","",[1]!S_DQ_CLOSE(D531,TODAY(),1))</f>
        <v/>
      </c>
      <c r="G531" s="173" t="str">
        <f ca="1">IF(C531="","",[1]!s_pq_pctchange(D531,TODAY()-$G$12,TODAY())/100)</f>
        <v/>
      </c>
      <c r="H531" s="249" t="str">
        <f ca="1">IF(C531="","",IF($H$11="收入",[1]!S_STM07_IS(D531,9,$G$5,$H$13)/$E$5,[1]!S_STM07_IS(D531,48,$G$5,$H$13)/$E$5))</f>
        <v/>
      </c>
      <c r="I531" s="249" t="str">
        <f ca="1">IF(C531="","",IF($I$11="毛利率",([1]!S_STM07_IS(D531,9,$G$5,$H$13)-[1]!S_STM07_IS(D531,10,$G$5,$H$13))/[1]!S_STM07_IS(D531,9,$G$5,$H$13),[1]!S_STM07_IS(D531,14,$G$5,$H$13)/$E$5))</f>
        <v/>
      </c>
      <c r="J531" s="249" t="str">
        <f ca="1">IF(C531="","",IF($J$11="营业利润率",[1]!S_STM07_IS(D531,48,$G$5,$H$13)/[1]!S_STM07_IS(D531,9,$G$5,$H$13),([1]!S_STM07_CS(D531,87,$G$5,$H$13)+[1]!S_STM07_CS(D531,88,$G$5,$H$13)+[1]!S_STM07_CS(D531,89,$G$5,$H$13))/$E$5))</f>
        <v/>
      </c>
      <c r="K531" s="249" t="str">
        <f ca="1">IF(C531="","",IF($K$11="净利润率",[1]!S_STM07_IS(D531,61,$G$5,$H$13)/[1]!S_STM07_IS(D531,9,$G$5,$H$13),[1]!S_STM07_IS(D531,55,$G$5,$H$13)/$E$5))</f>
        <v/>
      </c>
      <c r="L531" s="249" t="str">
        <f ca="1">IF(C531="","",IF($L$11="ROA",[1]!S_STM07_IS(D531,61,$G$5,$H$13)/[1]!S_STM07_BS(D531,74,$G$5,$H$13),1-[1]!S_STM07_IS(D531,61,$G$5,$H$13)/[1]!S_STM07_IS(D531,55,$G$5,$H$13)))</f>
        <v/>
      </c>
      <c r="M531" s="249" t="str">
        <f ca="1">IF(C531="","",IF($M$11="ROE",[1]!S_STM07_IS(D531,61,$G$5,$H$13)/[1]!S_STM07_BS(D531,141,$G$5,$H$13),([1]!S_STM07_BS(D531,25,$G$5,$H$13)-[1]!S_STM07_BS(D531,93,$G$5,$H$13))/$E$5))</f>
        <v/>
      </c>
      <c r="N531" s="250" t="str">
        <f ca="1">IF(C531="","",IF($N$11="EPS",[1]!S_STM07_IS(D531,61,$G$5,$H$13)/IF([1]!S_SHARE_TOTAL(D531,$G$5)=0,[1]!S_SHARE_TOTAL(D531,[1]!s_ipo_listeddate(D531)),[1]!S_SHARE_TOTAL(D531,$G$5)),([1]!S_STM07_BS(D531,75,$G$5,$H$13)+[1]!S_STM07_BS(D531,88,$G$5,$H$13)+[1]!S_STM07_BS(D531,94,$G$5,$H$13)+[1]!S_STM07_BS(D531,95,$G$5,$H$13))/$E$5))</f>
        <v/>
      </c>
      <c r="O531" s="250" t="str">
        <f ca="1">IF(C531="","",IF($O$11="BPS",[1]!S_STM07_BS(D531,141,$G$5,$H$13)/IF([1]!S_SHARE_TOTAL(D531,$G$5)=0,[1]!S_SHARE_TOTAL(D531,[1]!s_ipo_listeddate(D531)),[1]!S_SHARE_TOTAL(D531,$G$5)),[1]!S_STM07_CS(D531,49,$G$5,$H$13)/$E$5))</f>
        <v/>
      </c>
      <c r="P531" s="250" t="str">
        <f ca="1">IF(C531="","",IF($P$11="CFPS",[1]!S_STM07_CS(D531,84,$G$5,$H$13)/IF([1]!S_SHARE_TOTAL(D531,$G$5)=0,[1]!S_SHARE_TOTAL(D531,[1]!s_ipo_listeddate(D531)),[1]!S_SHARE_TOTAL(D531,$G$5)),[1]!S_STM07_CS(D531,84,$G$5,$H$13)/$E$5))</f>
        <v/>
      </c>
      <c r="Q531" s="198" t="str">
        <f ca="1">IF(C531="","",F531/([1]!S_STM07_IS(D531,61,$G$5,$H$13)/IF([1]!S_SHARE_TOTAL(D531,$G$5)=0,[1]!S_SHARE_TOTAL(D531,[1]!s_ipo_listeddate(D531)),[1]!S_SHARE_TOTAL(D531,$G$5))))</f>
        <v/>
      </c>
      <c r="R531" s="198" t="str">
        <f ca="1">IF(C531="","",F531/([1]!S_STM07_BS(D531,141,$G$5,$H$13)/IF([1]!S_SHARE_TOTAL(D531,$G$5)=0,[1]!S_SHARE_TOTAL(D531,[1]!s_ipo_listeddate(D531)),[1]!S_SHARE_TOTAL(D531,$G$5))))</f>
        <v/>
      </c>
      <c r="S531" s="249" t="str">
        <f ca="1">IF(C531="","",[1]!S_SHARE_TOTAL(D531,TODAY())/$E$5)</f>
        <v/>
      </c>
      <c r="T531" s="249" t="str">
        <f t="shared" ca="1" si="55"/>
        <v/>
      </c>
      <c r="U531" s="172" t="str">
        <f t="shared" ca="1" si="56"/>
        <v/>
      </c>
      <c r="V531" s="343" t="str">
        <f t="shared" ca="1" si="57"/>
        <v/>
      </c>
      <c r="W531" s="139"/>
      <c r="Y531" s="1"/>
    </row>
    <row r="532" spans="3:25" ht="12" customHeight="1">
      <c r="C532" s="342" t="str">
        <f t="shared" ca="1" si="58"/>
        <v/>
      </c>
      <c r="D532" s="153" t="str">
        <f t="shared" ca="1" si="53"/>
        <v/>
      </c>
      <c r="E532" s="153" t="str">
        <f t="shared" ca="1" si="54"/>
        <v/>
      </c>
      <c r="F532" s="170" t="str">
        <f ca="1">IF(C532="","",[1]!S_DQ_CLOSE(D532,TODAY(),1))</f>
        <v/>
      </c>
      <c r="G532" s="171" t="str">
        <f ca="1">IF(C532="","",[1]!s_pq_pctchange(D532,TODAY()-$G$12,TODAY())/100)</f>
        <v/>
      </c>
      <c r="H532" s="247" t="str">
        <f ca="1">IF(C532="","",IF($H$11="收入",[1]!S_STM07_IS(D532,9,$G$5,$H$13)/$E$5,[1]!S_STM07_IS(D532,48,$G$5,$H$13)/$E$5))</f>
        <v/>
      </c>
      <c r="I532" s="247" t="str">
        <f ca="1">IF(C532="","",IF($I$11="毛利率",([1]!S_STM07_IS(D532,9,$G$5,$H$13)-[1]!S_STM07_IS(D532,10,$G$5,$H$13))/[1]!S_STM07_IS(D532,9,$G$5,$H$13),[1]!S_STM07_IS(D532,14,$G$5,$H$13)/$E$5))</f>
        <v/>
      </c>
      <c r="J532" s="247" t="str">
        <f ca="1">IF(C532="","",IF($J$11="营业利润率",[1]!S_STM07_IS(D532,48,$G$5,$H$13)/[1]!S_STM07_IS(D532,9,$G$5,$H$13),([1]!S_STM07_CS(D532,87,$G$5,$H$13)+[1]!S_STM07_CS(D532,88,$G$5,$H$13)+[1]!S_STM07_CS(D532,89,$G$5,$H$13))/$E$5))</f>
        <v/>
      </c>
      <c r="K532" s="247" t="str">
        <f ca="1">IF(C532="","",IF($K$11="净利润率",[1]!S_STM07_IS(D532,61,$G$5,$H$13)/[1]!S_STM07_IS(D532,9,$G$5,$H$13),[1]!S_STM07_IS(D532,55,$G$5,$H$13)/$E$5))</f>
        <v/>
      </c>
      <c r="L532" s="247" t="str">
        <f ca="1">IF(C532="","",IF($L$11="ROA",[1]!S_STM07_IS(D532,61,$G$5,$H$13)/[1]!S_STM07_BS(D532,74,$G$5,$H$13),1-[1]!S_STM07_IS(D532,61,$G$5,$H$13)/[1]!S_STM07_IS(D532,55,$G$5,$H$13)))</f>
        <v/>
      </c>
      <c r="M532" s="247" t="str">
        <f ca="1">IF(C532="","",IF($M$11="ROE",[1]!S_STM07_IS(D532,61,$G$5,$H$13)/[1]!S_STM07_BS(D532,141,$G$5,$H$13),([1]!S_STM07_BS(D532,25,$G$5,$H$13)-[1]!S_STM07_BS(D532,93,$G$5,$H$13))/$E$5))</f>
        <v/>
      </c>
      <c r="N532" s="247" t="str">
        <f ca="1">IF(C532="","",IF($N$11="EPS",[1]!S_STM07_IS(D532,61,$G$5,$H$13)/IF([1]!S_SHARE_TOTAL(D532,$G$5)=0,[1]!S_SHARE_TOTAL(D532,[1]!s_ipo_listeddate(D532)),[1]!S_SHARE_TOTAL(D532,$G$5)),([1]!S_STM07_BS(D532,75,$G$5,$H$13)+[1]!S_STM07_BS(D532,88,$G$5,$H$13)+[1]!S_STM07_BS(D532,94,$G$5,$H$13)+[1]!S_STM07_BS(D532,95,$G$5,$H$13))/$E$5))</f>
        <v/>
      </c>
      <c r="O532" s="247" t="str">
        <f ca="1">IF(C532="","",IF($O$11="BPS",[1]!S_STM07_BS(D532,141,$G$5,$H$13)/IF([1]!S_SHARE_TOTAL(D532,$G$5)=0,[1]!S_SHARE_TOTAL(D532,[1]!s_ipo_listeddate(D532)),[1]!S_SHARE_TOTAL(D532,$G$5)),[1]!S_STM07_CS(D532,49,$G$5,$H$13)/$E$5))</f>
        <v/>
      </c>
      <c r="P532" s="247" t="str">
        <f ca="1">IF(C532="","",IF($P$11="CFPS",[1]!S_STM07_CS(D532,84,$G$5,$H$13)/IF([1]!S_SHARE_TOTAL(D532,$G$5)=0,[1]!S_SHARE_TOTAL(D532,[1]!s_ipo_listeddate(D532)),[1]!S_SHARE_TOTAL(D532,$G$5)),[1]!S_STM07_CS(D532,84,$G$5,$H$13)/$E$5))</f>
        <v/>
      </c>
      <c r="Q532" s="248" t="str">
        <f ca="1">IF(C532="","",F532/([1]!S_STM07_IS(D532,61,$G$5,$H$13)/IF([1]!S_SHARE_TOTAL(D532,$G$5)=0,[1]!S_SHARE_TOTAL(D532,[1]!s_ipo_listeddate(D532)),[1]!S_SHARE_TOTAL(D532,$G$5))))</f>
        <v/>
      </c>
      <c r="R532" s="248" t="str">
        <f ca="1">IF(C532="","",F532/([1]!S_STM07_BS(D532,141,$G$5,$H$13)/IF([1]!S_SHARE_TOTAL(D532,$G$5)=0,[1]!S_SHARE_TOTAL(D532,[1]!s_ipo_listeddate(D532)),[1]!S_SHARE_TOTAL(D532,$G$5))))</f>
        <v/>
      </c>
      <c r="S532" s="247" t="str">
        <f ca="1">IF(C532="","",[1]!S_SHARE_TOTAL(D532,TODAY())/$E$5)</f>
        <v/>
      </c>
      <c r="T532" s="247" t="str">
        <f t="shared" ca="1" si="55"/>
        <v/>
      </c>
      <c r="U532" s="218" t="str">
        <f t="shared" ca="1" si="56"/>
        <v/>
      </c>
      <c r="V532" s="342" t="str">
        <f t="shared" ca="1" si="57"/>
        <v/>
      </c>
      <c r="W532" s="139"/>
      <c r="Y532" s="1"/>
    </row>
    <row r="533" spans="3:25" ht="12" customHeight="1">
      <c r="C533" s="343" t="str">
        <f t="shared" ca="1" si="58"/>
        <v/>
      </c>
      <c r="D533" s="124" t="str">
        <f t="shared" ca="1" si="53"/>
        <v/>
      </c>
      <c r="E533" s="124" t="str">
        <f t="shared" ca="1" si="54"/>
        <v/>
      </c>
      <c r="F533" s="172" t="str">
        <f ca="1">IF(C533="","",[1]!S_DQ_CLOSE(D533,TODAY(),1))</f>
        <v/>
      </c>
      <c r="G533" s="173" t="str">
        <f ca="1">IF(C533="","",[1]!s_pq_pctchange(D533,TODAY()-$G$12,TODAY())/100)</f>
        <v/>
      </c>
      <c r="H533" s="249" t="str">
        <f ca="1">IF(C533="","",IF($H$11="收入",[1]!S_STM07_IS(D533,9,$G$5,$H$13)/$E$5,[1]!S_STM07_IS(D533,48,$G$5,$H$13)/$E$5))</f>
        <v/>
      </c>
      <c r="I533" s="249" t="str">
        <f ca="1">IF(C533="","",IF($I$11="毛利率",([1]!S_STM07_IS(D533,9,$G$5,$H$13)-[1]!S_STM07_IS(D533,10,$G$5,$H$13))/[1]!S_STM07_IS(D533,9,$G$5,$H$13),[1]!S_STM07_IS(D533,14,$G$5,$H$13)/$E$5))</f>
        <v/>
      </c>
      <c r="J533" s="249" t="str">
        <f ca="1">IF(C533="","",IF($J$11="营业利润率",[1]!S_STM07_IS(D533,48,$G$5,$H$13)/[1]!S_STM07_IS(D533,9,$G$5,$H$13),([1]!S_STM07_CS(D533,87,$G$5,$H$13)+[1]!S_STM07_CS(D533,88,$G$5,$H$13)+[1]!S_STM07_CS(D533,89,$G$5,$H$13))/$E$5))</f>
        <v/>
      </c>
      <c r="K533" s="249" t="str">
        <f ca="1">IF(C533="","",IF($K$11="净利润率",[1]!S_STM07_IS(D533,61,$G$5,$H$13)/[1]!S_STM07_IS(D533,9,$G$5,$H$13),[1]!S_STM07_IS(D533,55,$G$5,$H$13)/$E$5))</f>
        <v/>
      </c>
      <c r="L533" s="249" t="str">
        <f ca="1">IF(C533="","",IF($L$11="ROA",[1]!S_STM07_IS(D533,61,$G$5,$H$13)/[1]!S_STM07_BS(D533,74,$G$5,$H$13),1-[1]!S_STM07_IS(D533,61,$G$5,$H$13)/[1]!S_STM07_IS(D533,55,$G$5,$H$13)))</f>
        <v/>
      </c>
      <c r="M533" s="249" t="str">
        <f ca="1">IF(C533="","",IF($M$11="ROE",[1]!S_STM07_IS(D533,61,$G$5,$H$13)/[1]!S_STM07_BS(D533,141,$G$5,$H$13),([1]!S_STM07_BS(D533,25,$G$5,$H$13)-[1]!S_STM07_BS(D533,93,$G$5,$H$13))/$E$5))</f>
        <v/>
      </c>
      <c r="N533" s="250" t="str">
        <f ca="1">IF(C533="","",IF($N$11="EPS",[1]!S_STM07_IS(D533,61,$G$5,$H$13)/IF([1]!S_SHARE_TOTAL(D533,$G$5)=0,[1]!S_SHARE_TOTAL(D533,[1]!s_ipo_listeddate(D533)),[1]!S_SHARE_TOTAL(D533,$G$5)),([1]!S_STM07_BS(D533,75,$G$5,$H$13)+[1]!S_STM07_BS(D533,88,$G$5,$H$13)+[1]!S_STM07_BS(D533,94,$G$5,$H$13)+[1]!S_STM07_BS(D533,95,$G$5,$H$13))/$E$5))</f>
        <v/>
      </c>
      <c r="O533" s="250" t="str">
        <f ca="1">IF(C533="","",IF($O$11="BPS",[1]!S_STM07_BS(D533,141,$G$5,$H$13)/IF([1]!S_SHARE_TOTAL(D533,$G$5)=0,[1]!S_SHARE_TOTAL(D533,[1]!s_ipo_listeddate(D533)),[1]!S_SHARE_TOTAL(D533,$G$5)),[1]!S_STM07_CS(D533,49,$G$5,$H$13)/$E$5))</f>
        <v/>
      </c>
      <c r="P533" s="250" t="str">
        <f ca="1">IF(C533="","",IF($P$11="CFPS",[1]!S_STM07_CS(D533,84,$G$5,$H$13)/IF([1]!S_SHARE_TOTAL(D533,$G$5)=0,[1]!S_SHARE_TOTAL(D533,[1]!s_ipo_listeddate(D533)),[1]!S_SHARE_TOTAL(D533,$G$5)),[1]!S_STM07_CS(D533,84,$G$5,$H$13)/$E$5))</f>
        <v/>
      </c>
      <c r="Q533" s="198" t="str">
        <f ca="1">IF(C533="","",F533/([1]!S_STM07_IS(D533,61,$G$5,$H$13)/IF([1]!S_SHARE_TOTAL(D533,$G$5)=0,[1]!S_SHARE_TOTAL(D533,[1]!s_ipo_listeddate(D533)),[1]!S_SHARE_TOTAL(D533,$G$5))))</f>
        <v/>
      </c>
      <c r="R533" s="198" t="str">
        <f ca="1">IF(C533="","",F533/([1]!S_STM07_BS(D533,141,$G$5,$H$13)/IF([1]!S_SHARE_TOTAL(D533,$G$5)=0,[1]!S_SHARE_TOTAL(D533,[1]!s_ipo_listeddate(D533)),[1]!S_SHARE_TOTAL(D533,$G$5))))</f>
        <v/>
      </c>
      <c r="S533" s="249" t="str">
        <f ca="1">IF(C533="","",[1]!S_SHARE_TOTAL(D533,TODAY())/$E$5)</f>
        <v/>
      </c>
      <c r="T533" s="249" t="str">
        <f t="shared" ca="1" si="55"/>
        <v/>
      </c>
      <c r="U533" s="172" t="str">
        <f t="shared" ca="1" si="56"/>
        <v/>
      </c>
      <c r="V533" s="343" t="str">
        <f t="shared" ca="1" si="57"/>
        <v/>
      </c>
      <c r="W533" s="139"/>
      <c r="Y533" s="1"/>
    </row>
    <row r="534" spans="3:25" ht="12" customHeight="1">
      <c r="C534" s="342" t="str">
        <f t="shared" ca="1" si="58"/>
        <v/>
      </c>
      <c r="D534" s="153" t="str">
        <f t="shared" ca="1" si="53"/>
        <v/>
      </c>
      <c r="E534" s="153" t="str">
        <f t="shared" ca="1" si="54"/>
        <v/>
      </c>
      <c r="F534" s="170" t="str">
        <f ca="1">IF(C534="","",[1]!S_DQ_CLOSE(D534,TODAY(),1))</f>
        <v/>
      </c>
      <c r="G534" s="171" t="str">
        <f ca="1">IF(C534="","",[1]!s_pq_pctchange(D534,TODAY()-$G$12,TODAY())/100)</f>
        <v/>
      </c>
      <c r="H534" s="247" t="str">
        <f ca="1">IF(C534="","",IF($H$11="收入",[1]!S_STM07_IS(D534,9,$G$5,$H$13)/$E$5,[1]!S_STM07_IS(D534,48,$G$5,$H$13)/$E$5))</f>
        <v/>
      </c>
      <c r="I534" s="247" t="str">
        <f ca="1">IF(C534="","",IF($I$11="毛利率",([1]!S_STM07_IS(D534,9,$G$5,$H$13)-[1]!S_STM07_IS(D534,10,$G$5,$H$13))/[1]!S_STM07_IS(D534,9,$G$5,$H$13),[1]!S_STM07_IS(D534,14,$G$5,$H$13)/$E$5))</f>
        <v/>
      </c>
      <c r="J534" s="247" t="str">
        <f ca="1">IF(C534="","",IF($J$11="营业利润率",[1]!S_STM07_IS(D534,48,$G$5,$H$13)/[1]!S_STM07_IS(D534,9,$G$5,$H$13),([1]!S_STM07_CS(D534,87,$G$5,$H$13)+[1]!S_STM07_CS(D534,88,$G$5,$H$13)+[1]!S_STM07_CS(D534,89,$G$5,$H$13))/$E$5))</f>
        <v/>
      </c>
      <c r="K534" s="247" t="str">
        <f ca="1">IF(C534="","",IF($K$11="净利润率",[1]!S_STM07_IS(D534,61,$G$5,$H$13)/[1]!S_STM07_IS(D534,9,$G$5,$H$13),[1]!S_STM07_IS(D534,55,$G$5,$H$13)/$E$5))</f>
        <v/>
      </c>
      <c r="L534" s="247" t="str">
        <f ca="1">IF(C534="","",IF($L$11="ROA",[1]!S_STM07_IS(D534,61,$G$5,$H$13)/[1]!S_STM07_BS(D534,74,$G$5,$H$13),1-[1]!S_STM07_IS(D534,61,$G$5,$H$13)/[1]!S_STM07_IS(D534,55,$G$5,$H$13)))</f>
        <v/>
      </c>
      <c r="M534" s="247" t="str">
        <f ca="1">IF(C534="","",IF($M$11="ROE",[1]!S_STM07_IS(D534,61,$G$5,$H$13)/[1]!S_STM07_BS(D534,141,$G$5,$H$13),([1]!S_STM07_BS(D534,25,$G$5,$H$13)-[1]!S_STM07_BS(D534,93,$G$5,$H$13))/$E$5))</f>
        <v/>
      </c>
      <c r="N534" s="247" t="str">
        <f ca="1">IF(C534="","",IF($N$11="EPS",[1]!S_STM07_IS(D534,61,$G$5,$H$13)/IF([1]!S_SHARE_TOTAL(D534,$G$5)=0,[1]!S_SHARE_TOTAL(D534,[1]!s_ipo_listeddate(D534)),[1]!S_SHARE_TOTAL(D534,$G$5)),([1]!S_STM07_BS(D534,75,$G$5,$H$13)+[1]!S_STM07_BS(D534,88,$G$5,$H$13)+[1]!S_STM07_BS(D534,94,$G$5,$H$13)+[1]!S_STM07_BS(D534,95,$G$5,$H$13))/$E$5))</f>
        <v/>
      </c>
      <c r="O534" s="247" t="str">
        <f ca="1">IF(C534="","",IF($O$11="BPS",[1]!S_STM07_BS(D534,141,$G$5,$H$13)/IF([1]!S_SHARE_TOTAL(D534,$G$5)=0,[1]!S_SHARE_TOTAL(D534,[1]!s_ipo_listeddate(D534)),[1]!S_SHARE_TOTAL(D534,$G$5)),[1]!S_STM07_CS(D534,49,$G$5,$H$13)/$E$5))</f>
        <v/>
      </c>
      <c r="P534" s="247" t="str">
        <f ca="1">IF(C534="","",IF($P$11="CFPS",[1]!S_STM07_CS(D534,84,$G$5,$H$13)/IF([1]!S_SHARE_TOTAL(D534,$G$5)=0,[1]!S_SHARE_TOTAL(D534,[1]!s_ipo_listeddate(D534)),[1]!S_SHARE_TOTAL(D534,$G$5)),[1]!S_STM07_CS(D534,84,$G$5,$H$13)/$E$5))</f>
        <v/>
      </c>
      <c r="Q534" s="248" t="str">
        <f ca="1">IF(C534="","",F534/([1]!S_STM07_IS(D534,61,$G$5,$H$13)/IF([1]!S_SHARE_TOTAL(D534,$G$5)=0,[1]!S_SHARE_TOTAL(D534,[1]!s_ipo_listeddate(D534)),[1]!S_SHARE_TOTAL(D534,$G$5))))</f>
        <v/>
      </c>
      <c r="R534" s="248" t="str">
        <f ca="1">IF(C534="","",F534/([1]!S_STM07_BS(D534,141,$G$5,$H$13)/IF([1]!S_SHARE_TOTAL(D534,$G$5)=0,[1]!S_SHARE_TOTAL(D534,[1]!s_ipo_listeddate(D534)),[1]!S_SHARE_TOTAL(D534,$G$5))))</f>
        <v/>
      </c>
      <c r="S534" s="247" t="str">
        <f ca="1">IF(C534="","",[1]!S_SHARE_TOTAL(D534,TODAY())/$E$5)</f>
        <v/>
      </c>
      <c r="T534" s="247" t="str">
        <f t="shared" ca="1" si="55"/>
        <v/>
      </c>
      <c r="U534" s="218" t="str">
        <f t="shared" ca="1" si="56"/>
        <v/>
      </c>
      <c r="V534" s="342" t="str">
        <f t="shared" ca="1" si="57"/>
        <v/>
      </c>
      <c r="W534" s="139"/>
      <c r="Y534" s="1"/>
    </row>
    <row r="535" spans="3:25" ht="12" customHeight="1">
      <c r="C535" s="343" t="str">
        <f t="shared" ca="1" si="58"/>
        <v/>
      </c>
      <c r="D535" s="124" t="str">
        <f t="shared" ca="1" si="53"/>
        <v/>
      </c>
      <c r="E535" s="124" t="str">
        <f t="shared" ca="1" si="54"/>
        <v/>
      </c>
      <c r="F535" s="172" t="str">
        <f ca="1">IF(C535="","",[1]!S_DQ_CLOSE(D535,TODAY(),1))</f>
        <v/>
      </c>
      <c r="G535" s="173" t="str">
        <f ca="1">IF(C535="","",[1]!s_pq_pctchange(D535,TODAY()-$G$12,TODAY())/100)</f>
        <v/>
      </c>
      <c r="H535" s="249" t="str">
        <f ca="1">IF(C535="","",IF($H$11="收入",[1]!S_STM07_IS(D535,9,$G$5,$H$13)/$E$5,[1]!S_STM07_IS(D535,48,$G$5,$H$13)/$E$5))</f>
        <v/>
      </c>
      <c r="I535" s="249" t="str">
        <f ca="1">IF(C535="","",IF($I$11="毛利率",([1]!S_STM07_IS(D535,9,$G$5,$H$13)-[1]!S_STM07_IS(D535,10,$G$5,$H$13))/[1]!S_STM07_IS(D535,9,$G$5,$H$13),[1]!S_STM07_IS(D535,14,$G$5,$H$13)/$E$5))</f>
        <v/>
      </c>
      <c r="J535" s="249" t="str">
        <f ca="1">IF(C535="","",IF($J$11="营业利润率",[1]!S_STM07_IS(D535,48,$G$5,$H$13)/[1]!S_STM07_IS(D535,9,$G$5,$H$13),([1]!S_STM07_CS(D535,87,$G$5,$H$13)+[1]!S_STM07_CS(D535,88,$G$5,$H$13)+[1]!S_STM07_CS(D535,89,$G$5,$H$13))/$E$5))</f>
        <v/>
      </c>
      <c r="K535" s="249" t="str">
        <f ca="1">IF(C535="","",IF($K$11="净利润率",[1]!S_STM07_IS(D535,61,$G$5,$H$13)/[1]!S_STM07_IS(D535,9,$G$5,$H$13),[1]!S_STM07_IS(D535,55,$G$5,$H$13)/$E$5))</f>
        <v/>
      </c>
      <c r="L535" s="249" t="str">
        <f ca="1">IF(C535="","",IF($L$11="ROA",[1]!S_STM07_IS(D535,61,$G$5,$H$13)/[1]!S_STM07_BS(D535,74,$G$5,$H$13),1-[1]!S_STM07_IS(D535,61,$G$5,$H$13)/[1]!S_STM07_IS(D535,55,$G$5,$H$13)))</f>
        <v/>
      </c>
      <c r="M535" s="249" t="str">
        <f ca="1">IF(C535="","",IF($M$11="ROE",[1]!S_STM07_IS(D535,61,$G$5,$H$13)/[1]!S_STM07_BS(D535,141,$G$5,$H$13),([1]!S_STM07_BS(D535,25,$G$5,$H$13)-[1]!S_STM07_BS(D535,93,$G$5,$H$13))/$E$5))</f>
        <v/>
      </c>
      <c r="N535" s="250" t="str">
        <f ca="1">IF(C535="","",IF($N$11="EPS",[1]!S_STM07_IS(D535,61,$G$5,$H$13)/IF([1]!S_SHARE_TOTAL(D535,$G$5)=0,[1]!S_SHARE_TOTAL(D535,[1]!s_ipo_listeddate(D535)),[1]!S_SHARE_TOTAL(D535,$G$5)),([1]!S_STM07_BS(D535,75,$G$5,$H$13)+[1]!S_STM07_BS(D535,88,$G$5,$H$13)+[1]!S_STM07_BS(D535,94,$G$5,$H$13)+[1]!S_STM07_BS(D535,95,$G$5,$H$13))/$E$5))</f>
        <v/>
      </c>
      <c r="O535" s="250" t="str">
        <f ca="1">IF(C535="","",IF($O$11="BPS",[1]!S_STM07_BS(D535,141,$G$5,$H$13)/IF([1]!S_SHARE_TOTAL(D535,$G$5)=0,[1]!S_SHARE_TOTAL(D535,[1]!s_ipo_listeddate(D535)),[1]!S_SHARE_TOTAL(D535,$G$5)),[1]!S_STM07_CS(D535,49,$G$5,$H$13)/$E$5))</f>
        <v/>
      </c>
      <c r="P535" s="250" t="str">
        <f ca="1">IF(C535="","",IF($P$11="CFPS",[1]!S_STM07_CS(D535,84,$G$5,$H$13)/IF([1]!S_SHARE_TOTAL(D535,$G$5)=0,[1]!S_SHARE_TOTAL(D535,[1]!s_ipo_listeddate(D535)),[1]!S_SHARE_TOTAL(D535,$G$5)),[1]!S_STM07_CS(D535,84,$G$5,$H$13)/$E$5))</f>
        <v/>
      </c>
      <c r="Q535" s="198" t="str">
        <f ca="1">IF(C535="","",F535/([1]!S_STM07_IS(D535,61,$G$5,$H$13)/IF([1]!S_SHARE_TOTAL(D535,$G$5)=0,[1]!S_SHARE_TOTAL(D535,[1]!s_ipo_listeddate(D535)),[1]!S_SHARE_TOTAL(D535,$G$5))))</f>
        <v/>
      </c>
      <c r="R535" s="198" t="str">
        <f ca="1">IF(C535="","",F535/([1]!S_STM07_BS(D535,141,$G$5,$H$13)/IF([1]!S_SHARE_TOTAL(D535,$G$5)=0,[1]!S_SHARE_TOTAL(D535,[1]!s_ipo_listeddate(D535)),[1]!S_SHARE_TOTAL(D535,$G$5))))</f>
        <v/>
      </c>
      <c r="S535" s="249" t="str">
        <f ca="1">IF(C535="","",[1]!S_SHARE_TOTAL(D535,TODAY())/$E$5)</f>
        <v/>
      </c>
      <c r="T535" s="249" t="str">
        <f t="shared" ca="1" si="55"/>
        <v/>
      </c>
      <c r="U535" s="172" t="str">
        <f t="shared" ca="1" si="56"/>
        <v/>
      </c>
      <c r="V535" s="343" t="str">
        <f t="shared" ca="1" si="57"/>
        <v/>
      </c>
      <c r="W535" s="139"/>
      <c r="Y535" s="1"/>
    </row>
    <row r="536" spans="3:25" ht="12" customHeight="1">
      <c r="C536" s="342" t="str">
        <f t="shared" ca="1" si="58"/>
        <v/>
      </c>
      <c r="D536" s="153" t="str">
        <f t="shared" ca="1" si="53"/>
        <v/>
      </c>
      <c r="E536" s="153" t="str">
        <f t="shared" ca="1" si="54"/>
        <v/>
      </c>
      <c r="F536" s="170" t="str">
        <f ca="1">IF(C536="","",[1]!S_DQ_CLOSE(D536,TODAY(),1))</f>
        <v/>
      </c>
      <c r="G536" s="171" t="str">
        <f ca="1">IF(C536="","",[1]!s_pq_pctchange(D536,TODAY()-$G$12,TODAY())/100)</f>
        <v/>
      </c>
      <c r="H536" s="247" t="str">
        <f ca="1">IF(C536="","",IF($H$11="收入",[1]!S_STM07_IS(D536,9,$G$5,$H$13)/$E$5,[1]!S_STM07_IS(D536,48,$G$5,$H$13)/$E$5))</f>
        <v/>
      </c>
      <c r="I536" s="247" t="str">
        <f ca="1">IF(C536="","",IF($I$11="毛利率",([1]!S_STM07_IS(D536,9,$G$5,$H$13)-[1]!S_STM07_IS(D536,10,$G$5,$H$13))/[1]!S_STM07_IS(D536,9,$G$5,$H$13),[1]!S_STM07_IS(D536,14,$G$5,$H$13)/$E$5))</f>
        <v/>
      </c>
      <c r="J536" s="247" t="str">
        <f ca="1">IF(C536="","",IF($J$11="营业利润率",[1]!S_STM07_IS(D536,48,$G$5,$H$13)/[1]!S_STM07_IS(D536,9,$G$5,$H$13),([1]!S_STM07_CS(D536,87,$G$5,$H$13)+[1]!S_STM07_CS(D536,88,$G$5,$H$13)+[1]!S_STM07_CS(D536,89,$G$5,$H$13))/$E$5))</f>
        <v/>
      </c>
      <c r="K536" s="247" t="str">
        <f ca="1">IF(C536="","",IF($K$11="净利润率",[1]!S_STM07_IS(D536,61,$G$5,$H$13)/[1]!S_STM07_IS(D536,9,$G$5,$H$13),[1]!S_STM07_IS(D536,55,$G$5,$H$13)/$E$5))</f>
        <v/>
      </c>
      <c r="L536" s="247" t="str">
        <f ca="1">IF(C536="","",IF($L$11="ROA",[1]!S_STM07_IS(D536,61,$G$5,$H$13)/[1]!S_STM07_BS(D536,74,$G$5,$H$13),1-[1]!S_STM07_IS(D536,61,$G$5,$H$13)/[1]!S_STM07_IS(D536,55,$G$5,$H$13)))</f>
        <v/>
      </c>
      <c r="M536" s="247" t="str">
        <f ca="1">IF(C536="","",IF($M$11="ROE",[1]!S_STM07_IS(D536,61,$G$5,$H$13)/[1]!S_STM07_BS(D536,141,$G$5,$H$13),([1]!S_STM07_BS(D536,25,$G$5,$H$13)-[1]!S_STM07_BS(D536,93,$G$5,$H$13))/$E$5))</f>
        <v/>
      </c>
      <c r="N536" s="247" t="str">
        <f ca="1">IF(C536="","",IF($N$11="EPS",[1]!S_STM07_IS(D536,61,$G$5,$H$13)/IF([1]!S_SHARE_TOTAL(D536,$G$5)=0,[1]!S_SHARE_TOTAL(D536,[1]!s_ipo_listeddate(D536)),[1]!S_SHARE_TOTAL(D536,$G$5)),([1]!S_STM07_BS(D536,75,$G$5,$H$13)+[1]!S_STM07_BS(D536,88,$G$5,$H$13)+[1]!S_STM07_BS(D536,94,$G$5,$H$13)+[1]!S_STM07_BS(D536,95,$G$5,$H$13))/$E$5))</f>
        <v/>
      </c>
      <c r="O536" s="247" t="str">
        <f ca="1">IF(C536="","",IF($O$11="BPS",[1]!S_STM07_BS(D536,141,$G$5,$H$13)/IF([1]!S_SHARE_TOTAL(D536,$G$5)=0,[1]!S_SHARE_TOTAL(D536,[1]!s_ipo_listeddate(D536)),[1]!S_SHARE_TOTAL(D536,$G$5)),[1]!S_STM07_CS(D536,49,$G$5,$H$13)/$E$5))</f>
        <v/>
      </c>
      <c r="P536" s="247" t="str">
        <f ca="1">IF(C536="","",IF($P$11="CFPS",[1]!S_STM07_CS(D536,84,$G$5,$H$13)/IF([1]!S_SHARE_TOTAL(D536,$G$5)=0,[1]!S_SHARE_TOTAL(D536,[1]!s_ipo_listeddate(D536)),[1]!S_SHARE_TOTAL(D536,$G$5)),[1]!S_STM07_CS(D536,84,$G$5,$H$13)/$E$5))</f>
        <v/>
      </c>
      <c r="Q536" s="248" t="str">
        <f ca="1">IF(C536="","",F536/([1]!S_STM07_IS(D536,61,$G$5,$H$13)/IF([1]!S_SHARE_TOTAL(D536,$G$5)=0,[1]!S_SHARE_TOTAL(D536,[1]!s_ipo_listeddate(D536)),[1]!S_SHARE_TOTAL(D536,$G$5))))</f>
        <v/>
      </c>
      <c r="R536" s="248" t="str">
        <f ca="1">IF(C536="","",F536/([1]!S_STM07_BS(D536,141,$G$5,$H$13)/IF([1]!S_SHARE_TOTAL(D536,$G$5)=0,[1]!S_SHARE_TOTAL(D536,[1]!s_ipo_listeddate(D536)),[1]!S_SHARE_TOTAL(D536,$G$5))))</f>
        <v/>
      </c>
      <c r="S536" s="247" t="str">
        <f ca="1">IF(C536="","",[1]!S_SHARE_TOTAL(D536,TODAY())/$E$5)</f>
        <v/>
      </c>
      <c r="T536" s="247" t="str">
        <f t="shared" ca="1" si="55"/>
        <v/>
      </c>
      <c r="U536" s="218" t="str">
        <f t="shared" ca="1" si="56"/>
        <v/>
      </c>
      <c r="V536" s="342" t="str">
        <f t="shared" ca="1" si="57"/>
        <v/>
      </c>
      <c r="W536" s="139"/>
      <c r="Y536" s="1"/>
    </row>
    <row r="537" spans="3:25" ht="12" customHeight="1">
      <c r="C537" s="343" t="str">
        <f t="shared" ca="1" si="58"/>
        <v/>
      </c>
      <c r="D537" s="124" t="str">
        <f t="shared" ca="1" si="53"/>
        <v/>
      </c>
      <c r="E537" s="124" t="str">
        <f t="shared" ca="1" si="54"/>
        <v/>
      </c>
      <c r="F537" s="172" t="str">
        <f ca="1">IF(C537="","",[1]!S_DQ_CLOSE(D537,TODAY(),1))</f>
        <v/>
      </c>
      <c r="G537" s="173" t="str">
        <f ca="1">IF(C537="","",[1]!s_pq_pctchange(D537,TODAY()-$G$12,TODAY())/100)</f>
        <v/>
      </c>
      <c r="H537" s="249" t="str">
        <f ca="1">IF(C537="","",IF($H$11="收入",[1]!S_STM07_IS(D537,9,$G$5,$H$13)/$E$5,[1]!S_STM07_IS(D537,48,$G$5,$H$13)/$E$5))</f>
        <v/>
      </c>
      <c r="I537" s="249" t="str">
        <f ca="1">IF(C537="","",IF($I$11="毛利率",([1]!S_STM07_IS(D537,9,$G$5,$H$13)-[1]!S_STM07_IS(D537,10,$G$5,$H$13))/[1]!S_STM07_IS(D537,9,$G$5,$H$13),[1]!S_STM07_IS(D537,14,$G$5,$H$13)/$E$5))</f>
        <v/>
      </c>
      <c r="J537" s="249" t="str">
        <f ca="1">IF(C537="","",IF($J$11="营业利润率",[1]!S_STM07_IS(D537,48,$G$5,$H$13)/[1]!S_STM07_IS(D537,9,$G$5,$H$13),([1]!S_STM07_CS(D537,87,$G$5,$H$13)+[1]!S_STM07_CS(D537,88,$G$5,$H$13)+[1]!S_STM07_CS(D537,89,$G$5,$H$13))/$E$5))</f>
        <v/>
      </c>
      <c r="K537" s="249" t="str">
        <f ca="1">IF(C537="","",IF($K$11="净利润率",[1]!S_STM07_IS(D537,61,$G$5,$H$13)/[1]!S_STM07_IS(D537,9,$G$5,$H$13),[1]!S_STM07_IS(D537,55,$G$5,$H$13)/$E$5))</f>
        <v/>
      </c>
      <c r="L537" s="249" t="str">
        <f ca="1">IF(C537="","",IF($L$11="ROA",[1]!S_STM07_IS(D537,61,$G$5,$H$13)/[1]!S_STM07_BS(D537,74,$G$5,$H$13),1-[1]!S_STM07_IS(D537,61,$G$5,$H$13)/[1]!S_STM07_IS(D537,55,$G$5,$H$13)))</f>
        <v/>
      </c>
      <c r="M537" s="249" t="str">
        <f ca="1">IF(C537="","",IF($M$11="ROE",[1]!S_STM07_IS(D537,61,$G$5,$H$13)/[1]!S_STM07_BS(D537,141,$G$5,$H$13),([1]!S_STM07_BS(D537,25,$G$5,$H$13)-[1]!S_STM07_BS(D537,93,$G$5,$H$13))/$E$5))</f>
        <v/>
      </c>
      <c r="N537" s="250" t="str">
        <f ca="1">IF(C537="","",IF($N$11="EPS",[1]!S_STM07_IS(D537,61,$G$5,$H$13)/IF([1]!S_SHARE_TOTAL(D537,$G$5)=0,[1]!S_SHARE_TOTAL(D537,[1]!s_ipo_listeddate(D537)),[1]!S_SHARE_TOTAL(D537,$G$5)),([1]!S_STM07_BS(D537,75,$G$5,$H$13)+[1]!S_STM07_BS(D537,88,$G$5,$H$13)+[1]!S_STM07_BS(D537,94,$G$5,$H$13)+[1]!S_STM07_BS(D537,95,$G$5,$H$13))/$E$5))</f>
        <v/>
      </c>
      <c r="O537" s="250" t="str">
        <f ca="1">IF(C537="","",IF($O$11="BPS",[1]!S_STM07_BS(D537,141,$G$5,$H$13)/IF([1]!S_SHARE_TOTAL(D537,$G$5)=0,[1]!S_SHARE_TOTAL(D537,[1]!s_ipo_listeddate(D537)),[1]!S_SHARE_TOTAL(D537,$G$5)),[1]!S_STM07_CS(D537,49,$G$5,$H$13)/$E$5))</f>
        <v/>
      </c>
      <c r="P537" s="250" t="str">
        <f ca="1">IF(C537="","",IF($P$11="CFPS",[1]!S_STM07_CS(D537,84,$G$5,$H$13)/IF([1]!S_SHARE_TOTAL(D537,$G$5)=0,[1]!S_SHARE_TOTAL(D537,[1]!s_ipo_listeddate(D537)),[1]!S_SHARE_TOTAL(D537,$G$5)),[1]!S_STM07_CS(D537,84,$G$5,$H$13)/$E$5))</f>
        <v/>
      </c>
      <c r="Q537" s="198" t="str">
        <f ca="1">IF(C537="","",F537/([1]!S_STM07_IS(D537,61,$G$5,$H$13)/IF([1]!S_SHARE_TOTAL(D537,$G$5)=0,[1]!S_SHARE_TOTAL(D537,[1]!s_ipo_listeddate(D537)),[1]!S_SHARE_TOTAL(D537,$G$5))))</f>
        <v/>
      </c>
      <c r="R537" s="198" t="str">
        <f ca="1">IF(C537="","",F537/([1]!S_STM07_BS(D537,141,$G$5,$H$13)/IF([1]!S_SHARE_TOTAL(D537,$G$5)=0,[1]!S_SHARE_TOTAL(D537,[1]!s_ipo_listeddate(D537)),[1]!S_SHARE_TOTAL(D537,$G$5))))</f>
        <v/>
      </c>
      <c r="S537" s="249" t="str">
        <f ca="1">IF(C537="","",[1]!S_SHARE_TOTAL(D537,TODAY())/$E$5)</f>
        <v/>
      </c>
      <c r="T537" s="249" t="str">
        <f t="shared" ca="1" si="55"/>
        <v/>
      </c>
      <c r="U537" s="172" t="str">
        <f t="shared" ca="1" si="56"/>
        <v/>
      </c>
      <c r="V537" s="343" t="str">
        <f t="shared" ca="1" si="57"/>
        <v/>
      </c>
      <c r="W537" s="139"/>
      <c r="Y537" s="1"/>
    </row>
    <row r="538" spans="3:25" ht="12" customHeight="1">
      <c r="C538" s="342" t="str">
        <f t="shared" ca="1" si="58"/>
        <v/>
      </c>
      <c r="D538" s="153" t="str">
        <f t="shared" ca="1" si="53"/>
        <v/>
      </c>
      <c r="E538" s="153" t="str">
        <f t="shared" ca="1" si="54"/>
        <v/>
      </c>
      <c r="F538" s="170" t="str">
        <f ca="1">IF(C538="","",[1]!S_DQ_CLOSE(D538,TODAY(),1))</f>
        <v/>
      </c>
      <c r="G538" s="171" t="str">
        <f ca="1">IF(C538="","",[1]!s_pq_pctchange(D538,TODAY()-$G$12,TODAY())/100)</f>
        <v/>
      </c>
      <c r="H538" s="247" t="str">
        <f ca="1">IF(C538="","",IF($H$11="收入",[1]!S_STM07_IS(D538,9,$G$5,$H$13)/$E$5,[1]!S_STM07_IS(D538,48,$G$5,$H$13)/$E$5))</f>
        <v/>
      </c>
      <c r="I538" s="247" t="str">
        <f ca="1">IF(C538="","",IF($I$11="毛利率",([1]!S_STM07_IS(D538,9,$G$5,$H$13)-[1]!S_STM07_IS(D538,10,$G$5,$H$13))/[1]!S_STM07_IS(D538,9,$G$5,$H$13),[1]!S_STM07_IS(D538,14,$G$5,$H$13)/$E$5))</f>
        <v/>
      </c>
      <c r="J538" s="247" t="str">
        <f ca="1">IF(C538="","",IF($J$11="营业利润率",[1]!S_STM07_IS(D538,48,$G$5,$H$13)/[1]!S_STM07_IS(D538,9,$G$5,$H$13),([1]!S_STM07_CS(D538,87,$G$5,$H$13)+[1]!S_STM07_CS(D538,88,$G$5,$H$13)+[1]!S_STM07_CS(D538,89,$G$5,$H$13))/$E$5))</f>
        <v/>
      </c>
      <c r="K538" s="247" t="str">
        <f ca="1">IF(C538="","",IF($K$11="净利润率",[1]!S_STM07_IS(D538,61,$G$5,$H$13)/[1]!S_STM07_IS(D538,9,$G$5,$H$13),[1]!S_STM07_IS(D538,55,$G$5,$H$13)/$E$5))</f>
        <v/>
      </c>
      <c r="L538" s="247" t="str">
        <f ca="1">IF(C538="","",IF($L$11="ROA",[1]!S_STM07_IS(D538,61,$G$5,$H$13)/[1]!S_STM07_BS(D538,74,$G$5,$H$13),1-[1]!S_STM07_IS(D538,61,$G$5,$H$13)/[1]!S_STM07_IS(D538,55,$G$5,$H$13)))</f>
        <v/>
      </c>
      <c r="M538" s="247" t="str">
        <f ca="1">IF(C538="","",IF($M$11="ROE",[1]!S_STM07_IS(D538,61,$G$5,$H$13)/[1]!S_STM07_BS(D538,141,$G$5,$H$13),([1]!S_STM07_BS(D538,25,$G$5,$H$13)-[1]!S_STM07_BS(D538,93,$G$5,$H$13))/$E$5))</f>
        <v/>
      </c>
      <c r="N538" s="247" t="str">
        <f ca="1">IF(C538="","",IF($N$11="EPS",[1]!S_STM07_IS(D538,61,$G$5,$H$13)/IF([1]!S_SHARE_TOTAL(D538,$G$5)=0,[1]!S_SHARE_TOTAL(D538,[1]!s_ipo_listeddate(D538)),[1]!S_SHARE_TOTAL(D538,$G$5)),([1]!S_STM07_BS(D538,75,$G$5,$H$13)+[1]!S_STM07_BS(D538,88,$G$5,$H$13)+[1]!S_STM07_BS(D538,94,$G$5,$H$13)+[1]!S_STM07_BS(D538,95,$G$5,$H$13))/$E$5))</f>
        <v/>
      </c>
      <c r="O538" s="247" t="str">
        <f ca="1">IF(C538="","",IF($O$11="BPS",[1]!S_STM07_BS(D538,141,$G$5,$H$13)/IF([1]!S_SHARE_TOTAL(D538,$G$5)=0,[1]!S_SHARE_TOTAL(D538,[1]!s_ipo_listeddate(D538)),[1]!S_SHARE_TOTAL(D538,$G$5)),[1]!S_STM07_CS(D538,49,$G$5,$H$13)/$E$5))</f>
        <v/>
      </c>
      <c r="P538" s="247" t="str">
        <f ca="1">IF(C538="","",IF($P$11="CFPS",[1]!S_STM07_CS(D538,84,$G$5,$H$13)/IF([1]!S_SHARE_TOTAL(D538,$G$5)=0,[1]!S_SHARE_TOTAL(D538,[1]!s_ipo_listeddate(D538)),[1]!S_SHARE_TOTAL(D538,$G$5)),[1]!S_STM07_CS(D538,84,$G$5,$H$13)/$E$5))</f>
        <v/>
      </c>
      <c r="Q538" s="248" t="str">
        <f ca="1">IF(C538="","",F538/([1]!S_STM07_IS(D538,61,$G$5,$H$13)/IF([1]!S_SHARE_TOTAL(D538,$G$5)=0,[1]!S_SHARE_TOTAL(D538,[1]!s_ipo_listeddate(D538)),[1]!S_SHARE_TOTAL(D538,$G$5))))</f>
        <v/>
      </c>
      <c r="R538" s="248" t="str">
        <f ca="1">IF(C538="","",F538/([1]!S_STM07_BS(D538,141,$G$5,$H$13)/IF([1]!S_SHARE_TOTAL(D538,$G$5)=0,[1]!S_SHARE_TOTAL(D538,[1]!s_ipo_listeddate(D538)),[1]!S_SHARE_TOTAL(D538,$G$5))))</f>
        <v/>
      </c>
      <c r="S538" s="247" t="str">
        <f ca="1">IF(C538="","",[1]!S_SHARE_TOTAL(D538,TODAY())/$E$5)</f>
        <v/>
      </c>
      <c r="T538" s="247" t="str">
        <f t="shared" ca="1" si="55"/>
        <v/>
      </c>
      <c r="U538" s="218" t="str">
        <f t="shared" ca="1" si="56"/>
        <v/>
      </c>
      <c r="V538" s="342" t="str">
        <f t="shared" ca="1" si="57"/>
        <v/>
      </c>
      <c r="W538" s="139"/>
      <c r="Y538" s="1"/>
    </row>
    <row r="539" spans="3:25" ht="12" customHeight="1">
      <c r="C539" s="343" t="str">
        <f t="shared" ca="1" si="58"/>
        <v/>
      </c>
      <c r="D539" s="124" t="str">
        <f t="shared" ca="1" si="53"/>
        <v/>
      </c>
      <c r="E539" s="124" t="str">
        <f t="shared" ca="1" si="54"/>
        <v/>
      </c>
      <c r="F539" s="172" t="str">
        <f ca="1">IF(C539="","",[1]!S_DQ_CLOSE(D539,TODAY(),1))</f>
        <v/>
      </c>
      <c r="G539" s="173" t="str">
        <f ca="1">IF(C539="","",[1]!s_pq_pctchange(D539,TODAY()-$G$12,TODAY())/100)</f>
        <v/>
      </c>
      <c r="H539" s="249" t="str">
        <f ca="1">IF(C539="","",IF($H$11="收入",[1]!S_STM07_IS(D539,9,$G$5,$H$13)/$E$5,[1]!S_STM07_IS(D539,48,$G$5,$H$13)/$E$5))</f>
        <v/>
      </c>
      <c r="I539" s="249" t="str">
        <f ca="1">IF(C539="","",IF($I$11="毛利率",([1]!S_STM07_IS(D539,9,$G$5,$H$13)-[1]!S_STM07_IS(D539,10,$G$5,$H$13))/[1]!S_STM07_IS(D539,9,$G$5,$H$13),[1]!S_STM07_IS(D539,14,$G$5,$H$13)/$E$5))</f>
        <v/>
      </c>
      <c r="J539" s="249" t="str">
        <f ca="1">IF(C539="","",IF($J$11="营业利润率",[1]!S_STM07_IS(D539,48,$G$5,$H$13)/[1]!S_STM07_IS(D539,9,$G$5,$H$13),([1]!S_STM07_CS(D539,87,$G$5,$H$13)+[1]!S_STM07_CS(D539,88,$G$5,$H$13)+[1]!S_STM07_CS(D539,89,$G$5,$H$13))/$E$5))</f>
        <v/>
      </c>
      <c r="K539" s="249" t="str">
        <f ca="1">IF(C539="","",IF($K$11="净利润率",[1]!S_STM07_IS(D539,61,$G$5,$H$13)/[1]!S_STM07_IS(D539,9,$G$5,$H$13),[1]!S_STM07_IS(D539,55,$G$5,$H$13)/$E$5))</f>
        <v/>
      </c>
      <c r="L539" s="249" t="str">
        <f ca="1">IF(C539="","",IF($L$11="ROA",[1]!S_STM07_IS(D539,61,$G$5,$H$13)/[1]!S_STM07_BS(D539,74,$G$5,$H$13),1-[1]!S_STM07_IS(D539,61,$G$5,$H$13)/[1]!S_STM07_IS(D539,55,$G$5,$H$13)))</f>
        <v/>
      </c>
      <c r="M539" s="249" t="str">
        <f ca="1">IF(C539="","",IF($M$11="ROE",[1]!S_STM07_IS(D539,61,$G$5,$H$13)/[1]!S_STM07_BS(D539,141,$G$5,$H$13),([1]!S_STM07_BS(D539,25,$G$5,$H$13)-[1]!S_STM07_BS(D539,93,$G$5,$H$13))/$E$5))</f>
        <v/>
      </c>
      <c r="N539" s="250" t="str">
        <f ca="1">IF(C539="","",IF($N$11="EPS",[1]!S_STM07_IS(D539,61,$G$5,$H$13)/IF([1]!S_SHARE_TOTAL(D539,$G$5)=0,[1]!S_SHARE_TOTAL(D539,[1]!s_ipo_listeddate(D539)),[1]!S_SHARE_TOTAL(D539,$G$5)),([1]!S_STM07_BS(D539,75,$G$5,$H$13)+[1]!S_STM07_BS(D539,88,$G$5,$H$13)+[1]!S_STM07_BS(D539,94,$G$5,$H$13)+[1]!S_STM07_BS(D539,95,$G$5,$H$13))/$E$5))</f>
        <v/>
      </c>
      <c r="O539" s="250" t="str">
        <f ca="1">IF(C539="","",IF($O$11="BPS",[1]!S_STM07_BS(D539,141,$G$5,$H$13)/IF([1]!S_SHARE_TOTAL(D539,$G$5)=0,[1]!S_SHARE_TOTAL(D539,[1]!s_ipo_listeddate(D539)),[1]!S_SHARE_TOTAL(D539,$G$5)),[1]!S_STM07_CS(D539,49,$G$5,$H$13)/$E$5))</f>
        <v/>
      </c>
      <c r="P539" s="250" t="str">
        <f ca="1">IF(C539="","",IF($P$11="CFPS",[1]!S_STM07_CS(D539,84,$G$5,$H$13)/IF([1]!S_SHARE_TOTAL(D539,$G$5)=0,[1]!S_SHARE_TOTAL(D539,[1]!s_ipo_listeddate(D539)),[1]!S_SHARE_TOTAL(D539,$G$5)),[1]!S_STM07_CS(D539,84,$G$5,$H$13)/$E$5))</f>
        <v/>
      </c>
      <c r="Q539" s="198" t="str">
        <f ca="1">IF(C539="","",F539/([1]!S_STM07_IS(D539,61,$G$5,$H$13)/IF([1]!S_SHARE_TOTAL(D539,$G$5)=0,[1]!S_SHARE_TOTAL(D539,[1]!s_ipo_listeddate(D539)),[1]!S_SHARE_TOTAL(D539,$G$5))))</f>
        <v/>
      </c>
      <c r="R539" s="198" t="str">
        <f ca="1">IF(C539="","",F539/([1]!S_STM07_BS(D539,141,$G$5,$H$13)/IF([1]!S_SHARE_TOTAL(D539,$G$5)=0,[1]!S_SHARE_TOTAL(D539,[1]!s_ipo_listeddate(D539)),[1]!S_SHARE_TOTAL(D539,$G$5))))</f>
        <v/>
      </c>
      <c r="S539" s="249" t="str">
        <f ca="1">IF(C539="","",[1]!S_SHARE_TOTAL(D539,TODAY())/$E$5)</f>
        <v/>
      </c>
      <c r="T539" s="249" t="str">
        <f t="shared" ca="1" si="55"/>
        <v/>
      </c>
      <c r="U539" s="172" t="str">
        <f t="shared" ca="1" si="56"/>
        <v/>
      </c>
      <c r="V539" s="343" t="str">
        <f t="shared" ca="1" si="57"/>
        <v/>
      </c>
      <c r="W539" s="139"/>
      <c r="Y539" s="1"/>
    </row>
    <row r="540" spans="3:25" ht="12" customHeight="1">
      <c r="C540" s="342" t="str">
        <f t="shared" ca="1" si="58"/>
        <v/>
      </c>
      <c r="D540" s="153" t="str">
        <f t="shared" ca="1" si="53"/>
        <v/>
      </c>
      <c r="E540" s="153" t="str">
        <f t="shared" ca="1" si="54"/>
        <v/>
      </c>
      <c r="F540" s="170" t="str">
        <f ca="1">IF(C540="","",[1]!S_DQ_CLOSE(D540,TODAY(),1))</f>
        <v/>
      </c>
      <c r="G540" s="171" t="str">
        <f ca="1">IF(C540="","",[1]!s_pq_pctchange(D540,TODAY()-$G$12,TODAY())/100)</f>
        <v/>
      </c>
      <c r="H540" s="247" t="str">
        <f ca="1">IF(C540="","",IF($H$11="收入",[1]!S_STM07_IS(D540,9,$G$5,$H$13)/$E$5,[1]!S_STM07_IS(D540,48,$G$5,$H$13)/$E$5))</f>
        <v/>
      </c>
      <c r="I540" s="247" t="str">
        <f ca="1">IF(C540="","",IF($I$11="毛利率",([1]!S_STM07_IS(D540,9,$G$5,$H$13)-[1]!S_STM07_IS(D540,10,$G$5,$H$13))/[1]!S_STM07_IS(D540,9,$G$5,$H$13),[1]!S_STM07_IS(D540,14,$G$5,$H$13)/$E$5))</f>
        <v/>
      </c>
      <c r="J540" s="247" t="str">
        <f ca="1">IF(C540="","",IF($J$11="营业利润率",[1]!S_STM07_IS(D540,48,$G$5,$H$13)/[1]!S_STM07_IS(D540,9,$G$5,$H$13),([1]!S_STM07_CS(D540,87,$G$5,$H$13)+[1]!S_STM07_CS(D540,88,$G$5,$H$13)+[1]!S_STM07_CS(D540,89,$G$5,$H$13))/$E$5))</f>
        <v/>
      </c>
      <c r="K540" s="247" t="str">
        <f ca="1">IF(C540="","",IF($K$11="净利润率",[1]!S_STM07_IS(D540,61,$G$5,$H$13)/[1]!S_STM07_IS(D540,9,$G$5,$H$13),[1]!S_STM07_IS(D540,55,$G$5,$H$13)/$E$5))</f>
        <v/>
      </c>
      <c r="L540" s="247" t="str">
        <f ca="1">IF(C540="","",IF($L$11="ROA",[1]!S_STM07_IS(D540,61,$G$5,$H$13)/[1]!S_STM07_BS(D540,74,$G$5,$H$13),1-[1]!S_STM07_IS(D540,61,$G$5,$H$13)/[1]!S_STM07_IS(D540,55,$G$5,$H$13)))</f>
        <v/>
      </c>
      <c r="M540" s="247" t="str">
        <f ca="1">IF(C540="","",IF($M$11="ROE",[1]!S_STM07_IS(D540,61,$G$5,$H$13)/[1]!S_STM07_BS(D540,141,$G$5,$H$13),([1]!S_STM07_BS(D540,25,$G$5,$H$13)-[1]!S_STM07_BS(D540,93,$G$5,$H$13))/$E$5))</f>
        <v/>
      </c>
      <c r="N540" s="247" t="str">
        <f ca="1">IF(C540="","",IF($N$11="EPS",[1]!S_STM07_IS(D540,61,$G$5,$H$13)/IF([1]!S_SHARE_TOTAL(D540,$G$5)=0,[1]!S_SHARE_TOTAL(D540,[1]!s_ipo_listeddate(D540)),[1]!S_SHARE_TOTAL(D540,$G$5)),([1]!S_STM07_BS(D540,75,$G$5,$H$13)+[1]!S_STM07_BS(D540,88,$G$5,$H$13)+[1]!S_STM07_BS(D540,94,$G$5,$H$13)+[1]!S_STM07_BS(D540,95,$G$5,$H$13))/$E$5))</f>
        <v/>
      </c>
      <c r="O540" s="247" t="str">
        <f ca="1">IF(C540="","",IF($O$11="BPS",[1]!S_STM07_BS(D540,141,$G$5,$H$13)/IF([1]!S_SHARE_TOTAL(D540,$G$5)=0,[1]!S_SHARE_TOTAL(D540,[1]!s_ipo_listeddate(D540)),[1]!S_SHARE_TOTAL(D540,$G$5)),[1]!S_STM07_CS(D540,49,$G$5,$H$13)/$E$5))</f>
        <v/>
      </c>
      <c r="P540" s="247" t="str">
        <f ca="1">IF(C540="","",IF($P$11="CFPS",[1]!S_STM07_CS(D540,84,$G$5,$H$13)/IF([1]!S_SHARE_TOTAL(D540,$G$5)=0,[1]!S_SHARE_TOTAL(D540,[1]!s_ipo_listeddate(D540)),[1]!S_SHARE_TOTAL(D540,$G$5)),[1]!S_STM07_CS(D540,84,$G$5,$H$13)/$E$5))</f>
        <v/>
      </c>
      <c r="Q540" s="248" t="str">
        <f ca="1">IF(C540="","",F540/([1]!S_STM07_IS(D540,61,$G$5,$H$13)/IF([1]!S_SHARE_TOTAL(D540,$G$5)=0,[1]!S_SHARE_TOTAL(D540,[1]!s_ipo_listeddate(D540)),[1]!S_SHARE_TOTAL(D540,$G$5))))</f>
        <v/>
      </c>
      <c r="R540" s="248" t="str">
        <f ca="1">IF(C540="","",F540/([1]!S_STM07_BS(D540,141,$G$5,$H$13)/IF([1]!S_SHARE_TOTAL(D540,$G$5)=0,[1]!S_SHARE_TOTAL(D540,[1]!s_ipo_listeddate(D540)),[1]!S_SHARE_TOTAL(D540,$G$5))))</f>
        <v/>
      </c>
      <c r="S540" s="247" t="str">
        <f ca="1">IF(C540="","",[1]!S_SHARE_TOTAL(D540,TODAY())/$E$5)</f>
        <v/>
      </c>
      <c r="T540" s="247" t="str">
        <f t="shared" ca="1" si="55"/>
        <v/>
      </c>
      <c r="U540" s="218" t="str">
        <f t="shared" ca="1" si="56"/>
        <v/>
      </c>
      <c r="V540" s="342" t="str">
        <f t="shared" ca="1" si="57"/>
        <v/>
      </c>
      <c r="W540" s="139"/>
      <c r="Y540" s="1"/>
    </row>
    <row r="541" spans="3:25" ht="12" customHeight="1">
      <c r="C541" s="343" t="str">
        <f t="shared" ca="1" si="58"/>
        <v/>
      </c>
      <c r="D541" s="124" t="str">
        <f t="shared" ca="1" si="53"/>
        <v/>
      </c>
      <c r="E541" s="124" t="str">
        <f t="shared" ca="1" si="54"/>
        <v/>
      </c>
      <c r="F541" s="172" t="str">
        <f ca="1">IF(C541="","",[1]!S_DQ_CLOSE(D541,TODAY(),1))</f>
        <v/>
      </c>
      <c r="G541" s="173" t="str">
        <f ca="1">IF(C541="","",[1]!s_pq_pctchange(D541,TODAY()-$G$12,TODAY())/100)</f>
        <v/>
      </c>
      <c r="H541" s="249" t="str">
        <f ca="1">IF(C541="","",IF($H$11="收入",[1]!S_STM07_IS(D541,9,$G$5,$H$13)/$E$5,[1]!S_STM07_IS(D541,48,$G$5,$H$13)/$E$5))</f>
        <v/>
      </c>
      <c r="I541" s="249" t="str">
        <f ca="1">IF(C541="","",IF($I$11="毛利率",([1]!S_STM07_IS(D541,9,$G$5,$H$13)-[1]!S_STM07_IS(D541,10,$G$5,$H$13))/[1]!S_STM07_IS(D541,9,$G$5,$H$13),[1]!S_STM07_IS(D541,14,$G$5,$H$13)/$E$5))</f>
        <v/>
      </c>
      <c r="J541" s="249" t="str">
        <f ca="1">IF(C541="","",IF($J$11="营业利润率",[1]!S_STM07_IS(D541,48,$G$5,$H$13)/[1]!S_STM07_IS(D541,9,$G$5,$H$13),([1]!S_STM07_CS(D541,87,$G$5,$H$13)+[1]!S_STM07_CS(D541,88,$G$5,$H$13)+[1]!S_STM07_CS(D541,89,$G$5,$H$13))/$E$5))</f>
        <v/>
      </c>
      <c r="K541" s="249" t="str">
        <f ca="1">IF(C541="","",IF($K$11="净利润率",[1]!S_STM07_IS(D541,61,$G$5,$H$13)/[1]!S_STM07_IS(D541,9,$G$5,$H$13),[1]!S_STM07_IS(D541,55,$G$5,$H$13)/$E$5))</f>
        <v/>
      </c>
      <c r="L541" s="249" t="str">
        <f ca="1">IF(C541="","",IF($L$11="ROA",[1]!S_STM07_IS(D541,61,$G$5,$H$13)/[1]!S_STM07_BS(D541,74,$G$5,$H$13),1-[1]!S_STM07_IS(D541,61,$G$5,$H$13)/[1]!S_STM07_IS(D541,55,$G$5,$H$13)))</f>
        <v/>
      </c>
      <c r="M541" s="249" t="str">
        <f ca="1">IF(C541="","",IF($M$11="ROE",[1]!S_STM07_IS(D541,61,$G$5,$H$13)/[1]!S_STM07_BS(D541,141,$G$5,$H$13),([1]!S_STM07_BS(D541,25,$G$5,$H$13)-[1]!S_STM07_BS(D541,93,$G$5,$H$13))/$E$5))</f>
        <v/>
      </c>
      <c r="N541" s="250" t="str">
        <f ca="1">IF(C541="","",IF($N$11="EPS",[1]!S_STM07_IS(D541,61,$G$5,$H$13)/IF([1]!S_SHARE_TOTAL(D541,$G$5)=0,[1]!S_SHARE_TOTAL(D541,[1]!s_ipo_listeddate(D541)),[1]!S_SHARE_TOTAL(D541,$G$5)),([1]!S_STM07_BS(D541,75,$G$5,$H$13)+[1]!S_STM07_BS(D541,88,$G$5,$H$13)+[1]!S_STM07_BS(D541,94,$G$5,$H$13)+[1]!S_STM07_BS(D541,95,$G$5,$H$13))/$E$5))</f>
        <v/>
      </c>
      <c r="O541" s="250" t="str">
        <f ca="1">IF(C541="","",IF($O$11="BPS",[1]!S_STM07_BS(D541,141,$G$5,$H$13)/IF([1]!S_SHARE_TOTAL(D541,$G$5)=0,[1]!S_SHARE_TOTAL(D541,[1]!s_ipo_listeddate(D541)),[1]!S_SHARE_TOTAL(D541,$G$5)),[1]!S_STM07_CS(D541,49,$G$5,$H$13)/$E$5))</f>
        <v/>
      </c>
      <c r="P541" s="250" t="str">
        <f ca="1">IF(C541="","",IF($P$11="CFPS",[1]!S_STM07_CS(D541,84,$G$5,$H$13)/IF([1]!S_SHARE_TOTAL(D541,$G$5)=0,[1]!S_SHARE_TOTAL(D541,[1]!s_ipo_listeddate(D541)),[1]!S_SHARE_TOTAL(D541,$G$5)),[1]!S_STM07_CS(D541,84,$G$5,$H$13)/$E$5))</f>
        <v/>
      </c>
      <c r="Q541" s="198" t="str">
        <f ca="1">IF(C541="","",F541/([1]!S_STM07_IS(D541,61,$G$5,$H$13)/IF([1]!S_SHARE_TOTAL(D541,$G$5)=0,[1]!S_SHARE_TOTAL(D541,[1]!s_ipo_listeddate(D541)),[1]!S_SHARE_TOTAL(D541,$G$5))))</f>
        <v/>
      </c>
      <c r="R541" s="198" t="str">
        <f ca="1">IF(C541="","",F541/([1]!S_STM07_BS(D541,141,$G$5,$H$13)/IF([1]!S_SHARE_TOTAL(D541,$G$5)=0,[1]!S_SHARE_TOTAL(D541,[1]!s_ipo_listeddate(D541)),[1]!S_SHARE_TOTAL(D541,$G$5))))</f>
        <v/>
      </c>
      <c r="S541" s="249" t="str">
        <f ca="1">IF(C541="","",[1]!S_SHARE_TOTAL(D541,TODAY())/$E$5)</f>
        <v/>
      </c>
      <c r="T541" s="249" t="str">
        <f t="shared" ca="1" si="55"/>
        <v/>
      </c>
      <c r="U541" s="172" t="str">
        <f t="shared" ca="1" si="56"/>
        <v/>
      </c>
      <c r="V541" s="343" t="str">
        <f t="shared" ca="1" si="57"/>
        <v/>
      </c>
      <c r="W541" s="139"/>
      <c r="Y541" s="1"/>
    </row>
    <row r="542" spans="3:25" ht="12" customHeight="1">
      <c r="C542" s="342" t="str">
        <f t="shared" ca="1" si="58"/>
        <v/>
      </c>
      <c r="D542" s="153" t="str">
        <f t="shared" ca="1" si="53"/>
        <v/>
      </c>
      <c r="E542" s="153" t="str">
        <f t="shared" ca="1" si="54"/>
        <v/>
      </c>
      <c r="F542" s="170" t="str">
        <f ca="1">IF(C542="","",[1]!S_DQ_CLOSE(D542,TODAY(),1))</f>
        <v/>
      </c>
      <c r="G542" s="171" t="str">
        <f ca="1">IF(C542="","",[1]!s_pq_pctchange(D542,TODAY()-$G$12,TODAY())/100)</f>
        <v/>
      </c>
      <c r="H542" s="247" t="str">
        <f ca="1">IF(C542="","",IF($H$11="收入",[1]!S_STM07_IS(D542,9,$G$5,$H$13)/$E$5,[1]!S_STM07_IS(D542,48,$G$5,$H$13)/$E$5))</f>
        <v/>
      </c>
      <c r="I542" s="247" t="str">
        <f ca="1">IF(C542="","",IF($I$11="毛利率",([1]!S_STM07_IS(D542,9,$G$5,$H$13)-[1]!S_STM07_IS(D542,10,$G$5,$H$13))/[1]!S_STM07_IS(D542,9,$G$5,$H$13),[1]!S_STM07_IS(D542,14,$G$5,$H$13)/$E$5))</f>
        <v/>
      </c>
      <c r="J542" s="247" t="str">
        <f ca="1">IF(C542="","",IF($J$11="营业利润率",[1]!S_STM07_IS(D542,48,$G$5,$H$13)/[1]!S_STM07_IS(D542,9,$G$5,$H$13),([1]!S_STM07_CS(D542,87,$G$5,$H$13)+[1]!S_STM07_CS(D542,88,$G$5,$H$13)+[1]!S_STM07_CS(D542,89,$G$5,$H$13))/$E$5))</f>
        <v/>
      </c>
      <c r="K542" s="247" t="str">
        <f ca="1">IF(C542="","",IF($K$11="净利润率",[1]!S_STM07_IS(D542,61,$G$5,$H$13)/[1]!S_STM07_IS(D542,9,$G$5,$H$13),[1]!S_STM07_IS(D542,55,$G$5,$H$13)/$E$5))</f>
        <v/>
      </c>
      <c r="L542" s="247" t="str">
        <f ca="1">IF(C542="","",IF($L$11="ROA",[1]!S_STM07_IS(D542,61,$G$5,$H$13)/[1]!S_STM07_BS(D542,74,$G$5,$H$13),1-[1]!S_STM07_IS(D542,61,$G$5,$H$13)/[1]!S_STM07_IS(D542,55,$G$5,$H$13)))</f>
        <v/>
      </c>
      <c r="M542" s="247" t="str">
        <f ca="1">IF(C542="","",IF($M$11="ROE",[1]!S_STM07_IS(D542,61,$G$5,$H$13)/[1]!S_STM07_BS(D542,141,$G$5,$H$13),([1]!S_STM07_BS(D542,25,$G$5,$H$13)-[1]!S_STM07_BS(D542,93,$G$5,$H$13))/$E$5))</f>
        <v/>
      </c>
      <c r="N542" s="247" t="str">
        <f ca="1">IF(C542="","",IF($N$11="EPS",[1]!S_STM07_IS(D542,61,$G$5,$H$13)/IF([1]!S_SHARE_TOTAL(D542,$G$5)=0,[1]!S_SHARE_TOTAL(D542,[1]!s_ipo_listeddate(D542)),[1]!S_SHARE_TOTAL(D542,$G$5)),([1]!S_STM07_BS(D542,75,$G$5,$H$13)+[1]!S_STM07_BS(D542,88,$G$5,$H$13)+[1]!S_STM07_BS(D542,94,$G$5,$H$13)+[1]!S_STM07_BS(D542,95,$G$5,$H$13))/$E$5))</f>
        <v/>
      </c>
      <c r="O542" s="247" t="str">
        <f ca="1">IF(C542="","",IF($O$11="BPS",[1]!S_STM07_BS(D542,141,$G$5,$H$13)/IF([1]!S_SHARE_TOTAL(D542,$G$5)=0,[1]!S_SHARE_TOTAL(D542,[1]!s_ipo_listeddate(D542)),[1]!S_SHARE_TOTAL(D542,$G$5)),[1]!S_STM07_CS(D542,49,$G$5,$H$13)/$E$5))</f>
        <v/>
      </c>
      <c r="P542" s="247" t="str">
        <f ca="1">IF(C542="","",IF($P$11="CFPS",[1]!S_STM07_CS(D542,84,$G$5,$H$13)/IF([1]!S_SHARE_TOTAL(D542,$G$5)=0,[1]!S_SHARE_TOTAL(D542,[1]!s_ipo_listeddate(D542)),[1]!S_SHARE_TOTAL(D542,$G$5)),[1]!S_STM07_CS(D542,84,$G$5,$H$13)/$E$5))</f>
        <v/>
      </c>
      <c r="Q542" s="248" t="str">
        <f ca="1">IF(C542="","",F542/([1]!S_STM07_IS(D542,61,$G$5,$H$13)/IF([1]!S_SHARE_TOTAL(D542,$G$5)=0,[1]!S_SHARE_TOTAL(D542,[1]!s_ipo_listeddate(D542)),[1]!S_SHARE_TOTAL(D542,$G$5))))</f>
        <v/>
      </c>
      <c r="R542" s="248" t="str">
        <f ca="1">IF(C542="","",F542/([1]!S_STM07_BS(D542,141,$G$5,$H$13)/IF([1]!S_SHARE_TOTAL(D542,$G$5)=0,[1]!S_SHARE_TOTAL(D542,[1]!s_ipo_listeddate(D542)),[1]!S_SHARE_TOTAL(D542,$G$5))))</f>
        <v/>
      </c>
      <c r="S542" s="247" t="str">
        <f ca="1">IF(C542="","",[1]!S_SHARE_TOTAL(D542,TODAY())/$E$5)</f>
        <v/>
      </c>
      <c r="T542" s="247" t="str">
        <f t="shared" ca="1" si="55"/>
        <v/>
      </c>
      <c r="U542" s="218" t="str">
        <f t="shared" ca="1" si="56"/>
        <v/>
      </c>
      <c r="V542" s="342" t="str">
        <f t="shared" ca="1" si="57"/>
        <v/>
      </c>
      <c r="W542" s="139"/>
      <c r="Y542" s="1"/>
    </row>
    <row r="543" spans="3:25" ht="12" customHeight="1">
      <c r="C543" s="343" t="str">
        <f t="shared" ca="1" si="58"/>
        <v/>
      </c>
      <c r="D543" s="124" t="str">
        <f t="shared" ca="1" si="53"/>
        <v/>
      </c>
      <c r="E543" s="124" t="str">
        <f t="shared" ca="1" si="54"/>
        <v/>
      </c>
      <c r="F543" s="172" t="str">
        <f ca="1">IF(C543="","",[1]!S_DQ_CLOSE(D543,TODAY(),1))</f>
        <v/>
      </c>
      <c r="G543" s="173" t="str">
        <f ca="1">IF(C543="","",[1]!s_pq_pctchange(D543,TODAY()-$G$12,TODAY())/100)</f>
        <v/>
      </c>
      <c r="H543" s="249" t="str">
        <f ca="1">IF(C543="","",IF($H$11="收入",[1]!S_STM07_IS(D543,9,$G$5,$H$13)/$E$5,[1]!S_STM07_IS(D543,48,$G$5,$H$13)/$E$5))</f>
        <v/>
      </c>
      <c r="I543" s="249" t="str">
        <f ca="1">IF(C543="","",IF($I$11="毛利率",([1]!S_STM07_IS(D543,9,$G$5,$H$13)-[1]!S_STM07_IS(D543,10,$G$5,$H$13))/[1]!S_STM07_IS(D543,9,$G$5,$H$13),[1]!S_STM07_IS(D543,14,$G$5,$H$13)/$E$5))</f>
        <v/>
      </c>
      <c r="J543" s="249" t="str">
        <f ca="1">IF(C543="","",IF($J$11="营业利润率",[1]!S_STM07_IS(D543,48,$G$5,$H$13)/[1]!S_STM07_IS(D543,9,$G$5,$H$13),([1]!S_STM07_CS(D543,87,$G$5,$H$13)+[1]!S_STM07_CS(D543,88,$G$5,$H$13)+[1]!S_STM07_CS(D543,89,$G$5,$H$13))/$E$5))</f>
        <v/>
      </c>
      <c r="K543" s="249" t="str">
        <f ca="1">IF(C543="","",IF($K$11="净利润率",[1]!S_STM07_IS(D543,61,$G$5,$H$13)/[1]!S_STM07_IS(D543,9,$G$5,$H$13),[1]!S_STM07_IS(D543,55,$G$5,$H$13)/$E$5))</f>
        <v/>
      </c>
      <c r="L543" s="249" t="str">
        <f ca="1">IF(C543="","",IF($L$11="ROA",[1]!S_STM07_IS(D543,61,$G$5,$H$13)/[1]!S_STM07_BS(D543,74,$G$5,$H$13),1-[1]!S_STM07_IS(D543,61,$G$5,$H$13)/[1]!S_STM07_IS(D543,55,$G$5,$H$13)))</f>
        <v/>
      </c>
      <c r="M543" s="249" t="str">
        <f ca="1">IF(C543="","",IF($M$11="ROE",[1]!S_STM07_IS(D543,61,$G$5,$H$13)/[1]!S_STM07_BS(D543,141,$G$5,$H$13),([1]!S_STM07_BS(D543,25,$G$5,$H$13)-[1]!S_STM07_BS(D543,93,$G$5,$H$13))/$E$5))</f>
        <v/>
      </c>
      <c r="N543" s="250" t="str">
        <f ca="1">IF(C543="","",IF($N$11="EPS",[1]!S_STM07_IS(D543,61,$G$5,$H$13)/IF([1]!S_SHARE_TOTAL(D543,$G$5)=0,[1]!S_SHARE_TOTAL(D543,[1]!s_ipo_listeddate(D543)),[1]!S_SHARE_TOTAL(D543,$G$5)),([1]!S_STM07_BS(D543,75,$G$5,$H$13)+[1]!S_STM07_BS(D543,88,$G$5,$H$13)+[1]!S_STM07_BS(D543,94,$G$5,$H$13)+[1]!S_STM07_BS(D543,95,$G$5,$H$13))/$E$5))</f>
        <v/>
      </c>
      <c r="O543" s="250" t="str">
        <f ca="1">IF(C543="","",IF($O$11="BPS",[1]!S_STM07_BS(D543,141,$G$5,$H$13)/IF([1]!S_SHARE_TOTAL(D543,$G$5)=0,[1]!S_SHARE_TOTAL(D543,[1]!s_ipo_listeddate(D543)),[1]!S_SHARE_TOTAL(D543,$G$5)),[1]!S_STM07_CS(D543,49,$G$5,$H$13)/$E$5))</f>
        <v/>
      </c>
      <c r="P543" s="250" t="str">
        <f ca="1">IF(C543="","",IF($P$11="CFPS",[1]!S_STM07_CS(D543,84,$G$5,$H$13)/IF([1]!S_SHARE_TOTAL(D543,$G$5)=0,[1]!S_SHARE_TOTAL(D543,[1]!s_ipo_listeddate(D543)),[1]!S_SHARE_TOTAL(D543,$G$5)),[1]!S_STM07_CS(D543,84,$G$5,$H$13)/$E$5))</f>
        <v/>
      </c>
      <c r="Q543" s="198" t="str">
        <f ca="1">IF(C543="","",F543/([1]!S_STM07_IS(D543,61,$G$5,$H$13)/IF([1]!S_SHARE_TOTAL(D543,$G$5)=0,[1]!S_SHARE_TOTAL(D543,[1]!s_ipo_listeddate(D543)),[1]!S_SHARE_TOTAL(D543,$G$5))))</f>
        <v/>
      </c>
      <c r="R543" s="198" t="str">
        <f ca="1">IF(C543="","",F543/([1]!S_STM07_BS(D543,141,$G$5,$H$13)/IF([1]!S_SHARE_TOTAL(D543,$G$5)=0,[1]!S_SHARE_TOTAL(D543,[1]!s_ipo_listeddate(D543)),[1]!S_SHARE_TOTAL(D543,$G$5))))</f>
        <v/>
      </c>
      <c r="S543" s="249" t="str">
        <f ca="1">IF(C543="","",[1]!S_SHARE_TOTAL(D543,TODAY())/$E$5)</f>
        <v/>
      </c>
      <c r="T543" s="249" t="str">
        <f t="shared" ca="1" si="55"/>
        <v/>
      </c>
      <c r="U543" s="172" t="str">
        <f t="shared" ca="1" si="56"/>
        <v/>
      </c>
      <c r="V543" s="343" t="str">
        <f t="shared" ca="1" si="57"/>
        <v/>
      </c>
      <c r="W543" s="139"/>
      <c r="Y543" s="1"/>
    </row>
    <row r="544" spans="3:25" ht="12" customHeight="1">
      <c r="C544" s="342" t="str">
        <f t="shared" ca="1" si="58"/>
        <v/>
      </c>
      <c r="D544" s="153" t="str">
        <f t="shared" ca="1" si="53"/>
        <v/>
      </c>
      <c r="E544" s="153" t="str">
        <f t="shared" ca="1" si="54"/>
        <v/>
      </c>
      <c r="F544" s="170" t="str">
        <f ca="1">IF(C544="","",[1]!S_DQ_CLOSE(D544,TODAY(),1))</f>
        <v/>
      </c>
      <c r="G544" s="171" t="str">
        <f ca="1">IF(C544="","",[1]!s_pq_pctchange(D544,TODAY()-$G$12,TODAY())/100)</f>
        <v/>
      </c>
      <c r="H544" s="247" t="str">
        <f ca="1">IF(C544="","",IF($H$11="收入",[1]!S_STM07_IS(D544,9,$G$5,$H$13)/$E$5,[1]!S_STM07_IS(D544,48,$G$5,$H$13)/$E$5))</f>
        <v/>
      </c>
      <c r="I544" s="247" t="str">
        <f ca="1">IF(C544="","",IF($I$11="毛利率",([1]!S_STM07_IS(D544,9,$G$5,$H$13)-[1]!S_STM07_IS(D544,10,$G$5,$H$13))/[1]!S_STM07_IS(D544,9,$G$5,$H$13),[1]!S_STM07_IS(D544,14,$G$5,$H$13)/$E$5))</f>
        <v/>
      </c>
      <c r="J544" s="247" t="str">
        <f ca="1">IF(C544="","",IF($J$11="营业利润率",[1]!S_STM07_IS(D544,48,$G$5,$H$13)/[1]!S_STM07_IS(D544,9,$G$5,$H$13),([1]!S_STM07_CS(D544,87,$G$5,$H$13)+[1]!S_STM07_CS(D544,88,$G$5,$H$13)+[1]!S_STM07_CS(D544,89,$G$5,$H$13))/$E$5))</f>
        <v/>
      </c>
      <c r="K544" s="247" t="str">
        <f ca="1">IF(C544="","",IF($K$11="净利润率",[1]!S_STM07_IS(D544,61,$G$5,$H$13)/[1]!S_STM07_IS(D544,9,$G$5,$H$13),[1]!S_STM07_IS(D544,55,$G$5,$H$13)/$E$5))</f>
        <v/>
      </c>
      <c r="L544" s="247" t="str">
        <f ca="1">IF(C544="","",IF($L$11="ROA",[1]!S_STM07_IS(D544,61,$G$5,$H$13)/[1]!S_STM07_BS(D544,74,$G$5,$H$13),1-[1]!S_STM07_IS(D544,61,$G$5,$H$13)/[1]!S_STM07_IS(D544,55,$G$5,$H$13)))</f>
        <v/>
      </c>
      <c r="M544" s="247" t="str">
        <f ca="1">IF(C544="","",IF($M$11="ROE",[1]!S_STM07_IS(D544,61,$G$5,$H$13)/[1]!S_STM07_BS(D544,141,$G$5,$H$13),([1]!S_STM07_BS(D544,25,$G$5,$H$13)-[1]!S_STM07_BS(D544,93,$G$5,$H$13))/$E$5))</f>
        <v/>
      </c>
      <c r="N544" s="247" t="str">
        <f ca="1">IF(C544="","",IF($N$11="EPS",[1]!S_STM07_IS(D544,61,$G$5,$H$13)/IF([1]!S_SHARE_TOTAL(D544,$G$5)=0,[1]!S_SHARE_TOTAL(D544,[1]!s_ipo_listeddate(D544)),[1]!S_SHARE_TOTAL(D544,$G$5)),([1]!S_STM07_BS(D544,75,$G$5,$H$13)+[1]!S_STM07_BS(D544,88,$G$5,$H$13)+[1]!S_STM07_BS(D544,94,$G$5,$H$13)+[1]!S_STM07_BS(D544,95,$G$5,$H$13))/$E$5))</f>
        <v/>
      </c>
      <c r="O544" s="247" t="str">
        <f ca="1">IF(C544="","",IF($O$11="BPS",[1]!S_STM07_BS(D544,141,$G$5,$H$13)/IF([1]!S_SHARE_TOTAL(D544,$G$5)=0,[1]!S_SHARE_TOTAL(D544,[1]!s_ipo_listeddate(D544)),[1]!S_SHARE_TOTAL(D544,$G$5)),[1]!S_STM07_CS(D544,49,$G$5,$H$13)/$E$5))</f>
        <v/>
      </c>
      <c r="P544" s="247" t="str">
        <f ca="1">IF(C544="","",IF($P$11="CFPS",[1]!S_STM07_CS(D544,84,$G$5,$H$13)/IF([1]!S_SHARE_TOTAL(D544,$G$5)=0,[1]!S_SHARE_TOTAL(D544,[1]!s_ipo_listeddate(D544)),[1]!S_SHARE_TOTAL(D544,$G$5)),[1]!S_STM07_CS(D544,84,$G$5,$H$13)/$E$5))</f>
        <v/>
      </c>
      <c r="Q544" s="248" t="str">
        <f ca="1">IF(C544="","",F544/([1]!S_STM07_IS(D544,61,$G$5,$H$13)/IF([1]!S_SHARE_TOTAL(D544,$G$5)=0,[1]!S_SHARE_TOTAL(D544,[1]!s_ipo_listeddate(D544)),[1]!S_SHARE_TOTAL(D544,$G$5))))</f>
        <v/>
      </c>
      <c r="R544" s="248" t="str">
        <f ca="1">IF(C544="","",F544/([1]!S_STM07_BS(D544,141,$G$5,$H$13)/IF([1]!S_SHARE_TOTAL(D544,$G$5)=0,[1]!S_SHARE_TOTAL(D544,[1]!s_ipo_listeddate(D544)),[1]!S_SHARE_TOTAL(D544,$G$5))))</f>
        <v/>
      </c>
      <c r="S544" s="247" t="str">
        <f ca="1">IF(C544="","",[1]!S_SHARE_TOTAL(D544,TODAY())/$E$5)</f>
        <v/>
      </c>
      <c r="T544" s="247" t="str">
        <f t="shared" ca="1" si="55"/>
        <v/>
      </c>
      <c r="U544" s="218" t="str">
        <f t="shared" ca="1" si="56"/>
        <v/>
      </c>
      <c r="V544" s="342" t="str">
        <f t="shared" ca="1" si="57"/>
        <v/>
      </c>
      <c r="W544" s="139"/>
      <c r="Y544" s="1"/>
    </row>
    <row r="545" spans="3:25" ht="12" customHeight="1">
      <c r="C545" s="343" t="str">
        <f t="shared" ca="1" si="58"/>
        <v/>
      </c>
      <c r="D545" s="124" t="str">
        <f t="shared" ca="1" si="53"/>
        <v/>
      </c>
      <c r="E545" s="124" t="str">
        <f t="shared" ca="1" si="54"/>
        <v/>
      </c>
      <c r="F545" s="172" t="str">
        <f ca="1">IF(C545="","",[1]!S_DQ_CLOSE(D545,TODAY(),1))</f>
        <v/>
      </c>
      <c r="G545" s="173" t="str">
        <f ca="1">IF(C545="","",[1]!s_pq_pctchange(D545,TODAY()-$G$12,TODAY())/100)</f>
        <v/>
      </c>
      <c r="H545" s="249" t="str">
        <f ca="1">IF(C545="","",IF($H$11="收入",[1]!S_STM07_IS(D545,9,$G$5,$H$13)/$E$5,[1]!S_STM07_IS(D545,48,$G$5,$H$13)/$E$5))</f>
        <v/>
      </c>
      <c r="I545" s="249" t="str">
        <f ca="1">IF(C545="","",IF($I$11="毛利率",([1]!S_STM07_IS(D545,9,$G$5,$H$13)-[1]!S_STM07_IS(D545,10,$G$5,$H$13))/[1]!S_STM07_IS(D545,9,$G$5,$H$13),[1]!S_STM07_IS(D545,14,$G$5,$H$13)/$E$5))</f>
        <v/>
      </c>
      <c r="J545" s="249" t="str">
        <f ca="1">IF(C545="","",IF($J$11="营业利润率",[1]!S_STM07_IS(D545,48,$G$5,$H$13)/[1]!S_STM07_IS(D545,9,$G$5,$H$13),([1]!S_STM07_CS(D545,87,$G$5,$H$13)+[1]!S_STM07_CS(D545,88,$G$5,$H$13)+[1]!S_STM07_CS(D545,89,$G$5,$H$13))/$E$5))</f>
        <v/>
      </c>
      <c r="K545" s="249" t="str">
        <f ca="1">IF(C545="","",IF($K$11="净利润率",[1]!S_STM07_IS(D545,61,$G$5,$H$13)/[1]!S_STM07_IS(D545,9,$G$5,$H$13),[1]!S_STM07_IS(D545,55,$G$5,$H$13)/$E$5))</f>
        <v/>
      </c>
      <c r="L545" s="249" t="str">
        <f ca="1">IF(C545="","",IF($L$11="ROA",[1]!S_STM07_IS(D545,61,$G$5,$H$13)/[1]!S_STM07_BS(D545,74,$G$5,$H$13),1-[1]!S_STM07_IS(D545,61,$G$5,$H$13)/[1]!S_STM07_IS(D545,55,$G$5,$H$13)))</f>
        <v/>
      </c>
      <c r="M545" s="249" t="str">
        <f ca="1">IF(C545="","",IF($M$11="ROE",[1]!S_STM07_IS(D545,61,$G$5,$H$13)/[1]!S_STM07_BS(D545,141,$G$5,$H$13),([1]!S_STM07_BS(D545,25,$G$5,$H$13)-[1]!S_STM07_BS(D545,93,$G$5,$H$13))/$E$5))</f>
        <v/>
      </c>
      <c r="N545" s="250" t="str">
        <f ca="1">IF(C545="","",IF($N$11="EPS",[1]!S_STM07_IS(D545,61,$G$5,$H$13)/IF([1]!S_SHARE_TOTAL(D545,$G$5)=0,[1]!S_SHARE_TOTAL(D545,[1]!s_ipo_listeddate(D545)),[1]!S_SHARE_TOTAL(D545,$G$5)),([1]!S_STM07_BS(D545,75,$G$5,$H$13)+[1]!S_STM07_BS(D545,88,$G$5,$H$13)+[1]!S_STM07_BS(D545,94,$G$5,$H$13)+[1]!S_STM07_BS(D545,95,$G$5,$H$13))/$E$5))</f>
        <v/>
      </c>
      <c r="O545" s="250" t="str">
        <f ca="1">IF(C545="","",IF($O$11="BPS",[1]!S_STM07_BS(D545,141,$G$5,$H$13)/IF([1]!S_SHARE_TOTAL(D545,$G$5)=0,[1]!S_SHARE_TOTAL(D545,[1]!s_ipo_listeddate(D545)),[1]!S_SHARE_TOTAL(D545,$G$5)),[1]!S_STM07_CS(D545,49,$G$5,$H$13)/$E$5))</f>
        <v/>
      </c>
      <c r="P545" s="250" t="str">
        <f ca="1">IF(C545="","",IF($P$11="CFPS",[1]!S_STM07_CS(D545,84,$G$5,$H$13)/IF([1]!S_SHARE_TOTAL(D545,$G$5)=0,[1]!S_SHARE_TOTAL(D545,[1]!s_ipo_listeddate(D545)),[1]!S_SHARE_TOTAL(D545,$G$5)),[1]!S_STM07_CS(D545,84,$G$5,$H$13)/$E$5))</f>
        <v/>
      </c>
      <c r="Q545" s="198" t="str">
        <f ca="1">IF(C545="","",F545/([1]!S_STM07_IS(D545,61,$G$5,$H$13)/IF([1]!S_SHARE_TOTAL(D545,$G$5)=0,[1]!S_SHARE_TOTAL(D545,[1]!s_ipo_listeddate(D545)),[1]!S_SHARE_TOTAL(D545,$G$5))))</f>
        <v/>
      </c>
      <c r="R545" s="198" t="str">
        <f ca="1">IF(C545="","",F545/([1]!S_STM07_BS(D545,141,$G$5,$H$13)/IF([1]!S_SHARE_TOTAL(D545,$G$5)=0,[1]!S_SHARE_TOTAL(D545,[1]!s_ipo_listeddate(D545)),[1]!S_SHARE_TOTAL(D545,$G$5))))</f>
        <v/>
      </c>
      <c r="S545" s="249" t="str">
        <f ca="1">IF(C545="","",[1]!S_SHARE_TOTAL(D545,TODAY())/$E$5)</f>
        <v/>
      </c>
      <c r="T545" s="249" t="str">
        <f t="shared" ca="1" si="55"/>
        <v/>
      </c>
      <c r="U545" s="172" t="str">
        <f t="shared" ca="1" si="56"/>
        <v/>
      </c>
      <c r="V545" s="343" t="str">
        <f t="shared" ca="1" si="57"/>
        <v/>
      </c>
      <c r="W545" s="139"/>
      <c r="Y545" s="1"/>
    </row>
    <row r="546" spans="3:25" ht="12" customHeight="1">
      <c r="C546" s="342" t="str">
        <f t="shared" ca="1" si="58"/>
        <v/>
      </c>
      <c r="D546" s="153" t="str">
        <f t="shared" ca="1" si="53"/>
        <v/>
      </c>
      <c r="E546" s="153" t="str">
        <f t="shared" ca="1" si="54"/>
        <v/>
      </c>
      <c r="F546" s="170" t="str">
        <f ca="1">IF(C546="","",[1]!S_DQ_CLOSE(D546,TODAY(),1))</f>
        <v/>
      </c>
      <c r="G546" s="171" t="str">
        <f ca="1">IF(C546="","",[1]!s_pq_pctchange(D546,TODAY()-$G$12,TODAY())/100)</f>
        <v/>
      </c>
      <c r="H546" s="247" t="str">
        <f ca="1">IF(C546="","",IF($H$11="收入",[1]!S_STM07_IS(D546,9,$G$5,$H$13)/$E$5,[1]!S_STM07_IS(D546,48,$G$5,$H$13)/$E$5))</f>
        <v/>
      </c>
      <c r="I546" s="247" t="str">
        <f ca="1">IF(C546="","",IF($I$11="毛利率",([1]!S_STM07_IS(D546,9,$G$5,$H$13)-[1]!S_STM07_IS(D546,10,$G$5,$H$13))/[1]!S_STM07_IS(D546,9,$G$5,$H$13),[1]!S_STM07_IS(D546,14,$G$5,$H$13)/$E$5))</f>
        <v/>
      </c>
      <c r="J546" s="247" t="str">
        <f ca="1">IF(C546="","",IF($J$11="营业利润率",[1]!S_STM07_IS(D546,48,$G$5,$H$13)/[1]!S_STM07_IS(D546,9,$G$5,$H$13),([1]!S_STM07_CS(D546,87,$G$5,$H$13)+[1]!S_STM07_CS(D546,88,$G$5,$H$13)+[1]!S_STM07_CS(D546,89,$G$5,$H$13))/$E$5))</f>
        <v/>
      </c>
      <c r="K546" s="247" t="str">
        <f ca="1">IF(C546="","",IF($K$11="净利润率",[1]!S_STM07_IS(D546,61,$G$5,$H$13)/[1]!S_STM07_IS(D546,9,$G$5,$H$13),[1]!S_STM07_IS(D546,55,$G$5,$H$13)/$E$5))</f>
        <v/>
      </c>
      <c r="L546" s="247" t="str">
        <f ca="1">IF(C546="","",IF($L$11="ROA",[1]!S_STM07_IS(D546,61,$G$5,$H$13)/[1]!S_STM07_BS(D546,74,$G$5,$H$13),1-[1]!S_STM07_IS(D546,61,$G$5,$H$13)/[1]!S_STM07_IS(D546,55,$G$5,$H$13)))</f>
        <v/>
      </c>
      <c r="M546" s="247" t="str">
        <f ca="1">IF(C546="","",IF($M$11="ROE",[1]!S_STM07_IS(D546,61,$G$5,$H$13)/[1]!S_STM07_BS(D546,141,$G$5,$H$13),([1]!S_STM07_BS(D546,25,$G$5,$H$13)-[1]!S_STM07_BS(D546,93,$G$5,$H$13))/$E$5))</f>
        <v/>
      </c>
      <c r="N546" s="247" t="str">
        <f ca="1">IF(C546="","",IF($N$11="EPS",[1]!S_STM07_IS(D546,61,$G$5,$H$13)/IF([1]!S_SHARE_TOTAL(D546,$G$5)=0,[1]!S_SHARE_TOTAL(D546,[1]!s_ipo_listeddate(D546)),[1]!S_SHARE_TOTAL(D546,$G$5)),([1]!S_STM07_BS(D546,75,$G$5,$H$13)+[1]!S_STM07_BS(D546,88,$G$5,$H$13)+[1]!S_STM07_BS(D546,94,$G$5,$H$13)+[1]!S_STM07_BS(D546,95,$G$5,$H$13))/$E$5))</f>
        <v/>
      </c>
      <c r="O546" s="247" t="str">
        <f ca="1">IF(C546="","",IF($O$11="BPS",[1]!S_STM07_BS(D546,141,$G$5,$H$13)/IF([1]!S_SHARE_TOTAL(D546,$G$5)=0,[1]!S_SHARE_TOTAL(D546,[1]!s_ipo_listeddate(D546)),[1]!S_SHARE_TOTAL(D546,$G$5)),[1]!S_STM07_CS(D546,49,$G$5,$H$13)/$E$5))</f>
        <v/>
      </c>
      <c r="P546" s="247" t="str">
        <f ca="1">IF(C546="","",IF($P$11="CFPS",[1]!S_STM07_CS(D546,84,$G$5,$H$13)/IF([1]!S_SHARE_TOTAL(D546,$G$5)=0,[1]!S_SHARE_TOTAL(D546,[1]!s_ipo_listeddate(D546)),[1]!S_SHARE_TOTAL(D546,$G$5)),[1]!S_STM07_CS(D546,84,$G$5,$H$13)/$E$5))</f>
        <v/>
      </c>
      <c r="Q546" s="248" t="str">
        <f ca="1">IF(C546="","",F546/([1]!S_STM07_IS(D546,61,$G$5,$H$13)/IF([1]!S_SHARE_TOTAL(D546,$G$5)=0,[1]!S_SHARE_TOTAL(D546,[1]!s_ipo_listeddate(D546)),[1]!S_SHARE_TOTAL(D546,$G$5))))</f>
        <v/>
      </c>
      <c r="R546" s="248" t="str">
        <f ca="1">IF(C546="","",F546/([1]!S_STM07_BS(D546,141,$G$5,$H$13)/IF([1]!S_SHARE_TOTAL(D546,$G$5)=0,[1]!S_SHARE_TOTAL(D546,[1]!s_ipo_listeddate(D546)),[1]!S_SHARE_TOTAL(D546,$G$5))))</f>
        <v/>
      </c>
      <c r="S546" s="247" t="str">
        <f ca="1">IF(C546="","",[1]!S_SHARE_TOTAL(D546,TODAY())/$E$5)</f>
        <v/>
      </c>
      <c r="T546" s="247" t="str">
        <f t="shared" ca="1" si="55"/>
        <v/>
      </c>
      <c r="U546" s="218" t="str">
        <f t="shared" ca="1" si="56"/>
        <v/>
      </c>
      <c r="V546" s="342" t="str">
        <f t="shared" ca="1" si="57"/>
        <v/>
      </c>
      <c r="W546" s="139"/>
      <c r="Y546" s="1"/>
    </row>
    <row r="547" spans="3:25" ht="12" customHeight="1">
      <c r="C547" s="343" t="str">
        <f t="shared" ca="1" si="58"/>
        <v/>
      </c>
      <c r="D547" s="124" t="str">
        <f t="shared" ca="1" si="53"/>
        <v/>
      </c>
      <c r="E547" s="124" t="str">
        <f t="shared" ca="1" si="54"/>
        <v/>
      </c>
      <c r="F547" s="172" t="str">
        <f ca="1">IF(C547="","",[1]!S_DQ_CLOSE(D547,TODAY(),1))</f>
        <v/>
      </c>
      <c r="G547" s="173" t="str">
        <f ca="1">IF(C547="","",[1]!s_pq_pctchange(D547,TODAY()-$G$12,TODAY())/100)</f>
        <v/>
      </c>
      <c r="H547" s="249" t="str">
        <f ca="1">IF(C547="","",IF($H$11="收入",[1]!S_STM07_IS(D547,9,$G$5,$H$13)/$E$5,[1]!S_STM07_IS(D547,48,$G$5,$H$13)/$E$5))</f>
        <v/>
      </c>
      <c r="I547" s="249" t="str">
        <f ca="1">IF(C547="","",IF($I$11="毛利率",([1]!S_STM07_IS(D547,9,$G$5,$H$13)-[1]!S_STM07_IS(D547,10,$G$5,$H$13))/[1]!S_STM07_IS(D547,9,$G$5,$H$13),[1]!S_STM07_IS(D547,14,$G$5,$H$13)/$E$5))</f>
        <v/>
      </c>
      <c r="J547" s="249" t="str">
        <f ca="1">IF(C547="","",IF($J$11="营业利润率",[1]!S_STM07_IS(D547,48,$G$5,$H$13)/[1]!S_STM07_IS(D547,9,$G$5,$H$13),([1]!S_STM07_CS(D547,87,$G$5,$H$13)+[1]!S_STM07_CS(D547,88,$G$5,$H$13)+[1]!S_STM07_CS(D547,89,$G$5,$H$13))/$E$5))</f>
        <v/>
      </c>
      <c r="K547" s="249" t="str">
        <f ca="1">IF(C547="","",IF($K$11="净利润率",[1]!S_STM07_IS(D547,61,$G$5,$H$13)/[1]!S_STM07_IS(D547,9,$G$5,$H$13),[1]!S_STM07_IS(D547,55,$G$5,$H$13)/$E$5))</f>
        <v/>
      </c>
      <c r="L547" s="249" t="str">
        <f ca="1">IF(C547="","",IF($L$11="ROA",[1]!S_STM07_IS(D547,61,$G$5,$H$13)/[1]!S_STM07_BS(D547,74,$G$5,$H$13),1-[1]!S_STM07_IS(D547,61,$G$5,$H$13)/[1]!S_STM07_IS(D547,55,$G$5,$H$13)))</f>
        <v/>
      </c>
      <c r="M547" s="249" t="str">
        <f ca="1">IF(C547="","",IF($M$11="ROE",[1]!S_STM07_IS(D547,61,$G$5,$H$13)/[1]!S_STM07_BS(D547,141,$G$5,$H$13),([1]!S_STM07_BS(D547,25,$G$5,$H$13)-[1]!S_STM07_BS(D547,93,$G$5,$H$13))/$E$5))</f>
        <v/>
      </c>
      <c r="N547" s="250" t="str">
        <f ca="1">IF(C547="","",IF($N$11="EPS",[1]!S_STM07_IS(D547,61,$G$5,$H$13)/IF([1]!S_SHARE_TOTAL(D547,$G$5)=0,[1]!S_SHARE_TOTAL(D547,[1]!s_ipo_listeddate(D547)),[1]!S_SHARE_TOTAL(D547,$G$5)),([1]!S_STM07_BS(D547,75,$G$5,$H$13)+[1]!S_STM07_BS(D547,88,$G$5,$H$13)+[1]!S_STM07_BS(D547,94,$G$5,$H$13)+[1]!S_STM07_BS(D547,95,$G$5,$H$13))/$E$5))</f>
        <v/>
      </c>
      <c r="O547" s="250" t="str">
        <f ca="1">IF(C547="","",IF($O$11="BPS",[1]!S_STM07_BS(D547,141,$G$5,$H$13)/IF([1]!S_SHARE_TOTAL(D547,$G$5)=0,[1]!S_SHARE_TOTAL(D547,[1]!s_ipo_listeddate(D547)),[1]!S_SHARE_TOTAL(D547,$G$5)),[1]!S_STM07_CS(D547,49,$G$5,$H$13)/$E$5))</f>
        <v/>
      </c>
      <c r="P547" s="250" t="str">
        <f ca="1">IF(C547="","",IF($P$11="CFPS",[1]!S_STM07_CS(D547,84,$G$5,$H$13)/IF([1]!S_SHARE_TOTAL(D547,$G$5)=0,[1]!S_SHARE_TOTAL(D547,[1]!s_ipo_listeddate(D547)),[1]!S_SHARE_TOTAL(D547,$G$5)),[1]!S_STM07_CS(D547,84,$G$5,$H$13)/$E$5))</f>
        <v/>
      </c>
      <c r="Q547" s="198" t="str">
        <f ca="1">IF(C547="","",F547/([1]!S_STM07_IS(D547,61,$G$5,$H$13)/IF([1]!S_SHARE_TOTAL(D547,$G$5)=0,[1]!S_SHARE_TOTAL(D547,[1]!s_ipo_listeddate(D547)),[1]!S_SHARE_TOTAL(D547,$G$5))))</f>
        <v/>
      </c>
      <c r="R547" s="198" t="str">
        <f ca="1">IF(C547="","",F547/([1]!S_STM07_BS(D547,141,$G$5,$H$13)/IF([1]!S_SHARE_TOTAL(D547,$G$5)=0,[1]!S_SHARE_TOTAL(D547,[1]!s_ipo_listeddate(D547)),[1]!S_SHARE_TOTAL(D547,$G$5))))</f>
        <v/>
      </c>
      <c r="S547" s="249" t="str">
        <f ca="1">IF(C547="","",[1]!S_SHARE_TOTAL(D547,TODAY())/$E$5)</f>
        <v/>
      </c>
      <c r="T547" s="249" t="str">
        <f t="shared" ca="1" si="55"/>
        <v/>
      </c>
      <c r="U547" s="172" t="str">
        <f t="shared" ca="1" si="56"/>
        <v/>
      </c>
      <c r="V547" s="343" t="str">
        <f t="shared" ca="1" si="57"/>
        <v/>
      </c>
      <c r="W547" s="139"/>
      <c r="Y547" s="1"/>
    </row>
    <row r="548" spans="3:25" ht="12" customHeight="1">
      <c r="C548" s="342" t="str">
        <f t="shared" ca="1" si="58"/>
        <v/>
      </c>
      <c r="D548" s="153" t="str">
        <f t="shared" ca="1" si="53"/>
        <v/>
      </c>
      <c r="E548" s="153" t="str">
        <f t="shared" ca="1" si="54"/>
        <v/>
      </c>
      <c r="F548" s="170" t="str">
        <f ca="1">IF(C548="","",[1]!S_DQ_CLOSE(D548,TODAY(),1))</f>
        <v/>
      </c>
      <c r="G548" s="171" t="str">
        <f ca="1">IF(C548="","",[1]!s_pq_pctchange(D548,TODAY()-$G$12,TODAY())/100)</f>
        <v/>
      </c>
      <c r="H548" s="247" t="str">
        <f ca="1">IF(C548="","",IF($H$11="收入",[1]!S_STM07_IS(D548,9,$G$5,$H$13)/$E$5,[1]!S_STM07_IS(D548,48,$G$5,$H$13)/$E$5))</f>
        <v/>
      </c>
      <c r="I548" s="247" t="str">
        <f ca="1">IF(C548="","",IF($I$11="毛利率",([1]!S_STM07_IS(D548,9,$G$5,$H$13)-[1]!S_STM07_IS(D548,10,$G$5,$H$13))/[1]!S_STM07_IS(D548,9,$G$5,$H$13),[1]!S_STM07_IS(D548,14,$G$5,$H$13)/$E$5))</f>
        <v/>
      </c>
      <c r="J548" s="247" t="str">
        <f ca="1">IF(C548="","",IF($J$11="营业利润率",[1]!S_STM07_IS(D548,48,$G$5,$H$13)/[1]!S_STM07_IS(D548,9,$G$5,$H$13),([1]!S_STM07_CS(D548,87,$G$5,$H$13)+[1]!S_STM07_CS(D548,88,$G$5,$H$13)+[1]!S_STM07_CS(D548,89,$G$5,$H$13))/$E$5))</f>
        <v/>
      </c>
      <c r="K548" s="247" t="str">
        <f ca="1">IF(C548="","",IF($K$11="净利润率",[1]!S_STM07_IS(D548,61,$G$5,$H$13)/[1]!S_STM07_IS(D548,9,$G$5,$H$13),[1]!S_STM07_IS(D548,55,$G$5,$H$13)/$E$5))</f>
        <v/>
      </c>
      <c r="L548" s="247" t="str">
        <f ca="1">IF(C548="","",IF($L$11="ROA",[1]!S_STM07_IS(D548,61,$G$5,$H$13)/[1]!S_STM07_BS(D548,74,$G$5,$H$13),1-[1]!S_STM07_IS(D548,61,$G$5,$H$13)/[1]!S_STM07_IS(D548,55,$G$5,$H$13)))</f>
        <v/>
      </c>
      <c r="M548" s="247" t="str">
        <f ca="1">IF(C548="","",IF($M$11="ROE",[1]!S_STM07_IS(D548,61,$G$5,$H$13)/[1]!S_STM07_BS(D548,141,$G$5,$H$13),([1]!S_STM07_BS(D548,25,$G$5,$H$13)-[1]!S_STM07_BS(D548,93,$G$5,$H$13))/$E$5))</f>
        <v/>
      </c>
      <c r="N548" s="247" t="str">
        <f ca="1">IF(C548="","",IF($N$11="EPS",[1]!S_STM07_IS(D548,61,$G$5,$H$13)/IF([1]!S_SHARE_TOTAL(D548,$G$5)=0,[1]!S_SHARE_TOTAL(D548,[1]!s_ipo_listeddate(D548)),[1]!S_SHARE_TOTAL(D548,$G$5)),([1]!S_STM07_BS(D548,75,$G$5,$H$13)+[1]!S_STM07_BS(D548,88,$G$5,$H$13)+[1]!S_STM07_BS(D548,94,$G$5,$H$13)+[1]!S_STM07_BS(D548,95,$G$5,$H$13))/$E$5))</f>
        <v/>
      </c>
      <c r="O548" s="247" t="str">
        <f ca="1">IF(C548="","",IF($O$11="BPS",[1]!S_STM07_BS(D548,141,$G$5,$H$13)/IF([1]!S_SHARE_TOTAL(D548,$G$5)=0,[1]!S_SHARE_TOTAL(D548,[1]!s_ipo_listeddate(D548)),[1]!S_SHARE_TOTAL(D548,$G$5)),[1]!S_STM07_CS(D548,49,$G$5,$H$13)/$E$5))</f>
        <v/>
      </c>
      <c r="P548" s="247" t="str">
        <f ca="1">IF(C548="","",IF($P$11="CFPS",[1]!S_STM07_CS(D548,84,$G$5,$H$13)/IF([1]!S_SHARE_TOTAL(D548,$G$5)=0,[1]!S_SHARE_TOTAL(D548,[1]!s_ipo_listeddate(D548)),[1]!S_SHARE_TOTAL(D548,$G$5)),[1]!S_STM07_CS(D548,84,$G$5,$H$13)/$E$5))</f>
        <v/>
      </c>
      <c r="Q548" s="248" t="str">
        <f ca="1">IF(C548="","",F548/([1]!S_STM07_IS(D548,61,$G$5,$H$13)/IF([1]!S_SHARE_TOTAL(D548,$G$5)=0,[1]!S_SHARE_TOTAL(D548,[1]!s_ipo_listeddate(D548)),[1]!S_SHARE_TOTAL(D548,$G$5))))</f>
        <v/>
      </c>
      <c r="R548" s="248" t="str">
        <f ca="1">IF(C548="","",F548/([1]!S_STM07_BS(D548,141,$G$5,$H$13)/IF([1]!S_SHARE_TOTAL(D548,$G$5)=0,[1]!S_SHARE_TOTAL(D548,[1]!s_ipo_listeddate(D548)),[1]!S_SHARE_TOTAL(D548,$G$5))))</f>
        <v/>
      </c>
      <c r="S548" s="247" t="str">
        <f ca="1">IF(C548="","",[1]!S_SHARE_TOTAL(D548,TODAY())/$E$5)</f>
        <v/>
      </c>
      <c r="T548" s="247" t="str">
        <f t="shared" ca="1" si="55"/>
        <v/>
      </c>
      <c r="U548" s="218" t="str">
        <f t="shared" ca="1" si="56"/>
        <v/>
      </c>
      <c r="V548" s="342" t="str">
        <f t="shared" ca="1" si="57"/>
        <v/>
      </c>
      <c r="W548" s="139"/>
      <c r="Y548" s="1"/>
    </row>
    <row r="549" spans="3:25" ht="12" customHeight="1">
      <c r="C549" s="343" t="str">
        <f t="shared" ca="1" si="58"/>
        <v/>
      </c>
      <c r="D549" s="124" t="str">
        <f t="shared" ref="D549:D600" ca="1" si="59">IF(C549="","",VLOOKUP(C549,comppool,2,FALSE))</f>
        <v/>
      </c>
      <c r="E549" s="124" t="str">
        <f t="shared" ref="E549:E600" ca="1" si="60">IF(C549="","",VLOOKUP(C549,comppool,3,FALSE))</f>
        <v/>
      </c>
      <c r="F549" s="172" t="str">
        <f ca="1">IF(C549="","",[1]!S_DQ_CLOSE(D549,TODAY(),1))</f>
        <v/>
      </c>
      <c r="G549" s="173" t="str">
        <f ca="1">IF(C549="","",[1]!s_pq_pctchange(D549,TODAY()-$G$12,TODAY())/100)</f>
        <v/>
      </c>
      <c r="H549" s="249" t="str">
        <f ca="1">IF(C549="","",IF($H$11="收入",[1]!S_STM07_IS(D549,9,$G$5,$H$13)/$E$5,[1]!S_STM07_IS(D549,48,$G$5,$H$13)/$E$5))</f>
        <v/>
      </c>
      <c r="I549" s="249" t="str">
        <f ca="1">IF(C549="","",IF($I$11="毛利率",([1]!S_STM07_IS(D549,9,$G$5,$H$13)-[1]!S_STM07_IS(D549,10,$G$5,$H$13))/[1]!S_STM07_IS(D549,9,$G$5,$H$13),[1]!S_STM07_IS(D549,14,$G$5,$H$13)/$E$5))</f>
        <v/>
      </c>
      <c r="J549" s="249" t="str">
        <f ca="1">IF(C549="","",IF($J$11="营业利润率",[1]!S_STM07_IS(D549,48,$G$5,$H$13)/[1]!S_STM07_IS(D549,9,$G$5,$H$13),([1]!S_STM07_CS(D549,87,$G$5,$H$13)+[1]!S_STM07_CS(D549,88,$G$5,$H$13)+[1]!S_STM07_CS(D549,89,$G$5,$H$13))/$E$5))</f>
        <v/>
      </c>
      <c r="K549" s="249" t="str">
        <f ca="1">IF(C549="","",IF($K$11="净利润率",[1]!S_STM07_IS(D549,61,$G$5,$H$13)/[1]!S_STM07_IS(D549,9,$G$5,$H$13),[1]!S_STM07_IS(D549,55,$G$5,$H$13)/$E$5))</f>
        <v/>
      </c>
      <c r="L549" s="249" t="str">
        <f ca="1">IF(C549="","",IF($L$11="ROA",[1]!S_STM07_IS(D549,61,$G$5,$H$13)/[1]!S_STM07_BS(D549,74,$G$5,$H$13),1-[1]!S_STM07_IS(D549,61,$G$5,$H$13)/[1]!S_STM07_IS(D549,55,$G$5,$H$13)))</f>
        <v/>
      </c>
      <c r="M549" s="249" t="str">
        <f ca="1">IF(C549="","",IF($M$11="ROE",[1]!S_STM07_IS(D549,61,$G$5,$H$13)/[1]!S_STM07_BS(D549,141,$G$5,$H$13),([1]!S_STM07_BS(D549,25,$G$5,$H$13)-[1]!S_STM07_BS(D549,93,$G$5,$H$13))/$E$5))</f>
        <v/>
      </c>
      <c r="N549" s="250" t="str">
        <f ca="1">IF(C549="","",IF($N$11="EPS",[1]!S_STM07_IS(D549,61,$G$5,$H$13)/IF([1]!S_SHARE_TOTAL(D549,$G$5)=0,[1]!S_SHARE_TOTAL(D549,[1]!s_ipo_listeddate(D549)),[1]!S_SHARE_TOTAL(D549,$G$5)),([1]!S_STM07_BS(D549,75,$G$5,$H$13)+[1]!S_STM07_BS(D549,88,$G$5,$H$13)+[1]!S_STM07_BS(D549,94,$G$5,$H$13)+[1]!S_STM07_BS(D549,95,$G$5,$H$13))/$E$5))</f>
        <v/>
      </c>
      <c r="O549" s="250" t="str">
        <f ca="1">IF(C549="","",IF($O$11="BPS",[1]!S_STM07_BS(D549,141,$G$5,$H$13)/IF([1]!S_SHARE_TOTAL(D549,$G$5)=0,[1]!S_SHARE_TOTAL(D549,[1]!s_ipo_listeddate(D549)),[1]!S_SHARE_TOTAL(D549,$G$5)),[1]!S_STM07_CS(D549,49,$G$5,$H$13)/$E$5))</f>
        <v/>
      </c>
      <c r="P549" s="250" t="str">
        <f ca="1">IF(C549="","",IF($P$11="CFPS",[1]!S_STM07_CS(D549,84,$G$5,$H$13)/IF([1]!S_SHARE_TOTAL(D549,$G$5)=0,[1]!S_SHARE_TOTAL(D549,[1]!s_ipo_listeddate(D549)),[1]!S_SHARE_TOTAL(D549,$G$5)),[1]!S_STM07_CS(D549,84,$G$5,$H$13)/$E$5))</f>
        <v/>
      </c>
      <c r="Q549" s="198" t="str">
        <f ca="1">IF(C549="","",F549/([1]!S_STM07_IS(D549,61,$G$5,$H$13)/IF([1]!S_SHARE_TOTAL(D549,$G$5)=0,[1]!S_SHARE_TOTAL(D549,[1]!s_ipo_listeddate(D549)),[1]!S_SHARE_TOTAL(D549,$G$5))))</f>
        <v/>
      </c>
      <c r="R549" s="198" t="str">
        <f ca="1">IF(C549="","",F549/([1]!S_STM07_BS(D549,141,$G$5,$H$13)/IF([1]!S_SHARE_TOTAL(D549,$G$5)=0,[1]!S_SHARE_TOTAL(D549,[1]!s_ipo_listeddate(D549)),[1]!S_SHARE_TOTAL(D549,$G$5))))</f>
        <v/>
      </c>
      <c r="S549" s="249" t="str">
        <f ca="1">IF(C549="","",[1]!S_SHARE_TOTAL(D549,TODAY())/$E$5)</f>
        <v/>
      </c>
      <c r="T549" s="249" t="str">
        <f t="shared" ref="T549:T600" ca="1" si="61">IF(C549="","",F549*S549)</f>
        <v/>
      </c>
      <c r="U549" s="172" t="str">
        <f t="shared" ref="U549:U600" ca="1" si="62">IF(C549="","",HLOOKUP($V$12,$G$11:$T$20003,ROW()-ROW($G$11)+1,FALSE))</f>
        <v/>
      </c>
      <c r="V549" s="343" t="str">
        <f t="shared" ref="V549:V600" ca="1" si="63">IF(C549="","",RANK(U549,U:U,0))</f>
        <v/>
      </c>
      <c r="W549" s="139"/>
      <c r="Y549" s="1"/>
    </row>
    <row r="550" spans="3:25" ht="12" customHeight="1">
      <c r="C550" s="342" t="str">
        <f t="shared" ca="1" si="58"/>
        <v/>
      </c>
      <c r="D550" s="153" t="str">
        <f t="shared" ca="1" si="59"/>
        <v/>
      </c>
      <c r="E550" s="153" t="str">
        <f t="shared" ca="1" si="60"/>
        <v/>
      </c>
      <c r="F550" s="170" t="str">
        <f ca="1">IF(C550="","",[1]!S_DQ_CLOSE(D550,TODAY(),1))</f>
        <v/>
      </c>
      <c r="G550" s="171" t="str">
        <f ca="1">IF(C550="","",[1]!s_pq_pctchange(D550,TODAY()-$G$12,TODAY())/100)</f>
        <v/>
      </c>
      <c r="H550" s="247" t="str">
        <f ca="1">IF(C550="","",IF($H$11="收入",[1]!S_STM07_IS(D550,9,$G$5,$H$13)/$E$5,[1]!S_STM07_IS(D550,48,$G$5,$H$13)/$E$5))</f>
        <v/>
      </c>
      <c r="I550" s="247" t="str">
        <f ca="1">IF(C550="","",IF($I$11="毛利率",([1]!S_STM07_IS(D550,9,$G$5,$H$13)-[1]!S_STM07_IS(D550,10,$G$5,$H$13))/[1]!S_STM07_IS(D550,9,$G$5,$H$13),[1]!S_STM07_IS(D550,14,$G$5,$H$13)/$E$5))</f>
        <v/>
      </c>
      <c r="J550" s="247" t="str">
        <f ca="1">IF(C550="","",IF($J$11="营业利润率",[1]!S_STM07_IS(D550,48,$G$5,$H$13)/[1]!S_STM07_IS(D550,9,$G$5,$H$13),([1]!S_STM07_CS(D550,87,$G$5,$H$13)+[1]!S_STM07_CS(D550,88,$G$5,$H$13)+[1]!S_STM07_CS(D550,89,$G$5,$H$13))/$E$5))</f>
        <v/>
      </c>
      <c r="K550" s="247" t="str">
        <f ca="1">IF(C550="","",IF($K$11="净利润率",[1]!S_STM07_IS(D550,61,$G$5,$H$13)/[1]!S_STM07_IS(D550,9,$G$5,$H$13),[1]!S_STM07_IS(D550,55,$G$5,$H$13)/$E$5))</f>
        <v/>
      </c>
      <c r="L550" s="247" t="str">
        <f ca="1">IF(C550="","",IF($L$11="ROA",[1]!S_STM07_IS(D550,61,$G$5,$H$13)/[1]!S_STM07_BS(D550,74,$G$5,$H$13),1-[1]!S_STM07_IS(D550,61,$G$5,$H$13)/[1]!S_STM07_IS(D550,55,$G$5,$H$13)))</f>
        <v/>
      </c>
      <c r="M550" s="247" t="str">
        <f ca="1">IF(C550="","",IF($M$11="ROE",[1]!S_STM07_IS(D550,61,$G$5,$H$13)/[1]!S_STM07_BS(D550,141,$G$5,$H$13),([1]!S_STM07_BS(D550,25,$G$5,$H$13)-[1]!S_STM07_BS(D550,93,$G$5,$H$13))/$E$5))</f>
        <v/>
      </c>
      <c r="N550" s="247" t="str">
        <f ca="1">IF(C550="","",IF($N$11="EPS",[1]!S_STM07_IS(D550,61,$G$5,$H$13)/IF([1]!S_SHARE_TOTAL(D550,$G$5)=0,[1]!S_SHARE_TOTAL(D550,[1]!s_ipo_listeddate(D550)),[1]!S_SHARE_TOTAL(D550,$G$5)),([1]!S_STM07_BS(D550,75,$G$5,$H$13)+[1]!S_STM07_BS(D550,88,$G$5,$H$13)+[1]!S_STM07_BS(D550,94,$G$5,$H$13)+[1]!S_STM07_BS(D550,95,$G$5,$H$13))/$E$5))</f>
        <v/>
      </c>
      <c r="O550" s="247" t="str">
        <f ca="1">IF(C550="","",IF($O$11="BPS",[1]!S_STM07_BS(D550,141,$G$5,$H$13)/IF([1]!S_SHARE_TOTAL(D550,$G$5)=0,[1]!S_SHARE_TOTAL(D550,[1]!s_ipo_listeddate(D550)),[1]!S_SHARE_TOTAL(D550,$G$5)),[1]!S_STM07_CS(D550,49,$G$5,$H$13)/$E$5))</f>
        <v/>
      </c>
      <c r="P550" s="247" t="str">
        <f ca="1">IF(C550="","",IF($P$11="CFPS",[1]!S_STM07_CS(D550,84,$G$5,$H$13)/IF([1]!S_SHARE_TOTAL(D550,$G$5)=0,[1]!S_SHARE_TOTAL(D550,[1]!s_ipo_listeddate(D550)),[1]!S_SHARE_TOTAL(D550,$G$5)),[1]!S_STM07_CS(D550,84,$G$5,$H$13)/$E$5))</f>
        <v/>
      </c>
      <c r="Q550" s="248" t="str">
        <f ca="1">IF(C550="","",F550/([1]!S_STM07_IS(D550,61,$G$5,$H$13)/IF([1]!S_SHARE_TOTAL(D550,$G$5)=0,[1]!S_SHARE_TOTAL(D550,[1]!s_ipo_listeddate(D550)),[1]!S_SHARE_TOTAL(D550,$G$5))))</f>
        <v/>
      </c>
      <c r="R550" s="248" t="str">
        <f ca="1">IF(C550="","",F550/([1]!S_STM07_BS(D550,141,$G$5,$H$13)/IF([1]!S_SHARE_TOTAL(D550,$G$5)=0,[1]!S_SHARE_TOTAL(D550,[1]!s_ipo_listeddate(D550)),[1]!S_SHARE_TOTAL(D550,$G$5))))</f>
        <v/>
      </c>
      <c r="S550" s="247" t="str">
        <f ca="1">IF(C550="","",[1]!S_SHARE_TOTAL(D550,TODAY())/$E$5)</f>
        <v/>
      </c>
      <c r="T550" s="247" t="str">
        <f t="shared" ca="1" si="61"/>
        <v/>
      </c>
      <c r="U550" s="218" t="str">
        <f t="shared" ca="1" si="62"/>
        <v/>
      </c>
      <c r="V550" s="342" t="str">
        <f t="shared" ca="1" si="63"/>
        <v/>
      </c>
      <c r="W550" s="139"/>
      <c r="Y550" s="1"/>
    </row>
    <row r="551" spans="3:25" ht="12" customHeight="1">
      <c r="C551" s="343" t="str">
        <f t="shared" ca="1" si="58"/>
        <v/>
      </c>
      <c r="D551" s="124" t="str">
        <f t="shared" ca="1" si="59"/>
        <v/>
      </c>
      <c r="E551" s="124" t="str">
        <f t="shared" ca="1" si="60"/>
        <v/>
      </c>
      <c r="F551" s="172" t="str">
        <f ca="1">IF(C551="","",[1]!S_DQ_CLOSE(D551,TODAY(),1))</f>
        <v/>
      </c>
      <c r="G551" s="173" t="str">
        <f ca="1">IF(C551="","",[1]!s_pq_pctchange(D551,TODAY()-$G$12,TODAY())/100)</f>
        <v/>
      </c>
      <c r="H551" s="249" t="str">
        <f ca="1">IF(C551="","",IF($H$11="收入",[1]!S_STM07_IS(D551,9,$G$5,$H$13)/$E$5,[1]!S_STM07_IS(D551,48,$G$5,$H$13)/$E$5))</f>
        <v/>
      </c>
      <c r="I551" s="249" t="str">
        <f ca="1">IF(C551="","",IF($I$11="毛利率",([1]!S_STM07_IS(D551,9,$G$5,$H$13)-[1]!S_STM07_IS(D551,10,$G$5,$H$13))/[1]!S_STM07_IS(D551,9,$G$5,$H$13),[1]!S_STM07_IS(D551,14,$G$5,$H$13)/$E$5))</f>
        <v/>
      </c>
      <c r="J551" s="249" t="str">
        <f ca="1">IF(C551="","",IF($J$11="营业利润率",[1]!S_STM07_IS(D551,48,$G$5,$H$13)/[1]!S_STM07_IS(D551,9,$G$5,$H$13),([1]!S_STM07_CS(D551,87,$G$5,$H$13)+[1]!S_STM07_CS(D551,88,$G$5,$H$13)+[1]!S_STM07_CS(D551,89,$G$5,$H$13))/$E$5))</f>
        <v/>
      </c>
      <c r="K551" s="249" t="str">
        <f ca="1">IF(C551="","",IF($K$11="净利润率",[1]!S_STM07_IS(D551,61,$G$5,$H$13)/[1]!S_STM07_IS(D551,9,$G$5,$H$13),[1]!S_STM07_IS(D551,55,$G$5,$H$13)/$E$5))</f>
        <v/>
      </c>
      <c r="L551" s="249" t="str">
        <f ca="1">IF(C551="","",IF($L$11="ROA",[1]!S_STM07_IS(D551,61,$G$5,$H$13)/[1]!S_STM07_BS(D551,74,$G$5,$H$13),1-[1]!S_STM07_IS(D551,61,$G$5,$H$13)/[1]!S_STM07_IS(D551,55,$G$5,$H$13)))</f>
        <v/>
      </c>
      <c r="M551" s="249" t="str">
        <f ca="1">IF(C551="","",IF($M$11="ROE",[1]!S_STM07_IS(D551,61,$G$5,$H$13)/[1]!S_STM07_BS(D551,141,$G$5,$H$13),([1]!S_STM07_BS(D551,25,$G$5,$H$13)-[1]!S_STM07_BS(D551,93,$G$5,$H$13))/$E$5))</f>
        <v/>
      </c>
      <c r="N551" s="250" t="str">
        <f ca="1">IF(C551="","",IF($N$11="EPS",[1]!S_STM07_IS(D551,61,$G$5,$H$13)/IF([1]!S_SHARE_TOTAL(D551,$G$5)=0,[1]!S_SHARE_TOTAL(D551,[1]!s_ipo_listeddate(D551)),[1]!S_SHARE_TOTAL(D551,$G$5)),([1]!S_STM07_BS(D551,75,$G$5,$H$13)+[1]!S_STM07_BS(D551,88,$G$5,$H$13)+[1]!S_STM07_BS(D551,94,$G$5,$H$13)+[1]!S_STM07_BS(D551,95,$G$5,$H$13))/$E$5))</f>
        <v/>
      </c>
      <c r="O551" s="250" t="str">
        <f ca="1">IF(C551="","",IF($O$11="BPS",[1]!S_STM07_BS(D551,141,$G$5,$H$13)/IF([1]!S_SHARE_TOTAL(D551,$G$5)=0,[1]!S_SHARE_TOTAL(D551,[1]!s_ipo_listeddate(D551)),[1]!S_SHARE_TOTAL(D551,$G$5)),[1]!S_STM07_CS(D551,49,$G$5,$H$13)/$E$5))</f>
        <v/>
      </c>
      <c r="P551" s="250" t="str">
        <f ca="1">IF(C551="","",IF($P$11="CFPS",[1]!S_STM07_CS(D551,84,$G$5,$H$13)/IF([1]!S_SHARE_TOTAL(D551,$G$5)=0,[1]!S_SHARE_TOTAL(D551,[1]!s_ipo_listeddate(D551)),[1]!S_SHARE_TOTAL(D551,$G$5)),[1]!S_STM07_CS(D551,84,$G$5,$H$13)/$E$5))</f>
        <v/>
      </c>
      <c r="Q551" s="198" t="str">
        <f ca="1">IF(C551="","",F551/([1]!S_STM07_IS(D551,61,$G$5,$H$13)/IF([1]!S_SHARE_TOTAL(D551,$G$5)=0,[1]!S_SHARE_TOTAL(D551,[1]!s_ipo_listeddate(D551)),[1]!S_SHARE_TOTAL(D551,$G$5))))</f>
        <v/>
      </c>
      <c r="R551" s="198" t="str">
        <f ca="1">IF(C551="","",F551/([1]!S_STM07_BS(D551,141,$G$5,$H$13)/IF([1]!S_SHARE_TOTAL(D551,$G$5)=0,[1]!S_SHARE_TOTAL(D551,[1]!s_ipo_listeddate(D551)),[1]!S_SHARE_TOTAL(D551,$G$5))))</f>
        <v/>
      </c>
      <c r="S551" s="249" t="str">
        <f ca="1">IF(C551="","",[1]!S_SHARE_TOTAL(D551,TODAY())/$E$5)</f>
        <v/>
      </c>
      <c r="T551" s="249" t="str">
        <f t="shared" ca="1" si="61"/>
        <v/>
      </c>
      <c r="U551" s="172" t="str">
        <f t="shared" ca="1" si="62"/>
        <v/>
      </c>
      <c r="V551" s="343" t="str">
        <f t="shared" ca="1" si="63"/>
        <v/>
      </c>
      <c r="W551" s="139"/>
      <c r="Y551" s="1"/>
    </row>
    <row r="552" spans="3:25" ht="12" customHeight="1">
      <c r="C552" s="342" t="str">
        <f t="shared" ca="1" si="58"/>
        <v/>
      </c>
      <c r="D552" s="153" t="str">
        <f t="shared" ca="1" si="59"/>
        <v/>
      </c>
      <c r="E552" s="153" t="str">
        <f t="shared" ca="1" si="60"/>
        <v/>
      </c>
      <c r="F552" s="170" t="str">
        <f ca="1">IF(C552="","",[1]!S_DQ_CLOSE(D552,TODAY(),1))</f>
        <v/>
      </c>
      <c r="G552" s="171" t="str">
        <f ca="1">IF(C552="","",[1]!s_pq_pctchange(D552,TODAY()-$G$12,TODAY())/100)</f>
        <v/>
      </c>
      <c r="H552" s="247" t="str">
        <f ca="1">IF(C552="","",IF($H$11="收入",[1]!S_STM07_IS(D552,9,$G$5,$H$13)/$E$5,[1]!S_STM07_IS(D552,48,$G$5,$H$13)/$E$5))</f>
        <v/>
      </c>
      <c r="I552" s="247" t="str">
        <f ca="1">IF(C552="","",IF($I$11="毛利率",([1]!S_STM07_IS(D552,9,$G$5,$H$13)-[1]!S_STM07_IS(D552,10,$G$5,$H$13))/[1]!S_STM07_IS(D552,9,$G$5,$H$13),[1]!S_STM07_IS(D552,14,$G$5,$H$13)/$E$5))</f>
        <v/>
      </c>
      <c r="J552" s="247" t="str">
        <f ca="1">IF(C552="","",IF($J$11="营业利润率",[1]!S_STM07_IS(D552,48,$G$5,$H$13)/[1]!S_STM07_IS(D552,9,$G$5,$H$13),([1]!S_STM07_CS(D552,87,$G$5,$H$13)+[1]!S_STM07_CS(D552,88,$G$5,$H$13)+[1]!S_STM07_CS(D552,89,$G$5,$H$13))/$E$5))</f>
        <v/>
      </c>
      <c r="K552" s="247" t="str">
        <f ca="1">IF(C552="","",IF($K$11="净利润率",[1]!S_STM07_IS(D552,61,$G$5,$H$13)/[1]!S_STM07_IS(D552,9,$G$5,$H$13),[1]!S_STM07_IS(D552,55,$G$5,$H$13)/$E$5))</f>
        <v/>
      </c>
      <c r="L552" s="247" t="str">
        <f ca="1">IF(C552="","",IF($L$11="ROA",[1]!S_STM07_IS(D552,61,$G$5,$H$13)/[1]!S_STM07_BS(D552,74,$G$5,$H$13),1-[1]!S_STM07_IS(D552,61,$G$5,$H$13)/[1]!S_STM07_IS(D552,55,$G$5,$H$13)))</f>
        <v/>
      </c>
      <c r="M552" s="247" t="str">
        <f ca="1">IF(C552="","",IF($M$11="ROE",[1]!S_STM07_IS(D552,61,$G$5,$H$13)/[1]!S_STM07_BS(D552,141,$G$5,$H$13),([1]!S_STM07_BS(D552,25,$G$5,$H$13)-[1]!S_STM07_BS(D552,93,$G$5,$H$13))/$E$5))</f>
        <v/>
      </c>
      <c r="N552" s="247" t="str">
        <f ca="1">IF(C552="","",IF($N$11="EPS",[1]!S_STM07_IS(D552,61,$G$5,$H$13)/IF([1]!S_SHARE_TOTAL(D552,$G$5)=0,[1]!S_SHARE_TOTAL(D552,[1]!s_ipo_listeddate(D552)),[1]!S_SHARE_TOTAL(D552,$G$5)),([1]!S_STM07_BS(D552,75,$G$5,$H$13)+[1]!S_STM07_BS(D552,88,$G$5,$H$13)+[1]!S_STM07_BS(D552,94,$G$5,$H$13)+[1]!S_STM07_BS(D552,95,$G$5,$H$13))/$E$5))</f>
        <v/>
      </c>
      <c r="O552" s="247" t="str">
        <f ca="1">IF(C552="","",IF($O$11="BPS",[1]!S_STM07_BS(D552,141,$G$5,$H$13)/IF([1]!S_SHARE_TOTAL(D552,$G$5)=0,[1]!S_SHARE_TOTAL(D552,[1]!s_ipo_listeddate(D552)),[1]!S_SHARE_TOTAL(D552,$G$5)),[1]!S_STM07_CS(D552,49,$G$5,$H$13)/$E$5))</f>
        <v/>
      </c>
      <c r="P552" s="247" t="str">
        <f ca="1">IF(C552="","",IF($P$11="CFPS",[1]!S_STM07_CS(D552,84,$G$5,$H$13)/IF([1]!S_SHARE_TOTAL(D552,$G$5)=0,[1]!S_SHARE_TOTAL(D552,[1]!s_ipo_listeddate(D552)),[1]!S_SHARE_TOTAL(D552,$G$5)),[1]!S_STM07_CS(D552,84,$G$5,$H$13)/$E$5))</f>
        <v/>
      </c>
      <c r="Q552" s="248" t="str">
        <f ca="1">IF(C552="","",F552/([1]!S_STM07_IS(D552,61,$G$5,$H$13)/IF([1]!S_SHARE_TOTAL(D552,$G$5)=0,[1]!S_SHARE_TOTAL(D552,[1]!s_ipo_listeddate(D552)),[1]!S_SHARE_TOTAL(D552,$G$5))))</f>
        <v/>
      </c>
      <c r="R552" s="248" t="str">
        <f ca="1">IF(C552="","",F552/([1]!S_STM07_BS(D552,141,$G$5,$H$13)/IF([1]!S_SHARE_TOTAL(D552,$G$5)=0,[1]!S_SHARE_TOTAL(D552,[1]!s_ipo_listeddate(D552)),[1]!S_SHARE_TOTAL(D552,$G$5))))</f>
        <v/>
      </c>
      <c r="S552" s="247" t="str">
        <f ca="1">IF(C552="","",[1]!S_SHARE_TOTAL(D552,TODAY())/$E$5)</f>
        <v/>
      </c>
      <c r="T552" s="247" t="str">
        <f t="shared" ca="1" si="61"/>
        <v/>
      </c>
      <c r="U552" s="218" t="str">
        <f t="shared" ca="1" si="62"/>
        <v/>
      </c>
      <c r="V552" s="342" t="str">
        <f t="shared" ca="1" si="63"/>
        <v/>
      </c>
      <c r="W552" s="139"/>
      <c r="Y552" s="1"/>
    </row>
    <row r="553" spans="3:25" ht="12" customHeight="1">
      <c r="C553" s="343" t="str">
        <f t="shared" ca="1" si="58"/>
        <v/>
      </c>
      <c r="D553" s="124" t="str">
        <f t="shared" ca="1" si="59"/>
        <v/>
      </c>
      <c r="E553" s="124" t="str">
        <f t="shared" ca="1" si="60"/>
        <v/>
      </c>
      <c r="F553" s="172" t="str">
        <f ca="1">IF(C553="","",[1]!S_DQ_CLOSE(D553,TODAY(),1))</f>
        <v/>
      </c>
      <c r="G553" s="173" t="str">
        <f ca="1">IF(C553="","",[1]!s_pq_pctchange(D553,TODAY()-$G$12,TODAY())/100)</f>
        <v/>
      </c>
      <c r="H553" s="249" t="str">
        <f ca="1">IF(C553="","",IF($H$11="收入",[1]!S_STM07_IS(D553,9,$G$5,$H$13)/$E$5,[1]!S_STM07_IS(D553,48,$G$5,$H$13)/$E$5))</f>
        <v/>
      </c>
      <c r="I553" s="249" t="str">
        <f ca="1">IF(C553="","",IF($I$11="毛利率",([1]!S_STM07_IS(D553,9,$G$5,$H$13)-[1]!S_STM07_IS(D553,10,$G$5,$H$13))/[1]!S_STM07_IS(D553,9,$G$5,$H$13),[1]!S_STM07_IS(D553,14,$G$5,$H$13)/$E$5))</f>
        <v/>
      </c>
      <c r="J553" s="249" t="str">
        <f ca="1">IF(C553="","",IF($J$11="营业利润率",[1]!S_STM07_IS(D553,48,$G$5,$H$13)/[1]!S_STM07_IS(D553,9,$G$5,$H$13),([1]!S_STM07_CS(D553,87,$G$5,$H$13)+[1]!S_STM07_CS(D553,88,$G$5,$H$13)+[1]!S_STM07_CS(D553,89,$G$5,$H$13))/$E$5))</f>
        <v/>
      </c>
      <c r="K553" s="249" t="str">
        <f ca="1">IF(C553="","",IF($K$11="净利润率",[1]!S_STM07_IS(D553,61,$G$5,$H$13)/[1]!S_STM07_IS(D553,9,$G$5,$H$13),[1]!S_STM07_IS(D553,55,$G$5,$H$13)/$E$5))</f>
        <v/>
      </c>
      <c r="L553" s="249" t="str">
        <f ca="1">IF(C553="","",IF($L$11="ROA",[1]!S_STM07_IS(D553,61,$G$5,$H$13)/[1]!S_STM07_BS(D553,74,$G$5,$H$13),1-[1]!S_STM07_IS(D553,61,$G$5,$H$13)/[1]!S_STM07_IS(D553,55,$G$5,$H$13)))</f>
        <v/>
      </c>
      <c r="M553" s="249" t="str">
        <f ca="1">IF(C553="","",IF($M$11="ROE",[1]!S_STM07_IS(D553,61,$G$5,$H$13)/[1]!S_STM07_BS(D553,141,$G$5,$H$13),([1]!S_STM07_BS(D553,25,$G$5,$H$13)-[1]!S_STM07_BS(D553,93,$G$5,$H$13))/$E$5))</f>
        <v/>
      </c>
      <c r="N553" s="250" t="str">
        <f ca="1">IF(C553="","",IF($N$11="EPS",[1]!S_STM07_IS(D553,61,$G$5,$H$13)/IF([1]!S_SHARE_TOTAL(D553,$G$5)=0,[1]!S_SHARE_TOTAL(D553,[1]!s_ipo_listeddate(D553)),[1]!S_SHARE_TOTAL(D553,$G$5)),([1]!S_STM07_BS(D553,75,$G$5,$H$13)+[1]!S_STM07_BS(D553,88,$G$5,$H$13)+[1]!S_STM07_BS(D553,94,$G$5,$H$13)+[1]!S_STM07_BS(D553,95,$G$5,$H$13))/$E$5))</f>
        <v/>
      </c>
      <c r="O553" s="250" t="str">
        <f ca="1">IF(C553="","",IF($O$11="BPS",[1]!S_STM07_BS(D553,141,$G$5,$H$13)/IF([1]!S_SHARE_TOTAL(D553,$G$5)=0,[1]!S_SHARE_TOTAL(D553,[1]!s_ipo_listeddate(D553)),[1]!S_SHARE_TOTAL(D553,$G$5)),[1]!S_STM07_CS(D553,49,$G$5,$H$13)/$E$5))</f>
        <v/>
      </c>
      <c r="P553" s="250" t="str">
        <f ca="1">IF(C553="","",IF($P$11="CFPS",[1]!S_STM07_CS(D553,84,$G$5,$H$13)/IF([1]!S_SHARE_TOTAL(D553,$G$5)=0,[1]!S_SHARE_TOTAL(D553,[1]!s_ipo_listeddate(D553)),[1]!S_SHARE_TOTAL(D553,$G$5)),[1]!S_STM07_CS(D553,84,$G$5,$H$13)/$E$5))</f>
        <v/>
      </c>
      <c r="Q553" s="198" t="str">
        <f ca="1">IF(C553="","",F553/([1]!S_STM07_IS(D553,61,$G$5,$H$13)/IF([1]!S_SHARE_TOTAL(D553,$G$5)=0,[1]!S_SHARE_TOTAL(D553,[1]!s_ipo_listeddate(D553)),[1]!S_SHARE_TOTAL(D553,$G$5))))</f>
        <v/>
      </c>
      <c r="R553" s="198" t="str">
        <f ca="1">IF(C553="","",F553/([1]!S_STM07_BS(D553,141,$G$5,$H$13)/IF([1]!S_SHARE_TOTAL(D553,$G$5)=0,[1]!S_SHARE_TOTAL(D553,[1]!s_ipo_listeddate(D553)),[1]!S_SHARE_TOTAL(D553,$G$5))))</f>
        <v/>
      </c>
      <c r="S553" s="249" t="str">
        <f ca="1">IF(C553="","",[1]!S_SHARE_TOTAL(D553,TODAY())/$E$5)</f>
        <v/>
      </c>
      <c r="T553" s="249" t="str">
        <f t="shared" ca="1" si="61"/>
        <v/>
      </c>
      <c r="U553" s="172" t="str">
        <f t="shared" ca="1" si="62"/>
        <v/>
      </c>
      <c r="V553" s="343" t="str">
        <f t="shared" ca="1" si="63"/>
        <v/>
      </c>
      <c r="W553" s="139"/>
      <c r="Y553" s="1"/>
    </row>
    <row r="554" spans="3:25" ht="12" customHeight="1">
      <c r="C554" s="342" t="str">
        <f t="shared" ca="1" si="58"/>
        <v/>
      </c>
      <c r="D554" s="153" t="str">
        <f t="shared" ca="1" si="59"/>
        <v/>
      </c>
      <c r="E554" s="153" t="str">
        <f t="shared" ca="1" si="60"/>
        <v/>
      </c>
      <c r="F554" s="170" t="str">
        <f ca="1">IF(C554="","",[1]!S_DQ_CLOSE(D554,TODAY(),1))</f>
        <v/>
      </c>
      <c r="G554" s="171" t="str">
        <f ca="1">IF(C554="","",[1]!s_pq_pctchange(D554,TODAY()-$G$12,TODAY())/100)</f>
        <v/>
      </c>
      <c r="H554" s="247" t="str">
        <f ca="1">IF(C554="","",IF($H$11="收入",[1]!S_STM07_IS(D554,9,$G$5,$H$13)/$E$5,[1]!S_STM07_IS(D554,48,$G$5,$H$13)/$E$5))</f>
        <v/>
      </c>
      <c r="I554" s="247" t="str">
        <f ca="1">IF(C554="","",IF($I$11="毛利率",([1]!S_STM07_IS(D554,9,$G$5,$H$13)-[1]!S_STM07_IS(D554,10,$G$5,$H$13))/[1]!S_STM07_IS(D554,9,$G$5,$H$13),[1]!S_STM07_IS(D554,14,$G$5,$H$13)/$E$5))</f>
        <v/>
      </c>
      <c r="J554" s="247" t="str">
        <f ca="1">IF(C554="","",IF($J$11="营业利润率",[1]!S_STM07_IS(D554,48,$G$5,$H$13)/[1]!S_STM07_IS(D554,9,$G$5,$H$13),([1]!S_STM07_CS(D554,87,$G$5,$H$13)+[1]!S_STM07_CS(D554,88,$G$5,$H$13)+[1]!S_STM07_CS(D554,89,$G$5,$H$13))/$E$5))</f>
        <v/>
      </c>
      <c r="K554" s="247" t="str">
        <f ca="1">IF(C554="","",IF($K$11="净利润率",[1]!S_STM07_IS(D554,61,$G$5,$H$13)/[1]!S_STM07_IS(D554,9,$G$5,$H$13),[1]!S_STM07_IS(D554,55,$G$5,$H$13)/$E$5))</f>
        <v/>
      </c>
      <c r="L554" s="247" t="str">
        <f ca="1">IF(C554="","",IF($L$11="ROA",[1]!S_STM07_IS(D554,61,$G$5,$H$13)/[1]!S_STM07_BS(D554,74,$G$5,$H$13),1-[1]!S_STM07_IS(D554,61,$G$5,$H$13)/[1]!S_STM07_IS(D554,55,$G$5,$H$13)))</f>
        <v/>
      </c>
      <c r="M554" s="247" t="str">
        <f ca="1">IF(C554="","",IF($M$11="ROE",[1]!S_STM07_IS(D554,61,$G$5,$H$13)/[1]!S_STM07_BS(D554,141,$G$5,$H$13),([1]!S_STM07_BS(D554,25,$G$5,$H$13)-[1]!S_STM07_BS(D554,93,$G$5,$H$13))/$E$5))</f>
        <v/>
      </c>
      <c r="N554" s="247" t="str">
        <f ca="1">IF(C554="","",IF($N$11="EPS",[1]!S_STM07_IS(D554,61,$G$5,$H$13)/IF([1]!S_SHARE_TOTAL(D554,$G$5)=0,[1]!S_SHARE_TOTAL(D554,[1]!s_ipo_listeddate(D554)),[1]!S_SHARE_TOTAL(D554,$G$5)),([1]!S_STM07_BS(D554,75,$G$5,$H$13)+[1]!S_STM07_BS(D554,88,$G$5,$H$13)+[1]!S_STM07_BS(D554,94,$G$5,$H$13)+[1]!S_STM07_BS(D554,95,$G$5,$H$13))/$E$5))</f>
        <v/>
      </c>
      <c r="O554" s="247" t="str">
        <f ca="1">IF(C554="","",IF($O$11="BPS",[1]!S_STM07_BS(D554,141,$G$5,$H$13)/IF([1]!S_SHARE_TOTAL(D554,$G$5)=0,[1]!S_SHARE_TOTAL(D554,[1]!s_ipo_listeddate(D554)),[1]!S_SHARE_TOTAL(D554,$G$5)),[1]!S_STM07_CS(D554,49,$G$5,$H$13)/$E$5))</f>
        <v/>
      </c>
      <c r="P554" s="247" t="str">
        <f ca="1">IF(C554="","",IF($P$11="CFPS",[1]!S_STM07_CS(D554,84,$G$5,$H$13)/IF([1]!S_SHARE_TOTAL(D554,$G$5)=0,[1]!S_SHARE_TOTAL(D554,[1]!s_ipo_listeddate(D554)),[1]!S_SHARE_TOTAL(D554,$G$5)),[1]!S_STM07_CS(D554,84,$G$5,$H$13)/$E$5))</f>
        <v/>
      </c>
      <c r="Q554" s="248" t="str">
        <f ca="1">IF(C554="","",F554/([1]!S_STM07_IS(D554,61,$G$5,$H$13)/IF([1]!S_SHARE_TOTAL(D554,$G$5)=0,[1]!S_SHARE_TOTAL(D554,[1]!s_ipo_listeddate(D554)),[1]!S_SHARE_TOTAL(D554,$G$5))))</f>
        <v/>
      </c>
      <c r="R554" s="248" t="str">
        <f ca="1">IF(C554="","",F554/([1]!S_STM07_BS(D554,141,$G$5,$H$13)/IF([1]!S_SHARE_TOTAL(D554,$G$5)=0,[1]!S_SHARE_TOTAL(D554,[1]!s_ipo_listeddate(D554)),[1]!S_SHARE_TOTAL(D554,$G$5))))</f>
        <v/>
      </c>
      <c r="S554" s="247" t="str">
        <f ca="1">IF(C554="","",[1]!S_SHARE_TOTAL(D554,TODAY())/$E$5)</f>
        <v/>
      </c>
      <c r="T554" s="247" t="str">
        <f t="shared" ca="1" si="61"/>
        <v/>
      </c>
      <c r="U554" s="218" t="str">
        <f t="shared" ca="1" si="62"/>
        <v/>
      </c>
      <c r="V554" s="342" t="str">
        <f t="shared" ca="1" si="63"/>
        <v/>
      </c>
      <c r="W554" s="139"/>
      <c r="Y554" s="1"/>
    </row>
    <row r="555" spans="3:25" ht="12" customHeight="1">
      <c r="C555" s="343" t="str">
        <f t="shared" ca="1" si="58"/>
        <v/>
      </c>
      <c r="D555" s="124" t="str">
        <f t="shared" ca="1" si="59"/>
        <v/>
      </c>
      <c r="E555" s="124" t="str">
        <f t="shared" ca="1" si="60"/>
        <v/>
      </c>
      <c r="F555" s="172" t="str">
        <f ca="1">IF(C555="","",[1]!S_DQ_CLOSE(D555,TODAY(),1))</f>
        <v/>
      </c>
      <c r="G555" s="173" t="str">
        <f ca="1">IF(C555="","",[1]!s_pq_pctchange(D555,TODAY()-$G$12,TODAY())/100)</f>
        <v/>
      </c>
      <c r="H555" s="249" t="str">
        <f ca="1">IF(C555="","",IF($H$11="收入",[1]!S_STM07_IS(D555,9,$G$5,$H$13)/$E$5,[1]!S_STM07_IS(D555,48,$G$5,$H$13)/$E$5))</f>
        <v/>
      </c>
      <c r="I555" s="249" t="str">
        <f ca="1">IF(C555="","",IF($I$11="毛利率",([1]!S_STM07_IS(D555,9,$G$5,$H$13)-[1]!S_STM07_IS(D555,10,$G$5,$H$13))/[1]!S_STM07_IS(D555,9,$G$5,$H$13),[1]!S_STM07_IS(D555,14,$G$5,$H$13)/$E$5))</f>
        <v/>
      </c>
      <c r="J555" s="249" t="str">
        <f ca="1">IF(C555="","",IF($J$11="营业利润率",[1]!S_STM07_IS(D555,48,$G$5,$H$13)/[1]!S_STM07_IS(D555,9,$G$5,$H$13),([1]!S_STM07_CS(D555,87,$G$5,$H$13)+[1]!S_STM07_CS(D555,88,$G$5,$H$13)+[1]!S_STM07_CS(D555,89,$G$5,$H$13))/$E$5))</f>
        <v/>
      </c>
      <c r="K555" s="249" t="str">
        <f ca="1">IF(C555="","",IF($K$11="净利润率",[1]!S_STM07_IS(D555,61,$G$5,$H$13)/[1]!S_STM07_IS(D555,9,$G$5,$H$13),[1]!S_STM07_IS(D555,55,$G$5,$H$13)/$E$5))</f>
        <v/>
      </c>
      <c r="L555" s="249" t="str">
        <f ca="1">IF(C555="","",IF($L$11="ROA",[1]!S_STM07_IS(D555,61,$G$5,$H$13)/[1]!S_STM07_BS(D555,74,$G$5,$H$13),1-[1]!S_STM07_IS(D555,61,$G$5,$H$13)/[1]!S_STM07_IS(D555,55,$G$5,$H$13)))</f>
        <v/>
      </c>
      <c r="M555" s="249" t="str">
        <f ca="1">IF(C555="","",IF($M$11="ROE",[1]!S_STM07_IS(D555,61,$G$5,$H$13)/[1]!S_STM07_BS(D555,141,$G$5,$H$13),([1]!S_STM07_BS(D555,25,$G$5,$H$13)-[1]!S_STM07_BS(D555,93,$G$5,$H$13))/$E$5))</f>
        <v/>
      </c>
      <c r="N555" s="250" t="str">
        <f ca="1">IF(C555="","",IF($N$11="EPS",[1]!S_STM07_IS(D555,61,$G$5,$H$13)/IF([1]!S_SHARE_TOTAL(D555,$G$5)=0,[1]!S_SHARE_TOTAL(D555,[1]!s_ipo_listeddate(D555)),[1]!S_SHARE_TOTAL(D555,$G$5)),([1]!S_STM07_BS(D555,75,$G$5,$H$13)+[1]!S_STM07_BS(D555,88,$G$5,$H$13)+[1]!S_STM07_BS(D555,94,$G$5,$H$13)+[1]!S_STM07_BS(D555,95,$G$5,$H$13))/$E$5))</f>
        <v/>
      </c>
      <c r="O555" s="250" t="str">
        <f ca="1">IF(C555="","",IF($O$11="BPS",[1]!S_STM07_BS(D555,141,$G$5,$H$13)/IF([1]!S_SHARE_TOTAL(D555,$G$5)=0,[1]!S_SHARE_TOTAL(D555,[1]!s_ipo_listeddate(D555)),[1]!S_SHARE_TOTAL(D555,$G$5)),[1]!S_STM07_CS(D555,49,$G$5,$H$13)/$E$5))</f>
        <v/>
      </c>
      <c r="P555" s="250" t="str">
        <f ca="1">IF(C555="","",IF($P$11="CFPS",[1]!S_STM07_CS(D555,84,$G$5,$H$13)/IF([1]!S_SHARE_TOTAL(D555,$G$5)=0,[1]!S_SHARE_TOTAL(D555,[1]!s_ipo_listeddate(D555)),[1]!S_SHARE_TOTAL(D555,$G$5)),[1]!S_STM07_CS(D555,84,$G$5,$H$13)/$E$5))</f>
        <v/>
      </c>
      <c r="Q555" s="198" t="str">
        <f ca="1">IF(C555="","",F555/([1]!S_STM07_IS(D555,61,$G$5,$H$13)/IF([1]!S_SHARE_TOTAL(D555,$G$5)=0,[1]!S_SHARE_TOTAL(D555,[1]!s_ipo_listeddate(D555)),[1]!S_SHARE_TOTAL(D555,$G$5))))</f>
        <v/>
      </c>
      <c r="R555" s="198" t="str">
        <f ca="1">IF(C555="","",F555/([1]!S_STM07_BS(D555,141,$G$5,$H$13)/IF([1]!S_SHARE_TOTAL(D555,$G$5)=0,[1]!S_SHARE_TOTAL(D555,[1]!s_ipo_listeddate(D555)),[1]!S_SHARE_TOTAL(D555,$G$5))))</f>
        <v/>
      </c>
      <c r="S555" s="249" t="str">
        <f ca="1">IF(C555="","",[1]!S_SHARE_TOTAL(D555,TODAY())/$E$5)</f>
        <v/>
      </c>
      <c r="T555" s="249" t="str">
        <f t="shared" ca="1" si="61"/>
        <v/>
      </c>
      <c r="U555" s="172" t="str">
        <f t="shared" ca="1" si="62"/>
        <v/>
      </c>
      <c r="V555" s="343" t="str">
        <f t="shared" ca="1" si="63"/>
        <v/>
      </c>
      <c r="W555" s="139"/>
      <c r="Y555" s="1"/>
    </row>
    <row r="556" spans="3:25" ht="12" customHeight="1">
      <c r="C556" s="342" t="str">
        <f t="shared" ca="1" si="58"/>
        <v/>
      </c>
      <c r="D556" s="153" t="str">
        <f t="shared" ca="1" si="59"/>
        <v/>
      </c>
      <c r="E556" s="153" t="str">
        <f t="shared" ca="1" si="60"/>
        <v/>
      </c>
      <c r="F556" s="170" t="str">
        <f ca="1">IF(C556="","",[1]!S_DQ_CLOSE(D556,TODAY(),1))</f>
        <v/>
      </c>
      <c r="G556" s="171" t="str">
        <f ca="1">IF(C556="","",[1]!s_pq_pctchange(D556,TODAY()-$G$12,TODAY())/100)</f>
        <v/>
      </c>
      <c r="H556" s="247" t="str">
        <f ca="1">IF(C556="","",IF($H$11="收入",[1]!S_STM07_IS(D556,9,$G$5,$H$13)/$E$5,[1]!S_STM07_IS(D556,48,$G$5,$H$13)/$E$5))</f>
        <v/>
      </c>
      <c r="I556" s="247" t="str">
        <f ca="1">IF(C556="","",IF($I$11="毛利率",([1]!S_STM07_IS(D556,9,$G$5,$H$13)-[1]!S_STM07_IS(D556,10,$G$5,$H$13))/[1]!S_STM07_IS(D556,9,$G$5,$H$13),[1]!S_STM07_IS(D556,14,$G$5,$H$13)/$E$5))</f>
        <v/>
      </c>
      <c r="J556" s="247" t="str">
        <f ca="1">IF(C556="","",IF($J$11="营业利润率",[1]!S_STM07_IS(D556,48,$G$5,$H$13)/[1]!S_STM07_IS(D556,9,$G$5,$H$13),([1]!S_STM07_CS(D556,87,$G$5,$H$13)+[1]!S_STM07_CS(D556,88,$G$5,$H$13)+[1]!S_STM07_CS(D556,89,$G$5,$H$13))/$E$5))</f>
        <v/>
      </c>
      <c r="K556" s="247" t="str">
        <f ca="1">IF(C556="","",IF($K$11="净利润率",[1]!S_STM07_IS(D556,61,$G$5,$H$13)/[1]!S_STM07_IS(D556,9,$G$5,$H$13),[1]!S_STM07_IS(D556,55,$G$5,$H$13)/$E$5))</f>
        <v/>
      </c>
      <c r="L556" s="247" t="str">
        <f ca="1">IF(C556="","",IF($L$11="ROA",[1]!S_STM07_IS(D556,61,$G$5,$H$13)/[1]!S_STM07_BS(D556,74,$G$5,$H$13),1-[1]!S_STM07_IS(D556,61,$G$5,$H$13)/[1]!S_STM07_IS(D556,55,$G$5,$H$13)))</f>
        <v/>
      </c>
      <c r="M556" s="247" t="str">
        <f ca="1">IF(C556="","",IF($M$11="ROE",[1]!S_STM07_IS(D556,61,$G$5,$H$13)/[1]!S_STM07_BS(D556,141,$G$5,$H$13),([1]!S_STM07_BS(D556,25,$G$5,$H$13)-[1]!S_STM07_BS(D556,93,$G$5,$H$13))/$E$5))</f>
        <v/>
      </c>
      <c r="N556" s="247" t="str">
        <f ca="1">IF(C556="","",IF($N$11="EPS",[1]!S_STM07_IS(D556,61,$G$5,$H$13)/IF([1]!S_SHARE_TOTAL(D556,$G$5)=0,[1]!S_SHARE_TOTAL(D556,[1]!s_ipo_listeddate(D556)),[1]!S_SHARE_TOTAL(D556,$G$5)),([1]!S_STM07_BS(D556,75,$G$5,$H$13)+[1]!S_STM07_BS(D556,88,$G$5,$H$13)+[1]!S_STM07_BS(D556,94,$G$5,$H$13)+[1]!S_STM07_BS(D556,95,$G$5,$H$13))/$E$5))</f>
        <v/>
      </c>
      <c r="O556" s="247" t="str">
        <f ca="1">IF(C556="","",IF($O$11="BPS",[1]!S_STM07_BS(D556,141,$G$5,$H$13)/IF([1]!S_SHARE_TOTAL(D556,$G$5)=0,[1]!S_SHARE_TOTAL(D556,[1]!s_ipo_listeddate(D556)),[1]!S_SHARE_TOTAL(D556,$G$5)),[1]!S_STM07_CS(D556,49,$G$5,$H$13)/$E$5))</f>
        <v/>
      </c>
      <c r="P556" s="247" t="str">
        <f ca="1">IF(C556="","",IF($P$11="CFPS",[1]!S_STM07_CS(D556,84,$G$5,$H$13)/IF([1]!S_SHARE_TOTAL(D556,$G$5)=0,[1]!S_SHARE_TOTAL(D556,[1]!s_ipo_listeddate(D556)),[1]!S_SHARE_TOTAL(D556,$G$5)),[1]!S_STM07_CS(D556,84,$G$5,$H$13)/$E$5))</f>
        <v/>
      </c>
      <c r="Q556" s="248" t="str">
        <f ca="1">IF(C556="","",F556/([1]!S_STM07_IS(D556,61,$G$5,$H$13)/IF([1]!S_SHARE_TOTAL(D556,$G$5)=0,[1]!S_SHARE_TOTAL(D556,[1]!s_ipo_listeddate(D556)),[1]!S_SHARE_TOTAL(D556,$G$5))))</f>
        <v/>
      </c>
      <c r="R556" s="248" t="str">
        <f ca="1">IF(C556="","",F556/([1]!S_STM07_BS(D556,141,$G$5,$H$13)/IF([1]!S_SHARE_TOTAL(D556,$G$5)=0,[1]!S_SHARE_TOTAL(D556,[1]!s_ipo_listeddate(D556)),[1]!S_SHARE_TOTAL(D556,$G$5))))</f>
        <v/>
      </c>
      <c r="S556" s="247" t="str">
        <f ca="1">IF(C556="","",[1]!S_SHARE_TOTAL(D556,TODAY())/$E$5)</f>
        <v/>
      </c>
      <c r="T556" s="247" t="str">
        <f t="shared" ca="1" si="61"/>
        <v/>
      </c>
      <c r="U556" s="218" t="str">
        <f t="shared" ca="1" si="62"/>
        <v/>
      </c>
      <c r="V556" s="342" t="str">
        <f t="shared" ca="1" si="63"/>
        <v/>
      </c>
      <c r="W556" s="139"/>
      <c r="Y556" s="1"/>
    </row>
    <row r="557" spans="3:25" ht="12" customHeight="1">
      <c r="C557" s="343" t="str">
        <f t="shared" ca="1" si="58"/>
        <v/>
      </c>
      <c r="D557" s="124" t="str">
        <f t="shared" ca="1" si="59"/>
        <v/>
      </c>
      <c r="E557" s="124" t="str">
        <f t="shared" ca="1" si="60"/>
        <v/>
      </c>
      <c r="F557" s="172" t="str">
        <f ca="1">IF(C557="","",[1]!S_DQ_CLOSE(D557,TODAY(),1))</f>
        <v/>
      </c>
      <c r="G557" s="173" t="str">
        <f ca="1">IF(C557="","",[1]!s_pq_pctchange(D557,TODAY()-$G$12,TODAY())/100)</f>
        <v/>
      </c>
      <c r="H557" s="249" t="str">
        <f ca="1">IF(C557="","",IF($H$11="收入",[1]!S_STM07_IS(D557,9,$G$5,$H$13)/$E$5,[1]!S_STM07_IS(D557,48,$G$5,$H$13)/$E$5))</f>
        <v/>
      </c>
      <c r="I557" s="249" t="str">
        <f ca="1">IF(C557="","",IF($I$11="毛利率",([1]!S_STM07_IS(D557,9,$G$5,$H$13)-[1]!S_STM07_IS(D557,10,$G$5,$H$13))/[1]!S_STM07_IS(D557,9,$G$5,$H$13),[1]!S_STM07_IS(D557,14,$G$5,$H$13)/$E$5))</f>
        <v/>
      </c>
      <c r="J557" s="249" t="str">
        <f ca="1">IF(C557="","",IF($J$11="营业利润率",[1]!S_STM07_IS(D557,48,$G$5,$H$13)/[1]!S_STM07_IS(D557,9,$G$5,$H$13),([1]!S_STM07_CS(D557,87,$G$5,$H$13)+[1]!S_STM07_CS(D557,88,$G$5,$H$13)+[1]!S_STM07_CS(D557,89,$G$5,$H$13))/$E$5))</f>
        <v/>
      </c>
      <c r="K557" s="249" t="str">
        <f ca="1">IF(C557="","",IF($K$11="净利润率",[1]!S_STM07_IS(D557,61,$G$5,$H$13)/[1]!S_STM07_IS(D557,9,$G$5,$H$13),[1]!S_STM07_IS(D557,55,$G$5,$H$13)/$E$5))</f>
        <v/>
      </c>
      <c r="L557" s="249" t="str">
        <f ca="1">IF(C557="","",IF($L$11="ROA",[1]!S_STM07_IS(D557,61,$G$5,$H$13)/[1]!S_STM07_BS(D557,74,$G$5,$H$13),1-[1]!S_STM07_IS(D557,61,$G$5,$H$13)/[1]!S_STM07_IS(D557,55,$G$5,$H$13)))</f>
        <v/>
      </c>
      <c r="M557" s="249" t="str">
        <f ca="1">IF(C557="","",IF($M$11="ROE",[1]!S_STM07_IS(D557,61,$G$5,$H$13)/[1]!S_STM07_BS(D557,141,$G$5,$H$13),([1]!S_STM07_BS(D557,25,$G$5,$H$13)-[1]!S_STM07_BS(D557,93,$G$5,$H$13))/$E$5))</f>
        <v/>
      </c>
      <c r="N557" s="250" t="str">
        <f ca="1">IF(C557="","",IF($N$11="EPS",[1]!S_STM07_IS(D557,61,$G$5,$H$13)/IF([1]!S_SHARE_TOTAL(D557,$G$5)=0,[1]!S_SHARE_TOTAL(D557,[1]!s_ipo_listeddate(D557)),[1]!S_SHARE_TOTAL(D557,$G$5)),([1]!S_STM07_BS(D557,75,$G$5,$H$13)+[1]!S_STM07_BS(D557,88,$G$5,$H$13)+[1]!S_STM07_BS(D557,94,$G$5,$H$13)+[1]!S_STM07_BS(D557,95,$G$5,$H$13))/$E$5))</f>
        <v/>
      </c>
      <c r="O557" s="250" t="str">
        <f ca="1">IF(C557="","",IF($O$11="BPS",[1]!S_STM07_BS(D557,141,$G$5,$H$13)/IF([1]!S_SHARE_TOTAL(D557,$G$5)=0,[1]!S_SHARE_TOTAL(D557,[1]!s_ipo_listeddate(D557)),[1]!S_SHARE_TOTAL(D557,$G$5)),[1]!S_STM07_CS(D557,49,$G$5,$H$13)/$E$5))</f>
        <v/>
      </c>
      <c r="P557" s="250" t="str">
        <f ca="1">IF(C557="","",IF($P$11="CFPS",[1]!S_STM07_CS(D557,84,$G$5,$H$13)/IF([1]!S_SHARE_TOTAL(D557,$G$5)=0,[1]!S_SHARE_TOTAL(D557,[1]!s_ipo_listeddate(D557)),[1]!S_SHARE_TOTAL(D557,$G$5)),[1]!S_STM07_CS(D557,84,$G$5,$H$13)/$E$5))</f>
        <v/>
      </c>
      <c r="Q557" s="198" t="str">
        <f ca="1">IF(C557="","",F557/([1]!S_STM07_IS(D557,61,$G$5,$H$13)/IF([1]!S_SHARE_TOTAL(D557,$G$5)=0,[1]!S_SHARE_TOTAL(D557,[1]!s_ipo_listeddate(D557)),[1]!S_SHARE_TOTAL(D557,$G$5))))</f>
        <v/>
      </c>
      <c r="R557" s="198" t="str">
        <f ca="1">IF(C557="","",F557/([1]!S_STM07_BS(D557,141,$G$5,$H$13)/IF([1]!S_SHARE_TOTAL(D557,$G$5)=0,[1]!S_SHARE_TOTAL(D557,[1]!s_ipo_listeddate(D557)),[1]!S_SHARE_TOTAL(D557,$G$5))))</f>
        <v/>
      </c>
      <c r="S557" s="249" t="str">
        <f ca="1">IF(C557="","",[1]!S_SHARE_TOTAL(D557,TODAY())/$E$5)</f>
        <v/>
      </c>
      <c r="T557" s="249" t="str">
        <f t="shared" ca="1" si="61"/>
        <v/>
      </c>
      <c r="U557" s="172" t="str">
        <f t="shared" ca="1" si="62"/>
        <v/>
      </c>
      <c r="V557" s="343" t="str">
        <f t="shared" ca="1" si="63"/>
        <v/>
      </c>
      <c r="W557" s="139"/>
      <c r="Y557" s="1"/>
    </row>
    <row r="558" spans="3:25" ht="12" customHeight="1">
      <c r="C558" s="342" t="str">
        <f t="shared" ca="1" si="58"/>
        <v/>
      </c>
      <c r="D558" s="153" t="str">
        <f t="shared" ca="1" si="59"/>
        <v/>
      </c>
      <c r="E558" s="153" t="str">
        <f t="shared" ca="1" si="60"/>
        <v/>
      </c>
      <c r="F558" s="170" t="str">
        <f ca="1">IF(C558="","",[1]!S_DQ_CLOSE(D558,TODAY(),1))</f>
        <v/>
      </c>
      <c r="G558" s="171" t="str">
        <f ca="1">IF(C558="","",[1]!s_pq_pctchange(D558,TODAY()-$G$12,TODAY())/100)</f>
        <v/>
      </c>
      <c r="H558" s="247" t="str">
        <f ca="1">IF(C558="","",IF($H$11="收入",[1]!S_STM07_IS(D558,9,$G$5,$H$13)/$E$5,[1]!S_STM07_IS(D558,48,$G$5,$H$13)/$E$5))</f>
        <v/>
      </c>
      <c r="I558" s="247" t="str">
        <f ca="1">IF(C558="","",IF($I$11="毛利率",([1]!S_STM07_IS(D558,9,$G$5,$H$13)-[1]!S_STM07_IS(D558,10,$G$5,$H$13))/[1]!S_STM07_IS(D558,9,$G$5,$H$13),[1]!S_STM07_IS(D558,14,$G$5,$H$13)/$E$5))</f>
        <v/>
      </c>
      <c r="J558" s="247" t="str">
        <f ca="1">IF(C558="","",IF($J$11="营业利润率",[1]!S_STM07_IS(D558,48,$G$5,$H$13)/[1]!S_STM07_IS(D558,9,$G$5,$H$13),([1]!S_STM07_CS(D558,87,$G$5,$H$13)+[1]!S_STM07_CS(D558,88,$G$5,$H$13)+[1]!S_STM07_CS(D558,89,$G$5,$H$13))/$E$5))</f>
        <v/>
      </c>
      <c r="K558" s="247" t="str">
        <f ca="1">IF(C558="","",IF($K$11="净利润率",[1]!S_STM07_IS(D558,61,$G$5,$H$13)/[1]!S_STM07_IS(D558,9,$G$5,$H$13),[1]!S_STM07_IS(D558,55,$G$5,$H$13)/$E$5))</f>
        <v/>
      </c>
      <c r="L558" s="247" t="str">
        <f ca="1">IF(C558="","",IF($L$11="ROA",[1]!S_STM07_IS(D558,61,$G$5,$H$13)/[1]!S_STM07_BS(D558,74,$G$5,$H$13),1-[1]!S_STM07_IS(D558,61,$G$5,$H$13)/[1]!S_STM07_IS(D558,55,$G$5,$H$13)))</f>
        <v/>
      </c>
      <c r="M558" s="247" t="str">
        <f ca="1">IF(C558="","",IF($M$11="ROE",[1]!S_STM07_IS(D558,61,$G$5,$H$13)/[1]!S_STM07_BS(D558,141,$G$5,$H$13),([1]!S_STM07_BS(D558,25,$G$5,$H$13)-[1]!S_STM07_BS(D558,93,$G$5,$H$13))/$E$5))</f>
        <v/>
      </c>
      <c r="N558" s="247" t="str">
        <f ca="1">IF(C558="","",IF($N$11="EPS",[1]!S_STM07_IS(D558,61,$G$5,$H$13)/IF([1]!S_SHARE_TOTAL(D558,$G$5)=0,[1]!S_SHARE_TOTAL(D558,[1]!s_ipo_listeddate(D558)),[1]!S_SHARE_TOTAL(D558,$G$5)),([1]!S_STM07_BS(D558,75,$G$5,$H$13)+[1]!S_STM07_BS(D558,88,$G$5,$H$13)+[1]!S_STM07_BS(D558,94,$G$5,$H$13)+[1]!S_STM07_BS(D558,95,$G$5,$H$13))/$E$5))</f>
        <v/>
      </c>
      <c r="O558" s="247" t="str">
        <f ca="1">IF(C558="","",IF($O$11="BPS",[1]!S_STM07_BS(D558,141,$G$5,$H$13)/IF([1]!S_SHARE_TOTAL(D558,$G$5)=0,[1]!S_SHARE_TOTAL(D558,[1]!s_ipo_listeddate(D558)),[1]!S_SHARE_TOTAL(D558,$G$5)),[1]!S_STM07_CS(D558,49,$G$5,$H$13)/$E$5))</f>
        <v/>
      </c>
      <c r="P558" s="247" t="str">
        <f ca="1">IF(C558="","",IF($P$11="CFPS",[1]!S_STM07_CS(D558,84,$G$5,$H$13)/IF([1]!S_SHARE_TOTAL(D558,$G$5)=0,[1]!S_SHARE_TOTAL(D558,[1]!s_ipo_listeddate(D558)),[1]!S_SHARE_TOTAL(D558,$G$5)),[1]!S_STM07_CS(D558,84,$G$5,$H$13)/$E$5))</f>
        <v/>
      </c>
      <c r="Q558" s="248" t="str">
        <f ca="1">IF(C558="","",F558/([1]!S_STM07_IS(D558,61,$G$5,$H$13)/IF([1]!S_SHARE_TOTAL(D558,$G$5)=0,[1]!S_SHARE_TOTAL(D558,[1]!s_ipo_listeddate(D558)),[1]!S_SHARE_TOTAL(D558,$G$5))))</f>
        <v/>
      </c>
      <c r="R558" s="248" t="str">
        <f ca="1">IF(C558="","",F558/([1]!S_STM07_BS(D558,141,$G$5,$H$13)/IF([1]!S_SHARE_TOTAL(D558,$G$5)=0,[1]!S_SHARE_TOTAL(D558,[1]!s_ipo_listeddate(D558)),[1]!S_SHARE_TOTAL(D558,$G$5))))</f>
        <v/>
      </c>
      <c r="S558" s="247" t="str">
        <f ca="1">IF(C558="","",[1]!S_SHARE_TOTAL(D558,TODAY())/$E$5)</f>
        <v/>
      </c>
      <c r="T558" s="247" t="str">
        <f t="shared" ca="1" si="61"/>
        <v/>
      </c>
      <c r="U558" s="218" t="str">
        <f t="shared" ca="1" si="62"/>
        <v/>
      </c>
      <c r="V558" s="342" t="str">
        <f t="shared" ca="1" si="63"/>
        <v/>
      </c>
      <c r="W558" s="139"/>
      <c r="Y558" s="1"/>
    </row>
    <row r="559" spans="3:25" ht="12" customHeight="1">
      <c r="C559" s="343" t="str">
        <f t="shared" ca="1" si="58"/>
        <v/>
      </c>
      <c r="D559" s="124" t="str">
        <f t="shared" ca="1" si="59"/>
        <v/>
      </c>
      <c r="E559" s="124" t="str">
        <f t="shared" ca="1" si="60"/>
        <v/>
      </c>
      <c r="F559" s="172" t="str">
        <f ca="1">IF(C559="","",[1]!S_DQ_CLOSE(D559,TODAY(),1))</f>
        <v/>
      </c>
      <c r="G559" s="173" t="str">
        <f ca="1">IF(C559="","",[1]!s_pq_pctchange(D559,TODAY()-$G$12,TODAY())/100)</f>
        <v/>
      </c>
      <c r="H559" s="249" t="str">
        <f ca="1">IF(C559="","",IF($H$11="收入",[1]!S_STM07_IS(D559,9,$G$5,$H$13)/$E$5,[1]!S_STM07_IS(D559,48,$G$5,$H$13)/$E$5))</f>
        <v/>
      </c>
      <c r="I559" s="249" t="str">
        <f ca="1">IF(C559="","",IF($I$11="毛利率",([1]!S_STM07_IS(D559,9,$G$5,$H$13)-[1]!S_STM07_IS(D559,10,$G$5,$H$13))/[1]!S_STM07_IS(D559,9,$G$5,$H$13),[1]!S_STM07_IS(D559,14,$G$5,$H$13)/$E$5))</f>
        <v/>
      </c>
      <c r="J559" s="249" t="str">
        <f ca="1">IF(C559="","",IF($J$11="营业利润率",[1]!S_STM07_IS(D559,48,$G$5,$H$13)/[1]!S_STM07_IS(D559,9,$G$5,$H$13),([1]!S_STM07_CS(D559,87,$G$5,$H$13)+[1]!S_STM07_CS(D559,88,$G$5,$H$13)+[1]!S_STM07_CS(D559,89,$G$5,$H$13))/$E$5))</f>
        <v/>
      </c>
      <c r="K559" s="249" t="str">
        <f ca="1">IF(C559="","",IF($K$11="净利润率",[1]!S_STM07_IS(D559,61,$G$5,$H$13)/[1]!S_STM07_IS(D559,9,$G$5,$H$13),[1]!S_STM07_IS(D559,55,$G$5,$H$13)/$E$5))</f>
        <v/>
      </c>
      <c r="L559" s="249" t="str">
        <f ca="1">IF(C559="","",IF($L$11="ROA",[1]!S_STM07_IS(D559,61,$G$5,$H$13)/[1]!S_STM07_BS(D559,74,$G$5,$H$13),1-[1]!S_STM07_IS(D559,61,$G$5,$H$13)/[1]!S_STM07_IS(D559,55,$G$5,$H$13)))</f>
        <v/>
      </c>
      <c r="M559" s="249" t="str">
        <f ca="1">IF(C559="","",IF($M$11="ROE",[1]!S_STM07_IS(D559,61,$G$5,$H$13)/[1]!S_STM07_BS(D559,141,$G$5,$H$13),([1]!S_STM07_BS(D559,25,$G$5,$H$13)-[1]!S_STM07_BS(D559,93,$G$5,$H$13))/$E$5))</f>
        <v/>
      </c>
      <c r="N559" s="250" t="str">
        <f ca="1">IF(C559="","",IF($N$11="EPS",[1]!S_STM07_IS(D559,61,$G$5,$H$13)/IF([1]!S_SHARE_TOTAL(D559,$G$5)=0,[1]!S_SHARE_TOTAL(D559,[1]!s_ipo_listeddate(D559)),[1]!S_SHARE_TOTAL(D559,$G$5)),([1]!S_STM07_BS(D559,75,$G$5,$H$13)+[1]!S_STM07_BS(D559,88,$G$5,$H$13)+[1]!S_STM07_BS(D559,94,$G$5,$H$13)+[1]!S_STM07_BS(D559,95,$G$5,$H$13))/$E$5))</f>
        <v/>
      </c>
      <c r="O559" s="250" t="str">
        <f ca="1">IF(C559="","",IF($O$11="BPS",[1]!S_STM07_BS(D559,141,$G$5,$H$13)/IF([1]!S_SHARE_TOTAL(D559,$G$5)=0,[1]!S_SHARE_TOTAL(D559,[1]!s_ipo_listeddate(D559)),[1]!S_SHARE_TOTAL(D559,$G$5)),[1]!S_STM07_CS(D559,49,$G$5,$H$13)/$E$5))</f>
        <v/>
      </c>
      <c r="P559" s="250" t="str">
        <f ca="1">IF(C559="","",IF($P$11="CFPS",[1]!S_STM07_CS(D559,84,$G$5,$H$13)/IF([1]!S_SHARE_TOTAL(D559,$G$5)=0,[1]!S_SHARE_TOTAL(D559,[1]!s_ipo_listeddate(D559)),[1]!S_SHARE_TOTAL(D559,$G$5)),[1]!S_STM07_CS(D559,84,$G$5,$H$13)/$E$5))</f>
        <v/>
      </c>
      <c r="Q559" s="198" t="str">
        <f ca="1">IF(C559="","",F559/([1]!S_STM07_IS(D559,61,$G$5,$H$13)/IF([1]!S_SHARE_TOTAL(D559,$G$5)=0,[1]!S_SHARE_TOTAL(D559,[1]!s_ipo_listeddate(D559)),[1]!S_SHARE_TOTAL(D559,$G$5))))</f>
        <v/>
      </c>
      <c r="R559" s="198" t="str">
        <f ca="1">IF(C559="","",F559/([1]!S_STM07_BS(D559,141,$G$5,$H$13)/IF([1]!S_SHARE_TOTAL(D559,$G$5)=0,[1]!S_SHARE_TOTAL(D559,[1]!s_ipo_listeddate(D559)),[1]!S_SHARE_TOTAL(D559,$G$5))))</f>
        <v/>
      </c>
      <c r="S559" s="249" t="str">
        <f ca="1">IF(C559="","",[1]!S_SHARE_TOTAL(D559,TODAY())/$E$5)</f>
        <v/>
      </c>
      <c r="T559" s="249" t="str">
        <f t="shared" ca="1" si="61"/>
        <v/>
      </c>
      <c r="U559" s="172" t="str">
        <f t="shared" ca="1" si="62"/>
        <v/>
      </c>
      <c r="V559" s="343" t="str">
        <f t="shared" ca="1" si="63"/>
        <v/>
      </c>
      <c r="W559" s="139"/>
      <c r="Y559" s="1"/>
    </row>
    <row r="560" spans="3:25" ht="12" customHeight="1">
      <c r="C560" s="342" t="str">
        <f t="shared" ca="1" si="58"/>
        <v/>
      </c>
      <c r="D560" s="153" t="str">
        <f t="shared" ca="1" si="59"/>
        <v/>
      </c>
      <c r="E560" s="153" t="str">
        <f t="shared" ca="1" si="60"/>
        <v/>
      </c>
      <c r="F560" s="170" t="str">
        <f ca="1">IF(C560="","",[1]!S_DQ_CLOSE(D560,TODAY(),1))</f>
        <v/>
      </c>
      <c r="G560" s="171" t="str">
        <f ca="1">IF(C560="","",[1]!s_pq_pctchange(D560,TODAY()-$G$12,TODAY())/100)</f>
        <v/>
      </c>
      <c r="H560" s="247" t="str">
        <f ca="1">IF(C560="","",IF($H$11="收入",[1]!S_STM07_IS(D560,9,$G$5,$H$13)/$E$5,[1]!S_STM07_IS(D560,48,$G$5,$H$13)/$E$5))</f>
        <v/>
      </c>
      <c r="I560" s="247" t="str">
        <f ca="1">IF(C560="","",IF($I$11="毛利率",([1]!S_STM07_IS(D560,9,$G$5,$H$13)-[1]!S_STM07_IS(D560,10,$G$5,$H$13))/[1]!S_STM07_IS(D560,9,$G$5,$H$13),[1]!S_STM07_IS(D560,14,$G$5,$H$13)/$E$5))</f>
        <v/>
      </c>
      <c r="J560" s="247" t="str">
        <f ca="1">IF(C560="","",IF($J$11="营业利润率",[1]!S_STM07_IS(D560,48,$G$5,$H$13)/[1]!S_STM07_IS(D560,9,$G$5,$H$13),([1]!S_STM07_CS(D560,87,$G$5,$H$13)+[1]!S_STM07_CS(D560,88,$G$5,$H$13)+[1]!S_STM07_CS(D560,89,$G$5,$H$13))/$E$5))</f>
        <v/>
      </c>
      <c r="K560" s="247" t="str">
        <f ca="1">IF(C560="","",IF($K$11="净利润率",[1]!S_STM07_IS(D560,61,$G$5,$H$13)/[1]!S_STM07_IS(D560,9,$G$5,$H$13),[1]!S_STM07_IS(D560,55,$G$5,$H$13)/$E$5))</f>
        <v/>
      </c>
      <c r="L560" s="247" t="str">
        <f ca="1">IF(C560="","",IF($L$11="ROA",[1]!S_STM07_IS(D560,61,$G$5,$H$13)/[1]!S_STM07_BS(D560,74,$G$5,$H$13),1-[1]!S_STM07_IS(D560,61,$G$5,$H$13)/[1]!S_STM07_IS(D560,55,$G$5,$H$13)))</f>
        <v/>
      </c>
      <c r="M560" s="247" t="str">
        <f ca="1">IF(C560="","",IF($M$11="ROE",[1]!S_STM07_IS(D560,61,$G$5,$H$13)/[1]!S_STM07_BS(D560,141,$G$5,$H$13),([1]!S_STM07_BS(D560,25,$G$5,$H$13)-[1]!S_STM07_BS(D560,93,$G$5,$H$13))/$E$5))</f>
        <v/>
      </c>
      <c r="N560" s="247" t="str">
        <f ca="1">IF(C560="","",IF($N$11="EPS",[1]!S_STM07_IS(D560,61,$G$5,$H$13)/IF([1]!S_SHARE_TOTAL(D560,$G$5)=0,[1]!S_SHARE_TOTAL(D560,[1]!s_ipo_listeddate(D560)),[1]!S_SHARE_TOTAL(D560,$G$5)),([1]!S_STM07_BS(D560,75,$G$5,$H$13)+[1]!S_STM07_BS(D560,88,$G$5,$H$13)+[1]!S_STM07_BS(D560,94,$G$5,$H$13)+[1]!S_STM07_BS(D560,95,$G$5,$H$13))/$E$5))</f>
        <v/>
      </c>
      <c r="O560" s="247" t="str">
        <f ca="1">IF(C560="","",IF($O$11="BPS",[1]!S_STM07_BS(D560,141,$G$5,$H$13)/IF([1]!S_SHARE_TOTAL(D560,$G$5)=0,[1]!S_SHARE_TOTAL(D560,[1]!s_ipo_listeddate(D560)),[1]!S_SHARE_TOTAL(D560,$G$5)),[1]!S_STM07_CS(D560,49,$G$5,$H$13)/$E$5))</f>
        <v/>
      </c>
      <c r="P560" s="247" t="str">
        <f ca="1">IF(C560="","",IF($P$11="CFPS",[1]!S_STM07_CS(D560,84,$G$5,$H$13)/IF([1]!S_SHARE_TOTAL(D560,$G$5)=0,[1]!S_SHARE_TOTAL(D560,[1]!s_ipo_listeddate(D560)),[1]!S_SHARE_TOTAL(D560,$G$5)),[1]!S_STM07_CS(D560,84,$G$5,$H$13)/$E$5))</f>
        <v/>
      </c>
      <c r="Q560" s="248" t="str">
        <f ca="1">IF(C560="","",F560/([1]!S_STM07_IS(D560,61,$G$5,$H$13)/IF([1]!S_SHARE_TOTAL(D560,$G$5)=0,[1]!S_SHARE_TOTAL(D560,[1]!s_ipo_listeddate(D560)),[1]!S_SHARE_TOTAL(D560,$G$5))))</f>
        <v/>
      </c>
      <c r="R560" s="248" t="str">
        <f ca="1">IF(C560="","",F560/([1]!S_STM07_BS(D560,141,$G$5,$H$13)/IF([1]!S_SHARE_TOTAL(D560,$G$5)=0,[1]!S_SHARE_TOTAL(D560,[1]!s_ipo_listeddate(D560)),[1]!S_SHARE_TOTAL(D560,$G$5))))</f>
        <v/>
      </c>
      <c r="S560" s="247" t="str">
        <f ca="1">IF(C560="","",[1]!S_SHARE_TOTAL(D560,TODAY())/$E$5)</f>
        <v/>
      </c>
      <c r="T560" s="247" t="str">
        <f t="shared" ca="1" si="61"/>
        <v/>
      </c>
      <c r="U560" s="218" t="str">
        <f t="shared" ca="1" si="62"/>
        <v/>
      </c>
      <c r="V560" s="342" t="str">
        <f t="shared" ca="1" si="63"/>
        <v/>
      </c>
      <c r="W560" s="139"/>
      <c r="Y560" s="1"/>
    </row>
    <row r="561" spans="3:25" ht="12" customHeight="1">
      <c r="C561" s="343" t="str">
        <f t="shared" ca="1" si="58"/>
        <v/>
      </c>
      <c r="D561" s="124" t="str">
        <f t="shared" ca="1" si="59"/>
        <v/>
      </c>
      <c r="E561" s="124" t="str">
        <f t="shared" ca="1" si="60"/>
        <v/>
      </c>
      <c r="F561" s="172" t="str">
        <f ca="1">IF(C561="","",[1]!S_DQ_CLOSE(D561,TODAY(),1))</f>
        <v/>
      </c>
      <c r="G561" s="173" t="str">
        <f ca="1">IF(C561="","",[1]!s_pq_pctchange(D561,TODAY()-$G$12,TODAY())/100)</f>
        <v/>
      </c>
      <c r="H561" s="249" t="str">
        <f ca="1">IF(C561="","",IF($H$11="收入",[1]!S_STM07_IS(D561,9,$G$5,$H$13)/$E$5,[1]!S_STM07_IS(D561,48,$G$5,$H$13)/$E$5))</f>
        <v/>
      </c>
      <c r="I561" s="249" t="str">
        <f ca="1">IF(C561="","",IF($I$11="毛利率",([1]!S_STM07_IS(D561,9,$G$5,$H$13)-[1]!S_STM07_IS(D561,10,$G$5,$H$13))/[1]!S_STM07_IS(D561,9,$G$5,$H$13),[1]!S_STM07_IS(D561,14,$G$5,$H$13)/$E$5))</f>
        <v/>
      </c>
      <c r="J561" s="249" t="str">
        <f ca="1">IF(C561="","",IF($J$11="营业利润率",[1]!S_STM07_IS(D561,48,$G$5,$H$13)/[1]!S_STM07_IS(D561,9,$G$5,$H$13),([1]!S_STM07_CS(D561,87,$G$5,$H$13)+[1]!S_STM07_CS(D561,88,$G$5,$H$13)+[1]!S_STM07_CS(D561,89,$G$5,$H$13))/$E$5))</f>
        <v/>
      </c>
      <c r="K561" s="249" t="str">
        <f ca="1">IF(C561="","",IF($K$11="净利润率",[1]!S_STM07_IS(D561,61,$G$5,$H$13)/[1]!S_STM07_IS(D561,9,$G$5,$H$13),[1]!S_STM07_IS(D561,55,$G$5,$H$13)/$E$5))</f>
        <v/>
      </c>
      <c r="L561" s="249" t="str">
        <f ca="1">IF(C561="","",IF($L$11="ROA",[1]!S_STM07_IS(D561,61,$G$5,$H$13)/[1]!S_STM07_BS(D561,74,$G$5,$H$13),1-[1]!S_STM07_IS(D561,61,$G$5,$H$13)/[1]!S_STM07_IS(D561,55,$G$5,$H$13)))</f>
        <v/>
      </c>
      <c r="M561" s="249" t="str">
        <f ca="1">IF(C561="","",IF($M$11="ROE",[1]!S_STM07_IS(D561,61,$G$5,$H$13)/[1]!S_STM07_BS(D561,141,$G$5,$H$13),([1]!S_STM07_BS(D561,25,$G$5,$H$13)-[1]!S_STM07_BS(D561,93,$G$5,$H$13))/$E$5))</f>
        <v/>
      </c>
      <c r="N561" s="250" t="str">
        <f ca="1">IF(C561="","",IF($N$11="EPS",[1]!S_STM07_IS(D561,61,$G$5,$H$13)/IF([1]!S_SHARE_TOTAL(D561,$G$5)=0,[1]!S_SHARE_TOTAL(D561,[1]!s_ipo_listeddate(D561)),[1]!S_SHARE_TOTAL(D561,$G$5)),([1]!S_STM07_BS(D561,75,$G$5,$H$13)+[1]!S_STM07_BS(D561,88,$G$5,$H$13)+[1]!S_STM07_BS(D561,94,$G$5,$H$13)+[1]!S_STM07_BS(D561,95,$G$5,$H$13))/$E$5))</f>
        <v/>
      </c>
      <c r="O561" s="250" t="str">
        <f ca="1">IF(C561="","",IF($O$11="BPS",[1]!S_STM07_BS(D561,141,$G$5,$H$13)/IF([1]!S_SHARE_TOTAL(D561,$G$5)=0,[1]!S_SHARE_TOTAL(D561,[1]!s_ipo_listeddate(D561)),[1]!S_SHARE_TOTAL(D561,$G$5)),[1]!S_STM07_CS(D561,49,$G$5,$H$13)/$E$5))</f>
        <v/>
      </c>
      <c r="P561" s="250" t="str">
        <f ca="1">IF(C561="","",IF($P$11="CFPS",[1]!S_STM07_CS(D561,84,$G$5,$H$13)/IF([1]!S_SHARE_TOTAL(D561,$G$5)=0,[1]!S_SHARE_TOTAL(D561,[1]!s_ipo_listeddate(D561)),[1]!S_SHARE_TOTAL(D561,$G$5)),[1]!S_STM07_CS(D561,84,$G$5,$H$13)/$E$5))</f>
        <v/>
      </c>
      <c r="Q561" s="198" t="str">
        <f ca="1">IF(C561="","",F561/([1]!S_STM07_IS(D561,61,$G$5,$H$13)/IF([1]!S_SHARE_TOTAL(D561,$G$5)=0,[1]!S_SHARE_TOTAL(D561,[1]!s_ipo_listeddate(D561)),[1]!S_SHARE_TOTAL(D561,$G$5))))</f>
        <v/>
      </c>
      <c r="R561" s="198" t="str">
        <f ca="1">IF(C561="","",F561/([1]!S_STM07_BS(D561,141,$G$5,$H$13)/IF([1]!S_SHARE_TOTAL(D561,$G$5)=0,[1]!S_SHARE_TOTAL(D561,[1]!s_ipo_listeddate(D561)),[1]!S_SHARE_TOTAL(D561,$G$5))))</f>
        <v/>
      </c>
      <c r="S561" s="249" t="str">
        <f ca="1">IF(C561="","",[1]!S_SHARE_TOTAL(D561,TODAY())/$E$5)</f>
        <v/>
      </c>
      <c r="T561" s="249" t="str">
        <f t="shared" ca="1" si="61"/>
        <v/>
      </c>
      <c r="U561" s="172" t="str">
        <f t="shared" ca="1" si="62"/>
        <v/>
      </c>
      <c r="V561" s="343" t="str">
        <f t="shared" ca="1" si="63"/>
        <v/>
      </c>
      <c r="W561" s="139"/>
      <c r="Y561" s="1"/>
    </row>
    <row r="562" spans="3:25" ht="12" customHeight="1">
      <c r="C562" s="342" t="str">
        <f t="shared" ca="1" si="58"/>
        <v/>
      </c>
      <c r="D562" s="153" t="str">
        <f t="shared" ca="1" si="59"/>
        <v/>
      </c>
      <c r="E562" s="153" t="str">
        <f t="shared" ca="1" si="60"/>
        <v/>
      </c>
      <c r="F562" s="170" t="str">
        <f ca="1">IF(C562="","",[1]!S_DQ_CLOSE(D562,TODAY(),1))</f>
        <v/>
      </c>
      <c r="G562" s="171" t="str">
        <f ca="1">IF(C562="","",[1]!s_pq_pctchange(D562,TODAY()-$G$12,TODAY())/100)</f>
        <v/>
      </c>
      <c r="H562" s="247" t="str">
        <f ca="1">IF(C562="","",IF($H$11="收入",[1]!S_STM07_IS(D562,9,$G$5,$H$13)/$E$5,[1]!S_STM07_IS(D562,48,$G$5,$H$13)/$E$5))</f>
        <v/>
      </c>
      <c r="I562" s="247" t="str">
        <f ca="1">IF(C562="","",IF($I$11="毛利率",([1]!S_STM07_IS(D562,9,$G$5,$H$13)-[1]!S_STM07_IS(D562,10,$G$5,$H$13))/[1]!S_STM07_IS(D562,9,$G$5,$H$13),[1]!S_STM07_IS(D562,14,$G$5,$H$13)/$E$5))</f>
        <v/>
      </c>
      <c r="J562" s="247" t="str">
        <f ca="1">IF(C562="","",IF($J$11="营业利润率",[1]!S_STM07_IS(D562,48,$G$5,$H$13)/[1]!S_STM07_IS(D562,9,$G$5,$H$13),([1]!S_STM07_CS(D562,87,$G$5,$H$13)+[1]!S_STM07_CS(D562,88,$G$5,$H$13)+[1]!S_STM07_CS(D562,89,$G$5,$H$13))/$E$5))</f>
        <v/>
      </c>
      <c r="K562" s="247" t="str">
        <f ca="1">IF(C562="","",IF($K$11="净利润率",[1]!S_STM07_IS(D562,61,$G$5,$H$13)/[1]!S_STM07_IS(D562,9,$G$5,$H$13),[1]!S_STM07_IS(D562,55,$G$5,$H$13)/$E$5))</f>
        <v/>
      </c>
      <c r="L562" s="247" t="str">
        <f ca="1">IF(C562="","",IF($L$11="ROA",[1]!S_STM07_IS(D562,61,$G$5,$H$13)/[1]!S_STM07_BS(D562,74,$G$5,$H$13),1-[1]!S_STM07_IS(D562,61,$G$5,$H$13)/[1]!S_STM07_IS(D562,55,$G$5,$H$13)))</f>
        <v/>
      </c>
      <c r="M562" s="247" t="str">
        <f ca="1">IF(C562="","",IF($M$11="ROE",[1]!S_STM07_IS(D562,61,$G$5,$H$13)/[1]!S_STM07_BS(D562,141,$G$5,$H$13),([1]!S_STM07_BS(D562,25,$G$5,$H$13)-[1]!S_STM07_BS(D562,93,$G$5,$H$13))/$E$5))</f>
        <v/>
      </c>
      <c r="N562" s="247" t="str">
        <f ca="1">IF(C562="","",IF($N$11="EPS",[1]!S_STM07_IS(D562,61,$G$5,$H$13)/IF([1]!S_SHARE_TOTAL(D562,$G$5)=0,[1]!S_SHARE_TOTAL(D562,[1]!s_ipo_listeddate(D562)),[1]!S_SHARE_TOTAL(D562,$G$5)),([1]!S_STM07_BS(D562,75,$G$5,$H$13)+[1]!S_STM07_BS(D562,88,$G$5,$H$13)+[1]!S_STM07_BS(D562,94,$G$5,$H$13)+[1]!S_STM07_BS(D562,95,$G$5,$H$13))/$E$5))</f>
        <v/>
      </c>
      <c r="O562" s="247" t="str">
        <f ca="1">IF(C562="","",IF($O$11="BPS",[1]!S_STM07_BS(D562,141,$G$5,$H$13)/IF([1]!S_SHARE_TOTAL(D562,$G$5)=0,[1]!S_SHARE_TOTAL(D562,[1]!s_ipo_listeddate(D562)),[1]!S_SHARE_TOTAL(D562,$G$5)),[1]!S_STM07_CS(D562,49,$G$5,$H$13)/$E$5))</f>
        <v/>
      </c>
      <c r="P562" s="247" t="str">
        <f ca="1">IF(C562="","",IF($P$11="CFPS",[1]!S_STM07_CS(D562,84,$G$5,$H$13)/IF([1]!S_SHARE_TOTAL(D562,$G$5)=0,[1]!S_SHARE_TOTAL(D562,[1]!s_ipo_listeddate(D562)),[1]!S_SHARE_TOTAL(D562,$G$5)),[1]!S_STM07_CS(D562,84,$G$5,$H$13)/$E$5))</f>
        <v/>
      </c>
      <c r="Q562" s="248" t="str">
        <f ca="1">IF(C562="","",F562/([1]!S_STM07_IS(D562,61,$G$5,$H$13)/IF([1]!S_SHARE_TOTAL(D562,$G$5)=0,[1]!S_SHARE_TOTAL(D562,[1]!s_ipo_listeddate(D562)),[1]!S_SHARE_TOTAL(D562,$G$5))))</f>
        <v/>
      </c>
      <c r="R562" s="248" t="str">
        <f ca="1">IF(C562="","",F562/([1]!S_STM07_BS(D562,141,$G$5,$H$13)/IF([1]!S_SHARE_TOTAL(D562,$G$5)=0,[1]!S_SHARE_TOTAL(D562,[1]!s_ipo_listeddate(D562)),[1]!S_SHARE_TOTAL(D562,$G$5))))</f>
        <v/>
      </c>
      <c r="S562" s="247" t="str">
        <f ca="1">IF(C562="","",[1]!S_SHARE_TOTAL(D562,TODAY())/$E$5)</f>
        <v/>
      </c>
      <c r="T562" s="247" t="str">
        <f t="shared" ca="1" si="61"/>
        <v/>
      </c>
      <c r="U562" s="218" t="str">
        <f t="shared" ca="1" si="62"/>
        <v/>
      </c>
      <c r="V562" s="342" t="str">
        <f t="shared" ca="1" si="63"/>
        <v/>
      </c>
      <c r="W562" s="139"/>
      <c r="Y562" s="1"/>
    </row>
    <row r="563" spans="3:25" ht="12" customHeight="1">
      <c r="C563" s="343" t="str">
        <f t="shared" ca="1" si="58"/>
        <v/>
      </c>
      <c r="D563" s="124" t="str">
        <f t="shared" ca="1" si="59"/>
        <v/>
      </c>
      <c r="E563" s="124" t="str">
        <f t="shared" ca="1" si="60"/>
        <v/>
      </c>
      <c r="F563" s="172" t="str">
        <f ca="1">IF(C563="","",[1]!S_DQ_CLOSE(D563,TODAY(),1))</f>
        <v/>
      </c>
      <c r="G563" s="173" t="str">
        <f ca="1">IF(C563="","",[1]!s_pq_pctchange(D563,TODAY()-$G$12,TODAY())/100)</f>
        <v/>
      </c>
      <c r="H563" s="249" t="str">
        <f ca="1">IF(C563="","",IF($H$11="收入",[1]!S_STM07_IS(D563,9,$G$5,$H$13)/$E$5,[1]!S_STM07_IS(D563,48,$G$5,$H$13)/$E$5))</f>
        <v/>
      </c>
      <c r="I563" s="249" t="str">
        <f ca="1">IF(C563="","",IF($I$11="毛利率",([1]!S_STM07_IS(D563,9,$G$5,$H$13)-[1]!S_STM07_IS(D563,10,$G$5,$H$13))/[1]!S_STM07_IS(D563,9,$G$5,$H$13),[1]!S_STM07_IS(D563,14,$G$5,$H$13)/$E$5))</f>
        <v/>
      </c>
      <c r="J563" s="249" t="str">
        <f ca="1">IF(C563="","",IF($J$11="营业利润率",[1]!S_STM07_IS(D563,48,$G$5,$H$13)/[1]!S_STM07_IS(D563,9,$G$5,$H$13),([1]!S_STM07_CS(D563,87,$G$5,$H$13)+[1]!S_STM07_CS(D563,88,$G$5,$H$13)+[1]!S_STM07_CS(D563,89,$G$5,$H$13))/$E$5))</f>
        <v/>
      </c>
      <c r="K563" s="249" t="str">
        <f ca="1">IF(C563="","",IF($K$11="净利润率",[1]!S_STM07_IS(D563,61,$G$5,$H$13)/[1]!S_STM07_IS(D563,9,$G$5,$H$13),[1]!S_STM07_IS(D563,55,$G$5,$H$13)/$E$5))</f>
        <v/>
      </c>
      <c r="L563" s="249" t="str">
        <f ca="1">IF(C563="","",IF($L$11="ROA",[1]!S_STM07_IS(D563,61,$G$5,$H$13)/[1]!S_STM07_BS(D563,74,$G$5,$H$13),1-[1]!S_STM07_IS(D563,61,$G$5,$H$13)/[1]!S_STM07_IS(D563,55,$G$5,$H$13)))</f>
        <v/>
      </c>
      <c r="M563" s="249" t="str">
        <f ca="1">IF(C563="","",IF($M$11="ROE",[1]!S_STM07_IS(D563,61,$G$5,$H$13)/[1]!S_STM07_BS(D563,141,$G$5,$H$13),([1]!S_STM07_BS(D563,25,$G$5,$H$13)-[1]!S_STM07_BS(D563,93,$G$5,$H$13))/$E$5))</f>
        <v/>
      </c>
      <c r="N563" s="250" t="str">
        <f ca="1">IF(C563="","",IF($N$11="EPS",[1]!S_STM07_IS(D563,61,$G$5,$H$13)/IF([1]!S_SHARE_TOTAL(D563,$G$5)=0,[1]!S_SHARE_TOTAL(D563,[1]!s_ipo_listeddate(D563)),[1]!S_SHARE_TOTAL(D563,$G$5)),([1]!S_STM07_BS(D563,75,$G$5,$H$13)+[1]!S_STM07_BS(D563,88,$G$5,$H$13)+[1]!S_STM07_BS(D563,94,$G$5,$H$13)+[1]!S_STM07_BS(D563,95,$G$5,$H$13))/$E$5))</f>
        <v/>
      </c>
      <c r="O563" s="250" t="str">
        <f ca="1">IF(C563="","",IF($O$11="BPS",[1]!S_STM07_BS(D563,141,$G$5,$H$13)/IF([1]!S_SHARE_TOTAL(D563,$G$5)=0,[1]!S_SHARE_TOTAL(D563,[1]!s_ipo_listeddate(D563)),[1]!S_SHARE_TOTAL(D563,$G$5)),[1]!S_STM07_CS(D563,49,$G$5,$H$13)/$E$5))</f>
        <v/>
      </c>
      <c r="P563" s="250" t="str">
        <f ca="1">IF(C563="","",IF($P$11="CFPS",[1]!S_STM07_CS(D563,84,$G$5,$H$13)/IF([1]!S_SHARE_TOTAL(D563,$G$5)=0,[1]!S_SHARE_TOTAL(D563,[1]!s_ipo_listeddate(D563)),[1]!S_SHARE_TOTAL(D563,$G$5)),[1]!S_STM07_CS(D563,84,$G$5,$H$13)/$E$5))</f>
        <v/>
      </c>
      <c r="Q563" s="198" t="str">
        <f ca="1">IF(C563="","",F563/([1]!S_STM07_IS(D563,61,$G$5,$H$13)/IF([1]!S_SHARE_TOTAL(D563,$G$5)=0,[1]!S_SHARE_TOTAL(D563,[1]!s_ipo_listeddate(D563)),[1]!S_SHARE_TOTAL(D563,$G$5))))</f>
        <v/>
      </c>
      <c r="R563" s="198" t="str">
        <f ca="1">IF(C563="","",F563/([1]!S_STM07_BS(D563,141,$G$5,$H$13)/IF([1]!S_SHARE_TOTAL(D563,$G$5)=0,[1]!S_SHARE_TOTAL(D563,[1]!s_ipo_listeddate(D563)),[1]!S_SHARE_TOTAL(D563,$G$5))))</f>
        <v/>
      </c>
      <c r="S563" s="249" t="str">
        <f ca="1">IF(C563="","",[1]!S_SHARE_TOTAL(D563,TODAY())/$E$5)</f>
        <v/>
      </c>
      <c r="T563" s="249" t="str">
        <f t="shared" ca="1" si="61"/>
        <v/>
      </c>
      <c r="U563" s="172" t="str">
        <f t="shared" ca="1" si="62"/>
        <v/>
      </c>
      <c r="V563" s="343" t="str">
        <f t="shared" ca="1" si="63"/>
        <v/>
      </c>
      <c r="W563" s="139"/>
      <c r="Y563" s="1"/>
    </row>
    <row r="564" spans="3:25" ht="12" customHeight="1">
      <c r="C564" s="342" t="str">
        <f t="shared" ca="1" si="58"/>
        <v/>
      </c>
      <c r="D564" s="153" t="str">
        <f t="shared" ca="1" si="59"/>
        <v/>
      </c>
      <c r="E564" s="153" t="str">
        <f t="shared" ca="1" si="60"/>
        <v/>
      </c>
      <c r="F564" s="170" t="str">
        <f ca="1">IF(C564="","",[1]!S_DQ_CLOSE(D564,TODAY(),1))</f>
        <v/>
      </c>
      <c r="G564" s="171" t="str">
        <f ca="1">IF(C564="","",[1]!s_pq_pctchange(D564,TODAY()-$G$12,TODAY())/100)</f>
        <v/>
      </c>
      <c r="H564" s="247" t="str">
        <f ca="1">IF(C564="","",IF($H$11="收入",[1]!S_STM07_IS(D564,9,$G$5,$H$13)/$E$5,[1]!S_STM07_IS(D564,48,$G$5,$H$13)/$E$5))</f>
        <v/>
      </c>
      <c r="I564" s="247" t="str">
        <f ca="1">IF(C564="","",IF($I$11="毛利率",([1]!S_STM07_IS(D564,9,$G$5,$H$13)-[1]!S_STM07_IS(D564,10,$G$5,$H$13))/[1]!S_STM07_IS(D564,9,$G$5,$H$13),[1]!S_STM07_IS(D564,14,$G$5,$H$13)/$E$5))</f>
        <v/>
      </c>
      <c r="J564" s="247" t="str">
        <f ca="1">IF(C564="","",IF($J$11="营业利润率",[1]!S_STM07_IS(D564,48,$G$5,$H$13)/[1]!S_STM07_IS(D564,9,$G$5,$H$13),([1]!S_STM07_CS(D564,87,$G$5,$H$13)+[1]!S_STM07_CS(D564,88,$G$5,$H$13)+[1]!S_STM07_CS(D564,89,$G$5,$H$13))/$E$5))</f>
        <v/>
      </c>
      <c r="K564" s="247" t="str">
        <f ca="1">IF(C564="","",IF($K$11="净利润率",[1]!S_STM07_IS(D564,61,$G$5,$H$13)/[1]!S_STM07_IS(D564,9,$G$5,$H$13),[1]!S_STM07_IS(D564,55,$G$5,$H$13)/$E$5))</f>
        <v/>
      </c>
      <c r="L564" s="247" t="str">
        <f ca="1">IF(C564="","",IF($L$11="ROA",[1]!S_STM07_IS(D564,61,$G$5,$H$13)/[1]!S_STM07_BS(D564,74,$G$5,$H$13),1-[1]!S_STM07_IS(D564,61,$G$5,$H$13)/[1]!S_STM07_IS(D564,55,$G$5,$H$13)))</f>
        <v/>
      </c>
      <c r="M564" s="247" t="str">
        <f ca="1">IF(C564="","",IF($M$11="ROE",[1]!S_STM07_IS(D564,61,$G$5,$H$13)/[1]!S_STM07_BS(D564,141,$G$5,$H$13),([1]!S_STM07_BS(D564,25,$G$5,$H$13)-[1]!S_STM07_BS(D564,93,$G$5,$H$13))/$E$5))</f>
        <v/>
      </c>
      <c r="N564" s="247" t="str">
        <f ca="1">IF(C564="","",IF($N$11="EPS",[1]!S_STM07_IS(D564,61,$G$5,$H$13)/IF([1]!S_SHARE_TOTAL(D564,$G$5)=0,[1]!S_SHARE_TOTAL(D564,[1]!s_ipo_listeddate(D564)),[1]!S_SHARE_TOTAL(D564,$G$5)),([1]!S_STM07_BS(D564,75,$G$5,$H$13)+[1]!S_STM07_BS(D564,88,$G$5,$H$13)+[1]!S_STM07_BS(D564,94,$G$5,$H$13)+[1]!S_STM07_BS(D564,95,$G$5,$H$13))/$E$5))</f>
        <v/>
      </c>
      <c r="O564" s="247" t="str">
        <f ca="1">IF(C564="","",IF($O$11="BPS",[1]!S_STM07_BS(D564,141,$G$5,$H$13)/IF([1]!S_SHARE_TOTAL(D564,$G$5)=0,[1]!S_SHARE_TOTAL(D564,[1]!s_ipo_listeddate(D564)),[1]!S_SHARE_TOTAL(D564,$G$5)),[1]!S_STM07_CS(D564,49,$G$5,$H$13)/$E$5))</f>
        <v/>
      </c>
      <c r="P564" s="247" t="str">
        <f ca="1">IF(C564="","",IF($P$11="CFPS",[1]!S_STM07_CS(D564,84,$G$5,$H$13)/IF([1]!S_SHARE_TOTAL(D564,$G$5)=0,[1]!S_SHARE_TOTAL(D564,[1]!s_ipo_listeddate(D564)),[1]!S_SHARE_TOTAL(D564,$G$5)),[1]!S_STM07_CS(D564,84,$G$5,$H$13)/$E$5))</f>
        <v/>
      </c>
      <c r="Q564" s="248" t="str">
        <f ca="1">IF(C564="","",F564/([1]!S_STM07_IS(D564,61,$G$5,$H$13)/IF([1]!S_SHARE_TOTAL(D564,$G$5)=0,[1]!S_SHARE_TOTAL(D564,[1]!s_ipo_listeddate(D564)),[1]!S_SHARE_TOTAL(D564,$G$5))))</f>
        <v/>
      </c>
      <c r="R564" s="248" t="str">
        <f ca="1">IF(C564="","",F564/([1]!S_STM07_BS(D564,141,$G$5,$H$13)/IF([1]!S_SHARE_TOTAL(D564,$G$5)=0,[1]!S_SHARE_TOTAL(D564,[1]!s_ipo_listeddate(D564)),[1]!S_SHARE_TOTAL(D564,$G$5))))</f>
        <v/>
      </c>
      <c r="S564" s="247" t="str">
        <f ca="1">IF(C564="","",[1]!S_SHARE_TOTAL(D564,TODAY())/$E$5)</f>
        <v/>
      </c>
      <c r="T564" s="247" t="str">
        <f t="shared" ca="1" si="61"/>
        <v/>
      </c>
      <c r="U564" s="218" t="str">
        <f t="shared" ca="1" si="62"/>
        <v/>
      </c>
      <c r="V564" s="342" t="str">
        <f t="shared" ca="1" si="63"/>
        <v/>
      </c>
      <c r="W564" s="139"/>
      <c r="Y564" s="1"/>
    </row>
    <row r="565" spans="3:25" ht="12" customHeight="1">
      <c r="C565" s="343" t="str">
        <f t="shared" ca="1" si="58"/>
        <v/>
      </c>
      <c r="D565" s="124" t="str">
        <f t="shared" ca="1" si="59"/>
        <v/>
      </c>
      <c r="E565" s="124" t="str">
        <f t="shared" ca="1" si="60"/>
        <v/>
      </c>
      <c r="F565" s="172" t="str">
        <f ca="1">IF(C565="","",[1]!S_DQ_CLOSE(D565,TODAY(),1))</f>
        <v/>
      </c>
      <c r="G565" s="173" t="str">
        <f ca="1">IF(C565="","",[1]!s_pq_pctchange(D565,TODAY()-$G$12,TODAY())/100)</f>
        <v/>
      </c>
      <c r="H565" s="249" t="str">
        <f ca="1">IF(C565="","",IF($H$11="收入",[1]!S_STM07_IS(D565,9,$G$5,$H$13)/$E$5,[1]!S_STM07_IS(D565,48,$G$5,$H$13)/$E$5))</f>
        <v/>
      </c>
      <c r="I565" s="249" t="str">
        <f ca="1">IF(C565="","",IF($I$11="毛利率",([1]!S_STM07_IS(D565,9,$G$5,$H$13)-[1]!S_STM07_IS(D565,10,$G$5,$H$13))/[1]!S_STM07_IS(D565,9,$G$5,$H$13),[1]!S_STM07_IS(D565,14,$G$5,$H$13)/$E$5))</f>
        <v/>
      </c>
      <c r="J565" s="249" t="str">
        <f ca="1">IF(C565="","",IF($J$11="营业利润率",[1]!S_STM07_IS(D565,48,$G$5,$H$13)/[1]!S_STM07_IS(D565,9,$G$5,$H$13),([1]!S_STM07_CS(D565,87,$G$5,$H$13)+[1]!S_STM07_CS(D565,88,$G$5,$H$13)+[1]!S_STM07_CS(D565,89,$G$5,$H$13))/$E$5))</f>
        <v/>
      </c>
      <c r="K565" s="249" t="str">
        <f ca="1">IF(C565="","",IF($K$11="净利润率",[1]!S_STM07_IS(D565,61,$G$5,$H$13)/[1]!S_STM07_IS(D565,9,$G$5,$H$13),[1]!S_STM07_IS(D565,55,$G$5,$H$13)/$E$5))</f>
        <v/>
      </c>
      <c r="L565" s="249" t="str">
        <f ca="1">IF(C565="","",IF($L$11="ROA",[1]!S_STM07_IS(D565,61,$G$5,$H$13)/[1]!S_STM07_BS(D565,74,$G$5,$H$13),1-[1]!S_STM07_IS(D565,61,$G$5,$H$13)/[1]!S_STM07_IS(D565,55,$G$5,$H$13)))</f>
        <v/>
      </c>
      <c r="M565" s="249" t="str">
        <f ca="1">IF(C565="","",IF($M$11="ROE",[1]!S_STM07_IS(D565,61,$G$5,$H$13)/[1]!S_STM07_BS(D565,141,$G$5,$H$13),([1]!S_STM07_BS(D565,25,$G$5,$H$13)-[1]!S_STM07_BS(D565,93,$G$5,$H$13))/$E$5))</f>
        <v/>
      </c>
      <c r="N565" s="250" t="str">
        <f ca="1">IF(C565="","",IF($N$11="EPS",[1]!S_STM07_IS(D565,61,$G$5,$H$13)/IF([1]!S_SHARE_TOTAL(D565,$G$5)=0,[1]!S_SHARE_TOTAL(D565,[1]!s_ipo_listeddate(D565)),[1]!S_SHARE_TOTAL(D565,$G$5)),([1]!S_STM07_BS(D565,75,$G$5,$H$13)+[1]!S_STM07_BS(D565,88,$G$5,$H$13)+[1]!S_STM07_BS(D565,94,$G$5,$H$13)+[1]!S_STM07_BS(D565,95,$G$5,$H$13))/$E$5))</f>
        <v/>
      </c>
      <c r="O565" s="250" t="str">
        <f ca="1">IF(C565="","",IF($O$11="BPS",[1]!S_STM07_BS(D565,141,$G$5,$H$13)/IF([1]!S_SHARE_TOTAL(D565,$G$5)=0,[1]!S_SHARE_TOTAL(D565,[1]!s_ipo_listeddate(D565)),[1]!S_SHARE_TOTAL(D565,$G$5)),[1]!S_STM07_CS(D565,49,$G$5,$H$13)/$E$5))</f>
        <v/>
      </c>
      <c r="P565" s="250" t="str">
        <f ca="1">IF(C565="","",IF($P$11="CFPS",[1]!S_STM07_CS(D565,84,$G$5,$H$13)/IF([1]!S_SHARE_TOTAL(D565,$G$5)=0,[1]!S_SHARE_TOTAL(D565,[1]!s_ipo_listeddate(D565)),[1]!S_SHARE_TOTAL(D565,$G$5)),[1]!S_STM07_CS(D565,84,$G$5,$H$13)/$E$5))</f>
        <v/>
      </c>
      <c r="Q565" s="198" t="str">
        <f ca="1">IF(C565="","",F565/([1]!S_STM07_IS(D565,61,$G$5,$H$13)/IF([1]!S_SHARE_TOTAL(D565,$G$5)=0,[1]!S_SHARE_TOTAL(D565,[1]!s_ipo_listeddate(D565)),[1]!S_SHARE_TOTAL(D565,$G$5))))</f>
        <v/>
      </c>
      <c r="R565" s="198" t="str">
        <f ca="1">IF(C565="","",F565/([1]!S_STM07_BS(D565,141,$G$5,$H$13)/IF([1]!S_SHARE_TOTAL(D565,$G$5)=0,[1]!S_SHARE_TOTAL(D565,[1]!s_ipo_listeddate(D565)),[1]!S_SHARE_TOTAL(D565,$G$5))))</f>
        <v/>
      </c>
      <c r="S565" s="249" t="str">
        <f ca="1">IF(C565="","",[1]!S_SHARE_TOTAL(D565,TODAY())/$E$5)</f>
        <v/>
      </c>
      <c r="T565" s="249" t="str">
        <f t="shared" ca="1" si="61"/>
        <v/>
      </c>
      <c r="U565" s="172" t="str">
        <f t="shared" ca="1" si="62"/>
        <v/>
      </c>
      <c r="V565" s="343" t="str">
        <f t="shared" ca="1" si="63"/>
        <v/>
      </c>
      <c r="W565" s="139"/>
      <c r="Y565" s="1"/>
    </row>
    <row r="566" spans="3:25" ht="12" customHeight="1">
      <c r="C566" s="342" t="str">
        <f t="shared" ca="1" si="58"/>
        <v/>
      </c>
      <c r="D566" s="153" t="str">
        <f t="shared" ca="1" si="59"/>
        <v/>
      </c>
      <c r="E566" s="153" t="str">
        <f t="shared" ca="1" si="60"/>
        <v/>
      </c>
      <c r="F566" s="170" t="str">
        <f ca="1">IF(C566="","",[1]!S_DQ_CLOSE(D566,TODAY(),1))</f>
        <v/>
      </c>
      <c r="G566" s="171" t="str">
        <f ca="1">IF(C566="","",[1]!s_pq_pctchange(D566,TODAY()-$G$12,TODAY())/100)</f>
        <v/>
      </c>
      <c r="H566" s="247" t="str">
        <f ca="1">IF(C566="","",IF($H$11="收入",[1]!S_STM07_IS(D566,9,$G$5,$H$13)/$E$5,[1]!S_STM07_IS(D566,48,$G$5,$H$13)/$E$5))</f>
        <v/>
      </c>
      <c r="I566" s="247" t="str">
        <f ca="1">IF(C566="","",IF($I$11="毛利率",([1]!S_STM07_IS(D566,9,$G$5,$H$13)-[1]!S_STM07_IS(D566,10,$G$5,$H$13))/[1]!S_STM07_IS(D566,9,$G$5,$H$13),[1]!S_STM07_IS(D566,14,$G$5,$H$13)/$E$5))</f>
        <v/>
      </c>
      <c r="J566" s="247" t="str">
        <f ca="1">IF(C566="","",IF($J$11="营业利润率",[1]!S_STM07_IS(D566,48,$G$5,$H$13)/[1]!S_STM07_IS(D566,9,$G$5,$H$13),([1]!S_STM07_CS(D566,87,$G$5,$H$13)+[1]!S_STM07_CS(D566,88,$G$5,$H$13)+[1]!S_STM07_CS(D566,89,$G$5,$H$13))/$E$5))</f>
        <v/>
      </c>
      <c r="K566" s="247" t="str">
        <f ca="1">IF(C566="","",IF($K$11="净利润率",[1]!S_STM07_IS(D566,61,$G$5,$H$13)/[1]!S_STM07_IS(D566,9,$G$5,$H$13),[1]!S_STM07_IS(D566,55,$G$5,$H$13)/$E$5))</f>
        <v/>
      </c>
      <c r="L566" s="247" t="str">
        <f ca="1">IF(C566="","",IF($L$11="ROA",[1]!S_STM07_IS(D566,61,$G$5,$H$13)/[1]!S_STM07_BS(D566,74,$G$5,$H$13),1-[1]!S_STM07_IS(D566,61,$G$5,$H$13)/[1]!S_STM07_IS(D566,55,$G$5,$H$13)))</f>
        <v/>
      </c>
      <c r="M566" s="247" t="str">
        <f ca="1">IF(C566="","",IF($M$11="ROE",[1]!S_STM07_IS(D566,61,$G$5,$H$13)/[1]!S_STM07_BS(D566,141,$G$5,$H$13),([1]!S_STM07_BS(D566,25,$G$5,$H$13)-[1]!S_STM07_BS(D566,93,$G$5,$H$13))/$E$5))</f>
        <v/>
      </c>
      <c r="N566" s="247" t="str">
        <f ca="1">IF(C566="","",IF($N$11="EPS",[1]!S_STM07_IS(D566,61,$G$5,$H$13)/IF([1]!S_SHARE_TOTAL(D566,$G$5)=0,[1]!S_SHARE_TOTAL(D566,[1]!s_ipo_listeddate(D566)),[1]!S_SHARE_TOTAL(D566,$G$5)),([1]!S_STM07_BS(D566,75,$G$5,$H$13)+[1]!S_STM07_BS(D566,88,$G$5,$H$13)+[1]!S_STM07_BS(D566,94,$G$5,$H$13)+[1]!S_STM07_BS(D566,95,$G$5,$H$13))/$E$5))</f>
        <v/>
      </c>
      <c r="O566" s="247" t="str">
        <f ca="1">IF(C566="","",IF($O$11="BPS",[1]!S_STM07_BS(D566,141,$G$5,$H$13)/IF([1]!S_SHARE_TOTAL(D566,$G$5)=0,[1]!S_SHARE_TOTAL(D566,[1]!s_ipo_listeddate(D566)),[1]!S_SHARE_TOTAL(D566,$G$5)),[1]!S_STM07_CS(D566,49,$G$5,$H$13)/$E$5))</f>
        <v/>
      </c>
      <c r="P566" s="247" t="str">
        <f ca="1">IF(C566="","",IF($P$11="CFPS",[1]!S_STM07_CS(D566,84,$G$5,$H$13)/IF([1]!S_SHARE_TOTAL(D566,$G$5)=0,[1]!S_SHARE_TOTAL(D566,[1]!s_ipo_listeddate(D566)),[1]!S_SHARE_TOTAL(D566,$G$5)),[1]!S_STM07_CS(D566,84,$G$5,$H$13)/$E$5))</f>
        <v/>
      </c>
      <c r="Q566" s="248" t="str">
        <f ca="1">IF(C566="","",F566/([1]!S_STM07_IS(D566,61,$G$5,$H$13)/IF([1]!S_SHARE_TOTAL(D566,$G$5)=0,[1]!S_SHARE_TOTAL(D566,[1]!s_ipo_listeddate(D566)),[1]!S_SHARE_TOTAL(D566,$G$5))))</f>
        <v/>
      </c>
      <c r="R566" s="248" t="str">
        <f ca="1">IF(C566="","",F566/([1]!S_STM07_BS(D566,141,$G$5,$H$13)/IF([1]!S_SHARE_TOTAL(D566,$G$5)=0,[1]!S_SHARE_TOTAL(D566,[1]!s_ipo_listeddate(D566)),[1]!S_SHARE_TOTAL(D566,$G$5))))</f>
        <v/>
      </c>
      <c r="S566" s="247" t="str">
        <f ca="1">IF(C566="","",[1]!S_SHARE_TOTAL(D566,TODAY())/$E$5)</f>
        <v/>
      </c>
      <c r="T566" s="247" t="str">
        <f t="shared" ca="1" si="61"/>
        <v/>
      </c>
      <c r="U566" s="218" t="str">
        <f t="shared" ca="1" si="62"/>
        <v/>
      </c>
      <c r="V566" s="342" t="str">
        <f t="shared" ca="1" si="63"/>
        <v/>
      </c>
      <c r="W566" s="139"/>
      <c r="Y566" s="1"/>
    </row>
    <row r="567" spans="3:25" ht="12" customHeight="1">
      <c r="C567" s="343" t="str">
        <f t="shared" ca="1" si="58"/>
        <v/>
      </c>
      <c r="D567" s="124" t="str">
        <f t="shared" ca="1" si="59"/>
        <v/>
      </c>
      <c r="E567" s="124" t="str">
        <f t="shared" ca="1" si="60"/>
        <v/>
      </c>
      <c r="F567" s="172" t="str">
        <f ca="1">IF(C567="","",[1]!S_DQ_CLOSE(D567,TODAY(),1))</f>
        <v/>
      </c>
      <c r="G567" s="173" t="str">
        <f ca="1">IF(C567="","",[1]!s_pq_pctchange(D567,TODAY()-$G$12,TODAY())/100)</f>
        <v/>
      </c>
      <c r="H567" s="249" t="str">
        <f ca="1">IF(C567="","",IF($H$11="收入",[1]!S_STM07_IS(D567,9,$G$5,$H$13)/$E$5,[1]!S_STM07_IS(D567,48,$G$5,$H$13)/$E$5))</f>
        <v/>
      </c>
      <c r="I567" s="249" t="str">
        <f ca="1">IF(C567="","",IF($I$11="毛利率",([1]!S_STM07_IS(D567,9,$G$5,$H$13)-[1]!S_STM07_IS(D567,10,$G$5,$H$13))/[1]!S_STM07_IS(D567,9,$G$5,$H$13),[1]!S_STM07_IS(D567,14,$G$5,$H$13)/$E$5))</f>
        <v/>
      </c>
      <c r="J567" s="249" t="str">
        <f ca="1">IF(C567="","",IF($J$11="营业利润率",[1]!S_STM07_IS(D567,48,$G$5,$H$13)/[1]!S_STM07_IS(D567,9,$G$5,$H$13),([1]!S_STM07_CS(D567,87,$G$5,$H$13)+[1]!S_STM07_CS(D567,88,$G$5,$H$13)+[1]!S_STM07_CS(D567,89,$G$5,$H$13))/$E$5))</f>
        <v/>
      </c>
      <c r="K567" s="249" t="str">
        <f ca="1">IF(C567="","",IF($K$11="净利润率",[1]!S_STM07_IS(D567,61,$G$5,$H$13)/[1]!S_STM07_IS(D567,9,$G$5,$H$13),[1]!S_STM07_IS(D567,55,$G$5,$H$13)/$E$5))</f>
        <v/>
      </c>
      <c r="L567" s="249" t="str">
        <f ca="1">IF(C567="","",IF($L$11="ROA",[1]!S_STM07_IS(D567,61,$G$5,$H$13)/[1]!S_STM07_BS(D567,74,$G$5,$H$13),1-[1]!S_STM07_IS(D567,61,$G$5,$H$13)/[1]!S_STM07_IS(D567,55,$G$5,$H$13)))</f>
        <v/>
      </c>
      <c r="M567" s="249" t="str">
        <f ca="1">IF(C567="","",IF($M$11="ROE",[1]!S_STM07_IS(D567,61,$G$5,$H$13)/[1]!S_STM07_BS(D567,141,$G$5,$H$13),([1]!S_STM07_BS(D567,25,$G$5,$H$13)-[1]!S_STM07_BS(D567,93,$G$5,$H$13))/$E$5))</f>
        <v/>
      </c>
      <c r="N567" s="250" t="str">
        <f ca="1">IF(C567="","",IF($N$11="EPS",[1]!S_STM07_IS(D567,61,$G$5,$H$13)/IF([1]!S_SHARE_TOTAL(D567,$G$5)=0,[1]!S_SHARE_TOTAL(D567,[1]!s_ipo_listeddate(D567)),[1]!S_SHARE_TOTAL(D567,$G$5)),([1]!S_STM07_BS(D567,75,$G$5,$H$13)+[1]!S_STM07_BS(D567,88,$G$5,$H$13)+[1]!S_STM07_BS(D567,94,$G$5,$H$13)+[1]!S_STM07_BS(D567,95,$G$5,$H$13))/$E$5))</f>
        <v/>
      </c>
      <c r="O567" s="250" t="str">
        <f ca="1">IF(C567="","",IF($O$11="BPS",[1]!S_STM07_BS(D567,141,$G$5,$H$13)/IF([1]!S_SHARE_TOTAL(D567,$G$5)=0,[1]!S_SHARE_TOTAL(D567,[1]!s_ipo_listeddate(D567)),[1]!S_SHARE_TOTAL(D567,$G$5)),[1]!S_STM07_CS(D567,49,$G$5,$H$13)/$E$5))</f>
        <v/>
      </c>
      <c r="P567" s="250" t="str">
        <f ca="1">IF(C567="","",IF($P$11="CFPS",[1]!S_STM07_CS(D567,84,$G$5,$H$13)/IF([1]!S_SHARE_TOTAL(D567,$G$5)=0,[1]!S_SHARE_TOTAL(D567,[1]!s_ipo_listeddate(D567)),[1]!S_SHARE_TOTAL(D567,$G$5)),[1]!S_STM07_CS(D567,84,$G$5,$H$13)/$E$5))</f>
        <v/>
      </c>
      <c r="Q567" s="198" t="str">
        <f ca="1">IF(C567="","",F567/([1]!S_STM07_IS(D567,61,$G$5,$H$13)/IF([1]!S_SHARE_TOTAL(D567,$G$5)=0,[1]!S_SHARE_TOTAL(D567,[1]!s_ipo_listeddate(D567)),[1]!S_SHARE_TOTAL(D567,$G$5))))</f>
        <v/>
      </c>
      <c r="R567" s="198" t="str">
        <f ca="1">IF(C567="","",F567/([1]!S_STM07_BS(D567,141,$G$5,$H$13)/IF([1]!S_SHARE_TOTAL(D567,$G$5)=0,[1]!S_SHARE_TOTAL(D567,[1]!s_ipo_listeddate(D567)),[1]!S_SHARE_TOTAL(D567,$G$5))))</f>
        <v/>
      </c>
      <c r="S567" s="249" t="str">
        <f ca="1">IF(C567="","",[1]!S_SHARE_TOTAL(D567,TODAY())/$E$5)</f>
        <v/>
      </c>
      <c r="T567" s="249" t="str">
        <f t="shared" ca="1" si="61"/>
        <v/>
      </c>
      <c r="U567" s="172" t="str">
        <f t="shared" ca="1" si="62"/>
        <v/>
      </c>
      <c r="V567" s="343" t="str">
        <f t="shared" ca="1" si="63"/>
        <v/>
      </c>
      <c r="W567" s="139"/>
      <c r="Y567" s="1"/>
    </row>
    <row r="568" spans="3:25" ht="12" customHeight="1">
      <c r="C568" s="342" t="str">
        <f t="shared" ca="1" si="58"/>
        <v/>
      </c>
      <c r="D568" s="153" t="str">
        <f t="shared" ca="1" si="59"/>
        <v/>
      </c>
      <c r="E568" s="153" t="str">
        <f t="shared" ca="1" si="60"/>
        <v/>
      </c>
      <c r="F568" s="170" t="str">
        <f ca="1">IF(C568="","",[1]!S_DQ_CLOSE(D568,TODAY(),1))</f>
        <v/>
      </c>
      <c r="G568" s="171" t="str">
        <f ca="1">IF(C568="","",[1]!s_pq_pctchange(D568,TODAY()-$G$12,TODAY())/100)</f>
        <v/>
      </c>
      <c r="H568" s="247" t="str">
        <f ca="1">IF(C568="","",IF($H$11="收入",[1]!S_STM07_IS(D568,9,$G$5,$H$13)/$E$5,[1]!S_STM07_IS(D568,48,$G$5,$H$13)/$E$5))</f>
        <v/>
      </c>
      <c r="I568" s="247" t="str">
        <f ca="1">IF(C568="","",IF($I$11="毛利率",([1]!S_STM07_IS(D568,9,$G$5,$H$13)-[1]!S_STM07_IS(D568,10,$G$5,$H$13))/[1]!S_STM07_IS(D568,9,$G$5,$H$13),[1]!S_STM07_IS(D568,14,$G$5,$H$13)/$E$5))</f>
        <v/>
      </c>
      <c r="J568" s="247" t="str">
        <f ca="1">IF(C568="","",IF($J$11="营业利润率",[1]!S_STM07_IS(D568,48,$G$5,$H$13)/[1]!S_STM07_IS(D568,9,$G$5,$H$13),([1]!S_STM07_CS(D568,87,$G$5,$H$13)+[1]!S_STM07_CS(D568,88,$G$5,$H$13)+[1]!S_STM07_CS(D568,89,$G$5,$H$13))/$E$5))</f>
        <v/>
      </c>
      <c r="K568" s="247" t="str">
        <f ca="1">IF(C568="","",IF($K$11="净利润率",[1]!S_STM07_IS(D568,61,$G$5,$H$13)/[1]!S_STM07_IS(D568,9,$G$5,$H$13),[1]!S_STM07_IS(D568,55,$G$5,$H$13)/$E$5))</f>
        <v/>
      </c>
      <c r="L568" s="247" t="str">
        <f ca="1">IF(C568="","",IF($L$11="ROA",[1]!S_STM07_IS(D568,61,$G$5,$H$13)/[1]!S_STM07_BS(D568,74,$G$5,$H$13),1-[1]!S_STM07_IS(D568,61,$G$5,$H$13)/[1]!S_STM07_IS(D568,55,$G$5,$H$13)))</f>
        <v/>
      </c>
      <c r="M568" s="247" t="str">
        <f ca="1">IF(C568="","",IF($M$11="ROE",[1]!S_STM07_IS(D568,61,$G$5,$H$13)/[1]!S_STM07_BS(D568,141,$G$5,$H$13),([1]!S_STM07_BS(D568,25,$G$5,$H$13)-[1]!S_STM07_BS(D568,93,$G$5,$H$13))/$E$5))</f>
        <v/>
      </c>
      <c r="N568" s="247" t="str">
        <f ca="1">IF(C568="","",IF($N$11="EPS",[1]!S_STM07_IS(D568,61,$G$5,$H$13)/IF([1]!S_SHARE_TOTAL(D568,$G$5)=0,[1]!S_SHARE_TOTAL(D568,[1]!s_ipo_listeddate(D568)),[1]!S_SHARE_TOTAL(D568,$G$5)),([1]!S_STM07_BS(D568,75,$G$5,$H$13)+[1]!S_STM07_BS(D568,88,$G$5,$H$13)+[1]!S_STM07_BS(D568,94,$G$5,$H$13)+[1]!S_STM07_BS(D568,95,$G$5,$H$13))/$E$5))</f>
        <v/>
      </c>
      <c r="O568" s="247" t="str">
        <f ca="1">IF(C568="","",IF($O$11="BPS",[1]!S_STM07_BS(D568,141,$G$5,$H$13)/IF([1]!S_SHARE_TOTAL(D568,$G$5)=0,[1]!S_SHARE_TOTAL(D568,[1]!s_ipo_listeddate(D568)),[1]!S_SHARE_TOTAL(D568,$G$5)),[1]!S_STM07_CS(D568,49,$G$5,$H$13)/$E$5))</f>
        <v/>
      </c>
      <c r="P568" s="247" t="str">
        <f ca="1">IF(C568="","",IF($P$11="CFPS",[1]!S_STM07_CS(D568,84,$G$5,$H$13)/IF([1]!S_SHARE_TOTAL(D568,$G$5)=0,[1]!S_SHARE_TOTAL(D568,[1]!s_ipo_listeddate(D568)),[1]!S_SHARE_TOTAL(D568,$G$5)),[1]!S_STM07_CS(D568,84,$G$5,$H$13)/$E$5))</f>
        <v/>
      </c>
      <c r="Q568" s="248" t="str">
        <f ca="1">IF(C568="","",F568/([1]!S_STM07_IS(D568,61,$G$5,$H$13)/IF([1]!S_SHARE_TOTAL(D568,$G$5)=0,[1]!S_SHARE_TOTAL(D568,[1]!s_ipo_listeddate(D568)),[1]!S_SHARE_TOTAL(D568,$G$5))))</f>
        <v/>
      </c>
      <c r="R568" s="248" t="str">
        <f ca="1">IF(C568="","",F568/([1]!S_STM07_BS(D568,141,$G$5,$H$13)/IF([1]!S_SHARE_TOTAL(D568,$G$5)=0,[1]!S_SHARE_TOTAL(D568,[1]!s_ipo_listeddate(D568)),[1]!S_SHARE_TOTAL(D568,$G$5))))</f>
        <v/>
      </c>
      <c r="S568" s="247" t="str">
        <f ca="1">IF(C568="","",[1]!S_SHARE_TOTAL(D568,TODAY())/$E$5)</f>
        <v/>
      </c>
      <c r="T568" s="247" t="str">
        <f t="shared" ca="1" si="61"/>
        <v/>
      </c>
      <c r="U568" s="218" t="str">
        <f t="shared" ca="1" si="62"/>
        <v/>
      </c>
      <c r="V568" s="342" t="str">
        <f t="shared" ca="1" si="63"/>
        <v/>
      </c>
      <c r="W568" s="139"/>
      <c r="Y568" s="1"/>
    </row>
    <row r="569" spans="3:25" ht="12" customHeight="1">
      <c r="C569" s="343" t="str">
        <f t="shared" ca="1" si="58"/>
        <v/>
      </c>
      <c r="D569" s="124" t="str">
        <f t="shared" ca="1" si="59"/>
        <v/>
      </c>
      <c r="E569" s="124" t="str">
        <f t="shared" ca="1" si="60"/>
        <v/>
      </c>
      <c r="F569" s="172" t="str">
        <f ca="1">IF(C569="","",[1]!S_DQ_CLOSE(D569,TODAY(),1))</f>
        <v/>
      </c>
      <c r="G569" s="173" t="str">
        <f ca="1">IF(C569="","",[1]!s_pq_pctchange(D569,TODAY()-$G$12,TODAY())/100)</f>
        <v/>
      </c>
      <c r="H569" s="249" t="str">
        <f ca="1">IF(C569="","",IF($H$11="收入",[1]!S_STM07_IS(D569,9,$G$5,$H$13)/$E$5,[1]!S_STM07_IS(D569,48,$G$5,$H$13)/$E$5))</f>
        <v/>
      </c>
      <c r="I569" s="249" t="str">
        <f ca="1">IF(C569="","",IF($I$11="毛利率",([1]!S_STM07_IS(D569,9,$G$5,$H$13)-[1]!S_STM07_IS(D569,10,$G$5,$H$13))/[1]!S_STM07_IS(D569,9,$G$5,$H$13),[1]!S_STM07_IS(D569,14,$G$5,$H$13)/$E$5))</f>
        <v/>
      </c>
      <c r="J569" s="249" t="str">
        <f ca="1">IF(C569="","",IF($J$11="营业利润率",[1]!S_STM07_IS(D569,48,$G$5,$H$13)/[1]!S_STM07_IS(D569,9,$G$5,$H$13),([1]!S_STM07_CS(D569,87,$G$5,$H$13)+[1]!S_STM07_CS(D569,88,$G$5,$H$13)+[1]!S_STM07_CS(D569,89,$G$5,$H$13))/$E$5))</f>
        <v/>
      </c>
      <c r="K569" s="249" t="str">
        <f ca="1">IF(C569="","",IF($K$11="净利润率",[1]!S_STM07_IS(D569,61,$G$5,$H$13)/[1]!S_STM07_IS(D569,9,$G$5,$H$13),[1]!S_STM07_IS(D569,55,$G$5,$H$13)/$E$5))</f>
        <v/>
      </c>
      <c r="L569" s="249" t="str">
        <f ca="1">IF(C569="","",IF($L$11="ROA",[1]!S_STM07_IS(D569,61,$G$5,$H$13)/[1]!S_STM07_BS(D569,74,$G$5,$H$13),1-[1]!S_STM07_IS(D569,61,$G$5,$H$13)/[1]!S_STM07_IS(D569,55,$G$5,$H$13)))</f>
        <v/>
      </c>
      <c r="M569" s="249" t="str">
        <f ca="1">IF(C569="","",IF($M$11="ROE",[1]!S_STM07_IS(D569,61,$G$5,$H$13)/[1]!S_STM07_BS(D569,141,$G$5,$H$13),([1]!S_STM07_BS(D569,25,$G$5,$H$13)-[1]!S_STM07_BS(D569,93,$G$5,$H$13))/$E$5))</f>
        <v/>
      </c>
      <c r="N569" s="250" t="str">
        <f ca="1">IF(C569="","",IF($N$11="EPS",[1]!S_STM07_IS(D569,61,$G$5,$H$13)/IF([1]!S_SHARE_TOTAL(D569,$G$5)=0,[1]!S_SHARE_TOTAL(D569,[1]!s_ipo_listeddate(D569)),[1]!S_SHARE_TOTAL(D569,$G$5)),([1]!S_STM07_BS(D569,75,$G$5,$H$13)+[1]!S_STM07_BS(D569,88,$G$5,$H$13)+[1]!S_STM07_BS(D569,94,$G$5,$H$13)+[1]!S_STM07_BS(D569,95,$G$5,$H$13))/$E$5))</f>
        <v/>
      </c>
      <c r="O569" s="250" t="str">
        <f ca="1">IF(C569="","",IF($O$11="BPS",[1]!S_STM07_BS(D569,141,$G$5,$H$13)/IF([1]!S_SHARE_TOTAL(D569,$G$5)=0,[1]!S_SHARE_TOTAL(D569,[1]!s_ipo_listeddate(D569)),[1]!S_SHARE_TOTAL(D569,$G$5)),[1]!S_STM07_CS(D569,49,$G$5,$H$13)/$E$5))</f>
        <v/>
      </c>
      <c r="P569" s="250" t="str">
        <f ca="1">IF(C569="","",IF($P$11="CFPS",[1]!S_STM07_CS(D569,84,$G$5,$H$13)/IF([1]!S_SHARE_TOTAL(D569,$G$5)=0,[1]!S_SHARE_TOTAL(D569,[1]!s_ipo_listeddate(D569)),[1]!S_SHARE_TOTAL(D569,$G$5)),[1]!S_STM07_CS(D569,84,$G$5,$H$13)/$E$5))</f>
        <v/>
      </c>
      <c r="Q569" s="198" t="str">
        <f ca="1">IF(C569="","",F569/([1]!S_STM07_IS(D569,61,$G$5,$H$13)/IF([1]!S_SHARE_TOTAL(D569,$G$5)=0,[1]!S_SHARE_TOTAL(D569,[1]!s_ipo_listeddate(D569)),[1]!S_SHARE_TOTAL(D569,$G$5))))</f>
        <v/>
      </c>
      <c r="R569" s="198" t="str">
        <f ca="1">IF(C569="","",F569/([1]!S_STM07_BS(D569,141,$G$5,$H$13)/IF([1]!S_SHARE_TOTAL(D569,$G$5)=0,[1]!S_SHARE_TOTAL(D569,[1]!s_ipo_listeddate(D569)),[1]!S_SHARE_TOTAL(D569,$G$5))))</f>
        <v/>
      </c>
      <c r="S569" s="249" t="str">
        <f ca="1">IF(C569="","",[1]!S_SHARE_TOTAL(D569,TODAY())/$E$5)</f>
        <v/>
      </c>
      <c r="T569" s="249" t="str">
        <f t="shared" ca="1" si="61"/>
        <v/>
      </c>
      <c r="U569" s="172" t="str">
        <f t="shared" ca="1" si="62"/>
        <v/>
      </c>
      <c r="V569" s="343" t="str">
        <f t="shared" ca="1" si="63"/>
        <v/>
      </c>
      <c r="W569" s="139"/>
      <c r="Y569" s="1"/>
    </row>
    <row r="570" spans="3:25" ht="12" customHeight="1">
      <c r="C570" s="342" t="str">
        <f t="shared" ca="1" si="58"/>
        <v/>
      </c>
      <c r="D570" s="153" t="str">
        <f t="shared" ca="1" si="59"/>
        <v/>
      </c>
      <c r="E570" s="153" t="str">
        <f t="shared" ca="1" si="60"/>
        <v/>
      </c>
      <c r="F570" s="170" t="str">
        <f ca="1">IF(C570="","",[1]!S_DQ_CLOSE(D570,TODAY(),1))</f>
        <v/>
      </c>
      <c r="G570" s="171" t="str">
        <f ca="1">IF(C570="","",[1]!s_pq_pctchange(D570,TODAY()-$G$12,TODAY())/100)</f>
        <v/>
      </c>
      <c r="H570" s="247" t="str">
        <f ca="1">IF(C570="","",IF($H$11="收入",[1]!S_STM07_IS(D570,9,$G$5,$H$13)/$E$5,[1]!S_STM07_IS(D570,48,$G$5,$H$13)/$E$5))</f>
        <v/>
      </c>
      <c r="I570" s="247" t="str">
        <f ca="1">IF(C570="","",IF($I$11="毛利率",([1]!S_STM07_IS(D570,9,$G$5,$H$13)-[1]!S_STM07_IS(D570,10,$G$5,$H$13))/[1]!S_STM07_IS(D570,9,$G$5,$H$13),[1]!S_STM07_IS(D570,14,$G$5,$H$13)/$E$5))</f>
        <v/>
      </c>
      <c r="J570" s="247" t="str">
        <f ca="1">IF(C570="","",IF($J$11="营业利润率",[1]!S_STM07_IS(D570,48,$G$5,$H$13)/[1]!S_STM07_IS(D570,9,$G$5,$H$13),([1]!S_STM07_CS(D570,87,$G$5,$H$13)+[1]!S_STM07_CS(D570,88,$G$5,$H$13)+[1]!S_STM07_CS(D570,89,$G$5,$H$13))/$E$5))</f>
        <v/>
      </c>
      <c r="K570" s="247" t="str">
        <f ca="1">IF(C570="","",IF($K$11="净利润率",[1]!S_STM07_IS(D570,61,$G$5,$H$13)/[1]!S_STM07_IS(D570,9,$G$5,$H$13),[1]!S_STM07_IS(D570,55,$G$5,$H$13)/$E$5))</f>
        <v/>
      </c>
      <c r="L570" s="247" t="str">
        <f ca="1">IF(C570="","",IF($L$11="ROA",[1]!S_STM07_IS(D570,61,$G$5,$H$13)/[1]!S_STM07_BS(D570,74,$G$5,$H$13),1-[1]!S_STM07_IS(D570,61,$G$5,$H$13)/[1]!S_STM07_IS(D570,55,$G$5,$H$13)))</f>
        <v/>
      </c>
      <c r="M570" s="247" t="str">
        <f ca="1">IF(C570="","",IF($M$11="ROE",[1]!S_STM07_IS(D570,61,$G$5,$H$13)/[1]!S_STM07_BS(D570,141,$G$5,$H$13),([1]!S_STM07_BS(D570,25,$G$5,$H$13)-[1]!S_STM07_BS(D570,93,$G$5,$H$13))/$E$5))</f>
        <v/>
      </c>
      <c r="N570" s="247" t="str">
        <f ca="1">IF(C570="","",IF($N$11="EPS",[1]!S_STM07_IS(D570,61,$G$5,$H$13)/IF([1]!S_SHARE_TOTAL(D570,$G$5)=0,[1]!S_SHARE_TOTAL(D570,[1]!s_ipo_listeddate(D570)),[1]!S_SHARE_TOTAL(D570,$G$5)),([1]!S_STM07_BS(D570,75,$G$5,$H$13)+[1]!S_STM07_BS(D570,88,$G$5,$H$13)+[1]!S_STM07_BS(D570,94,$G$5,$H$13)+[1]!S_STM07_BS(D570,95,$G$5,$H$13))/$E$5))</f>
        <v/>
      </c>
      <c r="O570" s="247" t="str">
        <f ca="1">IF(C570="","",IF($O$11="BPS",[1]!S_STM07_BS(D570,141,$G$5,$H$13)/IF([1]!S_SHARE_TOTAL(D570,$G$5)=0,[1]!S_SHARE_TOTAL(D570,[1]!s_ipo_listeddate(D570)),[1]!S_SHARE_TOTAL(D570,$G$5)),[1]!S_STM07_CS(D570,49,$G$5,$H$13)/$E$5))</f>
        <v/>
      </c>
      <c r="P570" s="247" t="str">
        <f ca="1">IF(C570="","",IF($P$11="CFPS",[1]!S_STM07_CS(D570,84,$G$5,$H$13)/IF([1]!S_SHARE_TOTAL(D570,$G$5)=0,[1]!S_SHARE_TOTAL(D570,[1]!s_ipo_listeddate(D570)),[1]!S_SHARE_TOTAL(D570,$G$5)),[1]!S_STM07_CS(D570,84,$G$5,$H$13)/$E$5))</f>
        <v/>
      </c>
      <c r="Q570" s="248" t="str">
        <f ca="1">IF(C570="","",F570/([1]!S_STM07_IS(D570,61,$G$5,$H$13)/IF([1]!S_SHARE_TOTAL(D570,$G$5)=0,[1]!S_SHARE_TOTAL(D570,[1]!s_ipo_listeddate(D570)),[1]!S_SHARE_TOTAL(D570,$G$5))))</f>
        <v/>
      </c>
      <c r="R570" s="248" t="str">
        <f ca="1">IF(C570="","",F570/([1]!S_STM07_BS(D570,141,$G$5,$H$13)/IF([1]!S_SHARE_TOTAL(D570,$G$5)=0,[1]!S_SHARE_TOTAL(D570,[1]!s_ipo_listeddate(D570)),[1]!S_SHARE_TOTAL(D570,$G$5))))</f>
        <v/>
      </c>
      <c r="S570" s="247" t="str">
        <f ca="1">IF(C570="","",[1]!S_SHARE_TOTAL(D570,TODAY())/$E$5)</f>
        <v/>
      </c>
      <c r="T570" s="247" t="str">
        <f t="shared" ca="1" si="61"/>
        <v/>
      </c>
      <c r="U570" s="218" t="str">
        <f t="shared" ca="1" si="62"/>
        <v/>
      </c>
      <c r="V570" s="342" t="str">
        <f t="shared" ca="1" si="63"/>
        <v/>
      </c>
      <c r="W570" s="139"/>
      <c r="Y570" s="1"/>
    </row>
    <row r="571" spans="3:25" ht="12" customHeight="1">
      <c r="C571" s="343" t="str">
        <f t="shared" ca="1" si="58"/>
        <v/>
      </c>
      <c r="D571" s="124" t="str">
        <f t="shared" ca="1" si="59"/>
        <v/>
      </c>
      <c r="E571" s="124" t="str">
        <f t="shared" ca="1" si="60"/>
        <v/>
      </c>
      <c r="F571" s="172" t="str">
        <f ca="1">IF(C571="","",[1]!S_DQ_CLOSE(D571,TODAY(),1))</f>
        <v/>
      </c>
      <c r="G571" s="173" t="str">
        <f ca="1">IF(C571="","",[1]!s_pq_pctchange(D571,TODAY()-$G$12,TODAY())/100)</f>
        <v/>
      </c>
      <c r="H571" s="249" t="str">
        <f ca="1">IF(C571="","",IF($H$11="收入",[1]!S_STM07_IS(D571,9,$G$5,$H$13)/$E$5,[1]!S_STM07_IS(D571,48,$G$5,$H$13)/$E$5))</f>
        <v/>
      </c>
      <c r="I571" s="249" t="str">
        <f ca="1">IF(C571="","",IF($I$11="毛利率",([1]!S_STM07_IS(D571,9,$G$5,$H$13)-[1]!S_STM07_IS(D571,10,$G$5,$H$13))/[1]!S_STM07_IS(D571,9,$G$5,$H$13),[1]!S_STM07_IS(D571,14,$G$5,$H$13)/$E$5))</f>
        <v/>
      </c>
      <c r="J571" s="249" t="str">
        <f ca="1">IF(C571="","",IF($J$11="营业利润率",[1]!S_STM07_IS(D571,48,$G$5,$H$13)/[1]!S_STM07_IS(D571,9,$G$5,$H$13),([1]!S_STM07_CS(D571,87,$G$5,$H$13)+[1]!S_STM07_CS(D571,88,$G$5,$H$13)+[1]!S_STM07_CS(D571,89,$G$5,$H$13))/$E$5))</f>
        <v/>
      </c>
      <c r="K571" s="249" t="str">
        <f ca="1">IF(C571="","",IF($K$11="净利润率",[1]!S_STM07_IS(D571,61,$G$5,$H$13)/[1]!S_STM07_IS(D571,9,$G$5,$H$13),[1]!S_STM07_IS(D571,55,$G$5,$H$13)/$E$5))</f>
        <v/>
      </c>
      <c r="L571" s="249" t="str">
        <f ca="1">IF(C571="","",IF($L$11="ROA",[1]!S_STM07_IS(D571,61,$G$5,$H$13)/[1]!S_STM07_BS(D571,74,$G$5,$H$13),1-[1]!S_STM07_IS(D571,61,$G$5,$H$13)/[1]!S_STM07_IS(D571,55,$G$5,$H$13)))</f>
        <v/>
      </c>
      <c r="M571" s="249" t="str">
        <f ca="1">IF(C571="","",IF($M$11="ROE",[1]!S_STM07_IS(D571,61,$G$5,$H$13)/[1]!S_STM07_BS(D571,141,$G$5,$H$13),([1]!S_STM07_BS(D571,25,$G$5,$H$13)-[1]!S_STM07_BS(D571,93,$G$5,$H$13))/$E$5))</f>
        <v/>
      </c>
      <c r="N571" s="250" t="str">
        <f ca="1">IF(C571="","",IF($N$11="EPS",[1]!S_STM07_IS(D571,61,$G$5,$H$13)/IF([1]!S_SHARE_TOTAL(D571,$G$5)=0,[1]!S_SHARE_TOTAL(D571,[1]!s_ipo_listeddate(D571)),[1]!S_SHARE_TOTAL(D571,$G$5)),([1]!S_STM07_BS(D571,75,$G$5,$H$13)+[1]!S_STM07_BS(D571,88,$G$5,$H$13)+[1]!S_STM07_BS(D571,94,$G$5,$H$13)+[1]!S_STM07_BS(D571,95,$G$5,$H$13))/$E$5))</f>
        <v/>
      </c>
      <c r="O571" s="250" t="str">
        <f ca="1">IF(C571="","",IF($O$11="BPS",[1]!S_STM07_BS(D571,141,$G$5,$H$13)/IF([1]!S_SHARE_TOTAL(D571,$G$5)=0,[1]!S_SHARE_TOTAL(D571,[1]!s_ipo_listeddate(D571)),[1]!S_SHARE_TOTAL(D571,$G$5)),[1]!S_STM07_CS(D571,49,$G$5,$H$13)/$E$5))</f>
        <v/>
      </c>
      <c r="P571" s="250" t="str">
        <f ca="1">IF(C571="","",IF($P$11="CFPS",[1]!S_STM07_CS(D571,84,$G$5,$H$13)/IF([1]!S_SHARE_TOTAL(D571,$G$5)=0,[1]!S_SHARE_TOTAL(D571,[1]!s_ipo_listeddate(D571)),[1]!S_SHARE_TOTAL(D571,$G$5)),[1]!S_STM07_CS(D571,84,$G$5,$H$13)/$E$5))</f>
        <v/>
      </c>
      <c r="Q571" s="198" t="str">
        <f ca="1">IF(C571="","",F571/([1]!S_STM07_IS(D571,61,$G$5,$H$13)/IF([1]!S_SHARE_TOTAL(D571,$G$5)=0,[1]!S_SHARE_TOTAL(D571,[1]!s_ipo_listeddate(D571)),[1]!S_SHARE_TOTAL(D571,$G$5))))</f>
        <v/>
      </c>
      <c r="R571" s="198" t="str">
        <f ca="1">IF(C571="","",F571/([1]!S_STM07_BS(D571,141,$G$5,$H$13)/IF([1]!S_SHARE_TOTAL(D571,$G$5)=0,[1]!S_SHARE_TOTAL(D571,[1]!s_ipo_listeddate(D571)),[1]!S_SHARE_TOTAL(D571,$G$5))))</f>
        <v/>
      </c>
      <c r="S571" s="249" t="str">
        <f ca="1">IF(C571="","",[1]!S_SHARE_TOTAL(D571,TODAY())/$E$5)</f>
        <v/>
      </c>
      <c r="T571" s="249" t="str">
        <f t="shared" ca="1" si="61"/>
        <v/>
      </c>
      <c r="U571" s="172" t="str">
        <f t="shared" ca="1" si="62"/>
        <v/>
      </c>
      <c r="V571" s="343" t="str">
        <f t="shared" ca="1" si="63"/>
        <v/>
      </c>
      <c r="W571" s="139"/>
      <c r="Y571" s="1"/>
    </row>
    <row r="572" spans="3:25" ht="12" customHeight="1">
      <c r="C572" s="342" t="str">
        <f t="shared" ca="1" si="58"/>
        <v/>
      </c>
      <c r="D572" s="153" t="str">
        <f t="shared" ca="1" si="59"/>
        <v/>
      </c>
      <c r="E572" s="153" t="str">
        <f t="shared" ca="1" si="60"/>
        <v/>
      </c>
      <c r="F572" s="170" t="str">
        <f ca="1">IF(C572="","",[1]!S_DQ_CLOSE(D572,TODAY(),1))</f>
        <v/>
      </c>
      <c r="G572" s="171" t="str">
        <f ca="1">IF(C572="","",[1]!s_pq_pctchange(D572,TODAY()-$G$12,TODAY())/100)</f>
        <v/>
      </c>
      <c r="H572" s="247" t="str">
        <f ca="1">IF(C572="","",IF($H$11="收入",[1]!S_STM07_IS(D572,9,$G$5,$H$13)/$E$5,[1]!S_STM07_IS(D572,48,$G$5,$H$13)/$E$5))</f>
        <v/>
      </c>
      <c r="I572" s="247" t="str">
        <f ca="1">IF(C572="","",IF($I$11="毛利率",([1]!S_STM07_IS(D572,9,$G$5,$H$13)-[1]!S_STM07_IS(D572,10,$G$5,$H$13))/[1]!S_STM07_IS(D572,9,$G$5,$H$13),[1]!S_STM07_IS(D572,14,$G$5,$H$13)/$E$5))</f>
        <v/>
      </c>
      <c r="J572" s="247" t="str">
        <f ca="1">IF(C572="","",IF($J$11="营业利润率",[1]!S_STM07_IS(D572,48,$G$5,$H$13)/[1]!S_STM07_IS(D572,9,$G$5,$H$13),([1]!S_STM07_CS(D572,87,$G$5,$H$13)+[1]!S_STM07_CS(D572,88,$G$5,$H$13)+[1]!S_STM07_CS(D572,89,$G$5,$H$13))/$E$5))</f>
        <v/>
      </c>
      <c r="K572" s="247" t="str">
        <f ca="1">IF(C572="","",IF($K$11="净利润率",[1]!S_STM07_IS(D572,61,$G$5,$H$13)/[1]!S_STM07_IS(D572,9,$G$5,$H$13),[1]!S_STM07_IS(D572,55,$G$5,$H$13)/$E$5))</f>
        <v/>
      </c>
      <c r="L572" s="247" t="str">
        <f ca="1">IF(C572="","",IF($L$11="ROA",[1]!S_STM07_IS(D572,61,$G$5,$H$13)/[1]!S_STM07_BS(D572,74,$G$5,$H$13),1-[1]!S_STM07_IS(D572,61,$G$5,$H$13)/[1]!S_STM07_IS(D572,55,$G$5,$H$13)))</f>
        <v/>
      </c>
      <c r="M572" s="247" t="str">
        <f ca="1">IF(C572="","",IF($M$11="ROE",[1]!S_STM07_IS(D572,61,$G$5,$H$13)/[1]!S_STM07_BS(D572,141,$G$5,$H$13),([1]!S_STM07_BS(D572,25,$G$5,$H$13)-[1]!S_STM07_BS(D572,93,$G$5,$H$13))/$E$5))</f>
        <v/>
      </c>
      <c r="N572" s="247" t="str">
        <f ca="1">IF(C572="","",IF($N$11="EPS",[1]!S_STM07_IS(D572,61,$G$5,$H$13)/IF([1]!S_SHARE_TOTAL(D572,$G$5)=0,[1]!S_SHARE_TOTAL(D572,[1]!s_ipo_listeddate(D572)),[1]!S_SHARE_TOTAL(D572,$G$5)),([1]!S_STM07_BS(D572,75,$G$5,$H$13)+[1]!S_STM07_BS(D572,88,$G$5,$H$13)+[1]!S_STM07_BS(D572,94,$G$5,$H$13)+[1]!S_STM07_BS(D572,95,$G$5,$H$13))/$E$5))</f>
        <v/>
      </c>
      <c r="O572" s="247" t="str">
        <f ca="1">IF(C572="","",IF($O$11="BPS",[1]!S_STM07_BS(D572,141,$G$5,$H$13)/IF([1]!S_SHARE_TOTAL(D572,$G$5)=0,[1]!S_SHARE_TOTAL(D572,[1]!s_ipo_listeddate(D572)),[1]!S_SHARE_TOTAL(D572,$G$5)),[1]!S_STM07_CS(D572,49,$G$5,$H$13)/$E$5))</f>
        <v/>
      </c>
      <c r="P572" s="247" t="str">
        <f ca="1">IF(C572="","",IF($P$11="CFPS",[1]!S_STM07_CS(D572,84,$G$5,$H$13)/IF([1]!S_SHARE_TOTAL(D572,$G$5)=0,[1]!S_SHARE_TOTAL(D572,[1]!s_ipo_listeddate(D572)),[1]!S_SHARE_TOTAL(D572,$G$5)),[1]!S_STM07_CS(D572,84,$G$5,$H$13)/$E$5))</f>
        <v/>
      </c>
      <c r="Q572" s="248" t="str">
        <f ca="1">IF(C572="","",F572/([1]!S_STM07_IS(D572,61,$G$5,$H$13)/IF([1]!S_SHARE_TOTAL(D572,$G$5)=0,[1]!S_SHARE_TOTAL(D572,[1]!s_ipo_listeddate(D572)),[1]!S_SHARE_TOTAL(D572,$G$5))))</f>
        <v/>
      </c>
      <c r="R572" s="248" t="str">
        <f ca="1">IF(C572="","",F572/([1]!S_STM07_BS(D572,141,$G$5,$H$13)/IF([1]!S_SHARE_TOTAL(D572,$G$5)=0,[1]!S_SHARE_TOTAL(D572,[1]!s_ipo_listeddate(D572)),[1]!S_SHARE_TOTAL(D572,$G$5))))</f>
        <v/>
      </c>
      <c r="S572" s="247" t="str">
        <f ca="1">IF(C572="","",[1]!S_SHARE_TOTAL(D572,TODAY())/$E$5)</f>
        <v/>
      </c>
      <c r="T572" s="247" t="str">
        <f t="shared" ca="1" si="61"/>
        <v/>
      </c>
      <c r="U572" s="218" t="str">
        <f t="shared" ca="1" si="62"/>
        <v/>
      </c>
      <c r="V572" s="342" t="str">
        <f t="shared" ca="1" si="63"/>
        <v/>
      </c>
      <c r="W572" s="139"/>
      <c r="Y572" s="1"/>
    </row>
    <row r="573" spans="3:25" ht="12" customHeight="1">
      <c r="C573" s="343" t="str">
        <f t="shared" ca="1" si="58"/>
        <v/>
      </c>
      <c r="D573" s="124" t="str">
        <f t="shared" ca="1" si="59"/>
        <v/>
      </c>
      <c r="E573" s="124" t="str">
        <f t="shared" ca="1" si="60"/>
        <v/>
      </c>
      <c r="F573" s="172" t="str">
        <f ca="1">IF(C573="","",[1]!S_DQ_CLOSE(D573,TODAY(),1))</f>
        <v/>
      </c>
      <c r="G573" s="173" t="str">
        <f ca="1">IF(C573="","",[1]!s_pq_pctchange(D573,TODAY()-$G$12,TODAY())/100)</f>
        <v/>
      </c>
      <c r="H573" s="249" t="str">
        <f ca="1">IF(C573="","",IF($H$11="收入",[1]!S_STM07_IS(D573,9,$G$5,$H$13)/$E$5,[1]!S_STM07_IS(D573,48,$G$5,$H$13)/$E$5))</f>
        <v/>
      </c>
      <c r="I573" s="249" t="str">
        <f ca="1">IF(C573="","",IF($I$11="毛利率",([1]!S_STM07_IS(D573,9,$G$5,$H$13)-[1]!S_STM07_IS(D573,10,$G$5,$H$13))/[1]!S_STM07_IS(D573,9,$G$5,$H$13),[1]!S_STM07_IS(D573,14,$G$5,$H$13)/$E$5))</f>
        <v/>
      </c>
      <c r="J573" s="249" t="str">
        <f ca="1">IF(C573="","",IF($J$11="营业利润率",[1]!S_STM07_IS(D573,48,$G$5,$H$13)/[1]!S_STM07_IS(D573,9,$G$5,$H$13),([1]!S_STM07_CS(D573,87,$G$5,$H$13)+[1]!S_STM07_CS(D573,88,$G$5,$H$13)+[1]!S_STM07_CS(D573,89,$G$5,$H$13))/$E$5))</f>
        <v/>
      </c>
      <c r="K573" s="249" t="str">
        <f ca="1">IF(C573="","",IF($K$11="净利润率",[1]!S_STM07_IS(D573,61,$G$5,$H$13)/[1]!S_STM07_IS(D573,9,$G$5,$H$13),[1]!S_STM07_IS(D573,55,$G$5,$H$13)/$E$5))</f>
        <v/>
      </c>
      <c r="L573" s="249" t="str">
        <f ca="1">IF(C573="","",IF($L$11="ROA",[1]!S_STM07_IS(D573,61,$G$5,$H$13)/[1]!S_STM07_BS(D573,74,$G$5,$H$13),1-[1]!S_STM07_IS(D573,61,$G$5,$H$13)/[1]!S_STM07_IS(D573,55,$G$5,$H$13)))</f>
        <v/>
      </c>
      <c r="M573" s="249" t="str">
        <f ca="1">IF(C573="","",IF($M$11="ROE",[1]!S_STM07_IS(D573,61,$G$5,$H$13)/[1]!S_STM07_BS(D573,141,$G$5,$H$13),([1]!S_STM07_BS(D573,25,$G$5,$H$13)-[1]!S_STM07_BS(D573,93,$G$5,$H$13))/$E$5))</f>
        <v/>
      </c>
      <c r="N573" s="250" t="str">
        <f ca="1">IF(C573="","",IF($N$11="EPS",[1]!S_STM07_IS(D573,61,$G$5,$H$13)/IF([1]!S_SHARE_TOTAL(D573,$G$5)=0,[1]!S_SHARE_TOTAL(D573,[1]!s_ipo_listeddate(D573)),[1]!S_SHARE_TOTAL(D573,$G$5)),([1]!S_STM07_BS(D573,75,$G$5,$H$13)+[1]!S_STM07_BS(D573,88,$G$5,$H$13)+[1]!S_STM07_BS(D573,94,$G$5,$H$13)+[1]!S_STM07_BS(D573,95,$G$5,$H$13))/$E$5))</f>
        <v/>
      </c>
      <c r="O573" s="250" t="str">
        <f ca="1">IF(C573="","",IF($O$11="BPS",[1]!S_STM07_BS(D573,141,$G$5,$H$13)/IF([1]!S_SHARE_TOTAL(D573,$G$5)=0,[1]!S_SHARE_TOTAL(D573,[1]!s_ipo_listeddate(D573)),[1]!S_SHARE_TOTAL(D573,$G$5)),[1]!S_STM07_CS(D573,49,$G$5,$H$13)/$E$5))</f>
        <v/>
      </c>
      <c r="P573" s="250" t="str">
        <f ca="1">IF(C573="","",IF($P$11="CFPS",[1]!S_STM07_CS(D573,84,$G$5,$H$13)/IF([1]!S_SHARE_TOTAL(D573,$G$5)=0,[1]!S_SHARE_TOTAL(D573,[1]!s_ipo_listeddate(D573)),[1]!S_SHARE_TOTAL(D573,$G$5)),[1]!S_STM07_CS(D573,84,$G$5,$H$13)/$E$5))</f>
        <v/>
      </c>
      <c r="Q573" s="198" t="str">
        <f ca="1">IF(C573="","",F573/([1]!S_STM07_IS(D573,61,$G$5,$H$13)/IF([1]!S_SHARE_TOTAL(D573,$G$5)=0,[1]!S_SHARE_TOTAL(D573,[1]!s_ipo_listeddate(D573)),[1]!S_SHARE_TOTAL(D573,$G$5))))</f>
        <v/>
      </c>
      <c r="R573" s="198" t="str">
        <f ca="1">IF(C573="","",F573/([1]!S_STM07_BS(D573,141,$G$5,$H$13)/IF([1]!S_SHARE_TOTAL(D573,$G$5)=0,[1]!S_SHARE_TOTAL(D573,[1]!s_ipo_listeddate(D573)),[1]!S_SHARE_TOTAL(D573,$G$5))))</f>
        <v/>
      </c>
      <c r="S573" s="249" t="str">
        <f ca="1">IF(C573="","",[1]!S_SHARE_TOTAL(D573,TODAY())/$E$5)</f>
        <v/>
      </c>
      <c r="T573" s="249" t="str">
        <f t="shared" ca="1" si="61"/>
        <v/>
      </c>
      <c r="U573" s="172" t="str">
        <f t="shared" ca="1" si="62"/>
        <v/>
      </c>
      <c r="V573" s="343" t="str">
        <f t="shared" ca="1" si="63"/>
        <v/>
      </c>
      <c r="W573" s="139"/>
      <c r="Y573" s="1"/>
    </row>
    <row r="574" spans="3:25" ht="12" customHeight="1">
      <c r="C574" s="342" t="str">
        <f t="shared" ca="1" si="58"/>
        <v/>
      </c>
      <c r="D574" s="153" t="str">
        <f t="shared" ca="1" si="59"/>
        <v/>
      </c>
      <c r="E574" s="153" t="str">
        <f t="shared" ca="1" si="60"/>
        <v/>
      </c>
      <c r="F574" s="170" t="str">
        <f ca="1">IF(C574="","",[1]!S_DQ_CLOSE(D574,TODAY(),1))</f>
        <v/>
      </c>
      <c r="G574" s="171" t="str">
        <f ca="1">IF(C574="","",[1]!s_pq_pctchange(D574,TODAY()-$G$12,TODAY())/100)</f>
        <v/>
      </c>
      <c r="H574" s="247" t="str">
        <f ca="1">IF(C574="","",IF($H$11="收入",[1]!S_STM07_IS(D574,9,$G$5,$H$13)/$E$5,[1]!S_STM07_IS(D574,48,$G$5,$H$13)/$E$5))</f>
        <v/>
      </c>
      <c r="I574" s="247" t="str">
        <f ca="1">IF(C574="","",IF($I$11="毛利率",([1]!S_STM07_IS(D574,9,$G$5,$H$13)-[1]!S_STM07_IS(D574,10,$G$5,$H$13))/[1]!S_STM07_IS(D574,9,$G$5,$H$13),[1]!S_STM07_IS(D574,14,$G$5,$H$13)/$E$5))</f>
        <v/>
      </c>
      <c r="J574" s="247" t="str">
        <f ca="1">IF(C574="","",IF($J$11="营业利润率",[1]!S_STM07_IS(D574,48,$G$5,$H$13)/[1]!S_STM07_IS(D574,9,$G$5,$H$13),([1]!S_STM07_CS(D574,87,$G$5,$H$13)+[1]!S_STM07_CS(D574,88,$G$5,$H$13)+[1]!S_STM07_CS(D574,89,$G$5,$H$13))/$E$5))</f>
        <v/>
      </c>
      <c r="K574" s="247" t="str">
        <f ca="1">IF(C574="","",IF($K$11="净利润率",[1]!S_STM07_IS(D574,61,$G$5,$H$13)/[1]!S_STM07_IS(D574,9,$G$5,$H$13),[1]!S_STM07_IS(D574,55,$G$5,$H$13)/$E$5))</f>
        <v/>
      </c>
      <c r="L574" s="247" t="str">
        <f ca="1">IF(C574="","",IF($L$11="ROA",[1]!S_STM07_IS(D574,61,$G$5,$H$13)/[1]!S_STM07_BS(D574,74,$G$5,$H$13),1-[1]!S_STM07_IS(D574,61,$G$5,$H$13)/[1]!S_STM07_IS(D574,55,$G$5,$H$13)))</f>
        <v/>
      </c>
      <c r="M574" s="247" t="str">
        <f ca="1">IF(C574="","",IF($M$11="ROE",[1]!S_STM07_IS(D574,61,$G$5,$H$13)/[1]!S_STM07_BS(D574,141,$G$5,$H$13),([1]!S_STM07_BS(D574,25,$G$5,$H$13)-[1]!S_STM07_BS(D574,93,$G$5,$H$13))/$E$5))</f>
        <v/>
      </c>
      <c r="N574" s="247" t="str">
        <f ca="1">IF(C574="","",IF($N$11="EPS",[1]!S_STM07_IS(D574,61,$G$5,$H$13)/IF([1]!S_SHARE_TOTAL(D574,$G$5)=0,[1]!S_SHARE_TOTAL(D574,[1]!s_ipo_listeddate(D574)),[1]!S_SHARE_TOTAL(D574,$G$5)),([1]!S_STM07_BS(D574,75,$G$5,$H$13)+[1]!S_STM07_BS(D574,88,$G$5,$H$13)+[1]!S_STM07_BS(D574,94,$G$5,$H$13)+[1]!S_STM07_BS(D574,95,$G$5,$H$13))/$E$5))</f>
        <v/>
      </c>
      <c r="O574" s="247" t="str">
        <f ca="1">IF(C574="","",IF($O$11="BPS",[1]!S_STM07_BS(D574,141,$G$5,$H$13)/IF([1]!S_SHARE_TOTAL(D574,$G$5)=0,[1]!S_SHARE_TOTAL(D574,[1]!s_ipo_listeddate(D574)),[1]!S_SHARE_TOTAL(D574,$G$5)),[1]!S_STM07_CS(D574,49,$G$5,$H$13)/$E$5))</f>
        <v/>
      </c>
      <c r="P574" s="247" t="str">
        <f ca="1">IF(C574="","",IF($P$11="CFPS",[1]!S_STM07_CS(D574,84,$G$5,$H$13)/IF([1]!S_SHARE_TOTAL(D574,$G$5)=0,[1]!S_SHARE_TOTAL(D574,[1]!s_ipo_listeddate(D574)),[1]!S_SHARE_TOTAL(D574,$G$5)),[1]!S_STM07_CS(D574,84,$G$5,$H$13)/$E$5))</f>
        <v/>
      </c>
      <c r="Q574" s="248" t="str">
        <f ca="1">IF(C574="","",F574/([1]!S_STM07_IS(D574,61,$G$5,$H$13)/IF([1]!S_SHARE_TOTAL(D574,$G$5)=0,[1]!S_SHARE_TOTAL(D574,[1]!s_ipo_listeddate(D574)),[1]!S_SHARE_TOTAL(D574,$G$5))))</f>
        <v/>
      </c>
      <c r="R574" s="248" t="str">
        <f ca="1">IF(C574="","",F574/([1]!S_STM07_BS(D574,141,$G$5,$H$13)/IF([1]!S_SHARE_TOTAL(D574,$G$5)=0,[1]!S_SHARE_TOTAL(D574,[1]!s_ipo_listeddate(D574)),[1]!S_SHARE_TOTAL(D574,$G$5))))</f>
        <v/>
      </c>
      <c r="S574" s="247" t="str">
        <f ca="1">IF(C574="","",[1]!S_SHARE_TOTAL(D574,TODAY())/$E$5)</f>
        <v/>
      </c>
      <c r="T574" s="247" t="str">
        <f t="shared" ca="1" si="61"/>
        <v/>
      </c>
      <c r="U574" s="218" t="str">
        <f t="shared" ca="1" si="62"/>
        <v/>
      </c>
      <c r="V574" s="342" t="str">
        <f t="shared" ca="1" si="63"/>
        <v/>
      </c>
      <c r="W574" s="139"/>
      <c r="Y574" s="1"/>
    </row>
    <row r="575" spans="3:25" ht="12" customHeight="1">
      <c r="C575" s="343" t="str">
        <f t="shared" ca="1" si="58"/>
        <v/>
      </c>
      <c r="D575" s="124" t="str">
        <f t="shared" ca="1" si="59"/>
        <v/>
      </c>
      <c r="E575" s="124" t="str">
        <f t="shared" ca="1" si="60"/>
        <v/>
      </c>
      <c r="F575" s="172" t="str">
        <f ca="1">IF(C575="","",[1]!S_DQ_CLOSE(D575,TODAY(),1))</f>
        <v/>
      </c>
      <c r="G575" s="173" t="str">
        <f ca="1">IF(C575="","",[1]!s_pq_pctchange(D575,TODAY()-$G$12,TODAY())/100)</f>
        <v/>
      </c>
      <c r="H575" s="249" t="str">
        <f ca="1">IF(C575="","",IF($H$11="收入",[1]!S_STM07_IS(D575,9,$G$5,$H$13)/$E$5,[1]!S_STM07_IS(D575,48,$G$5,$H$13)/$E$5))</f>
        <v/>
      </c>
      <c r="I575" s="249" t="str">
        <f ca="1">IF(C575="","",IF($I$11="毛利率",([1]!S_STM07_IS(D575,9,$G$5,$H$13)-[1]!S_STM07_IS(D575,10,$G$5,$H$13))/[1]!S_STM07_IS(D575,9,$G$5,$H$13),[1]!S_STM07_IS(D575,14,$G$5,$H$13)/$E$5))</f>
        <v/>
      </c>
      <c r="J575" s="249" t="str">
        <f ca="1">IF(C575="","",IF($J$11="营业利润率",[1]!S_STM07_IS(D575,48,$G$5,$H$13)/[1]!S_STM07_IS(D575,9,$G$5,$H$13),([1]!S_STM07_CS(D575,87,$G$5,$H$13)+[1]!S_STM07_CS(D575,88,$G$5,$H$13)+[1]!S_STM07_CS(D575,89,$G$5,$H$13))/$E$5))</f>
        <v/>
      </c>
      <c r="K575" s="249" t="str">
        <f ca="1">IF(C575="","",IF($K$11="净利润率",[1]!S_STM07_IS(D575,61,$G$5,$H$13)/[1]!S_STM07_IS(D575,9,$G$5,$H$13),[1]!S_STM07_IS(D575,55,$G$5,$H$13)/$E$5))</f>
        <v/>
      </c>
      <c r="L575" s="249" t="str">
        <f ca="1">IF(C575="","",IF($L$11="ROA",[1]!S_STM07_IS(D575,61,$G$5,$H$13)/[1]!S_STM07_BS(D575,74,$G$5,$H$13),1-[1]!S_STM07_IS(D575,61,$G$5,$H$13)/[1]!S_STM07_IS(D575,55,$G$5,$H$13)))</f>
        <v/>
      </c>
      <c r="M575" s="249" t="str">
        <f ca="1">IF(C575="","",IF($M$11="ROE",[1]!S_STM07_IS(D575,61,$G$5,$H$13)/[1]!S_STM07_BS(D575,141,$G$5,$H$13),([1]!S_STM07_BS(D575,25,$G$5,$H$13)-[1]!S_STM07_BS(D575,93,$G$5,$H$13))/$E$5))</f>
        <v/>
      </c>
      <c r="N575" s="250" t="str">
        <f ca="1">IF(C575="","",IF($N$11="EPS",[1]!S_STM07_IS(D575,61,$G$5,$H$13)/IF([1]!S_SHARE_TOTAL(D575,$G$5)=0,[1]!S_SHARE_TOTAL(D575,[1]!s_ipo_listeddate(D575)),[1]!S_SHARE_TOTAL(D575,$G$5)),([1]!S_STM07_BS(D575,75,$G$5,$H$13)+[1]!S_STM07_BS(D575,88,$G$5,$H$13)+[1]!S_STM07_BS(D575,94,$G$5,$H$13)+[1]!S_STM07_BS(D575,95,$G$5,$H$13))/$E$5))</f>
        <v/>
      </c>
      <c r="O575" s="250" t="str">
        <f ca="1">IF(C575="","",IF($O$11="BPS",[1]!S_STM07_BS(D575,141,$G$5,$H$13)/IF([1]!S_SHARE_TOTAL(D575,$G$5)=0,[1]!S_SHARE_TOTAL(D575,[1]!s_ipo_listeddate(D575)),[1]!S_SHARE_TOTAL(D575,$G$5)),[1]!S_STM07_CS(D575,49,$G$5,$H$13)/$E$5))</f>
        <v/>
      </c>
      <c r="P575" s="250" t="str">
        <f ca="1">IF(C575="","",IF($P$11="CFPS",[1]!S_STM07_CS(D575,84,$G$5,$H$13)/IF([1]!S_SHARE_TOTAL(D575,$G$5)=0,[1]!S_SHARE_TOTAL(D575,[1]!s_ipo_listeddate(D575)),[1]!S_SHARE_TOTAL(D575,$G$5)),[1]!S_STM07_CS(D575,84,$G$5,$H$13)/$E$5))</f>
        <v/>
      </c>
      <c r="Q575" s="198" t="str">
        <f ca="1">IF(C575="","",F575/([1]!S_STM07_IS(D575,61,$G$5,$H$13)/IF([1]!S_SHARE_TOTAL(D575,$G$5)=0,[1]!S_SHARE_TOTAL(D575,[1]!s_ipo_listeddate(D575)),[1]!S_SHARE_TOTAL(D575,$G$5))))</f>
        <v/>
      </c>
      <c r="R575" s="198" t="str">
        <f ca="1">IF(C575="","",F575/([1]!S_STM07_BS(D575,141,$G$5,$H$13)/IF([1]!S_SHARE_TOTAL(D575,$G$5)=0,[1]!S_SHARE_TOTAL(D575,[1]!s_ipo_listeddate(D575)),[1]!S_SHARE_TOTAL(D575,$G$5))))</f>
        <v/>
      </c>
      <c r="S575" s="249" t="str">
        <f ca="1">IF(C575="","",[1]!S_SHARE_TOTAL(D575,TODAY())/$E$5)</f>
        <v/>
      </c>
      <c r="T575" s="249" t="str">
        <f t="shared" ca="1" si="61"/>
        <v/>
      </c>
      <c r="U575" s="172" t="str">
        <f t="shared" ca="1" si="62"/>
        <v/>
      </c>
      <c r="V575" s="343" t="str">
        <f t="shared" ca="1" si="63"/>
        <v/>
      </c>
      <c r="W575" s="139"/>
      <c r="Y575" s="1"/>
    </row>
    <row r="576" spans="3:25" ht="12" customHeight="1">
      <c r="C576" s="342" t="str">
        <f t="shared" ca="1" si="58"/>
        <v/>
      </c>
      <c r="D576" s="153" t="str">
        <f t="shared" ca="1" si="59"/>
        <v/>
      </c>
      <c r="E576" s="153" t="str">
        <f t="shared" ca="1" si="60"/>
        <v/>
      </c>
      <c r="F576" s="170" t="str">
        <f ca="1">IF(C576="","",[1]!S_DQ_CLOSE(D576,TODAY(),1))</f>
        <v/>
      </c>
      <c r="G576" s="171" t="str">
        <f ca="1">IF(C576="","",[1]!s_pq_pctchange(D576,TODAY()-$G$12,TODAY())/100)</f>
        <v/>
      </c>
      <c r="H576" s="247" t="str">
        <f ca="1">IF(C576="","",IF($H$11="收入",[1]!S_STM07_IS(D576,9,$G$5,$H$13)/$E$5,[1]!S_STM07_IS(D576,48,$G$5,$H$13)/$E$5))</f>
        <v/>
      </c>
      <c r="I576" s="247" t="str">
        <f ca="1">IF(C576="","",IF($I$11="毛利率",([1]!S_STM07_IS(D576,9,$G$5,$H$13)-[1]!S_STM07_IS(D576,10,$G$5,$H$13))/[1]!S_STM07_IS(D576,9,$G$5,$H$13),[1]!S_STM07_IS(D576,14,$G$5,$H$13)/$E$5))</f>
        <v/>
      </c>
      <c r="J576" s="247" t="str">
        <f ca="1">IF(C576="","",IF($J$11="营业利润率",[1]!S_STM07_IS(D576,48,$G$5,$H$13)/[1]!S_STM07_IS(D576,9,$G$5,$H$13),([1]!S_STM07_CS(D576,87,$G$5,$H$13)+[1]!S_STM07_CS(D576,88,$G$5,$H$13)+[1]!S_STM07_CS(D576,89,$G$5,$H$13))/$E$5))</f>
        <v/>
      </c>
      <c r="K576" s="247" t="str">
        <f ca="1">IF(C576="","",IF($K$11="净利润率",[1]!S_STM07_IS(D576,61,$G$5,$H$13)/[1]!S_STM07_IS(D576,9,$G$5,$H$13),[1]!S_STM07_IS(D576,55,$G$5,$H$13)/$E$5))</f>
        <v/>
      </c>
      <c r="L576" s="247" t="str">
        <f ca="1">IF(C576="","",IF($L$11="ROA",[1]!S_STM07_IS(D576,61,$G$5,$H$13)/[1]!S_STM07_BS(D576,74,$G$5,$H$13),1-[1]!S_STM07_IS(D576,61,$G$5,$H$13)/[1]!S_STM07_IS(D576,55,$G$5,$H$13)))</f>
        <v/>
      </c>
      <c r="M576" s="247" t="str">
        <f ca="1">IF(C576="","",IF($M$11="ROE",[1]!S_STM07_IS(D576,61,$G$5,$H$13)/[1]!S_STM07_BS(D576,141,$G$5,$H$13),([1]!S_STM07_BS(D576,25,$G$5,$H$13)-[1]!S_STM07_BS(D576,93,$G$5,$H$13))/$E$5))</f>
        <v/>
      </c>
      <c r="N576" s="247" t="str">
        <f ca="1">IF(C576="","",IF($N$11="EPS",[1]!S_STM07_IS(D576,61,$G$5,$H$13)/IF([1]!S_SHARE_TOTAL(D576,$G$5)=0,[1]!S_SHARE_TOTAL(D576,[1]!s_ipo_listeddate(D576)),[1]!S_SHARE_TOTAL(D576,$G$5)),([1]!S_STM07_BS(D576,75,$G$5,$H$13)+[1]!S_STM07_BS(D576,88,$G$5,$H$13)+[1]!S_STM07_BS(D576,94,$G$5,$H$13)+[1]!S_STM07_BS(D576,95,$G$5,$H$13))/$E$5))</f>
        <v/>
      </c>
      <c r="O576" s="247" t="str">
        <f ca="1">IF(C576="","",IF($O$11="BPS",[1]!S_STM07_BS(D576,141,$G$5,$H$13)/IF([1]!S_SHARE_TOTAL(D576,$G$5)=0,[1]!S_SHARE_TOTAL(D576,[1]!s_ipo_listeddate(D576)),[1]!S_SHARE_TOTAL(D576,$G$5)),[1]!S_STM07_CS(D576,49,$G$5,$H$13)/$E$5))</f>
        <v/>
      </c>
      <c r="P576" s="247" t="str">
        <f ca="1">IF(C576="","",IF($P$11="CFPS",[1]!S_STM07_CS(D576,84,$G$5,$H$13)/IF([1]!S_SHARE_TOTAL(D576,$G$5)=0,[1]!S_SHARE_TOTAL(D576,[1]!s_ipo_listeddate(D576)),[1]!S_SHARE_TOTAL(D576,$G$5)),[1]!S_STM07_CS(D576,84,$G$5,$H$13)/$E$5))</f>
        <v/>
      </c>
      <c r="Q576" s="248" t="str">
        <f ca="1">IF(C576="","",F576/([1]!S_STM07_IS(D576,61,$G$5,$H$13)/IF([1]!S_SHARE_TOTAL(D576,$G$5)=0,[1]!S_SHARE_TOTAL(D576,[1]!s_ipo_listeddate(D576)),[1]!S_SHARE_TOTAL(D576,$G$5))))</f>
        <v/>
      </c>
      <c r="R576" s="248" t="str">
        <f ca="1">IF(C576="","",F576/([1]!S_STM07_BS(D576,141,$G$5,$H$13)/IF([1]!S_SHARE_TOTAL(D576,$G$5)=0,[1]!S_SHARE_TOTAL(D576,[1]!s_ipo_listeddate(D576)),[1]!S_SHARE_TOTAL(D576,$G$5))))</f>
        <v/>
      </c>
      <c r="S576" s="247" t="str">
        <f ca="1">IF(C576="","",[1]!S_SHARE_TOTAL(D576,TODAY())/$E$5)</f>
        <v/>
      </c>
      <c r="T576" s="247" t="str">
        <f t="shared" ca="1" si="61"/>
        <v/>
      </c>
      <c r="U576" s="218" t="str">
        <f t="shared" ca="1" si="62"/>
        <v/>
      </c>
      <c r="V576" s="342" t="str">
        <f t="shared" ca="1" si="63"/>
        <v/>
      </c>
      <c r="W576" s="139"/>
      <c r="Y576" s="1"/>
    </row>
    <row r="577" spans="3:25" ht="12" customHeight="1">
      <c r="C577" s="343" t="str">
        <f t="shared" ca="1" si="58"/>
        <v/>
      </c>
      <c r="D577" s="124" t="str">
        <f t="shared" ca="1" si="59"/>
        <v/>
      </c>
      <c r="E577" s="124" t="str">
        <f t="shared" ca="1" si="60"/>
        <v/>
      </c>
      <c r="F577" s="172" t="str">
        <f ca="1">IF(C577="","",[1]!S_DQ_CLOSE(D577,TODAY(),1))</f>
        <v/>
      </c>
      <c r="G577" s="173" t="str">
        <f ca="1">IF(C577="","",[1]!s_pq_pctchange(D577,TODAY()-$G$12,TODAY())/100)</f>
        <v/>
      </c>
      <c r="H577" s="249" t="str">
        <f ca="1">IF(C577="","",IF($H$11="收入",[1]!S_STM07_IS(D577,9,$G$5,$H$13)/$E$5,[1]!S_STM07_IS(D577,48,$G$5,$H$13)/$E$5))</f>
        <v/>
      </c>
      <c r="I577" s="249" t="str">
        <f ca="1">IF(C577="","",IF($I$11="毛利率",([1]!S_STM07_IS(D577,9,$G$5,$H$13)-[1]!S_STM07_IS(D577,10,$G$5,$H$13))/[1]!S_STM07_IS(D577,9,$G$5,$H$13),[1]!S_STM07_IS(D577,14,$G$5,$H$13)/$E$5))</f>
        <v/>
      </c>
      <c r="J577" s="249" t="str">
        <f ca="1">IF(C577="","",IF($J$11="营业利润率",[1]!S_STM07_IS(D577,48,$G$5,$H$13)/[1]!S_STM07_IS(D577,9,$G$5,$H$13),([1]!S_STM07_CS(D577,87,$G$5,$H$13)+[1]!S_STM07_CS(D577,88,$G$5,$H$13)+[1]!S_STM07_CS(D577,89,$G$5,$H$13))/$E$5))</f>
        <v/>
      </c>
      <c r="K577" s="249" t="str">
        <f ca="1">IF(C577="","",IF($K$11="净利润率",[1]!S_STM07_IS(D577,61,$G$5,$H$13)/[1]!S_STM07_IS(D577,9,$G$5,$H$13),[1]!S_STM07_IS(D577,55,$G$5,$H$13)/$E$5))</f>
        <v/>
      </c>
      <c r="L577" s="249" t="str">
        <f ca="1">IF(C577="","",IF($L$11="ROA",[1]!S_STM07_IS(D577,61,$G$5,$H$13)/[1]!S_STM07_BS(D577,74,$G$5,$H$13),1-[1]!S_STM07_IS(D577,61,$G$5,$H$13)/[1]!S_STM07_IS(D577,55,$G$5,$H$13)))</f>
        <v/>
      </c>
      <c r="M577" s="249" t="str">
        <f ca="1">IF(C577="","",IF($M$11="ROE",[1]!S_STM07_IS(D577,61,$G$5,$H$13)/[1]!S_STM07_BS(D577,141,$G$5,$H$13),([1]!S_STM07_BS(D577,25,$G$5,$H$13)-[1]!S_STM07_BS(D577,93,$G$5,$H$13))/$E$5))</f>
        <v/>
      </c>
      <c r="N577" s="250" t="str">
        <f ca="1">IF(C577="","",IF($N$11="EPS",[1]!S_STM07_IS(D577,61,$G$5,$H$13)/IF([1]!S_SHARE_TOTAL(D577,$G$5)=0,[1]!S_SHARE_TOTAL(D577,[1]!s_ipo_listeddate(D577)),[1]!S_SHARE_TOTAL(D577,$G$5)),([1]!S_STM07_BS(D577,75,$G$5,$H$13)+[1]!S_STM07_BS(D577,88,$G$5,$H$13)+[1]!S_STM07_BS(D577,94,$G$5,$H$13)+[1]!S_STM07_BS(D577,95,$G$5,$H$13))/$E$5))</f>
        <v/>
      </c>
      <c r="O577" s="250" t="str">
        <f ca="1">IF(C577="","",IF($O$11="BPS",[1]!S_STM07_BS(D577,141,$G$5,$H$13)/IF([1]!S_SHARE_TOTAL(D577,$G$5)=0,[1]!S_SHARE_TOTAL(D577,[1]!s_ipo_listeddate(D577)),[1]!S_SHARE_TOTAL(D577,$G$5)),[1]!S_STM07_CS(D577,49,$G$5,$H$13)/$E$5))</f>
        <v/>
      </c>
      <c r="P577" s="250" t="str">
        <f ca="1">IF(C577="","",IF($P$11="CFPS",[1]!S_STM07_CS(D577,84,$G$5,$H$13)/IF([1]!S_SHARE_TOTAL(D577,$G$5)=0,[1]!S_SHARE_TOTAL(D577,[1]!s_ipo_listeddate(D577)),[1]!S_SHARE_TOTAL(D577,$G$5)),[1]!S_STM07_CS(D577,84,$G$5,$H$13)/$E$5))</f>
        <v/>
      </c>
      <c r="Q577" s="198" t="str">
        <f ca="1">IF(C577="","",F577/([1]!S_STM07_IS(D577,61,$G$5,$H$13)/IF([1]!S_SHARE_TOTAL(D577,$G$5)=0,[1]!S_SHARE_TOTAL(D577,[1]!s_ipo_listeddate(D577)),[1]!S_SHARE_TOTAL(D577,$G$5))))</f>
        <v/>
      </c>
      <c r="R577" s="198" t="str">
        <f ca="1">IF(C577="","",F577/([1]!S_STM07_BS(D577,141,$G$5,$H$13)/IF([1]!S_SHARE_TOTAL(D577,$G$5)=0,[1]!S_SHARE_TOTAL(D577,[1]!s_ipo_listeddate(D577)),[1]!S_SHARE_TOTAL(D577,$G$5))))</f>
        <v/>
      </c>
      <c r="S577" s="249" t="str">
        <f ca="1">IF(C577="","",[1]!S_SHARE_TOTAL(D577,TODAY())/$E$5)</f>
        <v/>
      </c>
      <c r="T577" s="249" t="str">
        <f t="shared" ca="1" si="61"/>
        <v/>
      </c>
      <c r="U577" s="172" t="str">
        <f t="shared" ca="1" si="62"/>
        <v/>
      </c>
      <c r="V577" s="343" t="str">
        <f t="shared" ca="1" si="63"/>
        <v/>
      </c>
      <c r="W577" s="139"/>
      <c r="Y577" s="1"/>
    </row>
    <row r="578" spans="3:25" ht="12" customHeight="1">
      <c r="C578" s="342" t="str">
        <f t="shared" ca="1" si="58"/>
        <v/>
      </c>
      <c r="D578" s="153" t="str">
        <f t="shared" ca="1" si="59"/>
        <v/>
      </c>
      <c r="E578" s="153" t="str">
        <f t="shared" ca="1" si="60"/>
        <v/>
      </c>
      <c r="F578" s="170" t="str">
        <f ca="1">IF(C578="","",[1]!S_DQ_CLOSE(D578,TODAY(),1))</f>
        <v/>
      </c>
      <c r="G578" s="171" t="str">
        <f ca="1">IF(C578="","",[1]!s_pq_pctchange(D578,TODAY()-$G$12,TODAY())/100)</f>
        <v/>
      </c>
      <c r="H578" s="247" t="str">
        <f ca="1">IF(C578="","",IF($H$11="收入",[1]!S_STM07_IS(D578,9,$G$5,$H$13)/$E$5,[1]!S_STM07_IS(D578,48,$G$5,$H$13)/$E$5))</f>
        <v/>
      </c>
      <c r="I578" s="247" t="str">
        <f ca="1">IF(C578="","",IF($I$11="毛利率",([1]!S_STM07_IS(D578,9,$G$5,$H$13)-[1]!S_STM07_IS(D578,10,$G$5,$H$13))/[1]!S_STM07_IS(D578,9,$G$5,$H$13),[1]!S_STM07_IS(D578,14,$G$5,$H$13)/$E$5))</f>
        <v/>
      </c>
      <c r="J578" s="247" t="str">
        <f ca="1">IF(C578="","",IF($J$11="营业利润率",[1]!S_STM07_IS(D578,48,$G$5,$H$13)/[1]!S_STM07_IS(D578,9,$G$5,$H$13),([1]!S_STM07_CS(D578,87,$G$5,$H$13)+[1]!S_STM07_CS(D578,88,$G$5,$H$13)+[1]!S_STM07_CS(D578,89,$G$5,$H$13))/$E$5))</f>
        <v/>
      </c>
      <c r="K578" s="247" t="str">
        <f ca="1">IF(C578="","",IF($K$11="净利润率",[1]!S_STM07_IS(D578,61,$G$5,$H$13)/[1]!S_STM07_IS(D578,9,$G$5,$H$13),[1]!S_STM07_IS(D578,55,$G$5,$H$13)/$E$5))</f>
        <v/>
      </c>
      <c r="L578" s="247" t="str">
        <f ca="1">IF(C578="","",IF($L$11="ROA",[1]!S_STM07_IS(D578,61,$G$5,$H$13)/[1]!S_STM07_BS(D578,74,$G$5,$H$13),1-[1]!S_STM07_IS(D578,61,$G$5,$H$13)/[1]!S_STM07_IS(D578,55,$G$5,$H$13)))</f>
        <v/>
      </c>
      <c r="M578" s="247" t="str">
        <f ca="1">IF(C578="","",IF($M$11="ROE",[1]!S_STM07_IS(D578,61,$G$5,$H$13)/[1]!S_STM07_BS(D578,141,$G$5,$H$13),([1]!S_STM07_BS(D578,25,$G$5,$H$13)-[1]!S_STM07_BS(D578,93,$G$5,$H$13))/$E$5))</f>
        <v/>
      </c>
      <c r="N578" s="247" t="str">
        <f ca="1">IF(C578="","",IF($N$11="EPS",[1]!S_STM07_IS(D578,61,$G$5,$H$13)/IF([1]!S_SHARE_TOTAL(D578,$G$5)=0,[1]!S_SHARE_TOTAL(D578,[1]!s_ipo_listeddate(D578)),[1]!S_SHARE_TOTAL(D578,$G$5)),([1]!S_STM07_BS(D578,75,$G$5,$H$13)+[1]!S_STM07_BS(D578,88,$G$5,$H$13)+[1]!S_STM07_BS(D578,94,$G$5,$H$13)+[1]!S_STM07_BS(D578,95,$G$5,$H$13))/$E$5))</f>
        <v/>
      </c>
      <c r="O578" s="247" t="str">
        <f ca="1">IF(C578="","",IF($O$11="BPS",[1]!S_STM07_BS(D578,141,$G$5,$H$13)/IF([1]!S_SHARE_TOTAL(D578,$G$5)=0,[1]!S_SHARE_TOTAL(D578,[1]!s_ipo_listeddate(D578)),[1]!S_SHARE_TOTAL(D578,$G$5)),[1]!S_STM07_CS(D578,49,$G$5,$H$13)/$E$5))</f>
        <v/>
      </c>
      <c r="P578" s="247" t="str">
        <f ca="1">IF(C578="","",IF($P$11="CFPS",[1]!S_STM07_CS(D578,84,$G$5,$H$13)/IF([1]!S_SHARE_TOTAL(D578,$G$5)=0,[1]!S_SHARE_TOTAL(D578,[1]!s_ipo_listeddate(D578)),[1]!S_SHARE_TOTAL(D578,$G$5)),[1]!S_STM07_CS(D578,84,$G$5,$H$13)/$E$5))</f>
        <v/>
      </c>
      <c r="Q578" s="248" t="str">
        <f ca="1">IF(C578="","",F578/([1]!S_STM07_IS(D578,61,$G$5,$H$13)/IF([1]!S_SHARE_TOTAL(D578,$G$5)=0,[1]!S_SHARE_TOTAL(D578,[1]!s_ipo_listeddate(D578)),[1]!S_SHARE_TOTAL(D578,$G$5))))</f>
        <v/>
      </c>
      <c r="R578" s="248" t="str">
        <f ca="1">IF(C578="","",F578/([1]!S_STM07_BS(D578,141,$G$5,$H$13)/IF([1]!S_SHARE_TOTAL(D578,$G$5)=0,[1]!S_SHARE_TOTAL(D578,[1]!s_ipo_listeddate(D578)),[1]!S_SHARE_TOTAL(D578,$G$5))))</f>
        <v/>
      </c>
      <c r="S578" s="247" t="str">
        <f ca="1">IF(C578="","",[1]!S_SHARE_TOTAL(D578,TODAY())/$E$5)</f>
        <v/>
      </c>
      <c r="T578" s="247" t="str">
        <f t="shared" ca="1" si="61"/>
        <v/>
      </c>
      <c r="U578" s="218" t="str">
        <f t="shared" ca="1" si="62"/>
        <v/>
      </c>
      <c r="V578" s="342" t="str">
        <f t="shared" ca="1" si="63"/>
        <v/>
      </c>
      <c r="W578" s="139"/>
      <c r="Y578" s="1"/>
    </row>
    <row r="579" spans="3:25" ht="12" customHeight="1">
      <c r="C579" s="343" t="str">
        <f t="shared" ca="1" si="58"/>
        <v/>
      </c>
      <c r="D579" s="124" t="str">
        <f t="shared" ca="1" si="59"/>
        <v/>
      </c>
      <c r="E579" s="124" t="str">
        <f t="shared" ca="1" si="60"/>
        <v/>
      </c>
      <c r="F579" s="172" t="str">
        <f ca="1">IF(C579="","",[1]!S_DQ_CLOSE(D579,TODAY(),1))</f>
        <v/>
      </c>
      <c r="G579" s="173" t="str">
        <f ca="1">IF(C579="","",[1]!s_pq_pctchange(D579,TODAY()-$G$12,TODAY())/100)</f>
        <v/>
      </c>
      <c r="H579" s="249" t="str">
        <f ca="1">IF(C579="","",IF($H$11="收入",[1]!S_STM07_IS(D579,9,$G$5,$H$13)/$E$5,[1]!S_STM07_IS(D579,48,$G$5,$H$13)/$E$5))</f>
        <v/>
      </c>
      <c r="I579" s="249" t="str">
        <f ca="1">IF(C579="","",IF($I$11="毛利率",([1]!S_STM07_IS(D579,9,$G$5,$H$13)-[1]!S_STM07_IS(D579,10,$G$5,$H$13))/[1]!S_STM07_IS(D579,9,$G$5,$H$13),[1]!S_STM07_IS(D579,14,$G$5,$H$13)/$E$5))</f>
        <v/>
      </c>
      <c r="J579" s="249" t="str">
        <f ca="1">IF(C579="","",IF($J$11="营业利润率",[1]!S_STM07_IS(D579,48,$G$5,$H$13)/[1]!S_STM07_IS(D579,9,$G$5,$H$13),([1]!S_STM07_CS(D579,87,$G$5,$H$13)+[1]!S_STM07_CS(D579,88,$G$5,$H$13)+[1]!S_STM07_CS(D579,89,$G$5,$H$13))/$E$5))</f>
        <v/>
      </c>
      <c r="K579" s="249" t="str">
        <f ca="1">IF(C579="","",IF($K$11="净利润率",[1]!S_STM07_IS(D579,61,$G$5,$H$13)/[1]!S_STM07_IS(D579,9,$G$5,$H$13),[1]!S_STM07_IS(D579,55,$G$5,$H$13)/$E$5))</f>
        <v/>
      </c>
      <c r="L579" s="249" t="str">
        <f ca="1">IF(C579="","",IF($L$11="ROA",[1]!S_STM07_IS(D579,61,$G$5,$H$13)/[1]!S_STM07_BS(D579,74,$G$5,$H$13),1-[1]!S_STM07_IS(D579,61,$G$5,$H$13)/[1]!S_STM07_IS(D579,55,$G$5,$H$13)))</f>
        <v/>
      </c>
      <c r="M579" s="249" t="str">
        <f ca="1">IF(C579="","",IF($M$11="ROE",[1]!S_STM07_IS(D579,61,$G$5,$H$13)/[1]!S_STM07_BS(D579,141,$G$5,$H$13),([1]!S_STM07_BS(D579,25,$G$5,$H$13)-[1]!S_STM07_BS(D579,93,$G$5,$H$13))/$E$5))</f>
        <v/>
      </c>
      <c r="N579" s="250" t="str">
        <f ca="1">IF(C579="","",IF($N$11="EPS",[1]!S_STM07_IS(D579,61,$G$5,$H$13)/IF([1]!S_SHARE_TOTAL(D579,$G$5)=0,[1]!S_SHARE_TOTAL(D579,[1]!s_ipo_listeddate(D579)),[1]!S_SHARE_TOTAL(D579,$G$5)),([1]!S_STM07_BS(D579,75,$G$5,$H$13)+[1]!S_STM07_BS(D579,88,$G$5,$H$13)+[1]!S_STM07_BS(D579,94,$G$5,$H$13)+[1]!S_STM07_BS(D579,95,$G$5,$H$13))/$E$5))</f>
        <v/>
      </c>
      <c r="O579" s="250" t="str">
        <f ca="1">IF(C579="","",IF($O$11="BPS",[1]!S_STM07_BS(D579,141,$G$5,$H$13)/IF([1]!S_SHARE_TOTAL(D579,$G$5)=0,[1]!S_SHARE_TOTAL(D579,[1]!s_ipo_listeddate(D579)),[1]!S_SHARE_TOTAL(D579,$G$5)),[1]!S_STM07_CS(D579,49,$G$5,$H$13)/$E$5))</f>
        <v/>
      </c>
      <c r="P579" s="250" t="str">
        <f ca="1">IF(C579="","",IF($P$11="CFPS",[1]!S_STM07_CS(D579,84,$G$5,$H$13)/IF([1]!S_SHARE_TOTAL(D579,$G$5)=0,[1]!S_SHARE_TOTAL(D579,[1]!s_ipo_listeddate(D579)),[1]!S_SHARE_TOTAL(D579,$G$5)),[1]!S_STM07_CS(D579,84,$G$5,$H$13)/$E$5))</f>
        <v/>
      </c>
      <c r="Q579" s="198" t="str">
        <f ca="1">IF(C579="","",F579/([1]!S_STM07_IS(D579,61,$G$5,$H$13)/IF([1]!S_SHARE_TOTAL(D579,$G$5)=0,[1]!S_SHARE_TOTAL(D579,[1]!s_ipo_listeddate(D579)),[1]!S_SHARE_TOTAL(D579,$G$5))))</f>
        <v/>
      </c>
      <c r="R579" s="198" t="str">
        <f ca="1">IF(C579="","",F579/([1]!S_STM07_BS(D579,141,$G$5,$H$13)/IF([1]!S_SHARE_TOTAL(D579,$G$5)=0,[1]!S_SHARE_TOTAL(D579,[1]!s_ipo_listeddate(D579)),[1]!S_SHARE_TOTAL(D579,$G$5))))</f>
        <v/>
      </c>
      <c r="S579" s="249" t="str">
        <f ca="1">IF(C579="","",[1]!S_SHARE_TOTAL(D579,TODAY())/$E$5)</f>
        <v/>
      </c>
      <c r="T579" s="249" t="str">
        <f t="shared" ca="1" si="61"/>
        <v/>
      </c>
      <c r="U579" s="172" t="str">
        <f t="shared" ca="1" si="62"/>
        <v/>
      </c>
      <c r="V579" s="343" t="str">
        <f t="shared" ca="1" si="63"/>
        <v/>
      </c>
      <c r="W579" s="139"/>
      <c r="Y579" s="1"/>
    </row>
    <row r="580" spans="3:25" ht="12" customHeight="1">
      <c r="C580" s="342" t="str">
        <f t="shared" ca="1" si="58"/>
        <v/>
      </c>
      <c r="D580" s="153" t="str">
        <f t="shared" ca="1" si="59"/>
        <v/>
      </c>
      <c r="E580" s="153" t="str">
        <f t="shared" ca="1" si="60"/>
        <v/>
      </c>
      <c r="F580" s="170" t="str">
        <f ca="1">IF(C580="","",[1]!S_DQ_CLOSE(D580,TODAY(),1))</f>
        <v/>
      </c>
      <c r="G580" s="171" t="str">
        <f ca="1">IF(C580="","",[1]!s_pq_pctchange(D580,TODAY()-$G$12,TODAY())/100)</f>
        <v/>
      </c>
      <c r="H580" s="247" t="str">
        <f ca="1">IF(C580="","",IF($H$11="收入",[1]!S_STM07_IS(D580,9,$G$5,$H$13)/$E$5,[1]!S_STM07_IS(D580,48,$G$5,$H$13)/$E$5))</f>
        <v/>
      </c>
      <c r="I580" s="247" t="str">
        <f ca="1">IF(C580="","",IF($I$11="毛利率",([1]!S_STM07_IS(D580,9,$G$5,$H$13)-[1]!S_STM07_IS(D580,10,$G$5,$H$13))/[1]!S_STM07_IS(D580,9,$G$5,$H$13),[1]!S_STM07_IS(D580,14,$G$5,$H$13)/$E$5))</f>
        <v/>
      </c>
      <c r="J580" s="247" t="str">
        <f ca="1">IF(C580="","",IF($J$11="营业利润率",[1]!S_STM07_IS(D580,48,$G$5,$H$13)/[1]!S_STM07_IS(D580,9,$G$5,$H$13),([1]!S_STM07_CS(D580,87,$G$5,$H$13)+[1]!S_STM07_CS(D580,88,$G$5,$H$13)+[1]!S_STM07_CS(D580,89,$G$5,$H$13))/$E$5))</f>
        <v/>
      </c>
      <c r="K580" s="247" t="str">
        <f ca="1">IF(C580="","",IF($K$11="净利润率",[1]!S_STM07_IS(D580,61,$G$5,$H$13)/[1]!S_STM07_IS(D580,9,$G$5,$H$13),[1]!S_STM07_IS(D580,55,$G$5,$H$13)/$E$5))</f>
        <v/>
      </c>
      <c r="L580" s="247" t="str">
        <f ca="1">IF(C580="","",IF($L$11="ROA",[1]!S_STM07_IS(D580,61,$G$5,$H$13)/[1]!S_STM07_BS(D580,74,$G$5,$H$13),1-[1]!S_STM07_IS(D580,61,$G$5,$H$13)/[1]!S_STM07_IS(D580,55,$G$5,$H$13)))</f>
        <v/>
      </c>
      <c r="M580" s="247" t="str">
        <f ca="1">IF(C580="","",IF($M$11="ROE",[1]!S_STM07_IS(D580,61,$G$5,$H$13)/[1]!S_STM07_BS(D580,141,$G$5,$H$13),([1]!S_STM07_BS(D580,25,$G$5,$H$13)-[1]!S_STM07_BS(D580,93,$G$5,$H$13))/$E$5))</f>
        <v/>
      </c>
      <c r="N580" s="247" t="str">
        <f ca="1">IF(C580="","",IF($N$11="EPS",[1]!S_STM07_IS(D580,61,$G$5,$H$13)/IF([1]!S_SHARE_TOTAL(D580,$G$5)=0,[1]!S_SHARE_TOTAL(D580,[1]!s_ipo_listeddate(D580)),[1]!S_SHARE_TOTAL(D580,$G$5)),([1]!S_STM07_BS(D580,75,$G$5,$H$13)+[1]!S_STM07_BS(D580,88,$G$5,$H$13)+[1]!S_STM07_BS(D580,94,$G$5,$H$13)+[1]!S_STM07_BS(D580,95,$G$5,$H$13))/$E$5))</f>
        <v/>
      </c>
      <c r="O580" s="247" t="str">
        <f ca="1">IF(C580="","",IF($O$11="BPS",[1]!S_STM07_BS(D580,141,$G$5,$H$13)/IF([1]!S_SHARE_TOTAL(D580,$G$5)=0,[1]!S_SHARE_TOTAL(D580,[1]!s_ipo_listeddate(D580)),[1]!S_SHARE_TOTAL(D580,$G$5)),[1]!S_STM07_CS(D580,49,$G$5,$H$13)/$E$5))</f>
        <v/>
      </c>
      <c r="P580" s="247" t="str">
        <f ca="1">IF(C580="","",IF($P$11="CFPS",[1]!S_STM07_CS(D580,84,$G$5,$H$13)/IF([1]!S_SHARE_TOTAL(D580,$G$5)=0,[1]!S_SHARE_TOTAL(D580,[1]!s_ipo_listeddate(D580)),[1]!S_SHARE_TOTAL(D580,$G$5)),[1]!S_STM07_CS(D580,84,$G$5,$H$13)/$E$5))</f>
        <v/>
      </c>
      <c r="Q580" s="248" t="str">
        <f ca="1">IF(C580="","",F580/([1]!S_STM07_IS(D580,61,$G$5,$H$13)/IF([1]!S_SHARE_TOTAL(D580,$G$5)=0,[1]!S_SHARE_TOTAL(D580,[1]!s_ipo_listeddate(D580)),[1]!S_SHARE_TOTAL(D580,$G$5))))</f>
        <v/>
      </c>
      <c r="R580" s="248" t="str">
        <f ca="1">IF(C580="","",F580/([1]!S_STM07_BS(D580,141,$G$5,$H$13)/IF([1]!S_SHARE_TOTAL(D580,$G$5)=0,[1]!S_SHARE_TOTAL(D580,[1]!s_ipo_listeddate(D580)),[1]!S_SHARE_TOTAL(D580,$G$5))))</f>
        <v/>
      </c>
      <c r="S580" s="247" t="str">
        <f ca="1">IF(C580="","",[1]!S_SHARE_TOTAL(D580,TODAY())/$E$5)</f>
        <v/>
      </c>
      <c r="T580" s="247" t="str">
        <f t="shared" ca="1" si="61"/>
        <v/>
      </c>
      <c r="U580" s="218" t="str">
        <f t="shared" ca="1" si="62"/>
        <v/>
      </c>
      <c r="V580" s="342" t="str">
        <f t="shared" ca="1" si="63"/>
        <v/>
      </c>
      <c r="W580" s="139"/>
      <c r="Y580" s="1"/>
    </row>
    <row r="581" spans="3:25" ht="12" customHeight="1">
      <c r="C581" s="343" t="str">
        <f t="shared" ca="1" si="58"/>
        <v/>
      </c>
      <c r="D581" s="124" t="str">
        <f t="shared" ca="1" si="59"/>
        <v/>
      </c>
      <c r="E581" s="124" t="str">
        <f t="shared" ca="1" si="60"/>
        <v/>
      </c>
      <c r="F581" s="172" t="str">
        <f ca="1">IF(C581="","",[1]!S_DQ_CLOSE(D581,TODAY(),1))</f>
        <v/>
      </c>
      <c r="G581" s="173" t="str">
        <f ca="1">IF(C581="","",[1]!s_pq_pctchange(D581,TODAY()-$G$12,TODAY())/100)</f>
        <v/>
      </c>
      <c r="H581" s="249" t="str">
        <f ca="1">IF(C581="","",IF($H$11="收入",[1]!S_STM07_IS(D581,9,$G$5,$H$13)/$E$5,[1]!S_STM07_IS(D581,48,$G$5,$H$13)/$E$5))</f>
        <v/>
      </c>
      <c r="I581" s="249" t="str">
        <f ca="1">IF(C581="","",IF($I$11="毛利率",([1]!S_STM07_IS(D581,9,$G$5,$H$13)-[1]!S_STM07_IS(D581,10,$G$5,$H$13))/[1]!S_STM07_IS(D581,9,$G$5,$H$13),[1]!S_STM07_IS(D581,14,$G$5,$H$13)/$E$5))</f>
        <v/>
      </c>
      <c r="J581" s="249" t="str">
        <f ca="1">IF(C581="","",IF($J$11="营业利润率",[1]!S_STM07_IS(D581,48,$G$5,$H$13)/[1]!S_STM07_IS(D581,9,$G$5,$H$13),([1]!S_STM07_CS(D581,87,$G$5,$H$13)+[1]!S_STM07_CS(D581,88,$G$5,$H$13)+[1]!S_STM07_CS(D581,89,$G$5,$H$13))/$E$5))</f>
        <v/>
      </c>
      <c r="K581" s="249" t="str">
        <f ca="1">IF(C581="","",IF($K$11="净利润率",[1]!S_STM07_IS(D581,61,$G$5,$H$13)/[1]!S_STM07_IS(D581,9,$G$5,$H$13),[1]!S_STM07_IS(D581,55,$G$5,$H$13)/$E$5))</f>
        <v/>
      </c>
      <c r="L581" s="249" t="str">
        <f ca="1">IF(C581="","",IF($L$11="ROA",[1]!S_STM07_IS(D581,61,$G$5,$H$13)/[1]!S_STM07_BS(D581,74,$G$5,$H$13),1-[1]!S_STM07_IS(D581,61,$G$5,$H$13)/[1]!S_STM07_IS(D581,55,$G$5,$H$13)))</f>
        <v/>
      </c>
      <c r="M581" s="249" t="str">
        <f ca="1">IF(C581="","",IF($M$11="ROE",[1]!S_STM07_IS(D581,61,$G$5,$H$13)/[1]!S_STM07_BS(D581,141,$G$5,$H$13),([1]!S_STM07_BS(D581,25,$G$5,$H$13)-[1]!S_STM07_BS(D581,93,$G$5,$H$13))/$E$5))</f>
        <v/>
      </c>
      <c r="N581" s="250" t="str">
        <f ca="1">IF(C581="","",IF($N$11="EPS",[1]!S_STM07_IS(D581,61,$G$5,$H$13)/IF([1]!S_SHARE_TOTAL(D581,$G$5)=0,[1]!S_SHARE_TOTAL(D581,[1]!s_ipo_listeddate(D581)),[1]!S_SHARE_TOTAL(D581,$G$5)),([1]!S_STM07_BS(D581,75,$G$5,$H$13)+[1]!S_STM07_BS(D581,88,$G$5,$H$13)+[1]!S_STM07_BS(D581,94,$G$5,$H$13)+[1]!S_STM07_BS(D581,95,$G$5,$H$13))/$E$5))</f>
        <v/>
      </c>
      <c r="O581" s="250" t="str">
        <f ca="1">IF(C581="","",IF($O$11="BPS",[1]!S_STM07_BS(D581,141,$G$5,$H$13)/IF([1]!S_SHARE_TOTAL(D581,$G$5)=0,[1]!S_SHARE_TOTAL(D581,[1]!s_ipo_listeddate(D581)),[1]!S_SHARE_TOTAL(D581,$G$5)),[1]!S_STM07_CS(D581,49,$G$5,$H$13)/$E$5))</f>
        <v/>
      </c>
      <c r="P581" s="250" t="str">
        <f ca="1">IF(C581="","",IF($P$11="CFPS",[1]!S_STM07_CS(D581,84,$G$5,$H$13)/IF([1]!S_SHARE_TOTAL(D581,$G$5)=0,[1]!S_SHARE_TOTAL(D581,[1]!s_ipo_listeddate(D581)),[1]!S_SHARE_TOTAL(D581,$G$5)),[1]!S_STM07_CS(D581,84,$G$5,$H$13)/$E$5))</f>
        <v/>
      </c>
      <c r="Q581" s="198" t="str">
        <f ca="1">IF(C581="","",F581/([1]!S_STM07_IS(D581,61,$G$5,$H$13)/IF([1]!S_SHARE_TOTAL(D581,$G$5)=0,[1]!S_SHARE_TOTAL(D581,[1]!s_ipo_listeddate(D581)),[1]!S_SHARE_TOTAL(D581,$G$5))))</f>
        <v/>
      </c>
      <c r="R581" s="198" t="str">
        <f ca="1">IF(C581="","",F581/([1]!S_STM07_BS(D581,141,$G$5,$H$13)/IF([1]!S_SHARE_TOTAL(D581,$G$5)=0,[1]!S_SHARE_TOTAL(D581,[1]!s_ipo_listeddate(D581)),[1]!S_SHARE_TOTAL(D581,$G$5))))</f>
        <v/>
      </c>
      <c r="S581" s="249" t="str">
        <f ca="1">IF(C581="","",[1]!S_SHARE_TOTAL(D581,TODAY())/$E$5)</f>
        <v/>
      </c>
      <c r="T581" s="249" t="str">
        <f t="shared" ca="1" si="61"/>
        <v/>
      </c>
      <c r="U581" s="172" t="str">
        <f t="shared" ca="1" si="62"/>
        <v/>
      </c>
      <c r="V581" s="343" t="str">
        <f t="shared" ca="1" si="63"/>
        <v/>
      </c>
      <c r="W581" s="139"/>
      <c r="Y581" s="1"/>
    </row>
    <row r="582" spans="3:25" ht="12" customHeight="1">
      <c r="C582" s="342" t="str">
        <f t="shared" ca="1" si="58"/>
        <v/>
      </c>
      <c r="D582" s="153" t="str">
        <f t="shared" ca="1" si="59"/>
        <v/>
      </c>
      <c r="E582" s="153" t="str">
        <f t="shared" ca="1" si="60"/>
        <v/>
      </c>
      <c r="F582" s="170" t="str">
        <f ca="1">IF(C582="","",[1]!S_DQ_CLOSE(D582,TODAY(),1))</f>
        <v/>
      </c>
      <c r="G582" s="171" t="str">
        <f ca="1">IF(C582="","",[1]!s_pq_pctchange(D582,TODAY()-$G$12,TODAY())/100)</f>
        <v/>
      </c>
      <c r="H582" s="247" t="str">
        <f ca="1">IF(C582="","",IF($H$11="收入",[1]!S_STM07_IS(D582,9,$G$5,$H$13)/$E$5,[1]!S_STM07_IS(D582,48,$G$5,$H$13)/$E$5))</f>
        <v/>
      </c>
      <c r="I582" s="247" t="str">
        <f ca="1">IF(C582="","",IF($I$11="毛利率",([1]!S_STM07_IS(D582,9,$G$5,$H$13)-[1]!S_STM07_IS(D582,10,$G$5,$H$13))/[1]!S_STM07_IS(D582,9,$G$5,$H$13),[1]!S_STM07_IS(D582,14,$G$5,$H$13)/$E$5))</f>
        <v/>
      </c>
      <c r="J582" s="247" t="str">
        <f ca="1">IF(C582="","",IF($J$11="营业利润率",[1]!S_STM07_IS(D582,48,$G$5,$H$13)/[1]!S_STM07_IS(D582,9,$G$5,$H$13),([1]!S_STM07_CS(D582,87,$G$5,$H$13)+[1]!S_STM07_CS(D582,88,$G$5,$H$13)+[1]!S_STM07_CS(D582,89,$G$5,$H$13))/$E$5))</f>
        <v/>
      </c>
      <c r="K582" s="247" t="str">
        <f ca="1">IF(C582="","",IF($K$11="净利润率",[1]!S_STM07_IS(D582,61,$G$5,$H$13)/[1]!S_STM07_IS(D582,9,$G$5,$H$13),[1]!S_STM07_IS(D582,55,$G$5,$H$13)/$E$5))</f>
        <v/>
      </c>
      <c r="L582" s="247" t="str">
        <f ca="1">IF(C582="","",IF($L$11="ROA",[1]!S_STM07_IS(D582,61,$G$5,$H$13)/[1]!S_STM07_BS(D582,74,$G$5,$H$13),1-[1]!S_STM07_IS(D582,61,$G$5,$H$13)/[1]!S_STM07_IS(D582,55,$G$5,$H$13)))</f>
        <v/>
      </c>
      <c r="M582" s="247" t="str">
        <f ca="1">IF(C582="","",IF($M$11="ROE",[1]!S_STM07_IS(D582,61,$G$5,$H$13)/[1]!S_STM07_BS(D582,141,$G$5,$H$13),([1]!S_STM07_BS(D582,25,$G$5,$H$13)-[1]!S_STM07_BS(D582,93,$G$5,$H$13))/$E$5))</f>
        <v/>
      </c>
      <c r="N582" s="247" t="str">
        <f ca="1">IF(C582="","",IF($N$11="EPS",[1]!S_STM07_IS(D582,61,$G$5,$H$13)/IF([1]!S_SHARE_TOTAL(D582,$G$5)=0,[1]!S_SHARE_TOTAL(D582,[1]!s_ipo_listeddate(D582)),[1]!S_SHARE_TOTAL(D582,$G$5)),([1]!S_STM07_BS(D582,75,$G$5,$H$13)+[1]!S_STM07_BS(D582,88,$G$5,$H$13)+[1]!S_STM07_BS(D582,94,$G$5,$H$13)+[1]!S_STM07_BS(D582,95,$G$5,$H$13))/$E$5))</f>
        <v/>
      </c>
      <c r="O582" s="247" t="str">
        <f ca="1">IF(C582="","",IF($O$11="BPS",[1]!S_STM07_BS(D582,141,$G$5,$H$13)/IF([1]!S_SHARE_TOTAL(D582,$G$5)=0,[1]!S_SHARE_TOTAL(D582,[1]!s_ipo_listeddate(D582)),[1]!S_SHARE_TOTAL(D582,$G$5)),[1]!S_STM07_CS(D582,49,$G$5,$H$13)/$E$5))</f>
        <v/>
      </c>
      <c r="P582" s="247" t="str">
        <f ca="1">IF(C582="","",IF($P$11="CFPS",[1]!S_STM07_CS(D582,84,$G$5,$H$13)/IF([1]!S_SHARE_TOTAL(D582,$G$5)=0,[1]!S_SHARE_TOTAL(D582,[1]!s_ipo_listeddate(D582)),[1]!S_SHARE_TOTAL(D582,$G$5)),[1]!S_STM07_CS(D582,84,$G$5,$H$13)/$E$5))</f>
        <v/>
      </c>
      <c r="Q582" s="248" t="str">
        <f ca="1">IF(C582="","",F582/([1]!S_STM07_IS(D582,61,$G$5,$H$13)/IF([1]!S_SHARE_TOTAL(D582,$G$5)=0,[1]!S_SHARE_TOTAL(D582,[1]!s_ipo_listeddate(D582)),[1]!S_SHARE_TOTAL(D582,$G$5))))</f>
        <v/>
      </c>
      <c r="R582" s="248" t="str">
        <f ca="1">IF(C582="","",F582/([1]!S_STM07_BS(D582,141,$G$5,$H$13)/IF([1]!S_SHARE_TOTAL(D582,$G$5)=0,[1]!S_SHARE_TOTAL(D582,[1]!s_ipo_listeddate(D582)),[1]!S_SHARE_TOTAL(D582,$G$5))))</f>
        <v/>
      </c>
      <c r="S582" s="247" t="str">
        <f ca="1">IF(C582="","",[1]!S_SHARE_TOTAL(D582,TODAY())/$E$5)</f>
        <v/>
      </c>
      <c r="T582" s="247" t="str">
        <f t="shared" ca="1" si="61"/>
        <v/>
      </c>
      <c r="U582" s="218" t="str">
        <f t="shared" ca="1" si="62"/>
        <v/>
      </c>
      <c r="V582" s="342" t="str">
        <f t="shared" ca="1" si="63"/>
        <v/>
      </c>
      <c r="W582" s="139"/>
      <c r="Y582" s="1"/>
    </row>
    <row r="583" spans="3:25" ht="12" customHeight="1">
      <c r="C583" s="343" t="str">
        <f t="shared" ca="1" si="58"/>
        <v/>
      </c>
      <c r="D583" s="124" t="str">
        <f t="shared" ca="1" si="59"/>
        <v/>
      </c>
      <c r="E583" s="124" t="str">
        <f t="shared" ca="1" si="60"/>
        <v/>
      </c>
      <c r="F583" s="172" t="str">
        <f ca="1">IF(C583="","",[1]!S_DQ_CLOSE(D583,TODAY(),1))</f>
        <v/>
      </c>
      <c r="G583" s="173" t="str">
        <f ca="1">IF(C583="","",[1]!s_pq_pctchange(D583,TODAY()-$G$12,TODAY())/100)</f>
        <v/>
      </c>
      <c r="H583" s="249" t="str">
        <f ca="1">IF(C583="","",IF($H$11="收入",[1]!S_STM07_IS(D583,9,$G$5,$H$13)/$E$5,[1]!S_STM07_IS(D583,48,$G$5,$H$13)/$E$5))</f>
        <v/>
      </c>
      <c r="I583" s="249" t="str">
        <f ca="1">IF(C583="","",IF($I$11="毛利率",([1]!S_STM07_IS(D583,9,$G$5,$H$13)-[1]!S_STM07_IS(D583,10,$G$5,$H$13))/[1]!S_STM07_IS(D583,9,$G$5,$H$13),[1]!S_STM07_IS(D583,14,$G$5,$H$13)/$E$5))</f>
        <v/>
      </c>
      <c r="J583" s="249" t="str">
        <f ca="1">IF(C583="","",IF($J$11="营业利润率",[1]!S_STM07_IS(D583,48,$G$5,$H$13)/[1]!S_STM07_IS(D583,9,$G$5,$H$13),([1]!S_STM07_CS(D583,87,$G$5,$H$13)+[1]!S_STM07_CS(D583,88,$G$5,$H$13)+[1]!S_STM07_CS(D583,89,$G$5,$H$13))/$E$5))</f>
        <v/>
      </c>
      <c r="K583" s="249" t="str">
        <f ca="1">IF(C583="","",IF($K$11="净利润率",[1]!S_STM07_IS(D583,61,$G$5,$H$13)/[1]!S_STM07_IS(D583,9,$G$5,$H$13),[1]!S_STM07_IS(D583,55,$G$5,$H$13)/$E$5))</f>
        <v/>
      </c>
      <c r="L583" s="249" t="str">
        <f ca="1">IF(C583="","",IF($L$11="ROA",[1]!S_STM07_IS(D583,61,$G$5,$H$13)/[1]!S_STM07_BS(D583,74,$G$5,$H$13),1-[1]!S_STM07_IS(D583,61,$G$5,$H$13)/[1]!S_STM07_IS(D583,55,$G$5,$H$13)))</f>
        <v/>
      </c>
      <c r="M583" s="249" t="str">
        <f ca="1">IF(C583="","",IF($M$11="ROE",[1]!S_STM07_IS(D583,61,$G$5,$H$13)/[1]!S_STM07_BS(D583,141,$G$5,$H$13),([1]!S_STM07_BS(D583,25,$G$5,$H$13)-[1]!S_STM07_BS(D583,93,$G$5,$H$13))/$E$5))</f>
        <v/>
      </c>
      <c r="N583" s="250" t="str">
        <f ca="1">IF(C583="","",IF($N$11="EPS",[1]!S_STM07_IS(D583,61,$G$5,$H$13)/IF([1]!S_SHARE_TOTAL(D583,$G$5)=0,[1]!S_SHARE_TOTAL(D583,[1]!s_ipo_listeddate(D583)),[1]!S_SHARE_TOTAL(D583,$G$5)),([1]!S_STM07_BS(D583,75,$G$5,$H$13)+[1]!S_STM07_BS(D583,88,$G$5,$H$13)+[1]!S_STM07_BS(D583,94,$G$5,$H$13)+[1]!S_STM07_BS(D583,95,$G$5,$H$13))/$E$5))</f>
        <v/>
      </c>
      <c r="O583" s="250" t="str">
        <f ca="1">IF(C583="","",IF($O$11="BPS",[1]!S_STM07_BS(D583,141,$G$5,$H$13)/IF([1]!S_SHARE_TOTAL(D583,$G$5)=0,[1]!S_SHARE_TOTAL(D583,[1]!s_ipo_listeddate(D583)),[1]!S_SHARE_TOTAL(D583,$G$5)),[1]!S_STM07_CS(D583,49,$G$5,$H$13)/$E$5))</f>
        <v/>
      </c>
      <c r="P583" s="250" t="str">
        <f ca="1">IF(C583="","",IF($P$11="CFPS",[1]!S_STM07_CS(D583,84,$G$5,$H$13)/IF([1]!S_SHARE_TOTAL(D583,$G$5)=0,[1]!S_SHARE_TOTAL(D583,[1]!s_ipo_listeddate(D583)),[1]!S_SHARE_TOTAL(D583,$G$5)),[1]!S_STM07_CS(D583,84,$G$5,$H$13)/$E$5))</f>
        <v/>
      </c>
      <c r="Q583" s="198" t="str">
        <f ca="1">IF(C583="","",F583/([1]!S_STM07_IS(D583,61,$G$5,$H$13)/IF([1]!S_SHARE_TOTAL(D583,$G$5)=0,[1]!S_SHARE_TOTAL(D583,[1]!s_ipo_listeddate(D583)),[1]!S_SHARE_TOTAL(D583,$G$5))))</f>
        <v/>
      </c>
      <c r="R583" s="198" t="str">
        <f ca="1">IF(C583="","",F583/([1]!S_STM07_BS(D583,141,$G$5,$H$13)/IF([1]!S_SHARE_TOTAL(D583,$G$5)=0,[1]!S_SHARE_TOTAL(D583,[1]!s_ipo_listeddate(D583)),[1]!S_SHARE_TOTAL(D583,$G$5))))</f>
        <v/>
      </c>
      <c r="S583" s="249" t="str">
        <f ca="1">IF(C583="","",[1]!S_SHARE_TOTAL(D583,TODAY())/$E$5)</f>
        <v/>
      </c>
      <c r="T583" s="249" t="str">
        <f t="shared" ca="1" si="61"/>
        <v/>
      </c>
      <c r="U583" s="172" t="str">
        <f t="shared" ca="1" si="62"/>
        <v/>
      </c>
      <c r="V583" s="343" t="str">
        <f t="shared" ca="1" si="63"/>
        <v/>
      </c>
      <c r="W583" s="139"/>
      <c r="Y583" s="1"/>
    </row>
    <row r="584" spans="3:25" ht="12" customHeight="1">
      <c r="C584" s="342" t="str">
        <f t="shared" ca="1" si="58"/>
        <v/>
      </c>
      <c r="D584" s="153" t="str">
        <f t="shared" ca="1" si="59"/>
        <v/>
      </c>
      <c r="E584" s="153" t="str">
        <f t="shared" ca="1" si="60"/>
        <v/>
      </c>
      <c r="F584" s="170" t="str">
        <f ca="1">IF(C584="","",[1]!S_DQ_CLOSE(D584,TODAY(),1))</f>
        <v/>
      </c>
      <c r="G584" s="171" t="str">
        <f ca="1">IF(C584="","",[1]!s_pq_pctchange(D584,TODAY()-$G$12,TODAY())/100)</f>
        <v/>
      </c>
      <c r="H584" s="247" t="str">
        <f ca="1">IF(C584="","",IF($H$11="收入",[1]!S_STM07_IS(D584,9,$G$5,$H$13)/$E$5,[1]!S_STM07_IS(D584,48,$G$5,$H$13)/$E$5))</f>
        <v/>
      </c>
      <c r="I584" s="247" t="str">
        <f ca="1">IF(C584="","",IF($I$11="毛利率",([1]!S_STM07_IS(D584,9,$G$5,$H$13)-[1]!S_STM07_IS(D584,10,$G$5,$H$13))/[1]!S_STM07_IS(D584,9,$G$5,$H$13),[1]!S_STM07_IS(D584,14,$G$5,$H$13)/$E$5))</f>
        <v/>
      </c>
      <c r="J584" s="247" t="str">
        <f ca="1">IF(C584="","",IF($J$11="营业利润率",[1]!S_STM07_IS(D584,48,$G$5,$H$13)/[1]!S_STM07_IS(D584,9,$G$5,$H$13),([1]!S_STM07_CS(D584,87,$G$5,$H$13)+[1]!S_STM07_CS(D584,88,$G$5,$H$13)+[1]!S_STM07_CS(D584,89,$G$5,$H$13))/$E$5))</f>
        <v/>
      </c>
      <c r="K584" s="247" t="str">
        <f ca="1">IF(C584="","",IF($K$11="净利润率",[1]!S_STM07_IS(D584,61,$G$5,$H$13)/[1]!S_STM07_IS(D584,9,$G$5,$H$13),[1]!S_STM07_IS(D584,55,$G$5,$H$13)/$E$5))</f>
        <v/>
      </c>
      <c r="L584" s="247" t="str">
        <f ca="1">IF(C584="","",IF($L$11="ROA",[1]!S_STM07_IS(D584,61,$G$5,$H$13)/[1]!S_STM07_BS(D584,74,$G$5,$H$13),1-[1]!S_STM07_IS(D584,61,$G$5,$H$13)/[1]!S_STM07_IS(D584,55,$G$5,$H$13)))</f>
        <v/>
      </c>
      <c r="M584" s="247" t="str">
        <f ca="1">IF(C584="","",IF($M$11="ROE",[1]!S_STM07_IS(D584,61,$G$5,$H$13)/[1]!S_STM07_BS(D584,141,$G$5,$H$13),([1]!S_STM07_BS(D584,25,$G$5,$H$13)-[1]!S_STM07_BS(D584,93,$G$5,$H$13))/$E$5))</f>
        <v/>
      </c>
      <c r="N584" s="247" t="str">
        <f ca="1">IF(C584="","",IF($N$11="EPS",[1]!S_STM07_IS(D584,61,$G$5,$H$13)/IF([1]!S_SHARE_TOTAL(D584,$G$5)=0,[1]!S_SHARE_TOTAL(D584,[1]!s_ipo_listeddate(D584)),[1]!S_SHARE_TOTAL(D584,$G$5)),([1]!S_STM07_BS(D584,75,$G$5,$H$13)+[1]!S_STM07_BS(D584,88,$G$5,$H$13)+[1]!S_STM07_BS(D584,94,$G$5,$H$13)+[1]!S_STM07_BS(D584,95,$G$5,$H$13))/$E$5))</f>
        <v/>
      </c>
      <c r="O584" s="247" t="str">
        <f ca="1">IF(C584="","",IF($O$11="BPS",[1]!S_STM07_BS(D584,141,$G$5,$H$13)/IF([1]!S_SHARE_TOTAL(D584,$G$5)=0,[1]!S_SHARE_TOTAL(D584,[1]!s_ipo_listeddate(D584)),[1]!S_SHARE_TOTAL(D584,$G$5)),[1]!S_STM07_CS(D584,49,$G$5,$H$13)/$E$5))</f>
        <v/>
      </c>
      <c r="P584" s="247" t="str">
        <f ca="1">IF(C584="","",IF($P$11="CFPS",[1]!S_STM07_CS(D584,84,$G$5,$H$13)/IF([1]!S_SHARE_TOTAL(D584,$G$5)=0,[1]!S_SHARE_TOTAL(D584,[1]!s_ipo_listeddate(D584)),[1]!S_SHARE_TOTAL(D584,$G$5)),[1]!S_STM07_CS(D584,84,$G$5,$H$13)/$E$5))</f>
        <v/>
      </c>
      <c r="Q584" s="248" t="str">
        <f ca="1">IF(C584="","",F584/([1]!S_STM07_IS(D584,61,$G$5,$H$13)/IF([1]!S_SHARE_TOTAL(D584,$G$5)=0,[1]!S_SHARE_TOTAL(D584,[1]!s_ipo_listeddate(D584)),[1]!S_SHARE_TOTAL(D584,$G$5))))</f>
        <v/>
      </c>
      <c r="R584" s="248" t="str">
        <f ca="1">IF(C584="","",F584/([1]!S_STM07_BS(D584,141,$G$5,$H$13)/IF([1]!S_SHARE_TOTAL(D584,$G$5)=0,[1]!S_SHARE_TOTAL(D584,[1]!s_ipo_listeddate(D584)),[1]!S_SHARE_TOTAL(D584,$G$5))))</f>
        <v/>
      </c>
      <c r="S584" s="247" t="str">
        <f ca="1">IF(C584="","",[1]!S_SHARE_TOTAL(D584,TODAY())/$E$5)</f>
        <v/>
      </c>
      <c r="T584" s="247" t="str">
        <f t="shared" ca="1" si="61"/>
        <v/>
      </c>
      <c r="U584" s="218" t="str">
        <f t="shared" ca="1" si="62"/>
        <v/>
      </c>
      <c r="V584" s="342" t="str">
        <f t="shared" ca="1" si="63"/>
        <v/>
      </c>
      <c r="W584" s="139"/>
      <c r="Y584" s="1"/>
    </row>
    <row r="585" spans="3:25" ht="12" customHeight="1">
      <c r="C585" s="343" t="str">
        <f t="shared" ca="1" si="58"/>
        <v/>
      </c>
      <c r="D585" s="124" t="str">
        <f t="shared" ca="1" si="59"/>
        <v/>
      </c>
      <c r="E585" s="124" t="str">
        <f t="shared" ca="1" si="60"/>
        <v/>
      </c>
      <c r="F585" s="172" t="str">
        <f ca="1">IF(C585="","",[1]!S_DQ_CLOSE(D585,TODAY(),1))</f>
        <v/>
      </c>
      <c r="G585" s="173" t="str">
        <f ca="1">IF(C585="","",[1]!s_pq_pctchange(D585,TODAY()-$G$12,TODAY())/100)</f>
        <v/>
      </c>
      <c r="H585" s="249" t="str">
        <f ca="1">IF(C585="","",IF($H$11="收入",[1]!S_STM07_IS(D585,9,$G$5,$H$13)/$E$5,[1]!S_STM07_IS(D585,48,$G$5,$H$13)/$E$5))</f>
        <v/>
      </c>
      <c r="I585" s="249" t="str">
        <f ca="1">IF(C585="","",IF($I$11="毛利率",([1]!S_STM07_IS(D585,9,$G$5,$H$13)-[1]!S_STM07_IS(D585,10,$G$5,$H$13))/[1]!S_STM07_IS(D585,9,$G$5,$H$13),[1]!S_STM07_IS(D585,14,$G$5,$H$13)/$E$5))</f>
        <v/>
      </c>
      <c r="J585" s="249" t="str">
        <f ca="1">IF(C585="","",IF($J$11="营业利润率",[1]!S_STM07_IS(D585,48,$G$5,$H$13)/[1]!S_STM07_IS(D585,9,$G$5,$H$13),([1]!S_STM07_CS(D585,87,$G$5,$H$13)+[1]!S_STM07_CS(D585,88,$G$5,$H$13)+[1]!S_STM07_CS(D585,89,$G$5,$H$13))/$E$5))</f>
        <v/>
      </c>
      <c r="K585" s="249" t="str">
        <f ca="1">IF(C585="","",IF($K$11="净利润率",[1]!S_STM07_IS(D585,61,$G$5,$H$13)/[1]!S_STM07_IS(D585,9,$G$5,$H$13),[1]!S_STM07_IS(D585,55,$G$5,$H$13)/$E$5))</f>
        <v/>
      </c>
      <c r="L585" s="249" t="str">
        <f ca="1">IF(C585="","",IF($L$11="ROA",[1]!S_STM07_IS(D585,61,$G$5,$H$13)/[1]!S_STM07_BS(D585,74,$G$5,$H$13),1-[1]!S_STM07_IS(D585,61,$G$5,$H$13)/[1]!S_STM07_IS(D585,55,$G$5,$H$13)))</f>
        <v/>
      </c>
      <c r="M585" s="249" t="str">
        <f ca="1">IF(C585="","",IF($M$11="ROE",[1]!S_STM07_IS(D585,61,$G$5,$H$13)/[1]!S_STM07_BS(D585,141,$G$5,$H$13),([1]!S_STM07_BS(D585,25,$G$5,$H$13)-[1]!S_STM07_BS(D585,93,$G$5,$H$13))/$E$5))</f>
        <v/>
      </c>
      <c r="N585" s="250" t="str">
        <f ca="1">IF(C585="","",IF($N$11="EPS",[1]!S_STM07_IS(D585,61,$G$5,$H$13)/IF([1]!S_SHARE_TOTAL(D585,$G$5)=0,[1]!S_SHARE_TOTAL(D585,[1]!s_ipo_listeddate(D585)),[1]!S_SHARE_TOTAL(D585,$G$5)),([1]!S_STM07_BS(D585,75,$G$5,$H$13)+[1]!S_STM07_BS(D585,88,$G$5,$H$13)+[1]!S_STM07_BS(D585,94,$G$5,$H$13)+[1]!S_STM07_BS(D585,95,$G$5,$H$13))/$E$5))</f>
        <v/>
      </c>
      <c r="O585" s="250" t="str">
        <f ca="1">IF(C585="","",IF($O$11="BPS",[1]!S_STM07_BS(D585,141,$G$5,$H$13)/IF([1]!S_SHARE_TOTAL(D585,$G$5)=0,[1]!S_SHARE_TOTAL(D585,[1]!s_ipo_listeddate(D585)),[1]!S_SHARE_TOTAL(D585,$G$5)),[1]!S_STM07_CS(D585,49,$G$5,$H$13)/$E$5))</f>
        <v/>
      </c>
      <c r="P585" s="250" t="str">
        <f ca="1">IF(C585="","",IF($P$11="CFPS",[1]!S_STM07_CS(D585,84,$G$5,$H$13)/IF([1]!S_SHARE_TOTAL(D585,$G$5)=0,[1]!S_SHARE_TOTAL(D585,[1]!s_ipo_listeddate(D585)),[1]!S_SHARE_TOTAL(D585,$G$5)),[1]!S_STM07_CS(D585,84,$G$5,$H$13)/$E$5))</f>
        <v/>
      </c>
      <c r="Q585" s="198" t="str">
        <f ca="1">IF(C585="","",F585/([1]!S_STM07_IS(D585,61,$G$5,$H$13)/IF([1]!S_SHARE_TOTAL(D585,$G$5)=0,[1]!S_SHARE_TOTAL(D585,[1]!s_ipo_listeddate(D585)),[1]!S_SHARE_TOTAL(D585,$G$5))))</f>
        <v/>
      </c>
      <c r="R585" s="198" t="str">
        <f ca="1">IF(C585="","",F585/([1]!S_STM07_BS(D585,141,$G$5,$H$13)/IF([1]!S_SHARE_TOTAL(D585,$G$5)=0,[1]!S_SHARE_TOTAL(D585,[1]!s_ipo_listeddate(D585)),[1]!S_SHARE_TOTAL(D585,$G$5))))</f>
        <v/>
      </c>
      <c r="S585" s="249" t="str">
        <f ca="1">IF(C585="","",[1]!S_SHARE_TOTAL(D585,TODAY())/$E$5)</f>
        <v/>
      </c>
      <c r="T585" s="249" t="str">
        <f t="shared" ca="1" si="61"/>
        <v/>
      </c>
      <c r="U585" s="172" t="str">
        <f t="shared" ca="1" si="62"/>
        <v/>
      </c>
      <c r="V585" s="343" t="str">
        <f t="shared" ca="1" si="63"/>
        <v/>
      </c>
      <c r="W585" s="139"/>
      <c r="Y585" s="1"/>
    </row>
    <row r="586" spans="3:25" ht="12" customHeight="1">
      <c r="C586" s="342" t="str">
        <f t="shared" ca="1" si="58"/>
        <v/>
      </c>
      <c r="D586" s="153" t="str">
        <f t="shared" ca="1" si="59"/>
        <v/>
      </c>
      <c r="E586" s="153" t="str">
        <f t="shared" ca="1" si="60"/>
        <v/>
      </c>
      <c r="F586" s="170" t="str">
        <f ca="1">IF(C586="","",[1]!S_DQ_CLOSE(D586,TODAY(),1))</f>
        <v/>
      </c>
      <c r="G586" s="171" t="str">
        <f ca="1">IF(C586="","",[1]!s_pq_pctchange(D586,TODAY()-$G$12,TODAY())/100)</f>
        <v/>
      </c>
      <c r="H586" s="247" t="str">
        <f ca="1">IF(C586="","",IF($H$11="收入",[1]!S_STM07_IS(D586,9,$G$5,$H$13)/$E$5,[1]!S_STM07_IS(D586,48,$G$5,$H$13)/$E$5))</f>
        <v/>
      </c>
      <c r="I586" s="247" t="str">
        <f ca="1">IF(C586="","",IF($I$11="毛利率",([1]!S_STM07_IS(D586,9,$G$5,$H$13)-[1]!S_STM07_IS(D586,10,$G$5,$H$13))/[1]!S_STM07_IS(D586,9,$G$5,$H$13),[1]!S_STM07_IS(D586,14,$G$5,$H$13)/$E$5))</f>
        <v/>
      </c>
      <c r="J586" s="247" t="str">
        <f ca="1">IF(C586="","",IF($J$11="营业利润率",[1]!S_STM07_IS(D586,48,$G$5,$H$13)/[1]!S_STM07_IS(D586,9,$G$5,$H$13),([1]!S_STM07_CS(D586,87,$G$5,$H$13)+[1]!S_STM07_CS(D586,88,$G$5,$H$13)+[1]!S_STM07_CS(D586,89,$G$5,$H$13))/$E$5))</f>
        <v/>
      </c>
      <c r="K586" s="247" t="str">
        <f ca="1">IF(C586="","",IF($K$11="净利润率",[1]!S_STM07_IS(D586,61,$G$5,$H$13)/[1]!S_STM07_IS(D586,9,$G$5,$H$13),[1]!S_STM07_IS(D586,55,$G$5,$H$13)/$E$5))</f>
        <v/>
      </c>
      <c r="L586" s="247" t="str">
        <f ca="1">IF(C586="","",IF($L$11="ROA",[1]!S_STM07_IS(D586,61,$G$5,$H$13)/[1]!S_STM07_BS(D586,74,$G$5,$H$13),1-[1]!S_STM07_IS(D586,61,$G$5,$H$13)/[1]!S_STM07_IS(D586,55,$G$5,$H$13)))</f>
        <v/>
      </c>
      <c r="M586" s="247" t="str">
        <f ca="1">IF(C586="","",IF($M$11="ROE",[1]!S_STM07_IS(D586,61,$G$5,$H$13)/[1]!S_STM07_BS(D586,141,$G$5,$H$13),([1]!S_STM07_BS(D586,25,$G$5,$H$13)-[1]!S_STM07_BS(D586,93,$G$5,$H$13))/$E$5))</f>
        <v/>
      </c>
      <c r="N586" s="247" t="str">
        <f ca="1">IF(C586="","",IF($N$11="EPS",[1]!S_STM07_IS(D586,61,$G$5,$H$13)/IF([1]!S_SHARE_TOTAL(D586,$G$5)=0,[1]!S_SHARE_TOTAL(D586,[1]!s_ipo_listeddate(D586)),[1]!S_SHARE_TOTAL(D586,$G$5)),([1]!S_STM07_BS(D586,75,$G$5,$H$13)+[1]!S_STM07_BS(D586,88,$G$5,$H$13)+[1]!S_STM07_BS(D586,94,$G$5,$H$13)+[1]!S_STM07_BS(D586,95,$G$5,$H$13))/$E$5))</f>
        <v/>
      </c>
      <c r="O586" s="247" t="str">
        <f ca="1">IF(C586="","",IF($O$11="BPS",[1]!S_STM07_BS(D586,141,$G$5,$H$13)/IF([1]!S_SHARE_TOTAL(D586,$G$5)=0,[1]!S_SHARE_TOTAL(D586,[1]!s_ipo_listeddate(D586)),[1]!S_SHARE_TOTAL(D586,$G$5)),[1]!S_STM07_CS(D586,49,$G$5,$H$13)/$E$5))</f>
        <v/>
      </c>
      <c r="P586" s="247" t="str">
        <f ca="1">IF(C586="","",IF($P$11="CFPS",[1]!S_STM07_CS(D586,84,$G$5,$H$13)/IF([1]!S_SHARE_TOTAL(D586,$G$5)=0,[1]!S_SHARE_TOTAL(D586,[1]!s_ipo_listeddate(D586)),[1]!S_SHARE_TOTAL(D586,$G$5)),[1]!S_STM07_CS(D586,84,$G$5,$H$13)/$E$5))</f>
        <v/>
      </c>
      <c r="Q586" s="248" t="str">
        <f ca="1">IF(C586="","",F586/([1]!S_STM07_IS(D586,61,$G$5,$H$13)/IF([1]!S_SHARE_TOTAL(D586,$G$5)=0,[1]!S_SHARE_TOTAL(D586,[1]!s_ipo_listeddate(D586)),[1]!S_SHARE_TOTAL(D586,$G$5))))</f>
        <v/>
      </c>
      <c r="R586" s="248" t="str">
        <f ca="1">IF(C586="","",F586/([1]!S_STM07_BS(D586,141,$G$5,$H$13)/IF([1]!S_SHARE_TOTAL(D586,$G$5)=0,[1]!S_SHARE_TOTAL(D586,[1]!s_ipo_listeddate(D586)),[1]!S_SHARE_TOTAL(D586,$G$5))))</f>
        <v/>
      </c>
      <c r="S586" s="247" t="str">
        <f ca="1">IF(C586="","",[1]!S_SHARE_TOTAL(D586,TODAY())/$E$5)</f>
        <v/>
      </c>
      <c r="T586" s="247" t="str">
        <f t="shared" ca="1" si="61"/>
        <v/>
      </c>
      <c r="U586" s="218" t="str">
        <f t="shared" ca="1" si="62"/>
        <v/>
      </c>
      <c r="V586" s="342" t="str">
        <f t="shared" ca="1" si="63"/>
        <v/>
      </c>
      <c r="W586" s="139"/>
      <c r="Y586" s="1"/>
    </row>
    <row r="587" spans="3:25" ht="12" customHeight="1">
      <c r="C587" s="343" t="str">
        <f t="shared" ca="1" si="58"/>
        <v/>
      </c>
      <c r="D587" s="124" t="str">
        <f t="shared" ca="1" si="59"/>
        <v/>
      </c>
      <c r="E587" s="124" t="str">
        <f t="shared" ca="1" si="60"/>
        <v/>
      </c>
      <c r="F587" s="172" t="str">
        <f ca="1">IF(C587="","",[1]!S_DQ_CLOSE(D587,TODAY(),1))</f>
        <v/>
      </c>
      <c r="G587" s="173" t="str">
        <f ca="1">IF(C587="","",[1]!s_pq_pctchange(D587,TODAY()-$G$12,TODAY())/100)</f>
        <v/>
      </c>
      <c r="H587" s="249" t="str">
        <f ca="1">IF(C587="","",IF($H$11="收入",[1]!S_STM07_IS(D587,9,$G$5,$H$13)/$E$5,[1]!S_STM07_IS(D587,48,$G$5,$H$13)/$E$5))</f>
        <v/>
      </c>
      <c r="I587" s="249" t="str">
        <f ca="1">IF(C587="","",IF($I$11="毛利率",([1]!S_STM07_IS(D587,9,$G$5,$H$13)-[1]!S_STM07_IS(D587,10,$G$5,$H$13))/[1]!S_STM07_IS(D587,9,$G$5,$H$13),[1]!S_STM07_IS(D587,14,$G$5,$H$13)/$E$5))</f>
        <v/>
      </c>
      <c r="J587" s="249" t="str">
        <f ca="1">IF(C587="","",IF($J$11="营业利润率",[1]!S_STM07_IS(D587,48,$G$5,$H$13)/[1]!S_STM07_IS(D587,9,$G$5,$H$13),([1]!S_STM07_CS(D587,87,$G$5,$H$13)+[1]!S_STM07_CS(D587,88,$G$5,$H$13)+[1]!S_STM07_CS(D587,89,$G$5,$H$13))/$E$5))</f>
        <v/>
      </c>
      <c r="K587" s="249" t="str">
        <f ca="1">IF(C587="","",IF($K$11="净利润率",[1]!S_STM07_IS(D587,61,$G$5,$H$13)/[1]!S_STM07_IS(D587,9,$G$5,$H$13),[1]!S_STM07_IS(D587,55,$G$5,$H$13)/$E$5))</f>
        <v/>
      </c>
      <c r="L587" s="249" t="str">
        <f ca="1">IF(C587="","",IF($L$11="ROA",[1]!S_STM07_IS(D587,61,$G$5,$H$13)/[1]!S_STM07_BS(D587,74,$G$5,$H$13),1-[1]!S_STM07_IS(D587,61,$G$5,$H$13)/[1]!S_STM07_IS(D587,55,$G$5,$H$13)))</f>
        <v/>
      </c>
      <c r="M587" s="249" t="str">
        <f ca="1">IF(C587="","",IF($M$11="ROE",[1]!S_STM07_IS(D587,61,$G$5,$H$13)/[1]!S_STM07_BS(D587,141,$G$5,$H$13),([1]!S_STM07_BS(D587,25,$G$5,$H$13)-[1]!S_STM07_BS(D587,93,$G$5,$H$13))/$E$5))</f>
        <v/>
      </c>
      <c r="N587" s="250" t="str">
        <f ca="1">IF(C587="","",IF($N$11="EPS",[1]!S_STM07_IS(D587,61,$G$5,$H$13)/IF([1]!S_SHARE_TOTAL(D587,$G$5)=0,[1]!S_SHARE_TOTAL(D587,[1]!s_ipo_listeddate(D587)),[1]!S_SHARE_TOTAL(D587,$G$5)),([1]!S_STM07_BS(D587,75,$G$5,$H$13)+[1]!S_STM07_BS(D587,88,$G$5,$H$13)+[1]!S_STM07_BS(D587,94,$G$5,$H$13)+[1]!S_STM07_BS(D587,95,$G$5,$H$13))/$E$5))</f>
        <v/>
      </c>
      <c r="O587" s="250" t="str">
        <f ca="1">IF(C587="","",IF($O$11="BPS",[1]!S_STM07_BS(D587,141,$G$5,$H$13)/IF([1]!S_SHARE_TOTAL(D587,$G$5)=0,[1]!S_SHARE_TOTAL(D587,[1]!s_ipo_listeddate(D587)),[1]!S_SHARE_TOTAL(D587,$G$5)),[1]!S_STM07_CS(D587,49,$G$5,$H$13)/$E$5))</f>
        <v/>
      </c>
      <c r="P587" s="250" t="str">
        <f ca="1">IF(C587="","",IF($P$11="CFPS",[1]!S_STM07_CS(D587,84,$G$5,$H$13)/IF([1]!S_SHARE_TOTAL(D587,$G$5)=0,[1]!S_SHARE_TOTAL(D587,[1]!s_ipo_listeddate(D587)),[1]!S_SHARE_TOTAL(D587,$G$5)),[1]!S_STM07_CS(D587,84,$G$5,$H$13)/$E$5))</f>
        <v/>
      </c>
      <c r="Q587" s="198" t="str">
        <f ca="1">IF(C587="","",F587/([1]!S_STM07_IS(D587,61,$G$5,$H$13)/IF([1]!S_SHARE_TOTAL(D587,$G$5)=0,[1]!S_SHARE_TOTAL(D587,[1]!s_ipo_listeddate(D587)),[1]!S_SHARE_TOTAL(D587,$G$5))))</f>
        <v/>
      </c>
      <c r="R587" s="198" t="str">
        <f ca="1">IF(C587="","",F587/([1]!S_STM07_BS(D587,141,$G$5,$H$13)/IF([1]!S_SHARE_TOTAL(D587,$G$5)=0,[1]!S_SHARE_TOTAL(D587,[1]!s_ipo_listeddate(D587)),[1]!S_SHARE_TOTAL(D587,$G$5))))</f>
        <v/>
      </c>
      <c r="S587" s="249" t="str">
        <f ca="1">IF(C587="","",[1]!S_SHARE_TOTAL(D587,TODAY())/$E$5)</f>
        <v/>
      </c>
      <c r="T587" s="249" t="str">
        <f t="shared" ca="1" si="61"/>
        <v/>
      </c>
      <c r="U587" s="172" t="str">
        <f t="shared" ca="1" si="62"/>
        <v/>
      </c>
      <c r="V587" s="343" t="str">
        <f t="shared" ca="1" si="63"/>
        <v/>
      </c>
      <c r="W587" s="139"/>
      <c r="Y587" s="1"/>
    </row>
    <row r="588" spans="3:25" ht="12" customHeight="1">
      <c r="C588" s="342" t="str">
        <f t="shared" ca="1" si="58"/>
        <v/>
      </c>
      <c r="D588" s="153" t="str">
        <f t="shared" ca="1" si="59"/>
        <v/>
      </c>
      <c r="E588" s="153" t="str">
        <f t="shared" ca="1" si="60"/>
        <v/>
      </c>
      <c r="F588" s="170" t="str">
        <f ca="1">IF(C588="","",[1]!S_DQ_CLOSE(D588,TODAY(),1))</f>
        <v/>
      </c>
      <c r="G588" s="171" t="str">
        <f ca="1">IF(C588="","",[1]!s_pq_pctchange(D588,TODAY()-$G$12,TODAY())/100)</f>
        <v/>
      </c>
      <c r="H588" s="247" t="str">
        <f ca="1">IF(C588="","",IF($H$11="收入",[1]!S_STM07_IS(D588,9,$G$5,$H$13)/$E$5,[1]!S_STM07_IS(D588,48,$G$5,$H$13)/$E$5))</f>
        <v/>
      </c>
      <c r="I588" s="247" t="str">
        <f ca="1">IF(C588="","",IF($I$11="毛利率",([1]!S_STM07_IS(D588,9,$G$5,$H$13)-[1]!S_STM07_IS(D588,10,$G$5,$H$13))/[1]!S_STM07_IS(D588,9,$G$5,$H$13),[1]!S_STM07_IS(D588,14,$G$5,$H$13)/$E$5))</f>
        <v/>
      </c>
      <c r="J588" s="247" t="str">
        <f ca="1">IF(C588="","",IF($J$11="营业利润率",[1]!S_STM07_IS(D588,48,$G$5,$H$13)/[1]!S_STM07_IS(D588,9,$G$5,$H$13),([1]!S_STM07_CS(D588,87,$G$5,$H$13)+[1]!S_STM07_CS(D588,88,$G$5,$H$13)+[1]!S_STM07_CS(D588,89,$G$5,$H$13))/$E$5))</f>
        <v/>
      </c>
      <c r="K588" s="247" t="str">
        <f ca="1">IF(C588="","",IF($K$11="净利润率",[1]!S_STM07_IS(D588,61,$G$5,$H$13)/[1]!S_STM07_IS(D588,9,$G$5,$H$13),[1]!S_STM07_IS(D588,55,$G$5,$H$13)/$E$5))</f>
        <v/>
      </c>
      <c r="L588" s="247" t="str">
        <f ca="1">IF(C588="","",IF($L$11="ROA",[1]!S_STM07_IS(D588,61,$G$5,$H$13)/[1]!S_STM07_BS(D588,74,$G$5,$H$13),1-[1]!S_STM07_IS(D588,61,$G$5,$H$13)/[1]!S_STM07_IS(D588,55,$G$5,$H$13)))</f>
        <v/>
      </c>
      <c r="M588" s="247" t="str">
        <f ca="1">IF(C588="","",IF($M$11="ROE",[1]!S_STM07_IS(D588,61,$G$5,$H$13)/[1]!S_STM07_BS(D588,141,$G$5,$H$13),([1]!S_STM07_BS(D588,25,$G$5,$H$13)-[1]!S_STM07_BS(D588,93,$G$5,$H$13))/$E$5))</f>
        <v/>
      </c>
      <c r="N588" s="247" t="str">
        <f ca="1">IF(C588="","",IF($N$11="EPS",[1]!S_STM07_IS(D588,61,$G$5,$H$13)/IF([1]!S_SHARE_TOTAL(D588,$G$5)=0,[1]!S_SHARE_TOTAL(D588,[1]!s_ipo_listeddate(D588)),[1]!S_SHARE_TOTAL(D588,$G$5)),([1]!S_STM07_BS(D588,75,$G$5,$H$13)+[1]!S_STM07_BS(D588,88,$G$5,$H$13)+[1]!S_STM07_BS(D588,94,$G$5,$H$13)+[1]!S_STM07_BS(D588,95,$G$5,$H$13))/$E$5))</f>
        <v/>
      </c>
      <c r="O588" s="247" t="str">
        <f ca="1">IF(C588="","",IF($O$11="BPS",[1]!S_STM07_BS(D588,141,$G$5,$H$13)/IF([1]!S_SHARE_TOTAL(D588,$G$5)=0,[1]!S_SHARE_TOTAL(D588,[1]!s_ipo_listeddate(D588)),[1]!S_SHARE_TOTAL(D588,$G$5)),[1]!S_STM07_CS(D588,49,$G$5,$H$13)/$E$5))</f>
        <v/>
      </c>
      <c r="P588" s="247" t="str">
        <f ca="1">IF(C588="","",IF($P$11="CFPS",[1]!S_STM07_CS(D588,84,$G$5,$H$13)/IF([1]!S_SHARE_TOTAL(D588,$G$5)=0,[1]!S_SHARE_TOTAL(D588,[1]!s_ipo_listeddate(D588)),[1]!S_SHARE_TOTAL(D588,$G$5)),[1]!S_STM07_CS(D588,84,$G$5,$H$13)/$E$5))</f>
        <v/>
      </c>
      <c r="Q588" s="248" t="str">
        <f ca="1">IF(C588="","",F588/([1]!S_STM07_IS(D588,61,$G$5,$H$13)/IF([1]!S_SHARE_TOTAL(D588,$G$5)=0,[1]!S_SHARE_TOTAL(D588,[1]!s_ipo_listeddate(D588)),[1]!S_SHARE_TOTAL(D588,$G$5))))</f>
        <v/>
      </c>
      <c r="R588" s="248" t="str">
        <f ca="1">IF(C588="","",F588/([1]!S_STM07_BS(D588,141,$G$5,$H$13)/IF([1]!S_SHARE_TOTAL(D588,$G$5)=0,[1]!S_SHARE_TOTAL(D588,[1]!s_ipo_listeddate(D588)),[1]!S_SHARE_TOTAL(D588,$G$5))))</f>
        <v/>
      </c>
      <c r="S588" s="247" t="str">
        <f ca="1">IF(C588="","",[1]!S_SHARE_TOTAL(D588,TODAY())/$E$5)</f>
        <v/>
      </c>
      <c r="T588" s="247" t="str">
        <f t="shared" ca="1" si="61"/>
        <v/>
      </c>
      <c r="U588" s="218" t="str">
        <f t="shared" ca="1" si="62"/>
        <v/>
      </c>
      <c r="V588" s="342" t="str">
        <f t="shared" ca="1" si="63"/>
        <v/>
      </c>
      <c r="W588" s="139"/>
      <c r="Y588" s="1"/>
    </row>
    <row r="589" spans="3:25" ht="12" customHeight="1">
      <c r="C589" s="343" t="str">
        <f t="shared" ca="1" si="58"/>
        <v/>
      </c>
      <c r="D589" s="124" t="str">
        <f t="shared" ca="1" si="59"/>
        <v/>
      </c>
      <c r="E589" s="124" t="str">
        <f t="shared" ca="1" si="60"/>
        <v/>
      </c>
      <c r="F589" s="172" t="str">
        <f ca="1">IF(C589="","",[1]!S_DQ_CLOSE(D589,TODAY(),1))</f>
        <v/>
      </c>
      <c r="G589" s="173" t="str">
        <f ca="1">IF(C589="","",[1]!s_pq_pctchange(D589,TODAY()-$G$12,TODAY())/100)</f>
        <v/>
      </c>
      <c r="H589" s="249" t="str">
        <f ca="1">IF(C589="","",IF($H$11="收入",[1]!S_STM07_IS(D589,9,$G$5,$H$13)/$E$5,[1]!S_STM07_IS(D589,48,$G$5,$H$13)/$E$5))</f>
        <v/>
      </c>
      <c r="I589" s="249" t="str">
        <f ca="1">IF(C589="","",IF($I$11="毛利率",([1]!S_STM07_IS(D589,9,$G$5,$H$13)-[1]!S_STM07_IS(D589,10,$G$5,$H$13))/[1]!S_STM07_IS(D589,9,$G$5,$H$13),[1]!S_STM07_IS(D589,14,$G$5,$H$13)/$E$5))</f>
        <v/>
      </c>
      <c r="J589" s="249" t="str">
        <f ca="1">IF(C589="","",IF($J$11="营业利润率",[1]!S_STM07_IS(D589,48,$G$5,$H$13)/[1]!S_STM07_IS(D589,9,$G$5,$H$13),([1]!S_STM07_CS(D589,87,$G$5,$H$13)+[1]!S_STM07_CS(D589,88,$G$5,$H$13)+[1]!S_STM07_CS(D589,89,$G$5,$H$13))/$E$5))</f>
        <v/>
      </c>
      <c r="K589" s="249" t="str">
        <f ca="1">IF(C589="","",IF($K$11="净利润率",[1]!S_STM07_IS(D589,61,$G$5,$H$13)/[1]!S_STM07_IS(D589,9,$G$5,$H$13),[1]!S_STM07_IS(D589,55,$G$5,$H$13)/$E$5))</f>
        <v/>
      </c>
      <c r="L589" s="249" t="str">
        <f ca="1">IF(C589="","",IF($L$11="ROA",[1]!S_STM07_IS(D589,61,$G$5,$H$13)/[1]!S_STM07_BS(D589,74,$G$5,$H$13),1-[1]!S_STM07_IS(D589,61,$G$5,$H$13)/[1]!S_STM07_IS(D589,55,$G$5,$H$13)))</f>
        <v/>
      </c>
      <c r="M589" s="249" t="str">
        <f ca="1">IF(C589="","",IF($M$11="ROE",[1]!S_STM07_IS(D589,61,$G$5,$H$13)/[1]!S_STM07_BS(D589,141,$G$5,$H$13),([1]!S_STM07_BS(D589,25,$G$5,$H$13)-[1]!S_STM07_BS(D589,93,$G$5,$H$13))/$E$5))</f>
        <v/>
      </c>
      <c r="N589" s="250" t="str">
        <f ca="1">IF(C589="","",IF($N$11="EPS",[1]!S_STM07_IS(D589,61,$G$5,$H$13)/IF([1]!S_SHARE_TOTAL(D589,$G$5)=0,[1]!S_SHARE_TOTAL(D589,[1]!s_ipo_listeddate(D589)),[1]!S_SHARE_TOTAL(D589,$G$5)),([1]!S_STM07_BS(D589,75,$G$5,$H$13)+[1]!S_STM07_BS(D589,88,$G$5,$H$13)+[1]!S_STM07_BS(D589,94,$G$5,$H$13)+[1]!S_STM07_BS(D589,95,$G$5,$H$13))/$E$5))</f>
        <v/>
      </c>
      <c r="O589" s="250" t="str">
        <f ca="1">IF(C589="","",IF($O$11="BPS",[1]!S_STM07_BS(D589,141,$G$5,$H$13)/IF([1]!S_SHARE_TOTAL(D589,$G$5)=0,[1]!S_SHARE_TOTAL(D589,[1]!s_ipo_listeddate(D589)),[1]!S_SHARE_TOTAL(D589,$G$5)),[1]!S_STM07_CS(D589,49,$G$5,$H$13)/$E$5))</f>
        <v/>
      </c>
      <c r="P589" s="250" t="str">
        <f ca="1">IF(C589="","",IF($P$11="CFPS",[1]!S_STM07_CS(D589,84,$G$5,$H$13)/IF([1]!S_SHARE_TOTAL(D589,$G$5)=0,[1]!S_SHARE_TOTAL(D589,[1]!s_ipo_listeddate(D589)),[1]!S_SHARE_TOTAL(D589,$G$5)),[1]!S_STM07_CS(D589,84,$G$5,$H$13)/$E$5))</f>
        <v/>
      </c>
      <c r="Q589" s="198" t="str">
        <f ca="1">IF(C589="","",F589/([1]!S_STM07_IS(D589,61,$G$5,$H$13)/IF([1]!S_SHARE_TOTAL(D589,$G$5)=0,[1]!S_SHARE_TOTAL(D589,[1]!s_ipo_listeddate(D589)),[1]!S_SHARE_TOTAL(D589,$G$5))))</f>
        <v/>
      </c>
      <c r="R589" s="198" t="str">
        <f ca="1">IF(C589="","",F589/([1]!S_STM07_BS(D589,141,$G$5,$H$13)/IF([1]!S_SHARE_TOTAL(D589,$G$5)=0,[1]!S_SHARE_TOTAL(D589,[1]!s_ipo_listeddate(D589)),[1]!S_SHARE_TOTAL(D589,$G$5))))</f>
        <v/>
      </c>
      <c r="S589" s="249" t="str">
        <f ca="1">IF(C589="","",[1]!S_SHARE_TOTAL(D589,TODAY())/$E$5)</f>
        <v/>
      </c>
      <c r="T589" s="249" t="str">
        <f t="shared" ca="1" si="61"/>
        <v/>
      </c>
      <c r="U589" s="172" t="str">
        <f t="shared" ca="1" si="62"/>
        <v/>
      </c>
      <c r="V589" s="343" t="str">
        <f t="shared" ca="1" si="63"/>
        <v/>
      </c>
      <c r="W589" s="139"/>
      <c r="Y589" s="1"/>
    </row>
    <row r="590" spans="3:25" ht="12" customHeight="1">
      <c r="C590" s="342" t="str">
        <f t="shared" ref="C590:C653" ca="1" si="64">IF(ROW()-13&lt;=MAX(series),ROW()-13,"")</f>
        <v/>
      </c>
      <c r="D590" s="153" t="str">
        <f t="shared" ca="1" si="59"/>
        <v/>
      </c>
      <c r="E590" s="153" t="str">
        <f t="shared" ca="1" si="60"/>
        <v/>
      </c>
      <c r="F590" s="170" t="str">
        <f ca="1">IF(C590="","",[1]!S_DQ_CLOSE(D590,TODAY(),1))</f>
        <v/>
      </c>
      <c r="G590" s="171" t="str">
        <f ca="1">IF(C590="","",[1]!s_pq_pctchange(D590,TODAY()-$G$12,TODAY())/100)</f>
        <v/>
      </c>
      <c r="H590" s="247" t="str">
        <f ca="1">IF(C590="","",IF($H$11="收入",[1]!S_STM07_IS(D590,9,$G$5,$H$13)/$E$5,[1]!S_STM07_IS(D590,48,$G$5,$H$13)/$E$5))</f>
        <v/>
      </c>
      <c r="I590" s="247" t="str">
        <f ca="1">IF(C590="","",IF($I$11="毛利率",([1]!S_STM07_IS(D590,9,$G$5,$H$13)-[1]!S_STM07_IS(D590,10,$G$5,$H$13))/[1]!S_STM07_IS(D590,9,$G$5,$H$13),[1]!S_STM07_IS(D590,14,$G$5,$H$13)/$E$5))</f>
        <v/>
      </c>
      <c r="J590" s="247" t="str">
        <f ca="1">IF(C590="","",IF($J$11="营业利润率",[1]!S_STM07_IS(D590,48,$G$5,$H$13)/[1]!S_STM07_IS(D590,9,$G$5,$H$13),([1]!S_STM07_CS(D590,87,$G$5,$H$13)+[1]!S_STM07_CS(D590,88,$G$5,$H$13)+[1]!S_STM07_CS(D590,89,$G$5,$H$13))/$E$5))</f>
        <v/>
      </c>
      <c r="K590" s="247" t="str">
        <f ca="1">IF(C590="","",IF($K$11="净利润率",[1]!S_STM07_IS(D590,61,$G$5,$H$13)/[1]!S_STM07_IS(D590,9,$G$5,$H$13),[1]!S_STM07_IS(D590,55,$G$5,$H$13)/$E$5))</f>
        <v/>
      </c>
      <c r="L590" s="247" t="str">
        <f ca="1">IF(C590="","",IF($L$11="ROA",[1]!S_STM07_IS(D590,61,$G$5,$H$13)/[1]!S_STM07_BS(D590,74,$G$5,$H$13),1-[1]!S_STM07_IS(D590,61,$G$5,$H$13)/[1]!S_STM07_IS(D590,55,$G$5,$H$13)))</f>
        <v/>
      </c>
      <c r="M590" s="247" t="str">
        <f ca="1">IF(C590="","",IF($M$11="ROE",[1]!S_STM07_IS(D590,61,$G$5,$H$13)/[1]!S_STM07_BS(D590,141,$G$5,$H$13),([1]!S_STM07_BS(D590,25,$G$5,$H$13)-[1]!S_STM07_BS(D590,93,$G$5,$H$13))/$E$5))</f>
        <v/>
      </c>
      <c r="N590" s="247" t="str">
        <f ca="1">IF(C590="","",IF($N$11="EPS",[1]!S_STM07_IS(D590,61,$G$5,$H$13)/IF([1]!S_SHARE_TOTAL(D590,$G$5)=0,[1]!S_SHARE_TOTAL(D590,[1]!s_ipo_listeddate(D590)),[1]!S_SHARE_TOTAL(D590,$G$5)),([1]!S_STM07_BS(D590,75,$G$5,$H$13)+[1]!S_STM07_BS(D590,88,$G$5,$H$13)+[1]!S_STM07_BS(D590,94,$G$5,$H$13)+[1]!S_STM07_BS(D590,95,$G$5,$H$13))/$E$5))</f>
        <v/>
      </c>
      <c r="O590" s="247" t="str">
        <f ca="1">IF(C590="","",IF($O$11="BPS",[1]!S_STM07_BS(D590,141,$G$5,$H$13)/IF([1]!S_SHARE_TOTAL(D590,$G$5)=0,[1]!S_SHARE_TOTAL(D590,[1]!s_ipo_listeddate(D590)),[1]!S_SHARE_TOTAL(D590,$G$5)),[1]!S_STM07_CS(D590,49,$G$5,$H$13)/$E$5))</f>
        <v/>
      </c>
      <c r="P590" s="247" t="str">
        <f ca="1">IF(C590="","",IF($P$11="CFPS",[1]!S_STM07_CS(D590,84,$G$5,$H$13)/IF([1]!S_SHARE_TOTAL(D590,$G$5)=0,[1]!S_SHARE_TOTAL(D590,[1]!s_ipo_listeddate(D590)),[1]!S_SHARE_TOTAL(D590,$G$5)),[1]!S_STM07_CS(D590,84,$G$5,$H$13)/$E$5))</f>
        <v/>
      </c>
      <c r="Q590" s="248" t="str">
        <f ca="1">IF(C590="","",F590/([1]!S_STM07_IS(D590,61,$G$5,$H$13)/IF([1]!S_SHARE_TOTAL(D590,$G$5)=0,[1]!S_SHARE_TOTAL(D590,[1]!s_ipo_listeddate(D590)),[1]!S_SHARE_TOTAL(D590,$G$5))))</f>
        <v/>
      </c>
      <c r="R590" s="248" t="str">
        <f ca="1">IF(C590="","",F590/([1]!S_STM07_BS(D590,141,$G$5,$H$13)/IF([1]!S_SHARE_TOTAL(D590,$G$5)=0,[1]!S_SHARE_TOTAL(D590,[1]!s_ipo_listeddate(D590)),[1]!S_SHARE_TOTAL(D590,$G$5))))</f>
        <v/>
      </c>
      <c r="S590" s="247" t="str">
        <f ca="1">IF(C590="","",[1]!S_SHARE_TOTAL(D590,TODAY())/$E$5)</f>
        <v/>
      </c>
      <c r="T590" s="247" t="str">
        <f t="shared" ca="1" si="61"/>
        <v/>
      </c>
      <c r="U590" s="218" t="str">
        <f t="shared" ca="1" si="62"/>
        <v/>
      </c>
      <c r="V590" s="342" t="str">
        <f t="shared" ca="1" si="63"/>
        <v/>
      </c>
      <c r="W590" s="139"/>
      <c r="Y590" s="1"/>
    </row>
    <row r="591" spans="3:25" ht="12" customHeight="1">
      <c r="C591" s="343" t="str">
        <f t="shared" ca="1" si="64"/>
        <v/>
      </c>
      <c r="D591" s="124" t="str">
        <f t="shared" ca="1" si="59"/>
        <v/>
      </c>
      <c r="E591" s="124" t="str">
        <f t="shared" ca="1" si="60"/>
        <v/>
      </c>
      <c r="F591" s="172" t="str">
        <f ca="1">IF(C591="","",[1]!S_DQ_CLOSE(D591,TODAY(),1))</f>
        <v/>
      </c>
      <c r="G591" s="173" t="str">
        <f ca="1">IF(C591="","",[1]!s_pq_pctchange(D591,TODAY()-$G$12,TODAY())/100)</f>
        <v/>
      </c>
      <c r="H591" s="249" t="str">
        <f ca="1">IF(C591="","",IF($H$11="收入",[1]!S_STM07_IS(D591,9,$G$5,$H$13)/$E$5,[1]!S_STM07_IS(D591,48,$G$5,$H$13)/$E$5))</f>
        <v/>
      </c>
      <c r="I591" s="249" t="str">
        <f ca="1">IF(C591="","",IF($I$11="毛利率",([1]!S_STM07_IS(D591,9,$G$5,$H$13)-[1]!S_STM07_IS(D591,10,$G$5,$H$13))/[1]!S_STM07_IS(D591,9,$G$5,$H$13),[1]!S_STM07_IS(D591,14,$G$5,$H$13)/$E$5))</f>
        <v/>
      </c>
      <c r="J591" s="249" t="str">
        <f ca="1">IF(C591="","",IF($J$11="营业利润率",[1]!S_STM07_IS(D591,48,$G$5,$H$13)/[1]!S_STM07_IS(D591,9,$G$5,$H$13),([1]!S_STM07_CS(D591,87,$G$5,$H$13)+[1]!S_STM07_CS(D591,88,$G$5,$H$13)+[1]!S_STM07_CS(D591,89,$G$5,$H$13))/$E$5))</f>
        <v/>
      </c>
      <c r="K591" s="249" t="str">
        <f ca="1">IF(C591="","",IF($K$11="净利润率",[1]!S_STM07_IS(D591,61,$G$5,$H$13)/[1]!S_STM07_IS(D591,9,$G$5,$H$13),[1]!S_STM07_IS(D591,55,$G$5,$H$13)/$E$5))</f>
        <v/>
      </c>
      <c r="L591" s="249" t="str">
        <f ca="1">IF(C591="","",IF($L$11="ROA",[1]!S_STM07_IS(D591,61,$G$5,$H$13)/[1]!S_STM07_BS(D591,74,$G$5,$H$13),1-[1]!S_STM07_IS(D591,61,$G$5,$H$13)/[1]!S_STM07_IS(D591,55,$G$5,$H$13)))</f>
        <v/>
      </c>
      <c r="M591" s="249" t="str">
        <f ca="1">IF(C591="","",IF($M$11="ROE",[1]!S_STM07_IS(D591,61,$G$5,$H$13)/[1]!S_STM07_BS(D591,141,$G$5,$H$13),([1]!S_STM07_BS(D591,25,$G$5,$H$13)-[1]!S_STM07_BS(D591,93,$G$5,$H$13))/$E$5))</f>
        <v/>
      </c>
      <c r="N591" s="250" t="str">
        <f ca="1">IF(C591="","",IF($N$11="EPS",[1]!S_STM07_IS(D591,61,$G$5,$H$13)/IF([1]!S_SHARE_TOTAL(D591,$G$5)=0,[1]!S_SHARE_TOTAL(D591,[1]!s_ipo_listeddate(D591)),[1]!S_SHARE_TOTAL(D591,$G$5)),([1]!S_STM07_BS(D591,75,$G$5,$H$13)+[1]!S_STM07_BS(D591,88,$G$5,$H$13)+[1]!S_STM07_BS(D591,94,$G$5,$H$13)+[1]!S_STM07_BS(D591,95,$G$5,$H$13))/$E$5))</f>
        <v/>
      </c>
      <c r="O591" s="250" t="str">
        <f ca="1">IF(C591="","",IF($O$11="BPS",[1]!S_STM07_BS(D591,141,$G$5,$H$13)/IF([1]!S_SHARE_TOTAL(D591,$G$5)=0,[1]!S_SHARE_TOTAL(D591,[1]!s_ipo_listeddate(D591)),[1]!S_SHARE_TOTAL(D591,$G$5)),[1]!S_STM07_CS(D591,49,$G$5,$H$13)/$E$5))</f>
        <v/>
      </c>
      <c r="P591" s="250" t="str">
        <f ca="1">IF(C591="","",IF($P$11="CFPS",[1]!S_STM07_CS(D591,84,$G$5,$H$13)/IF([1]!S_SHARE_TOTAL(D591,$G$5)=0,[1]!S_SHARE_TOTAL(D591,[1]!s_ipo_listeddate(D591)),[1]!S_SHARE_TOTAL(D591,$G$5)),[1]!S_STM07_CS(D591,84,$G$5,$H$13)/$E$5))</f>
        <v/>
      </c>
      <c r="Q591" s="198" t="str">
        <f ca="1">IF(C591="","",F591/([1]!S_STM07_IS(D591,61,$G$5,$H$13)/IF([1]!S_SHARE_TOTAL(D591,$G$5)=0,[1]!S_SHARE_TOTAL(D591,[1]!s_ipo_listeddate(D591)),[1]!S_SHARE_TOTAL(D591,$G$5))))</f>
        <v/>
      </c>
      <c r="R591" s="198" t="str">
        <f ca="1">IF(C591="","",F591/([1]!S_STM07_BS(D591,141,$G$5,$H$13)/IF([1]!S_SHARE_TOTAL(D591,$G$5)=0,[1]!S_SHARE_TOTAL(D591,[1]!s_ipo_listeddate(D591)),[1]!S_SHARE_TOTAL(D591,$G$5))))</f>
        <v/>
      </c>
      <c r="S591" s="249" t="str">
        <f ca="1">IF(C591="","",[1]!S_SHARE_TOTAL(D591,TODAY())/$E$5)</f>
        <v/>
      </c>
      <c r="T591" s="249" t="str">
        <f t="shared" ca="1" si="61"/>
        <v/>
      </c>
      <c r="U591" s="172" t="str">
        <f t="shared" ca="1" si="62"/>
        <v/>
      </c>
      <c r="V591" s="343" t="str">
        <f t="shared" ca="1" si="63"/>
        <v/>
      </c>
      <c r="W591" s="139"/>
      <c r="Y591" s="1"/>
    </row>
    <row r="592" spans="3:25" ht="12" customHeight="1">
      <c r="C592" s="342" t="str">
        <f t="shared" ca="1" si="64"/>
        <v/>
      </c>
      <c r="D592" s="153" t="str">
        <f t="shared" ca="1" si="59"/>
        <v/>
      </c>
      <c r="E592" s="153" t="str">
        <f t="shared" ca="1" si="60"/>
        <v/>
      </c>
      <c r="F592" s="170" t="str">
        <f ca="1">IF(C592="","",[1]!S_DQ_CLOSE(D592,TODAY(),1))</f>
        <v/>
      </c>
      <c r="G592" s="171" t="str">
        <f ca="1">IF(C592="","",[1]!s_pq_pctchange(D592,TODAY()-$G$12,TODAY())/100)</f>
        <v/>
      </c>
      <c r="H592" s="247" t="str">
        <f ca="1">IF(C592="","",IF($H$11="收入",[1]!S_STM07_IS(D592,9,$G$5,$H$13)/$E$5,[1]!S_STM07_IS(D592,48,$G$5,$H$13)/$E$5))</f>
        <v/>
      </c>
      <c r="I592" s="247" t="str">
        <f ca="1">IF(C592="","",IF($I$11="毛利率",([1]!S_STM07_IS(D592,9,$G$5,$H$13)-[1]!S_STM07_IS(D592,10,$G$5,$H$13))/[1]!S_STM07_IS(D592,9,$G$5,$H$13),[1]!S_STM07_IS(D592,14,$G$5,$H$13)/$E$5))</f>
        <v/>
      </c>
      <c r="J592" s="247" t="str">
        <f ca="1">IF(C592="","",IF($J$11="营业利润率",[1]!S_STM07_IS(D592,48,$G$5,$H$13)/[1]!S_STM07_IS(D592,9,$G$5,$H$13),([1]!S_STM07_CS(D592,87,$G$5,$H$13)+[1]!S_STM07_CS(D592,88,$G$5,$H$13)+[1]!S_STM07_CS(D592,89,$G$5,$H$13))/$E$5))</f>
        <v/>
      </c>
      <c r="K592" s="247" t="str">
        <f ca="1">IF(C592="","",IF($K$11="净利润率",[1]!S_STM07_IS(D592,61,$G$5,$H$13)/[1]!S_STM07_IS(D592,9,$G$5,$H$13),[1]!S_STM07_IS(D592,55,$G$5,$H$13)/$E$5))</f>
        <v/>
      </c>
      <c r="L592" s="247" t="str">
        <f ca="1">IF(C592="","",IF($L$11="ROA",[1]!S_STM07_IS(D592,61,$G$5,$H$13)/[1]!S_STM07_BS(D592,74,$G$5,$H$13),1-[1]!S_STM07_IS(D592,61,$G$5,$H$13)/[1]!S_STM07_IS(D592,55,$G$5,$H$13)))</f>
        <v/>
      </c>
      <c r="M592" s="247" t="str">
        <f ca="1">IF(C592="","",IF($M$11="ROE",[1]!S_STM07_IS(D592,61,$G$5,$H$13)/[1]!S_STM07_BS(D592,141,$G$5,$H$13),([1]!S_STM07_BS(D592,25,$G$5,$H$13)-[1]!S_STM07_BS(D592,93,$G$5,$H$13))/$E$5))</f>
        <v/>
      </c>
      <c r="N592" s="247" t="str">
        <f ca="1">IF(C592="","",IF($N$11="EPS",[1]!S_STM07_IS(D592,61,$G$5,$H$13)/IF([1]!S_SHARE_TOTAL(D592,$G$5)=0,[1]!S_SHARE_TOTAL(D592,[1]!s_ipo_listeddate(D592)),[1]!S_SHARE_TOTAL(D592,$G$5)),([1]!S_STM07_BS(D592,75,$G$5,$H$13)+[1]!S_STM07_BS(D592,88,$G$5,$H$13)+[1]!S_STM07_BS(D592,94,$G$5,$H$13)+[1]!S_STM07_BS(D592,95,$G$5,$H$13))/$E$5))</f>
        <v/>
      </c>
      <c r="O592" s="247" t="str">
        <f ca="1">IF(C592="","",IF($O$11="BPS",[1]!S_STM07_BS(D592,141,$G$5,$H$13)/IF([1]!S_SHARE_TOTAL(D592,$G$5)=0,[1]!S_SHARE_TOTAL(D592,[1]!s_ipo_listeddate(D592)),[1]!S_SHARE_TOTAL(D592,$G$5)),[1]!S_STM07_CS(D592,49,$G$5,$H$13)/$E$5))</f>
        <v/>
      </c>
      <c r="P592" s="247" t="str">
        <f ca="1">IF(C592="","",IF($P$11="CFPS",[1]!S_STM07_CS(D592,84,$G$5,$H$13)/IF([1]!S_SHARE_TOTAL(D592,$G$5)=0,[1]!S_SHARE_TOTAL(D592,[1]!s_ipo_listeddate(D592)),[1]!S_SHARE_TOTAL(D592,$G$5)),[1]!S_STM07_CS(D592,84,$G$5,$H$13)/$E$5))</f>
        <v/>
      </c>
      <c r="Q592" s="248" t="str">
        <f ca="1">IF(C592="","",F592/([1]!S_STM07_IS(D592,61,$G$5,$H$13)/IF([1]!S_SHARE_TOTAL(D592,$G$5)=0,[1]!S_SHARE_TOTAL(D592,[1]!s_ipo_listeddate(D592)),[1]!S_SHARE_TOTAL(D592,$G$5))))</f>
        <v/>
      </c>
      <c r="R592" s="248" t="str">
        <f ca="1">IF(C592="","",F592/([1]!S_STM07_BS(D592,141,$G$5,$H$13)/IF([1]!S_SHARE_TOTAL(D592,$G$5)=0,[1]!S_SHARE_TOTAL(D592,[1]!s_ipo_listeddate(D592)),[1]!S_SHARE_TOTAL(D592,$G$5))))</f>
        <v/>
      </c>
      <c r="S592" s="247" t="str">
        <f ca="1">IF(C592="","",[1]!S_SHARE_TOTAL(D592,TODAY())/$E$5)</f>
        <v/>
      </c>
      <c r="T592" s="247" t="str">
        <f t="shared" ca="1" si="61"/>
        <v/>
      </c>
      <c r="U592" s="218" t="str">
        <f t="shared" ca="1" si="62"/>
        <v/>
      </c>
      <c r="V592" s="342" t="str">
        <f t="shared" ca="1" si="63"/>
        <v/>
      </c>
      <c r="W592" s="139"/>
      <c r="Y592" s="1"/>
    </row>
    <row r="593" spans="3:25" ht="12" customHeight="1">
      <c r="C593" s="343" t="str">
        <f t="shared" ca="1" si="64"/>
        <v/>
      </c>
      <c r="D593" s="124" t="str">
        <f t="shared" ca="1" si="59"/>
        <v/>
      </c>
      <c r="E593" s="124" t="str">
        <f t="shared" ca="1" si="60"/>
        <v/>
      </c>
      <c r="F593" s="172" t="str">
        <f ca="1">IF(C593="","",[1]!S_DQ_CLOSE(D593,TODAY(),1))</f>
        <v/>
      </c>
      <c r="G593" s="173" t="str">
        <f ca="1">IF(C593="","",[1]!s_pq_pctchange(D593,TODAY()-$G$12,TODAY())/100)</f>
        <v/>
      </c>
      <c r="H593" s="249" t="str">
        <f ca="1">IF(C593="","",IF($H$11="收入",[1]!S_STM07_IS(D593,9,$G$5,$H$13)/$E$5,[1]!S_STM07_IS(D593,48,$G$5,$H$13)/$E$5))</f>
        <v/>
      </c>
      <c r="I593" s="249" t="str">
        <f ca="1">IF(C593="","",IF($I$11="毛利率",([1]!S_STM07_IS(D593,9,$G$5,$H$13)-[1]!S_STM07_IS(D593,10,$G$5,$H$13))/[1]!S_STM07_IS(D593,9,$G$5,$H$13),[1]!S_STM07_IS(D593,14,$G$5,$H$13)/$E$5))</f>
        <v/>
      </c>
      <c r="J593" s="249" t="str">
        <f ca="1">IF(C593="","",IF($J$11="营业利润率",[1]!S_STM07_IS(D593,48,$G$5,$H$13)/[1]!S_STM07_IS(D593,9,$G$5,$H$13),([1]!S_STM07_CS(D593,87,$G$5,$H$13)+[1]!S_STM07_CS(D593,88,$G$5,$H$13)+[1]!S_STM07_CS(D593,89,$G$5,$H$13))/$E$5))</f>
        <v/>
      </c>
      <c r="K593" s="249" t="str">
        <f ca="1">IF(C593="","",IF($K$11="净利润率",[1]!S_STM07_IS(D593,61,$G$5,$H$13)/[1]!S_STM07_IS(D593,9,$G$5,$H$13),[1]!S_STM07_IS(D593,55,$G$5,$H$13)/$E$5))</f>
        <v/>
      </c>
      <c r="L593" s="249" t="str">
        <f ca="1">IF(C593="","",IF($L$11="ROA",[1]!S_STM07_IS(D593,61,$G$5,$H$13)/[1]!S_STM07_BS(D593,74,$G$5,$H$13),1-[1]!S_STM07_IS(D593,61,$G$5,$H$13)/[1]!S_STM07_IS(D593,55,$G$5,$H$13)))</f>
        <v/>
      </c>
      <c r="M593" s="249" t="str">
        <f ca="1">IF(C593="","",IF($M$11="ROE",[1]!S_STM07_IS(D593,61,$G$5,$H$13)/[1]!S_STM07_BS(D593,141,$G$5,$H$13),([1]!S_STM07_BS(D593,25,$G$5,$H$13)-[1]!S_STM07_BS(D593,93,$G$5,$H$13))/$E$5))</f>
        <v/>
      </c>
      <c r="N593" s="250" t="str">
        <f ca="1">IF(C593="","",IF($N$11="EPS",[1]!S_STM07_IS(D593,61,$G$5,$H$13)/IF([1]!S_SHARE_TOTAL(D593,$G$5)=0,[1]!S_SHARE_TOTAL(D593,[1]!s_ipo_listeddate(D593)),[1]!S_SHARE_TOTAL(D593,$G$5)),([1]!S_STM07_BS(D593,75,$G$5,$H$13)+[1]!S_STM07_BS(D593,88,$G$5,$H$13)+[1]!S_STM07_BS(D593,94,$G$5,$H$13)+[1]!S_STM07_BS(D593,95,$G$5,$H$13))/$E$5))</f>
        <v/>
      </c>
      <c r="O593" s="250" t="str">
        <f ca="1">IF(C593="","",IF($O$11="BPS",[1]!S_STM07_BS(D593,141,$G$5,$H$13)/IF([1]!S_SHARE_TOTAL(D593,$G$5)=0,[1]!S_SHARE_TOTAL(D593,[1]!s_ipo_listeddate(D593)),[1]!S_SHARE_TOTAL(D593,$G$5)),[1]!S_STM07_CS(D593,49,$G$5,$H$13)/$E$5))</f>
        <v/>
      </c>
      <c r="P593" s="250" t="str">
        <f ca="1">IF(C593="","",IF($P$11="CFPS",[1]!S_STM07_CS(D593,84,$G$5,$H$13)/IF([1]!S_SHARE_TOTAL(D593,$G$5)=0,[1]!S_SHARE_TOTAL(D593,[1]!s_ipo_listeddate(D593)),[1]!S_SHARE_TOTAL(D593,$G$5)),[1]!S_STM07_CS(D593,84,$G$5,$H$13)/$E$5))</f>
        <v/>
      </c>
      <c r="Q593" s="198" t="str">
        <f ca="1">IF(C593="","",F593/([1]!S_STM07_IS(D593,61,$G$5,$H$13)/IF([1]!S_SHARE_TOTAL(D593,$G$5)=0,[1]!S_SHARE_TOTAL(D593,[1]!s_ipo_listeddate(D593)),[1]!S_SHARE_TOTAL(D593,$G$5))))</f>
        <v/>
      </c>
      <c r="R593" s="198" t="str">
        <f ca="1">IF(C593="","",F593/([1]!S_STM07_BS(D593,141,$G$5,$H$13)/IF([1]!S_SHARE_TOTAL(D593,$G$5)=0,[1]!S_SHARE_TOTAL(D593,[1]!s_ipo_listeddate(D593)),[1]!S_SHARE_TOTAL(D593,$G$5))))</f>
        <v/>
      </c>
      <c r="S593" s="249" t="str">
        <f ca="1">IF(C593="","",[1]!S_SHARE_TOTAL(D593,TODAY())/$E$5)</f>
        <v/>
      </c>
      <c r="T593" s="249" t="str">
        <f t="shared" ca="1" si="61"/>
        <v/>
      </c>
      <c r="U593" s="172" t="str">
        <f t="shared" ca="1" si="62"/>
        <v/>
      </c>
      <c r="V593" s="343" t="str">
        <f t="shared" ca="1" si="63"/>
        <v/>
      </c>
      <c r="W593" s="139"/>
      <c r="Y593" s="1"/>
    </row>
    <row r="594" spans="3:25" ht="12" customHeight="1">
      <c r="C594" s="342" t="str">
        <f t="shared" ca="1" si="64"/>
        <v/>
      </c>
      <c r="D594" s="153" t="str">
        <f t="shared" ca="1" si="59"/>
        <v/>
      </c>
      <c r="E594" s="153" t="str">
        <f t="shared" ca="1" si="60"/>
        <v/>
      </c>
      <c r="F594" s="170" t="str">
        <f ca="1">IF(C594="","",[1]!S_DQ_CLOSE(D594,TODAY(),1))</f>
        <v/>
      </c>
      <c r="G594" s="171" t="str">
        <f ca="1">IF(C594="","",[1]!s_pq_pctchange(D594,TODAY()-$G$12,TODAY())/100)</f>
        <v/>
      </c>
      <c r="H594" s="247" t="str">
        <f ca="1">IF(C594="","",IF($H$11="收入",[1]!S_STM07_IS(D594,9,$G$5,$H$13)/$E$5,[1]!S_STM07_IS(D594,48,$G$5,$H$13)/$E$5))</f>
        <v/>
      </c>
      <c r="I594" s="247" t="str">
        <f ca="1">IF(C594="","",IF($I$11="毛利率",([1]!S_STM07_IS(D594,9,$G$5,$H$13)-[1]!S_STM07_IS(D594,10,$G$5,$H$13))/[1]!S_STM07_IS(D594,9,$G$5,$H$13),[1]!S_STM07_IS(D594,14,$G$5,$H$13)/$E$5))</f>
        <v/>
      </c>
      <c r="J594" s="247" t="str">
        <f ca="1">IF(C594="","",IF($J$11="营业利润率",[1]!S_STM07_IS(D594,48,$G$5,$H$13)/[1]!S_STM07_IS(D594,9,$G$5,$H$13),([1]!S_STM07_CS(D594,87,$G$5,$H$13)+[1]!S_STM07_CS(D594,88,$G$5,$H$13)+[1]!S_STM07_CS(D594,89,$G$5,$H$13))/$E$5))</f>
        <v/>
      </c>
      <c r="K594" s="247" t="str">
        <f ca="1">IF(C594="","",IF($K$11="净利润率",[1]!S_STM07_IS(D594,61,$G$5,$H$13)/[1]!S_STM07_IS(D594,9,$G$5,$H$13),[1]!S_STM07_IS(D594,55,$G$5,$H$13)/$E$5))</f>
        <v/>
      </c>
      <c r="L594" s="247" t="str">
        <f ca="1">IF(C594="","",IF($L$11="ROA",[1]!S_STM07_IS(D594,61,$G$5,$H$13)/[1]!S_STM07_BS(D594,74,$G$5,$H$13),1-[1]!S_STM07_IS(D594,61,$G$5,$H$13)/[1]!S_STM07_IS(D594,55,$G$5,$H$13)))</f>
        <v/>
      </c>
      <c r="M594" s="247" t="str">
        <f ca="1">IF(C594="","",IF($M$11="ROE",[1]!S_STM07_IS(D594,61,$G$5,$H$13)/[1]!S_STM07_BS(D594,141,$G$5,$H$13),([1]!S_STM07_BS(D594,25,$G$5,$H$13)-[1]!S_STM07_BS(D594,93,$G$5,$H$13))/$E$5))</f>
        <v/>
      </c>
      <c r="N594" s="247" t="str">
        <f ca="1">IF(C594="","",IF($N$11="EPS",[1]!S_STM07_IS(D594,61,$G$5,$H$13)/IF([1]!S_SHARE_TOTAL(D594,$G$5)=0,[1]!S_SHARE_TOTAL(D594,[1]!s_ipo_listeddate(D594)),[1]!S_SHARE_TOTAL(D594,$G$5)),([1]!S_STM07_BS(D594,75,$G$5,$H$13)+[1]!S_STM07_BS(D594,88,$G$5,$H$13)+[1]!S_STM07_BS(D594,94,$G$5,$H$13)+[1]!S_STM07_BS(D594,95,$G$5,$H$13))/$E$5))</f>
        <v/>
      </c>
      <c r="O594" s="247" t="str">
        <f ca="1">IF(C594="","",IF($O$11="BPS",[1]!S_STM07_BS(D594,141,$G$5,$H$13)/IF([1]!S_SHARE_TOTAL(D594,$G$5)=0,[1]!S_SHARE_TOTAL(D594,[1]!s_ipo_listeddate(D594)),[1]!S_SHARE_TOTAL(D594,$G$5)),[1]!S_STM07_CS(D594,49,$G$5,$H$13)/$E$5))</f>
        <v/>
      </c>
      <c r="P594" s="247" t="str">
        <f ca="1">IF(C594="","",IF($P$11="CFPS",[1]!S_STM07_CS(D594,84,$G$5,$H$13)/IF([1]!S_SHARE_TOTAL(D594,$G$5)=0,[1]!S_SHARE_TOTAL(D594,[1]!s_ipo_listeddate(D594)),[1]!S_SHARE_TOTAL(D594,$G$5)),[1]!S_STM07_CS(D594,84,$G$5,$H$13)/$E$5))</f>
        <v/>
      </c>
      <c r="Q594" s="248" t="str">
        <f ca="1">IF(C594="","",F594/([1]!S_STM07_IS(D594,61,$G$5,$H$13)/IF([1]!S_SHARE_TOTAL(D594,$G$5)=0,[1]!S_SHARE_TOTAL(D594,[1]!s_ipo_listeddate(D594)),[1]!S_SHARE_TOTAL(D594,$G$5))))</f>
        <v/>
      </c>
      <c r="R594" s="248" t="str">
        <f ca="1">IF(C594="","",F594/([1]!S_STM07_BS(D594,141,$G$5,$H$13)/IF([1]!S_SHARE_TOTAL(D594,$G$5)=0,[1]!S_SHARE_TOTAL(D594,[1]!s_ipo_listeddate(D594)),[1]!S_SHARE_TOTAL(D594,$G$5))))</f>
        <v/>
      </c>
      <c r="S594" s="247" t="str">
        <f ca="1">IF(C594="","",[1]!S_SHARE_TOTAL(D594,TODAY())/$E$5)</f>
        <v/>
      </c>
      <c r="T594" s="247" t="str">
        <f t="shared" ca="1" si="61"/>
        <v/>
      </c>
      <c r="U594" s="218" t="str">
        <f t="shared" ca="1" si="62"/>
        <v/>
      </c>
      <c r="V594" s="342" t="str">
        <f t="shared" ca="1" si="63"/>
        <v/>
      </c>
      <c r="W594" s="139"/>
      <c r="Y594" s="1"/>
    </row>
    <row r="595" spans="3:25" ht="12" customHeight="1">
      <c r="C595" s="343" t="str">
        <f t="shared" ca="1" si="64"/>
        <v/>
      </c>
      <c r="D595" s="124" t="str">
        <f t="shared" ca="1" si="59"/>
        <v/>
      </c>
      <c r="E595" s="124" t="str">
        <f t="shared" ca="1" si="60"/>
        <v/>
      </c>
      <c r="F595" s="172" t="str">
        <f ca="1">IF(C595="","",[1]!S_DQ_CLOSE(D595,TODAY(),1))</f>
        <v/>
      </c>
      <c r="G595" s="173" t="str">
        <f ca="1">IF(C595="","",[1]!s_pq_pctchange(D595,TODAY()-$G$12,TODAY())/100)</f>
        <v/>
      </c>
      <c r="H595" s="249" t="str">
        <f ca="1">IF(C595="","",IF($H$11="收入",[1]!S_STM07_IS(D595,9,$G$5,$H$13)/$E$5,[1]!S_STM07_IS(D595,48,$G$5,$H$13)/$E$5))</f>
        <v/>
      </c>
      <c r="I595" s="249" t="str">
        <f ca="1">IF(C595="","",IF($I$11="毛利率",([1]!S_STM07_IS(D595,9,$G$5,$H$13)-[1]!S_STM07_IS(D595,10,$G$5,$H$13))/[1]!S_STM07_IS(D595,9,$G$5,$H$13),[1]!S_STM07_IS(D595,14,$G$5,$H$13)/$E$5))</f>
        <v/>
      </c>
      <c r="J595" s="249" t="str">
        <f ca="1">IF(C595="","",IF($J$11="营业利润率",[1]!S_STM07_IS(D595,48,$G$5,$H$13)/[1]!S_STM07_IS(D595,9,$G$5,$H$13),([1]!S_STM07_CS(D595,87,$G$5,$H$13)+[1]!S_STM07_CS(D595,88,$G$5,$H$13)+[1]!S_STM07_CS(D595,89,$G$5,$H$13))/$E$5))</f>
        <v/>
      </c>
      <c r="K595" s="249" t="str">
        <f ca="1">IF(C595="","",IF($K$11="净利润率",[1]!S_STM07_IS(D595,61,$G$5,$H$13)/[1]!S_STM07_IS(D595,9,$G$5,$H$13),[1]!S_STM07_IS(D595,55,$G$5,$H$13)/$E$5))</f>
        <v/>
      </c>
      <c r="L595" s="249" t="str">
        <f ca="1">IF(C595="","",IF($L$11="ROA",[1]!S_STM07_IS(D595,61,$G$5,$H$13)/[1]!S_STM07_BS(D595,74,$G$5,$H$13),1-[1]!S_STM07_IS(D595,61,$G$5,$H$13)/[1]!S_STM07_IS(D595,55,$G$5,$H$13)))</f>
        <v/>
      </c>
      <c r="M595" s="249" t="str">
        <f ca="1">IF(C595="","",IF($M$11="ROE",[1]!S_STM07_IS(D595,61,$G$5,$H$13)/[1]!S_STM07_BS(D595,141,$G$5,$H$13),([1]!S_STM07_BS(D595,25,$G$5,$H$13)-[1]!S_STM07_BS(D595,93,$G$5,$H$13))/$E$5))</f>
        <v/>
      </c>
      <c r="N595" s="250" t="str">
        <f ca="1">IF(C595="","",IF($N$11="EPS",[1]!S_STM07_IS(D595,61,$G$5,$H$13)/IF([1]!S_SHARE_TOTAL(D595,$G$5)=0,[1]!S_SHARE_TOTAL(D595,[1]!s_ipo_listeddate(D595)),[1]!S_SHARE_TOTAL(D595,$G$5)),([1]!S_STM07_BS(D595,75,$G$5,$H$13)+[1]!S_STM07_BS(D595,88,$G$5,$H$13)+[1]!S_STM07_BS(D595,94,$G$5,$H$13)+[1]!S_STM07_BS(D595,95,$G$5,$H$13))/$E$5))</f>
        <v/>
      </c>
      <c r="O595" s="250" t="str">
        <f ca="1">IF(C595="","",IF($O$11="BPS",[1]!S_STM07_BS(D595,141,$G$5,$H$13)/IF([1]!S_SHARE_TOTAL(D595,$G$5)=0,[1]!S_SHARE_TOTAL(D595,[1]!s_ipo_listeddate(D595)),[1]!S_SHARE_TOTAL(D595,$G$5)),[1]!S_STM07_CS(D595,49,$G$5,$H$13)/$E$5))</f>
        <v/>
      </c>
      <c r="P595" s="250" t="str">
        <f ca="1">IF(C595="","",IF($P$11="CFPS",[1]!S_STM07_CS(D595,84,$G$5,$H$13)/IF([1]!S_SHARE_TOTAL(D595,$G$5)=0,[1]!S_SHARE_TOTAL(D595,[1]!s_ipo_listeddate(D595)),[1]!S_SHARE_TOTAL(D595,$G$5)),[1]!S_STM07_CS(D595,84,$G$5,$H$13)/$E$5))</f>
        <v/>
      </c>
      <c r="Q595" s="198" t="str">
        <f ca="1">IF(C595="","",F595/([1]!S_STM07_IS(D595,61,$G$5,$H$13)/IF([1]!S_SHARE_TOTAL(D595,$G$5)=0,[1]!S_SHARE_TOTAL(D595,[1]!s_ipo_listeddate(D595)),[1]!S_SHARE_TOTAL(D595,$G$5))))</f>
        <v/>
      </c>
      <c r="R595" s="198" t="str">
        <f ca="1">IF(C595="","",F595/([1]!S_STM07_BS(D595,141,$G$5,$H$13)/IF([1]!S_SHARE_TOTAL(D595,$G$5)=0,[1]!S_SHARE_TOTAL(D595,[1]!s_ipo_listeddate(D595)),[1]!S_SHARE_TOTAL(D595,$G$5))))</f>
        <v/>
      </c>
      <c r="S595" s="249" t="str">
        <f ca="1">IF(C595="","",[1]!S_SHARE_TOTAL(D595,TODAY())/$E$5)</f>
        <v/>
      </c>
      <c r="T595" s="249" t="str">
        <f t="shared" ca="1" si="61"/>
        <v/>
      </c>
      <c r="U595" s="172" t="str">
        <f t="shared" ca="1" si="62"/>
        <v/>
      </c>
      <c r="V595" s="343" t="str">
        <f t="shared" ca="1" si="63"/>
        <v/>
      </c>
      <c r="W595" s="139"/>
      <c r="Y595" s="1"/>
    </row>
    <row r="596" spans="3:25" ht="12" customHeight="1">
      <c r="C596" s="342" t="str">
        <f t="shared" ca="1" si="64"/>
        <v/>
      </c>
      <c r="D596" s="153" t="str">
        <f t="shared" ca="1" si="59"/>
        <v/>
      </c>
      <c r="E596" s="153" t="str">
        <f t="shared" ca="1" si="60"/>
        <v/>
      </c>
      <c r="F596" s="170" t="str">
        <f ca="1">IF(C596="","",[1]!S_DQ_CLOSE(D596,TODAY(),1))</f>
        <v/>
      </c>
      <c r="G596" s="171" t="str">
        <f ca="1">IF(C596="","",[1]!s_pq_pctchange(D596,TODAY()-$G$12,TODAY())/100)</f>
        <v/>
      </c>
      <c r="H596" s="247" t="str">
        <f ca="1">IF(C596="","",IF($H$11="收入",[1]!S_STM07_IS(D596,9,$G$5,$H$13)/$E$5,[1]!S_STM07_IS(D596,48,$G$5,$H$13)/$E$5))</f>
        <v/>
      </c>
      <c r="I596" s="247" t="str">
        <f ca="1">IF(C596="","",IF($I$11="毛利率",([1]!S_STM07_IS(D596,9,$G$5,$H$13)-[1]!S_STM07_IS(D596,10,$G$5,$H$13))/[1]!S_STM07_IS(D596,9,$G$5,$H$13),[1]!S_STM07_IS(D596,14,$G$5,$H$13)/$E$5))</f>
        <v/>
      </c>
      <c r="J596" s="247" t="str">
        <f ca="1">IF(C596="","",IF($J$11="营业利润率",[1]!S_STM07_IS(D596,48,$G$5,$H$13)/[1]!S_STM07_IS(D596,9,$G$5,$H$13),([1]!S_STM07_CS(D596,87,$G$5,$H$13)+[1]!S_STM07_CS(D596,88,$G$5,$H$13)+[1]!S_STM07_CS(D596,89,$G$5,$H$13))/$E$5))</f>
        <v/>
      </c>
      <c r="K596" s="247" t="str">
        <f ca="1">IF(C596="","",IF($K$11="净利润率",[1]!S_STM07_IS(D596,61,$G$5,$H$13)/[1]!S_STM07_IS(D596,9,$G$5,$H$13),[1]!S_STM07_IS(D596,55,$G$5,$H$13)/$E$5))</f>
        <v/>
      </c>
      <c r="L596" s="247" t="str">
        <f ca="1">IF(C596="","",IF($L$11="ROA",[1]!S_STM07_IS(D596,61,$G$5,$H$13)/[1]!S_STM07_BS(D596,74,$G$5,$H$13),1-[1]!S_STM07_IS(D596,61,$G$5,$H$13)/[1]!S_STM07_IS(D596,55,$G$5,$H$13)))</f>
        <v/>
      </c>
      <c r="M596" s="247" t="str">
        <f ca="1">IF(C596="","",IF($M$11="ROE",[1]!S_STM07_IS(D596,61,$G$5,$H$13)/[1]!S_STM07_BS(D596,141,$G$5,$H$13),([1]!S_STM07_BS(D596,25,$G$5,$H$13)-[1]!S_STM07_BS(D596,93,$G$5,$H$13))/$E$5))</f>
        <v/>
      </c>
      <c r="N596" s="247" t="str">
        <f ca="1">IF(C596="","",IF($N$11="EPS",[1]!S_STM07_IS(D596,61,$G$5,$H$13)/IF([1]!S_SHARE_TOTAL(D596,$G$5)=0,[1]!S_SHARE_TOTAL(D596,[1]!s_ipo_listeddate(D596)),[1]!S_SHARE_TOTAL(D596,$G$5)),([1]!S_STM07_BS(D596,75,$G$5,$H$13)+[1]!S_STM07_BS(D596,88,$G$5,$H$13)+[1]!S_STM07_BS(D596,94,$G$5,$H$13)+[1]!S_STM07_BS(D596,95,$G$5,$H$13))/$E$5))</f>
        <v/>
      </c>
      <c r="O596" s="247" t="str">
        <f ca="1">IF(C596="","",IF($O$11="BPS",[1]!S_STM07_BS(D596,141,$G$5,$H$13)/IF([1]!S_SHARE_TOTAL(D596,$G$5)=0,[1]!S_SHARE_TOTAL(D596,[1]!s_ipo_listeddate(D596)),[1]!S_SHARE_TOTAL(D596,$G$5)),[1]!S_STM07_CS(D596,49,$G$5,$H$13)/$E$5))</f>
        <v/>
      </c>
      <c r="P596" s="247" t="str">
        <f ca="1">IF(C596="","",IF($P$11="CFPS",[1]!S_STM07_CS(D596,84,$G$5,$H$13)/IF([1]!S_SHARE_TOTAL(D596,$G$5)=0,[1]!S_SHARE_TOTAL(D596,[1]!s_ipo_listeddate(D596)),[1]!S_SHARE_TOTAL(D596,$G$5)),[1]!S_STM07_CS(D596,84,$G$5,$H$13)/$E$5))</f>
        <v/>
      </c>
      <c r="Q596" s="248" t="str">
        <f ca="1">IF(C596="","",F596/([1]!S_STM07_IS(D596,61,$G$5,$H$13)/IF([1]!S_SHARE_TOTAL(D596,$G$5)=0,[1]!S_SHARE_TOTAL(D596,[1]!s_ipo_listeddate(D596)),[1]!S_SHARE_TOTAL(D596,$G$5))))</f>
        <v/>
      </c>
      <c r="R596" s="248" t="str">
        <f ca="1">IF(C596="","",F596/([1]!S_STM07_BS(D596,141,$G$5,$H$13)/IF([1]!S_SHARE_TOTAL(D596,$G$5)=0,[1]!S_SHARE_TOTAL(D596,[1]!s_ipo_listeddate(D596)),[1]!S_SHARE_TOTAL(D596,$G$5))))</f>
        <v/>
      </c>
      <c r="S596" s="247" t="str">
        <f ca="1">IF(C596="","",[1]!S_SHARE_TOTAL(D596,TODAY())/$E$5)</f>
        <v/>
      </c>
      <c r="T596" s="247" t="str">
        <f t="shared" ca="1" si="61"/>
        <v/>
      </c>
      <c r="U596" s="218" t="str">
        <f t="shared" ca="1" si="62"/>
        <v/>
      </c>
      <c r="V596" s="342" t="str">
        <f t="shared" ca="1" si="63"/>
        <v/>
      </c>
      <c r="W596" s="139"/>
      <c r="Y596" s="1"/>
    </row>
    <row r="597" spans="3:25" ht="12" customHeight="1">
      <c r="C597" s="343" t="str">
        <f t="shared" ca="1" si="64"/>
        <v/>
      </c>
      <c r="D597" s="124" t="str">
        <f t="shared" ca="1" si="59"/>
        <v/>
      </c>
      <c r="E597" s="124" t="str">
        <f t="shared" ca="1" si="60"/>
        <v/>
      </c>
      <c r="F597" s="172" t="str">
        <f ca="1">IF(C597="","",[1]!S_DQ_CLOSE(D597,TODAY(),1))</f>
        <v/>
      </c>
      <c r="G597" s="173" t="str">
        <f ca="1">IF(C597="","",[1]!s_pq_pctchange(D597,TODAY()-$G$12,TODAY())/100)</f>
        <v/>
      </c>
      <c r="H597" s="249" t="str">
        <f ca="1">IF(C597="","",IF($H$11="收入",[1]!S_STM07_IS(D597,9,$G$5,$H$13)/$E$5,[1]!S_STM07_IS(D597,48,$G$5,$H$13)/$E$5))</f>
        <v/>
      </c>
      <c r="I597" s="249" t="str">
        <f ca="1">IF(C597="","",IF($I$11="毛利率",([1]!S_STM07_IS(D597,9,$G$5,$H$13)-[1]!S_STM07_IS(D597,10,$G$5,$H$13))/[1]!S_STM07_IS(D597,9,$G$5,$H$13),[1]!S_STM07_IS(D597,14,$G$5,$H$13)/$E$5))</f>
        <v/>
      </c>
      <c r="J597" s="249" t="str">
        <f ca="1">IF(C597="","",IF($J$11="营业利润率",[1]!S_STM07_IS(D597,48,$G$5,$H$13)/[1]!S_STM07_IS(D597,9,$G$5,$H$13),([1]!S_STM07_CS(D597,87,$G$5,$H$13)+[1]!S_STM07_CS(D597,88,$G$5,$H$13)+[1]!S_STM07_CS(D597,89,$G$5,$H$13))/$E$5))</f>
        <v/>
      </c>
      <c r="K597" s="249" t="str">
        <f ca="1">IF(C597="","",IF($K$11="净利润率",[1]!S_STM07_IS(D597,61,$G$5,$H$13)/[1]!S_STM07_IS(D597,9,$G$5,$H$13),[1]!S_STM07_IS(D597,55,$G$5,$H$13)/$E$5))</f>
        <v/>
      </c>
      <c r="L597" s="249" t="str">
        <f ca="1">IF(C597="","",IF($L$11="ROA",[1]!S_STM07_IS(D597,61,$G$5,$H$13)/[1]!S_STM07_BS(D597,74,$G$5,$H$13),1-[1]!S_STM07_IS(D597,61,$G$5,$H$13)/[1]!S_STM07_IS(D597,55,$G$5,$H$13)))</f>
        <v/>
      </c>
      <c r="M597" s="249" t="str">
        <f ca="1">IF(C597="","",IF($M$11="ROE",[1]!S_STM07_IS(D597,61,$G$5,$H$13)/[1]!S_STM07_BS(D597,141,$G$5,$H$13),([1]!S_STM07_BS(D597,25,$G$5,$H$13)-[1]!S_STM07_BS(D597,93,$G$5,$H$13))/$E$5))</f>
        <v/>
      </c>
      <c r="N597" s="250" t="str">
        <f ca="1">IF(C597="","",IF($N$11="EPS",[1]!S_STM07_IS(D597,61,$G$5,$H$13)/IF([1]!S_SHARE_TOTAL(D597,$G$5)=0,[1]!S_SHARE_TOTAL(D597,[1]!s_ipo_listeddate(D597)),[1]!S_SHARE_TOTAL(D597,$G$5)),([1]!S_STM07_BS(D597,75,$G$5,$H$13)+[1]!S_STM07_BS(D597,88,$G$5,$H$13)+[1]!S_STM07_BS(D597,94,$G$5,$H$13)+[1]!S_STM07_BS(D597,95,$G$5,$H$13))/$E$5))</f>
        <v/>
      </c>
      <c r="O597" s="250" t="str">
        <f ca="1">IF(C597="","",IF($O$11="BPS",[1]!S_STM07_BS(D597,141,$G$5,$H$13)/IF([1]!S_SHARE_TOTAL(D597,$G$5)=0,[1]!S_SHARE_TOTAL(D597,[1]!s_ipo_listeddate(D597)),[1]!S_SHARE_TOTAL(D597,$G$5)),[1]!S_STM07_CS(D597,49,$G$5,$H$13)/$E$5))</f>
        <v/>
      </c>
      <c r="P597" s="250" t="str">
        <f ca="1">IF(C597="","",IF($P$11="CFPS",[1]!S_STM07_CS(D597,84,$G$5,$H$13)/IF([1]!S_SHARE_TOTAL(D597,$G$5)=0,[1]!S_SHARE_TOTAL(D597,[1]!s_ipo_listeddate(D597)),[1]!S_SHARE_TOTAL(D597,$G$5)),[1]!S_STM07_CS(D597,84,$G$5,$H$13)/$E$5))</f>
        <v/>
      </c>
      <c r="Q597" s="198" t="str">
        <f ca="1">IF(C597="","",F597/([1]!S_STM07_IS(D597,61,$G$5,$H$13)/IF([1]!S_SHARE_TOTAL(D597,$G$5)=0,[1]!S_SHARE_TOTAL(D597,[1]!s_ipo_listeddate(D597)),[1]!S_SHARE_TOTAL(D597,$G$5))))</f>
        <v/>
      </c>
      <c r="R597" s="198" t="str">
        <f ca="1">IF(C597="","",F597/([1]!S_STM07_BS(D597,141,$G$5,$H$13)/IF([1]!S_SHARE_TOTAL(D597,$G$5)=0,[1]!S_SHARE_TOTAL(D597,[1]!s_ipo_listeddate(D597)),[1]!S_SHARE_TOTAL(D597,$G$5))))</f>
        <v/>
      </c>
      <c r="S597" s="249" t="str">
        <f ca="1">IF(C597="","",[1]!S_SHARE_TOTAL(D597,TODAY())/$E$5)</f>
        <v/>
      </c>
      <c r="T597" s="249" t="str">
        <f t="shared" ca="1" si="61"/>
        <v/>
      </c>
      <c r="U597" s="172" t="str">
        <f t="shared" ca="1" si="62"/>
        <v/>
      </c>
      <c r="V597" s="343" t="str">
        <f t="shared" ca="1" si="63"/>
        <v/>
      </c>
      <c r="W597" s="139"/>
      <c r="Y597" s="1"/>
    </row>
    <row r="598" spans="3:25" ht="12" customHeight="1">
      <c r="C598" s="342" t="str">
        <f t="shared" ca="1" si="64"/>
        <v/>
      </c>
      <c r="D598" s="153" t="str">
        <f t="shared" ca="1" si="59"/>
        <v/>
      </c>
      <c r="E598" s="153" t="str">
        <f t="shared" ca="1" si="60"/>
        <v/>
      </c>
      <c r="F598" s="170" t="str">
        <f ca="1">IF(C598="","",[1]!S_DQ_CLOSE(D598,TODAY(),1))</f>
        <v/>
      </c>
      <c r="G598" s="171" t="str">
        <f ca="1">IF(C598="","",[1]!s_pq_pctchange(D598,TODAY()-$G$12,TODAY())/100)</f>
        <v/>
      </c>
      <c r="H598" s="247" t="str">
        <f ca="1">IF(C598="","",IF($H$11="收入",[1]!S_STM07_IS(D598,9,$G$5,$H$13)/$E$5,[1]!S_STM07_IS(D598,48,$G$5,$H$13)/$E$5))</f>
        <v/>
      </c>
      <c r="I598" s="247" t="str">
        <f ca="1">IF(C598="","",IF($I$11="毛利率",([1]!S_STM07_IS(D598,9,$G$5,$H$13)-[1]!S_STM07_IS(D598,10,$G$5,$H$13))/[1]!S_STM07_IS(D598,9,$G$5,$H$13),[1]!S_STM07_IS(D598,14,$G$5,$H$13)/$E$5))</f>
        <v/>
      </c>
      <c r="J598" s="247" t="str">
        <f ca="1">IF(C598="","",IF($J$11="营业利润率",[1]!S_STM07_IS(D598,48,$G$5,$H$13)/[1]!S_STM07_IS(D598,9,$G$5,$H$13),([1]!S_STM07_CS(D598,87,$G$5,$H$13)+[1]!S_STM07_CS(D598,88,$G$5,$H$13)+[1]!S_STM07_CS(D598,89,$G$5,$H$13))/$E$5))</f>
        <v/>
      </c>
      <c r="K598" s="247" t="str">
        <f ca="1">IF(C598="","",IF($K$11="净利润率",[1]!S_STM07_IS(D598,61,$G$5,$H$13)/[1]!S_STM07_IS(D598,9,$G$5,$H$13),[1]!S_STM07_IS(D598,55,$G$5,$H$13)/$E$5))</f>
        <v/>
      </c>
      <c r="L598" s="247" t="str">
        <f ca="1">IF(C598="","",IF($L$11="ROA",[1]!S_STM07_IS(D598,61,$G$5,$H$13)/[1]!S_STM07_BS(D598,74,$G$5,$H$13),1-[1]!S_STM07_IS(D598,61,$G$5,$H$13)/[1]!S_STM07_IS(D598,55,$G$5,$H$13)))</f>
        <v/>
      </c>
      <c r="M598" s="247" t="str">
        <f ca="1">IF(C598="","",IF($M$11="ROE",[1]!S_STM07_IS(D598,61,$G$5,$H$13)/[1]!S_STM07_BS(D598,141,$G$5,$H$13),([1]!S_STM07_BS(D598,25,$G$5,$H$13)-[1]!S_STM07_BS(D598,93,$G$5,$H$13))/$E$5))</f>
        <v/>
      </c>
      <c r="N598" s="247" t="str">
        <f ca="1">IF(C598="","",IF($N$11="EPS",[1]!S_STM07_IS(D598,61,$G$5,$H$13)/IF([1]!S_SHARE_TOTAL(D598,$G$5)=0,[1]!S_SHARE_TOTAL(D598,[1]!s_ipo_listeddate(D598)),[1]!S_SHARE_TOTAL(D598,$G$5)),([1]!S_STM07_BS(D598,75,$G$5,$H$13)+[1]!S_STM07_BS(D598,88,$G$5,$H$13)+[1]!S_STM07_BS(D598,94,$G$5,$H$13)+[1]!S_STM07_BS(D598,95,$G$5,$H$13))/$E$5))</f>
        <v/>
      </c>
      <c r="O598" s="247" t="str">
        <f ca="1">IF(C598="","",IF($O$11="BPS",[1]!S_STM07_BS(D598,141,$G$5,$H$13)/IF([1]!S_SHARE_TOTAL(D598,$G$5)=0,[1]!S_SHARE_TOTAL(D598,[1]!s_ipo_listeddate(D598)),[1]!S_SHARE_TOTAL(D598,$G$5)),[1]!S_STM07_CS(D598,49,$G$5,$H$13)/$E$5))</f>
        <v/>
      </c>
      <c r="P598" s="247" t="str">
        <f ca="1">IF(C598="","",IF($P$11="CFPS",[1]!S_STM07_CS(D598,84,$G$5,$H$13)/IF([1]!S_SHARE_TOTAL(D598,$G$5)=0,[1]!S_SHARE_TOTAL(D598,[1]!s_ipo_listeddate(D598)),[1]!S_SHARE_TOTAL(D598,$G$5)),[1]!S_STM07_CS(D598,84,$G$5,$H$13)/$E$5))</f>
        <v/>
      </c>
      <c r="Q598" s="248" t="str">
        <f ca="1">IF(C598="","",F598/([1]!S_STM07_IS(D598,61,$G$5,$H$13)/IF([1]!S_SHARE_TOTAL(D598,$G$5)=0,[1]!S_SHARE_TOTAL(D598,[1]!s_ipo_listeddate(D598)),[1]!S_SHARE_TOTAL(D598,$G$5))))</f>
        <v/>
      </c>
      <c r="R598" s="248" t="str">
        <f ca="1">IF(C598="","",F598/([1]!S_STM07_BS(D598,141,$G$5,$H$13)/IF([1]!S_SHARE_TOTAL(D598,$G$5)=0,[1]!S_SHARE_TOTAL(D598,[1]!s_ipo_listeddate(D598)),[1]!S_SHARE_TOTAL(D598,$G$5))))</f>
        <v/>
      </c>
      <c r="S598" s="247" t="str">
        <f ca="1">IF(C598="","",[1]!S_SHARE_TOTAL(D598,TODAY())/$E$5)</f>
        <v/>
      </c>
      <c r="T598" s="247" t="str">
        <f t="shared" ca="1" si="61"/>
        <v/>
      </c>
      <c r="U598" s="218" t="str">
        <f t="shared" ca="1" si="62"/>
        <v/>
      </c>
      <c r="V598" s="342" t="str">
        <f t="shared" ca="1" si="63"/>
        <v/>
      </c>
      <c r="W598" s="139"/>
      <c r="Y598" s="1"/>
    </row>
    <row r="599" spans="3:25" ht="12" customHeight="1">
      <c r="C599" s="343" t="str">
        <f t="shared" ca="1" si="64"/>
        <v/>
      </c>
      <c r="D599" s="124" t="str">
        <f t="shared" ca="1" si="59"/>
        <v/>
      </c>
      <c r="E599" s="124" t="str">
        <f t="shared" ca="1" si="60"/>
        <v/>
      </c>
      <c r="F599" s="172" t="str">
        <f ca="1">IF(C599="","",[1]!S_DQ_CLOSE(D599,TODAY(),1))</f>
        <v/>
      </c>
      <c r="G599" s="173" t="str">
        <f ca="1">IF(C599="","",[1]!s_pq_pctchange(D599,TODAY()-$G$12,TODAY())/100)</f>
        <v/>
      </c>
      <c r="H599" s="249" t="str">
        <f ca="1">IF(C599="","",IF($H$11="收入",[1]!S_STM07_IS(D599,9,$G$5,$H$13)/$E$5,[1]!S_STM07_IS(D599,48,$G$5,$H$13)/$E$5))</f>
        <v/>
      </c>
      <c r="I599" s="249" t="str">
        <f ca="1">IF(C599="","",IF($I$11="毛利率",([1]!S_STM07_IS(D599,9,$G$5,$H$13)-[1]!S_STM07_IS(D599,10,$G$5,$H$13))/[1]!S_STM07_IS(D599,9,$G$5,$H$13),[1]!S_STM07_IS(D599,14,$G$5,$H$13)/$E$5))</f>
        <v/>
      </c>
      <c r="J599" s="249" t="str">
        <f ca="1">IF(C599="","",IF($J$11="营业利润率",[1]!S_STM07_IS(D599,48,$G$5,$H$13)/[1]!S_STM07_IS(D599,9,$G$5,$H$13),([1]!S_STM07_CS(D599,87,$G$5,$H$13)+[1]!S_STM07_CS(D599,88,$G$5,$H$13)+[1]!S_STM07_CS(D599,89,$G$5,$H$13))/$E$5))</f>
        <v/>
      </c>
      <c r="K599" s="249" t="str">
        <f ca="1">IF(C599="","",IF($K$11="净利润率",[1]!S_STM07_IS(D599,61,$G$5,$H$13)/[1]!S_STM07_IS(D599,9,$G$5,$H$13),[1]!S_STM07_IS(D599,55,$G$5,$H$13)/$E$5))</f>
        <v/>
      </c>
      <c r="L599" s="249" t="str">
        <f ca="1">IF(C599="","",IF($L$11="ROA",[1]!S_STM07_IS(D599,61,$G$5,$H$13)/[1]!S_STM07_BS(D599,74,$G$5,$H$13),1-[1]!S_STM07_IS(D599,61,$G$5,$H$13)/[1]!S_STM07_IS(D599,55,$G$5,$H$13)))</f>
        <v/>
      </c>
      <c r="M599" s="249" t="str">
        <f ca="1">IF(C599="","",IF($M$11="ROE",[1]!S_STM07_IS(D599,61,$G$5,$H$13)/[1]!S_STM07_BS(D599,141,$G$5,$H$13),([1]!S_STM07_BS(D599,25,$G$5,$H$13)-[1]!S_STM07_BS(D599,93,$G$5,$H$13))/$E$5))</f>
        <v/>
      </c>
      <c r="N599" s="250" t="str">
        <f ca="1">IF(C599="","",IF($N$11="EPS",[1]!S_STM07_IS(D599,61,$G$5,$H$13)/IF([1]!S_SHARE_TOTAL(D599,$G$5)=0,[1]!S_SHARE_TOTAL(D599,[1]!s_ipo_listeddate(D599)),[1]!S_SHARE_TOTAL(D599,$G$5)),([1]!S_STM07_BS(D599,75,$G$5,$H$13)+[1]!S_STM07_BS(D599,88,$G$5,$H$13)+[1]!S_STM07_BS(D599,94,$G$5,$H$13)+[1]!S_STM07_BS(D599,95,$G$5,$H$13))/$E$5))</f>
        <v/>
      </c>
      <c r="O599" s="250" t="str">
        <f ca="1">IF(C599="","",IF($O$11="BPS",[1]!S_STM07_BS(D599,141,$G$5,$H$13)/IF([1]!S_SHARE_TOTAL(D599,$G$5)=0,[1]!S_SHARE_TOTAL(D599,[1]!s_ipo_listeddate(D599)),[1]!S_SHARE_TOTAL(D599,$G$5)),[1]!S_STM07_CS(D599,49,$G$5,$H$13)/$E$5))</f>
        <v/>
      </c>
      <c r="P599" s="250" t="str">
        <f ca="1">IF(C599="","",IF($P$11="CFPS",[1]!S_STM07_CS(D599,84,$G$5,$H$13)/IF([1]!S_SHARE_TOTAL(D599,$G$5)=0,[1]!S_SHARE_TOTAL(D599,[1]!s_ipo_listeddate(D599)),[1]!S_SHARE_TOTAL(D599,$G$5)),[1]!S_STM07_CS(D599,84,$G$5,$H$13)/$E$5))</f>
        <v/>
      </c>
      <c r="Q599" s="198" t="str">
        <f ca="1">IF(C599="","",F599/([1]!S_STM07_IS(D599,61,$G$5,$H$13)/IF([1]!S_SHARE_TOTAL(D599,$G$5)=0,[1]!S_SHARE_TOTAL(D599,[1]!s_ipo_listeddate(D599)),[1]!S_SHARE_TOTAL(D599,$G$5))))</f>
        <v/>
      </c>
      <c r="R599" s="198" t="str">
        <f ca="1">IF(C599="","",F599/([1]!S_STM07_BS(D599,141,$G$5,$H$13)/IF([1]!S_SHARE_TOTAL(D599,$G$5)=0,[1]!S_SHARE_TOTAL(D599,[1]!s_ipo_listeddate(D599)),[1]!S_SHARE_TOTAL(D599,$G$5))))</f>
        <v/>
      </c>
      <c r="S599" s="249" t="str">
        <f ca="1">IF(C599="","",[1]!S_SHARE_TOTAL(D599,TODAY())/$E$5)</f>
        <v/>
      </c>
      <c r="T599" s="249" t="str">
        <f t="shared" ca="1" si="61"/>
        <v/>
      </c>
      <c r="U599" s="172" t="str">
        <f t="shared" ca="1" si="62"/>
        <v/>
      </c>
      <c r="V599" s="343" t="str">
        <f t="shared" ca="1" si="63"/>
        <v/>
      </c>
      <c r="W599" s="139"/>
      <c r="Y599" s="1"/>
    </row>
    <row r="600" spans="3:25" ht="12" customHeight="1">
      <c r="C600" s="342" t="str">
        <f t="shared" ca="1" si="64"/>
        <v/>
      </c>
      <c r="D600" s="153" t="str">
        <f t="shared" ca="1" si="59"/>
        <v/>
      </c>
      <c r="E600" s="153" t="str">
        <f t="shared" ca="1" si="60"/>
        <v/>
      </c>
      <c r="F600" s="170" t="str">
        <f ca="1">IF(C600="","",[1]!S_DQ_CLOSE(D600,TODAY(),1))</f>
        <v/>
      </c>
      <c r="G600" s="171" t="str">
        <f ca="1">IF(C600="","",[1]!s_pq_pctchange(D600,TODAY()-$G$12,TODAY())/100)</f>
        <v/>
      </c>
      <c r="H600" s="247" t="str">
        <f ca="1">IF(C600="","",IF($H$11="收入",[1]!S_STM07_IS(D600,9,$G$5,$H$13)/$E$5,[1]!S_STM07_IS(D600,48,$G$5,$H$13)/$E$5))</f>
        <v/>
      </c>
      <c r="I600" s="247" t="str">
        <f ca="1">IF(C600="","",IF($I$11="毛利率",([1]!S_STM07_IS(D600,9,$G$5,$H$13)-[1]!S_STM07_IS(D600,10,$G$5,$H$13))/[1]!S_STM07_IS(D600,9,$G$5,$H$13),[1]!S_STM07_IS(D600,14,$G$5,$H$13)/$E$5))</f>
        <v/>
      </c>
      <c r="J600" s="247" t="str">
        <f ca="1">IF(C600="","",IF($J$11="营业利润率",[1]!S_STM07_IS(D600,48,$G$5,$H$13)/[1]!S_STM07_IS(D600,9,$G$5,$H$13),([1]!S_STM07_CS(D600,87,$G$5,$H$13)+[1]!S_STM07_CS(D600,88,$G$5,$H$13)+[1]!S_STM07_CS(D600,89,$G$5,$H$13))/$E$5))</f>
        <v/>
      </c>
      <c r="K600" s="247" t="str">
        <f ca="1">IF(C600="","",IF($K$11="净利润率",[1]!S_STM07_IS(D600,61,$G$5,$H$13)/[1]!S_STM07_IS(D600,9,$G$5,$H$13),[1]!S_STM07_IS(D600,55,$G$5,$H$13)/$E$5))</f>
        <v/>
      </c>
      <c r="L600" s="247" t="str">
        <f ca="1">IF(C600="","",IF($L$11="ROA",[1]!S_STM07_IS(D600,61,$G$5,$H$13)/[1]!S_STM07_BS(D600,74,$G$5,$H$13),1-[1]!S_STM07_IS(D600,61,$G$5,$H$13)/[1]!S_STM07_IS(D600,55,$G$5,$H$13)))</f>
        <v/>
      </c>
      <c r="M600" s="247" t="str">
        <f ca="1">IF(C600="","",IF($M$11="ROE",[1]!S_STM07_IS(D600,61,$G$5,$H$13)/[1]!S_STM07_BS(D600,141,$G$5,$H$13),([1]!S_STM07_BS(D600,25,$G$5,$H$13)-[1]!S_STM07_BS(D600,93,$G$5,$H$13))/$E$5))</f>
        <v/>
      </c>
      <c r="N600" s="247" t="str">
        <f ca="1">IF(C600="","",IF($N$11="EPS",[1]!S_STM07_IS(D600,61,$G$5,$H$13)/IF([1]!S_SHARE_TOTAL(D600,$G$5)=0,[1]!S_SHARE_TOTAL(D600,[1]!s_ipo_listeddate(D600)),[1]!S_SHARE_TOTAL(D600,$G$5)),([1]!S_STM07_BS(D600,75,$G$5,$H$13)+[1]!S_STM07_BS(D600,88,$G$5,$H$13)+[1]!S_STM07_BS(D600,94,$G$5,$H$13)+[1]!S_STM07_BS(D600,95,$G$5,$H$13))/$E$5))</f>
        <v/>
      </c>
      <c r="O600" s="247" t="str">
        <f ca="1">IF(C600="","",IF($O$11="BPS",[1]!S_STM07_BS(D600,141,$G$5,$H$13)/IF([1]!S_SHARE_TOTAL(D600,$G$5)=0,[1]!S_SHARE_TOTAL(D600,[1]!s_ipo_listeddate(D600)),[1]!S_SHARE_TOTAL(D600,$G$5)),[1]!S_STM07_CS(D600,49,$G$5,$H$13)/$E$5))</f>
        <v/>
      </c>
      <c r="P600" s="247" t="str">
        <f ca="1">IF(C600="","",IF($P$11="CFPS",[1]!S_STM07_CS(D600,84,$G$5,$H$13)/IF([1]!S_SHARE_TOTAL(D600,$G$5)=0,[1]!S_SHARE_TOTAL(D600,[1]!s_ipo_listeddate(D600)),[1]!S_SHARE_TOTAL(D600,$G$5)),[1]!S_STM07_CS(D600,84,$G$5,$H$13)/$E$5))</f>
        <v/>
      </c>
      <c r="Q600" s="248" t="str">
        <f ca="1">IF(C600="","",F600/([1]!S_STM07_IS(D600,61,$G$5,$H$13)/IF([1]!S_SHARE_TOTAL(D600,$G$5)=0,[1]!S_SHARE_TOTAL(D600,[1]!s_ipo_listeddate(D600)),[1]!S_SHARE_TOTAL(D600,$G$5))))</f>
        <v/>
      </c>
      <c r="R600" s="248" t="str">
        <f ca="1">IF(C600="","",F600/([1]!S_STM07_BS(D600,141,$G$5,$H$13)/IF([1]!S_SHARE_TOTAL(D600,$G$5)=0,[1]!S_SHARE_TOTAL(D600,[1]!s_ipo_listeddate(D600)),[1]!S_SHARE_TOTAL(D600,$G$5))))</f>
        <v/>
      </c>
      <c r="S600" s="247" t="str">
        <f ca="1">IF(C600="","",[1]!S_SHARE_TOTAL(D600,TODAY())/$E$5)</f>
        <v/>
      </c>
      <c r="T600" s="247" t="str">
        <f t="shared" ca="1" si="61"/>
        <v/>
      </c>
      <c r="U600" s="218" t="str">
        <f t="shared" ca="1" si="62"/>
        <v/>
      </c>
      <c r="V600" s="342" t="str">
        <f t="shared" ca="1" si="63"/>
        <v/>
      </c>
      <c r="W600" s="139"/>
      <c r="Y600" s="1"/>
    </row>
    <row r="601" spans="3:25" ht="12" customHeight="1">
      <c r="C601" s="343" t="str">
        <f t="shared" ca="1" si="64"/>
        <v/>
      </c>
      <c r="D601" s="124" t="str">
        <f t="shared" ref="D601:D664" ca="1" si="65">IF(C601="","",VLOOKUP(C601,comppool,2,FALSE))</f>
        <v/>
      </c>
      <c r="E601" s="124" t="str">
        <f t="shared" ref="E601:E664" ca="1" si="66">IF(C601="","",VLOOKUP(C601,comppool,3,FALSE))</f>
        <v/>
      </c>
      <c r="F601" s="172" t="str">
        <f ca="1">IF(C601="","",[1]!S_DQ_CLOSE(D601,TODAY(),1))</f>
        <v/>
      </c>
      <c r="G601" s="173" t="str">
        <f ca="1">IF(C601="","",[1]!s_pq_pctchange(D601,TODAY()-$G$12,TODAY())/100)</f>
        <v/>
      </c>
      <c r="H601" s="249" t="str">
        <f ca="1">IF(C601="","",IF($H$11="收入",[1]!S_STM07_IS(D601,9,$G$5,$H$13)/$E$5,[1]!S_STM07_IS(D601,48,$G$5,$H$13)/$E$5))</f>
        <v/>
      </c>
      <c r="I601" s="249" t="str">
        <f ca="1">IF(C601="","",IF($I$11="毛利率",([1]!S_STM07_IS(D601,9,$G$5,$H$13)-[1]!S_STM07_IS(D601,10,$G$5,$H$13))/[1]!S_STM07_IS(D601,9,$G$5,$H$13),[1]!S_STM07_IS(D601,14,$G$5,$H$13)/$E$5))</f>
        <v/>
      </c>
      <c r="J601" s="249" t="str">
        <f ca="1">IF(C601="","",IF($J$11="营业利润率",[1]!S_STM07_IS(D601,48,$G$5,$H$13)/[1]!S_STM07_IS(D601,9,$G$5,$H$13),([1]!S_STM07_CS(D601,87,$G$5,$H$13)+[1]!S_STM07_CS(D601,88,$G$5,$H$13)+[1]!S_STM07_CS(D601,89,$G$5,$H$13))/$E$5))</f>
        <v/>
      </c>
      <c r="K601" s="249" t="str">
        <f ca="1">IF(C601="","",IF($K$11="净利润率",[1]!S_STM07_IS(D601,61,$G$5,$H$13)/[1]!S_STM07_IS(D601,9,$G$5,$H$13),[1]!S_STM07_IS(D601,55,$G$5,$H$13)/$E$5))</f>
        <v/>
      </c>
      <c r="L601" s="249" t="str">
        <f ca="1">IF(C601="","",IF($L$11="ROA",[1]!S_STM07_IS(D601,61,$G$5,$H$13)/[1]!S_STM07_BS(D601,74,$G$5,$H$13),1-[1]!S_STM07_IS(D601,61,$G$5,$H$13)/[1]!S_STM07_IS(D601,55,$G$5,$H$13)))</f>
        <v/>
      </c>
      <c r="M601" s="249" t="str">
        <f ca="1">IF(C601="","",IF($M$11="ROE",[1]!S_STM07_IS(D601,61,$G$5,$H$13)/[1]!S_STM07_BS(D601,141,$G$5,$H$13),([1]!S_STM07_BS(D601,25,$G$5,$H$13)-[1]!S_STM07_BS(D601,93,$G$5,$H$13))/$E$5))</f>
        <v/>
      </c>
      <c r="N601" s="250" t="str">
        <f ca="1">IF(C601="","",IF($N$11="EPS",[1]!S_STM07_IS(D601,61,$G$5,$H$13)/IF([1]!S_SHARE_TOTAL(D601,$G$5)=0,[1]!S_SHARE_TOTAL(D601,[1]!s_ipo_listeddate(D601)),[1]!S_SHARE_TOTAL(D601,$G$5)),([1]!S_STM07_BS(D601,75,$G$5,$H$13)+[1]!S_STM07_BS(D601,88,$G$5,$H$13)+[1]!S_STM07_BS(D601,94,$G$5,$H$13)+[1]!S_STM07_BS(D601,95,$G$5,$H$13))/$E$5))</f>
        <v/>
      </c>
      <c r="O601" s="250" t="str">
        <f ca="1">IF(C601="","",IF($O$11="BPS",[1]!S_STM07_BS(D601,141,$G$5,$H$13)/IF([1]!S_SHARE_TOTAL(D601,$G$5)=0,[1]!S_SHARE_TOTAL(D601,[1]!s_ipo_listeddate(D601)),[1]!S_SHARE_TOTAL(D601,$G$5)),[1]!S_STM07_CS(D601,49,$G$5,$H$13)/$E$5))</f>
        <v/>
      </c>
      <c r="P601" s="250" t="str">
        <f ca="1">IF(C601="","",IF($P$11="CFPS",[1]!S_STM07_CS(D601,84,$G$5,$H$13)/IF([1]!S_SHARE_TOTAL(D601,$G$5)=0,[1]!S_SHARE_TOTAL(D601,[1]!s_ipo_listeddate(D601)),[1]!S_SHARE_TOTAL(D601,$G$5)),[1]!S_STM07_CS(D601,84,$G$5,$H$13)/$E$5))</f>
        <v/>
      </c>
      <c r="Q601" s="198" t="str">
        <f ca="1">IF(C601="","",F601/([1]!S_STM07_IS(D601,61,$G$5,$H$13)/IF([1]!S_SHARE_TOTAL(D601,$G$5)=0,[1]!S_SHARE_TOTAL(D601,[1]!s_ipo_listeddate(D601)),[1]!S_SHARE_TOTAL(D601,$G$5))))</f>
        <v/>
      </c>
      <c r="R601" s="198" t="str">
        <f ca="1">IF(C601="","",F601/([1]!S_STM07_BS(D601,141,$G$5,$H$13)/IF([1]!S_SHARE_TOTAL(D601,$G$5)=0,[1]!S_SHARE_TOTAL(D601,[1]!s_ipo_listeddate(D601)),[1]!S_SHARE_TOTAL(D601,$G$5))))</f>
        <v/>
      </c>
      <c r="S601" s="249" t="str">
        <f ca="1">IF(C601="","",[1]!S_SHARE_TOTAL(D601,TODAY())/$E$5)</f>
        <v/>
      </c>
      <c r="T601" s="249" t="str">
        <f t="shared" ref="T601:T664" ca="1" si="67">IF(C601="","",F601*S601)</f>
        <v/>
      </c>
      <c r="U601" s="172" t="str">
        <f t="shared" ref="U601:U664" ca="1" si="68">IF(C601="","",HLOOKUP($V$12,$G$11:$T$20003,ROW()-ROW($G$11)+1,FALSE))</f>
        <v/>
      </c>
      <c r="V601" s="343" t="str">
        <f t="shared" ref="V601:V664" ca="1" si="69">IF(C601="","",RANK(U601,U:U,0))</f>
        <v/>
      </c>
      <c r="W601" s="139"/>
      <c r="Y601" s="1"/>
    </row>
    <row r="602" spans="3:25" ht="12" customHeight="1">
      <c r="C602" s="342" t="str">
        <f t="shared" ca="1" si="64"/>
        <v/>
      </c>
      <c r="D602" s="153" t="str">
        <f t="shared" ca="1" si="65"/>
        <v/>
      </c>
      <c r="E602" s="153" t="str">
        <f t="shared" ca="1" si="66"/>
        <v/>
      </c>
      <c r="F602" s="170" t="str">
        <f ca="1">IF(C602="","",[1]!S_DQ_CLOSE(D602,TODAY(),1))</f>
        <v/>
      </c>
      <c r="G602" s="171" t="str">
        <f ca="1">IF(C602="","",[1]!s_pq_pctchange(D602,TODAY()-$G$12,TODAY())/100)</f>
        <v/>
      </c>
      <c r="H602" s="247" t="str">
        <f ca="1">IF(C602="","",IF($H$11="收入",[1]!S_STM07_IS(D602,9,$G$5,$H$13)/$E$5,[1]!S_STM07_IS(D602,48,$G$5,$H$13)/$E$5))</f>
        <v/>
      </c>
      <c r="I602" s="247" t="str">
        <f ca="1">IF(C602="","",IF($I$11="毛利率",([1]!S_STM07_IS(D602,9,$G$5,$H$13)-[1]!S_STM07_IS(D602,10,$G$5,$H$13))/[1]!S_STM07_IS(D602,9,$G$5,$H$13),[1]!S_STM07_IS(D602,14,$G$5,$H$13)/$E$5))</f>
        <v/>
      </c>
      <c r="J602" s="247" t="str">
        <f ca="1">IF(C602="","",IF($J$11="营业利润率",[1]!S_STM07_IS(D602,48,$G$5,$H$13)/[1]!S_STM07_IS(D602,9,$G$5,$H$13),([1]!S_STM07_CS(D602,87,$G$5,$H$13)+[1]!S_STM07_CS(D602,88,$G$5,$H$13)+[1]!S_STM07_CS(D602,89,$G$5,$H$13))/$E$5))</f>
        <v/>
      </c>
      <c r="K602" s="247" t="str">
        <f ca="1">IF(C602="","",IF($K$11="净利润率",[1]!S_STM07_IS(D602,61,$G$5,$H$13)/[1]!S_STM07_IS(D602,9,$G$5,$H$13),[1]!S_STM07_IS(D602,55,$G$5,$H$13)/$E$5))</f>
        <v/>
      </c>
      <c r="L602" s="247" t="str">
        <f ca="1">IF(C602="","",IF($L$11="ROA",[1]!S_STM07_IS(D602,61,$G$5,$H$13)/[1]!S_STM07_BS(D602,74,$G$5,$H$13),1-[1]!S_STM07_IS(D602,61,$G$5,$H$13)/[1]!S_STM07_IS(D602,55,$G$5,$H$13)))</f>
        <v/>
      </c>
      <c r="M602" s="247" t="str">
        <f ca="1">IF(C602="","",IF($M$11="ROE",[1]!S_STM07_IS(D602,61,$G$5,$H$13)/[1]!S_STM07_BS(D602,141,$G$5,$H$13),([1]!S_STM07_BS(D602,25,$G$5,$H$13)-[1]!S_STM07_BS(D602,93,$G$5,$H$13))/$E$5))</f>
        <v/>
      </c>
      <c r="N602" s="247" t="str">
        <f ca="1">IF(C602="","",IF($N$11="EPS",[1]!S_STM07_IS(D602,61,$G$5,$H$13)/IF([1]!S_SHARE_TOTAL(D602,$G$5)=0,[1]!S_SHARE_TOTAL(D602,[1]!s_ipo_listeddate(D602)),[1]!S_SHARE_TOTAL(D602,$G$5)),([1]!S_STM07_BS(D602,75,$G$5,$H$13)+[1]!S_STM07_BS(D602,88,$G$5,$H$13)+[1]!S_STM07_BS(D602,94,$G$5,$H$13)+[1]!S_STM07_BS(D602,95,$G$5,$H$13))/$E$5))</f>
        <v/>
      </c>
      <c r="O602" s="247" t="str">
        <f ca="1">IF(C602="","",IF($O$11="BPS",[1]!S_STM07_BS(D602,141,$G$5,$H$13)/IF([1]!S_SHARE_TOTAL(D602,$G$5)=0,[1]!S_SHARE_TOTAL(D602,[1]!s_ipo_listeddate(D602)),[1]!S_SHARE_TOTAL(D602,$G$5)),[1]!S_STM07_CS(D602,49,$G$5,$H$13)/$E$5))</f>
        <v/>
      </c>
      <c r="P602" s="247" t="str">
        <f ca="1">IF(C602="","",IF($P$11="CFPS",[1]!S_STM07_CS(D602,84,$G$5,$H$13)/IF([1]!S_SHARE_TOTAL(D602,$G$5)=0,[1]!S_SHARE_TOTAL(D602,[1]!s_ipo_listeddate(D602)),[1]!S_SHARE_TOTAL(D602,$G$5)),[1]!S_STM07_CS(D602,84,$G$5,$H$13)/$E$5))</f>
        <v/>
      </c>
      <c r="Q602" s="248" t="str">
        <f ca="1">IF(C602="","",F602/([1]!S_STM07_IS(D602,61,$G$5,$H$13)/IF([1]!S_SHARE_TOTAL(D602,$G$5)=0,[1]!S_SHARE_TOTAL(D602,[1]!s_ipo_listeddate(D602)),[1]!S_SHARE_TOTAL(D602,$G$5))))</f>
        <v/>
      </c>
      <c r="R602" s="248" t="str">
        <f ca="1">IF(C602="","",F602/([1]!S_STM07_BS(D602,141,$G$5,$H$13)/IF([1]!S_SHARE_TOTAL(D602,$G$5)=0,[1]!S_SHARE_TOTAL(D602,[1]!s_ipo_listeddate(D602)),[1]!S_SHARE_TOTAL(D602,$G$5))))</f>
        <v/>
      </c>
      <c r="S602" s="247" t="str">
        <f ca="1">IF(C602="","",[1]!S_SHARE_TOTAL(D602,TODAY())/$E$5)</f>
        <v/>
      </c>
      <c r="T602" s="247" t="str">
        <f t="shared" ca="1" si="67"/>
        <v/>
      </c>
      <c r="U602" s="218" t="str">
        <f t="shared" ca="1" si="68"/>
        <v/>
      </c>
      <c r="V602" s="342" t="str">
        <f t="shared" ca="1" si="69"/>
        <v/>
      </c>
      <c r="W602" s="139"/>
      <c r="Y602" s="1"/>
    </row>
    <row r="603" spans="3:25" ht="12" customHeight="1">
      <c r="C603" s="343" t="str">
        <f t="shared" ca="1" si="64"/>
        <v/>
      </c>
      <c r="D603" s="124" t="str">
        <f t="shared" ca="1" si="65"/>
        <v/>
      </c>
      <c r="E603" s="124" t="str">
        <f t="shared" ca="1" si="66"/>
        <v/>
      </c>
      <c r="F603" s="172" t="str">
        <f ca="1">IF(C603="","",[1]!S_DQ_CLOSE(D603,TODAY(),1))</f>
        <v/>
      </c>
      <c r="G603" s="173" t="str">
        <f ca="1">IF(C603="","",[1]!s_pq_pctchange(D603,TODAY()-$G$12,TODAY())/100)</f>
        <v/>
      </c>
      <c r="H603" s="249" t="str">
        <f ca="1">IF(C603="","",IF($H$11="收入",[1]!S_STM07_IS(D603,9,$G$5,$H$13)/$E$5,[1]!S_STM07_IS(D603,48,$G$5,$H$13)/$E$5))</f>
        <v/>
      </c>
      <c r="I603" s="249" t="str">
        <f ca="1">IF(C603="","",IF($I$11="毛利率",([1]!S_STM07_IS(D603,9,$G$5,$H$13)-[1]!S_STM07_IS(D603,10,$G$5,$H$13))/[1]!S_STM07_IS(D603,9,$G$5,$H$13),[1]!S_STM07_IS(D603,14,$G$5,$H$13)/$E$5))</f>
        <v/>
      </c>
      <c r="J603" s="249" t="str">
        <f ca="1">IF(C603="","",IF($J$11="营业利润率",[1]!S_STM07_IS(D603,48,$G$5,$H$13)/[1]!S_STM07_IS(D603,9,$G$5,$H$13),([1]!S_STM07_CS(D603,87,$G$5,$H$13)+[1]!S_STM07_CS(D603,88,$G$5,$H$13)+[1]!S_STM07_CS(D603,89,$G$5,$H$13))/$E$5))</f>
        <v/>
      </c>
      <c r="K603" s="249" t="str">
        <f ca="1">IF(C603="","",IF($K$11="净利润率",[1]!S_STM07_IS(D603,61,$G$5,$H$13)/[1]!S_STM07_IS(D603,9,$G$5,$H$13),[1]!S_STM07_IS(D603,55,$G$5,$H$13)/$E$5))</f>
        <v/>
      </c>
      <c r="L603" s="249" t="str">
        <f ca="1">IF(C603="","",IF($L$11="ROA",[1]!S_STM07_IS(D603,61,$G$5,$H$13)/[1]!S_STM07_BS(D603,74,$G$5,$H$13),1-[1]!S_STM07_IS(D603,61,$G$5,$H$13)/[1]!S_STM07_IS(D603,55,$G$5,$H$13)))</f>
        <v/>
      </c>
      <c r="M603" s="249" t="str">
        <f ca="1">IF(C603="","",IF($M$11="ROE",[1]!S_STM07_IS(D603,61,$G$5,$H$13)/[1]!S_STM07_BS(D603,141,$G$5,$H$13),([1]!S_STM07_BS(D603,25,$G$5,$H$13)-[1]!S_STM07_BS(D603,93,$G$5,$H$13))/$E$5))</f>
        <v/>
      </c>
      <c r="N603" s="250" t="str">
        <f ca="1">IF(C603="","",IF($N$11="EPS",[1]!S_STM07_IS(D603,61,$G$5,$H$13)/IF([1]!S_SHARE_TOTAL(D603,$G$5)=0,[1]!S_SHARE_TOTAL(D603,[1]!s_ipo_listeddate(D603)),[1]!S_SHARE_TOTAL(D603,$G$5)),([1]!S_STM07_BS(D603,75,$G$5,$H$13)+[1]!S_STM07_BS(D603,88,$G$5,$H$13)+[1]!S_STM07_BS(D603,94,$G$5,$H$13)+[1]!S_STM07_BS(D603,95,$G$5,$H$13))/$E$5))</f>
        <v/>
      </c>
      <c r="O603" s="250" t="str">
        <f ca="1">IF(C603="","",IF($O$11="BPS",[1]!S_STM07_BS(D603,141,$G$5,$H$13)/IF([1]!S_SHARE_TOTAL(D603,$G$5)=0,[1]!S_SHARE_TOTAL(D603,[1]!s_ipo_listeddate(D603)),[1]!S_SHARE_TOTAL(D603,$G$5)),[1]!S_STM07_CS(D603,49,$G$5,$H$13)/$E$5))</f>
        <v/>
      </c>
      <c r="P603" s="250" t="str">
        <f ca="1">IF(C603="","",IF($P$11="CFPS",[1]!S_STM07_CS(D603,84,$G$5,$H$13)/IF([1]!S_SHARE_TOTAL(D603,$G$5)=0,[1]!S_SHARE_TOTAL(D603,[1]!s_ipo_listeddate(D603)),[1]!S_SHARE_TOTAL(D603,$G$5)),[1]!S_STM07_CS(D603,84,$G$5,$H$13)/$E$5))</f>
        <v/>
      </c>
      <c r="Q603" s="198" t="str">
        <f ca="1">IF(C603="","",F603/([1]!S_STM07_IS(D603,61,$G$5,$H$13)/IF([1]!S_SHARE_TOTAL(D603,$G$5)=0,[1]!S_SHARE_TOTAL(D603,[1]!s_ipo_listeddate(D603)),[1]!S_SHARE_TOTAL(D603,$G$5))))</f>
        <v/>
      </c>
      <c r="R603" s="198" t="str">
        <f ca="1">IF(C603="","",F603/([1]!S_STM07_BS(D603,141,$G$5,$H$13)/IF([1]!S_SHARE_TOTAL(D603,$G$5)=0,[1]!S_SHARE_TOTAL(D603,[1]!s_ipo_listeddate(D603)),[1]!S_SHARE_TOTAL(D603,$G$5))))</f>
        <v/>
      </c>
      <c r="S603" s="249" t="str">
        <f ca="1">IF(C603="","",[1]!S_SHARE_TOTAL(D603,TODAY())/$E$5)</f>
        <v/>
      </c>
      <c r="T603" s="249" t="str">
        <f t="shared" ca="1" si="67"/>
        <v/>
      </c>
      <c r="U603" s="172" t="str">
        <f t="shared" ca="1" si="68"/>
        <v/>
      </c>
      <c r="V603" s="343" t="str">
        <f t="shared" ca="1" si="69"/>
        <v/>
      </c>
      <c r="W603" s="139"/>
      <c r="Y603" s="1"/>
    </row>
    <row r="604" spans="3:25" ht="12" customHeight="1">
      <c r="C604" s="342" t="str">
        <f t="shared" ca="1" si="64"/>
        <v/>
      </c>
      <c r="D604" s="153" t="str">
        <f t="shared" ca="1" si="65"/>
        <v/>
      </c>
      <c r="E604" s="153" t="str">
        <f t="shared" ca="1" si="66"/>
        <v/>
      </c>
      <c r="F604" s="170" t="str">
        <f ca="1">IF(C604="","",[1]!S_DQ_CLOSE(D604,TODAY(),1))</f>
        <v/>
      </c>
      <c r="G604" s="171" t="str">
        <f ca="1">IF(C604="","",[1]!s_pq_pctchange(D604,TODAY()-$G$12,TODAY())/100)</f>
        <v/>
      </c>
      <c r="H604" s="247" t="str">
        <f ca="1">IF(C604="","",IF($H$11="收入",[1]!S_STM07_IS(D604,9,$G$5,$H$13)/$E$5,[1]!S_STM07_IS(D604,48,$G$5,$H$13)/$E$5))</f>
        <v/>
      </c>
      <c r="I604" s="247" t="str">
        <f ca="1">IF(C604="","",IF($I$11="毛利率",([1]!S_STM07_IS(D604,9,$G$5,$H$13)-[1]!S_STM07_IS(D604,10,$G$5,$H$13))/[1]!S_STM07_IS(D604,9,$G$5,$H$13),[1]!S_STM07_IS(D604,14,$G$5,$H$13)/$E$5))</f>
        <v/>
      </c>
      <c r="J604" s="247" t="str">
        <f ca="1">IF(C604="","",IF($J$11="营业利润率",[1]!S_STM07_IS(D604,48,$G$5,$H$13)/[1]!S_STM07_IS(D604,9,$G$5,$H$13),([1]!S_STM07_CS(D604,87,$G$5,$H$13)+[1]!S_STM07_CS(D604,88,$G$5,$H$13)+[1]!S_STM07_CS(D604,89,$G$5,$H$13))/$E$5))</f>
        <v/>
      </c>
      <c r="K604" s="247" t="str">
        <f ca="1">IF(C604="","",IF($K$11="净利润率",[1]!S_STM07_IS(D604,61,$G$5,$H$13)/[1]!S_STM07_IS(D604,9,$G$5,$H$13),[1]!S_STM07_IS(D604,55,$G$5,$H$13)/$E$5))</f>
        <v/>
      </c>
      <c r="L604" s="247" t="str">
        <f ca="1">IF(C604="","",IF($L$11="ROA",[1]!S_STM07_IS(D604,61,$G$5,$H$13)/[1]!S_STM07_BS(D604,74,$G$5,$H$13),1-[1]!S_STM07_IS(D604,61,$G$5,$H$13)/[1]!S_STM07_IS(D604,55,$G$5,$H$13)))</f>
        <v/>
      </c>
      <c r="M604" s="247" t="str">
        <f ca="1">IF(C604="","",IF($M$11="ROE",[1]!S_STM07_IS(D604,61,$G$5,$H$13)/[1]!S_STM07_BS(D604,141,$G$5,$H$13),([1]!S_STM07_BS(D604,25,$G$5,$H$13)-[1]!S_STM07_BS(D604,93,$G$5,$H$13))/$E$5))</f>
        <v/>
      </c>
      <c r="N604" s="247" t="str">
        <f ca="1">IF(C604="","",IF($N$11="EPS",[1]!S_STM07_IS(D604,61,$G$5,$H$13)/IF([1]!S_SHARE_TOTAL(D604,$G$5)=0,[1]!S_SHARE_TOTAL(D604,[1]!s_ipo_listeddate(D604)),[1]!S_SHARE_TOTAL(D604,$G$5)),([1]!S_STM07_BS(D604,75,$G$5,$H$13)+[1]!S_STM07_BS(D604,88,$G$5,$H$13)+[1]!S_STM07_BS(D604,94,$G$5,$H$13)+[1]!S_STM07_BS(D604,95,$G$5,$H$13))/$E$5))</f>
        <v/>
      </c>
      <c r="O604" s="247" t="str">
        <f ca="1">IF(C604="","",IF($O$11="BPS",[1]!S_STM07_BS(D604,141,$G$5,$H$13)/IF([1]!S_SHARE_TOTAL(D604,$G$5)=0,[1]!S_SHARE_TOTAL(D604,[1]!s_ipo_listeddate(D604)),[1]!S_SHARE_TOTAL(D604,$G$5)),[1]!S_STM07_CS(D604,49,$G$5,$H$13)/$E$5))</f>
        <v/>
      </c>
      <c r="P604" s="247" t="str">
        <f ca="1">IF(C604="","",IF($P$11="CFPS",[1]!S_STM07_CS(D604,84,$G$5,$H$13)/IF([1]!S_SHARE_TOTAL(D604,$G$5)=0,[1]!S_SHARE_TOTAL(D604,[1]!s_ipo_listeddate(D604)),[1]!S_SHARE_TOTAL(D604,$G$5)),[1]!S_STM07_CS(D604,84,$G$5,$H$13)/$E$5))</f>
        <v/>
      </c>
      <c r="Q604" s="248" t="str">
        <f ca="1">IF(C604="","",F604/([1]!S_STM07_IS(D604,61,$G$5,$H$13)/IF([1]!S_SHARE_TOTAL(D604,$G$5)=0,[1]!S_SHARE_TOTAL(D604,[1]!s_ipo_listeddate(D604)),[1]!S_SHARE_TOTAL(D604,$G$5))))</f>
        <v/>
      </c>
      <c r="R604" s="248" t="str">
        <f ca="1">IF(C604="","",F604/([1]!S_STM07_BS(D604,141,$G$5,$H$13)/IF([1]!S_SHARE_TOTAL(D604,$G$5)=0,[1]!S_SHARE_TOTAL(D604,[1]!s_ipo_listeddate(D604)),[1]!S_SHARE_TOTAL(D604,$G$5))))</f>
        <v/>
      </c>
      <c r="S604" s="247" t="str">
        <f ca="1">IF(C604="","",[1]!S_SHARE_TOTAL(D604,TODAY())/$E$5)</f>
        <v/>
      </c>
      <c r="T604" s="247" t="str">
        <f t="shared" ca="1" si="67"/>
        <v/>
      </c>
      <c r="U604" s="218" t="str">
        <f t="shared" ca="1" si="68"/>
        <v/>
      </c>
      <c r="V604" s="342" t="str">
        <f t="shared" ca="1" si="69"/>
        <v/>
      </c>
      <c r="W604" s="139"/>
      <c r="Y604" s="1"/>
    </row>
    <row r="605" spans="3:25" ht="12" customHeight="1">
      <c r="C605" s="343" t="str">
        <f t="shared" ca="1" si="64"/>
        <v/>
      </c>
      <c r="D605" s="124" t="str">
        <f t="shared" ca="1" si="65"/>
        <v/>
      </c>
      <c r="E605" s="124" t="str">
        <f t="shared" ca="1" si="66"/>
        <v/>
      </c>
      <c r="F605" s="172" t="str">
        <f ca="1">IF(C605="","",[1]!S_DQ_CLOSE(D605,TODAY(),1))</f>
        <v/>
      </c>
      <c r="G605" s="173" t="str">
        <f ca="1">IF(C605="","",[1]!s_pq_pctchange(D605,TODAY()-$G$12,TODAY())/100)</f>
        <v/>
      </c>
      <c r="H605" s="249" t="str">
        <f ca="1">IF(C605="","",IF($H$11="收入",[1]!S_STM07_IS(D605,9,$G$5,$H$13)/$E$5,[1]!S_STM07_IS(D605,48,$G$5,$H$13)/$E$5))</f>
        <v/>
      </c>
      <c r="I605" s="249" t="str">
        <f ca="1">IF(C605="","",IF($I$11="毛利率",([1]!S_STM07_IS(D605,9,$G$5,$H$13)-[1]!S_STM07_IS(D605,10,$G$5,$H$13))/[1]!S_STM07_IS(D605,9,$G$5,$H$13),[1]!S_STM07_IS(D605,14,$G$5,$H$13)/$E$5))</f>
        <v/>
      </c>
      <c r="J605" s="249" t="str">
        <f ca="1">IF(C605="","",IF($J$11="营业利润率",[1]!S_STM07_IS(D605,48,$G$5,$H$13)/[1]!S_STM07_IS(D605,9,$G$5,$H$13),([1]!S_STM07_CS(D605,87,$G$5,$H$13)+[1]!S_STM07_CS(D605,88,$G$5,$H$13)+[1]!S_STM07_CS(D605,89,$G$5,$H$13))/$E$5))</f>
        <v/>
      </c>
      <c r="K605" s="249" t="str">
        <f ca="1">IF(C605="","",IF($K$11="净利润率",[1]!S_STM07_IS(D605,61,$G$5,$H$13)/[1]!S_STM07_IS(D605,9,$G$5,$H$13),[1]!S_STM07_IS(D605,55,$G$5,$H$13)/$E$5))</f>
        <v/>
      </c>
      <c r="L605" s="249" t="str">
        <f ca="1">IF(C605="","",IF($L$11="ROA",[1]!S_STM07_IS(D605,61,$G$5,$H$13)/[1]!S_STM07_BS(D605,74,$G$5,$H$13),1-[1]!S_STM07_IS(D605,61,$G$5,$H$13)/[1]!S_STM07_IS(D605,55,$G$5,$H$13)))</f>
        <v/>
      </c>
      <c r="M605" s="249" t="str">
        <f ca="1">IF(C605="","",IF($M$11="ROE",[1]!S_STM07_IS(D605,61,$G$5,$H$13)/[1]!S_STM07_BS(D605,141,$G$5,$H$13),([1]!S_STM07_BS(D605,25,$G$5,$H$13)-[1]!S_STM07_BS(D605,93,$G$5,$H$13))/$E$5))</f>
        <v/>
      </c>
      <c r="N605" s="250" t="str">
        <f ca="1">IF(C605="","",IF($N$11="EPS",[1]!S_STM07_IS(D605,61,$G$5,$H$13)/IF([1]!S_SHARE_TOTAL(D605,$G$5)=0,[1]!S_SHARE_TOTAL(D605,[1]!s_ipo_listeddate(D605)),[1]!S_SHARE_TOTAL(D605,$G$5)),([1]!S_STM07_BS(D605,75,$G$5,$H$13)+[1]!S_STM07_BS(D605,88,$G$5,$H$13)+[1]!S_STM07_BS(D605,94,$G$5,$H$13)+[1]!S_STM07_BS(D605,95,$G$5,$H$13))/$E$5))</f>
        <v/>
      </c>
      <c r="O605" s="250" t="str">
        <f ca="1">IF(C605="","",IF($O$11="BPS",[1]!S_STM07_BS(D605,141,$G$5,$H$13)/IF([1]!S_SHARE_TOTAL(D605,$G$5)=0,[1]!S_SHARE_TOTAL(D605,[1]!s_ipo_listeddate(D605)),[1]!S_SHARE_TOTAL(D605,$G$5)),[1]!S_STM07_CS(D605,49,$G$5,$H$13)/$E$5))</f>
        <v/>
      </c>
      <c r="P605" s="250" t="str">
        <f ca="1">IF(C605="","",IF($P$11="CFPS",[1]!S_STM07_CS(D605,84,$G$5,$H$13)/IF([1]!S_SHARE_TOTAL(D605,$G$5)=0,[1]!S_SHARE_TOTAL(D605,[1]!s_ipo_listeddate(D605)),[1]!S_SHARE_TOTAL(D605,$G$5)),[1]!S_STM07_CS(D605,84,$G$5,$H$13)/$E$5))</f>
        <v/>
      </c>
      <c r="Q605" s="198" t="str">
        <f ca="1">IF(C605="","",F605/([1]!S_STM07_IS(D605,61,$G$5,$H$13)/IF([1]!S_SHARE_TOTAL(D605,$G$5)=0,[1]!S_SHARE_TOTAL(D605,[1]!s_ipo_listeddate(D605)),[1]!S_SHARE_TOTAL(D605,$G$5))))</f>
        <v/>
      </c>
      <c r="R605" s="198" t="str">
        <f ca="1">IF(C605="","",F605/([1]!S_STM07_BS(D605,141,$G$5,$H$13)/IF([1]!S_SHARE_TOTAL(D605,$G$5)=0,[1]!S_SHARE_TOTAL(D605,[1]!s_ipo_listeddate(D605)),[1]!S_SHARE_TOTAL(D605,$G$5))))</f>
        <v/>
      </c>
      <c r="S605" s="249" t="str">
        <f ca="1">IF(C605="","",[1]!S_SHARE_TOTAL(D605,TODAY())/$E$5)</f>
        <v/>
      </c>
      <c r="T605" s="249" t="str">
        <f t="shared" ca="1" si="67"/>
        <v/>
      </c>
      <c r="U605" s="172" t="str">
        <f t="shared" ca="1" si="68"/>
        <v/>
      </c>
      <c r="V605" s="343" t="str">
        <f t="shared" ca="1" si="69"/>
        <v/>
      </c>
      <c r="W605" s="139"/>
      <c r="Y605" s="1"/>
    </row>
    <row r="606" spans="3:25" ht="12" customHeight="1">
      <c r="C606" s="342" t="str">
        <f t="shared" ca="1" si="64"/>
        <v/>
      </c>
      <c r="D606" s="153" t="str">
        <f t="shared" ca="1" si="65"/>
        <v/>
      </c>
      <c r="E606" s="153" t="str">
        <f t="shared" ca="1" si="66"/>
        <v/>
      </c>
      <c r="F606" s="170" t="str">
        <f ca="1">IF(C606="","",[1]!S_DQ_CLOSE(D606,TODAY(),1))</f>
        <v/>
      </c>
      <c r="G606" s="171" t="str">
        <f ca="1">IF(C606="","",[1]!s_pq_pctchange(D606,TODAY()-$G$12,TODAY())/100)</f>
        <v/>
      </c>
      <c r="H606" s="247" t="str">
        <f ca="1">IF(C606="","",IF($H$11="收入",[1]!S_STM07_IS(D606,9,$G$5,$H$13)/$E$5,[1]!S_STM07_IS(D606,48,$G$5,$H$13)/$E$5))</f>
        <v/>
      </c>
      <c r="I606" s="247" t="str">
        <f ca="1">IF(C606="","",IF($I$11="毛利率",([1]!S_STM07_IS(D606,9,$G$5,$H$13)-[1]!S_STM07_IS(D606,10,$G$5,$H$13))/[1]!S_STM07_IS(D606,9,$G$5,$H$13),[1]!S_STM07_IS(D606,14,$G$5,$H$13)/$E$5))</f>
        <v/>
      </c>
      <c r="J606" s="247" t="str">
        <f ca="1">IF(C606="","",IF($J$11="营业利润率",[1]!S_STM07_IS(D606,48,$G$5,$H$13)/[1]!S_STM07_IS(D606,9,$G$5,$H$13),([1]!S_STM07_CS(D606,87,$G$5,$H$13)+[1]!S_STM07_CS(D606,88,$G$5,$H$13)+[1]!S_STM07_CS(D606,89,$G$5,$H$13))/$E$5))</f>
        <v/>
      </c>
      <c r="K606" s="247" t="str">
        <f ca="1">IF(C606="","",IF($K$11="净利润率",[1]!S_STM07_IS(D606,61,$G$5,$H$13)/[1]!S_STM07_IS(D606,9,$G$5,$H$13),[1]!S_STM07_IS(D606,55,$G$5,$H$13)/$E$5))</f>
        <v/>
      </c>
      <c r="L606" s="247" t="str">
        <f ca="1">IF(C606="","",IF($L$11="ROA",[1]!S_STM07_IS(D606,61,$G$5,$H$13)/[1]!S_STM07_BS(D606,74,$G$5,$H$13),1-[1]!S_STM07_IS(D606,61,$G$5,$H$13)/[1]!S_STM07_IS(D606,55,$G$5,$H$13)))</f>
        <v/>
      </c>
      <c r="M606" s="247" t="str">
        <f ca="1">IF(C606="","",IF($M$11="ROE",[1]!S_STM07_IS(D606,61,$G$5,$H$13)/[1]!S_STM07_BS(D606,141,$G$5,$H$13),([1]!S_STM07_BS(D606,25,$G$5,$H$13)-[1]!S_STM07_BS(D606,93,$G$5,$H$13))/$E$5))</f>
        <v/>
      </c>
      <c r="N606" s="247" t="str">
        <f ca="1">IF(C606="","",IF($N$11="EPS",[1]!S_STM07_IS(D606,61,$G$5,$H$13)/IF([1]!S_SHARE_TOTAL(D606,$G$5)=0,[1]!S_SHARE_TOTAL(D606,[1]!s_ipo_listeddate(D606)),[1]!S_SHARE_TOTAL(D606,$G$5)),([1]!S_STM07_BS(D606,75,$G$5,$H$13)+[1]!S_STM07_BS(D606,88,$G$5,$H$13)+[1]!S_STM07_BS(D606,94,$G$5,$H$13)+[1]!S_STM07_BS(D606,95,$G$5,$H$13))/$E$5))</f>
        <v/>
      </c>
      <c r="O606" s="247" t="str">
        <f ca="1">IF(C606="","",IF($O$11="BPS",[1]!S_STM07_BS(D606,141,$G$5,$H$13)/IF([1]!S_SHARE_TOTAL(D606,$G$5)=0,[1]!S_SHARE_TOTAL(D606,[1]!s_ipo_listeddate(D606)),[1]!S_SHARE_TOTAL(D606,$G$5)),[1]!S_STM07_CS(D606,49,$G$5,$H$13)/$E$5))</f>
        <v/>
      </c>
      <c r="P606" s="247" t="str">
        <f ca="1">IF(C606="","",IF($P$11="CFPS",[1]!S_STM07_CS(D606,84,$G$5,$H$13)/IF([1]!S_SHARE_TOTAL(D606,$G$5)=0,[1]!S_SHARE_TOTAL(D606,[1]!s_ipo_listeddate(D606)),[1]!S_SHARE_TOTAL(D606,$G$5)),[1]!S_STM07_CS(D606,84,$G$5,$H$13)/$E$5))</f>
        <v/>
      </c>
      <c r="Q606" s="248" t="str">
        <f ca="1">IF(C606="","",F606/([1]!S_STM07_IS(D606,61,$G$5,$H$13)/IF([1]!S_SHARE_TOTAL(D606,$G$5)=0,[1]!S_SHARE_TOTAL(D606,[1]!s_ipo_listeddate(D606)),[1]!S_SHARE_TOTAL(D606,$G$5))))</f>
        <v/>
      </c>
      <c r="R606" s="248" t="str">
        <f ca="1">IF(C606="","",F606/([1]!S_STM07_BS(D606,141,$G$5,$H$13)/IF([1]!S_SHARE_TOTAL(D606,$G$5)=0,[1]!S_SHARE_TOTAL(D606,[1]!s_ipo_listeddate(D606)),[1]!S_SHARE_TOTAL(D606,$G$5))))</f>
        <v/>
      </c>
      <c r="S606" s="247" t="str">
        <f ca="1">IF(C606="","",[1]!S_SHARE_TOTAL(D606,TODAY())/$E$5)</f>
        <v/>
      </c>
      <c r="T606" s="247" t="str">
        <f t="shared" ca="1" si="67"/>
        <v/>
      </c>
      <c r="U606" s="218" t="str">
        <f t="shared" ca="1" si="68"/>
        <v/>
      </c>
      <c r="V606" s="342" t="str">
        <f t="shared" ca="1" si="69"/>
        <v/>
      </c>
      <c r="W606" s="139"/>
      <c r="Y606" s="1"/>
    </row>
    <row r="607" spans="3:25" ht="12" customHeight="1">
      <c r="C607" s="343" t="str">
        <f t="shared" ca="1" si="64"/>
        <v/>
      </c>
      <c r="D607" s="124" t="str">
        <f t="shared" ca="1" si="65"/>
        <v/>
      </c>
      <c r="E607" s="124" t="str">
        <f t="shared" ca="1" si="66"/>
        <v/>
      </c>
      <c r="F607" s="172" t="str">
        <f ca="1">IF(C607="","",[1]!S_DQ_CLOSE(D607,TODAY(),1))</f>
        <v/>
      </c>
      <c r="G607" s="173" t="str">
        <f ca="1">IF(C607="","",[1]!s_pq_pctchange(D607,TODAY()-$G$12,TODAY())/100)</f>
        <v/>
      </c>
      <c r="H607" s="249" t="str">
        <f ca="1">IF(C607="","",IF($H$11="收入",[1]!S_STM07_IS(D607,9,$G$5,$H$13)/$E$5,[1]!S_STM07_IS(D607,48,$G$5,$H$13)/$E$5))</f>
        <v/>
      </c>
      <c r="I607" s="249" t="str">
        <f ca="1">IF(C607="","",IF($I$11="毛利率",([1]!S_STM07_IS(D607,9,$G$5,$H$13)-[1]!S_STM07_IS(D607,10,$G$5,$H$13))/[1]!S_STM07_IS(D607,9,$G$5,$H$13),[1]!S_STM07_IS(D607,14,$G$5,$H$13)/$E$5))</f>
        <v/>
      </c>
      <c r="J607" s="249" t="str">
        <f ca="1">IF(C607="","",IF($J$11="营业利润率",[1]!S_STM07_IS(D607,48,$G$5,$H$13)/[1]!S_STM07_IS(D607,9,$G$5,$H$13),([1]!S_STM07_CS(D607,87,$G$5,$H$13)+[1]!S_STM07_CS(D607,88,$G$5,$H$13)+[1]!S_STM07_CS(D607,89,$G$5,$H$13))/$E$5))</f>
        <v/>
      </c>
      <c r="K607" s="249" t="str">
        <f ca="1">IF(C607="","",IF($K$11="净利润率",[1]!S_STM07_IS(D607,61,$G$5,$H$13)/[1]!S_STM07_IS(D607,9,$G$5,$H$13),[1]!S_STM07_IS(D607,55,$G$5,$H$13)/$E$5))</f>
        <v/>
      </c>
      <c r="L607" s="249" t="str">
        <f ca="1">IF(C607="","",IF($L$11="ROA",[1]!S_STM07_IS(D607,61,$G$5,$H$13)/[1]!S_STM07_BS(D607,74,$G$5,$H$13),1-[1]!S_STM07_IS(D607,61,$G$5,$H$13)/[1]!S_STM07_IS(D607,55,$G$5,$H$13)))</f>
        <v/>
      </c>
      <c r="M607" s="249" t="str">
        <f ca="1">IF(C607="","",IF($M$11="ROE",[1]!S_STM07_IS(D607,61,$G$5,$H$13)/[1]!S_STM07_BS(D607,141,$G$5,$H$13),([1]!S_STM07_BS(D607,25,$G$5,$H$13)-[1]!S_STM07_BS(D607,93,$G$5,$H$13))/$E$5))</f>
        <v/>
      </c>
      <c r="N607" s="250" t="str">
        <f ca="1">IF(C607="","",IF($N$11="EPS",[1]!S_STM07_IS(D607,61,$G$5,$H$13)/IF([1]!S_SHARE_TOTAL(D607,$G$5)=0,[1]!S_SHARE_TOTAL(D607,[1]!s_ipo_listeddate(D607)),[1]!S_SHARE_TOTAL(D607,$G$5)),([1]!S_STM07_BS(D607,75,$G$5,$H$13)+[1]!S_STM07_BS(D607,88,$G$5,$H$13)+[1]!S_STM07_BS(D607,94,$G$5,$H$13)+[1]!S_STM07_BS(D607,95,$G$5,$H$13))/$E$5))</f>
        <v/>
      </c>
      <c r="O607" s="250" t="str">
        <f ca="1">IF(C607="","",IF($O$11="BPS",[1]!S_STM07_BS(D607,141,$G$5,$H$13)/IF([1]!S_SHARE_TOTAL(D607,$G$5)=0,[1]!S_SHARE_TOTAL(D607,[1]!s_ipo_listeddate(D607)),[1]!S_SHARE_TOTAL(D607,$G$5)),[1]!S_STM07_CS(D607,49,$G$5,$H$13)/$E$5))</f>
        <v/>
      </c>
      <c r="P607" s="250" t="str">
        <f ca="1">IF(C607="","",IF($P$11="CFPS",[1]!S_STM07_CS(D607,84,$G$5,$H$13)/IF([1]!S_SHARE_TOTAL(D607,$G$5)=0,[1]!S_SHARE_TOTAL(D607,[1]!s_ipo_listeddate(D607)),[1]!S_SHARE_TOTAL(D607,$G$5)),[1]!S_STM07_CS(D607,84,$G$5,$H$13)/$E$5))</f>
        <v/>
      </c>
      <c r="Q607" s="198" t="str">
        <f ca="1">IF(C607="","",F607/([1]!S_STM07_IS(D607,61,$G$5,$H$13)/IF([1]!S_SHARE_TOTAL(D607,$G$5)=0,[1]!S_SHARE_TOTAL(D607,[1]!s_ipo_listeddate(D607)),[1]!S_SHARE_TOTAL(D607,$G$5))))</f>
        <v/>
      </c>
      <c r="R607" s="198" t="str">
        <f ca="1">IF(C607="","",F607/([1]!S_STM07_BS(D607,141,$G$5,$H$13)/IF([1]!S_SHARE_TOTAL(D607,$G$5)=0,[1]!S_SHARE_TOTAL(D607,[1]!s_ipo_listeddate(D607)),[1]!S_SHARE_TOTAL(D607,$G$5))))</f>
        <v/>
      </c>
      <c r="S607" s="249" t="str">
        <f ca="1">IF(C607="","",[1]!S_SHARE_TOTAL(D607,TODAY())/$E$5)</f>
        <v/>
      </c>
      <c r="T607" s="249" t="str">
        <f t="shared" ca="1" si="67"/>
        <v/>
      </c>
      <c r="U607" s="172" t="str">
        <f t="shared" ca="1" si="68"/>
        <v/>
      </c>
      <c r="V607" s="343" t="str">
        <f t="shared" ca="1" si="69"/>
        <v/>
      </c>
      <c r="W607" s="139"/>
      <c r="Y607" s="1"/>
    </row>
    <row r="608" spans="3:25" ht="12" customHeight="1">
      <c r="C608" s="342" t="str">
        <f t="shared" ca="1" si="64"/>
        <v/>
      </c>
      <c r="D608" s="153" t="str">
        <f t="shared" ca="1" si="65"/>
        <v/>
      </c>
      <c r="E608" s="153" t="str">
        <f t="shared" ca="1" si="66"/>
        <v/>
      </c>
      <c r="F608" s="170" t="str">
        <f ca="1">IF(C608="","",[1]!S_DQ_CLOSE(D608,TODAY(),1))</f>
        <v/>
      </c>
      <c r="G608" s="171" t="str">
        <f ca="1">IF(C608="","",[1]!s_pq_pctchange(D608,TODAY()-$G$12,TODAY())/100)</f>
        <v/>
      </c>
      <c r="H608" s="247" t="str">
        <f ca="1">IF(C608="","",IF($H$11="收入",[1]!S_STM07_IS(D608,9,$G$5,$H$13)/$E$5,[1]!S_STM07_IS(D608,48,$G$5,$H$13)/$E$5))</f>
        <v/>
      </c>
      <c r="I608" s="247" t="str">
        <f ca="1">IF(C608="","",IF($I$11="毛利率",([1]!S_STM07_IS(D608,9,$G$5,$H$13)-[1]!S_STM07_IS(D608,10,$G$5,$H$13))/[1]!S_STM07_IS(D608,9,$G$5,$H$13),[1]!S_STM07_IS(D608,14,$G$5,$H$13)/$E$5))</f>
        <v/>
      </c>
      <c r="J608" s="247" t="str">
        <f ca="1">IF(C608="","",IF($J$11="营业利润率",[1]!S_STM07_IS(D608,48,$G$5,$H$13)/[1]!S_STM07_IS(D608,9,$G$5,$H$13),([1]!S_STM07_CS(D608,87,$G$5,$H$13)+[1]!S_STM07_CS(D608,88,$G$5,$H$13)+[1]!S_STM07_CS(D608,89,$G$5,$H$13))/$E$5))</f>
        <v/>
      </c>
      <c r="K608" s="247" t="str">
        <f ca="1">IF(C608="","",IF($K$11="净利润率",[1]!S_STM07_IS(D608,61,$G$5,$H$13)/[1]!S_STM07_IS(D608,9,$G$5,$H$13),[1]!S_STM07_IS(D608,55,$G$5,$H$13)/$E$5))</f>
        <v/>
      </c>
      <c r="L608" s="247" t="str">
        <f ca="1">IF(C608="","",IF($L$11="ROA",[1]!S_STM07_IS(D608,61,$G$5,$H$13)/[1]!S_STM07_BS(D608,74,$G$5,$H$13),1-[1]!S_STM07_IS(D608,61,$G$5,$H$13)/[1]!S_STM07_IS(D608,55,$G$5,$H$13)))</f>
        <v/>
      </c>
      <c r="M608" s="247" t="str">
        <f ca="1">IF(C608="","",IF($M$11="ROE",[1]!S_STM07_IS(D608,61,$G$5,$H$13)/[1]!S_STM07_BS(D608,141,$G$5,$H$13),([1]!S_STM07_BS(D608,25,$G$5,$H$13)-[1]!S_STM07_BS(D608,93,$G$5,$H$13))/$E$5))</f>
        <v/>
      </c>
      <c r="N608" s="247" t="str">
        <f ca="1">IF(C608="","",IF($N$11="EPS",[1]!S_STM07_IS(D608,61,$G$5,$H$13)/IF([1]!S_SHARE_TOTAL(D608,$G$5)=0,[1]!S_SHARE_TOTAL(D608,[1]!s_ipo_listeddate(D608)),[1]!S_SHARE_TOTAL(D608,$G$5)),([1]!S_STM07_BS(D608,75,$G$5,$H$13)+[1]!S_STM07_BS(D608,88,$G$5,$H$13)+[1]!S_STM07_BS(D608,94,$G$5,$H$13)+[1]!S_STM07_BS(D608,95,$G$5,$H$13))/$E$5))</f>
        <v/>
      </c>
      <c r="O608" s="247" t="str">
        <f ca="1">IF(C608="","",IF($O$11="BPS",[1]!S_STM07_BS(D608,141,$G$5,$H$13)/IF([1]!S_SHARE_TOTAL(D608,$G$5)=0,[1]!S_SHARE_TOTAL(D608,[1]!s_ipo_listeddate(D608)),[1]!S_SHARE_TOTAL(D608,$G$5)),[1]!S_STM07_CS(D608,49,$G$5,$H$13)/$E$5))</f>
        <v/>
      </c>
      <c r="P608" s="247" t="str">
        <f ca="1">IF(C608="","",IF($P$11="CFPS",[1]!S_STM07_CS(D608,84,$G$5,$H$13)/IF([1]!S_SHARE_TOTAL(D608,$G$5)=0,[1]!S_SHARE_TOTAL(D608,[1]!s_ipo_listeddate(D608)),[1]!S_SHARE_TOTAL(D608,$G$5)),[1]!S_STM07_CS(D608,84,$G$5,$H$13)/$E$5))</f>
        <v/>
      </c>
      <c r="Q608" s="248" t="str">
        <f ca="1">IF(C608="","",F608/([1]!S_STM07_IS(D608,61,$G$5,$H$13)/IF([1]!S_SHARE_TOTAL(D608,$G$5)=0,[1]!S_SHARE_TOTAL(D608,[1]!s_ipo_listeddate(D608)),[1]!S_SHARE_TOTAL(D608,$G$5))))</f>
        <v/>
      </c>
      <c r="R608" s="248" t="str">
        <f ca="1">IF(C608="","",F608/([1]!S_STM07_BS(D608,141,$G$5,$H$13)/IF([1]!S_SHARE_TOTAL(D608,$G$5)=0,[1]!S_SHARE_TOTAL(D608,[1]!s_ipo_listeddate(D608)),[1]!S_SHARE_TOTAL(D608,$G$5))))</f>
        <v/>
      </c>
      <c r="S608" s="247" t="str">
        <f ca="1">IF(C608="","",[1]!S_SHARE_TOTAL(D608,TODAY())/$E$5)</f>
        <v/>
      </c>
      <c r="T608" s="247" t="str">
        <f t="shared" ca="1" si="67"/>
        <v/>
      </c>
      <c r="U608" s="218" t="str">
        <f t="shared" ca="1" si="68"/>
        <v/>
      </c>
      <c r="V608" s="342" t="str">
        <f t="shared" ca="1" si="69"/>
        <v/>
      </c>
      <c r="W608" s="139"/>
      <c r="Y608" s="1"/>
    </row>
    <row r="609" spans="3:25" ht="12" customHeight="1">
      <c r="C609" s="343" t="str">
        <f t="shared" ca="1" si="64"/>
        <v/>
      </c>
      <c r="D609" s="124" t="str">
        <f t="shared" ca="1" si="65"/>
        <v/>
      </c>
      <c r="E609" s="124" t="str">
        <f t="shared" ca="1" si="66"/>
        <v/>
      </c>
      <c r="F609" s="172" t="str">
        <f ca="1">IF(C609="","",[1]!S_DQ_CLOSE(D609,TODAY(),1))</f>
        <v/>
      </c>
      <c r="G609" s="173" t="str">
        <f ca="1">IF(C609="","",[1]!s_pq_pctchange(D609,TODAY()-$G$12,TODAY())/100)</f>
        <v/>
      </c>
      <c r="H609" s="249" t="str">
        <f ca="1">IF(C609="","",IF($H$11="收入",[1]!S_STM07_IS(D609,9,$G$5,$H$13)/$E$5,[1]!S_STM07_IS(D609,48,$G$5,$H$13)/$E$5))</f>
        <v/>
      </c>
      <c r="I609" s="249" t="str">
        <f ca="1">IF(C609="","",IF($I$11="毛利率",([1]!S_STM07_IS(D609,9,$G$5,$H$13)-[1]!S_STM07_IS(D609,10,$G$5,$H$13))/[1]!S_STM07_IS(D609,9,$G$5,$H$13),[1]!S_STM07_IS(D609,14,$G$5,$H$13)/$E$5))</f>
        <v/>
      </c>
      <c r="J609" s="249" t="str">
        <f ca="1">IF(C609="","",IF($J$11="营业利润率",[1]!S_STM07_IS(D609,48,$G$5,$H$13)/[1]!S_STM07_IS(D609,9,$G$5,$H$13),([1]!S_STM07_CS(D609,87,$G$5,$H$13)+[1]!S_STM07_CS(D609,88,$G$5,$H$13)+[1]!S_STM07_CS(D609,89,$G$5,$H$13))/$E$5))</f>
        <v/>
      </c>
      <c r="K609" s="249" t="str">
        <f ca="1">IF(C609="","",IF($K$11="净利润率",[1]!S_STM07_IS(D609,61,$G$5,$H$13)/[1]!S_STM07_IS(D609,9,$G$5,$H$13),[1]!S_STM07_IS(D609,55,$G$5,$H$13)/$E$5))</f>
        <v/>
      </c>
      <c r="L609" s="249" t="str">
        <f ca="1">IF(C609="","",IF($L$11="ROA",[1]!S_STM07_IS(D609,61,$G$5,$H$13)/[1]!S_STM07_BS(D609,74,$G$5,$H$13),1-[1]!S_STM07_IS(D609,61,$G$5,$H$13)/[1]!S_STM07_IS(D609,55,$G$5,$H$13)))</f>
        <v/>
      </c>
      <c r="M609" s="249" t="str">
        <f ca="1">IF(C609="","",IF($M$11="ROE",[1]!S_STM07_IS(D609,61,$G$5,$H$13)/[1]!S_STM07_BS(D609,141,$G$5,$H$13),([1]!S_STM07_BS(D609,25,$G$5,$H$13)-[1]!S_STM07_BS(D609,93,$G$5,$H$13))/$E$5))</f>
        <v/>
      </c>
      <c r="N609" s="250" t="str">
        <f ca="1">IF(C609="","",IF($N$11="EPS",[1]!S_STM07_IS(D609,61,$G$5,$H$13)/IF([1]!S_SHARE_TOTAL(D609,$G$5)=0,[1]!S_SHARE_TOTAL(D609,[1]!s_ipo_listeddate(D609)),[1]!S_SHARE_TOTAL(D609,$G$5)),([1]!S_STM07_BS(D609,75,$G$5,$H$13)+[1]!S_STM07_BS(D609,88,$G$5,$H$13)+[1]!S_STM07_BS(D609,94,$G$5,$H$13)+[1]!S_STM07_BS(D609,95,$G$5,$H$13))/$E$5))</f>
        <v/>
      </c>
      <c r="O609" s="250" t="str">
        <f ca="1">IF(C609="","",IF($O$11="BPS",[1]!S_STM07_BS(D609,141,$G$5,$H$13)/IF([1]!S_SHARE_TOTAL(D609,$G$5)=0,[1]!S_SHARE_TOTAL(D609,[1]!s_ipo_listeddate(D609)),[1]!S_SHARE_TOTAL(D609,$G$5)),[1]!S_STM07_CS(D609,49,$G$5,$H$13)/$E$5))</f>
        <v/>
      </c>
      <c r="P609" s="250" t="str">
        <f ca="1">IF(C609="","",IF($P$11="CFPS",[1]!S_STM07_CS(D609,84,$G$5,$H$13)/IF([1]!S_SHARE_TOTAL(D609,$G$5)=0,[1]!S_SHARE_TOTAL(D609,[1]!s_ipo_listeddate(D609)),[1]!S_SHARE_TOTAL(D609,$G$5)),[1]!S_STM07_CS(D609,84,$G$5,$H$13)/$E$5))</f>
        <v/>
      </c>
      <c r="Q609" s="198" t="str">
        <f ca="1">IF(C609="","",F609/([1]!S_STM07_IS(D609,61,$G$5,$H$13)/IF([1]!S_SHARE_TOTAL(D609,$G$5)=0,[1]!S_SHARE_TOTAL(D609,[1]!s_ipo_listeddate(D609)),[1]!S_SHARE_TOTAL(D609,$G$5))))</f>
        <v/>
      </c>
      <c r="R609" s="198" t="str">
        <f ca="1">IF(C609="","",F609/([1]!S_STM07_BS(D609,141,$G$5,$H$13)/IF([1]!S_SHARE_TOTAL(D609,$G$5)=0,[1]!S_SHARE_TOTAL(D609,[1]!s_ipo_listeddate(D609)),[1]!S_SHARE_TOTAL(D609,$G$5))))</f>
        <v/>
      </c>
      <c r="S609" s="249" t="str">
        <f ca="1">IF(C609="","",[1]!S_SHARE_TOTAL(D609,TODAY())/$E$5)</f>
        <v/>
      </c>
      <c r="T609" s="249" t="str">
        <f t="shared" ca="1" si="67"/>
        <v/>
      </c>
      <c r="U609" s="172" t="str">
        <f t="shared" ca="1" si="68"/>
        <v/>
      </c>
      <c r="V609" s="343" t="str">
        <f t="shared" ca="1" si="69"/>
        <v/>
      </c>
      <c r="W609" s="139"/>
      <c r="Y609" s="1"/>
    </row>
    <row r="610" spans="3:25" ht="12" customHeight="1">
      <c r="C610" s="342" t="str">
        <f t="shared" ca="1" si="64"/>
        <v/>
      </c>
      <c r="D610" s="153" t="str">
        <f t="shared" ca="1" si="65"/>
        <v/>
      </c>
      <c r="E610" s="153" t="str">
        <f t="shared" ca="1" si="66"/>
        <v/>
      </c>
      <c r="F610" s="170" t="str">
        <f ca="1">IF(C610="","",[1]!S_DQ_CLOSE(D610,TODAY(),1))</f>
        <v/>
      </c>
      <c r="G610" s="171" t="str">
        <f ca="1">IF(C610="","",[1]!s_pq_pctchange(D610,TODAY()-$G$12,TODAY())/100)</f>
        <v/>
      </c>
      <c r="H610" s="247" t="str">
        <f ca="1">IF(C610="","",IF($H$11="收入",[1]!S_STM07_IS(D610,9,$G$5,$H$13)/$E$5,[1]!S_STM07_IS(D610,48,$G$5,$H$13)/$E$5))</f>
        <v/>
      </c>
      <c r="I610" s="247" t="str">
        <f ca="1">IF(C610="","",IF($I$11="毛利率",([1]!S_STM07_IS(D610,9,$G$5,$H$13)-[1]!S_STM07_IS(D610,10,$G$5,$H$13))/[1]!S_STM07_IS(D610,9,$G$5,$H$13),[1]!S_STM07_IS(D610,14,$G$5,$H$13)/$E$5))</f>
        <v/>
      </c>
      <c r="J610" s="247" t="str">
        <f ca="1">IF(C610="","",IF($J$11="营业利润率",[1]!S_STM07_IS(D610,48,$G$5,$H$13)/[1]!S_STM07_IS(D610,9,$G$5,$H$13),([1]!S_STM07_CS(D610,87,$G$5,$H$13)+[1]!S_STM07_CS(D610,88,$G$5,$H$13)+[1]!S_STM07_CS(D610,89,$G$5,$H$13))/$E$5))</f>
        <v/>
      </c>
      <c r="K610" s="247" t="str">
        <f ca="1">IF(C610="","",IF($K$11="净利润率",[1]!S_STM07_IS(D610,61,$G$5,$H$13)/[1]!S_STM07_IS(D610,9,$G$5,$H$13),[1]!S_STM07_IS(D610,55,$G$5,$H$13)/$E$5))</f>
        <v/>
      </c>
      <c r="L610" s="247" t="str">
        <f ca="1">IF(C610="","",IF($L$11="ROA",[1]!S_STM07_IS(D610,61,$G$5,$H$13)/[1]!S_STM07_BS(D610,74,$G$5,$H$13),1-[1]!S_STM07_IS(D610,61,$G$5,$H$13)/[1]!S_STM07_IS(D610,55,$G$5,$H$13)))</f>
        <v/>
      </c>
      <c r="M610" s="247" t="str">
        <f ca="1">IF(C610="","",IF($M$11="ROE",[1]!S_STM07_IS(D610,61,$G$5,$H$13)/[1]!S_STM07_BS(D610,141,$G$5,$H$13),([1]!S_STM07_BS(D610,25,$G$5,$H$13)-[1]!S_STM07_BS(D610,93,$G$5,$H$13))/$E$5))</f>
        <v/>
      </c>
      <c r="N610" s="247" t="str">
        <f ca="1">IF(C610="","",IF($N$11="EPS",[1]!S_STM07_IS(D610,61,$G$5,$H$13)/IF([1]!S_SHARE_TOTAL(D610,$G$5)=0,[1]!S_SHARE_TOTAL(D610,[1]!s_ipo_listeddate(D610)),[1]!S_SHARE_TOTAL(D610,$G$5)),([1]!S_STM07_BS(D610,75,$G$5,$H$13)+[1]!S_STM07_BS(D610,88,$G$5,$H$13)+[1]!S_STM07_BS(D610,94,$G$5,$H$13)+[1]!S_STM07_BS(D610,95,$G$5,$H$13))/$E$5))</f>
        <v/>
      </c>
      <c r="O610" s="247" t="str">
        <f ca="1">IF(C610="","",IF($O$11="BPS",[1]!S_STM07_BS(D610,141,$G$5,$H$13)/IF([1]!S_SHARE_TOTAL(D610,$G$5)=0,[1]!S_SHARE_TOTAL(D610,[1]!s_ipo_listeddate(D610)),[1]!S_SHARE_TOTAL(D610,$G$5)),[1]!S_STM07_CS(D610,49,$G$5,$H$13)/$E$5))</f>
        <v/>
      </c>
      <c r="P610" s="247" t="str">
        <f ca="1">IF(C610="","",IF($P$11="CFPS",[1]!S_STM07_CS(D610,84,$G$5,$H$13)/IF([1]!S_SHARE_TOTAL(D610,$G$5)=0,[1]!S_SHARE_TOTAL(D610,[1]!s_ipo_listeddate(D610)),[1]!S_SHARE_TOTAL(D610,$G$5)),[1]!S_STM07_CS(D610,84,$G$5,$H$13)/$E$5))</f>
        <v/>
      </c>
      <c r="Q610" s="248" t="str">
        <f ca="1">IF(C610="","",F610/([1]!S_STM07_IS(D610,61,$G$5,$H$13)/IF([1]!S_SHARE_TOTAL(D610,$G$5)=0,[1]!S_SHARE_TOTAL(D610,[1]!s_ipo_listeddate(D610)),[1]!S_SHARE_TOTAL(D610,$G$5))))</f>
        <v/>
      </c>
      <c r="R610" s="248" t="str">
        <f ca="1">IF(C610="","",F610/([1]!S_STM07_BS(D610,141,$G$5,$H$13)/IF([1]!S_SHARE_TOTAL(D610,$G$5)=0,[1]!S_SHARE_TOTAL(D610,[1]!s_ipo_listeddate(D610)),[1]!S_SHARE_TOTAL(D610,$G$5))))</f>
        <v/>
      </c>
      <c r="S610" s="247" t="str">
        <f ca="1">IF(C610="","",[1]!S_SHARE_TOTAL(D610,TODAY())/$E$5)</f>
        <v/>
      </c>
      <c r="T610" s="247" t="str">
        <f t="shared" ca="1" si="67"/>
        <v/>
      </c>
      <c r="U610" s="218" t="str">
        <f t="shared" ca="1" si="68"/>
        <v/>
      </c>
      <c r="V610" s="342" t="str">
        <f t="shared" ca="1" si="69"/>
        <v/>
      </c>
      <c r="W610" s="139"/>
      <c r="Y610" s="1"/>
    </row>
    <row r="611" spans="3:25" ht="12" customHeight="1">
      <c r="C611" s="343" t="str">
        <f t="shared" ca="1" si="64"/>
        <v/>
      </c>
      <c r="D611" s="124" t="str">
        <f t="shared" ca="1" si="65"/>
        <v/>
      </c>
      <c r="E611" s="124" t="str">
        <f t="shared" ca="1" si="66"/>
        <v/>
      </c>
      <c r="F611" s="172" t="str">
        <f ca="1">IF(C611="","",[1]!S_DQ_CLOSE(D611,TODAY(),1))</f>
        <v/>
      </c>
      <c r="G611" s="173" t="str">
        <f ca="1">IF(C611="","",[1]!s_pq_pctchange(D611,TODAY()-$G$12,TODAY())/100)</f>
        <v/>
      </c>
      <c r="H611" s="249" t="str">
        <f ca="1">IF(C611="","",IF($H$11="收入",[1]!S_STM07_IS(D611,9,$G$5,$H$13)/$E$5,[1]!S_STM07_IS(D611,48,$G$5,$H$13)/$E$5))</f>
        <v/>
      </c>
      <c r="I611" s="249" t="str">
        <f ca="1">IF(C611="","",IF($I$11="毛利率",([1]!S_STM07_IS(D611,9,$G$5,$H$13)-[1]!S_STM07_IS(D611,10,$G$5,$H$13))/[1]!S_STM07_IS(D611,9,$G$5,$H$13),[1]!S_STM07_IS(D611,14,$G$5,$H$13)/$E$5))</f>
        <v/>
      </c>
      <c r="J611" s="249" t="str">
        <f ca="1">IF(C611="","",IF($J$11="营业利润率",[1]!S_STM07_IS(D611,48,$G$5,$H$13)/[1]!S_STM07_IS(D611,9,$G$5,$H$13),([1]!S_STM07_CS(D611,87,$G$5,$H$13)+[1]!S_STM07_CS(D611,88,$G$5,$H$13)+[1]!S_STM07_CS(D611,89,$G$5,$H$13))/$E$5))</f>
        <v/>
      </c>
      <c r="K611" s="249" t="str">
        <f ca="1">IF(C611="","",IF($K$11="净利润率",[1]!S_STM07_IS(D611,61,$G$5,$H$13)/[1]!S_STM07_IS(D611,9,$G$5,$H$13),[1]!S_STM07_IS(D611,55,$G$5,$H$13)/$E$5))</f>
        <v/>
      </c>
      <c r="L611" s="249" t="str">
        <f ca="1">IF(C611="","",IF($L$11="ROA",[1]!S_STM07_IS(D611,61,$G$5,$H$13)/[1]!S_STM07_BS(D611,74,$G$5,$H$13),1-[1]!S_STM07_IS(D611,61,$G$5,$H$13)/[1]!S_STM07_IS(D611,55,$G$5,$H$13)))</f>
        <v/>
      </c>
      <c r="M611" s="249" t="str">
        <f ca="1">IF(C611="","",IF($M$11="ROE",[1]!S_STM07_IS(D611,61,$G$5,$H$13)/[1]!S_STM07_BS(D611,141,$G$5,$H$13),([1]!S_STM07_BS(D611,25,$G$5,$H$13)-[1]!S_STM07_BS(D611,93,$G$5,$H$13))/$E$5))</f>
        <v/>
      </c>
      <c r="N611" s="250" t="str">
        <f ca="1">IF(C611="","",IF($N$11="EPS",[1]!S_STM07_IS(D611,61,$G$5,$H$13)/IF([1]!S_SHARE_TOTAL(D611,$G$5)=0,[1]!S_SHARE_TOTAL(D611,[1]!s_ipo_listeddate(D611)),[1]!S_SHARE_TOTAL(D611,$G$5)),([1]!S_STM07_BS(D611,75,$G$5,$H$13)+[1]!S_STM07_BS(D611,88,$G$5,$H$13)+[1]!S_STM07_BS(D611,94,$G$5,$H$13)+[1]!S_STM07_BS(D611,95,$G$5,$H$13))/$E$5))</f>
        <v/>
      </c>
      <c r="O611" s="250" t="str">
        <f ca="1">IF(C611="","",IF($O$11="BPS",[1]!S_STM07_BS(D611,141,$G$5,$H$13)/IF([1]!S_SHARE_TOTAL(D611,$G$5)=0,[1]!S_SHARE_TOTAL(D611,[1]!s_ipo_listeddate(D611)),[1]!S_SHARE_TOTAL(D611,$G$5)),[1]!S_STM07_CS(D611,49,$G$5,$H$13)/$E$5))</f>
        <v/>
      </c>
      <c r="P611" s="250" t="str">
        <f ca="1">IF(C611="","",IF($P$11="CFPS",[1]!S_STM07_CS(D611,84,$G$5,$H$13)/IF([1]!S_SHARE_TOTAL(D611,$G$5)=0,[1]!S_SHARE_TOTAL(D611,[1]!s_ipo_listeddate(D611)),[1]!S_SHARE_TOTAL(D611,$G$5)),[1]!S_STM07_CS(D611,84,$G$5,$H$13)/$E$5))</f>
        <v/>
      </c>
      <c r="Q611" s="198" t="str">
        <f ca="1">IF(C611="","",F611/([1]!S_STM07_IS(D611,61,$G$5,$H$13)/IF([1]!S_SHARE_TOTAL(D611,$G$5)=0,[1]!S_SHARE_TOTAL(D611,[1]!s_ipo_listeddate(D611)),[1]!S_SHARE_TOTAL(D611,$G$5))))</f>
        <v/>
      </c>
      <c r="R611" s="198" t="str">
        <f ca="1">IF(C611="","",F611/([1]!S_STM07_BS(D611,141,$G$5,$H$13)/IF([1]!S_SHARE_TOTAL(D611,$G$5)=0,[1]!S_SHARE_TOTAL(D611,[1]!s_ipo_listeddate(D611)),[1]!S_SHARE_TOTAL(D611,$G$5))))</f>
        <v/>
      </c>
      <c r="S611" s="249" t="str">
        <f ca="1">IF(C611="","",[1]!S_SHARE_TOTAL(D611,TODAY())/$E$5)</f>
        <v/>
      </c>
      <c r="T611" s="249" t="str">
        <f t="shared" ca="1" si="67"/>
        <v/>
      </c>
      <c r="U611" s="172" t="str">
        <f t="shared" ca="1" si="68"/>
        <v/>
      </c>
      <c r="V611" s="343" t="str">
        <f t="shared" ca="1" si="69"/>
        <v/>
      </c>
      <c r="W611" s="139"/>
      <c r="Y611" s="1"/>
    </row>
    <row r="612" spans="3:25" ht="12" customHeight="1">
      <c r="C612" s="342" t="str">
        <f t="shared" ca="1" si="64"/>
        <v/>
      </c>
      <c r="D612" s="153" t="str">
        <f t="shared" ca="1" si="65"/>
        <v/>
      </c>
      <c r="E612" s="153" t="str">
        <f t="shared" ca="1" si="66"/>
        <v/>
      </c>
      <c r="F612" s="170" t="str">
        <f ca="1">IF(C612="","",[1]!S_DQ_CLOSE(D612,TODAY(),1))</f>
        <v/>
      </c>
      <c r="G612" s="171" t="str">
        <f ca="1">IF(C612="","",[1]!s_pq_pctchange(D612,TODAY()-$G$12,TODAY())/100)</f>
        <v/>
      </c>
      <c r="H612" s="247" t="str">
        <f ca="1">IF(C612="","",IF($H$11="收入",[1]!S_STM07_IS(D612,9,$G$5,$H$13)/$E$5,[1]!S_STM07_IS(D612,48,$G$5,$H$13)/$E$5))</f>
        <v/>
      </c>
      <c r="I612" s="247" t="str">
        <f ca="1">IF(C612="","",IF($I$11="毛利率",([1]!S_STM07_IS(D612,9,$G$5,$H$13)-[1]!S_STM07_IS(D612,10,$G$5,$H$13))/[1]!S_STM07_IS(D612,9,$G$5,$H$13),[1]!S_STM07_IS(D612,14,$G$5,$H$13)/$E$5))</f>
        <v/>
      </c>
      <c r="J612" s="247" t="str">
        <f ca="1">IF(C612="","",IF($J$11="营业利润率",[1]!S_STM07_IS(D612,48,$G$5,$H$13)/[1]!S_STM07_IS(D612,9,$G$5,$H$13),([1]!S_STM07_CS(D612,87,$G$5,$H$13)+[1]!S_STM07_CS(D612,88,$G$5,$H$13)+[1]!S_STM07_CS(D612,89,$G$5,$H$13))/$E$5))</f>
        <v/>
      </c>
      <c r="K612" s="247" t="str">
        <f ca="1">IF(C612="","",IF($K$11="净利润率",[1]!S_STM07_IS(D612,61,$G$5,$H$13)/[1]!S_STM07_IS(D612,9,$G$5,$H$13),[1]!S_STM07_IS(D612,55,$G$5,$H$13)/$E$5))</f>
        <v/>
      </c>
      <c r="L612" s="247" t="str">
        <f ca="1">IF(C612="","",IF($L$11="ROA",[1]!S_STM07_IS(D612,61,$G$5,$H$13)/[1]!S_STM07_BS(D612,74,$G$5,$H$13),1-[1]!S_STM07_IS(D612,61,$G$5,$H$13)/[1]!S_STM07_IS(D612,55,$G$5,$H$13)))</f>
        <v/>
      </c>
      <c r="M612" s="247" t="str">
        <f ca="1">IF(C612="","",IF($M$11="ROE",[1]!S_STM07_IS(D612,61,$G$5,$H$13)/[1]!S_STM07_BS(D612,141,$G$5,$H$13),([1]!S_STM07_BS(D612,25,$G$5,$H$13)-[1]!S_STM07_BS(D612,93,$G$5,$H$13))/$E$5))</f>
        <v/>
      </c>
      <c r="N612" s="247" t="str">
        <f ca="1">IF(C612="","",IF($N$11="EPS",[1]!S_STM07_IS(D612,61,$G$5,$H$13)/IF([1]!S_SHARE_TOTAL(D612,$G$5)=0,[1]!S_SHARE_TOTAL(D612,[1]!s_ipo_listeddate(D612)),[1]!S_SHARE_TOTAL(D612,$G$5)),([1]!S_STM07_BS(D612,75,$G$5,$H$13)+[1]!S_STM07_BS(D612,88,$G$5,$H$13)+[1]!S_STM07_BS(D612,94,$G$5,$H$13)+[1]!S_STM07_BS(D612,95,$G$5,$H$13))/$E$5))</f>
        <v/>
      </c>
      <c r="O612" s="247" t="str">
        <f ca="1">IF(C612="","",IF($O$11="BPS",[1]!S_STM07_BS(D612,141,$G$5,$H$13)/IF([1]!S_SHARE_TOTAL(D612,$G$5)=0,[1]!S_SHARE_TOTAL(D612,[1]!s_ipo_listeddate(D612)),[1]!S_SHARE_TOTAL(D612,$G$5)),[1]!S_STM07_CS(D612,49,$G$5,$H$13)/$E$5))</f>
        <v/>
      </c>
      <c r="P612" s="247" t="str">
        <f ca="1">IF(C612="","",IF($P$11="CFPS",[1]!S_STM07_CS(D612,84,$G$5,$H$13)/IF([1]!S_SHARE_TOTAL(D612,$G$5)=0,[1]!S_SHARE_TOTAL(D612,[1]!s_ipo_listeddate(D612)),[1]!S_SHARE_TOTAL(D612,$G$5)),[1]!S_STM07_CS(D612,84,$G$5,$H$13)/$E$5))</f>
        <v/>
      </c>
      <c r="Q612" s="248" t="str">
        <f ca="1">IF(C612="","",F612/([1]!S_STM07_IS(D612,61,$G$5,$H$13)/IF([1]!S_SHARE_TOTAL(D612,$G$5)=0,[1]!S_SHARE_TOTAL(D612,[1]!s_ipo_listeddate(D612)),[1]!S_SHARE_TOTAL(D612,$G$5))))</f>
        <v/>
      </c>
      <c r="R612" s="248" t="str">
        <f ca="1">IF(C612="","",F612/([1]!S_STM07_BS(D612,141,$G$5,$H$13)/IF([1]!S_SHARE_TOTAL(D612,$G$5)=0,[1]!S_SHARE_TOTAL(D612,[1]!s_ipo_listeddate(D612)),[1]!S_SHARE_TOTAL(D612,$G$5))))</f>
        <v/>
      </c>
      <c r="S612" s="247" t="str">
        <f ca="1">IF(C612="","",[1]!S_SHARE_TOTAL(D612,TODAY())/$E$5)</f>
        <v/>
      </c>
      <c r="T612" s="247" t="str">
        <f t="shared" ca="1" si="67"/>
        <v/>
      </c>
      <c r="U612" s="218" t="str">
        <f t="shared" ca="1" si="68"/>
        <v/>
      </c>
      <c r="V612" s="342" t="str">
        <f t="shared" ca="1" si="69"/>
        <v/>
      </c>
      <c r="W612" s="139"/>
      <c r="Y612" s="1"/>
    </row>
    <row r="613" spans="3:25" ht="12" customHeight="1">
      <c r="C613" s="343" t="str">
        <f t="shared" ca="1" si="64"/>
        <v/>
      </c>
      <c r="D613" s="124" t="str">
        <f t="shared" ca="1" si="65"/>
        <v/>
      </c>
      <c r="E613" s="124" t="str">
        <f t="shared" ca="1" si="66"/>
        <v/>
      </c>
      <c r="F613" s="172" t="str">
        <f ca="1">IF(C613="","",[1]!S_DQ_CLOSE(D613,TODAY(),1))</f>
        <v/>
      </c>
      <c r="G613" s="173" t="str">
        <f ca="1">IF(C613="","",[1]!s_pq_pctchange(D613,TODAY()-$G$12,TODAY())/100)</f>
        <v/>
      </c>
      <c r="H613" s="249" t="str">
        <f ca="1">IF(C613="","",IF($H$11="收入",[1]!S_STM07_IS(D613,9,$G$5,$H$13)/$E$5,[1]!S_STM07_IS(D613,48,$G$5,$H$13)/$E$5))</f>
        <v/>
      </c>
      <c r="I613" s="249" t="str">
        <f ca="1">IF(C613="","",IF($I$11="毛利率",([1]!S_STM07_IS(D613,9,$G$5,$H$13)-[1]!S_STM07_IS(D613,10,$G$5,$H$13))/[1]!S_STM07_IS(D613,9,$G$5,$H$13),[1]!S_STM07_IS(D613,14,$G$5,$H$13)/$E$5))</f>
        <v/>
      </c>
      <c r="J613" s="249" t="str">
        <f ca="1">IF(C613="","",IF($J$11="营业利润率",[1]!S_STM07_IS(D613,48,$G$5,$H$13)/[1]!S_STM07_IS(D613,9,$G$5,$H$13),([1]!S_STM07_CS(D613,87,$G$5,$H$13)+[1]!S_STM07_CS(D613,88,$G$5,$H$13)+[1]!S_STM07_CS(D613,89,$G$5,$H$13))/$E$5))</f>
        <v/>
      </c>
      <c r="K613" s="249" t="str">
        <f ca="1">IF(C613="","",IF($K$11="净利润率",[1]!S_STM07_IS(D613,61,$G$5,$H$13)/[1]!S_STM07_IS(D613,9,$G$5,$H$13),[1]!S_STM07_IS(D613,55,$G$5,$H$13)/$E$5))</f>
        <v/>
      </c>
      <c r="L613" s="249" t="str">
        <f ca="1">IF(C613="","",IF($L$11="ROA",[1]!S_STM07_IS(D613,61,$G$5,$H$13)/[1]!S_STM07_BS(D613,74,$G$5,$H$13),1-[1]!S_STM07_IS(D613,61,$G$5,$H$13)/[1]!S_STM07_IS(D613,55,$G$5,$H$13)))</f>
        <v/>
      </c>
      <c r="M613" s="249" t="str">
        <f ca="1">IF(C613="","",IF($M$11="ROE",[1]!S_STM07_IS(D613,61,$G$5,$H$13)/[1]!S_STM07_BS(D613,141,$G$5,$H$13),([1]!S_STM07_BS(D613,25,$G$5,$H$13)-[1]!S_STM07_BS(D613,93,$G$5,$H$13))/$E$5))</f>
        <v/>
      </c>
      <c r="N613" s="250" t="str">
        <f ca="1">IF(C613="","",IF($N$11="EPS",[1]!S_STM07_IS(D613,61,$G$5,$H$13)/IF([1]!S_SHARE_TOTAL(D613,$G$5)=0,[1]!S_SHARE_TOTAL(D613,[1]!s_ipo_listeddate(D613)),[1]!S_SHARE_TOTAL(D613,$G$5)),([1]!S_STM07_BS(D613,75,$G$5,$H$13)+[1]!S_STM07_BS(D613,88,$G$5,$H$13)+[1]!S_STM07_BS(D613,94,$G$5,$H$13)+[1]!S_STM07_BS(D613,95,$G$5,$H$13))/$E$5))</f>
        <v/>
      </c>
      <c r="O613" s="250" t="str">
        <f ca="1">IF(C613="","",IF($O$11="BPS",[1]!S_STM07_BS(D613,141,$G$5,$H$13)/IF([1]!S_SHARE_TOTAL(D613,$G$5)=0,[1]!S_SHARE_TOTAL(D613,[1]!s_ipo_listeddate(D613)),[1]!S_SHARE_TOTAL(D613,$G$5)),[1]!S_STM07_CS(D613,49,$G$5,$H$13)/$E$5))</f>
        <v/>
      </c>
      <c r="P613" s="250" t="str">
        <f ca="1">IF(C613="","",IF($P$11="CFPS",[1]!S_STM07_CS(D613,84,$G$5,$H$13)/IF([1]!S_SHARE_TOTAL(D613,$G$5)=0,[1]!S_SHARE_TOTAL(D613,[1]!s_ipo_listeddate(D613)),[1]!S_SHARE_TOTAL(D613,$G$5)),[1]!S_STM07_CS(D613,84,$G$5,$H$13)/$E$5))</f>
        <v/>
      </c>
      <c r="Q613" s="198" t="str">
        <f ca="1">IF(C613="","",F613/([1]!S_STM07_IS(D613,61,$G$5,$H$13)/IF([1]!S_SHARE_TOTAL(D613,$G$5)=0,[1]!S_SHARE_TOTAL(D613,[1]!s_ipo_listeddate(D613)),[1]!S_SHARE_TOTAL(D613,$G$5))))</f>
        <v/>
      </c>
      <c r="R613" s="198" t="str">
        <f ca="1">IF(C613="","",F613/([1]!S_STM07_BS(D613,141,$G$5,$H$13)/IF([1]!S_SHARE_TOTAL(D613,$G$5)=0,[1]!S_SHARE_TOTAL(D613,[1]!s_ipo_listeddate(D613)),[1]!S_SHARE_TOTAL(D613,$G$5))))</f>
        <v/>
      </c>
      <c r="S613" s="249" t="str">
        <f ca="1">IF(C613="","",[1]!S_SHARE_TOTAL(D613,TODAY())/$E$5)</f>
        <v/>
      </c>
      <c r="T613" s="249" t="str">
        <f t="shared" ca="1" si="67"/>
        <v/>
      </c>
      <c r="U613" s="172" t="str">
        <f t="shared" ca="1" si="68"/>
        <v/>
      </c>
      <c r="V613" s="343" t="str">
        <f t="shared" ca="1" si="69"/>
        <v/>
      </c>
      <c r="W613" s="139"/>
      <c r="Y613" s="1"/>
    </row>
    <row r="614" spans="3:25" ht="12" customHeight="1">
      <c r="C614" s="342" t="str">
        <f t="shared" ca="1" si="64"/>
        <v/>
      </c>
      <c r="D614" s="153" t="str">
        <f t="shared" ca="1" si="65"/>
        <v/>
      </c>
      <c r="E614" s="153" t="str">
        <f t="shared" ca="1" si="66"/>
        <v/>
      </c>
      <c r="F614" s="170" t="str">
        <f ca="1">IF(C614="","",[1]!S_DQ_CLOSE(D614,TODAY(),1))</f>
        <v/>
      </c>
      <c r="G614" s="171" t="str">
        <f ca="1">IF(C614="","",[1]!s_pq_pctchange(D614,TODAY()-$G$12,TODAY())/100)</f>
        <v/>
      </c>
      <c r="H614" s="247" t="str">
        <f ca="1">IF(C614="","",IF($H$11="收入",[1]!S_STM07_IS(D614,9,$G$5,$H$13)/$E$5,[1]!S_STM07_IS(D614,48,$G$5,$H$13)/$E$5))</f>
        <v/>
      </c>
      <c r="I614" s="247" t="str">
        <f ca="1">IF(C614="","",IF($I$11="毛利率",([1]!S_STM07_IS(D614,9,$G$5,$H$13)-[1]!S_STM07_IS(D614,10,$G$5,$H$13))/[1]!S_STM07_IS(D614,9,$G$5,$H$13),[1]!S_STM07_IS(D614,14,$G$5,$H$13)/$E$5))</f>
        <v/>
      </c>
      <c r="J614" s="247" t="str">
        <f ca="1">IF(C614="","",IF($J$11="营业利润率",[1]!S_STM07_IS(D614,48,$G$5,$H$13)/[1]!S_STM07_IS(D614,9,$G$5,$H$13),([1]!S_STM07_CS(D614,87,$G$5,$H$13)+[1]!S_STM07_CS(D614,88,$G$5,$H$13)+[1]!S_STM07_CS(D614,89,$G$5,$H$13))/$E$5))</f>
        <v/>
      </c>
      <c r="K614" s="247" t="str">
        <f ca="1">IF(C614="","",IF($K$11="净利润率",[1]!S_STM07_IS(D614,61,$G$5,$H$13)/[1]!S_STM07_IS(D614,9,$G$5,$H$13),[1]!S_STM07_IS(D614,55,$G$5,$H$13)/$E$5))</f>
        <v/>
      </c>
      <c r="L614" s="247" t="str">
        <f ca="1">IF(C614="","",IF($L$11="ROA",[1]!S_STM07_IS(D614,61,$G$5,$H$13)/[1]!S_STM07_BS(D614,74,$G$5,$H$13),1-[1]!S_STM07_IS(D614,61,$G$5,$H$13)/[1]!S_STM07_IS(D614,55,$G$5,$H$13)))</f>
        <v/>
      </c>
      <c r="M614" s="247" t="str">
        <f ca="1">IF(C614="","",IF($M$11="ROE",[1]!S_STM07_IS(D614,61,$G$5,$H$13)/[1]!S_STM07_BS(D614,141,$G$5,$H$13),([1]!S_STM07_BS(D614,25,$G$5,$H$13)-[1]!S_STM07_BS(D614,93,$G$5,$H$13))/$E$5))</f>
        <v/>
      </c>
      <c r="N614" s="247" t="str">
        <f ca="1">IF(C614="","",IF($N$11="EPS",[1]!S_STM07_IS(D614,61,$G$5,$H$13)/IF([1]!S_SHARE_TOTAL(D614,$G$5)=0,[1]!S_SHARE_TOTAL(D614,[1]!s_ipo_listeddate(D614)),[1]!S_SHARE_TOTAL(D614,$G$5)),([1]!S_STM07_BS(D614,75,$G$5,$H$13)+[1]!S_STM07_BS(D614,88,$G$5,$H$13)+[1]!S_STM07_BS(D614,94,$G$5,$H$13)+[1]!S_STM07_BS(D614,95,$G$5,$H$13))/$E$5))</f>
        <v/>
      </c>
      <c r="O614" s="247" t="str">
        <f ca="1">IF(C614="","",IF($O$11="BPS",[1]!S_STM07_BS(D614,141,$G$5,$H$13)/IF([1]!S_SHARE_TOTAL(D614,$G$5)=0,[1]!S_SHARE_TOTAL(D614,[1]!s_ipo_listeddate(D614)),[1]!S_SHARE_TOTAL(D614,$G$5)),[1]!S_STM07_CS(D614,49,$G$5,$H$13)/$E$5))</f>
        <v/>
      </c>
      <c r="P614" s="247" t="str">
        <f ca="1">IF(C614="","",IF($P$11="CFPS",[1]!S_STM07_CS(D614,84,$G$5,$H$13)/IF([1]!S_SHARE_TOTAL(D614,$G$5)=0,[1]!S_SHARE_TOTAL(D614,[1]!s_ipo_listeddate(D614)),[1]!S_SHARE_TOTAL(D614,$G$5)),[1]!S_STM07_CS(D614,84,$G$5,$H$13)/$E$5))</f>
        <v/>
      </c>
      <c r="Q614" s="248" t="str">
        <f ca="1">IF(C614="","",F614/([1]!S_STM07_IS(D614,61,$G$5,$H$13)/IF([1]!S_SHARE_TOTAL(D614,$G$5)=0,[1]!S_SHARE_TOTAL(D614,[1]!s_ipo_listeddate(D614)),[1]!S_SHARE_TOTAL(D614,$G$5))))</f>
        <v/>
      </c>
      <c r="R614" s="248" t="str">
        <f ca="1">IF(C614="","",F614/([1]!S_STM07_BS(D614,141,$G$5,$H$13)/IF([1]!S_SHARE_TOTAL(D614,$G$5)=0,[1]!S_SHARE_TOTAL(D614,[1]!s_ipo_listeddate(D614)),[1]!S_SHARE_TOTAL(D614,$G$5))))</f>
        <v/>
      </c>
      <c r="S614" s="247" t="str">
        <f ca="1">IF(C614="","",[1]!S_SHARE_TOTAL(D614,TODAY())/$E$5)</f>
        <v/>
      </c>
      <c r="T614" s="247" t="str">
        <f t="shared" ca="1" si="67"/>
        <v/>
      </c>
      <c r="U614" s="218" t="str">
        <f t="shared" ca="1" si="68"/>
        <v/>
      </c>
      <c r="V614" s="342" t="str">
        <f t="shared" ca="1" si="69"/>
        <v/>
      </c>
      <c r="W614" s="139"/>
      <c r="Y614" s="1"/>
    </row>
    <row r="615" spans="3:25" ht="12" customHeight="1">
      <c r="C615" s="343" t="str">
        <f t="shared" ca="1" si="64"/>
        <v/>
      </c>
      <c r="D615" s="124" t="str">
        <f t="shared" ca="1" si="65"/>
        <v/>
      </c>
      <c r="E615" s="124" t="str">
        <f t="shared" ca="1" si="66"/>
        <v/>
      </c>
      <c r="F615" s="172" t="str">
        <f ca="1">IF(C615="","",[1]!S_DQ_CLOSE(D615,TODAY(),1))</f>
        <v/>
      </c>
      <c r="G615" s="173" t="str">
        <f ca="1">IF(C615="","",[1]!s_pq_pctchange(D615,TODAY()-$G$12,TODAY())/100)</f>
        <v/>
      </c>
      <c r="H615" s="249" t="str">
        <f ca="1">IF(C615="","",IF($H$11="收入",[1]!S_STM07_IS(D615,9,$G$5,$H$13)/$E$5,[1]!S_STM07_IS(D615,48,$G$5,$H$13)/$E$5))</f>
        <v/>
      </c>
      <c r="I615" s="249" t="str">
        <f ca="1">IF(C615="","",IF($I$11="毛利率",([1]!S_STM07_IS(D615,9,$G$5,$H$13)-[1]!S_STM07_IS(D615,10,$G$5,$H$13))/[1]!S_STM07_IS(D615,9,$G$5,$H$13),[1]!S_STM07_IS(D615,14,$G$5,$H$13)/$E$5))</f>
        <v/>
      </c>
      <c r="J615" s="249" t="str">
        <f ca="1">IF(C615="","",IF($J$11="营业利润率",[1]!S_STM07_IS(D615,48,$G$5,$H$13)/[1]!S_STM07_IS(D615,9,$G$5,$H$13),([1]!S_STM07_CS(D615,87,$G$5,$H$13)+[1]!S_STM07_CS(D615,88,$G$5,$H$13)+[1]!S_STM07_CS(D615,89,$G$5,$H$13))/$E$5))</f>
        <v/>
      </c>
      <c r="K615" s="249" t="str">
        <f ca="1">IF(C615="","",IF($K$11="净利润率",[1]!S_STM07_IS(D615,61,$G$5,$H$13)/[1]!S_STM07_IS(D615,9,$G$5,$H$13),[1]!S_STM07_IS(D615,55,$G$5,$H$13)/$E$5))</f>
        <v/>
      </c>
      <c r="L615" s="249" t="str">
        <f ca="1">IF(C615="","",IF($L$11="ROA",[1]!S_STM07_IS(D615,61,$G$5,$H$13)/[1]!S_STM07_BS(D615,74,$G$5,$H$13),1-[1]!S_STM07_IS(D615,61,$G$5,$H$13)/[1]!S_STM07_IS(D615,55,$G$5,$H$13)))</f>
        <v/>
      </c>
      <c r="M615" s="249" t="str">
        <f ca="1">IF(C615="","",IF($M$11="ROE",[1]!S_STM07_IS(D615,61,$G$5,$H$13)/[1]!S_STM07_BS(D615,141,$G$5,$H$13),([1]!S_STM07_BS(D615,25,$G$5,$H$13)-[1]!S_STM07_BS(D615,93,$G$5,$H$13))/$E$5))</f>
        <v/>
      </c>
      <c r="N615" s="250" t="str">
        <f ca="1">IF(C615="","",IF($N$11="EPS",[1]!S_STM07_IS(D615,61,$G$5,$H$13)/IF([1]!S_SHARE_TOTAL(D615,$G$5)=0,[1]!S_SHARE_TOTAL(D615,[1]!s_ipo_listeddate(D615)),[1]!S_SHARE_TOTAL(D615,$G$5)),([1]!S_STM07_BS(D615,75,$G$5,$H$13)+[1]!S_STM07_BS(D615,88,$G$5,$H$13)+[1]!S_STM07_BS(D615,94,$G$5,$H$13)+[1]!S_STM07_BS(D615,95,$G$5,$H$13))/$E$5))</f>
        <v/>
      </c>
      <c r="O615" s="250" t="str">
        <f ca="1">IF(C615="","",IF($O$11="BPS",[1]!S_STM07_BS(D615,141,$G$5,$H$13)/IF([1]!S_SHARE_TOTAL(D615,$G$5)=0,[1]!S_SHARE_TOTAL(D615,[1]!s_ipo_listeddate(D615)),[1]!S_SHARE_TOTAL(D615,$G$5)),[1]!S_STM07_CS(D615,49,$G$5,$H$13)/$E$5))</f>
        <v/>
      </c>
      <c r="P615" s="250" t="str">
        <f ca="1">IF(C615="","",IF($P$11="CFPS",[1]!S_STM07_CS(D615,84,$G$5,$H$13)/IF([1]!S_SHARE_TOTAL(D615,$G$5)=0,[1]!S_SHARE_TOTAL(D615,[1]!s_ipo_listeddate(D615)),[1]!S_SHARE_TOTAL(D615,$G$5)),[1]!S_STM07_CS(D615,84,$G$5,$H$13)/$E$5))</f>
        <v/>
      </c>
      <c r="Q615" s="198" t="str">
        <f ca="1">IF(C615="","",F615/([1]!S_STM07_IS(D615,61,$G$5,$H$13)/IF([1]!S_SHARE_TOTAL(D615,$G$5)=0,[1]!S_SHARE_TOTAL(D615,[1]!s_ipo_listeddate(D615)),[1]!S_SHARE_TOTAL(D615,$G$5))))</f>
        <v/>
      </c>
      <c r="R615" s="198" t="str">
        <f ca="1">IF(C615="","",F615/([1]!S_STM07_BS(D615,141,$G$5,$H$13)/IF([1]!S_SHARE_TOTAL(D615,$G$5)=0,[1]!S_SHARE_TOTAL(D615,[1]!s_ipo_listeddate(D615)),[1]!S_SHARE_TOTAL(D615,$G$5))))</f>
        <v/>
      </c>
      <c r="S615" s="249" t="str">
        <f ca="1">IF(C615="","",[1]!S_SHARE_TOTAL(D615,TODAY())/$E$5)</f>
        <v/>
      </c>
      <c r="T615" s="249" t="str">
        <f t="shared" ca="1" si="67"/>
        <v/>
      </c>
      <c r="U615" s="172" t="str">
        <f t="shared" ca="1" si="68"/>
        <v/>
      </c>
      <c r="V615" s="343" t="str">
        <f t="shared" ca="1" si="69"/>
        <v/>
      </c>
      <c r="W615" s="139"/>
      <c r="Y615" s="1"/>
    </row>
    <row r="616" spans="3:25" ht="12" customHeight="1">
      <c r="C616" s="342" t="str">
        <f t="shared" ca="1" si="64"/>
        <v/>
      </c>
      <c r="D616" s="153" t="str">
        <f t="shared" ca="1" si="65"/>
        <v/>
      </c>
      <c r="E616" s="153" t="str">
        <f t="shared" ca="1" si="66"/>
        <v/>
      </c>
      <c r="F616" s="170" t="str">
        <f ca="1">IF(C616="","",[1]!S_DQ_CLOSE(D616,TODAY(),1))</f>
        <v/>
      </c>
      <c r="G616" s="171" t="str">
        <f ca="1">IF(C616="","",[1]!s_pq_pctchange(D616,TODAY()-$G$12,TODAY())/100)</f>
        <v/>
      </c>
      <c r="H616" s="247" t="str">
        <f ca="1">IF(C616="","",IF($H$11="收入",[1]!S_STM07_IS(D616,9,$G$5,$H$13)/$E$5,[1]!S_STM07_IS(D616,48,$G$5,$H$13)/$E$5))</f>
        <v/>
      </c>
      <c r="I616" s="247" t="str">
        <f ca="1">IF(C616="","",IF($I$11="毛利率",([1]!S_STM07_IS(D616,9,$G$5,$H$13)-[1]!S_STM07_IS(D616,10,$G$5,$H$13))/[1]!S_STM07_IS(D616,9,$G$5,$H$13),[1]!S_STM07_IS(D616,14,$G$5,$H$13)/$E$5))</f>
        <v/>
      </c>
      <c r="J616" s="247" t="str">
        <f ca="1">IF(C616="","",IF($J$11="营业利润率",[1]!S_STM07_IS(D616,48,$G$5,$H$13)/[1]!S_STM07_IS(D616,9,$G$5,$H$13),([1]!S_STM07_CS(D616,87,$G$5,$H$13)+[1]!S_STM07_CS(D616,88,$G$5,$H$13)+[1]!S_STM07_CS(D616,89,$G$5,$H$13))/$E$5))</f>
        <v/>
      </c>
      <c r="K616" s="247" t="str">
        <f ca="1">IF(C616="","",IF($K$11="净利润率",[1]!S_STM07_IS(D616,61,$G$5,$H$13)/[1]!S_STM07_IS(D616,9,$G$5,$H$13),[1]!S_STM07_IS(D616,55,$G$5,$H$13)/$E$5))</f>
        <v/>
      </c>
      <c r="L616" s="247" t="str">
        <f ca="1">IF(C616="","",IF($L$11="ROA",[1]!S_STM07_IS(D616,61,$G$5,$H$13)/[1]!S_STM07_BS(D616,74,$G$5,$H$13),1-[1]!S_STM07_IS(D616,61,$G$5,$H$13)/[1]!S_STM07_IS(D616,55,$G$5,$H$13)))</f>
        <v/>
      </c>
      <c r="M616" s="247" t="str">
        <f ca="1">IF(C616="","",IF($M$11="ROE",[1]!S_STM07_IS(D616,61,$G$5,$H$13)/[1]!S_STM07_BS(D616,141,$G$5,$H$13),([1]!S_STM07_BS(D616,25,$G$5,$H$13)-[1]!S_STM07_BS(D616,93,$G$5,$H$13))/$E$5))</f>
        <v/>
      </c>
      <c r="N616" s="247" t="str">
        <f ca="1">IF(C616="","",IF($N$11="EPS",[1]!S_STM07_IS(D616,61,$G$5,$H$13)/IF([1]!S_SHARE_TOTAL(D616,$G$5)=0,[1]!S_SHARE_TOTAL(D616,[1]!s_ipo_listeddate(D616)),[1]!S_SHARE_TOTAL(D616,$G$5)),([1]!S_STM07_BS(D616,75,$G$5,$H$13)+[1]!S_STM07_BS(D616,88,$G$5,$H$13)+[1]!S_STM07_BS(D616,94,$G$5,$H$13)+[1]!S_STM07_BS(D616,95,$G$5,$H$13))/$E$5))</f>
        <v/>
      </c>
      <c r="O616" s="247" t="str">
        <f ca="1">IF(C616="","",IF($O$11="BPS",[1]!S_STM07_BS(D616,141,$G$5,$H$13)/IF([1]!S_SHARE_TOTAL(D616,$G$5)=0,[1]!S_SHARE_TOTAL(D616,[1]!s_ipo_listeddate(D616)),[1]!S_SHARE_TOTAL(D616,$G$5)),[1]!S_STM07_CS(D616,49,$G$5,$H$13)/$E$5))</f>
        <v/>
      </c>
      <c r="P616" s="247" t="str">
        <f ca="1">IF(C616="","",IF($P$11="CFPS",[1]!S_STM07_CS(D616,84,$G$5,$H$13)/IF([1]!S_SHARE_TOTAL(D616,$G$5)=0,[1]!S_SHARE_TOTAL(D616,[1]!s_ipo_listeddate(D616)),[1]!S_SHARE_TOTAL(D616,$G$5)),[1]!S_STM07_CS(D616,84,$G$5,$H$13)/$E$5))</f>
        <v/>
      </c>
      <c r="Q616" s="248" t="str">
        <f ca="1">IF(C616="","",F616/([1]!S_STM07_IS(D616,61,$G$5,$H$13)/IF([1]!S_SHARE_TOTAL(D616,$G$5)=0,[1]!S_SHARE_TOTAL(D616,[1]!s_ipo_listeddate(D616)),[1]!S_SHARE_TOTAL(D616,$G$5))))</f>
        <v/>
      </c>
      <c r="R616" s="248" t="str">
        <f ca="1">IF(C616="","",F616/([1]!S_STM07_BS(D616,141,$G$5,$H$13)/IF([1]!S_SHARE_TOTAL(D616,$G$5)=0,[1]!S_SHARE_TOTAL(D616,[1]!s_ipo_listeddate(D616)),[1]!S_SHARE_TOTAL(D616,$G$5))))</f>
        <v/>
      </c>
      <c r="S616" s="247" t="str">
        <f ca="1">IF(C616="","",[1]!S_SHARE_TOTAL(D616,TODAY())/$E$5)</f>
        <v/>
      </c>
      <c r="T616" s="247" t="str">
        <f t="shared" ca="1" si="67"/>
        <v/>
      </c>
      <c r="U616" s="218" t="str">
        <f t="shared" ca="1" si="68"/>
        <v/>
      </c>
      <c r="V616" s="342" t="str">
        <f t="shared" ca="1" si="69"/>
        <v/>
      </c>
      <c r="W616" s="139"/>
      <c r="Y616" s="1"/>
    </row>
    <row r="617" spans="3:25" ht="12" customHeight="1">
      <c r="C617" s="343" t="str">
        <f t="shared" ca="1" si="64"/>
        <v/>
      </c>
      <c r="D617" s="124" t="str">
        <f t="shared" ca="1" si="65"/>
        <v/>
      </c>
      <c r="E617" s="124" t="str">
        <f t="shared" ca="1" si="66"/>
        <v/>
      </c>
      <c r="F617" s="172" t="str">
        <f ca="1">IF(C617="","",[1]!S_DQ_CLOSE(D617,TODAY(),1))</f>
        <v/>
      </c>
      <c r="G617" s="173" t="str">
        <f ca="1">IF(C617="","",[1]!s_pq_pctchange(D617,TODAY()-$G$12,TODAY())/100)</f>
        <v/>
      </c>
      <c r="H617" s="249" t="str">
        <f ca="1">IF(C617="","",IF($H$11="收入",[1]!S_STM07_IS(D617,9,$G$5,$H$13)/$E$5,[1]!S_STM07_IS(D617,48,$G$5,$H$13)/$E$5))</f>
        <v/>
      </c>
      <c r="I617" s="249" t="str">
        <f ca="1">IF(C617="","",IF($I$11="毛利率",([1]!S_STM07_IS(D617,9,$G$5,$H$13)-[1]!S_STM07_IS(D617,10,$G$5,$H$13))/[1]!S_STM07_IS(D617,9,$G$5,$H$13),[1]!S_STM07_IS(D617,14,$G$5,$H$13)/$E$5))</f>
        <v/>
      </c>
      <c r="J617" s="249" t="str">
        <f ca="1">IF(C617="","",IF($J$11="营业利润率",[1]!S_STM07_IS(D617,48,$G$5,$H$13)/[1]!S_STM07_IS(D617,9,$G$5,$H$13),([1]!S_STM07_CS(D617,87,$G$5,$H$13)+[1]!S_STM07_CS(D617,88,$G$5,$H$13)+[1]!S_STM07_CS(D617,89,$G$5,$H$13))/$E$5))</f>
        <v/>
      </c>
      <c r="K617" s="249" t="str">
        <f ca="1">IF(C617="","",IF($K$11="净利润率",[1]!S_STM07_IS(D617,61,$G$5,$H$13)/[1]!S_STM07_IS(D617,9,$G$5,$H$13),[1]!S_STM07_IS(D617,55,$G$5,$H$13)/$E$5))</f>
        <v/>
      </c>
      <c r="L617" s="249" t="str">
        <f ca="1">IF(C617="","",IF($L$11="ROA",[1]!S_STM07_IS(D617,61,$G$5,$H$13)/[1]!S_STM07_BS(D617,74,$G$5,$H$13),1-[1]!S_STM07_IS(D617,61,$G$5,$H$13)/[1]!S_STM07_IS(D617,55,$G$5,$H$13)))</f>
        <v/>
      </c>
      <c r="M617" s="249" t="str">
        <f ca="1">IF(C617="","",IF($M$11="ROE",[1]!S_STM07_IS(D617,61,$G$5,$H$13)/[1]!S_STM07_BS(D617,141,$G$5,$H$13),([1]!S_STM07_BS(D617,25,$G$5,$H$13)-[1]!S_STM07_BS(D617,93,$G$5,$H$13))/$E$5))</f>
        <v/>
      </c>
      <c r="N617" s="250" t="str">
        <f ca="1">IF(C617="","",IF($N$11="EPS",[1]!S_STM07_IS(D617,61,$G$5,$H$13)/IF([1]!S_SHARE_TOTAL(D617,$G$5)=0,[1]!S_SHARE_TOTAL(D617,[1]!s_ipo_listeddate(D617)),[1]!S_SHARE_TOTAL(D617,$G$5)),([1]!S_STM07_BS(D617,75,$G$5,$H$13)+[1]!S_STM07_BS(D617,88,$G$5,$H$13)+[1]!S_STM07_BS(D617,94,$G$5,$H$13)+[1]!S_STM07_BS(D617,95,$G$5,$H$13))/$E$5))</f>
        <v/>
      </c>
      <c r="O617" s="250" t="str">
        <f ca="1">IF(C617="","",IF($O$11="BPS",[1]!S_STM07_BS(D617,141,$G$5,$H$13)/IF([1]!S_SHARE_TOTAL(D617,$G$5)=0,[1]!S_SHARE_TOTAL(D617,[1]!s_ipo_listeddate(D617)),[1]!S_SHARE_TOTAL(D617,$G$5)),[1]!S_STM07_CS(D617,49,$G$5,$H$13)/$E$5))</f>
        <v/>
      </c>
      <c r="P617" s="250" t="str">
        <f ca="1">IF(C617="","",IF($P$11="CFPS",[1]!S_STM07_CS(D617,84,$G$5,$H$13)/IF([1]!S_SHARE_TOTAL(D617,$G$5)=0,[1]!S_SHARE_TOTAL(D617,[1]!s_ipo_listeddate(D617)),[1]!S_SHARE_TOTAL(D617,$G$5)),[1]!S_STM07_CS(D617,84,$G$5,$H$13)/$E$5))</f>
        <v/>
      </c>
      <c r="Q617" s="198" t="str">
        <f ca="1">IF(C617="","",F617/([1]!S_STM07_IS(D617,61,$G$5,$H$13)/IF([1]!S_SHARE_TOTAL(D617,$G$5)=0,[1]!S_SHARE_TOTAL(D617,[1]!s_ipo_listeddate(D617)),[1]!S_SHARE_TOTAL(D617,$G$5))))</f>
        <v/>
      </c>
      <c r="R617" s="198" t="str">
        <f ca="1">IF(C617="","",F617/([1]!S_STM07_BS(D617,141,$G$5,$H$13)/IF([1]!S_SHARE_TOTAL(D617,$G$5)=0,[1]!S_SHARE_TOTAL(D617,[1]!s_ipo_listeddate(D617)),[1]!S_SHARE_TOTAL(D617,$G$5))))</f>
        <v/>
      </c>
      <c r="S617" s="249" t="str">
        <f ca="1">IF(C617="","",[1]!S_SHARE_TOTAL(D617,TODAY())/$E$5)</f>
        <v/>
      </c>
      <c r="T617" s="249" t="str">
        <f t="shared" ca="1" si="67"/>
        <v/>
      </c>
      <c r="U617" s="172" t="str">
        <f t="shared" ca="1" si="68"/>
        <v/>
      </c>
      <c r="V617" s="343" t="str">
        <f t="shared" ca="1" si="69"/>
        <v/>
      </c>
      <c r="W617" s="139"/>
      <c r="Y617" s="1"/>
    </row>
    <row r="618" spans="3:25" ht="12" customHeight="1">
      <c r="C618" s="342" t="str">
        <f t="shared" ca="1" si="64"/>
        <v/>
      </c>
      <c r="D618" s="153" t="str">
        <f t="shared" ca="1" si="65"/>
        <v/>
      </c>
      <c r="E618" s="153" t="str">
        <f t="shared" ca="1" si="66"/>
        <v/>
      </c>
      <c r="F618" s="170" t="str">
        <f ca="1">IF(C618="","",[1]!S_DQ_CLOSE(D618,TODAY(),1))</f>
        <v/>
      </c>
      <c r="G618" s="171" t="str">
        <f ca="1">IF(C618="","",[1]!s_pq_pctchange(D618,TODAY()-$G$12,TODAY())/100)</f>
        <v/>
      </c>
      <c r="H618" s="247" t="str">
        <f ca="1">IF(C618="","",IF($H$11="收入",[1]!S_STM07_IS(D618,9,$G$5,$H$13)/$E$5,[1]!S_STM07_IS(D618,48,$G$5,$H$13)/$E$5))</f>
        <v/>
      </c>
      <c r="I618" s="247" t="str">
        <f ca="1">IF(C618="","",IF($I$11="毛利率",([1]!S_STM07_IS(D618,9,$G$5,$H$13)-[1]!S_STM07_IS(D618,10,$G$5,$H$13))/[1]!S_STM07_IS(D618,9,$G$5,$H$13),[1]!S_STM07_IS(D618,14,$G$5,$H$13)/$E$5))</f>
        <v/>
      </c>
      <c r="J618" s="247" t="str">
        <f ca="1">IF(C618="","",IF($J$11="营业利润率",[1]!S_STM07_IS(D618,48,$G$5,$H$13)/[1]!S_STM07_IS(D618,9,$G$5,$H$13),([1]!S_STM07_CS(D618,87,$G$5,$H$13)+[1]!S_STM07_CS(D618,88,$G$5,$H$13)+[1]!S_STM07_CS(D618,89,$G$5,$H$13))/$E$5))</f>
        <v/>
      </c>
      <c r="K618" s="247" t="str">
        <f ca="1">IF(C618="","",IF($K$11="净利润率",[1]!S_STM07_IS(D618,61,$G$5,$H$13)/[1]!S_STM07_IS(D618,9,$G$5,$H$13),[1]!S_STM07_IS(D618,55,$G$5,$H$13)/$E$5))</f>
        <v/>
      </c>
      <c r="L618" s="247" t="str">
        <f ca="1">IF(C618="","",IF($L$11="ROA",[1]!S_STM07_IS(D618,61,$G$5,$H$13)/[1]!S_STM07_BS(D618,74,$G$5,$H$13),1-[1]!S_STM07_IS(D618,61,$G$5,$H$13)/[1]!S_STM07_IS(D618,55,$G$5,$H$13)))</f>
        <v/>
      </c>
      <c r="M618" s="247" t="str">
        <f ca="1">IF(C618="","",IF($M$11="ROE",[1]!S_STM07_IS(D618,61,$G$5,$H$13)/[1]!S_STM07_BS(D618,141,$G$5,$H$13),([1]!S_STM07_BS(D618,25,$G$5,$H$13)-[1]!S_STM07_BS(D618,93,$G$5,$H$13))/$E$5))</f>
        <v/>
      </c>
      <c r="N618" s="247" t="str">
        <f ca="1">IF(C618="","",IF($N$11="EPS",[1]!S_STM07_IS(D618,61,$G$5,$H$13)/IF([1]!S_SHARE_TOTAL(D618,$G$5)=0,[1]!S_SHARE_TOTAL(D618,[1]!s_ipo_listeddate(D618)),[1]!S_SHARE_TOTAL(D618,$G$5)),([1]!S_STM07_BS(D618,75,$G$5,$H$13)+[1]!S_STM07_BS(D618,88,$G$5,$H$13)+[1]!S_STM07_BS(D618,94,$G$5,$H$13)+[1]!S_STM07_BS(D618,95,$G$5,$H$13))/$E$5))</f>
        <v/>
      </c>
      <c r="O618" s="247" t="str">
        <f ca="1">IF(C618="","",IF($O$11="BPS",[1]!S_STM07_BS(D618,141,$G$5,$H$13)/IF([1]!S_SHARE_TOTAL(D618,$G$5)=0,[1]!S_SHARE_TOTAL(D618,[1]!s_ipo_listeddate(D618)),[1]!S_SHARE_TOTAL(D618,$G$5)),[1]!S_STM07_CS(D618,49,$G$5,$H$13)/$E$5))</f>
        <v/>
      </c>
      <c r="P618" s="247" t="str">
        <f ca="1">IF(C618="","",IF($P$11="CFPS",[1]!S_STM07_CS(D618,84,$G$5,$H$13)/IF([1]!S_SHARE_TOTAL(D618,$G$5)=0,[1]!S_SHARE_TOTAL(D618,[1]!s_ipo_listeddate(D618)),[1]!S_SHARE_TOTAL(D618,$G$5)),[1]!S_STM07_CS(D618,84,$G$5,$H$13)/$E$5))</f>
        <v/>
      </c>
      <c r="Q618" s="248" t="str">
        <f ca="1">IF(C618="","",F618/([1]!S_STM07_IS(D618,61,$G$5,$H$13)/IF([1]!S_SHARE_TOTAL(D618,$G$5)=0,[1]!S_SHARE_TOTAL(D618,[1]!s_ipo_listeddate(D618)),[1]!S_SHARE_TOTAL(D618,$G$5))))</f>
        <v/>
      </c>
      <c r="R618" s="248" t="str">
        <f ca="1">IF(C618="","",F618/([1]!S_STM07_BS(D618,141,$G$5,$H$13)/IF([1]!S_SHARE_TOTAL(D618,$G$5)=0,[1]!S_SHARE_TOTAL(D618,[1]!s_ipo_listeddate(D618)),[1]!S_SHARE_TOTAL(D618,$G$5))))</f>
        <v/>
      </c>
      <c r="S618" s="247" t="str">
        <f ca="1">IF(C618="","",[1]!S_SHARE_TOTAL(D618,TODAY())/$E$5)</f>
        <v/>
      </c>
      <c r="T618" s="247" t="str">
        <f t="shared" ca="1" si="67"/>
        <v/>
      </c>
      <c r="U618" s="218" t="str">
        <f t="shared" ca="1" si="68"/>
        <v/>
      </c>
      <c r="V618" s="342" t="str">
        <f t="shared" ca="1" si="69"/>
        <v/>
      </c>
      <c r="W618" s="139"/>
      <c r="Y618" s="1"/>
    </row>
    <row r="619" spans="3:25" ht="12" customHeight="1">
      <c r="C619" s="343" t="str">
        <f t="shared" ca="1" si="64"/>
        <v/>
      </c>
      <c r="D619" s="124" t="str">
        <f t="shared" ca="1" si="65"/>
        <v/>
      </c>
      <c r="E619" s="124" t="str">
        <f t="shared" ca="1" si="66"/>
        <v/>
      </c>
      <c r="F619" s="172" t="str">
        <f ca="1">IF(C619="","",[1]!S_DQ_CLOSE(D619,TODAY(),1))</f>
        <v/>
      </c>
      <c r="G619" s="173" t="str">
        <f ca="1">IF(C619="","",[1]!s_pq_pctchange(D619,TODAY()-$G$12,TODAY())/100)</f>
        <v/>
      </c>
      <c r="H619" s="249" t="str">
        <f ca="1">IF(C619="","",IF($H$11="收入",[1]!S_STM07_IS(D619,9,$G$5,$H$13)/$E$5,[1]!S_STM07_IS(D619,48,$G$5,$H$13)/$E$5))</f>
        <v/>
      </c>
      <c r="I619" s="249" t="str">
        <f ca="1">IF(C619="","",IF($I$11="毛利率",([1]!S_STM07_IS(D619,9,$G$5,$H$13)-[1]!S_STM07_IS(D619,10,$G$5,$H$13))/[1]!S_STM07_IS(D619,9,$G$5,$H$13),[1]!S_STM07_IS(D619,14,$G$5,$H$13)/$E$5))</f>
        <v/>
      </c>
      <c r="J619" s="249" t="str">
        <f ca="1">IF(C619="","",IF($J$11="营业利润率",[1]!S_STM07_IS(D619,48,$G$5,$H$13)/[1]!S_STM07_IS(D619,9,$G$5,$H$13),([1]!S_STM07_CS(D619,87,$G$5,$H$13)+[1]!S_STM07_CS(D619,88,$G$5,$H$13)+[1]!S_STM07_CS(D619,89,$G$5,$H$13))/$E$5))</f>
        <v/>
      </c>
      <c r="K619" s="249" t="str">
        <f ca="1">IF(C619="","",IF($K$11="净利润率",[1]!S_STM07_IS(D619,61,$G$5,$H$13)/[1]!S_STM07_IS(D619,9,$G$5,$H$13),[1]!S_STM07_IS(D619,55,$G$5,$H$13)/$E$5))</f>
        <v/>
      </c>
      <c r="L619" s="249" t="str">
        <f ca="1">IF(C619="","",IF($L$11="ROA",[1]!S_STM07_IS(D619,61,$G$5,$H$13)/[1]!S_STM07_BS(D619,74,$G$5,$H$13),1-[1]!S_STM07_IS(D619,61,$G$5,$H$13)/[1]!S_STM07_IS(D619,55,$G$5,$H$13)))</f>
        <v/>
      </c>
      <c r="M619" s="249" t="str">
        <f ca="1">IF(C619="","",IF($M$11="ROE",[1]!S_STM07_IS(D619,61,$G$5,$H$13)/[1]!S_STM07_BS(D619,141,$G$5,$H$13),([1]!S_STM07_BS(D619,25,$G$5,$H$13)-[1]!S_STM07_BS(D619,93,$G$5,$H$13))/$E$5))</f>
        <v/>
      </c>
      <c r="N619" s="250" t="str">
        <f ca="1">IF(C619="","",IF($N$11="EPS",[1]!S_STM07_IS(D619,61,$G$5,$H$13)/IF([1]!S_SHARE_TOTAL(D619,$G$5)=0,[1]!S_SHARE_TOTAL(D619,[1]!s_ipo_listeddate(D619)),[1]!S_SHARE_TOTAL(D619,$G$5)),([1]!S_STM07_BS(D619,75,$G$5,$H$13)+[1]!S_STM07_BS(D619,88,$G$5,$H$13)+[1]!S_STM07_BS(D619,94,$G$5,$H$13)+[1]!S_STM07_BS(D619,95,$G$5,$H$13))/$E$5))</f>
        <v/>
      </c>
      <c r="O619" s="250" t="str">
        <f ca="1">IF(C619="","",IF($O$11="BPS",[1]!S_STM07_BS(D619,141,$G$5,$H$13)/IF([1]!S_SHARE_TOTAL(D619,$G$5)=0,[1]!S_SHARE_TOTAL(D619,[1]!s_ipo_listeddate(D619)),[1]!S_SHARE_TOTAL(D619,$G$5)),[1]!S_STM07_CS(D619,49,$G$5,$H$13)/$E$5))</f>
        <v/>
      </c>
      <c r="P619" s="250" t="str">
        <f ca="1">IF(C619="","",IF($P$11="CFPS",[1]!S_STM07_CS(D619,84,$G$5,$H$13)/IF([1]!S_SHARE_TOTAL(D619,$G$5)=0,[1]!S_SHARE_TOTAL(D619,[1]!s_ipo_listeddate(D619)),[1]!S_SHARE_TOTAL(D619,$G$5)),[1]!S_STM07_CS(D619,84,$G$5,$H$13)/$E$5))</f>
        <v/>
      </c>
      <c r="Q619" s="198" t="str">
        <f ca="1">IF(C619="","",F619/([1]!S_STM07_IS(D619,61,$G$5,$H$13)/IF([1]!S_SHARE_TOTAL(D619,$G$5)=0,[1]!S_SHARE_TOTAL(D619,[1]!s_ipo_listeddate(D619)),[1]!S_SHARE_TOTAL(D619,$G$5))))</f>
        <v/>
      </c>
      <c r="R619" s="198" t="str">
        <f ca="1">IF(C619="","",F619/([1]!S_STM07_BS(D619,141,$G$5,$H$13)/IF([1]!S_SHARE_TOTAL(D619,$G$5)=0,[1]!S_SHARE_TOTAL(D619,[1]!s_ipo_listeddate(D619)),[1]!S_SHARE_TOTAL(D619,$G$5))))</f>
        <v/>
      </c>
      <c r="S619" s="249" t="str">
        <f ca="1">IF(C619="","",[1]!S_SHARE_TOTAL(D619,TODAY())/$E$5)</f>
        <v/>
      </c>
      <c r="T619" s="249" t="str">
        <f t="shared" ca="1" si="67"/>
        <v/>
      </c>
      <c r="U619" s="172" t="str">
        <f t="shared" ca="1" si="68"/>
        <v/>
      </c>
      <c r="V619" s="343" t="str">
        <f t="shared" ca="1" si="69"/>
        <v/>
      </c>
      <c r="W619" s="139"/>
      <c r="Y619" s="1"/>
    </row>
    <row r="620" spans="3:25" ht="12" customHeight="1">
      <c r="C620" s="342" t="str">
        <f t="shared" ca="1" si="64"/>
        <v/>
      </c>
      <c r="D620" s="153" t="str">
        <f t="shared" ca="1" si="65"/>
        <v/>
      </c>
      <c r="E620" s="153" t="str">
        <f t="shared" ca="1" si="66"/>
        <v/>
      </c>
      <c r="F620" s="170" t="str">
        <f ca="1">IF(C620="","",[1]!S_DQ_CLOSE(D620,TODAY(),1))</f>
        <v/>
      </c>
      <c r="G620" s="171" t="str">
        <f ca="1">IF(C620="","",[1]!s_pq_pctchange(D620,TODAY()-$G$12,TODAY())/100)</f>
        <v/>
      </c>
      <c r="H620" s="247" t="str">
        <f ca="1">IF(C620="","",IF($H$11="收入",[1]!S_STM07_IS(D620,9,$G$5,$H$13)/$E$5,[1]!S_STM07_IS(D620,48,$G$5,$H$13)/$E$5))</f>
        <v/>
      </c>
      <c r="I620" s="247" t="str">
        <f ca="1">IF(C620="","",IF($I$11="毛利率",([1]!S_STM07_IS(D620,9,$G$5,$H$13)-[1]!S_STM07_IS(D620,10,$G$5,$H$13))/[1]!S_STM07_IS(D620,9,$G$5,$H$13),[1]!S_STM07_IS(D620,14,$G$5,$H$13)/$E$5))</f>
        <v/>
      </c>
      <c r="J620" s="247" t="str">
        <f ca="1">IF(C620="","",IF($J$11="营业利润率",[1]!S_STM07_IS(D620,48,$G$5,$H$13)/[1]!S_STM07_IS(D620,9,$G$5,$H$13),([1]!S_STM07_CS(D620,87,$G$5,$H$13)+[1]!S_STM07_CS(D620,88,$G$5,$H$13)+[1]!S_STM07_CS(D620,89,$G$5,$H$13))/$E$5))</f>
        <v/>
      </c>
      <c r="K620" s="247" t="str">
        <f ca="1">IF(C620="","",IF($K$11="净利润率",[1]!S_STM07_IS(D620,61,$G$5,$H$13)/[1]!S_STM07_IS(D620,9,$G$5,$H$13),[1]!S_STM07_IS(D620,55,$G$5,$H$13)/$E$5))</f>
        <v/>
      </c>
      <c r="L620" s="247" t="str">
        <f ca="1">IF(C620="","",IF($L$11="ROA",[1]!S_STM07_IS(D620,61,$G$5,$H$13)/[1]!S_STM07_BS(D620,74,$G$5,$H$13),1-[1]!S_STM07_IS(D620,61,$G$5,$H$13)/[1]!S_STM07_IS(D620,55,$G$5,$H$13)))</f>
        <v/>
      </c>
      <c r="M620" s="247" t="str">
        <f ca="1">IF(C620="","",IF($M$11="ROE",[1]!S_STM07_IS(D620,61,$G$5,$H$13)/[1]!S_STM07_BS(D620,141,$G$5,$H$13),([1]!S_STM07_BS(D620,25,$G$5,$H$13)-[1]!S_STM07_BS(D620,93,$G$5,$H$13))/$E$5))</f>
        <v/>
      </c>
      <c r="N620" s="247" t="str">
        <f ca="1">IF(C620="","",IF($N$11="EPS",[1]!S_STM07_IS(D620,61,$G$5,$H$13)/IF([1]!S_SHARE_TOTAL(D620,$G$5)=0,[1]!S_SHARE_TOTAL(D620,[1]!s_ipo_listeddate(D620)),[1]!S_SHARE_TOTAL(D620,$G$5)),([1]!S_STM07_BS(D620,75,$G$5,$H$13)+[1]!S_STM07_BS(D620,88,$G$5,$H$13)+[1]!S_STM07_BS(D620,94,$G$5,$H$13)+[1]!S_STM07_BS(D620,95,$G$5,$H$13))/$E$5))</f>
        <v/>
      </c>
      <c r="O620" s="247" t="str">
        <f ca="1">IF(C620="","",IF($O$11="BPS",[1]!S_STM07_BS(D620,141,$G$5,$H$13)/IF([1]!S_SHARE_TOTAL(D620,$G$5)=0,[1]!S_SHARE_TOTAL(D620,[1]!s_ipo_listeddate(D620)),[1]!S_SHARE_TOTAL(D620,$G$5)),[1]!S_STM07_CS(D620,49,$G$5,$H$13)/$E$5))</f>
        <v/>
      </c>
      <c r="P620" s="247" t="str">
        <f ca="1">IF(C620="","",IF($P$11="CFPS",[1]!S_STM07_CS(D620,84,$G$5,$H$13)/IF([1]!S_SHARE_TOTAL(D620,$G$5)=0,[1]!S_SHARE_TOTAL(D620,[1]!s_ipo_listeddate(D620)),[1]!S_SHARE_TOTAL(D620,$G$5)),[1]!S_STM07_CS(D620,84,$G$5,$H$13)/$E$5))</f>
        <v/>
      </c>
      <c r="Q620" s="248" t="str">
        <f ca="1">IF(C620="","",F620/([1]!S_STM07_IS(D620,61,$G$5,$H$13)/IF([1]!S_SHARE_TOTAL(D620,$G$5)=0,[1]!S_SHARE_TOTAL(D620,[1]!s_ipo_listeddate(D620)),[1]!S_SHARE_TOTAL(D620,$G$5))))</f>
        <v/>
      </c>
      <c r="R620" s="248" t="str">
        <f ca="1">IF(C620="","",F620/([1]!S_STM07_BS(D620,141,$G$5,$H$13)/IF([1]!S_SHARE_TOTAL(D620,$G$5)=0,[1]!S_SHARE_TOTAL(D620,[1]!s_ipo_listeddate(D620)),[1]!S_SHARE_TOTAL(D620,$G$5))))</f>
        <v/>
      </c>
      <c r="S620" s="247" t="str">
        <f ca="1">IF(C620="","",[1]!S_SHARE_TOTAL(D620,TODAY())/$E$5)</f>
        <v/>
      </c>
      <c r="T620" s="247" t="str">
        <f t="shared" ca="1" si="67"/>
        <v/>
      </c>
      <c r="U620" s="218" t="str">
        <f t="shared" ca="1" si="68"/>
        <v/>
      </c>
      <c r="V620" s="342" t="str">
        <f t="shared" ca="1" si="69"/>
        <v/>
      </c>
      <c r="W620" s="139"/>
      <c r="Y620" s="1"/>
    </row>
    <row r="621" spans="3:25" ht="12" customHeight="1">
      <c r="C621" s="343" t="str">
        <f t="shared" ca="1" si="64"/>
        <v/>
      </c>
      <c r="D621" s="124" t="str">
        <f t="shared" ca="1" si="65"/>
        <v/>
      </c>
      <c r="E621" s="124" t="str">
        <f t="shared" ca="1" si="66"/>
        <v/>
      </c>
      <c r="F621" s="172" t="str">
        <f ca="1">IF(C621="","",[1]!S_DQ_CLOSE(D621,TODAY(),1))</f>
        <v/>
      </c>
      <c r="G621" s="173" t="str">
        <f ca="1">IF(C621="","",[1]!s_pq_pctchange(D621,TODAY()-$G$12,TODAY())/100)</f>
        <v/>
      </c>
      <c r="H621" s="249" t="str">
        <f ca="1">IF(C621="","",IF($H$11="收入",[1]!S_STM07_IS(D621,9,$G$5,$H$13)/$E$5,[1]!S_STM07_IS(D621,48,$G$5,$H$13)/$E$5))</f>
        <v/>
      </c>
      <c r="I621" s="249" t="str">
        <f ca="1">IF(C621="","",IF($I$11="毛利率",([1]!S_STM07_IS(D621,9,$G$5,$H$13)-[1]!S_STM07_IS(D621,10,$G$5,$H$13))/[1]!S_STM07_IS(D621,9,$G$5,$H$13),[1]!S_STM07_IS(D621,14,$G$5,$H$13)/$E$5))</f>
        <v/>
      </c>
      <c r="J621" s="249" t="str">
        <f ca="1">IF(C621="","",IF($J$11="营业利润率",[1]!S_STM07_IS(D621,48,$G$5,$H$13)/[1]!S_STM07_IS(D621,9,$G$5,$H$13),([1]!S_STM07_CS(D621,87,$G$5,$H$13)+[1]!S_STM07_CS(D621,88,$G$5,$H$13)+[1]!S_STM07_CS(D621,89,$G$5,$H$13))/$E$5))</f>
        <v/>
      </c>
      <c r="K621" s="249" t="str">
        <f ca="1">IF(C621="","",IF($K$11="净利润率",[1]!S_STM07_IS(D621,61,$G$5,$H$13)/[1]!S_STM07_IS(D621,9,$G$5,$H$13),[1]!S_STM07_IS(D621,55,$G$5,$H$13)/$E$5))</f>
        <v/>
      </c>
      <c r="L621" s="249" t="str">
        <f ca="1">IF(C621="","",IF($L$11="ROA",[1]!S_STM07_IS(D621,61,$G$5,$H$13)/[1]!S_STM07_BS(D621,74,$G$5,$H$13),1-[1]!S_STM07_IS(D621,61,$G$5,$H$13)/[1]!S_STM07_IS(D621,55,$G$5,$H$13)))</f>
        <v/>
      </c>
      <c r="M621" s="249" t="str">
        <f ca="1">IF(C621="","",IF($M$11="ROE",[1]!S_STM07_IS(D621,61,$G$5,$H$13)/[1]!S_STM07_BS(D621,141,$G$5,$H$13),([1]!S_STM07_BS(D621,25,$G$5,$H$13)-[1]!S_STM07_BS(D621,93,$G$5,$H$13))/$E$5))</f>
        <v/>
      </c>
      <c r="N621" s="250" t="str">
        <f ca="1">IF(C621="","",IF($N$11="EPS",[1]!S_STM07_IS(D621,61,$G$5,$H$13)/IF([1]!S_SHARE_TOTAL(D621,$G$5)=0,[1]!S_SHARE_TOTAL(D621,[1]!s_ipo_listeddate(D621)),[1]!S_SHARE_TOTAL(D621,$G$5)),([1]!S_STM07_BS(D621,75,$G$5,$H$13)+[1]!S_STM07_BS(D621,88,$G$5,$H$13)+[1]!S_STM07_BS(D621,94,$G$5,$H$13)+[1]!S_STM07_BS(D621,95,$G$5,$H$13))/$E$5))</f>
        <v/>
      </c>
      <c r="O621" s="250" t="str">
        <f ca="1">IF(C621="","",IF($O$11="BPS",[1]!S_STM07_BS(D621,141,$G$5,$H$13)/IF([1]!S_SHARE_TOTAL(D621,$G$5)=0,[1]!S_SHARE_TOTAL(D621,[1]!s_ipo_listeddate(D621)),[1]!S_SHARE_TOTAL(D621,$G$5)),[1]!S_STM07_CS(D621,49,$G$5,$H$13)/$E$5))</f>
        <v/>
      </c>
      <c r="P621" s="250" t="str">
        <f ca="1">IF(C621="","",IF($P$11="CFPS",[1]!S_STM07_CS(D621,84,$G$5,$H$13)/IF([1]!S_SHARE_TOTAL(D621,$G$5)=0,[1]!S_SHARE_TOTAL(D621,[1]!s_ipo_listeddate(D621)),[1]!S_SHARE_TOTAL(D621,$G$5)),[1]!S_STM07_CS(D621,84,$G$5,$H$13)/$E$5))</f>
        <v/>
      </c>
      <c r="Q621" s="198" t="str">
        <f ca="1">IF(C621="","",F621/([1]!S_STM07_IS(D621,61,$G$5,$H$13)/IF([1]!S_SHARE_TOTAL(D621,$G$5)=0,[1]!S_SHARE_TOTAL(D621,[1]!s_ipo_listeddate(D621)),[1]!S_SHARE_TOTAL(D621,$G$5))))</f>
        <v/>
      </c>
      <c r="R621" s="198" t="str">
        <f ca="1">IF(C621="","",F621/([1]!S_STM07_BS(D621,141,$G$5,$H$13)/IF([1]!S_SHARE_TOTAL(D621,$G$5)=0,[1]!S_SHARE_TOTAL(D621,[1]!s_ipo_listeddate(D621)),[1]!S_SHARE_TOTAL(D621,$G$5))))</f>
        <v/>
      </c>
      <c r="S621" s="249" t="str">
        <f ca="1">IF(C621="","",[1]!S_SHARE_TOTAL(D621,TODAY())/$E$5)</f>
        <v/>
      </c>
      <c r="T621" s="249" t="str">
        <f t="shared" ca="1" si="67"/>
        <v/>
      </c>
      <c r="U621" s="172" t="str">
        <f t="shared" ca="1" si="68"/>
        <v/>
      </c>
      <c r="V621" s="343" t="str">
        <f t="shared" ca="1" si="69"/>
        <v/>
      </c>
      <c r="W621" s="139"/>
      <c r="Y621" s="1"/>
    </row>
    <row r="622" spans="3:25" ht="12" customHeight="1">
      <c r="C622" s="342" t="str">
        <f t="shared" ca="1" si="64"/>
        <v/>
      </c>
      <c r="D622" s="153" t="str">
        <f t="shared" ca="1" si="65"/>
        <v/>
      </c>
      <c r="E622" s="153" t="str">
        <f t="shared" ca="1" si="66"/>
        <v/>
      </c>
      <c r="F622" s="170" t="str">
        <f ca="1">IF(C622="","",[1]!S_DQ_CLOSE(D622,TODAY(),1))</f>
        <v/>
      </c>
      <c r="G622" s="171" t="str">
        <f ca="1">IF(C622="","",[1]!s_pq_pctchange(D622,TODAY()-$G$12,TODAY())/100)</f>
        <v/>
      </c>
      <c r="H622" s="247" t="str">
        <f ca="1">IF(C622="","",IF($H$11="收入",[1]!S_STM07_IS(D622,9,$G$5,$H$13)/$E$5,[1]!S_STM07_IS(D622,48,$G$5,$H$13)/$E$5))</f>
        <v/>
      </c>
      <c r="I622" s="247" t="str">
        <f ca="1">IF(C622="","",IF($I$11="毛利率",([1]!S_STM07_IS(D622,9,$G$5,$H$13)-[1]!S_STM07_IS(D622,10,$G$5,$H$13))/[1]!S_STM07_IS(D622,9,$G$5,$H$13),[1]!S_STM07_IS(D622,14,$G$5,$H$13)/$E$5))</f>
        <v/>
      </c>
      <c r="J622" s="247" t="str">
        <f ca="1">IF(C622="","",IF($J$11="营业利润率",[1]!S_STM07_IS(D622,48,$G$5,$H$13)/[1]!S_STM07_IS(D622,9,$G$5,$H$13),([1]!S_STM07_CS(D622,87,$G$5,$H$13)+[1]!S_STM07_CS(D622,88,$G$5,$H$13)+[1]!S_STM07_CS(D622,89,$G$5,$H$13))/$E$5))</f>
        <v/>
      </c>
      <c r="K622" s="247" t="str">
        <f ca="1">IF(C622="","",IF($K$11="净利润率",[1]!S_STM07_IS(D622,61,$G$5,$H$13)/[1]!S_STM07_IS(D622,9,$G$5,$H$13),[1]!S_STM07_IS(D622,55,$G$5,$H$13)/$E$5))</f>
        <v/>
      </c>
      <c r="L622" s="247" t="str">
        <f ca="1">IF(C622="","",IF($L$11="ROA",[1]!S_STM07_IS(D622,61,$G$5,$H$13)/[1]!S_STM07_BS(D622,74,$G$5,$H$13),1-[1]!S_STM07_IS(D622,61,$G$5,$H$13)/[1]!S_STM07_IS(D622,55,$G$5,$H$13)))</f>
        <v/>
      </c>
      <c r="M622" s="247" t="str">
        <f ca="1">IF(C622="","",IF($M$11="ROE",[1]!S_STM07_IS(D622,61,$G$5,$H$13)/[1]!S_STM07_BS(D622,141,$G$5,$H$13),([1]!S_STM07_BS(D622,25,$G$5,$H$13)-[1]!S_STM07_BS(D622,93,$G$5,$H$13))/$E$5))</f>
        <v/>
      </c>
      <c r="N622" s="247" t="str">
        <f ca="1">IF(C622="","",IF($N$11="EPS",[1]!S_STM07_IS(D622,61,$G$5,$H$13)/IF([1]!S_SHARE_TOTAL(D622,$G$5)=0,[1]!S_SHARE_TOTAL(D622,[1]!s_ipo_listeddate(D622)),[1]!S_SHARE_TOTAL(D622,$G$5)),([1]!S_STM07_BS(D622,75,$G$5,$H$13)+[1]!S_STM07_BS(D622,88,$G$5,$H$13)+[1]!S_STM07_BS(D622,94,$G$5,$H$13)+[1]!S_STM07_BS(D622,95,$G$5,$H$13))/$E$5))</f>
        <v/>
      </c>
      <c r="O622" s="247" t="str">
        <f ca="1">IF(C622="","",IF($O$11="BPS",[1]!S_STM07_BS(D622,141,$G$5,$H$13)/IF([1]!S_SHARE_TOTAL(D622,$G$5)=0,[1]!S_SHARE_TOTAL(D622,[1]!s_ipo_listeddate(D622)),[1]!S_SHARE_TOTAL(D622,$G$5)),[1]!S_STM07_CS(D622,49,$G$5,$H$13)/$E$5))</f>
        <v/>
      </c>
      <c r="P622" s="247" t="str">
        <f ca="1">IF(C622="","",IF($P$11="CFPS",[1]!S_STM07_CS(D622,84,$G$5,$H$13)/IF([1]!S_SHARE_TOTAL(D622,$G$5)=0,[1]!S_SHARE_TOTAL(D622,[1]!s_ipo_listeddate(D622)),[1]!S_SHARE_TOTAL(D622,$G$5)),[1]!S_STM07_CS(D622,84,$G$5,$H$13)/$E$5))</f>
        <v/>
      </c>
      <c r="Q622" s="248" t="str">
        <f ca="1">IF(C622="","",F622/([1]!S_STM07_IS(D622,61,$G$5,$H$13)/IF([1]!S_SHARE_TOTAL(D622,$G$5)=0,[1]!S_SHARE_TOTAL(D622,[1]!s_ipo_listeddate(D622)),[1]!S_SHARE_TOTAL(D622,$G$5))))</f>
        <v/>
      </c>
      <c r="R622" s="248" t="str">
        <f ca="1">IF(C622="","",F622/([1]!S_STM07_BS(D622,141,$G$5,$H$13)/IF([1]!S_SHARE_TOTAL(D622,$G$5)=0,[1]!S_SHARE_TOTAL(D622,[1]!s_ipo_listeddate(D622)),[1]!S_SHARE_TOTAL(D622,$G$5))))</f>
        <v/>
      </c>
      <c r="S622" s="247" t="str">
        <f ca="1">IF(C622="","",[1]!S_SHARE_TOTAL(D622,TODAY())/$E$5)</f>
        <v/>
      </c>
      <c r="T622" s="247" t="str">
        <f t="shared" ca="1" si="67"/>
        <v/>
      </c>
      <c r="U622" s="218" t="str">
        <f t="shared" ca="1" si="68"/>
        <v/>
      </c>
      <c r="V622" s="342" t="str">
        <f t="shared" ca="1" si="69"/>
        <v/>
      </c>
      <c r="W622" s="139"/>
      <c r="Y622" s="1"/>
    </row>
    <row r="623" spans="3:25" ht="12" customHeight="1">
      <c r="C623" s="343" t="str">
        <f t="shared" ca="1" si="64"/>
        <v/>
      </c>
      <c r="D623" s="124" t="str">
        <f t="shared" ca="1" si="65"/>
        <v/>
      </c>
      <c r="E623" s="124" t="str">
        <f t="shared" ca="1" si="66"/>
        <v/>
      </c>
      <c r="F623" s="172" t="str">
        <f ca="1">IF(C623="","",[1]!S_DQ_CLOSE(D623,TODAY(),1))</f>
        <v/>
      </c>
      <c r="G623" s="173" t="str">
        <f ca="1">IF(C623="","",[1]!s_pq_pctchange(D623,TODAY()-$G$12,TODAY())/100)</f>
        <v/>
      </c>
      <c r="H623" s="249" t="str">
        <f ca="1">IF(C623="","",IF($H$11="收入",[1]!S_STM07_IS(D623,9,$G$5,$H$13)/$E$5,[1]!S_STM07_IS(D623,48,$G$5,$H$13)/$E$5))</f>
        <v/>
      </c>
      <c r="I623" s="249" t="str">
        <f ca="1">IF(C623="","",IF($I$11="毛利率",([1]!S_STM07_IS(D623,9,$G$5,$H$13)-[1]!S_STM07_IS(D623,10,$G$5,$H$13))/[1]!S_STM07_IS(D623,9,$G$5,$H$13),[1]!S_STM07_IS(D623,14,$G$5,$H$13)/$E$5))</f>
        <v/>
      </c>
      <c r="J623" s="249" t="str">
        <f ca="1">IF(C623="","",IF($J$11="营业利润率",[1]!S_STM07_IS(D623,48,$G$5,$H$13)/[1]!S_STM07_IS(D623,9,$G$5,$H$13),([1]!S_STM07_CS(D623,87,$G$5,$H$13)+[1]!S_STM07_CS(D623,88,$G$5,$H$13)+[1]!S_STM07_CS(D623,89,$G$5,$H$13))/$E$5))</f>
        <v/>
      </c>
      <c r="K623" s="249" t="str">
        <f ca="1">IF(C623="","",IF($K$11="净利润率",[1]!S_STM07_IS(D623,61,$G$5,$H$13)/[1]!S_STM07_IS(D623,9,$G$5,$H$13),[1]!S_STM07_IS(D623,55,$G$5,$H$13)/$E$5))</f>
        <v/>
      </c>
      <c r="L623" s="249" t="str">
        <f ca="1">IF(C623="","",IF($L$11="ROA",[1]!S_STM07_IS(D623,61,$G$5,$H$13)/[1]!S_STM07_BS(D623,74,$G$5,$H$13),1-[1]!S_STM07_IS(D623,61,$G$5,$H$13)/[1]!S_STM07_IS(D623,55,$G$5,$H$13)))</f>
        <v/>
      </c>
      <c r="M623" s="249" t="str">
        <f ca="1">IF(C623="","",IF($M$11="ROE",[1]!S_STM07_IS(D623,61,$G$5,$H$13)/[1]!S_STM07_BS(D623,141,$G$5,$H$13),([1]!S_STM07_BS(D623,25,$G$5,$H$13)-[1]!S_STM07_BS(D623,93,$G$5,$H$13))/$E$5))</f>
        <v/>
      </c>
      <c r="N623" s="250" t="str">
        <f ca="1">IF(C623="","",IF($N$11="EPS",[1]!S_STM07_IS(D623,61,$G$5,$H$13)/IF([1]!S_SHARE_TOTAL(D623,$G$5)=0,[1]!S_SHARE_TOTAL(D623,[1]!s_ipo_listeddate(D623)),[1]!S_SHARE_TOTAL(D623,$G$5)),([1]!S_STM07_BS(D623,75,$G$5,$H$13)+[1]!S_STM07_BS(D623,88,$G$5,$H$13)+[1]!S_STM07_BS(D623,94,$G$5,$H$13)+[1]!S_STM07_BS(D623,95,$G$5,$H$13))/$E$5))</f>
        <v/>
      </c>
      <c r="O623" s="250" t="str">
        <f ca="1">IF(C623="","",IF($O$11="BPS",[1]!S_STM07_BS(D623,141,$G$5,$H$13)/IF([1]!S_SHARE_TOTAL(D623,$G$5)=0,[1]!S_SHARE_TOTAL(D623,[1]!s_ipo_listeddate(D623)),[1]!S_SHARE_TOTAL(D623,$G$5)),[1]!S_STM07_CS(D623,49,$G$5,$H$13)/$E$5))</f>
        <v/>
      </c>
      <c r="P623" s="250" t="str">
        <f ca="1">IF(C623="","",IF($P$11="CFPS",[1]!S_STM07_CS(D623,84,$G$5,$H$13)/IF([1]!S_SHARE_TOTAL(D623,$G$5)=0,[1]!S_SHARE_TOTAL(D623,[1]!s_ipo_listeddate(D623)),[1]!S_SHARE_TOTAL(D623,$G$5)),[1]!S_STM07_CS(D623,84,$G$5,$H$13)/$E$5))</f>
        <v/>
      </c>
      <c r="Q623" s="198" t="str">
        <f ca="1">IF(C623="","",F623/([1]!S_STM07_IS(D623,61,$G$5,$H$13)/IF([1]!S_SHARE_TOTAL(D623,$G$5)=0,[1]!S_SHARE_TOTAL(D623,[1]!s_ipo_listeddate(D623)),[1]!S_SHARE_TOTAL(D623,$G$5))))</f>
        <v/>
      </c>
      <c r="R623" s="198" t="str">
        <f ca="1">IF(C623="","",F623/([1]!S_STM07_BS(D623,141,$G$5,$H$13)/IF([1]!S_SHARE_TOTAL(D623,$G$5)=0,[1]!S_SHARE_TOTAL(D623,[1]!s_ipo_listeddate(D623)),[1]!S_SHARE_TOTAL(D623,$G$5))))</f>
        <v/>
      </c>
      <c r="S623" s="249" t="str">
        <f ca="1">IF(C623="","",[1]!S_SHARE_TOTAL(D623,TODAY())/$E$5)</f>
        <v/>
      </c>
      <c r="T623" s="249" t="str">
        <f t="shared" ca="1" si="67"/>
        <v/>
      </c>
      <c r="U623" s="172" t="str">
        <f t="shared" ca="1" si="68"/>
        <v/>
      </c>
      <c r="V623" s="343" t="str">
        <f t="shared" ca="1" si="69"/>
        <v/>
      </c>
      <c r="W623" s="139"/>
      <c r="Y623" s="1"/>
    </row>
    <row r="624" spans="3:25" ht="12" customHeight="1">
      <c r="C624" s="342" t="str">
        <f t="shared" ca="1" si="64"/>
        <v/>
      </c>
      <c r="D624" s="153" t="str">
        <f t="shared" ca="1" si="65"/>
        <v/>
      </c>
      <c r="E624" s="153" t="str">
        <f t="shared" ca="1" si="66"/>
        <v/>
      </c>
      <c r="F624" s="170" t="str">
        <f ca="1">IF(C624="","",[1]!S_DQ_CLOSE(D624,TODAY(),1))</f>
        <v/>
      </c>
      <c r="G624" s="171" t="str">
        <f ca="1">IF(C624="","",[1]!s_pq_pctchange(D624,TODAY()-$G$12,TODAY())/100)</f>
        <v/>
      </c>
      <c r="H624" s="247" t="str">
        <f ca="1">IF(C624="","",IF($H$11="收入",[1]!S_STM07_IS(D624,9,$G$5,$H$13)/$E$5,[1]!S_STM07_IS(D624,48,$G$5,$H$13)/$E$5))</f>
        <v/>
      </c>
      <c r="I624" s="247" t="str">
        <f ca="1">IF(C624="","",IF($I$11="毛利率",([1]!S_STM07_IS(D624,9,$G$5,$H$13)-[1]!S_STM07_IS(D624,10,$G$5,$H$13))/[1]!S_STM07_IS(D624,9,$G$5,$H$13),[1]!S_STM07_IS(D624,14,$G$5,$H$13)/$E$5))</f>
        <v/>
      </c>
      <c r="J624" s="247" t="str">
        <f ca="1">IF(C624="","",IF($J$11="营业利润率",[1]!S_STM07_IS(D624,48,$G$5,$H$13)/[1]!S_STM07_IS(D624,9,$G$5,$H$13),([1]!S_STM07_CS(D624,87,$G$5,$H$13)+[1]!S_STM07_CS(D624,88,$G$5,$H$13)+[1]!S_STM07_CS(D624,89,$G$5,$H$13))/$E$5))</f>
        <v/>
      </c>
      <c r="K624" s="247" t="str">
        <f ca="1">IF(C624="","",IF($K$11="净利润率",[1]!S_STM07_IS(D624,61,$G$5,$H$13)/[1]!S_STM07_IS(D624,9,$G$5,$H$13),[1]!S_STM07_IS(D624,55,$G$5,$H$13)/$E$5))</f>
        <v/>
      </c>
      <c r="L624" s="247" t="str">
        <f ca="1">IF(C624="","",IF($L$11="ROA",[1]!S_STM07_IS(D624,61,$G$5,$H$13)/[1]!S_STM07_BS(D624,74,$G$5,$H$13),1-[1]!S_STM07_IS(D624,61,$G$5,$H$13)/[1]!S_STM07_IS(D624,55,$G$5,$H$13)))</f>
        <v/>
      </c>
      <c r="M624" s="247" t="str">
        <f ca="1">IF(C624="","",IF($M$11="ROE",[1]!S_STM07_IS(D624,61,$G$5,$H$13)/[1]!S_STM07_BS(D624,141,$G$5,$H$13),([1]!S_STM07_BS(D624,25,$G$5,$H$13)-[1]!S_STM07_BS(D624,93,$G$5,$H$13))/$E$5))</f>
        <v/>
      </c>
      <c r="N624" s="247" t="str">
        <f ca="1">IF(C624="","",IF($N$11="EPS",[1]!S_STM07_IS(D624,61,$G$5,$H$13)/IF([1]!S_SHARE_TOTAL(D624,$G$5)=0,[1]!S_SHARE_TOTAL(D624,[1]!s_ipo_listeddate(D624)),[1]!S_SHARE_TOTAL(D624,$G$5)),([1]!S_STM07_BS(D624,75,$G$5,$H$13)+[1]!S_STM07_BS(D624,88,$G$5,$H$13)+[1]!S_STM07_BS(D624,94,$G$5,$H$13)+[1]!S_STM07_BS(D624,95,$G$5,$H$13))/$E$5))</f>
        <v/>
      </c>
      <c r="O624" s="247" t="str">
        <f ca="1">IF(C624="","",IF($O$11="BPS",[1]!S_STM07_BS(D624,141,$G$5,$H$13)/IF([1]!S_SHARE_TOTAL(D624,$G$5)=0,[1]!S_SHARE_TOTAL(D624,[1]!s_ipo_listeddate(D624)),[1]!S_SHARE_TOTAL(D624,$G$5)),[1]!S_STM07_CS(D624,49,$G$5,$H$13)/$E$5))</f>
        <v/>
      </c>
      <c r="P624" s="247" t="str">
        <f ca="1">IF(C624="","",IF($P$11="CFPS",[1]!S_STM07_CS(D624,84,$G$5,$H$13)/IF([1]!S_SHARE_TOTAL(D624,$G$5)=0,[1]!S_SHARE_TOTAL(D624,[1]!s_ipo_listeddate(D624)),[1]!S_SHARE_TOTAL(D624,$G$5)),[1]!S_STM07_CS(D624,84,$G$5,$H$13)/$E$5))</f>
        <v/>
      </c>
      <c r="Q624" s="248" t="str">
        <f ca="1">IF(C624="","",F624/([1]!S_STM07_IS(D624,61,$G$5,$H$13)/IF([1]!S_SHARE_TOTAL(D624,$G$5)=0,[1]!S_SHARE_TOTAL(D624,[1]!s_ipo_listeddate(D624)),[1]!S_SHARE_TOTAL(D624,$G$5))))</f>
        <v/>
      </c>
      <c r="R624" s="248" t="str">
        <f ca="1">IF(C624="","",F624/([1]!S_STM07_BS(D624,141,$G$5,$H$13)/IF([1]!S_SHARE_TOTAL(D624,$G$5)=0,[1]!S_SHARE_TOTAL(D624,[1]!s_ipo_listeddate(D624)),[1]!S_SHARE_TOTAL(D624,$G$5))))</f>
        <v/>
      </c>
      <c r="S624" s="247" t="str">
        <f ca="1">IF(C624="","",[1]!S_SHARE_TOTAL(D624,TODAY())/$E$5)</f>
        <v/>
      </c>
      <c r="T624" s="247" t="str">
        <f t="shared" ca="1" si="67"/>
        <v/>
      </c>
      <c r="U624" s="218" t="str">
        <f t="shared" ca="1" si="68"/>
        <v/>
      </c>
      <c r="V624" s="342" t="str">
        <f t="shared" ca="1" si="69"/>
        <v/>
      </c>
      <c r="W624" s="139"/>
      <c r="Y624" s="1"/>
    </row>
    <row r="625" spans="3:25" ht="12" customHeight="1">
      <c r="C625" s="343" t="str">
        <f t="shared" ca="1" si="64"/>
        <v/>
      </c>
      <c r="D625" s="124" t="str">
        <f t="shared" ca="1" si="65"/>
        <v/>
      </c>
      <c r="E625" s="124" t="str">
        <f t="shared" ca="1" si="66"/>
        <v/>
      </c>
      <c r="F625" s="172" t="str">
        <f ca="1">IF(C625="","",[1]!S_DQ_CLOSE(D625,TODAY(),1))</f>
        <v/>
      </c>
      <c r="G625" s="173" t="str">
        <f ca="1">IF(C625="","",[1]!s_pq_pctchange(D625,TODAY()-$G$12,TODAY())/100)</f>
        <v/>
      </c>
      <c r="H625" s="249" t="str">
        <f ca="1">IF(C625="","",IF($H$11="收入",[1]!S_STM07_IS(D625,9,$G$5,$H$13)/$E$5,[1]!S_STM07_IS(D625,48,$G$5,$H$13)/$E$5))</f>
        <v/>
      </c>
      <c r="I625" s="249" t="str">
        <f ca="1">IF(C625="","",IF($I$11="毛利率",([1]!S_STM07_IS(D625,9,$G$5,$H$13)-[1]!S_STM07_IS(D625,10,$G$5,$H$13))/[1]!S_STM07_IS(D625,9,$G$5,$H$13),[1]!S_STM07_IS(D625,14,$G$5,$H$13)/$E$5))</f>
        <v/>
      </c>
      <c r="J625" s="249" t="str">
        <f ca="1">IF(C625="","",IF($J$11="营业利润率",[1]!S_STM07_IS(D625,48,$G$5,$H$13)/[1]!S_STM07_IS(D625,9,$G$5,$H$13),([1]!S_STM07_CS(D625,87,$G$5,$H$13)+[1]!S_STM07_CS(D625,88,$G$5,$H$13)+[1]!S_STM07_CS(D625,89,$G$5,$H$13))/$E$5))</f>
        <v/>
      </c>
      <c r="K625" s="249" t="str">
        <f ca="1">IF(C625="","",IF($K$11="净利润率",[1]!S_STM07_IS(D625,61,$G$5,$H$13)/[1]!S_STM07_IS(D625,9,$G$5,$H$13),[1]!S_STM07_IS(D625,55,$G$5,$H$13)/$E$5))</f>
        <v/>
      </c>
      <c r="L625" s="249" t="str">
        <f ca="1">IF(C625="","",IF($L$11="ROA",[1]!S_STM07_IS(D625,61,$G$5,$H$13)/[1]!S_STM07_BS(D625,74,$G$5,$H$13),1-[1]!S_STM07_IS(D625,61,$G$5,$H$13)/[1]!S_STM07_IS(D625,55,$G$5,$H$13)))</f>
        <v/>
      </c>
      <c r="M625" s="249" t="str">
        <f ca="1">IF(C625="","",IF($M$11="ROE",[1]!S_STM07_IS(D625,61,$G$5,$H$13)/[1]!S_STM07_BS(D625,141,$G$5,$H$13),([1]!S_STM07_BS(D625,25,$G$5,$H$13)-[1]!S_STM07_BS(D625,93,$G$5,$H$13))/$E$5))</f>
        <v/>
      </c>
      <c r="N625" s="250" t="str">
        <f ca="1">IF(C625="","",IF($N$11="EPS",[1]!S_STM07_IS(D625,61,$G$5,$H$13)/IF([1]!S_SHARE_TOTAL(D625,$G$5)=0,[1]!S_SHARE_TOTAL(D625,[1]!s_ipo_listeddate(D625)),[1]!S_SHARE_TOTAL(D625,$G$5)),([1]!S_STM07_BS(D625,75,$G$5,$H$13)+[1]!S_STM07_BS(D625,88,$G$5,$H$13)+[1]!S_STM07_BS(D625,94,$G$5,$H$13)+[1]!S_STM07_BS(D625,95,$G$5,$H$13))/$E$5))</f>
        <v/>
      </c>
      <c r="O625" s="250" t="str">
        <f ca="1">IF(C625="","",IF($O$11="BPS",[1]!S_STM07_BS(D625,141,$G$5,$H$13)/IF([1]!S_SHARE_TOTAL(D625,$G$5)=0,[1]!S_SHARE_TOTAL(D625,[1]!s_ipo_listeddate(D625)),[1]!S_SHARE_TOTAL(D625,$G$5)),[1]!S_STM07_CS(D625,49,$G$5,$H$13)/$E$5))</f>
        <v/>
      </c>
      <c r="P625" s="250" t="str">
        <f ca="1">IF(C625="","",IF($P$11="CFPS",[1]!S_STM07_CS(D625,84,$G$5,$H$13)/IF([1]!S_SHARE_TOTAL(D625,$G$5)=0,[1]!S_SHARE_TOTAL(D625,[1]!s_ipo_listeddate(D625)),[1]!S_SHARE_TOTAL(D625,$G$5)),[1]!S_STM07_CS(D625,84,$G$5,$H$13)/$E$5))</f>
        <v/>
      </c>
      <c r="Q625" s="198" t="str">
        <f ca="1">IF(C625="","",F625/([1]!S_STM07_IS(D625,61,$G$5,$H$13)/IF([1]!S_SHARE_TOTAL(D625,$G$5)=0,[1]!S_SHARE_TOTAL(D625,[1]!s_ipo_listeddate(D625)),[1]!S_SHARE_TOTAL(D625,$G$5))))</f>
        <v/>
      </c>
      <c r="R625" s="198" t="str">
        <f ca="1">IF(C625="","",F625/([1]!S_STM07_BS(D625,141,$G$5,$H$13)/IF([1]!S_SHARE_TOTAL(D625,$G$5)=0,[1]!S_SHARE_TOTAL(D625,[1]!s_ipo_listeddate(D625)),[1]!S_SHARE_TOTAL(D625,$G$5))))</f>
        <v/>
      </c>
      <c r="S625" s="249" t="str">
        <f ca="1">IF(C625="","",[1]!S_SHARE_TOTAL(D625,TODAY())/$E$5)</f>
        <v/>
      </c>
      <c r="T625" s="249" t="str">
        <f t="shared" ca="1" si="67"/>
        <v/>
      </c>
      <c r="U625" s="172" t="str">
        <f t="shared" ca="1" si="68"/>
        <v/>
      </c>
      <c r="V625" s="343" t="str">
        <f t="shared" ca="1" si="69"/>
        <v/>
      </c>
      <c r="W625" s="139"/>
      <c r="Y625" s="1"/>
    </row>
    <row r="626" spans="3:25" ht="12" customHeight="1">
      <c r="C626" s="342" t="str">
        <f t="shared" ca="1" si="64"/>
        <v/>
      </c>
      <c r="D626" s="153" t="str">
        <f t="shared" ca="1" si="65"/>
        <v/>
      </c>
      <c r="E626" s="153" t="str">
        <f t="shared" ca="1" si="66"/>
        <v/>
      </c>
      <c r="F626" s="170" t="str">
        <f ca="1">IF(C626="","",[1]!S_DQ_CLOSE(D626,TODAY(),1))</f>
        <v/>
      </c>
      <c r="G626" s="171" t="str">
        <f ca="1">IF(C626="","",[1]!s_pq_pctchange(D626,TODAY()-$G$12,TODAY())/100)</f>
        <v/>
      </c>
      <c r="H626" s="247" t="str">
        <f ca="1">IF(C626="","",IF($H$11="收入",[1]!S_STM07_IS(D626,9,$G$5,$H$13)/$E$5,[1]!S_STM07_IS(D626,48,$G$5,$H$13)/$E$5))</f>
        <v/>
      </c>
      <c r="I626" s="247" t="str">
        <f ca="1">IF(C626="","",IF($I$11="毛利率",([1]!S_STM07_IS(D626,9,$G$5,$H$13)-[1]!S_STM07_IS(D626,10,$G$5,$H$13))/[1]!S_STM07_IS(D626,9,$G$5,$H$13),[1]!S_STM07_IS(D626,14,$G$5,$H$13)/$E$5))</f>
        <v/>
      </c>
      <c r="J626" s="247" t="str">
        <f ca="1">IF(C626="","",IF($J$11="营业利润率",[1]!S_STM07_IS(D626,48,$G$5,$H$13)/[1]!S_STM07_IS(D626,9,$G$5,$H$13),([1]!S_STM07_CS(D626,87,$G$5,$H$13)+[1]!S_STM07_CS(D626,88,$G$5,$H$13)+[1]!S_STM07_CS(D626,89,$G$5,$H$13))/$E$5))</f>
        <v/>
      </c>
      <c r="K626" s="247" t="str">
        <f ca="1">IF(C626="","",IF($K$11="净利润率",[1]!S_STM07_IS(D626,61,$G$5,$H$13)/[1]!S_STM07_IS(D626,9,$G$5,$H$13),[1]!S_STM07_IS(D626,55,$G$5,$H$13)/$E$5))</f>
        <v/>
      </c>
      <c r="L626" s="247" t="str">
        <f ca="1">IF(C626="","",IF($L$11="ROA",[1]!S_STM07_IS(D626,61,$G$5,$H$13)/[1]!S_STM07_BS(D626,74,$G$5,$H$13),1-[1]!S_STM07_IS(D626,61,$G$5,$H$13)/[1]!S_STM07_IS(D626,55,$G$5,$H$13)))</f>
        <v/>
      </c>
      <c r="M626" s="247" t="str">
        <f ca="1">IF(C626="","",IF($M$11="ROE",[1]!S_STM07_IS(D626,61,$G$5,$H$13)/[1]!S_STM07_BS(D626,141,$G$5,$H$13),([1]!S_STM07_BS(D626,25,$G$5,$H$13)-[1]!S_STM07_BS(D626,93,$G$5,$H$13))/$E$5))</f>
        <v/>
      </c>
      <c r="N626" s="247" t="str">
        <f ca="1">IF(C626="","",IF($N$11="EPS",[1]!S_STM07_IS(D626,61,$G$5,$H$13)/IF([1]!S_SHARE_TOTAL(D626,$G$5)=0,[1]!S_SHARE_TOTAL(D626,[1]!s_ipo_listeddate(D626)),[1]!S_SHARE_TOTAL(D626,$G$5)),([1]!S_STM07_BS(D626,75,$G$5,$H$13)+[1]!S_STM07_BS(D626,88,$G$5,$H$13)+[1]!S_STM07_BS(D626,94,$G$5,$H$13)+[1]!S_STM07_BS(D626,95,$G$5,$H$13))/$E$5))</f>
        <v/>
      </c>
      <c r="O626" s="247" t="str">
        <f ca="1">IF(C626="","",IF($O$11="BPS",[1]!S_STM07_BS(D626,141,$G$5,$H$13)/IF([1]!S_SHARE_TOTAL(D626,$G$5)=0,[1]!S_SHARE_TOTAL(D626,[1]!s_ipo_listeddate(D626)),[1]!S_SHARE_TOTAL(D626,$G$5)),[1]!S_STM07_CS(D626,49,$G$5,$H$13)/$E$5))</f>
        <v/>
      </c>
      <c r="P626" s="247" t="str">
        <f ca="1">IF(C626="","",IF($P$11="CFPS",[1]!S_STM07_CS(D626,84,$G$5,$H$13)/IF([1]!S_SHARE_TOTAL(D626,$G$5)=0,[1]!S_SHARE_TOTAL(D626,[1]!s_ipo_listeddate(D626)),[1]!S_SHARE_TOTAL(D626,$G$5)),[1]!S_STM07_CS(D626,84,$G$5,$H$13)/$E$5))</f>
        <v/>
      </c>
      <c r="Q626" s="248" t="str">
        <f ca="1">IF(C626="","",F626/([1]!S_STM07_IS(D626,61,$G$5,$H$13)/IF([1]!S_SHARE_TOTAL(D626,$G$5)=0,[1]!S_SHARE_TOTAL(D626,[1]!s_ipo_listeddate(D626)),[1]!S_SHARE_TOTAL(D626,$G$5))))</f>
        <v/>
      </c>
      <c r="R626" s="248" t="str">
        <f ca="1">IF(C626="","",F626/([1]!S_STM07_BS(D626,141,$G$5,$H$13)/IF([1]!S_SHARE_TOTAL(D626,$G$5)=0,[1]!S_SHARE_TOTAL(D626,[1]!s_ipo_listeddate(D626)),[1]!S_SHARE_TOTAL(D626,$G$5))))</f>
        <v/>
      </c>
      <c r="S626" s="247" t="str">
        <f ca="1">IF(C626="","",[1]!S_SHARE_TOTAL(D626,TODAY())/$E$5)</f>
        <v/>
      </c>
      <c r="T626" s="247" t="str">
        <f t="shared" ca="1" si="67"/>
        <v/>
      </c>
      <c r="U626" s="218" t="str">
        <f t="shared" ca="1" si="68"/>
        <v/>
      </c>
      <c r="V626" s="342" t="str">
        <f t="shared" ca="1" si="69"/>
        <v/>
      </c>
      <c r="W626" s="139"/>
      <c r="Y626" s="1"/>
    </row>
    <row r="627" spans="3:25" ht="12" customHeight="1">
      <c r="C627" s="343" t="str">
        <f t="shared" ca="1" si="64"/>
        <v/>
      </c>
      <c r="D627" s="124" t="str">
        <f t="shared" ca="1" si="65"/>
        <v/>
      </c>
      <c r="E627" s="124" t="str">
        <f t="shared" ca="1" si="66"/>
        <v/>
      </c>
      <c r="F627" s="172" t="str">
        <f ca="1">IF(C627="","",[1]!S_DQ_CLOSE(D627,TODAY(),1))</f>
        <v/>
      </c>
      <c r="G627" s="173" t="str">
        <f ca="1">IF(C627="","",[1]!s_pq_pctchange(D627,TODAY()-$G$12,TODAY())/100)</f>
        <v/>
      </c>
      <c r="H627" s="249" t="str">
        <f ca="1">IF(C627="","",IF($H$11="收入",[1]!S_STM07_IS(D627,9,$G$5,$H$13)/$E$5,[1]!S_STM07_IS(D627,48,$G$5,$H$13)/$E$5))</f>
        <v/>
      </c>
      <c r="I627" s="249" t="str">
        <f ca="1">IF(C627="","",IF($I$11="毛利率",([1]!S_STM07_IS(D627,9,$G$5,$H$13)-[1]!S_STM07_IS(D627,10,$G$5,$H$13))/[1]!S_STM07_IS(D627,9,$G$5,$H$13),[1]!S_STM07_IS(D627,14,$G$5,$H$13)/$E$5))</f>
        <v/>
      </c>
      <c r="J627" s="249" t="str">
        <f ca="1">IF(C627="","",IF($J$11="营业利润率",[1]!S_STM07_IS(D627,48,$G$5,$H$13)/[1]!S_STM07_IS(D627,9,$G$5,$H$13),([1]!S_STM07_CS(D627,87,$G$5,$H$13)+[1]!S_STM07_CS(D627,88,$G$5,$H$13)+[1]!S_STM07_CS(D627,89,$G$5,$H$13))/$E$5))</f>
        <v/>
      </c>
      <c r="K627" s="249" t="str">
        <f ca="1">IF(C627="","",IF($K$11="净利润率",[1]!S_STM07_IS(D627,61,$G$5,$H$13)/[1]!S_STM07_IS(D627,9,$G$5,$H$13),[1]!S_STM07_IS(D627,55,$G$5,$H$13)/$E$5))</f>
        <v/>
      </c>
      <c r="L627" s="249" t="str">
        <f ca="1">IF(C627="","",IF($L$11="ROA",[1]!S_STM07_IS(D627,61,$G$5,$H$13)/[1]!S_STM07_BS(D627,74,$G$5,$H$13),1-[1]!S_STM07_IS(D627,61,$G$5,$H$13)/[1]!S_STM07_IS(D627,55,$G$5,$H$13)))</f>
        <v/>
      </c>
      <c r="M627" s="249" t="str">
        <f ca="1">IF(C627="","",IF($M$11="ROE",[1]!S_STM07_IS(D627,61,$G$5,$H$13)/[1]!S_STM07_BS(D627,141,$G$5,$H$13),([1]!S_STM07_BS(D627,25,$G$5,$H$13)-[1]!S_STM07_BS(D627,93,$G$5,$H$13))/$E$5))</f>
        <v/>
      </c>
      <c r="N627" s="250" t="str">
        <f ca="1">IF(C627="","",IF($N$11="EPS",[1]!S_STM07_IS(D627,61,$G$5,$H$13)/IF([1]!S_SHARE_TOTAL(D627,$G$5)=0,[1]!S_SHARE_TOTAL(D627,[1]!s_ipo_listeddate(D627)),[1]!S_SHARE_TOTAL(D627,$G$5)),([1]!S_STM07_BS(D627,75,$G$5,$H$13)+[1]!S_STM07_BS(D627,88,$G$5,$H$13)+[1]!S_STM07_BS(D627,94,$G$5,$H$13)+[1]!S_STM07_BS(D627,95,$G$5,$H$13))/$E$5))</f>
        <v/>
      </c>
      <c r="O627" s="250" t="str">
        <f ca="1">IF(C627="","",IF($O$11="BPS",[1]!S_STM07_BS(D627,141,$G$5,$H$13)/IF([1]!S_SHARE_TOTAL(D627,$G$5)=0,[1]!S_SHARE_TOTAL(D627,[1]!s_ipo_listeddate(D627)),[1]!S_SHARE_TOTAL(D627,$G$5)),[1]!S_STM07_CS(D627,49,$G$5,$H$13)/$E$5))</f>
        <v/>
      </c>
      <c r="P627" s="250" t="str">
        <f ca="1">IF(C627="","",IF($P$11="CFPS",[1]!S_STM07_CS(D627,84,$G$5,$H$13)/IF([1]!S_SHARE_TOTAL(D627,$G$5)=0,[1]!S_SHARE_TOTAL(D627,[1]!s_ipo_listeddate(D627)),[1]!S_SHARE_TOTAL(D627,$G$5)),[1]!S_STM07_CS(D627,84,$G$5,$H$13)/$E$5))</f>
        <v/>
      </c>
      <c r="Q627" s="198" t="str">
        <f ca="1">IF(C627="","",F627/([1]!S_STM07_IS(D627,61,$G$5,$H$13)/IF([1]!S_SHARE_TOTAL(D627,$G$5)=0,[1]!S_SHARE_TOTAL(D627,[1]!s_ipo_listeddate(D627)),[1]!S_SHARE_TOTAL(D627,$G$5))))</f>
        <v/>
      </c>
      <c r="R627" s="198" t="str">
        <f ca="1">IF(C627="","",F627/([1]!S_STM07_BS(D627,141,$G$5,$H$13)/IF([1]!S_SHARE_TOTAL(D627,$G$5)=0,[1]!S_SHARE_TOTAL(D627,[1]!s_ipo_listeddate(D627)),[1]!S_SHARE_TOTAL(D627,$G$5))))</f>
        <v/>
      </c>
      <c r="S627" s="249" t="str">
        <f ca="1">IF(C627="","",[1]!S_SHARE_TOTAL(D627,TODAY())/$E$5)</f>
        <v/>
      </c>
      <c r="T627" s="249" t="str">
        <f t="shared" ca="1" si="67"/>
        <v/>
      </c>
      <c r="U627" s="172" t="str">
        <f t="shared" ca="1" si="68"/>
        <v/>
      </c>
      <c r="V627" s="343" t="str">
        <f t="shared" ca="1" si="69"/>
        <v/>
      </c>
      <c r="W627" s="139"/>
      <c r="Y627" s="1"/>
    </row>
    <row r="628" spans="3:25" ht="12" customHeight="1">
      <c r="C628" s="342" t="str">
        <f t="shared" ca="1" si="64"/>
        <v/>
      </c>
      <c r="D628" s="153" t="str">
        <f t="shared" ca="1" si="65"/>
        <v/>
      </c>
      <c r="E628" s="153" t="str">
        <f t="shared" ca="1" si="66"/>
        <v/>
      </c>
      <c r="F628" s="170" t="str">
        <f ca="1">IF(C628="","",[1]!S_DQ_CLOSE(D628,TODAY(),1))</f>
        <v/>
      </c>
      <c r="G628" s="171" t="str">
        <f ca="1">IF(C628="","",[1]!s_pq_pctchange(D628,TODAY()-$G$12,TODAY())/100)</f>
        <v/>
      </c>
      <c r="H628" s="247" t="str">
        <f ca="1">IF(C628="","",IF($H$11="收入",[1]!S_STM07_IS(D628,9,$G$5,$H$13)/$E$5,[1]!S_STM07_IS(D628,48,$G$5,$H$13)/$E$5))</f>
        <v/>
      </c>
      <c r="I628" s="247" t="str">
        <f ca="1">IF(C628="","",IF($I$11="毛利率",([1]!S_STM07_IS(D628,9,$G$5,$H$13)-[1]!S_STM07_IS(D628,10,$G$5,$H$13))/[1]!S_STM07_IS(D628,9,$G$5,$H$13),[1]!S_STM07_IS(D628,14,$G$5,$H$13)/$E$5))</f>
        <v/>
      </c>
      <c r="J628" s="247" t="str">
        <f ca="1">IF(C628="","",IF($J$11="营业利润率",[1]!S_STM07_IS(D628,48,$G$5,$H$13)/[1]!S_STM07_IS(D628,9,$G$5,$H$13),([1]!S_STM07_CS(D628,87,$G$5,$H$13)+[1]!S_STM07_CS(D628,88,$G$5,$H$13)+[1]!S_STM07_CS(D628,89,$G$5,$H$13))/$E$5))</f>
        <v/>
      </c>
      <c r="K628" s="247" t="str">
        <f ca="1">IF(C628="","",IF($K$11="净利润率",[1]!S_STM07_IS(D628,61,$G$5,$H$13)/[1]!S_STM07_IS(D628,9,$G$5,$H$13),[1]!S_STM07_IS(D628,55,$G$5,$H$13)/$E$5))</f>
        <v/>
      </c>
      <c r="L628" s="247" t="str">
        <f ca="1">IF(C628="","",IF($L$11="ROA",[1]!S_STM07_IS(D628,61,$G$5,$H$13)/[1]!S_STM07_BS(D628,74,$G$5,$H$13),1-[1]!S_STM07_IS(D628,61,$G$5,$H$13)/[1]!S_STM07_IS(D628,55,$G$5,$H$13)))</f>
        <v/>
      </c>
      <c r="M628" s="247" t="str">
        <f ca="1">IF(C628="","",IF($M$11="ROE",[1]!S_STM07_IS(D628,61,$G$5,$H$13)/[1]!S_STM07_BS(D628,141,$G$5,$H$13),([1]!S_STM07_BS(D628,25,$G$5,$H$13)-[1]!S_STM07_BS(D628,93,$G$5,$H$13))/$E$5))</f>
        <v/>
      </c>
      <c r="N628" s="247" t="str">
        <f ca="1">IF(C628="","",IF($N$11="EPS",[1]!S_STM07_IS(D628,61,$G$5,$H$13)/IF([1]!S_SHARE_TOTAL(D628,$G$5)=0,[1]!S_SHARE_TOTAL(D628,[1]!s_ipo_listeddate(D628)),[1]!S_SHARE_TOTAL(D628,$G$5)),([1]!S_STM07_BS(D628,75,$G$5,$H$13)+[1]!S_STM07_BS(D628,88,$G$5,$H$13)+[1]!S_STM07_BS(D628,94,$G$5,$H$13)+[1]!S_STM07_BS(D628,95,$G$5,$H$13))/$E$5))</f>
        <v/>
      </c>
      <c r="O628" s="247" t="str">
        <f ca="1">IF(C628="","",IF($O$11="BPS",[1]!S_STM07_BS(D628,141,$G$5,$H$13)/IF([1]!S_SHARE_TOTAL(D628,$G$5)=0,[1]!S_SHARE_TOTAL(D628,[1]!s_ipo_listeddate(D628)),[1]!S_SHARE_TOTAL(D628,$G$5)),[1]!S_STM07_CS(D628,49,$G$5,$H$13)/$E$5))</f>
        <v/>
      </c>
      <c r="P628" s="247" t="str">
        <f ca="1">IF(C628="","",IF($P$11="CFPS",[1]!S_STM07_CS(D628,84,$G$5,$H$13)/IF([1]!S_SHARE_TOTAL(D628,$G$5)=0,[1]!S_SHARE_TOTAL(D628,[1]!s_ipo_listeddate(D628)),[1]!S_SHARE_TOTAL(D628,$G$5)),[1]!S_STM07_CS(D628,84,$G$5,$H$13)/$E$5))</f>
        <v/>
      </c>
      <c r="Q628" s="248" t="str">
        <f ca="1">IF(C628="","",F628/([1]!S_STM07_IS(D628,61,$G$5,$H$13)/IF([1]!S_SHARE_TOTAL(D628,$G$5)=0,[1]!S_SHARE_TOTAL(D628,[1]!s_ipo_listeddate(D628)),[1]!S_SHARE_TOTAL(D628,$G$5))))</f>
        <v/>
      </c>
      <c r="R628" s="248" t="str">
        <f ca="1">IF(C628="","",F628/([1]!S_STM07_BS(D628,141,$G$5,$H$13)/IF([1]!S_SHARE_TOTAL(D628,$G$5)=0,[1]!S_SHARE_TOTAL(D628,[1]!s_ipo_listeddate(D628)),[1]!S_SHARE_TOTAL(D628,$G$5))))</f>
        <v/>
      </c>
      <c r="S628" s="247" t="str">
        <f ca="1">IF(C628="","",[1]!S_SHARE_TOTAL(D628,TODAY())/$E$5)</f>
        <v/>
      </c>
      <c r="T628" s="247" t="str">
        <f t="shared" ca="1" si="67"/>
        <v/>
      </c>
      <c r="U628" s="218" t="str">
        <f t="shared" ca="1" si="68"/>
        <v/>
      </c>
      <c r="V628" s="342" t="str">
        <f t="shared" ca="1" si="69"/>
        <v/>
      </c>
      <c r="W628" s="139"/>
      <c r="Y628" s="1"/>
    </row>
    <row r="629" spans="3:25" ht="12" customHeight="1">
      <c r="C629" s="343" t="str">
        <f t="shared" ca="1" si="64"/>
        <v/>
      </c>
      <c r="D629" s="124" t="str">
        <f t="shared" ca="1" si="65"/>
        <v/>
      </c>
      <c r="E629" s="124" t="str">
        <f t="shared" ca="1" si="66"/>
        <v/>
      </c>
      <c r="F629" s="172" t="str">
        <f ca="1">IF(C629="","",[1]!S_DQ_CLOSE(D629,TODAY(),1))</f>
        <v/>
      </c>
      <c r="G629" s="173" t="str">
        <f ca="1">IF(C629="","",[1]!s_pq_pctchange(D629,TODAY()-$G$12,TODAY())/100)</f>
        <v/>
      </c>
      <c r="H629" s="249" t="str">
        <f ca="1">IF(C629="","",IF($H$11="收入",[1]!S_STM07_IS(D629,9,$G$5,$H$13)/$E$5,[1]!S_STM07_IS(D629,48,$G$5,$H$13)/$E$5))</f>
        <v/>
      </c>
      <c r="I629" s="249" t="str">
        <f ca="1">IF(C629="","",IF($I$11="毛利率",([1]!S_STM07_IS(D629,9,$G$5,$H$13)-[1]!S_STM07_IS(D629,10,$G$5,$H$13))/[1]!S_STM07_IS(D629,9,$G$5,$H$13),[1]!S_STM07_IS(D629,14,$G$5,$H$13)/$E$5))</f>
        <v/>
      </c>
      <c r="J629" s="249" t="str">
        <f ca="1">IF(C629="","",IF($J$11="营业利润率",[1]!S_STM07_IS(D629,48,$G$5,$H$13)/[1]!S_STM07_IS(D629,9,$G$5,$H$13),([1]!S_STM07_CS(D629,87,$G$5,$H$13)+[1]!S_STM07_CS(D629,88,$G$5,$H$13)+[1]!S_STM07_CS(D629,89,$G$5,$H$13))/$E$5))</f>
        <v/>
      </c>
      <c r="K629" s="249" t="str">
        <f ca="1">IF(C629="","",IF($K$11="净利润率",[1]!S_STM07_IS(D629,61,$G$5,$H$13)/[1]!S_STM07_IS(D629,9,$G$5,$H$13),[1]!S_STM07_IS(D629,55,$G$5,$H$13)/$E$5))</f>
        <v/>
      </c>
      <c r="L629" s="249" t="str">
        <f ca="1">IF(C629="","",IF($L$11="ROA",[1]!S_STM07_IS(D629,61,$G$5,$H$13)/[1]!S_STM07_BS(D629,74,$G$5,$H$13),1-[1]!S_STM07_IS(D629,61,$G$5,$H$13)/[1]!S_STM07_IS(D629,55,$G$5,$H$13)))</f>
        <v/>
      </c>
      <c r="M629" s="249" t="str">
        <f ca="1">IF(C629="","",IF($M$11="ROE",[1]!S_STM07_IS(D629,61,$G$5,$H$13)/[1]!S_STM07_BS(D629,141,$G$5,$H$13),([1]!S_STM07_BS(D629,25,$G$5,$H$13)-[1]!S_STM07_BS(D629,93,$G$5,$H$13))/$E$5))</f>
        <v/>
      </c>
      <c r="N629" s="250" t="str">
        <f ca="1">IF(C629="","",IF($N$11="EPS",[1]!S_STM07_IS(D629,61,$G$5,$H$13)/IF([1]!S_SHARE_TOTAL(D629,$G$5)=0,[1]!S_SHARE_TOTAL(D629,[1]!s_ipo_listeddate(D629)),[1]!S_SHARE_TOTAL(D629,$G$5)),([1]!S_STM07_BS(D629,75,$G$5,$H$13)+[1]!S_STM07_BS(D629,88,$G$5,$H$13)+[1]!S_STM07_BS(D629,94,$G$5,$H$13)+[1]!S_STM07_BS(D629,95,$G$5,$H$13))/$E$5))</f>
        <v/>
      </c>
      <c r="O629" s="250" t="str">
        <f ca="1">IF(C629="","",IF($O$11="BPS",[1]!S_STM07_BS(D629,141,$G$5,$H$13)/IF([1]!S_SHARE_TOTAL(D629,$G$5)=0,[1]!S_SHARE_TOTAL(D629,[1]!s_ipo_listeddate(D629)),[1]!S_SHARE_TOTAL(D629,$G$5)),[1]!S_STM07_CS(D629,49,$G$5,$H$13)/$E$5))</f>
        <v/>
      </c>
      <c r="P629" s="250" t="str">
        <f ca="1">IF(C629="","",IF($P$11="CFPS",[1]!S_STM07_CS(D629,84,$G$5,$H$13)/IF([1]!S_SHARE_TOTAL(D629,$G$5)=0,[1]!S_SHARE_TOTAL(D629,[1]!s_ipo_listeddate(D629)),[1]!S_SHARE_TOTAL(D629,$G$5)),[1]!S_STM07_CS(D629,84,$G$5,$H$13)/$E$5))</f>
        <v/>
      </c>
      <c r="Q629" s="198" t="str">
        <f ca="1">IF(C629="","",F629/([1]!S_STM07_IS(D629,61,$G$5,$H$13)/IF([1]!S_SHARE_TOTAL(D629,$G$5)=0,[1]!S_SHARE_TOTAL(D629,[1]!s_ipo_listeddate(D629)),[1]!S_SHARE_TOTAL(D629,$G$5))))</f>
        <v/>
      </c>
      <c r="R629" s="198" t="str">
        <f ca="1">IF(C629="","",F629/([1]!S_STM07_BS(D629,141,$G$5,$H$13)/IF([1]!S_SHARE_TOTAL(D629,$G$5)=0,[1]!S_SHARE_TOTAL(D629,[1]!s_ipo_listeddate(D629)),[1]!S_SHARE_TOTAL(D629,$G$5))))</f>
        <v/>
      </c>
      <c r="S629" s="249" t="str">
        <f ca="1">IF(C629="","",[1]!S_SHARE_TOTAL(D629,TODAY())/$E$5)</f>
        <v/>
      </c>
      <c r="T629" s="249" t="str">
        <f t="shared" ca="1" si="67"/>
        <v/>
      </c>
      <c r="U629" s="172" t="str">
        <f t="shared" ca="1" si="68"/>
        <v/>
      </c>
      <c r="V629" s="343" t="str">
        <f t="shared" ca="1" si="69"/>
        <v/>
      </c>
      <c r="W629" s="139"/>
      <c r="Y629" s="1"/>
    </row>
    <row r="630" spans="3:25" ht="12" customHeight="1">
      <c r="C630" s="342" t="str">
        <f t="shared" ca="1" si="64"/>
        <v/>
      </c>
      <c r="D630" s="153" t="str">
        <f t="shared" ca="1" si="65"/>
        <v/>
      </c>
      <c r="E630" s="153" t="str">
        <f t="shared" ca="1" si="66"/>
        <v/>
      </c>
      <c r="F630" s="170" t="str">
        <f ca="1">IF(C630="","",[1]!S_DQ_CLOSE(D630,TODAY(),1))</f>
        <v/>
      </c>
      <c r="G630" s="171" t="str">
        <f ca="1">IF(C630="","",[1]!s_pq_pctchange(D630,TODAY()-$G$12,TODAY())/100)</f>
        <v/>
      </c>
      <c r="H630" s="247" t="str">
        <f ca="1">IF(C630="","",IF($H$11="收入",[1]!S_STM07_IS(D630,9,$G$5,$H$13)/$E$5,[1]!S_STM07_IS(D630,48,$G$5,$H$13)/$E$5))</f>
        <v/>
      </c>
      <c r="I630" s="247" t="str">
        <f ca="1">IF(C630="","",IF($I$11="毛利率",([1]!S_STM07_IS(D630,9,$G$5,$H$13)-[1]!S_STM07_IS(D630,10,$G$5,$H$13))/[1]!S_STM07_IS(D630,9,$G$5,$H$13),[1]!S_STM07_IS(D630,14,$G$5,$H$13)/$E$5))</f>
        <v/>
      </c>
      <c r="J630" s="247" t="str">
        <f ca="1">IF(C630="","",IF($J$11="营业利润率",[1]!S_STM07_IS(D630,48,$G$5,$H$13)/[1]!S_STM07_IS(D630,9,$G$5,$H$13),([1]!S_STM07_CS(D630,87,$G$5,$H$13)+[1]!S_STM07_CS(D630,88,$G$5,$H$13)+[1]!S_STM07_CS(D630,89,$G$5,$H$13))/$E$5))</f>
        <v/>
      </c>
      <c r="K630" s="247" t="str">
        <f ca="1">IF(C630="","",IF($K$11="净利润率",[1]!S_STM07_IS(D630,61,$G$5,$H$13)/[1]!S_STM07_IS(D630,9,$G$5,$H$13),[1]!S_STM07_IS(D630,55,$G$5,$H$13)/$E$5))</f>
        <v/>
      </c>
      <c r="L630" s="247" t="str">
        <f ca="1">IF(C630="","",IF($L$11="ROA",[1]!S_STM07_IS(D630,61,$G$5,$H$13)/[1]!S_STM07_BS(D630,74,$G$5,$H$13),1-[1]!S_STM07_IS(D630,61,$G$5,$H$13)/[1]!S_STM07_IS(D630,55,$G$5,$H$13)))</f>
        <v/>
      </c>
      <c r="M630" s="247" t="str">
        <f ca="1">IF(C630="","",IF($M$11="ROE",[1]!S_STM07_IS(D630,61,$G$5,$H$13)/[1]!S_STM07_BS(D630,141,$G$5,$H$13),([1]!S_STM07_BS(D630,25,$G$5,$H$13)-[1]!S_STM07_BS(D630,93,$G$5,$H$13))/$E$5))</f>
        <v/>
      </c>
      <c r="N630" s="247" t="str">
        <f ca="1">IF(C630="","",IF($N$11="EPS",[1]!S_STM07_IS(D630,61,$G$5,$H$13)/IF([1]!S_SHARE_TOTAL(D630,$G$5)=0,[1]!S_SHARE_TOTAL(D630,[1]!s_ipo_listeddate(D630)),[1]!S_SHARE_TOTAL(D630,$G$5)),([1]!S_STM07_BS(D630,75,$G$5,$H$13)+[1]!S_STM07_BS(D630,88,$G$5,$H$13)+[1]!S_STM07_BS(D630,94,$G$5,$H$13)+[1]!S_STM07_BS(D630,95,$G$5,$H$13))/$E$5))</f>
        <v/>
      </c>
      <c r="O630" s="247" t="str">
        <f ca="1">IF(C630="","",IF($O$11="BPS",[1]!S_STM07_BS(D630,141,$G$5,$H$13)/IF([1]!S_SHARE_TOTAL(D630,$G$5)=0,[1]!S_SHARE_TOTAL(D630,[1]!s_ipo_listeddate(D630)),[1]!S_SHARE_TOTAL(D630,$G$5)),[1]!S_STM07_CS(D630,49,$G$5,$H$13)/$E$5))</f>
        <v/>
      </c>
      <c r="P630" s="247" t="str">
        <f ca="1">IF(C630="","",IF($P$11="CFPS",[1]!S_STM07_CS(D630,84,$G$5,$H$13)/IF([1]!S_SHARE_TOTAL(D630,$G$5)=0,[1]!S_SHARE_TOTAL(D630,[1]!s_ipo_listeddate(D630)),[1]!S_SHARE_TOTAL(D630,$G$5)),[1]!S_STM07_CS(D630,84,$G$5,$H$13)/$E$5))</f>
        <v/>
      </c>
      <c r="Q630" s="248" t="str">
        <f ca="1">IF(C630="","",F630/([1]!S_STM07_IS(D630,61,$G$5,$H$13)/IF([1]!S_SHARE_TOTAL(D630,$G$5)=0,[1]!S_SHARE_TOTAL(D630,[1]!s_ipo_listeddate(D630)),[1]!S_SHARE_TOTAL(D630,$G$5))))</f>
        <v/>
      </c>
      <c r="R630" s="248" t="str">
        <f ca="1">IF(C630="","",F630/([1]!S_STM07_BS(D630,141,$G$5,$H$13)/IF([1]!S_SHARE_TOTAL(D630,$G$5)=0,[1]!S_SHARE_TOTAL(D630,[1]!s_ipo_listeddate(D630)),[1]!S_SHARE_TOTAL(D630,$G$5))))</f>
        <v/>
      </c>
      <c r="S630" s="247" t="str">
        <f ca="1">IF(C630="","",[1]!S_SHARE_TOTAL(D630,TODAY())/$E$5)</f>
        <v/>
      </c>
      <c r="T630" s="247" t="str">
        <f t="shared" ca="1" si="67"/>
        <v/>
      </c>
      <c r="U630" s="218" t="str">
        <f t="shared" ca="1" si="68"/>
        <v/>
      </c>
      <c r="V630" s="342" t="str">
        <f t="shared" ca="1" si="69"/>
        <v/>
      </c>
      <c r="W630" s="139"/>
      <c r="Y630" s="1"/>
    </row>
    <row r="631" spans="3:25" ht="12" customHeight="1">
      <c r="C631" s="343" t="str">
        <f t="shared" ca="1" si="64"/>
        <v/>
      </c>
      <c r="D631" s="124" t="str">
        <f t="shared" ca="1" si="65"/>
        <v/>
      </c>
      <c r="E631" s="124" t="str">
        <f t="shared" ca="1" si="66"/>
        <v/>
      </c>
      <c r="F631" s="172" t="str">
        <f ca="1">IF(C631="","",[1]!S_DQ_CLOSE(D631,TODAY(),1))</f>
        <v/>
      </c>
      <c r="G631" s="173" t="str">
        <f ca="1">IF(C631="","",[1]!s_pq_pctchange(D631,TODAY()-$G$12,TODAY())/100)</f>
        <v/>
      </c>
      <c r="H631" s="249" t="str">
        <f ca="1">IF(C631="","",IF($H$11="收入",[1]!S_STM07_IS(D631,9,$G$5,$H$13)/$E$5,[1]!S_STM07_IS(D631,48,$G$5,$H$13)/$E$5))</f>
        <v/>
      </c>
      <c r="I631" s="249" t="str">
        <f ca="1">IF(C631="","",IF($I$11="毛利率",([1]!S_STM07_IS(D631,9,$G$5,$H$13)-[1]!S_STM07_IS(D631,10,$G$5,$H$13))/[1]!S_STM07_IS(D631,9,$G$5,$H$13),[1]!S_STM07_IS(D631,14,$G$5,$H$13)/$E$5))</f>
        <v/>
      </c>
      <c r="J631" s="249" t="str">
        <f ca="1">IF(C631="","",IF($J$11="营业利润率",[1]!S_STM07_IS(D631,48,$G$5,$H$13)/[1]!S_STM07_IS(D631,9,$G$5,$H$13),([1]!S_STM07_CS(D631,87,$G$5,$H$13)+[1]!S_STM07_CS(D631,88,$G$5,$H$13)+[1]!S_STM07_CS(D631,89,$G$5,$H$13))/$E$5))</f>
        <v/>
      </c>
      <c r="K631" s="249" t="str">
        <f ca="1">IF(C631="","",IF($K$11="净利润率",[1]!S_STM07_IS(D631,61,$G$5,$H$13)/[1]!S_STM07_IS(D631,9,$G$5,$H$13),[1]!S_STM07_IS(D631,55,$G$5,$H$13)/$E$5))</f>
        <v/>
      </c>
      <c r="L631" s="249" t="str">
        <f ca="1">IF(C631="","",IF($L$11="ROA",[1]!S_STM07_IS(D631,61,$G$5,$H$13)/[1]!S_STM07_BS(D631,74,$G$5,$H$13),1-[1]!S_STM07_IS(D631,61,$G$5,$H$13)/[1]!S_STM07_IS(D631,55,$G$5,$H$13)))</f>
        <v/>
      </c>
      <c r="M631" s="249" t="str">
        <f ca="1">IF(C631="","",IF($M$11="ROE",[1]!S_STM07_IS(D631,61,$G$5,$H$13)/[1]!S_STM07_BS(D631,141,$G$5,$H$13),([1]!S_STM07_BS(D631,25,$G$5,$H$13)-[1]!S_STM07_BS(D631,93,$G$5,$H$13))/$E$5))</f>
        <v/>
      </c>
      <c r="N631" s="250" t="str">
        <f ca="1">IF(C631="","",IF($N$11="EPS",[1]!S_STM07_IS(D631,61,$G$5,$H$13)/IF([1]!S_SHARE_TOTAL(D631,$G$5)=0,[1]!S_SHARE_TOTAL(D631,[1]!s_ipo_listeddate(D631)),[1]!S_SHARE_TOTAL(D631,$G$5)),([1]!S_STM07_BS(D631,75,$G$5,$H$13)+[1]!S_STM07_BS(D631,88,$G$5,$H$13)+[1]!S_STM07_BS(D631,94,$G$5,$H$13)+[1]!S_STM07_BS(D631,95,$G$5,$H$13))/$E$5))</f>
        <v/>
      </c>
      <c r="O631" s="250" t="str">
        <f ca="1">IF(C631="","",IF($O$11="BPS",[1]!S_STM07_BS(D631,141,$G$5,$H$13)/IF([1]!S_SHARE_TOTAL(D631,$G$5)=0,[1]!S_SHARE_TOTAL(D631,[1]!s_ipo_listeddate(D631)),[1]!S_SHARE_TOTAL(D631,$G$5)),[1]!S_STM07_CS(D631,49,$G$5,$H$13)/$E$5))</f>
        <v/>
      </c>
      <c r="P631" s="250" t="str">
        <f ca="1">IF(C631="","",IF($P$11="CFPS",[1]!S_STM07_CS(D631,84,$G$5,$H$13)/IF([1]!S_SHARE_TOTAL(D631,$G$5)=0,[1]!S_SHARE_TOTAL(D631,[1]!s_ipo_listeddate(D631)),[1]!S_SHARE_TOTAL(D631,$G$5)),[1]!S_STM07_CS(D631,84,$G$5,$H$13)/$E$5))</f>
        <v/>
      </c>
      <c r="Q631" s="198" t="str">
        <f ca="1">IF(C631="","",F631/([1]!S_STM07_IS(D631,61,$G$5,$H$13)/IF([1]!S_SHARE_TOTAL(D631,$G$5)=0,[1]!S_SHARE_TOTAL(D631,[1]!s_ipo_listeddate(D631)),[1]!S_SHARE_TOTAL(D631,$G$5))))</f>
        <v/>
      </c>
      <c r="R631" s="198" t="str">
        <f ca="1">IF(C631="","",F631/([1]!S_STM07_BS(D631,141,$G$5,$H$13)/IF([1]!S_SHARE_TOTAL(D631,$G$5)=0,[1]!S_SHARE_TOTAL(D631,[1]!s_ipo_listeddate(D631)),[1]!S_SHARE_TOTAL(D631,$G$5))))</f>
        <v/>
      </c>
      <c r="S631" s="249" t="str">
        <f ca="1">IF(C631="","",[1]!S_SHARE_TOTAL(D631,TODAY())/$E$5)</f>
        <v/>
      </c>
      <c r="T631" s="249" t="str">
        <f t="shared" ca="1" si="67"/>
        <v/>
      </c>
      <c r="U631" s="172" t="str">
        <f t="shared" ca="1" si="68"/>
        <v/>
      </c>
      <c r="V631" s="343" t="str">
        <f t="shared" ca="1" si="69"/>
        <v/>
      </c>
      <c r="W631" s="139"/>
      <c r="Y631" s="1"/>
    </row>
    <row r="632" spans="3:25" ht="12" customHeight="1">
      <c r="C632" s="342" t="str">
        <f t="shared" ca="1" si="64"/>
        <v/>
      </c>
      <c r="D632" s="153" t="str">
        <f t="shared" ca="1" si="65"/>
        <v/>
      </c>
      <c r="E632" s="153" t="str">
        <f t="shared" ca="1" si="66"/>
        <v/>
      </c>
      <c r="F632" s="170" t="str">
        <f ca="1">IF(C632="","",[1]!S_DQ_CLOSE(D632,TODAY(),1))</f>
        <v/>
      </c>
      <c r="G632" s="171" t="str">
        <f ca="1">IF(C632="","",[1]!s_pq_pctchange(D632,TODAY()-$G$12,TODAY())/100)</f>
        <v/>
      </c>
      <c r="H632" s="247" t="str">
        <f ca="1">IF(C632="","",IF($H$11="收入",[1]!S_STM07_IS(D632,9,$G$5,$H$13)/$E$5,[1]!S_STM07_IS(D632,48,$G$5,$H$13)/$E$5))</f>
        <v/>
      </c>
      <c r="I632" s="247" t="str">
        <f ca="1">IF(C632="","",IF($I$11="毛利率",([1]!S_STM07_IS(D632,9,$G$5,$H$13)-[1]!S_STM07_IS(D632,10,$G$5,$H$13))/[1]!S_STM07_IS(D632,9,$G$5,$H$13),[1]!S_STM07_IS(D632,14,$G$5,$H$13)/$E$5))</f>
        <v/>
      </c>
      <c r="J632" s="247" t="str">
        <f ca="1">IF(C632="","",IF($J$11="营业利润率",[1]!S_STM07_IS(D632,48,$G$5,$H$13)/[1]!S_STM07_IS(D632,9,$G$5,$H$13),([1]!S_STM07_CS(D632,87,$G$5,$H$13)+[1]!S_STM07_CS(D632,88,$G$5,$H$13)+[1]!S_STM07_CS(D632,89,$G$5,$H$13))/$E$5))</f>
        <v/>
      </c>
      <c r="K632" s="247" t="str">
        <f ca="1">IF(C632="","",IF($K$11="净利润率",[1]!S_STM07_IS(D632,61,$G$5,$H$13)/[1]!S_STM07_IS(D632,9,$G$5,$H$13),[1]!S_STM07_IS(D632,55,$G$5,$H$13)/$E$5))</f>
        <v/>
      </c>
      <c r="L632" s="247" t="str">
        <f ca="1">IF(C632="","",IF($L$11="ROA",[1]!S_STM07_IS(D632,61,$G$5,$H$13)/[1]!S_STM07_BS(D632,74,$G$5,$H$13),1-[1]!S_STM07_IS(D632,61,$G$5,$H$13)/[1]!S_STM07_IS(D632,55,$G$5,$H$13)))</f>
        <v/>
      </c>
      <c r="M632" s="247" t="str">
        <f ca="1">IF(C632="","",IF($M$11="ROE",[1]!S_STM07_IS(D632,61,$G$5,$H$13)/[1]!S_STM07_BS(D632,141,$G$5,$H$13),([1]!S_STM07_BS(D632,25,$G$5,$H$13)-[1]!S_STM07_BS(D632,93,$G$5,$H$13))/$E$5))</f>
        <v/>
      </c>
      <c r="N632" s="247" t="str">
        <f ca="1">IF(C632="","",IF($N$11="EPS",[1]!S_STM07_IS(D632,61,$G$5,$H$13)/IF([1]!S_SHARE_TOTAL(D632,$G$5)=0,[1]!S_SHARE_TOTAL(D632,[1]!s_ipo_listeddate(D632)),[1]!S_SHARE_TOTAL(D632,$G$5)),([1]!S_STM07_BS(D632,75,$G$5,$H$13)+[1]!S_STM07_BS(D632,88,$G$5,$H$13)+[1]!S_STM07_BS(D632,94,$G$5,$H$13)+[1]!S_STM07_BS(D632,95,$G$5,$H$13))/$E$5))</f>
        <v/>
      </c>
      <c r="O632" s="247" t="str">
        <f ca="1">IF(C632="","",IF($O$11="BPS",[1]!S_STM07_BS(D632,141,$G$5,$H$13)/IF([1]!S_SHARE_TOTAL(D632,$G$5)=0,[1]!S_SHARE_TOTAL(D632,[1]!s_ipo_listeddate(D632)),[1]!S_SHARE_TOTAL(D632,$G$5)),[1]!S_STM07_CS(D632,49,$G$5,$H$13)/$E$5))</f>
        <v/>
      </c>
      <c r="P632" s="247" t="str">
        <f ca="1">IF(C632="","",IF($P$11="CFPS",[1]!S_STM07_CS(D632,84,$G$5,$H$13)/IF([1]!S_SHARE_TOTAL(D632,$G$5)=0,[1]!S_SHARE_TOTAL(D632,[1]!s_ipo_listeddate(D632)),[1]!S_SHARE_TOTAL(D632,$G$5)),[1]!S_STM07_CS(D632,84,$G$5,$H$13)/$E$5))</f>
        <v/>
      </c>
      <c r="Q632" s="248" t="str">
        <f ca="1">IF(C632="","",F632/([1]!S_STM07_IS(D632,61,$G$5,$H$13)/IF([1]!S_SHARE_TOTAL(D632,$G$5)=0,[1]!S_SHARE_TOTAL(D632,[1]!s_ipo_listeddate(D632)),[1]!S_SHARE_TOTAL(D632,$G$5))))</f>
        <v/>
      </c>
      <c r="R632" s="248" t="str">
        <f ca="1">IF(C632="","",F632/([1]!S_STM07_BS(D632,141,$G$5,$H$13)/IF([1]!S_SHARE_TOTAL(D632,$G$5)=0,[1]!S_SHARE_TOTAL(D632,[1]!s_ipo_listeddate(D632)),[1]!S_SHARE_TOTAL(D632,$G$5))))</f>
        <v/>
      </c>
      <c r="S632" s="247" t="str">
        <f ca="1">IF(C632="","",[1]!S_SHARE_TOTAL(D632,TODAY())/$E$5)</f>
        <v/>
      </c>
      <c r="T632" s="247" t="str">
        <f t="shared" ca="1" si="67"/>
        <v/>
      </c>
      <c r="U632" s="218" t="str">
        <f t="shared" ca="1" si="68"/>
        <v/>
      </c>
      <c r="V632" s="342" t="str">
        <f t="shared" ca="1" si="69"/>
        <v/>
      </c>
      <c r="W632" s="139"/>
      <c r="Y632" s="1"/>
    </row>
    <row r="633" spans="3:25" ht="12" customHeight="1">
      <c r="C633" s="343" t="str">
        <f t="shared" ca="1" si="64"/>
        <v/>
      </c>
      <c r="D633" s="124" t="str">
        <f t="shared" ca="1" si="65"/>
        <v/>
      </c>
      <c r="E633" s="124" t="str">
        <f t="shared" ca="1" si="66"/>
        <v/>
      </c>
      <c r="F633" s="172" t="str">
        <f ca="1">IF(C633="","",[1]!S_DQ_CLOSE(D633,TODAY(),1))</f>
        <v/>
      </c>
      <c r="G633" s="173" t="str">
        <f ca="1">IF(C633="","",[1]!s_pq_pctchange(D633,TODAY()-$G$12,TODAY())/100)</f>
        <v/>
      </c>
      <c r="H633" s="249" t="str">
        <f ca="1">IF(C633="","",IF($H$11="收入",[1]!S_STM07_IS(D633,9,$G$5,$H$13)/$E$5,[1]!S_STM07_IS(D633,48,$G$5,$H$13)/$E$5))</f>
        <v/>
      </c>
      <c r="I633" s="249" t="str">
        <f ca="1">IF(C633="","",IF($I$11="毛利率",([1]!S_STM07_IS(D633,9,$G$5,$H$13)-[1]!S_STM07_IS(D633,10,$G$5,$H$13))/[1]!S_STM07_IS(D633,9,$G$5,$H$13),[1]!S_STM07_IS(D633,14,$G$5,$H$13)/$E$5))</f>
        <v/>
      </c>
      <c r="J633" s="249" t="str">
        <f ca="1">IF(C633="","",IF($J$11="营业利润率",[1]!S_STM07_IS(D633,48,$G$5,$H$13)/[1]!S_STM07_IS(D633,9,$G$5,$H$13),([1]!S_STM07_CS(D633,87,$G$5,$H$13)+[1]!S_STM07_CS(D633,88,$G$5,$H$13)+[1]!S_STM07_CS(D633,89,$G$5,$H$13))/$E$5))</f>
        <v/>
      </c>
      <c r="K633" s="249" t="str">
        <f ca="1">IF(C633="","",IF($K$11="净利润率",[1]!S_STM07_IS(D633,61,$G$5,$H$13)/[1]!S_STM07_IS(D633,9,$G$5,$H$13),[1]!S_STM07_IS(D633,55,$G$5,$H$13)/$E$5))</f>
        <v/>
      </c>
      <c r="L633" s="249" t="str">
        <f ca="1">IF(C633="","",IF($L$11="ROA",[1]!S_STM07_IS(D633,61,$G$5,$H$13)/[1]!S_STM07_BS(D633,74,$G$5,$H$13),1-[1]!S_STM07_IS(D633,61,$G$5,$H$13)/[1]!S_STM07_IS(D633,55,$G$5,$H$13)))</f>
        <v/>
      </c>
      <c r="M633" s="249" t="str">
        <f ca="1">IF(C633="","",IF($M$11="ROE",[1]!S_STM07_IS(D633,61,$G$5,$H$13)/[1]!S_STM07_BS(D633,141,$G$5,$H$13),([1]!S_STM07_BS(D633,25,$G$5,$H$13)-[1]!S_STM07_BS(D633,93,$G$5,$H$13))/$E$5))</f>
        <v/>
      </c>
      <c r="N633" s="250" t="str">
        <f ca="1">IF(C633="","",IF($N$11="EPS",[1]!S_STM07_IS(D633,61,$G$5,$H$13)/IF([1]!S_SHARE_TOTAL(D633,$G$5)=0,[1]!S_SHARE_TOTAL(D633,[1]!s_ipo_listeddate(D633)),[1]!S_SHARE_TOTAL(D633,$G$5)),([1]!S_STM07_BS(D633,75,$G$5,$H$13)+[1]!S_STM07_BS(D633,88,$G$5,$H$13)+[1]!S_STM07_BS(D633,94,$G$5,$H$13)+[1]!S_STM07_BS(D633,95,$G$5,$H$13))/$E$5))</f>
        <v/>
      </c>
      <c r="O633" s="250" t="str">
        <f ca="1">IF(C633="","",IF($O$11="BPS",[1]!S_STM07_BS(D633,141,$G$5,$H$13)/IF([1]!S_SHARE_TOTAL(D633,$G$5)=0,[1]!S_SHARE_TOTAL(D633,[1]!s_ipo_listeddate(D633)),[1]!S_SHARE_TOTAL(D633,$G$5)),[1]!S_STM07_CS(D633,49,$G$5,$H$13)/$E$5))</f>
        <v/>
      </c>
      <c r="P633" s="250" t="str">
        <f ca="1">IF(C633="","",IF($P$11="CFPS",[1]!S_STM07_CS(D633,84,$G$5,$H$13)/IF([1]!S_SHARE_TOTAL(D633,$G$5)=0,[1]!S_SHARE_TOTAL(D633,[1]!s_ipo_listeddate(D633)),[1]!S_SHARE_TOTAL(D633,$G$5)),[1]!S_STM07_CS(D633,84,$G$5,$H$13)/$E$5))</f>
        <v/>
      </c>
      <c r="Q633" s="198" t="str">
        <f ca="1">IF(C633="","",F633/([1]!S_STM07_IS(D633,61,$G$5,$H$13)/IF([1]!S_SHARE_TOTAL(D633,$G$5)=0,[1]!S_SHARE_TOTAL(D633,[1]!s_ipo_listeddate(D633)),[1]!S_SHARE_TOTAL(D633,$G$5))))</f>
        <v/>
      </c>
      <c r="R633" s="198" t="str">
        <f ca="1">IF(C633="","",F633/([1]!S_STM07_BS(D633,141,$G$5,$H$13)/IF([1]!S_SHARE_TOTAL(D633,$G$5)=0,[1]!S_SHARE_TOTAL(D633,[1]!s_ipo_listeddate(D633)),[1]!S_SHARE_TOTAL(D633,$G$5))))</f>
        <v/>
      </c>
      <c r="S633" s="249" t="str">
        <f ca="1">IF(C633="","",[1]!S_SHARE_TOTAL(D633,TODAY())/$E$5)</f>
        <v/>
      </c>
      <c r="T633" s="249" t="str">
        <f t="shared" ca="1" si="67"/>
        <v/>
      </c>
      <c r="U633" s="172" t="str">
        <f t="shared" ca="1" si="68"/>
        <v/>
      </c>
      <c r="V633" s="343" t="str">
        <f t="shared" ca="1" si="69"/>
        <v/>
      </c>
      <c r="W633" s="139"/>
      <c r="Y633" s="1"/>
    </row>
    <row r="634" spans="3:25" ht="12" customHeight="1">
      <c r="C634" s="342" t="str">
        <f t="shared" ca="1" si="64"/>
        <v/>
      </c>
      <c r="D634" s="153" t="str">
        <f t="shared" ca="1" si="65"/>
        <v/>
      </c>
      <c r="E634" s="153" t="str">
        <f t="shared" ca="1" si="66"/>
        <v/>
      </c>
      <c r="F634" s="170" t="str">
        <f ca="1">IF(C634="","",[1]!S_DQ_CLOSE(D634,TODAY(),1))</f>
        <v/>
      </c>
      <c r="G634" s="171" t="str">
        <f ca="1">IF(C634="","",[1]!s_pq_pctchange(D634,TODAY()-$G$12,TODAY())/100)</f>
        <v/>
      </c>
      <c r="H634" s="247" t="str">
        <f ca="1">IF(C634="","",IF($H$11="收入",[1]!S_STM07_IS(D634,9,$G$5,$H$13)/$E$5,[1]!S_STM07_IS(D634,48,$G$5,$H$13)/$E$5))</f>
        <v/>
      </c>
      <c r="I634" s="247" t="str">
        <f ca="1">IF(C634="","",IF($I$11="毛利率",([1]!S_STM07_IS(D634,9,$G$5,$H$13)-[1]!S_STM07_IS(D634,10,$G$5,$H$13))/[1]!S_STM07_IS(D634,9,$G$5,$H$13),[1]!S_STM07_IS(D634,14,$G$5,$H$13)/$E$5))</f>
        <v/>
      </c>
      <c r="J634" s="247" t="str">
        <f ca="1">IF(C634="","",IF($J$11="营业利润率",[1]!S_STM07_IS(D634,48,$G$5,$H$13)/[1]!S_STM07_IS(D634,9,$G$5,$H$13),([1]!S_STM07_CS(D634,87,$G$5,$H$13)+[1]!S_STM07_CS(D634,88,$G$5,$H$13)+[1]!S_STM07_CS(D634,89,$G$5,$H$13))/$E$5))</f>
        <v/>
      </c>
      <c r="K634" s="247" t="str">
        <f ca="1">IF(C634="","",IF($K$11="净利润率",[1]!S_STM07_IS(D634,61,$G$5,$H$13)/[1]!S_STM07_IS(D634,9,$G$5,$H$13),[1]!S_STM07_IS(D634,55,$G$5,$H$13)/$E$5))</f>
        <v/>
      </c>
      <c r="L634" s="247" t="str">
        <f ca="1">IF(C634="","",IF($L$11="ROA",[1]!S_STM07_IS(D634,61,$G$5,$H$13)/[1]!S_STM07_BS(D634,74,$G$5,$H$13),1-[1]!S_STM07_IS(D634,61,$G$5,$H$13)/[1]!S_STM07_IS(D634,55,$G$5,$H$13)))</f>
        <v/>
      </c>
      <c r="M634" s="247" t="str">
        <f ca="1">IF(C634="","",IF($M$11="ROE",[1]!S_STM07_IS(D634,61,$G$5,$H$13)/[1]!S_STM07_BS(D634,141,$G$5,$H$13),([1]!S_STM07_BS(D634,25,$G$5,$H$13)-[1]!S_STM07_BS(D634,93,$G$5,$H$13))/$E$5))</f>
        <v/>
      </c>
      <c r="N634" s="247" t="str">
        <f ca="1">IF(C634="","",IF($N$11="EPS",[1]!S_STM07_IS(D634,61,$G$5,$H$13)/IF([1]!S_SHARE_TOTAL(D634,$G$5)=0,[1]!S_SHARE_TOTAL(D634,[1]!s_ipo_listeddate(D634)),[1]!S_SHARE_TOTAL(D634,$G$5)),([1]!S_STM07_BS(D634,75,$G$5,$H$13)+[1]!S_STM07_BS(D634,88,$G$5,$H$13)+[1]!S_STM07_BS(D634,94,$G$5,$H$13)+[1]!S_STM07_BS(D634,95,$G$5,$H$13))/$E$5))</f>
        <v/>
      </c>
      <c r="O634" s="247" t="str">
        <f ca="1">IF(C634="","",IF($O$11="BPS",[1]!S_STM07_BS(D634,141,$G$5,$H$13)/IF([1]!S_SHARE_TOTAL(D634,$G$5)=0,[1]!S_SHARE_TOTAL(D634,[1]!s_ipo_listeddate(D634)),[1]!S_SHARE_TOTAL(D634,$G$5)),[1]!S_STM07_CS(D634,49,$G$5,$H$13)/$E$5))</f>
        <v/>
      </c>
      <c r="P634" s="247" t="str">
        <f ca="1">IF(C634="","",IF($P$11="CFPS",[1]!S_STM07_CS(D634,84,$G$5,$H$13)/IF([1]!S_SHARE_TOTAL(D634,$G$5)=0,[1]!S_SHARE_TOTAL(D634,[1]!s_ipo_listeddate(D634)),[1]!S_SHARE_TOTAL(D634,$G$5)),[1]!S_STM07_CS(D634,84,$G$5,$H$13)/$E$5))</f>
        <v/>
      </c>
      <c r="Q634" s="248" t="str">
        <f ca="1">IF(C634="","",F634/([1]!S_STM07_IS(D634,61,$G$5,$H$13)/IF([1]!S_SHARE_TOTAL(D634,$G$5)=0,[1]!S_SHARE_TOTAL(D634,[1]!s_ipo_listeddate(D634)),[1]!S_SHARE_TOTAL(D634,$G$5))))</f>
        <v/>
      </c>
      <c r="R634" s="248" t="str">
        <f ca="1">IF(C634="","",F634/([1]!S_STM07_BS(D634,141,$G$5,$H$13)/IF([1]!S_SHARE_TOTAL(D634,$G$5)=0,[1]!S_SHARE_TOTAL(D634,[1]!s_ipo_listeddate(D634)),[1]!S_SHARE_TOTAL(D634,$G$5))))</f>
        <v/>
      </c>
      <c r="S634" s="247" t="str">
        <f ca="1">IF(C634="","",[1]!S_SHARE_TOTAL(D634,TODAY())/$E$5)</f>
        <v/>
      </c>
      <c r="T634" s="247" t="str">
        <f t="shared" ca="1" si="67"/>
        <v/>
      </c>
      <c r="U634" s="218" t="str">
        <f t="shared" ca="1" si="68"/>
        <v/>
      </c>
      <c r="V634" s="342" t="str">
        <f t="shared" ca="1" si="69"/>
        <v/>
      </c>
      <c r="W634" s="139"/>
      <c r="Y634" s="1"/>
    </row>
    <row r="635" spans="3:25" ht="12" customHeight="1">
      <c r="C635" s="343" t="str">
        <f t="shared" ca="1" si="64"/>
        <v/>
      </c>
      <c r="D635" s="124" t="str">
        <f t="shared" ca="1" si="65"/>
        <v/>
      </c>
      <c r="E635" s="124" t="str">
        <f t="shared" ca="1" si="66"/>
        <v/>
      </c>
      <c r="F635" s="172" t="str">
        <f ca="1">IF(C635="","",[1]!S_DQ_CLOSE(D635,TODAY(),1))</f>
        <v/>
      </c>
      <c r="G635" s="173" t="str">
        <f ca="1">IF(C635="","",[1]!s_pq_pctchange(D635,TODAY()-$G$12,TODAY())/100)</f>
        <v/>
      </c>
      <c r="H635" s="249" t="str">
        <f ca="1">IF(C635="","",IF($H$11="收入",[1]!S_STM07_IS(D635,9,$G$5,$H$13)/$E$5,[1]!S_STM07_IS(D635,48,$G$5,$H$13)/$E$5))</f>
        <v/>
      </c>
      <c r="I635" s="249" t="str">
        <f ca="1">IF(C635="","",IF($I$11="毛利率",([1]!S_STM07_IS(D635,9,$G$5,$H$13)-[1]!S_STM07_IS(D635,10,$G$5,$H$13))/[1]!S_STM07_IS(D635,9,$G$5,$H$13),[1]!S_STM07_IS(D635,14,$G$5,$H$13)/$E$5))</f>
        <v/>
      </c>
      <c r="J635" s="249" t="str">
        <f ca="1">IF(C635="","",IF($J$11="营业利润率",[1]!S_STM07_IS(D635,48,$G$5,$H$13)/[1]!S_STM07_IS(D635,9,$G$5,$H$13),([1]!S_STM07_CS(D635,87,$G$5,$H$13)+[1]!S_STM07_CS(D635,88,$G$5,$H$13)+[1]!S_STM07_CS(D635,89,$G$5,$H$13))/$E$5))</f>
        <v/>
      </c>
      <c r="K635" s="249" t="str">
        <f ca="1">IF(C635="","",IF($K$11="净利润率",[1]!S_STM07_IS(D635,61,$G$5,$H$13)/[1]!S_STM07_IS(D635,9,$G$5,$H$13),[1]!S_STM07_IS(D635,55,$G$5,$H$13)/$E$5))</f>
        <v/>
      </c>
      <c r="L635" s="249" t="str">
        <f ca="1">IF(C635="","",IF($L$11="ROA",[1]!S_STM07_IS(D635,61,$G$5,$H$13)/[1]!S_STM07_BS(D635,74,$G$5,$H$13),1-[1]!S_STM07_IS(D635,61,$G$5,$H$13)/[1]!S_STM07_IS(D635,55,$G$5,$H$13)))</f>
        <v/>
      </c>
      <c r="M635" s="249" t="str">
        <f ca="1">IF(C635="","",IF($M$11="ROE",[1]!S_STM07_IS(D635,61,$G$5,$H$13)/[1]!S_STM07_BS(D635,141,$G$5,$H$13),([1]!S_STM07_BS(D635,25,$G$5,$H$13)-[1]!S_STM07_BS(D635,93,$G$5,$H$13))/$E$5))</f>
        <v/>
      </c>
      <c r="N635" s="250" t="str">
        <f ca="1">IF(C635="","",IF($N$11="EPS",[1]!S_STM07_IS(D635,61,$G$5,$H$13)/IF([1]!S_SHARE_TOTAL(D635,$G$5)=0,[1]!S_SHARE_TOTAL(D635,[1]!s_ipo_listeddate(D635)),[1]!S_SHARE_TOTAL(D635,$G$5)),([1]!S_STM07_BS(D635,75,$G$5,$H$13)+[1]!S_STM07_BS(D635,88,$G$5,$H$13)+[1]!S_STM07_BS(D635,94,$G$5,$H$13)+[1]!S_STM07_BS(D635,95,$G$5,$H$13))/$E$5))</f>
        <v/>
      </c>
      <c r="O635" s="250" t="str">
        <f ca="1">IF(C635="","",IF($O$11="BPS",[1]!S_STM07_BS(D635,141,$G$5,$H$13)/IF([1]!S_SHARE_TOTAL(D635,$G$5)=0,[1]!S_SHARE_TOTAL(D635,[1]!s_ipo_listeddate(D635)),[1]!S_SHARE_TOTAL(D635,$G$5)),[1]!S_STM07_CS(D635,49,$G$5,$H$13)/$E$5))</f>
        <v/>
      </c>
      <c r="P635" s="250" t="str">
        <f ca="1">IF(C635="","",IF($P$11="CFPS",[1]!S_STM07_CS(D635,84,$G$5,$H$13)/IF([1]!S_SHARE_TOTAL(D635,$G$5)=0,[1]!S_SHARE_TOTAL(D635,[1]!s_ipo_listeddate(D635)),[1]!S_SHARE_TOTAL(D635,$G$5)),[1]!S_STM07_CS(D635,84,$G$5,$H$13)/$E$5))</f>
        <v/>
      </c>
      <c r="Q635" s="198" t="str">
        <f ca="1">IF(C635="","",F635/([1]!S_STM07_IS(D635,61,$G$5,$H$13)/IF([1]!S_SHARE_TOTAL(D635,$G$5)=0,[1]!S_SHARE_TOTAL(D635,[1]!s_ipo_listeddate(D635)),[1]!S_SHARE_TOTAL(D635,$G$5))))</f>
        <v/>
      </c>
      <c r="R635" s="198" t="str">
        <f ca="1">IF(C635="","",F635/([1]!S_STM07_BS(D635,141,$G$5,$H$13)/IF([1]!S_SHARE_TOTAL(D635,$G$5)=0,[1]!S_SHARE_TOTAL(D635,[1]!s_ipo_listeddate(D635)),[1]!S_SHARE_TOTAL(D635,$G$5))))</f>
        <v/>
      </c>
      <c r="S635" s="249" t="str">
        <f ca="1">IF(C635="","",[1]!S_SHARE_TOTAL(D635,TODAY())/$E$5)</f>
        <v/>
      </c>
      <c r="T635" s="249" t="str">
        <f t="shared" ca="1" si="67"/>
        <v/>
      </c>
      <c r="U635" s="172" t="str">
        <f t="shared" ca="1" si="68"/>
        <v/>
      </c>
      <c r="V635" s="343" t="str">
        <f t="shared" ca="1" si="69"/>
        <v/>
      </c>
      <c r="W635" s="139"/>
      <c r="Y635" s="1"/>
    </row>
    <row r="636" spans="3:25" ht="12" customHeight="1">
      <c r="C636" s="342" t="str">
        <f t="shared" ca="1" si="64"/>
        <v/>
      </c>
      <c r="D636" s="153" t="str">
        <f t="shared" ca="1" si="65"/>
        <v/>
      </c>
      <c r="E636" s="153" t="str">
        <f t="shared" ca="1" si="66"/>
        <v/>
      </c>
      <c r="F636" s="170" t="str">
        <f ca="1">IF(C636="","",[1]!S_DQ_CLOSE(D636,TODAY(),1))</f>
        <v/>
      </c>
      <c r="G636" s="171" t="str">
        <f ca="1">IF(C636="","",[1]!s_pq_pctchange(D636,TODAY()-$G$12,TODAY())/100)</f>
        <v/>
      </c>
      <c r="H636" s="247" t="str">
        <f ca="1">IF(C636="","",IF($H$11="收入",[1]!S_STM07_IS(D636,9,$G$5,$H$13)/$E$5,[1]!S_STM07_IS(D636,48,$G$5,$H$13)/$E$5))</f>
        <v/>
      </c>
      <c r="I636" s="247" t="str">
        <f ca="1">IF(C636="","",IF($I$11="毛利率",([1]!S_STM07_IS(D636,9,$G$5,$H$13)-[1]!S_STM07_IS(D636,10,$G$5,$H$13))/[1]!S_STM07_IS(D636,9,$G$5,$H$13),[1]!S_STM07_IS(D636,14,$G$5,$H$13)/$E$5))</f>
        <v/>
      </c>
      <c r="J636" s="247" t="str">
        <f ca="1">IF(C636="","",IF($J$11="营业利润率",[1]!S_STM07_IS(D636,48,$G$5,$H$13)/[1]!S_STM07_IS(D636,9,$G$5,$H$13),([1]!S_STM07_CS(D636,87,$G$5,$H$13)+[1]!S_STM07_CS(D636,88,$G$5,$H$13)+[1]!S_STM07_CS(D636,89,$G$5,$H$13))/$E$5))</f>
        <v/>
      </c>
      <c r="K636" s="247" t="str">
        <f ca="1">IF(C636="","",IF($K$11="净利润率",[1]!S_STM07_IS(D636,61,$G$5,$H$13)/[1]!S_STM07_IS(D636,9,$G$5,$H$13),[1]!S_STM07_IS(D636,55,$G$5,$H$13)/$E$5))</f>
        <v/>
      </c>
      <c r="L636" s="247" t="str">
        <f ca="1">IF(C636="","",IF($L$11="ROA",[1]!S_STM07_IS(D636,61,$G$5,$H$13)/[1]!S_STM07_BS(D636,74,$G$5,$H$13),1-[1]!S_STM07_IS(D636,61,$G$5,$H$13)/[1]!S_STM07_IS(D636,55,$G$5,$H$13)))</f>
        <v/>
      </c>
      <c r="M636" s="247" t="str">
        <f ca="1">IF(C636="","",IF($M$11="ROE",[1]!S_STM07_IS(D636,61,$G$5,$H$13)/[1]!S_STM07_BS(D636,141,$G$5,$H$13),([1]!S_STM07_BS(D636,25,$G$5,$H$13)-[1]!S_STM07_BS(D636,93,$G$5,$H$13))/$E$5))</f>
        <v/>
      </c>
      <c r="N636" s="247" t="str">
        <f ca="1">IF(C636="","",IF($N$11="EPS",[1]!S_STM07_IS(D636,61,$G$5,$H$13)/IF([1]!S_SHARE_TOTAL(D636,$G$5)=0,[1]!S_SHARE_TOTAL(D636,[1]!s_ipo_listeddate(D636)),[1]!S_SHARE_TOTAL(D636,$G$5)),([1]!S_STM07_BS(D636,75,$G$5,$H$13)+[1]!S_STM07_BS(D636,88,$G$5,$H$13)+[1]!S_STM07_BS(D636,94,$G$5,$H$13)+[1]!S_STM07_BS(D636,95,$G$5,$H$13))/$E$5))</f>
        <v/>
      </c>
      <c r="O636" s="247" t="str">
        <f ca="1">IF(C636="","",IF($O$11="BPS",[1]!S_STM07_BS(D636,141,$G$5,$H$13)/IF([1]!S_SHARE_TOTAL(D636,$G$5)=0,[1]!S_SHARE_TOTAL(D636,[1]!s_ipo_listeddate(D636)),[1]!S_SHARE_TOTAL(D636,$G$5)),[1]!S_STM07_CS(D636,49,$G$5,$H$13)/$E$5))</f>
        <v/>
      </c>
      <c r="P636" s="247" t="str">
        <f ca="1">IF(C636="","",IF($P$11="CFPS",[1]!S_STM07_CS(D636,84,$G$5,$H$13)/IF([1]!S_SHARE_TOTAL(D636,$G$5)=0,[1]!S_SHARE_TOTAL(D636,[1]!s_ipo_listeddate(D636)),[1]!S_SHARE_TOTAL(D636,$G$5)),[1]!S_STM07_CS(D636,84,$G$5,$H$13)/$E$5))</f>
        <v/>
      </c>
      <c r="Q636" s="248" t="str">
        <f ca="1">IF(C636="","",F636/([1]!S_STM07_IS(D636,61,$G$5,$H$13)/IF([1]!S_SHARE_TOTAL(D636,$G$5)=0,[1]!S_SHARE_TOTAL(D636,[1]!s_ipo_listeddate(D636)),[1]!S_SHARE_TOTAL(D636,$G$5))))</f>
        <v/>
      </c>
      <c r="R636" s="248" t="str">
        <f ca="1">IF(C636="","",F636/([1]!S_STM07_BS(D636,141,$G$5,$H$13)/IF([1]!S_SHARE_TOTAL(D636,$G$5)=0,[1]!S_SHARE_TOTAL(D636,[1]!s_ipo_listeddate(D636)),[1]!S_SHARE_TOTAL(D636,$G$5))))</f>
        <v/>
      </c>
      <c r="S636" s="247" t="str">
        <f ca="1">IF(C636="","",[1]!S_SHARE_TOTAL(D636,TODAY())/$E$5)</f>
        <v/>
      </c>
      <c r="T636" s="247" t="str">
        <f t="shared" ca="1" si="67"/>
        <v/>
      </c>
      <c r="U636" s="218" t="str">
        <f t="shared" ca="1" si="68"/>
        <v/>
      </c>
      <c r="V636" s="342" t="str">
        <f t="shared" ca="1" si="69"/>
        <v/>
      </c>
      <c r="W636" s="139"/>
      <c r="Y636" s="1"/>
    </row>
    <row r="637" spans="3:25" ht="12" customHeight="1">
      <c r="C637" s="343" t="str">
        <f t="shared" ca="1" si="64"/>
        <v/>
      </c>
      <c r="D637" s="124" t="str">
        <f t="shared" ca="1" si="65"/>
        <v/>
      </c>
      <c r="E637" s="124" t="str">
        <f t="shared" ca="1" si="66"/>
        <v/>
      </c>
      <c r="F637" s="172" t="str">
        <f ca="1">IF(C637="","",[1]!S_DQ_CLOSE(D637,TODAY(),1))</f>
        <v/>
      </c>
      <c r="G637" s="173" t="str">
        <f ca="1">IF(C637="","",[1]!s_pq_pctchange(D637,TODAY()-$G$12,TODAY())/100)</f>
        <v/>
      </c>
      <c r="H637" s="249" t="str">
        <f ca="1">IF(C637="","",IF($H$11="收入",[1]!S_STM07_IS(D637,9,$G$5,$H$13)/$E$5,[1]!S_STM07_IS(D637,48,$G$5,$H$13)/$E$5))</f>
        <v/>
      </c>
      <c r="I637" s="249" t="str">
        <f ca="1">IF(C637="","",IF($I$11="毛利率",([1]!S_STM07_IS(D637,9,$G$5,$H$13)-[1]!S_STM07_IS(D637,10,$G$5,$H$13))/[1]!S_STM07_IS(D637,9,$G$5,$H$13),[1]!S_STM07_IS(D637,14,$G$5,$H$13)/$E$5))</f>
        <v/>
      </c>
      <c r="J637" s="249" t="str">
        <f ca="1">IF(C637="","",IF($J$11="营业利润率",[1]!S_STM07_IS(D637,48,$G$5,$H$13)/[1]!S_STM07_IS(D637,9,$G$5,$H$13),([1]!S_STM07_CS(D637,87,$G$5,$H$13)+[1]!S_STM07_CS(D637,88,$G$5,$H$13)+[1]!S_STM07_CS(D637,89,$G$5,$H$13))/$E$5))</f>
        <v/>
      </c>
      <c r="K637" s="249" t="str">
        <f ca="1">IF(C637="","",IF($K$11="净利润率",[1]!S_STM07_IS(D637,61,$G$5,$H$13)/[1]!S_STM07_IS(D637,9,$G$5,$H$13),[1]!S_STM07_IS(D637,55,$G$5,$H$13)/$E$5))</f>
        <v/>
      </c>
      <c r="L637" s="249" t="str">
        <f ca="1">IF(C637="","",IF($L$11="ROA",[1]!S_STM07_IS(D637,61,$G$5,$H$13)/[1]!S_STM07_BS(D637,74,$G$5,$H$13),1-[1]!S_STM07_IS(D637,61,$G$5,$H$13)/[1]!S_STM07_IS(D637,55,$G$5,$H$13)))</f>
        <v/>
      </c>
      <c r="M637" s="249" t="str">
        <f ca="1">IF(C637="","",IF($M$11="ROE",[1]!S_STM07_IS(D637,61,$G$5,$H$13)/[1]!S_STM07_BS(D637,141,$G$5,$H$13),([1]!S_STM07_BS(D637,25,$G$5,$H$13)-[1]!S_STM07_BS(D637,93,$G$5,$H$13))/$E$5))</f>
        <v/>
      </c>
      <c r="N637" s="250" t="str">
        <f ca="1">IF(C637="","",IF($N$11="EPS",[1]!S_STM07_IS(D637,61,$G$5,$H$13)/IF([1]!S_SHARE_TOTAL(D637,$G$5)=0,[1]!S_SHARE_TOTAL(D637,[1]!s_ipo_listeddate(D637)),[1]!S_SHARE_TOTAL(D637,$G$5)),([1]!S_STM07_BS(D637,75,$G$5,$H$13)+[1]!S_STM07_BS(D637,88,$G$5,$H$13)+[1]!S_STM07_BS(D637,94,$G$5,$H$13)+[1]!S_STM07_BS(D637,95,$G$5,$H$13))/$E$5))</f>
        <v/>
      </c>
      <c r="O637" s="250" t="str">
        <f ca="1">IF(C637="","",IF($O$11="BPS",[1]!S_STM07_BS(D637,141,$G$5,$H$13)/IF([1]!S_SHARE_TOTAL(D637,$G$5)=0,[1]!S_SHARE_TOTAL(D637,[1]!s_ipo_listeddate(D637)),[1]!S_SHARE_TOTAL(D637,$G$5)),[1]!S_STM07_CS(D637,49,$G$5,$H$13)/$E$5))</f>
        <v/>
      </c>
      <c r="P637" s="250" t="str">
        <f ca="1">IF(C637="","",IF($P$11="CFPS",[1]!S_STM07_CS(D637,84,$G$5,$H$13)/IF([1]!S_SHARE_TOTAL(D637,$G$5)=0,[1]!S_SHARE_TOTAL(D637,[1]!s_ipo_listeddate(D637)),[1]!S_SHARE_TOTAL(D637,$G$5)),[1]!S_STM07_CS(D637,84,$G$5,$H$13)/$E$5))</f>
        <v/>
      </c>
      <c r="Q637" s="198" t="str">
        <f ca="1">IF(C637="","",F637/([1]!S_STM07_IS(D637,61,$G$5,$H$13)/IF([1]!S_SHARE_TOTAL(D637,$G$5)=0,[1]!S_SHARE_TOTAL(D637,[1]!s_ipo_listeddate(D637)),[1]!S_SHARE_TOTAL(D637,$G$5))))</f>
        <v/>
      </c>
      <c r="R637" s="198" t="str">
        <f ca="1">IF(C637="","",F637/([1]!S_STM07_BS(D637,141,$G$5,$H$13)/IF([1]!S_SHARE_TOTAL(D637,$G$5)=0,[1]!S_SHARE_TOTAL(D637,[1]!s_ipo_listeddate(D637)),[1]!S_SHARE_TOTAL(D637,$G$5))))</f>
        <v/>
      </c>
      <c r="S637" s="249" t="str">
        <f ca="1">IF(C637="","",[1]!S_SHARE_TOTAL(D637,TODAY())/$E$5)</f>
        <v/>
      </c>
      <c r="T637" s="249" t="str">
        <f t="shared" ca="1" si="67"/>
        <v/>
      </c>
      <c r="U637" s="172" t="str">
        <f t="shared" ca="1" si="68"/>
        <v/>
      </c>
      <c r="V637" s="343" t="str">
        <f t="shared" ca="1" si="69"/>
        <v/>
      </c>
      <c r="W637" s="139"/>
      <c r="Y637" s="1"/>
    </row>
    <row r="638" spans="3:25" ht="12" customHeight="1">
      <c r="C638" s="342" t="str">
        <f t="shared" ca="1" si="64"/>
        <v/>
      </c>
      <c r="D638" s="153" t="str">
        <f t="shared" ca="1" si="65"/>
        <v/>
      </c>
      <c r="E638" s="153" t="str">
        <f t="shared" ca="1" si="66"/>
        <v/>
      </c>
      <c r="F638" s="170" t="str">
        <f ca="1">IF(C638="","",[1]!S_DQ_CLOSE(D638,TODAY(),1))</f>
        <v/>
      </c>
      <c r="G638" s="171" t="str">
        <f ca="1">IF(C638="","",[1]!s_pq_pctchange(D638,TODAY()-$G$12,TODAY())/100)</f>
        <v/>
      </c>
      <c r="H638" s="247" t="str">
        <f ca="1">IF(C638="","",IF($H$11="收入",[1]!S_STM07_IS(D638,9,$G$5,$H$13)/$E$5,[1]!S_STM07_IS(D638,48,$G$5,$H$13)/$E$5))</f>
        <v/>
      </c>
      <c r="I638" s="247" t="str">
        <f ca="1">IF(C638="","",IF($I$11="毛利率",([1]!S_STM07_IS(D638,9,$G$5,$H$13)-[1]!S_STM07_IS(D638,10,$G$5,$H$13))/[1]!S_STM07_IS(D638,9,$G$5,$H$13),[1]!S_STM07_IS(D638,14,$G$5,$H$13)/$E$5))</f>
        <v/>
      </c>
      <c r="J638" s="247" t="str">
        <f ca="1">IF(C638="","",IF($J$11="营业利润率",[1]!S_STM07_IS(D638,48,$G$5,$H$13)/[1]!S_STM07_IS(D638,9,$G$5,$H$13),([1]!S_STM07_CS(D638,87,$G$5,$H$13)+[1]!S_STM07_CS(D638,88,$G$5,$H$13)+[1]!S_STM07_CS(D638,89,$G$5,$H$13))/$E$5))</f>
        <v/>
      </c>
      <c r="K638" s="247" t="str">
        <f ca="1">IF(C638="","",IF($K$11="净利润率",[1]!S_STM07_IS(D638,61,$G$5,$H$13)/[1]!S_STM07_IS(D638,9,$G$5,$H$13),[1]!S_STM07_IS(D638,55,$G$5,$H$13)/$E$5))</f>
        <v/>
      </c>
      <c r="L638" s="247" t="str">
        <f ca="1">IF(C638="","",IF($L$11="ROA",[1]!S_STM07_IS(D638,61,$G$5,$H$13)/[1]!S_STM07_BS(D638,74,$G$5,$H$13),1-[1]!S_STM07_IS(D638,61,$G$5,$H$13)/[1]!S_STM07_IS(D638,55,$G$5,$H$13)))</f>
        <v/>
      </c>
      <c r="M638" s="247" t="str">
        <f ca="1">IF(C638="","",IF($M$11="ROE",[1]!S_STM07_IS(D638,61,$G$5,$H$13)/[1]!S_STM07_BS(D638,141,$G$5,$H$13),([1]!S_STM07_BS(D638,25,$G$5,$H$13)-[1]!S_STM07_BS(D638,93,$G$5,$H$13))/$E$5))</f>
        <v/>
      </c>
      <c r="N638" s="247" t="str">
        <f ca="1">IF(C638="","",IF($N$11="EPS",[1]!S_STM07_IS(D638,61,$G$5,$H$13)/IF([1]!S_SHARE_TOTAL(D638,$G$5)=0,[1]!S_SHARE_TOTAL(D638,[1]!s_ipo_listeddate(D638)),[1]!S_SHARE_TOTAL(D638,$G$5)),([1]!S_STM07_BS(D638,75,$G$5,$H$13)+[1]!S_STM07_BS(D638,88,$G$5,$H$13)+[1]!S_STM07_BS(D638,94,$G$5,$H$13)+[1]!S_STM07_BS(D638,95,$G$5,$H$13))/$E$5))</f>
        <v/>
      </c>
      <c r="O638" s="247" t="str">
        <f ca="1">IF(C638="","",IF($O$11="BPS",[1]!S_STM07_BS(D638,141,$G$5,$H$13)/IF([1]!S_SHARE_TOTAL(D638,$G$5)=0,[1]!S_SHARE_TOTAL(D638,[1]!s_ipo_listeddate(D638)),[1]!S_SHARE_TOTAL(D638,$G$5)),[1]!S_STM07_CS(D638,49,$G$5,$H$13)/$E$5))</f>
        <v/>
      </c>
      <c r="P638" s="247" t="str">
        <f ca="1">IF(C638="","",IF($P$11="CFPS",[1]!S_STM07_CS(D638,84,$G$5,$H$13)/IF([1]!S_SHARE_TOTAL(D638,$G$5)=0,[1]!S_SHARE_TOTAL(D638,[1]!s_ipo_listeddate(D638)),[1]!S_SHARE_TOTAL(D638,$G$5)),[1]!S_STM07_CS(D638,84,$G$5,$H$13)/$E$5))</f>
        <v/>
      </c>
      <c r="Q638" s="248" t="str">
        <f ca="1">IF(C638="","",F638/([1]!S_STM07_IS(D638,61,$G$5,$H$13)/IF([1]!S_SHARE_TOTAL(D638,$G$5)=0,[1]!S_SHARE_TOTAL(D638,[1]!s_ipo_listeddate(D638)),[1]!S_SHARE_TOTAL(D638,$G$5))))</f>
        <v/>
      </c>
      <c r="R638" s="248" t="str">
        <f ca="1">IF(C638="","",F638/([1]!S_STM07_BS(D638,141,$G$5,$H$13)/IF([1]!S_SHARE_TOTAL(D638,$G$5)=0,[1]!S_SHARE_TOTAL(D638,[1]!s_ipo_listeddate(D638)),[1]!S_SHARE_TOTAL(D638,$G$5))))</f>
        <v/>
      </c>
      <c r="S638" s="247" t="str">
        <f ca="1">IF(C638="","",[1]!S_SHARE_TOTAL(D638,TODAY())/$E$5)</f>
        <v/>
      </c>
      <c r="T638" s="247" t="str">
        <f t="shared" ca="1" si="67"/>
        <v/>
      </c>
      <c r="U638" s="218" t="str">
        <f t="shared" ca="1" si="68"/>
        <v/>
      </c>
      <c r="V638" s="342" t="str">
        <f t="shared" ca="1" si="69"/>
        <v/>
      </c>
      <c r="W638" s="139"/>
      <c r="Y638" s="1"/>
    </row>
    <row r="639" spans="3:25" ht="12" customHeight="1">
      <c r="C639" s="343" t="str">
        <f t="shared" ca="1" si="64"/>
        <v/>
      </c>
      <c r="D639" s="124" t="str">
        <f t="shared" ca="1" si="65"/>
        <v/>
      </c>
      <c r="E639" s="124" t="str">
        <f t="shared" ca="1" si="66"/>
        <v/>
      </c>
      <c r="F639" s="172" t="str">
        <f ca="1">IF(C639="","",[1]!S_DQ_CLOSE(D639,TODAY(),1))</f>
        <v/>
      </c>
      <c r="G639" s="173" t="str">
        <f ca="1">IF(C639="","",[1]!s_pq_pctchange(D639,TODAY()-$G$12,TODAY())/100)</f>
        <v/>
      </c>
      <c r="H639" s="249" t="str">
        <f ca="1">IF(C639="","",IF($H$11="收入",[1]!S_STM07_IS(D639,9,$G$5,$H$13)/$E$5,[1]!S_STM07_IS(D639,48,$G$5,$H$13)/$E$5))</f>
        <v/>
      </c>
      <c r="I639" s="249" t="str">
        <f ca="1">IF(C639="","",IF($I$11="毛利率",([1]!S_STM07_IS(D639,9,$G$5,$H$13)-[1]!S_STM07_IS(D639,10,$G$5,$H$13))/[1]!S_STM07_IS(D639,9,$G$5,$H$13),[1]!S_STM07_IS(D639,14,$G$5,$H$13)/$E$5))</f>
        <v/>
      </c>
      <c r="J639" s="249" t="str">
        <f ca="1">IF(C639="","",IF($J$11="营业利润率",[1]!S_STM07_IS(D639,48,$G$5,$H$13)/[1]!S_STM07_IS(D639,9,$G$5,$H$13),([1]!S_STM07_CS(D639,87,$G$5,$H$13)+[1]!S_STM07_CS(D639,88,$G$5,$H$13)+[1]!S_STM07_CS(D639,89,$G$5,$H$13))/$E$5))</f>
        <v/>
      </c>
      <c r="K639" s="249" t="str">
        <f ca="1">IF(C639="","",IF($K$11="净利润率",[1]!S_STM07_IS(D639,61,$G$5,$H$13)/[1]!S_STM07_IS(D639,9,$G$5,$H$13),[1]!S_STM07_IS(D639,55,$G$5,$H$13)/$E$5))</f>
        <v/>
      </c>
      <c r="L639" s="249" t="str">
        <f ca="1">IF(C639="","",IF($L$11="ROA",[1]!S_STM07_IS(D639,61,$G$5,$H$13)/[1]!S_STM07_BS(D639,74,$G$5,$H$13),1-[1]!S_STM07_IS(D639,61,$G$5,$H$13)/[1]!S_STM07_IS(D639,55,$G$5,$H$13)))</f>
        <v/>
      </c>
      <c r="M639" s="249" t="str">
        <f ca="1">IF(C639="","",IF($M$11="ROE",[1]!S_STM07_IS(D639,61,$G$5,$H$13)/[1]!S_STM07_BS(D639,141,$G$5,$H$13),([1]!S_STM07_BS(D639,25,$G$5,$H$13)-[1]!S_STM07_BS(D639,93,$G$5,$H$13))/$E$5))</f>
        <v/>
      </c>
      <c r="N639" s="250" t="str">
        <f ca="1">IF(C639="","",IF($N$11="EPS",[1]!S_STM07_IS(D639,61,$G$5,$H$13)/IF([1]!S_SHARE_TOTAL(D639,$G$5)=0,[1]!S_SHARE_TOTAL(D639,[1]!s_ipo_listeddate(D639)),[1]!S_SHARE_TOTAL(D639,$G$5)),([1]!S_STM07_BS(D639,75,$G$5,$H$13)+[1]!S_STM07_BS(D639,88,$G$5,$H$13)+[1]!S_STM07_BS(D639,94,$G$5,$H$13)+[1]!S_STM07_BS(D639,95,$G$5,$H$13))/$E$5))</f>
        <v/>
      </c>
      <c r="O639" s="250" t="str">
        <f ca="1">IF(C639="","",IF($O$11="BPS",[1]!S_STM07_BS(D639,141,$G$5,$H$13)/IF([1]!S_SHARE_TOTAL(D639,$G$5)=0,[1]!S_SHARE_TOTAL(D639,[1]!s_ipo_listeddate(D639)),[1]!S_SHARE_TOTAL(D639,$G$5)),[1]!S_STM07_CS(D639,49,$G$5,$H$13)/$E$5))</f>
        <v/>
      </c>
      <c r="P639" s="250" t="str">
        <f ca="1">IF(C639="","",IF($P$11="CFPS",[1]!S_STM07_CS(D639,84,$G$5,$H$13)/IF([1]!S_SHARE_TOTAL(D639,$G$5)=0,[1]!S_SHARE_TOTAL(D639,[1]!s_ipo_listeddate(D639)),[1]!S_SHARE_TOTAL(D639,$G$5)),[1]!S_STM07_CS(D639,84,$G$5,$H$13)/$E$5))</f>
        <v/>
      </c>
      <c r="Q639" s="198" t="str">
        <f ca="1">IF(C639="","",F639/([1]!S_STM07_IS(D639,61,$G$5,$H$13)/IF([1]!S_SHARE_TOTAL(D639,$G$5)=0,[1]!S_SHARE_TOTAL(D639,[1]!s_ipo_listeddate(D639)),[1]!S_SHARE_TOTAL(D639,$G$5))))</f>
        <v/>
      </c>
      <c r="R639" s="198" t="str">
        <f ca="1">IF(C639="","",F639/([1]!S_STM07_BS(D639,141,$G$5,$H$13)/IF([1]!S_SHARE_TOTAL(D639,$G$5)=0,[1]!S_SHARE_TOTAL(D639,[1]!s_ipo_listeddate(D639)),[1]!S_SHARE_TOTAL(D639,$G$5))))</f>
        <v/>
      </c>
      <c r="S639" s="249" t="str">
        <f ca="1">IF(C639="","",[1]!S_SHARE_TOTAL(D639,TODAY())/$E$5)</f>
        <v/>
      </c>
      <c r="T639" s="249" t="str">
        <f t="shared" ca="1" si="67"/>
        <v/>
      </c>
      <c r="U639" s="172" t="str">
        <f t="shared" ca="1" si="68"/>
        <v/>
      </c>
      <c r="V639" s="343" t="str">
        <f t="shared" ca="1" si="69"/>
        <v/>
      </c>
      <c r="W639" s="139"/>
      <c r="Y639" s="1"/>
    </row>
    <row r="640" spans="3:25" ht="12" customHeight="1">
      <c r="C640" s="342" t="str">
        <f t="shared" ca="1" si="64"/>
        <v/>
      </c>
      <c r="D640" s="153" t="str">
        <f t="shared" ca="1" si="65"/>
        <v/>
      </c>
      <c r="E640" s="153" t="str">
        <f t="shared" ca="1" si="66"/>
        <v/>
      </c>
      <c r="F640" s="170" t="str">
        <f ca="1">IF(C640="","",[1]!S_DQ_CLOSE(D640,TODAY(),1))</f>
        <v/>
      </c>
      <c r="G640" s="171" t="str">
        <f ca="1">IF(C640="","",[1]!s_pq_pctchange(D640,TODAY()-$G$12,TODAY())/100)</f>
        <v/>
      </c>
      <c r="H640" s="247" t="str">
        <f ca="1">IF(C640="","",IF($H$11="收入",[1]!S_STM07_IS(D640,9,$G$5,$H$13)/$E$5,[1]!S_STM07_IS(D640,48,$G$5,$H$13)/$E$5))</f>
        <v/>
      </c>
      <c r="I640" s="247" t="str">
        <f ca="1">IF(C640="","",IF($I$11="毛利率",([1]!S_STM07_IS(D640,9,$G$5,$H$13)-[1]!S_STM07_IS(D640,10,$G$5,$H$13))/[1]!S_STM07_IS(D640,9,$G$5,$H$13),[1]!S_STM07_IS(D640,14,$G$5,$H$13)/$E$5))</f>
        <v/>
      </c>
      <c r="J640" s="247" t="str">
        <f ca="1">IF(C640="","",IF($J$11="营业利润率",[1]!S_STM07_IS(D640,48,$G$5,$H$13)/[1]!S_STM07_IS(D640,9,$G$5,$H$13),([1]!S_STM07_CS(D640,87,$G$5,$H$13)+[1]!S_STM07_CS(D640,88,$G$5,$H$13)+[1]!S_STM07_CS(D640,89,$G$5,$H$13))/$E$5))</f>
        <v/>
      </c>
      <c r="K640" s="247" t="str">
        <f ca="1">IF(C640="","",IF($K$11="净利润率",[1]!S_STM07_IS(D640,61,$G$5,$H$13)/[1]!S_STM07_IS(D640,9,$G$5,$H$13),[1]!S_STM07_IS(D640,55,$G$5,$H$13)/$E$5))</f>
        <v/>
      </c>
      <c r="L640" s="247" t="str">
        <f ca="1">IF(C640="","",IF($L$11="ROA",[1]!S_STM07_IS(D640,61,$G$5,$H$13)/[1]!S_STM07_BS(D640,74,$G$5,$H$13),1-[1]!S_STM07_IS(D640,61,$G$5,$H$13)/[1]!S_STM07_IS(D640,55,$G$5,$H$13)))</f>
        <v/>
      </c>
      <c r="M640" s="247" t="str">
        <f ca="1">IF(C640="","",IF($M$11="ROE",[1]!S_STM07_IS(D640,61,$G$5,$H$13)/[1]!S_STM07_BS(D640,141,$G$5,$H$13),([1]!S_STM07_BS(D640,25,$G$5,$H$13)-[1]!S_STM07_BS(D640,93,$G$5,$H$13))/$E$5))</f>
        <v/>
      </c>
      <c r="N640" s="247" t="str">
        <f ca="1">IF(C640="","",IF($N$11="EPS",[1]!S_STM07_IS(D640,61,$G$5,$H$13)/IF([1]!S_SHARE_TOTAL(D640,$G$5)=0,[1]!S_SHARE_TOTAL(D640,[1]!s_ipo_listeddate(D640)),[1]!S_SHARE_TOTAL(D640,$G$5)),([1]!S_STM07_BS(D640,75,$G$5,$H$13)+[1]!S_STM07_BS(D640,88,$G$5,$H$13)+[1]!S_STM07_BS(D640,94,$G$5,$H$13)+[1]!S_STM07_BS(D640,95,$G$5,$H$13))/$E$5))</f>
        <v/>
      </c>
      <c r="O640" s="247" t="str">
        <f ca="1">IF(C640="","",IF($O$11="BPS",[1]!S_STM07_BS(D640,141,$G$5,$H$13)/IF([1]!S_SHARE_TOTAL(D640,$G$5)=0,[1]!S_SHARE_TOTAL(D640,[1]!s_ipo_listeddate(D640)),[1]!S_SHARE_TOTAL(D640,$G$5)),[1]!S_STM07_CS(D640,49,$G$5,$H$13)/$E$5))</f>
        <v/>
      </c>
      <c r="P640" s="247" t="str">
        <f ca="1">IF(C640="","",IF($P$11="CFPS",[1]!S_STM07_CS(D640,84,$G$5,$H$13)/IF([1]!S_SHARE_TOTAL(D640,$G$5)=0,[1]!S_SHARE_TOTAL(D640,[1]!s_ipo_listeddate(D640)),[1]!S_SHARE_TOTAL(D640,$G$5)),[1]!S_STM07_CS(D640,84,$G$5,$H$13)/$E$5))</f>
        <v/>
      </c>
      <c r="Q640" s="248" t="str">
        <f ca="1">IF(C640="","",F640/([1]!S_STM07_IS(D640,61,$G$5,$H$13)/IF([1]!S_SHARE_TOTAL(D640,$G$5)=0,[1]!S_SHARE_TOTAL(D640,[1]!s_ipo_listeddate(D640)),[1]!S_SHARE_TOTAL(D640,$G$5))))</f>
        <v/>
      </c>
      <c r="R640" s="248" t="str">
        <f ca="1">IF(C640="","",F640/([1]!S_STM07_BS(D640,141,$G$5,$H$13)/IF([1]!S_SHARE_TOTAL(D640,$G$5)=0,[1]!S_SHARE_TOTAL(D640,[1]!s_ipo_listeddate(D640)),[1]!S_SHARE_TOTAL(D640,$G$5))))</f>
        <v/>
      </c>
      <c r="S640" s="247" t="str">
        <f ca="1">IF(C640="","",[1]!S_SHARE_TOTAL(D640,TODAY())/$E$5)</f>
        <v/>
      </c>
      <c r="T640" s="247" t="str">
        <f t="shared" ca="1" si="67"/>
        <v/>
      </c>
      <c r="U640" s="218" t="str">
        <f t="shared" ca="1" si="68"/>
        <v/>
      </c>
      <c r="V640" s="342" t="str">
        <f t="shared" ca="1" si="69"/>
        <v/>
      </c>
      <c r="W640" s="139"/>
      <c r="Y640" s="1"/>
    </row>
    <row r="641" spans="3:25" ht="12" customHeight="1">
      <c r="C641" s="343" t="str">
        <f t="shared" ca="1" si="64"/>
        <v/>
      </c>
      <c r="D641" s="124" t="str">
        <f t="shared" ca="1" si="65"/>
        <v/>
      </c>
      <c r="E641" s="124" t="str">
        <f t="shared" ca="1" si="66"/>
        <v/>
      </c>
      <c r="F641" s="172" t="str">
        <f ca="1">IF(C641="","",[1]!S_DQ_CLOSE(D641,TODAY(),1))</f>
        <v/>
      </c>
      <c r="G641" s="173" t="str">
        <f ca="1">IF(C641="","",[1]!s_pq_pctchange(D641,TODAY()-$G$12,TODAY())/100)</f>
        <v/>
      </c>
      <c r="H641" s="249" t="str">
        <f ca="1">IF(C641="","",IF($H$11="收入",[1]!S_STM07_IS(D641,9,$G$5,$H$13)/$E$5,[1]!S_STM07_IS(D641,48,$G$5,$H$13)/$E$5))</f>
        <v/>
      </c>
      <c r="I641" s="249" t="str">
        <f ca="1">IF(C641="","",IF($I$11="毛利率",([1]!S_STM07_IS(D641,9,$G$5,$H$13)-[1]!S_STM07_IS(D641,10,$G$5,$H$13))/[1]!S_STM07_IS(D641,9,$G$5,$H$13),[1]!S_STM07_IS(D641,14,$G$5,$H$13)/$E$5))</f>
        <v/>
      </c>
      <c r="J641" s="249" t="str">
        <f ca="1">IF(C641="","",IF($J$11="营业利润率",[1]!S_STM07_IS(D641,48,$G$5,$H$13)/[1]!S_STM07_IS(D641,9,$G$5,$H$13),([1]!S_STM07_CS(D641,87,$G$5,$H$13)+[1]!S_STM07_CS(D641,88,$G$5,$H$13)+[1]!S_STM07_CS(D641,89,$G$5,$H$13))/$E$5))</f>
        <v/>
      </c>
      <c r="K641" s="249" t="str">
        <f ca="1">IF(C641="","",IF($K$11="净利润率",[1]!S_STM07_IS(D641,61,$G$5,$H$13)/[1]!S_STM07_IS(D641,9,$G$5,$H$13),[1]!S_STM07_IS(D641,55,$G$5,$H$13)/$E$5))</f>
        <v/>
      </c>
      <c r="L641" s="249" t="str">
        <f ca="1">IF(C641="","",IF($L$11="ROA",[1]!S_STM07_IS(D641,61,$G$5,$H$13)/[1]!S_STM07_BS(D641,74,$G$5,$H$13),1-[1]!S_STM07_IS(D641,61,$G$5,$H$13)/[1]!S_STM07_IS(D641,55,$G$5,$H$13)))</f>
        <v/>
      </c>
      <c r="M641" s="249" t="str">
        <f ca="1">IF(C641="","",IF($M$11="ROE",[1]!S_STM07_IS(D641,61,$G$5,$H$13)/[1]!S_STM07_BS(D641,141,$G$5,$H$13),([1]!S_STM07_BS(D641,25,$G$5,$H$13)-[1]!S_STM07_BS(D641,93,$G$5,$H$13))/$E$5))</f>
        <v/>
      </c>
      <c r="N641" s="250" t="str">
        <f ca="1">IF(C641="","",IF($N$11="EPS",[1]!S_STM07_IS(D641,61,$G$5,$H$13)/IF([1]!S_SHARE_TOTAL(D641,$G$5)=0,[1]!S_SHARE_TOTAL(D641,[1]!s_ipo_listeddate(D641)),[1]!S_SHARE_TOTAL(D641,$G$5)),([1]!S_STM07_BS(D641,75,$G$5,$H$13)+[1]!S_STM07_BS(D641,88,$G$5,$H$13)+[1]!S_STM07_BS(D641,94,$G$5,$H$13)+[1]!S_STM07_BS(D641,95,$G$5,$H$13))/$E$5))</f>
        <v/>
      </c>
      <c r="O641" s="250" t="str">
        <f ca="1">IF(C641="","",IF($O$11="BPS",[1]!S_STM07_BS(D641,141,$G$5,$H$13)/IF([1]!S_SHARE_TOTAL(D641,$G$5)=0,[1]!S_SHARE_TOTAL(D641,[1]!s_ipo_listeddate(D641)),[1]!S_SHARE_TOTAL(D641,$G$5)),[1]!S_STM07_CS(D641,49,$G$5,$H$13)/$E$5))</f>
        <v/>
      </c>
      <c r="P641" s="250" t="str">
        <f ca="1">IF(C641="","",IF($P$11="CFPS",[1]!S_STM07_CS(D641,84,$G$5,$H$13)/IF([1]!S_SHARE_TOTAL(D641,$G$5)=0,[1]!S_SHARE_TOTAL(D641,[1]!s_ipo_listeddate(D641)),[1]!S_SHARE_TOTAL(D641,$G$5)),[1]!S_STM07_CS(D641,84,$G$5,$H$13)/$E$5))</f>
        <v/>
      </c>
      <c r="Q641" s="198" t="str">
        <f ca="1">IF(C641="","",F641/([1]!S_STM07_IS(D641,61,$G$5,$H$13)/IF([1]!S_SHARE_TOTAL(D641,$G$5)=0,[1]!S_SHARE_TOTAL(D641,[1]!s_ipo_listeddate(D641)),[1]!S_SHARE_TOTAL(D641,$G$5))))</f>
        <v/>
      </c>
      <c r="R641" s="198" t="str">
        <f ca="1">IF(C641="","",F641/([1]!S_STM07_BS(D641,141,$G$5,$H$13)/IF([1]!S_SHARE_TOTAL(D641,$G$5)=0,[1]!S_SHARE_TOTAL(D641,[1]!s_ipo_listeddate(D641)),[1]!S_SHARE_TOTAL(D641,$G$5))))</f>
        <v/>
      </c>
      <c r="S641" s="249" t="str">
        <f ca="1">IF(C641="","",[1]!S_SHARE_TOTAL(D641,TODAY())/$E$5)</f>
        <v/>
      </c>
      <c r="T641" s="249" t="str">
        <f t="shared" ca="1" si="67"/>
        <v/>
      </c>
      <c r="U641" s="172" t="str">
        <f t="shared" ca="1" si="68"/>
        <v/>
      </c>
      <c r="V641" s="343" t="str">
        <f t="shared" ca="1" si="69"/>
        <v/>
      </c>
      <c r="W641" s="139"/>
      <c r="Y641" s="1"/>
    </row>
    <row r="642" spans="3:25" ht="12" customHeight="1">
      <c r="C642" s="342" t="str">
        <f t="shared" ca="1" si="64"/>
        <v/>
      </c>
      <c r="D642" s="153" t="str">
        <f t="shared" ca="1" si="65"/>
        <v/>
      </c>
      <c r="E642" s="153" t="str">
        <f t="shared" ca="1" si="66"/>
        <v/>
      </c>
      <c r="F642" s="170" t="str">
        <f ca="1">IF(C642="","",[1]!S_DQ_CLOSE(D642,TODAY(),1))</f>
        <v/>
      </c>
      <c r="G642" s="171" t="str">
        <f ca="1">IF(C642="","",[1]!s_pq_pctchange(D642,TODAY()-$G$12,TODAY())/100)</f>
        <v/>
      </c>
      <c r="H642" s="247" t="str">
        <f ca="1">IF(C642="","",IF($H$11="收入",[1]!S_STM07_IS(D642,9,$G$5,$H$13)/$E$5,[1]!S_STM07_IS(D642,48,$G$5,$H$13)/$E$5))</f>
        <v/>
      </c>
      <c r="I642" s="247" t="str">
        <f ca="1">IF(C642="","",IF($I$11="毛利率",([1]!S_STM07_IS(D642,9,$G$5,$H$13)-[1]!S_STM07_IS(D642,10,$G$5,$H$13))/[1]!S_STM07_IS(D642,9,$G$5,$H$13),[1]!S_STM07_IS(D642,14,$G$5,$H$13)/$E$5))</f>
        <v/>
      </c>
      <c r="J642" s="247" t="str">
        <f ca="1">IF(C642="","",IF($J$11="营业利润率",[1]!S_STM07_IS(D642,48,$G$5,$H$13)/[1]!S_STM07_IS(D642,9,$G$5,$H$13),([1]!S_STM07_CS(D642,87,$G$5,$H$13)+[1]!S_STM07_CS(D642,88,$G$5,$H$13)+[1]!S_STM07_CS(D642,89,$G$5,$H$13))/$E$5))</f>
        <v/>
      </c>
      <c r="K642" s="247" t="str">
        <f ca="1">IF(C642="","",IF($K$11="净利润率",[1]!S_STM07_IS(D642,61,$G$5,$H$13)/[1]!S_STM07_IS(D642,9,$G$5,$H$13),[1]!S_STM07_IS(D642,55,$G$5,$H$13)/$E$5))</f>
        <v/>
      </c>
      <c r="L642" s="247" t="str">
        <f ca="1">IF(C642="","",IF($L$11="ROA",[1]!S_STM07_IS(D642,61,$G$5,$H$13)/[1]!S_STM07_BS(D642,74,$G$5,$H$13),1-[1]!S_STM07_IS(D642,61,$G$5,$H$13)/[1]!S_STM07_IS(D642,55,$G$5,$H$13)))</f>
        <v/>
      </c>
      <c r="M642" s="247" t="str">
        <f ca="1">IF(C642="","",IF($M$11="ROE",[1]!S_STM07_IS(D642,61,$G$5,$H$13)/[1]!S_STM07_BS(D642,141,$G$5,$H$13),([1]!S_STM07_BS(D642,25,$G$5,$H$13)-[1]!S_STM07_BS(D642,93,$G$5,$H$13))/$E$5))</f>
        <v/>
      </c>
      <c r="N642" s="247" t="str">
        <f ca="1">IF(C642="","",IF($N$11="EPS",[1]!S_STM07_IS(D642,61,$G$5,$H$13)/IF([1]!S_SHARE_TOTAL(D642,$G$5)=0,[1]!S_SHARE_TOTAL(D642,[1]!s_ipo_listeddate(D642)),[1]!S_SHARE_TOTAL(D642,$G$5)),([1]!S_STM07_BS(D642,75,$G$5,$H$13)+[1]!S_STM07_BS(D642,88,$G$5,$H$13)+[1]!S_STM07_BS(D642,94,$G$5,$H$13)+[1]!S_STM07_BS(D642,95,$G$5,$H$13))/$E$5))</f>
        <v/>
      </c>
      <c r="O642" s="247" t="str">
        <f ca="1">IF(C642="","",IF($O$11="BPS",[1]!S_STM07_BS(D642,141,$G$5,$H$13)/IF([1]!S_SHARE_TOTAL(D642,$G$5)=0,[1]!S_SHARE_TOTAL(D642,[1]!s_ipo_listeddate(D642)),[1]!S_SHARE_TOTAL(D642,$G$5)),[1]!S_STM07_CS(D642,49,$G$5,$H$13)/$E$5))</f>
        <v/>
      </c>
      <c r="P642" s="247" t="str">
        <f ca="1">IF(C642="","",IF($P$11="CFPS",[1]!S_STM07_CS(D642,84,$G$5,$H$13)/IF([1]!S_SHARE_TOTAL(D642,$G$5)=0,[1]!S_SHARE_TOTAL(D642,[1]!s_ipo_listeddate(D642)),[1]!S_SHARE_TOTAL(D642,$G$5)),[1]!S_STM07_CS(D642,84,$G$5,$H$13)/$E$5))</f>
        <v/>
      </c>
      <c r="Q642" s="248" t="str">
        <f ca="1">IF(C642="","",F642/([1]!S_STM07_IS(D642,61,$G$5,$H$13)/IF([1]!S_SHARE_TOTAL(D642,$G$5)=0,[1]!S_SHARE_TOTAL(D642,[1]!s_ipo_listeddate(D642)),[1]!S_SHARE_TOTAL(D642,$G$5))))</f>
        <v/>
      </c>
      <c r="R642" s="248" t="str">
        <f ca="1">IF(C642="","",F642/([1]!S_STM07_BS(D642,141,$G$5,$H$13)/IF([1]!S_SHARE_TOTAL(D642,$G$5)=0,[1]!S_SHARE_TOTAL(D642,[1]!s_ipo_listeddate(D642)),[1]!S_SHARE_TOTAL(D642,$G$5))))</f>
        <v/>
      </c>
      <c r="S642" s="247" t="str">
        <f ca="1">IF(C642="","",[1]!S_SHARE_TOTAL(D642,TODAY())/$E$5)</f>
        <v/>
      </c>
      <c r="T642" s="247" t="str">
        <f t="shared" ca="1" si="67"/>
        <v/>
      </c>
      <c r="U642" s="218" t="str">
        <f t="shared" ca="1" si="68"/>
        <v/>
      </c>
      <c r="V642" s="342" t="str">
        <f t="shared" ca="1" si="69"/>
        <v/>
      </c>
      <c r="W642" s="139"/>
      <c r="Y642" s="1"/>
    </row>
    <row r="643" spans="3:25" ht="12" customHeight="1">
      <c r="C643" s="343" t="str">
        <f t="shared" ca="1" si="64"/>
        <v/>
      </c>
      <c r="D643" s="124" t="str">
        <f t="shared" ca="1" si="65"/>
        <v/>
      </c>
      <c r="E643" s="124" t="str">
        <f t="shared" ca="1" si="66"/>
        <v/>
      </c>
      <c r="F643" s="172" t="str">
        <f ca="1">IF(C643="","",[1]!S_DQ_CLOSE(D643,TODAY(),1))</f>
        <v/>
      </c>
      <c r="G643" s="173" t="str">
        <f ca="1">IF(C643="","",[1]!s_pq_pctchange(D643,TODAY()-$G$12,TODAY())/100)</f>
        <v/>
      </c>
      <c r="H643" s="249" t="str">
        <f ca="1">IF(C643="","",IF($H$11="收入",[1]!S_STM07_IS(D643,9,$G$5,$H$13)/$E$5,[1]!S_STM07_IS(D643,48,$G$5,$H$13)/$E$5))</f>
        <v/>
      </c>
      <c r="I643" s="249" t="str">
        <f ca="1">IF(C643="","",IF($I$11="毛利率",([1]!S_STM07_IS(D643,9,$G$5,$H$13)-[1]!S_STM07_IS(D643,10,$G$5,$H$13))/[1]!S_STM07_IS(D643,9,$G$5,$H$13),[1]!S_STM07_IS(D643,14,$G$5,$H$13)/$E$5))</f>
        <v/>
      </c>
      <c r="J643" s="249" t="str">
        <f ca="1">IF(C643="","",IF($J$11="营业利润率",[1]!S_STM07_IS(D643,48,$G$5,$H$13)/[1]!S_STM07_IS(D643,9,$G$5,$H$13),([1]!S_STM07_CS(D643,87,$G$5,$H$13)+[1]!S_STM07_CS(D643,88,$G$5,$H$13)+[1]!S_STM07_CS(D643,89,$G$5,$H$13))/$E$5))</f>
        <v/>
      </c>
      <c r="K643" s="249" t="str">
        <f ca="1">IF(C643="","",IF($K$11="净利润率",[1]!S_STM07_IS(D643,61,$G$5,$H$13)/[1]!S_STM07_IS(D643,9,$G$5,$H$13),[1]!S_STM07_IS(D643,55,$G$5,$H$13)/$E$5))</f>
        <v/>
      </c>
      <c r="L643" s="249" t="str">
        <f ca="1">IF(C643="","",IF($L$11="ROA",[1]!S_STM07_IS(D643,61,$G$5,$H$13)/[1]!S_STM07_BS(D643,74,$G$5,$H$13),1-[1]!S_STM07_IS(D643,61,$G$5,$H$13)/[1]!S_STM07_IS(D643,55,$G$5,$H$13)))</f>
        <v/>
      </c>
      <c r="M643" s="249" t="str">
        <f ca="1">IF(C643="","",IF($M$11="ROE",[1]!S_STM07_IS(D643,61,$G$5,$H$13)/[1]!S_STM07_BS(D643,141,$G$5,$H$13),([1]!S_STM07_BS(D643,25,$G$5,$H$13)-[1]!S_STM07_BS(D643,93,$G$5,$H$13))/$E$5))</f>
        <v/>
      </c>
      <c r="N643" s="250" t="str">
        <f ca="1">IF(C643="","",IF($N$11="EPS",[1]!S_STM07_IS(D643,61,$G$5,$H$13)/IF([1]!S_SHARE_TOTAL(D643,$G$5)=0,[1]!S_SHARE_TOTAL(D643,[1]!s_ipo_listeddate(D643)),[1]!S_SHARE_TOTAL(D643,$G$5)),([1]!S_STM07_BS(D643,75,$G$5,$H$13)+[1]!S_STM07_BS(D643,88,$G$5,$H$13)+[1]!S_STM07_BS(D643,94,$G$5,$H$13)+[1]!S_STM07_BS(D643,95,$G$5,$H$13))/$E$5))</f>
        <v/>
      </c>
      <c r="O643" s="250" t="str">
        <f ca="1">IF(C643="","",IF($O$11="BPS",[1]!S_STM07_BS(D643,141,$G$5,$H$13)/IF([1]!S_SHARE_TOTAL(D643,$G$5)=0,[1]!S_SHARE_TOTAL(D643,[1]!s_ipo_listeddate(D643)),[1]!S_SHARE_TOTAL(D643,$G$5)),[1]!S_STM07_CS(D643,49,$G$5,$H$13)/$E$5))</f>
        <v/>
      </c>
      <c r="P643" s="250" t="str">
        <f ca="1">IF(C643="","",IF($P$11="CFPS",[1]!S_STM07_CS(D643,84,$G$5,$H$13)/IF([1]!S_SHARE_TOTAL(D643,$G$5)=0,[1]!S_SHARE_TOTAL(D643,[1]!s_ipo_listeddate(D643)),[1]!S_SHARE_TOTAL(D643,$G$5)),[1]!S_STM07_CS(D643,84,$G$5,$H$13)/$E$5))</f>
        <v/>
      </c>
      <c r="Q643" s="198" t="str">
        <f ca="1">IF(C643="","",F643/([1]!S_STM07_IS(D643,61,$G$5,$H$13)/IF([1]!S_SHARE_TOTAL(D643,$G$5)=0,[1]!S_SHARE_TOTAL(D643,[1]!s_ipo_listeddate(D643)),[1]!S_SHARE_TOTAL(D643,$G$5))))</f>
        <v/>
      </c>
      <c r="R643" s="198" t="str">
        <f ca="1">IF(C643="","",F643/([1]!S_STM07_BS(D643,141,$G$5,$H$13)/IF([1]!S_SHARE_TOTAL(D643,$G$5)=0,[1]!S_SHARE_TOTAL(D643,[1]!s_ipo_listeddate(D643)),[1]!S_SHARE_TOTAL(D643,$G$5))))</f>
        <v/>
      </c>
      <c r="S643" s="249" t="str">
        <f ca="1">IF(C643="","",[1]!S_SHARE_TOTAL(D643,TODAY())/$E$5)</f>
        <v/>
      </c>
      <c r="T643" s="249" t="str">
        <f t="shared" ca="1" si="67"/>
        <v/>
      </c>
      <c r="U643" s="172" t="str">
        <f t="shared" ca="1" si="68"/>
        <v/>
      </c>
      <c r="V643" s="343" t="str">
        <f t="shared" ca="1" si="69"/>
        <v/>
      </c>
      <c r="W643" s="139"/>
      <c r="Y643" s="1"/>
    </row>
    <row r="644" spans="3:25" ht="12" customHeight="1">
      <c r="C644" s="342" t="str">
        <f t="shared" ca="1" si="64"/>
        <v/>
      </c>
      <c r="D644" s="153" t="str">
        <f t="shared" ca="1" si="65"/>
        <v/>
      </c>
      <c r="E644" s="153" t="str">
        <f t="shared" ca="1" si="66"/>
        <v/>
      </c>
      <c r="F644" s="170" t="str">
        <f ca="1">IF(C644="","",[1]!S_DQ_CLOSE(D644,TODAY(),1))</f>
        <v/>
      </c>
      <c r="G644" s="171" t="str">
        <f ca="1">IF(C644="","",[1]!s_pq_pctchange(D644,TODAY()-$G$12,TODAY())/100)</f>
        <v/>
      </c>
      <c r="H644" s="247" t="str">
        <f ca="1">IF(C644="","",IF($H$11="收入",[1]!S_STM07_IS(D644,9,$G$5,$H$13)/$E$5,[1]!S_STM07_IS(D644,48,$G$5,$H$13)/$E$5))</f>
        <v/>
      </c>
      <c r="I644" s="247" t="str">
        <f ca="1">IF(C644="","",IF($I$11="毛利率",([1]!S_STM07_IS(D644,9,$G$5,$H$13)-[1]!S_STM07_IS(D644,10,$G$5,$H$13))/[1]!S_STM07_IS(D644,9,$G$5,$H$13),[1]!S_STM07_IS(D644,14,$G$5,$H$13)/$E$5))</f>
        <v/>
      </c>
      <c r="J644" s="247" t="str">
        <f ca="1">IF(C644="","",IF($J$11="营业利润率",[1]!S_STM07_IS(D644,48,$G$5,$H$13)/[1]!S_STM07_IS(D644,9,$G$5,$H$13),([1]!S_STM07_CS(D644,87,$G$5,$H$13)+[1]!S_STM07_CS(D644,88,$G$5,$H$13)+[1]!S_STM07_CS(D644,89,$G$5,$H$13))/$E$5))</f>
        <v/>
      </c>
      <c r="K644" s="247" t="str">
        <f ca="1">IF(C644="","",IF($K$11="净利润率",[1]!S_STM07_IS(D644,61,$G$5,$H$13)/[1]!S_STM07_IS(D644,9,$G$5,$H$13),[1]!S_STM07_IS(D644,55,$G$5,$H$13)/$E$5))</f>
        <v/>
      </c>
      <c r="L644" s="247" t="str">
        <f ca="1">IF(C644="","",IF($L$11="ROA",[1]!S_STM07_IS(D644,61,$G$5,$H$13)/[1]!S_STM07_BS(D644,74,$G$5,$H$13),1-[1]!S_STM07_IS(D644,61,$G$5,$H$13)/[1]!S_STM07_IS(D644,55,$G$5,$H$13)))</f>
        <v/>
      </c>
      <c r="M644" s="247" t="str">
        <f ca="1">IF(C644="","",IF($M$11="ROE",[1]!S_STM07_IS(D644,61,$G$5,$H$13)/[1]!S_STM07_BS(D644,141,$G$5,$H$13),([1]!S_STM07_BS(D644,25,$G$5,$H$13)-[1]!S_STM07_BS(D644,93,$G$5,$H$13))/$E$5))</f>
        <v/>
      </c>
      <c r="N644" s="247" t="str">
        <f ca="1">IF(C644="","",IF($N$11="EPS",[1]!S_STM07_IS(D644,61,$G$5,$H$13)/IF([1]!S_SHARE_TOTAL(D644,$G$5)=0,[1]!S_SHARE_TOTAL(D644,[1]!s_ipo_listeddate(D644)),[1]!S_SHARE_TOTAL(D644,$G$5)),([1]!S_STM07_BS(D644,75,$G$5,$H$13)+[1]!S_STM07_BS(D644,88,$G$5,$H$13)+[1]!S_STM07_BS(D644,94,$G$5,$H$13)+[1]!S_STM07_BS(D644,95,$G$5,$H$13))/$E$5))</f>
        <v/>
      </c>
      <c r="O644" s="247" t="str">
        <f ca="1">IF(C644="","",IF($O$11="BPS",[1]!S_STM07_BS(D644,141,$G$5,$H$13)/IF([1]!S_SHARE_TOTAL(D644,$G$5)=0,[1]!S_SHARE_TOTAL(D644,[1]!s_ipo_listeddate(D644)),[1]!S_SHARE_TOTAL(D644,$G$5)),[1]!S_STM07_CS(D644,49,$G$5,$H$13)/$E$5))</f>
        <v/>
      </c>
      <c r="P644" s="247" t="str">
        <f ca="1">IF(C644="","",IF($P$11="CFPS",[1]!S_STM07_CS(D644,84,$G$5,$H$13)/IF([1]!S_SHARE_TOTAL(D644,$G$5)=0,[1]!S_SHARE_TOTAL(D644,[1]!s_ipo_listeddate(D644)),[1]!S_SHARE_TOTAL(D644,$G$5)),[1]!S_STM07_CS(D644,84,$G$5,$H$13)/$E$5))</f>
        <v/>
      </c>
      <c r="Q644" s="248" t="str">
        <f ca="1">IF(C644="","",F644/([1]!S_STM07_IS(D644,61,$G$5,$H$13)/IF([1]!S_SHARE_TOTAL(D644,$G$5)=0,[1]!S_SHARE_TOTAL(D644,[1]!s_ipo_listeddate(D644)),[1]!S_SHARE_TOTAL(D644,$G$5))))</f>
        <v/>
      </c>
      <c r="R644" s="248" t="str">
        <f ca="1">IF(C644="","",F644/([1]!S_STM07_BS(D644,141,$G$5,$H$13)/IF([1]!S_SHARE_TOTAL(D644,$G$5)=0,[1]!S_SHARE_TOTAL(D644,[1]!s_ipo_listeddate(D644)),[1]!S_SHARE_TOTAL(D644,$G$5))))</f>
        <v/>
      </c>
      <c r="S644" s="247" t="str">
        <f ca="1">IF(C644="","",[1]!S_SHARE_TOTAL(D644,TODAY())/$E$5)</f>
        <v/>
      </c>
      <c r="T644" s="247" t="str">
        <f t="shared" ca="1" si="67"/>
        <v/>
      </c>
      <c r="U644" s="218" t="str">
        <f t="shared" ca="1" si="68"/>
        <v/>
      </c>
      <c r="V644" s="342" t="str">
        <f t="shared" ca="1" si="69"/>
        <v/>
      </c>
      <c r="W644" s="139"/>
      <c r="Y644" s="1"/>
    </row>
    <row r="645" spans="3:25" ht="12" customHeight="1">
      <c r="C645" s="343" t="str">
        <f t="shared" ca="1" si="64"/>
        <v/>
      </c>
      <c r="D645" s="124" t="str">
        <f t="shared" ca="1" si="65"/>
        <v/>
      </c>
      <c r="E645" s="124" t="str">
        <f t="shared" ca="1" si="66"/>
        <v/>
      </c>
      <c r="F645" s="172" t="str">
        <f ca="1">IF(C645="","",[1]!S_DQ_CLOSE(D645,TODAY(),1))</f>
        <v/>
      </c>
      <c r="G645" s="173" t="str">
        <f ca="1">IF(C645="","",[1]!s_pq_pctchange(D645,TODAY()-$G$12,TODAY())/100)</f>
        <v/>
      </c>
      <c r="H645" s="249" t="str">
        <f ca="1">IF(C645="","",IF($H$11="收入",[1]!S_STM07_IS(D645,9,$G$5,$H$13)/$E$5,[1]!S_STM07_IS(D645,48,$G$5,$H$13)/$E$5))</f>
        <v/>
      </c>
      <c r="I645" s="249" t="str">
        <f ca="1">IF(C645="","",IF($I$11="毛利率",([1]!S_STM07_IS(D645,9,$G$5,$H$13)-[1]!S_STM07_IS(D645,10,$G$5,$H$13))/[1]!S_STM07_IS(D645,9,$G$5,$H$13),[1]!S_STM07_IS(D645,14,$G$5,$H$13)/$E$5))</f>
        <v/>
      </c>
      <c r="J645" s="249" t="str">
        <f ca="1">IF(C645="","",IF($J$11="营业利润率",[1]!S_STM07_IS(D645,48,$G$5,$H$13)/[1]!S_STM07_IS(D645,9,$G$5,$H$13),([1]!S_STM07_CS(D645,87,$G$5,$H$13)+[1]!S_STM07_CS(D645,88,$G$5,$H$13)+[1]!S_STM07_CS(D645,89,$G$5,$H$13))/$E$5))</f>
        <v/>
      </c>
      <c r="K645" s="249" t="str">
        <f ca="1">IF(C645="","",IF($K$11="净利润率",[1]!S_STM07_IS(D645,61,$G$5,$H$13)/[1]!S_STM07_IS(D645,9,$G$5,$H$13),[1]!S_STM07_IS(D645,55,$G$5,$H$13)/$E$5))</f>
        <v/>
      </c>
      <c r="L645" s="249" t="str">
        <f ca="1">IF(C645="","",IF($L$11="ROA",[1]!S_STM07_IS(D645,61,$G$5,$H$13)/[1]!S_STM07_BS(D645,74,$G$5,$H$13),1-[1]!S_STM07_IS(D645,61,$G$5,$H$13)/[1]!S_STM07_IS(D645,55,$G$5,$H$13)))</f>
        <v/>
      </c>
      <c r="M645" s="249" t="str">
        <f ca="1">IF(C645="","",IF($M$11="ROE",[1]!S_STM07_IS(D645,61,$G$5,$H$13)/[1]!S_STM07_BS(D645,141,$G$5,$H$13),([1]!S_STM07_BS(D645,25,$G$5,$H$13)-[1]!S_STM07_BS(D645,93,$G$5,$H$13))/$E$5))</f>
        <v/>
      </c>
      <c r="N645" s="250" t="str">
        <f ca="1">IF(C645="","",IF($N$11="EPS",[1]!S_STM07_IS(D645,61,$G$5,$H$13)/IF([1]!S_SHARE_TOTAL(D645,$G$5)=0,[1]!S_SHARE_TOTAL(D645,[1]!s_ipo_listeddate(D645)),[1]!S_SHARE_TOTAL(D645,$G$5)),([1]!S_STM07_BS(D645,75,$G$5,$H$13)+[1]!S_STM07_BS(D645,88,$G$5,$H$13)+[1]!S_STM07_BS(D645,94,$G$5,$H$13)+[1]!S_STM07_BS(D645,95,$G$5,$H$13))/$E$5))</f>
        <v/>
      </c>
      <c r="O645" s="250" t="str">
        <f ca="1">IF(C645="","",IF($O$11="BPS",[1]!S_STM07_BS(D645,141,$G$5,$H$13)/IF([1]!S_SHARE_TOTAL(D645,$G$5)=0,[1]!S_SHARE_TOTAL(D645,[1]!s_ipo_listeddate(D645)),[1]!S_SHARE_TOTAL(D645,$G$5)),[1]!S_STM07_CS(D645,49,$G$5,$H$13)/$E$5))</f>
        <v/>
      </c>
      <c r="P645" s="250" t="str">
        <f ca="1">IF(C645="","",IF($P$11="CFPS",[1]!S_STM07_CS(D645,84,$G$5,$H$13)/IF([1]!S_SHARE_TOTAL(D645,$G$5)=0,[1]!S_SHARE_TOTAL(D645,[1]!s_ipo_listeddate(D645)),[1]!S_SHARE_TOTAL(D645,$G$5)),[1]!S_STM07_CS(D645,84,$G$5,$H$13)/$E$5))</f>
        <v/>
      </c>
      <c r="Q645" s="198" t="str">
        <f ca="1">IF(C645="","",F645/([1]!S_STM07_IS(D645,61,$G$5,$H$13)/IF([1]!S_SHARE_TOTAL(D645,$G$5)=0,[1]!S_SHARE_TOTAL(D645,[1]!s_ipo_listeddate(D645)),[1]!S_SHARE_TOTAL(D645,$G$5))))</f>
        <v/>
      </c>
      <c r="R645" s="198" t="str">
        <f ca="1">IF(C645="","",F645/([1]!S_STM07_BS(D645,141,$G$5,$H$13)/IF([1]!S_SHARE_TOTAL(D645,$G$5)=0,[1]!S_SHARE_TOTAL(D645,[1]!s_ipo_listeddate(D645)),[1]!S_SHARE_TOTAL(D645,$G$5))))</f>
        <v/>
      </c>
      <c r="S645" s="249" t="str">
        <f ca="1">IF(C645="","",[1]!S_SHARE_TOTAL(D645,TODAY())/$E$5)</f>
        <v/>
      </c>
      <c r="T645" s="249" t="str">
        <f t="shared" ca="1" si="67"/>
        <v/>
      </c>
      <c r="U645" s="172" t="str">
        <f t="shared" ca="1" si="68"/>
        <v/>
      </c>
      <c r="V645" s="343" t="str">
        <f t="shared" ca="1" si="69"/>
        <v/>
      </c>
      <c r="W645" s="139"/>
      <c r="Y645" s="1"/>
    </row>
    <row r="646" spans="3:25" ht="12" customHeight="1">
      <c r="C646" s="342" t="str">
        <f t="shared" ca="1" si="64"/>
        <v/>
      </c>
      <c r="D646" s="153" t="str">
        <f t="shared" ca="1" si="65"/>
        <v/>
      </c>
      <c r="E646" s="153" t="str">
        <f t="shared" ca="1" si="66"/>
        <v/>
      </c>
      <c r="F646" s="170" t="str">
        <f ca="1">IF(C646="","",[1]!S_DQ_CLOSE(D646,TODAY(),1))</f>
        <v/>
      </c>
      <c r="G646" s="171" t="str">
        <f ca="1">IF(C646="","",[1]!s_pq_pctchange(D646,TODAY()-$G$12,TODAY())/100)</f>
        <v/>
      </c>
      <c r="H646" s="247" t="str">
        <f ca="1">IF(C646="","",IF($H$11="收入",[1]!S_STM07_IS(D646,9,$G$5,$H$13)/$E$5,[1]!S_STM07_IS(D646,48,$G$5,$H$13)/$E$5))</f>
        <v/>
      </c>
      <c r="I646" s="247" t="str">
        <f ca="1">IF(C646="","",IF($I$11="毛利率",([1]!S_STM07_IS(D646,9,$G$5,$H$13)-[1]!S_STM07_IS(D646,10,$G$5,$H$13))/[1]!S_STM07_IS(D646,9,$G$5,$H$13),[1]!S_STM07_IS(D646,14,$G$5,$H$13)/$E$5))</f>
        <v/>
      </c>
      <c r="J646" s="247" t="str">
        <f ca="1">IF(C646="","",IF($J$11="营业利润率",[1]!S_STM07_IS(D646,48,$G$5,$H$13)/[1]!S_STM07_IS(D646,9,$G$5,$H$13),([1]!S_STM07_CS(D646,87,$G$5,$H$13)+[1]!S_STM07_CS(D646,88,$G$5,$H$13)+[1]!S_STM07_CS(D646,89,$G$5,$H$13))/$E$5))</f>
        <v/>
      </c>
      <c r="K646" s="247" t="str">
        <f ca="1">IF(C646="","",IF($K$11="净利润率",[1]!S_STM07_IS(D646,61,$G$5,$H$13)/[1]!S_STM07_IS(D646,9,$G$5,$H$13),[1]!S_STM07_IS(D646,55,$G$5,$H$13)/$E$5))</f>
        <v/>
      </c>
      <c r="L646" s="247" t="str">
        <f ca="1">IF(C646="","",IF($L$11="ROA",[1]!S_STM07_IS(D646,61,$G$5,$H$13)/[1]!S_STM07_BS(D646,74,$G$5,$H$13),1-[1]!S_STM07_IS(D646,61,$G$5,$H$13)/[1]!S_STM07_IS(D646,55,$G$5,$H$13)))</f>
        <v/>
      </c>
      <c r="M646" s="247" t="str">
        <f ca="1">IF(C646="","",IF($M$11="ROE",[1]!S_STM07_IS(D646,61,$G$5,$H$13)/[1]!S_STM07_BS(D646,141,$G$5,$H$13),([1]!S_STM07_BS(D646,25,$G$5,$H$13)-[1]!S_STM07_BS(D646,93,$G$5,$H$13))/$E$5))</f>
        <v/>
      </c>
      <c r="N646" s="247" t="str">
        <f ca="1">IF(C646="","",IF($N$11="EPS",[1]!S_STM07_IS(D646,61,$G$5,$H$13)/IF([1]!S_SHARE_TOTAL(D646,$G$5)=0,[1]!S_SHARE_TOTAL(D646,[1]!s_ipo_listeddate(D646)),[1]!S_SHARE_TOTAL(D646,$G$5)),([1]!S_STM07_BS(D646,75,$G$5,$H$13)+[1]!S_STM07_BS(D646,88,$G$5,$H$13)+[1]!S_STM07_BS(D646,94,$G$5,$H$13)+[1]!S_STM07_BS(D646,95,$G$5,$H$13))/$E$5))</f>
        <v/>
      </c>
      <c r="O646" s="247" t="str">
        <f ca="1">IF(C646="","",IF($O$11="BPS",[1]!S_STM07_BS(D646,141,$G$5,$H$13)/IF([1]!S_SHARE_TOTAL(D646,$G$5)=0,[1]!S_SHARE_TOTAL(D646,[1]!s_ipo_listeddate(D646)),[1]!S_SHARE_TOTAL(D646,$G$5)),[1]!S_STM07_CS(D646,49,$G$5,$H$13)/$E$5))</f>
        <v/>
      </c>
      <c r="P646" s="247" t="str">
        <f ca="1">IF(C646="","",IF($P$11="CFPS",[1]!S_STM07_CS(D646,84,$G$5,$H$13)/IF([1]!S_SHARE_TOTAL(D646,$G$5)=0,[1]!S_SHARE_TOTAL(D646,[1]!s_ipo_listeddate(D646)),[1]!S_SHARE_TOTAL(D646,$G$5)),[1]!S_STM07_CS(D646,84,$G$5,$H$13)/$E$5))</f>
        <v/>
      </c>
      <c r="Q646" s="248" t="str">
        <f ca="1">IF(C646="","",F646/([1]!S_STM07_IS(D646,61,$G$5,$H$13)/IF([1]!S_SHARE_TOTAL(D646,$G$5)=0,[1]!S_SHARE_TOTAL(D646,[1]!s_ipo_listeddate(D646)),[1]!S_SHARE_TOTAL(D646,$G$5))))</f>
        <v/>
      </c>
      <c r="R646" s="248" t="str">
        <f ca="1">IF(C646="","",F646/([1]!S_STM07_BS(D646,141,$G$5,$H$13)/IF([1]!S_SHARE_TOTAL(D646,$G$5)=0,[1]!S_SHARE_TOTAL(D646,[1]!s_ipo_listeddate(D646)),[1]!S_SHARE_TOTAL(D646,$G$5))))</f>
        <v/>
      </c>
      <c r="S646" s="247" t="str">
        <f ca="1">IF(C646="","",[1]!S_SHARE_TOTAL(D646,TODAY())/$E$5)</f>
        <v/>
      </c>
      <c r="T646" s="247" t="str">
        <f t="shared" ca="1" si="67"/>
        <v/>
      </c>
      <c r="U646" s="218" t="str">
        <f t="shared" ca="1" si="68"/>
        <v/>
      </c>
      <c r="V646" s="342" t="str">
        <f t="shared" ca="1" si="69"/>
        <v/>
      </c>
      <c r="W646" s="139"/>
      <c r="Y646" s="1"/>
    </row>
    <row r="647" spans="3:25" ht="12" customHeight="1">
      <c r="C647" s="343" t="str">
        <f t="shared" ca="1" si="64"/>
        <v/>
      </c>
      <c r="D647" s="124" t="str">
        <f t="shared" ca="1" si="65"/>
        <v/>
      </c>
      <c r="E647" s="124" t="str">
        <f t="shared" ca="1" si="66"/>
        <v/>
      </c>
      <c r="F647" s="172" t="str">
        <f ca="1">IF(C647="","",[1]!S_DQ_CLOSE(D647,TODAY(),1))</f>
        <v/>
      </c>
      <c r="G647" s="173" t="str">
        <f ca="1">IF(C647="","",[1]!s_pq_pctchange(D647,TODAY()-$G$12,TODAY())/100)</f>
        <v/>
      </c>
      <c r="H647" s="249" t="str">
        <f ca="1">IF(C647="","",IF($H$11="收入",[1]!S_STM07_IS(D647,9,$G$5,$H$13)/$E$5,[1]!S_STM07_IS(D647,48,$G$5,$H$13)/$E$5))</f>
        <v/>
      </c>
      <c r="I647" s="249" t="str">
        <f ca="1">IF(C647="","",IF($I$11="毛利率",([1]!S_STM07_IS(D647,9,$G$5,$H$13)-[1]!S_STM07_IS(D647,10,$G$5,$H$13))/[1]!S_STM07_IS(D647,9,$G$5,$H$13),[1]!S_STM07_IS(D647,14,$G$5,$H$13)/$E$5))</f>
        <v/>
      </c>
      <c r="J647" s="249" t="str">
        <f ca="1">IF(C647="","",IF($J$11="营业利润率",[1]!S_STM07_IS(D647,48,$G$5,$H$13)/[1]!S_STM07_IS(D647,9,$G$5,$H$13),([1]!S_STM07_CS(D647,87,$G$5,$H$13)+[1]!S_STM07_CS(D647,88,$G$5,$H$13)+[1]!S_STM07_CS(D647,89,$G$5,$H$13))/$E$5))</f>
        <v/>
      </c>
      <c r="K647" s="249" t="str">
        <f ca="1">IF(C647="","",IF($K$11="净利润率",[1]!S_STM07_IS(D647,61,$G$5,$H$13)/[1]!S_STM07_IS(D647,9,$G$5,$H$13),[1]!S_STM07_IS(D647,55,$G$5,$H$13)/$E$5))</f>
        <v/>
      </c>
      <c r="L647" s="249" t="str">
        <f ca="1">IF(C647="","",IF($L$11="ROA",[1]!S_STM07_IS(D647,61,$G$5,$H$13)/[1]!S_STM07_BS(D647,74,$G$5,$H$13),1-[1]!S_STM07_IS(D647,61,$G$5,$H$13)/[1]!S_STM07_IS(D647,55,$G$5,$H$13)))</f>
        <v/>
      </c>
      <c r="M647" s="249" t="str">
        <f ca="1">IF(C647="","",IF($M$11="ROE",[1]!S_STM07_IS(D647,61,$G$5,$H$13)/[1]!S_STM07_BS(D647,141,$G$5,$H$13),([1]!S_STM07_BS(D647,25,$G$5,$H$13)-[1]!S_STM07_BS(D647,93,$G$5,$H$13))/$E$5))</f>
        <v/>
      </c>
      <c r="N647" s="250" t="str">
        <f ca="1">IF(C647="","",IF($N$11="EPS",[1]!S_STM07_IS(D647,61,$G$5,$H$13)/IF([1]!S_SHARE_TOTAL(D647,$G$5)=0,[1]!S_SHARE_TOTAL(D647,[1]!s_ipo_listeddate(D647)),[1]!S_SHARE_TOTAL(D647,$G$5)),([1]!S_STM07_BS(D647,75,$G$5,$H$13)+[1]!S_STM07_BS(D647,88,$G$5,$H$13)+[1]!S_STM07_BS(D647,94,$G$5,$H$13)+[1]!S_STM07_BS(D647,95,$G$5,$H$13))/$E$5))</f>
        <v/>
      </c>
      <c r="O647" s="250" t="str">
        <f ca="1">IF(C647="","",IF($O$11="BPS",[1]!S_STM07_BS(D647,141,$G$5,$H$13)/IF([1]!S_SHARE_TOTAL(D647,$G$5)=0,[1]!S_SHARE_TOTAL(D647,[1]!s_ipo_listeddate(D647)),[1]!S_SHARE_TOTAL(D647,$G$5)),[1]!S_STM07_CS(D647,49,$G$5,$H$13)/$E$5))</f>
        <v/>
      </c>
      <c r="P647" s="250" t="str">
        <f ca="1">IF(C647="","",IF($P$11="CFPS",[1]!S_STM07_CS(D647,84,$G$5,$H$13)/IF([1]!S_SHARE_TOTAL(D647,$G$5)=0,[1]!S_SHARE_TOTAL(D647,[1]!s_ipo_listeddate(D647)),[1]!S_SHARE_TOTAL(D647,$G$5)),[1]!S_STM07_CS(D647,84,$G$5,$H$13)/$E$5))</f>
        <v/>
      </c>
      <c r="Q647" s="198" t="str">
        <f ca="1">IF(C647="","",F647/([1]!S_STM07_IS(D647,61,$G$5,$H$13)/IF([1]!S_SHARE_TOTAL(D647,$G$5)=0,[1]!S_SHARE_TOTAL(D647,[1]!s_ipo_listeddate(D647)),[1]!S_SHARE_TOTAL(D647,$G$5))))</f>
        <v/>
      </c>
      <c r="R647" s="198" t="str">
        <f ca="1">IF(C647="","",F647/([1]!S_STM07_BS(D647,141,$G$5,$H$13)/IF([1]!S_SHARE_TOTAL(D647,$G$5)=0,[1]!S_SHARE_TOTAL(D647,[1]!s_ipo_listeddate(D647)),[1]!S_SHARE_TOTAL(D647,$G$5))))</f>
        <v/>
      </c>
      <c r="S647" s="249" t="str">
        <f ca="1">IF(C647="","",[1]!S_SHARE_TOTAL(D647,TODAY())/$E$5)</f>
        <v/>
      </c>
      <c r="T647" s="249" t="str">
        <f t="shared" ca="1" si="67"/>
        <v/>
      </c>
      <c r="U647" s="172" t="str">
        <f t="shared" ca="1" si="68"/>
        <v/>
      </c>
      <c r="V647" s="343" t="str">
        <f t="shared" ca="1" si="69"/>
        <v/>
      </c>
      <c r="W647" s="139"/>
      <c r="Y647" s="1"/>
    </row>
    <row r="648" spans="3:25" ht="12" customHeight="1">
      <c r="C648" s="342" t="str">
        <f t="shared" ca="1" si="64"/>
        <v/>
      </c>
      <c r="D648" s="153" t="str">
        <f t="shared" ca="1" si="65"/>
        <v/>
      </c>
      <c r="E648" s="153" t="str">
        <f t="shared" ca="1" si="66"/>
        <v/>
      </c>
      <c r="F648" s="170" t="str">
        <f ca="1">IF(C648="","",[1]!S_DQ_CLOSE(D648,TODAY(),1))</f>
        <v/>
      </c>
      <c r="G648" s="171" t="str">
        <f ca="1">IF(C648="","",[1]!s_pq_pctchange(D648,TODAY()-$G$12,TODAY())/100)</f>
        <v/>
      </c>
      <c r="H648" s="247" t="str">
        <f ca="1">IF(C648="","",IF($H$11="收入",[1]!S_STM07_IS(D648,9,$G$5,$H$13)/$E$5,[1]!S_STM07_IS(D648,48,$G$5,$H$13)/$E$5))</f>
        <v/>
      </c>
      <c r="I648" s="247" t="str">
        <f ca="1">IF(C648="","",IF($I$11="毛利率",([1]!S_STM07_IS(D648,9,$G$5,$H$13)-[1]!S_STM07_IS(D648,10,$G$5,$H$13))/[1]!S_STM07_IS(D648,9,$G$5,$H$13),[1]!S_STM07_IS(D648,14,$G$5,$H$13)/$E$5))</f>
        <v/>
      </c>
      <c r="J648" s="247" t="str">
        <f ca="1">IF(C648="","",IF($J$11="营业利润率",[1]!S_STM07_IS(D648,48,$G$5,$H$13)/[1]!S_STM07_IS(D648,9,$G$5,$H$13),([1]!S_STM07_CS(D648,87,$G$5,$H$13)+[1]!S_STM07_CS(D648,88,$G$5,$H$13)+[1]!S_STM07_CS(D648,89,$G$5,$H$13))/$E$5))</f>
        <v/>
      </c>
      <c r="K648" s="247" t="str">
        <f ca="1">IF(C648="","",IF($K$11="净利润率",[1]!S_STM07_IS(D648,61,$G$5,$H$13)/[1]!S_STM07_IS(D648,9,$G$5,$H$13),[1]!S_STM07_IS(D648,55,$G$5,$H$13)/$E$5))</f>
        <v/>
      </c>
      <c r="L648" s="247" t="str">
        <f ca="1">IF(C648="","",IF($L$11="ROA",[1]!S_STM07_IS(D648,61,$G$5,$H$13)/[1]!S_STM07_BS(D648,74,$G$5,$H$13),1-[1]!S_STM07_IS(D648,61,$G$5,$H$13)/[1]!S_STM07_IS(D648,55,$G$5,$H$13)))</f>
        <v/>
      </c>
      <c r="M648" s="247" t="str">
        <f ca="1">IF(C648="","",IF($M$11="ROE",[1]!S_STM07_IS(D648,61,$G$5,$H$13)/[1]!S_STM07_BS(D648,141,$G$5,$H$13),([1]!S_STM07_BS(D648,25,$G$5,$H$13)-[1]!S_STM07_BS(D648,93,$G$5,$H$13))/$E$5))</f>
        <v/>
      </c>
      <c r="N648" s="247" t="str">
        <f ca="1">IF(C648="","",IF($N$11="EPS",[1]!S_STM07_IS(D648,61,$G$5,$H$13)/IF([1]!S_SHARE_TOTAL(D648,$G$5)=0,[1]!S_SHARE_TOTAL(D648,[1]!s_ipo_listeddate(D648)),[1]!S_SHARE_TOTAL(D648,$G$5)),([1]!S_STM07_BS(D648,75,$G$5,$H$13)+[1]!S_STM07_BS(D648,88,$G$5,$H$13)+[1]!S_STM07_BS(D648,94,$G$5,$H$13)+[1]!S_STM07_BS(D648,95,$G$5,$H$13))/$E$5))</f>
        <v/>
      </c>
      <c r="O648" s="247" t="str">
        <f ca="1">IF(C648="","",IF($O$11="BPS",[1]!S_STM07_BS(D648,141,$G$5,$H$13)/IF([1]!S_SHARE_TOTAL(D648,$G$5)=0,[1]!S_SHARE_TOTAL(D648,[1]!s_ipo_listeddate(D648)),[1]!S_SHARE_TOTAL(D648,$G$5)),[1]!S_STM07_CS(D648,49,$G$5,$H$13)/$E$5))</f>
        <v/>
      </c>
      <c r="P648" s="247" t="str">
        <f ca="1">IF(C648="","",IF($P$11="CFPS",[1]!S_STM07_CS(D648,84,$G$5,$H$13)/IF([1]!S_SHARE_TOTAL(D648,$G$5)=0,[1]!S_SHARE_TOTAL(D648,[1]!s_ipo_listeddate(D648)),[1]!S_SHARE_TOTAL(D648,$G$5)),[1]!S_STM07_CS(D648,84,$G$5,$H$13)/$E$5))</f>
        <v/>
      </c>
      <c r="Q648" s="248" t="str">
        <f ca="1">IF(C648="","",F648/([1]!S_STM07_IS(D648,61,$G$5,$H$13)/IF([1]!S_SHARE_TOTAL(D648,$G$5)=0,[1]!S_SHARE_TOTAL(D648,[1]!s_ipo_listeddate(D648)),[1]!S_SHARE_TOTAL(D648,$G$5))))</f>
        <v/>
      </c>
      <c r="R648" s="248" t="str">
        <f ca="1">IF(C648="","",F648/([1]!S_STM07_BS(D648,141,$G$5,$H$13)/IF([1]!S_SHARE_TOTAL(D648,$G$5)=0,[1]!S_SHARE_TOTAL(D648,[1]!s_ipo_listeddate(D648)),[1]!S_SHARE_TOTAL(D648,$G$5))))</f>
        <v/>
      </c>
      <c r="S648" s="247" t="str">
        <f ca="1">IF(C648="","",[1]!S_SHARE_TOTAL(D648,TODAY())/$E$5)</f>
        <v/>
      </c>
      <c r="T648" s="247" t="str">
        <f t="shared" ca="1" si="67"/>
        <v/>
      </c>
      <c r="U648" s="218" t="str">
        <f t="shared" ca="1" si="68"/>
        <v/>
      </c>
      <c r="V648" s="342" t="str">
        <f t="shared" ca="1" si="69"/>
        <v/>
      </c>
      <c r="W648" s="139"/>
      <c r="Y648" s="1"/>
    </row>
    <row r="649" spans="3:25" ht="12" customHeight="1">
      <c r="C649" s="343" t="str">
        <f t="shared" ca="1" si="64"/>
        <v/>
      </c>
      <c r="D649" s="124" t="str">
        <f t="shared" ca="1" si="65"/>
        <v/>
      </c>
      <c r="E649" s="124" t="str">
        <f t="shared" ca="1" si="66"/>
        <v/>
      </c>
      <c r="F649" s="172" t="str">
        <f ca="1">IF(C649="","",[1]!S_DQ_CLOSE(D649,TODAY(),1))</f>
        <v/>
      </c>
      <c r="G649" s="173" t="str">
        <f ca="1">IF(C649="","",[1]!s_pq_pctchange(D649,TODAY()-$G$12,TODAY())/100)</f>
        <v/>
      </c>
      <c r="H649" s="249" t="str">
        <f ca="1">IF(C649="","",IF($H$11="收入",[1]!S_STM07_IS(D649,9,$G$5,$H$13)/$E$5,[1]!S_STM07_IS(D649,48,$G$5,$H$13)/$E$5))</f>
        <v/>
      </c>
      <c r="I649" s="249" t="str">
        <f ca="1">IF(C649="","",IF($I$11="毛利率",([1]!S_STM07_IS(D649,9,$G$5,$H$13)-[1]!S_STM07_IS(D649,10,$G$5,$H$13))/[1]!S_STM07_IS(D649,9,$G$5,$H$13),[1]!S_STM07_IS(D649,14,$G$5,$H$13)/$E$5))</f>
        <v/>
      </c>
      <c r="J649" s="249" t="str">
        <f ca="1">IF(C649="","",IF($J$11="营业利润率",[1]!S_STM07_IS(D649,48,$G$5,$H$13)/[1]!S_STM07_IS(D649,9,$G$5,$H$13),([1]!S_STM07_CS(D649,87,$G$5,$H$13)+[1]!S_STM07_CS(D649,88,$G$5,$H$13)+[1]!S_STM07_CS(D649,89,$G$5,$H$13))/$E$5))</f>
        <v/>
      </c>
      <c r="K649" s="249" t="str">
        <f ca="1">IF(C649="","",IF($K$11="净利润率",[1]!S_STM07_IS(D649,61,$G$5,$H$13)/[1]!S_STM07_IS(D649,9,$G$5,$H$13),[1]!S_STM07_IS(D649,55,$G$5,$H$13)/$E$5))</f>
        <v/>
      </c>
      <c r="L649" s="249" t="str">
        <f ca="1">IF(C649="","",IF($L$11="ROA",[1]!S_STM07_IS(D649,61,$G$5,$H$13)/[1]!S_STM07_BS(D649,74,$G$5,$H$13),1-[1]!S_STM07_IS(D649,61,$G$5,$H$13)/[1]!S_STM07_IS(D649,55,$G$5,$H$13)))</f>
        <v/>
      </c>
      <c r="M649" s="249" t="str">
        <f ca="1">IF(C649="","",IF($M$11="ROE",[1]!S_STM07_IS(D649,61,$G$5,$H$13)/[1]!S_STM07_BS(D649,141,$G$5,$H$13),([1]!S_STM07_BS(D649,25,$G$5,$H$13)-[1]!S_STM07_BS(D649,93,$G$5,$H$13))/$E$5))</f>
        <v/>
      </c>
      <c r="N649" s="250" t="str">
        <f ca="1">IF(C649="","",IF($N$11="EPS",[1]!S_STM07_IS(D649,61,$G$5,$H$13)/IF([1]!S_SHARE_TOTAL(D649,$G$5)=0,[1]!S_SHARE_TOTAL(D649,[1]!s_ipo_listeddate(D649)),[1]!S_SHARE_TOTAL(D649,$G$5)),([1]!S_STM07_BS(D649,75,$G$5,$H$13)+[1]!S_STM07_BS(D649,88,$G$5,$H$13)+[1]!S_STM07_BS(D649,94,$G$5,$H$13)+[1]!S_STM07_BS(D649,95,$G$5,$H$13))/$E$5))</f>
        <v/>
      </c>
      <c r="O649" s="250" t="str">
        <f ca="1">IF(C649="","",IF($O$11="BPS",[1]!S_STM07_BS(D649,141,$G$5,$H$13)/IF([1]!S_SHARE_TOTAL(D649,$G$5)=0,[1]!S_SHARE_TOTAL(D649,[1]!s_ipo_listeddate(D649)),[1]!S_SHARE_TOTAL(D649,$G$5)),[1]!S_STM07_CS(D649,49,$G$5,$H$13)/$E$5))</f>
        <v/>
      </c>
      <c r="P649" s="250" t="str">
        <f ca="1">IF(C649="","",IF($P$11="CFPS",[1]!S_STM07_CS(D649,84,$G$5,$H$13)/IF([1]!S_SHARE_TOTAL(D649,$G$5)=0,[1]!S_SHARE_TOTAL(D649,[1]!s_ipo_listeddate(D649)),[1]!S_SHARE_TOTAL(D649,$G$5)),[1]!S_STM07_CS(D649,84,$G$5,$H$13)/$E$5))</f>
        <v/>
      </c>
      <c r="Q649" s="198" t="str">
        <f ca="1">IF(C649="","",F649/([1]!S_STM07_IS(D649,61,$G$5,$H$13)/IF([1]!S_SHARE_TOTAL(D649,$G$5)=0,[1]!S_SHARE_TOTAL(D649,[1]!s_ipo_listeddate(D649)),[1]!S_SHARE_TOTAL(D649,$G$5))))</f>
        <v/>
      </c>
      <c r="R649" s="198" t="str">
        <f ca="1">IF(C649="","",F649/([1]!S_STM07_BS(D649,141,$G$5,$H$13)/IF([1]!S_SHARE_TOTAL(D649,$G$5)=0,[1]!S_SHARE_TOTAL(D649,[1]!s_ipo_listeddate(D649)),[1]!S_SHARE_TOTAL(D649,$G$5))))</f>
        <v/>
      </c>
      <c r="S649" s="249" t="str">
        <f ca="1">IF(C649="","",[1]!S_SHARE_TOTAL(D649,TODAY())/$E$5)</f>
        <v/>
      </c>
      <c r="T649" s="249" t="str">
        <f t="shared" ca="1" si="67"/>
        <v/>
      </c>
      <c r="U649" s="172" t="str">
        <f t="shared" ca="1" si="68"/>
        <v/>
      </c>
      <c r="V649" s="343" t="str">
        <f t="shared" ca="1" si="69"/>
        <v/>
      </c>
      <c r="W649" s="139"/>
      <c r="Y649" s="1"/>
    </row>
    <row r="650" spans="3:25" ht="12" customHeight="1">
      <c r="C650" s="342" t="str">
        <f t="shared" ca="1" si="64"/>
        <v/>
      </c>
      <c r="D650" s="153" t="str">
        <f t="shared" ca="1" si="65"/>
        <v/>
      </c>
      <c r="E650" s="153" t="str">
        <f t="shared" ca="1" si="66"/>
        <v/>
      </c>
      <c r="F650" s="170" t="str">
        <f ca="1">IF(C650="","",[1]!S_DQ_CLOSE(D650,TODAY(),1))</f>
        <v/>
      </c>
      <c r="G650" s="171" t="str">
        <f ca="1">IF(C650="","",[1]!s_pq_pctchange(D650,TODAY()-$G$12,TODAY())/100)</f>
        <v/>
      </c>
      <c r="H650" s="247" t="str">
        <f ca="1">IF(C650="","",IF($H$11="收入",[1]!S_STM07_IS(D650,9,$G$5,$H$13)/$E$5,[1]!S_STM07_IS(D650,48,$G$5,$H$13)/$E$5))</f>
        <v/>
      </c>
      <c r="I650" s="247" t="str">
        <f ca="1">IF(C650="","",IF($I$11="毛利率",([1]!S_STM07_IS(D650,9,$G$5,$H$13)-[1]!S_STM07_IS(D650,10,$G$5,$H$13))/[1]!S_STM07_IS(D650,9,$G$5,$H$13),[1]!S_STM07_IS(D650,14,$G$5,$H$13)/$E$5))</f>
        <v/>
      </c>
      <c r="J650" s="247" t="str">
        <f ca="1">IF(C650="","",IF($J$11="营业利润率",[1]!S_STM07_IS(D650,48,$G$5,$H$13)/[1]!S_STM07_IS(D650,9,$G$5,$H$13),([1]!S_STM07_CS(D650,87,$G$5,$H$13)+[1]!S_STM07_CS(D650,88,$G$5,$H$13)+[1]!S_STM07_CS(D650,89,$G$5,$H$13))/$E$5))</f>
        <v/>
      </c>
      <c r="K650" s="247" t="str">
        <f ca="1">IF(C650="","",IF($K$11="净利润率",[1]!S_STM07_IS(D650,61,$G$5,$H$13)/[1]!S_STM07_IS(D650,9,$G$5,$H$13),[1]!S_STM07_IS(D650,55,$G$5,$H$13)/$E$5))</f>
        <v/>
      </c>
      <c r="L650" s="247" t="str">
        <f ca="1">IF(C650="","",IF($L$11="ROA",[1]!S_STM07_IS(D650,61,$G$5,$H$13)/[1]!S_STM07_BS(D650,74,$G$5,$H$13),1-[1]!S_STM07_IS(D650,61,$G$5,$H$13)/[1]!S_STM07_IS(D650,55,$G$5,$H$13)))</f>
        <v/>
      </c>
      <c r="M650" s="247" t="str">
        <f ca="1">IF(C650="","",IF($M$11="ROE",[1]!S_STM07_IS(D650,61,$G$5,$H$13)/[1]!S_STM07_BS(D650,141,$G$5,$H$13),([1]!S_STM07_BS(D650,25,$G$5,$H$13)-[1]!S_STM07_BS(D650,93,$G$5,$H$13))/$E$5))</f>
        <v/>
      </c>
      <c r="N650" s="247" t="str">
        <f ca="1">IF(C650="","",IF($N$11="EPS",[1]!S_STM07_IS(D650,61,$G$5,$H$13)/IF([1]!S_SHARE_TOTAL(D650,$G$5)=0,[1]!S_SHARE_TOTAL(D650,[1]!s_ipo_listeddate(D650)),[1]!S_SHARE_TOTAL(D650,$G$5)),([1]!S_STM07_BS(D650,75,$G$5,$H$13)+[1]!S_STM07_BS(D650,88,$G$5,$H$13)+[1]!S_STM07_BS(D650,94,$G$5,$H$13)+[1]!S_STM07_BS(D650,95,$G$5,$H$13))/$E$5))</f>
        <v/>
      </c>
      <c r="O650" s="247" t="str">
        <f ca="1">IF(C650="","",IF($O$11="BPS",[1]!S_STM07_BS(D650,141,$G$5,$H$13)/IF([1]!S_SHARE_TOTAL(D650,$G$5)=0,[1]!S_SHARE_TOTAL(D650,[1]!s_ipo_listeddate(D650)),[1]!S_SHARE_TOTAL(D650,$G$5)),[1]!S_STM07_CS(D650,49,$G$5,$H$13)/$E$5))</f>
        <v/>
      </c>
      <c r="P650" s="247" t="str">
        <f ca="1">IF(C650="","",IF($P$11="CFPS",[1]!S_STM07_CS(D650,84,$G$5,$H$13)/IF([1]!S_SHARE_TOTAL(D650,$G$5)=0,[1]!S_SHARE_TOTAL(D650,[1]!s_ipo_listeddate(D650)),[1]!S_SHARE_TOTAL(D650,$G$5)),[1]!S_STM07_CS(D650,84,$G$5,$H$13)/$E$5))</f>
        <v/>
      </c>
      <c r="Q650" s="248" t="str">
        <f ca="1">IF(C650="","",F650/([1]!S_STM07_IS(D650,61,$G$5,$H$13)/IF([1]!S_SHARE_TOTAL(D650,$G$5)=0,[1]!S_SHARE_TOTAL(D650,[1]!s_ipo_listeddate(D650)),[1]!S_SHARE_TOTAL(D650,$G$5))))</f>
        <v/>
      </c>
      <c r="R650" s="248" t="str">
        <f ca="1">IF(C650="","",F650/([1]!S_STM07_BS(D650,141,$G$5,$H$13)/IF([1]!S_SHARE_TOTAL(D650,$G$5)=0,[1]!S_SHARE_TOTAL(D650,[1]!s_ipo_listeddate(D650)),[1]!S_SHARE_TOTAL(D650,$G$5))))</f>
        <v/>
      </c>
      <c r="S650" s="247" t="str">
        <f ca="1">IF(C650="","",[1]!S_SHARE_TOTAL(D650,TODAY())/$E$5)</f>
        <v/>
      </c>
      <c r="T650" s="247" t="str">
        <f t="shared" ca="1" si="67"/>
        <v/>
      </c>
      <c r="U650" s="218" t="str">
        <f t="shared" ca="1" si="68"/>
        <v/>
      </c>
      <c r="V650" s="342" t="str">
        <f t="shared" ca="1" si="69"/>
        <v/>
      </c>
      <c r="W650" s="139"/>
      <c r="Y650" s="1"/>
    </row>
    <row r="651" spans="3:25" ht="12" customHeight="1">
      <c r="C651" s="343" t="str">
        <f t="shared" ca="1" si="64"/>
        <v/>
      </c>
      <c r="D651" s="124" t="str">
        <f t="shared" ca="1" si="65"/>
        <v/>
      </c>
      <c r="E651" s="124" t="str">
        <f t="shared" ca="1" si="66"/>
        <v/>
      </c>
      <c r="F651" s="172" t="str">
        <f ca="1">IF(C651="","",[1]!S_DQ_CLOSE(D651,TODAY(),1))</f>
        <v/>
      </c>
      <c r="G651" s="173" t="str">
        <f ca="1">IF(C651="","",[1]!s_pq_pctchange(D651,TODAY()-$G$12,TODAY())/100)</f>
        <v/>
      </c>
      <c r="H651" s="249" t="str">
        <f ca="1">IF(C651="","",IF($H$11="收入",[1]!S_STM07_IS(D651,9,$G$5,$H$13)/$E$5,[1]!S_STM07_IS(D651,48,$G$5,$H$13)/$E$5))</f>
        <v/>
      </c>
      <c r="I651" s="249" t="str">
        <f ca="1">IF(C651="","",IF($I$11="毛利率",([1]!S_STM07_IS(D651,9,$G$5,$H$13)-[1]!S_STM07_IS(D651,10,$G$5,$H$13))/[1]!S_STM07_IS(D651,9,$G$5,$H$13),[1]!S_STM07_IS(D651,14,$G$5,$H$13)/$E$5))</f>
        <v/>
      </c>
      <c r="J651" s="249" t="str">
        <f ca="1">IF(C651="","",IF($J$11="营业利润率",[1]!S_STM07_IS(D651,48,$G$5,$H$13)/[1]!S_STM07_IS(D651,9,$G$5,$H$13),([1]!S_STM07_CS(D651,87,$G$5,$H$13)+[1]!S_STM07_CS(D651,88,$G$5,$H$13)+[1]!S_STM07_CS(D651,89,$G$5,$H$13))/$E$5))</f>
        <v/>
      </c>
      <c r="K651" s="249" t="str">
        <f ca="1">IF(C651="","",IF($K$11="净利润率",[1]!S_STM07_IS(D651,61,$G$5,$H$13)/[1]!S_STM07_IS(D651,9,$G$5,$H$13),[1]!S_STM07_IS(D651,55,$G$5,$H$13)/$E$5))</f>
        <v/>
      </c>
      <c r="L651" s="249" t="str">
        <f ca="1">IF(C651="","",IF($L$11="ROA",[1]!S_STM07_IS(D651,61,$G$5,$H$13)/[1]!S_STM07_BS(D651,74,$G$5,$H$13),1-[1]!S_STM07_IS(D651,61,$G$5,$H$13)/[1]!S_STM07_IS(D651,55,$G$5,$H$13)))</f>
        <v/>
      </c>
      <c r="M651" s="249" t="str">
        <f ca="1">IF(C651="","",IF($M$11="ROE",[1]!S_STM07_IS(D651,61,$G$5,$H$13)/[1]!S_STM07_BS(D651,141,$G$5,$H$13),([1]!S_STM07_BS(D651,25,$G$5,$H$13)-[1]!S_STM07_BS(D651,93,$G$5,$H$13))/$E$5))</f>
        <v/>
      </c>
      <c r="N651" s="250" t="str">
        <f ca="1">IF(C651="","",IF($N$11="EPS",[1]!S_STM07_IS(D651,61,$G$5,$H$13)/IF([1]!S_SHARE_TOTAL(D651,$G$5)=0,[1]!S_SHARE_TOTAL(D651,[1]!s_ipo_listeddate(D651)),[1]!S_SHARE_TOTAL(D651,$G$5)),([1]!S_STM07_BS(D651,75,$G$5,$H$13)+[1]!S_STM07_BS(D651,88,$G$5,$H$13)+[1]!S_STM07_BS(D651,94,$G$5,$H$13)+[1]!S_STM07_BS(D651,95,$G$5,$H$13))/$E$5))</f>
        <v/>
      </c>
      <c r="O651" s="250" t="str">
        <f ca="1">IF(C651="","",IF($O$11="BPS",[1]!S_STM07_BS(D651,141,$G$5,$H$13)/IF([1]!S_SHARE_TOTAL(D651,$G$5)=0,[1]!S_SHARE_TOTAL(D651,[1]!s_ipo_listeddate(D651)),[1]!S_SHARE_TOTAL(D651,$G$5)),[1]!S_STM07_CS(D651,49,$G$5,$H$13)/$E$5))</f>
        <v/>
      </c>
      <c r="P651" s="250" t="str">
        <f ca="1">IF(C651="","",IF($P$11="CFPS",[1]!S_STM07_CS(D651,84,$G$5,$H$13)/IF([1]!S_SHARE_TOTAL(D651,$G$5)=0,[1]!S_SHARE_TOTAL(D651,[1]!s_ipo_listeddate(D651)),[1]!S_SHARE_TOTAL(D651,$G$5)),[1]!S_STM07_CS(D651,84,$G$5,$H$13)/$E$5))</f>
        <v/>
      </c>
      <c r="Q651" s="198" t="str">
        <f ca="1">IF(C651="","",F651/([1]!S_STM07_IS(D651,61,$G$5,$H$13)/IF([1]!S_SHARE_TOTAL(D651,$G$5)=0,[1]!S_SHARE_TOTAL(D651,[1]!s_ipo_listeddate(D651)),[1]!S_SHARE_TOTAL(D651,$G$5))))</f>
        <v/>
      </c>
      <c r="R651" s="198" t="str">
        <f ca="1">IF(C651="","",F651/([1]!S_STM07_BS(D651,141,$G$5,$H$13)/IF([1]!S_SHARE_TOTAL(D651,$G$5)=0,[1]!S_SHARE_TOTAL(D651,[1]!s_ipo_listeddate(D651)),[1]!S_SHARE_TOTAL(D651,$G$5))))</f>
        <v/>
      </c>
      <c r="S651" s="249" t="str">
        <f ca="1">IF(C651="","",[1]!S_SHARE_TOTAL(D651,TODAY())/$E$5)</f>
        <v/>
      </c>
      <c r="T651" s="249" t="str">
        <f t="shared" ca="1" si="67"/>
        <v/>
      </c>
      <c r="U651" s="172" t="str">
        <f t="shared" ca="1" si="68"/>
        <v/>
      </c>
      <c r="V651" s="343" t="str">
        <f t="shared" ca="1" si="69"/>
        <v/>
      </c>
      <c r="W651" s="139"/>
      <c r="Y651" s="1"/>
    </row>
    <row r="652" spans="3:25" ht="12" customHeight="1">
      <c r="C652" s="342" t="str">
        <f t="shared" ca="1" si="64"/>
        <v/>
      </c>
      <c r="D652" s="153" t="str">
        <f t="shared" ca="1" si="65"/>
        <v/>
      </c>
      <c r="E652" s="153" t="str">
        <f t="shared" ca="1" si="66"/>
        <v/>
      </c>
      <c r="F652" s="170" t="str">
        <f ca="1">IF(C652="","",[1]!S_DQ_CLOSE(D652,TODAY(),1))</f>
        <v/>
      </c>
      <c r="G652" s="171" t="str">
        <f ca="1">IF(C652="","",[1]!s_pq_pctchange(D652,TODAY()-$G$12,TODAY())/100)</f>
        <v/>
      </c>
      <c r="H652" s="247" t="str">
        <f ca="1">IF(C652="","",IF($H$11="收入",[1]!S_STM07_IS(D652,9,$G$5,$H$13)/$E$5,[1]!S_STM07_IS(D652,48,$G$5,$H$13)/$E$5))</f>
        <v/>
      </c>
      <c r="I652" s="247" t="str">
        <f ca="1">IF(C652="","",IF($I$11="毛利率",([1]!S_STM07_IS(D652,9,$G$5,$H$13)-[1]!S_STM07_IS(D652,10,$G$5,$H$13))/[1]!S_STM07_IS(D652,9,$G$5,$H$13),[1]!S_STM07_IS(D652,14,$G$5,$H$13)/$E$5))</f>
        <v/>
      </c>
      <c r="J652" s="247" t="str">
        <f ca="1">IF(C652="","",IF($J$11="营业利润率",[1]!S_STM07_IS(D652,48,$G$5,$H$13)/[1]!S_STM07_IS(D652,9,$G$5,$H$13),([1]!S_STM07_CS(D652,87,$G$5,$H$13)+[1]!S_STM07_CS(D652,88,$G$5,$H$13)+[1]!S_STM07_CS(D652,89,$G$5,$H$13))/$E$5))</f>
        <v/>
      </c>
      <c r="K652" s="247" t="str">
        <f ca="1">IF(C652="","",IF($K$11="净利润率",[1]!S_STM07_IS(D652,61,$G$5,$H$13)/[1]!S_STM07_IS(D652,9,$G$5,$H$13),[1]!S_STM07_IS(D652,55,$G$5,$H$13)/$E$5))</f>
        <v/>
      </c>
      <c r="L652" s="247" t="str">
        <f ca="1">IF(C652="","",IF($L$11="ROA",[1]!S_STM07_IS(D652,61,$G$5,$H$13)/[1]!S_STM07_BS(D652,74,$G$5,$H$13),1-[1]!S_STM07_IS(D652,61,$G$5,$H$13)/[1]!S_STM07_IS(D652,55,$G$5,$H$13)))</f>
        <v/>
      </c>
      <c r="M652" s="247" t="str">
        <f ca="1">IF(C652="","",IF($M$11="ROE",[1]!S_STM07_IS(D652,61,$G$5,$H$13)/[1]!S_STM07_BS(D652,141,$G$5,$H$13),([1]!S_STM07_BS(D652,25,$G$5,$H$13)-[1]!S_STM07_BS(D652,93,$G$5,$H$13))/$E$5))</f>
        <v/>
      </c>
      <c r="N652" s="247" t="str">
        <f ca="1">IF(C652="","",IF($N$11="EPS",[1]!S_STM07_IS(D652,61,$G$5,$H$13)/IF([1]!S_SHARE_TOTAL(D652,$G$5)=0,[1]!S_SHARE_TOTAL(D652,[1]!s_ipo_listeddate(D652)),[1]!S_SHARE_TOTAL(D652,$G$5)),([1]!S_STM07_BS(D652,75,$G$5,$H$13)+[1]!S_STM07_BS(D652,88,$G$5,$H$13)+[1]!S_STM07_BS(D652,94,$G$5,$H$13)+[1]!S_STM07_BS(D652,95,$G$5,$H$13))/$E$5))</f>
        <v/>
      </c>
      <c r="O652" s="247" t="str">
        <f ca="1">IF(C652="","",IF($O$11="BPS",[1]!S_STM07_BS(D652,141,$G$5,$H$13)/IF([1]!S_SHARE_TOTAL(D652,$G$5)=0,[1]!S_SHARE_TOTAL(D652,[1]!s_ipo_listeddate(D652)),[1]!S_SHARE_TOTAL(D652,$G$5)),[1]!S_STM07_CS(D652,49,$G$5,$H$13)/$E$5))</f>
        <v/>
      </c>
      <c r="P652" s="247" t="str">
        <f ca="1">IF(C652="","",IF($P$11="CFPS",[1]!S_STM07_CS(D652,84,$G$5,$H$13)/IF([1]!S_SHARE_TOTAL(D652,$G$5)=0,[1]!S_SHARE_TOTAL(D652,[1]!s_ipo_listeddate(D652)),[1]!S_SHARE_TOTAL(D652,$G$5)),[1]!S_STM07_CS(D652,84,$G$5,$H$13)/$E$5))</f>
        <v/>
      </c>
      <c r="Q652" s="248" t="str">
        <f ca="1">IF(C652="","",F652/([1]!S_STM07_IS(D652,61,$G$5,$H$13)/IF([1]!S_SHARE_TOTAL(D652,$G$5)=0,[1]!S_SHARE_TOTAL(D652,[1]!s_ipo_listeddate(D652)),[1]!S_SHARE_TOTAL(D652,$G$5))))</f>
        <v/>
      </c>
      <c r="R652" s="248" t="str">
        <f ca="1">IF(C652="","",F652/([1]!S_STM07_BS(D652,141,$G$5,$H$13)/IF([1]!S_SHARE_TOTAL(D652,$G$5)=0,[1]!S_SHARE_TOTAL(D652,[1]!s_ipo_listeddate(D652)),[1]!S_SHARE_TOTAL(D652,$G$5))))</f>
        <v/>
      </c>
      <c r="S652" s="247" t="str">
        <f ca="1">IF(C652="","",[1]!S_SHARE_TOTAL(D652,TODAY())/$E$5)</f>
        <v/>
      </c>
      <c r="T652" s="247" t="str">
        <f t="shared" ca="1" si="67"/>
        <v/>
      </c>
      <c r="U652" s="218" t="str">
        <f t="shared" ca="1" si="68"/>
        <v/>
      </c>
      <c r="V652" s="342" t="str">
        <f t="shared" ca="1" si="69"/>
        <v/>
      </c>
      <c r="W652" s="139"/>
      <c r="Y652" s="1"/>
    </row>
    <row r="653" spans="3:25" ht="12" customHeight="1">
      <c r="C653" s="343" t="str">
        <f t="shared" ca="1" si="64"/>
        <v/>
      </c>
      <c r="D653" s="124" t="str">
        <f t="shared" ca="1" si="65"/>
        <v/>
      </c>
      <c r="E653" s="124" t="str">
        <f t="shared" ca="1" si="66"/>
        <v/>
      </c>
      <c r="F653" s="172" t="str">
        <f ca="1">IF(C653="","",[1]!S_DQ_CLOSE(D653,TODAY(),1))</f>
        <v/>
      </c>
      <c r="G653" s="173" t="str">
        <f ca="1">IF(C653="","",[1]!s_pq_pctchange(D653,TODAY()-$G$12,TODAY())/100)</f>
        <v/>
      </c>
      <c r="H653" s="249" t="str">
        <f ca="1">IF(C653="","",IF($H$11="收入",[1]!S_STM07_IS(D653,9,$G$5,$H$13)/$E$5,[1]!S_STM07_IS(D653,48,$G$5,$H$13)/$E$5))</f>
        <v/>
      </c>
      <c r="I653" s="249" t="str">
        <f ca="1">IF(C653="","",IF($I$11="毛利率",([1]!S_STM07_IS(D653,9,$G$5,$H$13)-[1]!S_STM07_IS(D653,10,$G$5,$H$13))/[1]!S_STM07_IS(D653,9,$G$5,$H$13),[1]!S_STM07_IS(D653,14,$G$5,$H$13)/$E$5))</f>
        <v/>
      </c>
      <c r="J653" s="249" t="str">
        <f ca="1">IF(C653="","",IF($J$11="营业利润率",[1]!S_STM07_IS(D653,48,$G$5,$H$13)/[1]!S_STM07_IS(D653,9,$G$5,$H$13),([1]!S_STM07_CS(D653,87,$G$5,$H$13)+[1]!S_STM07_CS(D653,88,$G$5,$H$13)+[1]!S_STM07_CS(D653,89,$G$5,$H$13))/$E$5))</f>
        <v/>
      </c>
      <c r="K653" s="249" t="str">
        <f ca="1">IF(C653="","",IF($K$11="净利润率",[1]!S_STM07_IS(D653,61,$G$5,$H$13)/[1]!S_STM07_IS(D653,9,$G$5,$H$13),[1]!S_STM07_IS(D653,55,$G$5,$H$13)/$E$5))</f>
        <v/>
      </c>
      <c r="L653" s="249" t="str">
        <f ca="1">IF(C653="","",IF($L$11="ROA",[1]!S_STM07_IS(D653,61,$G$5,$H$13)/[1]!S_STM07_BS(D653,74,$G$5,$H$13),1-[1]!S_STM07_IS(D653,61,$G$5,$H$13)/[1]!S_STM07_IS(D653,55,$G$5,$H$13)))</f>
        <v/>
      </c>
      <c r="M653" s="249" t="str">
        <f ca="1">IF(C653="","",IF($M$11="ROE",[1]!S_STM07_IS(D653,61,$G$5,$H$13)/[1]!S_STM07_BS(D653,141,$G$5,$H$13),([1]!S_STM07_BS(D653,25,$G$5,$H$13)-[1]!S_STM07_BS(D653,93,$G$5,$H$13))/$E$5))</f>
        <v/>
      </c>
      <c r="N653" s="250" t="str">
        <f ca="1">IF(C653="","",IF($N$11="EPS",[1]!S_STM07_IS(D653,61,$G$5,$H$13)/IF([1]!S_SHARE_TOTAL(D653,$G$5)=0,[1]!S_SHARE_TOTAL(D653,[1]!s_ipo_listeddate(D653)),[1]!S_SHARE_TOTAL(D653,$G$5)),([1]!S_STM07_BS(D653,75,$G$5,$H$13)+[1]!S_STM07_BS(D653,88,$G$5,$H$13)+[1]!S_STM07_BS(D653,94,$G$5,$H$13)+[1]!S_STM07_BS(D653,95,$G$5,$H$13))/$E$5))</f>
        <v/>
      </c>
      <c r="O653" s="250" t="str">
        <f ca="1">IF(C653="","",IF($O$11="BPS",[1]!S_STM07_BS(D653,141,$G$5,$H$13)/IF([1]!S_SHARE_TOTAL(D653,$G$5)=0,[1]!S_SHARE_TOTAL(D653,[1]!s_ipo_listeddate(D653)),[1]!S_SHARE_TOTAL(D653,$G$5)),[1]!S_STM07_CS(D653,49,$G$5,$H$13)/$E$5))</f>
        <v/>
      </c>
      <c r="P653" s="250" t="str">
        <f ca="1">IF(C653="","",IF($P$11="CFPS",[1]!S_STM07_CS(D653,84,$G$5,$H$13)/IF([1]!S_SHARE_TOTAL(D653,$G$5)=0,[1]!S_SHARE_TOTAL(D653,[1]!s_ipo_listeddate(D653)),[1]!S_SHARE_TOTAL(D653,$G$5)),[1]!S_STM07_CS(D653,84,$G$5,$H$13)/$E$5))</f>
        <v/>
      </c>
      <c r="Q653" s="198" t="str">
        <f ca="1">IF(C653="","",F653/([1]!S_STM07_IS(D653,61,$G$5,$H$13)/IF([1]!S_SHARE_TOTAL(D653,$G$5)=0,[1]!S_SHARE_TOTAL(D653,[1]!s_ipo_listeddate(D653)),[1]!S_SHARE_TOTAL(D653,$G$5))))</f>
        <v/>
      </c>
      <c r="R653" s="198" t="str">
        <f ca="1">IF(C653="","",F653/([1]!S_STM07_BS(D653,141,$G$5,$H$13)/IF([1]!S_SHARE_TOTAL(D653,$G$5)=0,[1]!S_SHARE_TOTAL(D653,[1]!s_ipo_listeddate(D653)),[1]!S_SHARE_TOTAL(D653,$G$5))))</f>
        <v/>
      </c>
      <c r="S653" s="249" t="str">
        <f ca="1">IF(C653="","",[1]!S_SHARE_TOTAL(D653,TODAY())/$E$5)</f>
        <v/>
      </c>
      <c r="T653" s="249" t="str">
        <f t="shared" ca="1" si="67"/>
        <v/>
      </c>
      <c r="U653" s="172" t="str">
        <f t="shared" ca="1" si="68"/>
        <v/>
      </c>
      <c r="V653" s="343" t="str">
        <f t="shared" ca="1" si="69"/>
        <v/>
      </c>
      <c r="W653" s="139"/>
      <c r="Y653" s="1"/>
    </row>
    <row r="654" spans="3:25" ht="12" customHeight="1">
      <c r="C654" s="342" t="str">
        <f t="shared" ref="C654:C717" ca="1" si="70">IF(ROW()-13&lt;=MAX(series),ROW()-13,"")</f>
        <v/>
      </c>
      <c r="D654" s="153" t="str">
        <f t="shared" ca="1" si="65"/>
        <v/>
      </c>
      <c r="E654" s="153" t="str">
        <f t="shared" ca="1" si="66"/>
        <v/>
      </c>
      <c r="F654" s="170" t="str">
        <f ca="1">IF(C654="","",[1]!S_DQ_CLOSE(D654,TODAY(),1))</f>
        <v/>
      </c>
      <c r="G654" s="171" t="str">
        <f ca="1">IF(C654="","",[1]!s_pq_pctchange(D654,TODAY()-$G$12,TODAY())/100)</f>
        <v/>
      </c>
      <c r="H654" s="247" t="str">
        <f ca="1">IF(C654="","",IF($H$11="收入",[1]!S_STM07_IS(D654,9,$G$5,$H$13)/$E$5,[1]!S_STM07_IS(D654,48,$G$5,$H$13)/$E$5))</f>
        <v/>
      </c>
      <c r="I654" s="247" t="str">
        <f ca="1">IF(C654="","",IF($I$11="毛利率",([1]!S_STM07_IS(D654,9,$G$5,$H$13)-[1]!S_STM07_IS(D654,10,$G$5,$H$13))/[1]!S_STM07_IS(D654,9,$G$5,$H$13),[1]!S_STM07_IS(D654,14,$G$5,$H$13)/$E$5))</f>
        <v/>
      </c>
      <c r="J654" s="247" t="str">
        <f ca="1">IF(C654="","",IF($J$11="营业利润率",[1]!S_STM07_IS(D654,48,$G$5,$H$13)/[1]!S_STM07_IS(D654,9,$G$5,$H$13),([1]!S_STM07_CS(D654,87,$G$5,$H$13)+[1]!S_STM07_CS(D654,88,$G$5,$H$13)+[1]!S_STM07_CS(D654,89,$G$5,$H$13))/$E$5))</f>
        <v/>
      </c>
      <c r="K654" s="247" t="str">
        <f ca="1">IF(C654="","",IF($K$11="净利润率",[1]!S_STM07_IS(D654,61,$G$5,$H$13)/[1]!S_STM07_IS(D654,9,$G$5,$H$13),[1]!S_STM07_IS(D654,55,$G$5,$H$13)/$E$5))</f>
        <v/>
      </c>
      <c r="L654" s="247" t="str">
        <f ca="1">IF(C654="","",IF($L$11="ROA",[1]!S_STM07_IS(D654,61,$G$5,$H$13)/[1]!S_STM07_BS(D654,74,$G$5,$H$13),1-[1]!S_STM07_IS(D654,61,$G$5,$H$13)/[1]!S_STM07_IS(D654,55,$G$5,$H$13)))</f>
        <v/>
      </c>
      <c r="M654" s="247" t="str">
        <f ca="1">IF(C654="","",IF($M$11="ROE",[1]!S_STM07_IS(D654,61,$G$5,$H$13)/[1]!S_STM07_BS(D654,141,$G$5,$H$13),([1]!S_STM07_BS(D654,25,$G$5,$H$13)-[1]!S_STM07_BS(D654,93,$G$5,$H$13))/$E$5))</f>
        <v/>
      </c>
      <c r="N654" s="247" t="str">
        <f ca="1">IF(C654="","",IF($N$11="EPS",[1]!S_STM07_IS(D654,61,$G$5,$H$13)/IF([1]!S_SHARE_TOTAL(D654,$G$5)=0,[1]!S_SHARE_TOTAL(D654,[1]!s_ipo_listeddate(D654)),[1]!S_SHARE_TOTAL(D654,$G$5)),([1]!S_STM07_BS(D654,75,$G$5,$H$13)+[1]!S_STM07_BS(D654,88,$G$5,$H$13)+[1]!S_STM07_BS(D654,94,$G$5,$H$13)+[1]!S_STM07_BS(D654,95,$G$5,$H$13))/$E$5))</f>
        <v/>
      </c>
      <c r="O654" s="247" t="str">
        <f ca="1">IF(C654="","",IF($O$11="BPS",[1]!S_STM07_BS(D654,141,$G$5,$H$13)/IF([1]!S_SHARE_TOTAL(D654,$G$5)=0,[1]!S_SHARE_TOTAL(D654,[1]!s_ipo_listeddate(D654)),[1]!S_SHARE_TOTAL(D654,$G$5)),[1]!S_STM07_CS(D654,49,$G$5,$H$13)/$E$5))</f>
        <v/>
      </c>
      <c r="P654" s="247" t="str">
        <f ca="1">IF(C654="","",IF($P$11="CFPS",[1]!S_STM07_CS(D654,84,$G$5,$H$13)/IF([1]!S_SHARE_TOTAL(D654,$G$5)=0,[1]!S_SHARE_TOTAL(D654,[1]!s_ipo_listeddate(D654)),[1]!S_SHARE_TOTAL(D654,$G$5)),[1]!S_STM07_CS(D654,84,$G$5,$H$13)/$E$5))</f>
        <v/>
      </c>
      <c r="Q654" s="248" t="str">
        <f ca="1">IF(C654="","",F654/([1]!S_STM07_IS(D654,61,$G$5,$H$13)/IF([1]!S_SHARE_TOTAL(D654,$G$5)=0,[1]!S_SHARE_TOTAL(D654,[1]!s_ipo_listeddate(D654)),[1]!S_SHARE_TOTAL(D654,$G$5))))</f>
        <v/>
      </c>
      <c r="R654" s="248" t="str">
        <f ca="1">IF(C654="","",F654/([1]!S_STM07_BS(D654,141,$G$5,$H$13)/IF([1]!S_SHARE_TOTAL(D654,$G$5)=0,[1]!S_SHARE_TOTAL(D654,[1]!s_ipo_listeddate(D654)),[1]!S_SHARE_TOTAL(D654,$G$5))))</f>
        <v/>
      </c>
      <c r="S654" s="247" t="str">
        <f ca="1">IF(C654="","",[1]!S_SHARE_TOTAL(D654,TODAY())/$E$5)</f>
        <v/>
      </c>
      <c r="T654" s="247" t="str">
        <f t="shared" ca="1" si="67"/>
        <v/>
      </c>
      <c r="U654" s="218" t="str">
        <f t="shared" ca="1" si="68"/>
        <v/>
      </c>
      <c r="V654" s="342" t="str">
        <f t="shared" ca="1" si="69"/>
        <v/>
      </c>
      <c r="W654" s="139"/>
      <c r="Y654" s="1"/>
    </row>
    <row r="655" spans="3:25" ht="12" customHeight="1">
      <c r="C655" s="343" t="str">
        <f t="shared" ca="1" si="70"/>
        <v/>
      </c>
      <c r="D655" s="124" t="str">
        <f t="shared" ca="1" si="65"/>
        <v/>
      </c>
      <c r="E655" s="124" t="str">
        <f t="shared" ca="1" si="66"/>
        <v/>
      </c>
      <c r="F655" s="172" t="str">
        <f ca="1">IF(C655="","",[1]!S_DQ_CLOSE(D655,TODAY(),1))</f>
        <v/>
      </c>
      <c r="G655" s="173" t="str">
        <f ca="1">IF(C655="","",[1]!s_pq_pctchange(D655,TODAY()-$G$12,TODAY())/100)</f>
        <v/>
      </c>
      <c r="H655" s="249" t="str">
        <f ca="1">IF(C655="","",IF($H$11="收入",[1]!S_STM07_IS(D655,9,$G$5,$H$13)/$E$5,[1]!S_STM07_IS(D655,48,$G$5,$H$13)/$E$5))</f>
        <v/>
      </c>
      <c r="I655" s="249" t="str">
        <f ca="1">IF(C655="","",IF($I$11="毛利率",([1]!S_STM07_IS(D655,9,$G$5,$H$13)-[1]!S_STM07_IS(D655,10,$G$5,$H$13))/[1]!S_STM07_IS(D655,9,$G$5,$H$13),[1]!S_STM07_IS(D655,14,$G$5,$H$13)/$E$5))</f>
        <v/>
      </c>
      <c r="J655" s="249" t="str">
        <f ca="1">IF(C655="","",IF($J$11="营业利润率",[1]!S_STM07_IS(D655,48,$G$5,$H$13)/[1]!S_STM07_IS(D655,9,$G$5,$H$13),([1]!S_STM07_CS(D655,87,$G$5,$H$13)+[1]!S_STM07_CS(D655,88,$G$5,$H$13)+[1]!S_STM07_CS(D655,89,$G$5,$H$13))/$E$5))</f>
        <v/>
      </c>
      <c r="K655" s="249" t="str">
        <f ca="1">IF(C655="","",IF($K$11="净利润率",[1]!S_STM07_IS(D655,61,$G$5,$H$13)/[1]!S_STM07_IS(D655,9,$G$5,$H$13),[1]!S_STM07_IS(D655,55,$G$5,$H$13)/$E$5))</f>
        <v/>
      </c>
      <c r="L655" s="249" t="str">
        <f ca="1">IF(C655="","",IF($L$11="ROA",[1]!S_STM07_IS(D655,61,$G$5,$H$13)/[1]!S_STM07_BS(D655,74,$G$5,$H$13),1-[1]!S_STM07_IS(D655,61,$G$5,$H$13)/[1]!S_STM07_IS(D655,55,$G$5,$H$13)))</f>
        <v/>
      </c>
      <c r="M655" s="249" t="str">
        <f ca="1">IF(C655="","",IF($M$11="ROE",[1]!S_STM07_IS(D655,61,$G$5,$H$13)/[1]!S_STM07_BS(D655,141,$G$5,$H$13),([1]!S_STM07_BS(D655,25,$G$5,$H$13)-[1]!S_STM07_BS(D655,93,$G$5,$H$13))/$E$5))</f>
        <v/>
      </c>
      <c r="N655" s="250" t="str">
        <f ca="1">IF(C655="","",IF($N$11="EPS",[1]!S_STM07_IS(D655,61,$G$5,$H$13)/IF([1]!S_SHARE_TOTAL(D655,$G$5)=0,[1]!S_SHARE_TOTAL(D655,[1]!s_ipo_listeddate(D655)),[1]!S_SHARE_TOTAL(D655,$G$5)),([1]!S_STM07_BS(D655,75,$G$5,$H$13)+[1]!S_STM07_BS(D655,88,$G$5,$H$13)+[1]!S_STM07_BS(D655,94,$G$5,$H$13)+[1]!S_STM07_BS(D655,95,$G$5,$H$13))/$E$5))</f>
        <v/>
      </c>
      <c r="O655" s="250" t="str">
        <f ca="1">IF(C655="","",IF($O$11="BPS",[1]!S_STM07_BS(D655,141,$G$5,$H$13)/IF([1]!S_SHARE_TOTAL(D655,$G$5)=0,[1]!S_SHARE_TOTAL(D655,[1]!s_ipo_listeddate(D655)),[1]!S_SHARE_TOTAL(D655,$G$5)),[1]!S_STM07_CS(D655,49,$G$5,$H$13)/$E$5))</f>
        <v/>
      </c>
      <c r="P655" s="250" t="str">
        <f ca="1">IF(C655="","",IF($P$11="CFPS",[1]!S_STM07_CS(D655,84,$G$5,$H$13)/IF([1]!S_SHARE_TOTAL(D655,$G$5)=0,[1]!S_SHARE_TOTAL(D655,[1]!s_ipo_listeddate(D655)),[1]!S_SHARE_TOTAL(D655,$G$5)),[1]!S_STM07_CS(D655,84,$G$5,$H$13)/$E$5))</f>
        <v/>
      </c>
      <c r="Q655" s="198" t="str">
        <f ca="1">IF(C655="","",F655/([1]!S_STM07_IS(D655,61,$G$5,$H$13)/IF([1]!S_SHARE_TOTAL(D655,$G$5)=0,[1]!S_SHARE_TOTAL(D655,[1]!s_ipo_listeddate(D655)),[1]!S_SHARE_TOTAL(D655,$G$5))))</f>
        <v/>
      </c>
      <c r="R655" s="198" t="str">
        <f ca="1">IF(C655="","",F655/([1]!S_STM07_BS(D655,141,$G$5,$H$13)/IF([1]!S_SHARE_TOTAL(D655,$G$5)=0,[1]!S_SHARE_TOTAL(D655,[1]!s_ipo_listeddate(D655)),[1]!S_SHARE_TOTAL(D655,$G$5))))</f>
        <v/>
      </c>
      <c r="S655" s="249" t="str">
        <f ca="1">IF(C655="","",[1]!S_SHARE_TOTAL(D655,TODAY())/$E$5)</f>
        <v/>
      </c>
      <c r="T655" s="249" t="str">
        <f t="shared" ca="1" si="67"/>
        <v/>
      </c>
      <c r="U655" s="172" t="str">
        <f t="shared" ca="1" si="68"/>
        <v/>
      </c>
      <c r="V655" s="343" t="str">
        <f t="shared" ca="1" si="69"/>
        <v/>
      </c>
      <c r="W655" s="139"/>
      <c r="Y655" s="1"/>
    </row>
    <row r="656" spans="3:25" ht="12" customHeight="1">
      <c r="C656" s="342" t="str">
        <f t="shared" ca="1" si="70"/>
        <v/>
      </c>
      <c r="D656" s="153" t="str">
        <f t="shared" ca="1" si="65"/>
        <v/>
      </c>
      <c r="E656" s="153" t="str">
        <f t="shared" ca="1" si="66"/>
        <v/>
      </c>
      <c r="F656" s="170" t="str">
        <f ca="1">IF(C656="","",[1]!S_DQ_CLOSE(D656,TODAY(),1))</f>
        <v/>
      </c>
      <c r="G656" s="171" t="str">
        <f ca="1">IF(C656="","",[1]!s_pq_pctchange(D656,TODAY()-$G$12,TODAY())/100)</f>
        <v/>
      </c>
      <c r="H656" s="247" t="str">
        <f ca="1">IF(C656="","",IF($H$11="收入",[1]!S_STM07_IS(D656,9,$G$5,$H$13)/$E$5,[1]!S_STM07_IS(D656,48,$G$5,$H$13)/$E$5))</f>
        <v/>
      </c>
      <c r="I656" s="247" t="str">
        <f ca="1">IF(C656="","",IF($I$11="毛利率",([1]!S_STM07_IS(D656,9,$G$5,$H$13)-[1]!S_STM07_IS(D656,10,$G$5,$H$13))/[1]!S_STM07_IS(D656,9,$G$5,$H$13),[1]!S_STM07_IS(D656,14,$G$5,$H$13)/$E$5))</f>
        <v/>
      </c>
      <c r="J656" s="247" t="str">
        <f ca="1">IF(C656="","",IF($J$11="营业利润率",[1]!S_STM07_IS(D656,48,$G$5,$H$13)/[1]!S_STM07_IS(D656,9,$G$5,$H$13),([1]!S_STM07_CS(D656,87,$G$5,$H$13)+[1]!S_STM07_CS(D656,88,$G$5,$H$13)+[1]!S_STM07_CS(D656,89,$G$5,$H$13))/$E$5))</f>
        <v/>
      </c>
      <c r="K656" s="247" t="str">
        <f ca="1">IF(C656="","",IF($K$11="净利润率",[1]!S_STM07_IS(D656,61,$G$5,$H$13)/[1]!S_STM07_IS(D656,9,$G$5,$H$13),[1]!S_STM07_IS(D656,55,$G$5,$H$13)/$E$5))</f>
        <v/>
      </c>
      <c r="L656" s="247" t="str">
        <f ca="1">IF(C656="","",IF($L$11="ROA",[1]!S_STM07_IS(D656,61,$G$5,$H$13)/[1]!S_STM07_BS(D656,74,$G$5,$H$13),1-[1]!S_STM07_IS(D656,61,$G$5,$H$13)/[1]!S_STM07_IS(D656,55,$G$5,$H$13)))</f>
        <v/>
      </c>
      <c r="M656" s="247" t="str">
        <f ca="1">IF(C656="","",IF($M$11="ROE",[1]!S_STM07_IS(D656,61,$G$5,$H$13)/[1]!S_STM07_BS(D656,141,$G$5,$H$13),([1]!S_STM07_BS(D656,25,$G$5,$H$13)-[1]!S_STM07_BS(D656,93,$G$5,$H$13))/$E$5))</f>
        <v/>
      </c>
      <c r="N656" s="247" t="str">
        <f ca="1">IF(C656="","",IF($N$11="EPS",[1]!S_STM07_IS(D656,61,$G$5,$H$13)/IF([1]!S_SHARE_TOTAL(D656,$G$5)=0,[1]!S_SHARE_TOTAL(D656,[1]!s_ipo_listeddate(D656)),[1]!S_SHARE_TOTAL(D656,$G$5)),([1]!S_STM07_BS(D656,75,$G$5,$H$13)+[1]!S_STM07_BS(D656,88,$G$5,$H$13)+[1]!S_STM07_BS(D656,94,$G$5,$H$13)+[1]!S_STM07_BS(D656,95,$G$5,$H$13))/$E$5))</f>
        <v/>
      </c>
      <c r="O656" s="247" t="str">
        <f ca="1">IF(C656="","",IF($O$11="BPS",[1]!S_STM07_BS(D656,141,$G$5,$H$13)/IF([1]!S_SHARE_TOTAL(D656,$G$5)=0,[1]!S_SHARE_TOTAL(D656,[1]!s_ipo_listeddate(D656)),[1]!S_SHARE_TOTAL(D656,$G$5)),[1]!S_STM07_CS(D656,49,$G$5,$H$13)/$E$5))</f>
        <v/>
      </c>
      <c r="P656" s="247" t="str">
        <f ca="1">IF(C656="","",IF($P$11="CFPS",[1]!S_STM07_CS(D656,84,$G$5,$H$13)/IF([1]!S_SHARE_TOTAL(D656,$G$5)=0,[1]!S_SHARE_TOTAL(D656,[1]!s_ipo_listeddate(D656)),[1]!S_SHARE_TOTAL(D656,$G$5)),[1]!S_STM07_CS(D656,84,$G$5,$H$13)/$E$5))</f>
        <v/>
      </c>
      <c r="Q656" s="248" t="str">
        <f ca="1">IF(C656="","",F656/([1]!S_STM07_IS(D656,61,$G$5,$H$13)/IF([1]!S_SHARE_TOTAL(D656,$G$5)=0,[1]!S_SHARE_TOTAL(D656,[1]!s_ipo_listeddate(D656)),[1]!S_SHARE_TOTAL(D656,$G$5))))</f>
        <v/>
      </c>
      <c r="R656" s="248" t="str">
        <f ca="1">IF(C656="","",F656/([1]!S_STM07_BS(D656,141,$G$5,$H$13)/IF([1]!S_SHARE_TOTAL(D656,$G$5)=0,[1]!S_SHARE_TOTAL(D656,[1]!s_ipo_listeddate(D656)),[1]!S_SHARE_TOTAL(D656,$G$5))))</f>
        <v/>
      </c>
      <c r="S656" s="247" t="str">
        <f ca="1">IF(C656="","",[1]!S_SHARE_TOTAL(D656,TODAY())/$E$5)</f>
        <v/>
      </c>
      <c r="T656" s="247" t="str">
        <f t="shared" ca="1" si="67"/>
        <v/>
      </c>
      <c r="U656" s="218" t="str">
        <f t="shared" ca="1" si="68"/>
        <v/>
      </c>
      <c r="V656" s="342" t="str">
        <f t="shared" ca="1" si="69"/>
        <v/>
      </c>
      <c r="W656" s="139"/>
      <c r="Y656" s="1"/>
    </row>
    <row r="657" spans="3:25" ht="12" customHeight="1">
      <c r="C657" s="343" t="str">
        <f t="shared" ca="1" si="70"/>
        <v/>
      </c>
      <c r="D657" s="124" t="str">
        <f t="shared" ca="1" si="65"/>
        <v/>
      </c>
      <c r="E657" s="124" t="str">
        <f t="shared" ca="1" si="66"/>
        <v/>
      </c>
      <c r="F657" s="172" t="str">
        <f ca="1">IF(C657="","",[1]!S_DQ_CLOSE(D657,TODAY(),1))</f>
        <v/>
      </c>
      <c r="G657" s="173" t="str">
        <f ca="1">IF(C657="","",[1]!s_pq_pctchange(D657,TODAY()-$G$12,TODAY())/100)</f>
        <v/>
      </c>
      <c r="H657" s="249" t="str">
        <f ca="1">IF(C657="","",IF($H$11="收入",[1]!S_STM07_IS(D657,9,$G$5,$H$13)/$E$5,[1]!S_STM07_IS(D657,48,$G$5,$H$13)/$E$5))</f>
        <v/>
      </c>
      <c r="I657" s="249" t="str">
        <f ca="1">IF(C657="","",IF($I$11="毛利率",([1]!S_STM07_IS(D657,9,$G$5,$H$13)-[1]!S_STM07_IS(D657,10,$G$5,$H$13))/[1]!S_STM07_IS(D657,9,$G$5,$H$13),[1]!S_STM07_IS(D657,14,$G$5,$H$13)/$E$5))</f>
        <v/>
      </c>
      <c r="J657" s="249" t="str">
        <f ca="1">IF(C657="","",IF($J$11="营业利润率",[1]!S_STM07_IS(D657,48,$G$5,$H$13)/[1]!S_STM07_IS(D657,9,$G$5,$H$13),([1]!S_STM07_CS(D657,87,$G$5,$H$13)+[1]!S_STM07_CS(D657,88,$G$5,$H$13)+[1]!S_STM07_CS(D657,89,$G$5,$H$13))/$E$5))</f>
        <v/>
      </c>
      <c r="K657" s="249" t="str">
        <f ca="1">IF(C657="","",IF($K$11="净利润率",[1]!S_STM07_IS(D657,61,$G$5,$H$13)/[1]!S_STM07_IS(D657,9,$G$5,$H$13),[1]!S_STM07_IS(D657,55,$G$5,$H$13)/$E$5))</f>
        <v/>
      </c>
      <c r="L657" s="249" t="str">
        <f ca="1">IF(C657="","",IF($L$11="ROA",[1]!S_STM07_IS(D657,61,$G$5,$H$13)/[1]!S_STM07_BS(D657,74,$G$5,$H$13),1-[1]!S_STM07_IS(D657,61,$G$5,$H$13)/[1]!S_STM07_IS(D657,55,$G$5,$H$13)))</f>
        <v/>
      </c>
      <c r="M657" s="249" t="str">
        <f ca="1">IF(C657="","",IF($M$11="ROE",[1]!S_STM07_IS(D657,61,$G$5,$H$13)/[1]!S_STM07_BS(D657,141,$G$5,$H$13),([1]!S_STM07_BS(D657,25,$G$5,$H$13)-[1]!S_STM07_BS(D657,93,$G$5,$H$13))/$E$5))</f>
        <v/>
      </c>
      <c r="N657" s="250" t="str">
        <f ca="1">IF(C657="","",IF($N$11="EPS",[1]!S_STM07_IS(D657,61,$G$5,$H$13)/IF([1]!S_SHARE_TOTAL(D657,$G$5)=0,[1]!S_SHARE_TOTAL(D657,[1]!s_ipo_listeddate(D657)),[1]!S_SHARE_TOTAL(D657,$G$5)),([1]!S_STM07_BS(D657,75,$G$5,$H$13)+[1]!S_STM07_BS(D657,88,$G$5,$H$13)+[1]!S_STM07_BS(D657,94,$G$5,$H$13)+[1]!S_STM07_BS(D657,95,$G$5,$H$13))/$E$5))</f>
        <v/>
      </c>
      <c r="O657" s="250" t="str">
        <f ca="1">IF(C657="","",IF($O$11="BPS",[1]!S_STM07_BS(D657,141,$G$5,$H$13)/IF([1]!S_SHARE_TOTAL(D657,$G$5)=0,[1]!S_SHARE_TOTAL(D657,[1]!s_ipo_listeddate(D657)),[1]!S_SHARE_TOTAL(D657,$G$5)),[1]!S_STM07_CS(D657,49,$G$5,$H$13)/$E$5))</f>
        <v/>
      </c>
      <c r="P657" s="250" t="str">
        <f ca="1">IF(C657="","",IF($P$11="CFPS",[1]!S_STM07_CS(D657,84,$G$5,$H$13)/IF([1]!S_SHARE_TOTAL(D657,$G$5)=0,[1]!S_SHARE_TOTAL(D657,[1]!s_ipo_listeddate(D657)),[1]!S_SHARE_TOTAL(D657,$G$5)),[1]!S_STM07_CS(D657,84,$G$5,$H$13)/$E$5))</f>
        <v/>
      </c>
      <c r="Q657" s="198" t="str">
        <f ca="1">IF(C657="","",F657/([1]!S_STM07_IS(D657,61,$G$5,$H$13)/IF([1]!S_SHARE_TOTAL(D657,$G$5)=0,[1]!S_SHARE_TOTAL(D657,[1]!s_ipo_listeddate(D657)),[1]!S_SHARE_TOTAL(D657,$G$5))))</f>
        <v/>
      </c>
      <c r="R657" s="198" t="str">
        <f ca="1">IF(C657="","",F657/([1]!S_STM07_BS(D657,141,$G$5,$H$13)/IF([1]!S_SHARE_TOTAL(D657,$G$5)=0,[1]!S_SHARE_TOTAL(D657,[1]!s_ipo_listeddate(D657)),[1]!S_SHARE_TOTAL(D657,$G$5))))</f>
        <v/>
      </c>
      <c r="S657" s="249" t="str">
        <f ca="1">IF(C657="","",[1]!S_SHARE_TOTAL(D657,TODAY())/$E$5)</f>
        <v/>
      </c>
      <c r="T657" s="249" t="str">
        <f t="shared" ca="1" si="67"/>
        <v/>
      </c>
      <c r="U657" s="172" t="str">
        <f t="shared" ca="1" si="68"/>
        <v/>
      </c>
      <c r="V657" s="343" t="str">
        <f t="shared" ca="1" si="69"/>
        <v/>
      </c>
      <c r="W657" s="139"/>
      <c r="Y657" s="1"/>
    </row>
    <row r="658" spans="3:25" ht="12" customHeight="1">
      <c r="C658" s="342" t="str">
        <f t="shared" ca="1" si="70"/>
        <v/>
      </c>
      <c r="D658" s="153" t="str">
        <f t="shared" ca="1" si="65"/>
        <v/>
      </c>
      <c r="E658" s="153" t="str">
        <f t="shared" ca="1" si="66"/>
        <v/>
      </c>
      <c r="F658" s="170" t="str">
        <f ca="1">IF(C658="","",[1]!S_DQ_CLOSE(D658,TODAY(),1))</f>
        <v/>
      </c>
      <c r="G658" s="171" t="str">
        <f ca="1">IF(C658="","",[1]!s_pq_pctchange(D658,TODAY()-$G$12,TODAY())/100)</f>
        <v/>
      </c>
      <c r="H658" s="247" t="str">
        <f ca="1">IF(C658="","",IF($H$11="收入",[1]!S_STM07_IS(D658,9,$G$5,$H$13)/$E$5,[1]!S_STM07_IS(D658,48,$G$5,$H$13)/$E$5))</f>
        <v/>
      </c>
      <c r="I658" s="247" t="str">
        <f ca="1">IF(C658="","",IF($I$11="毛利率",([1]!S_STM07_IS(D658,9,$G$5,$H$13)-[1]!S_STM07_IS(D658,10,$G$5,$H$13))/[1]!S_STM07_IS(D658,9,$G$5,$H$13),[1]!S_STM07_IS(D658,14,$G$5,$H$13)/$E$5))</f>
        <v/>
      </c>
      <c r="J658" s="247" t="str">
        <f ca="1">IF(C658="","",IF($J$11="营业利润率",[1]!S_STM07_IS(D658,48,$G$5,$H$13)/[1]!S_STM07_IS(D658,9,$G$5,$H$13),([1]!S_STM07_CS(D658,87,$G$5,$H$13)+[1]!S_STM07_CS(D658,88,$G$5,$H$13)+[1]!S_STM07_CS(D658,89,$G$5,$H$13))/$E$5))</f>
        <v/>
      </c>
      <c r="K658" s="247" t="str">
        <f ca="1">IF(C658="","",IF($K$11="净利润率",[1]!S_STM07_IS(D658,61,$G$5,$H$13)/[1]!S_STM07_IS(D658,9,$G$5,$H$13),[1]!S_STM07_IS(D658,55,$G$5,$H$13)/$E$5))</f>
        <v/>
      </c>
      <c r="L658" s="247" t="str">
        <f ca="1">IF(C658="","",IF($L$11="ROA",[1]!S_STM07_IS(D658,61,$G$5,$H$13)/[1]!S_STM07_BS(D658,74,$G$5,$H$13),1-[1]!S_STM07_IS(D658,61,$G$5,$H$13)/[1]!S_STM07_IS(D658,55,$G$5,$H$13)))</f>
        <v/>
      </c>
      <c r="M658" s="247" t="str">
        <f ca="1">IF(C658="","",IF($M$11="ROE",[1]!S_STM07_IS(D658,61,$G$5,$H$13)/[1]!S_STM07_BS(D658,141,$G$5,$H$13),([1]!S_STM07_BS(D658,25,$G$5,$H$13)-[1]!S_STM07_BS(D658,93,$G$5,$H$13))/$E$5))</f>
        <v/>
      </c>
      <c r="N658" s="247" t="str">
        <f ca="1">IF(C658="","",IF($N$11="EPS",[1]!S_STM07_IS(D658,61,$G$5,$H$13)/IF([1]!S_SHARE_TOTAL(D658,$G$5)=0,[1]!S_SHARE_TOTAL(D658,[1]!s_ipo_listeddate(D658)),[1]!S_SHARE_TOTAL(D658,$G$5)),([1]!S_STM07_BS(D658,75,$G$5,$H$13)+[1]!S_STM07_BS(D658,88,$G$5,$H$13)+[1]!S_STM07_BS(D658,94,$G$5,$H$13)+[1]!S_STM07_BS(D658,95,$G$5,$H$13))/$E$5))</f>
        <v/>
      </c>
      <c r="O658" s="247" t="str">
        <f ca="1">IF(C658="","",IF($O$11="BPS",[1]!S_STM07_BS(D658,141,$G$5,$H$13)/IF([1]!S_SHARE_TOTAL(D658,$G$5)=0,[1]!S_SHARE_TOTAL(D658,[1]!s_ipo_listeddate(D658)),[1]!S_SHARE_TOTAL(D658,$G$5)),[1]!S_STM07_CS(D658,49,$G$5,$H$13)/$E$5))</f>
        <v/>
      </c>
      <c r="P658" s="247" t="str">
        <f ca="1">IF(C658="","",IF($P$11="CFPS",[1]!S_STM07_CS(D658,84,$G$5,$H$13)/IF([1]!S_SHARE_TOTAL(D658,$G$5)=0,[1]!S_SHARE_TOTAL(D658,[1]!s_ipo_listeddate(D658)),[1]!S_SHARE_TOTAL(D658,$G$5)),[1]!S_STM07_CS(D658,84,$G$5,$H$13)/$E$5))</f>
        <v/>
      </c>
      <c r="Q658" s="248" t="str">
        <f ca="1">IF(C658="","",F658/([1]!S_STM07_IS(D658,61,$G$5,$H$13)/IF([1]!S_SHARE_TOTAL(D658,$G$5)=0,[1]!S_SHARE_TOTAL(D658,[1]!s_ipo_listeddate(D658)),[1]!S_SHARE_TOTAL(D658,$G$5))))</f>
        <v/>
      </c>
      <c r="R658" s="248" t="str">
        <f ca="1">IF(C658="","",F658/([1]!S_STM07_BS(D658,141,$G$5,$H$13)/IF([1]!S_SHARE_TOTAL(D658,$G$5)=0,[1]!S_SHARE_TOTAL(D658,[1]!s_ipo_listeddate(D658)),[1]!S_SHARE_TOTAL(D658,$G$5))))</f>
        <v/>
      </c>
      <c r="S658" s="247" t="str">
        <f ca="1">IF(C658="","",[1]!S_SHARE_TOTAL(D658,TODAY())/$E$5)</f>
        <v/>
      </c>
      <c r="T658" s="247" t="str">
        <f t="shared" ca="1" si="67"/>
        <v/>
      </c>
      <c r="U658" s="218" t="str">
        <f t="shared" ca="1" si="68"/>
        <v/>
      </c>
      <c r="V658" s="342" t="str">
        <f t="shared" ca="1" si="69"/>
        <v/>
      </c>
      <c r="W658" s="139"/>
      <c r="Y658" s="1"/>
    </row>
    <row r="659" spans="3:25" ht="12" customHeight="1">
      <c r="C659" s="343" t="str">
        <f t="shared" ca="1" si="70"/>
        <v/>
      </c>
      <c r="D659" s="124" t="str">
        <f t="shared" ca="1" si="65"/>
        <v/>
      </c>
      <c r="E659" s="124" t="str">
        <f t="shared" ca="1" si="66"/>
        <v/>
      </c>
      <c r="F659" s="172" t="str">
        <f ca="1">IF(C659="","",[1]!S_DQ_CLOSE(D659,TODAY(),1))</f>
        <v/>
      </c>
      <c r="G659" s="173" t="str">
        <f ca="1">IF(C659="","",[1]!s_pq_pctchange(D659,TODAY()-$G$12,TODAY())/100)</f>
        <v/>
      </c>
      <c r="H659" s="249" t="str">
        <f ca="1">IF(C659="","",IF($H$11="收入",[1]!S_STM07_IS(D659,9,$G$5,$H$13)/$E$5,[1]!S_STM07_IS(D659,48,$G$5,$H$13)/$E$5))</f>
        <v/>
      </c>
      <c r="I659" s="249" t="str">
        <f ca="1">IF(C659="","",IF($I$11="毛利率",([1]!S_STM07_IS(D659,9,$G$5,$H$13)-[1]!S_STM07_IS(D659,10,$G$5,$H$13))/[1]!S_STM07_IS(D659,9,$G$5,$H$13),[1]!S_STM07_IS(D659,14,$G$5,$H$13)/$E$5))</f>
        <v/>
      </c>
      <c r="J659" s="249" t="str">
        <f ca="1">IF(C659="","",IF($J$11="营业利润率",[1]!S_STM07_IS(D659,48,$G$5,$H$13)/[1]!S_STM07_IS(D659,9,$G$5,$H$13),([1]!S_STM07_CS(D659,87,$G$5,$H$13)+[1]!S_STM07_CS(D659,88,$G$5,$H$13)+[1]!S_STM07_CS(D659,89,$G$5,$H$13))/$E$5))</f>
        <v/>
      </c>
      <c r="K659" s="249" t="str">
        <f ca="1">IF(C659="","",IF($K$11="净利润率",[1]!S_STM07_IS(D659,61,$G$5,$H$13)/[1]!S_STM07_IS(D659,9,$G$5,$H$13),[1]!S_STM07_IS(D659,55,$G$5,$H$13)/$E$5))</f>
        <v/>
      </c>
      <c r="L659" s="249" t="str">
        <f ca="1">IF(C659="","",IF($L$11="ROA",[1]!S_STM07_IS(D659,61,$G$5,$H$13)/[1]!S_STM07_BS(D659,74,$G$5,$H$13),1-[1]!S_STM07_IS(D659,61,$G$5,$H$13)/[1]!S_STM07_IS(D659,55,$G$5,$H$13)))</f>
        <v/>
      </c>
      <c r="M659" s="249" t="str">
        <f ca="1">IF(C659="","",IF($M$11="ROE",[1]!S_STM07_IS(D659,61,$G$5,$H$13)/[1]!S_STM07_BS(D659,141,$G$5,$H$13),([1]!S_STM07_BS(D659,25,$G$5,$H$13)-[1]!S_STM07_BS(D659,93,$G$5,$H$13))/$E$5))</f>
        <v/>
      </c>
      <c r="N659" s="250" t="str">
        <f ca="1">IF(C659="","",IF($N$11="EPS",[1]!S_STM07_IS(D659,61,$G$5,$H$13)/IF([1]!S_SHARE_TOTAL(D659,$G$5)=0,[1]!S_SHARE_TOTAL(D659,[1]!s_ipo_listeddate(D659)),[1]!S_SHARE_TOTAL(D659,$G$5)),([1]!S_STM07_BS(D659,75,$G$5,$H$13)+[1]!S_STM07_BS(D659,88,$G$5,$H$13)+[1]!S_STM07_BS(D659,94,$G$5,$H$13)+[1]!S_STM07_BS(D659,95,$G$5,$H$13))/$E$5))</f>
        <v/>
      </c>
      <c r="O659" s="250" t="str">
        <f ca="1">IF(C659="","",IF($O$11="BPS",[1]!S_STM07_BS(D659,141,$G$5,$H$13)/IF([1]!S_SHARE_TOTAL(D659,$G$5)=0,[1]!S_SHARE_TOTAL(D659,[1]!s_ipo_listeddate(D659)),[1]!S_SHARE_TOTAL(D659,$G$5)),[1]!S_STM07_CS(D659,49,$G$5,$H$13)/$E$5))</f>
        <v/>
      </c>
      <c r="P659" s="250" t="str">
        <f ca="1">IF(C659="","",IF($P$11="CFPS",[1]!S_STM07_CS(D659,84,$G$5,$H$13)/IF([1]!S_SHARE_TOTAL(D659,$G$5)=0,[1]!S_SHARE_TOTAL(D659,[1]!s_ipo_listeddate(D659)),[1]!S_SHARE_TOTAL(D659,$G$5)),[1]!S_STM07_CS(D659,84,$G$5,$H$13)/$E$5))</f>
        <v/>
      </c>
      <c r="Q659" s="198" t="str">
        <f ca="1">IF(C659="","",F659/([1]!S_STM07_IS(D659,61,$G$5,$H$13)/IF([1]!S_SHARE_TOTAL(D659,$G$5)=0,[1]!S_SHARE_TOTAL(D659,[1]!s_ipo_listeddate(D659)),[1]!S_SHARE_TOTAL(D659,$G$5))))</f>
        <v/>
      </c>
      <c r="R659" s="198" t="str">
        <f ca="1">IF(C659="","",F659/([1]!S_STM07_BS(D659,141,$G$5,$H$13)/IF([1]!S_SHARE_TOTAL(D659,$G$5)=0,[1]!S_SHARE_TOTAL(D659,[1]!s_ipo_listeddate(D659)),[1]!S_SHARE_TOTAL(D659,$G$5))))</f>
        <v/>
      </c>
      <c r="S659" s="249" t="str">
        <f ca="1">IF(C659="","",[1]!S_SHARE_TOTAL(D659,TODAY())/$E$5)</f>
        <v/>
      </c>
      <c r="T659" s="249" t="str">
        <f t="shared" ca="1" si="67"/>
        <v/>
      </c>
      <c r="U659" s="172" t="str">
        <f t="shared" ca="1" si="68"/>
        <v/>
      </c>
      <c r="V659" s="343" t="str">
        <f t="shared" ca="1" si="69"/>
        <v/>
      </c>
      <c r="W659" s="139"/>
      <c r="Y659" s="1"/>
    </row>
    <row r="660" spans="3:25" ht="12" customHeight="1">
      <c r="C660" s="342" t="str">
        <f t="shared" ca="1" si="70"/>
        <v/>
      </c>
      <c r="D660" s="153" t="str">
        <f t="shared" ca="1" si="65"/>
        <v/>
      </c>
      <c r="E660" s="153" t="str">
        <f t="shared" ca="1" si="66"/>
        <v/>
      </c>
      <c r="F660" s="170" t="str">
        <f ca="1">IF(C660="","",[1]!S_DQ_CLOSE(D660,TODAY(),1))</f>
        <v/>
      </c>
      <c r="G660" s="171" t="str">
        <f ca="1">IF(C660="","",[1]!s_pq_pctchange(D660,TODAY()-$G$12,TODAY())/100)</f>
        <v/>
      </c>
      <c r="H660" s="247" t="str">
        <f ca="1">IF(C660="","",IF($H$11="收入",[1]!S_STM07_IS(D660,9,$G$5,$H$13)/$E$5,[1]!S_STM07_IS(D660,48,$G$5,$H$13)/$E$5))</f>
        <v/>
      </c>
      <c r="I660" s="247" t="str">
        <f ca="1">IF(C660="","",IF($I$11="毛利率",([1]!S_STM07_IS(D660,9,$G$5,$H$13)-[1]!S_STM07_IS(D660,10,$G$5,$H$13))/[1]!S_STM07_IS(D660,9,$G$5,$H$13),[1]!S_STM07_IS(D660,14,$G$5,$H$13)/$E$5))</f>
        <v/>
      </c>
      <c r="J660" s="247" t="str">
        <f ca="1">IF(C660="","",IF($J$11="营业利润率",[1]!S_STM07_IS(D660,48,$G$5,$H$13)/[1]!S_STM07_IS(D660,9,$G$5,$H$13),([1]!S_STM07_CS(D660,87,$G$5,$H$13)+[1]!S_STM07_CS(D660,88,$G$5,$H$13)+[1]!S_STM07_CS(D660,89,$G$5,$H$13))/$E$5))</f>
        <v/>
      </c>
      <c r="K660" s="247" t="str">
        <f ca="1">IF(C660="","",IF($K$11="净利润率",[1]!S_STM07_IS(D660,61,$G$5,$H$13)/[1]!S_STM07_IS(D660,9,$G$5,$H$13),[1]!S_STM07_IS(D660,55,$G$5,$H$13)/$E$5))</f>
        <v/>
      </c>
      <c r="L660" s="247" t="str">
        <f ca="1">IF(C660="","",IF($L$11="ROA",[1]!S_STM07_IS(D660,61,$G$5,$H$13)/[1]!S_STM07_BS(D660,74,$G$5,$H$13),1-[1]!S_STM07_IS(D660,61,$G$5,$H$13)/[1]!S_STM07_IS(D660,55,$G$5,$H$13)))</f>
        <v/>
      </c>
      <c r="M660" s="247" t="str">
        <f ca="1">IF(C660="","",IF($M$11="ROE",[1]!S_STM07_IS(D660,61,$G$5,$H$13)/[1]!S_STM07_BS(D660,141,$G$5,$H$13),([1]!S_STM07_BS(D660,25,$G$5,$H$13)-[1]!S_STM07_BS(D660,93,$G$5,$H$13))/$E$5))</f>
        <v/>
      </c>
      <c r="N660" s="247" t="str">
        <f ca="1">IF(C660="","",IF($N$11="EPS",[1]!S_STM07_IS(D660,61,$G$5,$H$13)/IF([1]!S_SHARE_TOTAL(D660,$G$5)=0,[1]!S_SHARE_TOTAL(D660,[1]!s_ipo_listeddate(D660)),[1]!S_SHARE_TOTAL(D660,$G$5)),([1]!S_STM07_BS(D660,75,$G$5,$H$13)+[1]!S_STM07_BS(D660,88,$G$5,$H$13)+[1]!S_STM07_BS(D660,94,$G$5,$H$13)+[1]!S_STM07_BS(D660,95,$G$5,$H$13))/$E$5))</f>
        <v/>
      </c>
      <c r="O660" s="247" t="str">
        <f ca="1">IF(C660="","",IF($O$11="BPS",[1]!S_STM07_BS(D660,141,$G$5,$H$13)/IF([1]!S_SHARE_TOTAL(D660,$G$5)=0,[1]!S_SHARE_TOTAL(D660,[1]!s_ipo_listeddate(D660)),[1]!S_SHARE_TOTAL(D660,$G$5)),[1]!S_STM07_CS(D660,49,$G$5,$H$13)/$E$5))</f>
        <v/>
      </c>
      <c r="P660" s="247" t="str">
        <f ca="1">IF(C660="","",IF($P$11="CFPS",[1]!S_STM07_CS(D660,84,$G$5,$H$13)/IF([1]!S_SHARE_TOTAL(D660,$G$5)=0,[1]!S_SHARE_TOTAL(D660,[1]!s_ipo_listeddate(D660)),[1]!S_SHARE_TOTAL(D660,$G$5)),[1]!S_STM07_CS(D660,84,$G$5,$H$13)/$E$5))</f>
        <v/>
      </c>
      <c r="Q660" s="248" t="str">
        <f ca="1">IF(C660="","",F660/([1]!S_STM07_IS(D660,61,$G$5,$H$13)/IF([1]!S_SHARE_TOTAL(D660,$G$5)=0,[1]!S_SHARE_TOTAL(D660,[1]!s_ipo_listeddate(D660)),[1]!S_SHARE_TOTAL(D660,$G$5))))</f>
        <v/>
      </c>
      <c r="R660" s="248" t="str">
        <f ca="1">IF(C660="","",F660/([1]!S_STM07_BS(D660,141,$G$5,$H$13)/IF([1]!S_SHARE_TOTAL(D660,$G$5)=0,[1]!S_SHARE_TOTAL(D660,[1]!s_ipo_listeddate(D660)),[1]!S_SHARE_TOTAL(D660,$G$5))))</f>
        <v/>
      </c>
      <c r="S660" s="247" t="str">
        <f ca="1">IF(C660="","",[1]!S_SHARE_TOTAL(D660,TODAY())/$E$5)</f>
        <v/>
      </c>
      <c r="T660" s="247" t="str">
        <f t="shared" ca="1" si="67"/>
        <v/>
      </c>
      <c r="U660" s="218" t="str">
        <f t="shared" ca="1" si="68"/>
        <v/>
      </c>
      <c r="V660" s="342" t="str">
        <f t="shared" ca="1" si="69"/>
        <v/>
      </c>
      <c r="W660" s="139"/>
      <c r="Y660" s="1"/>
    </row>
    <row r="661" spans="3:25" ht="12" customHeight="1">
      <c r="C661" s="343" t="str">
        <f t="shared" ca="1" si="70"/>
        <v/>
      </c>
      <c r="D661" s="124" t="str">
        <f t="shared" ca="1" si="65"/>
        <v/>
      </c>
      <c r="E661" s="124" t="str">
        <f t="shared" ca="1" si="66"/>
        <v/>
      </c>
      <c r="F661" s="172" t="str">
        <f ca="1">IF(C661="","",[1]!S_DQ_CLOSE(D661,TODAY(),1))</f>
        <v/>
      </c>
      <c r="G661" s="173" t="str">
        <f ca="1">IF(C661="","",[1]!s_pq_pctchange(D661,TODAY()-$G$12,TODAY())/100)</f>
        <v/>
      </c>
      <c r="H661" s="249" t="str">
        <f ca="1">IF(C661="","",IF($H$11="收入",[1]!S_STM07_IS(D661,9,$G$5,$H$13)/$E$5,[1]!S_STM07_IS(D661,48,$G$5,$H$13)/$E$5))</f>
        <v/>
      </c>
      <c r="I661" s="249" t="str">
        <f ca="1">IF(C661="","",IF($I$11="毛利率",([1]!S_STM07_IS(D661,9,$G$5,$H$13)-[1]!S_STM07_IS(D661,10,$G$5,$H$13))/[1]!S_STM07_IS(D661,9,$G$5,$H$13),[1]!S_STM07_IS(D661,14,$G$5,$H$13)/$E$5))</f>
        <v/>
      </c>
      <c r="J661" s="249" t="str">
        <f ca="1">IF(C661="","",IF($J$11="营业利润率",[1]!S_STM07_IS(D661,48,$G$5,$H$13)/[1]!S_STM07_IS(D661,9,$G$5,$H$13),([1]!S_STM07_CS(D661,87,$G$5,$H$13)+[1]!S_STM07_CS(D661,88,$G$5,$H$13)+[1]!S_STM07_CS(D661,89,$G$5,$H$13))/$E$5))</f>
        <v/>
      </c>
      <c r="K661" s="249" t="str">
        <f ca="1">IF(C661="","",IF($K$11="净利润率",[1]!S_STM07_IS(D661,61,$G$5,$H$13)/[1]!S_STM07_IS(D661,9,$G$5,$H$13),[1]!S_STM07_IS(D661,55,$G$5,$H$13)/$E$5))</f>
        <v/>
      </c>
      <c r="L661" s="249" t="str">
        <f ca="1">IF(C661="","",IF($L$11="ROA",[1]!S_STM07_IS(D661,61,$G$5,$H$13)/[1]!S_STM07_BS(D661,74,$G$5,$H$13),1-[1]!S_STM07_IS(D661,61,$G$5,$H$13)/[1]!S_STM07_IS(D661,55,$G$5,$H$13)))</f>
        <v/>
      </c>
      <c r="M661" s="249" t="str">
        <f ca="1">IF(C661="","",IF($M$11="ROE",[1]!S_STM07_IS(D661,61,$G$5,$H$13)/[1]!S_STM07_BS(D661,141,$G$5,$H$13),([1]!S_STM07_BS(D661,25,$G$5,$H$13)-[1]!S_STM07_BS(D661,93,$G$5,$H$13))/$E$5))</f>
        <v/>
      </c>
      <c r="N661" s="250" t="str">
        <f ca="1">IF(C661="","",IF($N$11="EPS",[1]!S_STM07_IS(D661,61,$G$5,$H$13)/IF([1]!S_SHARE_TOTAL(D661,$G$5)=0,[1]!S_SHARE_TOTAL(D661,[1]!s_ipo_listeddate(D661)),[1]!S_SHARE_TOTAL(D661,$G$5)),([1]!S_STM07_BS(D661,75,$G$5,$H$13)+[1]!S_STM07_BS(D661,88,$G$5,$H$13)+[1]!S_STM07_BS(D661,94,$G$5,$H$13)+[1]!S_STM07_BS(D661,95,$G$5,$H$13))/$E$5))</f>
        <v/>
      </c>
      <c r="O661" s="250" t="str">
        <f ca="1">IF(C661="","",IF($O$11="BPS",[1]!S_STM07_BS(D661,141,$G$5,$H$13)/IF([1]!S_SHARE_TOTAL(D661,$G$5)=0,[1]!S_SHARE_TOTAL(D661,[1]!s_ipo_listeddate(D661)),[1]!S_SHARE_TOTAL(D661,$G$5)),[1]!S_STM07_CS(D661,49,$G$5,$H$13)/$E$5))</f>
        <v/>
      </c>
      <c r="P661" s="250" t="str">
        <f ca="1">IF(C661="","",IF($P$11="CFPS",[1]!S_STM07_CS(D661,84,$G$5,$H$13)/IF([1]!S_SHARE_TOTAL(D661,$G$5)=0,[1]!S_SHARE_TOTAL(D661,[1]!s_ipo_listeddate(D661)),[1]!S_SHARE_TOTAL(D661,$G$5)),[1]!S_STM07_CS(D661,84,$G$5,$H$13)/$E$5))</f>
        <v/>
      </c>
      <c r="Q661" s="198" t="str">
        <f ca="1">IF(C661="","",F661/([1]!S_STM07_IS(D661,61,$G$5,$H$13)/IF([1]!S_SHARE_TOTAL(D661,$G$5)=0,[1]!S_SHARE_TOTAL(D661,[1]!s_ipo_listeddate(D661)),[1]!S_SHARE_TOTAL(D661,$G$5))))</f>
        <v/>
      </c>
      <c r="R661" s="198" t="str">
        <f ca="1">IF(C661="","",F661/([1]!S_STM07_BS(D661,141,$G$5,$H$13)/IF([1]!S_SHARE_TOTAL(D661,$G$5)=0,[1]!S_SHARE_TOTAL(D661,[1]!s_ipo_listeddate(D661)),[1]!S_SHARE_TOTAL(D661,$G$5))))</f>
        <v/>
      </c>
      <c r="S661" s="249" t="str">
        <f ca="1">IF(C661="","",[1]!S_SHARE_TOTAL(D661,TODAY())/$E$5)</f>
        <v/>
      </c>
      <c r="T661" s="249" t="str">
        <f t="shared" ca="1" si="67"/>
        <v/>
      </c>
      <c r="U661" s="172" t="str">
        <f t="shared" ca="1" si="68"/>
        <v/>
      </c>
      <c r="V661" s="343" t="str">
        <f t="shared" ca="1" si="69"/>
        <v/>
      </c>
      <c r="W661" s="139"/>
      <c r="Y661" s="1"/>
    </row>
    <row r="662" spans="3:25" ht="12" customHeight="1">
      <c r="C662" s="342" t="str">
        <f t="shared" ca="1" si="70"/>
        <v/>
      </c>
      <c r="D662" s="153" t="str">
        <f t="shared" ca="1" si="65"/>
        <v/>
      </c>
      <c r="E662" s="153" t="str">
        <f t="shared" ca="1" si="66"/>
        <v/>
      </c>
      <c r="F662" s="170" t="str">
        <f ca="1">IF(C662="","",[1]!S_DQ_CLOSE(D662,TODAY(),1))</f>
        <v/>
      </c>
      <c r="G662" s="171" t="str">
        <f ca="1">IF(C662="","",[1]!s_pq_pctchange(D662,TODAY()-$G$12,TODAY())/100)</f>
        <v/>
      </c>
      <c r="H662" s="247" t="str">
        <f ca="1">IF(C662="","",IF($H$11="收入",[1]!S_STM07_IS(D662,9,$G$5,$H$13)/$E$5,[1]!S_STM07_IS(D662,48,$G$5,$H$13)/$E$5))</f>
        <v/>
      </c>
      <c r="I662" s="247" t="str">
        <f ca="1">IF(C662="","",IF($I$11="毛利率",([1]!S_STM07_IS(D662,9,$G$5,$H$13)-[1]!S_STM07_IS(D662,10,$G$5,$H$13))/[1]!S_STM07_IS(D662,9,$G$5,$H$13),[1]!S_STM07_IS(D662,14,$G$5,$H$13)/$E$5))</f>
        <v/>
      </c>
      <c r="J662" s="247" t="str">
        <f ca="1">IF(C662="","",IF($J$11="营业利润率",[1]!S_STM07_IS(D662,48,$G$5,$H$13)/[1]!S_STM07_IS(D662,9,$G$5,$H$13),([1]!S_STM07_CS(D662,87,$G$5,$H$13)+[1]!S_STM07_CS(D662,88,$G$5,$H$13)+[1]!S_STM07_CS(D662,89,$G$5,$H$13))/$E$5))</f>
        <v/>
      </c>
      <c r="K662" s="247" t="str">
        <f ca="1">IF(C662="","",IF($K$11="净利润率",[1]!S_STM07_IS(D662,61,$G$5,$H$13)/[1]!S_STM07_IS(D662,9,$G$5,$H$13),[1]!S_STM07_IS(D662,55,$G$5,$H$13)/$E$5))</f>
        <v/>
      </c>
      <c r="L662" s="247" t="str">
        <f ca="1">IF(C662="","",IF($L$11="ROA",[1]!S_STM07_IS(D662,61,$G$5,$H$13)/[1]!S_STM07_BS(D662,74,$G$5,$H$13),1-[1]!S_STM07_IS(D662,61,$G$5,$H$13)/[1]!S_STM07_IS(D662,55,$G$5,$H$13)))</f>
        <v/>
      </c>
      <c r="M662" s="247" t="str">
        <f ca="1">IF(C662="","",IF($M$11="ROE",[1]!S_STM07_IS(D662,61,$G$5,$H$13)/[1]!S_STM07_BS(D662,141,$G$5,$H$13),([1]!S_STM07_BS(D662,25,$G$5,$H$13)-[1]!S_STM07_BS(D662,93,$G$5,$H$13))/$E$5))</f>
        <v/>
      </c>
      <c r="N662" s="247" t="str">
        <f ca="1">IF(C662="","",IF($N$11="EPS",[1]!S_STM07_IS(D662,61,$G$5,$H$13)/IF([1]!S_SHARE_TOTAL(D662,$G$5)=0,[1]!S_SHARE_TOTAL(D662,[1]!s_ipo_listeddate(D662)),[1]!S_SHARE_TOTAL(D662,$G$5)),([1]!S_STM07_BS(D662,75,$G$5,$H$13)+[1]!S_STM07_BS(D662,88,$G$5,$H$13)+[1]!S_STM07_BS(D662,94,$G$5,$H$13)+[1]!S_STM07_BS(D662,95,$G$5,$H$13))/$E$5))</f>
        <v/>
      </c>
      <c r="O662" s="247" t="str">
        <f ca="1">IF(C662="","",IF($O$11="BPS",[1]!S_STM07_BS(D662,141,$G$5,$H$13)/IF([1]!S_SHARE_TOTAL(D662,$G$5)=0,[1]!S_SHARE_TOTAL(D662,[1]!s_ipo_listeddate(D662)),[1]!S_SHARE_TOTAL(D662,$G$5)),[1]!S_STM07_CS(D662,49,$G$5,$H$13)/$E$5))</f>
        <v/>
      </c>
      <c r="P662" s="247" t="str">
        <f ca="1">IF(C662="","",IF($P$11="CFPS",[1]!S_STM07_CS(D662,84,$G$5,$H$13)/IF([1]!S_SHARE_TOTAL(D662,$G$5)=0,[1]!S_SHARE_TOTAL(D662,[1]!s_ipo_listeddate(D662)),[1]!S_SHARE_TOTAL(D662,$G$5)),[1]!S_STM07_CS(D662,84,$G$5,$H$13)/$E$5))</f>
        <v/>
      </c>
      <c r="Q662" s="248" t="str">
        <f ca="1">IF(C662="","",F662/([1]!S_STM07_IS(D662,61,$G$5,$H$13)/IF([1]!S_SHARE_TOTAL(D662,$G$5)=0,[1]!S_SHARE_TOTAL(D662,[1]!s_ipo_listeddate(D662)),[1]!S_SHARE_TOTAL(D662,$G$5))))</f>
        <v/>
      </c>
      <c r="R662" s="248" t="str">
        <f ca="1">IF(C662="","",F662/([1]!S_STM07_BS(D662,141,$G$5,$H$13)/IF([1]!S_SHARE_TOTAL(D662,$G$5)=0,[1]!S_SHARE_TOTAL(D662,[1]!s_ipo_listeddate(D662)),[1]!S_SHARE_TOTAL(D662,$G$5))))</f>
        <v/>
      </c>
      <c r="S662" s="247" t="str">
        <f ca="1">IF(C662="","",[1]!S_SHARE_TOTAL(D662,TODAY())/$E$5)</f>
        <v/>
      </c>
      <c r="T662" s="247" t="str">
        <f t="shared" ca="1" si="67"/>
        <v/>
      </c>
      <c r="U662" s="218" t="str">
        <f t="shared" ca="1" si="68"/>
        <v/>
      </c>
      <c r="V662" s="342" t="str">
        <f t="shared" ca="1" si="69"/>
        <v/>
      </c>
      <c r="W662" s="139"/>
      <c r="Y662" s="1"/>
    </row>
    <row r="663" spans="3:25" ht="12" customHeight="1">
      <c r="C663" s="343" t="str">
        <f t="shared" ca="1" si="70"/>
        <v/>
      </c>
      <c r="D663" s="124" t="str">
        <f t="shared" ca="1" si="65"/>
        <v/>
      </c>
      <c r="E663" s="124" t="str">
        <f t="shared" ca="1" si="66"/>
        <v/>
      </c>
      <c r="F663" s="172" t="str">
        <f ca="1">IF(C663="","",[1]!S_DQ_CLOSE(D663,TODAY(),1))</f>
        <v/>
      </c>
      <c r="G663" s="173" t="str">
        <f ca="1">IF(C663="","",[1]!s_pq_pctchange(D663,TODAY()-$G$12,TODAY())/100)</f>
        <v/>
      </c>
      <c r="H663" s="249" t="str">
        <f ca="1">IF(C663="","",IF($H$11="收入",[1]!S_STM07_IS(D663,9,$G$5,$H$13)/$E$5,[1]!S_STM07_IS(D663,48,$G$5,$H$13)/$E$5))</f>
        <v/>
      </c>
      <c r="I663" s="249" t="str">
        <f ca="1">IF(C663="","",IF($I$11="毛利率",([1]!S_STM07_IS(D663,9,$G$5,$H$13)-[1]!S_STM07_IS(D663,10,$G$5,$H$13))/[1]!S_STM07_IS(D663,9,$G$5,$H$13),[1]!S_STM07_IS(D663,14,$G$5,$H$13)/$E$5))</f>
        <v/>
      </c>
      <c r="J663" s="249" t="str">
        <f ca="1">IF(C663="","",IF($J$11="营业利润率",[1]!S_STM07_IS(D663,48,$G$5,$H$13)/[1]!S_STM07_IS(D663,9,$G$5,$H$13),([1]!S_STM07_CS(D663,87,$G$5,$H$13)+[1]!S_STM07_CS(D663,88,$G$5,$H$13)+[1]!S_STM07_CS(D663,89,$G$5,$H$13))/$E$5))</f>
        <v/>
      </c>
      <c r="K663" s="249" t="str">
        <f ca="1">IF(C663="","",IF($K$11="净利润率",[1]!S_STM07_IS(D663,61,$G$5,$H$13)/[1]!S_STM07_IS(D663,9,$G$5,$H$13),[1]!S_STM07_IS(D663,55,$G$5,$H$13)/$E$5))</f>
        <v/>
      </c>
      <c r="L663" s="249" t="str">
        <f ca="1">IF(C663="","",IF($L$11="ROA",[1]!S_STM07_IS(D663,61,$G$5,$H$13)/[1]!S_STM07_BS(D663,74,$G$5,$H$13),1-[1]!S_STM07_IS(D663,61,$G$5,$H$13)/[1]!S_STM07_IS(D663,55,$G$5,$H$13)))</f>
        <v/>
      </c>
      <c r="M663" s="249" t="str">
        <f ca="1">IF(C663="","",IF($M$11="ROE",[1]!S_STM07_IS(D663,61,$G$5,$H$13)/[1]!S_STM07_BS(D663,141,$G$5,$H$13),([1]!S_STM07_BS(D663,25,$G$5,$H$13)-[1]!S_STM07_BS(D663,93,$G$5,$H$13))/$E$5))</f>
        <v/>
      </c>
      <c r="N663" s="250" t="str">
        <f ca="1">IF(C663="","",IF($N$11="EPS",[1]!S_STM07_IS(D663,61,$G$5,$H$13)/IF([1]!S_SHARE_TOTAL(D663,$G$5)=0,[1]!S_SHARE_TOTAL(D663,[1]!s_ipo_listeddate(D663)),[1]!S_SHARE_TOTAL(D663,$G$5)),([1]!S_STM07_BS(D663,75,$G$5,$H$13)+[1]!S_STM07_BS(D663,88,$G$5,$H$13)+[1]!S_STM07_BS(D663,94,$G$5,$H$13)+[1]!S_STM07_BS(D663,95,$G$5,$H$13))/$E$5))</f>
        <v/>
      </c>
      <c r="O663" s="250" t="str">
        <f ca="1">IF(C663="","",IF($O$11="BPS",[1]!S_STM07_BS(D663,141,$G$5,$H$13)/IF([1]!S_SHARE_TOTAL(D663,$G$5)=0,[1]!S_SHARE_TOTAL(D663,[1]!s_ipo_listeddate(D663)),[1]!S_SHARE_TOTAL(D663,$G$5)),[1]!S_STM07_CS(D663,49,$G$5,$H$13)/$E$5))</f>
        <v/>
      </c>
      <c r="P663" s="250" t="str">
        <f ca="1">IF(C663="","",IF($P$11="CFPS",[1]!S_STM07_CS(D663,84,$G$5,$H$13)/IF([1]!S_SHARE_TOTAL(D663,$G$5)=0,[1]!S_SHARE_TOTAL(D663,[1]!s_ipo_listeddate(D663)),[1]!S_SHARE_TOTAL(D663,$G$5)),[1]!S_STM07_CS(D663,84,$G$5,$H$13)/$E$5))</f>
        <v/>
      </c>
      <c r="Q663" s="198" t="str">
        <f ca="1">IF(C663="","",F663/([1]!S_STM07_IS(D663,61,$G$5,$H$13)/IF([1]!S_SHARE_TOTAL(D663,$G$5)=0,[1]!S_SHARE_TOTAL(D663,[1]!s_ipo_listeddate(D663)),[1]!S_SHARE_TOTAL(D663,$G$5))))</f>
        <v/>
      </c>
      <c r="R663" s="198" t="str">
        <f ca="1">IF(C663="","",F663/([1]!S_STM07_BS(D663,141,$G$5,$H$13)/IF([1]!S_SHARE_TOTAL(D663,$G$5)=0,[1]!S_SHARE_TOTAL(D663,[1]!s_ipo_listeddate(D663)),[1]!S_SHARE_TOTAL(D663,$G$5))))</f>
        <v/>
      </c>
      <c r="S663" s="249" t="str">
        <f ca="1">IF(C663="","",[1]!S_SHARE_TOTAL(D663,TODAY())/$E$5)</f>
        <v/>
      </c>
      <c r="T663" s="249" t="str">
        <f t="shared" ca="1" si="67"/>
        <v/>
      </c>
      <c r="U663" s="172" t="str">
        <f t="shared" ca="1" si="68"/>
        <v/>
      </c>
      <c r="V663" s="343" t="str">
        <f t="shared" ca="1" si="69"/>
        <v/>
      </c>
      <c r="W663" s="139"/>
      <c r="Y663" s="1"/>
    </row>
    <row r="664" spans="3:25" ht="12" customHeight="1">
      <c r="C664" s="342" t="str">
        <f t="shared" ca="1" si="70"/>
        <v/>
      </c>
      <c r="D664" s="153" t="str">
        <f t="shared" ca="1" si="65"/>
        <v/>
      </c>
      <c r="E664" s="153" t="str">
        <f t="shared" ca="1" si="66"/>
        <v/>
      </c>
      <c r="F664" s="170" t="str">
        <f ca="1">IF(C664="","",[1]!S_DQ_CLOSE(D664,TODAY(),1))</f>
        <v/>
      </c>
      <c r="G664" s="171" t="str">
        <f ca="1">IF(C664="","",[1]!s_pq_pctchange(D664,TODAY()-$G$12,TODAY())/100)</f>
        <v/>
      </c>
      <c r="H664" s="247" t="str">
        <f ca="1">IF(C664="","",IF($H$11="收入",[1]!S_STM07_IS(D664,9,$G$5,$H$13)/$E$5,[1]!S_STM07_IS(D664,48,$G$5,$H$13)/$E$5))</f>
        <v/>
      </c>
      <c r="I664" s="247" t="str">
        <f ca="1">IF(C664="","",IF($I$11="毛利率",([1]!S_STM07_IS(D664,9,$G$5,$H$13)-[1]!S_STM07_IS(D664,10,$G$5,$H$13))/[1]!S_STM07_IS(D664,9,$G$5,$H$13),[1]!S_STM07_IS(D664,14,$G$5,$H$13)/$E$5))</f>
        <v/>
      </c>
      <c r="J664" s="247" t="str">
        <f ca="1">IF(C664="","",IF($J$11="营业利润率",[1]!S_STM07_IS(D664,48,$G$5,$H$13)/[1]!S_STM07_IS(D664,9,$G$5,$H$13),([1]!S_STM07_CS(D664,87,$G$5,$H$13)+[1]!S_STM07_CS(D664,88,$G$5,$H$13)+[1]!S_STM07_CS(D664,89,$G$5,$H$13))/$E$5))</f>
        <v/>
      </c>
      <c r="K664" s="247" t="str">
        <f ca="1">IF(C664="","",IF($K$11="净利润率",[1]!S_STM07_IS(D664,61,$G$5,$H$13)/[1]!S_STM07_IS(D664,9,$G$5,$H$13),[1]!S_STM07_IS(D664,55,$G$5,$H$13)/$E$5))</f>
        <v/>
      </c>
      <c r="L664" s="247" t="str">
        <f ca="1">IF(C664="","",IF($L$11="ROA",[1]!S_STM07_IS(D664,61,$G$5,$H$13)/[1]!S_STM07_BS(D664,74,$G$5,$H$13),1-[1]!S_STM07_IS(D664,61,$G$5,$H$13)/[1]!S_STM07_IS(D664,55,$G$5,$H$13)))</f>
        <v/>
      </c>
      <c r="M664" s="247" t="str">
        <f ca="1">IF(C664="","",IF($M$11="ROE",[1]!S_STM07_IS(D664,61,$G$5,$H$13)/[1]!S_STM07_BS(D664,141,$G$5,$H$13),([1]!S_STM07_BS(D664,25,$G$5,$H$13)-[1]!S_STM07_BS(D664,93,$G$5,$H$13))/$E$5))</f>
        <v/>
      </c>
      <c r="N664" s="247" t="str">
        <f ca="1">IF(C664="","",IF($N$11="EPS",[1]!S_STM07_IS(D664,61,$G$5,$H$13)/IF([1]!S_SHARE_TOTAL(D664,$G$5)=0,[1]!S_SHARE_TOTAL(D664,[1]!s_ipo_listeddate(D664)),[1]!S_SHARE_TOTAL(D664,$G$5)),([1]!S_STM07_BS(D664,75,$G$5,$H$13)+[1]!S_STM07_BS(D664,88,$G$5,$H$13)+[1]!S_STM07_BS(D664,94,$G$5,$H$13)+[1]!S_STM07_BS(D664,95,$G$5,$H$13))/$E$5))</f>
        <v/>
      </c>
      <c r="O664" s="247" t="str">
        <f ca="1">IF(C664="","",IF($O$11="BPS",[1]!S_STM07_BS(D664,141,$G$5,$H$13)/IF([1]!S_SHARE_TOTAL(D664,$G$5)=0,[1]!S_SHARE_TOTAL(D664,[1]!s_ipo_listeddate(D664)),[1]!S_SHARE_TOTAL(D664,$G$5)),[1]!S_STM07_CS(D664,49,$G$5,$H$13)/$E$5))</f>
        <v/>
      </c>
      <c r="P664" s="247" t="str">
        <f ca="1">IF(C664="","",IF($P$11="CFPS",[1]!S_STM07_CS(D664,84,$G$5,$H$13)/IF([1]!S_SHARE_TOTAL(D664,$G$5)=0,[1]!S_SHARE_TOTAL(D664,[1]!s_ipo_listeddate(D664)),[1]!S_SHARE_TOTAL(D664,$G$5)),[1]!S_STM07_CS(D664,84,$G$5,$H$13)/$E$5))</f>
        <v/>
      </c>
      <c r="Q664" s="248" t="str">
        <f ca="1">IF(C664="","",F664/([1]!S_STM07_IS(D664,61,$G$5,$H$13)/IF([1]!S_SHARE_TOTAL(D664,$G$5)=0,[1]!S_SHARE_TOTAL(D664,[1]!s_ipo_listeddate(D664)),[1]!S_SHARE_TOTAL(D664,$G$5))))</f>
        <v/>
      </c>
      <c r="R664" s="248" t="str">
        <f ca="1">IF(C664="","",F664/([1]!S_STM07_BS(D664,141,$G$5,$H$13)/IF([1]!S_SHARE_TOTAL(D664,$G$5)=0,[1]!S_SHARE_TOTAL(D664,[1]!s_ipo_listeddate(D664)),[1]!S_SHARE_TOTAL(D664,$G$5))))</f>
        <v/>
      </c>
      <c r="S664" s="247" t="str">
        <f ca="1">IF(C664="","",[1]!S_SHARE_TOTAL(D664,TODAY())/$E$5)</f>
        <v/>
      </c>
      <c r="T664" s="247" t="str">
        <f t="shared" ca="1" si="67"/>
        <v/>
      </c>
      <c r="U664" s="218" t="str">
        <f t="shared" ca="1" si="68"/>
        <v/>
      </c>
      <c r="V664" s="342" t="str">
        <f t="shared" ca="1" si="69"/>
        <v/>
      </c>
      <c r="W664" s="139"/>
      <c r="Y664" s="1"/>
    </row>
    <row r="665" spans="3:25" ht="12" customHeight="1">
      <c r="C665" s="343" t="str">
        <f t="shared" ca="1" si="70"/>
        <v/>
      </c>
      <c r="D665" s="124" t="str">
        <f t="shared" ref="D665:D728" ca="1" si="71">IF(C665="","",VLOOKUP(C665,comppool,2,FALSE))</f>
        <v/>
      </c>
      <c r="E665" s="124" t="str">
        <f t="shared" ref="E665:E728" ca="1" si="72">IF(C665="","",VLOOKUP(C665,comppool,3,FALSE))</f>
        <v/>
      </c>
      <c r="F665" s="172" t="str">
        <f ca="1">IF(C665="","",[1]!S_DQ_CLOSE(D665,TODAY(),1))</f>
        <v/>
      </c>
      <c r="G665" s="173" t="str">
        <f ca="1">IF(C665="","",[1]!s_pq_pctchange(D665,TODAY()-$G$12,TODAY())/100)</f>
        <v/>
      </c>
      <c r="H665" s="249" t="str">
        <f ca="1">IF(C665="","",IF($H$11="收入",[1]!S_STM07_IS(D665,9,$G$5,$H$13)/$E$5,[1]!S_STM07_IS(D665,48,$G$5,$H$13)/$E$5))</f>
        <v/>
      </c>
      <c r="I665" s="249" t="str">
        <f ca="1">IF(C665="","",IF($I$11="毛利率",([1]!S_STM07_IS(D665,9,$G$5,$H$13)-[1]!S_STM07_IS(D665,10,$G$5,$H$13))/[1]!S_STM07_IS(D665,9,$G$5,$H$13),[1]!S_STM07_IS(D665,14,$G$5,$H$13)/$E$5))</f>
        <v/>
      </c>
      <c r="J665" s="249" t="str">
        <f ca="1">IF(C665="","",IF($J$11="营业利润率",[1]!S_STM07_IS(D665,48,$G$5,$H$13)/[1]!S_STM07_IS(D665,9,$G$5,$H$13),([1]!S_STM07_CS(D665,87,$G$5,$H$13)+[1]!S_STM07_CS(D665,88,$G$5,$H$13)+[1]!S_STM07_CS(D665,89,$G$5,$H$13))/$E$5))</f>
        <v/>
      </c>
      <c r="K665" s="249" t="str">
        <f ca="1">IF(C665="","",IF($K$11="净利润率",[1]!S_STM07_IS(D665,61,$G$5,$H$13)/[1]!S_STM07_IS(D665,9,$G$5,$H$13),[1]!S_STM07_IS(D665,55,$G$5,$H$13)/$E$5))</f>
        <v/>
      </c>
      <c r="L665" s="249" t="str">
        <f ca="1">IF(C665="","",IF($L$11="ROA",[1]!S_STM07_IS(D665,61,$G$5,$H$13)/[1]!S_STM07_BS(D665,74,$G$5,$H$13),1-[1]!S_STM07_IS(D665,61,$G$5,$H$13)/[1]!S_STM07_IS(D665,55,$G$5,$H$13)))</f>
        <v/>
      </c>
      <c r="M665" s="249" t="str">
        <f ca="1">IF(C665="","",IF($M$11="ROE",[1]!S_STM07_IS(D665,61,$G$5,$H$13)/[1]!S_STM07_BS(D665,141,$G$5,$H$13),([1]!S_STM07_BS(D665,25,$G$5,$H$13)-[1]!S_STM07_BS(D665,93,$G$5,$H$13))/$E$5))</f>
        <v/>
      </c>
      <c r="N665" s="250" t="str">
        <f ca="1">IF(C665="","",IF($N$11="EPS",[1]!S_STM07_IS(D665,61,$G$5,$H$13)/IF([1]!S_SHARE_TOTAL(D665,$G$5)=0,[1]!S_SHARE_TOTAL(D665,[1]!s_ipo_listeddate(D665)),[1]!S_SHARE_TOTAL(D665,$G$5)),([1]!S_STM07_BS(D665,75,$G$5,$H$13)+[1]!S_STM07_BS(D665,88,$G$5,$H$13)+[1]!S_STM07_BS(D665,94,$G$5,$H$13)+[1]!S_STM07_BS(D665,95,$G$5,$H$13))/$E$5))</f>
        <v/>
      </c>
      <c r="O665" s="250" t="str">
        <f ca="1">IF(C665="","",IF($O$11="BPS",[1]!S_STM07_BS(D665,141,$G$5,$H$13)/IF([1]!S_SHARE_TOTAL(D665,$G$5)=0,[1]!S_SHARE_TOTAL(D665,[1]!s_ipo_listeddate(D665)),[1]!S_SHARE_TOTAL(D665,$G$5)),[1]!S_STM07_CS(D665,49,$G$5,$H$13)/$E$5))</f>
        <v/>
      </c>
      <c r="P665" s="250" t="str">
        <f ca="1">IF(C665="","",IF($P$11="CFPS",[1]!S_STM07_CS(D665,84,$G$5,$H$13)/IF([1]!S_SHARE_TOTAL(D665,$G$5)=0,[1]!S_SHARE_TOTAL(D665,[1]!s_ipo_listeddate(D665)),[1]!S_SHARE_TOTAL(D665,$G$5)),[1]!S_STM07_CS(D665,84,$G$5,$H$13)/$E$5))</f>
        <v/>
      </c>
      <c r="Q665" s="198" t="str">
        <f ca="1">IF(C665="","",F665/([1]!S_STM07_IS(D665,61,$G$5,$H$13)/IF([1]!S_SHARE_TOTAL(D665,$G$5)=0,[1]!S_SHARE_TOTAL(D665,[1]!s_ipo_listeddate(D665)),[1]!S_SHARE_TOTAL(D665,$G$5))))</f>
        <v/>
      </c>
      <c r="R665" s="198" t="str">
        <f ca="1">IF(C665="","",F665/([1]!S_STM07_BS(D665,141,$G$5,$H$13)/IF([1]!S_SHARE_TOTAL(D665,$G$5)=0,[1]!S_SHARE_TOTAL(D665,[1]!s_ipo_listeddate(D665)),[1]!S_SHARE_TOTAL(D665,$G$5))))</f>
        <v/>
      </c>
      <c r="S665" s="249" t="str">
        <f ca="1">IF(C665="","",[1]!S_SHARE_TOTAL(D665,TODAY())/$E$5)</f>
        <v/>
      </c>
      <c r="T665" s="249" t="str">
        <f t="shared" ref="T665:T728" ca="1" si="73">IF(C665="","",F665*S665)</f>
        <v/>
      </c>
      <c r="U665" s="172" t="str">
        <f t="shared" ref="U665:U728" ca="1" si="74">IF(C665="","",HLOOKUP($V$12,$G$11:$T$20003,ROW()-ROW($G$11)+1,FALSE))</f>
        <v/>
      </c>
      <c r="V665" s="343" t="str">
        <f t="shared" ref="V665:V728" ca="1" si="75">IF(C665="","",RANK(U665,U:U,0))</f>
        <v/>
      </c>
      <c r="W665" s="139"/>
      <c r="Y665" s="1"/>
    </row>
    <row r="666" spans="3:25" ht="12" customHeight="1">
      <c r="C666" s="342" t="str">
        <f t="shared" ca="1" si="70"/>
        <v/>
      </c>
      <c r="D666" s="153" t="str">
        <f t="shared" ca="1" si="71"/>
        <v/>
      </c>
      <c r="E666" s="153" t="str">
        <f t="shared" ca="1" si="72"/>
        <v/>
      </c>
      <c r="F666" s="170" t="str">
        <f ca="1">IF(C666="","",[1]!S_DQ_CLOSE(D666,TODAY(),1))</f>
        <v/>
      </c>
      <c r="G666" s="171" t="str">
        <f ca="1">IF(C666="","",[1]!s_pq_pctchange(D666,TODAY()-$G$12,TODAY())/100)</f>
        <v/>
      </c>
      <c r="H666" s="247" t="str">
        <f ca="1">IF(C666="","",IF($H$11="收入",[1]!S_STM07_IS(D666,9,$G$5,$H$13)/$E$5,[1]!S_STM07_IS(D666,48,$G$5,$H$13)/$E$5))</f>
        <v/>
      </c>
      <c r="I666" s="247" t="str">
        <f ca="1">IF(C666="","",IF($I$11="毛利率",([1]!S_STM07_IS(D666,9,$G$5,$H$13)-[1]!S_STM07_IS(D666,10,$G$5,$H$13))/[1]!S_STM07_IS(D666,9,$G$5,$H$13),[1]!S_STM07_IS(D666,14,$G$5,$H$13)/$E$5))</f>
        <v/>
      </c>
      <c r="J666" s="247" t="str">
        <f ca="1">IF(C666="","",IF($J$11="营业利润率",[1]!S_STM07_IS(D666,48,$G$5,$H$13)/[1]!S_STM07_IS(D666,9,$G$5,$H$13),([1]!S_STM07_CS(D666,87,$G$5,$H$13)+[1]!S_STM07_CS(D666,88,$G$5,$H$13)+[1]!S_STM07_CS(D666,89,$G$5,$H$13))/$E$5))</f>
        <v/>
      </c>
      <c r="K666" s="247" t="str">
        <f ca="1">IF(C666="","",IF($K$11="净利润率",[1]!S_STM07_IS(D666,61,$G$5,$H$13)/[1]!S_STM07_IS(D666,9,$G$5,$H$13),[1]!S_STM07_IS(D666,55,$G$5,$H$13)/$E$5))</f>
        <v/>
      </c>
      <c r="L666" s="247" t="str">
        <f ca="1">IF(C666="","",IF($L$11="ROA",[1]!S_STM07_IS(D666,61,$G$5,$H$13)/[1]!S_STM07_BS(D666,74,$G$5,$H$13),1-[1]!S_STM07_IS(D666,61,$G$5,$H$13)/[1]!S_STM07_IS(D666,55,$G$5,$H$13)))</f>
        <v/>
      </c>
      <c r="M666" s="247" t="str">
        <f ca="1">IF(C666="","",IF($M$11="ROE",[1]!S_STM07_IS(D666,61,$G$5,$H$13)/[1]!S_STM07_BS(D666,141,$G$5,$H$13),([1]!S_STM07_BS(D666,25,$G$5,$H$13)-[1]!S_STM07_BS(D666,93,$G$5,$H$13))/$E$5))</f>
        <v/>
      </c>
      <c r="N666" s="247" t="str">
        <f ca="1">IF(C666="","",IF($N$11="EPS",[1]!S_STM07_IS(D666,61,$G$5,$H$13)/IF([1]!S_SHARE_TOTAL(D666,$G$5)=0,[1]!S_SHARE_TOTAL(D666,[1]!s_ipo_listeddate(D666)),[1]!S_SHARE_TOTAL(D666,$G$5)),([1]!S_STM07_BS(D666,75,$G$5,$H$13)+[1]!S_STM07_BS(D666,88,$G$5,$H$13)+[1]!S_STM07_BS(D666,94,$G$5,$H$13)+[1]!S_STM07_BS(D666,95,$G$5,$H$13))/$E$5))</f>
        <v/>
      </c>
      <c r="O666" s="247" t="str">
        <f ca="1">IF(C666="","",IF($O$11="BPS",[1]!S_STM07_BS(D666,141,$G$5,$H$13)/IF([1]!S_SHARE_TOTAL(D666,$G$5)=0,[1]!S_SHARE_TOTAL(D666,[1]!s_ipo_listeddate(D666)),[1]!S_SHARE_TOTAL(D666,$G$5)),[1]!S_STM07_CS(D666,49,$G$5,$H$13)/$E$5))</f>
        <v/>
      </c>
      <c r="P666" s="247" t="str">
        <f ca="1">IF(C666="","",IF($P$11="CFPS",[1]!S_STM07_CS(D666,84,$G$5,$H$13)/IF([1]!S_SHARE_TOTAL(D666,$G$5)=0,[1]!S_SHARE_TOTAL(D666,[1]!s_ipo_listeddate(D666)),[1]!S_SHARE_TOTAL(D666,$G$5)),[1]!S_STM07_CS(D666,84,$G$5,$H$13)/$E$5))</f>
        <v/>
      </c>
      <c r="Q666" s="248" t="str">
        <f ca="1">IF(C666="","",F666/([1]!S_STM07_IS(D666,61,$G$5,$H$13)/IF([1]!S_SHARE_TOTAL(D666,$G$5)=0,[1]!S_SHARE_TOTAL(D666,[1]!s_ipo_listeddate(D666)),[1]!S_SHARE_TOTAL(D666,$G$5))))</f>
        <v/>
      </c>
      <c r="R666" s="248" t="str">
        <f ca="1">IF(C666="","",F666/([1]!S_STM07_BS(D666,141,$G$5,$H$13)/IF([1]!S_SHARE_TOTAL(D666,$G$5)=0,[1]!S_SHARE_TOTAL(D666,[1]!s_ipo_listeddate(D666)),[1]!S_SHARE_TOTAL(D666,$G$5))))</f>
        <v/>
      </c>
      <c r="S666" s="247" t="str">
        <f ca="1">IF(C666="","",[1]!S_SHARE_TOTAL(D666,TODAY())/$E$5)</f>
        <v/>
      </c>
      <c r="T666" s="247" t="str">
        <f t="shared" ca="1" si="73"/>
        <v/>
      </c>
      <c r="U666" s="218" t="str">
        <f t="shared" ca="1" si="74"/>
        <v/>
      </c>
      <c r="V666" s="342" t="str">
        <f t="shared" ca="1" si="75"/>
        <v/>
      </c>
      <c r="W666" s="139"/>
      <c r="Y666" s="1"/>
    </row>
    <row r="667" spans="3:25" ht="12" customHeight="1">
      <c r="C667" s="343" t="str">
        <f t="shared" ca="1" si="70"/>
        <v/>
      </c>
      <c r="D667" s="124" t="str">
        <f t="shared" ca="1" si="71"/>
        <v/>
      </c>
      <c r="E667" s="124" t="str">
        <f t="shared" ca="1" si="72"/>
        <v/>
      </c>
      <c r="F667" s="172" t="str">
        <f ca="1">IF(C667="","",[1]!S_DQ_CLOSE(D667,TODAY(),1))</f>
        <v/>
      </c>
      <c r="G667" s="173" t="str">
        <f ca="1">IF(C667="","",[1]!s_pq_pctchange(D667,TODAY()-$G$12,TODAY())/100)</f>
        <v/>
      </c>
      <c r="H667" s="249" t="str">
        <f ca="1">IF(C667="","",IF($H$11="收入",[1]!S_STM07_IS(D667,9,$G$5,$H$13)/$E$5,[1]!S_STM07_IS(D667,48,$G$5,$H$13)/$E$5))</f>
        <v/>
      </c>
      <c r="I667" s="249" t="str">
        <f ca="1">IF(C667="","",IF($I$11="毛利率",([1]!S_STM07_IS(D667,9,$G$5,$H$13)-[1]!S_STM07_IS(D667,10,$G$5,$H$13))/[1]!S_STM07_IS(D667,9,$G$5,$H$13),[1]!S_STM07_IS(D667,14,$G$5,$H$13)/$E$5))</f>
        <v/>
      </c>
      <c r="J667" s="249" t="str">
        <f ca="1">IF(C667="","",IF($J$11="营业利润率",[1]!S_STM07_IS(D667,48,$G$5,$H$13)/[1]!S_STM07_IS(D667,9,$G$5,$H$13),([1]!S_STM07_CS(D667,87,$G$5,$H$13)+[1]!S_STM07_CS(D667,88,$G$5,$H$13)+[1]!S_STM07_CS(D667,89,$G$5,$H$13))/$E$5))</f>
        <v/>
      </c>
      <c r="K667" s="249" t="str">
        <f ca="1">IF(C667="","",IF($K$11="净利润率",[1]!S_STM07_IS(D667,61,$G$5,$H$13)/[1]!S_STM07_IS(D667,9,$G$5,$H$13),[1]!S_STM07_IS(D667,55,$G$5,$H$13)/$E$5))</f>
        <v/>
      </c>
      <c r="L667" s="249" t="str">
        <f ca="1">IF(C667="","",IF($L$11="ROA",[1]!S_STM07_IS(D667,61,$G$5,$H$13)/[1]!S_STM07_BS(D667,74,$G$5,$H$13),1-[1]!S_STM07_IS(D667,61,$G$5,$H$13)/[1]!S_STM07_IS(D667,55,$G$5,$H$13)))</f>
        <v/>
      </c>
      <c r="M667" s="249" t="str">
        <f ca="1">IF(C667="","",IF($M$11="ROE",[1]!S_STM07_IS(D667,61,$G$5,$H$13)/[1]!S_STM07_BS(D667,141,$G$5,$H$13),([1]!S_STM07_BS(D667,25,$G$5,$H$13)-[1]!S_STM07_BS(D667,93,$G$5,$H$13))/$E$5))</f>
        <v/>
      </c>
      <c r="N667" s="250" t="str">
        <f ca="1">IF(C667="","",IF($N$11="EPS",[1]!S_STM07_IS(D667,61,$G$5,$H$13)/IF([1]!S_SHARE_TOTAL(D667,$G$5)=0,[1]!S_SHARE_TOTAL(D667,[1]!s_ipo_listeddate(D667)),[1]!S_SHARE_TOTAL(D667,$G$5)),([1]!S_STM07_BS(D667,75,$G$5,$H$13)+[1]!S_STM07_BS(D667,88,$G$5,$H$13)+[1]!S_STM07_BS(D667,94,$G$5,$H$13)+[1]!S_STM07_BS(D667,95,$G$5,$H$13))/$E$5))</f>
        <v/>
      </c>
      <c r="O667" s="250" t="str">
        <f ca="1">IF(C667="","",IF($O$11="BPS",[1]!S_STM07_BS(D667,141,$G$5,$H$13)/IF([1]!S_SHARE_TOTAL(D667,$G$5)=0,[1]!S_SHARE_TOTAL(D667,[1]!s_ipo_listeddate(D667)),[1]!S_SHARE_TOTAL(D667,$G$5)),[1]!S_STM07_CS(D667,49,$G$5,$H$13)/$E$5))</f>
        <v/>
      </c>
      <c r="P667" s="250" t="str">
        <f ca="1">IF(C667="","",IF($P$11="CFPS",[1]!S_STM07_CS(D667,84,$G$5,$H$13)/IF([1]!S_SHARE_TOTAL(D667,$G$5)=0,[1]!S_SHARE_TOTAL(D667,[1]!s_ipo_listeddate(D667)),[1]!S_SHARE_TOTAL(D667,$G$5)),[1]!S_STM07_CS(D667,84,$G$5,$H$13)/$E$5))</f>
        <v/>
      </c>
      <c r="Q667" s="198" t="str">
        <f ca="1">IF(C667="","",F667/([1]!S_STM07_IS(D667,61,$G$5,$H$13)/IF([1]!S_SHARE_TOTAL(D667,$G$5)=0,[1]!S_SHARE_TOTAL(D667,[1]!s_ipo_listeddate(D667)),[1]!S_SHARE_TOTAL(D667,$G$5))))</f>
        <v/>
      </c>
      <c r="R667" s="198" t="str">
        <f ca="1">IF(C667="","",F667/([1]!S_STM07_BS(D667,141,$G$5,$H$13)/IF([1]!S_SHARE_TOTAL(D667,$G$5)=0,[1]!S_SHARE_TOTAL(D667,[1]!s_ipo_listeddate(D667)),[1]!S_SHARE_TOTAL(D667,$G$5))))</f>
        <v/>
      </c>
      <c r="S667" s="249" t="str">
        <f ca="1">IF(C667="","",[1]!S_SHARE_TOTAL(D667,TODAY())/$E$5)</f>
        <v/>
      </c>
      <c r="T667" s="249" t="str">
        <f t="shared" ca="1" si="73"/>
        <v/>
      </c>
      <c r="U667" s="172" t="str">
        <f t="shared" ca="1" si="74"/>
        <v/>
      </c>
      <c r="V667" s="343" t="str">
        <f t="shared" ca="1" si="75"/>
        <v/>
      </c>
      <c r="W667" s="139"/>
      <c r="Y667" s="1"/>
    </row>
    <row r="668" spans="3:25" ht="12" customHeight="1">
      <c r="C668" s="342" t="str">
        <f t="shared" ca="1" si="70"/>
        <v/>
      </c>
      <c r="D668" s="153" t="str">
        <f t="shared" ca="1" si="71"/>
        <v/>
      </c>
      <c r="E668" s="153" t="str">
        <f t="shared" ca="1" si="72"/>
        <v/>
      </c>
      <c r="F668" s="170" t="str">
        <f ca="1">IF(C668="","",[1]!S_DQ_CLOSE(D668,TODAY(),1))</f>
        <v/>
      </c>
      <c r="G668" s="171" t="str">
        <f ca="1">IF(C668="","",[1]!s_pq_pctchange(D668,TODAY()-$G$12,TODAY())/100)</f>
        <v/>
      </c>
      <c r="H668" s="247" t="str">
        <f ca="1">IF(C668="","",IF($H$11="收入",[1]!S_STM07_IS(D668,9,$G$5,$H$13)/$E$5,[1]!S_STM07_IS(D668,48,$G$5,$H$13)/$E$5))</f>
        <v/>
      </c>
      <c r="I668" s="247" t="str">
        <f ca="1">IF(C668="","",IF($I$11="毛利率",([1]!S_STM07_IS(D668,9,$G$5,$H$13)-[1]!S_STM07_IS(D668,10,$G$5,$H$13))/[1]!S_STM07_IS(D668,9,$G$5,$H$13),[1]!S_STM07_IS(D668,14,$G$5,$H$13)/$E$5))</f>
        <v/>
      </c>
      <c r="J668" s="247" t="str">
        <f ca="1">IF(C668="","",IF($J$11="营业利润率",[1]!S_STM07_IS(D668,48,$G$5,$H$13)/[1]!S_STM07_IS(D668,9,$G$5,$H$13),([1]!S_STM07_CS(D668,87,$G$5,$H$13)+[1]!S_STM07_CS(D668,88,$G$5,$H$13)+[1]!S_STM07_CS(D668,89,$G$5,$H$13))/$E$5))</f>
        <v/>
      </c>
      <c r="K668" s="247" t="str">
        <f ca="1">IF(C668="","",IF($K$11="净利润率",[1]!S_STM07_IS(D668,61,$G$5,$H$13)/[1]!S_STM07_IS(D668,9,$G$5,$H$13),[1]!S_STM07_IS(D668,55,$G$5,$H$13)/$E$5))</f>
        <v/>
      </c>
      <c r="L668" s="247" t="str">
        <f ca="1">IF(C668="","",IF($L$11="ROA",[1]!S_STM07_IS(D668,61,$G$5,$H$13)/[1]!S_STM07_BS(D668,74,$G$5,$H$13),1-[1]!S_STM07_IS(D668,61,$G$5,$H$13)/[1]!S_STM07_IS(D668,55,$G$5,$H$13)))</f>
        <v/>
      </c>
      <c r="M668" s="247" t="str">
        <f ca="1">IF(C668="","",IF($M$11="ROE",[1]!S_STM07_IS(D668,61,$G$5,$H$13)/[1]!S_STM07_BS(D668,141,$G$5,$H$13),([1]!S_STM07_BS(D668,25,$G$5,$H$13)-[1]!S_STM07_BS(D668,93,$G$5,$H$13))/$E$5))</f>
        <v/>
      </c>
      <c r="N668" s="247" t="str">
        <f ca="1">IF(C668="","",IF($N$11="EPS",[1]!S_STM07_IS(D668,61,$G$5,$H$13)/IF([1]!S_SHARE_TOTAL(D668,$G$5)=0,[1]!S_SHARE_TOTAL(D668,[1]!s_ipo_listeddate(D668)),[1]!S_SHARE_TOTAL(D668,$G$5)),([1]!S_STM07_BS(D668,75,$G$5,$H$13)+[1]!S_STM07_BS(D668,88,$G$5,$H$13)+[1]!S_STM07_BS(D668,94,$G$5,$H$13)+[1]!S_STM07_BS(D668,95,$G$5,$H$13))/$E$5))</f>
        <v/>
      </c>
      <c r="O668" s="247" t="str">
        <f ca="1">IF(C668="","",IF($O$11="BPS",[1]!S_STM07_BS(D668,141,$G$5,$H$13)/IF([1]!S_SHARE_TOTAL(D668,$G$5)=0,[1]!S_SHARE_TOTAL(D668,[1]!s_ipo_listeddate(D668)),[1]!S_SHARE_TOTAL(D668,$G$5)),[1]!S_STM07_CS(D668,49,$G$5,$H$13)/$E$5))</f>
        <v/>
      </c>
      <c r="P668" s="247" t="str">
        <f ca="1">IF(C668="","",IF($P$11="CFPS",[1]!S_STM07_CS(D668,84,$G$5,$H$13)/IF([1]!S_SHARE_TOTAL(D668,$G$5)=0,[1]!S_SHARE_TOTAL(D668,[1]!s_ipo_listeddate(D668)),[1]!S_SHARE_TOTAL(D668,$G$5)),[1]!S_STM07_CS(D668,84,$G$5,$H$13)/$E$5))</f>
        <v/>
      </c>
      <c r="Q668" s="248" t="str">
        <f ca="1">IF(C668="","",F668/([1]!S_STM07_IS(D668,61,$G$5,$H$13)/IF([1]!S_SHARE_TOTAL(D668,$G$5)=0,[1]!S_SHARE_TOTAL(D668,[1]!s_ipo_listeddate(D668)),[1]!S_SHARE_TOTAL(D668,$G$5))))</f>
        <v/>
      </c>
      <c r="R668" s="248" t="str">
        <f ca="1">IF(C668="","",F668/([1]!S_STM07_BS(D668,141,$G$5,$H$13)/IF([1]!S_SHARE_TOTAL(D668,$G$5)=0,[1]!S_SHARE_TOTAL(D668,[1]!s_ipo_listeddate(D668)),[1]!S_SHARE_TOTAL(D668,$G$5))))</f>
        <v/>
      </c>
      <c r="S668" s="247" t="str">
        <f ca="1">IF(C668="","",[1]!S_SHARE_TOTAL(D668,TODAY())/$E$5)</f>
        <v/>
      </c>
      <c r="T668" s="247" t="str">
        <f t="shared" ca="1" si="73"/>
        <v/>
      </c>
      <c r="U668" s="218" t="str">
        <f t="shared" ca="1" si="74"/>
        <v/>
      </c>
      <c r="V668" s="342" t="str">
        <f t="shared" ca="1" si="75"/>
        <v/>
      </c>
      <c r="W668" s="139"/>
      <c r="Y668" s="1"/>
    </row>
    <row r="669" spans="3:25" ht="12" customHeight="1">
      <c r="C669" s="343" t="str">
        <f t="shared" ca="1" si="70"/>
        <v/>
      </c>
      <c r="D669" s="124" t="str">
        <f t="shared" ca="1" si="71"/>
        <v/>
      </c>
      <c r="E669" s="124" t="str">
        <f t="shared" ca="1" si="72"/>
        <v/>
      </c>
      <c r="F669" s="172" t="str">
        <f ca="1">IF(C669="","",[1]!S_DQ_CLOSE(D669,TODAY(),1))</f>
        <v/>
      </c>
      <c r="G669" s="173" t="str">
        <f ca="1">IF(C669="","",[1]!s_pq_pctchange(D669,TODAY()-$G$12,TODAY())/100)</f>
        <v/>
      </c>
      <c r="H669" s="249" t="str">
        <f ca="1">IF(C669="","",IF($H$11="收入",[1]!S_STM07_IS(D669,9,$G$5,$H$13)/$E$5,[1]!S_STM07_IS(D669,48,$G$5,$H$13)/$E$5))</f>
        <v/>
      </c>
      <c r="I669" s="249" t="str">
        <f ca="1">IF(C669="","",IF($I$11="毛利率",([1]!S_STM07_IS(D669,9,$G$5,$H$13)-[1]!S_STM07_IS(D669,10,$G$5,$H$13))/[1]!S_STM07_IS(D669,9,$G$5,$H$13),[1]!S_STM07_IS(D669,14,$G$5,$H$13)/$E$5))</f>
        <v/>
      </c>
      <c r="J669" s="249" t="str">
        <f ca="1">IF(C669="","",IF($J$11="营业利润率",[1]!S_STM07_IS(D669,48,$G$5,$H$13)/[1]!S_STM07_IS(D669,9,$G$5,$H$13),([1]!S_STM07_CS(D669,87,$G$5,$H$13)+[1]!S_STM07_CS(D669,88,$G$5,$H$13)+[1]!S_STM07_CS(D669,89,$G$5,$H$13))/$E$5))</f>
        <v/>
      </c>
      <c r="K669" s="249" t="str">
        <f ca="1">IF(C669="","",IF($K$11="净利润率",[1]!S_STM07_IS(D669,61,$G$5,$H$13)/[1]!S_STM07_IS(D669,9,$G$5,$H$13),[1]!S_STM07_IS(D669,55,$G$5,$H$13)/$E$5))</f>
        <v/>
      </c>
      <c r="L669" s="249" t="str">
        <f ca="1">IF(C669="","",IF($L$11="ROA",[1]!S_STM07_IS(D669,61,$G$5,$H$13)/[1]!S_STM07_BS(D669,74,$G$5,$H$13),1-[1]!S_STM07_IS(D669,61,$G$5,$H$13)/[1]!S_STM07_IS(D669,55,$G$5,$H$13)))</f>
        <v/>
      </c>
      <c r="M669" s="249" t="str">
        <f ca="1">IF(C669="","",IF($M$11="ROE",[1]!S_STM07_IS(D669,61,$G$5,$H$13)/[1]!S_STM07_BS(D669,141,$G$5,$H$13),([1]!S_STM07_BS(D669,25,$G$5,$H$13)-[1]!S_STM07_BS(D669,93,$G$5,$H$13))/$E$5))</f>
        <v/>
      </c>
      <c r="N669" s="250" t="str">
        <f ca="1">IF(C669="","",IF($N$11="EPS",[1]!S_STM07_IS(D669,61,$G$5,$H$13)/IF([1]!S_SHARE_TOTAL(D669,$G$5)=0,[1]!S_SHARE_TOTAL(D669,[1]!s_ipo_listeddate(D669)),[1]!S_SHARE_TOTAL(D669,$G$5)),([1]!S_STM07_BS(D669,75,$G$5,$H$13)+[1]!S_STM07_BS(D669,88,$G$5,$H$13)+[1]!S_STM07_BS(D669,94,$G$5,$H$13)+[1]!S_STM07_BS(D669,95,$G$5,$H$13))/$E$5))</f>
        <v/>
      </c>
      <c r="O669" s="250" t="str">
        <f ca="1">IF(C669="","",IF($O$11="BPS",[1]!S_STM07_BS(D669,141,$G$5,$H$13)/IF([1]!S_SHARE_TOTAL(D669,$G$5)=0,[1]!S_SHARE_TOTAL(D669,[1]!s_ipo_listeddate(D669)),[1]!S_SHARE_TOTAL(D669,$G$5)),[1]!S_STM07_CS(D669,49,$G$5,$H$13)/$E$5))</f>
        <v/>
      </c>
      <c r="P669" s="250" t="str">
        <f ca="1">IF(C669="","",IF($P$11="CFPS",[1]!S_STM07_CS(D669,84,$G$5,$H$13)/IF([1]!S_SHARE_TOTAL(D669,$G$5)=0,[1]!S_SHARE_TOTAL(D669,[1]!s_ipo_listeddate(D669)),[1]!S_SHARE_TOTAL(D669,$G$5)),[1]!S_STM07_CS(D669,84,$G$5,$H$13)/$E$5))</f>
        <v/>
      </c>
      <c r="Q669" s="198" t="str">
        <f ca="1">IF(C669="","",F669/([1]!S_STM07_IS(D669,61,$G$5,$H$13)/IF([1]!S_SHARE_TOTAL(D669,$G$5)=0,[1]!S_SHARE_TOTAL(D669,[1]!s_ipo_listeddate(D669)),[1]!S_SHARE_TOTAL(D669,$G$5))))</f>
        <v/>
      </c>
      <c r="R669" s="198" t="str">
        <f ca="1">IF(C669="","",F669/([1]!S_STM07_BS(D669,141,$G$5,$H$13)/IF([1]!S_SHARE_TOTAL(D669,$G$5)=0,[1]!S_SHARE_TOTAL(D669,[1]!s_ipo_listeddate(D669)),[1]!S_SHARE_TOTAL(D669,$G$5))))</f>
        <v/>
      </c>
      <c r="S669" s="249" t="str">
        <f ca="1">IF(C669="","",[1]!S_SHARE_TOTAL(D669,TODAY())/$E$5)</f>
        <v/>
      </c>
      <c r="T669" s="249" t="str">
        <f t="shared" ca="1" si="73"/>
        <v/>
      </c>
      <c r="U669" s="172" t="str">
        <f t="shared" ca="1" si="74"/>
        <v/>
      </c>
      <c r="V669" s="343" t="str">
        <f t="shared" ca="1" si="75"/>
        <v/>
      </c>
      <c r="W669" s="139"/>
      <c r="Y669" s="1"/>
    </row>
    <row r="670" spans="3:25" ht="12" customHeight="1">
      <c r="C670" s="342" t="str">
        <f t="shared" ca="1" si="70"/>
        <v/>
      </c>
      <c r="D670" s="153" t="str">
        <f t="shared" ca="1" si="71"/>
        <v/>
      </c>
      <c r="E670" s="153" t="str">
        <f t="shared" ca="1" si="72"/>
        <v/>
      </c>
      <c r="F670" s="170" t="str">
        <f ca="1">IF(C670="","",[1]!S_DQ_CLOSE(D670,TODAY(),1))</f>
        <v/>
      </c>
      <c r="G670" s="171" t="str">
        <f ca="1">IF(C670="","",[1]!s_pq_pctchange(D670,TODAY()-$G$12,TODAY())/100)</f>
        <v/>
      </c>
      <c r="H670" s="247" t="str">
        <f ca="1">IF(C670="","",IF($H$11="收入",[1]!S_STM07_IS(D670,9,$G$5,$H$13)/$E$5,[1]!S_STM07_IS(D670,48,$G$5,$H$13)/$E$5))</f>
        <v/>
      </c>
      <c r="I670" s="247" t="str">
        <f ca="1">IF(C670="","",IF($I$11="毛利率",([1]!S_STM07_IS(D670,9,$G$5,$H$13)-[1]!S_STM07_IS(D670,10,$G$5,$H$13))/[1]!S_STM07_IS(D670,9,$G$5,$H$13),[1]!S_STM07_IS(D670,14,$G$5,$H$13)/$E$5))</f>
        <v/>
      </c>
      <c r="J670" s="247" t="str">
        <f ca="1">IF(C670="","",IF($J$11="营业利润率",[1]!S_STM07_IS(D670,48,$G$5,$H$13)/[1]!S_STM07_IS(D670,9,$G$5,$H$13),([1]!S_STM07_CS(D670,87,$G$5,$H$13)+[1]!S_STM07_CS(D670,88,$G$5,$H$13)+[1]!S_STM07_CS(D670,89,$G$5,$H$13))/$E$5))</f>
        <v/>
      </c>
      <c r="K670" s="247" t="str">
        <f ca="1">IF(C670="","",IF($K$11="净利润率",[1]!S_STM07_IS(D670,61,$G$5,$H$13)/[1]!S_STM07_IS(D670,9,$G$5,$H$13),[1]!S_STM07_IS(D670,55,$G$5,$H$13)/$E$5))</f>
        <v/>
      </c>
      <c r="L670" s="247" t="str">
        <f ca="1">IF(C670="","",IF($L$11="ROA",[1]!S_STM07_IS(D670,61,$G$5,$H$13)/[1]!S_STM07_BS(D670,74,$G$5,$H$13),1-[1]!S_STM07_IS(D670,61,$G$5,$H$13)/[1]!S_STM07_IS(D670,55,$G$5,$H$13)))</f>
        <v/>
      </c>
      <c r="M670" s="247" t="str">
        <f ca="1">IF(C670="","",IF($M$11="ROE",[1]!S_STM07_IS(D670,61,$G$5,$H$13)/[1]!S_STM07_BS(D670,141,$G$5,$H$13),([1]!S_STM07_BS(D670,25,$G$5,$H$13)-[1]!S_STM07_BS(D670,93,$G$5,$H$13))/$E$5))</f>
        <v/>
      </c>
      <c r="N670" s="247" t="str">
        <f ca="1">IF(C670="","",IF($N$11="EPS",[1]!S_STM07_IS(D670,61,$G$5,$H$13)/IF([1]!S_SHARE_TOTAL(D670,$G$5)=0,[1]!S_SHARE_TOTAL(D670,[1]!s_ipo_listeddate(D670)),[1]!S_SHARE_TOTAL(D670,$G$5)),([1]!S_STM07_BS(D670,75,$G$5,$H$13)+[1]!S_STM07_BS(D670,88,$G$5,$H$13)+[1]!S_STM07_BS(D670,94,$G$5,$H$13)+[1]!S_STM07_BS(D670,95,$G$5,$H$13))/$E$5))</f>
        <v/>
      </c>
      <c r="O670" s="247" t="str">
        <f ca="1">IF(C670="","",IF($O$11="BPS",[1]!S_STM07_BS(D670,141,$G$5,$H$13)/IF([1]!S_SHARE_TOTAL(D670,$G$5)=0,[1]!S_SHARE_TOTAL(D670,[1]!s_ipo_listeddate(D670)),[1]!S_SHARE_TOTAL(D670,$G$5)),[1]!S_STM07_CS(D670,49,$G$5,$H$13)/$E$5))</f>
        <v/>
      </c>
      <c r="P670" s="247" t="str">
        <f ca="1">IF(C670="","",IF($P$11="CFPS",[1]!S_STM07_CS(D670,84,$G$5,$H$13)/IF([1]!S_SHARE_TOTAL(D670,$G$5)=0,[1]!S_SHARE_TOTAL(D670,[1]!s_ipo_listeddate(D670)),[1]!S_SHARE_TOTAL(D670,$G$5)),[1]!S_STM07_CS(D670,84,$G$5,$H$13)/$E$5))</f>
        <v/>
      </c>
      <c r="Q670" s="248" t="str">
        <f ca="1">IF(C670="","",F670/([1]!S_STM07_IS(D670,61,$G$5,$H$13)/IF([1]!S_SHARE_TOTAL(D670,$G$5)=0,[1]!S_SHARE_TOTAL(D670,[1]!s_ipo_listeddate(D670)),[1]!S_SHARE_TOTAL(D670,$G$5))))</f>
        <v/>
      </c>
      <c r="R670" s="248" t="str">
        <f ca="1">IF(C670="","",F670/([1]!S_STM07_BS(D670,141,$G$5,$H$13)/IF([1]!S_SHARE_TOTAL(D670,$G$5)=0,[1]!S_SHARE_TOTAL(D670,[1]!s_ipo_listeddate(D670)),[1]!S_SHARE_TOTAL(D670,$G$5))))</f>
        <v/>
      </c>
      <c r="S670" s="247" t="str">
        <f ca="1">IF(C670="","",[1]!S_SHARE_TOTAL(D670,TODAY())/$E$5)</f>
        <v/>
      </c>
      <c r="T670" s="247" t="str">
        <f t="shared" ca="1" si="73"/>
        <v/>
      </c>
      <c r="U670" s="218" t="str">
        <f t="shared" ca="1" si="74"/>
        <v/>
      </c>
      <c r="V670" s="342" t="str">
        <f t="shared" ca="1" si="75"/>
        <v/>
      </c>
      <c r="W670" s="139"/>
      <c r="Y670" s="1"/>
    </row>
    <row r="671" spans="3:25" ht="12" customHeight="1">
      <c r="C671" s="343" t="str">
        <f t="shared" ca="1" si="70"/>
        <v/>
      </c>
      <c r="D671" s="124" t="str">
        <f t="shared" ca="1" si="71"/>
        <v/>
      </c>
      <c r="E671" s="124" t="str">
        <f t="shared" ca="1" si="72"/>
        <v/>
      </c>
      <c r="F671" s="172" t="str">
        <f ca="1">IF(C671="","",[1]!S_DQ_CLOSE(D671,TODAY(),1))</f>
        <v/>
      </c>
      <c r="G671" s="173" t="str">
        <f ca="1">IF(C671="","",[1]!s_pq_pctchange(D671,TODAY()-$G$12,TODAY())/100)</f>
        <v/>
      </c>
      <c r="H671" s="249" t="str">
        <f ca="1">IF(C671="","",IF($H$11="收入",[1]!S_STM07_IS(D671,9,$G$5,$H$13)/$E$5,[1]!S_STM07_IS(D671,48,$G$5,$H$13)/$E$5))</f>
        <v/>
      </c>
      <c r="I671" s="249" t="str">
        <f ca="1">IF(C671="","",IF($I$11="毛利率",([1]!S_STM07_IS(D671,9,$G$5,$H$13)-[1]!S_STM07_IS(D671,10,$G$5,$H$13))/[1]!S_STM07_IS(D671,9,$G$5,$H$13),[1]!S_STM07_IS(D671,14,$G$5,$H$13)/$E$5))</f>
        <v/>
      </c>
      <c r="J671" s="249" t="str">
        <f ca="1">IF(C671="","",IF($J$11="营业利润率",[1]!S_STM07_IS(D671,48,$G$5,$H$13)/[1]!S_STM07_IS(D671,9,$G$5,$H$13),([1]!S_STM07_CS(D671,87,$G$5,$H$13)+[1]!S_STM07_CS(D671,88,$G$5,$H$13)+[1]!S_STM07_CS(D671,89,$G$5,$H$13))/$E$5))</f>
        <v/>
      </c>
      <c r="K671" s="249" t="str">
        <f ca="1">IF(C671="","",IF($K$11="净利润率",[1]!S_STM07_IS(D671,61,$G$5,$H$13)/[1]!S_STM07_IS(D671,9,$G$5,$H$13),[1]!S_STM07_IS(D671,55,$G$5,$H$13)/$E$5))</f>
        <v/>
      </c>
      <c r="L671" s="249" t="str">
        <f ca="1">IF(C671="","",IF($L$11="ROA",[1]!S_STM07_IS(D671,61,$G$5,$H$13)/[1]!S_STM07_BS(D671,74,$G$5,$H$13),1-[1]!S_STM07_IS(D671,61,$G$5,$H$13)/[1]!S_STM07_IS(D671,55,$G$5,$H$13)))</f>
        <v/>
      </c>
      <c r="M671" s="249" t="str">
        <f ca="1">IF(C671="","",IF($M$11="ROE",[1]!S_STM07_IS(D671,61,$G$5,$H$13)/[1]!S_STM07_BS(D671,141,$G$5,$H$13),([1]!S_STM07_BS(D671,25,$G$5,$H$13)-[1]!S_STM07_BS(D671,93,$G$5,$H$13))/$E$5))</f>
        <v/>
      </c>
      <c r="N671" s="250" t="str">
        <f ca="1">IF(C671="","",IF($N$11="EPS",[1]!S_STM07_IS(D671,61,$G$5,$H$13)/IF([1]!S_SHARE_TOTAL(D671,$G$5)=0,[1]!S_SHARE_TOTAL(D671,[1]!s_ipo_listeddate(D671)),[1]!S_SHARE_TOTAL(D671,$G$5)),([1]!S_STM07_BS(D671,75,$G$5,$H$13)+[1]!S_STM07_BS(D671,88,$G$5,$H$13)+[1]!S_STM07_BS(D671,94,$G$5,$H$13)+[1]!S_STM07_BS(D671,95,$G$5,$H$13))/$E$5))</f>
        <v/>
      </c>
      <c r="O671" s="250" t="str">
        <f ca="1">IF(C671="","",IF($O$11="BPS",[1]!S_STM07_BS(D671,141,$G$5,$H$13)/IF([1]!S_SHARE_TOTAL(D671,$G$5)=0,[1]!S_SHARE_TOTAL(D671,[1]!s_ipo_listeddate(D671)),[1]!S_SHARE_TOTAL(D671,$G$5)),[1]!S_STM07_CS(D671,49,$G$5,$H$13)/$E$5))</f>
        <v/>
      </c>
      <c r="P671" s="250" t="str">
        <f ca="1">IF(C671="","",IF($P$11="CFPS",[1]!S_STM07_CS(D671,84,$G$5,$H$13)/IF([1]!S_SHARE_TOTAL(D671,$G$5)=0,[1]!S_SHARE_TOTAL(D671,[1]!s_ipo_listeddate(D671)),[1]!S_SHARE_TOTAL(D671,$G$5)),[1]!S_STM07_CS(D671,84,$G$5,$H$13)/$E$5))</f>
        <v/>
      </c>
      <c r="Q671" s="198" t="str">
        <f ca="1">IF(C671="","",F671/([1]!S_STM07_IS(D671,61,$G$5,$H$13)/IF([1]!S_SHARE_TOTAL(D671,$G$5)=0,[1]!S_SHARE_TOTAL(D671,[1]!s_ipo_listeddate(D671)),[1]!S_SHARE_TOTAL(D671,$G$5))))</f>
        <v/>
      </c>
      <c r="R671" s="198" t="str">
        <f ca="1">IF(C671="","",F671/([1]!S_STM07_BS(D671,141,$G$5,$H$13)/IF([1]!S_SHARE_TOTAL(D671,$G$5)=0,[1]!S_SHARE_TOTAL(D671,[1]!s_ipo_listeddate(D671)),[1]!S_SHARE_TOTAL(D671,$G$5))))</f>
        <v/>
      </c>
      <c r="S671" s="249" t="str">
        <f ca="1">IF(C671="","",[1]!S_SHARE_TOTAL(D671,TODAY())/$E$5)</f>
        <v/>
      </c>
      <c r="T671" s="249" t="str">
        <f t="shared" ca="1" si="73"/>
        <v/>
      </c>
      <c r="U671" s="172" t="str">
        <f t="shared" ca="1" si="74"/>
        <v/>
      </c>
      <c r="V671" s="343" t="str">
        <f t="shared" ca="1" si="75"/>
        <v/>
      </c>
      <c r="W671" s="139"/>
      <c r="Y671" s="1"/>
    </row>
    <row r="672" spans="3:25" ht="12" customHeight="1">
      <c r="C672" s="342" t="str">
        <f t="shared" ca="1" si="70"/>
        <v/>
      </c>
      <c r="D672" s="153" t="str">
        <f t="shared" ca="1" si="71"/>
        <v/>
      </c>
      <c r="E672" s="153" t="str">
        <f t="shared" ca="1" si="72"/>
        <v/>
      </c>
      <c r="F672" s="170" t="str">
        <f ca="1">IF(C672="","",[1]!S_DQ_CLOSE(D672,TODAY(),1))</f>
        <v/>
      </c>
      <c r="G672" s="171" t="str">
        <f ca="1">IF(C672="","",[1]!s_pq_pctchange(D672,TODAY()-$G$12,TODAY())/100)</f>
        <v/>
      </c>
      <c r="H672" s="247" t="str">
        <f ca="1">IF(C672="","",IF($H$11="收入",[1]!S_STM07_IS(D672,9,$G$5,$H$13)/$E$5,[1]!S_STM07_IS(D672,48,$G$5,$H$13)/$E$5))</f>
        <v/>
      </c>
      <c r="I672" s="247" t="str">
        <f ca="1">IF(C672="","",IF($I$11="毛利率",([1]!S_STM07_IS(D672,9,$G$5,$H$13)-[1]!S_STM07_IS(D672,10,$G$5,$H$13))/[1]!S_STM07_IS(D672,9,$G$5,$H$13),[1]!S_STM07_IS(D672,14,$G$5,$H$13)/$E$5))</f>
        <v/>
      </c>
      <c r="J672" s="247" t="str">
        <f ca="1">IF(C672="","",IF($J$11="营业利润率",[1]!S_STM07_IS(D672,48,$G$5,$H$13)/[1]!S_STM07_IS(D672,9,$G$5,$H$13),([1]!S_STM07_CS(D672,87,$G$5,$H$13)+[1]!S_STM07_CS(D672,88,$G$5,$H$13)+[1]!S_STM07_CS(D672,89,$G$5,$H$13))/$E$5))</f>
        <v/>
      </c>
      <c r="K672" s="247" t="str">
        <f ca="1">IF(C672="","",IF($K$11="净利润率",[1]!S_STM07_IS(D672,61,$G$5,$H$13)/[1]!S_STM07_IS(D672,9,$G$5,$H$13),[1]!S_STM07_IS(D672,55,$G$5,$H$13)/$E$5))</f>
        <v/>
      </c>
      <c r="L672" s="247" t="str">
        <f ca="1">IF(C672="","",IF($L$11="ROA",[1]!S_STM07_IS(D672,61,$G$5,$H$13)/[1]!S_STM07_BS(D672,74,$G$5,$H$13),1-[1]!S_STM07_IS(D672,61,$G$5,$H$13)/[1]!S_STM07_IS(D672,55,$G$5,$H$13)))</f>
        <v/>
      </c>
      <c r="M672" s="247" t="str">
        <f ca="1">IF(C672="","",IF($M$11="ROE",[1]!S_STM07_IS(D672,61,$G$5,$H$13)/[1]!S_STM07_BS(D672,141,$G$5,$H$13),([1]!S_STM07_BS(D672,25,$G$5,$H$13)-[1]!S_STM07_BS(D672,93,$G$5,$H$13))/$E$5))</f>
        <v/>
      </c>
      <c r="N672" s="247" t="str">
        <f ca="1">IF(C672="","",IF($N$11="EPS",[1]!S_STM07_IS(D672,61,$G$5,$H$13)/IF([1]!S_SHARE_TOTAL(D672,$G$5)=0,[1]!S_SHARE_TOTAL(D672,[1]!s_ipo_listeddate(D672)),[1]!S_SHARE_TOTAL(D672,$G$5)),([1]!S_STM07_BS(D672,75,$G$5,$H$13)+[1]!S_STM07_BS(D672,88,$G$5,$H$13)+[1]!S_STM07_BS(D672,94,$G$5,$H$13)+[1]!S_STM07_BS(D672,95,$G$5,$H$13))/$E$5))</f>
        <v/>
      </c>
      <c r="O672" s="247" t="str">
        <f ca="1">IF(C672="","",IF($O$11="BPS",[1]!S_STM07_BS(D672,141,$G$5,$H$13)/IF([1]!S_SHARE_TOTAL(D672,$G$5)=0,[1]!S_SHARE_TOTAL(D672,[1]!s_ipo_listeddate(D672)),[1]!S_SHARE_TOTAL(D672,$G$5)),[1]!S_STM07_CS(D672,49,$G$5,$H$13)/$E$5))</f>
        <v/>
      </c>
      <c r="P672" s="247" t="str">
        <f ca="1">IF(C672="","",IF($P$11="CFPS",[1]!S_STM07_CS(D672,84,$G$5,$H$13)/IF([1]!S_SHARE_TOTAL(D672,$G$5)=0,[1]!S_SHARE_TOTAL(D672,[1]!s_ipo_listeddate(D672)),[1]!S_SHARE_TOTAL(D672,$G$5)),[1]!S_STM07_CS(D672,84,$G$5,$H$13)/$E$5))</f>
        <v/>
      </c>
      <c r="Q672" s="248" t="str">
        <f ca="1">IF(C672="","",F672/([1]!S_STM07_IS(D672,61,$G$5,$H$13)/IF([1]!S_SHARE_TOTAL(D672,$G$5)=0,[1]!S_SHARE_TOTAL(D672,[1]!s_ipo_listeddate(D672)),[1]!S_SHARE_TOTAL(D672,$G$5))))</f>
        <v/>
      </c>
      <c r="R672" s="248" t="str">
        <f ca="1">IF(C672="","",F672/([1]!S_STM07_BS(D672,141,$G$5,$H$13)/IF([1]!S_SHARE_TOTAL(D672,$G$5)=0,[1]!S_SHARE_TOTAL(D672,[1]!s_ipo_listeddate(D672)),[1]!S_SHARE_TOTAL(D672,$G$5))))</f>
        <v/>
      </c>
      <c r="S672" s="247" t="str">
        <f ca="1">IF(C672="","",[1]!S_SHARE_TOTAL(D672,TODAY())/$E$5)</f>
        <v/>
      </c>
      <c r="T672" s="247" t="str">
        <f t="shared" ca="1" si="73"/>
        <v/>
      </c>
      <c r="U672" s="218" t="str">
        <f t="shared" ca="1" si="74"/>
        <v/>
      </c>
      <c r="V672" s="342" t="str">
        <f t="shared" ca="1" si="75"/>
        <v/>
      </c>
      <c r="W672" s="139"/>
      <c r="Y672" s="1"/>
    </row>
    <row r="673" spans="3:25" ht="12" customHeight="1">
      <c r="C673" s="343" t="str">
        <f t="shared" ca="1" si="70"/>
        <v/>
      </c>
      <c r="D673" s="124" t="str">
        <f t="shared" ca="1" si="71"/>
        <v/>
      </c>
      <c r="E673" s="124" t="str">
        <f t="shared" ca="1" si="72"/>
        <v/>
      </c>
      <c r="F673" s="172" t="str">
        <f ca="1">IF(C673="","",[1]!S_DQ_CLOSE(D673,TODAY(),1))</f>
        <v/>
      </c>
      <c r="G673" s="173" t="str">
        <f ca="1">IF(C673="","",[1]!s_pq_pctchange(D673,TODAY()-$G$12,TODAY())/100)</f>
        <v/>
      </c>
      <c r="H673" s="249" t="str">
        <f ca="1">IF(C673="","",IF($H$11="收入",[1]!S_STM07_IS(D673,9,$G$5,$H$13)/$E$5,[1]!S_STM07_IS(D673,48,$G$5,$H$13)/$E$5))</f>
        <v/>
      </c>
      <c r="I673" s="249" t="str">
        <f ca="1">IF(C673="","",IF($I$11="毛利率",([1]!S_STM07_IS(D673,9,$G$5,$H$13)-[1]!S_STM07_IS(D673,10,$G$5,$H$13))/[1]!S_STM07_IS(D673,9,$G$5,$H$13),[1]!S_STM07_IS(D673,14,$G$5,$H$13)/$E$5))</f>
        <v/>
      </c>
      <c r="J673" s="249" t="str">
        <f ca="1">IF(C673="","",IF($J$11="营业利润率",[1]!S_STM07_IS(D673,48,$G$5,$H$13)/[1]!S_STM07_IS(D673,9,$G$5,$H$13),([1]!S_STM07_CS(D673,87,$G$5,$H$13)+[1]!S_STM07_CS(D673,88,$G$5,$H$13)+[1]!S_STM07_CS(D673,89,$G$5,$H$13))/$E$5))</f>
        <v/>
      </c>
      <c r="K673" s="249" t="str">
        <f ca="1">IF(C673="","",IF($K$11="净利润率",[1]!S_STM07_IS(D673,61,$G$5,$H$13)/[1]!S_STM07_IS(D673,9,$G$5,$H$13),[1]!S_STM07_IS(D673,55,$G$5,$H$13)/$E$5))</f>
        <v/>
      </c>
      <c r="L673" s="249" t="str">
        <f ca="1">IF(C673="","",IF($L$11="ROA",[1]!S_STM07_IS(D673,61,$G$5,$H$13)/[1]!S_STM07_BS(D673,74,$G$5,$H$13),1-[1]!S_STM07_IS(D673,61,$G$5,$H$13)/[1]!S_STM07_IS(D673,55,$G$5,$H$13)))</f>
        <v/>
      </c>
      <c r="M673" s="249" t="str">
        <f ca="1">IF(C673="","",IF($M$11="ROE",[1]!S_STM07_IS(D673,61,$G$5,$H$13)/[1]!S_STM07_BS(D673,141,$G$5,$H$13),([1]!S_STM07_BS(D673,25,$G$5,$H$13)-[1]!S_STM07_BS(D673,93,$G$5,$H$13))/$E$5))</f>
        <v/>
      </c>
      <c r="N673" s="250" t="str">
        <f ca="1">IF(C673="","",IF($N$11="EPS",[1]!S_STM07_IS(D673,61,$G$5,$H$13)/IF([1]!S_SHARE_TOTAL(D673,$G$5)=0,[1]!S_SHARE_TOTAL(D673,[1]!s_ipo_listeddate(D673)),[1]!S_SHARE_TOTAL(D673,$G$5)),([1]!S_STM07_BS(D673,75,$G$5,$H$13)+[1]!S_STM07_BS(D673,88,$G$5,$H$13)+[1]!S_STM07_BS(D673,94,$G$5,$H$13)+[1]!S_STM07_BS(D673,95,$G$5,$H$13))/$E$5))</f>
        <v/>
      </c>
      <c r="O673" s="250" t="str">
        <f ca="1">IF(C673="","",IF($O$11="BPS",[1]!S_STM07_BS(D673,141,$G$5,$H$13)/IF([1]!S_SHARE_TOTAL(D673,$G$5)=0,[1]!S_SHARE_TOTAL(D673,[1]!s_ipo_listeddate(D673)),[1]!S_SHARE_TOTAL(D673,$G$5)),[1]!S_STM07_CS(D673,49,$G$5,$H$13)/$E$5))</f>
        <v/>
      </c>
      <c r="P673" s="250" t="str">
        <f ca="1">IF(C673="","",IF($P$11="CFPS",[1]!S_STM07_CS(D673,84,$G$5,$H$13)/IF([1]!S_SHARE_TOTAL(D673,$G$5)=0,[1]!S_SHARE_TOTAL(D673,[1]!s_ipo_listeddate(D673)),[1]!S_SHARE_TOTAL(D673,$G$5)),[1]!S_STM07_CS(D673,84,$G$5,$H$13)/$E$5))</f>
        <v/>
      </c>
      <c r="Q673" s="198" t="str">
        <f ca="1">IF(C673="","",F673/([1]!S_STM07_IS(D673,61,$G$5,$H$13)/IF([1]!S_SHARE_TOTAL(D673,$G$5)=0,[1]!S_SHARE_TOTAL(D673,[1]!s_ipo_listeddate(D673)),[1]!S_SHARE_TOTAL(D673,$G$5))))</f>
        <v/>
      </c>
      <c r="R673" s="198" t="str">
        <f ca="1">IF(C673="","",F673/([1]!S_STM07_BS(D673,141,$G$5,$H$13)/IF([1]!S_SHARE_TOTAL(D673,$G$5)=0,[1]!S_SHARE_TOTAL(D673,[1]!s_ipo_listeddate(D673)),[1]!S_SHARE_TOTAL(D673,$G$5))))</f>
        <v/>
      </c>
      <c r="S673" s="249" t="str">
        <f ca="1">IF(C673="","",[1]!S_SHARE_TOTAL(D673,TODAY())/$E$5)</f>
        <v/>
      </c>
      <c r="T673" s="249" t="str">
        <f t="shared" ca="1" si="73"/>
        <v/>
      </c>
      <c r="U673" s="172" t="str">
        <f t="shared" ca="1" si="74"/>
        <v/>
      </c>
      <c r="V673" s="343" t="str">
        <f t="shared" ca="1" si="75"/>
        <v/>
      </c>
      <c r="W673" s="139"/>
      <c r="Y673" s="1"/>
    </row>
    <row r="674" spans="3:25" ht="12" customHeight="1">
      <c r="C674" s="342" t="str">
        <f t="shared" ca="1" si="70"/>
        <v/>
      </c>
      <c r="D674" s="153" t="str">
        <f t="shared" ca="1" si="71"/>
        <v/>
      </c>
      <c r="E674" s="153" t="str">
        <f t="shared" ca="1" si="72"/>
        <v/>
      </c>
      <c r="F674" s="170" t="str">
        <f ca="1">IF(C674="","",[1]!S_DQ_CLOSE(D674,TODAY(),1))</f>
        <v/>
      </c>
      <c r="G674" s="171" t="str">
        <f ca="1">IF(C674="","",[1]!s_pq_pctchange(D674,TODAY()-$G$12,TODAY())/100)</f>
        <v/>
      </c>
      <c r="H674" s="247" t="str">
        <f ca="1">IF(C674="","",IF($H$11="收入",[1]!S_STM07_IS(D674,9,$G$5,$H$13)/$E$5,[1]!S_STM07_IS(D674,48,$G$5,$H$13)/$E$5))</f>
        <v/>
      </c>
      <c r="I674" s="247" t="str">
        <f ca="1">IF(C674="","",IF($I$11="毛利率",([1]!S_STM07_IS(D674,9,$G$5,$H$13)-[1]!S_STM07_IS(D674,10,$G$5,$H$13))/[1]!S_STM07_IS(D674,9,$G$5,$H$13),[1]!S_STM07_IS(D674,14,$G$5,$H$13)/$E$5))</f>
        <v/>
      </c>
      <c r="J674" s="247" t="str">
        <f ca="1">IF(C674="","",IF($J$11="营业利润率",[1]!S_STM07_IS(D674,48,$G$5,$H$13)/[1]!S_STM07_IS(D674,9,$G$5,$H$13),([1]!S_STM07_CS(D674,87,$G$5,$H$13)+[1]!S_STM07_CS(D674,88,$G$5,$H$13)+[1]!S_STM07_CS(D674,89,$G$5,$H$13))/$E$5))</f>
        <v/>
      </c>
      <c r="K674" s="247" t="str">
        <f ca="1">IF(C674="","",IF($K$11="净利润率",[1]!S_STM07_IS(D674,61,$G$5,$H$13)/[1]!S_STM07_IS(D674,9,$G$5,$H$13),[1]!S_STM07_IS(D674,55,$G$5,$H$13)/$E$5))</f>
        <v/>
      </c>
      <c r="L674" s="247" t="str">
        <f ca="1">IF(C674="","",IF($L$11="ROA",[1]!S_STM07_IS(D674,61,$G$5,$H$13)/[1]!S_STM07_BS(D674,74,$G$5,$H$13),1-[1]!S_STM07_IS(D674,61,$G$5,$H$13)/[1]!S_STM07_IS(D674,55,$G$5,$H$13)))</f>
        <v/>
      </c>
      <c r="M674" s="247" t="str">
        <f ca="1">IF(C674="","",IF($M$11="ROE",[1]!S_STM07_IS(D674,61,$G$5,$H$13)/[1]!S_STM07_BS(D674,141,$G$5,$H$13),([1]!S_STM07_BS(D674,25,$G$5,$H$13)-[1]!S_STM07_BS(D674,93,$G$5,$H$13))/$E$5))</f>
        <v/>
      </c>
      <c r="N674" s="247" t="str">
        <f ca="1">IF(C674="","",IF($N$11="EPS",[1]!S_STM07_IS(D674,61,$G$5,$H$13)/IF([1]!S_SHARE_TOTAL(D674,$G$5)=0,[1]!S_SHARE_TOTAL(D674,[1]!s_ipo_listeddate(D674)),[1]!S_SHARE_TOTAL(D674,$G$5)),([1]!S_STM07_BS(D674,75,$G$5,$H$13)+[1]!S_STM07_BS(D674,88,$G$5,$H$13)+[1]!S_STM07_BS(D674,94,$G$5,$H$13)+[1]!S_STM07_BS(D674,95,$G$5,$H$13))/$E$5))</f>
        <v/>
      </c>
      <c r="O674" s="247" t="str">
        <f ca="1">IF(C674="","",IF($O$11="BPS",[1]!S_STM07_BS(D674,141,$G$5,$H$13)/IF([1]!S_SHARE_TOTAL(D674,$G$5)=0,[1]!S_SHARE_TOTAL(D674,[1]!s_ipo_listeddate(D674)),[1]!S_SHARE_TOTAL(D674,$G$5)),[1]!S_STM07_CS(D674,49,$G$5,$H$13)/$E$5))</f>
        <v/>
      </c>
      <c r="P674" s="247" t="str">
        <f ca="1">IF(C674="","",IF($P$11="CFPS",[1]!S_STM07_CS(D674,84,$G$5,$H$13)/IF([1]!S_SHARE_TOTAL(D674,$G$5)=0,[1]!S_SHARE_TOTAL(D674,[1]!s_ipo_listeddate(D674)),[1]!S_SHARE_TOTAL(D674,$G$5)),[1]!S_STM07_CS(D674,84,$G$5,$H$13)/$E$5))</f>
        <v/>
      </c>
      <c r="Q674" s="248" t="str">
        <f ca="1">IF(C674="","",F674/([1]!S_STM07_IS(D674,61,$G$5,$H$13)/IF([1]!S_SHARE_TOTAL(D674,$G$5)=0,[1]!S_SHARE_TOTAL(D674,[1]!s_ipo_listeddate(D674)),[1]!S_SHARE_TOTAL(D674,$G$5))))</f>
        <v/>
      </c>
      <c r="R674" s="248" t="str">
        <f ca="1">IF(C674="","",F674/([1]!S_STM07_BS(D674,141,$G$5,$H$13)/IF([1]!S_SHARE_TOTAL(D674,$G$5)=0,[1]!S_SHARE_TOTAL(D674,[1]!s_ipo_listeddate(D674)),[1]!S_SHARE_TOTAL(D674,$G$5))))</f>
        <v/>
      </c>
      <c r="S674" s="247" t="str">
        <f ca="1">IF(C674="","",[1]!S_SHARE_TOTAL(D674,TODAY())/$E$5)</f>
        <v/>
      </c>
      <c r="T674" s="247" t="str">
        <f t="shared" ca="1" si="73"/>
        <v/>
      </c>
      <c r="U674" s="218" t="str">
        <f t="shared" ca="1" si="74"/>
        <v/>
      </c>
      <c r="V674" s="342" t="str">
        <f t="shared" ca="1" si="75"/>
        <v/>
      </c>
      <c r="W674" s="139"/>
      <c r="Y674" s="1"/>
    </row>
    <row r="675" spans="3:25" ht="12" customHeight="1">
      <c r="C675" s="343" t="str">
        <f t="shared" ca="1" si="70"/>
        <v/>
      </c>
      <c r="D675" s="124" t="str">
        <f t="shared" ca="1" si="71"/>
        <v/>
      </c>
      <c r="E675" s="124" t="str">
        <f t="shared" ca="1" si="72"/>
        <v/>
      </c>
      <c r="F675" s="172" t="str">
        <f ca="1">IF(C675="","",[1]!S_DQ_CLOSE(D675,TODAY(),1))</f>
        <v/>
      </c>
      <c r="G675" s="173" t="str">
        <f ca="1">IF(C675="","",[1]!s_pq_pctchange(D675,TODAY()-$G$12,TODAY())/100)</f>
        <v/>
      </c>
      <c r="H675" s="249" t="str">
        <f ca="1">IF(C675="","",IF($H$11="收入",[1]!S_STM07_IS(D675,9,$G$5,$H$13)/$E$5,[1]!S_STM07_IS(D675,48,$G$5,$H$13)/$E$5))</f>
        <v/>
      </c>
      <c r="I675" s="249" t="str">
        <f ca="1">IF(C675="","",IF($I$11="毛利率",([1]!S_STM07_IS(D675,9,$G$5,$H$13)-[1]!S_STM07_IS(D675,10,$G$5,$H$13))/[1]!S_STM07_IS(D675,9,$G$5,$H$13),[1]!S_STM07_IS(D675,14,$G$5,$H$13)/$E$5))</f>
        <v/>
      </c>
      <c r="J675" s="249" t="str">
        <f ca="1">IF(C675="","",IF($J$11="营业利润率",[1]!S_STM07_IS(D675,48,$G$5,$H$13)/[1]!S_STM07_IS(D675,9,$G$5,$H$13),([1]!S_STM07_CS(D675,87,$G$5,$H$13)+[1]!S_STM07_CS(D675,88,$G$5,$H$13)+[1]!S_STM07_CS(D675,89,$G$5,$H$13))/$E$5))</f>
        <v/>
      </c>
      <c r="K675" s="249" t="str">
        <f ca="1">IF(C675="","",IF($K$11="净利润率",[1]!S_STM07_IS(D675,61,$G$5,$H$13)/[1]!S_STM07_IS(D675,9,$G$5,$H$13),[1]!S_STM07_IS(D675,55,$G$5,$H$13)/$E$5))</f>
        <v/>
      </c>
      <c r="L675" s="249" t="str">
        <f ca="1">IF(C675="","",IF($L$11="ROA",[1]!S_STM07_IS(D675,61,$G$5,$H$13)/[1]!S_STM07_BS(D675,74,$G$5,$H$13),1-[1]!S_STM07_IS(D675,61,$G$5,$H$13)/[1]!S_STM07_IS(D675,55,$G$5,$H$13)))</f>
        <v/>
      </c>
      <c r="M675" s="249" t="str">
        <f ca="1">IF(C675="","",IF($M$11="ROE",[1]!S_STM07_IS(D675,61,$G$5,$H$13)/[1]!S_STM07_BS(D675,141,$G$5,$H$13),([1]!S_STM07_BS(D675,25,$G$5,$H$13)-[1]!S_STM07_BS(D675,93,$G$5,$H$13))/$E$5))</f>
        <v/>
      </c>
      <c r="N675" s="250" t="str">
        <f ca="1">IF(C675="","",IF($N$11="EPS",[1]!S_STM07_IS(D675,61,$G$5,$H$13)/IF([1]!S_SHARE_TOTAL(D675,$G$5)=0,[1]!S_SHARE_TOTAL(D675,[1]!s_ipo_listeddate(D675)),[1]!S_SHARE_TOTAL(D675,$G$5)),([1]!S_STM07_BS(D675,75,$G$5,$H$13)+[1]!S_STM07_BS(D675,88,$G$5,$H$13)+[1]!S_STM07_BS(D675,94,$G$5,$H$13)+[1]!S_STM07_BS(D675,95,$G$5,$H$13))/$E$5))</f>
        <v/>
      </c>
      <c r="O675" s="250" t="str">
        <f ca="1">IF(C675="","",IF($O$11="BPS",[1]!S_STM07_BS(D675,141,$G$5,$H$13)/IF([1]!S_SHARE_TOTAL(D675,$G$5)=0,[1]!S_SHARE_TOTAL(D675,[1]!s_ipo_listeddate(D675)),[1]!S_SHARE_TOTAL(D675,$G$5)),[1]!S_STM07_CS(D675,49,$G$5,$H$13)/$E$5))</f>
        <v/>
      </c>
      <c r="P675" s="250" t="str">
        <f ca="1">IF(C675="","",IF($P$11="CFPS",[1]!S_STM07_CS(D675,84,$G$5,$H$13)/IF([1]!S_SHARE_TOTAL(D675,$G$5)=0,[1]!S_SHARE_TOTAL(D675,[1]!s_ipo_listeddate(D675)),[1]!S_SHARE_TOTAL(D675,$G$5)),[1]!S_STM07_CS(D675,84,$G$5,$H$13)/$E$5))</f>
        <v/>
      </c>
      <c r="Q675" s="198" t="str">
        <f ca="1">IF(C675="","",F675/([1]!S_STM07_IS(D675,61,$G$5,$H$13)/IF([1]!S_SHARE_TOTAL(D675,$G$5)=0,[1]!S_SHARE_TOTAL(D675,[1]!s_ipo_listeddate(D675)),[1]!S_SHARE_TOTAL(D675,$G$5))))</f>
        <v/>
      </c>
      <c r="R675" s="198" t="str">
        <f ca="1">IF(C675="","",F675/([1]!S_STM07_BS(D675,141,$G$5,$H$13)/IF([1]!S_SHARE_TOTAL(D675,$G$5)=0,[1]!S_SHARE_TOTAL(D675,[1]!s_ipo_listeddate(D675)),[1]!S_SHARE_TOTAL(D675,$G$5))))</f>
        <v/>
      </c>
      <c r="S675" s="249" t="str">
        <f ca="1">IF(C675="","",[1]!S_SHARE_TOTAL(D675,TODAY())/$E$5)</f>
        <v/>
      </c>
      <c r="T675" s="249" t="str">
        <f t="shared" ca="1" si="73"/>
        <v/>
      </c>
      <c r="U675" s="172" t="str">
        <f t="shared" ca="1" si="74"/>
        <v/>
      </c>
      <c r="V675" s="343" t="str">
        <f t="shared" ca="1" si="75"/>
        <v/>
      </c>
      <c r="W675" s="139"/>
      <c r="Y675" s="1"/>
    </row>
    <row r="676" spans="3:25" ht="12" customHeight="1">
      <c r="C676" s="342" t="str">
        <f t="shared" ca="1" si="70"/>
        <v/>
      </c>
      <c r="D676" s="153" t="str">
        <f t="shared" ca="1" si="71"/>
        <v/>
      </c>
      <c r="E676" s="153" t="str">
        <f t="shared" ca="1" si="72"/>
        <v/>
      </c>
      <c r="F676" s="170" t="str">
        <f ca="1">IF(C676="","",[1]!S_DQ_CLOSE(D676,TODAY(),1))</f>
        <v/>
      </c>
      <c r="G676" s="171" t="str">
        <f ca="1">IF(C676="","",[1]!s_pq_pctchange(D676,TODAY()-$G$12,TODAY())/100)</f>
        <v/>
      </c>
      <c r="H676" s="247" t="str">
        <f ca="1">IF(C676="","",IF($H$11="收入",[1]!S_STM07_IS(D676,9,$G$5,$H$13)/$E$5,[1]!S_STM07_IS(D676,48,$G$5,$H$13)/$E$5))</f>
        <v/>
      </c>
      <c r="I676" s="247" t="str">
        <f ca="1">IF(C676="","",IF($I$11="毛利率",([1]!S_STM07_IS(D676,9,$G$5,$H$13)-[1]!S_STM07_IS(D676,10,$G$5,$H$13))/[1]!S_STM07_IS(D676,9,$G$5,$H$13),[1]!S_STM07_IS(D676,14,$G$5,$H$13)/$E$5))</f>
        <v/>
      </c>
      <c r="J676" s="247" t="str">
        <f ca="1">IF(C676="","",IF($J$11="营业利润率",[1]!S_STM07_IS(D676,48,$G$5,$H$13)/[1]!S_STM07_IS(D676,9,$G$5,$H$13),([1]!S_STM07_CS(D676,87,$G$5,$H$13)+[1]!S_STM07_CS(D676,88,$G$5,$H$13)+[1]!S_STM07_CS(D676,89,$G$5,$H$13))/$E$5))</f>
        <v/>
      </c>
      <c r="K676" s="247" t="str">
        <f ca="1">IF(C676="","",IF($K$11="净利润率",[1]!S_STM07_IS(D676,61,$G$5,$H$13)/[1]!S_STM07_IS(D676,9,$G$5,$H$13),[1]!S_STM07_IS(D676,55,$G$5,$H$13)/$E$5))</f>
        <v/>
      </c>
      <c r="L676" s="247" t="str">
        <f ca="1">IF(C676="","",IF($L$11="ROA",[1]!S_STM07_IS(D676,61,$G$5,$H$13)/[1]!S_STM07_BS(D676,74,$G$5,$H$13),1-[1]!S_STM07_IS(D676,61,$G$5,$H$13)/[1]!S_STM07_IS(D676,55,$G$5,$H$13)))</f>
        <v/>
      </c>
      <c r="M676" s="247" t="str">
        <f ca="1">IF(C676="","",IF($M$11="ROE",[1]!S_STM07_IS(D676,61,$G$5,$H$13)/[1]!S_STM07_BS(D676,141,$G$5,$H$13),([1]!S_STM07_BS(D676,25,$G$5,$H$13)-[1]!S_STM07_BS(D676,93,$G$5,$H$13))/$E$5))</f>
        <v/>
      </c>
      <c r="N676" s="247" t="str">
        <f ca="1">IF(C676="","",IF($N$11="EPS",[1]!S_STM07_IS(D676,61,$G$5,$H$13)/IF([1]!S_SHARE_TOTAL(D676,$G$5)=0,[1]!S_SHARE_TOTAL(D676,[1]!s_ipo_listeddate(D676)),[1]!S_SHARE_TOTAL(D676,$G$5)),([1]!S_STM07_BS(D676,75,$G$5,$H$13)+[1]!S_STM07_BS(D676,88,$G$5,$H$13)+[1]!S_STM07_BS(D676,94,$G$5,$H$13)+[1]!S_STM07_BS(D676,95,$G$5,$H$13))/$E$5))</f>
        <v/>
      </c>
      <c r="O676" s="247" t="str">
        <f ca="1">IF(C676="","",IF($O$11="BPS",[1]!S_STM07_BS(D676,141,$G$5,$H$13)/IF([1]!S_SHARE_TOTAL(D676,$G$5)=0,[1]!S_SHARE_TOTAL(D676,[1]!s_ipo_listeddate(D676)),[1]!S_SHARE_TOTAL(D676,$G$5)),[1]!S_STM07_CS(D676,49,$G$5,$H$13)/$E$5))</f>
        <v/>
      </c>
      <c r="P676" s="247" t="str">
        <f ca="1">IF(C676="","",IF($P$11="CFPS",[1]!S_STM07_CS(D676,84,$G$5,$H$13)/IF([1]!S_SHARE_TOTAL(D676,$G$5)=0,[1]!S_SHARE_TOTAL(D676,[1]!s_ipo_listeddate(D676)),[1]!S_SHARE_TOTAL(D676,$G$5)),[1]!S_STM07_CS(D676,84,$G$5,$H$13)/$E$5))</f>
        <v/>
      </c>
      <c r="Q676" s="248" t="str">
        <f ca="1">IF(C676="","",F676/([1]!S_STM07_IS(D676,61,$G$5,$H$13)/IF([1]!S_SHARE_TOTAL(D676,$G$5)=0,[1]!S_SHARE_TOTAL(D676,[1]!s_ipo_listeddate(D676)),[1]!S_SHARE_TOTAL(D676,$G$5))))</f>
        <v/>
      </c>
      <c r="R676" s="248" t="str">
        <f ca="1">IF(C676="","",F676/([1]!S_STM07_BS(D676,141,$G$5,$H$13)/IF([1]!S_SHARE_TOTAL(D676,$G$5)=0,[1]!S_SHARE_TOTAL(D676,[1]!s_ipo_listeddate(D676)),[1]!S_SHARE_TOTAL(D676,$G$5))))</f>
        <v/>
      </c>
      <c r="S676" s="247" t="str">
        <f ca="1">IF(C676="","",[1]!S_SHARE_TOTAL(D676,TODAY())/$E$5)</f>
        <v/>
      </c>
      <c r="T676" s="247" t="str">
        <f t="shared" ca="1" si="73"/>
        <v/>
      </c>
      <c r="U676" s="218" t="str">
        <f t="shared" ca="1" si="74"/>
        <v/>
      </c>
      <c r="V676" s="342" t="str">
        <f t="shared" ca="1" si="75"/>
        <v/>
      </c>
      <c r="W676" s="139"/>
      <c r="Y676" s="1"/>
    </row>
    <row r="677" spans="3:25" ht="12" customHeight="1">
      <c r="C677" s="343" t="str">
        <f t="shared" ca="1" si="70"/>
        <v/>
      </c>
      <c r="D677" s="124" t="str">
        <f t="shared" ca="1" si="71"/>
        <v/>
      </c>
      <c r="E677" s="124" t="str">
        <f t="shared" ca="1" si="72"/>
        <v/>
      </c>
      <c r="F677" s="172" t="str">
        <f ca="1">IF(C677="","",[1]!S_DQ_CLOSE(D677,TODAY(),1))</f>
        <v/>
      </c>
      <c r="G677" s="173" t="str">
        <f ca="1">IF(C677="","",[1]!s_pq_pctchange(D677,TODAY()-$G$12,TODAY())/100)</f>
        <v/>
      </c>
      <c r="H677" s="249" t="str">
        <f ca="1">IF(C677="","",IF($H$11="收入",[1]!S_STM07_IS(D677,9,$G$5,$H$13)/$E$5,[1]!S_STM07_IS(D677,48,$G$5,$H$13)/$E$5))</f>
        <v/>
      </c>
      <c r="I677" s="249" t="str">
        <f ca="1">IF(C677="","",IF($I$11="毛利率",([1]!S_STM07_IS(D677,9,$G$5,$H$13)-[1]!S_STM07_IS(D677,10,$G$5,$H$13))/[1]!S_STM07_IS(D677,9,$G$5,$H$13),[1]!S_STM07_IS(D677,14,$G$5,$H$13)/$E$5))</f>
        <v/>
      </c>
      <c r="J677" s="249" t="str">
        <f ca="1">IF(C677="","",IF($J$11="营业利润率",[1]!S_STM07_IS(D677,48,$G$5,$H$13)/[1]!S_STM07_IS(D677,9,$G$5,$H$13),([1]!S_STM07_CS(D677,87,$G$5,$H$13)+[1]!S_STM07_CS(D677,88,$G$5,$H$13)+[1]!S_STM07_CS(D677,89,$G$5,$H$13))/$E$5))</f>
        <v/>
      </c>
      <c r="K677" s="249" t="str">
        <f ca="1">IF(C677="","",IF($K$11="净利润率",[1]!S_STM07_IS(D677,61,$G$5,$H$13)/[1]!S_STM07_IS(D677,9,$G$5,$H$13),[1]!S_STM07_IS(D677,55,$G$5,$H$13)/$E$5))</f>
        <v/>
      </c>
      <c r="L677" s="249" t="str">
        <f ca="1">IF(C677="","",IF($L$11="ROA",[1]!S_STM07_IS(D677,61,$G$5,$H$13)/[1]!S_STM07_BS(D677,74,$G$5,$H$13),1-[1]!S_STM07_IS(D677,61,$G$5,$H$13)/[1]!S_STM07_IS(D677,55,$G$5,$H$13)))</f>
        <v/>
      </c>
      <c r="M677" s="249" t="str">
        <f ca="1">IF(C677="","",IF($M$11="ROE",[1]!S_STM07_IS(D677,61,$G$5,$H$13)/[1]!S_STM07_BS(D677,141,$G$5,$H$13),([1]!S_STM07_BS(D677,25,$G$5,$H$13)-[1]!S_STM07_BS(D677,93,$G$5,$H$13))/$E$5))</f>
        <v/>
      </c>
      <c r="N677" s="250" t="str">
        <f ca="1">IF(C677="","",IF($N$11="EPS",[1]!S_STM07_IS(D677,61,$G$5,$H$13)/IF([1]!S_SHARE_TOTAL(D677,$G$5)=0,[1]!S_SHARE_TOTAL(D677,[1]!s_ipo_listeddate(D677)),[1]!S_SHARE_TOTAL(D677,$G$5)),([1]!S_STM07_BS(D677,75,$G$5,$H$13)+[1]!S_STM07_BS(D677,88,$G$5,$H$13)+[1]!S_STM07_BS(D677,94,$G$5,$H$13)+[1]!S_STM07_BS(D677,95,$G$5,$H$13))/$E$5))</f>
        <v/>
      </c>
      <c r="O677" s="250" t="str">
        <f ca="1">IF(C677="","",IF($O$11="BPS",[1]!S_STM07_BS(D677,141,$G$5,$H$13)/IF([1]!S_SHARE_TOTAL(D677,$G$5)=0,[1]!S_SHARE_TOTAL(D677,[1]!s_ipo_listeddate(D677)),[1]!S_SHARE_TOTAL(D677,$G$5)),[1]!S_STM07_CS(D677,49,$G$5,$H$13)/$E$5))</f>
        <v/>
      </c>
      <c r="P677" s="250" t="str">
        <f ca="1">IF(C677="","",IF($P$11="CFPS",[1]!S_STM07_CS(D677,84,$G$5,$H$13)/IF([1]!S_SHARE_TOTAL(D677,$G$5)=0,[1]!S_SHARE_TOTAL(D677,[1]!s_ipo_listeddate(D677)),[1]!S_SHARE_TOTAL(D677,$G$5)),[1]!S_STM07_CS(D677,84,$G$5,$H$13)/$E$5))</f>
        <v/>
      </c>
      <c r="Q677" s="198" t="str">
        <f ca="1">IF(C677="","",F677/([1]!S_STM07_IS(D677,61,$G$5,$H$13)/IF([1]!S_SHARE_TOTAL(D677,$G$5)=0,[1]!S_SHARE_TOTAL(D677,[1]!s_ipo_listeddate(D677)),[1]!S_SHARE_TOTAL(D677,$G$5))))</f>
        <v/>
      </c>
      <c r="R677" s="198" t="str">
        <f ca="1">IF(C677="","",F677/([1]!S_STM07_BS(D677,141,$G$5,$H$13)/IF([1]!S_SHARE_TOTAL(D677,$G$5)=0,[1]!S_SHARE_TOTAL(D677,[1]!s_ipo_listeddate(D677)),[1]!S_SHARE_TOTAL(D677,$G$5))))</f>
        <v/>
      </c>
      <c r="S677" s="249" t="str">
        <f ca="1">IF(C677="","",[1]!S_SHARE_TOTAL(D677,TODAY())/$E$5)</f>
        <v/>
      </c>
      <c r="T677" s="249" t="str">
        <f t="shared" ca="1" si="73"/>
        <v/>
      </c>
      <c r="U677" s="172" t="str">
        <f t="shared" ca="1" si="74"/>
        <v/>
      </c>
      <c r="V677" s="343" t="str">
        <f t="shared" ca="1" si="75"/>
        <v/>
      </c>
      <c r="W677" s="139"/>
      <c r="Y677" s="1"/>
    </row>
    <row r="678" spans="3:25" ht="12" customHeight="1">
      <c r="C678" s="342" t="str">
        <f t="shared" ca="1" si="70"/>
        <v/>
      </c>
      <c r="D678" s="153" t="str">
        <f t="shared" ca="1" si="71"/>
        <v/>
      </c>
      <c r="E678" s="153" t="str">
        <f t="shared" ca="1" si="72"/>
        <v/>
      </c>
      <c r="F678" s="170" t="str">
        <f ca="1">IF(C678="","",[1]!S_DQ_CLOSE(D678,TODAY(),1))</f>
        <v/>
      </c>
      <c r="G678" s="171" t="str">
        <f ca="1">IF(C678="","",[1]!s_pq_pctchange(D678,TODAY()-$G$12,TODAY())/100)</f>
        <v/>
      </c>
      <c r="H678" s="247" t="str">
        <f ca="1">IF(C678="","",IF($H$11="收入",[1]!S_STM07_IS(D678,9,$G$5,$H$13)/$E$5,[1]!S_STM07_IS(D678,48,$G$5,$H$13)/$E$5))</f>
        <v/>
      </c>
      <c r="I678" s="247" t="str">
        <f ca="1">IF(C678="","",IF($I$11="毛利率",([1]!S_STM07_IS(D678,9,$G$5,$H$13)-[1]!S_STM07_IS(D678,10,$G$5,$H$13))/[1]!S_STM07_IS(D678,9,$G$5,$H$13),[1]!S_STM07_IS(D678,14,$G$5,$H$13)/$E$5))</f>
        <v/>
      </c>
      <c r="J678" s="247" t="str">
        <f ca="1">IF(C678="","",IF($J$11="营业利润率",[1]!S_STM07_IS(D678,48,$G$5,$H$13)/[1]!S_STM07_IS(D678,9,$G$5,$H$13),([1]!S_STM07_CS(D678,87,$G$5,$H$13)+[1]!S_STM07_CS(D678,88,$G$5,$H$13)+[1]!S_STM07_CS(D678,89,$G$5,$H$13))/$E$5))</f>
        <v/>
      </c>
      <c r="K678" s="247" t="str">
        <f ca="1">IF(C678="","",IF($K$11="净利润率",[1]!S_STM07_IS(D678,61,$G$5,$H$13)/[1]!S_STM07_IS(D678,9,$G$5,$H$13),[1]!S_STM07_IS(D678,55,$G$5,$H$13)/$E$5))</f>
        <v/>
      </c>
      <c r="L678" s="247" t="str">
        <f ca="1">IF(C678="","",IF($L$11="ROA",[1]!S_STM07_IS(D678,61,$G$5,$H$13)/[1]!S_STM07_BS(D678,74,$G$5,$H$13),1-[1]!S_STM07_IS(D678,61,$G$5,$H$13)/[1]!S_STM07_IS(D678,55,$G$5,$H$13)))</f>
        <v/>
      </c>
      <c r="M678" s="247" t="str">
        <f ca="1">IF(C678="","",IF($M$11="ROE",[1]!S_STM07_IS(D678,61,$G$5,$H$13)/[1]!S_STM07_BS(D678,141,$G$5,$H$13),([1]!S_STM07_BS(D678,25,$G$5,$H$13)-[1]!S_STM07_BS(D678,93,$G$5,$H$13))/$E$5))</f>
        <v/>
      </c>
      <c r="N678" s="247" t="str">
        <f ca="1">IF(C678="","",IF($N$11="EPS",[1]!S_STM07_IS(D678,61,$G$5,$H$13)/IF([1]!S_SHARE_TOTAL(D678,$G$5)=0,[1]!S_SHARE_TOTAL(D678,[1]!s_ipo_listeddate(D678)),[1]!S_SHARE_TOTAL(D678,$G$5)),([1]!S_STM07_BS(D678,75,$G$5,$H$13)+[1]!S_STM07_BS(D678,88,$G$5,$H$13)+[1]!S_STM07_BS(D678,94,$G$5,$H$13)+[1]!S_STM07_BS(D678,95,$G$5,$H$13))/$E$5))</f>
        <v/>
      </c>
      <c r="O678" s="247" t="str">
        <f ca="1">IF(C678="","",IF($O$11="BPS",[1]!S_STM07_BS(D678,141,$G$5,$H$13)/IF([1]!S_SHARE_TOTAL(D678,$G$5)=0,[1]!S_SHARE_TOTAL(D678,[1]!s_ipo_listeddate(D678)),[1]!S_SHARE_TOTAL(D678,$G$5)),[1]!S_STM07_CS(D678,49,$G$5,$H$13)/$E$5))</f>
        <v/>
      </c>
      <c r="P678" s="247" t="str">
        <f ca="1">IF(C678="","",IF($P$11="CFPS",[1]!S_STM07_CS(D678,84,$G$5,$H$13)/IF([1]!S_SHARE_TOTAL(D678,$G$5)=0,[1]!S_SHARE_TOTAL(D678,[1]!s_ipo_listeddate(D678)),[1]!S_SHARE_TOTAL(D678,$G$5)),[1]!S_STM07_CS(D678,84,$G$5,$H$13)/$E$5))</f>
        <v/>
      </c>
      <c r="Q678" s="248" t="str">
        <f ca="1">IF(C678="","",F678/([1]!S_STM07_IS(D678,61,$G$5,$H$13)/IF([1]!S_SHARE_TOTAL(D678,$G$5)=0,[1]!S_SHARE_TOTAL(D678,[1]!s_ipo_listeddate(D678)),[1]!S_SHARE_TOTAL(D678,$G$5))))</f>
        <v/>
      </c>
      <c r="R678" s="248" t="str">
        <f ca="1">IF(C678="","",F678/([1]!S_STM07_BS(D678,141,$G$5,$H$13)/IF([1]!S_SHARE_TOTAL(D678,$G$5)=0,[1]!S_SHARE_TOTAL(D678,[1]!s_ipo_listeddate(D678)),[1]!S_SHARE_TOTAL(D678,$G$5))))</f>
        <v/>
      </c>
      <c r="S678" s="247" t="str">
        <f ca="1">IF(C678="","",[1]!S_SHARE_TOTAL(D678,TODAY())/$E$5)</f>
        <v/>
      </c>
      <c r="T678" s="247" t="str">
        <f t="shared" ca="1" si="73"/>
        <v/>
      </c>
      <c r="U678" s="218" t="str">
        <f t="shared" ca="1" si="74"/>
        <v/>
      </c>
      <c r="V678" s="342" t="str">
        <f t="shared" ca="1" si="75"/>
        <v/>
      </c>
      <c r="W678" s="139"/>
      <c r="Y678" s="1"/>
    </row>
    <row r="679" spans="3:25" ht="12" customHeight="1">
      <c r="C679" s="343" t="str">
        <f t="shared" ca="1" si="70"/>
        <v/>
      </c>
      <c r="D679" s="124" t="str">
        <f t="shared" ca="1" si="71"/>
        <v/>
      </c>
      <c r="E679" s="124" t="str">
        <f t="shared" ca="1" si="72"/>
        <v/>
      </c>
      <c r="F679" s="172" t="str">
        <f ca="1">IF(C679="","",[1]!S_DQ_CLOSE(D679,TODAY(),1))</f>
        <v/>
      </c>
      <c r="G679" s="173" t="str">
        <f ca="1">IF(C679="","",[1]!s_pq_pctchange(D679,TODAY()-$G$12,TODAY())/100)</f>
        <v/>
      </c>
      <c r="H679" s="249" t="str">
        <f ca="1">IF(C679="","",IF($H$11="收入",[1]!S_STM07_IS(D679,9,$G$5,$H$13)/$E$5,[1]!S_STM07_IS(D679,48,$G$5,$H$13)/$E$5))</f>
        <v/>
      </c>
      <c r="I679" s="249" t="str">
        <f ca="1">IF(C679="","",IF($I$11="毛利率",([1]!S_STM07_IS(D679,9,$G$5,$H$13)-[1]!S_STM07_IS(D679,10,$G$5,$H$13))/[1]!S_STM07_IS(D679,9,$G$5,$H$13),[1]!S_STM07_IS(D679,14,$G$5,$H$13)/$E$5))</f>
        <v/>
      </c>
      <c r="J679" s="249" t="str">
        <f ca="1">IF(C679="","",IF($J$11="营业利润率",[1]!S_STM07_IS(D679,48,$G$5,$H$13)/[1]!S_STM07_IS(D679,9,$G$5,$H$13),([1]!S_STM07_CS(D679,87,$G$5,$H$13)+[1]!S_STM07_CS(D679,88,$G$5,$H$13)+[1]!S_STM07_CS(D679,89,$G$5,$H$13))/$E$5))</f>
        <v/>
      </c>
      <c r="K679" s="249" t="str">
        <f ca="1">IF(C679="","",IF($K$11="净利润率",[1]!S_STM07_IS(D679,61,$G$5,$H$13)/[1]!S_STM07_IS(D679,9,$G$5,$H$13),[1]!S_STM07_IS(D679,55,$G$5,$H$13)/$E$5))</f>
        <v/>
      </c>
      <c r="L679" s="249" t="str">
        <f ca="1">IF(C679="","",IF($L$11="ROA",[1]!S_STM07_IS(D679,61,$G$5,$H$13)/[1]!S_STM07_BS(D679,74,$G$5,$H$13),1-[1]!S_STM07_IS(D679,61,$G$5,$H$13)/[1]!S_STM07_IS(D679,55,$G$5,$H$13)))</f>
        <v/>
      </c>
      <c r="M679" s="249" t="str">
        <f ca="1">IF(C679="","",IF($M$11="ROE",[1]!S_STM07_IS(D679,61,$G$5,$H$13)/[1]!S_STM07_BS(D679,141,$G$5,$H$13),([1]!S_STM07_BS(D679,25,$G$5,$H$13)-[1]!S_STM07_BS(D679,93,$G$5,$H$13))/$E$5))</f>
        <v/>
      </c>
      <c r="N679" s="250" t="str">
        <f ca="1">IF(C679="","",IF($N$11="EPS",[1]!S_STM07_IS(D679,61,$G$5,$H$13)/IF([1]!S_SHARE_TOTAL(D679,$G$5)=0,[1]!S_SHARE_TOTAL(D679,[1]!s_ipo_listeddate(D679)),[1]!S_SHARE_TOTAL(D679,$G$5)),([1]!S_STM07_BS(D679,75,$G$5,$H$13)+[1]!S_STM07_BS(D679,88,$G$5,$H$13)+[1]!S_STM07_BS(D679,94,$G$5,$H$13)+[1]!S_STM07_BS(D679,95,$G$5,$H$13))/$E$5))</f>
        <v/>
      </c>
      <c r="O679" s="250" t="str">
        <f ca="1">IF(C679="","",IF($O$11="BPS",[1]!S_STM07_BS(D679,141,$G$5,$H$13)/IF([1]!S_SHARE_TOTAL(D679,$G$5)=0,[1]!S_SHARE_TOTAL(D679,[1]!s_ipo_listeddate(D679)),[1]!S_SHARE_TOTAL(D679,$G$5)),[1]!S_STM07_CS(D679,49,$G$5,$H$13)/$E$5))</f>
        <v/>
      </c>
      <c r="P679" s="250" t="str">
        <f ca="1">IF(C679="","",IF($P$11="CFPS",[1]!S_STM07_CS(D679,84,$G$5,$H$13)/IF([1]!S_SHARE_TOTAL(D679,$G$5)=0,[1]!S_SHARE_TOTAL(D679,[1]!s_ipo_listeddate(D679)),[1]!S_SHARE_TOTAL(D679,$G$5)),[1]!S_STM07_CS(D679,84,$G$5,$H$13)/$E$5))</f>
        <v/>
      </c>
      <c r="Q679" s="198" t="str">
        <f ca="1">IF(C679="","",F679/([1]!S_STM07_IS(D679,61,$G$5,$H$13)/IF([1]!S_SHARE_TOTAL(D679,$G$5)=0,[1]!S_SHARE_TOTAL(D679,[1]!s_ipo_listeddate(D679)),[1]!S_SHARE_TOTAL(D679,$G$5))))</f>
        <v/>
      </c>
      <c r="R679" s="198" t="str">
        <f ca="1">IF(C679="","",F679/([1]!S_STM07_BS(D679,141,$G$5,$H$13)/IF([1]!S_SHARE_TOTAL(D679,$G$5)=0,[1]!S_SHARE_TOTAL(D679,[1]!s_ipo_listeddate(D679)),[1]!S_SHARE_TOTAL(D679,$G$5))))</f>
        <v/>
      </c>
      <c r="S679" s="249" t="str">
        <f ca="1">IF(C679="","",[1]!S_SHARE_TOTAL(D679,TODAY())/$E$5)</f>
        <v/>
      </c>
      <c r="T679" s="249" t="str">
        <f t="shared" ca="1" si="73"/>
        <v/>
      </c>
      <c r="U679" s="172" t="str">
        <f t="shared" ca="1" si="74"/>
        <v/>
      </c>
      <c r="V679" s="343" t="str">
        <f t="shared" ca="1" si="75"/>
        <v/>
      </c>
      <c r="W679" s="139"/>
      <c r="Y679" s="1"/>
    </row>
    <row r="680" spans="3:25" ht="12" customHeight="1">
      <c r="C680" s="342" t="str">
        <f t="shared" ca="1" si="70"/>
        <v/>
      </c>
      <c r="D680" s="153" t="str">
        <f t="shared" ca="1" si="71"/>
        <v/>
      </c>
      <c r="E680" s="153" t="str">
        <f t="shared" ca="1" si="72"/>
        <v/>
      </c>
      <c r="F680" s="170" t="str">
        <f ca="1">IF(C680="","",[1]!S_DQ_CLOSE(D680,TODAY(),1))</f>
        <v/>
      </c>
      <c r="G680" s="171" t="str">
        <f ca="1">IF(C680="","",[1]!s_pq_pctchange(D680,TODAY()-$G$12,TODAY())/100)</f>
        <v/>
      </c>
      <c r="H680" s="247" t="str">
        <f ca="1">IF(C680="","",IF($H$11="收入",[1]!S_STM07_IS(D680,9,$G$5,$H$13)/$E$5,[1]!S_STM07_IS(D680,48,$G$5,$H$13)/$E$5))</f>
        <v/>
      </c>
      <c r="I680" s="247" t="str">
        <f ca="1">IF(C680="","",IF($I$11="毛利率",([1]!S_STM07_IS(D680,9,$G$5,$H$13)-[1]!S_STM07_IS(D680,10,$G$5,$H$13))/[1]!S_STM07_IS(D680,9,$G$5,$H$13),[1]!S_STM07_IS(D680,14,$G$5,$H$13)/$E$5))</f>
        <v/>
      </c>
      <c r="J680" s="247" t="str">
        <f ca="1">IF(C680="","",IF($J$11="营业利润率",[1]!S_STM07_IS(D680,48,$G$5,$H$13)/[1]!S_STM07_IS(D680,9,$G$5,$H$13),([1]!S_STM07_CS(D680,87,$G$5,$H$13)+[1]!S_STM07_CS(D680,88,$G$5,$H$13)+[1]!S_STM07_CS(D680,89,$G$5,$H$13))/$E$5))</f>
        <v/>
      </c>
      <c r="K680" s="247" t="str">
        <f ca="1">IF(C680="","",IF($K$11="净利润率",[1]!S_STM07_IS(D680,61,$G$5,$H$13)/[1]!S_STM07_IS(D680,9,$G$5,$H$13),[1]!S_STM07_IS(D680,55,$G$5,$H$13)/$E$5))</f>
        <v/>
      </c>
      <c r="L680" s="247" t="str">
        <f ca="1">IF(C680="","",IF($L$11="ROA",[1]!S_STM07_IS(D680,61,$G$5,$H$13)/[1]!S_STM07_BS(D680,74,$G$5,$H$13),1-[1]!S_STM07_IS(D680,61,$G$5,$H$13)/[1]!S_STM07_IS(D680,55,$G$5,$H$13)))</f>
        <v/>
      </c>
      <c r="M680" s="247" t="str">
        <f ca="1">IF(C680="","",IF($M$11="ROE",[1]!S_STM07_IS(D680,61,$G$5,$H$13)/[1]!S_STM07_BS(D680,141,$G$5,$H$13),([1]!S_STM07_BS(D680,25,$G$5,$H$13)-[1]!S_STM07_BS(D680,93,$G$5,$H$13))/$E$5))</f>
        <v/>
      </c>
      <c r="N680" s="247" t="str">
        <f ca="1">IF(C680="","",IF($N$11="EPS",[1]!S_STM07_IS(D680,61,$G$5,$H$13)/IF([1]!S_SHARE_TOTAL(D680,$G$5)=0,[1]!S_SHARE_TOTAL(D680,[1]!s_ipo_listeddate(D680)),[1]!S_SHARE_TOTAL(D680,$G$5)),([1]!S_STM07_BS(D680,75,$G$5,$H$13)+[1]!S_STM07_BS(D680,88,$G$5,$H$13)+[1]!S_STM07_BS(D680,94,$G$5,$H$13)+[1]!S_STM07_BS(D680,95,$G$5,$H$13))/$E$5))</f>
        <v/>
      </c>
      <c r="O680" s="247" t="str">
        <f ca="1">IF(C680="","",IF($O$11="BPS",[1]!S_STM07_BS(D680,141,$G$5,$H$13)/IF([1]!S_SHARE_TOTAL(D680,$G$5)=0,[1]!S_SHARE_TOTAL(D680,[1]!s_ipo_listeddate(D680)),[1]!S_SHARE_TOTAL(D680,$G$5)),[1]!S_STM07_CS(D680,49,$G$5,$H$13)/$E$5))</f>
        <v/>
      </c>
      <c r="P680" s="247" t="str">
        <f ca="1">IF(C680="","",IF($P$11="CFPS",[1]!S_STM07_CS(D680,84,$G$5,$H$13)/IF([1]!S_SHARE_TOTAL(D680,$G$5)=0,[1]!S_SHARE_TOTAL(D680,[1]!s_ipo_listeddate(D680)),[1]!S_SHARE_TOTAL(D680,$G$5)),[1]!S_STM07_CS(D680,84,$G$5,$H$13)/$E$5))</f>
        <v/>
      </c>
      <c r="Q680" s="248" t="str">
        <f ca="1">IF(C680="","",F680/([1]!S_STM07_IS(D680,61,$G$5,$H$13)/IF([1]!S_SHARE_TOTAL(D680,$G$5)=0,[1]!S_SHARE_TOTAL(D680,[1]!s_ipo_listeddate(D680)),[1]!S_SHARE_TOTAL(D680,$G$5))))</f>
        <v/>
      </c>
      <c r="R680" s="248" t="str">
        <f ca="1">IF(C680="","",F680/([1]!S_STM07_BS(D680,141,$G$5,$H$13)/IF([1]!S_SHARE_TOTAL(D680,$G$5)=0,[1]!S_SHARE_TOTAL(D680,[1]!s_ipo_listeddate(D680)),[1]!S_SHARE_TOTAL(D680,$G$5))))</f>
        <v/>
      </c>
      <c r="S680" s="247" t="str">
        <f ca="1">IF(C680="","",[1]!S_SHARE_TOTAL(D680,TODAY())/$E$5)</f>
        <v/>
      </c>
      <c r="T680" s="247" t="str">
        <f t="shared" ca="1" si="73"/>
        <v/>
      </c>
      <c r="U680" s="218" t="str">
        <f t="shared" ca="1" si="74"/>
        <v/>
      </c>
      <c r="V680" s="342" t="str">
        <f t="shared" ca="1" si="75"/>
        <v/>
      </c>
      <c r="W680" s="139"/>
      <c r="Y680" s="1"/>
    </row>
    <row r="681" spans="3:25" ht="12" customHeight="1">
      <c r="C681" s="343" t="str">
        <f t="shared" ca="1" si="70"/>
        <v/>
      </c>
      <c r="D681" s="124" t="str">
        <f t="shared" ca="1" si="71"/>
        <v/>
      </c>
      <c r="E681" s="124" t="str">
        <f t="shared" ca="1" si="72"/>
        <v/>
      </c>
      <c r="F681" s="172" t="str">
        <f ca="1">IF(C681="","",[1]!S_DQ_CLOSE(D681,TODAY(),1))</f>
        <v/>
      </c>
      <c r="G681" s="173" t="str">
        <f ca="1">IF(C681="","",[1]!s_pq_pctchange(D681,TODAY()-$G$12,TODAY())/100)</f>
        <v/>
      </c>
      <c r="H681" s="249" t="str">
        <f ca="1">IF(C681="","",IF($H$11="收入",[1]!S_STM07_IS(D681,9,$G$5,$H$13)/$E$5,[1]!S_STM07_IS(D681,48,$G$5,$H$13)/$E$5))</f>
        <v/>
      </c>
      <c r="I681" s="249" t="str">
        <f ca="1">IF(C681="","",IF($I$11="毛利率",([1]!S_STM07_IS(D681,9,$G$5,$H$13)-[1]!S_STM07_IS(D681,10,$G$5,$H$13))/[1]!S_STM07_IS(D681,9,$G$5,$H$13),[1]!S_STM07_IS(D681,14,$G$5,$H$13)/$E$5))</f>
        <v/>
      </c>
      <c r="J681" s="249" t="str">
        <f ca="1">IF(C681="","",IF($J$11="营业利润率",[1]!S_STM07_IS(D681,48,$G$5,$H$13)/[1]!S_STM07_IS(D681,9,$G$5,$H$13),([1]!S_STM07_CS(D681,87,$G$5,$H$13)+[1]!S_STM07_CS(D681,88,$G$5,$H$13)+[1]!S_STM07_CS(D681,89,$G$5,$H$13))/$E$5))</f>
        <v/>
      </c>
      <c r="K681" s="249" t="str">
        <f ca="1">IF(C681="","",IF($K$11="净利润率",[1]!S_STM07_IS(D681,61,$G$5,$H$13)/[1]!S_STM07_IS(D681,9,$G$5,$H$13),[1]!S_STM07_IS(D681,55,$G$5,$H$13)/$E$5))</f>
        <v/>
      </c>
      <c r="L681" s="249" t="str">
        <f ca="1">IF(C681="","",IF($L$11="ROA",[1]!S_STM07_IS(D681,61,$G$5,$H$13)/[1]!S_STM07_BS(D681,74,$G$5,$H$13),1-[1]!S_STM07_IS(D681,61,$G$5,$H$13)/[1]!S_STM07_IS(D681,55,$G$5,$H$13)))</f>
        <v/>
      </c>
      <c r="M681" s="249" t="str">
        <f ca="1">IF(C681="","",IF($M$11="ROE",[1]!S_STM07_IS(D681,61,$G$5,$H$13)/[1]!S_STM07_BS(D681,141,$G$5,$H$13),([1]!S_STM07_BS(D681,25,$G$5,$H$13)-[1]!S_STM07_BS(D681,93,$G$5,$H$13))/$E$5))</f>
        <v/>
      </c>
      <c r="N681" s="250" t="str">
        <f ca="1">IF(C681="","",IF($N$11="EPS",[1]!S_STM07_IS(D681,61,$G$5,$H$13)/IF([1]!S_SHARE_TOTAL(D681,$G$5)=0,[1]!S_SHARE_TOTAL(D681,[1]!s_ipo_listeddate(D681)),[1]!S_SHARE_TOTAL(D681,$G$5)),([1]!S_STM07_BS(D681,75,$G$5,$H$13)+[1]!S_STM07_BS(D681,88,$G$5,$H$13)+[1]!S_STM07_BS(D681,94,$G$5,$H$13)+[1]!S_STM07_BS(D681,95,$G$5,$H$13))/$E$5))</f>
        <v/>
      </c>
      <c r="O681" s="250" t="str">
        <f ca="1">IF(C681="","",IF($O$11="BPS",[1]!S_STM07_BS(D681,141,$G$5,$H$13)/IF([1]!S_SHARE_TOTAL(D681,$G$5)=0,[1]!S_SHARE_TOTAL(D681,[1]!s_ipo_listeddate(D681)),[1]!S_SHARE_TOTAL(D681,$G$5)),[1]!S_STM07_CS(D681,49,$G$5,$H$13)/$E$5))</f>
        <v/>
      </c>
      <c r="P681" s="250" t="str">
        <f ca="1">IF(C681="","",IF($P$11="CFPS",[1]!S_STM07_CS(D681,84,$G$5,$H$13)/IF([1]!S_SHARE_TOTAL(D681,$G$5)=0,[1]!S_SHARE_TOTAL(D681,[1]!s_ipo_listeddate(D681)),[1]!S_SHARE_TOTAL(D681,$G$5)),[1]!S_STM07_CS(D681,84,$G$5,$H$13)/$E$5))</f>
        <v/>
      </c>
      <c r="Q681" s="198" t="str">
        <f ca="1">IF(C681="","",F681/([1]!S_STM07_IS(D681,61,$G$5,$H$13)/IF([1]!S_SHARE_TOTAL(D681,$G$5)=0,[1]!S_SHARE_TOTAL(D681,[1]!s_ipo_listeddate(D681)),[1]!S_SHARE_TOTAL(D681,$G$5))))</f>
        <v/>
      </c>
      <c r="R681" s="198" t="str">
        <f ca="1">IF(C681="","",F681/([1]!S_STM07_BS(D681,141,$G$5,$H$13)/IF([1]!S_SHARE_TOTAL(D681,$G$5)=0,[1]!S_SHARE_TOTAL(D681,[1]!s_ipo_listeddate(D681)),[1]!S_SHARE_TOTAL(D681,$G$5))))</f>
        <v/>
      </c>
      <c r="S681" s="249" t="str">
        <f ca="1">IF(C681="","",[1]!S_SHARE_TOTAL(D681,TODAY())/$E$5)</f>
        <v/>
      </c>
      <c r="T681" s="249" t="str">
        <f t="shared" ca="1" si="73"/>
        <v/>
      </c>
      <c r="U681" s="172" t="str">
        <f t="shared" ca="1" si="74"/>
        <v/>
      </c>
      <c r="V681" s="343" t="str">
        <f t="shared" ca="1" si="75"/>
        <v/>
      </c>
      <c r="W681" s="139"/>
      <c r="Y681" s="1"/>
    </row>
    <row r="682" spans="3:25" ht="12" customHeight="1">
      <c r="C682" s="342" t="str">
        <f t="shared" ca="1" si="70"/>
        <v/>
      </c>
      <c r="D682" s="153" t="str">
        <f t="shared" ca="1" si="71"/>
        <v/>
      </c>
      <c r="E682" s="153" t="str">
        <f t="shared" ca="1" si="72"/>
        <v/>
      </c>
      <c r="F682" s="170" t="str">
        <f ca="1">IF(C682="","",[1]!S_DQ_CLOSE(D682,TODAY(),1))</f>
        <v/>
      </c>
      <c r="G682" s="171" t="str">
        <f ca="1">IF(C682="","",[1]!s_pq_pctchange(D682,TODAY()-$G$12,TODAY())/100)</f>
        <v/>
      </c>
      <c r="H682" s="247" t="str">
        <f ca="1">IF(C682="","",IF($H$11="收入",[1]!S_STM07_IS(D682,9,$G$5,$H$13)/$E$5,[1]!S_STM07_IS(D682,48,$G$5,$H$13)/$E$5))</f>
        <v/>
      </c>
      <c r="I682" s="247" t="str">
        <f ca="1">IF(C682="","",IF($I$11="毛利率",([1]!S_STM07_IS(D682,9,$G$5,$H$13)-[1]!S_STM07_IS(D682,10,$G$5,$H$13))/[1]!S_STM07_IS(D682,9,$G$5,$H$13),[1]!S_STM07_IS(D682,14,$G$5,$H$13)/$E$5))</f>
        <v/>
      </c>
      <c r="J682" s="247" t="str">
        <f ca="1">IF(C682="","",IF($J$11="营业利润率",[1]!S_STM07_IS(D682,48,$G$5,$H$13)/[1]!S_STM07_IS(D682,9,$G$5,$H$13),([1]!S_STM07_CS(D682,87,$G$5,$H$13)+[1]!S_STM07_CS(D682,88,$G$5,$H$13)+[1]!S_STM07_CS(D682,89,$G$5,$H$13))/$E$5))</f>
        <v/>
      </c>
      <c r="K682" s="247" t="str">
        <f ca="1">IF(C682="","",IF($K$11="净利润率",[1]!S_STM07_IS(D682,61,$G$5,$H$13)/[1]!S_STM07_IS(D682,9,$G$5,$H$13),[1]!S_STM07_IS(D682,55,$G$5,$H$13)/$E$5))</f>
        <v/>
      </c>
      <c r="L682" s="247" t="str">
        <f ca="1">IF(C682="","",IF($L$11="ROA",[1]!S_STM07_IS(D682,61,$G$5,$H$13)/[1]!S_STM07_BS(D682,74,$G$5,$H$13),1-[1]!S_STM07_IS(D682,61,$G$5,$H$13)/[1]!S_STM07_IS(D682,55,$G$5,$H$13)))</f>
        <v/>
      </c>
      <c r="M682" s="247" t="str">
        <f ca="1">IF(C682="","",IF($M$11="ROE",[1]!S_STM07_IS(D682,61,$G$5,$H$13)/[1]!S_STM07_BS(D682,141,$G$5,$H$13),([1]!S_STM07_BS(D682,25,$G$5,$H$13)-[1]!S_STM07_BS(D682,93,$G$5,$H$13))/$E$5))</f>
        <v/>
      </c>
      <c r="N682" s="247" t="str">
        <f ca="1">IF(C682="","",IF($N$11="EPS",[1]!S_STM07_IS(D682,61,$G$5,$H$13)/IF([1]!S_SHARE_TOTAL(D682,$G$5)=0,[1]!S_SHARE_TOTAL(D682,[1]!s_ipo_listeddate(D682)),[1]!S_SHARE_TOTAL(D682,$G$5)),([1]!S_STM07_BS(D682,75,$G$5,$H$13)+[1]!S_STM07_BS(D682,88,$G$5,$H$13)+[1]!S_STM07_BS(D682,94,$G$5,$H$13)+[1]!S_STM07_BS(D682,95,$G$5,$H$13))/$E$5))</f>
        <v/>
      </c>
      <c r="O682" s="247" t="str">
        <f ca="1">IF(C682="","",IF($O$11="BPS",[1]!S_STM07_BS(D682,141,$G$5,$H$13)/IF([1]!S_SHARE_TOTAL(D682,$G$5)=0,[1]!S_SHARE_TOTAL(D682,[1]!s_ipo_listeddate(D682)),[1]!S_SHARE_TOTAL(D682,$G$5)),[1]!S_STM07_CS(D682,49,$G$5,$H$13)/$E$5))</f>
        <v/>
      </c>
      <c r="P682" s="247" t="str">
        <f ca="1">IF(C682="","",IF($P$11="CFPS",[1]!S_STM07_CS(D682,84,$G$5,$H$13)/IF([1]!S_SHARE_TOTAL(D682,$G$5)=0,[1]!S_SHARE_TOTAL(D682,[1]!s_ipo_listeddate(D682)),[1]!S_SHARE_TOTAL(D682,$G$5)),[1]!S_STM07_CS(D682,84,$G$5,$H$13)/$E$5))</f>
        <v/>
      </c>
      <c r="Q682" s="248" t="str">
        <f ca="1">IF(C682="","",F682/([1]!S_STM07_IS(D682,61,$G$5,$H$13)/IF([1]!S_SHARE_TOTAL(D682,$G$5)=0,[1]!S_SHARE_TOTAL(D682,[1]!s_ipo_listeddate(D682)),[1]!S_SHARE_TOTAL(D682,$G$5))))</f>
        <v/>
      </c>
      <c r="R682" s="248" t="str">
        <f ca="1">IF(C682="","",F682/([1]!S_STM07_BS(D682,141,$G$5,$H$13)/IF([1]!S_SHARE_TOTAL(D682,$G$5)=0,[1]!S_SHARE_TOTAL(D682,[1]!s_ipo_listeddate(D682)),[1]!S_SHARE_TOTAL(D682,$G$5))))</f>
        <v/>
      </c>
      <c r="S682" s="247" t="str">
        <f ca="1">IF(C682="","",[1]!S_SHARE_TOTAL(D682,TODAY())/$E$5)</f>
        <v/>
      </c>
      <c r="T682" s="247" t="str">
        <f t="shared" ca="1" si="73"/>
        <v/>
      </c>
      <c r="U682" s="218" t="str">
        <f t="shared" ca="1" si="74"/>
        <v/>
      </c>
      <c r="V682" s="342" t="str">
        <f t="shared" ca="1" si="75"/>
        <v/>
      </c>
      <c r="W682" s="139"/>
      <c r="Y682" s="1"/>
    </row>
    <row r="683" spans="3:25" ht="12" customHeight="1">
      <c r="C683" s="343" t="str">
        <f t="shared" ca="1" si="70"/>
        <v/>
      </c>
      <c r="D683" s="124" t="str">
        <f t="shared" ca="1" si="71"/>
        <v/>
      </c>
      <c r="E683" s="124" t="str">
        <f t="shared" ca="1" si="72"/>
        <v/>
      </c>
      <c r="F683" s="172" t="str">
        <f ca="1">IF(C683="","",[1]!S_DQ_CLOSE(D683,TODAY(),1))</f>
        <v/>
      </c>
      <c r="G683" s="173" t="str">
        <f ca="1">IF(C683="","",[1]!s_pq_pctchange(D683,TODAY()-$G$12,TODAY())/100)</f>
        <v/>
      </c>
      <c r="H683" s="249" t="str">
        <f ca="1">IF(C683="","",IF($H$11="收入",[1]!S_STM07_IS(D683,9,$G$5,$H$13)/$E$5,[1]!S_STM07_IS(D683,48,$G$5,$H$13)/$E$5))</f>
        <v/>
      </c>
      <c r="I683" s="249" t="str">
        <f ca="1">IF(C683="","",IF($I$11="毛利率",([1]!S_STM07_IS(D683,9,$G$5,$H$13)-[1]!S_STM07_IS(D683,10,$G$5,$H$13))/[1]!S_STM07_IS(D683,9,$G$5,$H$13),[1]!S_STM07_IS(D683,14,$G$5,$H$13)/$E$5))</f>
        <v/>
      </c>
      <c r="J683" s="249" t="str">
        <f ca="1">IF(C683="","",IF($J$11="营业利润率",[1]!S_STM07_IS(D683,48,$G$5,$H$13)/[1]!S_STM07_IS(D683,9,$G$5,$H$13),([1]!S_STM07_CS(D683,87,$G$5,$H$13)+[1]!S_STM07_CS(D683,88,$G$5,$H$13)+[1]!S_STM07_CS(D683,89,$G$5,$H$13))/$E$5))</f>
        <v/>
      </c>
      <c r="K683" s="249" t="str">
        <f ca="1">IF(C683="","",IF($K$11="净利润率",[1]!S_STM07_IS(D683,61,$G$5,$H$13)/[1]!S_STM07_IS(D683,9,$G$5,$H$13),[1]!S_STM07_IS(D683,55,$G$5,$H$13)/$E$5))</f>
        <v/>
      </c>
      <c r="L683" s="249" t="str">
        <f ca="1">IF(C683="","",IF($L$11="ROA",[1]!S_STM07_IS(D683,61,$G$5,$H$13)/[1]!S_STM07_BS(D683,74,$G$5,$H$13),1-[1]!S_STM07_IS(D683,61,$G$5,$H$13)/[1]!S_STM07_IS(D683,55,$G$5,$H$13)))</f>
        <v/>
      </c>
      <c r="M683" s="249" t="str">
        <f ca="1">IF(C683="","",IF($M$11="ROE",[1]!S_STM07_IS(D683,61,$G$5,$H$13)/[1]!S_STM07_BS(D683,141,$G$5,$H$13),([1]!S_STM07_BS(D683,25,$G$5,$H$13)-[1]!S_STM07_BS(D683,93,$G$5,$H$13))/$E$5))</f>
        <v/>
      </c>
      <c r="N683" s="250" t="str">
        <f ca="1">IF(C683="","",IF($N$11="EPS",[1]!S_STM07_IS(D683,61,$G$5,$H$13)/IF([1]!S_SHARE_TOTAL(D683,$G$5)=0,[1]!S_SHARE_TOTAL(D683,[1]!s_ipo_listeddate(D683)),[1]!S_SHARE_TOTAL(D683,$G$5)),([1]!S_STM07_BS(D683,75,$G$5,$H$13)+[1]!S_STM07_BS(D683,88,$G$5,$H$13)+[1]!S_STM07_BS(D683,94,$G$5,$H$13)+[1]!S_STM07_BS(D683,95,$G$5,$H$13))/$E$5))</f>
        <v/>
      </c>
      <c r="O683" s="250" t="str">
        <f ca="1">IF(C683="","",IF($O$11="BPS",[1]!S_STM07_BS(D683,141,$G$5,$H$13)/IF([1]!S_SHARE_TOTAL(D683,$G$5)=0,[1]!S_SHARE_TOTAL(D683,[1]!s_ipo_listeddate(D683)),[1]!S_SHARE_TOTAL(D683,$G$5)),[1]!S_STM07_CS(D683,49,$G$5,$H$13)/$E$5))</f>
        <v/>
      </c>
      <c r="P683" s="250" t="str">
        <f ca="1">IF(C683="","",IF($P$11="CFPS",[1]!S_STM07_CS(D683,84,$G$5,$H$13)/IF([1]!S_SHARE_TOTAL(D683,$G$5)=0,[1]!S_SHARE_TOTAL(D683,[1]!s_ipo_listeddate(D683)),[1]!S_SHARE_TOTAL(D683,$G$5)),[1]!S_STM07_CS(D683,84,$G$5,$H$13)/$E$5))</f>
        <v/>
      </c>
      <c r="Q683" s="198" t="str">
        <f ca="1">IF(C683="","",F683/([1]!S_STM07_IS(D683,61,$G$5,$H$13)/IF([1]!S_SHARE_TOTAL(D683,$G$5)=0,[1]!S_SHARE_TOTAL(D683,[1]!s_ipo_listeddate(D683)),[1]!S_SHARE_TOTAL(D683,$G$5))))</f>
        <v/>
      </c>
      <c r="R683" s="198" t="str">
        <f ca="1">IF(C683="","",F683/([1]!S_STM07_BS(D683,141,$G$5,$H$13)/IF([1]!S_SHARE_TOTAL(D683,$G$5)=0,[1]!S_SHARE_TOTAL(D683,[1]!s_ipo_listeddate(D683)),[1]!S_SHARE_TOTAL(D683,$G$5))))</f>
        <v/>
      </c>
      <c r="S683" s="249" t="str">
        <f ca="1">IF(C683="","",[1]!S_SHARE_TOTAL(D683,TODAY())/$E$5)</f>
        <v/>
      </c>
      <c r="T683" s="249" t="str">
        <f t="shared" ca="1" si="73"/>
        <v/>
      </c>
      <c r="U683" s="172" t="str">
        <f t="shared" ca="1" si="74"/>
        <v/>
      </c>
      <c r="V683" s="343" t="str">
        <f t="shared" ca="1" si="75"/>
        <v/>
      </c>
      <c r="W683" s="139"/>
      <c r="Y683" s="1"/>
    </row>
    <row r="684" spans="3:25" ht="12" customHeight="1">
      <c r="C684" s="342" t="str">
        <f t="shared" ca="1" si="70"/>
        <v/>
      </c>
      <c r="D684" s="153" t="str">
        <f t="shared" ca="1" si="71"/>
        <v/>
      </c>
      <c r="E684" s="153" t="str">
        <f t="shared" ca="1" si="72"/>
        <v/>
      </c>
      <c r="F684" s="170" t="str">
        <f ca="1">IF(C684="","",[1]!S_DQ_CLOSE(D684,TODAY(),1))</f>
        <v/>
      </c>
      <c r="G684" s="171" t="str">
        <f ca="1">IF(C684="","",[1]!s_pq_pctchange(D684,TODAY()-$G$12,TODAY())/100)</f>
        <v/>
      </c>
      <c r="H684" s="247" t="str">
        <f ca="1">IF(C684="","",IF($H$11="收入",[1]!S_STM07_IS(D684,9,$G$5,$H$13)/$E$5,[1]!S_STM07_IS(D684,48,$G$5,$H$13)/$E$5))</f>
        <v/>
      </c>
      <c r="I684" s="247" t="str">
        <f ca="1">IF(C684="","",IF($I$11="毛利率",([1]!S_STM07_IS(D684,9,$G$5,$H$13)-[1]!S_STM07_IS(D684,10,$G$5,$H$13))/[1]!S_STM07_IS(D684,9,$G$5,$H$13),[1]!S_STM07_IS(D684,14,$G$5,$H$13)/$E$5))</f>
        <v/>
      </c>
      <c r="J684" s="247" t="str">
        <f ca="1">IF(C684="","",IF($J$11="营业利润率",[1]!S_STM07_IS(D684,48,$G$5,$H$13)/[1]!S_STM07_IS(D684,9,$G$5,$H$13),([1]!S_STM07_CS(D684,87,$G$5,$H$13)+[1]!S_STM07_CS(D684,88,$G$5,$H$13)+[1]!S_STM07_CS(D684,89,$G$5,$H$13))/$E$5))</f>
        <v/>
      </c>
      <c r="K684" s="247" t="str">
        <f ca="1">IF(C684="","",IF($K$11="净利润率",[1]!S_STM07_IS(D684,61,$G$5,$H$13)/[1]!S_STM07_IS(D684,9,$G$5,$H$13),[1]!S_STM07_IS(D684,55,$G$5,$H$13)/$E$5))</f>
        <v/>
      </c>
      <c r="L684" s="247" t="str">
        <f ca="1">IF(C684="","",IF($L$11="ROA",[1]!S_STM07_IS(D684,61,$G$5,$H$13)/[1]!S_STM07_BS(D684,74,$G$5,$H$13),1-[1]!S_STM07_IS(D684,61,$G$5,$H$13)/[1]!S_STM07_IS(D684,55,$G$5,$H$13)))</f>
        <v/>
      </c>
      <c r="M684" s="247" t="str">
        <f ca="1">IF(C684="","",IF($M$11="ROE",[1]!S_STM07_IS(D684,61,$G$5,$H$13)/[1]!S_STM07_BS(D684,141,$G$5,$H$13),([1]!S_STM07_BS(D684,25,$G$5,$H$13)-[1]!S_STM07_BS(D684,93,$G$5,$H$13))/$E$5))</f>
        <v/>
      </c>
      <c r="N684" s="247" t="str">
        <f ca="1">IF(C684="","",IF($N$11="EPS",[1]!S_STM07_IS(D684,61,$G$5,$H$13)/IF([1]!S_SHARE_TOTAL(D684,$G$5)=0,[1]!S_SHARE_TOTAL(D684,[1]!s_ipo_listeddate(D684)),[1]!S_SHARE_TOTAL(D684,$G$5)),([1]!S_STM07_BS(D684,75,$G$5,$H$13)+[1]!S_STM07_BS(D684,88,$G$5,$H$13)+[1]!S_STM07_BS(D684,94,$G$5,$H$13)+[1]!S_STM07_BS(D684,95,$G$5,$H$13))/$E$5))</f>
        <v/>
      </c>
      <c r="O684" s="247" t="str">
        <f ca="1">IF(C684="","",IF($O$11="BPS",[1]!S_STM07_BS(D684,141,$G$5,$H$13)/IF([1]!S_SHARE_TOTAL(D684,$G$5)=0,[1]!S_SHARE_TOTAL(D684,[1]!s_ipo_listeddate(D684)),[1]!S_SHARE_TOTAL(D684,$G$5)),[1]!S_STM07_CS(D684,49,$G$5,$H$13)/$E$5))</f>
        <v/>
      </c>
      <c r="P684" s="247" t="str">
        <f ca="1">IF(C684="","",IF($P$11="CFPS",[1]!S_STM07_CS(D684,84,$G$5,$H$13)/IF([1]!S_SHARE_TOTAL(D684,$G$5)=0,[1]!S_SHARE_TOTAL(D684,[1]!s_ipo_listeddate(D684)),[1]!S_SHARE_TOTAL(D684,$G$5)),[1]!S_STM07_CS(D684,84,$G$5,$H$13)/$E$5))</f>
        <v/>
      </c>
      <c r="Q684" s="248" t="str">
        <f ca="1">IF(C684="","",F684/([1]!S_STM07_IS(D684,61,$G$5,$H$13)/IF([1]!S_SHARE_TOTAL(D684,$G$5)=0,[1]!S_SHARE_TOTAL(D684,[1]!s_ipo_listeddate(D684)),[1]!S_SHARE_TOTAL(D684,$G$5))))</f>
        <v/>
      </c>
      <c r="R684" s="248" t="str">
        <f ca="1">IF(C684="","",F684/([1]!S_STM07_BS(D684,141,$G$5,$H$13)/IF([1]!S_SHARE_TOTAL(D684,$G$5)=0,[1]!S_SHARE_TOTAL(D684,[1]!s_ipo_listeddate(D684)),[1]!S_SHARE_TOTAL(D684,$G$5))))</f>
        <v/>
      </c>
      <c r="S684" s="247" t="str">
        <f ca="1">IF(C684="","",[1]!S_SHARE_TOTAL(D684,TODAY())/$E$5)</f>
        <v/>
      </c>
      <c r="T684" s="247" t="str">
        <f t="shared" ca="1" si="73"/>
        <v/>
      </c>
      <c r="U684" s="218" t="str">
        <f t="shared" ca="1" si="74"/>
        <v/>
      </c>
      <c r="V684" s="342" t="str">
        <f t="shared" ca="1" si="75"/>
        <v/>
      </c>
      <c r="W684" s="139"/>
      <c r="Y684" s="1"/>
    </row>
    <row r="685" spans="3:25" ht="12" customHeight="1">
      <c r="C685" s="343" t="str">
        <f t="shared" ca="1" si="70"/>
        <v/>
      </c>
      <c r="D685" s="124" t="str">
        <f t="shared" ca="1" si="71"/>
        <v/>
      </c>
      <c r="E685" s="124" t="str">
        <f t="shared" ca="1" si="72"/>
        <v/>
      </c>
      <c r="F685" s="172" t="str">
        <f ca="1">IF(C685="","",[1]!S_DQ_CLOSE(D685,TODAY(),1))</f>
        <v/>
      </c>
      <c r="G685" s="173" t="str">
        <f ca="1">IF(C685="","",[1]!s_pq_pctchange(D685,TODAY()-$G$12,TODAY())/100)</f>
        <v/>
      </c>
      <c r="H685" s="249" t="str">
        <f ca="1">IF(C685="","",IF($H$11="收入",[1]!S_STM07_IS(D685,9,$G$5,$H$13)/$E$5,[1]!S_STM07_IS(D685,48,$G$5,$H$13)/$E$5))</f>
        <v/>
      </c>
      <c r="I685" s="249" t="str">
        <f ca="1">IF(C685="","",IF($I$11="毛利率",([1]!S_STM07_IS(D685,9,$G$5,$H$13)-[1]!S_STM07_IS(D685,10,$G$5,$H$13))/[1]!S_STM07_IS(D685,9,$G$5,$H$13),[1]!S_STM07_IS(D685,14,$G$5,$H$13)/$E$5))</f>
        <v/>
      </c>
      <c r="J685" s="249" t="str">
        <f ca="1">IF(C685="","",IF($J$11="营业利润率",[1]!S_STM07_IS(D685,48,$G$5,$H$13)/[1]!S_STM07_IS(D685,9,$G$5,$H$13),([1]!S_STM07_CS(D685,87,$G$5,$H$13)+[1]!S_STM07_CS(D685,88,$G$5,$H$13)+[1]!S_STM07_CS(D685,89,$G$5,$H$13))/$E$5))</f>
        <v/>
      </c>
      <c r="K685" s="249" t="str">
        <f ca="1">IF(C685="","",IF($K$11="净利润率",[1]!S_STM07_IS(D685,61,$G$5,$H$13)/[1]!S_STM07_IS(D685,9,$G$5,$H$13),[1]!S_STM07_IS(D685,55,$G$5,$H$13)/$E$5))</f>
        <v/>
      </c>
      <c r="L685" s="249" t="str">
        <f ca="1">IF(C685="","",IF($L$11="ROA",[1]!S_STM07_IS(D685,61,$G$5,$H$13)/[1]!S_STM07_BS(D685,74,$G$5,$H$13),1-[1]!S_STM07_IS(D685,61,$G$5,$H$13)/[1]!S_STM07_IS(D685,55,$G$5,$H$13)))</f>
        <v/>
      </c>
      <c r="M685" s="249" t="str">
        <f ca="1">IF(C685="","",IF($M$11="ROE",[1]!S_STM07_IS(D685,61,$G$5,$H$13)/[1]!S_STM07_BS(D685,141,$G$5,$H$13),([1]!S_STM07_BS(D685,25,$G$5,$H$13)-[1]!S_STM07_BS(D685,93,$G$5,$H$13))/$E$5))</f>
        <v/>
      </c>
      <c r="N685" s="250" t="str">
        <f ca="1">IF(C685="","",IF($N$11="EPS",[1]!S_STM07_IS(D685,61,$G$5,$H$13)/IF([1]!S_SHARE_TOTAL(D685,$G$5)=0,[1]!S_SHARE_TOTAL(D685,[1]!s_ipo_listeddate(D685)),[1]!S_SHARE_TOTAL(D685,$G$5)),([1]!S_STM07_BS(D685,75,$G$5,$H$13)+[1]!S_STM07_BS(D685,88,$G$5,$H$13)+[1]!S_STM07_BS(D685,94,$G$5,$H$13)+[1]!S_STM07_BS(D685,95,$G$5,$H$13))/$E$5))</f>
        <v/>
      </c>
      <c r="O685" s="250" t="str">
        <f ca="1">IF(C685="","",IF($O$11="BPS",[1]!S_STM07_BS(D685,141,$G$5,$H$13)/IF([1]!S_SHARE_TOTAL(D685,$G$5)=0,[1]!S_SHARE_TOTAL(D685,[1]!s_ipo_listeddate(D685)),[1]!S_SHARE_TOTAL(D685,$G$5)),[1]!S_STM07_CS(D685,49,$G$5,$H$13)/$E$5))</f>
        <v/>
      </c>
      <c r="P685" s="250" t="str">
        <f ca="1">IF(C685="","",IF($P$11="CFPS",[1]!S_STM07_CS(D685,84,$G$5,$H$13)/IF([1]!S_SHARE_TOTAL(D685,$G$5)=0,[1]!S_SHARE_TOTAL(D685,[1]!s_ipo_listeddate(D685)),[1]!S_SHARE_TOTAL(D685,$G$5)),[1]!S_STM07_CS(D685,84,$G$5,$H$13)/$E$5))</f>
        <v/>
      </c>
      <c r="Q685" s="198" t="str">
        <f ca="1">IF(C685="","",F685/([1]!S_STM07_IS(D685,61,$G$5,$H$13)/IF([1]!S_SHARE_TOTAL(D685,$G$5)=0,[1]!S_SHARE_TOTAL(D685,[1]!s_ipo_listeddate(D685)),[1]!S_SHARE_TOTAL(D685,$G$5))))</f>
        <v/>
      </c>
      <c r="R685" s="198" t="str">
        <f ca="1">IF(C685="","",F685/([1]!S_STM07_BS(D685,141,$G$5,$H$13)/IF([1]!S_SHARE_TOTAL(D685,$G$5)=0,[1]!S_SHARE_TOTAL(D685,[1]!s_ipo_listeddate(D685)),[1]!S_SHARE_TOTAL(D685,$G$5))))</f>
        <v/>
      </c>
      <c r="S685" s="249" t="str">
        <f ca="1">IF(C685="","",[1]!S_SHARE_TOTAL(D685,TODAY())/$E$5)</f>
        <v/>
      </c>
      <c r="T685" s="249" t="str">
        <f t="shared" ca="1" si="73"/>
        <v/>
      </c>
      <c r="U685" s="172" t="str">
        <f t="shared" ca="1" si="74"/>
        <v/>
      </c>
      <c r="V685" s="343" t="str">
        <f t="shared" ca="1" si="75"/>
        <v/>
      </c>
      <c r="W685" s="139"/>
      <c r="Y685" s="1"/>
    </row>
    <row r="686" spans="3:25" ht="12" customHeight="1">
      <c r="C686" s="342" t="str">
        <f t="shared" ca="1" si="70"/>
        <v/>
      </c>
      <c r="D686" s="153" t="str">
        <f t="shared" ca="1" si="71"/>
        <v/>
      </c>
      <c r="E686" s="153" t="str">
        <f t="shared" ca="1" si="72"/>
        <v/>
      </c>
      <c r="F686" s="170" t="str">
        <f ca="1">IF(C686="","",[1]!S_DQ_CLOSE(D686,TODAY(),1))</f>
        <v/>
      </c>
      <c r="G686" s="171" t="str">
        <f ca="1">IF(C686="","",[1]!s_pq_pctchange(D686,TODAY()-$G$12,TODAY())/100)</f>
        <v/>
      </c>
      <c r="H686" s="247" t="str">
        <f ca="1">IF(C686="","",IF($H$11="收入",[1]!S_STM07_IS(D686,9,$G$5,$H$13)/$E$5,[1]!S_STM07_IS(D686,48,$G$5,$H$13)/$E$5))</f>
        <v/>
      </c>
      <c r="I686" s="247" t="str">
        <f ca="1">IF(C686="","",IF($I$11="毛利率",([1]!S_STM07_IS(D686,9,$G$5,$H$13)-[1]!S_STM07_IS(D686,10,$G$5,$H$13))/[1]!S_STM07_IS(D686,9,$G$5,$H$13),[1]!S_STM07_IS(D686,14,$G$5,$H$13)/$E$5))</f>
        <v/>
      </c>
      <c r="J686" s="247" t="str">
        <f ca="1">IF(C686="","",IF($J$11="营业利润率",[1]!S_STM07_IS(D686,48,$G$5,$H$13)/[1]!S_STM07_IS(D686,9,$G$5,$H$13),([1]!S_STM07_CS(D686,87,$G$5,$H$13)+[1]!S_STM07_CS(D686,88,$G$5,$H$13)+[1]!S_STM07_CS(D686,89,$G$5,$H$13))/$E$5))</f>
        <v/>
      </c>
      <c r="K686" s="247" t="str">
        <f ca="1">IF(C686="","",IF($K$11="净利润率",[1]!S_STM07_IS(D686,61,$G$5,$H$13)/[1]!S_STM07_IS(D686,9,$G$5,$H$13),[1]!S_STM07_IS(D686,55,$G$5,$H$13)/$E$5))</f>
        <v/>
      </c>
      <c r="L686" s="247" t="str">
        <f ca="1">IF(C686="","",IF($L$11="ROA",[1]!S_STM07_IS(D686,61,$G$5,$H$13)/[1]!S_STM07_BS(D686,74,$G$5,$H$13),1-[1]!S_STM07_IS(D686,61,$G$5,$H$13)/[1]!S_STM07_IS(D686,55,$G$5,$H$13)))</f>
        <v/>
      </c>
      <c r="M686" s="247" t="str">
        <f ca="1">IF(C686="","",IF($M$11="ROE",[1]!S_STM07_IS(D686,61,$G$5,$H$13)/[1]!S_STM07_BS(D686,141,$G$5,$H$13),([1]!S_STM07_BS(D686,25,$G$5,$H$13)-[1]!S_STM07_BS(D686,93,$G$5,$H$13))/$E$5))</f>
        <v/>
      </c>
      <c r="N686" s="247" t="str">
        <f ca="1">IF(C686="","",IF($N$11="EPS",[1]!S_STM07_IS(D686,61,$G$5,$H$13)/IF([1]!S_SHARE_TOTAL(D686,$G$5)=0,[1]!S_SHARE_TOTAL(D686,[1]!s_ipo_listeddate(D686)),[1]!S_SHARE_TOTAL(D686,$G$5)),([1]!S_STM07_BS(D686,75,$G$5,$H$13)+[1]!S_STM07_BS(D686,88,$G$5,$H$13)+[1]!S_STM07_BS(D686,94,$G$5,$H$13)+[1]!S_STM07_BS(D686,95,$G$5,$H$13))/$E$5))</f>
        <v/>
      </c>
      <c r="O686" s="247" t="str">
        <f ca="1">IF(C686="","",IF($O$11="BPS",[1]!S_STM07_BS(D686,141,$G$5,$H$13)/IF([1]!S_SHARE_TOTAL(D686,$G$5)=0,[1]!S_SHARE_TOTAL(D686,[1]!s_ipo_listeddate(D686)),[1]!S_SHARE_TOTAL(D686,$G$5)),[1]!S_STM07_CS(D686,49,$G$5,$H$13)/$E$5))</f>
        <v/>
      </c>
      <c r="P686" s="247" t="str">
        <f ca="1">IF(C686="","",IF($P$11="CFPS",[1]!S_STM07_CS(D686,84,$G$5,$H$13)/IF([1]!S_SHARE_TOTAL(D686,$G$5)=0,[1]!S_SHARE_TOTAL(D686,[1]!s_ipo_listeddate(D686)),[1]!S_SHARE_TOTAL(D686,$G$5)),[1]!S_STM07_CS(D686,84,$G$5,$H$13)/$E$5))</f>
        <v/>
      </c>
      <c r="Q686" s="248" t="str">
        <f ca="1">IF(C686="","",F686/([1]!S_STM07_IS(D686,61,$G$5,$H$13)/IF([1]!S_SHARE_TOTAL(D686,$G$5)=0,[1]!S_SHARE_TOTAL(D686,[1]!s_ipo_listeddate(D686)),[1]!S_SHARE_TOTAL(D686,$G$5))))</f>
        <v/>
      </c>
      <c r="R686" s="248" t="str">
        <f ca="1">IF(C686="","",F686/([1]!S_STM07_BS(D686,141,$G$5,$H$13)/IF([1]!S_SHARE_TOTAL(D686,$G$5)=0,[1]!S_SHARE_TOTAL(D686,[1]!s_ipo_listeddate(D686)),[1]!S_SHARE_TOTAL(D686,$G$5))))</f>
        <v/>
      </c>
      <c r="S686" s="247" t="str">
        <f ca="1">IF(C686="","",[1]!S_SHARE_TOTAL(D686,TODAY())/$E$5)</f>
        <v/>
      </c>
      <c r="T686" s="247" t="str">
        <f t="shared" ca="1" si="73"/>
        <v/>
      </c>
      <c r="U686" s="218" t="str">
        <f t="shared" ca="1" si="74"/>
        <v/>
      </c>
      <c r="V686" s="342" t="str">
        <f t="shared" ca="1" si="75"/>
        <v/>
      </c>
      <c r="W686" s="139"/>
      <c r="Y686" s="1"/>
    </row>
    <row r="687" spans="3:25" ht="12" customHeight="1">
      <c r="C687" s="343" t="str">
        <f t="shared" ca="1" si="70"/>
        <v/>
      </c>
      <c r="D687" s="124" t="str">
        <f t="shared" ca="1" si="71"/>
        <v/>
      </c>
      <c r="E687" s="124" t="str">
        <f t="shared" ca="1" si="72"/>
        <v/>
      </c>
      <c r="F687" s="172" t="str">
        <f ca="1">IF(C687="","",[1]!S_DQ_CLOSE(D687,TODAY(),1))</f>
        <v/>
      </c>
      <c r="G687" s="173" t="str">
        <f ca="1">IF(C687="","",[1]!s_pq_pctchange(D687,TODAY()-$G$12,TODAY())/100)</f>
        <v/>
      </c>
      <c r="H687" s="249" t="str">
        <f ca="1">IF(C687="","",IF($H$11="收入",[1]!S_STM07_IS(D687,9,$G$5,$H$13)/$E$5,[1]!S_STM07_IS(D687,48,$G$5,$H$13)/$E$5))</f>
        <v/>
      </c>
      <c r="I687" s="249" t="str">
        <f ca="1">IF(C687="","",IF($I$11="毛利率",([1]!S_STM07_IS(D687,9,$G$5,$H$13)-[1]!S_STM07_IS(D687,10,$G$5,$H$13))/[1]!S_STM07_IS(D687,9,$G$5,$H$13),[1]!S_STM07_IS(D687,14,$G$5,$H$13)/$E$5))</f>
        <v/>
      </c>
      <c r="J687" s="249" t="str">
        <f ca="1">IF(C687="","",IF($J$11="营业利润率",[1]!S_STM07_IS(D687,48,$G$5,$H$13)/[1]!S_STM07_IS(D687,9,$G$5,$H$13),([1]!S_STM07_CS(D687,87,$G$5,$H$13)+[1]!S_STM07_CS(D687,88,$G$5,$H$13)+[1]!S_STM07_CS(D687,89,$G$5,$H$13))/$E$5))</f>
        <v/>
      </c>
      <c r="K687" s="249" t="str">
        <f ca="1">IF(C687="","",IF($K$11="净利润率",[1]!S_STM07_IS(D687,61,$G$5,$H$13)/[1]!S_STM07_IS(D687,9,$G$5,$H$13),[1]!S_STM07_IS(D687,55,$G$5,$H$13)/$E$5))</f>
        <v/>
      </c>
      <c r="L687" s="249" t="str">
        <f ca="1">IF(C687="","",IF($L$11="ROA",[1]!S_STM07_IS(D687,61,$G$5,$H$13)/[1]!S_STM07_BS(D687,74,$G$5,$H$13),1-[1]!S_STM07_IS(D687,61,$G$5,$H$13)/[1]!S_STM07_IS(D687,55,$G$5,$H$13)))</f>
        <v/>
      </c>
      <c r="M687" s="249" t="str">
        <f ca="1">IF(C687="","",IF($M$11="ROE",[1]!S_STM07_IS(D687,61,$G$5,$H$13)/[1]!S_STM07_BS(D687,141,$G$5,$H$13),([1]!S_STM07_BS(D687,25,$G$5,$H$13)-[1]!S_STM07_BS(D687,93,$G$5,$H$13))/$E$5))</f>
        <v/>
      </c>
      <c r="N687" s="250" t="str">
        <f ca="1">IF(C687="","",IF($N$11="EPS",[1]!S_STM07_IS(D687,61,$G$5,$H$13)/IF([1]!S_SHARE_TOTAL(D687,$G$5)=0,[1]!S_SHARE_TOTAL(D687,[1]!s_ipo_listeddate(D687)),[1]!S_SHARE_TOTAL(D687,$G$5)),([1]!S_STM07_BS(D687,75,$G$5,$H$13)+[1]!S_STM07_BS(D687,88,$G$5,$H$13)+[1]!S_STM07_BS(D687,94,$G$5,$H$13)+[1]!S_STM07_BS(D687,95,$G$5,$H$13))/$E$5))</f>
        <v/>
      </c>
      <c r="O687" s="250" t="str">
        <f ca="1">IF(C687="","",IF($O$11="BPS",[1]!S_STM07_BS(D687,141,$G$5,$H$13)/IF([1]!S_SHARE_TOTAL(D687,$G$5)=0,[1]!S_SHARE_TOTAL(D687,[1]!s_ipo_listeddate(D687)),[1]!S_SHARE_TOTAL(D687,$G$5)),[1]!S_STM07_CS(D687,49,$G$5,$H$13)/$E$5))</f>
        <v/>
      </c>
      <c r="P687" s="250" t="str">
        <f ca="1">IF(C687="","",IF($P$11="CFPS",[1]!S_STM07_CS(D687,84,$G$5,$H$13)/IF([1]!S_SHARE_TOTAL(D687,$G$5)=0,[1]!S_SHARE_TOTAL(D687,[1]!s_ipo_listeddate(D687)),[1]!S_SHARE_TOTAL(D687,$G$5)),[1]!S_STM07_CS(D687,84,$G$5,$H$13)/$E$5))</f>
        <v/>
      </c>
      <c r="Q687" s="198" t="str">
        <f ca="1">IF(C687="","",F687/([1]!S_STM07_IS(D687,61,$G$5,$H$13)/IF([1]!S_SHARE_TOTAL(D687,$G$5)=0,[1]!S_SHARE_TOTAL(D687,[1]!s_ipo_listeddate(D687)),[1]!S_SHARE_TOTAL(D687,$G$5))))</f>
        <v/>
      </c>
      <c r="R687" s="198" t="str">
        <f ca="1">IF(C687="","",F687/([1]!S_STM07_BS(D687,141,$G$5,$H$13)/IF([1]!S_SHARE_TOTAL(D687,$G$5)=0,[1]!S_SHARE_TOTAL(D687,[1]!s_ipo_listeddate(D687)),[1]!S_SHARE_TOTAL(D687,$G$5))))</f>
        <v/>
      </c>
      <c r="S687" s="249" t="str">
        <f ca="1">IF(C687="","",[1]!S_SHARE_TOTAL(D687,TODAY())/$E$5)</f>
        <v/>
      </c>
      <c r="T687" s="249" t="str">
        <f t="shared" ca="1" si="73"/>
        <v/>
      </c>
      <c r="U687" s="172" t="str">
        <f t="shared" ca="1" si="74"/>
        <v/>
      </c>
      <c r="V687" s="343" t="str">
        <f t="shared" ca="1" si="75"/>
        <v/>
      </c>
      <c r="W687" s="139"/>
      <c r="Y687" s="1"/>
    </row>
    <row r="688" spans="3:25" ht="12" customHeight="1">
      <c r="C688" s="342" t="str">
        <f t="shared" ca="1" si="70"/>
        <v/>
      </c>
      <c r="D688" s="153" t="str">
        <f t="shared" ca="1" si="71"/>
        <v/>
      </c>
      <c r="E688" s="153" t="str">
        <f t="shared" ca="1" si="72"/>
        <v/>
      </c>
      <c r="F688" s="170" t="str">
        <f ca="1">IF(C688="","",[1]!S_DQ_CLOSE(D688,TODAY(),1))</f>
        <v/>
      </c>
      <c r="G688" s="171" t="str">
        <f ca="1">IF(C688="","",[1]!s_pq_pctchange(D688,TODAY()-$G$12,TODAY())/100)</f>
        <v/>
      </c>
      <c r="H688" s="247" t="str">
        <f ca="1">IF(C688="","",IF($H$11="收入",[1]!S_STM07_IS(D688,9,$G$5,$H$13)/$E$5,[1]!S_STM07_IS(D688,48,$G$5,$H$13)/$E$5))</f>
        <v/>
      </c>
      <c r="I688" s="247" t="str">
        <f ca="1">IF(C688="","",IF($I$11="毛利率",([1]!S_STM07_IS(D688,9,$G$5,$H$13)-[1]!S_STM07_IS(D688,10,$G$5,$H$13))/[1]!S_STM07_IS(D688,9,$G$5,$H$13),[1]!S_STM07_IS(D688,14,$G$5,$H$13)/$E$5))</f>
        <v/>
      </c>
      <c r="J688" s="247" t="str">
        <f ca="1">IF(C688="","",IF($J$11="营业利润率",[1]!S_STM07_IS(D688,48,$G$5,$H$13)/[1]!S_STM07_IS(D688,9,$G$5,$H$13),([1]!S_STM07_CS(D688,87,$G$5,$H$13)+[1]!S_STM07_CS(D688,88,$G$5,$H$13)+[1]!S_STM07_CS(D688,89,$G$5,$H$13))/$E$5))</f>
        <v/>
      </c>
      <c r="K688" s="247" t="str">
        <f ca="1">IF(C688="","",IF($K$11="净利润率",[1]!S_STM07_IS(D688,61,$G$5,$H$13)/[1]!S_STM07_IS(D688,9,$G$5,$H$13),[1]!S_STM07_IS(D688,55,$G$5,$H$13)/$E$5))</f>
        <v/>
      </c>
      <c r="L688" s="247" t="str">
        <f ca="1">IF(C688="","",IF($L$11="ROA",[1]!S_STM07_IS(D688,61,$G$5,$H$13)/[1]!S_STM07_BS(D688,74,$G$5,$H$13),1-[1]!S_STM07_IS(D688,61,$G$5,$H$13)/[1]!S_STM07_IS(D688,55,$G$5,$H$13)))</f>
        <v/>
      </c>
      <c r="M688" s="247" t="str">
        <f ca="1">IF(C688="","",IF($M$11="ROE",[1]!S_STM07_IS(D688,61,$G$5,$H$13)/[1]!S_STM07_BS(D688,141,$G$5,$H$13),([1]!S_STM07_BS(D688,25,$G$5,$H$13)-[1]!S_STM07_BS(D688,93,$G$5,$H$13))/$E$5))</f>
        <v/>
      </c>
      <c r="N688" s="247" t="str">
        <f ca="1">IF(C688="","",IF($N$11="EPS",[1]!S_STM07_IS(D688,61,$G$5,$H$13)/IF([1]!S_SHARE_TOTAL(D688,$G$5)=0,[1]!S_SHARE_TOTAL(D688,[1]!s_ipo_listeddate(D688)),[1]!S_SHARE_TOTAL(D688,$G$5)),([1]!S_STM07_BS(D688,75,$G$5,$H$13)+[1]!S_STM07_BS(D688,88,$G$5,$H$13)+[1]!S_STM07_BS(D688,94,$G$5,$H$13)+[1]!S_STM07_BS(D688,95,$G$5,$H$13))/$E$5))</f>
        <v/>
      </c>
      <c r="O688" s="247" t="str">
        <f ca="1">IF(C688="","",IF($O$11="BPS",[1]!S_STM07_BS(D688,141,$G$5,$H$13)/IF([1]!S_SHARE_TOTAL(D688,$G$5)=0,[1]!S_SHARE_TOTAL(D688,[1]!s_ipo_listeddate(D688)),[1]!S_SHARE_TOTAL(D688,$G$5)),[1]!S_STM07_CS(D688,49,$G$5,$H$13)/$E$5))</f>
        <v/>
      </c>
      <c r="P688" s="247" t="str">
        <f ca="1">IF(C688="","",IF($P$11="CFPS",[1]!S_STM07_CS(D688,84,$G$5,$H$13)/IF([1]!S_SHARE_TOTAL(D688,$G$5)=0,[1]!S_SHARE_TOTAL(D688,[1]!s_ipo_listeddate(D688)),[1]!S_SHARE_TOTAL(D688,$G$5)),[1]!S_STM07_CS(D688,84,$G$5,$H$13)/$E$5))</f>
        <v/>
      </c>
      <c r="Q688" s="248" t="str">
        <f ca="1">IF(C688="","",F688/([1]!S_STM07_IS(D688,61,$G$5,$H$13)/IF([1]!S_SHARE_TOTAL(D688,$G$5)=0,[1]!S_SHARE_TOTAL(D688,[1]!s_ipo_listeddate(D688)),[1]!S_SHARE_TOTAL(D688,$G$5))))</f>
        <v/>
      </c>
      <c r="R688" s="248" t="str">
        <f ca="1">IF(C688="","",F688/([1]!S_STM07_BS(D688,141,$G$5,$H$13)/IF([1]!S_SHARE_TOTAL(D688,$G$5)=0,[1]!S_SHARE_TOTAL(D688,[1]!s_ipo_listeddate(D688)),[1]!S_SHARE_TOTAL(D688,$G$5))))</f>
        <v/>
      </c>
      <c r="S688" s="247" t="str">
        <f ca="1">IF(C688="","",[1]!S_SHARE_TOTAL(D688,TODAY())/$E$5)</f>
        <v/>
      </c>
      <c r="T688" s="247" t="str">
        <f t="shared" ca="1" si="73"/>
        <v/>
      </c>
      <c r="U688" s="218" t="str">
        <f t="shared" ca="1" si="74"/>
        <v/>
      </c>
      <c r="V688" s="342" t="str">
        <f t="shared" ca="1" si="75"/>
        <v/>
      </c>
      <c r="W688" s="139"/>
      <c r="Y688" s="1"/>
    </row>
    <row r="689" spans="3:25" ht="12" customHeight="1">
      <c r="C689" s="343" t="str">
        <f t="shared" ca="1" si="70"/>
        <v/>
      </c>
      <c r="D689" s="124" t="str">
        <f t="shared" ca="1" si="71"/>
        <v/>
      </c>
      <c r="E689" s="124" t="str">
        <f t="shared" ca="1" si="72"/>
        <v/>
      </c>
      <c r="F689" s="172" t="str">
        <f ca="1">IF(C689="","",[1]!S_DQ_CLOSE(D689,TODAY(),1))</f>
        <v/>
      </c>
      <c r="G689" s="173" t="str">
        <f ca="1">IF(C689="","",[1]!s_pq_pctchange(D689,TODAY()-$G$12,TODAY())/100)</f>
        <v/>
      </c>
      <c r="H689" s="249" t="str">
        <f ca="1">IF(C689="","",IF($H$11="收入",[1]!S_STM07_IS(D689,9,$G$5,$H$13)/$E$5,[1]!S_STM07_IS(D689,48,$G$5,$H$13)/$E$5))</f>
        <v/>
      </c>
      <c r="I689" s="249" t="str">
        <f ca="1">IF(C689="","",IF($I$11="毛利率",([1]!S_STM07_IS(D689,9,$G$5,$H$13)-[1]!S_STM07_IS(D689,10,$G$5,$H$13))/[1]!S_STM07_IS(D689,9,$G$5,$H$13),[1]!S_STM07_IS(D689,14,$G$5,$H$13)/$E$5))</f>
        <v/>
      </c>
      <c r="J689" s="249" t="str">
        <f ca="1">IF(C689="","",IF($J$11="营业利润率",[1]!S_STM07_IS(D689,48,$G$5,$H$13)/[1]!S_STM07_IS(D689,9,$G$5,$H$13),([1]!S_STM07_CS(D689,87,$G$5,$H$13)+[1]!S_STM07_CS(D689,88,$G$5,$H$13)+[1]!S_STM07_CS(D689,89,$G$5,$H$13))/$E$5))</f>
        <v/>
      </c>
      <c r="K689" s="249" t="str">
        <f ca="1">IF(C689="","",IF($K$11="净利润率",[1]!S_STM07_IS(D689,61,$G$5,$H$13)/[1]!S_STM07_IS(D689,9,$G$5,$H$13),[1]!S_STM07_IS(D689,55,$G$5,$H$13)/$E$5))</f>
        <v/>
      </c>
      <c r="L689" s="249" t="str">
        <f ca="1">IF(C689="","",IF($L$11="ROA",[1]!S_STM07_IS(D689,61,$G$5,$H$13)/[1]!S_STM07_BS(D689,74,$G$5,$H$13),1-[1]!S_STM07_IS(D689,61,$G$5,$H$13)/[1]!S_STM07_IS(D689,55,$G$5,$H$13)))</f>
        <v/>
      </c>
      <c r="M689" s="249" t="str">
        <f ca="1">IF(C689="","",IF($M$11="ROE",[1]!S_STM07_IS(D689,61,$G$5,$H$13)/[1]!S_STM07_BS(D689,141,$G$5,$H$13),([1]!S_STM07_BS(D689,25,$G$5,$H$13)-[1]!S_STM07_BS(D689,93,$G$5,$H$13))/$E$5))</f>
        <v/>
      </c>
      <c r="N689" s="250" t="str">
        <f ca="1">IF(C689="","",IF($N$11="EPS",[1]!S_STM07_IS(D689,61,$G$5,$H$13)/IF([1]!S_SHARE_TOTAL(D689,$G$5)=0,[1]!S_SHARE_TOTAL(D689,[1]!s_ipo_listeddate(D689)),[1]!S_SHARE_TOTAL(D689,$G$5)),([1]!S_STM07_BS(D689,75,$G$5,$H$13)+[1]!S_STM07_BS(D689,88,$G$5,$H$13)+[1]!S_STM07_BS(D689,94,$G$5,$H$13)+[1]!S_STM07_BS(D689,95,$G$5,$H$13))/$E$5))</f>
        <v/>
      </c>
      <c r="O689" s="250" t="str">
        <f ca="1">IF(C689="","",IF($O$11="BPS",[1]!S_STM07_BS(D689,141,$G$5,$H$13)/IF([1]!S_SHARE_TOTAL(D689,$G$5)=0,[1]!S_SHARE_TOTAL(D689,[1]!s_ipo_listeddate(D689)),[1]!S_SHARE_TOTAL(D689,$G$5)),[1]!S_STM07_CS(D689,49,$G$5,$H$13)/$E$5))</f>
        <v/>
      </c>
      <c r="P689" s="250" t="str">
        <f ca="1">IF(C689="","",IF($P$11="CFPS",[1]!S_STM07_CS(D689,84,$G$5,$H$13)/IF([1]!S_SHARE_TOTAL(D689,$G$5)=0,[1]!S_SHARE_TOTAL(D689,[1]!s_ipo_listeddate(D689)),[1]!S_SHARE_TOTAL(D689,$G$5)),[1]!S_STM07_CS(D689,84,$G$5,$H$13)/$E$5))</f>
        <v/>
      </c>
      <c r="Q689" s="198" t="str">
        <f ca="1">IF(C689="","",F689/([1]!S_STM07_IS(D689,61,$G$5,$H$13)/IF([1]!S_SHARE_TOTAL(D689,$G$5)=0,[1]!S_SHARE_TOTAL(D689,[1]!s_ipo_listeddate(D689)),[1]!S_SHARE_TOTAL(D689,$G$5))))</f>
        <v/>
      </c>
      <c r="R689" s="198" t="str">
        <f ca="1">IF(C689="","",F689/([1]!S_STM07_BS(D689,141,$G$5,$H$13)/IF([1]!S_SHARE_TOTAL(D689,$G$5)=0,[1]!S_SHARE_TOTAL(D689,[1]!s_ipo_listeddate(D689)),[1]!S_SHARE_TOTAL(D689,$G$5))))</f>
        <v/>
      </c>
      <c r="S689" s="249" t="str">
        <f ca="1">IF(C689="","",[1]!S_SHARE_TOTAL(D689,TODAY())/$E$5)</f>
        <v/>
      </c>
      <c r="T689" s="249" t="str">
        <f t="shared" ca="1" si="73"/>
        <v/>
      </c>
      <c r="U689" s="172" t="str">
        <f t="shared" ca="1" si="74"/>
        <v/>
      </c>
      <c r="V689" s="343" t="str">
        <f t="shared" ca="1" si="75"/>
        <v/>
      </c>
      <c r="W689" s="139"/>
      <c r="Y689" s="1"/>
    </row>
    <row r="690" spans="3:25" ht="12" customHeight="1">
      <c r="C690" s="342" t="str">
        <f t="shared" ca="1" si="70"/>
        <v/>
      </c>
      <c r="D690" s="153" t="str">
        <f t="shared" ca="1" si="71"/>
        <v/>
      </c>
      <c r="E690" s="153" t="str">
        <f t="shared" ca="1" si="72"/>
        <v/>
      </c>
      <c r="F690" s="170" t="str">
        <f ca="1">IF(C690="","",[1]!S_DQ_CLOSE(D690,TODAY(),1))</f>
        <v/>
      </c>
      <c r="G690" s="171" t="str">
        <f ca="1">IF(C690="","",[1]!s_pq_pctchange(D690,TODAY()-$G$12,TODAY())/100)</f>
        <v/>
      </c>
      <c r="H690" s="247" t="str">
        <f ca="1">IF(C690="","",IF($H$11="收入",[1]!S_STM07_IS(D690,9,$G$5,$H$13)/$E$5,[1]!S_STM07_IS(D690,48,$G$5,$H$13)/$E$5))</f>
        <v/>
      </c>
      <c r="I690" s="247" t="str">
        <f ca="1">IF(C690="","",IF($I$11="毛利率",([1]!S_STM07_IS(D690,9,$G$5,$H$13)-[1]!S_STM07_IS(D690,10,$G$5,$H$13))/[1]!S_STM07_IS(D690,9,$G$5,$H$13),[1]!S_STM07_IS(D690,14,$G$5,$H$13)/$E$5))</f>
        <v/>
      </c>
      <c r="J690" s="247" t="str">
        <f ca="1">IF(C690="","",IF($J$11="营业利润率",[1]!S_STM07_IS(D690,48,$G$5,$H$13)/[1]!S_STM07_IS(D690,9,$G$5,$H$13),([1]!S_STM07_CS(D690,87,$G$5,$H$13)+[1]!S_STM07_CS(D690,88,$G$5,$H$13)+[1]!S_STM07_CS(D690,89,$G$5,$H$13))/$E$5))</f>
        <v/>
      </c>
      <c r="K690" s="247" t="str">
        <f ca="1">IF(C690="","",IF($K$11="净利润率",[1]!S_STM07_IS(D690,61,$G$5,$H$13)/[1]!S_STM07_IS(D690,9,$G$5,$H$13),[1]!S_STM07_IS(D690,55,$G$5,$H$13)/$E$5))</f>
        <v/>
      </c>
      <c r="L690" s="247" t="str">
        <f ca="1">IF(C690="","",IF($L$11="ROA",[1]!S_STM07_IS(D690,61,$G$5,$H$13)/[1]!S_STM07_BS(D690,74,$G$5,$H$13),1-[1]!S_STM07_IS(D690,61,$G$5,$H$13)/[1]!S_STM07_IS(D690,55,$G$5,$H$13)))</f>
        <v/>
      </c>
      <c r="M690" s="247" t="str">
        <f ca="1">IF(C690="","",IF($M$11="ROE",[1]!S_STM07_IS(D690,61,$G$5,$H$13)/[1]!S_STM07_BS(D690,141,$G$5,$H$13),([1]!S_STM07_BS(D690,25,$G$5,$H$13)-[1]!S_STM07_BS(D690,93,$G$5,$H$13))/$E$5))</f>
        <v/>
      </c>
      <c r="N690" s="247" t="str">
        <f ca="1">IF(C690="","",IF($N$11="EPS",[1]!S_STM07_IS(D690,61,$G$5,$H$13)/IF([1]!S_SHARE_TOTAL(D690,$G$5)=0,[1]!S_SHARE_TOTAL(D690,[1]!s_ipo_listeddate(D690)),[1]!S_SHARE_TOTAL(D690,$G$5)),([1]!S_STM07_BS(D690,75,$G$5,$H$13)+[1]!S_STM07_BS(D690,88,$G$5,$H$13)+[1]!S_STM07_BS(D690,94,$G$5,$H$13)+[1]!S_STM07_BS(D690,95,$G$5,$H$13))/$E$5))</f>
        <v/>
      </c>
      <c r="O690" s="247" t="str">
        <f ca="1">IF(C690="","",IF($O$11="BPS",[1]!S_STM07_BS(D690,141,$G$5,$H$13)/IF([1]!S_SHARE_TOTAL(D690,$G$5)=0,[1]!S_SHARE_TOTAL(D690,[1]!s_ipo_listeddate(D690)),[1]!S_SHARE_TOTAL(D690,$G$5)),[1]!S_STM07_CS(D690,49,$G$5,$H$13)/$E$5))</f>
        <v/>
      </c>
      <c r="P690" s="247" t="str">
        <f ca="1">IF(C690="","",IF($P$11="CFPS",[1]!S_STM07_CS(D690,84,$G$5,$H$13)/IF([1]!S_SHARE_TOTAL(D690,$G$5)=0,[1]!S_SHARE_TOTAL(D690,[1]!s_ipo_listeddate(D690)),[1]!S_SHARE_TOTAL(D690,$G$5)),[1]!S_STM07_CS(D690,84,$G$5,$H$13)/$E$5))</f>
        <v/>
      </c>
      <c r="Q690" s="248" t="str">
        <f ca="1">IF(C690="","",F690/([1]!S_STM07_IS(D690,61,$G$5,$H$13)/IF([1]!S_SHARE_TOTAL(D690,$G$5)=0,[1]!S_SHARE_TOTAL(D690,[1]!s_ipo_listeddate(D690)),[1]!S_SHARE_TOTAL(D690,$G$5))))</f>
        <v/>
      </c>
      <c r="R690" s="248" t="str">
        <f ca="1">IF(C690="","",F690/([1]!S_STM07_BS(D690,141,$G$5,$H$13)/IF([1]!S_SHARE_TOTAL(D690,$G$5)=0,[1]!S_SHARE_TOTAL(D690,[1]!s_ipo_listeddate(D690)),[1]!S_SHARE_TOTAL(D690,$G$5))))</f>
        <v/>
      </c>
      <c r="S690" s="247" t="str">
        <f ca="1">IF(C690="","",[1]!S_SHARE_TOTAL(D690,TODAY())/$E$5)</f>
        <v/>
      </c>
      <c r="T690" s="247" t="str">
        <f t="shared" ca="1" si="73"/>
        <v/>
      </c>
      <c r="U690" s="218" t="str">
        <f t="shared" ca="1" si="74"/>
        <v/>
      </c>
      <c r="V690" s="342" t="str">
        <f t="shared" ca="1" si="75"/>
        <v/>
      </c>
      <c r="W690" s="139"/>
      <c r="Y690" s="1"/>
    </row>
    <row r="691" spans="3:25" ht="12" customHeight="1">
      <c r="C691" s="343" t="str">
        <f t="shared" ca="1" si="70"/>
        <v/>
      </c>
      <c r="D691" s="124" t="str">
        <f t="shared" ca="1" si="71"/>
        <v/>
      </c>
      <c r="E691" s="124" t="str">
        <f t="shared" ca="1" si="72"/>
        <v/>
      </c>
      <c r="F691" s="172" t="str">
        <f ca="1">IF(C691="","",[1]!S_DQ_CLOSE(D691,TODAY(),1))</f>
        <v/>
      </c>
      <c r="G691" s="173" t="str">
        <f ca="1">IF(C691="","",[1]!s_pq_pctchange(D691,TODAY()-$G$12,TODAY())/100)</f>
        <v/>
      </c>
      <c r="H691" s="249" t="str">
        <f ca="1">IF(C691="","",IF($H$11="收入",[1]!S_STM07_IS(D691,9,$G$5,$H$13)/$E$5,[1]!S_STM07_IS(D691,48,$G$5,$H$13)/$E$5))</f>
        <v/>
      </c>
      <c r="I691" s="249" t="str">
        <f ca="1">IF(C691="","",IF($I$11="毛利率",([1]!S_STM07_IS(D691,9,$G$5,$H$13)-[1]!S_STM07_IS(D691,10,$G$5,$H$13))/[1]!S_STM07_IS(D691,9,$G$5,$H$13),[1]!S_STM07_IS(D691,14,$G$5,$H$13)/$E$5))</f>
        <v/>
      </c>
      <c r="J691" s="249" t="str">
        <f ca="1">IF(C691="","",IF($J$11="营业利润率",[1]!S_STM07_IS(D691,48,$G$5,$H$13)/[1]!S_STM07_IS(D691,9,$G$5,$H$13),([1]!S_STM07_CS(D691,87,$G$5,$H$13)+[1]!S_STM07_CS(D691,88,$G$5,$H$13)+[1]!S_STM07_CS(D691,89,$G$5,$H$13))/$E$5))</f>
        <v/>
      </c>
      <c r="K691" s="249" t="str">
        <f ca="1">IF(C691="","",IF($K$11="净利润率",[1]!S_STM07_IS(D691,61,$G$5,$H$13)/[1]!S_STM07_IS(D691,9,$G$5,$H$13),[1]!S_STM07_IS(D691,55,$G$5,$H$13)/$E$5))</f>
        <v/>
      </c>
      <c r="L691" s="249" t="str">
        <f ca="1">IF(C691="","",IF($L$11="ROA",[1]!S_STM07_IS(D691,61,$G$5,$H$13)/[1]!S_STM07_BS(D691,74,$G$5,$H$13),1-[1]!S_STM07_IS(D691,61,$G$5,$H$13)/[1]!S_STM07_IS(D691,55,$G$5,$H$13)))</f>
        <v/>
      </c>
      <c r="M691" s="249" t="str">
        <f ca="1">IF(C691="","",IF($M$11="ROE",[1]!S_STM07_IS(D691,61,$G$5,$H$13)/[1]!S_STM07_BS(D691,141,$G$5,$H$13),([1]!S_STM07_BS(D691,25,$G$5,$H$13)-[1]!S_STM07_BS(D691,93,$G$5,$H$13))/$E$5))</f>
        <v/>
      </c>
      <c r="N691" s="250" t="str">
        <f ca="1">IF(C691="","",IF($N$11="EPS",[1]!S_STM07_IS(D691,61,$G$5,$H$13)/IF([1]!S_SHARE_TOTAL(D691,$G$5)=0,[1]!S_SHARE_TOTAL(D691,[1]!s_ipo_listeddate(D691)),[1]!S_SHARE_TOTAL(D691,$G$5)),([1]!S_STM07_BS(D691,75,$G$5,$H$13)+[1]!S_STM07_BS(D691,88,$G$5,$H$13)+[1]!S_STM07_BS(D691,94,$G$5,$H$13)+[1]!S_STM07_BS(D691,95,$G$5,$H$13))/$E$5))</f>
        <v/>
      </c>
      <c r="O691" s="250" t="str">
        <f ca="1">IF(C691="","",IF($O$11="BPS",[1]!S_STM07_BS(D691,141,$G$5,$H$13)/IF([1]!S_SHARE_TOTAL(D691,$G$5)=0,[1]!S_SHARE_TOTAL(D691,[1]!s_ipo_listeddate(D691)),[1]!S_SHARE_TOTAL(D691,$G$5)),[1]!S_STM07_CS(D691,49,$G$5,$H$13)/$E$5))</f>
        <v/>
      </c>
      <c r="P691" s="250" t="str">
        <f ca="1">IF(C691="","",IF($P$11="CFPS",[1]!S_STM07_CS(D691,84,$G$5,$H$13)/IF([1]!S_SHARE_TOTAL(D691,$G$5)=0,[1]!S_SHARE_TOTAL(D691,[1]!s_ipo_listeddate(D691)),[1]!S_SHARE_TOTAL(D691,$G$5)),[1]!S_STM07_CS(D691,84,$G$5,$H$13)/$E$5))</f>
        <v/>
      </c>
      <c r="Q691" s="198" t="str">
        <f ca="1">IF(C691="","",F691/([1]!S_STM07_IS(D691,61,$G$5,$H$13)/IF([1]!S_SHARE_TOTAL(D691,$G$5)=0,[1]!S_SHARE_TOTAL(D691,[1]!s_ipo_listeddate(D691)),[1]!S_SHARE_TOTAL(D691,$G$5))))</f>
        <v/>
      </c>
      <c r="R691" s="198" t="str">
        <f ca="1">IF(C691="","",F691/([1]!S_STM07_BS(D691,141,$G$5,$H$13)/IF([1]!S_SHARE_TOTAL(D691,$G$5)=0,[1]!S_SHARE_TOTAL(D691,[1]!s_ipo_listeddate(D691)),[1]!S_SHARE_TOTAL(D691,$G$5))))</f>
        <v/>
      </c>
      <c r="S691" s="249" t="str">
        <f ca="1">IF(C691="","",[1]!S_SHARE_TOTAL(D691,TODAY())/$E$5)</f>
        <v/>
      </c>
      <c r="T691" s="249" t="str">
        <f t="shared" ca="1" si="73"/>
        <v/>
      </c>
      <c r="U691" s="172" t="str">
        <f t="shared" ca="1" si="74"/>
        <v/>
      </c>
      <c r="V691" s="343" t="str">
        <f t="shared" ca="1" si="75"/>
        <v/>
      </c>
      <c r="W691" s="139"/>
      <c r="Y691" s="1"/>
    </row>
    <row r="692" spans="3:25" ht="12" customHeight="1">
      <c r="C692" s="342" t="str">
        <f t="shared" ca="1" si="70"/>
        <v/>
      </c>
      <c r="D692" s="153" t="str">
        <f t="shared" ca="1" si="71"/>
        <v/>
      </c>
      <c r="E692" s="153" t="str">
        <f t="shared" ca="1" si="72"/>
        <v/>
      </c>
      <c r="F692" s="170" t="str">
        <f ca="1">IF(C692="","",[1]!S_DQ_CLOSE(D692,TODAY(),1))</f>
        <v/>
      </c>
      <c r="G692" s="171" t="str">
        <f ca="1">IF(C692="","",[1]!s_pq_pctchange(D692,TODAY()-$G$12,TODAY())/100)</f>
        <v/>
      </c>
      <c r="H692" s="247" t="str">
        <f ca="1">IF(C692="","",IF($H$11="收入",[1]!S_STM07_IS(D692,9,$G$5,$H$13)/$E$5,[1]!S_STM07_IS(D692,48,$G$5,$H$13)/$E$5))</f>
        <v/>
      </c>
      <c r="I692" s="247" t="str">
        <f ca="1">IF(C692="","",IF($I$11="毛利率",([1]!S_STM07_IS(D692,9,$G$5,$H$13)-[1]!S_STM07_IS(D692,10,$G$5,$H$13))/[1]!S_STM07_IS(D692,9,$G$5,$H$13),[1]!S_STM07_IS(D692,14,$G$5,$H$13)/$E$5))</f>
        <v/>
      </c>
      <c r="J692" s="247" t="str">
        <f ca="1">IF(C692="","",IF($J$11="营业利润率",[1]!S_STM07_IS(D692,48,$G$5,$H$13)/[1]!S_STM07_IS(D692,9,$G$5,$H$13),([1]!S_STM07_CS(D692,87,$G$5,$H$13)+[1]!S_STM07_CS(D692,88,$G$5,$H$13)+[1]!S_STM07_CS(D692,89,$G$5,$H$13))/$E$5))</f>
        <v/>
      </c>
      <c r="K692" s="247" t="str">
        <f ca="1">IF(C692="","",IF($K$11="净利润率",[1]!S_STM07_IS(D692,61,$G$5,$H$13)/[1]!S_STM07_IS(D692,9,$G$5,$H$13),[1]!S_STM07_IS(D692,55,$G$5,$H$13)/$E$5))</f>
        <v/>
      </c>
      <c r="L692" s="247" t="str">
        <f ca="1">IF(C692="","",IF($L$11="ROA",[1]!S_STM07_IS(D692,61,$G$5,$H$13)/[1]!S_STM07_BS(D692,74,$G$5,$H$13),1-[1]!S_STM07_IS(D692,61,$G$5,$H$13)/[1]!S_STM07_IS(D692,55,$G$5,$H$13)))</f>
        <v/>
      </c>
      <c r="M692" s="247" t="str">
        <f ca="1">IF(C692="","",IF($M$11="ROE",[1]!S_STM07_IS(D692,61,$G$5,$H$13)/[1]!S_STM07_BS(D692,141,$G$5,$H$13),([1]!S_STM07_BS(D692,25,$G$5,$H$13)-[1]!S_STM07_BS(D692,93,$G$5,$H$13))/$E$5))</f>
        <v/>
      </c>
      <c r="N692" s="247" t="str">
        <f ca="1">IF(C692="","",IF($N$11="EPS",[1]!S_STM07_IS(D692,61,$G$5,$H$13)/IF([1]!S_SHARE_TOTAL(D692,$G$5)=0,[1]!S_SHARE_TOTAL(D692,[1]!s_ipo_listeddate(D692)),[1]!S_SHARE_TOTAL(D692,$G$5)),([1]!S_STM07_BS(D692,75,$G$5,$H$13)+[1]!S_STM07_BS(D692,88,$G$5,$H$13)+[1]!S_STM07_BS(D692,94,$G$5,$H$13)+[1]!S_STM07_BS(D692,95,$G$5,$H$13))/$E$5))</f>
        <v/>
      </c>
      <c r="O692" s="247" t="str">
        <f ca="1">IF(C692="","",IF($O$11="BPS",[1]!S_STM07_BS(D692,141,$G$5,$H$13)/IF([1]!S_SHARE_TOTAL(D692,$G$5)=0,[1]!S_SHARE_TOTAL(D692,[1]!s_ipo_listeddate(D692)),[1]!S_SHARE_TOTAL(D692,$G$5)),[1]!S_STM07_CS(D692,49,$G$5,$H$13)/$E$5))</f>
        <v/>
      </c>
      <c r="P692" s="247" t="str">
        <f ca="1">IF(C692="","",IF($P$11="CFPS",[1]!S_STM07_CS(D692,84,$G$5,$H$13)/IF([1]!S_SHARE_TOTAL(D692,$G$5)=0,[1]!S_SHARE_TOTAL(D692,[1]!s_ipo_listeddate(D692)),[1]!S_SHARE_TOTAL(D692,$G$5)),[1]!S_STM07_CS(D692,84,$G$5,$H$13)/$E$5))</f>
        <v/>
      </c>
      <c r="Q692" s="248" t="str">
        <f ca="1">IF(C692="","",F692/([1]!S_STM07_IS(D692,61,$G$5,$H$13)/IF([1]!S_SHARE_TOTAL(D692,$G$5)=0,[1]!S_SHARE_TOTAL(D692,[1]!s_ipo_listeddate(D692)),[1]!S_SHARE_TOTAL(D692,$G$5))))</f>
        <v/>
      </c>
      <c r="R692" s="248" t="str">
        <f ca="1">IF(C692="","",F692/([1]!S_STM07_BS(D692,141,$G$5,$H$13)/IF([1]!S_SHARE_TOTAL(D692,$G$5)=0,[1]!S_SHARE_TOTAL(D692,[1]!s_ipo_listeddate(D692)),[1]!S_SHARE_TOTAL(D692,$G$5))))</f>
        <v/>
      </c>
      <c r="S692" s="247" t="str">
        <f ca="1">IF(C692="","",[1]!S_SHARE_TOTAL(D692,TODAY())/$E$5)</f>
        <v/>
      </c>
      <c r="T692" s="247" t="str">
        <f t="shared" ca="1" si="73"/>
        <v/>
      </c>
      <c r="U692" s="218" t="str">
        <f t="shared" ca="1" si="74"/>
        <v/>
      </c>
      <c r="V692" s="342" t="str">
        <f t="shared" ca="1" si="75"/>
        <v/>
      </c>
      <c r="W692" s="139"/>
      <c r="Y692" s="1"/>
    </row>
    <row r="693" spans="3:25" ht="12" customHeight="1">
      <c r="C693" s="343" t="str">
        <f t="shared" ca="1" si="70"/>
        <v/>
      </c>
      <c r="D693" s="124" t="str">
        <f t="shared" ca="1" si="71"/>
        <v/>
      </c>
      <c r="E693" s="124" t="str">
        <f t="shared" ca="1" si="72"/>
        <v/>
      </c>
      <c r="F693" s="172" t="str">
        <f ca="1">IF(C693="","",[1]!S_DQ_CLOSE(D693,TODAY(),1))</f>
        <v/>
      </c>
      <c r="G693" s="173" t="str">
        <f ca="1">IF(C693="","",[1]!s_pq_pctchange(D693,TODAY()-$G$12,TODAY())/100)</f>
        <v/>
      </c>
      <c r="H693" s="249" t="str">
        <f ca="1">IF(C693="","",IF($H$11="收入",[1]!S_STM07_IS(D693,9,$G$5,$H$13)/$E$5,[1]!S_STM07_IS(D693,48,$G$5,$H$13)/$E$5))</f>
        <v/>
      </c>
      <c r="I693" s="249" t="str">
        <f ca="1">IF(C693="","",IF($I$11="毛利率",([1]!S_STM07_IS(D693,9,$G$5,$H$13)-[1]!S_STM07_IS(D693,10,$G$5,$H$13))/[1]!S_STM07_IS(D693,9,$G$5,$H$13),[1]!S_STM07_IS(D693,14,$G$5,$H$13)/$E$5))</f>
        <v/>
      </c>
      <c r="J693" s="249" t="str">
        <f ca="1">IF(C693="","",IF($J$11="营业利润率",[1]!S_STM07_IS(D693,48,$G$5,$H$13)/[1]!S_STM07_IS(D693,9,$G$5,$H$13),([1]!S_STM07_CS(D693,87,$G$5,$H$13)+[1]!S_STM07_CS(D693,88,$G$5,$H$13)+[1]!S_STM07_CS(D693,89,$G$5,$H$13))/$E$5))</f>
        <v/>
      </c>
      <c r="K693" s="249" t="str">
        <f ca="1">IF(C693="","",IF($K$11="净利润率",[1]!S_STM07_IS(D693,61,$G$5,$H$13)/[1]!S_STM07_IS(D693,9,$G$5,$H$13),[1]!S_STM07_IS(D693,55,$G$5,$H$13)/$E$5))</f>
        <v/>
      </c>
      <c r="L693" s="249" t="str">
        <f ca="1">IF(C693="","",IF($L$11="ROA",[1]!S_STM07_IS(D693,61,$G$5,$H$13)/[1]!S_STM07_BS(D693,74,$G$5,$H$13),1-[1]!S_STM07_IS(D693,61,$G$5,$H$13)/[1]!S_STM07_IS(D693,55,$G$5,$H$13)))</f>
        <v/>
      </c>
      <c r="M693" s="249" t="str">
        <f ca="1">IF(C693="","",IF($M$11="ROE",[1]!S_STM07_IS(D693,61,$G$5,$H$13)/[1]!S_STM07_BS(D693,141,$G$5,$H$13),([1]!S_STM07_BS(D693,25,$G$5,$H$13)-[1]!S_STM07_BS(D693,93,$G$5,$H$13))/$E$5))</f>
        <v/>
      </c>
      <c r="N693" s="250" t="str">
        <f ca="1">IF(C693="","",IF($N$11="EPS",[1]!S_STM07_IS(D693,61,$G$5,$H$13)/IF([1]!S_SHARE_TOTAL(D693,$G$5)=0,[1]!S_SHARE_TOTAL(D693,[1]!s_ipo_listeddate(D693)),[1]!S_SHARE_TOTAL(D693,$G$5)),([1]!S_STM07_BS(D693,75,$G$5,$H$13)+[1]!S_STM07_BS(D693,88,$G$5,$H$13)+[1]!S_STM07_BS(D693,94,$G$5,$H$13)+[1]!S_STM07_BS(D693,95,$G$5,$H$13))/$E$5))</f>
        <v/>
      </c>
      <c r="O693" s="250" t="str">
        <f ca="1">IF(C693="","",IF($O$11="BPS",[1]!S_STM07_BS(D693,141,$G$5,$H$13)/IF([1]!S_SHARE_TOTAL(D693,$G$5)=0,[1]!S_SHARE_TOTAL(D693,[1]!s_ipo_listeddate(D693)),[1]!S_SHARE_TOTAL(D693,$G$5)),[1]!S_STM07_CS(D693,49,$G$5,$H$13)/$E$5))</f>
        <v/>
      </c>
      <c r="P693" s="250" t="str">
        <f ca="1">IF(C693="","",IF($P$11="CFPS",[1]!S_STM07_CS(D693,84,$G$5,$H$13)/IF([1]!S_SHARE_TOTAL(D693,$G$5)=0,[1]!S_SHARE_TOTAL(D693,[1]!s_ipo_listeddate(D693)),[1]!S_SHARE_TOTAL(D693,$G$5)),[1]!S_STM07_CS(D693,84,$G$5,$H$13)/$E$5))</f>
        <v/>
      </c>
      <c r="Q693" s="198" t="str">
        <f ca="1">IF(C693="","",F693/([1]!S_STM07_IS(D693,61,$G$5,$H$13)/IF([1]!S_SHARE_TOTAL(D693,$G$5)=0,[1]!S_SHARE_TOTAL(D693,[1]!s_ipo_listeddate(D693)),[1]!S_SHARE_TOTAL(D693,$G$5))))</f>
        <v/>
      </c>
      <c r="R693" s="198" t="str">
        <f ca="1">IF(C693="","",F693/([1]!S_STM07_BS(D693,141,$G$5,$H$13)/IF([1]!S_SHARE_TOTAL(D693,$G$5)=0,[1]!S_SHARE_TOTAL(D693,[1]!s_ipo_listeddate(D693)),[1]!S_SHARE_TOTAL(D693,$G$5))))</f>
        <v/>
      </c>
      <c r="S693" s="249" t="str">
        <f ca="1">IF(C693="","",[1]!S_SHARE_TOTAL(D693,TODAY())/$E$5)</f>
        <v/>
      </c>
      <c r="T693" s="249" t="str">
        <f t="shared" ca="1" si="73"/>
        <v/>
      </c>
      <c r="U693" s="172" t="str">
        <f t="shared" ca="1" si="74"/>
        <v/>
      </c>
      <c r="V693" s="343" t="str">
        <f t="shared" ca="1" si="75"/>
        <v/>
      </c>
      <c r="W693" s="139"/>
      <c r="Y693" s="1"/>
    </row>
    <row r="694" spans="3:25" ht="12" customHeight="1">
      <c r="C694" s="342" t="str">
        <f t="shared" ca="1" si="70"/>
        <v/>
      </c>
      <c r="D694" s="153" t="str">
        <f t="shared" ca="1" si="71"/>
        <v/>
      </c>
      <c r="E694" s="153" t="str">
        <f t="shared" ca="1" si="72"/>
        <v/>
      </c>
      <c r="F694" s="170" t="str">
        <f ca="1">IF(C694="","",[1]!S_DQ_CLOSE(D694,TODAY(),1))</f>
        <v/>
      </c>
      <c r="G694" s="171" t="str">
        <f ca="1">IF(C694="","",[1]!s_pq_pctchange(D694,TODAY()-$G$12,TODAY())/100)</f>
        <v/>
      </c>
      <c r="H694" s="247" t="str">
        <f ca="1">IF(C694="","",IF($H$11="收入",[1]!S_STM07_IS(D694,9,$G$5,$H$13)/$E$5,[1]!S_STM07_IS(D694,48,$G$5,$H$13)/$E$5))</f>
        <v/>
      </c>
      <c r="I694" s="247" t="str">
        <f ca="1">IF(C694="","",IF($I$11="毛利率",([1]!S_STM07_IS(D694,9,$G$5,$H$13)-[1]!S_STM07_IS(D694,10,$G$5,$H$13))/[1]!S_STM07_IS(D694,9,$G$5,$H$13),[1]!S_STM07_IS(D694,14,$G$5,$H$13)/$E$5))</f>
        <v/>
      </c>
      <c r="J694" s="247" t="str">
        <f ca="1">IF(C694="","",IF($J$11="营业利润率",[1]!S_STM07_IS(D694,48,$G$5,$H$13)/[1]!S_STM07_IS(D694,9,$G$5,$H$13),([1]!S_STM07_CS(D694,87,$G$5,$H$13)+[1]!S_STM07_CS(D694,88,$G$5,$H$13)+[1]!S_STM07_CS(D694,89,$G$5,$H$13))/$E$5))</f>
        <v/>
      </c>
      <c r="K694" s="247" t="str">
        <f ca="1">IF(C694="","",IF($K$11="净利润率",[1]!S_STM07_IS(D694,61,$G$5,$H$13)/[1]!S_STM07_IS(D694,9,$G$5,$H$13),[1]!S_STM07_IS(D694,55,$G$5,$H$13)/$E$5))</f>
        <v/>
      </c>
      <c r="L694" s="247" t="str">
        <f ca="1">IF(C694="","",IF($L$11="ROA",[1]!S_STM07_IS(D694,61,$G$5,$H$13)/[1]!S_STM07_BS(D694,74,$G$5,$H$13),1-[1]!S_STM07_IS(D694,61,$G$5,$H$13)/[1]!S_STM07_IS(D694,55,$G$5,$H$13)))</f>
        <v/>
      </c>
      <c r="M694" s="247" t="str">
        <f ca="1">IF(C694="","",IF($M$11="ROE",[1]!S_STM07_IS(D694,61,$G$5,$H$13)/[1]!S_STM07_BS(D694,141,$G$5,$H$13),([1]!S_STM07_BS(D694,25,$G$5,$H$13)-[1]!S_STM07_BS(D694,93,$G$5,$H$13))/$E$5))</f>
        <v/>
      </c>
      <c r="N694" s="247" t="str">
        <f ca="1">IF(C694="","",IF($N$11="EPS",[1]!S_STM07_IS(D694,61,$G$5,$H$13)/IF([1]!S_SHARE_TOTAL(D694,$G$5)=0,[1]!S_SHARE_TOTAL(D694,[1]!s_ipo_listeddate(D694)),[1]!S_SHARE_TOTAL(D694,$G$5)),([1]!S_STM07_BS(D694,75,$G$5,$H$13)+[1]!S_STM07_BS(D694,88,$G$5,$H$13)+[1]!S_STM07_BS(D694,94,$G$5,$H$13)+[1]!S_STM07_BS(D694,95,$G$5,$H$13))/$E$5))</f>
        <v/>
      </c>
      <c r="O694" s="247" t="str">
        <f ca="1">IF(C694="","",IF($O$11="BPS",[1]!S_STM07_BS(D694,141,$G$5,$H$13)/IF([1]!S_SHARE_TOTAL(D694,$G$5)=0,[1]!S_SHARE_TOTAL(D694,[1]!s_ipo_listeddate(D694)),[1]!S_SHARE_TOTAL(D694,$G$5)),[1]!S_STM07_CS(D694,49,$G$5,$H$13)/$E$5))</f>
        <v/>
      </c>
      <c r="P694" s="247" t="str">
        <f ca="1">IF(C694="","",IF($P$11="CFPS",[1]!S_STM07_CS(D694,84,$G$5,$H$13)/IF([1]!S_SHARE_TOTAL(D694,$G$5)=0,[1]!S_SHARE_TOTAL(D694,[1]!s_ipo_listeddate(D694)),[1]!S_SHARE_TOTAL(D694,$G$5)),[1]!S_STM07_CS(D694,84,$G$5,$H$13)/$E$5))</f>
        <v/>
      </c>
      <c r="Q694" s="248" t="str">
        <f ca="1">IF(C694="","",F694/([1]!S_STM07_IS(D694,61,$G$5,$H$13)/IF([1]!S_SHARE_TOTAL(D694,$G$5)=0,[1]!S_SHARE_TOTAL(D694,[1]!s_ipo_listeddate(D694)),[1]!S_SHARE_TOTAL(D694,$G$5))))</f>
        <v/>
      </c>
      <c r="R694" s="248" t="str">
        <f ca="1">IF(C694="","",F694/([1]!S_STM07_BS(D694,141,$G$5,$H$13)/IF([1]!S_SHARE_TOTAL(D694,$G$5)=0,[1]!S_SHARE_TOTAL(D694,[1]!s_ipo_listeddate(D694)),[1]!S_SHARE_TOTAL(D694,$G$5))))</f>
        <v/>
      </c>
      <c r="S694" s="247" t="str">
        <f ca="1">IF(C694="","",[1]!S_SHARE_TOTAL(D694,TODAY())/$E$5)</f>
        <v/>
      </c>
      <c r="T694" s="247" t="str">
        <f t="shared" ca="1" si="73"/>
        <v/>
      </c>
      <c r="U694" s="218" t="str">
        <f t="shared" ca="1" si="74"/>
        <v/>
      </c>
      <c r="V694" s="342" t="str">
        <f t="shared" ca="1" si="75"/>
        <v/>
      </c>
      <c r="W694" s="139"/>
      <c r="Y694" s="1"/>
    </row>
    <row r="695" spans="3:25" ht="12" customHeight="1">
      <c r="C695" s="343" t="str">
        <f t="shared" ca="1" si="70"/>
        <v/>
      </c>
      <c r="D695" s="124" t="str">
        <f t="shared" ca="1" si="71"/>
        <v/>
      </c>
      <c r="E695" s="124" t="str">
        <f t="shared" ca="1" si="72"/>
        <v/>
      </c>
      <c r="F695" s="172" t="str">
        <f ca="1">IF(C695="","",[1]!S_DQ_CLOSE(D695,TODAY(),1))</f>
        <v/>
      </c>
      <c r="G695" s="173" t="str">
        <f ca="1">IF(C695="","",[1]!s_pq_pctchange(D695,TODAY()-$G$12,TODAY())/100)</f>
        <v/>
      </c>
      <c r="H695" s="249" t="str">
        <f ca="1">IF(C695="","",IF($H$11="收入",[1]!S_STM07_IS(D695,9,$G$5,$H$13)/$E$5,[1]!S_STM07_IS(D695,48,$G$5,$H$13)/$E$5))</f>
        <v/>
      </c>
      <c r="I695" s="249" t="str">
        <f ca="1">IF(C695="","",IF($I$11="毛利率",([1]!S_STM07_IS(D695,9,$G$5,$H$13)-[1]!S_STM07_IS(D695,10,$G$5,$H$13))/[1]!S_STM07_IS(D695,9,$G$5,$H$13),[1]!S_STM07_IS(D695,14,$G$5,$H$13)/$E$5))</f>
        <v/>
      </c>
      <c r="J695" s="249" t="str">
        <f ca="1">IF(C695="","",IF($J$11="营业利润率",[1]!S_STM07_IS(D695,48,$G$5,$H$13)/[1]!S_STM07_IS(D695,9,$G$5,$H$13),([1]!S_STM07_CS(D695,87,$G$5,$H$13)+[1]!S_STM07_CS(D695,88,$G$5,$H$13)+[1]!S_STM07_CS(D695,89,$G$5,$H$13))/$E$5))</f>
        <v/>
      </c>
      <c r="K695" s="249" t="str">
        <f ca="1">IF(C695="","",IF($K$11="净利润率",[1]!S_STM07_IS(D695,61,$G$5,$H$13)/[1]!S_STM07_IS(D695,9,$G$5,$H$13),[1]!S_STM07_IS(D695,55,$G$5,$H$13)/$E$5))</f>
        <v/>
      </c>
      <c r="L695" s="249" t="str">
        <f ca="1">IF(C695="","",IF($L$11="ROA",[1]!S_STM07_IS(D695,61,$G$5,$H$13)/[1]!S_STM07_BS(D695,74,$G$5,$H$13),1-[1]!S_STM07_IS(D695,61,$G$5,$H$13)/[1]!S_STM07_IS(D695,55,$G$5,$H$13)))</f>
        <v/>
      </c>
      <c r="M695" s="249" t="str">
        <f ca="1">IF(C695="","",IF($M$11="ROE",[1]!S_STM07_IS(D695,61,$G$5,$H$13)/[1]!S_STM07_BS(D695,141,$G$5,$H$13),([1]!S_STM07_BS(D695,25,$G$5,$H$13)-[1]!S_STM07_BS(D695,93,$G$5,$H$13))/$E$5))</f>
        <v/>
      </c>
      <c r="N695" s="250" t="str">
        <f ca="1">IF(C695="","",IF($N$11="EPS",[1]!S_STM07_IS(D695,61,$G$5,$H$13)/IF([1]!S_SHARE_TOTAL(D695,$G$5)=0,[1]!S_SHARE_TOTAL(D695,[1]!s_ipo_listeddate(D695)),[1]!S_SHARE_TOTAL(D695,$G$5)),([1]!S_STM07_BS(D695,75,$G$5,$H$13)+[1]!S_STM07_BS(D695,88,$G$5,$H$13)+[1]!S_STM07_BS(D695,94,$G$5,$H$13)+[1]!S_STM07_BS(D695,95,$G$5,$H$13))/$E$5))</f>
        <v/>
      </c>
      <c r="O695" s="250" t="str">
        <f ca="1">IF(C695="","",IF($O$11="BPS",[1]!S_STM07_BS(D695,141,$G$5,$H$13)/IF([1]!S_SHARE_TOTAL(D695,$G$5)=0,[1]!S_SHARE_TOTAL(D695,[1]!s_ipo_listeddate(D695)),[1]!S_SHARE_TOTAL(D695,$G$5)),[1]!S_STM07_CS(D695,49,$G$5,$H$13)/$E$5))</f>
        <v/>
      </c>
      <c r="P695" s="250" t="str">
        <f ca="1">IF(C695="","",IF($P$11="CFPS",[1]!S_STM07_CS(D695,84,$G$5,$H$13)/IF([1]!S_SHARE_TOTAL(D695,$G$5)=0,[1]!S_SHARE_TOTAL(D695,[1]!s_ipo_listeddate(D695)),[1]!S_SHARE_TOTAL(D695,$G$5)),[1]!S_STM07_CS(D695,84,$G$5,$H$13)/$E$5))</f>
        <v/>
      </c>
      <c r="Q695" s="198" t="str">
        <f ca="1">IF(C695="","",F695/([1]!S_STM07_IS(D695,61,$G$5,$H$13)/IF([1]!S_SHARE_TOTAL(D695,$G$5)=0,[1]!S_SHARE_TOTAL(D695,[1]!s_ipo_listeddate(D695)),[1]!S_SHARE_TOTAL(D695,$G$5))))</f>
        <v/>
      </c>
      <c r="R695" s="198" t="str">
        <f ca="1">IF(C695="","",F695/([1]!S_STM07_BS(D695,141,$G$5,$H$13)/IF([1]!S_SHARE_TOTAL(D695,$G$5)=0,[1]!S_SHARE_TOTAL(D695,[1]!s_ipo_listeddate(D695)),[1]!S_SHARE_TOTAL(D695,$G$5))))</f>
        <v/>
      </c>
      <c r="S695" s="249" t="str">
        <f ca="1">IF(C695="","",[1]!S_SHARE_TOTAL(D695,TODAY())/$E$5)</f>
        <v/>
      </c>
      <c r="T695" s="249" t="str">
        <f t="shared" ca="1" si="73"/>
        <v/>
      </c>
      <c r="U695" s="172" t="str">
        <f t="shared" ca="1" si="74"/>
        <v/>
      </c>
      <c r="V695" s="343" t="str">
        <f t="shared" ca="1" si="75"/>
        <v/>
      </c>
      <c r="W695" s="139"/>
      <c r="Y695" s="1"/>
    </row>
    <row r="696" spans="3:25" ht="12" customHeight="1">
      <c r="C696" s="342" t="str">
        <f t="shared" ca="1" si="70"/>
        <v/>
      </c>
      <c r="D696" s="153" t="str">
        <f t="shared" ca="1" si="71"/>
        <v/>
      </c>
      <c r="E696" s="153" t="str">
        <f t="shared" ca="1" si="72"/>
        <v/>
      </c>
      <c r="F696" s="170" t="str">
        <f ca="1">IF(C696="","",[1]!S_DQ_CLOSE(D696,TODAY(),1))</f>
        <v/>
      </c>
      <c r="G696" s="171" t="str">
        <f ca="1">IF(C696="","",[1]!s_pq_pctchange(D696,TODAY()-$G$12,TODAY())/100)</f>
        <v/>
      </c>
      <c r="H696" s="247" t="str">
        <f ca="1">IF(C696="","",IF($H$11="收入",[1]!S_STM07_IS(D696,9,$G$5,$H$13)/$E$5,[1]!S_STM07_IS(D696,48,$G$5,$H$13)/$E$5))</f>
        <v/>
      </c>
      <c r="I696" s="247" t="str">
        <f ca="1">IF(C696="","",IF($I$11="毛利率",([1]!S_STM07_IS(D696,9,$G$5,$H$13)-[1]!S_STM07_IS(D696,10,$G$5,$H$13))/[1]!S_STM07_IS(D696,9,$G$5,$H$13),[1]!S_STM07_IS(D696,14,$G$5,$H$13)/$E$5))</f>
        <v/>
      </c>
      <c r="J696" s="247" t="str">
        <f ca="1">IF(C696="","",IF($J$11="营业利润率",[1]!S_STM07_IS(D696,48,$G$5,$H$13)/[1]!S_STM07_IS(D696,9,$G$5,$H$13),([1]!S_STM07_CS(D696,87,$G$5,$H$13)+[1]!S_STM07_CS(D696,88,$G$5,$H$13)+[1]!S_STM07_CS(D696,89,$G$5,$H$13))/$E$5))</f>
        <v/>
      </c>
      <c r="K696" s="247" t="str">
        <f ca="1">IF(C696="","",IF($K$11="净利润率",[1]!S_STM07_IS(D696,61,$G$5,$H$13)/[1]!S_STM07_IS(D696,9,$G$5,$H$13),[1]!S_STM07_IS(D696,55,$G$5,$H$13)/$E$5))</f>
        <v/>
      </c>
      <c r="L696" s="247" t="str">
        <f ca="1">IF(C696="","",IF($L$11="ROA",[1]!S_STM07_IS(D696,61,$G$5,$H$13)/[1]!S_STM07_BS(D696,74,$G$5,$H$13),1-[1]!S_STM07_IS(D696,61,$G$5,$H$13)/[1]!S_STM07_IS(D696,55,$G$5,$H$13)))</f>
        <v/>
      </c>
      <c r="M696" s="247" t="str">
        <f ca="1">IF(C696="","",IF($M$11="ROE",[1]!S_STM07_IS(D696,61,$G$5,$H$13)/[1]!S_STM07_BS(D696,141,$G$5,$H$13),([1]!S_STM07_BS(D696,25,$G$5,$H$13)-[1]!S_STM07_BS(D696,93,$G$5,$H$13))/$E$5))</f>
        <v/>
      </c>
      <c r="N696" s="247" t="str">
        <f ca="1">IF(C696="","",IF($N$11="EPS",[1]!S_STM07_IS(D696,61,$G$5,$H$13)/IF([1]!S_SHARE_TOTAL(D696,$G$5)=0,[1]!S_SHARE_TOTAL(D696,[1]!s_ipo_listeddate(D696)),[1]!S_SHARE_TOTAL(D696,$G$5)),([1]!S_STM07_BS(D696,75,$G$5,$H$13)+[1]!S_STM07_BS(D696,88,$G$5,$H$13)+[1]!S_STM07_BS(D696,94,$G$5,$H$13)+[1]!S_STM07_BS(D696,95,$G$5,$H$13))/$E$5))</f>
        <v/>
      </c>
      <c r="O696" s="247" t="str">
        <f ca="1">IF(C696="","",IF($O$11="BPS",[1]!S_STM07_BS(D696,141,$G$5,$H$13)/IF([1]!S_SHARE_TOTAL(D696,$G$5)=0,[1]!S_SHARE_TOTAL(D696,[1]!s_ipo_listeddate(D696)),[1]!S_SHARE_TOTAL(D696,$G$5)),[1]!S_STM07_CS(D696,49,$G$5,$H$13)/$E$5))</f>
        <v/>
      </c>
      <c r="P696" s="247" t="str">
        <f ca="1">IF(C696="","",IF($P$11="CFPS",[1]!S_STM07_CS(D696,84,$G$5,$H$13)/IF([1]!S_SHARE_TOTAL(D696,$G$5)=0,[1]!S_SHARE_TOTAL(D696,[1]!s_ipo_listeddate(D696)),[1]!S_SHARE_TOTAL(D696,$G$5)),[1]!S_STM07_CS(D696,84,$G$5,$H$13)/$E$5))</f>
        <v/>
      </c>
      <c r="Q696" s="248" t="str">
        <f ca="1">IF(C696="","",F696/([1]!S_STM07_IS(D696,61,$G$5,$H$13)/IF([1]!S_SHARE_TOTAL(D696,$G$5)=0,[1]!S_SHARE_TOTAL(D696,[1]!s_ipo_listeddate(D696)),[1]!S_SHARE_TOTAL(D696,$G$5))))</f>
        <v/>
      </c>
      <c r="R696" s="248" t="str">
        <f ca="1">IF(C696="","",F696/([1]!S_STM07_BS(D696,141,$G$5,$H$13)/IF([1]!S_SHARE_TOTAL(D696,$G$5)=0,[1]!S_SHARE_TOTAL(D696,[1]!s_ipo_listeddate(D696)),[1]!S_SHARE_TOTAL(D696,$G$5))))</f>
        <v/>
      </c>
      <c r="S696" s="247" t="str">
        <f ca="1">IF(C696="","",[1]!S_SHARE_TOTAL(D696,TODAY())/$E$5)</f>
        <v/>
      </c>
      <c r="T696" s="247" t="str">
        <f t="shared" ca="1" si="73"/>
        <v/>
      </c>
      <c r="U696" s="218" t="str">
        <f t="shared" ca="1" si="74"/>
        <v/>
      </c>
      <c r="V696" s="342" t="str">
        <f t="shared" ca="1" si="75"/>
        <v/>
      </c>
      <c r="W696" s="139"/>
      <c r="Y696" s="1"/>
    </row>
    <row r="697" spans="3:25" ht="12" customHeight="1">
      <c r="C697" s="343" t="str">
        <f t="shared" ca="1" si="70"/>
        <v/>
      </c>
      <c r="D697" s="124" t="str">
        <f t="shared" ca="1" si="71"/>
        <v/>
      </c>
      <c r="E697" s="124" t="str">
        <f t="shared" ca="1" si="72"/>
        <v/>
      </c>
      <c r="F697" s="172" t="str">
        <f ca="1">IF(C697="","",[1]!S_DQ_CLOSE(D697,TODAY(),1))</f>
        <v/>
      </c>
      <c r="G697" s="173" t="str">
        <f ca="1">IF(C697="","",[1]!s_pq_pctchange(D697,TODAY()-$G$12,TODAY())/100)</f>
        <v/>
      </c>
      <c r="H697" s="249" t="str">
        <f ca="1">IF(C697="","",IF($H$11="收入",[1]!S_STM07_IS(D697,9,$G$5,$H$13)/$E$5,[1]!S_STM07_IS(D697,48,$G$5,$H$13)/$E$5))</f>
        <v/>
      </c>
      <c r="I697" s="249" t="str">
        <f ca="1">IF(C697="","",IF($I$11="毛利率",([1]!S_STM07_IS(D697,9,$G$5,$H$13)-[1]!S_STM07_IS(D697,10,$G$5,$H$13))/[1]!S_STM07_IS(D697,9,$G$5,$H$13),[1]!S_STM07_IS(D697,14,$G$5,$H$13)/$E$5))</f>
        <v/>
      </c>
      <c r="J697" s="249" t="str">
        <f ca="1">IF(C697="","",IF($J$11="营业利润率",[1]!S_STM07_IS(D697,48,$G$5,$H$13)/[1]!S_STM07_IS(D697,9,$G$5,$H$13),([1]!S_STM07_CS(D697,87,$G$5,$H$13)+[1]!S_STM07_CS(D697,88,$G$5,$H$13)+[1]!S_STM07_CS(D697,89,$G$5,$H$13))/$E$5))</f>
        <v/>
      </c>
      <c r="K697" s="249" t="str">
        <f ca="1">IF(C697="","",IF($K$11="净利润率",[1]!S_STM07_IS(D697,61,$G$5,$H$13)/[1]!S_STM07_IS(D697,9,$G$5,$H$13),[1]!S_STM07_IS(D697,55,$G$5,$H$13)/$E$5))</f>
        <v/>
      </c>
      <c r="L697" s="249" t="str">
        <f ca="1">IF(C697="","",IF($L$11="ROA",[1]!S_STM07_IS(D697,61,$G$5,$H$13)/[1]!S_STM07_BS(D697,74,$G$5,$H$13),1-[1]!S_STM07_IS(D697,61,$G$5,$H$13)/[1]!S_STM07_IS(D697,55,$G$5,$H$13)))</f>
        <v/>
      </c>
      <c r="M697" s="249" t="str">
        <f ca="1">IF(C697="","",IF($M$11="ROE",[1]!S_STM07_IS(D697,61,$G$5,$H$13)/[1]!S_STM07_BS(D697,141,$G$5,$H$13),([1]!S_STM07_BS(D697,25,$G$5,$H$13)-[1]!S_STM07_BS(D697,93,$G$5,$H$13))/$E$5))</f>
        <v/>
      </c>
      <c r="N697" s="250" t="str">
        <f ca="1">IF(C697="","",IF($N$11="EPS",[1]!S_STM07_IS(D697,61,$G$5,$H$13)/IF([1]!S_SHARE_TOTAL(D697,$G$5)=0,[1]!S_SHARE_TOTAL(D697,[1]!s_ipo_listeddate(D697)),[1]!S_SHARE_TOTAL(D697,$G$5)),([1]!S_STM07_BS(D697,75,$G$5,$H$13)+[1]!S_STM07_BS(D697,88,$G$5,$H$13)+[1]!S_STM07_BS(D697,94,$G$5,$H$13)+[1]!S_STM07_BS(D697,95,$G$5,$H$13))/$E$5))</f>
        <v/>
      </c>
      <c r="O697" s="250" t="str">
        <f ca="1">IF(C697="","",IF($O$11="BPS",[1]!S_STM07_BS(D697,141,$G$5,$H$13)/IF([1]!S_SHARE_TOTAL(D697,$G$5)=0,[1]!S_SHARE_TOTAL(D697,[1]!s_ipo_listeddate(D697)),[1]!S_SHARE_TOTAL(D697,$G$5)),[1]!S_STM07_CS(D697,49,$G$5,$H$13)/$E$5))</f>
        <v/>
      </c>
      <c r="P697" s="250" t="str">
        <f ca="1">IF(C697="","",IF($P$11="CFPS",[1]!S_STM07_CS(D697,84,$G$5,$H$13)/IF([1]!S_SHARE_TOTAL(D697,$G$5)=0,[1]!S_SHARE_TOTAL(D697,[1]!s_ipo_listeddate(D697)),[1]!S_SHARE_TOTAL(D697,$G$5)),[1]!S_STM07_CS(D697,84,$G$5,$H$13)/$E$5))</f>
        <v/>
      </c>
      <c r="Q697" s="198" t="str">
        <f ca="1">IF(C697="","",F697/([1]!S_STM07_IS(D697,61,$G$5,$H$13)/IF([1]!S_SHARE_TOTAL(D697,$G$5)=0,[1]!S_SHARE_TOTAL(D697,[1]!s_ipo_listeddate(D697)),[1]!S_SHARE_TOTAL(D697,$G$5))))</f>
        <v/>
      </c>
      <c r="R697" s="198" t="str">
        <f ca="1">IF(C697="","",F697/([1]!S_STM07_BS(D697,141,$G$5,$H$13)/IF([1]!S_SHARE_TOTAL(D697,$G$5)=0,[1]!S_SHARE_TOTAL(D697,[1]!s_ipo_listeddate(D697)),[1]!S_SHARE_TOTAL(D697,$G$5))))</f>
        <v/>
      </c>
      <c r="S697" s="249" t="str">
        <f ca="1">IF(C697="","",[1]!S_SHARE_TOTAL(D697,TODAY())/$E$5)</f>
        <v/>
      </c>
      <c r="T697" s="249" t="str">
        <f t="shared" ca="1" si="73"/>
        <v/>
      </c>
      <c r="U697" s="172" t="str">
        <f t="shared" ca="1" si="74"/>
        <v/>
      </c>
      <c r="V697" s="343" t="str">
        <f t="shared" ca="1" si="75"/>
        <v/>
      </c>
      <c r="W697" s="139"/>
      <c r="Y697" s="1"/>
    </row>
    <row r="698" spans="3:25" ht="12" customHeight="1">
      <c r="C698" s="342" t="str">
        <f t="shared" ca="1" si="70"/>
        <v/>
      </c>
      <c r="D698" s="153" t="str">
        <f t="shared" ca="1" si="71"/>
        <v/>
      </c>
      <c r="E698" s="153" t="str">
        <f t="shared" ca="1" si="72"/>
        <v/>
      </c>
      <c r="F698" s="170" t="str">
        <f ca="1">IF(C698="","",[1]!S_DQ_CLOSE(D698,TODAY(),1))</f>
        <v/>
      </c>
      <c r="G698" s="171" t="str">
        <f ca="1">IF(C698="","",[1]!s_pq_pctchange(D698,TODAY()-$G$12,TODAY())/100)</f>
        <v/>
      </c>
      <c r="H698" s="247" t="str">
        <f ca="1">IF(C698="","",IF($H$11="收入",[1]!S_STM07_IS(D698,9,$G$5,$H$13)/$E$5,[1]!S_STM07_IS(D698,48,$G$5,$H$13)/$E$5))</f>
        <v/>
      </c>
      <c r="I698" s="247" t="str">
        <f ca="1">IF(C698="","",IF($I$11="毛利率",([1]!S_STM07_IS(D698,9,$G$5,$H$13)-[1]!S_STM07_IS(D698,10,$G$5,$H$13))/[1]!S_STM07_IS(D698,9,$G$5,$H$13),[1]!S_STM07_IS(D698,14,$G$5,$H$13)/$E$5))</f>
        <v/>
      </c>
      <c r="J698" s="247" t="str">
        <f ca="1">IF(C698="","",IF($J$11="营业利润率",[1]!S_STM07_IS(D698,48,$G$5,$H$13)/[1]!S_STM07_IS(D698,9,$G$5,$H$13),([1]!S_STM07_CS(D698,87,$G$5,$H$13)+[1]!S_STM07_CS(D698,88,$G$5,$H$13)+[1]!S_STM07_CS(D698,89,$G$5,$H$13))/$E$5))</f>
        <v/>
      </c>
      <c r="K698" s="247" t="str">
        <f ca="1">IF(C698="","",IF($K$11="净利润率",[1]!S_STM07_IS(D698,61,$G$5,$H$13)/[1]!S_STM07_IS(D698,9,$G$5,$H$13),[1]!S_STM07_IS(D698,55,$G$5,$H$13)/$E$5))</f>
        <v/>
      </c>
      <c r="L698" s="247" t="str">
        <f ca="1">IF(C698="","",IF($L$11="ROA",[1]!S_STM07_IS(D698,61,$G$5,$H$13)/[1]!S_STM07_BS(D698,74,$G$5,$H$13),1-[1]!S_STM07_IS(D698,61,$G$5,$H$13)/[1]!S_STM07_IS(D698,55,$G$5,$H$13)))</f>
        <v/>
      </c>
      <c r="M698" s="247" t="str">
        <f ca="1">IF(C698="","",IF($M$11="ROE",[1]!S_STM07_IS(D698,61,$G$5,$H$13)/[1]!S_STM07_BS(D698,141,$G$5,$H$13),([1]!S_STM07_BS(D698,25,$G$5,$H$13)-[1]!S_STM07_BS(D698,93,$G$5,$H$13))/$E$5))</f>
        <v/>
      </c>
      <c r="N698" s="247" t="str">
        <f ca="1">IF(C698="","",IF($N$11="EPS",[1]!S_STM07_IS(D698,61,$G$5,$H$13)/IF([1]!S_SHARE_TOTAL(D698,$G$5)=0,[1]!S_SHARE_TOTAL(D698,[1]!s_ipo_listeddate(D698)),[1]!S_SHARE_TOTAL(D698,$G$5)),([1]!S_STM07_BS(D698,75,$G$5,$H$13)+[1]!S_STM07_BS(D698,88,$G$5,$H$13)+[1]!S_STM07_BS(D698,94,$G$5,$H$13)+[1]!S_STM07_BS(D698,95,$G$5,$H$13))/$E$5))</f>
        <v/>
      </c>
      <c r="O698" s="247" t="str">
        <f ca="1">IF(C698="","",IF($O$11="BPS",[1]!S_STM07_BS(D698,141,$G$5,$H$13)/IF([1]!S_SHARE_TOTAL(D698,$G$5)=0,[1]!S_SHARE_TOTAL(D698,[1]!s_ipo_listeddate(D698)),[1]!S_SHARE_TOTAL(D698,$G$5)),[1]!S_STM07_CS(D698,49,$G$5,$H$13)/$E$5))</f>
        <v/>
      </c>
      <c r="P698" s="247" t="str">
        <f ca="1">IF(C698="","",IF($P$11="CFPS",[1]!S_STM07_CS(D698,84,$G$5,$H$13)/IF([1]!S_SHARE_TOTAL(D698,$G$5)=0,[1]!S_SHARE_TOTAL(D698,[1]!s_ipo_listeddate(D698)),[1]!S_SHARE_TOTAL(D698,$G$5)),[1]!S_STM07_CS(D698,84,$G$5,$H$13)/$E$5))</f>
        <v/>
      </c>
      <c r="Q698" s="248" t="str">
        <f ca="1">IF(C698="","",F698/([1]!S_STM07_IS(D698,61,$G$5,$H$13)/IF([1]!S_SHARE_TOTAL(D698,$G$5)=0,[1]!S_SHARE_TOTAL(D698,[1]!s_ipo_listeddate(D698)),[1]!S_SHARE_TOTAL(D698,$G$5))))</f>
        <v/>
      </c>
      <c r="R698" s="248" t="str">
        <f ca="1">IF(C698="","",F698/([1]!S_STM07_BS(D698,141,$G$5,$H$13)/IF([1]!S_SHARE_TOTAL(D698,$G$5)=0,[1]!S_SHARE_TOTAL(D698,[1]!s_ipo_listeddate(D698)),[1]!S_SHARE_TOTAL(D698,$G$5))))</f>
        <v/>
      </c>
      <c r="S698" s="247" t="str">
        <f ca="1">IF(C698="","",[1]!S_SHARE_TOTAL(D698,TODAY())/$E$5)</f>
        <v/>
      </c>
      <c r="T698" s="247" t="str">
        <f t="shared" ca="1" si="73"/>
        <v/>
      </c>
      <c r="U698" s="218" t="str">
        <f t="shared" ca="1" si="74"/>
        <v/>
      </c>
      <c r="V698" s="342" t="str">
        <f t="shared" ca="1" si="75"/>
        <v/>
      </c>
      <c r="W698" s="139"/>
      <c r="Y698" s="1"/>
    </row>
    <row r="699" spans="3:25" ht="12" customHeight="1">
      <c r="C699" s="343" t="str">
        <f t="shared" ca="1" si="70"/>
        <v/>
      </c>
      <c r="D699" s="124" t="str">
        <f t="shared" ca="1" si="71"/>
        <v/>
      </c>
      <c r="E699" s="124" t="str">
        <f t="shared" ca="1" si="72"/>
        <v/>
      </c>
      <c r="F699" s="172" t="str">
        <f ca="1">IF(C699="","",[1]!S_DQ_CLOSE(D699,TODAY(),1))</f>
        <v/>
      </c>
      <c r="G699" s="173" t="str">
        <f ca="1">IF(C699="","",[1]!s_pq_pctchange(D699,TODAY()-$G$12,TODAY())/100)</f>
        <v/>
      </c>
      <c r="H699" s="249" t="str">
        <f ca="1">IF(C699="","",IF($H$11="收入",[1]!S_STM07_IS(D699,9,$G$5,$H$13)/$E$5,[1]!S_STM07_IS(D699,48,$G$5,$H$13)/$E$5))</f>
        <v/>
      </c>
      <c r="I699" s="249" t="str">
        <f ca="1">IF(C699="","",IF($I$11="毛利率",([1]!S_STM07_IS(D699,9,$G$5,$H$13)-[1]!S_STM07_IS(D699,10,$G$5,$H$13))/[1]!S_STM07_IS(D699,9,$G$5,$H$13),[1]!S_STM07_IS(D699,14,$G$5,$H$13)/$E$5))</f>
        <v/>
      </c>
      <c r="J699" s="249" t="str">
        <f ca="1">IF(C699="","",IF($J$11="营业利润率",[1]!S_STM07_IS(D699,48,$G$5,$H$13)/[1]!S_STM07_IS(D699,9,$G$5,$H$13),([1]!S_STM07_CS(D699,87,$G$5,$H$13)+[1]!S_STM07_CS(D699,88,$G$5,$H$13)+[1]!S_STM07_CS(D699,89,$G$5,$H$13))/$E$5))</f>
        <v/>
      </c>
      <c r="K699" s="249" t="str">
        <f ca="1">IF(C699="","",IF($K$11="净利润率",[1]!S_STM07_IS(D699,61,$G$5,$H$13)/[1]!S_STM07_IS(D699,9,$G$5,$H$13),[1]!S_STM07_IS(D699,55,$G$5,$H$13)/$E$5))</f>
        <v/>
      </c>
      <c r="L699" s="249" t="str">
        <f ca="1">IF(C699="","",IF($L$11="ROA",[1]!S_STM07_IS(D699,61,$G$5,$H$13)/[1]!S_STM07_BS(D699,74,$G$5,$H$13),1-[1]!S_STM07_IS(D699,61,$G$5,$H$13)/[1]!S_STM07_IS(D699,55,$G$5,$H$13)))</f>
        <v/>
      </c>
      <c r="M699" s="249" t="str">
        <f ca="1">IF(C699="","",IF($M$11="ROE",[1]!S_STM07_IS(D699,61,$G$5,$H$13)/[1]!S_STM07_BS(D699,141,$G$5,$H$13),([1]!S_STM07_BS(D699,25,$G$5,$H$13)-[1]!S_STM07_BS(D699,93,$G$5,$H$13))/$E$5))</f>
        <v/>
      </c>
      <c r="N699" s="250" t="str">
        <f ca="1">IF(C699="","",IF($N$11="EPS",[1]!S_STM07_IS(D699,61,$G$5,$H$13)/IF([1]!S_SHARE_TOTAL(D699,$G$5)=0,[1]!S_SHARE_TOTAL(D699,[1]!s_ipo_listeddate(D699)),[1]!S_SHARE_TOTAL(D699,$G$5)),([1]!S_STM07_BS(D699,75,$G$5,$H$13)+[1]!S_STM07_BS(D699,88,$G$5,$H$13)+[1]!S_STM07_BS(D699,94,$G$5,$H$13)+[1]!S_STM07_BS(D699,95,$G$5,$H$13))/$E$5))</f>
        <v/>
      </c>
      <c r="O699" s="250" t="str">
        <f ca="1">IF(C699="","",IF($O$11="BPS",[1]!S_STM07_BS(D699,141,$G$5,$H$13)/IF([1]!S_SHARE_TOTAL(D699,$G$5)=0,[1]!S_SHARE_TOTAL(D699,[1]!s_ipo_listeddate(D699)),[1]!S_SHARE_TOTAL(D699,$G$5)),[1]!S_STM07_CS(D699,49,$G$5,$H$13)/$E$5))</f>
        <v/>
      </c>
      <c r="P699" s="250" t="str">
        <f ca="1">IF(C699="","",IF($P$11="CFPS",[1]!S_STM07_CS(D699,84,$G$5,$H$13)/IF([1]!S_SHARE_TOTAL(D699,$G$5)=0,[1]!S_SHARE_TOTAL(D699,[1]!s_ipo_listeddate(D699)),[1]!S_SHARE_TOTAL(D699,$G$5)),[1]!S_STM07_CS(D699,84,$G$5,$H$13)/$E$5))</f>
        <v/>
      </c>
      <c r="Q699" s="198" t="str">
        <f ca="1">IF(C699="","",F699/([1]!S_STM07_IS(D699,61,$G$5,$H$13)/IF([1]!S_SHARE_TOTAL(D699,$G$5)=0,[1]!S_SHARE_TOTAL(D699,[1]!s_ipo_listeddate(D699)),[1]!S_SHARE_TOTAL(D699,$G$5))))</f>
        <v/>
      </c>
      <c r="R699" s="198" t="str">
        <f ca="1">IF(C699="","",F699/([1]!S_STM07_BS(D699,141,$G$5,$H$13)/IF([1]!S_SHARE_TOTAL(D699,$G$5)=0,[1]!S_SHARE_TOTAL(D699,[1]!s_ipo_listeddate(D699)),[1]!S_SHARE_TOTAL(D699,$G$5))))</f>
        <v/>
      </c>
      <c r="S699" s="249" t="str">
        <f ca="1">IF(C699="","",[1]!S_SHARE_TOTAL(D699,TODAY())/$E$5)</f>
        <v/>
      </c>
      <c r="T699" s="249" t="str">
        <f t="shared" ca="1" si="73"/>
        <v/>
      </c>
      <c r="U699" s="172" t="str">
        <f t="shared" ca="1" si="74"/>
        <v/>
      </c>
      <c r="V699" s="343" t="str">
        <f t="shared" ca="1" si="75"/>
        <v/>
      </c>
      <c r="W699" s="139"/>
      <c r="Y699" s="1"/>
    </row>
    <row r="700" spans="3:25" ht="12" customHeight="1">
      <c r="C700" s="342" t="str">
        <f t="shared" ca="1" si="70"/>
        <v/>
      </c>
      <c r="D700" s="153" t="str">
        <f t="shared" ca="1" si="71"/>
        <v/>
      </c>
      <c r="E700" s="153" t="str">
        <f t="shared" ca="1" si="72"/>
        <v/>
      </c>
      <c r="F700" s="170" t="str">
        <f ca="1">IF(C700="","",[1]!S_DQ_CLOSE(D700,TODAY(),1))</f>
        <v/>
      </c>
      <c r="G700" s="171" t="str">
        <f ca="1">IF(C700="","",[1]!s_pq_pctchange(D700,TODAY()-$G$12,TODAY())/100)</f>
        <v/>
      </c>
      <c r="H700" s="247" t="str">
        <f ca="1">IF(C700="","",IF($H$11="收入",[1]!S_STM07_IS(D700,9,$G$5,$H$13)/$E$5,[1]!S_STM07_IS(D700,48,$G$5,$H$13)/$E$5))</f>
        <v/>
      </c>
      <c r="I700" s="247" t="str">
        <f ca="1">IF(C700="","",IF($I$11="毛利率",([1]!S_STM07_IS(D700,9,$G$5,$H$13)-[1]!S_STM07_IS(D700,10,$G$5,$H$13))/[1]!S_STM07_IS(D700,9,$G$5,$H$13),[1]!S_STM07_IS(D700,14,$G$5,$H$13)/$E$5))</f>
        <v/>
      </c>
      <c r="J700" s="247" t="str">
        <f ca="1">IF(C700="","",IF($J$11="营业利润率",[1]!S_STM07_IS(D700,48,$G$5,$H$13)/[1]!S_STM07_IS(D700,9,$G$5,$H$13),([1]!S_STM07_CS(D700,87,$G$5,$H$13)+[1]!S_STM07_CS(D700,88,$G$5,$H$13)+[1]!S_STM07_CS(D700,89,$G$5,$H$13))/$E$5))</f>
        <v/>
      </c>
      <c r="K700" s="247" t="str">
        <f ca="1">IF(C700="","",IF($K$11="净利润率",[1]!S_STM07_IS(D700,61,$G$5,$H$13)/[1]!S_STM07_IS(D700,9,$G$5,$H$13),[1]!S_STM07_IS(D700,55,$G$5,$H$13)/$E$5))</f>
        <v/>
      </c>
      <c r="L700" s="247" t="str">
        <f ca="1">IF(C700="","",IF($L$11="ROA",[1]!S_STM07_IS(D700,61,$G$5,$H$13)/[1]!S_STM07_BS(D700,74,$G$5,$H$13),1-[1]!S_STM07_IS(D700,61,$G$5,$H$13)/[1]!S_STM07_IS(D700,55,$G$5,$H$13)))</f>
        <v/>
      </c>
      <c r="M700" s="247" t="str">
        <f ca="1">IF(C700="","",IF($M$11="ROE",[1]!S_STM07_IS(D700,61,$G$5,$H$13)/[1]!S_STM07_BS(D700,141,$G$5,$H$13),([1]!S_STM07_BS(D700,25,$G$5,$H$13)-[1]!S_STM07_BS(D700,93,$G$5,$H$13))/$E$5))</f>
        <v/>
      </c>
      <c r="N700" s="247" t="str">
        <f ca="1">IF(C700="","",IF($N$11="EPS",[1]!S_STM07_IS(D700,61,$G$5,$H$13)/IF([1]!S_SHARE_TOTAL(D700,$G$5)=0,[1]!S_SHARE_TOTAL(D700,[1]!s_ipo_listeddate(D700)),[1]!S_SHARE_TOTAL(D700,$G$5)),([1]!S_STM07_BS(D700,75,$G$5,$H$13)+[1]!S_STM07_BS(D700,88,$G$5,$H$13)+[1]!S_STM07_BS(D700,94,$G$5,$H$13)+[1]!S_STM07_BS(D700,95,$G$5,$H$13))/$E$5))</f>
        <v/>
      </c>
      <c r="O700" s="247" t="str">
        <f ca="1">IF(C700="","",IF($O$11="BPS",[1]!S_STM07_BS(D700,141,$G$5,$H$13)/IF([1]!S_SHARE_TOTAL(D700,$G$5)=0,[1]!S_SHARE_TOTAL(D700,[1]!s_ipo_listeddate(D700)),[1]!S_SHARE_TOTAL(D700,$G$5)),[1]!S_STM07_CS(D700,49,$G$5,$H$13)/$E$5))</f>
        <v/>
      </c>
      <c r="P700" s="247" t="str">
        <f ca="1">IF(C700="","",IF($P$11="CFPS",[1]!S_STM07_CS(D700,84,$G$5,$H$13)/IF([1]!S_SHARE_TOTAL(D700,$G$5)=0,[1]!S_SHARE_TOTAL(D700,[1]!s_ipo_listeddate(D700)),[1]!S_SHARE_TOTAL(D700,$G$5)),[1]!S_STM07_CS(D700,84,$G$5,$H$13)/$E$5))</f>
        <v/>
      </c>
      <c r="Q700" s="248" t="str">
        <f ca="1">IF(C700="","",F700/([1]!S_STM07_IS(D700,61,$G$5,$H$13)/IF([1]!S_SHARE_TOTAL(D700,$G$5)=0,[1]!S_SHARE_TOTAL(D700,[1]!s_ipo_listeddate(D700)),[1]!S_SHARE_TOTAL(D700,$G$5))))</f>
        <v/>
      </c>
      <c r="R700" s="248" t="str">
        <f ca="1">IF(C700="","",F700/([1]!S_STM07_BS(D700,141,$G$5,$H$13)/IF([1]!S_SHARE_TOTAL(D700,$G$5)=0,[1]!S_SHARE_TOTAL(D700,[1]!s_ipo_listeddate(D700)),[1]!S_SHARE_TOTAL(D700,$G$5))))</f>
        <v/>
      </c>
      <c r="S700" s="247" t="str">
        <f ca="1">IF(C700="","",[1]!S_SHARE_TOTAL(D700,TODAY())/$E$5)</f>
        <v/>
      </c>
      <c r="T700" s="247" t="str">
        <f t="shared" ca="1" si="73"/>
        <v/>
      </c>
      <c r="U700" s="218" t="str">
        <f t="shared" ca="1" si="74"/>
        <v/>
      </c>
      <c r="V700" s="342" t="str">
        <f t="shared" ca="1" si="75"/>
        <v/>
      </c>
      <c r="W700" s="139"/>
      <c r="Y700" s="1"/>
    </row>
    <row r="701" spans="3:25" ht="12" customHeight="1">
      <c r="C701" s="343" t="str">
        <f t="shared" ca="1" si="70"/>
        <v/>
      </c>
      <c r="D701" s="124" t="str">
        <f t="shared" ca="1" si="71"/>
        <v/>
      </c>
      <c r="E701" s="124" t="str">
        <f t="shared" ca="1" si="72"/>
        <v/>
      </c>
      <c r="F701" s="172" t="str">
        <f ca="1">IF(C701="","",[1]!S_DQ_CLOSE(D701,TODAY(),1))</f>
        <v/>
      </c>
      <c r="G701" s="173" t="str">
        <f ca="1">IF(C701="","",[1]!s_pq_pctchange(D701,TODAY()-$G$12,TODAY())/100)</f>
        <v/>
      </c>
      <c r="H701" s="249" t="str">
        <f ca="1">IF(C701="","",IF($H$11="收入",[1]!S_STM07_IS(D701,9,$G$5,$H$13)/$E$5,[1]!S_STM07_IS(D701,48,$G$5,$H$13)/$E$5))</f>
        <v/>
      </c>
      <c r="I701" s="249" t="str">
        <f ca="1">IF(C701="","",IF($I$11="毛利率",([1]!S_STM07_IS(D701,9,$G$5,$H$13)-[1]!S_STM07_IS(D701,10,$G$5,$H$13))/[1]!S_STM07_IS(D701,9,$G$5,$H$13),[1]!S_STM07_IS(D701,14,$G$5,$H$13)/$E$5))</f>
        <v/>
      </c>
      <c r="J701" s="249" t="str">
        <f ca="1">IF(C701="","",IF($J$11="营业利润率",[1]!S_STM07_IS(D701,48,$G$5,$H$13)/[1]!S_STM07_IS(D701,9,$G$5,$H$13),([1]!S_STM07_CS(D701,87,$G$5,$H$13)+[1]!S_STM07_CS(D701,88,$G$5,$H$13)+[1]!S_STM07_CS(D701,89,$G$5,$H$13))/$E$5))</f>
        <v/>
      </c>
      <c r="K701" s="249" t="str">
        <f ca="1">IF(C701="","",IF($K$11="净利润率",[1]!S_STM07_IS(D701,61,$G$5,$H$13)/[1]!S_STM07_IS(D701,9,$G$5,$H$13),[1]!S_STM07_IS(D701,55,$G$5,$H$13)/$E$5))</f>
        <v/>
      </c>
      <c r="L701" s="249" t="str">
        <f ca="1">IF(C701="","",IF($L$11="ROA",[1]!S_STM07_IS(D701,61,$G$5,$H$13)/[1]!S_STM07_BS(D701,74,$G$5,$H$13),1-[1]!S_STM07_IS(D701,61,$G$5,$H$13)/[1]!S_STM07_IS(D701,55,$G$5,$H$13)))</f>
        <v/>
      </c>
      <c r="M701" s="249" t="str">
        <f ca="1">IF(C701="","",IF($M$11="ROE",[1]!S_STM07_IS(D701,61,$G$5,$H$13)/[1]!S_STM07_BS(D701,141,$G$5,$H$13),([1]!S_STM07_BS(D701,25,$G$5,$H$13)-[1]!S_STM07_BS(D701,93,$G$5,$H$13))/$E$5))</f>
        <v/>
      </c>
      <c r="N701" s="250" t="str">
        <f ca="1">IF(C701="","",IF($N$11="EPS",[1]!S_STM07_IS(D701,61,$G$5,$H$13)/IF([1]!S_SHARE_TOTAL(D701,$G$5)=0,[1]!S_SHARE_TOTAL(D701,[1]!s_ipo_listeddate(D701)),[1]!S_SHARE_TOTAL(D701,$G$5)),([1]!S_STM07_BS(D701,75,$G$5,$H$13)+[1]!S_STM07_BS(D701,88,$G$5,$H$13)+[1]!S_STM07_BS(D701,94,$G$5,$H$13)+[1]!S_STM07_BS(D701,95,$G$5,$H$13))/$E$5))</f>
        <v/>
      </c>
      <c r="O701" s="250" t="str">
        <f ca="1">IF(C701="","",IF($O$11="BPS",[1]!S_STM07_BS(D701,141,$G$5,$H$13)/IF([1]!S_SHARE_TOTAL(D701,$G$5)=0,[1]!S_SHARE_TOTAL(D701,[1]!s_ipo_listeddate(D701)),[1]!S_SHARE_TOTAL(D701,$G$5)),[1]!S_STM07_CS(D701,49,$G$5,$H$13)/$E$5))</f>
        <v/>
      </c>
      <c r="P701" s="250" t="str">
        <f ca="1">IF(C701="","",IF($P$11="CFPS",[1]!S_STM07_CS(D701,84,$G$5,$H$13)/IF([1]!S_SHARE_TOTAL(D701,$G$5)=0,[1]!S_SHARE_TOTAL(D701,[1]!s_ipo_listeddate(D701)),[1]!S_SHARE_TOTAL(D701,$G$5)),[1]!S_STM07_CS(D701,84,$G$5,$H$13)/$E$5))</f>
        <v/>
      </c>
      <c r="Q701" s="198" t="str">
        <f ca="1">IF(C701="","",F701/([1]!S_STM07_IS(D701,61,$G$5,$H$13)/IF([1]!S_SHARE_TOTAL(D701,$G$5)=0,[1]!S_SHARE_TOTAL(D701,[1]!s_ipo_listeddate(D701)),[1]!S_SHARE_TOTAL(D701,$G$5))))</f>
        <v/>
      </c>
      <c r="R701" s="198" t="str">
        <f ca="1">IF(C701="","",F701/([1]!S_STM07_BS(D701,141,$G$5,$H$13)/IF([1]!S_SHARE_TOTAL(D701,$G$5)=0,[1]!S_SHARE_TOTAL(D701,[1]!s_ipo_listeddate(D701)),[1]!S_SHARE_TOTAL(D701,$G$5))))</f>
        <v/>
      </c>
      <c r="S701" s="249" t="str">
        <f ca="1">IF(C701="","",[1]!S_SHARE_TOTAL(D701,TODAY())/$E$5)</f>
        <v/>
      </c>
      <c r="T701" s="249" t="str">
        <f t="shared" ca="1" si="73"/>
        <v/>
      </c>
      <c r="U701" s="172" t="str">
        <f t="shared" ca="1" si="74"/>
        <v/>
      </c>
      <c r="V701" s="343" t="str">
        <f t="shared" ca="1" si="75"/>
        <v/>
      </c>
      <c r="W701" s="139"/>
      <c r="Y701" s="1"/>
    </row>
    <row r="702" spans="3:25" ht="12" customHeight="1">
      <c r="C702" s="342" t="str">
        <f t="shared" ca="1" si="70"/>
        <v/>
      </c>
      <c r="D702" s="153" t="str">
        <f t="shared" ca="1" si="71"/>
        <v/>
      </c>
      <c r="E702" s="153" t="str">
        <f t="shared" ca="1" si="72"/>
        <v/>
      </c>
      <c r="F702" s="170" t="str">
        <f ca="1">IF(C702="","",[1]!S_DQ_CLOSE(D702,TODAY(),1))</f>
        <v/>
      </c>
      <c r="G702" s="171" t="str">
        <f ca="1">IF(C702="","",[1]!s_pq_pctchange(D702,TODAY()-$G$12,TODAY())/100)</f>
        <v/>
      </c>
      <c r="H702" s="247" t="str">
        <f ca="1">IF(C702="","",IF($H$11="收入",[1]!S_STM07_IS(D702,9,$G$5,$H$13)/$E$5,[1]!S_STM07_IS(D702,48,$G$5,$H$13)/$E$5))</f>
        <v/>
      </c>
      <c r="I702" s="247" t="str">
        <f ca="1">IF(C702="","",IF($I$11="毛利率",([1]!S_STM07_IS(D702,9,$G$5,$H$13)-[1]!S_STM07_IS(D702,10,$G$5,$H$13))/[1]!S_STM07_IS(D702,9,$G$5,$H$13),[1]!S_STM07_IS(D702,14,$G$5,$H$13)/$E$5))</f>
        <v/>
      </c>
      <c r="J702" s="247" t="str">
        <f ca="1">IF(C702="","",IF($J$11="营业利润率",[1]!S_STM07_IS(D702,48,$G$5,$H$13)/[1]!S_STM07_IS(D702,9,$G$5,$H$13),([1]!S_STM07_CS(D702,87,$G$5,$H$13)+[1]!S_STM07_CS(D702,88,$G$5,$H$13)+[1]!S_STM07_CS(D702,89,$G$5,$H$13))/$E$5))</f>
        <v/>
      </c>
      <c r="K702" s="247" t="str">
        <f ca="1">IF(C702="","",IF($K$11="净利润率",[1]!S_STM07_IS(D702,61,$G$5,$H$13)/[1]!S_STM07_IS(D702,9,$G$5,$H$13),[1]!S_STM07_IS(D702,55,$G$5,$H$13)/$E$5))</f>
        <v/>
      </c>
      <c r="L702" s="247" t="str">
        <f ca="1">IF(C702="","",IF($L$11="ROA",[1]!S_STM07_IS(D702,61,$G$5,$H$13)/[1]!S_STM07_BS(D702,74,$G$5,$H$13),1-[1]!S_STM07_IS(D702,61,$G$5,$H$13)/[1]!S_STM07_IS(D702,55,$G$5,$H$13)))</f>
        <v/>
      </c>
      <c r="M702" s="247" t="str">
        <f ca="1">IF(C702="","",IF($M$11="ROE",[1]!S_STM07_IS(D702,61,$G$5,$H$13)/[1]!S_STM07_BS(D702,141,$G$5,$H$13),([1]!S_STM07_BS(D702,25,$G$5,$H$13)-[1]!S_STM07_BS(D702,93,$G$5,$H$13))/$E$5))</f>
        <v/>
      </c>
      <c r="N702" s="247" t="str">
        <f ca="1">IF(C702="","",IF($N$11="EPS",[1]!S_STM07_IS(D702,61,$G$5,$H$13)/IF([1]!S_SHARE_TOTAL(D702,$G$5)=0,[1]!S_SHARE_TOTAL(D702,[1]!s_ipo_listeddate(D702)),[1]!S_SHARE_TOTAL(D702,$G$5)),([1]!S_STM07_BS(D702,75,$G$5,$H$13)+[1]!S_STM07_BS(D702,88,$G$5,$H$13)+[1]!S_STM07_BS(D702,94,$G$5,$H$13)+[1]!S_STM07_BS(D702,95,$G$5,$H$13))/$E$5))</f>
        <v/>
      </c>
      <c r="O702" s="247" t="str">
        <f ca="1">IF(C702="","",IF($O$11="BPS",[1]!S_STM07_BS(D702,141,$G$5,$H$13)/IF([1]!S_SHARE_TOTAL(D702,$G$5)=0,[1]!S_SHARE_TOTAL(D702,[1]!s_ipo_listeddate(D702)),[1]!S_SHARE_TOTAL(D702,$G$5)),[1]!S_STM07_CS(D702,49,$G$5,$H$13)/$E$5))</f>
        <v/>
      </c>
      <c r="P702" s="247" t="str">
        <f ca="1">IF(C702="","",IF($P$11="CFPS",[1]!S_STM07_CS(D702,84,$G$5,$H$13)/IF([1]!S_SHARE_TOTAL(D702,$G$5)=0,[1]!S_SHARE_TOTAL(D702,[1]!s_ipo_listeddate(D702)),[1]!S_SHARE_TOTAL(D702,$G$5)),[1]!S_STM07_CS(D702,84,$G$5,$H$13)/$E$5))</f>
        <v/>
      </c>
      <c r="Q702" s="248" t="str">
        <f ca="1">IF(C702="","",F702/([1]!S_STM07_IS(D702,61,$G$5,$H$13)/IF([1]!S_SHARE_TOTAL(D702,$G$5)=0,[1]!S_SHARE_TOTAL(D702,[1]!s_ipo_listeddate(D702)),[1]!S_SHARE_TOTAL(D702,$G$5))))</f>
        <v/>
      </c>
      <c r="R702" s="248" t="str">
        <f ca="1">IF(C702="","",F702/([1]!S_STM07_BS(D702,141,$G$5,$H$13)/IF([1]!S_SHARE_TOTAL(D702,$G$5)=0,[1]!S_SHARE_TOTAL(D702,[1]!s_ipo_listeddate(D702)),[1]!S_SHARE_TOTAL(D702,$G$5))))</f>
        <v/>
      </c>
      <c r="S702" s="247" t="str">
        <f ca="1">IF(C702="","",[1]!S_SHARE_TOTAL(D702,TODAY())/$E$5)</f>
        <v/>
      </c>
      <c r="T702" s="247" t="str">
        <f t="shared" ca="1" si="73"/>
        <v/>
      </c>
      <c r="U702" s="218" t="str">
        <f t="shared" ca="1" si="74"/>
        <v/>
      </c>
      <c r="V702" s="342" t="str">
        <f t="shared" ca="1" si="75"/>
        <v/>
      </c>
      <c r="W702" s="139"/>
      <c r="Y702" s="1"/>
    </row>
    <row r="703" spans="3:25" ht="12" customHeight="1">
      <c r="C703" s="343" t="str">
        <f t="shared" ca="1" si="70"/>
        <v/>
      </c>
      <c r="D703" s="124" t="str">
        <f t="shared" ca="1" si="71"/>
        <v/>
      </c>
      <c r="E703" s="124" t="str">
        <f t="shared" ca="1" si="72"/>
        <v/>
      </c>
      <c r="F703" s="172" t="str">
        <f ca="1">IF(C703="","",[1]!S_DQ_CLOSE(D703,TODAY(),1))</f>
        <v/>
      </c>
      <c r="G703" s="173" t="str">
        <f ca="1">IF(C703="","",[1]!s_pq_pctchange(D703,TODAY()-$G$12,TODAY())/100)</f>
        <v/>
      </c>
      <c r="H703" s="249" t="str">
        <f ca="1">IF(C703="","",IF($H$11="收入",[1]!S_STM07_IS(D703,9,$G$5,$H$13)/$E$5,[1]!S_STM07_IS(D703,48,$G$5,$H$13)/$E$5))</f>
        <v/>
      </c>
      <c r="I703" s="249" t="str">
        <f ca="1">IF(C703="","",IF($I$11="毛利率",([1]!S_STM07_IS(D703,9,$G$5,$H$13)-[1]!S_STM07_IS(D703,10,$G$5,$H$13))/[1]!S_STM07_IS(D703,9,$G$5,$H$13),[1]!S_STM07_IS(D703,14,$G$5,$H$13)/$E$5))</f>
        <v/>
      </c>
      <c r="J703" s="249" t="str">
        <f ca="1">IF(C703="","",IF($J$11="营业利润率",[1]!S_STM07_IS(D703,48,$G$5,$H$13)/[1]!S_STM07_IS(D703,9,$G$5,$H$13),([1]!S_STM07_CS(D703,87,$G$5,$H$13)+[1]!S_STM07_CS(D703,88,$G$5,$H$13)+[1]!S_STM07_CS(D703,89,$G$5,$H$13))/$E$5))</f>
        <v/>
      </c>
      <c r="K703" s="249" t="str">
        <f ca="1">IF(C703="","",IF($K$11="净利润率",[1]!S_STM07_IS(D703,61,$G$5,$H$13)/[1]!S_STM07_IS(D703,9,$G$5,$H$13),[1]!S_STM07_IS(D703,55,$G$5,$H$13)/$E$5))</f>
        <v/>
      </c>
      <c r="L703" s="249" t="str">
        <f ca="1">IF(C703="","",IF($L$11="ROA",[1]!S_STM07_IS(D703,61,$G$5,$H$13)/[1]!S_STM07_BS(D703,74,$G$5,$H$13),1-[1]!S_STM07_IS(D703,61,$G$5,$H$13)/[1]!S_STM07_IS(D703,55,$G$5,$H$13)))</f>
        <v/>
      </c>
      <c r="M703" s="249" t="str">
        <f ca="1">IF(C703="","",IF($M$11="ROE",[1]!S_STM07_IS(D703,61,$G$5,$H$13)/[1]!S_STM07_BS(D703,141,$G$5,$H$13),([1]!S_STM07_BS(D703,25,$G$5,$H$13)-[1]!S_STM07_BS(D703,93,$G$5,$H$13))/$E$5))</f>
        <v/>
      </c>
      <c r="N703" s="250" t="str">
        <f ca="1">IF(C703="","",IF($N$11="EPS",[1]!S_STM07_IS(D703,61,$G$5,$H$13)/IF([1]!S_SHARE_TOTAL(D703,$G$5)=0,[1]!S_SHARE_TOTAL(D703,[1]!s_ipo_listeddate(D703)),[1]!S_SHARE_TOTAL(D703,$G$5)),([1]!S_STM07_BS(D703,75,$G$5,$H$13)+[1]!S_STM07_BS(D703,88,$G$5,$H$13)+[1]!S_STM07_BS(D703,94,$G$5,$H$13)+[1]!S_STM07_BS(D703,95,$G$5,$H$13))/$E$5))</f>
        <v/>
      </c>
      <c r="O703" s="250" t="str">
        <f ca="1">IF(C703="","",IF($O$11="BPS",[1]!S_STM07_BS(D703,141,$G$5,$H$13)/IF([1]!S_SHARE_TOTAL(D703,$G$5)=0,[1]!S_SHARE_TOTAL(D703,[1]!s_ipo_listeddate(D703)),[1]!S_SHARE_TOTAL(D703,$G$5)),[1]!S_STM07_CS(D703,49,$G$5,$H$13)/$E$5))</f>
        <v/>
      </c>
      <c r="P703" s="250" t="str">
        <f ca="1">IF(C703="","",IF($P$11="CFPS",[1]!S_STM07_CS(D703,84,$G$5,$H$13)/IF([1]!S_SHARE_TOTAL(D703,$G$5)=0,[1]!S_SHARE_TOTAL(D703,[1]!s_ipo_listeddate(D703)),[1]!S_SHARE_TOTAL(D703,$G$5)),[1]!S_STM07_CS(D703,84,$G$5,$H$13)/$E$5))</f>
        <v/>
      </c>
      <c r="Q703" s="198" t="str">
        <f ca="1">IF(C703="","",F703/([1]!S_STM07_IS(D703,61,$G$5,$H$13)/IF([1]!S_SHARE_TOTAL(D703,$G$5)=0,[1]!S_SHARE_TOTAL(D703,[1]!s_ipo_listeddate(D703)),[1]!S_SHARE_TOTAL(D703,$G$5))))</f>
        <v/>
      </c>
      <c r="R703" s="198" t="str">
        <f ca="1">IF(C703="","",F703/([1]!S_STM07_BS(D703,141,$G$5,$H$13)/IF([1]!S_SHARE_TOTAL(D703,$G$5)=0,[1]!S_SHARE_TOTAL(D703,[1]!s_ipo_listeddate(D703)),[1]!S_SHARE_TOTAL(D703,$G$5))))</f>
        <v/>
      </c>
      <c r="S703" s="249" t="str">
        <f ca="1">IF(C703="","",[1]!S_SHARE_TOTAL(D703,TODAY())/$E$5)</f>
        <v/>
      </c>
      <c r="T703" s="249" t="str">
        <f t="shared" ca="1" si="73"/>
        <v/>
      </c>
      <c r="U703" s="172" t="str">
        <f t="shared" ca="1" si="74"/>
        <v/>
      </c>
      <c r="V703" s="343" t="str">
        <f t="shared" ca="1" si="75"/>
        <v/>
      </c>
      <c r="W703" s="139"/>
      <c r="Y703" s="1"/>
    </row>
    <row r="704" spans="3:25" ht="12" customHeight="1">
      <c r="C704" s="342" t="str">
        <f t="shared" ca="1" si="70"/>
        <v/>
      </c>
      <c r="D704" s="153" t="str">
        <f t="shared" ca="1" si="71"/>
        <v/>
      </c>
      <c r="E704" s="153" t="str">
        <f t="shared" ca="1" si="72"/>
        <v/>
      </c>
      <c r="F704" s="170" t="str">
        <f ca="1">IF(C704="","",[1]!S_DQ_CLOSE(D704,TODAY(),1))</f>
        <v/>
      </c>
      <c r="G704" s="171" t="str">
        <f ca="1">IF(C704="","",[1]!s_pq_pctchange(D704,TODAY()-$G$12,TODAY())/100)</f>
        <v/>
      </c>
      <c r="H704" s="247" t="str">
        <f ca="1">IF(C704="","",IF($H$11="收入",[1]!S_STM07_IS(D704,9,$G$5,$H$13)/$E$5,[1]!S_STM07_IS(D704,48,$G$5,$H$13)/$E$5))</f>
        <v/>
      </c>
      <c r="I704" s="247" t="str">
        <f ca="1">IF(C704="","",IF($I$11="毛利率",([1]!S_STM07_IS(D704,9,$G$5,$H$13)-[1]!S_STM07_IS(D704,10,$G$5,$H$13))/[1]!S_STM07_IS(D704,9,$G$5,$H$13),[1]!S_STM07_IS(D704,14,$G$5,$H$13)/$E$5))</f>
        <v/>
      </c>
      <c r="J704" s="247" t="str">
        <f ca="1">IF(C704="","",IF($J$11="营业利润率",[1]!S_STM07_IS(D704,48,$G$5,$H$13)/[1]!S_STM07_IS(D704,9,$G$5,$H$13),([1]!S_STM07_CS(D704,87,$G$5,$H$13)+[1]!S_STM07_CS(D704,88,$G$5,$H$13)+[1]!S_STM07_CS(D704,89,$G$5,$H$13))/$E$5))</f>
        <v/>
      </c>
      <c r="K704" s="247" t="str">
        <f ca="1">IF(C704="","",IF($K$11="净利润率",[1]!S_STM07_IS(D704,61,$G$5,$H$13)/[1]!S_STM07_IS(D704,9,$G$5,$H$13),[1]!S_STM07_IS(D704,55,$G$5,$H$13)/$E$5))</f>
        <v/>
      </c>
      <c r="L704" s="247" t="str">
        <f ca="1">IF(C704="","",IF($L$11="ROA",[1]!S_STM07_IS(D704,61,$G$5,$H$13)/[1]!S_STM07_BS(D704,74,$G$5,$H$13),1-[1]!S_STM07_IS(D704,61,$G$5,$H$13)/[1]!S_STM07_IS(D704,55,$G$5,$H$13)))</f>
        <v/>
      </c>
      <c r="M704" s="247" t="str">
        <f ca="1">IF(C704="","",IF($M$11="ROE",[1]!S_STM07_IS(D704,61,$G$5,$H$13)/[1]!S_STM07_BS(D704,141,$G$5,$H$13),([1]!S_STM07_BS(D704,25,$G$5,$H$13)-[1]!S_STM07_BS(D704,93,$G$5,$H$13))/$E$5))</f>
        <v/>
      </c>
      <c r="N704" s="247" t="str">
        <f ca="1">IF(C704="","",IF($N$11="EPS",[1]!S_STM07_IS(D704,61,$G$5,$H$13)/IF([1]!S_SHARE_TOTAL(D704,$G$5)=0,[1]!S_SHARE_TOTAL(D704,[1]!s_ipo_listeddate(D704)),[1]!S_SHARE_TOTAL(D704,$G$5)),([1]!S_STM07_BS(D704,75,$G$5,$H$13)+[1]!S_STM07_BS(D704,88,$G$5,$H$13)+[1]!S_STM07_BS(D704,94,$G$5,$H$13)+[1]!S_STM07_BS(D704,95,$G$5,$H$13))/$E$5))</f>
        <v/>
      </c>
      <c r="O704" s="247" t="str">
        <f ca="1">IF(C704="","",IF($O$11="BPS",[1]!S_STM07_BS(D704,141,$G$5,$H$13)/IF([1]!S_SHARE_TOTAL(D704,$G$5)=0,[1]!S_SHARE_TOTAL(D704,[1]!s_ipo_listeddate(D704)),[1]!S_SHARE_TOTAL(D704,$G$5)),[1]!S_STM07_CS(D704,49,$G$5,$H$13)/$E$5))</f>
        <v/>
      </c>
      <c r="P704" s="247" t="str">
        <f ca="1">IF(C704="","",IF($P$11="CFPS",[1]!S_STM07_CS(D704,84,$G$5,$H$13)/IF([1]!S_SHARE_TOTAL(D704,$G$5)=0,[1]!S_SHARE_TOTAL(D704,[1]!s_ipo_listeddate(D704)),[1]!S_SHARE_TOTAL(D704,$G$5)),[1]!S_STM07_CS(D704,84,$G$5,$H$13)/$E$5))</f>
        <v/>
      </c>
      <c r="Q704" s="248" t="str">
        <f ca="1">IF(C704="","",F704/([1]!S_STM07_IS(D704,61,$G$5,$H$13)/IF([1]!S_SHARE_TOTAL(D704,$G$5)=0,[1]!S_SHARE_TOTAL(D704,[1]!s_ipo_listeddate(D704)),[1]!S_SHARE_TOTAL(D704,$G$5))))</f>
        <v/>
      </c>
      <c r="R704" s="248" t="str">
        <f ca="1">IF(C704="","",F704/([1]!S_STM07_BS(D704,141,$G$5,$H$13)/IF([1]!S_SHARE_TOTAL(D704,$G$5)=0,[1]!S_SHARE_TOTAL(D704,[1]!s_ipo_listeddate(D704)),[1]!S_SHARE_TOTAL(D704,$G$5))))</f>
        <v/>
      </c>
      <c r="S704" s="247" t="str">
        <f ca="1">IF(C704="","",[1]!S_SHARE_TOTAL(D704,TODAY())/$E$5)</f>
        <v/>
      </c>
      <c r="T704" s="247" t="str">
        <f t="shared" ca="1" si="73"/>
        <v/>
      </c>
      <c r="U704" s="218" t="str">
        <f t="shared" ca="1" si="74"/>
        <v/>
      </c>
      <c r="V704" s="342" t="str">
        <f t="shared" ca="1" si="75"/>
        <v/>
      </c>
      <c r="W704" s="139"/>
      <c r="Y704" s="1"/>
    </row>
    <row r="705" spans="3:25" ht="12" customHeight="1">
      <c r="C705" s="343" t="str">
        <f t="shared" ca="1" si="70"/>
        <v/>
      </c>
      <c r="D705" s="124" t="str">
        <f t="shared" ca="1" si="71"/>
        <v/>
      </c>
      <c r="E705" s="124" t="str">
        <f t="shared" ca="1" si="72"/>
        <v/>
      </c>
      <c r="F705" s="172" t="str">
        <f ca="1">IF(C705="","",[1]!S_DQ_CLOSE(D705,TODAY(),1))</f>
        <v/>
      </c>
      <c r="G705" s="173" t="str">
        <f ca="1">IF(C705="","",[1]!s_pq_pctchange(D705,TODAY()-$G$12,TODAY())/100)</f>
        <v/>
      </c>
      <c r="H705" s="249" t="str">
        <f ca="1">IF(C705="","",IF($H$11="收入",[1]!S_STM07_IS(D705,9,$G$5,$H$13)/$E$5,[1]!S_STM07_IS(D705,48,$G$5,$H$13)/$E$5))</f>
        <v/>
      </c>
      <c r="I705" s="249" t="str">
        <f ca="1">IF(C705="","",IF($I$11="毛利率",([1]!S_STM07_IS(D705,9,$G$5,$H$13)-[1]!S_STM07_IS(D705,10,$G$5,$H$13))/[1]!S_STM07_IS(D705,9,$G$5,$H$13),[1]!S_STM07_IS(D705,14,$G$5,$H$13)/$E$5))</f>
        <v/>
      </c>
      <c r="J705" s="249" t="str">
        <f ca="1">IF(C705="","",IF($J$11="营业利润率",[1]!S_STM07_IS(D705,48,$G$5,$H$13)/[1]!S_STM07_IS(D705,9,$G$5,$H$13),([1]!S_STM07_CS(D705,87,$G$5,$H$13)+[1]!S_STM07_CS(D705,88,$G$5,$H$13)+[1]!S_STM07_CS(D705,89,$G$5,$H$13))/$E$5))</f>
        <v/>
      </c>
      <c r="K705" s="249" t="str">
        <f ca="1">IF(C705="","",IF($K$11="净利润率",[1]!S_STM07_IS(D705,61,$G$5,$H$13)/[1]!S_STM07_IS(D705,9,$G$5,$H$13),[1]!S_STM07_IS(D705,55,$G$5,$H$13)/$E$5))</f>
        <v/>
      </c>
      <c r="L705" s="249" t="str">
        <f ca="1">IF(C705="","",IF($L$11="ROA",[1]!S_STM07_IS(D705,61,$G$5,$H$13)/[1]!S_STM07_BS(D705,74,$G$5,$H$13),1-[1]!S_STM07_IS(D705,61,$G$5,$H$13)/[1]!S_STM07_IS(D705,55,$G$5,$H$13)))</f>
        <v/>
      </c>
      <c r="M705" s="249" t="str">
        <f ca="1">IF(C705="","",IF($M$11="ROE",[1]!S_STM07_IS(D705,61,$G$5,$H$13)/[1]!S_STM07_BS(D705,141,$G$5,$H$13),([1]!S_STM07_BS(D705,25,$G$5,$H$13)-[1]!S_STM07_BS(D705,93,$G$5,$H$13))/$E$5))</f>
        <v/>
      </c>
      <c r="N705" s="250" t="str">
        <f ca="1">IF(C705="","",IF($N$11="EPS",[1]!S_STM07_IS(D705,61,$G$5,$H$13)/IF([1]!S_SHARE_TOTAL(D705,$G$5)=0,[1]!S_SHARE_TOTAL(D705,[1]!s_ipo_listeddate(D705)),[1]!S_SHARE_TOTAL(D705,$G$5)),([1]!S_STM07_BS(D705,75,$G$5,$H$13)+[1]!S_STM07_BS(D705,88,$G$5,$H$13)+[1]!S_STM07_BS(D705,94,$G$5,$H$13)+[1]!S_STM07_BS(D705,95,$G$5,$H$13))/$E$5))</f>
        <v/>
      </c>
      <c r="O705" s="250" t="str">
        <f ca="1">IF(C705="","",IF($O$11="BPS",[1]!S_STM07_BS(D705,141,$G$5,$H$13)/IF([1]!S_SHARE_TOTAL(D705,$G$5)=0,[1]!S_SHARE_TOTAL(D705,[1]!s_ipo_listeddate(D705)),[1]!S_SHARE_TOTAL(D705,$G$5)),[1]!S_STM07_CS(D705,49,$G$5,$H$13)/$E$5))</f>
        <v/>
      </c>
      <c r="P705" s="250" t="str">
        <f ca="1">IF(C705="","",IF($P$11="CFPS",[1]!S_STM07_CS(D705,84,$G$5,$H$13)/IF([1]!S_SHARE_TOTAL(D705,$G$5)=0,[1]!S_SHARE_TOTAL(D705,[1]!s_ipo_listeddate(D705)),[1]!S_SHARE_TOTAL(D705,$G$5)),[1]!S_STM07_CS(D705,84,$G$5,$H$13)/$E$5))</f>
        <v/>
      </c>
      <c r="Q705" s="198" t="str">
        <f ca="1">IF(C705="","",F705/([1]!S_STM07_IS(D705,61,$G$5,$H$13)/IF([1]!S_SHARE_TOTAL(D705,$G$5)=0,[1]!S_SHARE_TOTAL(D705,[1]!s_ipo_listeddate(D705)),[1]!S_SHARE_TOTAL(D705,$G$5))))</f>
        <v/>
      </c>
      <c r="R705" s="198" t="str">
        <f ca="1">IF(C705="","",F705/([1]!S_STM07_BS(D705,141,$G$5,$H$13)/IF([1]!S_SHARE_TOTAL(D705,$G$5)=0,[1]!S_SHARE_TOTAL(D705,[1]!s_ipo_listeddate(D705)),[1]!S_SHARE_TOTAL(D705,$G$5))))</f>
        <v/>
      </c>
      <c r="S705" s="249" t="str">
        <f ca="1">IF(C705="","",[1]!S_SHARE_TOTAL(D705,TODAY())/$E$5)</f>
        <v/>
      </c>
      <c r="T705" s="249" t="str">
        <f t="shared" ca="1" si="73"/>
        <v/>
      </c>
      <c r="U705" s="172" t="str">
        <f t="shared" ca="1" si="74"/>
        <v/>
      </c>
      <c r="V705" s="343" t="str">
        <f t="shared" ca="1" si="75"/>
        <v/>
      </c>
      <c r="W705" s="139"/>
      <c r="Y705" s="1"/>
    </row>
    <row r="706" spans="3:25" ht="12" customHeight="1">
      <c r="C706" s="342" t="str">
        <f t="shared" ca="1" si="70"/>
        <v/>
      </c>
      <c r="D706" s="153" t="str">
        <f t="shared" ca="1" si="71"/>
        <v/>
      </c>
      <c r="E706" s="153" t="str">
        <f t="shared" ca="1" si="72"/>
        <v/>
      </c>
      <c r="F706" s="170" t="str">
        <f ca="1">IF(C706="","",[1]!S_DQ_CLOSE(D706,TODAY(),1))</f>
        <v/>
      </c>
      <c r="G706" s="171" t="str">
        <f ca="1">IF(C706="","",[1]!s_pq_pctchange(D706,TODAY()-$G$12,TODAY())/100)</f>
        <v/>
      </c>
      <c r="H706" s="247" t="str">
        <f ca="1">IF(C706="","",IF($H$11="收入",[1]!S_STM07_IS(D706,9,$G$5,$H$13)/$E$5,[1]!S_STM07_IS(D706,48,$G$5,$H$13)/$E$5))</f>
        <v/>
      </c>
      <c r="I706" s="247" t="str">
        <f ca="1">IF(C706="","",IF($I$11="毛利率",([1]!S_STM07_IS(D706,9,$G$5,$H$13)-[1]!S_STM07_IS(D706,10,$G$5,$H$13))/[1]!S_STM07_IS(D706,9,$G$5,$H$13),[1]!S_STM07_IS(D706,14,$G$5,$H$13)/$E$5))</f>
        <v/>
      </c>
      <c r="J706" s="247" t="str">
        <f ca="1">IF(C706="","",IF($J$11="营业利润率",[1]!S_STM07_IS(D706,48,$G$5,$H$13)/[1]!S_STM07_IS(D706,9,$G$5,$H$13),([1]!S_STM07_CS(D706,87,$G$5,$H$13)+[1]!S_STM07_CS(D706,88,$G$5,$H$13)+[1]!S_STM07_CS(D706,89,$G$5,$H$13))/$E$5))</f>
        <v/>
      </c>
      <c r="K706" s="247" t="str">
        <f ca="1">IF(C706="","",IF($K$11="净利润率",[1]!S_STM07_IS(D706,61,$G$5,$H$13)/[1]!S_STM07_IS(D706,9,$G$5,$H$13),[1]!S_STM07_IS(D706,55,$G$5,$H$13)/$E$5))</f>
        <v/>
      </c>
      <c r="L706" s="247" t="str">
        <f ca="1">IF(C706="","",IF($L$11="ROA",[1]!S_STM07_IS(D706,61,$G$5,$H$13)/[1]!S_STM07_BS(D706,74,$G$5,$H$13),1-[1]!S_STM07_IS(D706,61,$G$5,$H$13)/[1]!S_STM07_IS(D706,55,$G$5,$H$13)))</f>
        <v/>
      </c>
      <c r="M706" s="247" t="str">
        <f ca="1">IF(C706="","",IF($M$11="ROE",[1]!S_STM07_IS(D706,61,$G$5,$H$13)/[1]!S_STM07_BS(D706,141,$G$5,$H$13),([1]!S_STM07_BS(D706,25,$G$5,$H$13)-[1]!S_STM07_BS(D706,93,$G$5,$H$13))/$E$5))</f>
        <v/>
      </c>
      <c r="N706" s="247" t="str">
        <f ca="1">IF(C706="","",IF($N$11="EPS",[1]!S_STM07_IS(D706,61,$G$5,$H$13)/IF([1]!S_SHARE_TOTAL(D706,$G$5)=0,[1]!S_SHARE_TOTAL(D706,[1]!s_ipo_listeddate(D706)),[1]!S_SHARE_TOTAL(D706,$G$5)),([1]!S_STM07_BS(D706,75,$G$5,$H$13)+[1]!S_STM07_BS(D706,88,$G$5,$H$13)+[1]!S_STM07_BS(D706,94,$G$5,$H$13)+[1]!S_STM07_BS(D706,95,$G$5,$H$13))/$E$5))</f>
        <v/>
      </c>
      <c r="O706" s="247" t="str">
        <f ca="1">IF(C706="","",IF($O$11="BPS",[1]!S_STM07_BS(D706,141,$G$5,$H$13)/IF([1]!S_SHARE_TOTAL(D706,$G$5)=0,[1]!S_SHARE_TOTAL(D706,[1]!s_ipo_listeddate(D706)),[1]!S_SHARE_TOTAL(D706,$G$5)),[1]!S_STM07_CS(D706,49,$G$5,$H$13)/$E$5))</f>
        <v/>
      </c>
      <c r="P706" s="247" t="str">
        <f ca="1">IF(C706="","",IF($P$11="CFPS",[1]!S_STM07_CS(D706,84,$G$5,$H$13)/IF([1]!S_SHARE_TOTAL(D706,$G$5)=0,[1]!S_SHARE_TOTAL(D706,[1]!s_ipo_listeddate(D706)),[1]!S_SHARE_TOTAL(D706,$G$5)),[1]!S_STM07_CS(D706,84,$G$5,$H$13)/$E$5))</f>
        <v/>
      </c>
      <c r="Q706" s="248" t="str">
        <f ca="1">IF(C706="","",F706/([1]!S_STM07_IS(D706,61,$G$5,$H$13)/IF([1]!S_SHARE_TOTAL(D706,$G$5)=0,[1]!S_SHARE_TOTAL(D706,[1]!s_ipo_listeddate(D706)),[1]!S_SHARE_TOTAL(D706,$G$5))))</f>
        <v/>
      </c>
      <c r="R706" s="248" t="str">
        <f ca="1">IF(C706="","",F706/([1]!S_STM07_BS(D706,141,$G$5,$H$13)/IF([1]!S_SHARE_TOTAL(D706,$G$5)=0,[1]!S_SHARE_TOTAL(D706,[1]!s_ipo_listeddate(D706)),[1]!S_SHARE_TOTAL(D706,$G$5))))</f>
        <v/>
      </c>
      <c r="S706" s="247" t="str">
        <f ca="1">IF(C706="","",[1]!S_SHARE_TOTAL(D706,TODAY())/$E$5)</f>
        <v/>
      </c>
      <c r="T706" s="247" t="str">
        <f t="shared" ca="1" si="73"/>
        <v/>
      </c>
      <c r="U706" s="218" t="str">
        <f t="shared" ca="1" si="74"/>
        <v/>
      </c>
      <c r="V706" s="342" t="str">
        <f t="shared" ca="1" si="75"/>
        <v/>
      </c>
      <c r="W706" s="139"/>
      <c r="Y706" s="1"/>
    </row>
    <row r="707" spans="3:25" ht="12" customHeight="1">
      <c r="C707" s="343" t="str">
        <f t="shared" ca="1" si="70"/>
        <v/>
      </c>
      <c r="D707" s="124" t="str">
        <f t="shared" ca="1" si="71"/>
        <v/>
      </c>
      <c r="E707" s="124" t="str">
        <f t="shared" ca="1" si="72"/>
        <v/>
      </c>
      <c r="F707" s="172" t="str">
        <f ca="1">IF(C707="","",[1]!S_DQ_CLOSE(D707,TODAY(),1))</f>
        <v/>
      </c>
      <c r="G707" s="173" t="str">
        <f ca="1">IF(C707="","",[1]!s_pq_pctchange(D707,TODAY()-$G$12,TODAY())/100)</f>
        <v/>
      </c>
      <c r="H707" s="249" t="str">
        <f ca="1">IF(C707="","",IF($H$11="收入",[1]!S_STM07_IS(D707,9,$G$5,$H$13)/$E$5,[1]!S_STM07_IS(D707,48,$G$5,$H$13)/$E$5))</f>
        <v/>
      </c>
      <c r="I707" s="249" t="str">
        <f ca="1">IF(C707="","",IF($I$11="毛利率",([1]!S_STM07_IS(D707,9,$G$5,$H$13)-[1]!S_STM07_IS(D707,10,$G$5,$H$13))/[1]!S_STM07_IS(D707,9,$G$5,$H$13),[1]!S_STM07_IS(D707,14,$G$5,$H$13)/$E$5))</f>
        <v/>
      </c>
      <c r="J707" s="249" t="str">
        <f ca="1">IF(C707="","",IF($J$11="营业利润率",[1]!S_STM07_IS(D707,48,$G$5,$H$13)/[1]!S_STM07_IS(D707,9,$G$5,$H$13),([1]!S_STM07_CS(D707,87,$G$5,$H$13)+[1]!S_STM07_CS(D707,88,$G$5,$H$13)+[1]!S_STM07_CS(D707,89,$G$5,$H$13))/$E$5))</f>
        <v/>
      </c>
      <c r="K707" s="249" t="str">
        <f ca="1">IF(C707="","",IF($K$11="净利润率",[1]!S_STM07_IS(D707,61,$G$5,$H$13)/[1]!S_STM07_IS(D707,9,$G$5,$H$13),[1]!S_STM07_IS(D707,55,$G$5,$H$13)/$E$5))</f>
        <v/>
      </c>
      <c r="L707" s="249" t="str">
        <f ca="1">IF(C707="","",IF($L$11="ROA",[1]!S_STM07_IS(D707,61,$G$5,$H$13)/[1]!S_STM07_BS(D707,74,$G$5,$H$13),1-[1]!S_STM07_IS(D707,61,$G$5,$H$13)/[1]!S_STM07_IS(D707,55,$G$5,$H$13)))</f>
        <v/>
      </c>
      <c r="M707" s="249" t="str">
        <f ca="1">IF(C707="","",IF($M$11="ROE",[1]!S_STM07_IS(D707,61,$G$5,$H$13)/[1]!S_STM07_BS(D707,141,$G$5,$H$13),([1]!S_STM07_BS(D707,25,$G$5,$H$13)-[1]!S_STM07_BS(D707,93,$G$5,$H$13))/$E$5))</f>
        <v/>
      </c>
      <c r="N707" s="250" t="str">
        <f ca="1">IF(C707="","",IF($N$11="EPS",[1]!S_STM07_IS(D707,61,$G$5,$H$13)/IF([1]!S_SHARE_TOTAL(D707,$G$5)=0,[1]!S_SHARE_TOTAL(D707,[1]!s_ipo_listeddate(D707)),[1]!S_SHARE_TOTAL(D707,$G$5)),([1]!S_STM07_BS(D707,75,$G$5,$H$13)+[1]!S_STM07_BS(D707,88,$G$5,$H$13)+[1]!S_STM07_BS(D707,94,$G$5,$H$13)+[1]!S_STM07_BS(D707,95,$G$5,$H$13))/$E$5))</f>
        <v/>
      </c>
      <c r="O707" s="250" t="str">
        <f ca="1">IF(C707="","",IF($O$11="BPS",[1]!S_STM07_BS(D707,141,$G$5,$H$13)/IF([1]!S_SHARE_TOTAL(D707,$G$5)=0,[1]!S_SHARE_TOTAL(D707,[1]!s_ipo_listeddate(D707)),[1]!S_SHARE_TOTAL(D707,$G$5)),[1]!S_STM07_CS(D707,49,$G$5,$H$13)/$E$5))</f>
        <v/>
      </c>
      <c r="P707" s="250" t="str">
        <f ca="1">IF(C707="","",IF($P$11="CFPS",[1]!S_STM07_CS(D707,84,$G$5,$H$13)/IF([1]!S_SHARE_TOTAL(D707,$G$5)=0,[1]!S_SHARE_TOTAL(D707,[1]!s_ipo_listeddate(D707)),[1]!S_SHARE_TOTAL(D707,$G$5)),[1]!S_STM07_CS(D707,84,$G$5,$H$13)/$E$5))</f>
        <v/>
      </c>
      <c r="Q707" s="198" t="str">
        <f ca="1">IF(C707="","",F707/([1]!S_STM07_IS(D707,61,$G$5,$H$13)/IF([1]!S_SHARE_TOTAL(D707,$G$5)=0,[1]!S_SHARE_TOTAL(D707,[1]!s_ipo_listeddate(D707)),[1]!S_SHARE_TOTAL(D707,$G$5))))</f>
        <v/>
      </c>
      <c r="R707" s="198" t="str">
        <f ca="1">IF(C707="","",F707/([1]!S_STM07_BS(D707,141,$G$5,$H$13)/IF([1]!S_SHARE_TOTAL(D707,$G$5)=0,[1]!S_SHARE_TOTAL(D707,[1]!s_ipo_listeddate(D707)),[1]!S_SHARE_TOTAL(D707,$G$5))))</f>
        <v/>
      </c>
      <c r="S707" s="249" t="str">
        <f ca="1">IF(C707="","",[1]!S_SHARE_TOTAL(D707,TODAY())/$E$5)</f>
        <v/>
      </c>
      <c r="T707" s="249" t="str">
        <f t="shared" ca="1" si="73"/>
        <v/>
      </c>
      <c r="U707" s="172" t="str">
        <f t="shared" ca="1" si="74"/>
        <v/>
      </c>
      <c r="V707" s="343" t="str">
        <f t="shared" ca="1" si="75"/>
        <v/>
      </c>
      <c r="W707" s="139"/>
      <c r="Y707" s="1"/>
    </row>
    <row r="708" spans="3:25" ht="12" customHeight="1">
      <c r="C708" s="342" t="str">
        <f t="shared" ca="1" si="70"/>
        <v/>
      </c>
      <c r="D708" s="153" t="str">
        <f t="shared" ca="1" si="71"/>
        <v/>
      </c>
      <c r="E708" s="153" t="str">
        <f t="shared" ca="1" si="72"/>
        <v/>
      </c>
      <c r="F708" s="170" t="str">
        <f ca="1">IF(C708="","",[1]!S_DQ_CLOSE(D708,TODAY(),1))</f>
        <v/>
      </c>
      <c r="G708" s="171" t="str">
        <f ca="1">IF(C708="","",[1]!s_pq_pctchange(D708,TODAY()-$G$12,TODAY())/100)</f>
        <v/>
      </c>
      <c r="H708" s="247" t="str">
        <f ca="1">IF(C708="","",IF($H$11="收入",[1]!S_STM07_IS(D708,9,$G$5,$H$13)/$E$5,[1]!S_STM07_IS(D708,48,$G$5,$H$13)/$E$5))</f>
        <v/>
      </c>
      <c r="I708" s="247" t="str">
        <f ca="1">IF(C708="","",IF($I$11="毛利率",([1]!S_STM07_IS(D708,9,$G$5,$H$13)-[1]!S_STM07_IS(D708,10,$G$5,$H$13))/[1]!S_STM07_IS(D708,9,$G$5,$H$13),[1]!S_STM07_IS(D708,14,$G$5,$H$13)/$E$5))</f>
        <v/>
      </c>
      <c r="J708" s="247" t="str">
        <f ca="1">IF(C708="","",IF($J$11="营业利润率",[1]!S_STM07_IS(D708,48,$G$5,$H$13)/[1]!S_STM07_IS(D708,9,$G$5,$H$13),([1]!S_STM07_CS(D708,87,$G$5,$H$13)+[1]!S_STM07_CS(D708,88,$G$5,$H$13)+[1]!S_STM07_CS(D708,89,$G$5,$H$13))/$E$5))</f>
        <v/>
      </c>
      <c r="K708" s="247" t="str">
        <f ca="1">IF(C708="","",IF($K$11="净利润率",[1]!S_STM07_IS(D708,61,$G$5,$H$13)/[1]!S_STM07_IS(D708,9,$G$5,$H$13),[1]!S_STM07_IS(D708,55,$G$5,$H$13)/$E$5))</f>
        <v/>
      </c>
      <c r="L708" s="247" t="str">
        <f ca="1">IF(C708="","",IF($L$11="ROA",[1]!S_STM07_IS(D708,61,$G$5,$H$13)/[1]!S_STM07_BS(D708,74,$G$5,$H$13),1-[1]!S_STM07_IS(D708,61,$G$5,$H$13)/[1]!S_STM07_IS(D708,55,$G$5,$H$13)))</f>
        <v/>
      </c>
      <c r="M708" s="247" t="str">
        <f ca="1">IF(C708="","",IF($M$11="ROE",[1]!S_STM07_IS(D708,61,$G$5,$H$13)/[1]!S_STM07_BS(D708,141,$G$5,$H$13),([1]!S_STM07_BS(D708,25,$G$5,$H$13)-[1]!S_STM07_BS(D708,93,$G$5,$H$13))/$E$5))</f>
        <v/>
      </c>
      <c r="N708" s="247" t="str">
        <f ca="1">IF(C708="","",IF($N$11="EPS",[1]!S_STM07_IS(D708,61,$G$5,$H$13)/IF([1]!S_SHARE_TOTAL(D708,$G$5)=0,[1]!S_SHARE_TOTAL(D708,[1]!s_ipo_listeddate(D708)),[1]!S_SHARE_TOTAL(D708,$G$5)),([1]!S_STM07_BS(D708,75,$G$5,$H$13)+[1]!S_STM07_BS(D708,88,$G$5,$H$13)+[1]!S_STM07_BS(D708,94,$G$5,$H$13)+[1]!S_STM07_BS(D708,95,$G$5,$H$13))/$E$5))</f>
        <v/>
      </c>
      <c r="O708" s="247" t="str">
        <f ca="1">IF(C708="","",IF($O$11="BPS",[1]!S_STM07_BS(D708,141,$G$5,$H$13)/IF([1]!S_SHARE_TOTAL(D708,$G$5)=0,[1]!S_SHARE_TOTAL(D708,[1]!s_ipo_listeddate(D708)),[1]!S_SHARE_TOTAL(D708,$G$5)),[1]!S_STM07_CS(D708,49,$G$5,$H$13)/$E$5))</f>
        <v/>
      </c>
      <c r="P708" s="247" t="str">
        <f ca="1">IF(C708="","",IF($P$11="CFPS",[1]!S_STM07_CS(D708,84,$G$5,$H$13)/IF([1]!S_SHARE_TOTAL(D708,$G$5)=0,[1]!S_SHARE_TOTAL(D708,[1]!s_ipo_listeddate(D708)),[1]!S_SHARE_TOTAL(D708,$G$5)),[1]!S_STM07_CS(D708,84,$G$5,$H$13)/$E$5))</f>
        <v/>
      </c>
      <c r="Q708" s="248" t="str">
        <f ca="1">IF(C708="","",F708/([1]!S_STM07_IS(D708,61,$G$5,$H$13)/IF([1]!S_SHARE_TOTAL(D708,$G$5)=0,[1]!S_SHARE_TOTAL(D708,[1]!s_ipo_listeddate(D708)),[1]!S_SHARE_TOTAL(D708,$G$5))))</f>
        <v/>
      </c>
      <c r="R708" s="248" t="str">
        <f ca="1">IF(C708="","",F708/([1]!S_STM07_BS(D708,141,$G$5,$H$13)/IF([1]!S_SHARE_TOTAL(D708,$G$5)=0,[1]!S_SHARE_TOTAL(D708,[1]!s_ipo_listeddate(D708)),[1]!S_SHARE_TOTAL(D708,$G$5))))</f>
        <v/>
      </c>
      <c r="S708" s="247" t="str">
        <f ca="1">IF(C708="","",[1]!S_SHARE_TOTAL(D708,TODAY())/$E$5)</f>
        <v/>
      </c>
      <c r="T708" s="247" t="str">
        <f t="shared" ca="1" si="73"/>
        <v/>
      </c>
      <c r="U708" s="218" t="str">
        <f t="shared" ca="1" si="74"/>
        <v/>
      </c>
      <c r="V708" s="342" t="str">
        <f t="shared" ca="1" si="75"/>
        <v/>
      </c>
      <c r="W708" s="139"/>
      <c r="Y708" s="1"/>
    </row>
    <row r="709" spans="3:25" ht="12" customHeight="1">
      <c r="C709" s="343" t="str">
        <f t="shared" ca="1" si="70"/>
        <v/>
      </c>
      <c r="D709" s="124" t="str">
        <f t="shared" ca="1" si="71"/>
        <v/>
      </c>
      <c r="E709" s="124" t="str">
        <f t="shared" ca="1" si="72"/>
        <v/>
      </c>
      <c r="F709" s="172" t="str">
        <f ca="1">IF(C709="","",[1]!S_DQ_CLOSE(D709,TODAY(),1))</f>
        <v/>
      </c>
      <c r="G709" s="173" t="str">
        <f ca="1">IF(C709="","",[1]!s_pq_pctchange(D709,TODAY()-$G$12,TODAY())/100)</f>
        <v/>
      </c>
      <c r="H709" s="249" t="str">
        <f ca="1">IF(C709="","",IF($H$11="收入",[1]!S_STM07_IS(D709,9,$G$5,$H$13)/$E$5,[1]!S_STM07_IS(D709,48,$G$5,$H$13)/$E$5))</f>
        <v/>
      </c>
      <c r="I709" s="249" t="str">
        <f ca="1">IF(C709="","",IF($I$11="毛利率",([1]!S_STM07_IS(D709,9,$G$5,$H$13)-[1]!S_STM07_IS(D709,10,$G$5,$H$13))/[1]!S_STM07_IS(D709,9,$G$5,$H$13),[1]!S_STM07_IS(D709,14,$G$5,$H$13)/$E$5))</f>
        <v/>
      </c>
      <c r="J709" s="249" t="str">
        <f ca="1">IF(C709="","",IF($J$11="营业利润率",[1]!S_STM07_IS(D709,48,$G$5,$H$13)/[1]!S_STM07_IS(D709,9,$G$5,$H$13),([1]!S_STM07_CS(D709,87,$G$5,$H$13)+[1]!S_STM07_CS(D709,88,$G$5,$H$13)+[1]!S_STM07_CS(D709,89,$G$5,$H$13))/$E$5))</f>
        <v/>
      </c>
      <c r="K709" s="249" t="str">
        <f ca="1">IF(C709="","",IF($K$11="净利润率",[1]!S_STM07_IS(D709,61,$G$5,$H$13)/[1]!S_STM07_IS(D709,9,$G$5,$H$13),[1]!S_STM07_IS(D709,55,$G$5,$H$13)/$E$5))</f>
        <v/>
      </c>
      <c r="L709" s="249" t="str">
        <f ca="1">IF(C709="","",IF($L$11="ROA",[1]!S_STM07_IS(D709,61,$G$5,$H$13)/[1]!S_STM07_BS(D709,74,$G$5,$H$13),1-[1]!S_STM07_IS(D709,61,$G$5,$H$13)/[1]!S_STM07_IS(D709,55,$G$5,$H$13)))</f>
        <v/>
      </c>
      <c r="M709" s="249" t="str">
        <f ca="1">IF(C709="","",IF($M$11="ROE",[1]!S_STM07_IS(D709,61,$G$5,$H$13)/[1]!S_STM07_BS(D709,141,$G$5,$H$13),([1]!S_STM07_BS(D709,25,$G$5,$H$13)-[1]!S_STM07_BS(D709,93,$G$5,$H$13))/$E$5))</f>
        <v/>
      </c>
      <c r="N709" s="250" t="str">
        <f ca="1">IF(C709="","",IF($N$11="EPS",[1]!S_STM07_IS(D709,61,$G$5,$H$13)/IF([1]!S_SHARE_TOTAL(D709,$G$5)=0,[1]!S_SHARE_TOTAL(D709,[1]!s_ipo_listeddate(D709)),[1]!S_SHARE_TOTAL(D709,$G$5)),([1]!S_STM07_BS(D709,75,$G$5,$H$13)+[1]!S_STM07_BS(D709,88,$G$5,$H$13)+[1]!S_STM07_BS(D709,94,$G$5,$H$13)+[1]!S_STM07_BS(D709,95,$G$5,$H$13))/$E$5))</f>
        <v/>
      </c>
      <c r="O709" s="250" t="str">
        <f ca="1">IF(C709="","",IF($O$11="BPS",[1]!S_STM07_BS(D709,141,$G$5,$H$13)/IF([1]!S_SHARE_TOTAL(D709,$G$5)=0,[1]!S_SHARE_TOTAL(D709,[1]!s_ipo_listeddate(D709)),[1]!S_SHARE_TOTAL(D709,$G$5)),[1]!S_STM07_CS(D709,49,$G$5,$H$13)/$E$5))</f>
        <v/>
      </c>
      <c r="P709" s="250" t="str">
        <f ca="1">IF(C709="","",IF($P$11="CFPS",[1]!S_STM07_CS(D709,84,$G$5,$H$13)/IF([1]!S_SHARE_TOTAL(D709,$G$5)=0,[1]!S_SHARE_TOTAL(D709,[1]!s_ipo_listeddate(D709)),[1]!S_SHARE_TOTAL(D709,$G$5)),[1]!S_STM07_CS(D709,84,$G$5,$H$13)/$E$5))</f>
        <v/>
      </c>
      <c r="Q709" s="198" t="str">
        <f ca="1">IF(C709="","",F709/([1]!S_STM07_IS(D709,61,$G$5,$H$13)/IF([1]!S_SHARE_TOTAL(D709,$G$5)=0,[1]!S_SHARE_TOTAL(D709,[1]!s_ipo_listeddate(D709)),[1]!S_SHARE_TOTAL(D709,$G$5))))</f>
        <v/>
      </c>
      <c r="R709" s="198" t="str">
        <f ca="1">IF(C709="","",F709/([1]!S_STM07_BS(D709,141,$G$5,$H$13)/IF([1]!S_SHARE_TOTAL(D709,$G$5)=0,[1]!S_SHARE_TOTAL(D709,[1]!s_ipo_listeddate(D709)),[1]!S_SHARE_TOTAL(D709,$G$5))))</f>
        <v/>
      </c>
      <c r="S709" s="249" t="str">
        <f ca="1">IF(C709="","",[1]!S_SHARE_TOTAL(D709,TODAY())/$E$5)</f>
        <v/>
      </c>
      <c r="T709" s="249" t="str">
        <f t="shared" ca="1" si="73"/>
        <v/>
      </c>
      <c r="U709" s="172" t="str">
        <f t="shared" ca="1" si="74"/>
        <v/>
      </c>
      <c r="V709" s="343" t="str">
        <f t="shared" ca="1" si="75"/>
        <v/>
      </c>
      <c r="W709" s="139"/>
      <c r="Y709" s="1"/>
    </row>
    <row r="710" spans="3:25" ht="12" customHeight="1">
      <c r="C710" s="342" t="str">
        <f t="shared" ca="1" si="70"/>
        <v/>
      </c>
      <c r="D710" s="153" t="str">
        <f t="shared" ca="1" si="71"/>
        <v/>
      </c>
      <c r="E710" s="153" t="str">
        <f t="shared" ca="1" si="72"/>
        <v/>
      </c>
      <c r="F710" s="170" t="str">
        <f ca="1">IF(C710="","",[1]!S_DQ_CLOSE(D710,TODAY(),1))</f>
        <v/>
      </c>
      <c r="G710" s="171" t="str">
        <f ca="1">IF(C710="","",[1]!s_pq_pctchange(D710,TODAY()-$G$12,TODAY())/100)</f>
        <v/>
      </c>
      <c r="H710" s="247" t="str">
        <f ca="1">IF(C710="","",IF($H$11="收入",[1]!S_STM07_IS(D710,9,$G$5,$H$13)/$E$5,[1]!S_STM07_IS(D710,48,$G$5,$H$13)/$E$5))</f>
        <v/>
      </c>
      <c r="I710" s="247" t="str">
        <f ca="1">IF(C710="","",IF($I$11="毛利率",([1]!S_STM07_IS(D710,9,$G$5,$H$13)-[1]!S_STM07_IS(D710,10,$G$5,$H$13))/[1]!S_STM07_IS(D710,9,$G$5,$H$13),[1]!S_STM07_IS(D710,14,$G$5,$H$13)/$E$5))</f>
        <v/>
      </c>
      <c r="J710" s="247" t="str">
        <f ca="1">IF(C710="","",IF($J$11="营业利润率",[1]!S_STM07_IS(D710,48,$G$5,$H$13)/[1]!S_STM07_IS(D710,9,$G$5,$H$13),([1]!S_STM07_CS(D710,87,$G$5,$H$13)+[1]!S_STM07_CS(D710,88,$G$5,$H$13)+[1]!S_STM07_CS(D710,89,$G$5,$H$13))/$E$5))</f>
        <v/>
      </c>
      <c r="K710" s="247" t="str">
        <f ca="1">IF(C710="","",IF($K$11="净利润率",[1]!S_STM07_IS(D710,61,$G$5,$H$13)/[1]!S_STM07_IS(D710,9,$G$5,$H$13),[1]!S_STM07_IS(D710,55,$G$5,$H$13)/$E$5))</f>
        <v/>
      </c>
      <c r="L710" s="247" t="str">
        <f ca="1">IF(C710="","",IF($L$11="ROA",[1]!S_STM07_IS(D710,61,$G$5,$H$13)/[1]!S_STM07_BS(D710,74,$G$5,$H$13),1-[1]!S_STM07_IS(D710,61,$G$5,$H$13)/[1]!S_STM07_IS(D710,55,$G$5,$H$13)))</f>
        <v/>
      </c>
      <c r="M710" s="247" t="str">
        <f ca="1">IF(C710="","",IF($M$11="ROE",[1]!S_STM07_IS(D710,61,$G$5,$H$13)/[1]!S_STM07_BS(D710,141,$G$5,$H$13),([1]!S_STM07_BS(D710,25,$G$5,$H$13)-[1]!S_STM07_BS(D710,93,$G$5,$H$13))/$E$5))</f>
        <v/>
      </c>
      <c r="N710" s="247" t="str">
        <f ca="1">IF(C710="","",IF($N$11="EPS",[1]!S_STM07_IS(D710,61,$G$5,$H$13)/IF([1]!S_SHARE_TOTAL(D710,$G$5)=0,[1]!S_SHARE_TOTAL(D710,[1]!s_ipo_listeddate(D710)),[1]!S_SHARE_TOTAL(D710,$G$5)),([1]!S_STM07_BS(D710,75,$G$5,$H$13)+[1]!S_STM07_BS(D710,88,$G$5,$H$13)+[1]!S_STM07_BS(D710,94,$G$5,$H$13)+[1]!S_STM07_BS(D710,95,$G$5,$H$13))/$E$5))</f>
        <v/>
      </c>
      <c r="O710" s="247" t="str">
        <f ca="1">IF(C710="","",IF($O$11="BPS",[1]!S_STM07_BS(D710,141,$G$5,$H$13)/IF([1]!S_SHARE_TOTAL(D710,$G$5)=0,[1]!S_SHARE_TOTAL(D710,[1]!s_ipo_listeddate(D710)),[1]!S_SHARE_TOTAL(D710,$G$5)),[1]!S_STM07_CS(D710,49,$G$5,$H$13)/$E$5))</f>
        <v/>
      </c>
      <c r="P710" s="247" t="str">
        <f ca="1">IF(C710="","",IF($P$11="CFPS",[1]!S_STM07_CS(D710,84,$G$5,$H$13)/IF([1]!S_SHARE_TOTAL(D710,$G$5)=0,[1]!S_SHARE_TOTAL(D710,[1]!s_ipo_listeddate(D710)),[1]!S_SHARE_TOTAL(D710,$G$5)),[1]!S_STM07_CS(D710,84,$G$5,$H$13)/$E$5))</f>
        <v/>
      </c>
      <c r="Q710" s="248" t="str">
        <f ca="1">IF(C710="","",F710/([1]!S_STM07_IS(D710,61,$G$5,$H$13)/IF([1]!S_SHARE_TOTAL(D710,$G$5)=0,[1]!S_SHARE_TOTAL(D710,[1]!s_ipo_listeddate(D710)),[1]!S_SHARE_TOTAL(D710,$G$5))))</f>
        <v/>
      </c>
      <c r="R710" s="248" t="str">
        <f ca="1">IF(C710="","",F710/([1]!S_STM07_BS(D710,141,$G$5,$H$13)/IF([1]!S_SHARE_TOTAL(D710,$G$5)=0,[1]!S_SHARE_TOTAL(D710,[1]!s_ipo_listeddate(D710)),[1]!S_SHARE_TOTAL(D710,$G$5))))</f>
        <v/>
      </c>
      <c r="S710" s="247" t="str">
        <f ca="1">IF(C710="","",[1]!S_SHARE_TOTAL(D710,TODAY())/$E$5)</f>
        <v/>
      </c>
      <c r="T710" s="247" t="str">
        <f t="shared" ca="1" si="73"/>
        <v/>
      </c>
      <c r="U710" s="218" t="str">
        <f t="shared" ca="1" si="74"/>
        <v/>
      </c>
      <c r="V710" s="342" t="str">
        <f t="shared" ca="1" si="75"/>
        <v/>
      </c>
      <c r="W710" s="139"/>
      <c r="Y710" s="1"/>
    </row>
    <row r="711" spans="3:25" ht="12" customHeight="1">
      <c r="C711" s="343" t="str">
        <f t="shared" ca="1" si="70"/>
        <v/>
      </c>
      <c r="D711" s="124" t="str">
        <f t="shared" ca="1" si="71"/>
        <v/>
      </c>
      <c r="E711" s="124" t="str">
        <f t="shared" ca="1" si="72"/>
        <v/>
      </c>
      <c r="F711" s="172" t="str">
        <f ca="1">IF(C711="","",[1]!S_DQ_CLOSE(D711,TODAY(),1))</f>
        <v/>
      </c>
      <c r="G711" s="173" t="str">
        <f ca="1">IF(C711="","",[1]!s_pq_pctchange(D711,TODAY()-$G$12,TODAY())/100)</f>
        <v/>
      </c>
      <c r="H711" s="249" t="str">
        <f ca="1">IF(C711="","",IF($H$11="收入",[1]!S_STM07_IS(D711,9,$G$5,$H$13)/$E$5,[1]!S_STM07_IS(D711,48,$G$5,$H$13)/$E$5))</f>
        <v/>
      </c>
      <c r="I711" s="249" t="str">
        <f ca="1">IF(C711="","",IF($I$11="毛利率",([1]!S_STM07_IS(D711,9,$G$5,$H$13)-[1]!S_STM07_IS(D711,10,$G$5,$H$13))/[1]!S_STM07_IS(D711,9,$G$5,$H$13),[1]!S_STM07_IS(D711,14,$G$5,$H$13)/$E$5))</f>
        <v/>
      </c>
      <c r="J711" s="249" t="str">
        <f ca="1">IF(C711="","",IF($J$11="营业利润率",[1]!S_STM07_IS(D711,48,$G$5,$H$13)/[1]!S_STM07_IS(D711,9,$G$5,$H$13),([1]!S_STM07_CS(D711,87,$G$5,$H$13)+[1]!S_STM07_CS(D711,88,$G$5,$H$13)+[1]!S_STM07_CS(D711,89,$G$5,$H$13))/$E$5))</f>
        <v/>
      </c>
      <c r="K711" s="249" t="str">
        <f ca="1">IF(C711="","",IF($K$11="净利润率",[1]!S_STM07_IS(D711,61,$G$5,$H$13)/[1]!S_STM07_IS(D711,9,$G$5,$H$13),[1]!S_STM07_IS(D711,55,$G$5,$H$13)/$E$5))</f>
        <v/>
      </c>
      <c r="L711" s="249" t="str">
        <f ca="1">IF(C711="","",IF($L$11="ROA",[1]!S_STM07_IS(D711,61,$G$5,$H$13)/[1]!S_STM07_BS(D711,74,$G$5,$H$13),1-[1]!S_STM07_IS(D711,61,$G$5,$H$13)/[1]!S_STM07_IS(D711,55,$G$5,$H$13)))</f>
        <v/>
      </c>
      <c r="M711" s="249" t="str">
        <f ca="1">IF(C711="","",IF($M$11="ROE",[1]!S_STM07_IS(D711,61,$G$5,$H$13)/[1]!S_STM07_BS(D711,141,$G$5,$H$13),([1]!S_STM07_BS(D711,25,$G$5,$H$13)-[1]!S_STM07_BS(D711,93,$G$5,$H$13))/$E$5))</f>
        <v/>
      </c>
      <c r="N711" s="250" t="str">
        <f ca="1">IF(C711="","",IF($N$11="EPS",[1]!S_STM07_IS(D711,61,$G$5,$H$13)/IF([1]!S_SHARE_TOTAL(D711,$G$5)=0,[1]!S_SHARE_TOTAL(D711,[1]!s_ipo_listeddate(D711)),[1]!S_SHARE_TOTAL(D711,$G$5)),([1]!S_STM07_BS(D711,75,$G$5,$H$13)+[1]!S_STM07_BS(D711,88,$G$5,$H$13)+[1]!S_STM07_BS(D711,94,$G$5,$H$13)+[1]!S_STM07_BS(D711,95,$G$5,$H$13))/$E$5))</f>
        <v/>
      </c>
      <c r="O711" s="250" t="str">
        <f ca="1">IF(C711="","",IF($O$11="BPS",[1]!S_STM07_BS(D711,141,$G$5,$H$13)/IF([1]!S_SHARE_TOTAL(D711,$G$5)=0,[1]!S_SHARE_TOTAL(D711,[1]!s_ipo_listeddate(D711)),[1]!S_SHARE_TOTAL(D711,$G$5)),[1]!S_STM07_CS(D711,49,$G$5,$H$13)/$E$5))</f>
        <v/>
      </c>
      <c r="P711" s="250" t="str">
        <f ca="1">IF(C711="","",IF($P$11="CFPS",[1]!S_STM07_CS(D711,84,$G$5,$H$13)/IF([1]!S_SHARE_TOTAL(D711,$G$5)=0,[1]!S_SHARE_TOTAL(D711,[1]!s_ipo_listeddate(D711)),[1]!S_SHARE_TOTAL(D711,$G$5)),[1]!S_STM07_CS(D711,84,$G$5,$H$13)/$E$5))</f>
        <v/>
      </c>
      <c r="Q711" s="198" t="str">
        <f ca="1">IF(C711="","",F711/([1]!S_STM07_IS(D711,61,$G$5,$H$13)/IF([1]!S_SHARE_TOTAL(D711,$G$5)=0,[1]!S_SHARE_TOTAL(D711,[1]!s_ipo_listeddate(D711)),[1]!S_SHARE_TOTAL(D711,$G$5))))</f>
        <v/>
      </c>
      <c r="R711" s="198" t="str">
        <f ca="1">IF(C711="","",F711/([1]!S_STM07_BS(D711,141,$G$5,$H$13)/IF([1]!S_SHARE_TOTAL(D711,$G$5)=0,[1]!S_SHARE_TOTAL(D711,[1]!s_ipo_listeddate(D711)),[1]!S_SHARE_TOTAL(D711,$G$5))))</f>
        <v/>
      </c>
      <c r="S711" s="249" t="str">
        <f ca="1">IF(C711="","",[1]!S_SHARE_TOTAL(D711,TODAY())/$E$5)</f>
        <v/>
      </c>
      <c r="T711" s="249" t="str">
        <f t="shared" ca="1" si="73"/>
        <v/>
      </c>
      <c r="U711" s="172" t="str">
        <f t="shared" ca="1" si="74"/>
        <v/>
      </c>
      <c r="V711" s="343" t="str">
        <f t="shared" ca="1" si="75"/>
        <v/>
      </c>
      <c r="W711" s="139"/>
      <c r="Y711" s="1"/>
    </row>
    <row r="712" spans="3:25" ht="12" customHeight="1">
      <c r="C712" s="342" t="str">
        <f t="shared" ca="1" si="70"/>
        <v/>
      </c>
      <c r="D712" s="153" t="str">
        <f t="shared" ca="1" si="71"/>
        <v/>
      </c>
      <c r="E712" s="153" t="str">
        <f t="shared" ca="1" si="72"/>
        <v/>
      </c>
      <c r="F712" s="170" t="str">
        <f ca="1">IF(C712="","",[1]!S_DQ_CLOSE(D712,TODAY(),1))</f>
        <v/>
      </c>
      <c r="G712" s="171" t="str">
        <f ca="1">IF(C712="","",[1]!s_pq_pctchange(D712,TODAY()-$G$12,TODAY())/100)</f>
        <v/>
      </c>
      <c r="H712" s="247" t="str">
        <f ca="1">IF(C712="","",IF($H$11="收入",[1]!S_STM07_IS(D712,9,$G$5,$H$13)/$E$5,[1]!S_STM07_IS(D712,48,$G$5,$H$13)/$E$5))</f>
        <v/>
      </c>
      <c r="I712" s="247" t="str">
        <f ca="1">IF(C712="","",IF($I$11="毛利率",([1]!S_STM07_IS(D712,9,$G$5,$H$13)-[1]!S_STM07_IS(D712,10,$G$5,$H$13))/[1]!S_STM07_IS(D712,9,$G$5,$H$13),[1]!S_STM07_IS(D712,14,$G$5,$H$13)/$E$5))</f>
        <v/>
      </c>
      <c r="J712" s="247" t="str">
        <f ca="1">IF(C712="","",IF($J$11="营业利润率",[1]!S_STM07_IS(D712,48,$G$5,$H$13)/[1]!S_STM07_IS(D712,9,$G$5,$H$13),([1]!S_STM07_CS(D712,87,$G$5,$H$13)+[1]!S_STM07_CS(D712,88,$G$5,$H$13)+[1]!S_STM07_CS(D712,89,$G$5,$H$13))/$E$5))</f>
        <v/>
      </c>
      <c r="K712" s="247" t="str">
        <f ca="1">IF(C712="","",IF($K$11="净利润率",[1]!S_STM07_IS(D712,61,$G$5,$H$13)/[1]!S_STM07_IS(D712,9,$G$5,$H$13),[1]!S_STM07_IS(D712,55,$G$5,$H$13)/$E$5))</f>
        <v/>
      </c>
      <c r="L712" s="247" t="str">
        <f ca="1">IF(C712="","",IF($L$11="ROA",[1]!S_STM07_IS(D712,61,$G$5,$H$13)/[1]!S_STM07_BS(D712,74,$G$5,$H$13),1-[1]!S_STM07_IS(D712,61,$G$5,$H$13)/[1]!S_STM07_IS(D712,55,$G$5,$H$13)))</f>
        <v/>
      </c>
      <c r="M712" s="247" t="str">
        <f ca="1">IF(C712="","",IF($M$11="ROE",[1]!S_STM07_IS(D712,61,$G$5,$H$13)/[1]!S_STM07_BS(D712,141,$G$5,$H$13),([1]!S_STM07_BS(D712,25,$G$5,$H$13)-[1]!S_STM07_BS(D712,93,$G$5,$H$13))/$E$5))</f>
        <v/>
      </c>
      <c r="N712" s="247" t="str">
        <f ca="1">IF(C712="","",IF($N$11="EPS",[1]!S_STM07_IS(D712,61,$G$5,$H$13)/IF([1]!S_SHARE_TOTAL(D712,$G$5)=0,[1]!S_SHARE_TOTAL(D712,[1]!s_ipo_listeddate(D712)),[1]!S_SHARE_TOTAL(D712,$G$5)),([1]!S_STM07_BS(D712,75,$G$5,$H$13)+[1]!S_STM07_BS(D712,88,$G$5,$H$13)+[1]!S_STM07_BS(D712,94,$G$5,$H$13)+[1]!S_STM07_BS(D712,95,$G$5,$H$13))/$E$5))</f>
        <v/>
      </c>
      <c r="O712" s="247" t="str">
        <f ca="1">IF(C712="","",IF($O$11="BPS",[1]!S_STM07_BS(D712,141,$G$5,$H$13)/IF([1]!S_SHARE_TOTAL(D712,$G$5)=0,[1]!S_SHARE_TOTAL(D712,[1]!s_ipo_listeddate(D712)),[1]!S_SHARE_TOTAL(D712,$G$5)),[1]!S_STM07_CS(D712,49,$G$5,$H$13)/$E$5))</f>
        <v/>
      </c>
      <c r="P712" s="247" t="str">
        <f ca="1">IF(C712="","",IF($P$11="CFPS",[1]!S_STM07_CS(D712,84,$G$5,$H$13)/IF([1]!S_SHARE_TOTAL(D712,$G$5)=0,[1]!S_SHARE_TOTAL(D712,[1]!s_ipo_listeddate(D712)),[1]!S_SHARE_TOTAL(D712,$G$5)),[1]!S_STM07_CS(D712,84,$G$5,$H$13)/$E$5))</f>
        <v/>
      </c>
      <c r="Q712" s="248" t="str">
        <f ca="1">IF(C712="","",F712/([1]!S_STM07_IS(D712,61,$G$5,$H$13)/IF([1]!S_SHARE_TOTAL(D712,$G$5)=0,[1]!S_SHARE_TOTAL(D712,[1]!s_ipo_listeddate(D712)),[1]!S_SHARE_TOTAL(D712,$G$5))))</f>
        <v/>
      </c>
      <c r="R712" s="248" t="str">
        <f ca="1">IF(C712="","",F712/([1]!S_STM07_BS(D712,141,$G$5,$H$13)/IF([1]!S_SHARE_TOTAL(D712,$G$5)=0,[1]!S_SHARE_TOTAL(D712,[1]!s_ipo_listeddate(D712)),[1]!S_SHARE_TOTAL(D712,$G$5))))</f>
        <v/>
      </c>
      <c r="S712" s="247" t="str">
        <f ca="1">IF(C712="","",[1]!S_SHARE_TOTAL(D712,TODAY())/$E$5)</f>
        <v/>
      </c>
      <c r="T712" s="247" t="str">
        <f t="shared" ca="1" si="73"/>
        <v/>
      </c>
      <c r="U712" s="218" t="str">
        <f t="shared" ca="1" si="74"/>
        <v/>
      </c>
      <c r="V712" s="342" t="str">
        <f t="shared" ca="1" si="75"/>
        <v/>
      </c>
      <c r="W712" s="139"/>
      <c r="Y712" s="1"/>
    </row>
    <row r="713" spans="3:25" ht="12" customHeight="1">
      <c r="C713" s="343" t="str">
        <f t="shared" ca="1" si="70"/>
        <v/>
      </c>
      <c r="D713" s="124" t="str">
        <f t="shared" ca="1" si="71"/>
        <v/>
      </c>
      <c r="E713" s="124" t="str">
        <f t="shared" ca="1" si="72"/>
        <v/>
      </c>
      <c r="F713" s="172" t="str">
        <f ca="1">IF(C713="","",[1]!S_DQ_CLOSE(D713,TODAY(),1))</f>
        <v/>
      </c>
      <c r="G713" s="173" t="str">
        <f ca="1">IF(C713="","",[1]!s_pq_pctchange(D713,TODAY()-$G$12,TODAY())/100)</f>
        <v/>
      </c>
      <c r="H713" s="249" t="str">
        <f ca="1">IF(C713="","",IF($H$11="收入",[1]!S_STM07_IS(D713,9,$G$5,$H$13)/$E$5,[1]!S_STM07_IS(D713,48,$G$5,$H$13)/$E$5))</f>
        <v/>
      </c>
      <c r="I713" s="249" t="str">
        <f ca="1">IF(C713="","",IF($I$11="毛利率",([1]!S_STM07_IS(D713,9,$G$5,$H$13)-[1]!S_STM07_IS(D713,10,$G$5,$H$13))/[1]!S_STM07_IS(D713,9,$G$5,$H$13),[1]!S_STM07_IS(D713,14,$G$5,$H$13)/$E$5))</f>
        <v/>
      </c>
      <c r="J713" s="249" t="str">
        <f ca="1">IF(C713="","",IF($J$11="营业利润率",[1]!S_STM07_IS(D713,48,$G$5,$H$13)/[1]!S_STM07_IS(D713,9,$G$5,$H$13),([1]!S_STM07_CS(D713,87,$G$5,$H$13)+[1]!S_STM07_CS(D713,88,$G$5,$H$13)+[1]!S_STM07_CS(D713,89,$G$5,$H$13))/$E$5))</f>
        <v/>
      </c>
      <c r="K713" s="249" t="str">
        <f ca="1">IF(C713="","",IF($K$11="净利润率",[1]!S_STM07_IS(D713,61,$G$5,$H$13)/[1]!S_STM07_IS(D713,9,$G$5,$H$13),[1]!S_STM07_IS(D713,55,$G$5,$H$13)/$E$5))</f>
        <v/>
      </c>
      <c r="L713" s="249" t="str">
        <f ca="1">IF(C713="","",IF($L$11="ROA",[1]!S_STM07_IS(D713,61,$G$5,$H$13)/[1]!S_STM07_BS(D713,74,$G$5,$H$13),1-[1]!S_STM07_IS(D713,61,$G$5,$H$13)/[1]!S_STM07_IS(D713,55,$G$5,$H$13)))</f>
        <v/>
      </c>
      <c r="M713" s="249" t="str">
        <f ca="1">IF(C713="","",IF($M$11="ROE",[1]!S_STM07_IS(D713,61,$G$5,$H$13)/[1]!S_STM07_BS(D713,141,$G$5,$H$13),([1]!S_STM07_BS(D713,25,$G$5,$H$13)-[1]!S_STM07_BS(D713,93,$G$5,$H$13))/$E$5))</f>
        <v/>
      </c>
      <c r="N713" s="250" t="str">
        <f ca="1">IF(C713="","",IF($N$11="EPS",[1]!S_STM07_IS(D713,61,$G$5,$H$13)/IF([1]!S_SHARE_TOTAL(D713,$G$5)=0,[1]!S_SHARE_TOTAL(D713,[1]!s_ipo_listeddate(D713)),[1]!S_SHARE_TOTAL(D713,$G$5)),([1]!S_STM07_BS(D713,75,$G$5,$H$13)+[1]!S_STM07_BS(D713,88,$G$5,$H$13)+[1]!S_STM07_BS(D713,94,$G$5,$H$13)+[1]!S_STM07_BS(D713,95,$G$5,$H$13))/$E$5))</f>
        <v/>
      </c>
      <c r="O713" s="250" t="str">
        <f ca="1">IF(C713="","",IF($O$11="BPS",[1]!S_STM07_BS(D713,141,$G$5,$H$13)/IF([1]!S_SHARE_TOTAL(D713,$G$5)=0,[1]!S_SHARE_TOTAL(D713,[1]!s_ipo_listeddate(D713)),[1]!S_SHARE_TOTAL(D713,$G$5)),[1]!S_STM07_CS(D713,49,$G$5,$H$13)/$E$5))</f>
        <v/>
      </c>
      <c r="P713" s="250" t="str">
        <f ca="1">IF(C713="","",IF($P$11="CFPS",[1]!S_STM07_CS(D713,84,$G$5,$H$13)/IF([1]!S_SHARE_TOTAL(D713,$G$5)=0,[1]!S_SHARE_TOTAL(D713,[1]!s_ipo_listeddate(D713)),[1]!S_SHARE_TOTAL(D713,$G$5)),[1]!S_STM07_CS(D713,84,$G$5,$H$13)/$E$5))</f>
        <v/>
      </c>
      <c r="Q713" s="198" t="str">
        <f ca="1">IF(C713="","",F713/([1]!S_STM07_IS(D713,61,$G$5,$H$13)/IF([1]!S_SHARE_TOTAL(D713,$G$5)=0,[1]!S_SHARE_TOTAL(D713,[1]!s_ipo_listeddate(D713)),[1]!S_SHARE_TOTAL(D713,$G$5))))</f>
        <v/>
      </c>
      <c r="R713" s="198" t="str">
        <f ca="1">IF(C713="","",F713/([1]!S_STM07_BS(D713,141,$G$5,$H$13)/IF([1]!S_SHARE_TOTAL(D713,$G$5)=0,[1]!S_SHARE_TOTAL(D713,[1]!s_ipo_listeddate(D713)),[1]!S_SHARE_TOTAL(D713,$G$5))))</f>
        <v/>
      </c>
      <c r="S713" s="249" t="str">
        <f ca="1">IF(C713="","",[1]!S_SHARE_TOTAL(D713,TODAY())/$E$5)</f>
        <v/>
      </c>
      <c r="T713" s="249" t="str">
        <f t="shared" ca="1" si="73"/>
        <v/>
      </c>
      <c r="U713" s="172" t="str">
        <f t="shared" ca="1" si="74"/>
        <v/>
      </c>
      <c r="V713" s="343" t="str">
        <f t="shared" ca="1" si="75"/>
        <v/>
      </c>
      <c r="W713" s="139"/>
      <c r="Y713" s="1"/>
    </row>
    <row r="714" spans="3:25" ht="12" customHeight="1">
      <c r="C714" s="342" t="str">
        <f t="shared" ca="1" si="70"/>
        <v/>
      </c>
      <c r="D714" s="153" t="str">
        <f t="shared" ca="1" si="71"/>
        <v/>
      </c>
      <c r="E714" s="153" t="str">
        <f t="shared" ca="1" si="72"/>
        <v/>
      </c>
      <c r="F714" s="170" t="str">
        <f ca="1">IF(C714="","",[1]!S_DQ_CLOSE(D714,TODAY(),1))</f>
        <v/>
      </c>
      <c r="G714" s="171" t="str">
        <f ca="1">IF(C714="","",[1]!s_pq_pctchange(D714,TODAY()-$G$12,TODAY())/100)</f>
        <v/>
      </c>
      <c r="H714" s="247" t="str">
        <f ca="1">IF(C714="","",IF($H$11="收入",[1]!S_STM07_IS(D714,9,$G$5,$H$13)/$E$5,[1]!S_STM07_IS(D714,48,$G$5,$H$13)/$E$5))</f>
        <v/>
      </c>
      <c r="I714" s="247" t="str">
        <f ca="1">IF(C714="","",IF($I$11="毛利率",([1]!S_STM07_IS(D714,9,$G$5,$H$13)-[1]!S_STM07_IS(D714,10,$G$5,$H$13))/[1]!S_STM07_IS(D714,9,$G$5,$H$13),[1]!S_STM07_IS(D714,14,$G$5,$H$13)/$E$5))</f>
        <v/>
      </c>
      <c r="J714" s="247" t="str">
        <f ca="1">IF(C714="","",IF($J$11="营业利润率",[1]!S_STM07_IS(D714,48,$G$5,$H$13)/[1]!S_STM07_IS(D714,9,$G$5,$H$13),([1]!S_STM07_CS(D714,87,$G$5,$H$13)+[1]!S_STM07_CS(D714,88,$G$5,$H$13)+[1]!S_STM07_CS(D714,89,$G$5,$H$13))/$E$5))</f>
        <v/>
      </c>
      <c r="K714" s="247" t="str">
        <f ca="1">IF(C714="","",IF($K$11="净利润率",[1]!S_STM07_IS(D714,61,$G$5,$H$13)/[1]!S_STM07_IS(D714,9,$G$5,$H$13),[1]!S_STM07_IS(D714,55,$G$5,$H$13)/$E$5))</f>
        <v/>
      </c>
      <c r="L714" s="247" t="str">
        <f ca="1">IF(C714="","",IF($L$11="ROA",[1]!S_STM07_IS(D714,61,$G$5,$H$13)/[1]!S_STM07_BS(D714,74,$G$5,$H$13),1-[1]!S_STM07_IS(D714,61,$G$5,$H$13)/[1]!S_STM07_IS(D714,55,$G$5,$H$13)))</f>
        <v/>
      </c>
      <c r="M714" s="247" t="str">
        <f ca="1">IF(C714="","",IF($M$11="ROE",[1]!S_STM07_IS(D714,61,$G$5,$H$13)/[1]!S_STM07_BS(D714,141,$G$5,$H$13),([1]!S_STM07_BS(D714,25,$G$5,$H$13)-[1]!S_STM07_BS(D714,93,$G$5,$H$13))/$E$5))</f>
        <v/>
      </c>
      <c r="N714" s="247" t="str">
        <f ca="1">IF(C714="","",IF($N$11="EPS",[1]!S_STM07_IS(D714,61,$G$5,$H$13)/IF([1]!S_SHARE_TOTAL(D714,$G$5)=0,[1]!S_SHARE_TOTAL(D714,[1]!s_ipo_listeddate(D714)),[1]!S_SHARE_TOTAL(D714,$G$5)),([1]!S_STM07_BS(D714,75,$G$5,$H$13)+[1]!S_STM07_BS(D714,88,$G$5,$H$13)+[1]!S_STM07_BS(D714,94,$G$5,$H$13)+[1]!S_STM07_BS(D714,95,$G$5,$H$13))/$E$5))</f>
        <v/>
      </c>
      <c r="O714" s="247" t="str">
        <f ca="1">IF(C714="","",IF($O$11="BPS",[1]!S_STM07_BS(D714,141,$G$5,$H$13)/IF([1]!S_SHARE_TOTAL(D714,$G$5)=0,[1]!S_SHARE_TOTAL(D714,[1]!s_ipo_listeddate(D714)),[1]!S_SHARE_TOTAL(D714,$G$5)),[1]!S_STM07_CS(D714,49,$G$5,$H$13)/$E$5))</f>
        <v/>
      </c>
      <c r="P714" s="247" t="str">
        <f ca="1">IF(C714="","",IF($P$11="CFPS",[1]!S_STM07_CS(D714,84,$G$5,$H$13)/IF([1]!S_SHARE_TOTAL(D714,$G$5)=0,[1]!S_SHARE_TOTAL(D714,[1]!s_ipo_listeddate(D714)),[1]!S_SHARE_TOTAL(D714,$G$5)),[1]!S_STM07_CS(D714,84,$G$5,$H$13)/$E$5))</f>
        <v/>
      </c>
      <c r="Q714" s="248" t="str">
        <f ca="1">IF(C714="","",F714/([1]!S_STM07_IS(D714,61,$G$5,$H$13)/IF([1]!S_SHARE_TOTAL(D714,$G$5)=0,[1]!S_SHARE_TOTAL(D714,[1]!s_ipo_listeddate(D714)),[1]!S_SHARE_TOTAL(D714,$G$5))))</f>
        <v/>
      </c>
      <c r="R714" s="248" t="str">
        <f ca="1">IF(C714="","",F714/([1]!S_STM07_BS(D714,141,$G$5,$H$13)/IF([1]!S_SHARE_TOTAL(D714,$G$5)=0,[1]!S_SHARE_TOTAL(D714,[1]!s_ipo_listeddate(D714)),[1]!S_SHARE_TOTAL(D714,$G$5))))</f>
        <v/>
      </c>
      <c r="S714" s="247" t="str">
        <f ca="1">IF(C714="","",[1]!S_SHARE_TOTAL(D714,TODAY())/$E$5)</f>
        <v/>
      </c>
      <c r="T714" s="247" t="str">
        <f t="shared" ca="1" si="73"/>
        <v/>
      </c>
      <c r="U714" s="218" t="str">
        <f t="shared" ca="1" si="74"/>
        <v/>
      </c>
      <c r="V714" s="342" t="str">
        <f t="shared" ca="1" si="75"/>
        <v/>
      </c>
      <c r="W714" s="139"/>
      <c r="Y714" s="1"/>
    </row>
    <row r="715" spans="3:25" ht="12" customHeight="1">
      <c r="C715" s="343" t="str">
        <f t="shared" ca="1" si="70"/>
        <v/>
      </c>
      <c r="D715" s="124" t="str">
        <f t="shared" ca="1" si="71"/>
        <v/>
      </c>
      <c r="E715" s="124" t="str">
        <f t="shared" ca="1" si="72"/>
        <v/>
      </c>
      <c r="F715" s="172" t="str">
        <f ca="1">IF(C715="","",[1]!S_DQ_CLOSE(D715,TODAY(),1))</f>
        <v/>
      </c>
      <c r="G715" s="173" t="str">
        <f ca="1">IF(C715="","",[1]!s_pq_pctchange(D715,TODAY()-$G$12,TODAY())/100)</f>
        <v/>
      </c>
      <c r="H715" s="249" t="str">
        <f ca="1">IF(C715="","",IF($H$11="收入",[1]!S_STM07_IS(D715,9,$G$5,$H$13)/$E$5,[1]!S_STM07_IS(D715,48,$G$5,$H$13)/$E$5))</f>
        <v/>
      </c>
      <c r="I715" s="249" t="str">
        <f ca="1">IF(C715="","",IF($I$11="毛利率",([1]!S_STM07_IS(D715,9,$G$5,$H$13)-[1]!S_STM07_IS(D715,10,$G$5,$H$13))/[1]!S_STM07_IS(D715,9,$G$5,$H$13),[1]!S_STM07_IS(D715,14,$G$5,$H$13)/$E$5))</f>
        <v/>
      </c>
      <c r="J715" s="249" t="str">
        <f ca="1">IF(C715="","",IF($J$11="营业利润率",[1]!S_STM07_IS(D715,48,$G$5,$H$13)/[1]!S_STM07_IS(D715,9,$G$5,$H$13),([1]!S_STM07_CS(D715,87,$G$5,$H$13)+[1]!S_STM07_CS(D715,88,$G$5,$H$13)+[1]!S_STM07_CS(D715,89,$G$5,$H$13))/$E$5))</f>
        <v/>
      </c>
      <c r="K715" s="249" t="str">
        <f ca="1">IF(C715="","",IF($K$11="净利润率",[1]!S_STM07_IS(D715,61,$G$5,$H$13)/[1]!S_STM07_IS(D715,9,$G$5,$H$13),[1]!S_STM07_IS(D715,55,$G$5,$H$13)/$E$5))</f>
        <v/>
      </c>
      <c r="L715" s="249" t="str">
        <f ca="1">IF(C715="","",IF($L$11="ROA",[1]!S_STM07_IS(D715,61,$G$5,$H$13)/[1]!S_STM07_BS(D715,74,$G$5,$H$13),1-[1]!S_STM07_IS(D715,61,$G$5,$H$13)/[1]!S_STM07_IS(D715,55,$G$5,$H$13)))</f>
        <v/>
      </c>
      <c r="M715" s="249" t="str">
        <f ca="1">IF(C715="","",IF($M$11="ROE",[1]!S_STM07_IS(D715,61,$G$5,$H$13)/[1]!S_STM07_BS(D715,141,$G$5,$H$13),([1]!S_STM07_BS(D715,25,$G$5,$H$13)-[1]!S_STM07_BS(D715,93,$G$5,$H$13))/$E$5))</f>
        <v/>
      </c>
      <c r="N715" s="250" t="str">
        <f ca="1">IF(C715="","",IF($N$11="EPS",[1]!S_STM07_IS(D715,61,$G$5,$H$13)/IF([1]!S_SHARE_TOTAL(D715,$G$5)=0,[1]!S_SHARE_TOTAL(D715,[1]!s_ipo_listeddate(D715)),[1]!S_SHARE_TOTAL(D715,$G$5)),([1]!S_STM07_BS(D715,75,$G$5,$H$13)+[1]!S_STM07_BS(D715,88,$G$5,$H$13)+[1]!S_STM07_BS(D715,94,$G$5,$H$13)+[1]!S_STM07_BS(D715,95,$G$5,$H$13))/$E$5))</f>
        <v/>
      </c>
      <c r="O715" s="250" t="str">
        <f ca="1">IF(C715="","",IF($O$11="BPS",[1]!S_STM07_BS(D715,141,$G$5,$H$13)/IF([1]!S_SHARE_TOTAL(D715,$G$5)=0,[1]!S_SHARE_TOTAL(D715,[1]!s_ipo_listeddate(D715)),[1]!S_SHARE_TOTAL(D715,$G$5)),[1]!S_STM07_CS(D715,49,$G$5,$H$13)/$E$5))</f>
        <v/>
      </c>
      <c r="P715" s="250" t="str">
        <f ca="1">IF(C715="","",IF($P$11="CFPS",[1]!S_STM07_CS(D715,84,$G$5,$H$13)/IF([1]!S_SHARE_TOTAL(D715,$G$5)=0,[1]!S_SHARE_TOTAL(D715,[1]!s_ipo_listeddate(D715)),[1]!S_SHARE_TOTAL(D715,$G$5)),[1]!S_STM07_CS(D715,84,$G$5,$H$13)/$E$5))</f>
        <v/>
      </c>
      <c r="Q715" s="198" t="str">
        <f ca="1">IF(C715="","",F715/([1]!S_STM07_IS(D715,61,$G$5,$H$13)/IF([1]!S_SHARE_TOTAL(D715,$G$5)=0,[1]!S_SHARE_TOTAL(D715,[1]!s_ipo_listeddate(D715)),[1]!S_SHARE_TOTAL(D715,$G$5))))</f>
        <v/>
      </c>
      <c r="R715" s="198" t="str">
        <f ca="1">IF(C715="","",F715/([1]!S_STM07_BS(D715,141,$G$5,$H$13)/IF([1]!S_SHARE_TOTAL(D715,$G$5)=0,[1]!S_SHARE_TOTAL(D715,[1]!s_ipo_listeddate(D715)),[1]!S_SHARE_TOTAL(D715,$G$5))))</f>
        <v/>
      </c>
      <c r="S715" s="249" t="str">
        <f ca="1">IF(C715="","",[1]!S_SHARE_TOTAL(D715,TODAY())/$E$5)</f>
        <v/>
      </c>
      <c r="T715" s="249" t="str">
        <f t="shared" ca="1" si="73"/>
        <v/>
      </c>
      <c r="U715" s="172" t="str">
        <f t="shared" ca="1" si="74"/>
        <v/>
      </c>
      <c r="V715" s="343" t="str">
        <f t="shared" ca="1" si="75"/>
        <v/>
      </c>
      <c r="W715" s="139"/>
      <c r="Y715" s="1"/>
    </row>
    <row r="716" spans="3:25" ht="12" customHeight="1">
      <c r="C716" s="342" t="str">
        <f t="shared" ca="1" si="70"/>
        <v/>
      </c>
      <c r="D716" s="153" t="str">
        <f t="shared" ca="1" si="71"/>
        <v/>
      </c>
      <c r="E716" s="153" t="str">
        <f t="shared" ca="1" si="72"/>
        <v/>
      </c>
      <c r="F716" s="170" t="str">
        <f ca="1">IF(C716="","",[1]!S_DQ_CLOSE(D716,TODAY(),1))</f>
        <v/>
      </c>
      <c r="G716" s="171" t="str">
        <f ca="1">IF(C716="","",[1]!s_pq_pctchange(D716,TODAY()-$G$12,TODAY())/100)</f>
        <v/>
      </c>
      <c r="H716" s="247" t="str">
        <f ca="1">IF(C716="","",IF($H$11="收入",[1]!S_STM07_IS(D716,9,$G$5,$H$13)/$E$5,[1]!S_STM07_IS(D716,48,$G$5,$H$13)/$E$5))</f>
        <v/>
      </c>
      <c r="I716" s="247" t="str">
        <f ca="1">IF(C716="","",IF($I$11="毛利率",([1]!S_STM07_IS(D716,9,$G$5,$H$13)-[1]!S_STM07_IS(D716,10,$G$5,$H$13))/[1]!S_STM07_IS(D716,9,$G$5,$H$13),[1]!S_STM07_IS(D716,14,$G$5,$H$13)/$E$5))</f>
        <v/>
      </c>
      <c r="J716" s="247" t="str">
        <f ca="1">IF(C716="","",IF($J$11="营业利润率",[1]!S_STM07_IS(D716,48,$G$5,$H$13)/[1]!S_STM07_IS(D716,9,$G$5,$H$13),([1]!S_STM07_CS(D716,87,$G$5,$H$13)+[1]!S_STM07_CS(D716,88,$G$5,$H$13)+[1]!S_STM07_CS(D716,89,$G$5,$H$13))/$E$5))</f>
        <v/>
      </c>
      <c r="K716" s="247" t="str">
        <f ca="1">IF(C716="","",IF($K$11="净利润率",[1]!S_STM07_IS(D716,61,$G$5,$H$13)/[1]!S_STM07_IS(D716,9,$G$5,$H$13),[1]!S_STM07_IS(D716,55,$G$5,$H$13)/$E$5))</f>
        <v/>
      </c>
      <c r="L716" s="247" t="str">
        <f ca="1">IF(C716="","",IF($L$11="ROA",[1]!S_STM07_IS(D716,61,$G$5,$H$13)/[1]!S_STM07_BS(D716,74,$G$5,$H$13),1-[1]!S_STM07_IS(D716,61,$G$5,$H$13)/[1]!S_STM07_IS(D716,55,$G$5,$H$13)))</f>
        <v/>
      </c>
      <c r="M716" s="247" t="str">
        <f ca="1">IF(C716="","",IF($M$11="ROE",[1]!S_STM07_IS(D716,61,$G$5,$H$13)/[1]!S_STM07_BS(D716,141,$G$5,$H$13),([1]!S_STM07_BS(D716,25,$G$5,$H$13)-[1]!S_STM07_BS(D716,93,$G$5,$H$13))/$E$5))</f>
        <v/>
      </c>
      <c r="N716" s="247" t="str">
        <f ca="1">IF(C716="","",IF($N$11="EPS",[1]!S_STM07_IS(D716,61,$G$5,$H$13)/IF([1]!S_SHARE_TOTAL(D716,$G$5)=0,[1]!S_SHARE_TOTAL(D716,[1]!s_ipo_listeddate(D716)),[1]!S_SHARE_TOTAL(D716,$G$5)),([1]!S_STM07_BS(D716,75,$G$5,$H$13)+[1]!S_STM07_BS(D716,88,$G$5,$H$13)+[1]!S_STM07_BS(D716,94,$G$5,$H$13)+[1]!S_STM07_BS(D716,95,$G$5,$H$13))/$E$5))</f>
        <v/>
      </c>
      <c r="O716" s="247" t="str">
        <f ca="1">IF(C716="","",IF($O$11="BPS",[1]!S_STM07_BS(D716,141,$G$5,$H$13)/IF([1]!S_SHARE_TOTAL(D716,$G$5)=0,[1]!S_SHARE_TOTAL(D716,[1]!s_ipo_listeddate(D716)),[1]!S_SHARE_TOTAL(D716,$G$5)),[1]!S_STM07_CS(D716,49,$G$5,$H$13)/$E$5))</f>
        <v/>
      </c>
      <c r="P716" s="247" t="str">
        <f ca="1">IF(C716="","",IF($P$11="CFPS",[1]!S_STM07_CS(D716,84,$G$5,$H$13)/IF([1]!S_SHARE_TOTAL(D716,$G$5)=0,[1]!S_SHARE_TOTAL(D716,[1]!s_ipo_listeddate(D716)),[1]!S_SHARE_TOTAL(D716,$G$5)),[1]!S_STM07_CS(D716,84,$G$5,$H$13)/$E$5))</f>
        <v/>
      </c>
      <c r="Q716" s="248" t="str">
        <f ca="1">IF(C716="","",F716/([1]!S_STM07_IS(D716,61,$G$5,$H$13)/IF([1]!S_SHARE_TOTAL(D716,$G$5)=0,[1]!S_SHARE_TOTAL(D716,[1]!s_ipo_listeddate(D716)),[1]!S_SHARE_TOTAL(D716,$G$5))))</f>
        <v/>
      </c>
      <c r="R716" s="248" t="str">
        <f ca="1">IF(C716="","",F716/([1]!S_STM07_BS(D716,141,$G$5,$H$13)/IF([1]!S_SHARE_TOTAL(D716,$G$5)=0,[1]!S_SHARE_TOTAL(D716,[1]!s_ipo_listeddate(D716)),[1]!S_SHARE_TOTAL(D716,$G$5))))</f>
        <v/>
      </c>
      <c r="S716" s="247" t="str">
        <f ca="1">IF(C716="","",[1]!S_SHARE_TOTAL(D716,TODAY())/$E$5)</f>
        <v/>
      </c>
      <c r="T716" s="247" t="str">
        <f t="shared" ca="1" si="73"/>
        <v/>
      </c>
      <c r="U716" s="218" t="str">
        <f t="shared" ca="1" si="74"/>
        <v/>
      </c>
      <c r="V716" s="342" t="str">
        <f t="shared" ca="1" si="75"/>
        <v/>
      </c>
      <c r="W716" s="139"/>
      <c r="Y716" s="1"/>
    </row>
    <row r="717" spans="3:25" ht="12" customHeight="1">
      <c r="C717" s="343" t="str">
        <f t="shared" ca="1" si="70"/>
        <v/>
      </c>
      <c r="D717" s="124" t="str">
        <f t="shared" ca="1" si="71"/>
        <v/>
      </c>
      <c r="E717" s="124" t="str">
        <f t="shared" ca="1" si="72"/>
        <v/>
      </c>
      <c r="F717" s="172" t="str">
        <f ca="1">IF(C717="","",[1]!S_DQ_CLOSE(D717,TODAY(),1))</f>
        <v/>
      </c>
      <c r="G717" s="173" t="str">
        <f ca="1">IF(C717="","",[1]!s_pq_pctchange(D717,TODAY()-$G$12,TODAY())/100)</f>
        <v/>
      </c>
      <c r="H717" s="249" t="str">
        <f ca="1">IF(C717="","",IF($H$11="收入",[1]!S_STM07_IS(D717,9,$G$5,$H$13)/$E$5,[1]!S_STM07_IS(D717,48,$G$5,$H$13)/$E$5))</f>
        <v/>
      </c>
      <c r="I717" s="249" t="str">
        <f ca="1">IF(C717="","",IF($I$11="毛利率",([1]!S_STM07_IS(D717,9,$G$5,$H$13)-[1]!S_STM07_IS(D717,10,$G$5,$H$13))/[1]!S_STM07_IS(D717,9,$G$5,$H$13),[1]!S_STM07_IS(D717,14,$G$5,$H$13)/$E$5))</f>
        <v/>
      </c>
      <c r="J717" s="249" t="str">
        <f ca="1">IF(C717="","",IF($J$11="营业利润率",[1]!S_STM07_IS(D717,48,$G$5,$H$13)/[1]!S_STM07_IS(D717,9,$G$5,$H$13),([1]!S_STM07_CS(D717,87,$G$5,$H$13)+[1]!S_STM07_CS(D717,88,$G$5,$H$13)+[1]!S_STM07_CS(D717,89,$G$5,$H$13))/$E$5))</f>
        <v/>
      </c>
      <c r="K717" s="249" t="str">
        <f ca="1">IF(C717="","",IF($K$11="净利润率",[1]!S_STM07_IS(D717,61,$G$5,$H$13)/[1]!S_STM07_IS(D717,9,$G$5,$H$13),[1]!S_STM07_IS(D717,55,$G$5,$H$13)/$E$5))</f>
        <v/>
      </c>
      <c r="L717" s="249" t="str">
        <f ca="1">IF(C717="","",IF($L$11="ROA",[1]!S_STM07_IS(D717,61,$G$5,$H$13)/[1]!S_STM07_BS(D717,74,$G$5,$H$13),1-[1]!S_STM07_IS(D717,61,$G$5,$H$13)/[1]!S_STM07_IS(D717,55,$G$5,$H$13)))</f>
        <v/>
      </c>
      <c r="M717" s="249" t="str">
        <f ca="1">IF(C717="","",IF($M$11="ROE",[1]!S_STM07_IS(D717,61,$G$5,$H$13)/[1]!S_STM07_BS(D717,141,$G$5,$H$13),([1]!S_STM07_BS(D717,25,$G$5,$H$13)-[1]!S_STM07_BS(D717,93,$G$5,$H$13))/$E$5))</f>
        <v/>
      </c>
      <c r="N717" s="250" t="str">
        <f ca="1">IF(C717="","",IF($N$11="EPS",[1]!S_STM07_IS(D717,61,$G$5,$H$13)/IF([1]!S_SHARE_TOTAL(D717,$G$5)=0,[1]!S_SHARE_TOTAL(D717,[1]!s_ipo_listeddate(D717)),[1]!S_SHARE_TOTAL(D717,$G$5)),([1]!S_STM07_BS(D717,75,$G$5,$H$13)+[1]!S_STM07_BS(D717,88,$G$5,$H$13)+[1]!S_STM07_BS(D717,94,$G$5,$H$13)+[1]!S_STM07_BS(D717,95,$G$5,$H$13))/$E$5))</f>
        <v/>
      </c>
      <c r="O717" s="250" t="str">
        <f ca="1">IF(C717="","",IF($O$11="BPS",[1]!S_STM07_BS(D717,141,$G$5,$H$13)/IF([1]!S_SHARE_TOTAL(D717,$G$5)=0,[1]!S_SHARE_TOTAL(D717,[1]!s_ipo_listeddate(D717)),[1]!S_SHARE_TOTAL(D717,$G$5)),[1]!S_STM07_CS(D717,49,$G$5,$H$13)/$E$5))</f>
        <v/>
      </c>
      <c r="P717" s="250" t="str">
        <f ca="1">IF(C717="","",IF($P$11="CFPS",[1]!S_STM07_CS(D717,84,$G$5,$H$13)/IF([1]!S_SHARE_TOTAL(D717,$G$5)=0,[1]!S_SHARE_TOTAL(D717,[1]!s_ipo_listeddate(D717)),[1]!S_SHARE_TOTAL(D717,$G$5)),[1]!S_STM07_CS(D717,84,$G$5,$H$13)/$E$5))</f>
        <v/>
      </c>
      <c r="Q717" s="198" t="str">
        <f ca="1">IF(C717="","",F717/([1]!S_STM07_IS(D717,61,$G$5,$H$13)/IF([1]!S_SHARE_TOTAL(D717,$G$5)=0,[1]!S_SHARE_TOTAL(D717,[1]!s_ipo_listeddate(D717)),[1]!S_SHARE_TOTAL(D717,$G$5))))</f>
        <v/>
      </c>
      <c r="R717" s="198" t="str">
        <f ca="1">IF(C717="","",F717/([1]!S_STM07_BS(D717,141,$G$5,$H$13)/IF([1]!S_SHARE_TOTAL(D717,$G$5)=0,[1]!S_SHARE_TOTAL(D717,[1]!s_ipo_listeddate(D717)),[1]!S_SHARE_TOTAL(D717,$G$5))))</f>
        <v/>
      </c>
      <c r="S717" s="249" t="str">
        <f ca="1">IF(C717="","",[1]!S_SHARE_TOTAL(D717,TODAY())/$E$5)</f>
        <v/>
      </c>
      <c r="T717" s="249" t="str">
        <f t="shared" ca="1" si="73"/>
        <v/>
      </c>
      <c r="U717" s="172" t="str">
        <f t="shared" ca="1" si="74"/>
        <v/>
      </c>
      <c r="V717" s="343" t="str">
        <f t="shared" ca="1" si="75"/>
        <v/>
      </c>
      <c r="W717" s="139"/>
      <c r="Y717" s="1"/>
    </row>
    <row r="718" spans="3:25" ht="12" customHeight="1">
      <c r="C718" s="342" t="str">
        <f t="shared" ref="C718:C781" ca="1" si="76">IF(ROW()-13&lt;=MAX(series),ROW()-13,"")</f>
        <v/>
      </c>
      <c r="D718" s="153" t="str">
        <f t="shared" ca="1" si="71"/>
        <v/>
      </c>
      <c r="E718" s="153" t="str">
        <f t="shared" ca="1" si="72"/>
        <v/>
      </c>
      <c r="F718" s="170" t="str">
        <f ca="1">IF(C718="","",[1]!S_DQ_CLOSE(D718,TODAY(),1))</f>
        <v/>
      </c>
      <c r="G718" s="171" t="str">
        <f ca="1">IF(C718="","",[1]!s_pq_pctchange(D718,TODAY()-$G$12,TODAY())/100)</f>
        <v/>
      </c>
      <c r="H718" s="247" t="str">
        <f ca="1">IF(C718="","",IF($H$11="收入",[1]!S_STM07_IS(D718,9,$G$5,$H$13)/$E$5,[1]!S_STM07_IS(D718,48,$G$5,$H$13)/$E$5))</f>
        <v/>
      </c>
      <c r="I718" s="247" t="str">
        <f ca="1">IF(C718="","",IF($I$11="毛利率",([1]!S_STM07_IS(D718,9,$G$5,$H$13)-[1]!S_STM07_IS(D718,10,$G$5,$H$13))/[1]!S_STM07_IS(D718,9,$G$5,$H$13),[1]!S_STM07_IS(D718,14,$G$5,$H$13)/$E$5))</f>
        <v/>
      </c>
      <c r="J718" s="247" t="str">
        <f ca="1">IF(C718="","",IF($J$11="营业利润率",[1]!S_STM07_IS(D718,48,$G$5,$H$13)/[1]!S_STM07_IS(D718,9,$G$5,$H$13),([1]!S_STM07_CS(D718,87,$G$5,$H$13)+[1]!S_STM07_CS(D718,88,$G$5,$H$13)+[1]!S_STM07_CS(D718,89,$G$5,$H$13))/$E$5))</f>
        <v/>
      </c>
      <c r="K718" s="247" t="str">
        <f ca="1">IF(C718="","",IF($K$11="净利润率",[1]!S_STM07_IS(D718,61,$G$5,$H$13)/[1]!S_STM07_IS(D718,9,$G$5,$H$13),[1]!S_STM07_IS(D718,55,$G$5,$H$13)/$E$5))</f>
        <v/>
      </c>
      <c r="L718" s="247" t="str">
        <f ca="1">IF(C718="","",IF($L$11="ROA",[1]!S_STM07_IS(D718,61,$G$5,$H$13)/[1]!S_STM07_BS(D718,74,$G$5,$H$13),1-[1]!S_STM07_IS(D718,61,$G$5,$H$13)/[1]!S_STM07_IS(D718,55,$G$5,$H$13)))</f>
        <v/>
      </c>
      <c r="M718" s="247" t="str">
        <f ca="1">IF(C718="","",IF($M$11="ROE",[1]!S_STM07_IS(D718,61,$G$5,$H$13)/[1]!S_STM07_BS(D718,141,$G$5,$H$13),([1]!S_STM07_BS(D718,25,$G$5,$H$13)-[1]!S_STM07_BS(D718,93,$G$5,$H$13))/$E$5))</f>
        <v/>
      </c>
      <c r="N718" s="247" t="str">
        <f ca="1">IF(C718="","",IF($N$11="EPS",[1]!S_STM07_IS(D718,61,$G$5,$H$13)/IF([1]!S_SHARE_TOTAL(D718,$G$5)=0,[1]!S_SHARE_TOTAL(D718,[1]!s_ipo_listeddate(D718)),[1]!S_SHARE_TOTAL(D718,$G$5)),([1]!S_STM07_BS(D718,75,$G$5,$H$13)+[1]!S_STM07_BS(D718,88,$G$5,$H$13)+[1]!S_STM07_BS(D718,94,$G$5,$H$13)+[1]!S_STM07_BS(D718,95,$G$5,$H$13))/$E$5))</f>
        <v/>
      </c>
      <c r="O718" s="247" t="str">
        <f ca="1">IF(C718="","",IF($O$11="BPS",[1]!S_STM07_BS(D718,141,$G$5,$H$13)/IF([1]!S_SHARE_TOTAL(D718,$G$5)=0,[1]!S_SHARE_TOTAL(D718,[1]!s_ipo_listeddate(D718)),[1]!S_SHARE_TOTAL(D718,$G$5)),[1]!S_STM07_CS(D718,49,$G$5,$H$13)/$E$5))</f>
        <v/>
      </c>
      <c r="P718" s="247" t="str">
        <f ca="1">IF(C718="","",IF($P$11="CFPS",[1]!S_STM07_CS(D718,84,$G$5,$H$13)/IF([1]!S_SHARE_TOTAL(D718,$G$5)=0,[1]!S_SHARE_TOTAL(D718,[1]!s_ipo_listeddate(D718)),[1]!S_SHARE_TOTAL(D718,$G$5)),[1]!S_STM07_CS(D718,84,$G$5,$H$13)/$E$5))</f>
        <v/>
      </c>
      <c r="Q718" s="248" t="str">
        <f ca="1">IF(C718="","",F718/([1]!S_STM07_IS(D718,61,$G$5,$H$13)/IF([1]!S_SHARE_TOTAL(D718,$G$5)=0,[1]!S_SHARE_TOTAL(D718,[1]!s_ipo_listeddate(D718)),[1]!S_SHARE_TOTAL(D718,$G$5))))</f>
        <v/>
      </c>
      <c r="R718" s="248" t="str">
        <f ca="1">IF(C718="","",F718/([1]!S_STM07_BS(D718,141,$G$5,$H$13)/IF([1]!S_SHARE_TOTAL(D718,$G$5)=0,[1]!S_SHARE_TOTAL(D718,[1]!s_ipo_listeddate(D718)),[1]!S_SHARE_TOTAL(D718,$G$5))))</f>
        <v/>
      </c>
      <c r="S718" s="247" t="str">
        <f ca="1">IF(C718="","",[1]!S_SHARE_TOTAL(D718,TODAY())/$E$5)</f>
        <v/>
      </c>
      <c r="T718" s="247" t="str">
        <f t="shared" ca="1" si="73"/>
        <v/>
      </c>
      <c r="U718" s="218" t="str">
        <f t="shared" ca="1" si="74"/>
        <v/>
      </c>
      <c r="V718" s="342" t="str">
        <f t="shared" ca="1" si="75"/>
        <v/>
      </c>
      <c r="W718" s="139"/>
      <c r="Y718" s="1"/>
    </row>
    <row r="719" spans="3:25" ht="12" customHeight="1">
      <c r="C719" s="343" t="str">
        <f t="shared" ca="1" si="76"/>
        <v/>
      </c>
      <c r="D719" s="124" t="str">
        <f t="shared" ca="1" si="71"/>
        <v/>
      </c>
      <c r="E719" s="124" t="str">
        <f t="shared" ca="1" si="72"/>
        <v/>
      </c>
      <c r="F719" s="172" t="str">
        <f ca="1">IF(C719="","",[1]!S_DQ_CLOSE(D719,TODAY(),1))</f>
        <v/>
      </c>
      <c r="G719" s="173" t="str">
        <f ca="1">IF(C719="","",[1]!s_pq_pctchange(D719,TODAY()-$G$12,TODAY())/100)</f>
        <v/>
      </c>
      <c r="H719" s="249" t="str">
        <f ca="1">IF(C719="","",IF($H$11="收入",[1]!S_STM07_IS(D719,9,$G$5,$H$13)/$E$5,[1]!S_STM07_IS(D719,48,$G$5,$H$13)/$E$5))</f>
        <v/>
      </c>
      <c r="I719" s="249" t="str">
        <f ca="1">IF(C719="","",IF($I$11="毛利率",([1]!S_STM07_IS(D719,9,$G$5,$H$13)-[1]!S_STM07_IS(D719,10,$G$5,$H$13))/[1]!S_STM07_IS(D719,9,$G$5,$H$13),[1]!S_STM07_IS(D719,14,$G$5,$H$13)/$E$5))</f>
        <v/>
      </c>
      <c r="J719" s="249" t="str">
        <f ca="1">IF(C719="","",IF($J$11="营业利润率",[1]!S_STM07_IS(D719,48,$G$5,$H$13)/[1]!S_STM07_IS(D719,9,$G$5,$H$13),([1]!S_STM07_CS(D719,87,$G$5,$H$13)+[1]!S_STM07_CS(D719,88,$G$5,$H$13)+[1]!S_STM07_CS(D719,89,$G$5,$H$13))/$E$5))</f>
        <v/>
      </c>
      <c r="K719" s="249" t="str">
        <f ca="1">IF(C719="","",IF($K$11="净利润率",[1]!S_STM07_IS(D719,61,$G$5,$H$13)/[1]!S_STM07_IS(D719,9,$G$5,$H$13),[1]!S_STM07_IS(D719,55,$G$5,$H$13)/$E$5))</f>
        <v/>
      </c>
      <c r="L719" s="249" t="str">
        <f ca="1">IF(C719="","",IF($L$11="ROA",[1]!S_STM07_IS(D719,61,$G$5,$H$13)/[1]!S_STM07_BS(D719,74,$G$5,$H$13),1-[1]!S_STM07_IS(D719,61,$G$5,$H$13)/[1]!S_STM07_IS(D719,55,$G$5,$H$13)))</f>
        <v/>
      </c>
      <c r="M719" s="249" t="str">
        <f ca="1">IF(C719="","",IF($M$11="ROE",[1]!S_STM07_IS(D719,61,$G$5,$H$13)/[1]!S_STM07_BS(D719,141,$G$5,$H$13),([1]!S_STM07_BS(D719,25,$G$5,$H$13)-[1]!S_STM07_BS(D719,93,$G$5,$H$13))/$E$5))</f>
        <v/>
      </c>
      <c r="N719" s="250" t="str">
        <f ca="1">IF(C719="","",IF($N$11="EPS",[1]!S_STM07_IS(D719,61,$G$5,$H$13)/IF([1]!S_SHARE_TOTAL(D719,$G$5)=0,[1]!S_SHARE_TOTAL(D719,[1]!s_ipo_listeddate(D719)),[1]!S_SHARE_TOTAL(D719,$G$5)),([1]!S_STM07_BS(D719,75,$G$5,$H$13)+[1]!S_STM07_BS(D719,88,$G$5,$H$13)+[1]!S_STM07_BS(D719,94,$G$5,$H$13)+[1]!S_STM07_BS(D719,95,$G$5,$H$13))/$E$5))</f>
        <v/>
      </c>
      <c r="O719" s="250" t="str">
        <f ca="1">IF(C719="","",IF($O$11="BPS",[1]!S_STM07_BS(D719,141,$G$5,$H$13)/IF([1]!S_SHARE_TOTAL(D719,$G$5)=0,[1]!S_SHARE_TOTAL(D719,[1]!s_ipo_listeddate(D719)),[1]!S_SHARE_TOTAL(D719,$G$5)),[1]!S_STM07_CS(D719,49,$G$5,$H$13)/$E$5))</f>
        <v/>
      </c>
      <c r="P719" s="250" t="str">
        <f ca="1">IF(C719="","",IF($P$11="CFPS",[1]!S_STM07_CS(D719,84,$G$5,$H$13)/IF([1]!S_SHARE_TOTAL(D719,$G$5)=0,[1]!S_SHARE_TOTAL(D719,[1]!s_ipo_listeddate(D719)),[1]!S_SHARE_TOTAL(D719,$G$5)),[1]!S_STM07_CS(D719,84,$G$5,$H$13)/$E$5))</f>
        <v/>
      </c>
      <c r="Q719" s="198" t="str">
        <f ca="1">IF(C719="","",F719/([1]!S_STM07_IS(D719,61,$G$5,$H$13)/IF([1]!S_SHARE_TOTAL(D719,$G$5)=0,[1]!S_SHARE_TOTAL(D719,[1]!s_ipo_listeddate(D719)),[1]!S_SHARE_TOTAL(D719,$G$5))))</f>
        <v/>
      </c>
      <c r="R719" s="198" t="str">
        <f ca="1">IF(C719="","",F719/([1]!S_STM07_BS(D719,141,$G$5,$H$13)/IF([1]!S_SHARE_TOTAL(D719,$G$5)=0,[1]!S_SHARE_TOTAL(D719,[1]!s_ipo_listeddate(D719)),[1]!S_SHARE_TOTAL(D719,$G$5))))</f>
        <v/>
      </c>
      <c r="S719" s="249" t="str">
        <f ca="1">IF(C719="","",[1]!S_SHARE_TOTAL(D719,TODAY())/$E$5)</f>
        <v/>
      </c>
      <c r="T719" s="249" t="str">
        <f t="shared" ca="1" si="73"/>
        <v/>
      </c>
      <c r="U719" s="172" t="str">
        <f t="shared" ca="1" si="74"/>
        <v/>
      </c>
      <c r="V719" s="343" t="str">
        <f t="shared" ca="1" si="75"/>
        <v/>
      </c>
      <c r="W719" s="139"/>
      <c r="Y719" s="1"/>
    </row>
    <row r="720" spans="3:25" ht="12" customHeight="1">
      <c r="C720" s="342" t="str">
        <f t="shared" ca="1" si="76"/>
        <v/>
      </c>
      <c r="D720" s="153" t="str">
        <f t="shared" ca="1" si="71"/>
        <v/>
      </c>
      <c r="E720" s="153" t="str">
        <f t="shared" ca="1" si="72"/>
        <v/>
      </c>
      <c r="F720" s="170" t="str">
        <f ca="1">IF(C720="","",[1]!S_DQ_CLOSE(D720,TODAY(),1))</f>
        <v/>
      </c>
      <c r="G720" s="171" t="str">
        <f ca="1">IF(C720="","",[1]!s_pq_pctchange(D720,TODAY()-$G$12,TODAY())/100)</f>
        <v/>
      </c>
      <c r="H720" s="247" t="str">
        <f ca="1">IF(C720="","",IF($H$11="收入",[1]!S_STM07_IS(D720,9,$G$5,$H$13)/$E$5,[1]!S_STM07_IS(D720,48,$G$5,$H$13)/$E$5))</f>
        <v/>
      </c>
      <c r="I720" s="247" t="str">
        <f ca="1">IF(C720="","",IF($I$11="毛利率",([1]!S_STM07_IS(D720,9,$G$5,$H$13)-[1]!S_STM07_IS(D720,10,$G$5,$H$13))/[1]!S_STM07_IS(D720,9,$G$5,$H$13),[1]!S_STM07_IS(D720,14,$G$5,$H$13)/$E$5))</f>
        <v/>
      </c>
      <c r="J720" s="247" t="str">
        <f ca="1">IF(C720="","",IF($J$11="营业利润率",[1]!S_STM07_IS(D720,48,$G$5,$H$13)/[1]!S_STM07_IS(D720,9,$G$5,$H$13),([1]!S_STM07_CS(D720,87,$G$5,$H$13)+[1]!S_STM07_CS(D720,88,$G$5,$H$13)+[1]!S_STM07_CS(D720,89,$G$5,$H$13))/$E$5))</f>
        <v/>
      </c>
      <c r="K720" s="247" t="str">
        <f ca="1">IF(C720="","",IF($K$11="净利润率",[1]!S_STM07_IS(D720,61,$G$5,$H$13)/[1]!S_STM07_IS(D720,9,$G$5,$H$13),[1]!S_STM07_IS(D720,55,$G$5,$H$13)/$E$5))</f>
        <v/>
      </c>
      <c r="L720" s="247" t="str">
        <f ca="1">IF(C720="","",IF($L$11="ROA",[1]!S_STM07_IS(D720,61,$G$5,$H$13)/[1]!S_STM07_BS(D720,74,$G$5,$H$13),1-[1]!S_STM07_IS(D720,61,$G$5,$H$13)/[1]!S_STM07_IS(D720,55,$G$5,$H$13)))</f>
        <v/>
      </c>
      <c r="M720" s="247" t="str">
        <f ca="1">IF(C720="","",IF($M$11="ROE",[1]!S_STM07_IS(D720,61,$G$5,$H$13)/[1]!S_STM07_BS(D720,141,$G$5,$H$13),([1]!S_STM07_BS(D720,25,$G$5,$H$13)-[1]!S_STM07_BS(D720,93,$G$5,$H$13))/$E$5))</f>
        <v/>
      </c>
      <c r="N720" s="247" t="str">
        <f ca="1">IF(C720="","",IF($N$11="EPS",[1]!S_STM07_IS(D720,61,$G$5,$H$13)/IF([1]!S_SHARE_TOTAL(D720,$G$5)=0,[1]!S_SHARE_TOTAL(D720,[1]!s_ipo_listeddate(D720)),[1]!S_SHARE_TOTAL(D720,$G$5)),([1]!S_STM07_BS(D720,75,$G$5,$H$13)+[1]!S_STM07_BS(D720,88,$G$5,$H$13)+[1]!S_STM07_BS(D720,94,$G$5,$H$13)+[1]!S_STM07_BS(D720,95,$G$5,$H$13))/$E$5))</f>
        <v/>
      </c>
      <c r="O720" s="247" t="str">
        <f ca="1">IF(C720="","",IF($O$11="BPS",[1]!S_STM07_BS(D720,141,$G$5,$H$13)/IF([1]!S_SHARE_TOTAL(D720,$G$5)=0,[1]!S_SHARE_TOTAL(D720,[1]!s_ipo_listeddate(D720)),[1]!S_SHARE_TOTAL(D720,$G$5)),[1]!S_STM07_CS(D720,49,$G$5,$H$13)/$E$5))</f>
        <v/>
      </c>
      <c r="P720" s="247" t="str">
        <f ca="1">IF(C720="","",IF($P$11="CFPS",[1]!S_STM07_CS(D720,84,$G$5,$H$13)/IF([1]!S_SHARE_TOTAL(D720,$G$5)=0,[1]!S_SHARE_TOTAL(D720,[1]!s_ipo_listeddate(D720)),[1]!S_SHARE_TOTAL(D720,$G$5)),[1]!S_STM07_CS(D720,84,$G$5,$H$13)/$E$5))</f>
        <v/>
      </c>
      <c r="Q720" s="248" t="str">
        <f ca="1">IF(C720="","",F720/([1]!S_STM07_IS(D720,61,$G$5,$H$13)/IF([1]!S_SHARE_TOTAL(D720,$G$5)=0,[1]!S_SHARE_TOTAL(D720,[1]!s_ipo_listeddate(D720)),[1]!S_SHARE_TOTAL(D720,$G$5))))</f>
        <v/>
      </c>
      <c r="R720" s="248" t="str">
        <f ca="1">IF(C720="","",F720/([1]!S_STM07_BS(D720,141,$G$5,$H$13)/IF([1]!S_SHARE_TOTAL(D720,$G$5)=0,[1]!S_SHARE_TOTAL(D720,[1]!s_ipo_listeddate(D720)),[1]!S_SHARE_TOTAL(D720,$G$5))))</f>
        <v/>
      </c>
      <c r="S720" s="247" t="str">
        <f ca="1">IF(C720="","",[1]!S_SHARE_TOTAL(D720,TODAY())/$E$5)</f>
        <v/>
      </c>
      <c r="T720" s="247" t="str">
        <f t="shared" ca="1" si="73"/>
        <v/>
      </c>
      <c r="U720" s="218" t="str">
        <f t="shared" ca="1" si="74"/>
        <v/>
      </c>
      <c r="V720" s="342" t="str">
        <f t="shared" ca="1" si="75"/>
        <v/>
      </c>
      <c r="W720" s="139"/>
      <c r="Y720" s="1"/>
    </row>
    <row r="721" spans="3:25" ht="12" customHeight="1">
      <c r="C721" s="343" t="str">
        <f t="shared" ca="1" si="76"/>
        <v/>
      </c>
      <c r="D721" s="124" t="str">
        <f t="shared" ca="1" si="71"/>
        <v/>
      </c>
      <c r="E721" s="124" t="str">
        <f t="shared" ca="1" si="72"/>
        <v/>
      </c>
      <c r="F721" s="172" t="str">
        <f ca="1">IF(C721="","",[1]!S_DQ_CLOSE(D721,TODAY(),1))</f>
        <v/>
      </c>
      <c r="G721" s="173" t="str">
        <f ca="1">IF(C721="","",[1]!s_pq_pctchange(D721,TODAY()-$G$12,TODAY())/100)</f>
        <v/>
      </c>
      <c r="H721" s="249" t="str">
        <f ca="1">IF(C721="","",IF($H$11="收入",[1]!S_STM07_IS(D721,9,$G$5,$H$13)/$E$5,[1]!S_STM07_IS(D721,48,$G$5,$H$13)/$E$5))</f>
        <v/>
      </c>
      <c r="I721" s="249" t="str">
        <f ca="1">IF(C721="","",IF($I$11="毛利率",([1]!S_STM07_IS(D721,9,$G$5,$H$13)-[1]!S_STM07_IS(D721,10,$G$5,$H$13))/[1]!S_STM07_IS(D721,9,$G$5,$H$13),[1]!S_STM07_IS(D721,14,$G$5,$H$13)/$E$5))</f>
        <v/>
      </c>
      <c r="J721" s="249" t="str">
        <f ca="1">IF(C721="","",IF($J$11="营业利润率",[1]!S_STM07_IS(D721,48,$G$5,$H$13)/[1]!S_STM07_IS(D721,9,$G$5,$H$13),([1]!S_STM07_CS(D721,87,$G$5,$H$13)+[1]!S_STM07_CS(D721,88,$G$5,$H$13)+[1]!S_STM07_CS(D721,89,$G$5,$H$13))/$E$5))</f>
        <v/>
      </c>
      <c r="K721" s="249" t="str">
        <f ca="1">IF(C721="","",IF($K$11="净利润率",[1]!S_STM07_IS(D721,61,$G$5,$H$13)/[1]!S_STM07_IS(D721,9,$G$5,$H$13),[1]!S_STM07_IS(D721,55,$G$5,$H$13)/$E$5))</f>
        <v/>
      </c>
      <c r="L721" s="249" t="str">
        <f ca="1">IF(C721="","",IF($L$11="ROA",[1]!S_STM07_IS(D721,61,$G$5,$H$13)/[1]!S_STM07_BS(D721,74,$G$5,$H$13),1-[1]!S_STM07_IS(D721,61,$G$5,$H$13)/[1]!S_STM07_IS(D721,55,$G$5,$H$13)))</f>
        <v/>
      </c>
      <c r="M721" s="249" t="str">
        <f ca="1">IF(C721="","",IF($M$11="ROE",[1]!S_STM07_IS(D721,61,$G$5,$H$13)/[1]!S_STM07_BS(D721,141,$G$5,$H$13),([1]!S_STM07_BS(D721,25,$G$5,$H$13)-[1]!S_STM07_BS(D721,93,$G$5,$H$13))/$E$5))</f>
        <v/>
      </c>
      <c r="N721" s="250" t="str">
        <f ca="1">IF(C721="","",IF($N$11="EPS",[1]!S_STM07_IS(D721,61,$G$5,$H$13)/IF([1]!S_SHARE_TOTAL(D721,$G$5)=0,[1]!S_SHARE_TOTAL(D721,[1]!s_ipo_listeddate(D721)),[1]!S_SHARE_TOTAL(D721,$G$5)),([1]!S_STM07_BS(D721,75,$G$5,$H$13)+[1]!S_STM07_BS(D721,88,$G$5,$H$13)+[1]!S_STM07_BS(D721,94,$G$5,$H$13)+[1]!S_STM07_BS(D721,95,$G$5,$H$13))/$E$5))</f>
        <v/>
      </c>
      <c r="O721" s="250" t="str">
        <f ca="1">IF(C721="","",IF($O$11="BPS",[1]!S_STM07_BS(D721,141,$G$5,$H$13)/IF([1]!S_SHARE_TOTAL(D721,$G$5)=0,[1]!S_SHARE_TOTAL(D721,[1]!s_ipo_listeddate(D721)),[1]!S_SHARE_TOTAL(D721,$G$5)),[1]!S_STM07_CS(D721,49,$G$5,$H$13)/$E$5))</f>
        <v/>
      </c>
      <c r="P721" s="250" t="str">
        <f ca="1">IF(C721="","",IF($P$11="CFPS",[1]!S_STM07_CS(D721,84,$G$5,$H$13)/IF([1]!S_SHARE_TOTAL(D721,$G$5)=0,[1]!S_SHARE_TOTAL(D721,[1]!s_ipo_listeddate(D721)),[1]!S_SHARE_TOTAL(D721,$G$5)),[1]!S_STM07_CS(D721,84,$G$5,$H$13)/$E$5))</f>
        <v/>
      </c>
      <c r="Q721" s="198" t="str">
        <f ca="1">IF(C721="","",F721/([1]!S_STM07_IS(D721,61,$G$5,$H$13)/IF([1]!S_SHARE_TOTAL(D721,$G$5)=0,[1]!S_SHARE_TOTAL(D721,[1]!s_ipo_listeddate(D721)),[1]!S_SHARE_TOTAL(D721,$G$5))))</f>
        <v/>
      </c>
      <c r="R721" s="198" t="str">
        <f ca="1">IF(C721="","",F721/([1]!S_STM07_BS(D721,141,$G$5,$H$13)/IF([1]!S_SHARE_TOTAL(D721,$G$5)=0,[1]!S_SHARE_TOTAL(D721,[1]!s_ipo_listeddate(D721)),[1]!S_SHARE_TOTAL(D721,$G$5))))</f>
        <v/>
      </c>
      <c r="S721" s="249" t="str">
        <f ca="1">IF(C721="","",[1]!S_SHARE_TOTAL(D721,TODAY())/$E$5)</f>
        <v/>
      </c>
      <c r="T721" s="249" t="str">
        <f t="shared" ca="1" si="73"/>
        <v/>
      </c>
      <c r="U721" s="172" t="str">
        <f t="shared" ca="1" si="74"/>
        <v/>
      </c>
      <c r="V721" s="343" t="str">
        <f t="shared" ca="1" si="75"/>
        <v/>
      </c>
      <c r="W721" s="139"/>
      <c r="Y721" s="1"/>
    </row>
    <row r="722" spans="3:25" ht="12" customHeight="1">
      <c r="C722" s="342" t="str">
        <f t="shared" ca="1" si="76"/>
        <v/>
      </c>
      <c r="D722" s="153" t="str">
        <f t="shared" ca="1" si="71"/>
        <v/>
      </c>
      <c r="E722" s="153" t="str">
        <f t="shared" ca="1" si="72"/>
        <v/>
      </c>
      <c r="F722" s="170" t="str">
        <f ca="1">IF(C722="","",[1]!S_DQ_CLOSE(D722,TODAY(),1))</f>
        <v/>
      </c>
      <c r="G722" s="171" t="str">
        <f ca="1">IF(C722="","",[1]!s_pq_pctchange(D722,TODAY()-$G$12,TODAY())/100)</f>
        <v/>
      </c>
      <c r="H722" s="247" t="str">
        <f ca="1">IF(C722="","",IF($H$11="收入",[1]!S_STM07_IS(D722,9,$G$5,$H$13)/$E$5,[1]!S_STM07_IS(D722,48,$G$5,$H$13)/$E$5))</f>
        <v/>
      </c>
      <c r="I722" s="247" t="str">
        <f ca="1">IF(C722="","",IF($I$11="毛利率",([1]!S_STM07_IS(D722,9,$G$5,$H$13)-[1]!S_STM07_IS(D722,10,$G$5,$H$13))/[1]!S_STM07_IS(D722,9,$G$5,$H$13),[1]!S_STM07_IS(D722,14,$G$5,$H$13)/$E$5))</f>
        <v/>
      </c>
      <c r="J722" s="247" t="str">
        <f ca="1">IF(C722="","",IF($J$11="营业利润率",[1]!S_STM07_IS(D722,48,$G$5,$H$13)/[1]!S_STM07_IS(D722,9,$G$5,$H$13),([1]!S_STM07_CS(D722,87,$G$5,$H$13)+[1]!S_STM07_CS(D722,88,$G$5,$H$13)+[1]!S_STM07_CS(D722,89,$G$5,$H$13))/$E$5))</f>
        <v/>
      </c>
      <c r="K722" s="247" t="str">
        <f ca="1">IF(C722="","",IF($K$11="净利润率",[1]!S_STM07_IS(D722,61,$G$5,$H$13)/[1]!S_STM07_IS(D722,9,$G$5,$H$13),[1]!S_STM07_IS(D722,55,$G$5,$H$13)/$E$5))</f>
        <v/>
      </c>
      <c r="L722" s="247" t="str">
        <f ca="1">IF(C722="","",IF($L$11="ROA",[1]!S_STM07_IS(D722,61,$G$5,$H$13)/[1]!S_STM07_BS(D722,74,$G$5,$H$13),1-[1]!S_STM07_IS(D722,61,$G$5,$H$13)/[1]!S_STM07_IS(D722,55,$G$5,$H$13)))</f>
        <v/>
      </c>
      <c r="M722" s="247" t="str">
        <f ca="1">IF(C722="","",IF($M$11="ROE",[1]!S_STM07_IS(D722,61,$G$5,$H$13)/[1]!S_STM07_BS(D722,141,$G$5,$H$13),([1]!S_STM07_BS(D722,25,$G$5,$H$13)-[1]!S_STM07_BS(D722,93,$G$5,$H$13))/$E$5))</f>
        <v/>
      </c>
      <c r="N722" s="247" t="str">
        <f ca="1">IF(C722="","",IF($N$11="EPS",[1]!S_STM07_IS(D722,61,$G$5,$H$13)/IF([1]!S_SHARE_TOTAL(D722,$G$5)=0,[1]!S_SHARE_TOTAL(D722,[1]!s_ipo_listeddate(D722)),[1]!S_SHARE_TOTAL(D722,$G$5)),([1]!S_STM07_BS(D722,75,$G$5,$H$13)+[1]!S_STM07_BS(D722,88,$G$5,$H$13)+[1]!S_STM07_BS(D722,94,$G$5,$H$13)+[1]!S_STM07_BS(D722,95,$G$5,$H$13))/$E$5))</f>
        <v/>
      </c>
      <c r="O722" s="247" t="str">
        <f ca="1">IF(C722="","",IF($O$11="BPS",[1]!S_STM07_BS(D722,141,$G$5,$H$13)/IF([1]!S_SHARE_TOTAL(D722,$G$5)=0,[1]!S_SHARE_TOTAL(D722,[1]!s_ipo_listeddate(D722)),[1]!S_SHARE_TOTAL(D722,$G$5)),[1]!S_STM07_CS(D722,49,$G$5,$H$13)/$E$5))</f>
        <v/>
      </c>
      <c r="P722" s="247" t="str">
        <f ca="1">IF(C722="","",IF($P$11="CFPS",[1]!S_STM07_CS(D722,84,$G$5,$H$13)/IF([1]!S_SHARE_TOTAL(D722,$G$5)=0,[1]!S_SHARE_TOTAL(D722,[1]!s_ipo_listeddate(D722)),[1]!S_SHARE_TOTAL(D722,$G$5)),[1]!S_STM07_CS(D722,84,$G$5,$H$13)/$E$5))</f>
        <v/>
      </c>
      <c r="Q722" s="248" t="str">
        <f ca="1">IF(C722="","",F722/([1]!S_STM07_IS(D722,61,$G$5,$H$13)/IF([1]!S_SHARE_TOTAL(D722,$G$5)=0,[1]!S_SHARE_TOTAL(D722,[1]!s_ipo_listeddate(D722)),[1]!S_SHARE_TOTAL(D722,$G$5))))</f>
        <v/>
      </c>
      <c r="R722" s="248" t="str">
        <f ca="1">IF(C722="","",F722/([1]!S_STM07_BS(D722,141,$G$5,$H$13)/IF([1]!S_SHARE_TOTAL(D722,$G$5)=0,[1]!S_SHARE_TOTAL(D722,[1]!s_ipo_listeddate(D722)),[1]!S_SHARE_TOTAL(D722,$G$5))))</f>
        <v/>
      </c>
      <c r="S722" s="247" t="str">
        <f ca="1">IF(C722="","",[1]!S_SHARE_TOTAL(D722,TODAY())/$E$5)</f>
        <v/>
      </c>
      <c r="T722" s="247" t="str">
        <f t="shared" ca="1" si="73"/>
        <v/>
      </c>
      <c r="U722" s="218" t="str">
        <f t="shared" ca="1" si="74"/>
        <v/>
      </c>
      <c r="V722" s="342" t="str">
        <f t="shared" ca="1" si="75"/>
        <v/>
      </c>
      <c r="W722" s="139"/>
      <c r="Y722" s="1"/>
    </row>
    <row r="723" spans="3:25" ht="12" customHeight="1">
      <c r="C723" s="343" t="str">
        <f t="shared" ca="1" si="76"/>
        <v/>
      </c>
      <c r="D723" s="124" t="str">
        <f t="shared" ca="1" si="71"/>
        <v/>
      </c>
      <c r="E723" s="124" t="str">
        <f t="shared" ca="1" si="72"/>
        <v/>
      </c>
      <c r="F723" s="172" t="str">
        <f ca="1">IF(C723="","",[1]!S_DQ_CLOSE(D723,TODAY(),1))</f>
        <v/>
      </c>
      <c r="G723" s="173" t="str">
        <f ca="1">IF(C723="","",[1]!s_pq_pctchange(D723,TODAY()-$G$12,TODAY())/100)</f>
        <v/>
      </c>
      <c r="H723" s="249" t="str">
        <f ca="1">IF(C723="","",IF($H$11="收入",[1]!S_STM07_IS(D723,9,$G$5,$H$13)/$E$5,[1]!S_STM07_IS(D723,48,$G$5,$H$13)/$E$5))</f>
        <v/>
      </c>
      <c r="I723" s="249" t="str">
        <f ca="1">IF(C723="","",IF($I$11="毛利率",([1]!S_STM07_IS(D723,9,$G$5,$H$13)-[1]!S_STM07_IS(D723,10,$G$5,$H$13))/[1]!S_STM07_IS(D723,9,$G$5,$H$13),[1]!S_STM07_IS(D723,14,$G$5,$H$13)/$E$5))</f>
        <v/>
      </c>
      <c r="J723" s="249" t="str">
        <f ca="1">IF(C723="","",IF($J$11="营业利润率",[1]!S_STM07_IS(D723,48,$G$5,$H$13)/[1]!S_STM07_IS(D723,9,$G$5,$H$13),([1]!S_STM07_CS(D723,87,$G$5,$H$13)+[1]!S_STM07_CS(D723,88,$G$5,$H$13)+[1]!S_STM07_CS(D723,89,$G$5,$H$13))/$E$5))</f>
        <v/>
      </c>
      <c r="K723" s="249" t="str">
        <f ca="1">IF(C723="","",IF($K$11="净利润率",[1]!S_STM07_IS(D723,61,$G$5,$H$13)/[1]!S_STM07_IS(D723,9,$G$5,$H$13),[1]!S_STM07_IS(D723,55,$G$5,$H$13)/$E$5))</f>
        <v/>
      </c>
      <c r="L723" s="249" t="str">
        <f ca="1">IF(C723="","",IF($L$11="ROA",[1]!S_STM07_IS(D723,61,$G$5,$H$13)/[1]!S_STM07_BS(D723,74,$G$5,$H$13),1-[1]!S_STM07_IS(D723,61,$G$5,$H$13)/[1]!S_STM07_IS(D723,55,$G$5,$H$13)))</f>
        <v/>
      </c>
      <c r="M723" s="249" t="str">
        <f ca="1">IF(C723="","",IF($M$11="ROE",[1]!S_STM07_IS(D723,61,$G$5,$H$13)/[1]!S_STM07_BS(D723,141,$G$5,$H$13),([1]!S_STM07_BS(D723,25,$G$5,$H$13)-[1]!S_STM07_BS(D723,93,$G$5,$H$13))/$E$5))</f>
        <v/>
      </c>
      <c r="N723" s="250" t="str">
        <f ca="1">IF(C723="","",IF($N$11="EPS",[1]!S_STM07_IS(D723,61,$G$5,$H$13)/IF([1]!S_SHARE_TOTAL(D723,$G$5)=0,[1]!S_SHARE_TOTAL(D723,[1]!s_ipo_listeddate(D723)),[1]!S_SHARE_TOTAL(D723,$G$5)),([1]!S_STM07_BS(D723,75,$G$5,$H$13)+[1]!S_STM07_BS(D723,88,$G$5,$H$13)+[1]!S_STM07_BS(D723,94,$G$5,$H$13)+[1]!S_STM07_BS(D723,95,$G$5,$H$13))/$E$5))</f>
        <v/>
      </c>
      <c r="O723" s="250" t="str">
        <f ca="1">IF(C723="","",IF($O$11="BPS",[1]!S_STM07_BS(D723,141,$G$5,$H$13)/IF([1]!S_SHARE_TOTAL(D723,$G$5)=0,[1]!S_SHARE_TOTAL(D723,[1]!s_ipo_listeddate(D723)),[1]!S_SHARE_TOTAL(D723,$G$5)),[1]!S_STM07_CS(D723,49,$G$5,$H$13)/$E$5))</f>
        <v/>
      </c>
      <c r="P723" s="250" t="str">
        <f ca="1">IF(C723="","",IF($P$11="CFPS",[1]!S_STM07_CS(D723,84,$G$5,$H$13)/IF([1]!S_SHARE_TOTAL(D723,$G$5)=0,[1]!S_SHARE_TOTAL(D723,[1]!s_ipo_listeddate(D723)),[1]!S_SHARE_TOTAL(D723,$G$5)),[1]!S_STM07_CS(D723,84,$G$5,$H$13)/$E$5))</f>
        <v/>
      </c>
      <c r="Q723" s="198" t="str">
        <f ca="1">IF(C723="","",F723/([1]!S_STM07_IS(D723,61,$G$5,$H$13)/IF([1]!S_SHARE_TOTAL(D723,$G$5)=0,[1]!S_SHARE_TOTAL(D723,[1]!s_ipo_listeddate(D723)),[1]!S_SHARE_TOTAL(D723,$G$5))))</f>
        <v/>
      </c>
      <c r="R723" s="198" t="str">
        <f ca="1">IF(C723="","",F723/([1]!S_STM07_BS(D723,141,$G$5,$H$13)/IF([1]!S_SHARE_TOTAL(D723,$G$5)=0,[1]!S_SHARE_TOTAL(D723,[1]!s_ipo_listeddate(D723)),[1]!S_SHARE_TOTAL(D723,$G$5))))</f>
        <v/>
      </c>
      <c r="S723" s="249" t="str">
        <f ca="1">IF(C723="","",[1]!S_SHARE_TOTAL(D723,TODAY())/$E$5)</f>
        <v/>
      </c>
      <c r="T723" s="249" t="str">
        <f t="shared" ca="1" si="73"/>
        <v/>
      </c>
      <c r="U723" s="172" t="str">
        <f t="shared" ca="1" si="74"/>
        <v/>
      </c>
      <c r="V723" s="343" t="str">
        <f t="shared" ca="1" si="75"/>
        <v/>
      </c>
      <c r="W723" s="139"/>
      <c r="Y723" s="1"/>
    </row>
    <row r="724" spans="3:25" ht="12" customHeight="1">
      <c r="C724" s="342" t="str">
        <f t="shared" ca="1" si="76"/>
        <v/>
      </c>
      <c r="D724" s="153" t="str">
        <f t="shared" ca="1" si="71"/>
        <v/>
      </c>
      <c r="E724" s="153" t="str">
        <f t="shared" ca="1" si="72"/>
        <v/>
      </c>
      <c r="F724" s="170" t="str">
        <f ca="1">IF(C724="","",[1]!S_DQ_CLOSE(D724,TODAY(),1))</f>
        <v/>
      </c>
      <c r="G724" s="171" t="str">
        <f ca="1">IF(C724="","",[1]!s_pq_pctchange(D724,TODAY()-$G$12,TODAY())/100)</f>
        <v/>
      </c>
      <c r="H724" s="247" t="str">
        <f ca="1">IF(C724="","",IF($H$11="收入",[1]!S_STM07_IS(D724,9,$G$5,$H$13)/$E$5,[1]!S_STM07_IS(D724,48,$G$5,$H$13)/$E$5))</f>
        <v/>
      </c>
      <c r="I724" s="247" t="str">
        <f ca="1">IF(C724="","",IF($I$11="毛利率",([1]!S_STM07_IS(D724,9,$G$5,$H$13)-[1]!S_STM07_IS(D724,10,$G$5,$H$13))/[1]!S_STM07_IS(D724,9,$G$5,$H$13),[1]!S_STM07_IS(D724,14,$G$5,$H$13)/$E$5))</f>
        <v/>
      </c>
      <c r="J724" s="247" t="str">
        <f ca="1">IF(C724="","",IF($J$11="营业利润率",[1]!S_STM07_IS(D724,48,$G$5,$H$13)/[1]!S_STM07_IS(D724,9,$G$5,$H$13),([1]!S_STM07_CS(D724,87,$G$5,$H$13)+[1]!S_STM07_CS(D724,88,$G$5,$H$13)+[1]!S_STM07_CS(D724,89,$G$5,$H$13))/$E$5))</f>
        <v/>
      </c>
      <c r="K724" s="247" t="str">
        <f ca="1">IF(C724="","",IF($K$11="净利润率",[1]!S_STM07_IS(D724,61,$G$5,$H$13)/[1]!S_STM07_IS(D724,9,$G$5,$H$13),[1]!S_STM07_IS(D724,55,$G$5,$H$13)/$E$5))</f>
        <v/>
      </c>
      <c r="L724" s="247" t="str">
        <f ca="1">IF(C724="","",IF($L$11="ROA",[1]!S_STM07_IS(D724,61,$G$5,$H$13)/[1]!S_STM07_BS(D724,74,$G$5,$H$13),1-[1]!S_STM07_IS(D724,61,$G$5,$H$13)/[1]!S_STM07_IS(D724,55,$G$5,$H$13)))</f>
        <v/>
      </c>
      <c r="M724" s="247" t="str">
        <f ca="1">IF(C724="","",IF($M$11="ROE",[1]!S_STM07_IS(D724,61,$G$5,$H$13)/[1]!S_STM07_BS(D724,141,$G$5,$H$13),([1]!S_STM07_BS(D724,25,$G$5,$H$13)-[1]!S_STM07_BS(D724,93,$G$5,$H$13))/$E$5))</f>
        <v/>
      </c>
      <c r="N724" s="247" t="str">
        <f ca="1">IF(C724="","",IF($N$11="EPS",[1]!S_STM07_IS(D724,61,$G$5,$H$13)/IF([1]!S_SHARE_TOTAL(D724,$G$5)=0,[1]!S_SHARE_TOTAL(D724,[1]!s_ipo_listeddate(D724)),[1]!S_SHARE_TOTAL(D724,$G$5)),([1]!S_STM07_BS(D724,75,$G$5,$H$13)+[1]!S_STM07_BS(D724,88,$G$5,$H$13)+[1]!S_STM07_BS(D724,94,$G$5,$H$13)+[1]!S_STM07_BS(D724,95,$G$5,$H$13))/$E$5))</f>
        <v/>
      </c>
      <c r="O724" s="247" t="str">
        <f ca="1">IF(C724="","",IF($O$11="BPS",[1]!S_STM07_BS(D724,141,$G$5,$H$13)/IF([1]!S_SHARE_TOTAL(D724,$G$5)=0,[1]!S_SHARE_TOTAL(D724,[1]!s_ipo_listeddate(D724)),[1]!S_SHARE_TOTAL(D724,$G$5)),[1]!S_STM07_CS(D724,49,$G$5,$H$13)/$E$5))</f>
        <v/>
      </c>
      <c r="P724" s="247" t="str">
        <f ca="1">IF(C724="","",IF($P$11="CFPS",[1]!S_STM07_CS(D724,84,$G$5,$H$13)/IF([1]!S_SHARE_TOTAL(D724,$G$5)=0,[1]!S_SHARE_TOTAL(D724,[1]!s_ipo_listeddate(D724)),[1]!S_SHARE_TOTAL(D724,$G$5)),[1]!S_STM07_CS(D724,84,$G$5,$H$13)/$E$5))</f>
        <v/>
      </c>
      <c r="Q724" s="248" t="str">
        <f ca="1">IF(C724="","",F724/([1]!S_STM07_IS(D724,61,$G$5,$H$13)/IF([1]!S_SHARE_TOTAL(D724,$G$5)=0,[1]!S_SHARE_TOTAL(D724,[1]!s_ipo_listeddate(D724)),[1]!S_SHARE_TOTAL(D724,$G$5))))</f>
        <v/>
      </c>
      <c r="R724" s="248" t="str">
        <f ca="1">IF(C724="","",F724/([1]!S_STM07_BS(D724,141,$G$5,$H$13)/IF([1]!S_SHARE_TOTAL(D724,$G$5)=0,[1]!S_SHARE_TOTAL(D724,[1]!s_ipo_listeddate(D724)),[1]!S_SHARE_TOTAL(D724,$G$5))))</f>
        <v/>
      </c>
      <c r="S724" s="247" t="str">
        <f ca="1">IF(C724="","",[1]!S_SHARE_TOTAL(D724,TODAY())/$E$5)</f>
        <v/>
      </c>
      <c r="T724" s="247" t="str">
        <f t="shared" ca="1" si="73"/>
        <v/>
      </c>
      <c r="U724" s="218" t="str">
        <f t="shared" ca="1" si="74"/>
        <v/>
      </c>
      <c r="V724" s="342" t="str">
        <f t="shared" ca="1" si="75"/>
        <v/>
      </c>
      <c r="W724" s="139"/>
      <c r="Y724" s="1"/>
    </row>
    <row r="725" spans="3:25" ht="12" customHeight="1">
      <c r="C725" s="343" t="str">
        <f t="shared" ca="1" si="76"/>
        <v/>
      </c>
      <c r="D725" s="124" t="str">
        <f t="shared" ca="1" si="71"/>
        <v/>
      </c>
      <c r="E725" s="124" t="str">
        <f t="shared" ca="1" si="72"/>
        <v/>
      </c>
      <c r="F725" s="172" t="str">
        <f ca="1">IF(C725="","",[1]!S_DQ_CLOSE(D725,TODAY(),1))</f>
        <v/>
      </c>
      <c r="G725" s="173" t="str">
        <f ca="1">IF(C725="","",[1]!s_pq_pctchange(D725,TODAY()-$G$12,TODAY())/100)</f>
        <v/>
      </c>
      <c r="H725" s="249" t="str">
        <f ca="1">IF(C725="","",IF($H$11="收入",[1]!S_STM07_IS(D725,9,$G$5,$H$13)/$E$5,[1]!S_STM07_IS(D725,48,$G$5,$H$13)/$E$5))</f>
        <v/>
      </c>
      <c r="I725" s="249" t="str">
        <f ca="1">IF(C725="","",IF($I$11="毛利率",([1]!S_STM07_IS(D725,9,$G$5,$H$13)-[1]!S_STM07_IS(D725,10,$G$5,$H$13))/[1]!S_STM07_IS(D725,9,$G$5,$H$13),[1]!S_STM07_IS(D725,14,$G$5,$H$13)/$E$5))</f>
        <v/>
      </c>
      <c r="J725" s="249" t="str">
        <f ca="1">IF(C725="","",IF($J$11="营业利润率",[1]!S_STM07_IS(D725,48,$G$5,$H$13)/[1]!S_STM07_IS(D725,9,$G$5,$H$13),([1]!S_STM07_CS(D725,87,$G$5,$H$13)+[1]!S_STM07_CS(D725,88,$G$5,$H$13)+[1]!S_STM07_CS(D725,89,$G$5,$H$13))/$E$5))</f>
        <v/>
      </c>
      <c r="K725" s="249" t="str">
        <f ca="1">IF(C725="","",IF($K$11="净利润率",[1]!S_STM07_IS(D725,61,$G$5,$H$13)/[1]!S_STM07_IS(D725,9,$G$5,$H$13),[1]!S_STM07_IS(D725,55,$G$5,$H$13)/$E$5))</f>
        <v/>
      </c>
      <c r="L725" s="249" t="str">
        <f ca="1">IF(C725="","",IF($L$11="ROA",[1]!S_STM07_IS(D725,61,$G$5,$H$13)/[1]!S_STM07_BS(D725,74,$G$5,$H$13),1-[1]!S_STM07_IS(D725,61,$G$5,$H$13)/[1]!S_STM07_IS(D725,55,$G$5,$H$13)))</f>
        <v/>
      </c>
      <c r="M725" s="249" t="str">
        <f ca="1">IF(C725="","",IF($M$11="ROE",[1]!S_STM07_IS(D725,61,$G$5,$H$13)/[1]!S_STM07_BS(D725,141,$G$5,$H$13),([1]!S_STM07_BS(D725,25,$G$5,$H$13)-[1]!S_STM07_BS(D725,93,$G$5,$H$13))/$E$5))</f>
        <v/>
      </c>
      <c r="N725" s="250" t="str">
        <f ca="1">IF(C725="","",IF($N$11="EPS",[1]!S_STM07_IS(D725,61,$G$5,$H$13)/IF([1]!S_SHARE_TOTAL(D725,$G$5)=0,[1]!S_SHARE_TOTAL(D725,[1]!s_ipo_listeddate(D725)),[1]!S_SHARE_TOTAL(D725,$G$5)),([1]!S_STM07_BS(D725,75,$G$5,$H$13)+[1]!S_STM07_BS(D725,88,$G$5,$H$13)+[1]!S_STM07_BS(D725,94,$G$5,$H$13)+[1]!S_STM07_BS(D725,95,$G$5,$H$13))/$E$5))</f>
        <v/>
      </c>
      <c r="O725" s="250" t="str">
        <f ca="1">IF(C725="","",IF($O$11="BPS",[1]!S_STM07_BS(D725,141,$G$5,$H$13)/IF([1]!S_SHARE_TOTAL(D725,$G$5)=0,[1]!S_SHARE_TOTAL(D725,[1]!s_ipo_listeddate(D725)),[1]!S_SHARE_TOTAL(D725,$G$5)),[1]!S_STM07_CS(D725,49,$G$5,$H$13)/$E$5))</f>
        <v/>
      </c>
      <c r="P725" s="250" t="str">
        <f ca="1">IF(C725="","",IF($P$11="CFPS",[1]!S_STM07_CS(D725,84,$G$5,$H$13)/IF([1]!S_SHARE_TOTAL(D725,$G$5)=0,[1]!S_SHARE_TOTAL(D725,[1]!s_ipo_listeddate(D725)),[1]!S_SHARE_TOTAL(D725,$G$5)),[1]!S_STM07_CS(D725,84,$G$5,$H$13)/$E$5))</f>
        <v/>
      </c>
      <c r="Q725" s="198" t="str">
        <f ca="1">IF(C725="","",F725/([1]!S_STM07_IS(D725,61,$G$5,$H$13)/IF([1]!S_SHARE_TOTAL(D725,$G$5)=0,[1]!S_SHARE_TOTAL(D725,[1]!s_ipo_listeddate(D725)),[1]!S_SHARE_TOTAL(D725,$G$5))))</f>
        <v/>
      </c>
      <c r="R725" s="198" t="str">
        <f ca="1">IF(C725="","",F725/([1]!S_STM07_BS(D725,141,$G$5,$H$13)/IF([1]!S_SHARE_TOTAL(D725,$G$5)=0,[1]!S_SHARE_TOTAL(D725,[1]!s_ipo_listeddate(D725)),[1]!S_SHARE_TOTAL(D725,$G$5))))</f>
        <v/>
      </c>
      <c r="S725" s="249" t="str">
        <f ca="1">IF(C725="","",[1]!S_SHARE_TOTAL(D725,TODAY())/$E$5)</f>
        <v/>
      </c>
      <c r="T725" s="249" t="str">
        <f t="shared" ca="1" si="73"/>
        <v/>
      </c>
      <c r="U725" s="172" t="str">
        <f t="shared" ca="1" si="74"/>
        <v/>
      </c>
      <c r="V725" s="343" t="str">
        <f t="shared" ca="1" si="75"/>
        <v/>
      </c>
      <c r="W725" s="139"/>
      <c r="Y725" s="1"/>
    </row>
    <row r="726" spans="3:25" ht="12" customHeight="1">
      <c r="C726" s="342" t="str">
        <f t="shared" ca="1" si="76"/>
        <v/>
      </c>
      <c r="D726" s="153" t="str">
        <f t="shared" ca="1" si="71"/>
        <v/>
      </c>
      <c r="E726" s="153" t="str">
        <f t="shared" ca="1" si="72"/>
        <v/>
      </c>
      <c r="F726" s="170" t="str">
        <f ca="1">IF(C726="","",[1]!S_DQ_CLOSE(D726,TODAY(),1))</f>
        <v/>
      </c>
      <c r="G726" s="171" t="str">
        <f ca="1">IF(C726="","",[1]!s_pq_pctchange(D726,TODAY()-$G$12,TODAY())/100)</f>
        <v/>
      </c>
      <c r="H726" s="247" t="str">
        <f ca="1">IF(C726="","",IF($H$11="收入",[1]!S_STM07_IS(D726,9,$G$5,$H$13)/$E$5,[1]!S_STM07_IS(D726,48,$G$5,$H$13)/$E$5))</f>
        <v/>
      </c>
      <c r="I726" s="247" t="str">
        <f ca="1">IF(C726="","",IF($I$11="毛利率",([1]!S_STM07_IS(D726,9,$G$5,$H$13)-[1]!S_STM07_IS(D726,10,$G$5,$H$13))/[1]!S_STM07_IS(D726,9,$G$5,$H$13),[1]!S_STM07_IS(D726,14,$G$5,$H$13)/$E$5))</f>
        <v/>
      </c>
      <c r="J726" s="247" t="str">
        <f ca="1">IF(C726="","",IF($J$11="营业利润率",[1]!S_STM07_IS(D726,48,$G$5,$H$13)/[1]!S_STM07_IS(D726,9,$G$5,$H$13),([1]!S_STM07_CS(D726,87,$G$5,$H$13)+[1]!S_STM07_CS(D726,88,$G$5,$H$13)+[1]!S_STM07_CS(D726,89,$G$5,$H$13))/$E$5))</f>
        <v/>
      </c>
      <c r="K726" s="247" t="str">
        <f ca="1">IF(C726="","",IF($K$11="净利润率",[1]!S_STM07_IS(D726,61,$G$5,$H$13)/[1]!S_STM07_IS(D726,9,$G$5,$H$13),[1]!S_STM07_IS(D726,55,$G$5,$H$13)/$E$5))</f>
        <v/>
      </c>
      <c r="L726" s="247" t="str">
        <f ca="1">IF(C726="","",IF($L$11="ROA",[1]!S_STM07_IS(D726,61,$G$5,$H$13)/[1]!S_STM07_BS(D726,74,$G$5,$H$13),1-[1]!S_STM07_IS(D726,61,$G$5,$H$13)/[1]!S_STM07_IS(D726,55,$G$5,$H$13)))</f>
        <v/>
      </c>
      <c r="M726" s="247" t="str">
        <f ca="1">IF(C726="","",IF($M$11="ROE",[1]!S_STM07_IS(D726,61,$G$5,$H$13)/[1]!S_STM07_BS(D726,141,$G$5,$H$13),([1]!S_STM07_BS(D726,25,$G$5,$H$13)-[1]!S_STM07_BS(D726,93,$G$5,$H$13))/$E$5))</f>
        <v/>
      </c>
      <c r="N726" s="247" t="str">
        <f ca="1">IF(C726="","",IF($N$11="EPS",[1]!S_STM07_IS(D726,61,$G$5,$H$13)/IF([1]!S_SHARE_TOTAL(D726,$G$5)=0,[1]!S_SHARE_TOTAL(D726,[1]!s_ipo_listeddate(D726)),[1]!S_SHARE_TOTAL(D726,$G$5)),([1]!S_STM07_BS(D726,75,$G$5,$H$13)+[1]!S_STM07_BS(D726,88,$G$5,$H$13)+[1]!S_STM07_BS(D726,94,$G$5,$H$13)+[1]!S_STM07_BS(D726,95,$G$5,$H$13))/$E$5))</f>
        <v/>
      </c>
      <c r="O726" s="247" t="str">
        <f ca="1">IF(C726="","",IF($O$11="BPS",[1]!S_STM07_BS(D726,141,$G$5,$H$13)/IF([1]!S_SHARE_TOTAL(D726,$G$5)=0,[1]!S_SHARE_TOTAL(D726,[1]!s_ipo_listeddate(D726)),[1]!S_SHARE_TOTAL(D726,$G$5)),[1]!S_STM07_CS(D726,49,$G$5,$H$13)/$E$5))</f>
        <v/>
      </c>
      <c r="P726" s="247" t="str">
        <f ca="1">IF(C726="","",IF($P$11="CFPS",[1]!S_STM07_CS(D726,84,$G$5,$H$13)/IF([1]!S_SHARE_TOTAL(D726,$G$5)=0,[1]!S_SHARE_TOTAL(D726,[1]!s_ipo_listeddate(D726)),[1]!S_SHARE_TOTAL(D726,$G$5)),[1]!S_STM07_CS(D726,84,$G$5,$H$13)/$E$5))</f>
        <v/>
      </c>
      <c r="Q726" s="248" t="str">
        <f ca="1">IF(C726="","",F726/([1]!S_STM07_IS(D726,61,$G$5,$H$13)/IF([1]!S_SHARE_TOTAL(D726,$G$5)=0,[1]!S_SHARE_TOTAL(D726,[1]!s_ipo_listeddate(D726)),[1]!S_SHARE_TOTAL(D726,$G$5))))</f>
        <v/>
      </c>
      <c r="R726" s="248" t="str">
        <f ca="1">IF(C726="","",F726/([1]!S_STM07_BS(D726,141,$G$5,$H$13)/IF([1]!S_SHARE_TOTAL(D726,$G$5)=0,[1]!S_SHARE_TOTAL(D726,[1]!s_ipo_listeddate(D726)),[1]!S_SHARE_TOTAL(D726,$G$5))))</f>
        <v/>
      </c>
      <c r="S726" s="247" t="str">
        <f ca="1">IF(C726="","",[1]!S_SHARE_TOTAL(D726,TODAY())/$E$5)</f>
        <v/>
      </c>
      <c r="T726" s="247" t="str">
        <f t="shared" ca="1" si="73"/>
        <v/>
      </c>
      <c r="U726" s="218" t="str">
        <f t="shared" ca="1" si="74"/>
        <v/>
      </c>
      <c r="V726" s="342" t="str">
        <f t="shared" ca="1" si="75"/>
        <v/>
      </c>
      <c r="W726" s="139"/>
      <c r="Y726" s="1"/>
    </row>
    <row r="727" spans="3:25" ht="12" customHeight="1">
      <c r="C727" s="343" t="str">
        <f t="shared" ca="1" si="76"/>
        <v/>
      </c>
      <c r="D727" s="124" t="str">
        <f t="shared" ca="1" si="71"/>
        <v/>
      </c>
      <c r="E727" s="124" t="str">
        <f t="shared" ca="1" si="72"/>
        <v/>
      </c>
      <c r="F727" s="172" t="str">
        <f ca="1">IF(C727="","",[1]!S_DQ_CLOSE(D727,TODAY(),1))</f>
        <v/>
      </c>
      <c r="G727" s="173" t="str">
        <f ca="1">IF(C727="","",[1]!s_pq_pctchange(D727,TODAY()-$G$12,TODAY())/100)</f>
        <v/>
      </c>
      <c r="H727" s="249" t="str">
        <f ca="1">IF(C727="","",IF($H$11="收入",[1]!S_STM07_IS(D727,9,$G$5,$H$13)/$E$5,[1]!S_STM07_IS(D727,48,$G$5,$H$13)/$E$5))</f>
        <v/>
      </c>
      <c r="I727" s="249" t="str">
        <f ca="1">IF(C727="","",IF($I$11="毛利率",([1]!S_STM07_IS(D727,9,$G$5,$H$13)-[1]!S_STM07_IS(D727,10,$G$5,$H$13))/[1]!S_STM07_IS(D727,9,$G$5,$H$13),[1]!S_STM07_IS(D727,14,$G$5,$H$13)/$E$5))</f>
        <v/>
      </c>
      <c r="J727" s="249" t="str">
        <f ca="1">IF(C727="","",IF($J$11="营业利润率",[1]!S_STM07_IS(D727,48,$G$5,$H$13)/[1]!S_STM07_IS(D727,9,$G$5,$H$13),([1]!S_STM07_CS(D727,87,$G$5,$H$13)+[1]!S_STM07_CS(D727,88,$G$5,$H$13)+[1]!S_STM07_CS(D727,89,$G$5,$H$13))/$E$5))</f>
        <v/>
      </c>
      <c r="K727" s="249" t="str">
        <f ca="1">IF(C727="","",IF($K$11="净利润率",[1]!S_STM07_IS(D727,61,$G$5,$H$13)/[1]!S_STM07_IS(D727,9,$G$5,$H$13),[1]!S_STM07_IS(D727,55,$G$5,$H$13)/$E$5))</f>
        <v/>
      </c>
      <c r="L727" s="249" t="str">
        <f ca="1">IF(C727="","",IF($L$11="ROA",[1]!S_STM07_IS(D727,61,$G$5,$H$13)/[1]!S_STM07_BS(D727,74,$G$5,$H$13),1-[1]!S_STM07_IS(D727,61,$G$5,$H$13)/[1]!S_STM07_IS(D727,55,$G$5,$H$13)))</f>
        <v/>
      </c>
      <c r="M727" s="249" t="str">
        <f ca="1">IF(C727="","",IF($M$11="ROE",[1]!S_STM07_IS(D727,61,$G$5,$H$13)/[1]!S_STM07_BS(D727,141,$G$5,$H$13),([1]!S_STM07_BS(D727,25,$G$5,$H$13)-[1]!S_STM07_BS(D727,93,$G$5,$H$13))/$E$5))</f>
        <v/>
      </c>
      <c r="N727" s="250" t="str">
        <f ca="1">IF(C727="","",IF($N$11="EPS",[1]!S_STM07_IS(D727,61,$G$5,$H$13)/IF([1]!S_SHARE_TOTAL(D727,$G$5)=0,[1]!S_SHARE_TOTAL(D727,[1]!s_ipo_listeddate(D727)),[1]!S_SHARE_TOTAL(D727,$G$5)),([1]!S_STM07_BS(D727,75,$G$5,$H$13)+[1]!S_STM07_BS(D727,88,$G$5,$H$13)+[1]!S_STM07_BS(D727,94,$G$5,$H$13)+[1]!S_STM07_BS(D727,95,$G$5,$H$13))/$E$5))</f>
        <v/>
      </c>
      <c r="O727" s="250" t="str">
        <f ca="1">IF(C727="","",IF($O$11="BPS",[1]!S_STM07_BS(D727,141,$G$5,$H$13)/IF([1]!S_SHARE_TOTAL(D727,$G$5)=0,[1]!S_SHARE_TOTAL(D727,[1]!s_ipo_listeddate(D727)),[1]!S_SHARE_TOTAL(D727,$G$5)),[1]!S_STM07_CS(D727,49,$G$5,$H$13)/$E$5))</f>
        <v/>
      </c>
      <c r="P727" s="250" t="str">
        <f ca="1">IF(C727="","",IF($P$11="CFPS",[1]!S_STM07_CS(D727,84,$G$5,$H$13)/IF([1]!S_SHARE_TOTAL(D727,$G$5)=0,[1]!S_SHARE_TOTAL(D727,[1]!s_ipo_listeddate(D727)),[1]!S_SHARE_TOTAL(D727,$G$5)),[1]!S_STM07_CS(D727,84,$G$5,$H$13)/$E$5))</f>
        <v/>
      </c>
      <c r="Q727" s="198" t="str">
        <f ca="1">IF(C727="","",F727/([1]!S_STM07_IS(D727,61,$G$5,$H$13)/IF([1]!S_SHARE_TOTAL(D727,$G$5)=0,[1]!S_SHARE_TOTAL(D727,[1]!s_ipo_listeddate(D727)),[1]!S_SHARE_TOTAL(D727,$G$5))))</f>
        <v/>
      </c>
      <c r="R727" s="198" t="str">
        <f ca="1">IF(C727="","",F727/([1]!S_STM07_BS(D727,141,$G$5,$H$13)/IF([1]!S_SHARE_TOTAL(D727,$G$5)=0,[1]!S_SHARE_TOTAL(D727,[1]!s_ipo_listeddate(D727)),[1]!S_SHARE_TOTAL(D727,$G$5))))</f>
        <v/>
      </c>
      <c r="S727" s="249" t="str">
        <f ca="1">IF(C727="","",[1]!S_SHARE_TOTAL(D727,TODAY())/$E$5)</f>
        <v/>
      </c>
      <c r="T727" s="249" t="str">
        <f t="shared" ca="1" si="73"/>
        <v/>
      </c>
      <c r="U727" s="172" t="str">
        <f t="shared" ca="1" si="74"/>
        <v/>
      </c>
      <c r="V727" s="343" t="str">
        <f t="shared" ca="1" si="75"/>
        <v/>
      </c>
      <c r="W727" s="139"/>
      <c r="Y727" s="1"/>
    </row>
    <row r="728" spans="3:25" ht="12" customHeight="1">
      <c r="C728" s="342" t="str">
        <f t="shared" ca="1" si="76"/>
        <v/>
      </c>
      <c r="D728" s="153" t="str">
        <f t="shared" ca="1" si="71"/>
        <v/>
      </c>
      <c r="E728" s="153" t="str">
        <f t="shared" ca="1" si="72"/>
        <v/>
      </c>
      <c r="F728" s="170" t="str">
        <f ca="1">IF(C728="","",[1]!S_DQ_CLOSE(D728,TODAY(),1))</f>
        <v/>
      </c>
      <c r="G728" s="171" t="str">
        <f ca="1">IF(C728="","",[1]!s_pq_pctchange(D728,TODAY()-$G$12,TODAY())/100)</f>
        <v/>
      </c>
      <c r="H728" s="247" t="str">
        <f ca="1">IF(C728="","",IF($H$11="收入",[1]!S_STM07_IS(D728,9,$G$5,$H$13)/$E$5,[1]!S_STM07_IS(D728,48,$G$5,$H$13)/$E$5))</f>
        <v/>
      </c>
      <c r="I728" s="247" t="str">
        <f ca="1">IF(C728="","",IF($I$11="毛利率",([1]!S_STM07_IS(D728,9,$G$5,$H$13)-[1]!S_STM07_IS(D728,10,$G$5,$H$13))/[1]!S_STM07_IS(D728,9,$G$5,$H$13),[1]!S_STM07_IS(D728,14,$G$5,$H$13)/$E$5))</f>
        <v/>
      </c>
      <c r="J728" s="247" t="str">
        <f ca="1">IF(C728="","",IF($J$11="营业利润率",[1]!S_STM07_IS(D728,48,$G$5,$H$13)/[1]!S_STM07_IS(D728,9,$G$5,$H$13),([1]!S_STM07_CS(D728,87,$G$5,$H$13)+[1]!S_STM07_CS(D728,88,$G$5,$H$13)+[1]!S_STM07_CS(D728,89,$G$5,$H$13))/$E$5))</f>
        <v/>
      </c>
      <c r="K728" s="247" t="str">
        <f ca="1">IF(C728="","",IF($K$11="净利润率",[1]!S_STM07_IS(D728,61,$G$5,$H$13)/[1]!S_STM07_IS(D728,9,$G$5,$H$13),[1]!S_STM07_IS(D728,55,$G$5,$H$13)/$E$5))</f>
        <v/>
      </c>
      <c r="L728" s="247" t="str">
        <f ca="1">IF(C728="","",IF($L$11="ROA",[1]!S_STM07_IS(D728,61,$G$5,$H$13)/[1]!S_STM07_BS(D728,74,$G$5,$H$13),1-[1]!S_STM07_IS(D728,61,$G$5,$H$13)/[1]!S_STM07_IS(D728,55,$G$5,$H$13)))</f>
        <v/>
      </c>
      <c r="M728" s="247" t="str">
        <f ca="1">IF(C728="","",IF($M$11="ROE",[1]!S_STM07_IS(D728,61,$G$5,$H$13)/[1]!S_STM07_BS(D728,141,$G$5,$H$13),([1]!S_STM07_BS(D728,25,$G$5,$H$13)-[1]!S_STM07_BS(D728,93,$G$5,$H$13))/$E$5))</f>
        <v/>
      </c>
      <c r="N728" s="247" t="str">
        <f ca="1">IF(C728="","",IF($N$11="EPS",[1]!S_STM07_IS(D728,61,$G$5,$H$13)/IF([1]!S_SHARE_TOTAL(D728,$G$5)=0,[1]!S_SHARE_TOTAL(D728,[1]!s_ipo_listeddate(D728)),[1]!S_SHARE_TOTAL(D728,$G$5)),([1]!S_STM07_BS(D728,75,$G$5,$H$13)+[1]!S_STM07_BS(D728,88,$G$5,$H$13)+[1]!S_STM07_BS(D728,94,$G$5,$H$13)+[1]!S_STM07_BS(D728,95,$G$5,$H$13))/$E$5))</f>
        <v/>
      </c>
      <c r="O728" s="247" t="str">
        <f ca="1">IF(C728="","",IF($O$11="BPS",[1]!S_STM07_BS(D728,141,$G$5,$H$13)/IF([1]!S_SHARE_TOTAL(D728,$G$5)=0,[1]!S_SHARE_TOTAL(D728,[1]!s_ipo_listeddate(D728)),[1]!S_SHARE_TOTAL(D728,$G$5)),[1]!S_STM07_CS(D728,49,$G$5,$H$13)/$E$5))</f>
        <v/>
      </c>
      <c r="P728" s="247" t="str">
        <f ca="1">IF(C728="","",IF($P$11="CFPS",[1]!S_STM07_CS(D728,84,$G$5,$H$13)/IF([1]!S_SHARE_TOTAL(D728,$G$5)=0,[1]!S_SHARE_TOTAL(D728,[1]!s_ipo_listeddate(D728)),[1]!S_SHARE_TOTAL(D728,$G$5)),[1]!S_STM07_CS(D728,84,$G$5,$H$13)/$E$5))</f>
        <v/>
      </c>
      <c r="Q728" s="248" t="str">
        <f ca="1">IF(C728="","",F728/([1]!S_STM07_IS(D728,61,$G$5,$H$13)/IF([1]!S_SHARE_TOTAL(D728,$G$5)=0,[1]!S_SHARE_TOTAL(D728,[1]!s_ipo_listeddate(D728)),[1]!S_SHARE_TOTAL(D728,$G$5))))</f>
        <v/>
      </c>
      <c r="R728" s="248" t="str">
        <f ca="1">IF(C728="","",F728/([1]!S_STM07_BS(D728,141,$G$5,$H$13)/IF([1]!S_SHARE_TOTAL(D728,$G$5)=0,[1]!S_SHARE_TOTAL(D728,[1]!s_ipo_listeddate(D728)),[1]!S_SHARE_TOTAL(D728,$G$5))))</f>
        <v/>
      </c>
      <c r="S728" s="247" t="str">
        <f ca="1">IF(C728="","",[1]!S_SHARE_TOTAL(D728,TODAY())/$E$5)</f>
        <v/>
      </c>
      <c r="T728" s="247" t="str">
        <f t="shared" ca="1" si="73"/>
        <v/>
      </c>
      <c r="U728" s="218" t="str">
        <f t="shared" ca="1" si="74"/>
        <v/>
      </c>
      <c r="V728" s="342" t="str">
        <f t="shared" ca="1" si="75"/>
        <v/>
      </c>
      <c r="W728" s="139"/>
      <c r="Y728" s="1"/>
    </row>
    <row r="729" spans="3:25" ht="12" customHeight="1">
      <c r="C729" s="343" t="str">
        <f t="shared" ca="1" si="76"/>
        <v/>
      </c>
      <c r="D729" s="124" t="str">
        <f t="shared" ref="D729:D792" ca="1" si="77">IF(C729="","",VLOOKUP(C729,comppool,2,FALSE))</f>
        <v/>
      </c>
      <c r="E729" s="124" t="str">
        <f t="shared" ref="E729:E792" ca="1" si="78">IF(C729="","",VLOOKUP(C729,comppool,3,FALSE))</f>
        <v/>
      </c>
      <c r="F729" s="172" t="str">
        <f ca="1">IF(C729="","",[1]!S_DQ_CLOSE(D729,TODAY(),1))</f>
        <v/>
      </c>
      <c r="G729" s="173" t="str">
        <f ca="1">IF(C729="","",[1]!s_pq_pctchange(D729,TODAY()-$G$12,TODAY())/100)</f>
        <v/>
      </c>
      <c r="H729" s="249" t="str">
        <f ca="1">IF(C729="","",IF($H$11="收入",[1]!S_STM07_IS(D729,9,$G$5,$H$13)/$E$5,[1]!S_STM07_IS(D729,48,$G$5,$H$13)/$E$5))</f>
        <v/>
      </c>
      <c r="I729" s="249" t="str">
        <f ca="1">IF(C729="","",IF($I$11="毛利率",([1]!S_STM07_IS(D729,9,$G$5,$H$13)-[1]!S_STM07_IS(D729,10,$G$5,$H$13))/[1]!S_STM07_IS(D729,9,$G$5,$H$13),[1]!S_STM07_IS(D729,14,$G$5,$H$13)/$E$5))</f>
        <v/>
      </c>
      <c r="J729" s="249" t="str">
        <f ca="1">IF(C729="","",IF($J$11="营业利润率",[1]!S_STM07_IS(D729,48,$G$5,$H$13)/[1]!S_STM07_IS(D729,9,$G$5,$H$13),([1]!S_STM07_CS(D729,87,$G$5,$H$13)+[1]!S_STM07_CS(D729,88,$G$5,$H$13)+[1]!S_STM07_CS(D729,89,$G$5,$H$13))/$E$5))</f>
        <v/>
      </c>
      <c r="K729" s="249" t="str">
        <f ca="1">IF(C729="","",IF($K$11="净利润率",[1]!S_STM07_IS(D729,61,$G$5,$H$13)/[1]!S_STM07_IS(D729,9,$G$5,$H$13),[1]!S_STM07_IS(D729,55,$G$5,$H$13)/$E$5))</f>
        <v/>
      </c>
      <c r="L729" s="249" t="str">
        <f ca="1">IF(C729="","",IF($L$11="ROA",[1]!S_STM07_IS(D729,61,$G$5,$H$13)/[1]!S_STM07_BS(D729,74,$G$5,$H$13),1-[1]!S_STM07_IS(D729,61,$G$5,$H$13)/[1]!S_STM07_IS(D729,55,$G$5,$H$13)))</f>
        <v/>
      </c>
      <c r="M729" s="249" t="str">
        <f ca="1">IF(C729="","",IF($M$11="ROE",[1]!S_STM07_IS(D729,61,$G$5,$H$13)/[1]!S_STM07_BS(D729,141,$G$5,$H$13),([1]!S_STM07_BS(D729,25,$G$5,$H$13)-[1]!S_STM07_BS(D729,93,$G$5,$H$13))/$E$5))</f>
        <v/>
      </c>
      <c r="N729" s="250" t="str">
        <f ca="1">IF(C729="","",IF($N$11="EPS",[1]!S_STM07_IS(D729,61,$G$5,$H$13)/IF([1]!S_SHARE_TOTAL(D729,$G$5)=0,[1]!S_SHARE_TOTAL(D729,[1]!s_ipo_listeddate(D729)),[1]!S_SHARE_TOTAL(D729,$G$5)),([1]!S_STM07_BS(D729,75,$G$5,$H$13)+[1]!S_STM07_BS(D729,88,$G$5,$H$13)+[1]!S_STM07_BS(D729,94,$G$5,$H$13)+[1]!S_STM07_BS(D729,95,$G$5,$H$13))/$E$5))</f>
        <v/>
      </c>
      <c r="O729" s="250" t="str">
        <f ca="1">IF(C729="","",IF($O$11="BPS",[1]!S_STM07_BS(D729,141,$G$5,$H$13)/IF([1]!S_SHARE_TOTAL(D729,$G$5)=0,[1]!S_SHARE_TOTAL(D729,[1]!s_ipo_listeddate(D729)),[1]!S_SHARE_TOTAL(D729,$G$5)),[1]!S_STM07_CS(D729,49,$G$5,$H$13)/$E$5))</f>
        <v/>
      </c>
      <c r="P729" s="250" t="str">
        <f ca="1">IF(C729="","",IF($P$11="CFPS",[1]!S_STM07_CS(D729,84,$G$5,$H$13)/IF([1]!S_SHARE_TOTAL(D729,$G$5)=0,[1]!S_SHARE_TOTAL(D729,[1]!s_ipo_listeddate(D729)),[1]!S_SHARE_TOTAL(D729,$G$5)),[1]!S_STM07_CS(D729,84,$G$5,$H$13)/$E$5))</f>
        <v/>
      </c>
      <c r="Q729" s="198" t="str">
        <f ca="1">IF(C729="","",F729/([1]!S_STM07_IS(D729,61,$G$5,$H$13)/IF([1]!S_SHARE_TOTAL(D729,$G$5)=0,[1]!S_SHARE_TOTAL(D729,[1]!s_ipo_listeddate(D729)),[1]!S_SHARE_TOTAL(D729,$G$5))))</f>
        <v/>
      </c>
      <c r="R729" s="198" t="str">
        <f ca="1">IF(C729="","",F729/([1]!S_STM07_BS(D729,141,$G$5,$H$13)/IF([1]!S_SHARE_TOTAL(D729,$G$5)=0,[1]!S_SHARE_TOTAL(D729,[1]!s_ipo_listeddate(D729)),[1]!S_SHARE_TOTAL(D729,$G$5))))</f>
        <v/>
      </c>
      <c r="S729" s="249" t="str">
        <f ca="1">IF(C729="","",[1]!S_SHARE_TOTAL(D729,TODAY())/$E$5)</f>
        <v/>
      </c>
      <c r="T729" s="249" t="str">
        <f t="shared" ref="T729:T792" ca="1" si="79">IF(C729="","",F729*S729)</f>
        <v/>
      </c>
      <c r="U729" s="172" t="str">
        <f t="shared" ref="U729:U792" ca="1" si="80">IF(C729="","",HLOOKUP($V$12,$G$11:$T$20003,ROW()-ROW($G$11)+1,FALSE))</f>
        <v/>
      </c>
      <c r="V729" s="343" t="str">
        <f t="shared" ref="V729:V792" ca="1" si="81">IF(C729="","",RANK(U729,U:U,0))</f>
        <v/>
      </c>
      <c r="W729" s="139"/>
      <c r="Y729" s="1"/>
    </row>
    <row r="730" spans="3:25" ht="12" customHeight="1">
      <c r="C730" s="342" t="str">
        <f t="shared" ca="1" si="76"/>
        <v/>
      </c>
      <c r="D730" s="153" t="str">
        <f t="shared" ca="1" si="77"/>
        <v/>
      </c>
      <c r="E730" s="153" t="str">
        <f t="shared" ca="1" si="78"/>
        <v/>
      </c>
      <c r="F730" s="170" t="str">
        <f ca="1">IF(C730="","",[1]!S_DQ_CLOSE(D730,TODAY(),1))</f>
        <v/>
      </c>
      <c r="G730" s="171" t="str">
        <f ca="1">IF(C730="","",[1]!s_pq_pctchange(D730,TODAY()-$G$12,TODAY())/100)</f>
        <v/>
      </c>
      <c r="H730" s="247" t="str">
        <f ca="1">IF(C730="","",IF($H$11="收入",[1]!S_STM07_IS(D730,9,$G$5,$H$13)/$E$5,[1]!S_STM07_IS(D730,48,$G$5,$H$13)/$E$5))</f>
        <v/>
      </c>
      <c r="I730" s="247" t="str">
        <f ca="1">IF(C730="","",IF($I$11="毛利率",([1]!S_STM07_IS(D730,9,$G$5,$H$13)-[1]!S_STM07_IS(D730,10,$G$5,$H$13))/[1]!S_STM07_IS(D730,9,$G$5,$H$13),[1]!S_STM07_IS(D730,14,$G$5,$H$13)/$E$5))</f>
        <v/>
      </c>
      <c r="J730" s="247" t="str">
        <f ca="1">IF(C730="","",IF($J$11="营业利润率",[1]!S_STM07_IS(D730,48,$G$5,$H$13)/[1]!S_STM07_IS(D730,9,$G$5,$H$13),([1]!S_STM07_CS(D730,87,$G$5,$H$13)+[1]!S_STM07_CS(D730,88,$G$5,$H$13)+[1]!S_STM07_CS(D730,89,$G$5,$H$13))/$E$5))</f>
        <v/>
      </c>
      <c r="K730" s="247" t="str">
        <f ca="1">IF(C730="","",IF($K$11="净利润率",[1]!S_STM07_IS(D730,61,$G$5,$H$13)/[1]!S_STM07_IS(D730,9,$G$5,$H$13),[1]!S_STM07_IS(D730,55,$G$5,$H$13)/$E$5))</f>
        <v/>
      </c>
      <c r="L730" s="247" t="str">
        <f ca="1">IF(C730="","",IF($L$11="ROA",[1]!S_STM07_IS(D730,61,$G$5,$H$13)/[1]!S_STM07_BS(D730,74,$G$5,$H$13),1-[1]!S_STM07_IS(D730,61,$G$5,$H$13)/[1]!S_STM07_IS(D730,55,$G$5,$H$13)))</f>
        <v/>
      </c>
      <c r="M730" s="247" t="str">
        <f ca="1">IF(C730="","",IF($M$11="ROE",[1]!S_STM07_IS(D730,61,$G$5,$H$13)/[1]!S_STM07_BS(D730,141,$G$5,$H$13),([1]!S_STM07_BS(D730,25,$G$5,$H$13)-[1]!S_STM07_BS(D730,93,$G$5,$H$13))/$E$5))</f>
        <v/>
      </c>
      <c r="N730" s="247" t="str">
        <f ca="1">IF(C730="","",IF($N$11="EPS",[1]!S_STM07_IS(D730,61,$G$5,$H$13)/IF([1]!S_SHARE_TOTAL(D730,$G$5)=0,[1]!S_SHARE_TOTAL(D730,[1]!s_ipo_listeddate(D730)),[1]!S_SHARE_TOTAL(D730,$G$5)),([1]!S_STM07_BS(D730,75,$G$5,$H$13)+[1]!S_STM07_BS(D730,88,$G$5,$H$13)+[1]!S_STM07_BS(D730,94,$G$5,$H$13)+[1]!S_STM07_BS(D730,95,$G$5,$H$13))/$E$5))</f>
        <v/>
      </c>
      <c r="O730" s="247" t="str">
        <f ca="1">IF(C730="","",IF($O$11="BPS",[1]!S_STM07_BS(D730,141,$G$5,$H$13)/IF([1]!S_SHARE_TOTAL(D730,$G$5)=0,[1]!S_SHARE_TOTAL(D730,[1]!s_ipo_listeddate(D730)),[1]!S_SHARE_TOTAL(D730,$G$5)),[1]!S_STM07_CS(D730,49,$G$5,$H$13)/$E$5))</f>
        <v/>
      </c>
      <c r="P730" s="247" t="str">
        <f ca="1">IF(C730="","",IF($P$11="CFPS",[1]!S_STM07_CS(D730,84,$G$5,$H$13)/IF([1]!S_SHARE_TOTAL(D730,$G$5)=0,[1]!S_SHARE_TOTAL(D730,[1]!s_ipo_listeddate(D730)),[1]!S_SHARE_TOTAL(D730,$G$5)),[1]!S_STM07_CS(D730,84,$G$5,$H$13)/$E$5))</f>
        <v/>
      </c>
      <c r="Q730" s="248" t="str">
        <f ca="1">IF(C730="","",F730/([1]!S_STM07_IS(D730,61,$G$5,$H$13)/IF([1]!S_SHARE_TOTAL(D730,$G$5)=0,[1]!S_SHARE_TOTAL(D730,[1]!s_ipo_listeddate(D730)),[1]!S_SHARE_TOTAL(D730,$G$5))))</f>
        <v/>
      </c>
      <c r="R730" s="248" t="str">
        <f ca="1">IF(C730="","",F730/([1]!S_STM07_BS(D730,141,$G$5,$H$13)/IF([1]!S_SHARE_TOTAL(D730,$G$5)=0,[1]!S_SHARE_TOTAL(D730,[1]!s_ipo_listeddate(D730)),[1]!S_SHARE_TOTAL(D730,$G$5))))</f>
        <v/>
      </c>
      <c r="S730" s="247" t="str">
        <f ca="1">IF(C730="","",[1]!S_SHARE_TOTAL(D730,TODAY())/$E$5)</f>
        <v/>
      </c>
      <c r="T730" s="247" t="str">
        <f t="shared" ca="1" si="79"/>
        <v/>
      </c>
      <c r="U730" s="218" t="str">
        <f t="shared" ca="1" si="80"/>
        <v/>
      </c>
      <c r="V730" s="342" t="str">
        <f t="shared" ca="1" si="81"/>
        <v/>
      </c>
      <c r="W730" s="139"/>
      <c r="Y730" s="1"/>
    </row>
    <row r="731" spans="3:25" ht="12" customHeight="1">
      <c r="C731" s="343" t="str">
        <f t="shared" ca="1" si="76"/>
        <v/>
      </c>
      <c r="D731" s="124" t="str">
        <f t="shared" ca="1" si="77"/>
        <v/>
      </c>
      <c r="E731" s="124" t="str">
        <f t="shared" ca="1" si="78"/>
        <v/>
      </c>
      <c r="F731" s="172" t="str">
        <f ca="1">IF(C731="","",[1]!S_DQ_CLOSE(D731,TODAY(),1))</f>
        <v/>
      </c>
      <c r="G731" s="173" t="str">
        <f ca="1">IF(C731="","",[1]!s_pq_pctchange(D731,TODAY()-$G$12,TODAY())/100)</f>
        <v/>
      </c>
      <c r="H731" s="249" t="str">
        <f ca="1">IF(C731="","",IF($H$11="收入",[1]!S_STM07_IS(D731,9,$G$5,$H$13)/$E$5,[1]!S_STM07_IS(D731,48,$G$5,$H$13)/$E$5))</f>
        <v/>
      </c>
      <c r="I731" s="249" t="str">
        <f ca="1">IF(C731="","",IF($I$11="毛利率",([1]!S_STM07_IS(D731,9,$G$5,$H$13)-[1]!S_STM07_IS(D731,10,$G$5,$H$13))/[1]!S_STM07_IS(D731,9,$G$5,$H$13),[1]!S_STM07_IS(D731,14,$G$5,$H$13)/$E$5))</f>
        <v/>
      </c>
      <c r="J731" s="249" t="str">
        <f ca="1">IF(C731="","",IF($J$11="营业利润率",[1]!S_STM07_IS(D731,48,$G$5,$H$13)/[1]!S_STM07_IS(D731,9,$G$5,$H$13),([1]!S_STM07_CS(D731,87,$G$5,$H$13)+[1]!S_STM07_CS(D731,88,$G$5,$H$13)+[1]!S_STM07_CS(D731,89,$G$5,$H$13))/$E$5))</f>
        <v/>
      </c>
      <c r="K731" s="249" t="str">
        <f ca="1">IF(C731="","",IF($K$11="净利润率",[1]!S_STM07_IS(D731,61,$G$5,$H$13)/[1]!S_STM07_IS(D731,9,$G$5,$H$13),[1]!S_STM07_IS(D731,55,$G$5,$H$13)/$E$5))</f>
        <v/>
      </c>
      <c r="L731" s="249" t="str">
        <f ca="1">IF(C731="","",IF($L$11="ROA",[1]!S_STM07_IS(D731,61,$G$5,$H$13)/[1]!S_STM07_BS(D731,74,$G$5,$H$13),1-[1]!S_STM07_IS(D731,61,$G$5,$H$13)/[1]!S_STM07_IS(D731,55,$G$5,$H$13)))</f>
        <v/>
      </c>
      <c r="M731" s="249" t="str">
        <f ca="1">IF(C731="","",IF($M$11="ROE",[1]!S_STM07_IS(D731,61,$G$5,$H$13)/[1]!S_STM07_BS(D731,141,$G$5,$H$13),([1]!S_STM07_BS(D731,25,$G$5,$H$13)-[1]!S_STM07_BS(D731,93,$G$5,$H$13))/$E$5))</f>
        <v/>
      </c>
      <c r="N731" s="250" t="str">
        <f ca="1">IF(C731="","",IF($N$11="EPS",[1]!S_STM07_IS(D731,61,$G$5,$H$13)/IF([1]!S_SHARE_TOTAL(D731,$G$5)=0,[1]!S_SHARE_TOTAL(D731,[1]!s_ipo_listeddate(D731)),[1]!S_SHARE_TOTAL(D731,$G$5)),([1]!S_STM07_BS(D731,75,$G$5,$H$13)+[1]!S_STM07_BS(D731,88,$G$5,$H$13)+[1]!S_STM07_BS(D731,94,$G$5,$H$13)+[1]!S_STM07_BS(D731,95,$G$5,$H$13))/$E$5))</f>
        <v/>
      </c>
      <c r="O731" s="250" t="str">
        <f ca="1">IF(C731="","",IF($O$11="BPS",[1]!S_STM07_BS(D731,141,$G$5,$H$13)/IF([1]!S_SHARE_TOTAL(D731,$G$5)=0,[1]!S_SHARE_TOTAL(D731,[1]!s_ipo_listeddate(D731)),[1]!S_SHARE_TOTAL(D731,$G$5)),[1]!S_STM07_CS(D731,49,$G$5,$H$13)/$E$5))</f>
        <v/>
      </c>
      <c r="P731" s="250" t="str">
        <f ca="1">IF(C731="","",IF($P$11="CFPS",[1]!S_STM07_CS(D731,84,$G$5,$H$13)/IF([1]!S_SHARE_TOTAL(D731,$G$5)=0,[1]!S_SHARE_TOTAL(D731,[1]!s_ipo_listeddate(D731)),[1]!S_SHARE_TOTAL(D731,$G$5)),[1]!S_STM07_CS(D731,84,$G$5,$H$13)/$E$5))</f>
        <v/>
      </c>
      <c r="Q731" s="198" t="str">
        <f ca="1">IF(C731="","",F731/([1]!S_STM07_IS(D731,61,$G$5,$H$13)/IF([1]!S_SHARE_TOTAL(D731,$G$5)=0,[1]!S_SHARE_TOTAL(D731,[1]!s_ipo_listeddate(D731)),[1]!S_SHARE_TOTAL(D731,$G$5))))</f>
        <v/>
      </c>
      <c r="R731" s="198" t="str">
        <f ca="1">IF(C731="","",F731/([1]!S_STM07_BS(D731,141,$G$5,$H$13)/IF([1]!S_SHARE_TOTAL(D731,$G$5)=0,[1]!S_SHARE_TOTAL(D731,[1]!s_ipo_listeddate(D731)),[1]!S_SHARE_TOTAL(D731,$G$5))))</f>
        <v/>
      </c>
      <c r="S731" s="249" t="str">
        <f ca="1">IF(C731="","",[1]!S_SHARE_TOTAL(D731,TODAY())/$E$5)</f>
        <v/>
      </c>
      <c r="T731" s="249" t="str">
        <f t="shared" ca="1" si="79"/>
        <v/>
      </c>
      <c r="U731" s="172" t="str">
        <f t="shared" ca="1" si="80"/>
        <v/>
      </c>
      <c r="V731" s="343" t="str">
        <f t="shared" ca="1" si="81"/>
        <v/>
      </c>
      <c r="W731" s="139"/>
      <c r="Y731" s="1"/>
    </row>
    <row r="732" spans="3:25" ht="12" customHeight="1">
      <c r="C732" s="342" t="str">
        <f t="shared" ca="1" si="76"/>
        <v/>
      </c>
      <c r="D732" s="153" t="str">
        <f t="shared" ca="1" si="77"/>
        <v/>
      </c>
      <c r="E732" s="153" t="str">
        <f t="shared" ca="1" si="78"/>
        <v/>
      </c>
      <c r="F732" s="170" t="str">
        <f ca="1">IF(C732="","",[1]!S_DQ_CLOSE(D732,TODAY(),1))</f>
        <v/>
      </c>
      <c r="G732" s="171" t="str">
        <f ca="1">IF(C732="","",[1]!s_pq_pctchange(D732,TODAY()-$G$12,TODAY())/100)</f>
        <v/>
      </c>
      <c r="H732" s="247" t="str">
        <f ca="1">IF(C732="","",IF($H$11="收入",[1]!S_STM07_IS(D732,9,$G$5,$H$13)/$E$5,[1]!S_STM07_IS(D732,48,$G$5,$H$13)/$E$5))</f>
        <v/>
      </c>
      <c r="I732" s="247" t="str">
        <f ca="1">IF(C732="","",IF($I$11="毛利率",([1]!S_STM07_IS(D732,9,$G$5,$H$13)-[1]!S_STM07_IS(D732,10,$G$5,$H$13))/[1]!S_STM07_IS(D732,9,$G$5,$H$13),[1]!S_STM07_IS(D732,14,$G$5,$H$13)/$E$5))</f>
        <v/>
      </c>
      <c r="J732" s="247" t="str">
        <f ca="1">IF(C732="","",IF($J$11="营业利润率",[1]!S_STM07_IS(D732,48,$G$5,$H$13)/[1]!S_STM07_IS(D732,9,$G$5,$H$13),([1]!S_STM07_CS(D732,87,$G$5,$H$13)+[1]!S_STM07_CS(D732,88,$G$5,$H$13)+[1]!S_STM07_CS(D732,89,$G$5,$H$13))/$E$5))</f>
        <v/>
      </c>
      <c r="K732" s="247" t="str">
        <f ca="1">IF(C732="","",IF($K$11="净利润率",[1]!S_STM07_IS(D732,61,$G$5,$H$13)/[1]!S_STM07_IS(D732,9,$G$5,$H$13),[1]!S_STM07_IS(D732,55,$G$5,$H$13)/$E$5))</f>
        <v/>
      </c>
      <c r="L732" s="247" t="str">
        <f ca="1">IF(C732="","",IF($L$11="ROA",[1]!S_STM07_IS(D732,61,$G$5,$H$13)/[1]!S_STM07_BS(D732,74,$G$5,$H$13),1-[1]!S_STM07_IS(D732,61,$G$5,$H$13)/[1]!S_STM07_IS(D732,55,$G$5,$H$13)))</f>
        <v/>
      </c>
      <c r="M732" s="247" t="str">
        <f ca="1">IF(C732="","",IF($M$11="ROE",[1]!S_STM07_IS(D732,61,$G$5,$H$13)/[1]!S_STM07_BS(D732,141,$G$5,$H$13),([1]!S_STM07_BS(D732,25,$G$5,$H$13)-[1]!S_STM07_BS(D732,93,$G$5,$H$13))/$E$5))</f>
        <v/>
      </c>
      <c r="N732" s="247" t="str">
        <f ca="1">IF(C732="","",IF($N$11="EPS",[1]!S_STM07_IS(D732,61,$G$5,$H$13)/IF([1]!S_SHARE_TOTAL(D732,$G$5)=0,[1]!S_SHARE_TOTAL(D732,[1]!s_ipo_listeddate(D732)),[1]!S_SHARE_TOTAL(D732,$G$5)),([1]!S_STM07_BS(D732,75,$G$5,$H$13)+[1]!S_STM07_BS(D732,88,$G$5,$H$13)+[1]!S_STM07_BS(D732,94,$G$5,$H$13)+[1]!S_STM07_BS(D732,95,$G$5,$H$13))/$E$5))</f>
        <v/>
      </c>
      <c r="O732" s="247" t="str">
        <f ca="1">IF(C732="","",IF($O$11="BPS",[1]!S_STM07_BS(D732,141,$G$5,$H$13)/IF([1]!S_SHARE_TOTAL(D732,$G$5)=0,[1]!S_SHARE_TOTAL(D732,[1]!s_ipo_listeddate(D732)),[1]!S_SHARE_TOTAL(D732,$G$5)),[1]!S_STM07_CS(D732,49,$G$5,$H$13)/$E$5))</f>
        <v/>
      </c>
      <c r="P732" s="247" t="str">
        <f ca="1">IF(C732="","",IF($P$11="CFPS",[1]!S_STM07_CS(D732,84,$G$5,$H$13)/IF([1]!S_SHARE_TOTAL(D732,$G$5)=0,[1]!S_SHARE_TOTAL(D732,[1]!s_ipo_listeddate(D732)),[1]!S_SHARE_TOTAL(D732,$G$5)),[1]!S_STM07_CS(D732,84,$G$5,$H$13)/$E$5))</f>
        <v/>
      </c>
      <c r="Q732" s="248" t="str">
        <f ca="1">IF(C732="","",F732/([1]!S_STM07_IS(D732,61,$G$5,$H$13)/IF([1]!S_SHARE_TOTAL(D732,$G$5)=0,[1]!S_SHARE_TOTAL(D732,[1]!s_ipo_listeddate(D732)),[1]!S_SHARE_TOTAL(D732,$G$5))))</f>
        <v/>
      </c>
      <c r="R732" s="248" t="str">
        <f ca="1">IF(C732="","",F732/([1]!S_STM07_BS(D732,141,$G$5,$H$13)/IF([1]!S_SHARE_TOTAL(D732,$G$5)=0,[1]!S_SHARE_TOTAL(D732,[1]!s_ipo_listeddate(D732)),[1]!S_SHARE_TOTAL(D732,$G$5))))</f>
        <v/>
      </c>
      <c r="S732" s="247" t="str">
        <f ca="1">IF(C732="","",[1]!S_SHARE_TOTAL(D732,TODAY())/$E$5)</f>
        <v/>
      </c>
      <c r="T732" s="247" t="str">
        <f t="shared" ca="1" si="79"/>
        <v/>
      </c>
      <c r="U732" s="218" t="str">
        <f t="shared" ca="1" si="80"/>
        <v/>
      </c>
      <c r="V732" s="342" t="str">
        <f t="shared" ca="1" si="81"/>
        <v/>
      </c>
      <c r="W732" s="139"/>
      <c r="Y732" s="1"/>
    </row>
    <row r="733" spans="3:25" ht="12" customHeight="1">
      <c r="C733" s="343" t="str">
        <f t="shared" ca="1" si="76"/>
        <v/>
      </c>
      <c r="D733" s="124" t="str">
        <f t="shared" ca="1" si="77"/>
        <v/>
      </c>
      <c r="E733" s="124" t="str">
        <f t="shared" ca="1" si="78"/>
        <v/>
      </c>
      <c r="F733" s="172" t="str">
        <f ca="1">IF(C733="","",[1]!S_DQ_CLOSE(D733,TODAY(),1))</f>
        <v/>
      </c>
      <c r="G733" s="173" t="str">
        <f ca="1">IF(C733="","",[1]!s_pq_pctchange(D733,TODAY()-$G$12,TODAY())/100)</f>
        <v/>
      </c>
      <c r="H733" s="249" t="str">
        <f ca="1">IF(C733="","",IF($H$11="收入",[1]!S_STM07_IS(D733,9,$G$5,$H$13)/$E$5,[1]!S_STM07_IS(D733,48,$G$5,$H$13)/$E$5))</f>
        <v/>
      </c>
      <c r="I733" s="249" t="str">
        <f ca="1">IF(C733="","",IF($I$11="毛利率",([1]!S_STM07_IS(D733,9,$G$5,$H$13)-[1]!S_STM07_IS(D733,10,$G$5,$H$13))/[1]!S_STM07_IS(D733,9,$G$5,$H$13),[1]!S_STM07_IS(D733,14,$G$5,$H$13)/$E$5))</f>
        <v/>
      </c>
      <c r="J733" s="249" t="str">
        <f ca="1">IF(C733="","",IF($J$11="营业利润率",[1]!S_STM07_IS(D733,48,$G$5,$H$13)/[1]!S_STM07_IS(D733,9,$G$5,$H$13),([1]!S_STM07_CS(D733,87,$G$5,$H$13)+[1]!S_STM07_CS(D733,88,$G$5,$H$13)+[1]!S_STM07_CS(D733,89,$G$5,$H$13))/$E$5))</f>
        <v/>
      </c>
      <c r="K733" s="249" t="str">
        <f ca="1">IF(C733="","",IF($K$11="净利润率",[1]!S_STM07_IS(D733,61,$G$5,$H$13)/[1]!S_STM07_IS(D733,9,$G$5,$H$13),[1]!S_STM07_IS(D733,55,$G$5,$H$13)/$E$5))</f>
        <v/>
      </c>
      <c r="L733" s="249" t="str">
        <f ca="1">IF(C733="","",IF($L$11="ROA",[1]!S_STM07_IS(D733,61,$G$5,$H$13)/[1]!S_STM07_BS(D733,74,$G$5,$H$13),1-[1]!S_STM07_IS(D733,61,$G$5,$H$13)/[1]!S_STM07_IS(D733,55,$G$5,$H$13)))</f>
        <v/>
      </c>
      <c r="M733" s="249" t="str">
        <f ca="1">IF(C733="","",IF($M$11="ROE",[1]!S_STM07_IS(D733,61,$G$5,$H$13)/[1]!S_STM07_BS(D733,141,$G$5,$H$13),([1]!S_STM07_BS(D733,25,$G$5,$H$13)-[1]!S_STM07_BS(D733,93,$G$5,$H$13))/$E$5))</f>
        <v/>
      </c>
      <c r="N733" s="250" t="str">
        <f ca="1">IF(C733="","",IF($N$11="EPS",[1]!S_STM07_IS(D733,61,$G$5,$H$13)/IF([1]!S_SHARE_TOTAL(D733,$G$5)=0,[1]!S_SHARE_TOTAL(D733,[1]!s_ipo_listeddate(D733)),[1]!S_SHARE_TOTAL(D733,$G$5)),([1]!S_STM07_BS(D733,75,$G$5,$H$13)+[1]!S_STM07_BS(D733,88,$G$5,$H$13)+[1]!S_STM07_BS(D733,94,$G$5,$H$13)+[1]!S_STM07_BS(D733,95,$G$5,$H$13))/$E$5))</f>
        <v/>
      </c>
      <c r="O733" s="250" t="str">
        <f ca="1">IF(C733="","",IF($O$11="BPS",[1]!S_STM07_BS(D733,141,$G$5,$H$13)/IF([1]!S_SHARE_TOTAL(D733,$G$5)=0,[1]!S_SHARE_TOTAL(D733,[1]!s_ipo_listeddate(D733)),[1]!S_SHARE_TOTAL(D733,$G$5)),[1]!S_STM07_CS(D733,49,$G$5,$H$13)/$E$5))</f>
        <v/>
      </c>
      <c r="P733" s="250" t="str">
        <f ca="1">IF(C733="","",IF($P$11="CFPS",[1]!S_STM07_CS(D733,84,$G$5,$H$13)/IF([1]!S_SHARE_TOTAL(D733,$G$5)=0,[1]!S_SHARE_TOTAL(D733,[1]!s_ipo_listeddate(D733)),[1]!S_SHARE_TOTAL(D733,$G$5)),[1]!S_STM07_CS(D733,84,$G$5,$H$13)/$E$5))</f>
        <v/>
      </c>
      <c r="Q733" s="198" t="str">
        <f ca="1">IF(C733="","",F733/([1]!S_STM07_IS(D733,61,$G$5,$H$13)/IF([1]!S_SHARE_TOTAL(D733,$G$5)=0,[1]!S_SHARE_TOTAL(D733,[1]!s_ipo_listeddate(D733)),[1]!S_SHARE_TOTAL(D733,$G$5))))</f>
        <v/>
      </c>
      <c r="R733" s="198" t="str">
        <f ca="1">IF(C733="","",F733/([1]!S_STM07_BS(D733,141,$G$5,$H$13)/IF([1]!S_SHARE_TOTAL(D733,$G$5)=0,[1]!S_SHARE_TOTAL(D733,[1]!s_ipo_listeddate(D733)),[1]!S_SHARE_TOTAL(D733,$G$5))))</f>
        <v/>
      </c>
      <c r="S733" s="249" t="str">
        <f ca="1">IF(C733="","",[1]!S_SHARE_TOTAL(D733,TODAY())/$E$5)</f>
        <v/>
      </c>
      <c r="T733" s="249" t="str">
        <f t="shared" ca="1" si="79"/>
        <v/>
      </c>
      <c r="U733" s="172" t="str">
        <f t="shared" ca="1" si="80"/>
        <v/>
      </c>
      <c r="V733" s="343" t="str">
        <f t="shared" ca="1" si="81"/>
        <v/>
      </c>
      <c r="W733" s="139"/>
      <c r="Y733" s="1"/>
    </row>
    <row r="734" spans="3:25" ht="12" customHeight="1">
      <c r="C734" s="342" t="str">
        <f t="shared" ca="1" si="76"/>
        <v/>
      </c>
      <c r="D734" s="153" t="str">
        <f t="shared" ca="1" si="77"/>
        <v/>
      </c>
      <c r="E734" s="153" t="str">
        <f t="shared" ca="1" si="78"/>
        <v/>
      </c>
      <c r="F734" s="170" t="str">
        <f ca="1">IF(C734="","",[1]!S_DQ_CLOSE(D734,TODAY(),1))</f>
        <v/>
      </c>
      <c r="G734" s="171" t="str">
        <f ca="1">IF(C734="","",[1]!s_pq_pctchange(D734,TODAY()-$G$12,TODAY())/100)</f>
        <v/>
      </c>
      <c r="H734" s="247" t="str">
        <f ca="1">IF(C734="","",IF($H$11="收入",[1]!S_STM07_IS(D734,9,$G$5,$H$13)/$E$5,[1]!S_STM07_IS(D734,48,$G$5,$H$13)/$E$5))</f>
        <v/>
      </c>
      <c r="I734" s="247" t="str">
        <f ca="1">IF(C734="","",IF($I$11="毛利率",([1]!S_STM07_IS(D734,9,$G$5,$H$13)-[1]!S_STM07_IS(D734,10,$G$5,$H$13))/[1]!S_STM07_IS(D734,9,$G$5,$H$13),[1]!S_STM07_IS(D734,14,$G$5,$H$13)/$E$5))</f>
        <v/>
      </c>
      <c r="J734" s="247" t="str">
        <f ca="1">IF(C734="","",IF($J$11="营业利润率",[1]!S_STM07_IS(D734,48,$G$5,$H$13)/[1]!S_STM07_IS(D734,9,$G$5,$H$13),([1]!S_STM07_CS(D734,87,$G$5,$H$13)+[1]!S_STM07_CS(D734,88,$G$5,$H$13)+[1]!S_STM07_CS(D734,89,$G$5,$H$13))/$E$5))</f>
        <v/>
      </c>
      <c r="K734" s="247" t="str">
        <f ca="1">IF(C734="","",IF($K$11="净利润率",[1]!S_STM07_IS(D734,61,$G$5,$H$13)/[1]!S_STM07_IS(D734,9,$G$5,$H$13),[1]!S_STM07_IS(D734,55,$G$5,$H$13)/$E$5))</f>
        <v/>
      </c>
      <c r="L734" s="247" t="str">
        <f ca="1">IF(C734="","",IF($L$11="ROA",[1]!S_STM07_IS(D734,61,$G$5,$H$13)/[1]!S_STM07_BS(D734,74,$G$5,$H$13),1-[1]!S_STM07_IS(D734,61,$G$5,$H$13)/[1]!S_STM07_IS(D734,55,$G$5,$H$13)))</f>
        <v/>
      </c>
      <c r="M734" s="247" t="str">
        <f ca="1">IF(C734="","",IF($M$11="ROE",[1]!S_STM07_IS(D734,61,$G$5,$H$13)/[1]!S_STM07_BS(D734,141,$G$5,$H$13),([1]!S_STM07_BS(D734,25,$G$5,$H$13)-[1]!S_STM07_BS(D734,93,$G$5,$H$13))/$E$5))</f>
        <v/>
      </c>
      <c r="N734" s="247" t="str">
        <f ca="1">IF(C734="","",IF($N$11="EPS",[1]!S_STM07_IS(D734,61,$G$5,$H$13)/IF([1]!S_SHARE_TOTAL(D734,$G$5)=0,[1]!S_SHARE_TOTAL(D734,[1]!s_ipo_listeddate(D734)),[1]!S_SHARE_TOTAL(D734,$G$5)),([1]!S_STM07_BS(D734,75,$G$5,$H$13)+[1]!S_STM07_BS(D734,88,$G$5,$H$13)+[1]!S_STM07_BS(D734,94,$G$5,$H$13)+[1]!S_STM07_BS(D734,95,$G$5,$H$13))/$E$5))</f>
        <v/>
      </c>
      <c r="O734" s="247" t="str">
        <f ca="1">IF(C734="","",IF($O$11="BPS",[1]!S_STM07_BS(D734,141,$G$5,$H$13)/IF([1]!S_SHARE_TOTAL(D734,$G$5)=0,[1]!S_SHARE_TOTAL(D734,[1]!s_ipo_listeddate(D734)),[1]!S_SHARE_TOTAL(D734,$G$5)),[1]!S_STM07_CS(D734,49,$G$5,$H$13)/$E$5))</f>
        <v/>
      </c>
      <c r="P734" s="247" t="str">
        <f ca="1">IF(C734="","",IF($P$11="CFPS",[1]!S_STM07_CS(D734,84,$G$5,$H$13)/IF([1]!S_SHARE_TOTAL(D734,$G$5)=0,[1]!S_SHARE_TOTAL(D734,[1]!s_ipo_listeddate(D734)),[1]!S_SHARE_TOTAL(D734,$G$5)),[1]!S_STM07_CS(D734,84,$G$5,$H$13)/$E$5))</f>
        <v/>
      </c>
      <c r="Q734" s="248" t="str">
        <f ca="1">IF(C734="","",F734/([1]!S_STM07_IS(D734,61,$G$5,$H$13)/IF([1]!S_SHARE_TOTAL(D734,$G$5)=0,[1]!S_SHARE_TOTAL(D734,[1]!s_ipo_listeddate(D734)),[1]!S_SHARE_TOTAL(D734,$G$5))))</f>
        <v/>
      </c>
      <c r="R734" s="248" t="str">
        <f ca="1">IF(C734="","",F734/([1]!S_STM07_BS(D734,141,$G$5,$H$13)/IF([1]!S_SHARE_TOTAL(D734,$G$5)=0,[1]!S_SHARE_TOTAL(D734,[1]!s_ipo_listeddate(D734)),[1]!S_SHARE_TOTAL(D734,$G$5))))</f>
        <v/>
      </c>
      <c r="S734" s="247" t="str">
        <f ca="1">IF(C734="","",[1]!S_SHARE_TOTAL(D734,TODAY())/$E$5)</f>
        <v/>
      </c>
      <c r="T734" s="247" t="str">
        <f t="shared" ca="1" si="79"/>
        <v/>
      </c>
      <c r="U734" s="218" t="str">
        <f t="shared" ca="1" si="80"/>
        <v/>
      </c>
      <c r="V734" s="342" t="str">
        <f t="shared" ca="1" si="81"/>
        <v/>
      </c>
      <c r="W734" s="139"/>
      <c r="Y734" s="1"/>
    </row>
    <row r="735" spans="3:25" ht="12" customHeight="1">
      <c r="C735" s="343" t="str">
        <f t="shared" ca="1" si="76"/>
        <v/>
      </c>
      <c r="D735" s="124" t="str">
        <f t="shared" ca="1" si="77"/>
        <v/>
      </c>
      <c r="E735" s="124" t="str">
        <f t="shared" ca="1" si="78"/>
        <v/>
      </c>
      <c r="F735" s="172" t="str">
        <f ca="1">IF(C735="","",[1]!S_DQ_CLOSE(D735,TODAY(),1))</f>
        <v/>
      </c>
      <c r="G735" s="173" t="str">
        <f ca="1">IF(C735="","",[1]!s_pq_pctchange(D735,TODAY()-$G$12,TODAY())/100)</f>
        <v/>
      </c>
      <c r="H735" s="249" t="str">
        <f ca="1">IF(C735="","",IF($H$11="收入",[1]!S_STM07_IS(D735,9,$G$5,$H$13)/$E$5,[1]!S_STM07_IS(D735,48,$G$5,$H$13)/$E$5))</f>
        <v/>
      </c>
      <c r="I735" s="249" t="str">
        <f ca="1">IF(C735="","",IF($I$11="毛利率",([1]!S_STM07_IS(D735,9,$G$5,$H$13)-[1]!S_STM07_IS(D735,10,$G$5,$H$13))/[1]!S_STM07_IS(D735,9,$G$5,$H$13),[1]!S_STM07_IS(D735,14,$G$5,$H$13)/$E$5))</f>
        <v/>
      </c>
      <c r="J735" s="249" t="str">
        <f ca="1">IF(C735="","",IF($J$11="营业利润率",[1]!S_STM07_IS(D735,48,$G$5,$H$13)/[1]!S_STM07_IS(D735,9,$G$5,$H$13),([1]!S_STM07_CS(D735,87,$G$5,$H$13)+[1]!S_STM07_CS(D735,88,$G$5,$H$13)+[1]!S_STM07_CS(D735,89,$G$5,$H$13))/$E$5))</f>
        <v/>
      </c>
      <c r="K735" s="249" t="str">
        <f ca="1">IF(C735="","",IF($K$11="净利润率",[1]!S_STM07_IS(D735,61,$G$5,$H$13)/[1]!S_STM07_IS(D735,9,$G$5,$H$13),[1]!S_STM07_IS(D735,55,$G$5,$H$13)/$E$5))</f>
        <v/>
      </c>
      <c r="L735" s="249" t="str">
        <f ca="1">IF(C735="","",IF($L$11="ROA",[1]!S_STM07_IS(D735,61,$G$5,$H$13)/[1]!S_STM07_BS(D735,74,$G$5,$H$13),1-[1]!S_STM07_IS(D735,61,$G$5,$H$13)/[1]!S_STM07_IS(D735,55,$G$5,$H$13)))</f>
        <v/>
      </c>
      <c r="M735" s="249" t="str">
        <f ca="1">IF(C735="","",IF($M$11="ROE",[1]!S_STM07_IS(D735,61,$G$5,$H$13)/[1]!S_STM07_BS(D735,141,$G$5,$H$13),([1]!S_STM07_BS(D735,25,$G$5,$H$13)-[1]!S_STM07_BS(D735,93,$G$5,$H$13))/$E$5))</f>
        <v/>
      </c>
      <c r="N735" s="250" t="str">
        <f ca="1">IF(C735="","",IF($N$11="EPS",[1]!S_STM07_IS(D735,61,$G$5,$H$13)/IF([1]!S_SHARE_TOTAL(D735,$G$5)=0,[1]!S_SHARE_TOTAL(D735,[1]!s_ipo_listeddate(D735)),[1]!S_SHARE_TOTAL(D735,$G$5)),([1]!S_STM07_BS(D735,75,$G$5,$H$13)+[1]!S_STM07_BS(D735,88,$G$5,$H$13)+[1]!S_STM07_BS(D735,94,$G$5,$H$13)+[1]!S_STM07_BS(D735,95,$G$5,$H$13))/$E$5))</f>
        <v/>
      </c>
      <c r="O735" s="250" t="str">
        <f ca="1">IF(C735="","",IF($O$11="BPS",[1]!S_STM07_BS(D735,141,$G$5,$H$13)/IF([1]!S_SHARE_TOTAL(D735,$G$5)=0,[1]!S_SHARE_TOTAL(D735,[1]!s_ipo_listeddate(D735)),[1]!S_SHARE_TOTAL(D735,$G$5)),[1]!S_STM07_CS(D735,49,$G$5,$H$13)/$E$5))</f>
        <v/>
      </c>
      <c r="P735" s="250" t="str">
        <f ca="1">IF(C735="","",IF($P$11="CFPS",[1]!S_STM07_CS(D735,84,$G$5,$H$13)/IF([1]!S_SHARE_TOTAL(D735,$G$5)=0,[1]!S_SHARE_TOTAL(D735,[1]!s_ipo_listeddate(D735)),[1]!S_SHARE_TOTAL(D735,$G$5)),[1]!S_STM07_CS(D735,84,$G$5,$H$13)/$E$5))</f>
        <v/>
      </c>
      <c r="Q735" s="198" t="str">
        <f ca="1">IF(C735="","",F735/([1]!S_STM07_IS(D735,61,$G$5,$H$13)/IF([1]!S_SHARE_TOTAL(D735,$G$5)=0,[1]!S_SHARE_TOTAL(D735,[1]!s_ipo_listeddate(D735)),[1]!S_SHARE_TOTAL(D735,$G$5))))</f>
        <v/>
      </c>
      <c r="R735" s="198" t="str">
        <f ca="1">IF(C735="","",F735/([1]!S_STM07_BS(D735,141,$G$5,$H$13)/IF([1]!S_SHARE_TOTAL(D735,$G$5)=0,[1]!S_SHARE_TOTAL(D735,[1]!s_ipo_listeddate(D735)),[1]!S_SHARE_TOTAL(D735,$G$5))))</f>
        <v/>
      </c>
      <c r="S735" s="249" t="str">
        <f ca="1">IF(C735="","",[1]!S_SHARE_TOTAL(D735,TODAY())/$E$5)</f>
        <v/>
      </c>
      <c r="T735" s="249" t="str">
        <f t="shared" ca="1" si="79"/>
        <v/>
      </c>
      <c r="U735" s="172" t="str">
        <f t="shared" ca="1" si="80"/>
        <v/>
      </c>
      <c r="V735" s="343" t="str">
        <f t="shared" ca="1" si="81"/>
        <v/>
      </c>
      <c r="W735" s="139"/>
      <c r="Y735" s="1"/>
    </row>
    <row r="736" spans="3:25" ht="12" customHeight="1">
      <c r="C736" s="342" t="str">
        <f t="shared" ca="1" si="76"/>
        <v/>
      </c>
      <c r="D736" s="153" t="str">
        <f t="shared" ca="1" si="77"/>
        <v/>
      </c>
      <c r="E736" s="153" t="str">
        <f t="shared" ca="1" si="78"/>
        <v/>
      </c>
      <c r="F736" s="170" t="str">
        <f ca="1">IF(C736="","",[1]!S_DQ_CLOSE(D736,TODAY(),1))</f>
        <v/>
      </c>
      <c r="G736" s="171" t="str">
        <f ca="1">IF(C736="","",[1]!s_pq_pctchange(D736,TODAY()-$G$12,TODAY())/100)</f>
        <v/>
      </c>
      <c r="H736" s="247" t="str">
        <f ca="1">IF(C736="","",IF($H$11="收入",[1]!S_STM07_IS(D736,9,$G$5,$H$13)/$E$5,[1]!S_STM07_IS(D736,48,$G$5,$H$13)/$E$5))</f>
        <v/>
      </c>
      <c r="I736" s="247" t="str">
        <f ca="1">IF(C736="","",IF($I$11="毛利率",([1]!S_STM07_IS(D736,9,$G$5,$H$13)-[1]!S_STM07_IS(D736,10,$G$5,$H$13))/[1]!S_STM07_IS(D736,9,$G$5,$H$13),[1]!S_STM07_IS(D736,14,$G$5,$H$13)/$E$5))</f>
        <v/>
      </c>
      <c r="J736" s="247" t="str">
        <f ca="1">IF(C736="","",IF($J$11="营业利润率",[1]!S_STM07_IS(D736,48,$G$5,$H$13)/[1]!S_STM07_IS(D736,9,$G$5,$H$13),([1]!S_STM07_CS(D736,87,$G$5,$H$13)+[1]!S_STM07_CS(D736,88,$G$5,$H$13)+[1]!S_STM07_CS(D736,89,$G$5,$H$13))/$E$5))</f>
        <v/>
      </c>
      <c r="K736" s="247" t="str">
        <f ca="1">IF(C736="","",IF($K$11="净利润率",[1]!S_STM07_IS(D736,61,$G$5,$H$13)/[1]!S_STM07_IS(D736,9,$G$5,$H$13),[1]!S_STM07_IS(D736,55,$G$5,$H$13)/$E$5))</f>
        <v/>
      </c>
      <c r="L736" s="247" t="str">
        <f ca="1">IF(C736="","",IF($L$11="ROA",[1]!S_STM07_IS(D736,61,$G$5,$H$13)/[1]!S_STM07_BS(D736,74,$G$5,$H$13),1-[1]!S_STM07_IS(D736,61,$G$5,$H$13)/[1]!S_STM07_IS(D736,55,$G$5,$H$13)))</f>
        <v/>
      </c>
      <c r="M736" s="247" t="str">
        <f ca="1">IF(C736="","",IF($M$11="ROE",[1]!S_STM07_IS(D736,61,$G$5,$H$13)/[1]!S_STM07_BS(D736,141,$G$5,$H$13),([1]!S_STM07_BS(D736,25,$G$5,$H$13)-[1]!S_STM07_BS(D736,93,$G$5,$H$13))/$E$5))</f>
        <v/>
      </c>
      <c r="N736" s="247" t="str">
        <f ca="1">IF(C736="","",IF($N$11="EPS",[1]!S_STM07_IS(D736,61,$G$5,$H$13)/IF([1]!S_SHARE_TOTAL(D736,$G$5)=0,[1]!S_SHARE_TOTAL(D736,[1]!s_ipo_listeddate(D736)),[1]!S_SHARE_TOTAL(D736,$G$5)),([1]!S_STM07_BS(D736,75,$G$5,$H$13)+[1]!S_STM07_BS(D736,88,$G$5,$H$13)+[1]!S_STM07_BS(D736,94,$G$5,$H$13)+[1]!S_STM07_BS(D736,95,$G$5,$H$13))/$E$5))</f>
        <v/>
      </c>
      <c r="O736" s="247" t="str">
        <f ca="1">IF(C736="","",IF($O$11="BPS",[1]!S_STM07_BS(D736,141,$G$5,$H$13)/IF([1]!S_SHARE_TOTAL(D736,$G$5)=0,[1]!S_SHARE_TOTAL(D736,[1]!s_ipo_listeddate(D736)),[1]!S_SHARE_TOTAL(D736,$G$5)),[1]!S_STM07_CS(D736,49,$G$5,$H$13)/$E$5))</f>
        <v/>
      </c>
      <c r="P736" s="247" t="str">
        <f ca="1">IF(C736="","",IF($P$11="CFPS",[1]!S_STM07_CS(D736,84,$G$5,$H$13)/IF([1]!S_SHARE_TOTAL(D736,$G$5)=0,[1]!S_SHARE_TOTAL(D736,[1]!s_ipo_listeddate(D736)),[1]!S_SHARE_TOTAL(D736,$G$5)),[1]!S_STM07_CS(D736,84,$G$5,$H$13)/$E$5))</f>
        <v/>
      </c>
      <c r="Q736" s="248" t="str">
        <f ca="1">IF(C736="","",F736/([1]!S_STM07_IS(D736,61,$G$5,$H$13)/IF([1]!S_SHARE_TOTAL(D736,$G$5)=0,[1]!S_SHARE_TOTAL(D736,[1]!s_ipo_listeddate(D736)),[1]!S_SHARE_TOTAL(D736,$G$5))))</f>
        <v/>
      </c>
      <c r="R736" s="248" t="str">
        <f ca="1">IF(C736="","",F736/([1]!S_STM07_BS(D736,141,$G$5,$H$13)/IF([1]!S_SHARE_TOTAL(D736,$G$5)=0,[1]!S_SHARE_TOTAL(D736,[1]!s_ipo_listeddate(D736)),[1]!S_SHARE_TOTAL(D736,$G$5))))</f>
        <v/>
      </c>
      <c r="S736" s="247" t="str">
        <f ca="1">IF(C736="","",[1]!S_SHARE_TOTAL(D736,TODAY())/$E$5)</f>
        <v/>
      </c>
      <c r="T736" s="247" t="str">
        <f t="shared" ca="1" si="79"/>
        <v/>
      </c>
      <c r="U736" s="218" t="str">
        <f t="shared" ca="1" si="80"/>
        <v/>
      </c>
      <c r="V736" s="342" t="str">
        <f t="shared" ca="1" si="81"/>
        <v/>
      </c>
      <c r="W736" s="139"/>
      <c r="Y736" s="1"/>
    </row>
    <row r="737" spans="3:25" ht="12" customHeight="1">
      <c r="C737" s="343" t="str">
        <f t="shared" ca="1" si="76"/>
        <v/>
      </c>
      <c r="D737" s="124" t="str">
        <f t="shared" ca="1" si="77"/>
        <v/>
      </c>
      <c r="E737" s="124" t="str">
        <f t="shared" ca="1" si="78"/>
        <v/>
      </c>
      <c r="F737" s="172" t="str">
        <f ca="1">IF(C737="","",[1]!S_DQ_CLOSE(D737,TODAY(),1))</f>
        <v/>
      </c>
      <c r="G737" s="173" t="str">
        <f ca="1">IF(C737="","",[1]!s_pq_pctchange(D737,TODAY()-$G$12,TODAY())/100)</f>
        <v/>
      </c>
      <c r="H737" s="249" t="str">
        <f ca="1">IF(C737="","",IF($H$11="收入",[1]!S_STM07_IS(D737,9,$G$5,$H$13)/$E$5,[1]!S_STM07_IS(D737,48,$G$5,$H$13)/$E$5))</f>
        <v/>
      </c>
      <c r="I737" s="249" t="str">
        <f ca="1">IF(C737="","",IF($I$11="毛利率",([1]!S_STM07_IS(D737,9,$G$5,$H$13)-[1]!S_STM07_IS(D737,10,$G$5,$H$13))/[1]!S_STM07_IS(D737,9,$G$5,$H$13),[1]!S_STM07_IS(D737,14,$G$5,$H$13)/$E$5))</f>
        <v/>
      </c>
      <c r="J737" s="249" t="str">
        <f ca="1">IF(C737="","",IF($J$11="营业利润率",[1]!S_STM07_IS(D737,48,$G$5,$H$13)/[1]!S_STM07_IS(D737,9,$G$5,$H$13),([1]!S_STM07_CS(D737,87,$G$5,$H$13)+[1]!S_STM07_CS(D737,88,$G$5,$H$13)+[1]!S_STM07_CS(D737,89,$G$5,$H$13))/$E$5))</f>
        <v/>
      </c>
      <c r="K737" s="249" t="str">
        <f ca="1">IF(C737="","",IF($K$11="净利润率",[1]!S_STM07_IS(D737,61,$G$5,$H$13)/[1]!S_STM07_IS(D737,9,$G$5,$H$13),[1]!S_STM07_IS(D737,55,$G$5,$H$13)/$E$5))</f>
        <v/>
      </c>
      <c r="L737" s="249" t="str">
        <f ca="1">IF(C737="","",IF($L$11="ROA",[1]!S_STM07_IS(D737,61,$G$5,$H$13)/[1]!S_STM07_BS(D737,74,$G$5,$H$13),1-[1]!S_STM07_IS(D737,61,$G$5,$H$13)/[1]!S_STM07_IS(D737,55,$G$5,$H$13)))</f>
        <v/>
      </c>
      <c r="M737" s="249" t="str">
        <f ca="1">IF(C737="","",IF($M$11="ROE",[1]!S_STM07_IS(D737,61,$G$5,$H$13)/[1]!S_STM07_BS(D737,141,$G$5,$H$13),([1]!S_STM07_BS(D737,25,$G$5,$H$13)-[1]!S_STM07_BS(D737,93,$G$5,$H$13))/$E$5))</f>
        <v/>
      </c>
      <c r="N737" s="250" t="str">
        <f ca="1">IF(C737="","",IF($N$11="EPS",[1]!S_STM07_IS(D737,61,$G$5,$H$13)/IF([1]!S_SHARE_TOTAL(D737,$G$5)=0,[1]!S_SHARE_TOTAL(D737,[1]!s_ipo_listeddate(D737)),[1]!S_SHARE_TOTAL(D737,$G$5)),([1]!S_STM07_BS(D737,75,$G$5,$H$13)+[1]!S_STM07_BS(D737,88,$G$5,$H$13)+[1]!S_STM07_BS(D737,94,$G$5,$H$13)+[1]!S_STM07_BS(D737,95,$G$5,$H$13))/$E$5))</f>
        <v/>
      </c>
      <c r="O737" s="250" t="str">
        <f ca="1">IF(C737="","",IF($O$11="BPS",[1]!S_STM07_BS(D737,141,$G$5,$H$13)/IF([1]!S_SHARE_TOTAL(D737,$G$5)=0,[1]!S_SHARE_TOTAL(D737,[1]!s_ipo_listeddate(D737)),[1]!S_SHARE_TOTAL(D737,$G$5)),[1]!S_STM07_CS(D737,49,$G$5,$H$13)/$E$5))</f>
        <v/>
      </c>
      <c r="P737" s="250" t="str">
        <f ca="1">IF(C737="","",IF($P$11="CFPS",[1]!S_STM07_CS(D737,84,$G$5,$H$13)/IF([1]!S_SHARE_TOTAL(D737,$G$5)=0,[1]!S_SHARE_TOTAL(D737,[1]!s_ipo_listeddate(D737)),[1]!S_SHARE_TOTAL(D737,$G$5)),[1]!S_STM07_CS(D737,84,$G$5,$H$13)/$E$5))</f>
        <v/>
      </c>
      <c r="Q737" s="198" t="str">
        <f ca="1">IF(C737="","",F737/([1]!S_STM07_IS(D737,61,$G$5,$H$13)/IF([1]!S_SHARE_TOTAL(D737,$G$5)=0,[1]!S_SHARE_TOTAL(D737,[1]!s_ipo_listeddate(D737)),[1]!S_SHARE_TOTAL(D737,$G$5))))</f>
        <v/>
      </c>
      <c r="R737" s="198" t="str">
        <f ca="1">IF(C737="","",F737/([1]!S_STM07_BS(D737,141,$G$5,$H$13)/IF([1]!S_SHARE_TOTAL(D737,$G$5)=0,[1]!S_SHARE_TOTAL(D737,[1]!s_ipo_listeddate(D737)),[1]!S_SHARE_TOTAL(D737,$G$5))))</f>
        <v/>
      </c>
      <c r="S737" s="249" t="str">
        <f ca="1">IF(C737="","",[1]!S_SHARE_TOTAL(D737,TODAY())/$E$5)</f>
        <v/>
      </c>
      <c r="T737" s="249" t="str">
        <f t="shared" ca="1" si="79"/>
        <v/>
      </c>
      <c r="U737" s="172" t="str">
        <f t="shared" ca="1" si="80"/>
        <v/>
      </c>
      <c r="V737" s="343" t="str">
        <f t="shared" ca="1" si="81"/>
        <v/>
      </c>
      <c r="W737" s="139"/>
      <c r="Y737" s="1"/>
    </row>
    <row r="738" spans="3:25" ht="12" customHeight="1">
      <c r="C738" s="342" t="str">
        <f t="shared" ca="1" si="76"/>
        <v/>
      </c>
      <c r="D738" s="153" t="str">
        <f t="shared" ca="1" si="77"/>
        <v/>
      </c>
      <c r="E738" s="153" t="str">
        <f t="shared" ca="1" si="78"/>
        <v/>
      </c>
      <c r="F738" s="170" t="str">
        <f ca="1">IF(C738="","",[1]!S_DQ_CLOSE(D738,TODAY(),1))</f>
        <v/>
      </c>
      <c r="G738" s="171" t="str">
        <f ca="1">IF(C738="","",[1]!s_pq_pctchange(D738,TODAY()-$G$12,TODAY())/100)</f>
        <v/>
      </c>
      <c r="H738" s="247" t="str">
        <f ca="1">IF(C738="","",IF($H$11="收入",[1]!S_STM07_IS(D738,9,$G$5,$H$13)/$E$5,[1]!S_STM07_IS(D738,48,$G$5,$H$13)/$E$5))</f>
        <v/>
      </c>
      <c r="I738" s="247" t="str">
        <f ca="1">IF(C738="","",IF($I$11="毛利率",([1]!S_STM07_IS(D738,9,$G$5,$H$13)-[1]!S_STM07_IS(D738,10,$G$5,$H$13))/[1]!S_STM07_IS(D738,9,$G$5,$H$13),[1]!S_STM07_IS(D738,14,$G$5,$H$13)/$E$5))</f>
        <v/>
      </c>
      <c r="J738" s="247" t="str">
        <f ca="1">IF(C738="","",IF($J$11="营业利润率",[1]!S_STM07_IS(D738,48,$G$5,$H$13)/[1]!S_STM07_IS(D738,9,$G$5,$H$13),([1]!S_STM07_CS(D738,87,$G$5,$H$13)+[1]!S_STM07_CS(D738,88,$G$5,$H$13)+[1]!S_STM07_CS(D738,89,$G$5,$H$13))/$E$5))</f>
        <v/>
      </c>
      <c r="K738" s="247" t="str">
        <f ca="1">IF(C738="","",IF($K$11="净利润率",[1]!S_STM07_IS(D738,61,$G$5,$H$13)/[1]!S_STM07_IS(D738,9,$G$5,$H$13),[1]!S_STM07_IS(D738,55,$G$5,$H$13)/$E$5))</f>
        <v/>
      </c>
      <c r="L738" s="247" t="str">
        <f ca="1">IF(C738="","",IF($L$11="ROA",[1]!S_STM07_IS(D738,61,$G$5,$H$13)/[1]!S_STM07_BS(D738,74,$G$5,$H$13),1-[1]!S_STM07_IS(D738,61,$G$5,$H$13)/[1]!S_STM07_IS(D738,55,$G$5,$H$13)))</f>
        <v/>
      </c>
      <c r="M738" s="247" t="str">
        <f ca="1">IF(C738="","",IF($M$11="ROE",[1]!S_STM07_IS(D738,61,$G$5,$H$13)/[1]!S_STM07_BS(D738,141,$G$5,$H$13),([1]!S_STM07_BS(D738,25,$G$5,$H$13)-[1]!S_STM07_BS(D738,93,$G$5,$H$13))/$E$5))</f>
        <v/>
      </c>
      <c r="N738" s="247" t="str">
        <f ca="1">IF(C738="","",IF($N$11="EPS",[1]!S_STM07_IS(D738,61,$G$5,$H$13)/IF([1]!S_SHARE_TOTAL(D738,$G$5)=0,[1]!S_SHARE_TOTAL(D738,[1]!s_ipo_listeddate(D738)),[1]!S_SHARE_TOTAL(D738,$G$5)),([1]!S_STM07_BS(D738,75,$G$5,$H$13)+[1]!S_STM07_BS(D738,88,$G$5,$H$13)+[1]!S_STM07_BS(D738,94,$G$5,$H$13)+[1]!S_STM07_BS(D738,95,$G$5,$H$13))/$E$5))</f>
        <v/>
      </c>
      <c r="O738" s="247" t="str">
        <f ca="1">IF(C738="","",IF($O$11="BPS",[1]!S_STM07_BS(D738,141,$G$5,$H$13)/IF([1]!S_SHARE_TOTAL(D738,$G$5)=0,[1]!S_SHARE_TOTAL(D738,[1]!s_ipo_listeddate(D738)),[1]!S_SHARE_TOTAL(D738,$G$5)),[1]!S_STM07_CS(D738,49,$G$5,$H$13)/$E$5))</f>
        <v/>
      </c>
      <c r="P738" s="247" t="str">
        <f ca="1">IF(C738="","",IF($P$11="CFPS",[1]!S_STM07_CS(D738,84,$G$5,$H$13)/IF([1]!S_SHARE_TOTAL(D738,$G$5)=0,[1]!S_SHARE_TOTAL(D738,[1]!s_ipo_listeddate(D738)),[1]!S_SHARE_TOTAL(D738,$G$5)),[1]!S_STM07_CS(D738,84,$G$5,$H$13)/$E$5))</f>
        <v/>
      </c>
      <c r="Q738" s="248" t="str">
        <f ca="1">IF(C738="","",F738/([1]!S_STM07_IS(D738,61,$G$5,$H$13)/IF([1]!S_SHARE_TOTAL(D738,$G$5)=0,[1]!S_SHARE_TOTAL(D738,[1]!s_ipo_listeddate(D738)),[1]!S_SHARE_TOTAL(D738,$G$5))))</f>
        <v/>
      </c>
      <c r="R738" s="248" t="str">
        <f ca="1">IF(C738="","",F738/([1]!S_STM07_BS(D738,141,$G$5,$H$13)/IF([1]!S_SHARE_TOTAL(D738,$G$5)=0,[1]!S_SHARE_TOTAL(D738,[1]!s_ipo_listeddate(D738)),[1]!S_SHARE_TOTAL(D738,$G$5))))</f>
        <v/>
      </c>
      <c r="S738" s="247" t="str">
        <f ca="1">IF(C738="","",[1]!S_SHARE_TOTAL(D738,TODAY())/$E$5)</f>
        <v/>
      </c>
      <c r="T738" s="247" t="str">
        <f t="shared" ca="1" si="79"/>
        <v/>
      </c>
      <c r="U738" s="218" t="str">
        <f t="shared" ca="1" si="80"/>
        <v/>
      </c>
      <c r="V738" s="342" t="str">
        <f t="shared" ca="1" si="81"/>
        <v/>
      </c>
      <c r="W738" s="139"/>
      <c r="Y738" s="1"/>
    </row>
    <row r="739" spans="3:25" ht="12" customHeight="1">
      <c r="C739" s="343" t="str">
        <f t="shared" ca="1" si="76"/>
        <v/>
      </c>
      <c r="D739" s="124" t="str">
        <f t="shared" ca="1" si="77"/>
        <v/>
      </c>
      <c r="E739" s="124" t="str">
        <f t="shared" ca="1" si="78"/>
        <v/>
      </c>
      <c r="F739" s="172" t="str">
        <f ca="1">IF(C739="","",[1]!S_DQ_CLOSE(D739,TODAY(),1))</f>
        <v/>
      </c>
      <c r="G739" s="173" t="str">
        <f ca="1">IF(C739="","",[1]!s_pq_pctchange(D739,TODAY()-$G$12,TODAY())/100)</f>
        <v/>
      </c>
      <c r="H739" s="249" t="str">
        <f ca="1">IF(C739="","",IF($H$11="收入",[1]!S_STM07_IS(D739,9,$G$5,$H$13)/$E$5,[1]!S_STM07_IS(D739,48,$G$5,$H$13)/$E$5))</f>
        <v/>
      </c>
      <c r="I739" s="249" t="str">
        <f ca="1">IF(C739="","",IF($I$11="毛利率",([1]!S_STM07_IS(D739,9,$G$5,$H$13)-[1]!S_STM07_IS(D739,10,$G$5,$H$13))/[1]!S_STM07_IS(D739,9,$G$5,$H$13),[1]!S_STM07_IS(D739,14,$G$5,$H$13)/$E$5))</f>
        <v/>
      </c>
      <c r="J739" s="249" t="str">
        <f ca="1">IF(C739="","",IF($J$11="营业利润率",[1]!S_STM07_IS(D739,48,$G$5,$H$13)/[1]!S_STM07_IS(D739,9,$G$5,$H$13),([1]!S_STM07_CS(D739,87,$G$5,$H$13)+[1]!S_STM07_CS(D739,88,$G$5,$H$13)+[1]!S_STM07_CS(D739,89,$G$5,$H$13))/$E$5))</f>
        <v/>
      </c>
      <c r="K739" s="249" t="str">
        <f ca="1">IF(C739="","",IF($K$11="净利润率",[1]!S_STM07_IS(D739,61,$G$5,$H$13)/[1]!S_STM07_IS(D739,9,$G$5,$H$13),[1]!S_STM07_IS(D739,55,$G$5,$H$13)/$E$5))</f>
        <v/>
      </c>
      <c r="L739" s="249" t="str">
        <f ca="1">IF(C739="","",IF($L$11="ROA",[1]!S_STM07_IS(D739,61,$G$5,$H$13)/[1]!S_STM07_BS(D739,74,$G$5,$H$13),1-[1]!S_STM07_IS(D739,61,$G$5,$H$13)/[1]!S_STM07_IS(D739,55,$G$5,$H$13)))</f>
        <v/>
      </c>
      <c r="M739" s="249" t="str">
        <f ca="1">IF(C739="","",IF($M$11="ROE",[1]!S_STM07_IS(D739,61,$G$5,$H$13)/[1]!S_STM07_BS(D739,141,$G$5,$H$13),([1]!S_STM07_BS(D739,25,$G$5,$H$13)-[1]!S_STM07_BS(D739,93,$G$5,$H$13))/$E$5))</f>
        <v/>
      </c>
      <c r="N739" s="250" t="str">
        <f ca="1">IF(C739="","",IF($N$11="EPS",[1]!S_STM07_IS(D739,61,$G$5,$H$13)/IF([1]!S_SHARE_TOTAL(D739,$G$5)=0,[1]!S_SHARE_TOTAL(D739,[1]!s_ipo_listeddate(D739)),[1]!S_SHARE_TOTAL(D739,$G$5)),([1]!S_STM07_BS(D739,75,$G$5,$H$13)+[1]!S_STM07_BS(D739,88,$G$5,$H$13)+[1]!S_STM07_BS(D739,94,$G$5,$H$13)+[1]!S_STM07_BS(D739,95,$G$5,$H$13))/$E$5))</f>
        <v/>
      </c>
      <c r="O739" s="250" t="str">
        <f ca="1">IF(C739="","",IF($O$11="BPS",[1]!S_STM07_BS(D739,141,$G$5,$H$13)/IF([1]!S_SHARE_TOTAL(D739,$G$5)=0,[1]!S_SHARE_TOTAL(D739,[1]!s_ipo_listeddate(D739)),[1]!S_SHARE_TOTAL(D739,$G$5)),[1]!S_STM07_CS(D739,49,$G$5,$H$13)/$E$5))</f>
        <v/>
      </c>
      <c r="P739" s="250" t="str">
        <f ca="1">IF(C739="","",IF($P$11="CFPS",[1]!S_STM07_CS(D739,84,$G$5,$H$13)/IF([1]!S_SHARE_TOTAL(D739,$G$5)=0,[1]!S_SHARE_TOTAL(D739,[1]!s_ipo_listeddate(D739)),[1]!S_SHARE_TOTAL(D739,$G$5)),[1]!S_STM07_CS(D739,84,$G$5,$H$13)/$E$5))</f>
        <v/>
      </c>
      <c r="Q739" s="198" t="str">
        <f ca="1">IF(C739="","",F739/([1]!S_STM07_IS(D739,61,$G$5,$H$13)/IF([1]!S_SHARE_TOTAL(D739,$G$5)=0,[1]!S_SHARE_TOTAL(D739,[1]!s_ipo_listeddate(D739)),[1]!S_SHARE_TOTAL(D739,$G$5))))</f>
        <v/>
      </c>
      <c r="R739" s="198" t="str">
        <f ca="1">IF(C739="","",F739/([1]!S_STM07_BS(D739,141,$G$5,$H$13)/IF([1]!S_SHARE_TOTAL(D739,$G$5)=0,[1]!S_SHARE_TOTAL(D739,[1]!s_ipo_listeddate(D739)),[1]!S_SHARE_TOTAL(D739,$G$5))))</f>
        <v/>
      </c>
      <c r="S739" s="249" t="str">
        <f ca="1">IF(C739="","",[1]!S_SHARE_TOTAL(D739,TODAY())/$E$5)</f>
        <v/>
      </c>
      <c r="T739" s="249" t="str">
        <f t="shared" ca="1" si="79"/>
        <v/>
      </c>
      <c r="U739" s="172" t="str">
        <f t="shared" ca="1" si="80"/>
        <v/>
      </c>
      <c r="V739" s="343" t="str">
        <f t="shared" ca="1" si="81"/>
        <v/>
      </c>
      <c r="W739" s="139"/>
      <c r="Y739" s="1"/>
    </row>
    <row r="740" spans="3:25" ht="12" customHeight="1">
      <c r="C740" s="342" t="str">
        <f t="shared" ca="1" si="76"/>
        <v/>
      </c>
      <c r="D740" s="153" t="str">
        <f t="shared" ca="1" si="77"/>
        <v/>
      </c>
      <c r="E740" s="153" t="str">
        <f t="shared" ca="1" si="78"/>
        <v/>
      </c>
      <c r="F740" s="170" t="str">
        <f ca="1">IF(C740="","",[1]!S_DQ_CLOSE(D740,TODAY(),1))</f>
        <v/>
      </c>
      <c r="G740" s="171" t="str">
        <f ca="1">IF(C740="","",[1]!s_pq_pctchange(D740,TODAY()-$G$12,TODAY())/100)</f>
        <v/>
      </c>
      <c r="H740" s="247" t="str">
        <f ca="1">IF(C740="","",IF($H$11="收入",[1]!S_STM07_IS(D740,9,$G$5,$H$13)/$E$5,[1]!S_STM07_IS(D740,48,$G$5,$H$13)/$E$5))</f>
        <v/>
      </c>
      <c r="I740" s="247" t="str">
        <f ca="1">IF(C740="","",IF($I$11="毛利率",([1]!S_STM07_IS(D740,9,$G$5,$H$13)-[1]!S_STM07_IS(D740,10,$G$5,$H$13))/[1]!S_STM07_IS(D740,9,$G$5,$H$13),[1]!S_STM07_IS(D740,14,$G$5,$H$13)/$E$5))</f>
        <v/>
      </c>
      <c r="J740" s="247" t="str">
        <f ca="1">IF(C740="","",IF($J$11="营业利润率",[1]!S_STM07_IS(D740,48,$G$5,$H$13)/[1]!S_STM07_IS(D740,9,$G$5,$H$13),([1]!S_STM07_CS(D740,87,$G$5,$H$13)+[1]!S_STM07_CS(D740,88,$G$5,$H$13)+[1]!S_STM07_CS(D740,89,$G$5,$H$13))/$E$5))</f>
        <v/>
      </c>
      <c r="K740" s="247" t="str">
        <f ca="1">IF(C740="","",IF($K$11="净利润率",[1]!S_STM07_IS(D740,61,$G$5,$H$13)/[1]!S_STM07_IS(D740,9,$G$5,$H$13),[1]!S_STM07_IS(D740,55,$G$5,$H$13)/$E$5))</f>
        <v/>
      </c>
      <c r="L740" s="247" t="str">
        <f ca="1">IF(C740="","",IF($L$11="ROA",[1]!S_STM07_IS(D740,61,$G$5,$H$13)/[1]!S_STM07_BS(D740,74,$G$5,$H$13),1-[1]!S_STM07_IS(D740,61,$G$5,$H$13)/[1]!S_STM07_IS(D740,55,$G$5,$H$13)))</f>
        <v/>
      </c>
      <c r="M740" s="247" t="str">
        <f ca="1">IF(C740="","",IF($M$11="ROE",[1]!S_STM07_IS(D740,61,$G$5,$H$13)/[1]!S_STM07_BS(D740,141,$G$5,$H$13),([1]!S_STM07_BS(D740,25,$G$5,$H$13)-[1]!S_STM07_BS(D740,93,$G$5,$H$13))/$E$5))</f>
        <v/>
      </c>
      <c r="N740" s="247" t="str">
        <f ca="1">IF(C740="","",IF($N$11="EPS",[1]!S_STM07_IS(D740,61,$G$5,$H$13)/IF([1]!S_SHARE_TOTAL(D740,$G$5)=0,[1]!S_SHARE_TOTAL(D740,[1]!s_ipo_listeddate(D740)),[1]!S_SHARE_TOTAL(D740,$G$5)),([1]!S_STM07_BS(D740,75,$G$5,$H$13)+[1]!S_STM07_BS(D740,88,$G$5,$H$13)+[1]!S_STM07_BS(D740,94,$G$5,$H$13)+[1]!S_STM07_BS(D740,95,$G$5,$H$13))/$E$5))</f>
        <v/>
      </c>
      <c r="O740" s="247" t="str">
        <f ca="1">IF(C740="","",IF($O$11="BPS",[1]!S_STM07_BS(D740,141,$G$5,$H$13)/IF([1]!S_SHARE_TOTAL(D740,$G$5)=0,[1]!S_SHARE_TOTAL(D740,[1]!s_ipo_listeddate(D740)),[1]!S_SHARE_TOTAL(D740,$G$5)),[1]!S_STM07_CS(D740,49,$G$5,$H$13)/$E$5))</f>
        <v/>
      </c>
      <c r="P740" s="247" t="str">
        <f ca="1">IF(C740="","",IF($P$11="CFPS",[1]!S_STM07_CS(D740,84,$G$5,$H$13)/IF([1]!S_SHARE_TOTAL(D740,$G$5)=0,[1]!S_SHARE_TOTAL(D740,[1]!s_ipo_listeddate(D740)),[1]!S_SHARE_TOTAL(D740,$G$5)),[1]!S_STM07_CS(D740,84,$G$5,$H$13)/$E$5))</f>
        <v/>
      </c>
      <c r="Q740" s="248" t="str">
        <f ca="1">IF(C740="","",F740/([1]!S_STM07_IS(D740,61,$G$5,$H$13)/IF([1]!S_SHARE_TOTAL(D740,$G$5)=0,[1]!S_SHARE_TOTAL(D740,[1]!s_ipo_listeddate(D740)),[1]!S_SHARE_TOTAL(D740,$G$5))))</f>
        <v/>
      </c>
      <c r="R740" s="248" t="str">
        <f ca="1">IF(C740="","",F740/([1]!S_STM07_BS(D740,141,$G$5,$H$13)/IF([1]!S_SHARE_TOTAL(D740,$G$5)=0,[1]!S_SHARE_TOTAL(D740,[1]!s_ipo_listeddate(D740)),[1]!S_SHARE_TOTAL(D740,$G$5))))</f>
        <v/>
      </c>
      <c r="S740" s="247" t="str">
        <f ca="1">IF(C740="","",[1]!S_SHARE_TOTAL(D740,TODAY())/$E$5)</f>
        <v/>
      </c>
      <c r="T740" s="247" t="str">
        <f t="shared" ca="1" si="79"/>
        <v/>
      </c>
      <c r="U740" s="218" t="str">
        <f t="shared" ca="1" si="80"/>
        <v/>
      </c>
      <c r="V740" s="342" t="str">
        <f t="shared" ca="1" si="81"/>
        <v/>
      </c>
      <c r="W740" s="139"/>
      <c r="Y740" s="1"/>
    </row>
    <row r="741" spans="3:25" ht="12" customHeight="1">
      <c r="C741" s="343" t="str">
        <f t="shared" ca="1" si="76"/>
        <v/>
      </c>
      <c r="D741" s="124" t="str">
        <f t="shared" ca="1" si="77"/>
        <v/>
      </c>
      <c r="E741" s="124" t="str">
        <f t="shared" ca="1" si="78"/>
        <v/>
      </c>
      <c r="F741" s="172" t="str">
        <f ca="1">IF(C741="","",[1]!S_DQ_CLOSE(D741,TODAY(),1))</f>
        <v/>
      </c>
      <c r="G741" s="173" t="str">
        <f ca="1">IF(C741="","",[1]!s_pq_pctchange(D741,TODAY()-$G$12,TODAY())/100)</f>
        <v/>
      </c>
      <c r="H741" s="249" t="str">
        <f ca="1">IF(C741="","",IF($H$11="收入",[1]!S_STM07_IS(D741,9,$G$5,$H$13)/$E$5,[1]!S_STM07_IS(D741,48,$G$5,$H$13)/$E$5))</f>
        <v/>
      </c>
      <c r="I741" s="249" t="str">
        <f ca="1">IF(C741="","",IF($I$11="毛利率",([1]!S_STM07_IS(D741,9,$G$5,$H$13)-[1]!S_STM07_IS(D741,10,$G$5,$H$13))/[1]!S_STM07_IS(D741,9,$G$5,$H$13),[1]!S_STM07_IS(D741,14,$G$5,$H$13)/$E$5))</f>
        <v/>
      </c>
      <c r="J741" s="249" t="str">
        <f ca="1">IF(C741="","",IF($J$11="营业利润率",[1]!S_STM07_IS(D741,48,$G$5,$H$13)/[1]!S_STM07_IS(D741,9,$G$5,$H$13),([1]!S_STM07_CS(D741,87,$G$5,$H$13)+[1]!S_STM07_CS(D741,88,$G$5,$H$13)+[1]!S_STM07_CS(D741,89,$G$5,$H$13))/$E$5))</f>
        <v/>
      </c>
      <c r="K741" s="249" t="str">
        <f ca="1">IF(C741="","",IF($K$11="净利润率",[1]!S_STM07_IS(D741,61,$G$5,$H$13)/[1]!S_STM07_IS(D741,9,$G$5,$H$13),[1]!S_STM07_IS(D741,55,$G$5,$H$13)/$E$5))</f>
        <v/>
      </c>
      <c r="L741" s="249" t="str">
        <f ca="1">IF(C741="","",IF($L$11="ROA",[1]!S_STM07_IS(D741,61,$G$5,$H$13)/[1]!S_STM07_BS(D741,74,$G$5,$H$13),1-[1]!S_STM07_IS(D741,61,$G$5,$H$13)/[1]!S_STM07_IS(D741,55,$G$5,$H$13)))</f>
        <v/>
      </c>
      <c r="M741" s="249" t="str">
        <f ca="1">IF(C741="","",IF($M$11="ROE",[1]!S_STM07_IS(D741,61,$G$5,$H$13)/[1]!S_STM07_BS(D741,141,$G$5,$H$13),([1]!S_STM07_BS(D741,25,$G$5,$H$13)-[1]!S_STM07_BS(D741,93,$G$5,$H$13))/$E$5))</f>
        <v/>
      </c>
      <c r="N741" s="250" t="str">
        <f ca="1">IF(C741="","",IF($N$11="EPS",[1]!S_STM07_IS(D741,61,$G$5,$H$13)/IF([1]!S_SHARE_TOTAL(D741,$G$5)=0,[1]!S_SHARE_TOTAL(D741,[1]!s_ipo_listeddate(D741)),[1]!S_SHARE_TOTAL(D741,$G$5)),([1]!S_STM07_BS(D741,75,$G$5,$H$13)+[1]!S_STM07_BS(D741,88,$G$5,$H$13)+[1]!S_STM07_BS(D741,94,$G$5,$H$13)+[1]!S_STM07_BS(D741,95,$G$5,$H$13))/$E$5))</f>
        <v/>
      </c>
      <c r="O741" s="250" t="str">
        <f ca="1">IF(C741="","",IF($O$11="BPS",[1]!S_STM07_BS(D741,141,$G$5,$H$13)/IF([1]!S_SHARE_TOTAL(D741,$G$5)=0,[1]!S_SHARE_TOTAL(D741,[1]!s_ipo_listeddate(D741)),[1]!S_SHARE_TOTAL(D741,$G$5)),[1]!S_STM07_CS(D741,49,$G$5,$H$13)/$E$5))</f>
        <v/>
      </c>
      <c r="P741" s="250" t="str">
        <f ca="1">IF(C741="","",IF($P$11="CFPS",[1]!S_STM07_CS(D741,84,$G$5,$H$13)/IF([1]!S_SHARE_TOTAL(D741,$G$5)=0,[1]!S_SHARE_TOTAL(D741,[1]!s_ipo_listeddate(D741)),[1]!S_SHARE_TOTAL(D741,$G$5)),[1]!S_STM07_CS(D741,84,$G$5,$H$13)/$E$5))</f>
        <v/>
      </c>
      <c r="Q741" s="198" t="str">
        <f ca="1">IF(C741="","",F741/([1]!S_STM07_IS(D741,61,$G$5,$H$13)/IF([1]!S_SHARE_TOTAL(D741,$G$5)=0,[1]!S_SHARE_TOTAL(D741,[1]!s_ipo_listeddate(D741)),[1]!S_SHARE_TOTAL(D741,$G$5))))</f>
        <v/>
      </c>
      <c r="R741" s="198" t="str">
        <f ca="1">IF(C741="","",F741/([1]!S_STM07_BS(D741,141,$G$5,$H$13)/IF([1]!S_SHARE_TOTAL(D741,$G$5)=0,[1]!S_SHARE_TOTAL(D741,[1]!s_ipo_listeddate(D741)),[1]!S_SHARE_TOTAL(D741,$G$5))))</f>
        <v/>
      </c>
      <c r="S741" s="249" t="str">
        <f ca="1">IF(C741="","",[1]!S_SHARE_TOTAL(D741,TODAY())/$E$5)</f>
        <v/>
      </c>
      <c r="T741" s="249" t="str">
        <f t="shared" ca="1" si="79"/>
        <v/>
      </c>
      <c r="U741" s="172" t="str">
        <f t="shared" ca="1" si="80"/>
        <v/>
      </c>
      <c r="V741" s="343" t="str">
        <f t="shared" ca="1" si="81"/>
        <v/>
      </c>
      <c r="W741" s="139"/>
      <c r="Y741" s="1"/>
    </row>
    <row r="742" spans="3:25" ht="12" customHeight="1">
      <c r="C742" s="342" t="str">
        <f t="shared" ca="1" si="76"/>
        <v/>
      </c>
      <c r="D742" s="153" t="str">
        <f t="shared" ca="1" si="77"/>
        <v/>
      </c>
      <c r="E742" s="153" t="str">
        <f t="shared" ca="1" si="78"/>
        <v/>
      </c>
      <c r="F742" s="170" t="str">
        <f ca="1">IF(C742="","",[1]!S_DQ_CLOSE(D742,TODAY(),1))</f>
        <v/>
      </c>
      <c r="G742" s="171" t="str">
        <f ca="1">IF(C742="","",[1]!s_pq_pctchange(D742,TODAY()-$G$12,TODAY())/100)</f>
        <v/>
      </c>
      <c r="H742" s="247" t="str">
        <f ca="1">IF(C742="","",IF($H$11="收入",[1]!S_STM07_IS(D742,9,$G$5,$H$13)/$E$5,[1]!S_STM07_IS(D742,48,$G$5,$H$13)/$E$5))</f>
        <v/>
      </c>
      <c r="I742" s="247" t="str">
        <f ca="1">IF(C742="","",IF($I$11="毛利率",([1]!S_STM07_IS(D742,9,$G$5,$H$13)-[1]!S_STM07_IS(D742,10,$G$5,$H$13))/[1]!S_STM07_IS(D742,9,$G$5,$H$13),[1]!S_STM07_IS(D742,14,$G$5,$H$13)/$E$5))</f>
        <v/>
      </c>
      <c r="J742" s="247" t="str">
        <f ca="1">IF(C742="","",IF($J$11="营业利润率",[1]!S_STM07_IS(D742,48,$G$5,$H$13)/[1]!S_STM07_IS(D742,9,$G$5,$H$13),([1]!S_STM07_CS(D742,87,$G$5,$H$13)+[1]!S_STM07_CS(D742,88,$G$5,$H$13)+[1]!S_STM07_CS(D742,89,$G$5,$H$13))/$E$5))</f>
        <v/>
      </c>
      <c r="K742" s="247" t="str">
        <f ca="1">IF(C742="","",IF($K$11="净利润率",[1]!S_STM07_IS(D742,61,$G$5,$H$13)/[1]!S_STM07_IS(D742,9,$G$5,$H$13),[1]!S_STM07_IS(D742,55,$G$5,$H$13)/$E$5))</f>
        <v/>
      </c>
      <c r="L742" s="247" t="str">
        <f ca="1">IF(C742="","",IF($L$11="ROA",[1]!S_STM07_IS(D742,61,$G$5,$H$13)/[1]!S_STM07_BS(D742,74,$G$5,$H$13),1-[1]!S_STM07_IS(D742,61,$G$5,$H$13)/[1]!S_STM07_IS(D742,55,$G$5,$H$13)))</f>
        <v/>
      </c>
      <c r="M742" s="247" t="str">
        <f ca="1">IF(C742="","",IF($M$11="ROE",[1]!S_STM07_IS(D742,61,$G$5,$H$13)/[1]!S_STM07_BS(D742,141,$G$5,$H$13),([1]!S_STM07_BS(D742,25,$G$5,$H$13)-[1]!S_STM07_BS(D742,93,$G$5,$H$13))/$E$5))</f>
        <v/>
      </c>
      <c r="N742" s="247" t="str">
        <f ca="1">IF(C742="","",IF($N$11="EPS",[1]!S_STM07_IS(D742,61,$G$5,$H$13)/IF([1]!S_SHARE_TOTAL(D742,$G$5)=0,[1]!S_SHARE_TOTAL(D742,[1]!s_ipo_listeddate(D742)),[1]!S_SHARE_TOTAL(D742,$G$5)),([1]!S_STM07_BS(D742,75,$G$5,$H$13)+[1]!S_STM07_BS(D742,88,$G$5,$H$13)+[1]!S_STM07_BS(D742,94,$G$5,$H$13)+[1]!S_STM07_BS(D742,95,$G$5,$H$13))/$E$5))</f>
        <v/>
      </c>
      <c r="O742" s="247" t="str">
        <f ca="1">IF(C742="","",IF($O$11="BPS",[1]!S_STM07_BS(D742,141,$G$5,$H$13)/IF([1]!S_SHARE_TOTAL(D742,$G$5)=0,[1]!S_SHARE_TOTAL(D742,[1]!s_ipo_listeddate(D742)),[1]!S_SHARE_TOTAL(D742,$G$5)),[1]!S_STM07_CS(D742,49,$G$5,$H$13)/$E$5))</f>
        <v/>
      </c>
      <c r="P742" s="247" t="str">
        <f ca="1">IF(C742="","",IF($P$11="CFPS",[1]!S_STM07_CS(D742,84,$G$5,$H$13)/IF([1]!S_SHARE_TOTAL(D742,$G$5)=0,[1]!S_SHARE_TOTAL(D742,[1]!s_ipo_listeddate(D742)),[1]!S_SHARE_TOTAL(D742,$G$5)),[1]!S_STM07_CS(D742,84,$G$5,$H$13)/$E$5))</f>
        <v/>
      </c>
      <c r="Q742" s="248" t="str">
        <f ca="1">IF(C742="","",F742/([1]!S_STM07_IS(D742,61,$G$5,$H$13)/IF([1]!S_SHARE_TOTAL(D742,$G$5)=0,[1]!S_SHARE_TOTAL(D742,[1]!s_ipo_listeddate(D742)),[1]!S_SHARE_TOTAL(D742,$G$5))))</f>
        <v/>
      </c>
      <c r="R742" s="248" t="str">
        <f ca="1">IF(C742="","",F742/([1]!S_STM07_BS(D742,141,$G$5,$H$13)/IF([1]!S_SHARE_TOTAL(D742,$G$5)=0,[1]!S_SHARE_TOTAL(D742,[1]!s_ipo_listeddate(D742)),[1]!S_SHARE_TOTAL(D742,$G$5))))</f>
        <v/>
      </c>
      <c r="S742" s="247" t="str">
        <f ca="1">IF(C742="","",[1]!S_SHARE_TOTAL(D742,TODAY())/$E$5)</f>
        <v/>
      </c>
      <c r="T742" s="247" t="str">
        <f t="shared" ca="1" si="79"/>
        <v/>
      </c>
      <c r="U742" s="218" t="str">
        <f t="shared" ca="1" si="80"/>
        <v/>
      </c>
      <c r="V742" s="342" t="str">
        <f t="shared" ca="1" si="81"/>
        <v/>
      </c>
      <c r="W742" s="139"/>
      <c r="Y742" s="1"/>
    </row>
    <row r="743" spans="3:25" ht="12" customHeight="1">
      <c r="C743" s="343" t="str">
        <f t="shared" ca="1" si="76"/>
        <v/>
      </c>
      <c r="D743" s="124" t="str">
        <f t="shared" ca="1" si="77"/>
        <v/>
      </c>
      <c r="E743" s="124" t="str">
        <f t="shared" ca="1" si="78"/>
        <v/>
      </c>
      <c r="F743" s="172" t="str">
        <f ca="1">IF(C743="","",[1]!S_DQ_CLOSE(D743,TODAY(),1))</f>
        <v/>
      </c>
      <c r="G743" s="173" t="str">
        <f ca="1">IF(C743="","",[1]!s_pq_pctchange(D743,TODAY()-$G$12,TODAY())/100)</f>
        <v/>
      </c>
      <c r="H743" s="249" t="str">
        <f ca="1">IF(C743="","",IF($H$11="收入",[1]!S_STM07_IS(D743,9,$G$5,$H$13)/$E$5,[1]!S_STM07_IS(D743,48,$G$5,$H$13)/$E$5))</f>
        <v/>
      </c>
      <c r="I743" s="249" t="str">
        <f ca="1">IF(C743="","",IF($I$11="毛利率",([1]!S_STM07_IS(D743,9,$G$5,$H$13)-[1]!S_STM07_IS(D743,10,$G$5,$H$13))/[1]!S_STM07_IS(D743,9,$G$5,$H$13),[1]!S_STM07_IS(D743,14,$G$5,$H$13)/$E$5))</f>
        <v/>
      </c>
      <c r="J743" s="249" t="str">
        <f ca="1">IF(C743="","",IF($J$11="营业利润率",[1]!S_STM07_IS(D743,48,$G$5,$H$13)/[1]!S_STM07_IS(D743,9,$G$5,$H$13),([1]!S_STM07_CS(D743,87,$G$5,$H$13)+[1]!S_STM07_CS(D743,88,$G$5,$H$13)+[1]!S_STM07_CS(D743,89,$G$5,$H$13))/$E$5))</f>
        <v/>
      </c>
      <c r="K743" s="249" t="str">
        <f ca="1">IF(C743="","",IF($K$11="净利润率",[1]!S_STM07_IS(D743,61,$G$5,$H$13)/[1]!S_STM07_IS(D743,9,$G$5,$H$13),[1]!S_STM07_IS(D743,55,$G$5,$H$13)/$E$5))</f>
        <v/>
      </c>
      <c r="L743" s="249" t="str">
        <f ca="1">IF(C743="","",IF($L$11="ROA",[1]!S_STM07_IS(D743,61,$G$5,$H$13)/[1]!S_STM07_BS(D743,74,$G$5,$H$13),1-[1]!S_STM07_IS(D743,61,$G$5,$H$13)/[1]!S_STM07_IS(D743,55,$G$5,$H$13)))</f>
        <v/>
      </c>
      <c r="M743" s="249" t="str">
        <f ca="1">IF(C743="","",IF($M$11="ROE",[1]!S_STM07_IS(D743,61,$G$5,$H$13)/[1]!S_STM07_BS(D743,141,$G$5,$H$13),([1]!S_STM07_BS(D743,25,$G$5,$H$13)-[1]!S_STM07_BS(D743,93,$G$5,$H$13))/$E$5))</f>
        <v/>
      </c>
      <c r="N743" s="250" t="str">
        <f ca="1">IF(C743="","",IF($N$11="EPS",[1]!S_STM07_IS(D743,61,$G$5,$H$13)/IF([1]!S_SHARE_TOTAL(D743,$G$5)=0,[1]!S_SHARE_TOTAL(D743,[1]!s_ipo_listeddate(D743)),[1]!S_SHARE_TOTAL(D743,$G$5)),([1]!S_STM07_BS(D743,75,$G$5,$H$13)+[1]!S_STM07_BS(D743,88,$G$5,$H$13)+[1]!S_STM07_BS(D743,94,$G$5,$H$13)+[1]!S_STM07_BS(D743,95,$G$5,$H$13))/$E$5))</f>
        <v/>
      </c>
      <c r="O743" s="250" t="str">
        <f ca="1">IF(C743="","",IF($O$11="BPS",[1]!S_STM07_BS(D743,141,$G$5,$H$13)/IF([1]!S_SHARE_TOTAL(D743,$G$5)=0,[1]!S_SHARE_TOTAL(D743,[1]!s_ipo_listeddate(D743)),[1]!S_SHARE_TOTAL(D743,$G$5)),[1]!S_STM07_CS(D743,49,$G$5,$H$13)/$E$5))</f>
        <v/>
      </c>
      <c r="P743" s="250" t="str">
        <f ca="1">IF(C743="","",IF($P$11="CFPS",[1]!S_STM07_CS(D743,84,$G$5,$H$13)/IF([1]!S_SHARE_TOTAL(D743,$G$5)=0,[1]!S_SHARE_TOTAL(D743,[1]!s_ipo_listeddate(D743)),[1]!S_SHARE_TOTAL(D743,$G$5)),[1]!S_STM07_CS(D743,84,$G$5,$H$13)/$E$5))</f>
        <v/>
      </c>
      <c r="Q743" s="198" t="str">
        <f ca="1">IF(C743="","",F743/([1]!S_STM07_IS(D743,61,$G$5,$H$13)/IF([1]!S_SHARE_TOTAL(D743,$G$5)=0,[1]!S_SHARE_TOTAL(D743,[1]!s_ipo_listeddate(D743)),[1]!S_SHARE_TOTAL(D743,$G$5))))</f>
        <v/>
      </c>
      <c r="R743" s="198" t="str">
        <f ca="1">IF(C743="","",F743/([1]!S_STM07_BS(D743,141,$G$5,$H$13)/IF([1]!S_SHARE_TOTAL(D743,$G$5)=0,[1]!S_SHARE_TOTAL(D743,[1]!s_ipo_listeddate(D743)),[1]!S_SHARE_TOTAL(D743,$G$5))))</f>
        <v/>
      </c>
      <c r="S743" s="249" t="str">
        <f ca="1">IF(C743="","",[1]!S_SHARE_TOTAL(D743,TODAY())/$E$5)</f>
        <v/>
      </c>
      <c r="T743" s="249" t="str">
        <f t="shared" ca="1" si="79"/>
        <v/>
      </c>
      <c r="U743" s="172" t="str">
        <f t="shared" ca="1" si="80"/>
        <v/>
      </c>
      <c r="V743" s="343" t="str">
        <f t="shared" ca="1" si="81"/>
        <v/>
      </c>
      <c r="W743" s="139"/>
      <c r="Y743" s="1"/>
    </row>
    <row r="744" spans="3:25" ht="12" customHeight="1">
      <c r="C744" s="342" t="str">
        <f t="shared" ca="1" si="76"/>
        <v/>
      </c>
      <c r="D744" s="153" t="str">
        <f t="shared" ca="1" si="77"/>
        <v/>
      </c>
      <c r="E744" s="153" t="str">
        <f t="shared" ca="1" si="78"/>
        <v/>
      </c>
      <c r="F744" s="170" t="str">
        <f ca="1">IF(C744="","",[1]!S_DQ_CLOSE(D744,TODAY(),1))</f>
        <v/>
      </c>
      <c r="G744" s="171" t="str">
        <f ca="1">IF(C744="","",[1]!s_pq_pctchange(D744,TODAY()-$G$12,TODAY())/100)</f>
        <v/>
      </c>
      <c r="H744" s="247" t="str">
        <f ca="1">IF(C744="","",IF($H$11="收入",[1]!S_STM07_IS(D744,9,$G$5,$H$13)/$E$5,[1]!S_STM07_IS(D744,48,$G$5,$H$13)/$E$5))</f>
        <v/>
      </c>
      <c r="I744" s="247" t="str">
        <f ca="1">IF(C744="","",IF($I$11="毛利率",([1]!S_STM07_IS(D744,9,$G$5,$H$13)-[1]!S_STM07_IS(D744,10,$G$5,$H$13))/[1]!S_STM07_IS(D744,9,$G$5,$H$13),[1]!S_STM07_IS(D744,14,$G$5,$H$13)/$E$5))</f>
        <v/>
      </c>
      <c r="J744" s="247" t="str">
        <f ca="1">IF(C744="","",IF($J$11="营业利润率",[1]!S_STM07_IS(D744,48,$G$5,$H$13)/[1]!S_STM07_IS(D744,9,$G$5,$H$13),([1]!S_STM07_CS(D744,87,$G$5,$H$13)+[1]!S_STM07_CS(D744,88,$G$5,$H$13)+[1]!S_STM07_CS(D744,89,$G$5,$H$13))/$E$5))</f>
        <v/>
      </c>
      <c r="K744" s="247" t="str">
        <f ca="1">IF(C744="","",IF($K$11="净利润率",[1]!S_STM07_IS(D744,61,$G$5,$H$13)/[1]!S_STM07_IS(D744,9,$G$5,$H$13),[1]!S_STM07_IS(D744,55,$G$5,$H$13)/$E$5))</f>
        <v/>
      </c>
      <c r="L744" s="247" t="str">
        <f ca="1">IF(C744="","",IF($L$11="ROA",[1]!S_STM07_IS(D744,61,$G$5,$H$13)/[1]!S_STM07_BS(D744,74,$G$5,$H$13),1-[1]!S_STM07_IS(D744,61,$G$5,$H$13)/[1]!S_STM07_IS(D744,55,$G$5,$H$13)))</f>
        <v/>
      </c>
      <c r="M744" s="247" t="str">
        <f ca="1">IF(C744="","",IF($M$11="ROE",[1]!S_STM07_IS(D744,61,$G$5,$H$13)/[1]!S_STM07_BS(D744,141,$G$5,$H$13),([1]!S_STM07_BS(D744,25,$G$5,$H$13)-[1]!S_STM07_BS(D744,93,$G$5,$H$13))/$E$5))</f>
        <v/>
      </c>
      <c r="N744" s="247" t="str">
        <f ca="1">IF(C744="","",IF($N$11="EPS",[1]!S_STM07_IS(D744,61,$G$5,$H$13)/IF([1]!S_SHARE_TOTAL(D744,$G$5)=0,[1]!S_SHARE_TOTAL(D744,[1]!s_ipo_listeddate(D744)),[1]!S_SHARE_TOTAL(D744,$G$5)),([1]!S_STM07_BS(D744,75,$G$5,$H$13)+[1]!S_STM07_BS(D744,88,$G$5,$H$13)+[1]!S_STM07_BS(D744,94,$G$5,$H$13)+[1]!S_STM07_BS(D744,95,$G$5,$H$13))/$E$5))</f>
        <v/>
      </c>
      <c r="O744" s="247" t="str">
        <f ca="1">IF(C744="","",IF($O$11="BPS",[1]!S_STM07_BS(D744,141,$G$5,$H$13)/IF([1]!S_SHARE_TOTAL(D744,$G$5)=0,[1]!S_SHARE_TOTAL(D744,[1]!s_ipo_listeddate(D744)),[1]!S_SHARE_TOTAL(D744,$G$5)),[1]!S_STM07_CS(D744,49,$G$5,$H$13)/$E$5))</f>
        <v/>
      </c>
      <c r="P744" s="247" t="str">
        <f ca="1">IF(C744="","",IF($P$11="CFPS",[1]!S_STM07_CS(D744,84,$G$5,$H$13)/IF([1]!S_SHARE_TOTAL(D744,$G$5)=0,[1]!S_SHARE_TOTAL(D744,[1]!s_ipo_listeddate(D744)),[1]!S_SHARE_TOTAL(D744,$G$5)),[1]!S_STM07_CS(D744,84,$G$5,$H$13)/$E$5))</f>
        <v/>
      </c>
      <c r="Q744" s="248" t="str">
        <f ca="1">IF(C744="","",F744/([1]!S_STM07_IS(D744,61,$G$5,$H$13)/IF([1]!S_SHARE_TOTAL(D744,$G$5)=0,[1]!S_SHARE_TOTAL(D744,[1]!s_ipo_listeddate(D744)),[1]!S_SHARE_TOTAL(D744,$G$5))))</f>
        <v/>
      </c>
      <c r="R744" s="248" t="str">
        <f ca="1">IF(C744="","",F744/([1]!S_STM07_BS(D744,141,$G$5,$H$13)/IF([1]!S_SHARE_TOTAL(D744,$G$5)=0,[1]!S_SHARE_TOTAL(D744,[1]!s_ipo_listeddate(D744)),[1]!S_SHARE_TOTAL(D744,$G$5))))</f>
        <v/>
      </c>
      <c r="S744" s="247" t="str">
        <f ca="1">IF(C744="","",[1]!S_SHARE_TOTAL(D744,TODAY())/$E$5)</f>
        <v/>
      </c>
      <c r="T744" s="247" t="str">
        <f t="shared" ca="1" si="79"/>
        <v/>
      </c>
      <c r="U744" s="218" t="str">
        <f t="shared" ca="1" si="80"/>
        <v/>
      </c>
      <c r="V744" s="342" t="str">
        <f t="shared" ca="1" si="81"/>
        <v/>
      </c>
      <c r="W744" s="139"/>
      <c r="Y744" s="1"/>
    </row>
    <row r="745" spans="3:25" ht="12" customHeight="1">
      <c r="C745" s="343" t="str">
        <f t="shared" ca="1" si="76"/>
        <v/>
      </c>
      <c r="D745" s="124" t="str">
        <f t="shared" ca="1" si="77"/>
        <v/>
      </c>
      <c r="E745" s="124" t="str">
        <f t="shared" ca="1" si="78"/>
        <v/>
      </c>
      <c r="F745" s="172" t="str">
        <f ca="1">IF(C745="","",[1]!S_DQ_CLOSE(D745,TODAY(),1))</f>
        <v/>
      </c>
      <c r="G745" s="173" t="str">
        <f ca="1">IF(C745="","",[1]!s_pq_pctchange(D745,TODAY()-$G$12,TODAY())/100)</f>
        <v/>
      </c>
      <c r="H745" s="249" t="str">
        <f ca="1">IF(C745="","",IF($H$11="收入",[1]!S_STM07_IS(D745,9,$G$5,$H$13)/$E$5,[1]!S_STM07_IS(D745,48,$G$5,$H$13)/$E$5))</f>
        <v/>
      </c>
      <c r="I745" s="249" t="str">
        <f ca="1">IF(C745="","",IF($I$11="毛利率",([1]!S_STM07_IS(D745,9,$G$5,$H$13)-[1]!S_STM07_IS(D745,10,$G$5,$H$13))/[1]!S_STM07_IS(D745,9,$G$5,$H$13),[1]!S_STM07_IS(D745,14,$G$5,$H$13)/$E$5))</f>
        <v/>
      </c>
      <c r="J745" s="249" t="str">
        <f ca="1">IF(C745="","",IF($J$11="营业利润率",[1]!S_STM07_IS(D745,48,$G$5,$H$13)/[1]!S_STM07_IS(D745,9,$G$5,$H$13),([1]!S_STM07_CS(D745,87,$G$5,$H$13)+[1]!S_STM07_CS(D745,88,$G$5,$H$13)+[1]!S_STM07_CS(D745,89,$G$5,$H$13))/$E$5))</f>
        <v/>
      </c>
      <c r="K745" s="249" t="str">
        <f ca="1">IF(C745="","",IF($K$11="净利润率",[1]!S_STM07_IS(D745,61,$G$5,$H$13)/[1]!S_STM07_IS(D745,9,$G$5,$H$13),[1]!S_STM07_IS(D745,55,$G$5,$H$13)/$E$5))</f>
        <v/>
      </c>
      <c r="L745" s="249" t="str">
        <f ca="1">IF(C745="","",IF($L$11="ROA",[1]!S_STM07_IS(D745,61,$G$5,$H$13)/[1]!S_STM07_BS(D745,74,$G$5,$H$13),1-[1]!S_STM07_IS(D745,61,$G$5,$H$13)/[1]!S_STM07_IS(D745,55,$G$5,$H$13)))</f>
        <v/>
      </c>
      <c r="M745" s="249" t="str">
        <f ca="1">IF(C745="","",IF($M$11="ROE",[1]!S_STM07_IS(D745,61,$G$5,$H$13)/[1]!S_STM07_BS(D745,141,$G$5,$H$13),([1]!S_STM07_BS(D745,25,$G$5,$H$13)-[1]!S_STM07_BS(D745,93,$G$5,$H$13))/$E$5))</f>
        <v/>
      </c>
      <c r="N745" s="250" t="str">
        <f ca="1">IF(C745="","",IF($N$11="EPS",[1]!S_STM07_IS(D745,61,$G$5,$H$13)/IF([1]!S_SHARE_TOTAL(D745,$G$5)=0,[1]!S_SHARE_TOTAL(D745,[1]!s_ipo_listeddate(D745)),[1]!S_SHARE_TOTAL(D745,$G$5)),([1]!S_STM07_BS(D745,75,$G$5,$H$13)+[1]!S_STM07_BS(D745,88,$G$5,$H$13)+[1]!S_STM07_BS(D745,94,$G$5,$H$13)+[1]!S_STM07_BS(D745,95,$G$5,$H$13))/$E$5))</f>
        <v/>
      </c>
      <c r="O745" s="250" t="str">
        <f ca="1">IF(C745="","",IF($O$11="BPS",[1]!S_STM07_BS(D745,141,$G$5,$H$13)/IF([1]!S_SHARE_TOTAL(D745,$G$5)=0,[1]!S_SHARE_TOTAL(D745,[1]!s_ipo_listeddate(D745)),[1]!S_SHARE_TOTAL(D745,$G$5)),[1]!S_STM07_CS(D745,49,$G$5,$H$13)/$E$5))</f>
        <v/>
      </c>
      <c r="P745" s="250" t="str">
        <f ca="1">IF(C745="","",IF($P$11="CFPS",[1]!S_STM07_CS(D745,84,$G$5,$H$13)/IF([1]!S_SHARE_TOTAL(D745,$G$5)=0,[1]!S_SHARE_TOTAL(D745,[1]!s_ipo_listeddate(D745)),[1]!S_SHARE_TOTAL(D745,$G$5)),[1]!S_STM07_CS(D745,84,$G$5,$H$13)/$E$5))</f>
        <v/>
      </c>
      <c r="Q745" s="198" t="str">
        <f ca="1">IF(C745="","",F745/([1]!S_STM07_IS(D745,61,$G$5,$H$13)/IF([1]!S_SHARE_TOTAL(D745,$G$5)=0,[1]!S_SHARE_TOTAL(D745,[1]!s_ipo_listeddate(D745)),[1]!S_SHARE_TOTAL(D745,$G$5))))</f>
        <v/>
      </c>
      <c r="R745" s="198" t="str">
        <f ca="1">IF(C745="","",F745/([1]!S_STM07_BS(D745,141,$G$5,$H$13)/IF([1]!S_SHARE_TOTAL(D745,$G$5)=0,[1]!S_SHARE_TOTAL(D745,[1]!s_ipo_listeddate(D745)),[1]!S_SHARE_TOTAL(D745,$G$5))))</f>
        <v/>
      </c>
      <c r="S745" s="249" t="str">
        <f ca="1">IF(C745="","",[1]!S_SHARE_TOTAL(D745,TODAY())/$E$5)</f>
        <v/>
      </c>
      <c r="T745" s="249" t="str">
        <f t="shared" ca="1" si="79"/>
        <v/>
      </c>
      <c r="U745" s="172" t="str">
        <f t="shared" ca="1" si="80"/>
        <v/>
      </c>
      <c r="V745" s="343" t="str">
        <f t="shared" ca="1" si="81"/>
        <v/>
      </c>
      <c r="W745" s="139"/>
      <c r="Y745" s="1"/>
    </row>
    <row r="746" spans="3:25" ht="12" customHeight="1">
      <c r="C746" s="342" t="str">
        <f t="shared" ca="1" si="76"/>
        <v/>
      </c>
      <c r="D746" s="153" t="str">
        <f t="shared" ca="1" si="77"/>
        <v/>
      </c>
      <c r="E746" s="153" t="str">
        <f t="shared" ca="1" si="78"/>
        <v/>
      </c>
      <c r="F746" s="170" t="str">
        <f ca="1">IF(C746="","",[1]!S_DQ_CLOSE(D746,TODAY(),1))</f>
        <v/>
      </c>
      <c r="G746" s="171" t="str">
        <f ca="1">IF(C746="","",[1]!s_pq_pctchange(D746,TODAY()-$G$12,TODAY())/100)</f>
        <v/>
      </c>
      <c r="H746" s="247" t="str">
        <f ca="1">IF(C746="","",IF($H$11="收入",[1]!S_STM07_IS(D746,9,$G$5,$H$13)/$E$5,[1]!S_STM07_IS(D746,48,$G$5,$H$13)/$E$5))</f>
        <v/>
      </c>
      <c r="I746" s="247" t="str">
        <f ca="1">IF(C746="","",IF($I$11="毛利率",([1]!S_STM07_IS(D746,9,$G$5,$H$13)-[1]!S_STM07_IS(D746,10,$G$5,$H$13))/[1]!S_STM07_IS(D746,9,$G$5,$H$13),[1]!S_STM07_IS(D746,14,$G$5,$H$13)/$E$5))</f>
        <v/>
      </c>
      <c r="J746" s="247" t="str">
        <f ca="1">IF(C746="","",IF($J$11="营业利润率",[1]!S_STM07_IS(D746,48,$G$5,$H$13)/[1]!S_STM07_IS(D746,9,$G$5,$H$13),([1]!S_STM07_CS(D746,87,$G$5,$H$13)+[1]!S_STM07_CS(D746,88,$G$5,$H$13)+[1]!S_STM07_CS(D746,89,$G$5,$H$13))/$E$5))</f>
        <v/>
      </c>
      <c r="K746" s="247" t="str">
        <f ca="1">IF(C746="","",IF($K$11="净利润率",[1]!S_STM07_IS(D746,61,$G$5,$H$13)/[1]!S_STM07_IS(D746,9,$G$5,$H$13),[1]!S_STM07_IS(D746,55,$G$5,$H$13)/$E$5))</f>
        <v/>
      </c>
      <c r="L746" s="247" t="str">
        <f ca="1">IF(C746="","",IF($L$11="ROA",[1]!S_STM07_IS(D746,61,$G$5,$H$13)/[1]!S_STM07_BS(D746,74,$G$5,$H$13),1-[1]!S_STM07_IS(D746,61,$G$5,$H$13)/[1]!S_STM07_IS(D746,55,$G$5,$H$13)))</f>
        <v/>
      </c>
      <c r="M746" s="247" t="str">
        <f ca="1">IF(C746="","",IF($M$11="ROE",[1]!S_STM07_IS(D746,61,$G$5,$H$13)/[1]!S_STM07_BS(D746,141,$G$5,$H$13),([1]!S_STM07_BS(D746,25,$G$5,$H$13)-[1]!S_STM07_BS(D746,93,$G$5,$H$13))/$E$5))</f>
        <v/>
      </c>
      <c r="N746" s="247" t="str">
        <f ca="1">IF(C746="","",IF($N$11="EPS",[1]!S_STM07_IS(D746,61,$G$5,$H$13)/IF([1]!S_SHARE_TOTAL(D746,$G$5)=0,[1]!S_SHARE_TOTAL(D746,[1]!s_ipo_listeddate(D746)),[1]!S_SHARE_TOTAL(D746,$G$5)),([1]!S_STM07_BS(D746,75,$G$5,$H$13)+[1]!S_STM07_BS(D746,88,$G$5,$H$13)+[1]!S_STM07_BS(D746,94,$G$5,$H$13)+[1]!S_STM07_BS(D746,95,$G$5,$H$13))/$E$5))</f>
        <v/>
      </c>
      <c r="O746" s="247" t="str">
        <f ca="1">IF(C746="","",IF($O$11="BPS",[1]!S_STM07_BS(D746,141,$G$5,$H$13)/IF([1]!S_SHARE_TOTAL(D746,$G$5)=0,[1]!S_SHARE_TOTAL(D746,[1]!s_ipo_listeddate(D746)),[1]!S_SHARE_TOTAL(D746,$G$5)),[1]!S_STM07_CS(D746,49,$G$5,$H$13)/$E$5))</f>
        <v/>
      </c>
      <c r="P746" s="247" t="str">
        <f ca="1">IF(C746="","",IF($P$11="CFPS",[1]!S_STM07_CS(D746,84,$G$5,$H$13)/IF([1]!S_SHARE_TOTAL(D746,$G$5)=0,[1]!S_SHARE_TOTAL(D746,[1]!s_ipo_listeddate(D746)),[1]!S_SHARE_TOTAL(D746,$G$5)),[1]!S_STM07_CS(D746,84,$G$5,$H$13)/$E$5))</f>
        <v/>
      </c>
      <c r="Q746" s="248" t="str">
        <f ca="1">IF(C746="","",F746/([1]!S_STM07_IS(D746,61,$G$5,$H$13)/IF([1]!S_SHARE_TOTAL(D746,$G$5)=0,[1]!S_SHARE_TOTAL(D746,[1]!s_ipo_listeddate(D746)),[1]!S_SHARE_TOTAL(D746,$G$5))))</f>
        <v/>
      </c>
      <c r="R746" s="248" t="str">
        <f ca="1">IF(C746="","",F746/([1]!S_STM07_BS(D746,141,$G$5,$H$13)/IF([1]!S_SHARE_TOTAL(D746,$G$5)=0,[1]!S_SHARE_TOTAL(D746,[1]!s_ipo_listeddate(D746)),[1]!S_SHARE_TOTAL(D746,$G$5))))</f>
        <v/>
      </c>
      <c r="S746" s="247" t="str">
        <f ca="1">IF(C746="","",[1]!S_SHARE_TOTAL(D746,TODAY())/$E$5)</f>
        <v/>
      </c>
      <c r="T746" s="247" t="str">
        <f t="shared" ca="1" si="79"/>
        <v/>
      </c>
      <c r="U746" s="218" t="str">
        <f t="shared" ca="1" si="80"/>
        <v/>
      </c>
      <c r="V746" s="342" t="str">
        <f t="shared" ca="1" si="81"/>
        <v/>
      </c>
      <c r="W746" s="139"/>
      <c r="Y746" s="1"/>
    </row>
    <row r="747" spans="3:25" ht="12" customHeight="1">
      <c r="C747" s="343" t="str">
        <f t="shared" ca="1" si="76"/>
        <v/>
      </c>
      <c r="D747" s="124" t="str">
        <f t="shared" ca="1" si="77"/>
        <v/>
      </c>
      <c r="E747" s="124" t="str">
        <f t="shared" ca="1" si="78"/>
        <v/>
      </c>
      <c r="F747" s="172" t="str">
        <f ca="1">IF(C747="","",[1]!S_DQ_CLOSE(D747,TODAY(),1))</f>
        <v/>
      </c>
      <c r="G747" s="173" t="str">
        <f ca="1">IF(C747="","",[1]!s_pq_pctchange(D747,TODAY()-$G$12,TODAY())/100)</f>
        <v/>
      </c>
      <c r="H747" s="249" t="str">
        <f ca="1">IF(C747="","",IF($H$11="收入",[1]!S_STM07_IS(D747,9,$G$5,$H$13)/$E$5,[1]!S_STM07_IS(D747,48,$G$5,$H$13)/$E$5))</f>
        <v/>
      </c>
      <c r="I747" s="249" t="str">
        <f ca="1">IF(C747="","",IF($I$11="毛利率",([1]!S_STM07_IS(D747,9,$G$5,$H$13)-[1]!S_STM07_IS(D747,10,$G$5,$H$13))/[1]!S_STM07_IS(D747,9,$G$5,$H$13),[1]!S_STM07_IS(D747,14,$G$5,$H$13)/$E$5))</f>
        <v/>
      </c>
      <c r="J747" s="249" t="str">
        <f ca="1">IF(C747="","",IF($J$11="营业利润率",[1]!S_STM07_IS(D747,48,$G$5,$H$13)/[1]!S_STM07_IS(D747,9,$G$5,$H$13),([1]!S_STM07_CS(D747,87,$G$5,$H$13)+[1]!S_STM07_CS(D747,88,$G$5,$H$13)+[1]!S_STM07_CS(D747,89,$G$5,$H$13))/$E$5))</f>
        <v/>
      </c>
      <c r="K747" s="249" t="str">
        <f ca="1">IF(C747="","",IF($K$11="净利润率",[1]!S_STM07_IS(D747,61,$G$5,$H$13)/[1]!S_STM07_IS(D747,9,$G$5,$H$13),[1]!S_STM07_IS(D747,55,$G$5,$H$13)/$E$5))</f>
        <v/>
      </c>
      <c r="L747" s="249" t="str">
        <f ca="1">IF(C747="","",IF($L$11="ROA",[1]!S_STM07_IS(D747,61,$G$5,$H$13)/[1]!S_STM07_BS(D747,74,$G$5,$H$13),1-[1]!S_STM07_IS(D747,61,$G$5,$H$13)/[1]!S_STM07_IS(D747,55,$G$5,$H$13)))</f>
        <v/>
      </c>
      <c r="M747" s="249" t="str">
        <f ca="1">IF(C747="","",IF($M$11="ROE",[1]!S_STM07_IS(D747,61,$G$5,$H$13)/[1]!S_STM07_BS(D747,141,$G$5,$H$13),([1]!S_STM07_BS(D747,25,$G$5,$H$13)-[1]!S_STM07_BS(D747,93,$G$5,$H$13))/$E$5))</f>
        <v/>
      </c>
      <c r="N747" s="250" t="str">
        <f ca="1">IF(C747="","",IF($N$11="EPS",[1]!S_STM07_IS(D747,61,$G$5,$H$13)/IF([1]!S_SHARE_TOTAL(D747,$G$5)=0,[1]!S_SHARE_TOTAL(D747,[1]!s_ipo_listeddate(D747)),[1]!S_SHARE_TOTAL(D747,$G$5)),([1]!S_STM07_BS(D747,75,$G$5,$H$13)+[1]!S_STM07_BS(D747,88,$G$5,$H$13)+[1]!S_STM07_BS(D747,94,$G$5,$H$13)+[1]!S_STM07_BS(D747,95,$G$5,$H$13))/$E$5))</f>
        <v/>
      </c>
      <c r="O747" s="250" t="str">
        <f ca="1">IF(C747="","",IF($O$11="BPS",[1]!S_STM07_BS(D747,141,$G$5,$H$13)/IF([1]!S_SHARE_TOTAL(D747,$G$5)=0,[1]!S_SHARE_TOTAL(D747,[1]!s_ipo_listeddate(D747)),[1]!S_SHARE_TOTAL(D747,$G$5)),[1]!S_STM07_CS(D747,49,$G$5,$H$13)/$E$5))</f>
        <v/>
      </c>
      <c r="P747" s="250" t="str">
        <f ca="1">IF(C747="","",IF($P$11="CFPS",[1]!S_STM07_CS(D747,84,$G$5,$H$13)/IF([1]!S_SHARE_TOTAL(D747,$G$5)=0,[1]!S_SHARE_TOTAL(D747,[1]!s_ipo_listeddate(D747)),[1]!S_SHARE_TOTAL(D747,$G$5)),[1]!S_STM07_CS(D747,84,$G$5,$H$13)/$E$5))</f>
        <v/>
      </c>
      <c r="Q747" s="198" t="str">
        <f ca="1">IF(C747="","",F747/([1]!S_STM07_IS(D747,61,$G$5,$H$13)/IF([1]!S_SHARE_TOTAL(D747,$G$5)=0,[1]!S_SHARE_TOTAL(D747,[1]!s_ipo_listeddate(D747)),[1]!S_SHARE_TOTAL(D747,$G$5))))</f>
        <v/>
      </c>
      <c r="R747" s="198" t="str">
        <f ca="1">IF(C747="","",F747/([1]!S_STM07_BS(D747,141,$G$5,$H$13)/IF([1]!S_SHARE_TOTAL(D747,$G$5)=0,[1]!S_SHARE_TOTAL(D747,[1]!s_ipo_listeddate(D747)),[1]!S_SHARE_TOTAL(D747,$G$5))))</f>
        <v/>
      </c>
      <c r="S747" s="249" t="str">
        <f ca="1">IF(C747="","",[1]!S_SHARE_TOTAL(D747,TODAY())/$E$5)</f>
        <v/>
      </c>
      <c r="T747" s="249" t="str">
        <f t="shared" ca="1" si="79"/>
        <v/>
      </c>
      <c r="U747" s="172" t="str">
        <f t="shared" ca="1" si="80"/>
        <v/>
      </c>
      <c r="V747" s="343" t="str">
        <f t="shared" ca="1" si="81"/>
        <v/>
      </c>
      <c r="W747" s="139"/>
      <c r="Y747" s="1"/>
    </row>
    <row r="748" spans="3:25" ht="12" customHeight="1">
      <c r="C748" s="342" t="str">
        <f t="shared" ca="1" si="76"/>
        <v/>
      </c>
      <c r="D748" s="153" t="str">
        <f t="shared" ca="1" si="77"/>
        <v/>
      </c>
      <c r="E748" s="153" t="str">
        <f t="shared" ca="1" si="78"/>
        <v/>
      </c>
      <c r="F748" s="170" t="str">
        <f ca="1">IF(C748="","",[1]!S_DQ_CLOSE(D748,TODAY(),1))</f>
        <v/>
      </c>
      <c r="G748" s="171" t="str">
        <f ca="1">IF(C748="","",[1]!s_pq_pctchange(D748,TODAY()-$G$12,TODAY())/100)</f>
        <v/>
      </c>
      <c r="H748" s="247" t="str">
        <f ca="1">IF(C748="","",IF($H$11="收入",[1]!S_STM07_IS(D748,9,$G$5,$H$13)/$E$5,[1]!S_STM07_IS(D748,48,$G$5,$H$13)/$E$5))</f>
        <v/>
      </c>
      <c r="I748" s="247" t="str">
        <f ca="1">IF(C748="","",IF($I$11="毛利率",([1]!S_STM07_IS(D748,9,$G$5,$H$13)-[1]!S_STM07_IS(D748,10,$G$5,$H$13))/[1]!S_STM07_IS(D748,9,$G$5,$H$13),[1]!S_STM07_IS(D748,14,$G$5,$H$13)/$E$5))</f>
        <v/>
      </c>
      <c r="J748" s="247" t="str">
        <f ca="1">IF(C748="","",IF($J$11="营业利润率",[1]!S_STM07_IS(D748,48,$G$5,$H$13)/[1]!S_STM07_IS(D748,9,$G$5,$H$13),([1]!S_STM07_CS(D748,87,$G$5,$H$13)+[1]!S_STM07_CS(D748,88,$G$5,$H$13)+[1]!S_STM07_CS(D748,89,$G$5,$H$13))/$E$5))</f>
        <v/>
      </c>
      <c r="K748" s="247" t="str">
        <f ca="1">IF(C748="","",IF($K$11="净利润率",[1]!S_STM07_IS(D748,61,$G$5,$H$13)/[1]!S_STM07_IS(D748,9,$G$5,$H$13),[1]!S_STM07_IS(D748,55,$G$5,$H$13)/$E$5))</f>
        <v/>
      </c>
      <c r="L748" s="247" t="str">
        <f ca="1">IF(C748="","",IF($L$11="ROA",[1]!S_STM07_IS(D748,61,$G$5,$H$13)/[1]!S_STM07_BS(D748,74,$G$5,$H$13),1-[1]!S_STM07_IS(D748,61,$G$5,$H$13)/[1]!S_STM07_IS(D748,55,$G$5,$H$13)))</f>
        <v/>
      </c>
      <c r="M748" s="247" t="str">
        <f ca="1">IF(C748="","",IF($M$11="ROE",[1]!S_STM07_IS(D748,61,$G$5,$H$13)/[1]!S_STM07_BS(D748,141,$G$5,$H$13),([1]!S_STM07_BS(D748,25,$G$5,$H$13)-[1]!S_STM07_BS(D748,93,$G$5,$H$13))/$E$5))</f>
        <v/>
      </c>
      <c r="N748" s="247" t="str">
        <f ca="1">IF(C748="","",IF($N$11="EPS",[1]!S_STM07_IS(D748,61,$G$5,$H$13)/IF([1]!S_SHARE_TOTAL(D748,$G$5)=0,[1]!S_SHARE_TOTAL(D748,[1]!s_ipo_listeddate(D748)),[1]!S_SHARE_TOTAL(D748,$G$5)),([1]!S_STM07_BS(D748,75,$G$5,$H$13)+[1]!S_STM07_BS(D748,88,$G$5,$H$13)+[1]!S_STM07_BS(D748,94,$G$5,$H$13)+[1]!S_STM07_BS(D748,95,$G$5,$H$13))/$E$5))</f>
        <v/>
      </c>
      <c r="O748" s="247" t="str">
        <f ca="1">IF(C748="","",IF($O$11="BPS",[1]!S_STM07_BS(D748,141,$G$5,$H$13)/IF([1]!S_SHARE_TOTAL(D748,$G$5)=0,[1]!S_SHARE_TOTAL(D748,[1]!s_ipo_listeddate(D748)),[1]!S_SHARE_TOTAL(D748,$G$5)),[1]!S_STM07_CS(D748,49,$G$5,$H$13)/$E$5))</f>
        <v/>
      </c>
      <c r="P748" s="247" t="str">
        <f ca="1">IF(C748="","",IF($P$11="CFPS",[1]!S_STM07_CS(D748,84,$G$5,$H$13)/IF([1]!S_SHARE_TOTAL(D748,$G$5)=0,[1]!S_SHARE_TOTAL(D748,[1]!s_ipo_listeddate(D748)),[1]!S_SHARE_TOTAL(D748,$G$5)),[1]!S_STM07_CS(D748,84,$G$5,$H$13)/$E$5))</f>
        <v/>
      </c>
      <c r="Q748" s="248" t="str">
        <f ca="1">IF(C748="","",F748/([1]!S_STM07_IS(D748,61,$G$5,$H$13)/IF([1]!S_SHARE_TOTAL(D748,$G$5)=0,[1]!S_SHARE_TOTAL(D748,[1]!s_ipo_listeddate(D748)),[1]!S_SHARE_TOTAL(D748,$G$5))))</f>
        <v/>
      </c>
      <c r="R748" s="248" t="str">
        <f ca="1">IF(C748="","",F748/([1]!S_STM07_BS(D748,141,$G$5,$H$13)/IF([1]!S_SHARE_TOTAL(D748,$G$5)=0,[1]!S_SHARE_TOTAL(D748,[1]!s_ipo_listeddate(D748)),[1]!S_SHARE_TOTAL(D748,$G$5))))</f>
        <v/>
      </c>
      <c r="S748" s="247" t="str">
        <f ca="1">IF(C748="","",[1]!S_SHARE_TOTAL(D748,TODAY())/$E$5)</f>
        <v/>
      </c>
      <c r="T748" s="247" t="str">
        <f t="shared" ca="1" si="79"/>
        <v/>
      </c>
      <c r="U748" s="218" t="str">
        <f t="shared" ca="1" si="80"/>
        <v/>
      </c>
      <c r="V748" s="342" t="str">
        <f t="shared" ca="1" si="81"/>
        <v/>
      </c>
      <c r="W748" s="139"/>
      <c r="Y748" s="1"/>
    </row>
    <row r="749" spans="3:25" ht="12" customHeight="1">
      <c r="C749" s="343" t="str">
        <f t="shared" ca="1" si="76"/>
        <v/>
      </c>
      <c r="D749" s="124" t="str">
        <f t="shared" ca="1" si="77"/>
        <v/>
      </c>
      <c r="E749" s="124" t="str">
        <f t="shared" ca="1" si="78"/>
        <v/>
      </c>
      <c r="F749" s="172" t="str">
        <f ca="1">IF(C749="","",[1]!S_DQ_CLOSE(D749,TODAY(),1))</f>
        <v/>
      </c>
      <c r="G749" s="173" t="str">
        <f ca="1">IF(C749="","",[1]!s_pq_pctchange(D749,TODAY()-$G$12,TODAY())/100)</f>
        <v/>
      </c>
      <c r="H749" s="249" t="str">
        <f ca="1">IF(C749="","",IF($H$11="收入",[1]!S_STM07_IS(D749,9,$G$5,$H$13)/$E$5,[1]!S_STM07_IS(D749,48,$G$5,$H$13)/$E$5))</f>
        <v/>
      </c>
      <c r="I749" s="249" t="str">
        <f ca="1">IF(C749="","",IF($I$11="毛利率",([1]!S_STM07_IS(D749,9,$G$5,$H$13)-[1]!S_STM07_IS(D749,10,$G$5,$H$13))/[1]!S_STM07_IS(D749,9,$G$5,$H$13),[1]!S_STM07_IS(D749,14,$G$5,$H$13)/$E$5))</f>
        <v/>
      </c>
      <c r="J749" s="249" t="str">
        <f ca="1">IF(C749="","",IF($J$11="营业利润率",[1]!S_STM07_IS(D749,48,$G$5,$H$13)/[1]!S_STM07_IS(D749,9,$G$5,$H$13),([1]!S_STM07_CS(D749,87,$G$5,$H$13)+[1]!S_STM07_CS(D749,88,$G$5,$H$13)+[1]!S_STM07_CS(D749,89,$G$5,$H$13))/$E$5))</f>
        <v/>
      </c>
      <c r="K749" s="249" t="str">
        <f ca="1">IF(C749="","",IF($K$11="净利润率",[1]!S_STM07_IS(D749,61,$G$5,$H$13)/[1]!S_STM07_IS(D749,9,$G$5,$H$13),[1]!S_STM07_IS(D749,55,$G$5,$H$13)/$E$5))</f>
        <v/>
      </c>
      <c r="L749" s="249" t="str">
        <f ca="1">IF(C749="","",IF($L$11="ROA",[1]!S_STM07_IS(D749,61,$G$5,$H$13)/[1]!S_STM07_BS(D749,74,$G$5,$H$13),1-[1]!S_STM07_IS(D749,61,$G$5,$H$13)/[1]!S_STM07_IS(D749,55,$G$5,$H$13)))</f>
        <v/>
      </c>
      <c r="M749" s="249" t="str">
        <f ca="1">IF(C749="","",IF($M$11="ROE",[1]!S_STM07_IS(D749,61,$G$5,$H$13)/[1]!S_STM07_BS(D749,141,$G$5,$H$13),([1]!S_STM07_BS(D749,25,$G$5,$H$13)-[1]!S_STM07_BS(D749,93,$G$5,$H$13))/$E$5))</f>
        <v/>
      </c>
      <c r="N749" s="250" t="str">
        <f ca="1">IF(C749="","",IF($N$11="EPS",[1]!S_STM07_IS(D749,61,$G$5,$H$13)/IF([1]!S_SHARE_TOTAL(D749,$G$5)=0,[1]!S_SHARE_TOTAL(D749,[1]!s_ipo_listeddate(D749)),[1]!S_SHARE_TOTAL(D749,$G$5)),([1]!S_STM07_BS(D749,75,$G$5,$H$13)+[1]!S_STM07_BS(D749,88,$G$5,$H$13)+[1]!S_STM07_BS(D749,94,$G$5,$H$13)+[1]!S_STM07_BS(D749,95,$G$5,$H$13))/$E$5))</f>
        <v/>
      </c>
      <c r="O749" s="250" t="str">
        <f ca="1">IF(C749="","",IF($O$11="BPS",[1]!S_STM07_BS(D749,141,$G$5,$H$13)/IF([1]!S_SHARE_TOTAL(D749,$G$5)=0,[1]!S_SHARE_TOTAL(D749,[1]!s_ipo_listeddate(D749)),[1]!S_SHARE_TOTAL(D749,$G$5)),[1]!S_STM07_CS(D749,49,$G$5,$H$13)/$E$5))</f>
        <v/>
      </c>
      <c r="P749" s="250" t="str">
        <f ca="1">IF(C749="","",IF($P$11="CFPS",[1]!S_STM07_CS(D749,84,$G$5,$H$13)/IF([1]!S_SHARE_TOTAL(D749,$G$5)=0,[1]!S_SHARE_TOTAL(D749,[1]!s_ipo_listeddate(D749)),[1]!S_SHARE_TOTAL(D749,$G$5)),[1]!S_STM07_CS(D749,84,$G$5,$H$13)/$E$5))</f>
        <v/>
      </c>
      <c r="Q749" s="198" t="str">
        <f ca="1">IF(C749="","",F749/([1]!S_STM07_IS(D749,61,$G$5,$H$13)/IF([1]!S_SHARE_TOTAL(D749,$G$5)=0,[1]!S_SHARE_TOTAL(D749,[1]!s_ipo_listeddate(D749)),[1]!S_SHARE_TOTAL(D749,$G$5))))</f>
        <v/>
      </c>
      <c r="R749" s="198" t="str">
        <f ca="1">IF(C749="","",F749/([1]!S_STM07_BS(D749,141,$G$5,$H$13)/IF([1]!S_SHARE_TOTAL(D749,$G$5)=0,[1]!S_SHARE_TOTAL(D749,[1]!s_ipo_listeddate(D749)),[1]!S_SHARE_TOTAL(D749,$G$5))))</f>
        <v/>
      </c>
      <c r="S749" s="249" t="str">
        <f ca="1">IF(C749="","",[1]!S_SHARE_TOTAL(D749,TODAY())/$E$5)</f>
        <v/>
      </c>
      <c r="T749" s="249" t="str">
        <f t="shared" ca="1" si="79"/>
        <v/>
      </c>
      <c r="U749" s="172" t="str">
        <f t="shared" ca="1" si="80"/>
        <v/>
      </c>
      <c r="V749" s="343" t="str">
        <f t="shared" ca="1" si="81"/>
        <v/>
      </c>
      <c r="W749" s="139"/>
      <c r="Y749" s="1"/>
    </row>
    <row r="750" spans="3:25" ht="12" customHeight="1">
      <c r="C750" s="342" t="str">
        <f t="shared" ca="1" si="76"/>
        <v/>
      </c>
      <c r="D750" s="153" t="str">
        <f t="shared" ca="1" si="77"/>
        <v/>
      </c>
      <c r="E750" s="153" t="str">
        <f t="shared" ca="1" si="78"/>
        <v/>
      </c>
      <c r="F750" s="170" t="str">
        <f ca="1">IF(C750="","",[1]!S_DQ_CLOSE(D750,TODAY(),1))</f>
        <v/>
      </c>
      <c r="G750" s="171" t="str">
        <f ca="1">IF(C750="","",[1]!s_pq_pctchange(D750,TODAY()-$G$12,TODAY())/100)</f>
        <v/>
      </c>
      <c r="H750" s="247" t="str">
        <f ca="1">IF(C750="","",IF($H$11="收入",[1]!S_STM07_IS(D750,9,$G$5,$H$13)/$E$5,[1]!S_STM07_IS(D750,48,$G$5,$H$13)/$E$5))</f>
        <v/>
      </c>
      <c r="I750" s="247" t="str">
        <f ca="1">IF(C750="","",IF($I$11="毛利率",([1]!S_STM07_IS(D750,9,$G$5,$H$13)-[1]!S_STM07_IS(D750,10,$G$5,$H$13))/[1]!S_STM07_IS(D750,9,$G$5,$H$13),[1]!S_STM07_IS(D750,14,$G$5,$H$13)/$E$5))</f>
        <v/>
      </c>
      <c r="J750" s="247" t="str">
        <f ca="1">IF(C750="","",IF($J$11="营业利润率",[1]!S_STM07_IS(D750,48,$G$5,$H$13)/[1]!S_STM07_IS(D750,9,$G$5,$H$13),([1]!S_STM07_CS(D750,87,$G$5,$H$13)+[1]!S_STM07_CS(D750,88,$G$5,$H$13)+[1]!S_STM07_CS(D750,89,$G$5,$H$13))/$E$5))</f>
        <v/>
      </c>
      <c r="K750" s="247" t="str">
        <f ca="1">IF(C750="","",IF($K$11="净利润率",[1]!S_STM07_IS(D750,61,$G$5,$H$13)/[1]!S_STM07_IS(D750,9,$G$5,$H$13),[1]!S_STM07_IS(D750,55,$G$5,$H$13)/$E$5))</f>
        <v/>
      </c>
      <c r="L750" s="247" t="str">
        <f ca="1">IF(C750="","",IF($L$11="ROA",[1]!S_STM07_IS(D750,61,$G$5,$H$13)/[1]!S_STM07_BS(D750,74,$G$5,$H$13),1-[1]!S_STM07_IS(D750,61,$G$5,$H$13)/[1]!S_STM07_IS(D750,55,$G$5,$H$13)))</f>
        <v/>
      </c>
      <c r="M750" s="247" t="str">
        <f ca="1">IF(C750="","",IF($M$11="ROE",[1]!S_STM07_IS(D750,61,$G$5,$H$13)/[1]!S_STM07_BS(D750,141,$G$5,$H$13),([1]!S_STM07_BS(D750,25,$G$5,$H$13)-[1]!S_STM07_BS(D750,93,$G$5,$H$13))/$E$5))</f>
        <v/>
      </c>
      <c r="N750" s="247" t="str">
        <f ca="1">IF(C750="","",IF($N$11="EPS",[1]!S_STM07_IS(D750,61,$G$5,$H$13)/IF([1]!S_SHARE_TOTAL(D750,$G$5)=0,[1]!S_SHARE_TOTAL(D750,[1]!s_ipo_listeddate(D750)),[1]!S_SHARE_TOTAL(D750,$G$5)),([1]!S_STM07_BS(D750,75,$G$5,$H$13)+[1]!S_STM07_BS(D750,88,$G$5,$H$13)+[1]!S_STM07_BS(D750,94,$G$5,$H$13)+[1]!S_STM07_BS(D750,95,$G$5,$H$13))/$E$5))</f>
        <v/>
      </c>
      <c r="O750" s="247" t="str">
        <f ca="1">IF(C750="","",IF($O$11="BPS",[1]!S_STM07_BS(D750,141,$G$5,$H$13)/IF([1]!S_SHARE_TOTAL(D750,$G$5)=0,[1]!S_SHARE_TOTAL(D750,[1]!s_ipo_listeddate(D750)),[1]!S_SHARE_TOTAL(D750,$G$5)),[1]!S_STM07_CS(D750,49,$G$5,$H$13)/$E$5))</f>
        <v/>
      </c>
      <c r="P750" s="247" t="str">
        <f ca="1">IF(C750="","",IF($P$11="CFPS",[1]!S_STM07_CS(D750,84,$G$5,$H$13)/IF([1]!S_SHARE_TOTAL(D750,$G$5)=0,[1]!S_SHARE_TOTAL(D750,[1]!s_ipo_listeddate(D750)),[1]!S_SHARE_TOTAL(D750,$G$5)),[1]!S_STM07_CS(D750,84,$G$5,$H$13)/$E$5))</f>
        <v/>
      </c>
      <c r="Q750" s="248" t="str">
        <f ca="1">IF(C750="","",F750/([1]!S_STM07_IS(D750,61,$G$5,$H$13)/IF([1]!S_SHARE_TOTAL(D750,$G$5)=0,[1]!S_SHARE_TOTAL(D750,[1]!s_ipo_listeddate(D750)),[1]!S_SHARE_TOTAL(D750,$G$5))))</f>
        <v/>
      </c>
      <c r="R750" s="248" t="str">
        <f ca="1">IF(C750="","",F750/([1]!S_STM07_BS(D750,141,$G$5,$H$13)/IF([1]!S_SHARE_TOTAL(D750,$G$5)=0,[1]!S_SHARE_TOTAL(D750,[1]!s_ipo_listeddate(D750)),[1]!S_SHARE_TOTAL(D750,$G$5))))</f>
        <v/>
      </c>
      <c r="S750" s="247" t="str">
        <f ca="1">IF(C750="","",[1]!S_SHARE_TOTAL(D750,TODAY())/$E$5)</f>
        <v/>
      </c>
      <c r="T750" s="247" t="str">
        <f t="shared" ca="1" si="79"/>
        <v/>
      </c>
      <c r="U750" s="218" t="str">
        <f t="shared" ca="1" si="80"/>
        <v/>
      </c>
      <c r="V750" s="342" t="str">
        <f t="shared" ca="1" si="81"/>
        <v/>
      </c>
      <c r="W750" s="139"/>
      <c r="Y750" s="1"/>
    </row>
    <row r="751" spans="3:25" ht="12" customHeight="1">
      <c r="C751" s="343" t="str">
        <f t="shared" ca="1" si="76"/>
        <v/>
      </c>
      <c r="D751" s="124" t="str">
        <f t="shared" ca="1" si="77"/>
        <v/>
      </c>
      <c r="E751" s="124" t="str">
        <f t="shared" ca="1" si="78"/>
        <v/>
      </c>
      <c r="F751" s="172" t="str">
        <f ca="1">IF(C751="","",[1]!S_DQ_CLOSE(D751,TODAY(),1))</f>
        <v/>
      </c>
      <c r="G751" s="173" t="str">
        <f ca="1">IF(C751="","",[1]!s_pq_pctchange(D751,TODAY()-$G$12,TODAY())/100)</f>
        <v/>
      </c>
      <c r="H751" s="249" t="str">
        <f ca="1">IF(C751="","",IF($H$11="收入",[1]!S_STM07_IS(D751,9,$G$5,$H$13)/$E$5,[1]!S_STM07_IS(D751,48,$G$5,$H$13)/$E$5))</f>
        <v/>
      </c>
      <c r="I751" s="249" t="str">
        <f ca="1">IF(C751="","",IF($I$11="毛利率",([1]!S_STM07_IS(D751,9,$G$5,$H$13)-[1]!S_STM07_IS(D751,10,$G$5,$H$13))/[1]!S_STM07_IS(D751,9,$G$5,$H$13),[1]!S_STM07_IS(D751,14,$G$5,$H$13)/$E$5))</f>
        <v/>
      </c>
      <c r="J751" s="249" t="str">
        <f ca="1">IF(C751="","",IF($J$11="营业利润率",[1]!S_STM07_IS(D751,48,$G$5,$H$13)/[1]!S_STM07_IS(D751,9,$G$5,$H$13),([1]!S_STM07_CS(D751,87,$G$5,$H$13)+[1]!S_STM07_CS(D751,88,$G$5,$H$13)+[1]!S_STM07_CS(D751,89,$G$5,$H$13))/$E$5))</f>
        <v/>
      </c>
      <c r="K751" s="249" t="str">
        <f ca="1">IF(C751="","",IF($K$11="净利润率",[1]!S_STM07_IS(D751,61,$G$5,$H$13)/[1]!S_STM07_IS(D751,9,$G$5,$H$13),[1]!S_STM07_IS(D751,55,$G$5,$H$13)/$E$5))</f>
        <v/>
      </c>
      <c r="L751" s="249" t="str">
        <f ca="1">IF(C751="","",IF($L$11="ROA",[1]!S_STM07_IS(D751,61,$G$5,$H$13)/[1]!S_STM07_BS(D751,74,$G$5,$H$13),1-[1]!S_STM07_IS(D751,61,$G$5,$H$13)/[1]!S_STM07_IS(D751,55,$G$5,$H$13)))</f>
        <v/>
      </c>
      <c r="M751" s="249" t="str">
        <f ca="1">IF(C751="","",IF($M$11="ROE",[1]!S_STM07_IS(D751,61,$G$5,$H$13)/[1]!S_STM07_BS(D751,141,$G$5,$H$13),([1]!S_STM07_BS(D751,25,$G$5,$H$13)-[1]!S_STM07_BS(D751,93,$G$5,$H$13))/$E$5))</f>
        <v/>
      </c>
      <c r="N751" s="250" t="str">
        <f ca="1">IF(C751="","",IF($N$11="EPS",[1]!S_STM07_IS(D751,61,$G$5,$H$13)/IF([1]!S_SHARE_TOTAL(D751,$G$5)=0,[1]!S_SHARE_TOTAL(D751,[1]!s_ipo_listeddate(D751)),[1]!S_SHARE_TOTAL(D751,$G$5)),([1]!S_STM07_BS(D751,75,$G$5,$H$13)+[1]!S_STM07_BS(D751,88,$G$5,$H$13)+[1]!S_STM07_BS(D751,94,$G$5,$H$13)+[1]!S_STM07_BS(D751,95,$G$5,$H$13))/$E$5))</f>
        <v/>
      </c>
      <c r="O751" s="250" t="str">
        <f ca="1">IF(C751="","",IF($O$11="BPS",[1]!S_STM07_BS(D751,141,$G$5,$H$13)/IF([1]!S_SHARE_TOTAL(D751,$G$5)=0,[1]!S_SHARE_TOTAL(D751,[1]!s_ipo_listeddate(D751)),[1]!S_SHARE_TOTAL(D751,$G$5)),[1]!S_STM07_CS(D751,49,$G$5,$H$13)/$E$5))</f>
        <v/>
      </c>
      <c r="P751" s="250" t="str">
        <f ca="1">IF(C751="","",IF($P$11="CFPS",[1]!S_STM07_CS(D751,84,$G$5,$H$13)/IF([1]!S_SHARE_TOTAL(D751,$G$5)=0,[1]!S_SHARE_TOTAL(D751,[1]!s_ipo_listeddate(D751)),[1]!S_SHARE_TOTAL(D751,$G$5)),[1]!S_STM07_CS(D751,84,$G$5,$H$13)/$E$5))</f>
        <v/>
      </c>
      <c r="Q751" s="198" t="str">
        <f ca="1">IF(C751="","",F751/([1]!S_STM07_IS(D751,61,$G$5,$H$13)/IF([1]!S_SHARE_TOTAL(D751,$G$5)=0,[1]!S_SHARE_TOTAL(D751,[1]!s_ipo_listeddate(D751)),[1]!S_SHARE_TOTAL(D751,$G$5))))</f>
        <v/>
      </c>
      <c r="R751" s="198" t="str">
        <f ca="1">IF(C751="","",F751/([1]!S_STM07_BS(D751,141,$G$5,$H$13)/IF([1]!S_SHARE_TOTAL(D751,$G$5)=0,[1]!S_SHARE_TOTAL(D751,[1]!s_ipo_listeddate(D751)),[1]!S_SHARE_TOTAL(D751,$G$5))))</f>
        <v/>
      </c>
      <c r="S751" s="249" t="str">
        <f ca="1">IF(C751="","",[1]!S_SHARE_TOTAL(D751,TODAY())/$E$5)</f>
        <v/>
      </c>
      <c r="T751" s="249" t="str">
        <f t="shared" ca="1" si="79"/>
        <v/>
      </c>
      <c r="U751" s="172" t="str">
        <f t="shared" ca="1" si="80"/>
        <v/>
      </c>
      <c r="V751" s="343" t="str">
        <f t="shared" ca="1" si="81"/>
        <v/>
      </c>
      <c r="W751" s="139"/>
      <c r="Y751" s="1"/>
    </row>
    <row r="752" spans="3:25" ht="12" customHeight="1">
      <c r="C752" s="342" t="str">
        <f t="shared" ca="1" si="76"/>
        <v/>
      </c>
      <c r="D752" s="153" t="str">
        <f t="shared" ca="1" si="77"/>
        <v/>
      </c>
      <c r="E752" s="153" t="str">
        <f t="shared" ca="1" si="78"/>
        <v/>
      </c>
      <c r="F752" s="170" t="str">
        <f ca="1">IF(C752="","",[1]!S_DQ_CLOSE(D752,TODAY(),1))</f>
        <v/>
      </c>
      <c r="G752" s="171" t="str">
        <f ca="1">IF(C752="","",[1]!s_pq_pctchange(D752,TODAY()-$G$12,TODAY())/100)</f>
        <v/>
      </c>
      <c r="H752" s="247" t="str">
        <f ca="1">IF(C752="","",IF($H$11="收入",[1]!S_STM07_IS(D752,9,$G$5,$H$13)/$E$5,[1]!S_STM07_IS(D752,48,$G$5,$H$13)/$E$5))</f>
        <v/>
      </c>
      <c r="I752" s="247" t="str">
        <f ca="1">IF(C752="","",IF($I$11="毛利率",([1]!S_STM07_IS(D752,9,$G$5,$H$13)-[1]!S_STM07_IS(D752,10,$G$5,$H$13))/[1]!S_STM07_IS(D752,9,$G$5,$H$13),[1]!S_STM07_IS(D752,14,$G$5,$H$13)/$E$5))</f>
        <v/>
      </c>
      <c r="J752" s="247" t="str">
        <f ca="1">IF(C752="","",IF($J$11="营业利润率",[1]!S_STM07_IS(D752,48,$G$5,$H$13)/[1]!S_STM07_IS(D752,9,$G$5,$H$13),([1]!S_STM07_CS(D752,87,$G$5,$H$13)+[1]!S_STM07_CS(D752,88,$G$5,$H$13)+[1]!S_STM07_CS(D752,89,$G$5,$H$13))/$E$5))</f>
        <v/>
      </c>
      <c r="K752" s="247" t="str">
        <f ca="1">IF(C752="","",IF($K$11="净利润率",[1]!S_STM07_IS(D752,61,$G$5,$H$13)/[1]!S_STM07_IS(D752,9,$G$5,$H$13),[1]!S_STM07_IS(D752,55,$G$5,$H$13)/$E$5))</f>
        <v/>
      </c>
      <c r="L752" s="247" t="str">
        <f ca="1">IF(C752="","",IF($L$11="ROA",[1]!S_STM07_IS(D752,61,$G$5,$H$13)/[1]!S_STM07_BS(D752,74,$G$5,$H$13),1-[1]!S_STM07_IS(D752,61,$G$5,$H$13)/[1]!S_STM07_IS(D752,55,$G$5,$H$13)))</f>
        <v/>
      </c>
      <c r="M752" s="247" t="str">
        <f ca="1">IF(C752="","",IF($M$11="ROE",[1]!S_STM07_IS(D752,61,$G$5,$H$13)/[1]!S_STM07_BS(D752,141,$G$5,$H$13),([1]!S_STM07_BS(D752,25,$G$5,$H$13)-[1]!S_STM07_BS(D752,93,$G$5,$H$13))/$E$5))</f>
        <v/>
      </c>
      <c r="N752" s="247" t="str">
        <f ca="1">IF(C752="","",IF($N$11="EPS",[1]!S_STM07_IS(D752,61,$G$5,$H$13)/IF([1]!S_SHARE_TOTAL(D752,$G$5)=0,[1]!S_SHARE_TOTAL(D752,[1]!s_ipo_listeddate(D752)),[1]!S_SHARE_TOTAL(D752,$G$5)),([1]!S_STM07_BS(D752,75,$G$5,$H$13)+[1]!S_STM07_BS(D752,88,$G$5,$H$13)+[1]!S_STM07_BS(D752,94,$G$5,$H$13)+[1]!S_STM07_BS(D752,95,$G$5,$H$13))/$E$5))</f>
        <v/>
      </c>
      <c r="O752" s="247" t="str">
        <f ca="1">IF(C752="","",IF($O$11="BPS",[1]!S_STM07_BS(D752,141,$G$5,$H$13)/IF([1]!S_SHARE_TOTAL(D752,$G$5)=0,[1]!S_SHARE_TOTAL(D752,[1]!s_ipo_listeddate(D752)),[1]!S_SHARE_TOTAL(D752,$G$5)),[1]!S_STM07_CS(D752,49,$G$5,$H$13)/$E$5))</f>
        <v/>
      </c>
      <c r="P752" s="247" t="str">
        <f ca="1">IF(C752="","",IF($P$11="CFPS",[1]!S_STM07_CS(D752,84,$G$5,$H$13)/IF([1]!S_SHARE_TOTAL(D752,$G$5)=0,[1]!S_SHARE_TOTAL(D752,[1]!s_ipo_listeddate(D752)),[1]!S_SHARE_TOTAL(D752,$G$5)),[1]!S_STM07_CS(D752,84,$G$5,$H$13)/$E$5))</f>
        <v/>
      </c>
      <c r="Q752" s="248" t="str">
        <f ca="1">IF(C752="","",F752/([1]!S_STM07_IS(D752,61,$G$5,$H$13)/IF([1]!S_SHARE_TOTAL(D752,$G$5)=0,[1]!S_SHARE_TOTAL(D752,[1]!s_ipo_listeddate(D752)),[1]!S_SHARE_TOTAL(D752,$G$5))))</f>
        <v/>
      </c>
      <c r="R752" s="248" t="str">
        <f ca="1">IF(C752="","",F752/([1]!S_STM07_BS(D752,141,$G$5,$H$13)/IF([1]!S_SHARE_TOTAL(D752,$G$5)=0,[1]!S_SHARE_TOTAL(D752,[1]!s_ipo_listeddate(D752)),[1]!S_SHARE_TOTAL(D752,$G$5))))</f>
        <v/>
      </c>
      <c r="S752" s="247" t="str">
        <f ca="1">IF(C752="","",[1]!S_SHARE_TOTAL(D752,TODAY())/$E$5)</f>
        <v/>
      </c>
      <c r="T752" s="247" t="str">
        <f t="shared" ca="1" si="79"/>
        <v/>
      </c>
      <c r="U752" s="218" t="str">
        <f t="shared" ca="1" si="80"/>
        <v/>
      </c>
      <c r="V752" s="342" t="str">
        <f t="shared" ca="1" si="81"/>
        <v/>
      </c>
      <c r="W752" s="139"/>
      <c r="Y752" s="1"/>
    </row>
    <row r="753" spans="3:25" ht="12" customHeight="1">
      <c r="C753" s="343" t="str">
        <f t="shared" ca="1" si="76"/>
        <v/>
      </c>
      <c r="D753" s="124" t="str">
        <f t="shared" ca="1" si="77"/>
        <v/>
      </c>
      <c r="E753" s="124" t="str">
        <f t="shared" ca="1" si="78"/>
        <v/>
      </c>
      <c r="F753" s="172" t="str">
        <f ca="1">IF(C753="","",[1]!S_DQ_CLOSE(D753,TODAY(),1))</f>
        <v/>
      </c>
      <c r="G753" s="173" t="str">
        <f ca="1">IF(C753="","",[1]!s_pq_pctchange(D753,TODAY()-$G$12,TODAY())/100)</f>
        <v/>
      </c>
      <c r="H753" s="249" t="str">
        <f ca="1">IF(C753="","",IF($H$11="收入",[1]!S_STM07_IS(D753,9,$G$5,$H$13)/$E$5,[1]!S_STM07_IS(D753,48,$G$5,$H$13)/$E$5))</f>
        <v/>
      </c>
      <c r="I753" s="249" t="str">
        <f ca="1">IF(C753="","",IF($I$11="毛利率",([1]!S_STM07_IS(D753,9,$G$5,$H$13)-[1]!S_STM07_IS(D753,10,$G$5,$H$13))/[1]!S_STM07_IS(D753,9,$G$5,$H$13),[1]!S_STM07_IS(D753,14,$G$5,$H$13)/$E$5))</f>
        <v/>
      </c>
      <c r="J753" s="249" t="str">
        <f ca="1">IF(C753="","",IF($J$11="营业利润率",[1]!S_STM07_IS(D753,48,$G$5,$H$13)/[1]!S_STM07_IS(D753,9,$G$5,$H$13),([1]!S_STM07_CS(D753,87,$G$5,$H$13)+[1]!S_STM07_CS(D753,88,$G$5,$H$13)+[1]!S_STM07_CS(D753,89,$G$5,$H$13))/$E$5))</f>
        <v/>
      </c>
      <c r="K753" s="249" t="str">
        <f ca="1">IF(C753="","",IF($K$11="净利润率",[1]!S_STM07_IS(D753,61,$G$5,$H$13)/[1]!S_STM07_IS(D753,9,$G$5,$H$13),[1]!S_STM07_IS(D753,55,$G$5,$H$13)/$E$5))</f>
        <v/>
      </c>
      <c r="L753" s="249" t="str">
        <f ca="1">IF(C753="","",IF($L$11="ROA",[1]!S_STM07_IS(D753,61,$G$5,$H$13)/[1]!S_STM07_BS(D753,74,$G$5,$H$13),1-[1]!S_STM07_IS(D753,61,$G$5,$H$13)/[1]!S_STM07_IS(D753,55,$G$5,$H$13)))</f>
        <v/>
      </c>
      <c r="M753" s="249" t="str">
        <f ca="1">IF(C753="","",IF($M$11="ROE",[1]!S_STM07_IS(D753,61,$G$5,$H$13)/[1]!S_STM07_BS(D753,141,$G$5,$H$13),([1]!S_STM07_BS(D753,25,$G$5,$H$13)-[1]!S_STM07_BS(D753,93,$G$5,$H$13))/$E$5))</f>
        <v/>
      </c>
      <c r="N753" s="250" t="str">
        <f ca="1">IF(C753="","",IF($N$11="EPS",[1]!S_STM07_IS(D753,61,$G$5,$H$13)/IF([1]!S_SHARE_TOTAL(D753,$G$5)=0,[1]!S_SHARE_TOTAL(D753,[1]!s_ipo_listeddate(D753)),[1]!S_SHARE_TOTAL(D753,$G$5)),([1]!S_STM07_BS(D753,75,$G$5,$H$13)+[1]!S_STM07_BS(D753,88,$G$5,$H$13)+[1]!S_STM07_BS(D753,94,$G$5,$H$13)+[1]!S_STM07_BS(D753,95,$G$5,$H$13))/$E$5))</f>
        <v/>
      </c>
      <c r="O753" s="250" t="str">
        <f ca="1">IF(C753="","",IF($O$11="BPS",[1]!S_STM07_BS(D753,141,$G$5,$H$13)/IF([1]!S_SHARE_TOTAL(D753,$G$5)=0,[1]!S_SHARE_TOTAL(D753,[1]!s_ipo_listeddate(D753)),[1]!S_SHARE_TOTAL(D753,$G$5)),[1]!S_STM07_CS(D753,49,$G$5,$H$13)/$E$5))</f>
        <v/>
      </c>
      <c r="P753" s="250" t="str">
        <f ca="1">IF(C753="","",IF($P$11="CFPS",[1]!S_STM07_CS(D753,84,$G$5,$H$13)/IF([1]!S_SHARE_TOTAL(D753,$G$5)=0,[1]!S_SHARE_TOTAL(D753,[1]!s_ipo_listeddate(D753)),[1]!S_SHARE_TOTAL(D753,$G$5)),[1]!S_STM07_CS(D753,84,$G$5,$H$13)/$E$5))</f>
        <v/>
      </c>
      <c r="Q753" s="198" t="str">
        <f ca="1">IF(C753="","",F753/([1]!S_STM07_IS(D753,61,$G$5,$H$13)/IF([1]!S_SHARE_TOTAL(D753,$G$5)=0,[1]!S_SHARE_TOTAL(D753,[1]!s_ipo_listeddate(D753)),[1]!S_SHARE_TOTAL(D753,$G$5))))</f>
        <v/>
      </c>
      <c r="R753" s="198" t="str">
        <f ca="1">IF(C753="","",F753/([1]!S_STM07_BS(D753,141,$G$5,$H$13)/IF([1]!S_SHARE_TOTAL(D753,$G$5)=0,[1]!S_SHARE_TOTAL(D753,[1]!s_ipo_listeddate(D753)),[1]!S_SHARE_TOTAL(D753,$G$5))))</f>
        <v/>
      </c>
      <c r="S753" s="249" t="str">
        <f ca="1">IF(C753="","",[1]!S_SHARE_TOTAL(D753,TODAY())/$E$5)</f>
        <v/>
      </c>
      <c r="T753" s="249" t="str">
        <f t="shared" ca="1" si="79"/>
        <v/>
      </c>
      <c r="U753" s="172" t="str">
        <f t="shared" ca="1" si="80"/>
        <v/>
      </c>
      <c r="V753" s="343" t="str">
        <f t="shared" ca="1" si="81"/>
        <v/>
      </c>
      <c r="W753" s="139"/>
      <c r="Y753" s="1"/>
    </row>
    <row r="754" spans="3:25" ht="12" customHeight="1">
      <c r="C754" s="342" t="str">
        <f t="shared" ca="1" si="76"/>
        <v/>
      </c>
      <c r="D754" s="153" t="str">
        <f t="shared" ca="1" si="77"/>
        <v/>
      </c>
      <c r="E754" s="153" t="str">
        <f t="shared" ca="1" si="78"/>
        <v/>
      </c>
      <c r="F754" s="170" t="str">
        <f ca="1">IF(C754="","",[1]!S_DQ_CLOSE(D754,TODAY(),1))</f>
        <v/>
      </c>
      <c r="G754" s="171" t="str">
        <f ca="1">IF(C754="","",[1]!s_pq_pctchange(D754,TODAY()-$G$12,TODAY())/100)</f>
        <v/>
      </c>
      <c r="H754" s="247" t="str">
        <f ca="1">IF(C754="","",IF($H$11="收入",[1]!S_STM07_IS(D754,9,$G$5,$H$13)/$E$5,[1]!S_STM07_IS(D754,48,$G$5,$H$13)/$E$5))</f>
        <v/>
      </c>
      <c r="I754" s="247" t="str">
        <f ca="1">IF(C754="","",IF($I$11="毛利率",([1]!S_STM07_IS(D754,9,$G$5,$H$13)-[1]!S_STM07_IS(D754,10,$G$5,$H$13))/[1]!S_STM07_IS(D754,9,$G$5,$H$13),[1]!S_STM07_IS(D754,14,$G$5,$H$13)/$E$5))</f>
        <v/>
      </c>
      <c r="J754" s="247" t="str">
        <f ca="1">IF(C754="","",IF($J$11="营业利润率",[1]!S_STM07_IS(D754,48,$G$5,$H$13)/[1]!S_STM07_IS(D754,9,$G$5,$H$13),([1]!S_STM07_CS(D754,87,$G$5,$H$13)+[1]!S_STM07_CS(D754,88,$G$5,$H$13)+[1]!S_STM07_CS(D754,89,$G$5,$H$13))/$E$5))</f>
        <v/>
      </c>
      <c r="K754" s="247" t="str">
        <f ca="1">IF(C754="","",IF($K$11="净利润率",[1]!S_STM07_IS(D754,61,$G$5,$H$13)/[1]!S_STM07_IS(D754,9,$G$5,$H$13),[1]!S_STM07_IS(D754,55,$G$5,$H$13)/$E$5))</f>
        <v/>
      </c>
      <c r="L754" s="247" t="str">
        <f ca="1">IF(C754="","",IF($L$11="ROA",[1]!S_STM07_IS(D754,61,$G$5,$H$13)/[1]!S_STM07_BS(D754,74,$G$5,$H$13),1-[1]!S_STM07_IS(D754,61,$G$5,$H$13)/[1]!S_STM07_IS(D754,55,$G$5,$H$13)))</f>
        <v/>
      </c>
      <c r="M754" s="247" t="str">
        <f ca="1">IF(C754="","",IF($M$11="ROE",[1]!S_STM07_IS(D754,61,$G$5,$H$13)/[1]!S_STM07_BS(D754,141,$G$5,$H$13),([1]!S_STM07_BS(D754,25,$G$5,$H$13)-[1]!S_STM07_BS(D754,93,$G$5,$H$13))/$E$5))</f>
        <v/>
      </c>
      <c r="N754" s="247" t="str">
        <f ca="1">IF(C754="","",IF($N$11="EPS",[1]!S_STM07_IS(D754,61,$G$5,$H$13)/IF([1]!S_SHARE_TOTAL(D754,$G$5)=0,[1]!S_SHARE_TOTAL(D754,[1]!s_ipo_listeddate(D754)),[1]!S_SHARE_TOTAL(D754,$G$5)),([1]!S_STM07_BS(D754,75,$G$5,$H$13)+[1]!S_STM07_BS(D754,88,$G$5,$H$13)+[1]!S_STM07_BS(D754,94,$G$5,$H$13)+[1]!S_STM07_BS(D754,95,$G$5,$H$13))/$E$5))</f>
        <v/>
      </c>
      <c r="O754" s="247" t="str">
        <f ca="1">IF(C754="","",IF($O$11="BPS",[1]!S_STM07_BS(D754,141,$G$5,$H$13)/IF([1]!S_SHARE_TOTAL(D754,$G$5)=0,[1]!S_SHARE_TOTAL(D754,[1]!s_ipo_listeddate(D754)),[1]!S_SHARE_TOTAL(D754,$G$5)),[1]!S_STM07_CS(D754,49,$G$5,$H$13)/$E$5))</f>
        <v/>
      </c>
      <c r="P754" s="247" t="str">
        <f ca="1">IF(C754="","",IF($P$11="CFPS",[1]!S_STM07_CS(D754,84,$G$5,$H$13)/IF([1]!S_SHARE_TOTAL(D754,$G$5)=0,[1]!S_SHARE_TOTAL(D754,[1]!s_ipo_listeddate(D754)),[1]!S_SHARE_TOTAL(D754,$G$5)),[1]!S_STM07_CS(D754,84,$G$5,$H$13)/$E$5))</f>
        <v/>
      </c>
      <c r="Q754" s="248" t="str">
        <f ca="1">IF(C754="","",F754/([1]!S_STM07_IS(D754,61,$G$5,$H$13)/IF([1]!S_SHARE_TOTAL(D754,$G$5)=0,[1]!S_SHARE_TOTAL(D754,[1]!s_ipo_listeddate(D754)),[1]!S_SHARE_TOTAL(D754,$G$5))))</f>
        <v/>
      </c>
      <c r="R754" s="248" t="str">
        <f ca="1">IF(C754="","",F754/([1]!S_STM07_BS(D754,141,$G$5,$H$13)/IF([1]!S_SHARE_TOTAL(D754,$G$5)=0,[1]!S_SHARE_TOTAL(D754,[1]!s_ipo_listeddate(D754)),[1]!S_SHARE_TOTAL(D754,$G$5))))</f>
        <v/>
      </c>
      <c r="S754" s="247" t="str">
        <f ca="1">IF(C754="","",[1]!S_SHARE_TOTAL(D754,TODAY())/$E$5)</f>
        <v/>
      </c>
      <c r="T754" s="247" t="str">
        <f t="shared" ca="1" si="79"/>
        <v/>
      </c>
      <c r="U754" s="218" t="str">
        <f t="shared" ca="1" si="80"/>
        <v/>
      </c>
      <c r="V754" s="342" t="str">
        <f t="shared" ca="1" si="81"/>
        <v/>
      </c>
      <c r="W754" s="139"/>
      <c r="Y754" s="1"/>
    </row>
    <row r="755" spans="3:25" ht="12" customHeight="1">
      <c r="C755" s="343" t="str">
        <f t="shared" ca="1" si="76"/>
        <v/>
      </c>
      <c r="D755" s="124" t="str">
        <f t="shared" ca="1" si="77"/>
        <v/>
      </c>
      <c r="E755" s="124" t="str">
        <f t="shared" ca="1" si="78"/>
        <v/>
      </c>
      <c r="F755" s="172" t="str">
        <f ca="1">IF(C755="","",[1]!S_DQ_CLOSE(D755,TODAY(),1))</f>
        <v/>
      </c>
      <c r="G755" s="173" t="str">
        <f ca="1">IF(C755="","",[1]!s_pq_pctchange(D755,TODAY()-$G$12,TODAY())/100)</f>
        <v/>
      </c>
      <c r="H755" s="249" t="str">
        <f ca="1">IF(C755="","",IF($H$11="收入",[1]!S_STM07_IS(D755,9,$G$5,$H$13)/$E$5,[1]!S_STM07_IS(D755,48,$G$5,$H$13)/$E$5))</f>
        <v/>
      </c>
      <c r="I755" s="249" t="str">
        <f ca="1">IF(C755="","",IF($I$11="毛利率",([1]!S_STM07_IS(D755,9,$G$5,$H$13)-[1]!S_STM07_IS(D755,10,$G$5,$H$13))/[1]!S_STM07_IS(D755,9,$G$5,$H$13),[1]!S_STM07_IS(D755,14,$G$5,$H$13)/$E$5))</f>
        <v/>
      </c>
      <c r="J755" s="249" t="str">
        <f ca="1">IF(C755="","",IF($J$11="营业利润率",[1]!S_STM07_IS(D755,48,$G$5,$H$13)/[1]!S_STM07_IS(D755,9,$G$5,$H$13),([1]!S_STM07_CS(D755,87,$G$5,$H$13)+[1]!S_STM07_CS(D755,88,$G$5,$H$13)+[1]!S_STM07_CS(D755,89,$G$5,$H$13))/$E$5))</f>
        <v/>
      </c>
      <c r="K755" s="249" t="str">
        <f ca="1">IF(C755="","",IF($K$11="净利润率",[1]!S_STM07_IS(D755,61,$G$5,$H$13)/[1]!S_STM07_IS(D755,9,$G$5,$H$13),[1]!S_STM07_IS(D755,55,$G$5,$H$13)/$E$5))</f>
        <v/>
      </c>
      <c r="L755" s="249" t="str">
        <f ca="1">IF(C755="","",IF($L$11="ROA",[1]!S_STM07_IS(D755,61,$G$5,$H$13)/[1]!S_STM07_BS(D755,74,$G$5,$H$13),1-[1]!S_STM07_IS(D755,61,$G$5,$H$13)/[1]!S_STM07_IS(D755,55,$G$5,$H$13)))</f>
        <v/>
      </c>
      <c r="M755" s="249" t="str">
        <f ca="1">IF(C755="","",IF($M$11="ROE",[1]!S_STM07_IS(D755,61,$G$5,$H$13)/[1]!S_STM07_BS(D755,141,$G$5,$H$13),([1]!S_STM07_BS(D755,25,$G$5,$H$13)-[1]!S_STM07_BS(D755,93,$G$5,$H$13))/$E$5))</f>
        <v/>
      </c>
      <c r="N755" s="250" t="str">
        <f ca="1">IF(C755="","",IF($N$11="EPS",[1]!S_STM07_IS(D755,61,$G$5,$H$13)/IF([1]!S_SHARE_TOTAL(D755,$G$5)=0,[1]!S_SHARE_TOTAL(D755,[1]!s_ipo_listeddate(D755)),[1]!S_SHARE_TOTAL(D755,$G$5)),([1]!S_STM07_BS(D755,75,$G$5,$H$13)+[1]!S_STM07_BS(D755,88,$G$5,$H$13)+[1]!S_STM07_BS(D755,94,$G$5,$H$13)+[1]!S_STM07_BS(D755,95,$G$5,$H$13))/$E$5))</f>
        <v/>
      </c>
      <c r="O755" s="250" t="str">
        <f ca="1">IF(C755="","",IF($O$11="BPS",[1]!S_STM07_BS(D755,141,$G$5,$H$13)/IF([1]!S_SHARE_TOTAL(D755,$G$5)=0,[1]!S_SHARE_TOTAL(D755,[1]!s_ipo_listeddate(D755)),[1]!S_SHARE_TOTAL(D755,$G$5)),[1]!S_STM07_CS(D755,49,$G$5,$H$13)/$E$5))</f>
        <v/>
      </c>
      <c r="P755" s="250" t="str">
        <f ca="1">IF(C755="","",IF($P$11="CFPS",[1]!S_STM07_CS(D755,84,$G$5,$H$13)/IF([1]!S_SHARE_TOTAL(D755,$G$5)=0,[1]!S_SHARE_TOTAL(D755,[1]!s_ipo_listeddate(D755)),[1]!S_SHARE_TOTAL(D755,$G$5)),[1]!S_STM07_CS(D755,84,$G$5,$H$13)/$E$5))</f>
        <v/>
      </c>
      <c r="Q755" s="198" t="str">
        <f ca="1">IF(C755="","",F755/([1]!S_STM07_IS(D755,61,$G$5,$H$13)/IF([1]!S_SHARE_TOTAL(D755,$G$5)=0,[1]!S_SHARE_TOTAL(D755,[1]!s_ipo_listeddate(D755)),[1]!S_SHARE_TOTAL(D755,$G$5))))</f>
        <v/>
      </c>
      <c r="R755" s="198" t="str">
        <f ca="1">IF(C755="","",F755/([1]!S_STM07_BS(D755,141,$G$5,$H$13)/IF([1]!S_SHARE_TOTAL(D755,$G$5)=0,[1]!S_SHARE_TOTAL(D755,[1]!s_ipo_listeddate(D755)),[1]!S_SHARE_TOTAL(D755,$G$5))))</f>
        <v/>
      </c>
      <c r="S755" s="249" t="str">
        <f ca="1">IF(C755="","",[1]!S_SHARE_TOTAL(D755,TODAY())/$E$5)</f>
        <v/>
      </c>
      <c r="T755" s="249" t="str">
        <f t="shared" ca="1" si="79"/>
        <v/>
      </c>
      <c r="U755" s="172" t="str">
        <f t="shared" ca="1" si="80"/>
        <v/>
      </c>
      <c r="V755" s="343" t="str">
        <f t="shared" ca="1" si="81"/>
        <v/>
      </c>
      <c r="W755" s="139"/>
      <c r="Y755" s="1"/>
    </row>
    <row r="756" spans="3:25" ht="12" customHeight="1">
      <c r="C756" s="342" t="str">
        <f t="shared" ca="1" si="76"/>
        <v/>
      </c>
      <c r="D756" s="153" t="str">
        <f t="shared" ca="1" si="77"/>
        <v/>
      </c>
      <c r="E756" s="153" t="str">
        <f t="shared" ca="1" si="78"/>
        <v/>
      </c>
      <c r="F756" s="170" t="str">
        <f ca="1">IF(C756="","",[1]!S_DQ_CLOSE(D756,TODAY(),1))</f>
        <v/>
      </c>
      <c r="G756" s="171" t="str">
        <f ca="1">IF(C756="","",[1]!s_pq_pctchange(D756,TODAY()-$G$12,TODAY())/100)</f>
        <v/>
      </c>
      <c r="H756" s="247" t="str">
        <f ca="1">IF(C756="","",IF($H$11="收入",[1]!S_STM07_IS(D756,9,$G$5,$H$13)/$E$5,[1]!S_STM07_IS(D756,48,$G$5,$H$13)/$E$5))</f>
        <v/>
      </c>
      <c r="I756" s="247" t="str">
        <f ca="1">IF(C756="","",IF($I$11="毛利率",([1]!S_STM07_IS(D756,9,$G$5,$H$13)-[1]!S_STM07_IS(D756,10,$G$5,$H$13))/[1]!S_STM07_IS(D756,9,$G$5,$H$13),[1]!S_STM07_IS(D756,14,$G$5,$H$13)/$E$5))</f>
        <v/>
      </c>
      <c r="J756" s="247" t="str">
        <f ca="1">IF(C756="","",IF($J$11="营业利润率",[1]!S_STM07_IS(D756,48,$G$5,$H$13)/[1]!S_STM07_IS(D756,9,$G$5,$H$13),([1]!S_STM07_CS(D756,87,$G$5,$H$13)+[1]!S_STM07_CS(D756,88,$G$5,$H$13)+[1]!S_STM07_CS(D756,89,$G$5,$H$13))/$E$5))</f>
        <v/>
      </c>
      <c r="K756" s="247" t="str">
        <f ca="1">IF(C756="","",IF($K$11="净利润率",[1]!S_STM07_IS(D756,61,$G$5,$H$13)/[1]!S_STM07_IS(D756,9,$G$5,$H$13),[1]!S_STM07_IS(D756,55,$G$5,$H$13)/$E$5))</f>
        <v/>
      </c>
      <c r="L756" s="247" t="str">
        <f ca="1">IF(C756="","",IF($L$11="ROA",[1]!S_STM07_IS(D756,61,$G$5,$H$13)/[1]!S_STM07_BS(D756,74,$G$5,$H$13),1-[1]!S_STM07_IS(D756,61,$G$5,$H$13)/[1]!S_STM07_IS(D756,55,$G$5,$H$13)))</f>
        <v/>
      </c>
      <c r="M756" s="247" t="str">
        <f ca="1">IF(C756="","",IF($M$11="ROE",[1]!S_STM07_IS(D756,61,$G$5,$H$13)/[1]!S_STM07_BS(D756,141,$G$5,$H$13),([1]!S_STM07_BS(D756,25,$G$5,$H$13)-[1]!S_STM07_BS(D756,93,$G$5,$H$13))/$E$5))</f>
        <v/>
      </c>
      <c r="N756" s="247" t="str">
        <f ca="1">IF(C756="","",IF($N$11="EPS",[1]!S_STM07_IS(D756,61,$G$5,$H$13)/IF([1]!S_SHARE_TOTAL(D756,$G$5)=0,[1]!S_SHARE_TOTAL(D756,[1]!s_ipo_listeddate(D756)),[1]!S_SHARE_TOTAL(D756,$G$5)),([1]!S_STM07_BS(D756,75,$G$5,$H$13)+[1]!S_STM07_BS(D756,88,$G$5,$H$13)+[1]!S_STM07_BS(D756,94,$G$5,$H$13)+[1]!S_STM07_BS(D756,95,$G$5,$H$13))/$E$5))</f>
        <v/>
      </c>
      <c r="O756" s="247" t="str">
        <f ca="1">IF(C756="","",IF($O$11="BPS",[1]!S_STM07_BS(D756,141,$G$5,$H$13)/IF([1]!S_SHARE_TOTAL(D756,$G$5)=0,[1]!S_SHARE_TOTAL(D756,[1]!s_ipo_listeddate(D756)),[1]!S_SHARE_TOTAL(D756,$G$5)),[1]!S_STM07_CS(D756,49,$G$5,$H$13)/$E$5))</f>
        <v/>
      </c>
      <c r="P756" s="247" t="str">
        <f ca="1">IF(C756="","",IF($P$11="CFPS",[1]!S_STM07_CS(D756,84,$G$5,$H$13)/IF([1]!S_SHARE_TOTAL(D756,$G$5)=0,[1]!S_SHARE_TOTAL(D756,[1]!s_ipo_listeddate(D756)),[1]!S_SHARE_TOTAL(D756,$G$5)),[1]!S_STM07_CS(D756,84,$G$5,$H$13)/$E$5))</f>
        <v/>
      </c>
      <c r="Q756" s="248" t="str">
        <f ca="1">IF(C756="","",F756/([1]!S_STM07_IS(D756,61,$G$5,$H$13)/IF([1]!S_SHARE_TOTAL(D756,$G$5)=0,[1]!S_SHARE_TOTAL(D756,[1]!s_ipo_listeddate(D756)),[1]!S_SHARE_TOTAL(D756,$G$5))))</f>
        <v/>
      </c>
      <c r="R756" s="248" t="str">
        <f ca="1">IF(C756="","",F756/([1]!S_STM07_BS(D756,141,$G$5,$H$13)/IF([1]!S_SHARE_TOTAL(D756,$G$5)=0,[1]!S_SHARE_TOTAL(D756,[1]!s_ipo_listeddate(D756)),[1]!S_SHARE_TOTAL(D756,$G$5))))</f>
        <v/>
      </c>
      <c r="S756" s="247" t="str">
        <f ca="1">IF(C756="","",[1]!S_SHARE_TOTAL(D756,TODAY())/$E$5)</f>
        <v/>
      </c>
      <c r="T756" s="247" t="str">
        <f t="shared" ca="1" si="79"/>
        <v/>
      </c>
      <c r="U756" s="218" t="str">
        <f t="shared" ca="1" si="80"/>
        <v/>
      </c>
      <c r="V756" s="342" t="str">
        <f t="shared" ca="1" si="81"/>
        <v/>
      </c>
      <c r="W756" s="139"/>
      <c r="Y756" s="1"/>
    </row>
    <row r="757" spans="3:25" ht="12" customHeight="1">
      <c r="C757" s="343" t="str">
        <f t="shared" ca="1" si="76"/>
        <v/>
      </c>
      <c r="D757" s="124" t="str">
        <f t="shared" ca="1" si="77"/>
        <v/>
      </c>
      <c r="E757" s="124" t="str">
        <f t="shared" ca="1" si="78"/>
        <v/>
      </c>
      <c r="F757" s="172" t="str">
        <f ca="1">IF(C757="","",[1]!S_DQ_CLOSE(D757,TODAY(),1))</f>
        <v/>
      </c>
      <c r="G757" s="173" t="str">
        <f ca="1">IF(C757="","",[1]!s_pq_pctchange(D757,TODAY()-$G$12,TODAY())/100)</f>
        <v/>
      </c>
      <c r="H757" s="249" t="str">
        <f ca="1">IF(C757="","",IF($H$11="收入",[1]!S_STM07_IS(D757,9,$G$5,$H$13)/$E$5,[1]!S_STM07_IS(D757,48,$G$5,$H$13)/$E$5))</f>
        <v/>
      </c>
      <c r="I757" s="249" t="str">
        <f ca="1">IF(C757="","",IF($I$11="毛利率",([1]!S_STM07_IS(D757,9,$G$5,$H$13)-[1]!S_STM07_IS(D757,10,$G$5,$H$13))/[1]!S_STM07_IS(D757,9,$G$5,$H$13),[1]!S_STM07_IS(D757,14,$G$5,$H$13)/$E$5))</f>
        <v/>
      </c>
      <c r="J757" s="249" t="str">
        <f ca="1">IF(C757="","",IF($J$11="营业利润率",[1]!S_STM07_IS(D757,48,$G$5,$H$13)/[1]!S_STM07_IS(D757,9,$G$5,$H$13),([1]!S_STM07_CS(D757,87,$G$5,$H$13)+[1]!S_STM07_CS(D757,88,$G$5,$H$13)+[1]!S_STM07_CS(D757,89,$G$5,$H$13))/$E$5))</f>
        <v/>
      </c>
      <c r="K757" s="249" t="str">
        <f ca="1">IF(C757="","",IF($K$11="净利润率",[1]!S_STM07_IS(D757,61,$G$5,$H$13)/[1]!S_STM07_IS(D757,9,$G$5,$H$13),[1]!S_STM07_IS(D757,55,$G$5,$H$13)/$E$5))</f>
        <v/>
      </c>
      <c r="L757" s="249" t="str">
        <f ca="1">IF(C757="","",IF($L$11="ROA",[1]!S_STM07_IS(D757,61,$G$5,$H$13)/[1]!S_STM07_BS(D757,74,$G$5,$H$13),1-[1]!S_STM07_IS(D757,61,$G$5,$H$13)/[1]!S_STM07_IS(D757,55,$G$5,$H$13)))</f>
        <v/>
      </c>
      <c r="M757" s="249" t="str">
        <f ca="1">IF(C757="","",IF($M$11="ROE",[1]!S_STM07_IS(D757,61,$G$5,$H$13)/[1]!S_STM07_BS(D757,141,$G$5,$H$13),([1]!S_STM07_BS(D757,25,$G$5,$H$13)-[1]!S_STM07_BS(D757,93,$G$5,$H$13))/$E$5))</f>
        <v/>
      </c>
      <c r="N757" s="250" t="str">
        <f ca="1">IF(C757="","",IF($N$11="EPS",[1]!S_STM07_IS(D757,61,$G$5,$H$13)/IF([1]!S_SHARE_TOTAL(D757,$G$5)=0,[1]!S_SHARE_TOTAL(D757,[1]!s_ipo_listeddate(D757)),[1]!S_SHARE_TOTAL(D757,$G$5)),([1]!S_STM07_BS(D757,75,$G$5,$H$13)+[1]!S_STM07_BS(D757,88,$G$5,$H$13)+[1]!S_STM07_BS(D757,94,$G$5,$H$13)+[1]!S_STM07_BS(D757,95,$G$5,$H$13))/$E$5))</f>
        <v/>
      </c>
      <c r="O757" s="250" t="str">
        <f ca="1">IF(C757="","",IF($O$11="BPS",[1]!S_STM07_BS(D757,141,$G$5,$H$13)/IF([1]!S_SHARE_TOTAL(D757,$G$5)=0,[1]!S_SHARE_TOTAL(D757,[1]!s_ipo_listeddate(D757)),[1]!S_SHARE_TOTAL(D757,$G$5)),[1]!S_STM07_CS(D757,49,$G$5,$H$13)/$E$5))</f>
        <v/>
      </c>
      <c r="P757" s="250" t="str">
        <f ca="1">IF(C757="","",IF($P$11="CFPS",[1]!S_STM07_CS(D757,84,$G$5,$H$13)/IF([1]!S_SHARE_TOTAL(D757,$G$5)=0,[1]!S_SHARE_TOTAL(D757,[1]!s_ipo_listeddate(D757)),[1]!S_SHARE_TOTAL(D757,$G$5)),[1]!S_STM07_CS(D757,84,$G$5,$H$13)/$E$5))</f>
        <v/>
      </c>
      <c r="Q757" s="198" t="str">
        <f ca="1">IF(C757="","",F757/([1]!S_STM07_IS(D757,61,$G$5,$H$13)/IF([1]!S_SHARE_TOTAL(D757,$G$5)=0,[1]!S_SHARE_TOTAL(D757,[1]!s_ipo_listeddate(D757)),[1]!S_SHARE_TOTAL(D757,$G$5))))</f>
        <v/>
      </c>
      <c r="R757" s="198" t="str">
        <f ca="1">IF(C757="","",F757/([1]!S_STM07_BS(D757,141,$G$5,$H$13)/IF([1]!S_SHARE_TOTAL(D757,$G$5)=0,[1]!S_SHARE_TOTAL(D757,[1]!s_ipo_listeddate(D757)),[1]!S_SHARE_TOTAL(D757,$G$5))))</f>
        <v/>
      </c>
      <c r="S757" s="249" t="str">
        <f ca="1">IF(C757="","",[1]!S_SHARE_TOTAL(D757,TODAY())/$E$5)</f>
        <v/>
      </c>
      <c r="T757" s="249" t="str">
        <f t="shared" ca="1" si="79"/>
        <v/>
      </c>
      <c r="U757" s="172" t="str">
        <f t="shared" ca="1" si="80"/>
        <v/>
      </c>
      <c r="V757" s="343" t="str">
        <f t="shared" ca="1" si="81"/>
        <v/>
      </c>
      <c r="W757" s="139"/>
      <c r="Y757" s="1"/>
    </row>
    <row r="758" spans="3:25" ht="12" customHeight="1">
      <c r="C758" s="342" t="str">
        <f t="shared" ca="1" si="76"/>
        <v/>
      </c>
      <c r="D758" s="153" t="str">
        <f t="shared" ca="1" si="77"/>
        <v/>
      </c>
      <c r="E758" s="153" t="str">
        <f t="shared" ca="1" si="78"/>
        <v/>
      </c>
      <c r="F758" s="170" t="str">
        <f ca="1">IF(C758="","",[1]!S_DQ_CLOSE(D758,TODAY(),1))</f>
        <v/>
      </c>
      <c r="G758" s="171" t="str">
        <f ca="1">IF(C758="","",[1]!s_pq_pctchange(D758,TODAY()-$G$12,TODAY())/100)</f>
        <v/>
      </c>
      <c r="H758" s="247" t="str">
        <f ca="1">IF(C758="","",IF($H$11="收入",[1]!S_STM07_IS(D758,9,$G$5,$H$13)/$E$5,[1]!S_STM07_IS(D758,48,$G$5,$H$13)/$E$5))</f>
        <v/>
      </c>
      <c r="I758" s="247" t="str">
        <f ca="1">IF(C758="","",IF($I$11="毛利率",([1]!S_STM07_IS(D758,9,$G$5,$H$13)-[1]!S_STM07_IS(D758,10,$G$5,$H$13))/[1]!S_STM07_IS(D758,9,$G$5,$H$13),[1]!S_STM07_IS(D758,14,$G$5,$H$13)/$E$5))</f>
        <v/>
      </c>
      <c r="J758" s="247" t="str">
        <f ca="1">IF(C758="","",IF($J$11="营业利润率",[1]!S_STM07_IS(D758,48,$G$5,$H$13)/[1]!S_STM07_IS(D758,9,$G$5,$H$13),([1]!S_STM07_CS(D758,87,$G$5,$H$13)+[1]!S_STM07_CS(D758,88,$G$5,$H$13)+[1]!S_STM07_CS(D758,89,$G$5,$H$13))/$E$5))</f>
        <v/>
      </c>
      <c r="K758" s="247" t="str">
        <f ca="1">IF(C758="","",IF($K$11="净利润率",[1]!S_STM07_IS(D758,61,$G$5,$H$13)/[1]!S_STM07_IS(D758,9,$G$5,$H$13),[1]!S_STM07_IS(D758,55,$G$5,$H$13)/$E$5))</f>
        <v/>
      </c>
      <c r="L758" s="247" t="str">
        <f ca="1">IF(C758="","",IF($L$11="ROA",[1]!S_STM07_IS(D758,61,$G$5,$H$13)/[1]!S_STM07_BS(D758,74,$G$5,$H$13),1-[1]!S_STM07_IS(D758,61,$G$5,$H$13)/[1]!S_STM07_IS(D758,55,$G$5,$H$13)))</f>
        <v/>
      </c>
      <c r="M758" s="247" t="str">
        <f ca="1">IF(C758="","",IF($M$11="ROE",[1]!S_STM07_IS(D758,61,$G$5,$H$13)/[1]!S_STM07_BS(D758,141,$G$5,$H$13),([1]!S_STM07_BS(D758,25,$G$5,$H$13)-[1]!S_STM07_BS(D758,93,$G$5,$H$13))/$E$5))</f>
        <v/>
      </c>
      <c r="N758" s="247" t="str">
        <f ca="1">IF(C758="","",IF($N$11="EPS",[1]!S_STM07_IS(D758,61,$G$5,$H$13)/IF([1]!S_SHARE_TOTAL(D758,$G$5)=0,[1]!S_SHARE_TOTAL(D758,[1]!s_ipo_listeddate(D758)),[1]!S_SHARE_TOTAL(D758,$G$5)),([1]!S_STM07_BS(D758,75,$G$5,$H$13)+[1]!S_STM07_BS(D758,88,$G$5,$H$13)+[1]!S_STM07_BS(D758,94,$G$5,$H$13)+[1]!S_STM07_BS(D758,95,$G$5,$H$13))/$E$5))</f>
        <v/>
      </c>
      <c r="O758" s="247" t="str">
        <f ca="1">IF(C758="","",IF($O$11="BPS",[1]!S_STM07_BS(D758,141,$G$5,$H$13)/IF([1]!S_SHARE_TOTAL(D758,$G$5)=0,[1]!S_SHARE_TOTAL(D758,[1]!s_ipo_listeddate(D758)),[1]!S_SHARE_TOTAL(D758,$G$5)),[1]!S_STM07_CS(D758,49,$G$5,$H$13)/$E$5))</f>
        <v/>
      </c>
      <c r="P758" s="247" t="str">
        <f ca="1">IF(C758="","",IF($P$11="CFPS",[1]!S_STM07_CS(D758,84,$G$5,$H$13)/IF([1]!S_SHARE_TOTAL(D758,$G$5)=0,[1]!S_SHARE_TOTAL(D758,[1]!s_ipo_listeddate(D758)),[1]!S_SHARE_TOTAL(D758,$G$5)),[1]!S_STM07_CS(D758,84,$G$5,$H$13)/$E$5))</f>
        <v/>
      </c>
      <c r="Q758" s="248" t="str">
        <f ca="1">IF(C758="","",F758/([1]!S_STM07_IS(D758,61,$G$5,$H$13)/IF([1]!S_SHARE_TOTAL(D758,$G$5)=0,[1]!S_SHARE_TOTAL(D758,[1]!s_ipo_listeddate(D758)),[1]!S_SHARE_TOTAL(D758,$G$5))))</f>
        <v/>
      </c>
      <c r="R758" s="248" t="str">
        <f ca="1">IF(C758="","",F758/([1]!S_STM07_BS(D758,141,$G$5,$H$13)/IF([1]!S_SHARE_TOTAL(D758,$G$5)=0,[1]!S_SHARE_TOTAL(D758,[1]!s_ipo_listeddate(D758)),[1]!S_SHARE_TOTAL(D758,$G$5))))</f>
        <v/>
      </c>
      <c r="S758" s="247" t="str">
        <f ca="1">IF(C758="","",[1]!S_SHARE_TOTAL(D758,TODAY())/$E$5)</f>
        <v/>
      </c>
      <c r="T758" s="247" t="str">
        <f t="shared" ca="1" si="79"/>
        <v/>
      </c>
      <c r="U758" s="218" t="str">
        <f t="shared" ca="1" si="80"/>
        <v/>
      </c>
      <c r="V758" s="342" t="str">
        <f t="shared" ca="1" si="81"/>
        <v/>
      </c>
      <c r="W758" s="139"/>
      <c r="Y758" s="1"/>
    </row>
    <row r="759" spans="3:25" ht="12" customHeight="1">
      <c r="C759" s="343" t="str">
        <f t="shared" ca="1" si="76"/>
        <v/>
      </c>
      <c r="D759" s="124" t="str">
        <f t="shared" ca="1" si="77"/>
        <v/>
      </c>
      <c r="E759" s="124" t="str">
        <f t="shared" ca="1" si="78"/>
        <v/>
      </c>
      <c r="F759" s="172" t="str">
        <f ca="1">IF(C759="","",[1]!S_DQ_CLOSE(D759,TODAY(),1))</f>
        <v/>
      </c>
      <c r="G759" s="173" t="str">
        <f ca="1">IF(C759="","",[1]!s_pq_pctchange(D759,TODAY()-$G$12,TODAY())/100)</f>
        <v/>
      </c>
      <c r="H759" s="249" t="str">
        <f ca="1">IF(C759="","",IF($H$11="收入",[1]!S_STM07_IS(D759,9,$G$5,$H$13)/$E$5,[1]!S_STM07_IS(D759,48,$G$5,$H$13)/$E$5))</f>
        <v/>
      </c>
      <c r="I759" s="249" t="str">
        <f ca="1">IF(C759="","",IF($I$11="毛利率",([1]!S_STM07_IS(D759,9,$G$5,$H$13)-[1]!S_STM07_IS(D759,10,$G$5,$H$13))/[1]!S_STM07_IS(D759,9,$G$5,$H$13),[1]!S_STM07_IS(D759,14,$G$5,$H$13)/$E$5))</f>
        <v/>
      </c>
      <c r="J759" s="249" t="str">
        <f ca="1">IF(C759="","",IF($J$11="营业利润率",[1]!S_STM07_IS(D759,48,$G$5,$H$13)/[1]!S_STM07_IS(D759,9,$G$5,$H$13),([1]!S_STM07_CS(D759,87,$G$5,$H$13)+[1]!S_STM07_CS(D759,88,$G$5,$H$13)+[1]!S_STM07_CS(D759,89,$G$5,$H$13))/$E$5))</f>
        <v/>
      </c>
      <c r="K759" s="249" t="str">
        <f ca="1">IF(C759="","",IF($K$11="净利润率",[1]!S_STM07_IS(D759,61,$G$5,$H$13)/[1]!S_STM07_IS(D759,9,$G$5,$H$13),[1]!S_STM07_IS(D759,55,$G$5,$H$13)/$E$5))</f>
        <v/>
      </c>
      <c r="L759" s="249" t="str">
        <f ca="1">IF(C759="","",IF($L$11="ROA",[1]!S_STM07_IS(D759,61,$G$5,$H$13)/[1]!S_STM07_BS(D759,74,$G$5,$H$13),1-[1]!S_STM07_IS(D759,61,$G$5,$H$13)/[1]!S_STM07_IS(D759,55,$G$5,$H$13)))</f>
        <v/>
      </c>
      <c r="M759" s="249" t="str">
        <f ca="1">IF(C759="","",IF($M$11="ROE",[1]!S_STM07_IS(D759,61,$G$5,$H$13)/[1]!S_STM07_BS(D759,141,$G$5,$H$13),([1]!S_STM07_BS(D759,25,$G$5,$H$13)-[1]!S_STM07_BS(D759,93,$G$5,$H$13))/$E$5))</f>
        <v/>
      </c>
      <c r="N759" s="250" t="str">
        <f ca="1">IF(C759="","",IF($N$11="EPS",[1]!S_STM07_IS(D759,61,$G$5,$H$13)/IF([1]!S_SHARE_TOTAL(D759,$G$5)=0,[1]!S_SHARE_TOTAL(D759,[1]!s_ipo_listeddate(D759)),[1]!S_SHARE_TOTAL(D759,$G$5)),([1]!S_STM07_BS(D759,75,$G$5,$H$13)+[1]!S_STM07_BS(D759,88,$G$5,$H$13)+[1]!S_STM07_BS(D759,94,$G$5,$H$13)+[1]!S_STM07_BS(D759,95,$G$5,$H$13))/$E$5))</f>
        <v/>
      </c>
      <c r="O759" s="250" t="str">
        <f ca="1">IF(C759="","",IF($O$11="BPS",[1]!S_STM07_BS(D759,141,$G$5,$H$13)/IF([1]!S_SHARE_TOTAL(D759,$G$5)=0,[1]!S_SHARE_TOTAL(D759,[1]!s_ipo_listeddate(D759)),[1]!S_SHARE_TOTAL(D759,$G$5)),[1]!S_STM07_CS(D759,49,$G$5,$H$13)/$E$5))</f>
        <v/>
      </c>
      <c r="P759" s="250" t="str">
        <f ca="1">IF(C759="","",IF($P$11="CFPS",[1]!S_STM07_CS(D759,84,$G$5,$H$13)/IF([1]!S_SHARE_TOTAL(D759,$G$5)=0,[1]!S_SHARE_TOTAL(D759,[1]!s_ipo_listeddate(D759)),[1]!S_SHARE_TOTAL(D759,$G$5)),[1]!S_STM07_CS(D759,84,$G$5,$H$13)/$E$5))</f>
        <v/>
      </c>
      <c r="Q759" s="198" t="str">
        <f ca="1">IF(C759="","",F759/([1]!S_STM07_IS(D759,61,$G$5,$H$13)/IF([1]!S_SHARE_TOTAL(D759,$G$5)=0,[1]!S_SHARE_TOTAL(D759,[1]!s_ipo_listeddate(D759)),[1]!S_SHARE_TOTAL(D759,$G$5))))</f>
        <v/>
      </c>
      <c r="R759" s="198" t="str">
        <f ca="1">IF(C759="","",F759/([1]!S_STM07_BS(D759,141,$G$5,$H$13)/IF([1]!S_SHARE_TOTAL(D759,$G$5)=0,[1]!S_SHARE_TOTAL(D759,[1]!s_ipo_listeddate(D759)),[1]!S_SHARE_TOTAL(D759,$G$5))))</f>
        <v/>
      </c>
      <c r="S759" s="249" t="str">
        <f ca="1">IF(C759="","",[1]!S_SHARE_TOTAL(D759,TODAY())/$E$5)</f>
        <v/>
      </c>
      <c r="T759" s="249" t="str">
        <f t="shared" ca="1" si="79"/>
        <v/>
      </c>
      <c r="U759" s="172" t="str">
        <f t="shared" ca="1" si="80"/>
        <v/>
      </c>
      <c r="V759" s="343" t="str">
        <f t="shared" ca="1" si="81"/>
        <v/>
      </c>
      <c r="W759" s="139"/>
      <c r="Y759" s="1"/>
    </row>
    <row r="760" spans="3:25" ht="12" customHeight="1">
      <c r="C760" s="342" t="str">
        <f t="shared" ca="1" si="76"/>
        <v/>
      </c>
      <c r="D760" s="153" t="str">
        <f t="shared" ca="1" si="77"/>
        <v/>
      </c>
      <c r="E760" s="153" t="str">
        <f t="shared" ca="1" si="78"/>
        <v/>
      </c>
      <c r="F760" s="170" t="str">
        <f ca="1">IF(C760="","",[1]!S_DQ_CLOSE(D760,TODAY(),1))</f>
        <v/>
      </c>
      <c r="G760" s="171" t="str">
        <f ca="1">IF(C760="","",[1]!s_pq_pctchange(D760,TODAY()-$G$12,TODAY())/100)</f>
        <v/>
      </c>
      <c r="H760" s="247" t="str">
        <f ca="1">IF(C760="","",IF($H$11="收入",[1]!S_STM07_IS(D760,9,$G$5,$H$13)/$E$5,[1]!S_STM07_IS(D760,48,$G$5,$H$13)/$E$5))</f>
        <v/>
      </c>
      <c r="I760" s="247" t="str">
        <f ca="1">IF(C760="","",IF($I$11="毛利率",([1]!S_STM07_IS(D760,9,$G$5,$H$13)-[1]!S_STM07_IS(D760,10,$G$5,$H$13))/[1]!S_STM07_IS(D760,9,$G$5,$H$13),[1]!S_STM07_IS(D760,14,$G$5,$H$13)/$E$5))</f>
        <v/>
      </c>
      <c r="J760" s="247" t="str">
        <f ca="1">IF(C760="","",IF($J$11="营业利润率",[1]!S_STM07_IS(D760,48,$G$5,$H$13)/[1]!S_STM07_IS(D760,9,$G$5,$H$13),([1]!S_STM07_CS(D760,87,$G$5,$H$13)+[1]!S_STM07_CS(D760,88,$G$5,$H$13)+[1]!S_STM07_CS(D760,89,$G$5,$H$13))/$E$5))</f>
        <v/>
      </c>
      <c r="K760" s="247" t="str">
        <f ca="1">IF(C760="","",IF($K$11="净利润率",[1]!S_STM07_IS(D760,61,$G$5,$H$13)/[1]!S_STM07_IS(D760,9,$G$5,$H$13),[1]!S_STM07_IS(D760,55,$G$5,$H$13)/$E$5))</f>
        <v/>
      </c>
      <c r="L760" s="247" t="str">
        <f ca="1">IF(C760="","",IF($L$11="ROA",[1]!S_STM07_IS(D760,61,$G$5,$H$13)/[1]!S_STM07_BS(D760,74,$G$5,$H$13),1-[1]!S_STM07_IS(D760,61,$G$5,$H$13)/[1]!S_STM07_IS(D760,55,$G$5,$H$13)))</f>
        <v/>
      </c>
      <c r="M760" s="247" t="str">
        <f ca="1">IF(C760="","",IF($M$11="ROE",[1]!S_STM07_IS(D760,61,$G$5,$H$13)/[1]!S_STM07_BS(D760,141,$G$5,$H$13),([1]!S_STM07_BS(D760,25,$G$5,$H$13)-[1]!S_STM07_BS(D760,93,$G$5,$H$13))/$E$5))</f>
        <v/>
      </c>
      <c r="N760" s="247" t="str">
        <f ca="1">IF(C760="","",IF($N$11="EPS",[1]!S_STM07_IS(D760,61,$G$5,$H$13)/IF([1]!S_SHARE_TOTAL(D760,$G$5)=0,[1]!S_SHARE_TOTAL(D760,[1]!s_ipo_listeddate(D760)),[1]!S_SHARE_TOTAL(D760,$G$5)),([1]!S_STM07_BS(D760,75,$G$5,$H$13)+[1]!S_STM07_BS(D760,88,$G$5,$H$13)+[1]!S_STM07_BS(D760,94,$G$5,$H$13)+[1]!S_STM07_BS(D760,95,$G$5,$H$13))/$E$5))</f>
        <v/>
      </c>
      <c r="O760" s="247" t="str">
        <f ca="1">IF(C760="","",IF($O$11="BPS",[1]!S_STM07_BS(D760,141,$G$5,$H$13)/IF([1]!S_SHARE_TOTAL(D760,$G$5)=0,[1]!S_SHARE_TOTAL(D760,[1]!s_ipo_listeddate(D760)),[1]!S_SHARE_TOTAL(D760,$G$5)),[1]!S_STM07_CS(D760,49,$G$5,$H$13)/$E$5))</f>
        <v/>
      </c>
      <c r="P760" s="247" t="str">
        <f ca="1">IF(C760="","",IF($P$11="CFPS",[1]!S_STM07_CS(D760,84,$G$5,$H$13)/IF([1]!S_SHARE_TOTAL(D760,$G$5)=0,[1]!S_SHARE_TOTAL(D760,[1]!s_ipo_listeddate(D760)),[1]!S_SHARE_TOTAL(D760,$G$5)),[1]!S_STM07_CS(D760,84,$G$5,$H$13)/$E$5))</f>
        <v/>
      </c>
      <c r="Q760" s="248" t="str">
        <f ca="1">IF(C760="","",F760/([1]!S_STM07_IS(D760,61,$G$5,$H$13)/IF([1]!S_SHARE_TOTAL(D760,$G$5)=0,[1]!S_SHARE_TOTAL(D760,[1]!s_ipo_listeddate(D760)),[1]!S_SHARE_TOTAL(D760,$G$5))))</f>
        <v/>
      </c>
      <c r="R760" s="248" t="str">
        <f ca="1">IF(C760="","",F760/([1]!S_STM07_BS(D760,141,$G$5,$H$13)/IF([1]!S_SHARE_TOTAL(D760,$G$5)=0,[1]!S_SHARE_TOTAL(D760,[1]!s_ipo_listeddate(D760)),[1]!S_SHARE_TOTAL(D760,$G$5))))</f>
        <v/>
      </c>
      <c r="S760" s="247" t="str">
        <f ca="1">IF(C760="","",[1]!S_SHARE_TOTAL(D760,TODAY())/$E$5)</f>
        <v/>
      </c>
      <c r="T760" s="247" t="str">
        <f t="shared" ca="1" si="79"/>
        <v/>
      </c>
      <c r="U760" s="218" t="str">
        <f t="shared" ca="1" si="80"/>
        <v/>
      </c>
      <c r="V760" s="342" t="str">
        <f t="shared" ca="1" si="81"/>
        <v/>
      </c>
      <c r="W760" s="139"/>
      <c r="Y760" s="1"/>
    </row>
    <row r="761" spans="3:25" ht="12" customHeight="1">
      <c r="C761" s="343" t="str">
        <f t="shared" ca="1" si="76"/>
        <v/>
      </c>
      <c r="D761" s="124" t="str">
        <f t="shared" ca="1" si="77"/>
        <v/>
      </c>
      <c r="E761" s="124" t="str">
        <f t="shared" ca="1" si="78"/>
        <v/>
      </c>
      <c r="F761" s="172" t="str">
        <f ca="1">IF(C761="","",[1]!S_DQ_CLOSE(D761,TODAY(),1))</f>
        <v/>
      </c>
      <c r="G761" s="173" t="str">
        <f ca="1">IF(C761="","",[1]!s_pq_pctchange(D761,TODAY()-$G$12,TODAY())/100)</f>
        <v/>
      </c>
      <c r="H761" s="249" t="str">
        <f ca="1">IF(C761="","",IF($H$11="收入",[1]!S_STM07_IS(D761,9,$G$5,$H$13)/$E$5,[1]!S_STM07_IS(D761,48,$G$5,$H$13)/$E$5))</f>
        <v/>
      </c>
      <c r="I761" s="249" t="str">
        <f ca="1">IF(C761="","",IF($I$11="毛利率",([1]!S_STM07_IS(D761,9,$G$5,$H$13)-[1]!S_STM07_IS(D761,10,$G$5,$H$13))/[1]!S_STM07_IS(D761,9,$G$5,$H$13),[1]!S_STM07_IS(D761,14,$G$5,$H$13)/$E$5))</f>
        <v/>
      </c>
      <c r="J761" s="249" t="str">
        <f ca="1">IF(C761="","",IF($J$11="营业利润率",[1]!S_STM07_IS(D761,48,$G$5,$H$13)/[1]!S_STM07_IS(D761,9,$G$5,$H$13),([1]!S_STM07_CS(D761,87,$G$5,$H$13)+[1]!S_STM07_CS(D761,88,$G$5,$H$13)+[1]!S_STM07_CS(D761,89,$G$5,$H$13))/$E$5))</f>
        <v/>
      </c>
      <c r="K761" s="249" t="str">
        <f ca="1">IF(C761="","",IF($K$11="净利润率",[1]!S_STM07_IS(D761,61,$G$5,$H$13)/[1]!S_STM07_IS(D761,9,$G$5,$H$13),[1]!S_STM07_IS(D761,55,$G$5,$H$13)/$E$5))</f>
        <v/>
      </c>
      <c r="L761" s="249" t="str">
        <f ca="1">IF(C761="","",IF($L$11="ROA",[1]!S_STM07_IS(D761,61,$G$5,$H$13)/[1]!S_STM07_BS(D761,74,$G$5,$H$13),1-[1]!S_STM07_IS(D761,61,$G$5,$H$13)/[1]!S_STM07_IS(D761,55,$G$5,$H$13)))</f>
        <v/>
      </c>
      <c r="M761" s="249" t="str">
        <f ca="1">IF(C761="","",IF($M$11="ROE",[1]!S_STM07_IS(D761,61,$G$5,$H$13)/[1]!S_STM07_BS(D761,141,$G$5,$H$13),([1]!S_STM07_BS(D761,25,$G$5,$H$13)-[1]!S_STM07_BS(D761,93,$G$5,$H$13))/$E$5))</f>
        <v/>
      </c>
      <c r="N761" s="250" t="str">
        <f ca="1">IF(C761="","",IF($N$11="EPS",[1]!S_STM07_IS(D761,61,$G$5,$H$13)/IF([1]!S_SHARE_TOTAL(D761,$G$5)=0,[1]!S_SHARE_TOTAL(D761,[1]!s_ipo_listeddate(D761)),[1]!S_SHARE_TOTAL(D761,$G$5)),([1]!S_STM07_BS(D761,75,$G$5,$H$13)+[1]!S_STM07_BS(D761,88,$G$5,$H$13)+[1]!S_STM07_BS(D761,94,$G$5,$H$13)+[1]!S_STM07_BS(D761,95,$G$5,$H$13))/$E$5))</f>
        <v/>
      </c>
      <c r="O761" s="250" t="str">
        <f ca="1">IF(C761="","",IF($O$11="BPS",[1]!S_STM07_BS(D761,141,$G$5,$H$13)/IF([1]!S_SHARE_TOTAL(D761,$G$5)=0,[1]!S_SHARE_TOTAL(D761,[1]!s_ipo_listeddate(D761)),[1]!S_SHARE_TOTAL(D761,$G$5)),[1]!S_STM07_CS(D761,49,$G$5,$H$13)/$E$5))</f>
        <v/>
      </c>
      <c r="P761" s="250" t="str">
        <f ca="1">IF(C761="","",IF($P$11="CFPS",[1]!S_STM07_CS(D761,84,$G$5,$H$13)/IF([1]!S_SHARE_TOTAL(D761,$G$5)=0,[1]!S_SHARE_TOTAL(D761,[1]!s_ipo_listeddate(D761)),[1]!S_SHARE_TOTAL(D761,$G$5)),[1]!S_STM07_CS(D761,84,$G$5,$H$13)/$E$5))</f>
        <v/>
      </c>
      <c r="Q761" s="198" t="str">
        <f ca="1">IF(C761="","",F761/([1]!S_STM07_IS(D761,61,$G$5,$H$13)/IF([1]!S_SHARE_TOTAL(D761,$G$5)=0,[1]!S_SHARE_TOTAL(D761,[1]!s_ipo_listeddate(D761)),[1]!S_SHARE_TOTAL(D761,$G$5))))</f>
        <v/>
      </c>
      <c r="R761" s="198" t="str">
        <f ca="1">IF(C761="","",F761/([1]!S_STM07_BS(D761,141,$G$5,$H$13)/IF([1]!S_SHARE_TOTAL(D761,$G$5)=0,[1]!S_SHARE_TOTAL(D761,[1]!s_ipo_listeddate(D761)),[1]!S_SHARE_TOTAL(D761,$G$5))))</f>
        <v/>
      </c>
      <c r="S761" s="249" t="str">
        <f ca="1">IF(C761="","",[1]!S_SHARE_TOTAL(D761,TODAY())/$E$5)</f>
        <v/>
      </c>
      <c r="T761" s="249" t="str">
        <f t="shared" ca="1" si="79"/>
        <v/>
      </c>
      <c r="U761" s="172" t="str">
        <f t="shared" ca="1" si="80"/>
        <v/>
      </c>
      <c r="V761" s="343" t="str">
        <f t="shared" ca="1" si="81"/>
        <v/>
      </c>
      <c r="W761" s="139"/>
      <c r="Y761" s="1"/>
    </row>
    <row r="762" spans="3:25" ht="12" customHeight="1">
      <c r="C762" s="342" t="str">
        <f t="shared" ca="1" si="76"/>
        <v/>
      </c>
      <c r="D762" s="153" t="str">
        <f t="shared" ca="1" si="77"/>
        <v/>
      </c>
      <c r="E762" s="153" t="str">
        <f t="shared" ca="1" si="78"/>
        <v/>
      </c>
      <c r="F762" s="170" t="str">
        <f ca="1">IF(C762="","",[1]!S_DQ_CLOSE(D762,TODAY(),1))</f>
        <v/>
      </c>
      <c r="G762" s="171" t="str">
        <f ca="1">IF(C762="","",[1]!s_pq_pctchange(D762,TODAY()-$G$12,TODAY())/100)</f>
        <v/>
      </c>
      <c r="H762" s="247" t="str">
        <f ca="1">IF(C762="","",IF($H$11="收入",[1]!S_STM07_IS(D762,9,$G$5,$H$13)/$E$5,[1]!S_STM07_IS(D762,48,$G$5,$H$13)/$E$5))</f>
        <v/>
      </c>
      <c r="I762" s="247" t="str">
        <f ca="1">IF(C762="","",IF($I$11="毛利率",([1]!S_STM07_IS(D762,9,$G$5,$H$13)-[1]!S_STM07_IS(D762,10,$G$5,$H$13))/[1]!S_STM07_IS(D762,9,$G$5,$H$13),[1]!S_STM07_IS(D762,14,$G$5,$H$13)/$E$5))</f>
        <v/>
      </c>
      <c r="J762" s="247" t="str">
        <f ca="1">IF(C762="","",IF($J$11="营业利润率",[1]!S_STM07_IS(D762,48,$G$5,$H$13)/[1]!S_STM07_IS(D762,9,$G$5,$H$13),([1]!S_STM07_CS(D762,87,$G$5,$H$13)+[1]!S_STM07_CS(D762,88,$G$5,$H$13)+[1]!S_STM07_CS(D762,89,$G$5,$H$13))/$E$5))</f>
        <v/>
      </c>
      <c r="K762" s="247" t="str">
        <f ca="1">IF(C762="","",IF($K$11="净利润率",[1]!S_STM07_IS(D762,61,$G$5,$H$13)/[1]!S_STM07_IS(D762,9,$G$5,$H$13),[1]!S_STM07_IS(D762,55,$G$5,$H$13)/$E$5))</f>
        <v/>
      </c>
      <c r="L762" s="247" t="str">
        <f ca="1">IF(C762="","",IF($L$11="ROA",[1]!S_STM07_IS(D762,61,$G$5,$H$13)/[1]!S_STM07_BS(D762,74,$G$5,$H$13),1-[1]!S_STM07_IS(D762,61,$G$5,$H$13)/[1]!S_STM07_IS(D762,55,$G$5,$H$13)))</f>
        <v/>
      </c>
      <c r="M762" s="247" t="str">
        <f ca="1">IF(C762="","",IF($M$11="ROE",[1]!S_STM07_IS(D762,61,$G$5,$H$13)/[1]!S_STM07_BS(D762,141,$G$5,$H$13),([1]!S_STM07_BS(D762,25,$G$5,$H$13)-[1]!S_STM07_BS(D762,93,$G$5,$H$13))/$E$5))</f>
        <v/>
      </c>
      <c r="N762" s="247" t="str">
        <f ca="1">IF(C762="","",IF($N$11="EPS",[1]!S_STM07_IS(D762,61,$G$5,$H$13)/IF([1]!S_SHARE_TOTAL(D762,$G$5)=0,[1]!S_SHARE_TOTAL(D762,[1]!s_ipo_listeddate(D762)),[1]!S_SHARE_TOTAL(D762,$G$5)),([1]!S_STM07_BS(D762,75,$G$5,$H$13)+[1]!S_STM07_BS(D762,88,$G$5,$H$13)+[1]!S_STM07_BS(D762,94,$G$5,$H$13)+[1]!S_STM07_BS(D762,95,$G$5,$H$13))/$E$5))</f>
        <v/>
      </c>
      <c r="O762" s="247" t="str">
        <f ca="1">IF(C762="","",IF($O$11="BPS",[1]!S_STM07_BS(D762,141,$G$5,$H$13)/IF([1]!S_SHARE_TOTAL(D762,$G$5)=0,[1]!S_SHARE_TOTAL(D762,[1]!s_ipo_listeddate(D762)),[1]!S_SHARE_TOTAL(D762,$G$5)),[1]!S_STM07_CS(D762,49,$G$5,$H$13)/$E$5))</f>
        <v/>
      </c>
      <c r="P762" s="247" t="str">
        <f ca="1">IF(C762="","",IF($P$11="CFPS",[1]!S_STM07_CS(D762,84,$G$5,$H$13)/IF([1]!S_SHARE_TOTAL(D762,$G$5)=0,[1]!S_SHARE_TOTAL(D762,[1]!s_ipo_listeddate(D762)),[1]!S_SHARE_TOTAL(D762,$G$5)),[1]!S_STM07_CS(D762,84,$G$5,$H$13)/$E$5))</f>
        <v/>
      </c>
      <c r="Q762" s="248" t="str">
        <f ca="1">IF(C762="","",F762/([1]!S_STM07_IS(D762,61,$G$5,$H$13)/IF([1]!S_SHARE_TOTAL(D762,$G$5)=0,[1]!S_SHARE_TOTAL(D762,[1]!s_ipo_listeddate(D762)),[1]!S_SHARE_TOTAL(D762,$G$5))))</f>
        <v/>
      </c>
      <c r="R762" s="248" t="str">
        <f ca="1">IF(C762="","",F762/([1]!S_STM07_BS(D762,141,$G$5,$H$13)/IF([1]!S_SHARE_TOTAL(D762,$G$5)=0,[1]!S_SHARE_TOTAL(D762,[1]!s_ipo_listeddate(D762)),[1]!S_SHARE_TOTAL(D762,$G$5))))</f>
        <v/>
      </c>
      <c r="S762" s="247" t="str">
        <f ca="1">IF(C762="","",[1]!S_SHARE_TOTAL(D762,TODAY())/$E$5)</f>
        <v/>
      </c>
      <c r="T762" s="247" t="str">
        <f t="shared" ca="1" si="79"/>
        <v/>
      </c>
      <c r="U762" s="218" t="str">
        <f t="shared" ca="1" si="80"/>
        <v/>
      </c>
      <c r="V762" s="342" t="str">
        <f t="shared" ca="1" si="81"/>
        <v/>
      </c>
      <c r="W762" s="139"/>
      <c r="Y762" s="1"/>
    </row>
    <row r="763" spans="3:25" ht="12" customHeight="1">
      <c r="C763" s="343" t="str">
        <f t="shared" ca="1" si="76"/>
        <v/>
      </c>
      <c r="D763" s="124" t="str">
        <f t="shared" ca="1" si="77"/>
        <v/>
      </c>
      <c r="E763" s="124" t="str">
        <f t="shared" ca="1" si="78"/>
        <v/>
      </c>
      <c r="F763" s="172" t="str">
        <f ca="1">IF(C763="","",[1]!S_DQ_CLOSE(D763,TODAY(),1))</f>
        <v/>
      </c>
      <c r="G763" s="173" t="str">
        <f ca="1">IF(C763="","",[1]!s_pq_pctchange(D763,TODAY()-$G$12,TODAY())/100)</f>
        <v/>
      </c>
      <c r="H763" s="249" t="str">
        <f ca="1">IF(C763="","",IF($H$11="收入",[1]!S_STM07_IS(D763,9,$G$5,$H$13)/$E$5,[1]!S_STM07_IS(D763,48,$G$5,$H$13)/$E$5))</f>
        <v/>
      </c>
      <c r="I763" s="249" t="str">
        <f ca="1">IF(C763="","",IF($I$11="毛利率",([1]!S_STM07_IS(D763,9,$G$5,$H$13)-[1]!S_STM07_IS(D763,10,$G$5,$H$13))/[1]!S_STM07_IS(D763,9,$G$5,$H$13),[1]!S_STM07_IS(D763,14,$G$5,$H$13)/$E$5))</f>
        <v/>
      </c>
      <c r="J763" s="249" t="str">
        <f ca="1">IF(C763="","",IF($J$11="营业利润率",[1]!S_STM07_IS(D763,48,$G$5,$H$13)/[1]!S_STM07_IS(D763,9,$G$5,$H$13),([1]!S_STM07_CS(D763,87,$G$5,$H$13)+[1]!S_STM07_CS(D763,88,$G$5,$H$13)+[1]!S_STM07_CS(D763,89,$G$5,$H$13))/$E$5))</f>
        <v/>
      </c>
      <c r="K763" s="249" t="str">
        <f ca="1">IF(C763="","",IF($K$11="净利润率",[1]!S_STM07_IS(D763,61,$G$5,$H$13)/[1]!S_STM07_IS(D763,9,$G$5,$H$13),[1]!S_STM07_IS(D763,55,$G$5,$H$13)/$E$5))</f>
        <v/>
      </c>
      <c r="L763" s="249" t="str">
        <f ca="1">IF(C763="","",IF($L$11="ROA",[1]!S_STM07_IS(D763,61,$G$5,$H$13)/[1]!S_STM07_BS(D763,74,$G$5,$H$13),1-[1]!S_STM07_IS(D763,61,$G$5,$H$13)/[1]!S_STM07_IS(D763,55,$G$5,$H$13)))</f>
        <v/>
      </c>
      <c r="M763" s="249" t="str">
        <f ca="1">IF(C763="","",IF($M$11="ROE",[1]!S_STM07_IS(D763,61,$G$5,$H$13)/[1]!S_STM07_BS(D763,141,$G$5,$H$13),([1]!S_STM07_BS(D763,25,$G$5,$H$13)-[1]!S_STM07_BS(D763,93,$G$5,$H$13))/$E$5))</f>
        <v/>
      </c>
      <c r="N763" s="250" t="str">
        <f ca="1">IF(C763="","",IF($N$11="EPS",[1]!S_STM07_IS(D763,61,$G$5,$H$13)/IF([1]!S_SHARE_TOTAL(D763,$G$5)=0,[1]!S_SHARE_TOTAL(D763,[1]!s_ipo_listeddate(D763)),[1]!S_SHARE_TOTAL(D763,$G$5)),([1]!S_STM07_BS(D763,75,$G$5,$H$13)+[1]!S_STM07_BS(D763,88,$G$5,$H$13)+[1]!S_STM07_BS(D763,94,$G$5,$H$13)+[1]!S_STM07_BS(D763,95,$G$5,$H$13))/$E$5))</f>
        <v/>
      </c>
      <c r="O763" s="250" t="str">
        <f ca="1">IF(C763="","",IF($O$11="BPS",[1]!S_STM07_BS(D763,141,$G$5,$H$13)/IF([1]!S_SHARE_TOTAL(D763,$G$5)=0,[1]!S_SHARE_TOTAL(D763,[1]!s_ipo_listeddate(D763)),[1]!S_SHARE_TOTAL(D763,$G$5)),[1]!S_STM07_CS(D763,49,$G$5,$H$13)/$E$5))</f>
        <v/>
      </c>
      <c r="P763" s="250" t="str">
        <f ca="1">IF(C763="","",IF($P$11="CFPS",[1]!S_STM07_CS(D763,84,$G$5,$H$13)/IF([1]!S_SHARE_TOTAL(D763,$G$5)=0,[1]!S_SHARE_TOTAL(D763,[1]!s_ipo_listeddate(D763)),[1]!S_SHARE_TOTAL(D763,$G$5)),[1]!S_STM07_CS(D763,84,$G$5,$H$13)/$E$5))</f>
        <v/>
      </c>
      <c r="Q763" s="198" t="str">
        <f ca="1">IF(C763="","",F763/([1]!S_STM07_IS(D763,61,$G$5,$H$13)/IF([1]!S_SHARE_TOTAL(D763,$G$5)=0,[1]!S_SHARE_TOTAL(D763,[1]!s_ipo_listeddate(D763)),[1]!S_SHARE_TOTAL(D763,$G$5))))</f>
        <v/>
      </c>
      <c r="R763" s="198" t="str">
        <f ca="1">IF(C763="","",F763/([1]!S_STM07_BS(D763,141,$G$5,$H$13)/IF([1]!S_SHARE_TOTAL(D763,$G$5)=0,[1]!S_SHARE_TOTAL(D763,[1]!s_ipo_listeddate(D763)),[1]!S_SHARE_TOTAL(D763,$G$5))))</f>
        <v/>
      </c>
      <c r="S763" s="249" t="str">
        <f ca="1">IF(C763="","",[1]!S_SHARE_TOTAL(D763,TODAY())/$E$5)</f>
        <v/>
      </c>
      <c r="T763" s="249" t="str">
        <f t="shared" ca="1" si="79"/>
        <v/>
      </c>
      <c r="U763" s="172" t="str">
        <f t="shared" ca="1" si="80"/>
        <v/>
      </c>
      <c r="V763" s="343" t="str">
        <f t="shared" ca="1" si="81"/>
        <v/>
      </c>
      <c r="W763" s="139"/>
      <c r="Y763" s="1"/>
    </row>
    <row r="764" spans="3:25" ht="12" customHeight="1">
      <c r="C764" s="342" t="str">
        <f t="shared" ca="1" si="76"/>
        <v/>
      </c>
      <c r="D764" s="153" t="str">
        <f t="shared" ca="1" si="77"/>
        <v/>
      </c>
      <c r="E764" s="153" t="str">
        <f t="shared" ca="1" si="78"/>
        <v/>
      </c>
      <c r="F764" s="170" t="str">
        <f ca="1">IF(C764="","",[1]!S_DQ_CLOSE(D764,TODAY(),1))</f>
        <v/>
      </c>
      <c r="G764" s="171" t="str">
        <f ca="1">IF(C764="","",[1]!s_pq_pctchange(D764,TODAY()-$G$12,TODAY())/100)</f>
        <v/>
      </c>
      <c r="H764" s="247" t="str">
        <f ca="1">IF(C764="","",IF($H$11="收入",[1]!S_STM07_IS(D764,9,$G$5,$H$13)/$E$5,[1]!S_STM07_IS(D764,48,$G$5,$H$13)/$E$5))</f>
        <v/>
      </c>
      <c r="I764" s="247" t="str">
        <f ca="1">IF(C764="","",IF($I$11="毛利率",([1]!S_STM07_IS(D764,9,$G$5,$H$13)-[1]!S_STM07_IS(D764,10,$G$5,$H$13))/[1]!S_STM07_IS(D764,9,$G$5,$H$13),[1]!S_STM07_IS(D764,14,$G$5,$H$13)/$E$5))</f>
        <v/>
      </c>
      <c r="J764" s="247" t="str">
        <f ca="1">IF(C764="","",IF($J$11="营业利润率",[1]!S_STM07_IS(D764,48,$G$5,$H$13)/[1]!S_STM07_IS(D764,9,$G$5,$H$13),([1]!S_STM07_CS(D764,87,$G$5,$H$13)+[1]!S_STM07_CS(D764,88,$G$5,$H$13)+[1]!S_STM07_CS(D764,89,$G$5,$H$13))/$E$5))</f>
        <v/>
      </c>
      <c r="K764" s="247" t="str">
        <f ca="1">IF(C764="","",IF($K$11="净利润率",[1]!S_STM07_IS(D764,61,$G$5,$H$13)/[1]!S_STM07_IS(D764,9,$G$5,$H$13),[1]!S_STM07_IS(D764,55,$G$5,$H$13)/$E$5))</f>
        <v/>
      </c>
      <c r="L764" s="247" t="str">
        <f ca="1">IF(C764="","",IF($L$11="ROA",[1]!S_STM07_IS(D764,61,$G$5,$H$13)/[1]!S_STM07_BS(D764,74,$G$5,$H$13),1-[1]!S_STM07_IS(D764,61,$G$5,$H$13)/[1]!S_STM07_IS(D764,55,$G$5,$H$13)))</f>
        <v/>
      </c>
      <c r="M764" s="247" t="str">
        <f ca="1">IF(C764="","",IF($M$11="ROE",[1]!S_STM07_IS(D764,61,$G$5,$H$13)/[1]!S_STM07_BS(D764,141,$G$5,$H$13),([1]!S_STM07_BS(D764,25,$G$5,$H$13)-[1]!S_STM07_BS(D764,93,$G$5,$H$13))/$E$5))</f>
        <v/>
      </c>
      <c r="N764" s="247" t="str">
        <f ca="1">IF(C764="","",IF($N$11="EPS",[1]!S_STM07_IS(D764,61,$G$5,$H$13)/IF([1]!S_SHARE_TOTAL(D764,$G$5)=0,[1]!S_SHARE_TOTAL(D764,[1]!s_ipo_listeddate(D764)),[1]!S_SHARE_TOTAL(D764,$G$5)),([1]!S_STM07_BS(D764,75,$G$5,$H$13)+[1]!S_STM07_BS(D764,88,$G$5,$H$13)+[1]!S_STM07_BS(D764,94,$G$5,$H$13)+[1]!S_STM07_BS(D764,95,$G$5,$H$13))/$E$5))</f>
        <v/>
      </c>
      <c r="O764" s="247" t="str">
        <f ca="1">IF(C764="","",IF($O$11="BPS",[1]!S_STM07_BS(D764,141,$G$5,$H$13)/IF([1]!S_SHARE_TOTAL(D764,$G$5)=0,[1]!S_SHARE_TOTAL(D764,[1]!s_ipo_listeddate(D764)),[1]!S_SHARE_TOTAL(D764,$G$5)),[1]!S_STM07_CS(D764,49,$G$5,$H$13)/$E$5))</f>
        <v/>
      </c>
      <c r="P764" s="247" t="str">
        <f ca="1">IF(C764="","",IF($P$11="CFPS",[1]!S_STM07_CS(D764,84,$G$5,$H$13)/IF([1]!S_SHARE_TOTAL(D764,$G$5)=0,[1]!S_SHARE_TOTAL(D764,[1]!s_ipo_listeddate(D764)),[1]!S_SHARE_TOTAL(D764,$G$5)),[1]!S_STM07_CS(D764,84,$G$5,$H$13)/$E$5))</f>
        <v/>
      </c>
      <c r="Q764" s="248" t="str">
        <f ca="1">IF(C764="","",F764/([1]!S_STM07_IS(D764,61,$G$5,$H$13)/IF([1]!S_SHARE_TOTAL(D764,$G$5)=0,[1]!S_SHARE_TOTAL(D764,[1]!s_ipo_listeddate(D764)),[1]!S_SHARE_TOTAL(D764,$G$5))))</f>
        <v/>
      </c>
      <c r="R764" s="248" t="str">
        <f ca="1">IF(C764="","",F764/([1]!S_STM07_BS(D764,141,$G$5,$H$13)/IF([1]!S_SHARE_TOTAL(D764,$G$5)=0,[1]!S_SHARE_TOTAL(D764,[1]!s_ipo_listeddate(D764)),[1]!S_SHARE_TOTAL(D764,$G$5))))</f>
        <v/>
      </c>
      <c r="S764" s="247" t="str">
        <f ca="1">IF(C764="","",[1]!S_SHARE_TOTAL(D764,TODAY())/$E$5)</f>
        <v/>
      </c>
      <c r="T764" s="247" t="str">
        <f t="shared" ca="1" si="79"/>
        <v/>
      </c>
      <c r="U764" s="218" t="str">
        <f t="shared" ca="1" si="80"/>
        <v/>
      </c>
      <c r="V764" s="342" t="str">
        <f t="shared" ca="1" si="81"/>
        <v/>
      </c>
      <c r="W764" s="139"/>
      <c r="Y764" s="1"/>
    </row>
    <row r="765" spans="3:25" ht="12" customHeight="1">
      <c r="C765" s="343" t="str">
        <f t="shared" ca="1" si="76"/>
        <v/>
      </c>
      <c r="D765" s="124" t="str">
        <f t="shared" ca="1" si="77"/>
        <v/>
      </c>
      <c r="E765" s="124" t="str">
        <f t="shared" ca="1" si="78"/>
        <v/>
      </c>
      <c r="F765" s="172" t="str">
        <f ca="1">IF(C765="","",[1]!S_DQ_CLOSE(D765,TODAY(),1))</f>
        <v/>
      </c>
      <c r="G765" s="173" t="str">
        <f ca="1">IF(C765="","",[1]!s_pq_pctchange(D765,TODAY()-$G$12,TODAY())/100)</f>
        <v/>
      </c>
      <c r="H765" s="249" t="str">
        <f ca="1">IF(C765="","",IF($H$11="收入",[1]!S_STM07_IS(D765,9,$G$5,$H$13)/$E$5,[1]!S_STM07_IS(D765,48,$G$5,$H$13)/$E$5))</f>
        <v/>
      </c>
      <c r="I765" s="249" t="str">
        <f ca="1">IF(C765="","",IF($I$11="毛利率",([1]!S_STM07_IS(D765,9,$G$5,$H$13)-[1]!S_STM07_IS(D765,10,$G$5,$H$13))/[1]!S_STM07_IS(D765,9,$G$5,$H$13),[1]!S_STM07_IS(D765,14,$G$5,$H$13)/$E$5))</f>
        <v/>
      </c>
      <c r="J765" s="249" t="str">
        <f ca="1">IF(C765="","",IF($J$11="营业利润率",[1]!S_STM07_IS(D765,48,$G$5,$H$13)/[1]!S_STM07_IS(D765,9,$G$5,$H$13),([1]!S_STM07_CS(D765,87,$G$5,$H$13)+[1]!S_STM07_CS(D765,88,$G$5,$H$13)+[1]!S_STM07_CS(D765,89,$G$5,$H$13))/$E$5))</f>
        <v/>
      </c>
      <c r="K765" s="249" t="str">
        <f ca="1">IF(C765="","",IF($K$11="净利润率",[1]!S_STM07_IS(D765,61,$G$5,$H$13)/[1]!S_STM07_IS(D765,9,$G$5,$H$13),[1]!S_STM07_IS(D765,55,$G$5,$H$13)/$E$5))</f>
        <v/>
      </c>
      <c r="L765" s="249" t="str">
        <f ca="1">IF(C765="","",IF($L$11="ROA",[1]!S_STM07_IS(D765,61,$G$5,$H$13)/[1]!S_STM07_BS(D765,74,$G$5,$H$13),1-[1]!S_STM07_IS(D765,61,$G$5,$H$13)/[1]!S_STM07_IS(D765,55,$G$5,$H$13)))</f>
        <v/>
      </c>
      <c r="M765" s="249" t="str">
        <f ca="1">IF(C765="","",IF($M$11="ROE",[1]!S_STM07_IS(D765,61,$G$5,$H$13)/[1]!S_STM07_BS(D765,141,$G$5,$H$13),([1]!S_STM07_BS(D765,25,$G$5,$H$13)-[1]!S_STM07_BS(D765,93,$G$5,$H$13))/$E$5))</f>
        <v/>
      </c>
      <c r="N765" s="250" t="str">
        <f ca="1">IF(C765="","",IF($N$11="EPS",[1]!S_STM07_IS(D765,61,$G$5,$H$13)/IF([1]!S_SHARE_TOTAL(D765,$G$5)=0,[1]!S_SHARE_TOTAL(D765,[1]!s_ipo_listeddate(D765)),[1]!S_SHARE_TOTAL(D765,$G$5)),([1]!S_STM07_BS(D765,75,$G$5,$H$13)+[1]!S_STM07_BS(D765,88,$G$5,$H$13)+[1]!S_STM07_BS(D765,94,$G$5,$H$13)+[1]!S_STM07_BS(D765,95,$G$5,$H$13))/$E$5))</f>
        <v/>
      </c>
      <c r="O765" s="250" t="str">
        <f ca="1">IF(C765="","",IF($O$11="BPS",[1]!S_STM07_BS(D765,141,$G$5,$H$13)/IF([1]!S_SHARE_TOTAL(D765,$G$5)=0,[1]!S_SHARE_TOTAL(D765,[1]!s_ipo_listeddate(D765)),[1]!S_SHARE_TOTAL(D765,$G$5)),[1]!S_STM07_CS(D765,49,$G$5,$H$13)/$E$5))</f>
        <v/>
      </c>
      <c r="P765" s="250" t="str">
        <f ca="1">IF(C765="","",IF($P$11="CFPS",[1]!S_STM07_CS(D765,84,$G$5,$H$13)/IF([1]!S_SHARE_TOTAL(D765,$G$5)=0,[1]!S_SHARE_TOTAL(D765,[1]!s_ipo_listeddate(D765)),[1]!S_SHARE_TOTAL(D765,$G$5)),[1]!S_STM07_CS(D765,84,$G$5,$H$13)/$E$5))</f>
        <v/>
      </c>
      <c r="Q765" s="198" t="str">
        <f ca="1">IF(C765="","",F765/([1]!S_STM07_IS(D765,61,$G$5,$H$13)/IF([1]!S_SHARE_TOTAL(D765,$G$5)=0,[1]!S_SHARE_TOTAL(D765,[1]!s_ipo_listeddate(D765)),[1]!S_SHARE_TOTAL(D765,$G$5))))</f>
        <v/>
      </c>
      <c r="R765" s="198" t="str">
        <f ca="1">IF(C765="","",F765/([1]!S_STM07_BS(D765,141,$G$5,$H$13)/IF([1]!S_SHARE_TOTAL(D765,$G$5)=0,[1]!S_SHARE_TOTAL(D765,[1]!s_ipo_listeddate(D765)),[1]!S_SHARE_TOTAL(D765,$G$5))))</f>
        <v/>
      </c>
      <c r="S765" s="249" t="str">
        <f ca="1">IF(C765="","",[1]!S_SHARE_TOTAL(D765,TODAY())/$E$5)</f>
        <v/>
      </c>
      <c r="T765" s="249" t="str">
        <f t="shared" ca="1" si="79"/>
        <v/>
      </c>
      <c r="U765" s="172" t="str">
        <f t="shared" ca="1" si="80"/>
        <v/>
      </c>
      <c r="V765" s="343" t="str">
        <f t="shared" ca="1" si="81"/>
        <v/>
      </c>
      <c r="W765" s="139"/>
      <c r="Y765" s="1"/>
    </row>
    <row r="766" spans="3:25" ht="12" customHeight="1">
      <c r="C766" s="342" t="str">
        <f t="shared" ca="1" si="76"/>
        <v/>
      </c>
      <c r="D766" s="153" t="str">
        <f t="shared" ca="1" si="77"/>
        <v/>
      </c>
      <c r="E766" s="153" t="str">
        <f t="shared" ca="1" si="78"/>
        <v/>
      </c>
      <c r="F766" s="170" t="str">
        <f ca="1">IF(C766="","",[1]!S_DQ_CLOSE(D766,TODAY(),1))</f>
        <v/>
      </c>
      <c r="G766" s="171" t="str">
        <f ca="1">IF(C766="","",[1]!s_pq_pctchange(D766,TODAY()-$G$12,TODAY())/100)</f>
        <v/>
      </c>
      <c r="H766" s="247" t="str">
        <f ca="1">IF(C766="","",IF($H$11="收入",[1]!S_STM07_IS(D766,9,$G$5,$H$13)/$E$5,[1]!S_STM07_IS(D766,48,$G$5,$H$13)/$E$5))</f>
        <v/>
      </c>
      <c r="I766" s="247" t="str">
        <f ca="1">IF(C766="","",IF($I$11="毛利率",([1]!S_STM07_IS(D766,9,$G$5,$H$13)-[1]!S_STM07_IS(D766,10,$G$5,$H$13))/[1]!S_STM07_IS(D766,9,$G$5,$H$13),[1]!S_STM07_IS(D766,14,$G$5,$H$13)/$E$5))</f>
        <v/>
      </c>
      <c r="J766" s="247" t="str">
        <f ca="1">IF(C766="","",IF($J$11="营业利润率",[1]!S_STM07_IS(D766,48,$G$5,$H$13)/[1]!S_STM07_IS(D766,9,$G$5,$H$13),([1]!S_STM07_CS(D766,87,$G$5,$H$13)+[1]!S_STM07_CS(D766,88,$G$5,$H$13)+[1]!S_STM07_CS(D766,89,$G$5,$H$13))/$E$5))</f>
        <v/>
      </c>
      <c r="K766" s="247" t="str">
        <f ca="1">IF(C766="","",IF($K$11="净利润率",[1]!S_STM07_IS(D766,61,$G$5,$H$13)/[1]!S_STM07_IS(D766,9,$G$5,$H$13),[1]!S_STM07_IS(D766,55,$G$5,$H$13)/$E$5))</f>
        <v/>
      </c>
      <c r="L766" s="247" t="str">
        <f ca="1">IF(C766="","",IF($L$11="ROA",[1]!S_STM07_IS(D766,61,$G$5,$H$13)/[1]!S_STM07_BS(D766,74,$G$5,$H$13),1-[1]!S_STM07_IS(D766,61,$G$5,$H$13)/[1]!S_STM07_IS(D766,55,$G$5,$H$13)))</f>
        <v/>
      </c>
      <c r="M766" s="247" t="str">
        <f ca="1">IF(C766="","",IF($M$11="ROE",[1]!S_STM07_IS(D766,61,$G$5,$H$13)/[1]!S_STM07_BS(D766,141,$G$5,$H$13),([1]!S_STM07_BS(D766,25,$G$5,$H$13)-[1]!S_STM07_BS(D766,93,$G$5,$H$13))/$E$5))</f>
        <v/>
      </c>
      <c r="N766" s="247" t="str">
        <f ca="1">IF(C766="","",IF($N$11="EPS",[1]!S_STM07_IS(D766,61,$G$5,$H$13)/IF([1]!S_SHARE_TOTAL(D766,$G$5)=0,[1]!S_SHARE_TOTAL(D766,[1]!s_ipo_listeddate(D766)),[1]!S_SHARE_TOTAL(D766,$G$5)),([1]!S_STM07_BS(D766,75,$G$5,$H$13)+[1]!S_STM07_BS(D766,88,$G$5,$H$13)+[1]!S_STM07_BS(D766,94,$G$5,$H$13)+[1]!S_STM07_BS(D766,95,$G$5,$H$13))/$E$5))</f>
        <v/>
      </c>
      <c r="O766" s="247" t="str">
        <f ca="1">IF(C766="","",IF($O$11="BPS",[1]!S_STM07_BS(D766,141,$G$5,$H$13)/IF([1]!S_SHARE_TOTAL(D766,$G$5)=0,[1]!S_SHARE_TOTAL(D766,[1]!s_ipo_listeddate(D766)),[1]!S_SHARE_TOTAL(D766,$G$5)),[1]!S_STM07_CS(D766,49,$G$5,$H$13)/$E$5))</f>
        <v/>
      </c>
      <c r="P766" s="247" t="str">
        <f ca="1">IF(C766="","",IF($P$11="CFPS",[1]!S_STM07_CS(D766,84,$G$5,$H$13)/IF([1]!S_SHARE_TOTAL(D766,$G$5)=0,[1]!S_SHARE_TOTAL(D766,[1]!s_ipo_listeddate(D766)),[1]!S_SHARE_TOTAL(D766,$G$5)),[1]!S_STM07_CS(D766,84,$G$5,$H$13)/$E$5))</f>
        <v/>
      </c>
      <c r="Q766" s="248" t="str">
        <f ca="1">IF(C766="","",F766/([1]!S_STM07_IS(D766,61,$G$5,$H$13)/IF([1]!S_SHARE_TOTAL(D766,$G$5)=0,[1]!S_SHARE_TOTAL(D766,[1]!s_ipo_listeddate(D766)),[1]!S_SHARE_TOTAL(D766,$G$5))))</f>
        <v/>
      </c>
      <c r="R766" s="248" t="str">
        <f ca="1">IF(C766="","",F766/([1]!S_STM07_BS(D766,141,$G$5,$H$13)/IF([1]!S_SHARE_TOTAL(D766,$G$5)=0,[1]!S_SHARE_TOTAL(D766,[1]!s_ipo_listeddate(D766)),[1]!S_SHARE_TOTAL(D766,$G$5))))</f>
        <v/>
      </c>
      <c r="S766" s="247" t="str">
        <f ca="1">IF(C766="","",[1]!S_SHARE_TOTAL(D766,TODAY())/$E$5)</f>
        <v/>
      </c>
      <c r="T766" s="247" t="str">
        <f t="shared" ca="1" si="79"/>
        <v/>
      </c>
      <c r="U766" s="218" t="str">
        <f t="shared" ca="1" si="80"/>
        <v/>
      </c>
      <c r="V766" s="342" t="str">
        <f t="shared" ca="1" si="81"/>
        <v/>
      </c>
      <c r="W766" s="139"/>
      <c r="Y766" s="1"/>
    </row>
    <row r="767" spans="3:25" ht="12" customHeight="1">
      <c r="C767" s="343" t="str">
        <f t="shared" ca="1" si="76"/>
        <v/>
      </c>
      <c r="D767" s="124" t="str">
        <f t="shared" ca="1" si="77"/>
        <v/>
      </c>
      <c r="E767" s="124" t="str">
        <f t="shared" ca="1" si="78"/>
        <v/>
      </c>
      <c r="F767" s="172" t="str">
        <f ca="1">IF(C767="","",[1]!S_DQ_CLOSE(D767,TODAY(),1))</f>
        <v/>
      </c>
      <c r="G767" s="173" t="str">
        <f ca="1">IF(C767="","",[1]!s_pq_pctchange(D767,TODAY()-$G$12,TODAY())/100)</f>
        <v/>
      </c>
      <c r="H767" s="249" t="str">
        <f ca="1">IF(C767="","",IF($H$11="收入",[1]!S_STM07_IS(D767,9,$G$5,$H$13)/$E$5,[1]!S_STM07_IS(D767,48,$G$5,$H$13)/$E$5))</f>
        <v/>
      </c>
      <c r="I767" s="249" t="str">
        <f ca="1">IF(C767="","",IF($I$11="毛利率",([1]!S_STM07_IS(D767,9,$G$5,$H$13)-[1]!S_STM07_IS(D767,10,$G$5,$H$13))/[1]!S_STM07_IS(D767,9,$G$5,$H$13),[1]!S_STM07_IS(D767,14,$G$5,$H$13)/$E$5))</f>
        <v/>
      </c>
      <c r="J767" s="249" t="str">
        <f ca="1">IF(C767="","",IF($J$11="营业利润率",[1]!S_STM07_IS(D767,48,$G$5,$H$13)/[1]!S_STM07_IS(D767,9,$G$5,$H$13),([1]!S_STM07_CS(D767,87,$G$5,$H$13)+[1]!S_STM07_CS(D767,88,$G$5,$H$13)+[1]!S_STM07_CS(D767,89,$G$5,$H$13))/$E$5))</f>
        <v/>
      </c>
      <c r="K767" s="249" t="str">
        <f ca="1">IF(C767="","",IF($K$11="净利润率",[1]!S_STM07_IS(D767,61,$G$5,$H$13)/[1]!S_STM07_IS(D767,9,$G$5,$H$13),[1]!S_STM07_IS(D767,55,$G$5,$H$13)/$E$5))</f>
        <v/>
      </c>
      <c r="L767" s="249" t="str">
        <f ca="1">IF(C767="","",IF($L$11="ROA",[1]!S_STM07_IS(D767,61,$G$5,$H$13)/[1]!S_STM07_BS(D767,74,$G$5,$H$13),1-[1]!S_STM07_IS(D767,61,$G$5,$H$13)/[1]!S_STM07_IS(D767,55,$G$5,$H$13)))</f>
        <v/>
      </c>
      <c r="M767" s="249" t="str">
        <f ca="1">IF(C767="","",IF($M$11="ROE",[1]!S_STM07_IS(D767,61,$G$5,$H$13)/[1]!S_STM07_BS(D767,141,$G$5,$H$13),([1]!S_STM07_BS(D767,25,$G$5,$H$13)-[1]!S_STM07_BS(D767,93,$G$5,$H$13))/$E$5))</f>
        <v/>
      </c>
      <c r="N767" s="250" t="str">
        <f ca="1">IF(C767="","",IF($N$11="EPS",[1]!S_STM07_IS(D767,61,$G$5,$H$13)/IF([1]!S_SHARE_TOTAL(D767,$G$5)=0,[1]!S_SHARE_TOTAL(D767,[1]!s_ipo_listeddate(D767)),[1]!S_SHARE_TOTAL(D767,$G$5)),([1]!S_STM07_BS(D767,75,$G$5,$H$13)+[1]!S_STM07_BS(D767,88,$G$5,$H$13)+[1]!S_STM07_BS(D767,94,$G$5,$H$13)+[1]!S_STM07_BS(D767,95,$G$5,$H$13))/$E$5))</f>
        <v/>
      </c>
      <c r="O767" s="250" t="str">
        <f ca="1">IF(C767="","",IF($O$11="BPS",[1]!S_STM07_BS(D767,141,$G$5,$H$13)/IF([1]!S_SHARE_TOTAL(D767,$G$5)=0,[1]!S_SHARE_TOTAL(D767,[1]!s_ipo_listeddate(D767)),[1]!S_SHARE_TOTAL(D767,$G$5)),[1]!S_STM07_CS(D767,49,$G$5,$H$13)/$E$5))</f>
        <v/>
      </c>
      <c r="P767" s="250" t="str">
        <f ca="1">IF(C767="","",IF($P$11="CFPS",[1]!S_STM07_CS(D767,84,$G$5,$H$13)/IF([1]!S_SHARE_TOTAL(D767,$G$5)=0,[1]!S_SHARE_TOTAL(D767,[1]!s_ipo_listeddate(D767)),[1]!S_SHARE_TOTAL(D767,$G$5)),[1]!S_STM07_CS(D767,84,$G$5,$H$13)/$E$5))</f>
        <v/>
      </c>
      <c r="Q767" s="198" t="str">
        <f ca="1">IF(C767="","",F767/([1]!S_STM07_IS(D767,61,$G$5,$H$13)/IF([1]!S_SHARE_TOTAL(D767,$G$5)=0,[1]!S_SHARE_TOTAL(D767,[1]!s_ipo_listeddate(D767)),[1]!S_SHARE_TOTAL(D767,$G$5))))</f>
        <v/>
      </c>
      <c r="R767" s="198" t="str">
        <f ca="1">IF(C767="","",F767/([1]!S_STM07_BS(D767,141,$G$5,$H$13)/IF([1]!S_SHARE_TOTAL(D767,$G$5)=0,[1]!S_SHARE_TOTAL(D767,[1]!s_ipo_listeddate(D767)),[1]!S_SHARE_TOTAL(D767,$G$5))))</f>
        <v/>
      </c>
      <c r="S767" s="249" t="str">
        <f ca="1">IF(C767="","",[1]!S_SHARE_TOTAL(D767,TODAY())/$E$5)</f>
        <v/>
      </c>
      <c r="T767" s="249" t="str">
        <f t="shared" ca="1" si="79"/>
        <v/>
      </c>
      <c r="U767" s="172" t="str">
        <f t="shared" ca="1" si="80"/>
        <v/>
      </c>
      <c r="V767" s="343" t="str">
        <f t="shared" ca="1" si="81"/>
        <v/>
      </c>
      <c r="W767" s="139"/>
      <c r="Y767" s="1"/>
    </row>
    <row r="768" spans="3:25" ht="12" customHeight="1">
      <c r="C768" s="342" t="str">
        <f t="shared" ca="1" si="76"/>
        <v/>
      </c>
      <c r="D768" s="153" t="str">
        <f t="shared" ca="1" si="77"/>
        <v/>
      </c>
      <c r="E768" s="153" t="str">
        <f t="shared" ca="1" si="78"/>
        <v/>
      </c>
      <c r="F768" s="170" t="str">
        <f ca="1">IF(C768="","",[1]!S_DQ_CLOSE(D768,TODAY(),1))</f>
        <v/>
      </c>
      <c r="G768" s="171" t="str">
        <f ca="1">IF(C768="","",[1]!s_pq_pctchange(D768,TODAY()-$G$12,TODAY())/100)</f>
        <v/>
      </c>
      <c r="H768" s="247" t="str">
        <f ca="1">IF(C768="","",IF($H$11="收入",[1]!S_STM07_IS(D768,9,$G$5,$H$13)/$E$5,[1]!S_STM07_IS(D768,48,$G$5,$H$13)/$E$5))</f>
        <v/>
      </c>
      <c r="I768" s="247" t="str">
        <f ca="1">IF(C768="","",IF($I$11="毛利率",([1]!S_STM07_IS(D768,9,$G$5,$H$13)-[1]!S_STM07_IS(D768,10,$G$5,$H$13))/[1]!S_STM07_IS(D768,9,$G$5,$H$13),[1]!S_STM07_IS(D768,14,$G$5,$H$13)/$E$5))</f>
        <v/>
      </c>
      <c r="J768" s="247" t="str">
        <f ca="1">IF(C768="","",IF($J$11="营业利润率",[1]!S_STM07_IS(D768,48,$G$5,$H$13)/[1]!S_STM07_IS(D768,9,$G$5,$H$13),([1]!S_STM07_CS(D768,87,$G$5,$H$13)+[1]!S_STM07_CS(D768,88,$G$5,$H$13)+[1]!S_STM07_CS(D768,89,$G$5,$H$13))/$E$5))</f>
        <v/>
      </c>
      <c r="K768" s="247" t="str">
        <f ca="1">IF(C768="","",IF($K$11="净利润率",[1]!S_STM07_IS(D768,61,$G$5,$H$13)/[1]!S_STM07_IS(D768,9,$G$5,$H$13),[1]!S_STM07_IS(D768,55,$G$5,$H$13)/$E$5))</f>
        <v/>
      </c>
      <c r="L768" s="247" t="str">
        <f ca="1">IF(C768="","",IF($L$11="ROA",[1]!S_STM07_IS(D768,61,$G$5,$H$13)/[1]!S_STM07_BS(D768,74,$G$5,$H$13),1-[1]!S_STM07_IS(D768,61,$G$5,$H$13)/[1]!S_STM07_IS(D768,55,$G$5,$H$13)))</f>
        <v/>
      </c>
      <c r="M768" s="247" t="str">
        <f ca="1">IF(C768="","",IF($M$11="ROE",[1]!S_STM07_IS(D768,61,$G$5,$H$13)/[1]!S_STM07_BS(D768,141,$G$5,$H$13),([1]!S_STM07_BS(D768,25,$G$5,$H$13)-[1]!S_STM07_BS(D768,93,$G$5,$H$13))/$E$5))</f>
        <v/>
      </c>
      <c r="N768" s="247" t="str">
        <f ca="1">IF(C768="","",IF($N$11="EPS",[1]!S_STM07_IS(D768,61,$G$5,$H$13)/IF([1]!S_SHARE_TOTAL(D768,$G$5)=0,[1]!S_SHARE_TOTAL(D768,[1]!s_ipo_listeddate(D768)),[1]!S_SHARE_TOTAL(D768,$G$5)),([1]!S_STM07_BS(D768,75,$G$5,$H$13)+[1]!S_STM07_BS(D768,88,$G$5,$H$13)+[1]!S_STM07_BS(D768,94,$G$5,$H$13)+[1]!S_STM07_BS(D768,95,$G$5,$H$13))/$E$5))</f>
        <v/>
      </c>
      <c r="O768" s="247" t="str">
        <f ca="1">IF(C768="","",IF($O$11="BPS",[1]!S_STM07_BS(D768,141,$G$5,$H$13)/IF([1]!S_SHARE_TOTAL(D768,$G$5)=0,[1]!S_SHARE_TOTAL(D768,[1]!s_ipo_listeddate(D768)),[1]!S_SHARE_TOTAL(D768,$G$5)),[1]!S_STM07_CS(D768,49,$G$5,$H$13)/$E$5))</f>
        <v/>
      </c>
      <c r="P768" s="247" t="str">
        <f ca="1">IF(C768="","",IF($P$11="CFPS",[1]!S_STM07_CS(D768,84,$G$5,$H$13)/IF([1]!S_SHARE_TOTAL(D768,$G$5)=0,[1]!S_SHARE_TOTAL(D768,[1]!s_ipo_listeddate(D768)),[1]!S_SHARE_TOTAL(D768,$G$5)),[1]!S_STM07_CS(D768,84,$G$5,$H$13)/$E$5))</f>
        <v/>
      </c>
      <c r="Q768" s="248" t="str">
        <f ca="1">IF(C768="","",F768/([1]!S_STM07_IS(D768,61,$G$5,$H$13)/IF([1]!S_SHARE_TOTAL(D768,$G$5)=0,[1]!S_SHARE_TOTAL(D768,[1]!s_ipo_listeddate(D768)),[1]!S_SHARE_TOTAL(D768,$G$5))))</f>
        <v/>
      </c>
      <c r="R768" s="248" t="str">
        <f ca="1">IF(C768="","",F768/([1]!S_STM07_BS(D768,141,$G$5,$H$13)/IF([1]!S_SHARE_TOTAL(D768,$G$5)=0,[1]!S_SHARE_TOTAL(D768,[1]!s_ipo_listeddate(D768)),[1]!S_SHARE_TOTAL(D768,$G$5))))</f>
        <v/>
      </c>
      <c r="S768" s="247" t="str">
        <f ca="1">IF(C768="","",[1]!S_SHARE_TOTAL(D768,TODAY())/$E$5)</f>
        <v/>
      </c>
      <c r="T768" s="247" t="str">
        <f t="shared" ca="1" si="79"/>
        <v/>
      </c>
      <c r="U768" s="218" t="str">
        <f t="shared" ca="1" si="80"/>
        <v/>
      </c>
      <c r="V768" s="342" t="str">
        <f t="shared" ca="1" si="81"/>
        <v/>
      </c>
      <c r="W768" s="139"/>
      <c r="Y768" s="1"/>
    </row>
    <row r="769" spans="3:25" ht="12" customHeight="1">
      <c r="C769" s="343" t="str">
        <f t="shared" ca="1" si="76"/>
        <v/>
      </c>
      <c r="D769" s="124" t="str">
        <f t="shared" ca="1" si="77"/>
        <v/>
      </c>
      <c r="E769" s="124" t="str">
        <f t="shared" ca="1" si="78"/>
        <v/>
      </c>
      <c r="F769" s="172" t="str">
        <f ca="1">IF(C769="","",[1]!S_DQ_CLOSE(D769,TODAY(),1))</f>
        <v/>
      </c>
      <c r="G769" s="173" t="str">
        <f ca="1">IF(C769="","",[1]!s_pq_pctchange(D769,TODAY()-$G$12,TODAY())/100)</f>
        <v/>
      </c>
      <c r="H769" s="249" t="str">
        <f ca="1">IF(C769="","",IF($H$11="收入",[1]!S_STM07_IS(D769,9,$G$5,$H$13)/$E$5,[1]!S_STM07_IS(D769,48,$G$5,$H$13)/$E$5))</f>
        <v/>
      </c>
      <c r="I769" s="249" t="str">
        <f ca="1">IF(C769="","",IF($I$11="毛利率",([1]!S_STM07_IS(D769,9,$G$5,$H$13)-[1]!S_STM07_IS(D769,10,$G$5,$H$13))/[1]!S_STM07_IS(D769,9,$G$5,$H$13),[1]!S_STM07_IS(D769,14,$G$5,$H$13)/$E$5))</f>
        <v/>
      </c>
      <c r="J769" s="249" t="str">
        <f ca="1">IF(C769="","",IF($J$11="营业利润率",[1]!S_STM07_IS(D769,48,$G$5,$H$13)/[1]!S_STM07_IS(D769,9,$G$5,$H$13),([1]!S_STM07_CS(D769,87,$G$5,$H$13)+[1]!S_STM07_CS(D769,88,$G$5,$H$13)+[1]!S_STM07_CS(D769,89,$G$5,$H$13))/$E$5))</f>
        <v/>
      </c>
      <c r="K769" s="249" t="str">
        <f ca="1">IF(C769="","",IF($K$11="净利润率",[1]!S_STM07_IS(D769,61,$G$5,$H$13)/[1]!S_STM07_IS(D769,9,$G$5,$H$13),[1]!S_STM07_IS(D769,55,$G$5,$H$13)/$E$5))</f>
        <v/>
      </c>
      <c r="L769" s="249" t="str">
        <f ca="1">IF(C769="","",IF($L$11="ROA",[1]!S_STM07_IS(D769,61,$G$5,$H$13)/[1]!S_STM07_BS(D769,74,$G$5,$H$13),1-[1]!S_STM07_IS(D769,61,$G$5,$H$13)/[1]!S_STM07_IS(D769,55,$G$5,$H$13)))</f>
        <v/>
      </c>
      <c r="M769" s="249" t="str">
        <f ca="1">IF(C769="","",IF($M$11="ROE",[1]!S_STM07_IS(D769,61,$G$5,$H$13)/[1]!S_STM07_BS(D769,141,$G$5,$H$13),([1]!S_STM07_BS(D769,25,$G$5,$H$13)-[1]!S_STM07_BS(D769,93,$G$5,$H$13))/$E$5))</f>
        <v/>
      </c>
      <c r="N769" s="250" t="str">
        <f ca="1">IF(C769="","",IF($N$11="EPS",[1]!S_STM07_IS(D769,61,$G$5,$H$13)/IF([1]!S_SHARE_TOTAL(D769,$G$5)=0,[1]!S_SHARE_TOTAL(D769,[1]!s_ipo_listeddate(D769)),[1]!S_SHARE_TOTAL(D769,$G$5)),([1]!S_STM07_BS(D769,75,$G$5,$H$13)+[1]!S_STM07_BS(D769,88,$G$5,$H$13)+[1]!S_STM07_BS(D769,94,$G$5,$H$13)+[1]!S_STM07_BS(D769,95,$G$5,$H$13))/$E$5))</f>
        <v/>
      </c>
      <c r="O769" s="250" t="str">
        <f ca="1">IF(C769="","",IF($O$11="BPS",[1]!S_STM07_BS(D769,141,$G$5,$H$13)/IF([1]!S_SHARE_TOTAL(D769,$G$5)=0,[1]!S_SHARE_TOTAL(D769,[1]!s_ipo_listeddate(D769)),[1]!S_SHARE_TOTAL(D769,$G$5)),[1]!S_STM07_CS(D769,49,$G$5,$H$13)/$E$5))</f>
        <v/>
      </c>
      <c r="P769" s="250" t="str">
        <f ca="1">IF(C769="","",IF($P$11="CFPS",[1]!S_STM07_CS(D769,84,$G$5,$H$13)/IF([1]!S_SHARE_TOTAL(D769,$G$5)=0,[1]!S_SHARE_TOTAL(D769,[1]!s_ipo_listeddate(D769)),[1]!S_SHARE_TOTAL(D769,$G$5)),[1]!S_STM07_CS(D769,84,$G$5,$H$13)/$E$5))</f>
        <v/>
      </c>
      <c r="Q769" s="198" t="str">
        <f ca="1">IF(C769="","",F769/([1]!S_STM07_IS(D769,61,$G$5,$H$13)/IF([1]!S_SHARE_TOTAL(D769,$G$5)=0,[1]!S_SHARE_TOTAL(D769,[1]!s_ipo_listeddate(D769)),[1]!S_SHARE_TOTAL(D769,$G$5))))</f>
        <v/>
      </c>
      <c r="R769" s="198" t="str">
        <f ca="1">IF(C769="","",F769/([1]!S_STM07_BS(D769,141,$G$5,$H$13)/IF([1]!S_SHARE_TOTAL(D769,$G$5)=0,[1]!S_SHARE_TOTAL(D769,[1]!s_ipo_listeddate(D769)),[1]!S_SHARE_TOTAL(D769,$G$5))))</f>
        <v/>
      </c>
      <c r="S769" s="249" t="str">
        <f ca="1">IF(C769="","",[1]!S_SHARE_TOTAL(D769,TODAY())/$E$5)</f>
        <v/>
      </c>
      <c r="T769" s="249" t="str">
        <f t="shared" ca="1" si="79"/>
        <v/>
      </c>
      <c r="U769" s="172" t="str">
        <f t="shared" ca="1" si="80"/>
        <v/>
      </c>
      <c r="V769" s="343" t="str">
        <f t="shared" ca="1" si="81"/>
        <v/>
      </c>
      <c r="W769" s="139"/>
      <c r="Y769" s="1"/>
    </row>
    <row r="770" spans="3:25" ht="12" customHeight="1">
      <c r="C770" s="342" t="str">
        <f t="shared" ca="1" si="76"/>
        <v/>
      </c>
      <c r="D770" s="153" t="str">
        <f t="shared" ca="1" si="77"/>
        <v/>
      </c>
      <c r="E770" s="153" t="str">
        <f t="shared" ca="1" si="78"/>
        <v/>
      </c>
      <c r="F770" s="170" t="str">
        <f ca="1">IF(C770="","",[1]!S_DQ_CLOSE(D770,TODAY(),1))</f>
        <v/>
      </c>
      <c r="G770" s="171" t="str">
        <f ca="1">IF(C770="","",[1]!s_pq_pctchange(D770,TODAY()-$G$12,TODAY())/100)</f>
        <v/>
      </c>
      <c r="H770" s="247" t="str">
        <f ca="1">IF(C770="","",IF($H$11="收入",[1]!S_STM07_IS(D770,9,$G$5,$H$13)/$E$5,[1]!S_STM07_IS(D770,48,$G$5,$H$13)/$E$5))</f>
        <v/>
      </c>
      <c r="I770" s="247" t="str">
        <f ca="1">IF(C770="","",IF($I$11="毛利率",([1]!S_STM07_IS(D770,9,$G$5,$H$13)-[1]!S_STM07_IS(D770,10,$G$5,$H$13))/[1]!S_STM07_IS(D770,9,$G$5,$H$13),[1]!S_STM07_IS(D770,14,$G$5,$H$13)/$E$5))</f>
        <v/>
      </c>
      <c r="J770" s="247" t="str">
        <f ca="1">IF(C770="","",IF($J$11="营业利润率",[1]!S_STM07_IS(D770,48,$G$5,$H$13)/[1]!S_STM07_IS(D770,9,$G$5,$H$13),([1]!S_STM07_CS(D770,87,$G$5,$H$13)+[1]!S_STM07_CS(D770,88,$G$5,$H$13)+[1]!S_STM07_CS(D770,89,$G$5,$H$13))/$E$5))</f>
        <v/>
      </c>
      <c r="K770" s="247" t="str">
        <f ca="1">IF(C770="","",IF($K$11="净利润率",[1]!S_STM07_IS(D770,61,$G$5,$H$13)/[1]!S_STM07_IS(D770,9,$G$5,$H$13),[1]!S_STM07_IS(D770,55,$G$5,$H$13)/$E$5))</f>
        <v/>
      </c>
      <c r="L770" s="247" t="str">
        <f ca="1">IF(C770="","",IF($L$11="ROA",[1]!S_STM07_IS(D770,61,$G$5,$H$13)/[1]!S_STM07_BS(D770,74,$G$5,$H$13),1-[1]!S_STM07_IS(D770,61,$G$5,$H$13)/[1]!S_STM07_IS(D770,55,$G$5,$H$13)))</f>
        <v/>
      </c>
      <c r="M770" s="247" t="str">
        <f ca="1">IF(C770="","",IF($M$11="ROE",[1]!S_STM07_IS(D770,61,$G$5,$H$13)/[1]!S_STM07_BS(D770,141,$G$5,$H$13),([1]!S_STM07_BS(D770,25,$G$5,$H$13)-[1]!S_STM07_BS(D770,93,$G$5,$H$13))/$E$5))</f>
        <v/>
      </c>
      <c r="N770" s="247" t="str">
        <f ca="1">IF(C770="","",IF($N$11="EPS",[1]!S_STM07_IS(D770,61,$G$5,$H$13)/IF([1]!S_SHARE_TOTAL(D770,$G$5)=0,[1]!S_SHARE_TOTAL(D770,[1]!s_ipo_listeddate(D770)),[1]!S_SHARE_TOTAL(D770,$G$5)),([1]!S_STM07_BS(D770,75,$G$5,$H$13)+[1]!S_STM07_BS(D770,88,$G$5,$H$13)+[1]!S_STM07_BS(D770,94,$G$5,$H$13)+[1]!S_STM07_BS(D770,95,$G$5,$H$13))/$E$5))</f>
        <v/>
      </c>
      <c r="O770" s="247" t="str">
        <f ca="1">IF(C770="","",IF($O$11="BPS",[1]!S_STM07_BS(D770,141,$G$5,$H$13)/IF([1]!S_SHARE_TOTAL(D770,$G$5)=0,[1]!S_SHARE_TOTAL(D770,[1]!s_ipo_listeddate(D770)),[1]!S_SHARE_TOTAL(D770,$G$5)),[1]!S_STM07_CS(D770,49,$G$5,$H$13)/$E$5))</f>
        <v/>
      </c>
      <c r="P770" s="247" t="str">
        <f ca="1">IF(C770="","",IF($P$11="CFPS",[1]!S_STM07_CS(D770,84,$G$5,$H$13)/IF([1]!S_SHARE_TOTAL(D770,$G$5)=0,[1]!S_SHARE_TOTAL(D770,[1]!s_ipo_listeddate(D770)),[1]!S_SHARE_TOTAL(D770,$G$5)),[1]!S_STM07_CS(D770,84,$G$5,$H$13)/$E$5))</f>
        <v/>
      </c>
      <c r="Q770" s="248" t="str">
        <f ca="1">IF(C770="","",F770/([1]!S_STM07_IS(D770,61,$G$5,$H$13)/IF([1]!S_SHARE_TOTAL(D770,$G$5)=0,[1]!S_SHARE_TOTAL(D770,[1]!s_ipo_listeddate(D770)),[1]!S_SHARE_TOTAL(D770,$G$5))))</f>
        <v/>
      </c>
      <c r="R770" s="248" t="str">
        <f ca="1">IF(C770="","",F770/([1]!S_STM07_BS(D770,141,$G$5,$H$13)/IF([1]!S_SHARE_TOTAL(D770,$G$5)=0,[1]!S_SHARE_TOTAL(D770,[1]!s_ipo_listeddate(D770)),[1]!S_SHARE_TOTAL(D770,$G$5))))</f>
        <v/>
      </c>
      <c r="S770" s="247" t="str">
        <f ca="1">IF(C770="","",[1]!S_SHARE_TOTAL(D770,TODAY())/$E$5)</f>
        <v/>
      </c>
      <c r="T770" s="247" t="str">
        <f t="shared" ca="1" si="79"/>
        <v/>
      </c>
      <c r="U770" s="218" t="str">
        <f t="shared" ca="1" si="80"/>
        <v/>
      </c>
      <c r="V770" s="342" t="str">
        <f t="shared" ca="1" si="81"/>
        <v/>
      </c>
      <c r="W770" s="139"/>
      <c r="Y770" s="1"/>
    </row>
    <row r="771" spans="3:25" ht="12" customHeight="1">
      <c r="C771" s="343" t="str">
        <f t="shared" ca="1" si="76"/>
        <v/>
      </c>
      <c r="D771" s="124" t="str">
        <f t="shared" ca="1" si="77"/>
        <v/>
      </c>
      <c r="E771" s="124" t="str">
        <f t="shared" ca="1" si="78"/>
        <v/>
      </c>
      <c r="F771" s="172" t="str">
        <f ca="1">IF(C771="","",[1]!S_DQ_CLOSE(D771,TODAY(),1))</f>
        <v/>
      </c>
      <c r="G771" s="173" t="str">
        <f ca="1">IF(C771="","",[1]!s_pq_pctchange(D771,TODAY()-$G$12,TODAY())/100)</f>
        <v/>
      </c>
      <c r="H771" s="249" t="str">
        <f ca="1">IF(C771="","",IF($H$11="收入",[1]!S_STM07_IS(D771,9,$G$5,$H$13)/$E$5,[1]!S_STM07_IS(D771,48,$G$5,$H$13)/$E$5))</f>
        <v/>
      </c>
      <c r="I771" s="249" t="str">
        <f ca="1">IF(C771="","",IF($I$11="毛利率",([1]!S_STM07_IS(D771,9,$G$5,$H$13)-[1]!S_STM07_IS(D771,10,$G$5,$H$13))/[1]!S_STM07_IS(D771,9,$G$5,$H$13),[1]!S_STM07_IS(D771,14,$G$5,$H$13)/$E$5))</f>
        <v/>
      </c>
      <c r="J771" s="249" t="str">
        <f ca="1">IF(C771="","",IF($J$11="营业利润率",[1]!S_STM07_IS(D771,48,$G$5,$H$13)/[1]!S_STM07_IS(D771,9,$G$5,$H$13),([1]!S_STM07_CS(D771,87,$G$5,$H$13)+[1]!S_STM07_CS(D771,88,$G$5,$H$13)+[1]!S_STM07_CS(D771,89,$G$5,$H$13))/$E$5))</f>
        <v/>
      </c>
      <c r="K771" s="249" t="str">
        <f ca="1">IF(C771="","",IF($K$11="净利润率",[1]!S_STM07_IS(D771,61,$G$5,$H$13)/[1]!S_STM07_IS(D771,9,$G$5,$H$13),[1]!S_STM07_IS(D771,55,$G$5,$H$13)/$E$5))</f>
        <v/>
      </c>
      <c r="L771" s="249" t="str">
        <f ca="1">IF(C771="","",IF($L$11="ROA",[1]!S_STM07_IS(D771,61,$G$5,$H$13)/[1]!S_STM07_BS(D771,74,$G$5,$H$13),1-[1]!S_STM07_IS(D771,61,$G$5,$H$13)/[1]!S_STM07_IS(D771,55,$G$5,$H$13)))</f>
        <v/>
      </c>
      <c r="M771" s="249" t="str">
        <f ca="1">IF(C771="","",IF($M$11="ROE",[1]!S_STM07_IS(D771,61,$G$5,$H$13)/[1]!S_STM07_BS(D771,141,$G$5,$H$13),([1]!S_STM07_BS(D771,25,$G$5,$H$13)-[1]!S_STM07_BS(D771,93,$G$5,$H$13))/$E$5))</f>
        <v/>
      </c>
      <c r="N771" s="250" t="str">
        <f ca="1">IF(C771="","",IF($N$11="EPS",[1]!S_STM07_IS(D771,61,$G$5,$H$13)/IF([1]!S_SHARE_TOTAL(D771,$G$5)=0,[1]!S_SHARE_TOTAL(D771,[1]!s_ipo_listeddate(D771)),[1]!S_SHARE_TOTAL(D771,$G$5)),([1]!S_STM07_BS(D771,75,$G$5,$H$13)+[1]!S_STM07_BS(D771,88,$G$5,$H$13)+[1]!S_STM07_BS(D771,94,$G$5,$H$13)+[1]!S_STM07_BS(D771,95,$G$5,$H$13))/$E$5))</f>
        <v/>
      </c>
      <c r="O771" s="250" t="str">
        <f ca="1">IF(C771="","",IF($O$11="BPS",[1]!S_STM07_BS(D771,141,$G$5,$H$13)/IF([1]!S_SHARE_TOTAL(D771,$G$5)=0,[1]!S_SHARE_TOTAL(D771,[1]!s_ipo_listeddate(D771)),[1]!S_SHARE_TOTAL(D771,$G$5)),[1]!S_STM07_CS(D771,49,$G$5,$H$13)/$E$5))</f>
        <v/>
      </c>
      <c r="P771" s="250" t="str">
        <f ca="1">IF(C771="","",IF($P$11="CFPS",[1]!S_STM07_CS(D771,84,$G$5,$H$13)/IF([1]!S_SHARE_TOTAL(D771,$G$5)=0,[1]!S_SHARE_TOTAL(D771,[1]!s_ipo_listeddate(D771)),[1]!S_SHARE_TOTAL(D771,$G$5)),[1]!S_STM07_CS(D771,84,$G$5,$H$13)/$E$5))</f>
        <v/>
      </c>
      <c r="Q771" s="198" t="str">
        <f ca="1">IF(C771="","",F771/([1]!S_STM07_IS(D771,61,$G$5,$H$13)/IF([1]!S_SHARE_TOTAL(D771,$G$5)=0,[1]!S_SHARE_TOTAL(D771,[1]!s_ipo_listeddate(D771)),[1]!S_SHARE_TOTAL(D771,$G$5))))</f>
        <v/>
      </c>
      <c r="R771" s="198" t="str">
        <f ca="1">IF(C771="","",F771/([1]!S_STM07_BS(D771,141,$G$5,$H$13)/IF([1]!S_SHARE_TOTAL(D771,$G$5)=0,[1]!S_SHARE_TOTAL(D771,[1]!s_ipo_listeddate(D771)),[1]!S_SHARE_TOTAL(D771,$G$5))))</f>
        <v/>
      </c>
      <c r="S771" s="249" t="str">
        <f ca="1">IF(C771="","",[1]!S_SHARE_TOTAL(D771,TODAY())/$E$5)</f>
        <v/>
      </c>
      <c r="T771" s="249" t="str">
        <f t="shared" ca="1" si="79"/>
        <v/>
      </c>
      <c r="U771" s="172" t="str">
        <f t="shared" ca="1" si="80"/>
        <v/>
      </c>
      <c r="V771" s="343" t="str">
        <f t="shared" ca="1" si="81"/>
        <v/>
      </c>
      <c r="W771" s="139"/>
      <c r="Y771" s="1"/>
    </row>
    <row r="772" spans="3:25" ht="12" customHeight="1">
      <c r="C772" s="342" t="str">
        <f t="shared" ca="1" si="76"/>
        <v/>
      </c>
      <c r="D772" s="153" t="str">
        <f t="shared" ca="1" si="77"/>
        <v/>
      </c>
      <c r="E772" s="153" t="str">
        <f t="shared" ca="1" si="78"/>
        <v/>
      </c>
      <c r="F772" s="170" t="str">
        <f ca="1">IF(C772="","",[1]!S_DQ_CLOSE(D772,TODAY(),1))</f>
        <v/>
      </c>
      <c r="G772" s="171" t="str">
        <f ca="1">IF(C772="","",[1]!s_pq_pctchange(D772,TODAY()-$G$12,TODAY())/100)</f>
        <v/>
      </c>
      <c r="H772" s="247" t="str">
        <f ca="1">IF(C772="","",IF($H$11="收入",[1]!S_STM07_IS(D772,9,$G$5,$H$13)/$E$5,[1]!S_STM07_IS(D772,48,$G$5,$H$13)/$E$5))</f>
        <v/>
      </c>
      <c r="I772" s="247" t="str">
        <f ca="1">IF(C772="","",IF($I$11="毛利率",([1]!S_STM07_IS(D772,9,$G$5,$H$13)-[1]!S_STM07_IS(D772,10,$G$5,$H$13))/[1]!S_STM07_IS(D772,9,$G$5,$H$13),[1]!S_STM07_IS(D772,14,$G$5,$H$13)/$E$5))</f>
        <v/>
      </c>
      <c r="J772" s="247" t="str">
        <f ca="1">IF(C772="","",IF($J$11="营业利润率",[1]!S_STM07_IS(D772,48,$G$5,$H$13)/[1]!S_STM07_IS(D772,9,$G$5,$H$13),([1]!S_STM07_CS(D772,87,$G$5,$H$13)+[1]!S_STM07_CS(D772,88,$G$5,$H$13)+[1]!S_STM07_CS(D772,89,$G$5,$H$13))/$E$5))</f>
        <v/>
      </c>
      <c r="K772" s="247" t="str">
        <f ca="1">IF(C772="","",IF($K$11="净利润率",[1]!S_STM07_IS(D772,61,$G$5,$H$13)/[1]!S_STM07_IS(D772,9,$G$5,$H$13),[1]!S_STM07_IS(D772,55,$G$5,$H$13)/$E$5))</f>
        <v/>
      </c>
      <c r="L772" s="247" t="str">
        <f ca="1">IF(C772="","",IF($L$11="ROA",[1]!S_STM07_IS(D772,61,$G$5,$H$13)/[1]!S_STM07_BS(D772,74,$G$5,$H$13),1-[1]!S_STM07_IS(D772,61,$G$5,$H$13)/[1]!S_STM07_IS(D772,55,$G$5,$H$13)))</f>
        <v/>
      </c>
      <c r="M772" s="247" t="str">
        <f ca="1">IF(C772="","",IF($M$11="ROE",[1]!S_STM07_IS(D772,61,$G$5,$H$13)/[1]!S_STM07_BS(D772,141,$G$5,$H$13),([1]!S_STM07_BS(D772,25,$G$5,$H$13)-[1]!S_STM07_BS(D772,93,$G$5,$H$13))/$E$5))</f>
        <v/>
      </c>
      <c r="N772" s="247" t="str">
        <f ca="1">IF(C772="","",IF($N$11="EPS",[1]!S_STM07_IS(D772,61,$G$5,$H$13)/IF([1]!S_SHARE_TOTAL(D772,$G$5)=0,[1]!S_SHARE_TOTAL(D772,[1]!s_ipo_listeddate(D772)),[1]!S_SHARE_TOTAL(D772,$G$5)),([1]!S_STM07_BS(D772,75,$G$5,$H$13)+[1]!S_STM07_BS(D772,88,$G$5,$H$13)+[1]!S_STM07_BS(D772,94,$G$5,$H$13)+[1]!S_STM07_BS(D772,95,$G$5,$H$13))/$E$5))</f>
        <v/>
      </c>
      <c r="O772" s="247" t="str">
        <f ca="1">IF(C772="","",IF($O$11="BPS",[1]!S_STM07_BS(D772,141,$G$5,$H$13)/IF([1]!S_SHARE_TOTAL(D772,$G$5)=0,[1]!S_SHARE_TOTAL(D772,[1]!s_ipo_listeddate(D772)),[1]!S_SHARE_TOTAL(D772,$G$5)),[1]!S_STM07_CS(D772,49,$G$5,$H$13)/$E$5))</f>
        <v/>
      </c>
      <c r="P772" s="247" t="str">
        <f ca="1">IF(C772="","",IF($P$11="CFPS",[1]!S_STM07_CS(D772,84,$G$5,$H$13)/IF([1]!S_SHARE_TOTAL(D772,$G$5)=0,[1]!S_SHARE_TOTAL(D772,[1]!s_ipo_listeddate(D772)),[1]!S_SHARE_TOTAL(D772,$G$5)),[1]!S_STM07_CS(D772,84,$G$5,$H$13)/$E$5))</f>
        <v/>
      </c>
      <c r="Q772" s="248" t="str">
        <f ca="1">IF(C772="","",F772/([1]!S_STM07_IS(D772,61,$G$5,$H$13)/IF([1]!S_SHARE_TOTAL(D772,$G$5)=0,[1]!S_SHARE_TOTAL(D772,[1]!s_ipo_listeddate(D772)),[1]!S_SHARE_TOTAL(D772,$G$5))))</f>
        <v/>
      </c>
      <c r="R772" s="248" t="str">
        <f ca="1">IF(C772="","",F772/([1]!S_STM07_BS(D772,141,$G$5,$H$13)/IF([1]!S_SHARE_TOTAL(D772,$G$5)=0,[1]!S_SHARE_TOTAL(D772,[1]!s_ipo_listeddate(D772)),[1]!S_SHARE_TOTAL(D772,$G$5))))</f>
        <v/>
      </c>
      <c r="S772" s="247" t="str">
        <f ca="1">IF(C772="","",[1]!S_SHARE_TOTAL(D772,TODAY())/$E$5)</f>
        <v/>
      </c>
      <c r="T772" s="247" t="str">
        <f t="shared" ca="1" si="79"/>
        <v/>
      </c>
      <c r="U772" s="218" t="str">
        <f t="shared" ca="1" si="80"/>
        <v/>
      </c>
      <c r="V772" s="342" t="str">
        <f t="shared" ca="1" si="81"/>
        <v/>
      </c>
      <c r="W772" s="139"/>
      <c r="Y772" s="1"/>
    </row>
    <row r="773" spans="3:25" ht="12" customHeight="1">
      <c r="C773" s="343" t="str">
        <f t="shared" ca="1" si="76"/>
        <v/>
      </c>
      <c r="D773" s="124" t="str">
        <f t="shared" ca="1" si="77"/>
        <v/>
      </c>
      <c r="E773" s="124" t="str">
        <f t="shared" ca="1" si="78"/>
        <v/>
      </c>
      <c r="F773" s="172" t="str">
        <f ca="1">IF(C773="","",[1]!S_DQ_CLOSE(D773,TODAY(),1))</f>
        <v/>
      </c>
      <c r="G773" s="173" t="str">
        <f ca="1">IF(C773="","",[1]!s_pq_pctchange(D773,TODAY()-$G$12,TODAY())/100)</f>
        <v/>
      </c>
      <c r="H773" s="249" t="str">
        <f ca="1">IF(C773="","",IF($H$11="收入",[1]!S_STM07_IS(D773,9,$G$5,$H$13)/$E$5,[1]!S_STM07_IS(D773,48,$G$5,$H$13)/$E$5))</f>
        <v/>
      </c>
      <c r="I773" s="249" t="str">
        <f ca="1">IF(C773="","",IF($I$11="毛利率",([1]!S_STM07_IS(D773,9,$G$5,$H$13)-[1]!S_STM07_IS(D773,10,$G$5,$H$13))/[1]!S_STM07_IS(D773,9,$G$5,$H$13),[1]!S_STM07_IS(D773,14,$G$5,$H$13)/$E$5))</f>
        <v/>
      </c>
      <c r="J773" s="249" t="str">
        <f ca="1">IF(C773="","",IF($J$11="营业利润率",[1]!S_STM07_IS(D773,48,$G$5,$H$13)/[1]!S_STM07_IS(D773,9,$G$5,$H$13),([1]!S_STM07_CS(D773,87,$G$5,$H$13)+[1]!S_STM07_CS(D773,88,$G$5,$H$13)+[1]!S_STM07_CS(D773,89,$G$5,$H$13))/$E$5))</f>
        <v/>
      </c>
      <c r="K773" s="249" t="str">
        <f ca="1">IF(C773="","",IF($K$11="净利润率",[1]!S_STM07_IS(D773,61,$G$5,$H$13)/[1]!S_STM07_IS(D773,9,$G$5,$H$13),[1]!S_STM07_IS(D773,55,$G$5,$H$13)/$E$5))</f>
        <v/>
      </c>
      <c r="L773" s="249" t="str">
        <f ca="1">IF(C773="","",IF($L$11="ROA",[1]!S_STM07_IS(D773,61,$G$5,$H$13)/[1]!S_STM07_BS(D773,74,$G$5,$H$13),1-[1]!S_STM07_IS(D773,61,$G$5,$H$13)/[1]!S_STM07_IS(D773,55,$G$5,$H$13)))</f>
        <v/>
      </c>
      <c r="M773" s="249" t="str">
        <f ca="1">IF(C773="","",IF($M$11="ROE",[1]!S_STM07_IS(D773,61,$G$5,$H$13)/[1]!S_STM07_BS(D773,141,$G$5,$H$13),([1]!S_STM07_BS(D773,25,$G$5,$H$13)-[1]!S_STM07_BS(D773,93,$G$5,$H$13))/$E$5))</f>
        <v/>
      </c>
      <c r="N773" s="250" t="str">
        <f ca="1">IF(C773="","",IF($N$11="EPS",[1]!S_STM07_IS(D773,61,$G$5,$H$13)/IF([1]!S_SHARE_TOTAL(D773,$G$5)=0,[1]!S_SHARE_TOTAL(D773,[1]!s_ipo_listeddate(D773)),[1]!S_SHARE_TOTAL(D773,$G$5)),([1]!S_STM07_BS(D773,75,$G$5,$H$13)+[1]!S_STM07_BS(D773,88,$G$5,$H$13)+[1]!S_STM07_BS(D773,94,$G$5,$H$13)+[1]!S_STM07_BS(D773,95,$G$5,$H$13))/$E$5))</f>
        <v/>
      </c>
      <c r="O773" s="250" t="str">
        <f ca="1">IF(C773="","",IF($O$11="BPS",[1]!S_STM07_BS(D773,141,$G$5,$H$13)/IF([1]!S_SHARE_TOTAL(D773,$G$5)=0,[1]!S_SHARE_TOTAL(D773,[1]!s_ipo_listeddate(D773)),[1]!S_SHARE_TOTAL(D773,$G$5)),[1]!S_STM07_CS(D773,49,$G$5,$H$13)/$E$5))</f>
        <v/>
      </c>
      <c r="P773" s="250" t="str">
        <f ca="1">IF(C773="","",IF($P$11="CFPS",[1]!S_STM07_CS(D773,84,$G$5,$H$13)/IF([1]!S_SHARE_TOTAL(D773,$G$5)=0,[1]!S_SHARE_TOTAL(D773,[1]!s_ipo_listeddate(D773)),[1]!S_SHARE_TOTAL(D773,$G$5)),[1]!S_STM07_CS(D773,84,$G$5,$H$13)/$E$5))</f>
        <v/>
      </c>
      <c r="Q773" s="198" t="str">
        <f ca="1">IF(C773="","",F773/([1]!S_STM07_IS(D773,61,$G$5,$H$13)/IF([1]!S_SHARE_TOTAL(D773,$G$5)=0,[1]!S_SHARE_TOTAL(D773,[1]!s_ipo_listeddate(D773)),[1]!S_SHARE_TOTAL(D773,$G$5))))</f>
        <v/>
      </c>
      <c r="R773" s="198" t="str">
        <f ca="1">IF(C773="","",F773/([1]!S_STM07_BS(D773,141,$G$5,$H$13)/IF([1]!S_SHARE_TOTAL(D773,$G$5)=0,[1]!S_SHARE_TOTAL(D773,[1]!s_ipo_listeddate(D773)),[1]!S_SHARE_TOTAL(D773,$G$5))))</f>
        <v/>
      </c>
      <c r="S773" s="249" t="str">
        <f ca="1">IF(C773="","",[1]!S_SHARE_TOTAL(D773,TODAY())/$E$5)</f>
        <v/>
      </c>
      <c r="T773" s="249" t="str">
        <f t="shared" ca="1" si="79"/>
        <v/>
      </c>
      <c r="U773" s="172" t="str">
        <f t="shared" ca="1" si="80"/>
        <v/>
      </c>
      <c r="V773" s="343" t="str">
        <f t="shared" ca="1" si="81"/>
        <v/>
      </c>
      <c r="W773" s="139"/>
      <c r="Y773" s="1"/>
    </row>
    <row r="774" spans="3:25" ht="12" customHeight="1">
      <c r="C774" s="342" t="str">
        <f t="shared" ca="1" si="76"/>
        <v/>
      </c>
      <c r="D774" s="153" t="str">
        <f t="shared" ca="1" si="77"/>
        <v/>
      </c>
      <c r="E774" s="153" t="str">
        <f t="shared" ca="1" si="78"/>
        <v/>
      </c>
      <c r="F774" s="170" t="str">
        <f ca="1">IF(C774="","",[1]!S_DQ_CLOSE(D774,TODAY(),1))</f>
        <v/>
      </c>
      <c r="G774" s="171" t="str">
        <f ca="1">IF(C774="","",[1]!s_pq_pctchange(D774,TODAY()-$G$12,TODAY())/100)</f>
        <v/>
      </c>
      <c r="H774" s="247" t="str">
        <f ca="1">IF(C774="","",IF($H$11="收入",[1]!S_STM07_IS(D774,9,$G$5,$H$13)/$E$5,[1]!S_STM07_IS(D774,48,$G$5,$H$13)/$E$5))</f>
        <v/>
      </c>
      <c r="I774" s="247" t="str">
        <f ca="1">IF(C774="","",IF($I$11="毛利率",([1]!S_STM07_IS(D774,9,$G$5,$H$13)-[1]!S_STM07_IS(D774,10,$G$5,$H$13))/[1]!S_STM07_IS(D774,9,$G$5,$H$13),[1]!S_STM07_IS(D774,14,$G$5,$H$13)/$E$5))</f>
        <v/>
      </c>
      <c r="J774" s="247" t="str">
        <f ca="1">IF(C774="","",IF($J$11="营业利润率",[1]!S_STM07_IS(D774,48,$G$5,$H$13)/[1]!S_STM07_IS(D774,9,$G$5,$H$13),([1]!S_STM07_CS(D774,87,$G$5,$H$13)+[1]!S_STM07_CS(D774,88,$G$5,$H$13)+[1]!S_STM07_CS(D774,89,$G$5,$H$13))/$E$5))</f>
        <v/>
      </c>
      <c r="K774" s="247" t="str">
        <f ca="1">IF(C774="","",IF($K$11="净利润率",[1]!S_STM07_IS(D774,61,$G$5,$H$13)/[1]!S_STM07_IS(D774,9,$G$5,$H$13),[1]!S_STM07_IS(D774,55,$G$5,$H$13)/$E$5))</f>
        <v/>
      </c>
      <c r="L774" s="247" t="str">
        <f ca="1">IF(C774="","",IF($L$11="ROA",[1]!S_STM07_IS(D774,61,$G$5,$H$13)/[1]!S_STM07_BS(D774,74,$G$5,$H$13),1-[1]!S_STM07_IS(D774,61,$G$5,$H$13)/[1]!S_STM07_IS(D774,55,$G$5,$H$13)))</f>
        <v/>
      </c>
      <c r="M774" s="247" t="str">
        <f ca="1">IF(C774="","",IF($M$11="ROE",[1]!S_STM07_IS(D774,61,$G$5,$H$13)/[1]!S_STM07_BS(D774,141,$G$5,$H$13),([1]!S_STM07_BS(D774,25,$G$5,$H$13)-[1]!S_STM07_BS(D774,93,$G$5,$H$13))/$E$5))</f>
        <v/>
      </c>
      <c r="N774" s="247" t="str">
        <f ca="1">IF(C774="","",IF($N$11="EPS",[1]!S_STM07_IS(D774,61,$G$5,$H$13)/IF([1]!S_SHARE_TOTAL(D774,$G$5)=0,[1]!S_SHARE_TOTAL(D774,[1]!s_ipo_listeddate(D774)),[1]!S_SHARE_TOTAL(D774,$G$5)),([1]!S_STM07_BS(D774,75,$G$5,$H$13)+[1]!S_STM07_BS(D774,88,$G$5,$H$13)+[1]!S_STM07_BS(D774,94,$G$5,$H$13)+[1]!S_STM07_BS(D774,95,$G$5,$H$13))/$E$5))</f>
        <v/>
      </c>
      <c r="O774" s="247" t="str">
        <f ca="1">IF(C774="","",IF($O$11="BPS",[1]!S_STM07_BS(D774,141,$G$5,$H$13)/IF([1]!S_SHARE_TOTAL(D774,$G$5)=0,[1]!S_SHARE_TOTAL(D774,[1]!s_ipo_listeddate(D774)),[1]!S_SHARE_TOTAL(D774,$G$5)),[1]!S_STM07_CS(D774,49,$G$5,$H$13)/$E$5))</f>
        <v/>
      </c>
      <c r="P774" s="247" t="str">
        <f ca="1">IF(C774="","",IF($P$11="CFPS",[1]!S_STM07_CS(D774,84,$G$5,$H$13)/IF([1]!S_SHARE_TOTAL(D774,$G$5)=0,[1]!S_SHARE_TOTAL(D774,[1]!s_ipo_listeddate(D774)),[1]!S_SHARE_TOTAL(D774,$G$5)),[1]!S_STM07_CS(D774,84,$G$5,$H$13)/$E$5))</f>
        <v/>
      </c>
      <c r="Q774" s="248" t="str">
        <f ca="1">IF(C774="","",F774/([1]!S_STM07_IS(D774,61,$G$5,$H$13)/IF([1]!S_SHARE_TOTAL(D774,$G$5)=0,[1]!S_SHARE_TOTAL(D774,[1]!s_ipo_listeddate(D774)),[1]!S_SHARE_TOTAL(D774,$G$5))))</f>
        <v/>
      </c>
      <c r="R774" s="248" t="str">
        <f ca="1">IF(C774="","",F774/([1]!S_STM07_BS(D774,141,$G$5,$H$13)/IF([1]!S_SHARE_TOTAL(D774,$G$5)=0,[1]!S_SHARE_TOTAL(D774,[1]!s_ipo_listeddate(D774)),[1]!S_SHARE_TOTAL(D774,$G$5))))</f>
        <v/>
      </c>
      <c r="S774" s="247" t="str">
        <f ca="1">IF(C774="","",[1]!S_SHARE_TOTAL(D774,TODAY())/$E$5)</f>
        <v/>
      </c>
      <c r="T774" s="247" t="str">
        <f t="shared" ca="1" si="79"/>
        <v/>
      </c>
      <c r="U774" s="218" t="str">
        <f t="shared" ca="1" si="80"/>
        <v/>
      </c>
      <c r="V774" s="342" t="str">
        <f t="shared" ca="1" si="81"/>
        <v/>
      </c>
      <c r="W774" s="139"/>
      <c r="Y774" s="1"/>
    </row>
    <row r="775" spans="3:25" ht="12" customHeight="1">
      <c r="C775" s="343" t="str">
        <f t="shared" ca="1" si="76"/>
        <v/>
      </c>
      <c r="D775" s="124" t="str">
        <f t="shared" ca="1" si="77"/>
        <v/>
      </c>
      <c r="E775" s="124" t="str">
        <f t="shared" ca="1" si="78"/>
        <v/>
      </c>
      <c r="F775" s="172" t="str">
        <f ca="1">IF(C775="","",[1]!S_DQ_CLOSE(D775,TODAY(),1))</f>
        <v/>
      </c>
      <c r="G775" s="173" t="str">
        <f ca="1">IF(C775="","",[1]!s_pq_pctchange(D775,TODAY()-$G$12,TODAY())/100)</f>
        <v/>
      </c>
      <c r="H775" s="249" t="str">
        <f ca="1">IF(C775="","",IF($H$11="收入",[1]!S_STM07_IS(D775,9,$G$5,$H$13)/$E$5,[1]!S_STM07_IS(D775,48,$G$5,$H$13)/$E$5))</f>
        <v/>
      </c>
      <c r="I775" s="249" t="str">
        <f ca="1">IF(C775="","",IF($I$11="毛利率",([1]!S_STM07_IS(D775,9,$G$5,$H$13)-[1]!S_STM07_IS(D775,10,$G$5,$H$13))/[1]!S_STM07_IS(D775,9,$G$5,$H$13),[1]!S_STM07_IS(D775,14,$G$5,$H$13)/$E$5))</f>
        <v/>
      </c>
      <c r="J775" s="249" t="str">
        <f ca="1">IF(C775="","",IF($J$11="营业利润率",[1]!S_STM07_IS(D775,48,$G$5,$H$13)/[1]!S_STM07_IS(D775,9,$G$5,$H$13),([1]!S_STM07_CS(D775,87,$G$5,$H$13)+[1]!S_STM07_CS(D775,88,$G$5,$H$13)+[1]!S_STM07_CS(D775,89,$G$5,$H$13))/$E$5))</f>
        <v/>
      </c>
      <c r="K775" s="249" t="str">
        <f ca="1">IF(C775="","",IF($K$11="净利润率",[1]!S_STM07_IS(D775,61,$G$5,$H$13)/[1]!S_STM07_IS(D775,9,$G$5,$H$13),[1]!S_STM07_IS(D775,55,$G$5,$H$13)/$E$5))</f>
        <v/>
      </c>
      <c r="L775" s="249" t="str">
        <f ca="1">IF(C775="","",IF($L$11="ROA",[1]!S_STM07_IS(D775,61,$G$5,$H$13)/[1]!S_STM07_BS(D775,74,$G$5,$H$13),1-[1]!S_STM07_IS(D775,61,$G$5,$H$13)/[1]!S_STM07_IS(D775,55,$G$5,$H$13)))</f>
        <v/>
      </c>
      <c r="M775" s="249" t="str">
        <f ca="1">IF(C775="","",IF($M$11="ROE",[1]!S_STM07_IS(D775,61,$G$5,$H$13)/[1]!S_STM07_BS(D775,141,$G$5,$H$13),([1]!S_STM07_BS(D775,25,$G$5,$H$13)-[1]!S_STM07_BS(D775,93,$G$5,$H$13))/$E$5))</f>
        <v/>
      </c>
      <c r="N775" s="250" t="str">
        <f ca="1">IF(C775="","",IF($N$11="EPS",[1]!S_STM07_IS(D775,61,$G$5,$H$13)/IF([1]!S_SHARE_TOTAL(D775,$G$5)=0,[1]!S_SHARE_TOTAL(D775,[1]!s_ipo_listeddate(D775)),[1]!S_SHARE_TOTAL(D775,$G$5)),([1]!S_STM07_BS(D775,75,$G$5,$H$13)+[1]!S_STM07_BS(D775,88,$G$5,$H$13)+[1]!S_STM07_BS(D775,94,$G$5,$H$13)+[1]!S_STM07_BS(D775,95,$G$5,$H$13))/$E$5))</f>
        <v/>
      </c>
      <c r="O775" s="250" t="str">
        <f ca="1">IF(C775="","",IF($O$11="BPS",[1]!S_STM07_BS(D775,141,$G$5,$H$13)/IF([1]!S_SHARE_TOTAL(D775,$G$5)=0,[1]!S_SHARE_TOTAL(D775,[1]!s_ipo_listeddate(D775)),[1]!S_SHARE_TOTAL(D775,$G$5)),[1]!S_STM07_CS(D775,49,$G$5,$H$13)/$E$5))</f>
        <v/>
      </c>
      <c r="P775" s="250" t="str">
        <f ca="1">IF(C775="","",IF($P$11="CFPS",[1]!S_STM07_CS(D775,84,$G$5,$H$13)/IF([1]!S_SHARE_TOTAL(D775,$G$5)=0,[1]!S_SHARE_TOTAL(D775,[1]!s_ipo_listeddate(D775)),[1]!S_SHARE_TOTAL(D775,$G$5)),[1]!S_STM07_CS(D775,84,$G$5,$H$13)/$E$5))</f>
        <v/>
      </c>
      <c r="Q775" s="198" t="str">
        <f ca="1">IF(C775="","",F775/([1]!S_STM07_IS(D775,61,$G$5,$H$13)/IF([1]!S_SHARE_TOTAL(D775,$G$5)=0,[1]!S_SHARE_TOTAL(D775,[1]!s_ipo_listeddate(D775)),[1]!S_SHARE_TOTAL(D775,$G$5))))</f>
        <v/>
      </c>
      <c r="R775" s="198" t="str">
        <f ca="1">IF(C775="","",F775/([1]!S_STM07_BS(D775,141,$G$5,$H$13)/IF([1]!S_SHARE_TOTAL(D775,$G$5)=0,[1]!S_SHARE_TOTAL(D775,[1]!s_ipo_listeddate(D775)),[1]!S_SHARE_TOTAL(D775,$G$5))))</f>
        <v/>
      </c>
      <c r="S775" s="249" t="str">
        <f ca="1">IF(C775="","",[1]!S_SHARE_TOTAL(D775,TODAY())/$E$5)</f>
        <v/>
      </c>
      <c r="T775" s="249" t="str">
        <f t="shared" ca="1" si="79"/>
        <v/>
      </c>
      <c r="U775" s="172" t="str">
        <f t="shared" ca="1" si="80"/>
        <v/>
      </c>
      <c r="V775" s="343" t="str">
        <f t="shared" ca="1" si="81"/>
        <v/>
      </c>
      <c r="W775" s="139"/>
      <c r="Y775" s="1"/>
    </row>
    <row r="776" spans="3:25" ht="12" customHeight="1">
      <c r="C776" s="342" t="str">
        <f t="shared" ca="1" si="76"/>
        <v/>
      </c>
      <c r="D776" s="153" t="str">
        <f t="shared" ca="1" si="77"/>
        <v/>
      </c>
      <c r="E776" s="153" t="str">
        <f t="shared" ca="1" si="78"/>
        <v/>
      </c>
      <c r="F776" s="170" t="str">
        <f ca="1">IF(C776="","",[1]!S_DQ_CLOSE(D776,TODAY(),1))</f>
        <v/>
      </c>
      <c r="G776" s="171" t="str">
        <f ca="1">IF(C776="","",[1]!s_pq_pctchange(D776,TODAY()-$G$12,TODAY())/100)</f>
        <v/>
      </c>
      <c r="H776" s="247" t="str">
        <f ca="1">IF(C776="","",IF($H$11="收入",[1]!S_STM07_IS(D776,9,$G$5,$H$13)/$E$5,[1]!S_STM07_IS(D776,48,$G$5,$H$13)/$E$5))</f>
        <v/>
      </c>
      <c r="I776" s="247" t="str">
        <f ca="1">IF(C776="","",IF($I$11="毛利率",([1]!S_STM07_IS(D776,9,$G$5,$H$13)-[1]!S_STM07_IS(D776,10,$G$5,$H$13))/[1]!S_STM07_IS(D776,9,$G$5,$H$13),[1]!S_STM07_IS(D776,14,$G$5,$H$13)/$E$5))</f>
        <v/>
      </c>
      <c r="J776" s="247" t="str">
        <f ca="1">IF(C776="","",IF($J$11="营业利润率",[1]!S_STM07_IS(D776,48,$G$5,$H$13)/[1]!S_STM07_IS(D776,9,$G$5,$H$13),([1]!S_STM07_CS(D776,87,$G$5,$H$13)+[1]!S_STM07_CS(D776,88,$G$5,$H$13)+[1]!S_STM07_CS(D776,89,$G$5,$H$13))/$E$5))</f>
        <v/>
      </c>
      <c r="K776" s="247" t="str">
        <f ca="1">IF(C776="","",IF($K$11="净利润率",[1]!S_STM07_IS(D776,61,$G$5,$H$13)/[1]!S_STM07_IS(D776,9,$G$5,$H$13),[1]!S_STM07_IS(D776,55,$G$5,$H$13)/$E$5))</f>
        <v/>
      </c>
      <c r="L776" s="247" t="str">
        <f ca="1">IF(C776="","",IF($L$11="ROA",[1]!S_STM07_IS(D776,61,$G$5,$H$13)/[1]!S_STM07_BS(D776,74,$G$5,$H$13),1-[1]!S_STM07_IS(D776,61,$G$5,$H$13)/[1]!S_STM07_IS(D776,55,$G$5,$H$13)))</f>
        <v/>
      </c>
      <c r="M776" s="247" t="str">
        <f ca="1">IF(C776="","",IF($M$11="ROE",[1]!S_STM07_IS(D776,61,$G$5,$H$13)/[1]!S_STM07_BS(D776,141,$G$5,$H$13),([1]!S_STM07_BS(D776,25,$G$5,$H$13)-[1]!S_STM07_BS(D776,93,$G$5,$H$13))/$E$5))</f>
        <v/>
      </c>
      <c r="N776" s="247" t="str">
        <f ca="1">IF(C776="","",IF($N$11="EPS",[1]!S_STM07_IS(D776,61,$G$5,$H$13)/IF([1]!S_SHARE_TOTAL(D776,$G$5)=0,[1]!S_SHARE_TOTAL(D776,[1]!s_ipo_listeddate(D776)),[1]!S_SHARE_TOTAL(D776,$G$5)),([1]!S_STM07_BS(D776,75,$G$5,$H$13)+[1]!S_STM07_BS(D776,88,$G$5,$H$13)+[1]!S_STM07_BS(D776,94,$G$5,$H$13)+[1]!S_STM07_BS(D776,95,$G$5,$H$13))/$E$5))</f>
        <v/>
      </c>
      <c r="O776" s="247" t="str">
        <f ca="1">IF(C776="","",IF($O$11="BPS",[1]!S_STM07_BS(D776,141,$G$5,$H$13)/IF([1]!S_SHARE_TOTAL(D776,$G$5)=0,[1]!S_SHARE_TOTAL(D776,[1]!s_ipo_listeddate(D776)),[1]!S_SHARE_TOTAL(D776,$G$5)),[1]!S_STM07_CS(D776,49,$G$5,$H$13)/$E$5))</f>
        <v/>
      </c>
      <c r="P776" s="247" t="str">
        <f ca="1">IF(C776="","",IF($P$11="CFPS",[1]!S_STM07_CS(D776,84,$G$5,$H$13)/IF([1]!S_SHARE_TOTAL(D776,$G$5)=0,[1]!S_SHARE_TOTAL(D776,[1]!s_ipo_listeddate(D776)),[1]!S_SHARE_TOTAL(D776,$G$5)),[1]!S_STM07_CS(D776,84,$G$5,$H$13)/$E$5))</f>
        <v/>
      </c>
      <c r="Q776" s="248" t="str">
        <f ca="1">IF(C776="","",F776/([1]!S_STM07_IS(D776,61,$G$5,$H$13)/IF([1]!S_SHARE_TOTAL(D776,$G$5)=0,[1]!S_SHARE_TOTAL(D776,[1]!s_ipo_listeddate(D776)),[1]!S_SHARE_TOTAL(D776,$G$5))))</f>
        <v/>
      </c>
      <c r="R776" s="248" t="str">
        <f ca="1">IF(C776="","",F776/([1]!S_STM07_BS(D776,141,$G$5,$H$13)/IF([1]!S_SHARE_TOTAL(D776,$G$5)=0,[1]!S_SHARE_TOTAL(D776,[1]!s_ipo_listeddate(D776)),[1]!S_SHARE_TOTAL(D776,$G$5))))</f>
        <v/>
      </c>
      <c r="S776" s="247" t="str">
        <f ca="1">IF(C776="","",[1]!S_SHARE_TOTAL(D776,TODAY())/$E$5)</f>
        <v/>
      </c>
      <c r="T776" s="247" t="str">
        <f t="shared" ca="1" si="79"/>
        <v/>
      </c>
      <c r="U776" s="218" t="str">
        <f t="shared" ca="1" si="80"/>
        <v/>
      </c>
      <c r="V776" s="342" t="str">
        <f t="shared" ca="1" si="81"/>
        <v/>
      </c>
      <c r="W776" s="139"/>
      <c r="Y776" s="1"/>
    </row>
    <row r="777" spans="3:25" ht="12" customHeight="1">
      <c r="C777" s="343" t="str">
        <f t="shared" ca="1" si="76"/>
        <v/>
      </c>
      <c r="D777" s="124" t="str">
        <f t="shared" ca="1" si="77"/>
        <v/>
      </c>
      <c r="E777" s="124" t="str">
        <f t="shared" ca="1" si="78"/>
        <v/>
      </c>
      <c r="F777" s="172" t="str">
        <f ca="1">IF(C777="","",[1]!S_DQ_CLOSE(D777,TODAY(),1))</f>
        <v/>
      </c>
      <c r="G777" s="173" t="str">
        <f ca="1">IF(C777="","",[1]!s_pq_pctchange(D777,TODAY()-$G$12,TODAY())/100)</f>
        <v/>
      </c>
      <c r="H777" s="249" t="str">
        <f ca="1">IF(C777="","",IF($H$11="收入",[1]!S_STM07_IS(D777,9,$G$5,$H$13)/$E$5,[1]!S_STM07_IS(D777,48,$G$5,$H$13)/$E$5))</f>
        <v/>
      </c>
      <c r="I777" s="249" t="str">
        <f ca="1">IF(C777="","",IF($I$11="毛利率",([1]!S_STM07_IS(D777,9,$G$5,$H$13)-[1]!S_STM07_IS(D777,10,$G$5,$H$13))/[1]!S_STM07_IS(D777,9,$G$5,$H$13),[1]!S_STM07_IS(D777,14,$G$5,$H$13)/$E$5))</f>
        <v/>
      </c>
      <c r="J777" s="249" t="str">
        <f ca="1">IF(C777="","",IF($J$11="营业利润率",[1]!S_STM07_IS(D777,48,$G$5,$H$13)/[1]!S_STM07_IS(D777,9,$G$5,$H$13),([1]!S_STM07_CS(D777,87,$G$5,$H$13)+[1]!S_STM07_CS(D777,88,$G$5,$H$13)+[1]!S_STM07_CS(D777,89,$G$5,$H$13))/$E$5))</f>
        <v/>
      </c>
      <c r="K777" s="249" t="str">
        <f ca="1">IF(C777="","",IF($K$11="净利润率",[1]!S_STM07_IS(D777,61,$G$5,$H$13)/[1]!S_STM07_IS(D777,9,$G$5,$H$13),[1]!S_STM07_IS(D777,55,$G$5,$H$13)/$E$5))</f>
        <v/>
      </c>
      <c r="L777" s="249" t="str">
        <f ca="1">IF(C777="","",IF($L$11="ROA",[1]!S_STM07_IS(D777,61,$G$5,$H$13)/[1]!S_STM07_BS(D777,74,$G$5,$H$13),1-[1]!S_STM07_IS(D777,61,$G$5,$H$13)/[1]!S_STM07_IS(D777,55,$G$5,$H$13)))</f>
        <v/>
      </c>
      <c r="M777" s="249" t="str">
        <f ca="1">IF(C777="","",IF($M$11="ROE",[1]!S_STM07_IS(D777,61,$G$5,$H$13)/[1]!S_STM07_BS(D777,141,$G$5,$H$13),([1]!S_STM07_BS(D777,25,$G$5,$H$13)-[1]!S_STM07_BS(D777,93,$G$5,$H$13))/$E$5))</f>
        <v/>
      </c>
      <c r="N777" s="250" t="str">
        <f ca="1">IF(C777="","",IF($N$11="EPS",[1]!S_STM07_IS(D777,61,$G$5,$H$13)/IF([1]!S_SHARE_TOTAL(D777,$G$5)=0,[1]!S_SHARE_TOTAL(D777,[1]!s_ipo_listeddate(D777)),[1]!S_SHARE_TOTAL(D777,$G$5)),([1]!S_STM07_BS(D777,75,$G$5,$H$13)+[1]!S_STM07_BS(D777,88,$G$5,$H$13)+[1]!S_STM07_BS(D777,94,$G$5,$H$13)+[1]!S_STM07_BS(D777,95,$G$5,$H$13))/$E$5))</f>
        <v/>
      </c>
      <c r="O777" s="250" t="str">
        <f ca="1">IF(C777="","",IF($O$11="BPS",[1]!S_STM07_BS(D777,141,$G$5,$H$13)/IF([1]!S_SHARE_TOTAL(D777,$G$5)=0,[1]!S_SHARE_TOTAL(D777,[1]!s_ipo_listeddate(D777)),[1]!S_SHARE_TOTAL(D777,$G$5)),[1]!S_STM07_CS(D777,49,$G$5,$H$13)/$E$5))</f>
        <v/>
      </c>
      <c r="P777" s="250" t="str">
        <f ca="1">IF(C777="","",IF($P$11="CFPS",[1]!S_STM07_CS(D777,84,$G$5,$H$13)/IF([1]!S_SHARE_TOTAL(D777,$G$5)=0,[1]!S_SHARE_TOTAL(D777,[1]!s_ipo_listeddate(D777)),[1]!S_SHARE_TOTAL(D777,$G$5)),[1]!S_STM07_CS(D777,84,$G$5,$H$13)/$E$5))</f>
        <v/>
      </c>
      <c r="Q777" s="198" t="str">
        <f ca="1">IF(C777="","",F777/([1]!S_STM07_IS(D777,61,$G$5,$H$13)/IF([1]!S_SHARE_TOTAL(D777,$G$5)=0,[1]!S_SHARE_TOTAL(D777,[1]!s_ipo_listeddate(D777)),[1]!S_SHARE_TOTAL(D777,$G$5))))</f>
        <v/>
      </c>
      <c r="R777" s="198" t="str">
        <f ca="1">IF(C777="","",F777/([1]!S_STM07_BS(D777,141,$G$5,$H$13)/IF([1]!S_SHARE_TOTAL(D777,$G$5)=0,[1]!S_SHARE_TOTAL(D777,[1]!s_ipo_listeddate(D777)),[1]!S_SHARE_TOTAL(D777,$G$5))))</f>
        <v/>
      </c>
      <c r="S777" s="249" t="str">
        <f ca="1">IF(C777="","",[1]!S_SHARE_TOTAL(D777,TODAY())/$E$5)</f>
        <v/>
      </c>
      <c r="T777" s="249" t="str">
        <f t="shared" ca="1" si="79"/>
        <v/>
      </c>
      <c r="U777" s="172" t="str">
        <f t="shared" ca="1" si="80"/>
        <v/>
      </c>
      <c r="V777" s="343" t="str">
        <f t="shared" ca="1" si="81"/>
        <v/>
      </c>
      <c r="W777" s="139"/>
      <c r="Y777" s="1"/>
    </row>
    <row r="778" spans="3:25" ht="12" customHeight="1">
      <c r="C778" s="342" t="str">
        <f t="shared" ca="1" si="76"/>
        <v/>
      </c>
      <c r="D778" s="153" t="str">
        <f t="shared" ca="1" si="77"/>
        <v/>
      </c>
      <c r="E778" s="153" t="str">
        <f t="shared" ca="1" si="78"/>
        <v/>
      </c>
      <c r="F778" s="170" t="str">
        <f ca="1">IF(C778="","",[1]!S_DQ_CLOSE(D778,TODAY(),1))</f>
        <v/>
      </c>
      <c r="G778" s="171" t="str">
        <f ca="1">IF(C778="","",[1]!s_pq_pctchange(D778,TODAY()-$G$12,TODAY())/100)</f>
        <v/>
      </c>
      <c r="H778" s="247" t="str">
        <f ca="1">IF(C778="","",IF($H$11="收入",[1]!S_STM07_IS(D778,9,$G$5,$H$13)/$E$5,[1]!S_STM07_IS(D778,48,$G$5,$H$13)/$E$5))</f>
        <v/>
      </c>
      <c r="I778" s="247" t="str">
        <f ca="1">IF(C778="","",IF($I$11="毛利率",([1]!S_STM07_IS(D778,9,$G$5,$H$13)-[1]!S_STM07_IS(D778,10,$G$5,$H$13))/[1]!S_STM07_IS(D778,9,$G$5,$H$13),[1]!S_STM07_IS(D778,14,$G$5,$H$13)/$E$5))</f>
        <v/>
      </c>
      <c r="J778" s="247" t="str">
        <f ca="1">IF(C778="","",IF($J$11="营业利润率",[1]!S_STM07_IS(D778,48,$G$5,$H$13)/[1]!S_STM07_IS(D778,9,$G$5,$H$13),([1]!S_STM07_CS(D778,87,$G$5,$H$13)+[1]!S_STM07_CS(D778,88,$G$5,$H$13)+[1]!S_STM07_CS(D778,89,$G$5,$H$13))/$E$5))</f>
        <v/>
      </c>
      <c r="K778" s="247" t="str">
        <f ca="1">IF(C778="","",IF($K$11="净利润率",[1]!S_STM07_IS(D778,61,$G$5,$H$13)/[1]!S_STM07_IS(D778,9,$G$5,$H$13),[1]!S_STM07_IS(D778,55,$G$5,$H$13)/$E$5))</f>
        <v/>
      </c>
      <c r="L778" s="247" t="str">
        <f ca="1">IF(C778="","",IF($L$11="ROA",[1]!S_STM07_IS(D778,61,$G$5,$H$13)/[1]!S_STM07_BS(D778,74,$G$5,$H$13),1-[1]!S_STM07_IS(D778,61,$G$5,$H$13)/[1]!S_STM07_IS(D778,55,$G$5,$H$13)))</f>
        <v/>
      </c>
      <c r="M778" s="247" t="str">
        <f ca="1">IF(C778="","",IF($M$11="ROE",[1]!S_STM07_IS(D778,61,$G$5,$H$13)/[1]!S_STM07_BS(D778,141,$G$5,$H$13),([1]!S_STM07_BS(D778,25,$G$5,$H$13)-[1]!S_STM07_BS(D778,93,$G$5,$H$13))/$E$5))</f>
        <v/>
      </c>
      <c r="N778" s="247" t="str">
        <f ca="1">IF(C778="","",IF($N$11="EPS",[1]!S_STM07_IS(D778,61,$G$5,$H$13)/IF([1]!S_SHARE_TOTAL(D778,$G$5)=0,[1]!S_SHARE_TOTAL(D778,[1]!s_ipo_listeddate(D778)),[1]!S_SHARE_TOTAL(D778,$G$5)),([1]!S_STM07_BS(D778,75,$G$5,$H$13)+[1]!S_STM07_BS(D778,88,$G$5,$H$13)+[1]!S_STM07_BS(D778,94,$G$5,$H$13)+[1]!S_STM07_BS(D778,95,$G$5,$H$13))/$E$5))</f>
        <v/>
      </c>
      <c r="O778" s="247" t="str">
        <f ca="1">IF(C778="","",IF($O$11="BPS",[1]!S_STM07_BS(D778,141,$G$5,$H$13)/IF([1]!S_SHARE_TOTAL(D778,$G$5)=0,[1]!S_SHARE_TOTAL(D778,[1]!s_ipo_listeddate(D778)),[1]!S_SHARE_TOTAL(D778,$G$5)),[1]!S_STM07_CS(D778,49,$G$5,$H$13)/$E$5))</f>
        <v/>
      </c>
      <c r="P778" s="247" t="str">
        <f ca="1">IF(C778="","",IF($P$11="CFPS",[1]!S_STM07_CS(D778,84,$G$5,$H$13)/IF([1]!S_SHARE_TOTAL(D778,$G$5)=0,[1]!S_SHARE_TOTAL(D778,[1]!s_ipo_listeddate(D778)),[1]!S_SHARE_TOTAL(D778,$G$5)),[1]!S_STM07_CS(D778,84,$G$5,$H$13)/$E$5))</f>
        <v/>
      </c>
      <c r="Q778" s="248" t="str">
        <f ca="1">IF(C778="","",F778/([1]!S_STM07_IS(D778,61,$G$5,$H$13)/IF([1]!S_SHARE_TOTAL(D778,$G$5)=0,[1]!S_SHARE_TOTAL(D778,[1]!s_ipo_listeddate(D778)),[1]!S_SHARE_TOTAL(D778,$G$5))))</f>
        <v/>
      </c>
      <c r="R778" s="248" t="str">
        <f ca="1">IF(C778="","",F778/([1]!S_STM07_BS(D778,141,$G$5,$H$13)/IF([1]!S_SHARE_TOTAL(D778,$G$5)=0,[1]!S_SHARE_TOTAL(D778,[1]!s_ipo_listeddate(D778)),[1]!S_SHARE_TOTAL(D778,$G$5))))</f>
        <v/>
      </c>
      <c r="S778" s="247" t="str">
        <f ca="1">IF(C778="","",[1]!S_SHARE_TOTAL(D778,TODAY())/$E$5)</f>
        <v/>
      </c>
      <c r="T778" s="247" t="str">
        <f t="shared" ca="1" si="79"/>
        <v/>
      </c>
      <c r="U778" s="218" t="str">
        <f t="shared" ca="1" si="80"/>
        <v/>
      </c>
      <c r="V778" s="342" t="str">
        <f t="shared" ca="1" si="81"/>
        <v/>
      </c>
      <c r="W778" s="139"/>
      <c r="Y778" s="1"/>
    </row>
    <row r="779" spans="3:25" ht="12" customHeight="1">
      <c r="C779" s="343" t="str">
        <f t="shared" ca="1" si="76"/>
        <v/>
      </c>
      <c r="D779" s="124" t="str">
        <f t="shared" ca="1" si="77"/>
        <v/>
      </c>
      <c r="E779" s="124" t="str">
        <f t="shared" ca="1" si="78"/>
        <v/>
      </c>
      <c r="F779" s="172" t="str">
        <f ca="1">IF(C779="","",[1]!S_DQ_CLOSE(D779,TODAY(),1))</f>
        <v/>
      </c>
      <c r="G779" s="173" t="str">
        <f ca="1">IF(C779="","",[1]!s_pq_pctchange(D779,TODAY()-$G$12,TODAY())/100)</f>
        <v/>
      </c>
      <c r="H779" s="249" t="str">
        <f ca="1">IF(C779="","",IF($H$11="收入",[1]!S_STM07_IS(D779,9,$G$5,$H$13)/$E$5,[1]!S_STM07_IS(D779,48,$G$5,$H$13)/$E$5))</f>
        <v/>
      </c>
      <c r="I779" s="249" t="str">
        <f ca="1">IF(C779="","",IF($I$11="毛利率",([1]!S_STM07_IS(D779,9,$G$5,$H$13)-[1]!S_STM07_IS(D779,10,$G$5,$H$13))/[1]!S_STM07_IS(D779,9,$G$5,$H$13),[1]!S_STM07_IS(D779,14,$G$5,$H$13)/$E$5))</f>
        <v/>
      </c>
      <c r="J779" s="249" t="str">
        <f ca="1">IF(C779="","",IF($J$11="营业利润率",[1]!S_STM07_IS(D779,48,$G$5,$H$13)/[1]!S_STM07_IS(D779,9,$G$5,$H$13),([1]!S_STM07_CS(D779,87,$G$5,$H$13)+[1]!S_STM07_CS(D779,88,$G$5,$H$13)+[1]!S_STM07_CS(D779,89,$G$5,$H$13))/$E$5))</f>
        <v/>
      </c>
      <c r="K779" s="249" t="str">
        <f ca="1">IF(C779="","",IF($K$11="净利润率",[1]!S_STM07_IS(D779,61,$G$5,$H$13)/[1]!S_STM07_IS(D779,9,$G$5,$H$13),[1]!S_STM07_IS(D779,55,$G$5,$H$13)/$E$5))</f>
        <v/>
      </c>
      <c r="L779" s="249" t="str">
        <f ca="1">IF(C779="","",IF($L$11="ROA",[1]!S_STM07_IS(D779,61,$G$5,$H$13)/[1]!S_STM07_BS(D779,74,$G$5,$H$13),1-[1]!S_STM07_IS(D779,61,$G$5,$H$13)/[1]!S_STM07_IS(D779,55,$G$5,$H$13)))</f>
        <v/>
      </c>
      <c r="M779" s="249" t="str">
        <f ca="1">IF(C779="","",IF($M$11="ROE",[1]!S_STM07_IS(D779,61,$G$5,$H$13)/[1]!S_STM07_BS(D779,141,$G$5,$H$13),([1]!S_STM07_BS(D779,25,$G$5,$H$13)-[1]!S_STM07_BS(D779,93,$G$5,$H$13))/$E$5))</f>
        <v/>
      </c>
      <c r="N779" s="250" t="str">
        <f ca="1">IF(C779="","",IF($N$11="EPS",[1]!S_STM07_IS(D779,61,$G$5,$H$13)/IF([1]!S_SHARE_TOTAL(D779,$G$5)=0,[1]!S_SHARE_TOTAL(D779,[1]!s_ipo_listeddate(D779)),[1]!S_SHARE_TOTAL(D779,$G$5)),([1]!S_STM07_BS(D779,75,$G$5,$H$13)+[1]!S_STM07_BS(D779,88,$G$5,$H$13)+[1]!S_STM07_BS(D779,94,$G$5,$H$13)+[1]!S_STM07_BS(D779,95,$G$5,$H$13))/$E$5))</f>
        <v/>
      </c>
      <c r="O779" s="250" t="str">
        <f ca="1">IF(C779="","",IF($O$11="BPS",[1]!S_STM07_BS(D779,141,$G$5,$H$13)/IF([1]!S_SHARE_TOTAL(D779,$G$5)=0,[1]!S_SHARE_TOTAL(D779,[1]!s_ipo_listeddate(D779)),[1]!S_SHARE_TOTAL(D779,$G$5)),[1]!S_STM07_CS(D779,49,$G$5,$H$13)/$E$5))</f>
        <v/>
      </c>
      <c r="P779" s="250" t="str">
        <f ca="1">IF(C779="","",IF($P$11="CFPS",[1]!S_STM07_CS(D779,84,$G$5,$H$13)/IF([1]!S_SHARE_TOTAL(D779,$G$5)=0,[1]!S_SHARE_TOTAL(D779,[1]!s_ipo_listeddate(D779)),[1]!S_SHARE_TOTAL(D779,$G$5)),[1]!S_STM07_CS(D779,84,$G$5,$H$13)/$E$5))</f>
        <v/>
      </c>
      <c r="Q779" s="198" t="str">
        <f ca="1">IF(C779="","",F779/([1]!S_STM07_IS(D779,61,$G$5,$H$13)/IF([1]!S_SHARE_TOTAL(D779,$G$5)=0,[1]!S_SHARE_TOTAL(D779,[1]!s_ipo_listeddate(D779)),[1]!S_SHARE_TOTAL(D779,$G$5))))</f>
        <v/>
      </c>
      <c r="R779" s="198" t="str">
        <f ca="1">IF(C779="","",F779/([1]!S_STM07_BS(D779,141,$G$5,$H$13)/IF([1]!S_SHARE_TOTAL(D779,$G$5)=0,[1]!S_SHARE_TOTAL(D779,[1]!s_ipo_listeddate(D779)),[1]!S_SHARE_TOTAL(D779,$G$5))))</f>
        <v/>
      </c>
      <c r="S779" s="249" t="str">
        <f ca="1">IF(C779="","",[1]!S_SHARE_TOTAL(D779,TODAY())/$E$5)</f>
        <v/>
      </c>
      <c r="T779" s="249" t="str">
        <f t="shared" ca="1" si="79"/>
        <v/>
      </c>
      <c r="U779" s="172" t="str">
        <f t="shared" ca="1" si="80"/>
        <v/>
      </c>
      <c r="V779" s="343" t="str">
        <f t="shared" ca="1" si="81"/>
        <v/>
      </c>
      <c r="W779" s="139"/>
      <c r="Y779" s="1"/>
    </row>
    <row r="780" spans="3:25" ht="12" customHeight="1">
      <c r="C780" s="342" t="str">
        <f t="shared" ca="1" si="76"/>
        <v/>
      </c>
      <c r="D780" s="153" t="str">
        <f t="shared" ca="1" si="77"/>
        <v/>
      </c>
      <c r="E780" s="153" t="str">
        <f t="shared" ca="1" si="78"/>
        <v/>
      </c>
      <c r="F780" s="170" t="str">
        <f ca="1">IF(C780="","",[1]!S_DQ_CLOSE(D780,TODAY(),1))</f>
        <v/>
      </c>
      <c r="G780" s="171" t="str">
        <f ca="1">IF(C780="","",[1]!s_pq_pctchange(D780,TODAY()-$G$12,TODAY())/100)</f>
        <v/>
      </c>
      <c r="H780" s="247" t="str">
        <f ca="1">IF(C780="","",IF($H$11="收入",[1]!S_STM07_IS(D780,9,$G$5,$H$13)/$E$5,[1]!S_STM07_IS(D780,48,$G$5,$H$13)/$E$5))</f>
        <v/>
      </c>
      <c r="I780" s="247" t="str">
        <f ca="1">IF(C780="","",IF($I$11="毛利率",([1]!S_STM07_IS(D780,9,$G$5,$H$13)-[1]!S_STM07_IS(D780,10,$G$5,$H$13))/[1]!S_STM07_IS(D780,9,$G$5,$H$13),[1]!S_STM07_IS(D780,14,$G$5,$H$13)/$E$5))</f>
        <v/>
      </c>
      <c r="J780" s="247" t="str">
        <f ca="1">IF(C780="","",IF($J$11="营业利润率",[1]!S_STM07_IS(D780,48,$G$5,$H$13)/[1]!S_STM07_IS(D780,9,$G$5,$H$13),([1]!S_STM07_CS(D780,87,$G$5,$H$13)+[1]!S_STM07_CS(D780,88,$G$5,$H$13)+[1]!S_STM07_CS(D780,89,$G$5,$H$13))/$E$5))</f>
        <v/>
      </c>
      <c r="K780" s="247" t="str">
        <f ca="1">IF(C780="","",IF($K$11="净利润率",[1]!S_STM07_IS(D780,61,$G$5,$H$13)/[1]!S_STM07_IS(D780,9,$G$5,$H$13),[1]!S_STM07_IS(D780,55,$G$5,$H$13)/$E$5))</f>
        <v/>
      </c>
      <c r="L780" s="247" t="str">
        <f ca="1">IF(C780="","",IF($L$11="ROA",[1]!S_STM07_IS(D780,61,$G$5,$H$13)/[1]!S_STM07_BS(D780,74,$G$5,$H$13),1-[1]!S_STM07_IS(D780,61,$G$5,$H$13)/[1]!S_STM07_IS(D780,55,$G$5,$H$13)))</f>
        <v/>
      </c>
      <c r="M780" s="247" t="str">
        <f ca="1">IF(C780="","",IF($M$11="ROE",[1]!S_STM07_IS(D780,61,$G$5,$H$13)/[1]!S_STM07_BS(D780,141,$G$5,$H$13),([1]!S_STM07_BS(D780,25,$G$5,$H$13)-[1]!S_STM07_BS(D780,93,$G$5,$H$13))/$E$5))</f>
        <v/>
      </c>
      <c r="N780" s="247" t="str">
        <f ca="1">IF(C780="","",IF($N$11="EPS",[1]!S_STM07_IS(D780,61,$G$5,$H$13)/IF([1]!S_SHARE_TOTAL(D780,$G$5)=0,[1]!S_SHARE_TOTAL(D780,[1]!s_ipo_listeddate(D780)),[1]!S_SHARE_TOTAL(D780,$G$5)),([1]!S_STM07_BS(D780,75,$G$5,$H$13)+[1]!S_STM07_BS(D780,88,$G$5,$H$13)+[1]!S_STM07_BS(D780,94,$G$5,$H$13)+[1]!S_STM07_BS(D780,95,$G$5,$H$13))/$E$5))</f>
        <v/>
      </c>
      <c r="O780" s="247" t="str">
        <f ca="1">IF(C780="","",IF($O$11="BPS",[1]!S_STM07_BS(D780,141,$G$5,$H$13)/IF([1]!S_SHARE_TOTAL(D780,$G$5)=0,[1]!S_SHARE_TOTAL(D780,[1]!s_ipo_listeddate(D780)),[1]!S_SHARE_TOTAL(D780,$G$5)),[1]!S_STM07_CS(D780,49,$G$5,$H$13)/$E$5))</f>
        <v/>
      </c>
      <c r="P780" s="247" t="str">
        <f ca="1">IF(C780="","",IF($P$11="CFPS",[1]!S_STM07_CS(D780,84,$G$5,$H$13)/IF([1]!S_SHARE_TOTAL(D780,$G$5)=0,[1]!S_SHARE_TOTAL(D780,[1]!s_ipo_listeddate(D780)),[1]!S_SHARE_TOTAL(D780,$G$5)),[1]!S_STM07_CS(D780,84,$G$5,$H$13)/$E$5))</f>
        <v/>
      </c>
      <c r="Q780" s="248" t="str">
        <f ca="1">IF(C780="","",F780/([1]!S_STM07_IS(D780,61,$G$5,$H$13)/IF([1]!S_SHARE_TOTAL(D780,$G$5)=0,[1]!S_SHARE_TOTAL(D780,[1]!s_ipo_listeddate(D780)),[1]!S_SHARE_TOTAL(D780,$G$5))))</f>
        <v/>
      </c>
      <c r="R780" s="248" t="str">
        <f ca="1">IF(C780="","",F780/([1]!S_STM07_BS(D780,141,$G$5,$H$13)/IF([1]!S_SHARE_TOTAL(D780,$G$5)=0,[1]!S_SHARE_TOTAL(D780,[1]!s_ipo_listeddate(D780)),[1]!S_SHARE_TOTAL(D780,$G$5))))</f>
        <v/>
      </c>
      <c r="S780" s="247" t="str">
        <f ca="1">IF(C780="","",[1]!S_SHARE_TOTAL(D780,TODAY())/$E$5)</f>
        <v/>
      </c>
      <c r="T780" s="247" t="str">
        <f t="shared" ca="1" si="79"/>
        <v/>
      </c>
      <c r="U780" s="218" t="str">
        <f t="shared" ca="1" si="80"/>
        <v/>
      </c>
      <c r="V780" s="342" t="str">
        <f t="shared" ca="1" si="81"/>
        <v/>
      </c>
      <c r="W780" s="139"/>
      <c r="Y780" s="1"/>
    </row>
    <row r="781" spans="3:25" ht="12" customHeight="1">
      <c r="C781" s="343" t="str">
        <f t="shared" ca="1" si="76"/>
        <v/>
      </c>
      <c r="D781" s="124" t="str">
        <f t="shared" ca="1" si="77"/>
        <v/>
      </c>
      <c r="E781" s="124" t="str">
        <f t="shared" ca="1" si="78"/>
        <v/>
      </c>
      <c r="F781" s="172" t="str">
        <f ca="1">IF(C781="","",[1]!S_DQ_CLOSE(D781,TODAY(),1))</f>
        <v/>
      </c>
      <c r="G781" s="173" t="str">
        <f ca="1">IF(C781="","",[1]!s_pq_pctchange(D781,TODAY()-$G$12,TODAY())/100)</f>
        <v/>
      </c>
      <c r="H781" s="249" t="str">
        <f ca="1">IF(C781="","",IF($H$11="收入",[1]!S_STM07_IS(D781,9,$G$5,$H$13)/$E$5,[1]!S_STM07_IS(D781,48,$G$5,$H$13)/$E$5))</f>
        <v/>
      </c>
      <c r="I781" s="249" t="str">
        <f ca="1">IF(C781="","",IF($I$11="毛利率",([1]!S_STM07_IS(D781,9,$G$5,$H$13)-[1]!S_STM07_IS(D781,10,$G$5,$H$13))/[1]!S_STM07_IS(D781,9,$G$5,$H$13),[1]!S_STM07_IS(D781,14,$G$5,$H$13)/$E$5))</f>
        <v/>
      </c>
      <c r="J781" s="249" t="str">
        <f ca="1">IF(C781="","",IF($J$11="营业利润率",[1]!S_STM07_IS(D781,48,$G$5,$H$13)/[1]!S_STM07_IS(D781,9,$G$5,$H$13),([1]!S_STM07_CS(D781,87,$G$5,$H$13)+[1]!S_STM07_CS(D781,88,$G$5,$H$13)+[1]!S_STM07_CS(D781,89,$G$5,$H$13))/$E$5))</f>
        <v/>
      </c>
      <c r="K781" s="249" t="str">
        <f ca="1">IF(C781="","",IF($K$11="净利润率",[1]!S_STM07_IS(D781,61,$G$5,$H$13)/[1]!S_STM07_IS(D781,9,$G$5,$H$13),[1]!S_STM07_IS(D781,55,$G$5,$H$13)/$E$5))</f>
        <v/>
      </c>
      <c r="L781" s="249" t="str">
        <f ca="1">IF(C781="","",IF($L$11="ROA",[1]!S_STM07_IS(D781,61,$G$5,$H$13)/[1]!S_STM07_BS(D781,74,$G$5,$H$13),1-[1]!S_STM07_IS(D781,61,$G$5,$H$13)/[1]!S_STM07_IS(D781,55,$G$5,$H$13)))</f>
        <v/>
      </c>
      <c r="M781" s="249" t="str">
        <f ca="1">IF(C781="","",IF($M$11="ROE",[1]!S_STM07_IS(D781,61,$G$5,$H$13)/[1]!S_STM07_BS(D781,141,$G$5,$H$13),([1]!S_STM07_BS(D781,25,$G$5,$H$13)-[1]!S_STM07_BS(D781,93,$G$5,$H$13))/$E$5))</f>
        <v/>
      </c>
      <c r="N781" s="250" t="str">
        <f ca="1">IF(C781="","",IF($N$11="EPS",[1]!S_STM07_IS(D781,61,$G$5,$H$13)/IF([1]!S_SHARE_TOTAL(D781,$G$5)=0,[1]!S_SHARE_TOTAL(D781,[1]!s_ipo_listeddate(D781)),[1]!S_SHARE_TOTAL(D781,$G$5)),([1]!S_STM07_BS(D781,75,$G$5,$H$13)+[1]!S_STM07_BS(D781,88,$G$5,$H$13)+[1]!S_STM07_BS(D781,94,$G$5,$H$13)+[1]!S_STM07_BS(D781,95,$G$5,$H$13))/$E$5))</f>
        <v/>
      </c>
      <c r="O781" s="250" t="str">
        <f ca="1">IF(C781="","",IF($O$11="BPS",[1]!S_STM07_BS(D781,141,$G$5,$H$13)/IF([1]!S_SHARE_TOTAL(D781,$G$5)=0,[1]!S_SHARE_TOTAL(D781,[1]!s_ipo_listeddate(D781)),[1]!S_SHARE_TOTAL(D781,$G$5)),[1]!S_STM07_CS(D781,49,$G$5,$H$13)/$E$5))</f>
        <v/>
      </c>
      <c r="P781" s="250" t="str">
        <f ca="1">IF(C781="","",IF($P$11="CFPS",[1]!S_STM07_CS(D781,84,$G$5,$H$13)/IF([1]!S_SHARE_TOTAL(D781,$G$5)=0,[1]!S_SHARE_TOTAL(D781,[1]!s_ipo_listeddate(D781)),[1]!S_SHARE_TOTAL(D781,$G$5)),[1]!S_STM07_CS(D781,84,$G$5,$H$13)/$E$5))</f>
        <v/>
      </c>
      <c r="Q781" s="198" t="str">
        <f ca="1">IF(C781="","",F781/([1]!S_STM07_IS(D781,61,$G$5,$H$13)/IF([1]!S_SHARE_TOTAL(D781,$G$5)=0,[1]!S_SHARE_TOTAL(D781,[1]!s_ipo_listeddate(D781)),[1]!S_SHARE_TOTAL(D781,$G$5))))</f>
        <v/>
      </c>
      <c r="R781" s="198" t="str">
        <f ca="1">IF(C781="","",F781/([1]!S_STM07_BS(D781,141,$G$5,$H$13)/IF([1]!S_SHARE_TOTAL(D781,$G$5)=0,[1]!S_SHARE_TOTAL(D781,[1]!s_ipo_listeddate(D781)),[1]!S_SHARE_TOTAL(D781,$G$5))))</f>
        <v/>
      </c>
      <c r="S781" s="249" t="str">
        <f ca="1">IF(C781="","",[1]!S_SHARE_TOTAL(D781,TODAY())/$E$5)</f>
        <v/>
      </c>
      <c r="T781" s="249" t="str">
        <f t="shared" ca="1" si="79"/>
        <v/>
      </c>
      <c r="U781" s="172" t="str">
        <f t="shared" ca="1" si="80"/>
        <v/>
      </c>
      <c r="V781" s="343" t="str">
        <f t="shared" ca="1" si="81"/>
        <v/>
      </c>
      <c r="W781" s="139"/>
      <c r="Y781" s="1"/>
    </row>
    <row r="782" spans="3:25" ht="12" customHeight="1">
      <c r="C782" s="342" t="str">
        <f t="shared" ref="C782:C845" ca="1" si="82">IF(ROW()-13&lt;=MAX(series),ROW()-13,"")</f>
        <v/>
      </c>
      <c r="D782" s="153" t="str">
        <f t="shared" ca="1" si="77"/>
        <v/>
      </c>
      <c r="E782" s="153" t="str">
        <f t="shared" ca="1" si="78"/>
        <v/>
      </c>
      <c r="F782" s="170" t="str">
        <f ca="1">IF(C782="","",[1]!S_DQ_CLOSE(D782,TODAY(),1))</f>
        <v/>
      </c>
      <c r="G782" s="171" t="str">
        <f ca="1">IF(C782="","",[1]!s_pq_pctchange(D782,TODAY()-$G$12,TODAY())/100)</f>
        <v/>
      </c>
      <c r="H782" s="247" t="str">
        <f ca="1">IF(C782="","",IF($H$11="收入",[1]!S_STM07_IS(D782,9,$G$5,$H$13)/$E$5,[1]!S_STM07_IS(D782,48,$G$5,$H$13)/$E$5))</f>
        <v/>
      </c>
      <c r="I782" s="247" t="str">
        <f ca="1">IF(C782="","",IF($I$11="毛利率",([1]!S_STM07_IS(D782,9,$G$5,$H$13)-[1]!S_STM07_IS(D782,10,$G$5,$H$13))/[1]!S_STM07_IS(D782,9,$G$5,$H$13),[1]!S_STM07_IS(D782,14,$G$5,$H$13)/$E$5))</f>
        <v/>
      </c>
      <c r="J782" s="247" t="str">
        <f ca="1">IF(C782="","",IF($J$11="营业利润率",[1]!S_STM07_IS(D782,48,$G$5,$H$13)/[1]!S_STM07_IS(D782,9,$G$5,$H$13),([1]!S_STM07_CS(D782,87,$G$5,$H$13)+[1]!S_STM07_CS(D782,88,$G$5,$H$13)+[1]!S_STM07_CS(D782,89,$G$5,$H$13))/$E$5))</f>
        <v/>
      </c>
      <c r="K782" s="247" t="str">
        <f ca="1">IF(C782="","",IF($K$11="净利润率",[1]!S_STM07_IS(D782,61,$G$5,$H$13)/[1]!S_STM07_IS(D782,9,$G$5,$H$13),[1]!S_STM07_IS(D782,55,$G$5,$H$13)/$E$5))</f>
        <v/>
      </c>
      <c r="L782" s="247" t="str">
        <f ca="1">IF(C782="","",IF($L$11="ROA",[1]!S_STM07_IS(D782,61,$G$5,$H$13)/[1]!S_STM07_BS(D782,74,$G$5,$H$13),1-[1]!S_STM07_IS(D782,61,$G$5,$H$13)/[1]!S_STM07_IS(D782,55,$G$5,$H$13)))</f>
        <v/>
      </c>
      <c r="M782" s="247" t="str">
        <f ca="1">IF(C782="","",IF($M$11="ROE",[1]!S_STM07_IS(D782,61,$G$5,$H$13)/[1]!S_STM07_BS(D782,141,$G$5,$H$13),([1]!S_STM07_BS(D782,25,$G$5,$H$13)-[1]!S_STM07_BS(D782,93,$G$5,$H$13))/$E$5))</f>
        <v/>
      </c>
      <c r="N782" s="247" t="str">
        <f ca="1">IF(C782="","",IF($N$11="EPS",[1]!S_STM07_IS(D782,61,$G$5,$H$13)/IF([1]!S_SHARE_TOTAL(D782,$G$5)=0,[1]!S_SHARE_TOTAL(D782,[1]!s_ipo_listeddate(D782)),[1]!S_SHARE_TOTAL(D782,$G$5)),([1]!S_STM07_BS(D782,75,$G$5,$H$13)+[1]!S_STM07_BS(D782,88,$G$5,$H$13)+[1]!S_STM07_BS(D782,94,$G$5,$H$13)+[1]!S_STM07_BS(D782,95,$G$5,$H$13))/$E$5))</f>
        <v/>
      </c>
      <c r="O782" s="247" t="str">
        <f ca="1">IF(C782="","",IF($O$11="BPS",[1]!S_STM07_BS(D782,141,$G$5,$H$13)/IF([1]!S_SHARE_TOTAL(D782,$G$5)=0,[1]!S_SHARE_TOTAL(D782,[1]!s_ipo_listeddate(D782)),[1]!S_SHARE_TOTAL(D782,$G$5)),[1]!S_STM07_CS(D782,49,$G$5,$H$13)/$E$5))</f>
        <v/>
      </c>
      <c r="P782" s="247" t="str">
        <f ca="1">IF(C782="","",IF($P$11="CFPS",[1]!S_STM07_CS(D782,84,$G$5,$H$13)/IF([1]!S_SHARE_TOTAL(D782,$G$5)=0,[1]!S_SHARE_TOTAL(D782,[1]!s_ipo_listeddate(D782)),[1]!S_SHARE_TOTAL(D782,$G$5)),[1]!S_STM07_CS(D782,84,$G$5,$H$13)/$E$5))</f>
        <v/>
      </c>
      <c r="Q782" s="248" t="str">
        <f ca="1">IF(C782="","",F782/([1]!S_STM07_IS(D782,61,$G$5,$H$13)/IF([1]!S_SHARE_TOTAL(D782,$G$5)=0,[1]!S_SHARE_TOTAL(D782,[1]!s_ipo_listeddate(D782)),[1]!S_SHARE_TOTAL(D782,$G$5))))</f>
        <v/>
      </c>
      <c r="R782" s="248" t="str">
        <f ca="1">IF(C782="","",F782/([1]!S_STM07_BS(D782,141,$G$5,$H$13)/IF([1]!S_SHARE_TOTAL(D782,$G$5)=0,[1]!S_SHARE_TOTAL(D782,[1]!s_ipo_listeddate(D782)),[1]!S_SHARE_TOTAL(D782,$G$5))))</f>
        <v/>
      </c>
      <c r="S782" s="247" t="str">
        <f ca="1">IF(C782="","",[1]!S_SHARE_TOTAL(D782,TODAY())/$E$5)</f>
        <v/>
      </c>
      <c r="T782" s="247" t="str">
        <f t="shared" ca="1" si="79"/>
        <v/>
      </c>
      <c r="U782" s="218" t="str">
        <f t="shared" ca="1" si="80"/>
        <v/>
      </c>
      <c r="V782" s="342" t="str">
        <f t="shared" ca="1" si="81"/>
        <v/>
      </c>
      <c r="W782" s="139"/>
      <c r="Y782" s="1"/>
    </row>
    <row r="783" spans="3:25" ht="12" customHeight="1">
      <c r="C783" s="343" t="str">
        <f t="shared" ca="1" si="82"/>
        <v/>
      </c>
      <c r="D783" s="124" t="str">
        <f t="shared" ca="1" si="77"/>
        <v/>
      </c>
      <c r="E783" s="124" t="str">
        <f t="shared" ca="1" si="78"/>
        <v/>
      </c>
      <c r="F783" s="172" t="str">
        <f ca="1">IF(C783="","",[1]!S_DQ_CLOSE(D783,TODAY(),1))</f>
        <v/>
      </c>
      <c r="G783" s="173" t="str">
        <f ca="1">IF(C783="","",[1]!s_pq_pctchange(D783,TODAY()-$G$12,TODAY())/100)</f>
        <v/>
      </c>
      <c r="H783" s="249" t="str">
        <f ca="1">IF(C783="","",IF($H$11="收入",[1]!S_STM07_IS(D783,9,$G$5,$H$13)/$E$5,[1]!S_STM07_IS(D783,48,$G$5,$H$13)/$E$5))</f>
        <v/>
      </c>
      <c r="I783" s="249" t="str">
        <f ca="1">IF(C783="","",IF($I$11="毛利率",([1]!S_STM07_IS(D783,9,$G$5,$H$13)-[1]!S_STM07_IS(D783,10,$G$5,$H$13))/[1]!S_STM07_IS(D783,9,$G$5,$H$13),[1]!S_STM07_IS(D783,14,$G$5,$H$13)/$E$5))</f>
        <v/>
      </c>
      <c r="J783" s="249" t="str">
        <f ca="1">IF(C783="","",IF($J$11="营业利润率",[1]!S_STM07_IS(D783,48,$G$5,$H$13)/[1]!S_STM07_IS(D783,9,$G$5,$H$13),([1]!S_STM07_CS(D783,87,$G$5,$H$13)+[1]!S_STM07_CS(D783,88,$G$5,$H$13)+[1]!S_STM07_CS(D783,89,$G$5,$H$13))/$E$5))</f>
        <v/>
      </c>
      <c r="K783" s="249" t="str">
        <f ca="1">IF(C783="","",IF($K$11="净利润率",[1]!S_STM07_IS(D783,61,$G$5,$H$13)/[1]!S_STM07_IS(D783,9,$G$5,$H$13),[1]!S_STM07_IS(D783,55,$G$5,$H$13)/$E$5))</f>
        <v/>
      </c>
      <c r="L783" s="249" t="str">
        <f ca="1">IF(C783="","",IF($L$11="ROA",[1]!S_STM07_IS(D783,61,$G$5,$H$13)/[1]!S_STM07_BS(D783,74,$G$5,$H$13),1-[1]!S_STM07_IS(D783,61,$G$5,$H$13)/[1]!S_STM07_IS(D783,55,$G$5,$H$13)))</f>
        <v/>
      </c>
      <c r="M783" s="249" t="str">
        <f ca="1">IF(C783="","",IF($M$11="ROE",[1]!S_STM07_IS(D783,61,$G$5,$H$13)/[1]!S_STM07_BS(D783,141,$G$5,$H$13),([1]!S_STM07_BS(D783,25,$G$5,$H$13)-[1]!S_STM07_BS(D783,93,$G$5,$H$13))/$E$5))</f>
        <v/>
      </c>
      <c r="N783" s="250" t="str">
        <f ca="1">IF(C783="","",IF($N$11="EPS",[1]!S_STM07_IS(D783,61,$G$5,$H$13)/IF([1]!S_SHARE_TOTAL(D783,$G$5)=0,[1]!S_SHARE_TOTAL(D783,[1]!s_ipo_listeddate(D783)),[1]!S_SHARE_TOTAL(D783,$G$5)),([1]!S_STM07_BS(D783,75,$G$5,$H$13)+[1]!S_STM07_BS(D783,88,$G$5,$H$13)+[1]!S_STM07_BS(D783,94,$G$5,$H$13)+[1]!S_STM07_BS(D783,95,$G$5,$H$13))/$E$5))</f>
        <v/>
      </c>
      <c r="O783" s="250" t="str">
        <f ca="1">IF(C783="","",IF($O$11="BPS",[1]!S_STM07_BS(D783,141,$G$5,$H$13)/IF([1]!S_SHARE_TOTAL(D783,$G$5)=0,[1]!S_SHARE_TOTAL(D783,[1]!s_ipo_listeddate(D783)),[1]!S_SHARE_TOTAL(D783,$G$5)),[1]!S_STM07_CS(D783,49,$G$5,$H$13)/$E$5))</f>
        <v/>
      </c>
      <c r="P783" s="250" t="str">
        <f ca="1">IF(C783="","",IF($P$11="CFPS",[1]!S_STM07_CS(D783,84,$G$5,$H$13)/IF([1]!S_SHARE_TOTAL(D783,$G$5)=0,[1]!S_SHARE_TOTAL(D783,[1]!s_ipo_listeddate(D783)),[1]!S_SHARE_TOTAL(D783,$G$5)),[1]!S_STM07_CS(D783,84,$G$5,$H$13)/$E$5))</f>
        <v/>
      </c>
      <c r="Q783" s="198" t="str">
        <f ca="1">IF(C783="","",F783/([1]!S_STM07_IS(D783,61,$G$5,$H$13)/IF([1]!S_SHARE_TOTAL(D783,$G$5)=0,[1]!S_SHARE_TOTAL(D783,[1]!s_ipo_listeddate(D783)),[1]!S_SHARE_TOTAL(D783,$G$5))))</f>
        <v/>
      </c>
      <c r="R783" s="198" t="str">
        <f ca="1">IF(C783="","",F783/([1]!S_STM07_BS(D783,141,$G$5,$H$13)/IF([1]!S_SHARE_TOTAL(D783,$G$5)=0,[1]!S_SHARE_TOTAL(D783,[1]!s_ipo_listeddate(D783)),[1]!S_SHARE_TOTAL(D783,$G$5))))</f>
        <v/>
      </c>
      <c r="S783" s="249" t="str">
        <f ca="1">IF(C783="","",[1]!S_SHARE_TOTAL(D783,TODAY())/$E$5)</f>
        <v/>
      </c>
      <c r="T783" s="249" t="str">
        <f t="shared" ca="1" si="79"/>
        <v/>
      </c>
      <c r="U783" s="172" t="str">
        <f t="shared" ca="1" si="80"/>
        <v/>
      </c>
      <c r="V783" s="343" t="str">
        <f t="shared" ca="1" si="81"/>
        <v/>
      </c>
      <c r="W783" s="139"/>
      <c r="Y783" s="1"/>
    </row>
    <row r="784" spans="3:25" ht="12" customHeight="1">
      <c r="C784" s="342" t="str">
        <f t="shared" ca="1" si="82"/>
        <v/>
      </c>
      <c r="D784" s="153" t="str">
        <f t="shared" ca="1" si="77"/>
        <v/>
      </c>
      <c r="E784" s="153" t="str">
        <f t="shared" ca="1" si="78"/>
        <v/>
      </c>
      <c r="F784" s="170" t="str">
        <f ca="1">IF(C784="","",[1]!S_DQ_CLOSE(D784,TODAY(),1))</f>
        <v/>
      </c>
      <c r="G784" s="171" t="str">
        <f ca="1">IF(C784="","",[1]!s_pq_pctchange(D784,TODAY()-$G$12,TODAY())/100)</f>
        <v/>
      </c>
      <c r="H784" s="247" t="str">
        <f ca="1">IF(C784="","",IF($H$11="收入",[1]!S_STM07_IS(D784,9,$G$5,$H$13)/$E$5,[1]!S_STM07_IS(D784,48,$G$5,$H$13)/$E$5))</f>
        <v/>
      </c>
      <c r="I784" s="247" t="str">
        <f ca="1">IF(C784="","",IF($I$11="毛利率",([1]!S_STM07_IS(D784,9,$G$5,$H$13)-[1]!S_STM07_IS(D784,10,$G$5,$H$13))/[1]!S_STM07_IS(D784,9,$G$5,$H$13),[1]!S_STM07_IS(D784,14,$G$5,$H$13)/$E$5))</f>
        <v/>
      </c>
      <c r="J784" s="247" t="str">
        <f ca="1">IF(C784="","",IF($J$11="营业利润率",[1]!S_STM07_IS(D784,48,$G$5,$H$13)/[1]!S_STM07_IS(D784,9,$G$5,$H$13),([1]!S_STM07_CS(D784,87,$G$5,$H$13)+[1]!S_STM07_CS(D784,88,$G$5,$H$13)+[1]!S_STM07_CS(D784,89,$G$5,$H$13))/$E$5))</f>
        <v/>
      </c>
      <c r="K784" s="247" t="str">
        <f ca="1">IF(C784="","",IF($K$11="净利润率",[1]!S_STM07_IS(D784,61,$G$5,$H$13)/[1]!S_STM07_IS(D784,9,$G$5,$H$13),[1]!S_STM07_IS(D784,55,$G$5,$H$13)/$E$5))</f>
        <v/>
      </c>
      <c r="L784" s="247" t="str">
        <f ca="1">IF(C784="","",IF($L$11="ROA",[1]!S_STM07_IS(D784,61,$G$5,$H$13)/[1]!S_STM07_BS(D784,74,$G$5,$H$13),1-[1]!S_STM07_IS(D784,61,$G$5,$H$13)/[1]!S_STM07_IS(D784,55,$G$5,$H$13)))</f>
        <v/>
      </c>
      <c r="M784" s="247" t="str">
        <f ca="1">IF(C784="","",IF($M$11="ROE",[1]!S_STM07_IS(D784,61,$G$5,$H$13)/[1]!S_STM07_BS(D784,141,$G$5,$H$13),([1]!S_STM07_BS(D784,25,$G$5,$H$13)-[1]!S_STM07_BS(D784,93,$G$5,$H$13))/$E$5))</f>
        <v/>
      </c>
      <c r="N784" s="247" t="str">
        <f ca="1">IF(C784="","",IF($N$11="EPS",[1]!S_STM07_IS(D784,61,$G$5,$H$13)/IF([1]!S_SHARE_TOTAL(D784,$G$5)=0,[1]!S_SHARE_TOTAL(D784,[1]!s_ipo_listeddate(D784)),[1]!S_SHARE_TOTAL(D784,$G$5)),([1]!S_STM07_BS(D784,75,$G$5,$H$13)+[1]!S_STM07_BS(D784,88,$G$5,$H$13)+[1]!S_STM07_BS(D784,94,$G$5,$H$13)+[1]!S_STM07_BS(D784,95,$G$5,$H$13))/$E$5))</f>
        <v/>
      </c>
      <c r="O784" s="247" t="str">
        <f ca="1">IF(C784="","",IF($O$11="BPS",[1]!S_STM07_BS(D784,141,$G$5,$H$13)/IF([1]!S_SHARE_TOTAL(D784,$G$5)=0,[1]!S_SHARE_TOTAL(D784,[1]!s_ipo_listeddate(D784)),[1]!S_SHARE_TOTAL(D784,$G$5)),[1]!S_STM07_CS(D784,49,$G$5,$H$13)/$E$5))</f>
        <v/>
      </c>
      <c r="P784" s="247" t="str">
        <f ca="1">IF(C784="","",IF($P$11="CFPS",[1]!S_STM07_CS(D784,84,$G$5,$H$13)/IF([1]!S_SHARE_TOTAL(D784,$G$5)=0,[1]!S_SHARE_TOTAL(D784,[1]!s_ipo_listeddate(D784)),[1]!S_SHARE_TOTAL(D784,$G$5)),[1]!S_STM07_CS(D784,84,$G$5,$H$13)/$E$5))</f>
        <v/>
      </c>
      <c r="Q784" s="248" t="str">
        <f ca="1">IF(C784="","",F784/([1]!S_STM07_IS(D784,61,$G$5,$H$13)/IF([1]!S_SHARE_TOTAL(D784,$G$5)=0,[1]!S_SHARE_TOTAL(D784,[1]!s_ipo_listeddate(D784)),[1]!S_SHARE_TOTAL(D784,$G$5))))</f>
        <v/>
      </c>
      <c r="R784" s="248" t="str">
        <f ca="1">IF(C784="","",F784/([1]!S_STM07_BS(D784,141,$G$5,$H$13)/IF([1]!S_SHARE_TOTAL(D784,$G$5)=0,[1]!S_SHARE_TOTAL(D784,[1]!s_ipo_listeddate(D784)),[1]!S_SHARE_TOTAL(D784,$G$5))))</f>
        <v/>
      </c>
      <c r="S784" s="247" t="str">
        <f ca="1">IF(C784="","",[1]!S_SHARE_TOTAL(D784,TODAY())/$E$5)</f>
        <v/>
      </c>
      <c r="T784" s="247" t="str">
        <f t="shared" ca="1" si="79"/>
        <v/>
      </c>
      <c r="U784" s="218" t="str">
        <f t="shared" ca="1" si="80"/>
        <v/>
      </c>
      <c r="V784" s="342" t="str">
        <f t="shared" ca="1" si="81"/>
        <v/>
      </c>
      <c r="W784" s="139"/>
      <c r="Y784" s="1"/>
    </row>
    <row r="785" spans="3:25" ht="12" customHeight="1">
      <c r="C785" s="343" t="str">
        <f t="shared" ca="1" si="82"/>
        <v/>
      </c>
      <c r="D785" s="124" t="str">
        <f t="shared" ca="1" si="77"/>
        <v/>
      </c>
      <c r="E785" s="124" t="str">
        <f t="shared" ca="1" si="78"/>
        <v/>
      </c>
      <c r="F785" s="172" t="str">
        <f ca="1">IF(C785="","",[1]!S_DQ_CLOSE(D785,TODAY(),1))</f>
        <v/>
      </c>
      <c r="G785" s="173" t="str">
        <f ca="1">IF(C785="","",[1]!s_pq_pctchange(D785,TODAY()-$G$12,TODAY())/100)</f>
        <v/>
      </c>
      <c r="H785" s="249" t="str">
        <f ca="1">IF(C785="","",IF($H$11="收入",[1]!S_STM07_IS(D785,9,$G$5,$H$13)/$E$5,[1]!S_STM07_IS(D785,48,$G$5,$H$13)/$E$5))</f>
        <v/>
      </c>
      <c r="I785" s="249" t="str">
        <f ca="1">IF(C785="","",IF($I$11="毛利率",([1]!S_STM07_IS(D785,9,$G$5,$H$13)-[1]!S_STM07_IS(D785,10,$G$5,$H$13))/[1]!S_STM07_IS(D785,9,$G$5,$H$13),[1]!S_STM07_IS(D785,14,$G$5,$H$13)/$E$5))</f>
        <v/>
      </c>
      <c r="J785" s="249" t="str">
        <f ca="1">IF(C785="","",IF($J$11="营业利润率",[1]!S_STM07_IS(D785,48,$G$5,$H$13)/[1]!S_STM07_IS(D785,9,$G$5,$H$13),([1]!S_STM07_CS(D785,87,$G$5,$H$13)+[1]!S_STM07_CS(D785,88,$G$5,$H$13)+[1]!S_STM07_CS(D785,89,$G$5,$H$13))/$E$5))</f>
        <v/>
      </c>
      <c r="K785" s="249" t="str">
        <f ca="1">IF(C785="","",IF($K$11="净利润率",[1]!S_STM07_IS(D785,61,$G$5,$H$13)/[1]!S_STM07_IS(D785,9,$G$5,$H$13),[1]!S_STM07_IS(D785,55,$G$5,$H$13)/$E$5))</f>
        <v/>
      </c>
      <c r="L785" s="249" t="str">
        <f ca="1">IF(C785="","",IF($L$11="ROA",[1]!S_STM07_IS(D785,61,$G$5,$H$13)/[1]!S_STM07_BS(D785,74,$G$5,$H$13),1-[1]!S_STM07_IS(D785,61,$G$5,$H$13)/[1]!S_STM07_IS(D785,55,$G$5,$H$13)))</f>
        <v/>
      </c>
      <c r="M785" s="249" t="str">
        <f ca="1">IF(C785="","",IF($M$11="ROE",[1]!S_STM07_IS(D785,61,$G$5,$H$13)/[1]!S_STM07_BS(D785,141,$G$5,$H$13),([1]!S_STM07_BS(D785,25,$G$5,$H$13)-[1]!S_STM07_BS(D785,93,$G$5,$H$13))/$E$5))</f>
        <v/>
      </c>
      <c r="N785" s="250" t="str">
        <f ca="1">IF(C785="","",IF($N$11="EPS",[1]!S_STM07_IS(D785,61,$G$5,$H$13)/IF([1]!S_SHARE_TOTAL(D785,$G$5)=0,[1]!S_SHARE_TOTAL(D785,[1]!s_ipo_listeddate(D785)),[1]!S_SHARE_TOTAL(D785,$G$5)),([1]!S_STM07_BS(D785,75,$G$5,$H$13)+[1]!S_STM07_BS(D785,88,$G$5,$H$13)+[1]!S_STM07_BS(D785,94,$G$5,$H$13)+[1]!S_STM07_BS(D785,95,$G$5,$H$13))/$E$5))</f>
        <v/>
      </c>
      <c r="O785" s="250" t="str">
        <f ca="1">IF(C785="","",IF($O$11="BPS",[1]!S_STM07_BS(D785,141,$G$5,$H$13)/IF([1]!S_SHARE_TOTAL(D785,$G$5)=0,[1]!S_SHARE_TOTAL(D785,[1]!s_ipo_listeddate(D785)),[1]!S_SHARE_TOTAL(D785,$G$5)),[1]!S_STM07_CS(D785,49,$G$5,$H$13)/$E$5))</f>
        <v/>
      </c>
      <c r="P785" s="250" t="str">
        <f ca="1">IF(C785="","",IF($P$11="CFPS",[1]!S_STM07_CS(D785,84,$G$5,$H$13)/IF([1]!S_SHARE_TOTAL(D785,$G$5)=0,[1]!S_SHARE_TOTAL(D785,[1]!s_ipo_listeddate(D785)),[1]!S_SHARE_TOTAL(D785,$G$5)),[1]!S_STM07_CS(D785,84,$G$5,$H$13)/$E$5))</f>
        <v/>
      </c>
      <c r="Q785" s="198" t="str">
        <f ca="1">IF(C785="","",F785/([1]!S_STM07_IS(D785,61,$G$5,$H$13)/IF([1]!S_SHARE_TOTAL(D785,$G$5)=0,[1]!S_SHARE_TOTAL(D785,[1]!s_ipo_listeddate(D785)),[1]!S_SHARE_TOTAL(D785,$G$5))))</f>
        <v/>
      </c>
      <c r="R785" s="198" t="str">
        <f ca="1">IF(C785="","",F785/([1]!S_STM07_BS(D785,141,$G$5,$H$13)/IF([1]!S_SHARE_TOTAL(D785,$G$5)=0,[1]!S_SHARE_TOTAL(D785,[1]!s_ipo_listeddate(D785)),[1]!S_SHARE_TOTAL(D785,$G$5))))</f>
        <v/>
      </c>
      <c r="S785" s="249" t="str">
        <f ca="1">IF(C785="","",[1]!S_SHARE_TOTAL(D785,TODAY())/$E$5)</f>
        <v/>
      </c>
      <c r="T785" s="249" t="str">
        <f t="shared" ca="1" si="79"/>
        <v/>
      </c>
      <c r="U785" s="172" t="str">
        <f t="shared" ca="1" si="80"/>
        <v/>
      </c>
      <c r="V785" s="343" t="str">
        <f t="shared" ca="1" si="81"/>
        <v/>
      </c>
      <c r="W785" s="139"/>
      <c r="Y785" s="1"/>
    </row>
    <row r="786" spans="3:25" ht="12" customHeight="1">
      <c r="C786" s="342" t="str">
        <f t="shared" ca="1" si="82"/>
        <v/>
      </c>
      <c r="D786" s="153" t="str">
        <f t="shared" ca="1" si="77"/>
        <v/>
      </c>
      <c r="E786" s="153" t="str">
        <f t="shared" ca="1" si="78"/>
        <v/>
      </c>
      <c r="F786" s="170" t="str">
        <f ca="1">IF(C786="","",[1]!S_DQ_CLOSE(D786,TODAY(),1))</f>
        <v/>
      </c>
      <c r="G786" s="171" t="str">
        <f ca="1">IF(C786="","",[1]!s_pq_pctchange(D786,TODAY()-$G$12,TODAY())/100)</f>
        <v/>
      </c>
      <c r="H786" s="247" t="str">
        <f ca="1">IF(C786="","",IF($H$11="收入",[1]!S_STM07_IS(D786,9,$G$5,$H$13)/$E$5,[1]!S_STM07_IS(D786,48,$G$5,$H$13)/$E$5))</f>
        <v/>
      </c>
      <c r="I786" s="247" t="str">
        <f ca="1">IF(C786="","",IF($I$11="毛利率",([1]!S_STM07_IS(D786,9,$G$5,$H$13)-[1]!S_STM07_IS(D786,10,$G$5,$H$13))/[1]!S_STM07_IS(D786,9,$G$5,$H$13),[1]!S_STM07_IS(D786,14,$G$5,$H$13)/$E$5))</f>
        <v/>
      </c>
      <c r="J786" s="247" t="str">
        <f ca="1">IF(C786="","",IF($J$11="营业利润率",[1]!S_STM07_IS(D786,48,$G$5,$H$13)/[1]!S_STM07_IS(D786,9,$G$5,$H$13),([1]!S_STM07_CS(D786,87,$G$5,$H$13)+[1]!S_STM07_CS(D786,88,$G$5,$H$13)+[1]!S_STM07_CS(D786,89,$G$5,$H$13))/$E$5))</f>
        <v/>
      </c>
      <c r="K786" s="247" t="str">
        <f ca="1">IF(C786="","",IF($K$11="净利润率",[1]!S_STM07_IS(D786,61,$G$5,$H$13)/[1]!S_STM07_IS(D786,9,$G$5,$H$13),[1]!S_STM07_IS(D786,55,$G$5,$H$13)/$E$5))</f>
        <v/>
      </c>
      <c r="L786" s="247" t="str">
        <f ca="1">IF(C786="","",IF($L$11="ROA",[1]!S_STM07_IS(D786,61,$G$5,$H$13)/[1]!S_STM07_BS(D786,74,$G$5,$H$13),1-[1]!S_STM07_IS(D786,61,$G$5,$H$13)/[1]!S_STM07_IS(D786,55,$G$5,$H$13)))</f>
        <v/>
      </c>
      <c r="M786" s="247" t="str">
        <f ca="1">IF(C786="","",IF($M$11="ROE",[1]!S_STM07_IS(D786,61,$G$5,$H$13)/[1]!S_STM07_BS(D786,141,$G$5,$H$13),([1]!S_STM07_BS(D786,25,$G$5,$H$13)-[1]!S_STM07_BS(D786,93,$G$5,$H$13))/$E$5))</f>
        <v/>
      </c>
      <c r="N786" s="247" t="str">
        <f ca="1">IF(C786="","",IF($N$11="EPS",[1]!S_STM07_IS(D786,61,$G$5,$H$13)/IF([1]!S_SHARE_TOTAL(D786,$G$5)=0,[1]!S_SHARE_TOTAL(D786,[1]!s_ipo_listeddate(D786)),[1]!S_SHARE_TOTAL(D786,$G$5)),([1]!S_STM07_BS(D786,75,$G$5,$H$13)+[1]!S_STM07_BS(D786,88,$G$5,$H$13)+[1]!S_STM07_BS(D786,94,$G$5,$H$13)+[1]!S_STM07_BS(D786,95,$G$5,$H$13))/$E$5))</f>
        <v/>
      </c>
      <c r="O786" s="247" t="str">
        <f ca="1">IF(C786="","",IF($O$11="BPS",[1]!S_STM07_BS(D786,141,$G$5,$H$13)/IF([1]!S_SHARE_TOTAL(D786,$G$5)=0,[1]!S_SHARE_TOTAL(D786,[1]!s_ipo_listeddate(D786)),[1]!S_SHARE_TOTAL(D786,$G$5)),[1]!S_STM07_CS(D786,49,$G$5,$H$13)/$E$5))</f>
        <v/>
      </c>
      <c r="P786" s="247" t="str">
        <f ca="1">IF(C786="","",IF($P$11="CFPS",[1]!S_STM07_CS(D786,84,$G$5,$H$13)/IF([1]!S_SHARE_TOTAL(D786,$G$5)=0,[1]!S_SHARE_TOTAL(D786,[1]!s_ipo_listeddate(D786)),[1]!S_SHARE_TOTAL(D786,$G$5)),[1]!S_STM07_CS(D786,84,$G$5,$H$13)/$E$5))</f>
        <v/>
      </c>
      <c r="Q786" s="248" t="str">
        <f ca="1">IF(C786="","",F786/([1]!S_STM07_IS(D786,61,$G$5,$H$13)/IF([1]!S_SHARE_TOTAL(D786,$G$5)=0,[1]!S_SHARE_TOTAL(D786,[1]!s_ipo_listeddate(D786)),[1]!S_SHARE_TOTAL(D786,$G$5))))</f>
        <v/>
      </c>
      <c r="R786" s="248" t="str">
        <f ca="1">IF(C786="","",F786/([1]!S_STM07_BS(D786,141,$G$5,$H$13)/IF([1]!S_SHARE_TOTAL(D786,$G$5)=0,[1]!S_SHARE_TOTAL(D786,[1]!s_ipo_listeddate(D786)),[1]!S_SHARE_TOTAL(D786,$G$5))))</f>
        <v/>
      </c>
      <c r="S786" s="247" t="str">
        <f ca="1">IF(C786="","",[1]!S_SHARE_TOTAL(D786,TODAY())/$E$5)</f>
        <v/>
      </c>
      <c r="T786" s="247" t="str">
        <f t="shared" ca="1" si="79"/>
        <v/>
      </c>
      <c r="U786" s="218" t="str">
        <f t="shared" ca="1" si="80"/>
        <v/>
      </c>
      <c r="V786" s="342" t="str">
        <f t="shared" ca="1" si="81"/>
        <v/>
      </c>
      <c r="W786" s="139"/>
      <c r="Y786" s="1"/>
    </row>
    <row r="787" spans="3:25" ht="12" customHeight="1">
      <c r="C787" s="343" t="str">
        <f t="shared" ca="1" si="82"/>
        <v/>
      </c>
      <c r="D787" s="124" t="str">
        <f t="shared" ca="1" si="77"/>
        <v/>
      </c>
      <c r="E787" s="124" t="str">
        <f t="shared" ca="1" si="78"/>
        <v/>
      </c>
      <c r="F787" s="172" t="str">
        <f ca="1">IF(C787="","",[1]!S_DQ_CLOSE(D787,TODAY(),1))</f>
        <v/>
      </c>
      <c r="G787" s="173" t="str">
        <f ca="1">IF(C787="","",[1]!s_pq_pctchange(D787,TODAY()-$G$12,TODAY())/100)</f>
        <v/>
      </c>
      <c r="H787" s="249" t="str">
        <f ca="1">IF(C787="","",IF($H$11="收入",[1]!S_STM07_IS(D787,9,$G$5,$H$13)/$E$5,[1]!S_STM07_IS(D787,48,$G$5,$H$13)/$E$5))</f>
        <v/>
      </c>
      <c r="I787" s="249" t="str">
        <f ca="1">IF(C787="","",IF($I$11="毛利率",([1]!S_STM07_IS(D787,9,$G$5,$H$13)-[1]!S_STM07_IS(D787,10,$G$5,$H$13))/[1]!S_STM07_IS(D787,9,$G$5,$H$13),[1]!S_STM07_IS(D787,14,$G$5,$H$13)/$E$5))</f>
        <v/>
      </c>
      <c r="J787" s="249" t="str">
        <f ca="1">IF(C787="","",IF($J$11="营业利润率",[1]!S_STM07_IS(D787,48,$G$5,$H$13)/[1]!S_STM07_IS(D787,9,$G$5,$H$13),([1]!S_STM07_CS(D787,87,$G$5,$H$13)+[1]!S_STM07_CS(D787,88,$G$5,$H$13)+[1]!S_STM07_CS(D787,89,$G$5,$H$13))/$E$5))</f>
        <v/>
      </c>
      <c r="K787" s="249" t="str">
        <f ca="1">IF(C787="","",IF($K$11="净利润率",[1]!S_STM07_IS(D787,61,$G$5,$H$13)/[1]!S_STM07_IS(D787,9,$G$5,$H$13),[1]!S_STM07_IS(D787,55,$G$5,$H$13)/$E$5))</f>
        <v/>
      </c>
      <c r="L787" s="249" t="str">
        <f ca="1">IF(C787="","",IF($L$11="ROA",[1]!S_STM07_IS(D787,61,$G$5,$H$13)/[1]!S_STM07_BS(D787,74,$G$5,$H$13),1-[1]!S_STM07_IS(D787,61,$G$5,$H$13)/[1]!S_STM07_IS(D787,55,$G$5,$H$13)))</f>
        <v/>
      </c>
      <c r="M787" s="249" t="str">
        <f ca="1">IF(C787="","",IF($M$11="ROE",[1]!S_STM07_IS(D787,61,$G$5,$H$13)/[1]!S_STM07_BS(D787,141,$G$5,$H$13),([1]!S_STM07_BS(D787,25,$G$5,$H$13)-[1]!S_STM07_BS(D787,93,$G$5,$H$13))/$E$5))</f>
        <v/>
      </c>
      <c r="N787" s="250" t="str">
        <f ca="1">IF(C787="","",IF($N$11="EPS",[1]!S_STM07_IS(D787,61,$G$5,$H$13)/IF([1]!S_SHARE_TOTAL(D787,$G$5)=0,[1]!S_SHARE_TOTAL(D787,[1]!s_ipo_listeddate(D787)),[1]!S_SHARE_TOTAL(D787,$G$5)),([1]!S_STM07_BS(D787,75,$G$5,$H$13)+[1]!S_STM07_BS(D787,88,$G$5,$H$13)+[1]!S_STM07_BS(D787,94,$G$5,$H$13)+[1]!S_STM07_BS(D787,95,$G$5,$H$13))/$E$5))</f>
        <v/>
      </c>
      <c r="O787" s="250" t="str">
        <f ca="1">IF(C787="","",IF($O$11="BPS",[1]!S_STM07_BS(D787,141,$G$5,$H$13)/IF([1]!S_SHARE_TOTAL(D787,$G$5)=0,[1]!S_SHARE_TOTAL(D787,[1]!s_ipo_listeddate(D787)),[1]!S_SHARE_TOTAL(D787,$G$5)),[1]!S_STM07_CS(D787,49,$G$5,$H$13)/$E$5))</f>
        <v/>
      </c>
      <c r="P787" s="250" t="str">
        <f ca="1">IF(C787="","",IF($P$11="CFPS",[1]!S_STM07_CS(D787,84,$G$5,$H$13)/IF([1]!S_SHARE_TOTAL(D787,$G$5)=0,[1]!S_SHARE_TOTAL(D787,[1]!s_ipo_listeddate(D787)),[1]!S_SHARE_TOTAL(D787,$G$5)),[1]!S_STM07_CS(D787,84,$G$5,$H$13)/$E$5))</f>
        <v/>
      </c>
      <c r="Q787" s="198" t="str">
        <f ca="1">IF(C787="","",F787/([1]!S_STM07_IS(D787,61,$G$5,$H$13)/IF([1]!S_SHARE_TOTAL(D787,$G$5)=0,[1]!S_SHARE_TOTAL(D787,[1]!s_ipo_listeddate(D787)),[1]!S_SHARE_TOTAL(D787,$G$5))))</f>
        <v/>
      </c>
      <c r="R787" s="198" t="str">
        <f ca="1">IF(C787="","",F787/([1]!S_STM07_BS(D787,141,$G$5,$H$13)/IF([1]!S_SHARE_TOTAL(D787,$G$5)=0,[1]!S_SHARE_TOTAL(D787,[1]!s_ipo_listeddate(D787)),[1]!S_SHARE_TOTAL(D787,$G$5))))</f>
        <v/>
      </c>
      <c r="S787" s="249" t="str">
        <f ca="1">IF(C787="","",[1]!S_SHARE_TOTAL(D787,TODAY())/$E$5)</f>
        <v/>
      </c>
      <c r="T787" s="249" t="str">
        <f t="shared" ca="1" si="79"/>
        <v/>
      </c>
      <c r="U787" s="172" t="str">
        <f t="shared" ca="1" si="80"/>
        <v/>
      </c>
      <c r="V787" s="343" t="str">
        <f t="shared" ca="1" si="81"/>
        <v/>
      </c>
      <c r="W787" s="139"/>
      <c r="Y787" s="1"/>
    </row>
    <row r="788" spans="3:25" ht="12" customHeight="1">
      <c r="C788" s="342" t="str">
        <f t="shared" ca="1" si="82"/>
        <v/>
      </c>
      <c r="D788" s="153" t="str">
        <f t="shared" ca="1" si="77"/>
        <v/>
      </c>
      <c r="E788" s="153" t="str">
        <f t="shared" ca="1" si="78"/>
        <v/>
      </c>
      <c r="F788" s="170" t="str">
        <f ca="1">IF(C788="","",[1]!S_DQ_CLOSE(D788,TODAY(),1))</f>
        <v/>
      </c>
      <c r="G788" s="171" t="str">
        <f ca="1">IF(C788="","",[1]!s_pq_pctchange(D788,TODAY()-$G$12,TODAY())/100)</f>
        <v/>
      </c>
      <c r="H788" s="247" t="str">
        <f ca="1">IF(C788="","",IF($H$11="收入",[1]!S_STM07_IS(D788,9,$G$5,$H$13)/$E$5,[1]!S_STM07_IS(D788,48,$G$5,$H$13)/$E$5))</f>
        <v/>
      </c>
      <c r="I788" s="247" t="str">
        <f ca="1">IF(C788="","",IF($I$11="毛利率",([1]!S_STM07_IS(D788,9,$G$5,$H$13)-[1]!S_STM07_IS(D788,10,$G$5,$H$13))/[1]!S_STM07_IS(D788,9,$G$5,$H$13),[1]!S_STM07_IS(D788,14,$G$5,$H$13)/$E$5))</f>
        <v/>
      </c>
      <c r="J788" s="247" t="str">
        <f ca="1">IF(C788="","",IF($J$11="营业利润率",[1]!S_STM07_IS(D788,48,$G$5,$H$13)/[1]!S_STM07_IS(D788,9,$G$5,$H$13),([1]!S_STM07_CS(D788,87,$G$5,$H$13)+[1]!S_STM07_CS(D788,88,$G$5,$H$13)+[1]!S_STM07_CS(D788,89,$G$5,$H$13))/$E$5))</f>
        <v/>
      </c>
      <c r="K788" s="247" t="str">
        <f ca="1">IF(C788="","",IF($K$11="净利润率",[1]!S_STM07_IS(D788,61,$G$5,$H$13)/[1]!S_STM07_IS(D788,9,$G$5,$H$13),[1]!S_STM07_IS(D788,55,$G$5,$H$13)/$E$5))</f>
        <v/>
      </c>
      <c r="L788" s="247" t="str">
        <f ca="1">IF(C788="","",IF($L$11="ROA",[1]!S_STM07_IS(D788,61,$G$5,$H$13)/[1]!S_STM07_BS(D788,74,$G$5,$H$13),1-[1]!S_STM07_IS(D788,61,$G$5,$H$13)/[1]!S_STM07_IS(D788,55,$G$5,$H$13)))</f>
        <v/>
      </c>
      <c r="M788" s="247" t="str">
        <f ca="1">IF(C788="","",IF($M$11="ROE",[1]!S_STM07_IS(D788,61,$G$5,$H$13)/[1]!S_STM07_BS(D788,141,$G$5,$H$13),([1]!S_STM07_BS(D788,25,$G$5,$H$13)-[1]!S_STM07_BS(D788,93,$G$5,$H$13))/$E$5))</f>
        <v/>
      </c>
      <c r="N788" s="247" t="str">
        <f ca="1">IF(C788="","",IF($N$11="EPS",[1]!S_STM07_IS(D788,61,$G$5,$H$13)/IF([1]!S_SHARE_TOTAL(D788,$G$5)=0,[1]!S_SHARE_TOTAL(D788,[1]!s_ipo_listeddate(D788)),[1]!S_SHARE_TOTAL(D788,$G$5)),([1]!S_STM07_BS(D788,75,$G$5,$H$13)+[1]!S_STM07_BS(D788,88,$G$5,$H$13)+[1]!S_STM07_BS(D788,94,$G$5,$H$13)+[1]!S_STM07_BS(D788,95,$G$5,$H$13))/$E$5))</f>
        <v/>
      </c>
      <c r="O788" s="247" t="str">
        <f ca="1">IF(C788="","",IF($O$11="BPS",[1]!S_STM07_BS(D788,141,$G$5,$H$13)/IF([1]!S_SHARE_TOTAL(D788,$G$5)=0,[1]!S_SHARE_TOTAL(D788,[1]!s_ipo_listeddate(D788)),[1]!S_SHARE_TOTAL(D788,$G$5)),[1]!S_STM07_CS(D788,49,$G$5,$H$13)/$E$5))</f>
        <v/>
      </c>
      <c r="P788" s="247" t="str">
        <f ca="1">IF(C788="","",IF($P$11="CFPS",[1]!S_STM07_CS(D788,84,$G$5,$H$13)/IF([1]!S_SHARE_TOTAL(D788,$G$5)=0,[1]!S_SHARE_TOTAL(D788,[1]!s_ipo_listeddate(D788)),[1]!S_SHARE_TOTAL(D788,$G$5)),[1]!S_STM07_CS(D788,84,$G$5,$H$13)/$E$5))</f>
        <v/>
      </c>
      <c r="Q788" s="248" t="str">
        <f ca="1">IF(C788="","",F788/([1]!S_STM07_IS(D788,61,$G$5,$H$13)/IF([1]!S_SHARE_TOTAL(D788,$G$5)=0,[1]!S_SHARE_TOTAL(D788,[1]!s_ipo_listeddate(D788)),[1]!S_SHARE_TOTAL(D788,$G$5))))</f>
        <v/>
      </c>
      <c r="R788" s="248" t="str">
        <f ca="1">IF(C788="","",F788/([1]!S_STM07_BS(D788,141,$G$5,$H$13)/IF([1]!S_SHARE_TOTAL(D788,$G$5)=0,[1]!S_SHARE_TOTAL(D788,[1]!s_ipo_listeddate(D788)),[1]!S_SHARE_TOTAL(D788,$G$5))))</f>
        <v/>
      </c>
      <c r="S788" s="247" t="str">
        <f ca="1">IF(C788="","",[1]!S_SHARE_TOTAL(D788,TODAY())/$E$5)</f>
        <v/>
      </c>
      <c r="T788" s="247" t="str">
        <f t="shared" ca="1" si="79"/>
        <v/>
      </c>
      <c r="U788" s="218" t="str">
        <f t="shared" ca="1" si="80"/>
        <v/>
      </c>
      <c r="V788" s="342" t="str">
        <f t="shared" ca="1" si="81"/>
        <v/>
      </c>
      <c r="W788" s="139"/>
      <c r="Y788" s="1"/>
    </row>
    <row r="789" spans="3:25" ht="12" customHeight="1">
      <c r="C789" s="343" t="str">
        <f t="shared" ca="1" si="82"/>
        <v/>
      </c>
      <c r="D789" s="124" t="str">
        <f t="shared" ca="1" si="77"/>
        <v/>
      </c>
      <c r="E789" s="124" t="str">
        <f t="shared" ca="1" si="78"/>
        <v/>
      </c>
      <c r="F789" s="172" t="str">
        <f ca="1">IF(C789="","",[1]!S_DQ_CLOSE(D789,TODAY(),1))</f>
        <v/>
      </c>
      <c r="G789" s="173" t="str">
        <f ca="1">IF(C789="","",[1]!s_pq_pctchange(D789,TODAY()-$G$12,TODAY())/100)</f>
        <v/>
      </c>
      <c r="H789" s="249" t="str">
        <f ca="1">IF(C789="","",IF($H$11="收入",[1]!S_STM07_IS(D789,9,$G$5,$H$13)/$E$5,[1]!S_STM07_IS(D789,48,$G$5,$H$13)/$E$5))</f>
        <v/>
      </c>
      <c r="I789" s="249" t="str">
        <f ca="1">IF(C789="","",IF($I$11="毛利率",([1]!S_STM07_IS(D789,9,$G$5,$H$13)-[1]!S_STM07_IS(D789,10,$G$5,$H$13))/[1]!S_STM07_IS(D789,9,$G$5,$H$13),[1]!S_STM07_IS(D789,14,$G$5,$H$13)/$E$5))</f>
        <v/>
      </c>
      <c r="J789" s="249" t="str">
        <f ca="1">IF(C789="","",IF($J$11="营业利润率",[1]!S_STM07_IS(D789,48,$G$5,$H$13)/[1]!S_STM07_IS(D789,9,$G$5,$H$13),([1]!S_STM07_CS(D789,87,$G$5,$H$13)+[1]!S_STM07_CS(D789,88,$G$5,$H$13)+[1]!S_STM07_CS(D789,89,$G$5,$H$13))/$E$5))</f>
        <v/>
      </c>
      <c r="K789" s="249" t="str">
        <f ca="1">IF(C789="","",IF($K$11="净利润率",[1]!S_STM07_IS(D789,61,$G$5,$H$13)/[1]!S_STM07_IS(D789,9,$G$5,$H$13),[1]!S_STM07_IS(D789,55,$G$5,$H$13)/$E$5))</f>
        <v/>
      </c>
      <c r="L789" s="249" t="str">
        <f ca="1">IF(C789="","",IF($L$11="ROA",[1]!S_STM07_IS(D789,61,$G$5,$H$13)/[1]!S_STM07_BS(D789,74,$G$5,$H$13),1-[1]!S_STM07_IS(D789,61,$G$5,$H$13)/[1]!S_STM07_IS(D789,55,$G$5,$H$13)))</f>
        <v/>
      </c>
      <c r="M789" s="249" t="str">
        <f ca="1">IF(C789="","",IF($M$11="ROE",[1]!S_STM07_IS(D789,61,$G$5,$H$13)/[1]!S_STM07_BS(D789,141,$G$5,$H$13),([1]!S_STM07_BS(D789,25,$G$5,$H$13)-[1]!S_STM07_BS(D789,93,$G$5,$H$13))/$E$5))</f>
        <v/>
      </c>
      <c r="N789" s="250" t="str">
        <f ca="1">IF(C789="","",IF($N$11="EPS",[1]!S_STM07_IS(D789,61,$G$5,$H$13)/IF([1]!S_SHARE_TOTAL(D789,$G$5)=0,[1]!S_SHARE_TOTAL(D789,[1]!s_ipo_listeddate(D789)),[1]!S_SHARE_TOTAL(D789,$G$5)),([1]!S_STM07_BS(D789,75,$G$5,$H$13)+[1]!S_STM07_BS(D789,88,$G$5,$H$13)+[1]!S_STM07_BS(D789,94,$G$5,$H$13)+[1]!S_STM07_BS(D789,95,$G$5,$H$13))/$E$5))</f>
        <v/>
      </c>
      <c r="O789" s="250" t="str">
        <f ca="1">IF(C789="","",IF($O$11="BPS",[1]!S_STM07_BS(D789,141,$G$5,$H$13)/IF([1]!S_SHARE_TOTAL(D789,$G$5)=0,[1]!S_SHARE_TOTAL(D789,[1]!s_ipo_listeddate(D789)),[1]!S_SHARE_TOTAL(D789,$G$5)),[1]!S_STM07_CS(D789,49,$G$5,$H$13)/$E$5))</f>
        <v/>
      </c>
      <c r="P789" s="250" t="str">
        <f ca="1">IF(C789="","",IF($P$11="CFPS",[1]!S_STM07_CS(D789,84,$G$5,$H$13)/IF([1]!S_SHARE_TOTAL(D789,$G$5)=0,[1]!S_SHARE_TOTAL(D789,[1]!s_ipo_listeddate(D789)),[1]!S_SHARE_TOTAL(D789,$G$5)),[1]!S_STM07_CS(D789,84,$G$5,$H$13)/$E$5))</f>
        <v/>
      </c>
      <c r="Q789" s="198" t="str">
        <f ca="1">IF(C789="","",F789/([1]!S_STM07_IS(D789,61,$G$5,$H$13)/IF([1]!S_SHARE_TOTAL(D789,$G$5)=0,[1]!S_SHARE_TOTAL(D789,[1]!s_ipo_listeddate(D789)),[1]!S_SHARE_TOTAL(D789,$G$5))))</f>
        <v/>
      </c>
      <c r="R789" s="198" t="str">
        <f ca="1">IF(C789="","",F789/([1]!S_STM07_BS(D789,141,$G$5,$H$13)/IF([1]!S_SHARE_TOTAL(D789,$G$5)=0,[1]!S_SHARE_TOTAL(D789,[1]!s_ipo_listeddate(D789)),[1]!S_SHARE_TOTAL(D789,$G$5))))</f>
        <v/>
      </c>
      <c r="S789" s="249" t="str">
        <f ca="1">IF(C789="","",[1]!S_SHARE_TOTAL(D789,TODAY())/$E$5)</f>
        <v/>
      </c>
      <c r="T789" s="249" t="str">
        <f t="shared" ca="1" si="79"/>
        <v/>
      </c>
      <c r="U789" s="172" t="str">
        <f t="shared" ca="1" si="80"/>
        <v/>
      </c>
      <c r="V789" s="343" t="str">
        <f t="shared" ca="1" si="81"/>
        <v/>
      </c>
      <c r="W789" s="139"/>
      <c r="Y789" s="1"/>
    </row>
    <row r="790" spans="3:25" ht="12" customHeight="1">
      <c r="C790" s="342" t="str">
        <f t="shared" ca="1" si="82"/>
        <v/>
      </c>
      <c r="D790" s="153" t="str">
        <f t="shared" ca="1" si="77"/>
        <v/>
      </c>
      <c r="E790" s="153" t="str">
        <f t="shared" ca="1" si="78"/>
        <v/>
      </c>
      <c r="F790" s="170" t="str">
        <f ca="1">IF(C790="","",[1]!S_DQ_CLOSE(D790,TODAY(),1))</f>
        <v/>
      </c>
      <c r="G790" s="171" t="str">
        <f ca="1">IF(C790="","",[1]!s_pq_pctchange(D790,TODAY()-$G$12,TODAY())/100)</f>
        <v/>
      </c>
      <c r="H790" s="247" t="str">
        <f ca="1">IF(C790="","",IF($H$11="收入",[1]!S_STM07_IS(D790,9,$G$5,$H$13)/$E$5,[1]!S_STM07_IS(D790,48,$G$5,$H$13)/$E$5))</f>
        <v/>
      </c>
      <c r="I790" s="247" t="str">
        <f ca="1">IF(C790="","",IF($I$11="毛利率",([1]!S_STM07_IS(D790,9,$G$5,$H$13)-[1]!S_STM07_IS(D790,10,$G$5,$H$13))/[1]!S_STM07_IS(D790,9,$G$5,$H$13),[1]!S_STM07_IS(D790,14,$G$5,$H$13)/$E$5))</f>
        <v/>
      </c>
      <c r="J790" s="247" t="str">
        <f ca="1">IF(C790="","",IF($J$11="营业利润率",[1]!S_STM07_IS(D790,48,$G$5,$H$13)/[1]!S_STM07_IS(D790,9,$G$5,$H$13),([1]!S_STM07_CS(D790,87,$G$5,$H$13)+[1]!S_STM07_CS(D790,88,$G$5,$H$13)+[1]!S_STM07_CS(D790,89,$G$5,$H$13))/$E$5))</f>
        <v/>
      </c>
      <c r="K790" s="247" t="str">
        <f ca="1">IF(C790="","",IF($K$11="净利润率",[1]!S_STM07_IS(D790,61,$G$5,$H$13)/[1]!S_STM07_IS(D790,9,$G$5,$H$13),[1]!S_STM07_IS(D790,55,$G$5,$H$13)/$E$5))</f>
        <v/>
      </c>
      <c r="L790" s="247" t="str">
        <f ca="1">IF(C790="","",IF($L$11="ROA",[1]!S_STM07_IS(D790,61,$G$5,$H$13)/[1]!S_STM07_BS(D790,74,$G$5,$H$13),1-[1]!S_STM07_IS(D790,61,$G$5,$H$13)/[1]!S_STM07_IS(D790,55,$G$5,$H$13)))</f>
        <v/>
      </c>
      <c r="M790" s="247" t="str">
        <f ca="1">IF(C790="","",IF($M$11="ROE",[1]!S_STM07_IS(D790,61,$G$5,$H$13)/[1]!S_STM07_BS(D790,141,$G$5,$H$13),([1]!S_STM07_BS(D790,25,$G$5,$H$13)-[1]!S_STM07_BS(D790,93,$G$5,$H$13))/$E$5))</f>
        <v/>
      </c>
      <c r="N790" s="247" t="str">
        <f ca="1">IF(C790="","",IF($N$11="EPS",[1]!S_STM07_IS(D790,61,$G$5,$H$13)/IF([1]!S_SHARE_TOTAL(D790,$G$5)=0,[1]!S_SHARE_TOTAL(D790,[1]!s_ipo_listeddate(D790)),[1]!S_SHARE_TOTAL(D790,$G$5)),([1]!S_STM07_BS(D790,75,$G$5,$H$13)+[1]!S_STM07_BS(D790,88,$G$5,$H$13)+[1]!S_STM07_BS(D790,94,$G$5,$H$13)+[1]!S_STM07_BS(D790,95,$G$5,$H$13))/$E$5))</f>
        <v/>
      </c>
      <c r="O790" s="247" t="str">
        <f ca="1">IF(C790="","",IF($O$11="BPS",[1]!S_STM07_BS(D790,141,$G$5,$H$13)/IF([1]!S_SHARE_TOTAL(D790,$G$5)=0,[1]!S_SHARE_TOTAL(D790,[1]!s_ipo_listeddate(D790)),[1]!S_SHARE_TOTAL(D790,$G$5)),[1]!S_STM07_CS(D790,49,$G$5,$H$13)/$E$5))</f>
        <v/>
      </c>
      <c r="P790" s="247" t="str">
        <f ca="1">IF(C790="","",IF($P$11="CFPS",[1]!S_STM07_CS(D790,84,$G$5,$H$13)/IF([1]!S_SHARE_TOTAL(D790,$G$5)=0,[1]!S_SHARE_TOTAL(D790,[1]!s_ipo_listeddate(D790)),[1]!S_SHARE_TOTAL(D790,$G$5)),[1]!S_STM07_CS(D790,84,$G$5,$H$13)/$E$5))</f>
        <v/>
      </c>
      <c r="Q790" s="248" t="str">
        <f ca="1">IF(C790="","",F790/([1]!S_STM07_IS(D790,61,$G$5,$H$13)/IF([1]!S_SHARE_TOTAL(D790,$G$5)=0,[1]!S_SHARE_TOTAL(D790,[1]!s_ipo_listeddate(D790)),[1]!S_SHARE_TOTAL(D790,$G$5))))</f>
        <v/>
      </c>
      <c r="R790" s="248" t="str">
        <f ca="1">IF(C790="","",F790/([1]!S_STM07_BS(D790,141,$G$5,$H$13)/IF([1]!S_SHARE_TOTAL(D790,$G$5)=0,[1]!S_SHARE_TOTAL(D790,[1]!s_ipo_listeddate(D790)),[1]!S_SHARE_TOTAL(D790,$G$5))))</f>
        <v/>
      </c>
      <c r="S790" s="247" t="str">
        <f ca="1">IF(C790="","",[1]!S_SHARE_TOTAL(D790,TODAY())/$E$5)</f>
        <v/>
      </c>
      <c r="T790" s="247" t="str">
        <f t="shared" ca="1" si="79"/>
        <v/>
      </c>
      <c r="U790" s="218" t="str">
        <f t="shared" ca="1" si="80"/>
        <v/>
      </c>
      <c r="V790" s="342" t="str">
        <f t="shared" ca="1" si="81"/>
        <v/>
      </c>
      <c r="W790" s="139"/>
      <c r="Y790" s="1"/>
    </row>
    <row r="791" spans="3:25" ht="12" customHeight="1">
      <c r="C791" s="343" t="str">
        <f t="shared" ca="1" si="82"/>
        <v/>
      </c>
      <c r="D791" s="124" t="str">
        <f t="shared" ca="1" si="77"/>
        <v/>
      </c>
      <c r="E791" s="124" t="str">
        <f t="shared" ca="1" si="78"/>
        <v/>
      </c>
      <c r="F791" s="172" t="str">
        <f ca="1">IF(C791="","",[1]!S_DQ_CLOSE(D791,TODAY(),1))</f>
        <v/>
      </c>
      <c r="G791" s="173" t="str">
        <f ca="1">IF(C791="","",[1]!s_pq_pctchange(D791,TODAY()-$G$12,TODAY())/100)</f>
        <v/>
      </c>
      <c r="H791" s="249" t="str">
        <f ca="1">IF(C791="","",IF($H$11="收入",[1]!S_STM07_IS(D791,9,$G$5,$H$13)/$E$5,[1]!S_STM07_IS(D791,48,$G$5,$H$13)/$E$5))</f>
        <v/>
      </c>
      <c r="I791" s="249" t="str">
        <f ca="1">IF(C791="","",IF($I$11="毛利率",([1]!S_STM07_IS(D791,9,$G$5,$H$13)-[1]!S_STM07_IS(D791,10,$G$5,$H$13))/[1]!S_STM07_IS(D791,9,$G$5,$H$13),[1]!S_STM07_IS(D791,14,$G$5,$H$13)/$E$5))</f>
        <v/>
      </c>
      <c r="J791" s="249" t="str">
        <f ca="1">IF(C791="","",IF($J$11="营业利润率",[1]!S_STM07_IS(D791,48,$G$5,$H$13)/[1]!S_STM07_IS(D791,9,$G$5,$H$13),([1]!S_STM07_CS(D791,87,$G$5,$H$13)+[1]!S_STM07_CS(D791,88,$G$5,$H$13)+[1]!S_STM07_CS(D791,89,$G$5,$H$13))/$E$5))</f>
        <v/>
      </c>
      <c r="K791" s="249" t="str">
        <f ca="1">IF(C791="","",IF($K$11="净利润率",[1]!S_STM07_IS(D791,61,$G$5,$H$13)/[1]!S_STM07_IS(D791,9,$G$5,$H$13),[1]!S_STM07_IS(D791,55,$G$5,$H$13)/$E$5))</f>
        <v/>
      </c>
      <c r="L791" s="249" t="str">
        <f ca="1">IF(C791="","",IF($L$11="ROA",[1]!S_STM07_IS(D791,61,$G$5,$H$13)/[1]!S_STM07_BS(D791,74,$G$5,$H$13),1-[1]!S_STM07_IS(D791,61,$G$5,$H$13)/[1]!S_STM07_IS(D791,55,$G$5,$H$13)))</f>
        <v/>
      </c>
      <c r="M791" s="249" t="str">
        <f ca="1">IF(C791="","",IF($M$11="ROE",[1]!S_STM07_IS(D791,61,$G$5,$H$13)/[1]!S_STM07_BS(D791,141,$G$5,$H$13),([1]!S_STM07_BS(D791,25,$G$5,$H$13)-[1]!S_STM07_BS(D791,93,$G$5,$H$13))/$E$5))</f>
        <v/>
      </c>
      <c r="N791" s="250" t="str">
        <f ca="1">IF(C791="","",IF($N$11="EPS",[1]!S_STM07_IS(D791,61,$G$5,$H$13)/IF([1]!S_SHARE_TOTAL(D791,$G$5)=0,[1]!S_SHARE_TOTAL(D791,[1]!s_ipo_listeddate(D791)),[1]!S_SHARE_TOTAL(D791,$G$5)),([1]!S_STM07_BS(D791,75,$G$5,$H$13)+[1]!S_STM07_BS(D791,88,$G$5,$H$13)+[1]!S_STM07_BS(D791,94,$G$5,$H$13)+[1]!S_STM07_BS(D791,95,$G$5,$H$13))/$E$5))</f>
        <v/>
      </c>
      <c r="O791" s="250" t="str">
        <f ca="1">IF(C791="","",IF($O$11="BPS",[1]!S_STM07_BS(D791,141,$G$5,$H$13)/IF([1]!S_SHARE_TOTAL(D791,$G$5)=0,[1]!S_SHARE_TOTAL(D791,[1]!s_ipo_listeddate(D791)),[1]!S_SHARE_TOTAL(D791,$G$5)),[1]!S_STM07_CS(D791,49,$G$5,$H$13)/$E$5))</f>
        <v/>
      </c>
      <c r="P791" s="250" t="str">
        <f ca="1">IF(C791="","",IF($P$11="CFPS",[1]!S_STM07_CS(D791,84,$G$5,$H$13)/IF([1]!S_SHARE_TOTAL(D791,$G$5)=0,[1]!S_SHARE_TOTAL(D791,[1]!s_ipo_listeddate(D791)),[1]!S_SHARE_TOTAL(D791,$G$5)),[1]!S_STM07_CS(D791,84,$G$5,$H$13)/$E$5))</f>
        <v/>
      </c>
      <c r="Q791" s="198" t="str">
        <f ca="1">IF(C791="","",F791/([1]!S_STM07_IS(D791,61,$G$5,$H$13)/IF([1]!S_SHARE_TOTAL(D791,$G$5)=0,[1]!S_SHARE_TOTAL(D791,[1]!s_ipo_listeddate(D791)),[1]!S_SHARE_TOTAL(D791,$G$5))))</f>
        <v/>
      </c>
      <c r="R791" s="198" t="str">
        <f ca="1">IF(C791="","",F791/([1]!S_STM07_BS(D791,141,$G$5,$H$13)/IF([1]!S_SHARE_TOTAL(D791,$G$5)=0,[1]!S_SHARE_TOTAL(D791,[1]!s_ipo_listeddate(D791)),[1]!S_SHARE_TOTAL(D791,$G$5))))</f>
        <v/>
      </c>
      <c r="S791" s="249" t="str">
        <f ca="1">IF(C791="","",[1]!S_SHARE_TOTAL(D791,TODAY())/$E$5)</f>
        <v/>
      </c>
      <c r="T791" s="249" t="str">
        <f t="shared" ca="1" si="79"/>
        <v/>
      </c>
      <c r="U791" s="172" t="str">
        <f t="shared" ca="1" si="80"/>
        <v/>
      </c>
      <c r="V791" s="343" t="str">
        <f t="shared" ca="1" si="81"/>
        <v/>
      </c>
      <c r="W791" s="139"/>
      <c r="Y791" s="1"/>
    </row>
    <row r="792" spans="3:25" ht="12" customHeight="1">
      <c r="C792" s="342" t="str">
        <f t="shared" ca="1" si="82"/>
        <v/>
      </c>
      <c r="D792" s="153" t="str">
        <f t="shared" ca="1" si="77"/>
        <v/>
      </c>
      <c r="E792" s="153" t="str">
        <f t="shared" ca="1" si="78"/>
        <v/>
      </c>
      <c r="F792" s="170" t="str">
        <f ca="1">IF(C792="","",[1]!S_DQ_CLOSE(D792,TODAY(),1))</f>
        <v/>
      </c>
      <c r="G792" s="171" t="str">
        <f ca="1">IF(C792="","",[1]!s_pq_pctchange(D792,TODAY()-$G$12,TODAY())/100)</f>
        <v/>
      </c>
      <c r="H792" s="247" t="str">
        <f ca="1">IF(C792="","",IF($H$11="收入",[1]!S_STM07_IS(D792,9,$G$5,$H$13)/$E$5,[1]!S_STM07_IS(D792,48,$G$5,$H$13)/$E$5))</f>
        <v/>
      </c>
      <c r="I792" s="247" t="str">
        <f ca="1">IF(C792="","",IF($I$11="毛利率",([1]!S_STM07_IS(D792,9,$G$5,$H$13)-[1]!S_STM07_IS(D792,10,$G$5,$H$13))/[1]!S_STM07_IS(D792,9,$G$5,$H$13),[1]!S_STM07_IS(D792,14,$G$5,$H$13)/$E$5))</f>
        <v/>
      </c>
      <c r="J792" s="247" t="str">
        <f ca="1">IF(C792="","",IF($J$11="营业利润率",[1]!S_STM07_IS(D792,48,$G$5,$H$13)/[1]!S_STM07_IS(D792,9,$G$5,$H$13),([1]!S_STM07_CS(D792,87,$G$5,$H$13)+[1]!S_STM07_CS(D792,88,$G$5,$H$13)+[1]!S_STM07_CS(D792,89,$G$5,$H$13))/$E$5))</f>
        <v/>
      </c>
      <c r="K792" s="247" t="str">
        <f ca="1">IF(C792="","",IF($K$11="净利润率",[1]!S_STM07_IS(D792,61,$G$5,$H$13)/[1]!S_STM07_IS(D792,9,$G$5,$H$13),[1]!S_STM07_IS(D792,55,$G$5,$H$13)/$E$5))</f>
        <v/>
      </c>
      <c r="L792" s="247" t="str">
        <f ca="1">IF(C792="","",IF($L$11="ROA",[1]!S_STM07_IS(D792,61,$G$5,$H$13)/[1]!S_STM07_BS(D792,74,$G$5,$H$13),1-[1]!S_STM07_IS(D792,61,$G$5,$H$13)/[1]!S_STM07_IS(D792,55,$G$5,$H$13)))</f>
        <v/>
      </c>
      <c r="M792" s="247" t="str">
        <f ca="1">IF(C792="","",IF($M$11="ROE",[1]!S_STM07_IS(D792,61,$G$5,$H$13)/[1]!S_STM07_BS(D792,141,$G$5,$H$13),([1]!S_STM07_BS(D792,25,$G$5,$H$13)-[1]!S_STM07_BS(D792,93,$G$5,$H$13))/$E$5))</f>
        <v/>
      </c>
      <c r="N792" s="247" t="str">
        <f ca="1">IF(C792="","",IF($N$11="EPS",[1]!S_STM07_IS(D792,61,$G$5,$H$13)/IF([1]!S_SHARE_TOTAL(D792,$G$5)=0,[1]!S_SHARE_TOTAL(D792,[1]!s_ipo_listeddate(D792)),[1]!S_SHARE_TOTAL(D792,$G$5)),([1]!S_STM07_BS(D792,75,$G$5,$H$13)+[1]!S_STM07_BS(D792,88,$G$5,$H$13)+[1]!S_STM07_BS(D792,94,$G$5,$H$13)+[1]!S_STM07_BS(D792,95,$G$5,$H$13))/$E$5))</f>
        <v/>
      </c>
      <c r="O792" s="247" t="str">
        <f ca="1">IF(C792="","",IF($O$11="BPS",[1]!S_STM07_BS(D792,141,$G$5,$H$13)/IF([1]!S_SHARE_TOTAL(D792,$G$5)=0,[1]!S_SHARE_TOTAL(D792,[1]!s_ipo_listeddate(D792)),[1]!S_SHARE_TOTAL(D792,$G$5)),[1]!S_STM07_CS(D792,49,$G$5,$H$13)/$E$5))</f>
        <v/>
      </c>
      <c r="P792" s="247" t="str">
        <f ca="1">IF(C792="","",IF($P$11="CFPS",[1]!S_STM07_CS(D792,84,$G$5,$H$13)/IF([1]!S_SHARE_TOTAL(D792,$G$5)=0,[1]!S_SHARE_TOTAL(D792,[1]!s_ipo_listeddate(D792)),[1]!S_SHARE_TOTAL(D792,$G$5)),[1]!S_STM07_CS(D792,84,$G$5,$H$13)/$E$5))</f>
        <v/>
      </c>
      <c r="Q792" s="248" t="str">
        <f ca="1">IF(C792="","",F792/([1]!S_STM07_IS(D792,61,$G$5,$H$13)/IF([1]!S_SHARE_TOTAL(D792,$G$5)=0,[1]!S_SHARE_TOTAL(D792,[1]!s_ipo_listeddate(D792)),[1]!S_SHARE_TOTAL(D792,$G$5))))</f>
        <v/>
      </c>
      <c r="R792" s="248" t="str">
        <f ca="1">IF(C792="","",F792/([1]!S_STM07_BS(D792,141,$G$5,$H$13)/IF([1]!S_SHARE_TOTAL(D792,$G$5)=0,[1]!S_SHARE_TOTAL(D792,[1]!s_ipo_listeddate(D792)),[1]!S_SHARE_TOTAL(D792,$G$5))))</f>
        <v/>
      </c>
      <c r="S792" s="247" t="str">
        <f ca="1">IF(C792="","",[1]!S_SHARE_TOTAL(D792,TODAY())/$E$5)</f>
        <v/>
      </c>
      <c r="T792" s="247" t="str">
        <f t="shared" ca="1" si="79"/>
        <v/>
      </c>
      <c r="U792" s="218" t="str">
        <f t="shared" ca="1" si="80"/>
        <v/>
      </c>
      <c r="V792" s="342" t="str">
        <f t="shared" ca="1" si="81"/>
        <v/>
      </c>
      <c r="W792" s="139"/>
      <c r="Y792" s="1"/>
    </row>
    <row r="793" spans="3:25" ht="12" customHeight="1">
      <c r="C793" s="343" t="str">
        <f t="shared" ca="1" si="82"/>
        <v/>
      </c>
      <c r="D793" s="124" t="str">
        <f t="shared" ref="D793:D856" ca="1" si="83">IF(C793="","",VLOOKUP(C793,comppool,2,FALSE))</f>
        <v/>
      </c>
      <c r="E793" s="124" t="str">
        <f t="shared" ref="E793:E856" ca="1" si="84">IF(C793="","",VLOOKUP(C793,comppool,3,FALSE))</f>
        <v/>
      </c>
      <c r="F793" s="172" t="str">
        <f ca="1">IF(C793="","",[1]!S_DQ_CLOSE(D793,TODAY(),1))</f>
        <v/>
      </c>
      <c r="G793" s="173" t="str">
        <f ca="1">IF(C793="","",[1]!s_pq_pctchange(D793,TODAY()-$G$12,TODAY())/100)</f>
        <v/>
      </c>
      <c r="H793" s="249" t="str">
        <f ca="1">IF(C793="","",IF($H$11="收入",[1]!S_STM07_IS(D793,9,$G$5,$H$13)/$E$5,[1]!S_STM07_IS(D793,48,$G$5,$H$13)/$E$5))</f>
        <v/>
      </c>
      <c r="I793" s="249" t="str">
        <f ca="1">IF(C793="","",IF($I$11="毛利率",([1]!S_STM07_IS(D793,9,$G$5,$H$13)-[1]!S_STM07_IS(D793,10,$G$5,$H$13))/[1]!S_STM07_IS(D793,9,$G$5,$H$13),[1]!S_STM07_IS(D793,14,$G$5,$H$13)/$E$5))</f>
        <v/>
      </c>
      <c r="J793" s="249" t="str">
        <f ca="1">IF(C793="","",IF($J$11="营业利润率",[1]!S_STM07_IS(D793,48,$G$5,$H$13)/[1]!S_STM07_IS(D793,9,$G$5,$H$13),([1]!S_STM07_CS(D793,87,$G$5,$H$13)+[1]!S_STM07_CS(D793,88,$G$5,$H$13)+[1]!S_STM07_CS(D793,89,$G$5,$H$13))/$E$5))</f>
        <v/>
      </c>
      <c r="K793" s="249" t="str">
        <f ca="1">IF(C793="","",IF($K$11="净利润率",[1]!S_STM07_IS(D793,61,$G$5,$H$13)/[1]!S_STM07_IS(D793,9,$G$5,$H$13),[1]!S_STM07_IS(D793,55,$G$5,$H$13)/$E$5))</f>
        <v/>
      </c>
      <c r="L793" s="249" t="str">
        <f ca="1">IF(C793="","",IF($L$11="ROA",[1]!S_STM07_IS(D793,61,$G$5,$H$13)/[1]!S_STM07_BS(D793,74,$G$5,$H$13),1-[1]!S_STM07_IS(D793,61,$G$5,$H$13)/[1]!S_STM07_IS(D793,55,$G$5,$H$13)))</f>
        <v/>
      </c>
      <c r="M793" s="249" t="str">
        <f ca="1">IF(C793="","",IF($M$11="ROE",[1]!S_STM07_IS(D793,61,$G$5,$H$13)/[1]!S_STM07_BS(D793,141,$G$5,$H$13),([1]!S_STM07_BS(D793,25,$G$5,$H$13)-[1]!S_STM07_BS(D793,93,$G$5,$H$13))/$E$5))</f>
        <v/>
      </c>
      <c r="N793" s="250" t="str">
        <f ca="1">IF(C793="","",IF($N$11="EPS",[1]!S_STM07_IS(D793,61,$G$5,$H$13)/IF([1]!S_SHARE_TOTAL(D793,$G$5)=0,[1]!S_SHARE_TOTAL(D793,[1]!s_ipo_listeddate(D793)),[1]!S_SHARE_TOTAL(D793,$G$5)),([1]!S_STM07_BS(D793,75,$G$5,$H$13)+[1]!S_STM07_BS(D793,88,$G$5,$H$13)+[1]!S_STM07_BS(D793,94,$G$5,$H$13)+[1]!S_STM07_BS(D793,95,$G$5,$H$13))/$E$5))</f>
        <v/>
      </c>
      <c r="O793" s="250" t="str">
        <f ca="1">IF(C793="","",IF($O$11="BPS",[1]!S_STM07_BS(D793,141,$G$5,$H$13)/IF([1]!S_SHARE_TOTAL(D793,$G$5)=0,[1]!S_SHARE_TOTAL(D793,[1]!s_ipo_listeddate(D793)),[1]!S_SHARE_TOTAL(D793,$G$5)),[1]!S_STM07_CS(D793,49,$G$5,$H$13)/$E$5))</f>
        <v/>
      </c>
      <c r="P793" s="250" t="str">
        <f ca="1">IF(C793="","",IF($P$11="CFPS",[1]!S_STM07_CS(D793,84,$G$5,$H$13)/IF([1]!S_SHARE_TOTAL(D793,$G$5)=0,[1]!S_SHARE_TOTAL(D793,[1]!s_ipo_listeddate(D793)),[1]!S_SHARE_TOTAL(D793,$G$5)),[1]!S_STM07_CS(D793,84,$G$5,$H$13)/$E$5))</f>
        <v/>
      </c>
      <c r="Q793" s="198" t="str">
        <f ca="1">IF(C793="","",F793/([1]!S_STM07_IS(D793,61,$G$5,$H$13)/IF([1]!S_SHARE_TOTAL(D793,$G$5)=0,[1]!S_SHARE_TOTAL(D793,[1]!s_ipo_listeddate(D793)),[1]!S_SHARE_TOTAL(D793,$G$5))))</f>
        <v/>
      </c>
      <c r="R793" s="198" t="str">
        <f ca="1">IF(C793="","",F793/([1]!S_STM07_BS(D793,141,$G$5,$H$13)/IF([1]!S_SHARE_TOTAL(D793,$G$5)=0,[1]!S_SHARE_TOTAL(D793,[1]!s_ipo_listeddate(D793)),[1]!S_SHARE_TOTAL(D793,$G$5))))</f>
        <v/>
      </c>
      <c r="S793" s="249" t="str">
        <f ca="1">IF(C793="","",[1]!S_SHARE_TOTAL(D793,TODAY())/$E$5)</f>
        <v/>
      </c>
      <c r="T793" s="249" t="str">
        <f t="shared" ref="T793:T856" ca="1" si="85">IF(C793="","",F793*S793)</f>
        <v/>
      </c>
      <c r="U793" s="172" t="str">
        <f t="shared" ref="U793:U856" ca="1" si="86">IF(C793="","",HLOOKUP($V$12,$G$11:$T$20003,ROW()-ROW($G$11)+1,FALSE))</f>
        <v/>
      </c>
      <c r="V793" s="343" t="str">
        <f t="shared" ref="V793:V856" ca="1" si="87">IF(C793="","",RANK(U793,U:U,0))</f>
        <v/>
      </c>
      <c r="W793" s="139"/>
      <c r="Y793" s="1"/>
    </row>
    <row r="794" spans="3:25" ht="12" customHeight="1">
      <c r="C794" s="342" t="str">
        <f t="shared" ca="1" si="82"/>
        <v/>
      </c>
      <c r="D794" s="153" t="str">
        <f t="shared" ca="1" si="83"/>
        <v/>
      </c>
      <c r="E794" s="153" t="str">
        <f t="shared" ca="1" si="84"/>
        <v/>
      </c>
      <c r="F794" s="170" t="str">
        <f ca="1">IF(C794="","",[1]!S_DQ_CLOSE(D794,TODAY(),1))</f>
        <v/>
      </c>
      <c r="G794" s="171" t="str">
        <f ca="1">IF(C794="","",[1]!s_pq_pctchange(D794,TODAY()-$G$12,TODAY())/100)</f>
        <v/>
      </c>
      <c r="H794" s="247" t="str">
        <f ca="1">IF(C794="","",IF($H$11="收入",[1]!S_STM07_IS(D794,9,$G$5,$H$13)/$E$5,[1]!S_STM07_IS(D794,48,$G$5,$H$13)/$E$5))</f>
        <v/>
      </c>
      <c r="I794" s="247" t="str">
        <f ca="1">IF(C794="","",IF($I$11="毛利率",([1]!S_STM07_IS(D794,9,$G$5,$H$13)-[1]!S_STM07_IS(D794,10,$G$5,$H$13))/[1]!S_STM07_IS(D794,9,$G$5,$H$13),[1]!S_STM07_IS(D794,14,$G$5,$H$13)/$E$5))</f>
        <v/>
      </c>
      <c r="J794" s="247" t="str">
        <f ca="1">IF(C794="","",IF($J$11="营业利润率",[1]!S_STM07_IS(D794,48,$G$5,$H$13)/[1]!S_STM07_IS(D794,9,$G$5,$H$13),([1]!S_STM07_CS(D794,87,$G$5,$H$13)+[1]!S_STM07_CS(D794,88,$G$5,$H$13)+[1]!S_STM07_CS(D794,89,$G$5,$H$13))/$E$5))</f>
        <v/>
      </c>
      <c r="K794" s="247" t="str">
        <f ca="1">IF(C794="","",IF($K$11="净利润率",[1]!S_STM07_IS(D794,61,$G$5,$H$13)/[1]!S_STM07_IS(D794,9,$G$5,$H$13),[1]!S_STM07_IS(D794,55,$G$5,$H$13)/$E$5))</f>
        <v/>
      </c>
      <c r="L794" s="247" t="str">
        <f ca="1">IF(C794="","",IF($L$11="ROA",[1]!S_STM07_IS(D794,61,$G$5,$H$13)/[1]!S_STM07_BS(D794,74,$G$5,$H$13),1-[1]!S_STM07_IS(D794,61,$G$5,$H$13)/[1]!S_STM07_IS(D794,55,$G$5,$H$13)))</f>
        <v/>
      </c>
      <c r="M794" s="247" t="str">
        <f ca="1">IF(C794="","",IF($M$11="ROE",[1]!S_STM07_IS(D794,61,$G$5,$H$13)/[1]!S_STM07_BS(D794,141,$G$5,$H$13),([1]!S_STM07_BS(D794,25,$G$5,$H$13)-[1]!S_STM07_BS(D794,93,$G$5,$H$13))/$E$5))</f>
        <v/>
      </c>
      <c r="N794" s="247" t="str">
        <f ca="1">IF(C794="","",IF($N$11="EPS",[1]!S_STM07_IS(D794,61,$G$5,$H$13)/IF([1]!S_SHARE_TOTAL(D794,$G$5)=0,[1]!S_SHARE_TOTAL(D794,[1]!s_ipo_listeddate(D794)),[1]!S_SHARE_TOTAL(D794,$G$5)),([1]!S_STM07_BS(D794,75,$G$5,$H$13)+[1]!S_STM07_BS(D794,88,$G$5,$H$13)+[1]!S_STM07_BS(D794,94,$G$5,$H$13)+[1]!S_STM07_BS(D794,95,$G$5,$H$13))/$E$5))</f>
        <v/>
      </c>
      <c r="O794" s="247" t="str">
        <f ca="1">IF(C794="","",IF($O$11="BPS",[1]!S_STM07_BS(D794,141,$G$5,$H$13)/IF([1]!S_SHARE_TOTAL(D794,$G$5)=0,[1]!S_SHARE_TOTAL(D794,[1]!s_ipo_listeddate(D794)),[1]!S_SHARE_TOTAL(D794,$G$5)),[1]!S_STM07_CS(D794,49,$G$5,$H$13)/$E$5))</f>
        <v/>
      </c>
      <c r="P794" s="247" t="str">
        <f ca="1">IF(C794="","",IF($P$11="CFPS",[1]!S_STM07_CS(D794,84,$G$5,$H$13)/IF([1]!S_SHARE_TOTAL(D794,$G$5)=0,[1]!S_SHARE_TOTAL(D794,[1]!s_ipo_listeddate(D794)),[1]!S_SHARE_TOTAL(D794,$G$5)),[1]!S_STM07_CS(D794,84,$G$5,$H$13)/$E$5))</f>
        <v/>
      </c>
      <c r="Q794" s="248" t="str">
        <f ca="1">IF(C794="","",F794/([1]!S_STM07_IS(D794,61,$G$5,$H$13)/IF([1]!S_SHARE_TOTAL(D794,$G$5)=0,[1]!S_SHARE_TOTAL(D794,[1]!s_ipo_listeddate(D794)),[1]!S_SHARE_TOTAL(D794,$G$5))))</f>
        <v/>
      </c>
      <c r="R794" s="248" t="str">
        <f ca="1">IF(C794="","",F794/([1]!S_STM07_BS(D794,141,$G$5,$H$13)/IF([1]!S_SHARE_TOTAL(D794,$G$5)=0,[1]!S_SHARE_TOTAL(D794,[1]!s_ipo_listeddate(D794)),[1]!S_SHARE_TOTAL(D794,$G$5))))</f>
        <v/>
      </c>
      <c r="S794" s="247" t="str">
        <f ca="1">IF(C794="","",[1]!S_SHARE_TOTAL(D794,TODAY())/$E$5)</f>
        <v/>
      </c>
      <c r="T794" s="247" t="str">
        <f t="shared" ca="1" si="85"/>
        <v/>
      </c>
      <c r="U794" s="218" t="str">
        <f t="shared" ca="1" si="86"/>
        <v/>
      </c>
      <c r="V794" s="342" t="str">
        <f t="shared" ca="1" si="87"/>
        <v/>
      </c>
      <c r="W794" s="139"/>
      <c r="Y794" s="1"/>
    </row>
    <row r="795" spans="3:25" ht="12" customHeight="1">
      <c r="C795" s="343" t="str">
        <f t="shared" ca="1" si="82"/>
        <v/>
      </c>
      <c r="D795" s="124" t="str">
        <f t="shared" ca="1" si="83"/>
        <v/>
      </c>
      <c r="E795" s="124" t="str">
        <f t="shared" ca="1" si="84"/>
        <v/>
      </c>
      <c r="F795" s="172" t="str">
        <f ca="1">IF(C795="","",[1]!S_DQ_CLOSE(D795,TODAY(),1))</f>
        <v/>
      </c>
      <c r="G795" s="173" t="str">
        <f ca="1">IF(C795="","",[1]!s_pq_pctchange(D795,TODAY()-$G$12,TODAY())/100)</f>
        <v/>
      </c>
      <c r="H795" s="249" t="str">
        <f ca="1">IF(C795="","",IF($H$11="收入",[1]!S_STM07_IS(D795,9,$G$5,$H$13)/$E$5,[1]!S_STM07_IS(D795,48,$G$5,$H$13)/$E$5))</f>
        <v/>
      </c>
      <c r="I795" s="249" t="str">
        <f ca="1">IF(C795="","",IF($I$11="毛利率",([1]!S_STM07_IS(D795,9,$G$5,$H$13)-[1]!S_STM07_IS(D795,10,$G$5,$H$13))/[1]!S_STM07_IS(D795,9,$G$5,$H$13),[1]!S_STM07_IS(D795,14,$G$5,$H$13)/$E$5))</f>
        <v/>
      </c>
      <c r="J795" s="249" t="str">
        <f ca="1">IF(C795="","",IF($J$11="营业利润率",[1]!S_STM07_IS(D795,48,$G$5,$H$13)/[1]!S_STM07_IS(D795,9,$G$5,$H$13),([1]!S_STM07_CS(D795,87,$G$5,$H$13)+[1]!S_STM07_CS(D795,88,$G$5,$H$13)+[1]!S_STM07_CS(D795,89,$G$5,$H$13))/$E$5))</f>
        <v/>
      </c>
      <c r="K795" s="249" t="str">
        <f ca="1">IF(C795="","",IF($K$11="净利润率",[1]!S_STM07_IS(D795,61,$G$5,$H$13)/[1]!S_STM07_IS(D795,9,$G$5,$H$13),[1]!S_STM07_IS(D795,55,$G$5,$H$13)/$E$5))</f>
        <v/>
      </c>
      <c r="L795" s="249" t="str">
        <f ca="1">IF(C795="","",IF($L$11="ROA",[1]!S_STM07_IS(D795,61,$G$5,$H$13)/[1]!S_STM07_BS(D795,74,$G$5,$H$13),1-[1]!S_STM07_IS(D795,61,$G$5,$H$13)/[1]!S_STM07_IS(D795,55,$G$5,$H$13)))</f>
        <v/>
      </c>
      <c r="M795" s="249" t="str">
        <f ca="1">IF(C795="","",IF($M$11="ROE",[1]!S_STM07_IS(D795,61,$G$5,$H$13)/[1]!S_STM07_BS(D795,141,$G$5,$H$13),([1]!S_STM07_BS(D795,25,$G$5,$H$13)-[1]!S_STM07_BS(D795,93,$G$5,$H$13))/$E$5))</f>
        <v/>
      </c>
      <c r="N795" s="250" t="str">
        <f ca="1">IF(C795="","",IF($N$11="EPS",[1]!S_STM07_IS(D795,61,$G$5,$H$13)/IF([1]!S_SHARE_TOTAL(D795,$G$5)=0,[1]!S_SHARE_TOTAL(D795,[1]!s_ipo_listeddate(D795)),[1]!S_SHARE_TOTAL(D795,$G$5)),([1]!S_STM07_BS(D795,75,$G$5,$H$13)+[1]!S_STM07_BS(D795,88,$G$5,$H$13)+[1]!S_STM07_BS(D795,94,$G$5,$H$13)+[1]!S_STM07_BS(D795,95,$G$5,$H$13))/$E$5))</f>
        <v/>
      </c>
      <c r="O795" s="250" t="str">
        <f ca="1">IF(C795="","",IF($O$11="BPS",[1]!S_STM07_BS(D795,141,$G$5,$H$13)/IF([1]!S_SHARE_TOTAL(D795,$G$5)=0,[1]!S_SHARE_TOTAL(D795,[1]!s_ipo_listeddate(D795)),[1]!S_SHARE_TOTAL(D795,$G$5)),[1]!S_STM07_CS(D795,49,$G$5,$H$13)/$E$5))</f>
        <v/>
      </c>
      <c r="P795" s="250" t="str">
        <f ca="1">IF(C795="","",IF($P$11="CFPS",[1]!S_STM07_CS(D795,84,$G$5,$H$13)/IF([1]!S_SHARE_TOTAL(D795,$G$5)=0,[1]!S_SHARE_TOTAL(D795,[1]!s_ipo_listeddate(D795)),[1]!S_SHARE_TOTAL(D795,$G$5)),[1]!S_STM07_CS(D795,84,$G$5,$H$13)/$E$5))</f>
        <v/>
      </c>
      <c r="Q795" s="198" t="str">
        <f ca="1">IF(C795="","",F795/([1]!S_STM07_IS(D795,61,$G$5,$H$13)/IF([1]!S_SHARE_TOTAL(D795,$G$5)=0,[1]!S_SHARE_TOTAL(D795,[1]!s_ipo_listeddate(D795)),[1]!S_SHARE_TOTAL(D795,$G$5))))</f>
        <v/>
      </c>
      <c r="R795" s="198" t="str">
        <f ca="1">IF(C795="","",F795/([1]!S_STM07_BS(D795,141,$G$5,$H$13)/IF([1]!S_SHARE_TOTAL(D795,$G$5)=0,[1]!S_SHARE_TOTAL(D795,[1]!s_ipo_listeddate(D795)),[1]!S_SHARE_TOTAL(D795,$G$5))))</f>
        <v/>
      </c>
      <c r="S795" s="249" t="str">
        <f ca="1">IF(C795="","",[1]!S_SHARE_TOTAL(D795,TODAY())/$E$5)</f>
        <v/>
      </c>
      <c r="T795" s="249" t="str">
        <f t="shared" ca="1" si="85"/>
        <v/>
      </c>
      <c r="U795" s="172" t="str">
        <f t="shared" ca="1" si="86"/>
        <v/>
      </c>
      <c r="V795" s="343" t="str">
        <f t="shared" ca="1" si="87"/>
        <v/>
      </c>
      <c r="W795" s="139"/>
      <c r="Y795" s="1"/>
    </row>
    <row r="796" spans="3:25" ht="12" customHeight="1">
      <c r="C796" s="342" t="str">
        <f t="shared" ca="1" si="82"/>
        <v/>
      </c>
      <c r="D796" s="153" t="str">
        <f t="shared" ca="1" si="83"/>
        <v/>
      </c>
      <c r="E796" s="153" t="str">
        <f t="shared" ca="1" si="84"/>
        <v/>
      </c>
      <c r="F796" s="170" t="str">
        <f ca="1">IF(C796="","",[1]!S_DQ_CLOSE(D796,TODAY(),1))</f>
        <v/>
      </c>
      <c r="G796" s="171" t="str">
        <f ca="1">IF(C796="","",[1]!s_pq_pctchange(D796,TODAY()-$G$12,TODAY())/100)</f>
        <v/>
      </c>
      <c r="H796" s="247" t="str">
        <f ca="1">IF(C796="","",IF($H$11="收入",[1]!S_STM07_IS(D796,9,$G$5,$H$13)/$E$5,[1]!S_STM07_IS(D796,48,$G$5,$H$13)/$E$5))</f>
        <v/>
      </c>
      <c r="I796" s="247" t="str">
        <f ca="1">IF(C796="","",IF($I$11="毛利率",([1]!S_STM07_IS(D796,9,$G$5,$H$13)-[1]!S_STM07_IS(D796,10,$G$5,$H$13))/[1]!S_STM07_IS(D796,9,$G$5,$H$13),[1]!S_STM07_IS(D796,14,$G$5,$H$13)/$E$5))</f>
        <v/>
      </c>
      <c r="J796" s="247" t="str">
        <f ca="1">IF(C796="","",IF($J$11="营业利润率",[1]!S_STM07_IS(D796,48,$G$5,$H$13)/[1]!S_STM07_IS(D796,9,$G$5,$H$13),([1]!S_STM07_CS(D796,87,$G$5,$H$13)+[1]!S_STM07_CS(D796,88,$G$5,$H$13)+[1]!S_STM07_CS(D796,89,$G$5,$H$13))/$E$5))</f>
        <v/>
      </c>
      <c r="K796" s="247" t="str">
        <f ca="1">IF(C796="","",IF($K$11="净利润率",[1]!S_STM07_IS(D796,61,$G$5,$H$13)/[1]!S_STM07_IS(D796,9,$G$5,$H$13),[1]!S_STM07_IS(D796,55,$G$5,$H$13)/$E$5))</f>
        <v/>
      </c>
      <c r="L796" s="247" t="str">
        <f ca="1">IF(C796="","",IF($L$11="ROA",[1]!S_STM07_IS(D796,61,$G$5,$H$13)/[1]!S_STM07_BS(D796,74,$G$5,$H$13),1-[1]!S_STM07_IS(D796,61,$G$5,$H$13)/[1]!S_STM07_IS(D796,55,$G$5,$H$13)))</f>
        <v/>
      </c>
      <c r="M796" s="247" t="str">
        <f ca="1">IF(C796="","",IF($M$11="ROE",[1]!S_STM07_IS(D796,61,$G$5,$H$13)/[1]!S_STM07_BS(D796,141,$G$5,$H$13),([1]!S_STM07_BS(D796,25,$G$5,$H$13)-[1]!S_STM07_BS(D796,93,$G$5,$H$13))/$E$5))</f>
        <v/>
      </c>
      <c r="N796" s="247" t="str">
        <f ca="1">IF(C796="","",IF($N$11="EPS",[1]!S_STM07_IS(D796,61,$G$5,$H$13)/IF([1]!S_SHARE_TOTAL(D796,$G$5)=0,[1]!S_SHARE_TOTAL(D796,[1]!s_ipo_listeddate(D796)),[1]!S_SHARE_TOTAL(D796,$G$5)),([1]!S_STM07_BS(D796,75,$G$5,$H$13)+[1]!S_STM07_BS(D796,88,$G$5,$H$13)+[1]!S_STM07_BS(D796,94,$G$5,$H$13)+[1]!S_STM07_BS(D796,95,$G$5,$H$13))/$E$5))</f>
        <v/>
      </c>
      <c r="O796" s="247" t="str">
        <f ca="1">IF(C796="","",IF($O$11="BPS",[1]!S_STM07_BS(D796,141,$G$5,$H$13)/IF([1]!S_SHARE_TOTAL(D796,$G$5)=0,[1]!S_SHARE_TOTAL(D796,[1]!s_ipo_listeddate(D796)),[1]!S_SHARE_TOTAL(D796,$G$5)),[1]!S_STM07_CS(D796,49,$G$5,$H$13)/$E$5))</f>
        <v/>
      </c>
      <c r="P796" s="247" t="str">
        <f ca="1">IF(C796="","",IF($P$11="CFPS",[1]!S_STM07_CS(D796,84,$G$5,$H$13)/IF([1]!S_SHARE_TOTAL(D796,$G$5)=0,[1]!S_SHARE_TOTAL(D796,[1]!s_ipo_listeddate(D796)),[1]!S_SHARE_TOTAL(D796,$G$5)),[1]!S_STM07_CS(D796,84,$G$5,$H$13)/$E$5))</f>
        <v/>
      </c>
      <c r="Q796" s="248" t="str">
        <f ca="1">IF(C796="","",F796/([1]!S_STM07_IS(D796,61,$G$5,$H$13)/IF([1]!S_SHARE_TOTAL(D796,$G$5)=0,[1]!S_SHARE_TOTAL(D796,[1]!s_ipo_listeddate(D796)),[1]!S_SHARE_TOTAL(D796,$G$5))))</f>
        <v/>
      </c>
      <c r="R796" s="248" t="str">
        <f ca="1">IF(C796="","",F796/([1]!S_STM07_BS(D796,141,$G$5,$H$13)/IF([1]!S_SHARE_TOTAL(D796,$G$5)=0,[1]!S_SHARE_TOTAL(D796,[1]!s_ipo_listeddate(D796)),[1]!S_SHARE_TOTAL(D796,$G$5))))</f>
        <v/>
      </c>
      <c r="S796" s="247" t="str">
        <f ca="1">IF(C796="","",[1]!S_SHARE_TOTAL(D796,TODAY())/$E$5)</f>
        <v/>
      </c>
      <c r="T796" s="247" t="str">
        <f t="shared" ca="1" si="85"/>
        <v/>
      </c>
      <c r="U796" s="218" t="str">
        <f t="shared" ca="1" si="86"/>
        <v/>
      </c>
      <c r="V796" s="342" t="str">
        <f t="shared" ca="1" si="87"/>
        <v/>
      </c>
      <c r="W796" s="139"/>
      <c r="Y796" s="1"/>
    </row>
    <row r="797" spans="3:25" ht="12" customHeight="1">
      <c r="C797" s="343" t="str">
        <f t="shared" ca="1" si="82"/>
        <v/>
      </c>
      <c r="D797" s="124" t="str">
        <f t="shared" ca="1" si="83"/>
        <v/>
      </c>
      <c r="E797" s="124" t="str">
        <f t="shared" ca="1" si="84"/>
        <v/>
      </c>
      <c r="F797" s="172" t="str">
        <f ca="1">IF(C797="","",[1]!S_DQ_CLOSE(D797,TODAY(),1))</f>
        <v/>
      </c>
      <c r="G797" s="173" t="str">
        <f ca="1">IF(C797="","",[1]!s_pq_pctchange(D797,TODAY()-$G$12,TODAY())/100)</f>
        <v/>
      </c>
      <c r="H797" s="249" t="str">
        <f ca="1">IF(C797="","",IF($H$11="收入",[1]!S_STM07_IS(D797,9,$G$5,$H$13)/$E$5,[1]!S_STM07_IS(D797,48,$G$5,$H$13)/$E$5))</f>
        <v/>
      </c>
      <c r="I797" s="249" t="str">
        <f ca="1">IF(C797="","",IF($I$11="毛利率",([1]!S_STM07_IS(D797,9,$G$5,$H$13)-[1]!S_STM07_IS(D797,10,$G$5,$H$13))/[1]!S_STM07_IS(D797,9,$G$5,$H$13),[1]!S_STM07_IS(D797,14,$G$5,$H$13)/$E$5))</f>
        <v/>
      </c>
      <c r="J797" s="249" t="str">
        <f ca="1">IF(C797="","",IF($J$11="营业利润率",[1]!S_STM07_IS(D797,48,$G$5,$H$13)/[1]!S_STM07_IS(D797,9,$G$5,$H$13),([1]!S_STM07_CS(D797,87,$G$5,$H$13)+[1]!S_STM07_CS(D797,88,$G$5,$H$13)+[1]!S_STM07_CS(D797,89,$G$5,$H$13))/$E$5))</f>
        <v/>
      </c>
      <c r="K797" s="249" t="str">
        <f ca="1">IF(C797="","",IF($K$11="净利润率",[1]!S_STM07_IS(D797,61,$G$5,$H$13)/[1]!S_STM07_IS(D797,9,$G$5,$H$13),[1]!S_STM07_IS(D797,55,$G$5,$H$13)/$E$5))</f>
        <v/>
      </c>
      <c r="L797" s="249" t="str">
        <f ca="1">IF(C797="","",IF($L$11="ROA",[1]!S_STM07_IS(D797,61,$G$5,$H$13)/[1]!S_STM07_BS(D797,74,$G$5,$H$13),1-[1]!S_STM07_IS(D797,61,$G$5,$H$13)/[1]!S_STM07_IS(D797,55,$G$5,$H$13)))</f>
        <v/>
      </c>
      <c r="M797" s="249" t="str">
        <f ca="1">IF(C797="","",IF($M$11="ROE",[1]!S_STM07_IS(D797,61,$G$5,$H$13)/[1]!S_STM07_BS(D797,141,$G$5,$H$13),([1]!S_STM07_BS(D797,25,$G$5,$H$13)-[1]!S_STM07_BS(D797,93,$G$5,$H$13))/$E$5))</f>
        <v/>
      </c>
      <c r="N797" s="250" t="str">
        <f ca="1">IF(C797="","",IF($N$11="EPS",[1]!S_STM07_IS(D797,61,$G$5,$H$13)/IF([1]!S_SHARE_TOTAL(D797,$G$5)=0,[1]!S_SHARE_TOTAL(D797,[1]!s_ipo_listeddate(D797)),[1]!S_SHARE_TOTAL(D797,$G$5)),([1]!S_STM07_BS(D797,75,$G$5,$H$13)+[1]!S_STM07_BS(D797,88,$G$5,$H$13)+[1]!S_STM07_BS(D797,94,$G$5,$H$13)+[1]!S_STM07_BS(D797,95,$G$5,$H$13))/$E$5))</f>
        <v/>
      </c>
      <c r="O797" s="250" t="str">
        <f ca="1">IF(C797="","",IF($O$11="BPS",[1]!S_STM07_BS(D797,141,$G$5,$H$13)/IF([1]!S_SHARE_TOTAL(D797,$G$5)=0,[1]!S_SHARE_TOTAL(D797,[1]!s_ipo_listeddate(D797)),[1]!S_SHARE_TOTAL(D797,$G$5)),[1]!S_STM07_CS(D797,49,$G$5,$H$13)/$E$5))</f>
        <v/>
      </c>
      <c r="P797" s="250" t="str">
        <f ca="1">IF(C797="","",IF($P$11="CFPS",[1]!S_STM07_CS(D797,84,$G$5,$H$13)/IF([1]!S_SHARE_TOTAL(D797,$G$5)=0,[1]!S_SHARE_TOTAL(D797,[1]!s_ipo_listeddate(D797)),[1]!S_SHARE_TOTAL(D797,$G$5)),[1]!S_STM07_CS(D797,84,$G$5,$H$13)/$E$5))</f>
        <v/>
      </c>
      <c r="Q797" s="198" t="str">
        <f ca="1">IF(C797="","",F797/([1]!S_STM07_IS(D797,61,$G$5,$H$13)/IF([1]!S_SHARE_TOTAL(D797,$G$5)=0,[1]!S_SHARE_TOTAL(D797,[1]!s_ipo_listeddate(D797)),[1]!S_SHARE_TOTAL(D797,$G$5))))</f>
        <v/>
      </c>
      <c r="R797" s="198" t="str">
        <f ca="1">IF(C797="","",F797/([1]!S_STM07_BS(D797,141,$G$5,$H$13)/IF([1]!S_SHARE_TOTAL(D797,$G$5)=0,[1]!S_SHARE_TOTAL(D797,[1]!s_ipo_listeddate(D797)),[1]!S_SHARE_TOTAL(D797,$G$5))))</f>
        <v/>
      </c>
      <c r="S797" s="249" t="str">
        <f ca="1">IF(C797="","",[1]!S_SHARE_TOTAL(D797,TODAY())/$E$5)</f>
        <v/>
      </c>
      <c r="T797" s="249" t="str">
        <f t="shared" ca="1" si="85"/>
        <v/>
      </c>
      <c r="U797" s="172" t="str">
        <f t="shared" ca="1" si="86"/>
        <v/>
      </c>
      <c r="V797" s="343" t="str">
        <f t="shared" ca="1" si="87"/>
        <v/>
      </c>
      <c r="W797" s="139"/>
      <c r="Y797" s="1"/>
    </row>
    <row r="798" spans="3:25" ht="12" customHeight="1">
      <c r="C798" s="342" t="str">
        <f t="shared" ca="1" si="82"/>
        <v/>
      </c>
      <c r="D798" s="153" t="str">
        <f t="shared" ca="1" si="83"/>
        <v/>
      </c>
      <c r="E798" s="153" t="str">
        <f t="shared" ca="1" si="84"/>
        <v/>
      </c>
      <c r="F798" s="170" t="str">
        <f ca="1">IF(C798="","",[1]!S_DQ_CLOSE(D798,TODAY(),1))</f>
        <v/>
      </c>
      <c r="G798" s="171" t="str">
        <f ca="1">IF(C798="","",[1]!s_pq_pctchange(D798,TODAY()-$G$12,TODAY())/100)</f>
        <v/>
      </c>
      <c r="H798" s="247" t="str">
        <f ca="1">IF(C798="","",IF($H$11="收入",[1]!S_STM07_IS(D798,9,$G$5,$H$13)/$E$5,[1]!S_STM07_IS(D798,48,$G$5,$H$13)/$E$5))</f>
        <v/>
      </c>
      <c r="I798" s="247" t="str">
        <f ca="1">IF(C798="","",IF($I$11="毛利率",([1]!S_STM07_IS(D798,9,$G$5,$H$13)-[1]!S_STM07_IS(D798,10,$G$5,$H$13))/[1]!S_STM07_IS(D798,9,$G$5,$H$13),[1]!S_STM07_IS(D798,14,$G$5,$H$13)/$E$5))</f>
        <v/>
      </c>
      <c r="J798" s="247" t="str">
        <f ca="1">IF(C798="","",IF($J$11="营业利润率",[1]!S_STM07_IS(D798,48,$G$5,$H$13)/[1]!S_STM07_IS(D798,9,$G$5,$H$13),([1]!S_STM07_CS(D798,87,$G$5,$H$13)+[1]!S_STM07_CS(D798,88,$G$5,$H$13)+[1]!S_STM07_CS(D798,89,$G$5,$H$13))/$E$5))</f>
        <v/>
      </c>
      <c r="K798" s="247" t="str">
        <f ca="1">IF(C798="","",IF($K$11="净利润率",[1]!S_STM07_IS(D798,61,$G$5,$H$13)/[1]!S_STM07_IS(D798,9,$G$5,$H$13),[1]!S_STM07_IS(D798,55,$G$5,$H$13)/$E$5))</f>
        <v/>
      </c>
      <c r="L798" s="247" t="str">
        <f ca="1">IF(C798="","",IF($L$11="ROA",[1]!S_STM07_IS(D798,61,$G$5,$H$13)/[1]!S_STM07_BS(D798,74,$G$5,$H$13),1-[1]!S_STM07_IS(D798,61,$G$5,$H$13)/[1]!S_STM07_IS(D798,55,$G$5,$H$13)))</f>
        <v/>
      </c>
      <c r="M798" s="247" t="str">
        <f ca="1">IF(C798="","",IF($M$11="ROE",[1]!S_STM07_IS(D798,61,$G$5,$H$13)/[1]!S_STM07_BS(D798,141,$G$5,$H$13),([1]!S_STM07_BS(D798,25,$G$5,$H$13)-[1]!S_STM07_BS(D798,93,$G$5,$H$13))/$E$5))</f>
        <v/>
      </c>
      <c r="N798" s="247" t="str">
        <f ca="1">IF(C798="","",IF($N$11="EPS",[1]!S_STM07_IS(D798,61,$G$5,$H$13)/IF([1]!S_SHARE_TOTAL(D798,$G$5)=0,[1]!S_SHARE_TOTAL(D798,[1]!s_ipo_listeddate(D798)),[1]!S_SHARE_TOTAL(D798,$G$5)),([1]!S_STM07_BS(D798,75,$G$5,$H$13)+[1]!S_STM07_BS(D798,88,$G$5,$H$13)+[1]!S_STM07_BS(D798,94,$G$5,$H$13)+[1]!S_STM07_BS(D798,95,$G$5,$H$13))/$E$5))</f>
        <v/>
      </c>
      <c r="O798" s="247" t="str">
        <f ca="1">IF(C798="","",IF($O$11="BPS",[1]!S_STM07_BS(D798,141,$G$5,$H$13)/IF([1]!S_SHARE_TOTAL(D798,$G$5)=0,[1]!S_SHARE_TOTAL(D798,[1]!s_ipo_listeddate(D798)),[1]!S_SHARE_TOTAL(D798,$G$5)),[1]!S_STM07_CS(D798,49,$G$5,$H$13)/$E$5))</f>
        <v/>
      </c>
      <c r="P798" s="247" t="str">
        <f ca="1">IF(C798="","",IF($P$11="CFPS",[1]!S_STM07_CS(D798,84,$G$5,$H$13)/IF([1]!S_SHARE_TOTAL(D798,$G$5)=0,[1]!S_SHARE_TOTAL(D798,[1]!s_ipo_listeddate(D798)),[1]!S_SHARE_TOTAL(D798,$G$5)),[1]!S_STM07_CS(D798,84,$G$5,$H$13)/$E$5))</f>
        <v/>
      </c>
      <c r="Q798" s="248" t="str">
        <f ca="1">IF(C798="","",F798/([1]!S_STM07_IS(D798,61,$G$5,$H$13)/IF([1]!S_SHARE_TOTAL(D798,$G$5)=0,[1]!S_SHARE_TOTAL(D798,[1]!s_ipo_listeddate(D798)),[1]!S_SHARE_TOTAL(D798,$G$5))))</f>
        <v/>
      </c>
      <c r="R798" s="248" t="str">
        <f ca="1">IF(C798="","",F798/([1]!S_STM07_BS(D798,141,$G$5,$H$13)/IF([1]!S_SHARE_TOTAL(D798,$G$5)=0,[1]!S_SHARE_TOTAL(D798,[1]!s_ipo_listeddate(D798)),[1]!S_SHARE_TOTAL(D798,$G$5))))</f>
        <v/>
      </c>
      <c r="S798" s="247" t="str">
        <f ca="1">IF(C798="","",[1]!S_SHARE_TOTAL(D798,TODAY())/$E$5)</f>
        <v/>
      </c>
      <c r="T798" s="247" t="str">
        <f t="shared" ca="1" si="85"/>
        <v/>
      </c>
      <c r="U798" s="218" t="str">
        <f t="shared" ca="1" si="86"/>
        <v/>
      </c>
      <c r="V798" s="342" t="str">
        <f t="shared" ca="1" si="87"/>
        <v/>
      </c>
      <c r="W798" s="139"/>
      <c r="Y798" s="1"/>
    </row>
    <row r="799" spans="3:25" ht="12" customHeight="1">
      <c r="C799" s="343" t="str">
        <f t="shared" ca="1" si="82"/>
        <v/>
      </c>
      <c r="D799" s="124" t="str">
        <f t="shared" ca="1" si="83"/>
        <v/>
      </c>
      <c r="E799" s="124" t="str">
        <f t="shared" ca="1" si="84"/>
        <v/>
      </c>
      <c r="F799" s="172" t="str">
        <f ca="1">IF(C799="","",[1]!S_DQ_CLOSE(D799,TODAY(),1))</f>
        <v/>
      </c>
      <c r="G799" s="173" t="str">
        <f ca="1">IF(C799="","",[1]!s_pq_pctchange(D799,TODAY()-$G$12,TODAY())/100)</f>
        <v/>
      </c>
      <c r="H799" s="249" t="str">
        <f ca="1">IF(C799="","",IF($H$11="收入",[1]!S_STM07_IS(D799,9,$G$5,$H$13)/$E$5,[1]!S_STM07_IS(D799,48,$G$5,$H$13)/$E$5))</f>
        <v/>
      </c>
      <c r="I799" s="249" t="str">
        <f ca="1">IF(C799="","",IF($I$11="毛利率",([1]!S_STM07_IS(D799,9,$G$5,$H$13)-[1]!S_STM07_IS(D799,10,$G$5,$H$13))/[1]!S_STM07_IS(D799,9,$G$5,$H$13),[1]!S_STM07_IS(D799,14,$G$5,$H$13)/$E$5))</f>
        <v/>
      </c>
      <c r="J799" s="249" t="str">
        <f ca="1">IF(C799="","",IF($J$11="营业利润率",[1]!S_STM07_IS(D799,48,$G$5,$H$13)/[1]!S_STM07_IS(D799,9,$G$5,$H$13),([1]!S_STM07_CS(D799,87,$G$5,$H$13)+[1]!S_STM07_CS(D799,88,$G$5,$H$13)+[1]!S_STM07_CS(D799,89,$G$5,$H$13))/$E$5))</f>
        <v/>
      </c>
      <c r="K799" s="249" t="str">
        <f ca="1">IF(C799="","",IF($K$11="净利润率",[1]!S_STM07_IS(D799,61,$G$5,$H$13)/[1]!S_STM07_IS(D799,9,$G$5,$H$13),[1]!S_STM07_IS(D799,55,$G$5,$H$13)/$E$5))</f>
        <v/>
      </c>
      <c r="L799" s="249" t="str">
        <f ca="1">IF(C799="","",IF($L$11="ROA",[1]!S_STM07_IS(D799,61,$G$5,$H$13)/[1]!S_STM07_BS(D799,74,$G$5,$H$13),1-[1]!S_STM07_IS(D799,61,$G$5,$H$13)/[1]!S_STM07_IS(D799,55,$G$5,$H$13)))</f>
        <v/>
      </c>
      <c r="M799" s="249" t="str">
        <f ca="1">IF(C799="","",IF($M$11="ROE",[1]!S_STM07_IS(D799,61,$G$5,$H$13)/[1]!S_STM07_BS(D799,141,$G$5,$H$13),([1]!S_STM07_BS(D799,25,$G$5,$H$13)-[1]!S_STM07_BS(D799,93,$G$5,$H$13))/$E$5))</f>
        <v/>
      </c>
      <c r="N799" s="250" t="str">
        <f ca="1">IF(C799="","",IF($N$11="EPS",[1]!S_STM07_IS(D799,61,$G$5,$H$13)/IF([1]!S_SHARE_TOTAL(D799,$G$5)=0,[1]!S_SHARE_TOTAL(D799,[1]!s_ipo_listeddate(D799)),[1]!S_SHARE_TOTAL(D799,$G$5)),([1]!S_STM07_BS(D799,75,$G$5,$H$13)+[1]!S_STM07_BS(D799,88,$G$5,$H$13)+[1]!S_STM07_BS(D799,94,$G$5,$H$13)+[1]!S_STM07_BS(D799,95,$G$5,$H$13))/$E$5))</f>
        <v/>
      </c>
      <c r="O799" s="250" t="str">
        <f ca="1">IF(C799="","",IF($O$11="BPS",[1]!S_STM07_BS(D799,141,$G$5,$H$13)/IF([1]!S_SHARE_TOTAL(D799,$G$5)=0,[1]!S_SHARE_TOTAL(D799,[1]!s_ipo_listeddate(D799)),[1]!S_SHARE_TOTAL(D799,$G$5)),[1]!S_STM07_CS(D799,49,$G$5,$H$13)/$E$5))</f>
        <v/>
      </c>
      <c r="P799" s="250" t="str">
        <f ca="1">IF(C799="","",IF($P$11="CFPS",[1]!S_STM07_CS(D799,84,$G$5,$H$13)/IF([1]!S_SHARE_TOTAL(D799,$G$5)=0,[1]!S_SHARE_TOTAL(D799,[1]!s_ipo_listeddate(D799)),[1]!S_SHARE_TOTAL(D799,$G$5)),[1]!S_STM07_CS(D799,84,$G$5,$H$13)/$E$5))</f>
        <v/>
      </c>
      <c r="Q799" s="198" t="str">
        <f ca="1">IF(C799="","",F799/([1]!S_STM07_IS(D799,61,$G$5,$H$13)/IF([1]!S_SHARE_TOTAL(D799,$G$5)=0,[1]!S_SHARE_TOTAL(D799,[1]!s_ipo_listeddate(D799)),[1]!S_SHARE_TOTAL(D799,$G$5))))</f>
        <v/>
      </c>
      <c r="R799" s="198" t="str">
        <f ca="1">IF(C799="","",F799/([1]!S_STM07_BS(D799,141,$G$5,$H$13)/IF([1]!S_SHARE_TOTAL(D799,$G$5)=0,[1]!S_SHARE_TOTAL(D799,[1]!s_ipo_listeddate(D799)),[1]!S_SHARE_TOTAL(D799,$G$5))))</f>
        <v/>
      </c>
      <c r="S799" s="249" t="str">
        <f ca="1">IF(C799="","",[1]!S_SHARE_TOTAL(D799,TODAY())/$E$5)</f>
        <v/>
      </c>
      <c r="T799" s="249" t="str">
        <f t="shared" ca="1" si="85"/>
        <v/>
      </c>
      <c r="U799" s="172" t="str">
        <f t="shared" ca="1" si="86"/>
        <v/>
      </c>
      <c r="V799" s="343" t="str">
        <f t="shared" ca="1" si="87"/>
        <v/>
      </c>
      <c r="W799" s="139"/>
      <c r="Y799" s="1"/>
    </row>
    <row r="800" spans="3:25" ht="12" customHeight="1">
      <c r="C800" s="342" t="str">
        <f t="shared" ca="1" si="82"/>
        <v/>
      </c>
      <c r="D800" s="153" t="str">
        <f t="shared" ca="1" si="83"/>
        <v/>
      </c>
      <c r="E800" s="153" t="str">
        <f t="shared" ca="1" si="84"/>
        <v/>
      </c>
      <c r="F800" s="170" t="str">
        <f ca="1">IF(C800="","",[1]!S_DQ_CLOSE(D800,TODAY(),1))</f>
        <v/>
      </c>
      <c r="G800" s="171" t="str">
        <f ca="1">IF(C800="","",[1]!s_pq_pctchange(D800,TODAY()-$G$12,TODAY())/100)</f>
        <v/>
      </c>
      <c r="H800" s="247" t="str">
        <f ca="1">IF(C800="","",IF($H$11="收入",[1]!S_STM07_IS(D800,9,$G$5,$H$13)/$E$5,[1]!S_STM07_IS(D800,48,$G$5,$H$13)/$E$5))</f>
        <v/>
      </c>
      <c r="I800" s="247" t="str">
        <f ca="1">IF(C800="","",IF($I$11="毛利率",([1]!S_STM07_IS(D800,9,$G$5,$H$13)-[1]!S_STM07_IS(D800,10,$G$5,$H$13))/[1]!S_STM07_IS(D800,9,$G$5,$H$13),[1]!S_STM07_IS(D800,14,$G$5,$H$13)/$E$5))</f>
        <v/>
      </c>
      <c r="J800" s="247" t="str">
        <f ca="1">IF(C800="","",IF($J$11="营业利润率",[1]!S_STM07_IS(D800,48,$G$5,$H$13)/[1]!S_STM07_IS(D800,9,$G$5,$H$13),([1]!S_STM07_CS(D800,87,$G$5,$H$13)+[1]!S_STM07_CS(D800,88,$G$5,$H$13)+[1]!S_STM07_CS(D800,89,$G$5,$H$13))/$E$5))</f>
        <v/>
      </c>
      <c r="K800" s="247" t="str">
        <f ca="1">IF(C800="","",IF($K$11="净利润率",[1]!S_STM07_IS(D800,61,$G$5,$H$13)/[1]!S_STM07_IS(D800,9,$G$5,$H$13),[1]!S_STM07_IS(D800,55,$G$5,$H$13)/$E$5))</f>
        <v/>
      </c>
      <c r="L800" s="247" t="str">
        <f ca="1">IF(C800="","",IF($L$11="ROA",[1]!S_STM07_IS(D800,61,$G$5,$H$13)/[1]!S_STM07_BS(D800,74,$G$5,$H$13),1-[1]!S_STM07_IS(D800,61,$G$5,$H$13)/[1]!S_STM07_IS(D800,55,$G$5,$H$13)))</f>
        <v/>
      </c>
      <c r="M800" s="247" t="str">
        <f ca="1">IF(C800="","",IF($M$11="ROE",[1]!S_STM07_IS(D800,61,$G$5,$H$13)/[1]!S_STM07_BS(D800,141,$G$5,$H$13),([1]!S_STM07_BS(D800,25,$G$5,$H$13)-[1]!S_STM07_BS(D800,93,$G$5,$H$13))/$E$5))</f>
        <v/>
      </c>
      <c r="N800" s="247" t="str">
        <f ca="1">IF(C800="","",IF($N$11="EPS",[1]!S_STM07_IS(D800,61,$G$5,$H$13)/IF([1]!S_SHARE_TOTAL(D800,$G$5)=0,[1]!S_SHARE_TOTAL(D800,[1]!s_ipo_listeddate(D800)),[1]!S_SHARE_TOTAL(D800,$G$5)),([1]!S_STM07_BS(D800,75,$G$5,$H$13)+[1]!S_STM07_BS(D800,88,$G$5,$H$13)+[1]!S_STM07_BS(D800,94,$G$5,$H$13)+[1]!S_STM07_BS(D800,95,$G$5,$H$13))/$E$5))</f>
        <v/>
      </c>
      <c r="O800" s="247" t="str">
        <f ca="1">IF(C800="","",IF($O$11="BPS",[1]!S_STM07_BS(D800,141,$G$5,$H$13)/IF([1]!S_SHARE_TOTAL(D800,$G$5)=0,[1]!S_SHARE_TOTAL(D800,[1]!s_ipo_listeddate(D800)),[1]!S_SHARE_TOTAL(D800,$G$5)),[1]!S_STM07_CS(D800,49,$G$5,$H$13)/$E$5))</f>
        <v/>
      </c>
      <c r="P800" s="247" t="str">
        <f ca="1">IF(C800="","",IF($P$11="CFPS",[1]!S_STM07_CS(D800,84,$G$5,$H$13)/IF([1]!S_SHARE_TOTAL(D800,$G$5)=0,[1]!S_SHARE_TOTAL(D800,[1]!s_ipo_listeddate(D800)),[1]!S_SHARE_TOTAL(D800,$G$5)),[1]!S_STM07_CS(D800,84,$G$5,$H$13)/$E$5))</f>
        <v/>
      </c>
      <c r="Q800" s="248" t="str">
        <f ca="1">IF(C800="","",F800/([1]!S_STM07_IS(D800,61,$G$5,$H$13)/IF([1]!S_SHARE_TOTAL(D800,$G$5)=0,[1]!S_SHARE_TOTAL(D800,[1]!s_ipo_listeddate(D800)),[1]!S_SHARE_TOTAL(D800,$G$5))))</f>
        <v/>
      </c>
      <c r="R800" s="248" t="str">
        <f ca="1">IF(C800="","",F800/([1]!S_STM07_BS(D800,141,$G$5,$H$13)/IF([1]!S_SHARE_TOTAL(D800,$G$5)=0,[1]!S_SHARE_TOTAL(D800,[1]!s_ipo_listeddate(D800)),[1]!S_SHARE_TOTAL(D800,$G$5))))</f>
        <v/>
      </c>
      <c r="S800" s="247" t="str">
        <f ca="1">IF(C800="","",[1]!S_SHARE_TOTAL(D800,TODAY())/$E$5)</f>
        <v/>
      </c>
      <c r="T800" s="247" t="str">
        <f t="shared" ca="1" si="85"/>
        <v/>
      </c>
      <c r="U800" s="218" t="str">
        <f t="shared" ca="1" si="86"/>
        <v/>
      </c>
      <c r="V800" s="342" t="str">
        <f t="shared" ca="1" si="87"/>
        <v/>
      </c>
      <c r="W800" s="139"/>
      <c r="Y800" s="1"/>
    </row>
    <row r="801" spans="3:25" ht="12" customHeight="1">
      <c r="C801" s="343" t="str">
        <f t="shared" ca="1" si="82"/>
        <v/>
      </c>
      <c r="D801" s="124" t="str">
        <f t="shared" ca="1" si="83"/>
        <v/>
      </c>
      <c r="E801" s="124" t="str">
        <f t="shared" ca="1" si="84"/>
        <v/>
      </c>
      <c r="F801" s="172" t="str">
        <f ca="1">IF(C801="","",[1]!S_DQ_CLOSE(D801,TODAY(),1))</f>
        <v/>
      </c>
      <c r="G801" s="173" t="str">
        <f ca="1">IF(C801="","",[1]!s_pq_pctchange(D801,TODAY()-$G$12,TODAY())/100)</f>
        <v/>
      </c>
      <c r="H801" s="249" t="str">
        <f ca="1">IF(C801="","",IF($H$11="收入",[1]!S_STM07_IS(D801,9,$G$5,$H$13)/$E$5,[1]!S_STM07_IS(D801,48,$G$5,$H$13)/$E$5))</f>
        <v/>
      </c>
      <c r="I801" s="249" t="str">
        <f ca="1">IF(C801="","",IF($I$11="毛利率",([1]!S_STM07_IS(D801,9,$G$5,$H$13)-[1]!S_STM07_IS(D801,10,$G$5,$H$13))/[1]!S_STM07_IS(D801,9,$G$5,$H$13),[1]!S_STM07_IS(D801,14,$G$5,$H$13)/$E$5))</f>
        <v/>
      </c>
      <c r="J801" s="249" t="str">
        <f ca="1">IF(C801="","",IF($J$11="营业利润率",[1]!S_STM07_IS(D801,48,$G$5,$H$13)/[1]!S_STM07_IS(D801,9,$G$5,$H$13),([1]!S_STM07_CS(D801,87,$G$5,$H$13)+[1]!S_STM07_CS(D801,88,$G$5,$H$13)+[1]!S_STM07_CS(D801,89,$G$5,$H$13))/$E$5))</f>
        <v/>
      </c>
      <c r="K801" s="249" t="str">
        <f ca="1">IF(C801="","",IF($K$11="净利润率",[1]!S_STM07_IS(D801,61,$G$5,$H$13)/[1]!S_STM07_IS(D801,9,$G$5,$H$13),[1]!S_STM07_IS(D801,55,$G$5,$H$13)/$E$5))</f>
        <v/>
      </c>
      <c r="L801" s="249" t="str">
        <f ca="1">IF(C801="","",IF($L$11="ROA",[1]!S_STM07_IS(D801,61,$G$5,$H$13)/[1]!S_STM07_BS(D801,74,$G$5,$H$13),1-[1]!S_STM07_IS(D801,61,$G$5,$H$13)/[1]!S_STM07_IS(D801,55,$G$5,$H$13)))</f>
        <v/>
      </c>
      <c r="M801" s="249" t="str">
        <f ca="1">IF(C801="","",IF($M$11="ROE",[1]!S_STM07_IS(D801,61,$G$5,$H$13)/[1]!S_STM07_BS(D801,141,$G$5,$H$13),([1]!S_STM07_BS(D801,25,$G$5,$H$13)-[1]!S_STM07_BS(D801,93,$G$5,$H$13))/$E$5))</f>
        <v/>
      </c>
      <c r="N801" s="250" t="str">
        <f ca="1">IF(C801="","",IF($N$11="EPS",[1]!S_STM07_IS(D801,61,$G$5,$H$13)/IF([1]!S_SHARE_TOTAL(D801,$G$5)=0,[1]!S_SHARE_TOTAL(D801,[1]!s_ipo_listeddate(D801)),[1]!S_SHARE_TOTAL(D801,$G$5)),([1]!S_STM07_BS(D801,75,$G$5,$H$13)+[1]!S_STM07_BS(D801,88,$G$5,$H$13)+[1]!S_STM07_BS(D801,94,$G$5,$H$13)+[1]!S_STM07_BS(D801,95,$G$5,$H$13))/$E$5))</f>
        <v/>
      </c>
      <c r="O801" s="250" t="str">
        <f ca="1">IF(C801="","",IF($O$11="BPS",[1]!S_STM07_BS(D801,141,$G$5,$H$13)/IF([1]!S_SHARE_TOTAL(D801,$G$5)=0,[1]!S_SHARE_TOTAL(D801,[1]!s_ipo_listeddate(D801)),[1]!S_SHARE_TOTAL(D801,$G$5)),[1]!S_STM07_CS(D801,49,$G$5,$H$13)/$E$5))</f>
        <v/>
      </c>
      <c r="P801" s="250" t="str">
        <f ca="1">IF(C801="","",IF($P$11="CFPS",[1]!S_STM07_CS(D801,84,$G$5,$H$13)/IF([1]!S_SHARE_TOTAL(D801,$G$5)=0,[1]!S_SHARE_TOTAL(D801,[1]!s_ipo_listeddate(D801)),[1]!S_SHARE_TOTAL(D801,$G$5)),[1]!S_STM07_CS(D801,84,$G$5,$H$13)/$E$5))</f>
        <v/>
      </c>
      <c r="Q801" s="198" t="str">
        <f ca="1">IF(C801="","",F801/([1]!S_STM07_IS(D801,61,$G$5,$H$13)/IF([1]!S_SHARE_TOTAL(D801,$G$5)=0,[1]!S_SHARE_TOTAL(D801,[1]!s_ipo_listeddate(D801)),[1]!S_SHARE_TOTAL(D801,$G$5))))</f>
        <v/>
      </c>
      <c r="R801" s="198" t="str">
        <f ca="1">IF(C801="","",F801/([1]!S_STM07_BS(D801,141,$G$5,$H$13)/IF([1]!S_SHARE_TOTAL(D801,$G$5)=0,[1]!S_SHARE_TOTAL(D801,[1]!s_ipo_listeddate(D801)),[1]!S_SHARE_TOTAL(D801,$G$5))))</f>
        <v/>
      </c>
      <c r="S801" s="249" t="str">
        <f ca="1">IF(C801="","",[1]!S_SHARE_TOTAL(D801,TODAY())/$E$5)</f>
        <v/>
      </c>
      <c r="T801" s="249" t="str">
        <f t="shared" ca="1" si="85"/>
        <v/>
      </c>
      <c r="U801" s="172" t="str">
        <f t="shared" ca="1" si="86"/>
        <v/>
      </c>
      <c r="V801" s="343" t="str">
        <f t="shared" ca="1" si="87"/>
        <v/>
      </c>
      <c r="W801" s="139"/>
      <c r="Y801" s="1"/>
    </row>
    <row r="802" spans="3:25" ht="12" customHeight="1">
      <c r="C802" s="342" t="str">
        <f t="shared" ca="1" si="82"/>
        <v/>
      </c>
      <c r="D802" s="153" t="str">
        <f t="shared" ca="1" si="83"/>
        <v/>
      </c>
      <c r="E802" s="153" t="str">
        <f t="shared" ca="1" si="84"/>
        <v/>
      </c>
      <c r="F802" s="170" t="str">
        <f ca="1">IF(C802="","",[1]!S_DQ_CLOSE(D802,TODAY(),1))</f>
        <v/>
      </c>
      <c r="G802" s="171" t="str">
        <f ca="1">IF(C802="","",[1]!s_pq_pctchange(D802,TODAY()-$G$12,TODAY())/100)</f>
        <v/>
      </c>
      <c r="H802" s="247" t="str">
        <f ca="1">IF(C802="","",IF($H$11="收入",[1]!S_STM07_IS(D802,9,$G$5,$H$13)/$E$5,[1]!S_STM07_IS(D802,48,$G$5,$H$13)/$E$5))</f>
        <v/>
      </c>
      <c r="I802" s="247" t="str">
        <f ca="1">IF(C802="","",IF($I$11="毛利率",([1]!S_STM07_IS(D802,9,$G$5,$H$13)-[1]!S_STM07_IS(D802,10,$G$5,$H$13))/[1]!S_STM07_IS(D802,9,$G$5,$H$13),[1]!S_STM07_IS(D802,14,$G$5,$H$13)/$E$5))</f>
        <v/>
      </c>
      <c r="J802" s="247" t="str">
        <f ca="1">IF(C802="","",IF($J$11="营业利润率",[1]!S_STM07_IS(D802,48,$G$5,$H$13)/[1]!S_STM07_IS(D802,9,$G$5,$H$13),([1]!S_STM07_CS(D802,87,$G$5,$H$13)+[1]!S_STM07_CS(D802,88,$G$5,$H$13)+[1]!S_STM07_CS(D802,89,$G$5,$H$13))/$E$5))</f>
        <v/>
      </c>
      <c r="K802" s="247" t="str">
        <f ca="1">IF(C802="","",IF($K$11="净利润率",[1]!S_STM07_IS(D802,61,$G$5,$H$13)/[1]!S_STM07_IS(D802,9,$G$5,$H$13),[1]!S_STM07_IS(D802,55,$G$5,$H$13)/$E$5))</f>
        <v/>
      </c>
      <c r="L802" s="247" t="str">
        <f ca="1">IF(C802="","",IF($L$11="ROA",[1]!S_STM07_IS(D802,61,$G$5,$H$13)/[1]!S_STM07_BS(D802,74,$G$5,$H$13),1-[1]!S_STM07_IS(D802,61,$G$5,$H$13)/[1]!S_STM07_IS(D802,55,$G$5,$H$13)))</f>
        <v/>
      </c>
      <c r="M802" s="247" t="str">
        <f ca="1">IF(C802="","",IF($M$11="ROE",[1]!S_STM07_IS(D802,61,$G$5,$H$13)/[1]!S_STM07_BS(D802,141,$G$5,$H$13),([1]!S_STM07_BS(D802,25,$G$5,$H$13)-[1]!S_STM07_BS(D802,93,$G$5,$H$13))/$E$5))</f>
        <v/>
      </c>
      <c r="N802" s="247" t="str">
        <f ca="1">IF(C802="","",IF($N$11="EPS",[1]!S_STM07_IS(D802,61,$G$5,$H$13)/IF([1]!S_SHARE_TOTAL(D802,$G$5)=0,[1]!S_SHARE_TOTAL(D802,[1]!s_ipo_listeddate(D802)),[1]!S_SHARE_TOTAL(D802,$G$5)),([1]!S_STM07_BS(D802,75,$G$5,$H$13)+[1]!S_STM07_BS(D802,88,$G$5,$H$13)+[1]!S_STM07_BS(D802,94,$G$5,$H$13)+[1]!S_STM07_BS(D802,95,$G$5,$H$13))/$E$5))</f>
        <v/>
      </c>
      <c r="O802" s="247" t="str">
        <f ca="1">IF(C802="","",IF($O$11="BPS",[1]!S_STM07_BS(D802,141,$G$5,$H$13)/IF([1]!S_SHARE_TOTAL(D802,$G$5)=0,[1]!S_SHARE_TOTAL(D802,[1]!s_ipo_listeddate(D802)),[1]!S_SHARE_TOTAL(D802,$G$5)),[1]!S_STM07_CS(D802,49,$G$5,$H$13)/$E$5))</f>
        <v/>
      </c>
      <c r="P802" s="247" t="str">
        <f ca="1">IF(C802="","",IF($P$11="CFPS",[1]!S_STM07_CS(D802,84,$G$5,$H$13)/IF([1]!S_SHARE_TOTAL(D802,$G$5)=0,[1]!S_SHARE_TOTAL(D802,[1]!s_ipo_listeddate(D802)),[1]!S_SHARE_TOTAL(D802,$G$5)),[1]!S_STM07_CS(D802,84,$G$5,$H$13)/$E$5))</f>
        <v/>
      </c>
      <c r="Q802" s="248" t="str">
        <f ca="1">IF(C802="","",F802/([1]!S_STM07_IS(D802,61,$G$5,$H$13)/IF([1]!S_SHARE_TOTAL(D802,$G$5)=0,[1]!S_SHARE_TOTAL(D802,[1]!s_ipo_listeddate(D802)),[1]!S_SHARE_TOTAL(D802,$G$5))))</f>
        <v/>
      </c>
      <c r="R802" s="248" t="str">
        <f ca="1">IF(C802="","",F802/([1]!S_STM07_BS(D802,141,$G$5,$H$13)/IF([1]!S_SHARE_TOTAL(D802,$G$5)=0,[1]!S_SHARE_TOTAL(D802,[1]!s_ipo_listeddate(D802)),[1]!S_SHARE_TOTAL(D802,$G$5))))</f>
        <v/>
      </c>
      <c r="S802" s="247" t="str">
        <f ca="1">IF(C802="","",[1]!S_SHARE_TOTAL(D802,TODAY())/$E$5)</f>
        <v/>
      </c>
      <c r="T802" s="247" t="str">
        <f t="shared" ca="1" si="85"/>
        <v/>
      </c>
      <c r="U802" s="218" t="str">
        <f t="shared" ca="1" si="86"/>
        <v/>
      </c>
      <c r="V802" s="342" t="str">
        <f t="shared" ca="1" si="87"/>
        <v/>
      </c>
      <c r="W802" s="139"/>
      <c r="Y802" s="1"/>
    </row>
    <row r="803" spans="3:25" ht="12" customHeight="1">
      <c r="C803" s="343" t="str">
        <f t="shared" ca="1" si="82"/>
        <v/>
      </c>
      <c r="D803" s="124" t="str">
        <f t="shared" ca="1" si="83"/>
        <v/>
      </c>
      <c r="E803" s="124" t="str">
        <f t="shared" ca="1" si="84"/>
        <v/>
      </c>
      <c r="F803" s="172" t="str">
        <f ca="1">IF(C803="","",[1]!S_DQ_CLOSE(D803,TODAY(),1))</f>
        <v/>
      </c>
      <c r="G803" s="173" t="str">
        <f ca="1">IF(C803="","",[1]!s_pq_pctchange(D803,TODAY()-$G$12,TODAY())/100)</f>
        <v/>
      </c>
      <c r="H803" s="249" t="str">
        <f ca="1">IF(C803="","",IF($H$11="收入",[1]!S_STM07_IS(D803,9,$G$5,$H$13)/$E$5,[1]!S_STM07_IS(D803,48,$G$5,$H$13)/$E$5))</f>
        <v/>
      </c>
      <c r="I803" s="249" t="str">
        <f ca="1">IF(C803="","",IF($I$11="毛利率",([1]!S_STM07_IS(D803,9,$G$5,$H$13)-[1]!S_STM07_IS(D803,10,$G$5,$H$13))/[1]!S_STM07_IS(D803,9,$G$5,$H$13),[1]!S_STM07_IS(D803,14,$G$5,$H$13)/$E$5))</f>
        <v/>
      </c>
      <c r="J803" s="249" t="str">
        <f ca="1">IF(C803="","",IF($J$11="营业利润率",[1]!S_STM07_IS(D803,48,$G$5,$H$13)/[1]!S_STM07_IS(D803,9,$G$5,$H$13),([1]!S_STM07_CS(D803,87,$G$5,$H$13)+[1]!S_STM07_CS(D803,88,$G$5,$H$13)+[1]!S_STM07_CS(D803,89,$G$5,$H$13))/$E$5))</f>
        <v/>
      </c>
      <c r="K803" s="249" t="str">
        <f ca="1">IF(C803="","",IF($K$11="净利润率",[1]!S_STM07_IS(D803,61,$G$5,$H$13)/[1]!S_STM07_IS(D803,9,$G$5,$H$13),[1]!S_STM07_IS(D803,55,$G$5,$H$13)/$E$5))</f>
        <v/>
      </c>
      <c r="L803" s="249" t="str">
        <f ca="1">IF(C803="","",IF($L$11="ROA",[1]!S_STM07_IS(D803,61,$G$5,$H$13)/[1]!S_STM07_BS(D803,74,$G$5,$H$13),1-[1]!S_STM07_IS(D803,61,$G$5,$H$13)/[1]!S_STM07_IS(D803,55,$G$5,$H$13)))</f>
        <v/>
      </c>
      <c r="M803" s="249" t="str">
        <f ca="1">IF(C803="","",IF($M$11="ROE",[1]!S_STM07_IS(D803,61,$G$5,$H$13)/[1]!S_STM07_BS(D803,141,$G$5,$H$13),([1]!S_STM07_BS(D803,25,$G$5,$H$13)-[1]!S_STM07_BS(D803,93,$G$5,$H$13))/$E$5))</f>
        <v/>
      </c>
      <c r="N803" s="250" t="str">
        <f ca="1">IF(C803="","",IF($N$11="EPS",[1]!S_STM07_IS(D803,61,$G$5,$H$13)/IF([1]!S_SHARE_TOTAL(D803,$G$5)=0,[1]!S_SHARE_TOTAL(D803,[1]!s_ipo_listeddate(D803)),[1]!S_SHARE_TOTAL(D803,$G$5)),([1]!S_STM07_BS(D803,75,$G$5,$H$13)+[1]!S_STM07_BS(D803,88,$G$5,$H$13)+[1]!S_STM07_BS(D803,94,$G$5,$H$13)+[1]!S_STM07_BS(D803,95,$G$5,$H$13))/$E$5))</f>
        <v/>
      </c>
      <c r="O803" s="250" t="str">
        <f ca="1">IF(C803="","",IF($O$11="BPS",[1]!S_STM07_BS(D803,141,$G$5,$H$13)/IF([1]!S_SHARE_TOTAL(D803,$G$5)=0,[1]!S_SHARE_TOTAL(D803,[1]!s_ipo_listeddate(D803)),[1]!S_SHARE_TOTAL(D803,$G$5)),[1]!S_STM07_CS(D803,49,$G$5,$H$13)/$E$5))</f>
        <v/>
      </c>
      <c r="P803" s="250" t="str">
        <f ca="1">IF(C803="","",IF($P$11="CFPS",[1]!S_STM07_CS(D803,84,$G$5,$H$13)/IF([1]!S_SHARE_TOTAL(D803,$G$5)=0,[1]!S_SHARE_TOTAL(D803,[1]!s_ipo_listeddate(D803)),[1]!S_SHARE_TOTAL(D803,$G$5)),[1]!S_STM07_CS(D803,84,$G$5,$H$13)/$E$5))</f>
        <v/>
      </c>
      <c r="Q803" s="198" t="str">
        <f ca="1">IF(C803="","",F803/([1]!S_STM07_IS(D803,61,$G$5,$H$13)/IF([1]!S_SHARE_TOTAL(D803,$G$5)=0,[1]!S_SHARE_TOTAL(D803,[1]!s_ipo_listeddate(D803)),[1]!S_SHARE_TOTAL(D803,$G$5))))</f>
        <v/>
      </c>
      <c r="R803" s="198" t="str">
        <f ca="1">IF(C803="","",F803/([1]!S_STM07_BS(D803,141,$G$5,$H$13)/IF([1]!S_SHARE_TOTAL(D803,$G$5)=0,[1]!S_SHARE_TOTAL(D803,[1]!s_ipo_listeddate(D803)),[1]!S_SHARE_TOTAL(D803,$G$5))))</f>
        <v/>
      </c>
      <c r="S803" s="249" t="str">
        <f ca="1">IF(C803="","",[1]!S_SHARE_TOTAL(D803,TODAY())/$E$5)</f>
        <v/>
      </c>
      <c r="T803" s="249" t="str">
        <f t="shared" ca="1" si="85"/>
        <v/>
      </c>
      <c r="U803" s="172" t="str">
        <f t="shared" ca="1" si="86"/>
        <v/>
      </c>
      <c r="V803" s="343" t="str">
        <f t="shared" ca="1" si="87"/>
        <v/>
      </c>
      <c r="W803" s="139"/>
      <c r="Y803" s="1"/>
    </row>
    <row r="804" spans="3:25" ht="12" customHeight="1">
      <c r="C804" s="342" t="str">
        <f t="shared" ca="1" si="82"/>
        <v/>
      </c>
      <c r="D804" s="153" t="str">
        <f t="shared" ca="1" si="83"/>
        <v/>
      </c>
      <c r="E804" s="153" t="str">
        <f t="shared" ca="1" si="84"/>
        <v/>
      </c>
      <c r="F804" s="170" t="str">
        <f ca="1">IF(C804="","",[1]!S_DQ_CLOSE(D804,TODAY(),1))</f>
        <v/>
      </c>
      <c r="G804" s="171" t="str">
        <f ca="1">IF(C804="","",[1]!s_pq_pctchange(D804,TODAY()-$G$12,TODAY())/100)</f>
        <v/>
      </c>
      <c r="H804" s="247" t="str">
        <f ca="1">IF(C804="","",IF($H$11="收入",[1]!S_STM07_IS(D804,9,$G$5,$H$13)/$E$5,[1]!S_STM07_IS(D804,48,$G$5,$H$13)/$E$5))</f>
        <v/>
      </c>
      <c r="I804" s="247" t="str">
        <f ca="1">IF(C804="","",IF($I$11="毛利率",([1]!S_STM07_IS(D804,9,$G$5,$H$13)-[1]!S_STM07_IS(D804,10,$G$5,$H$13))/[1]!S_STM07_IS(D804,9,$G$5,$H$13),[1]!S_STM07_IS(D804,14,$G$5,$H$13)/$E$5))</f>
        <v/>
      </c>
      <c r="J804" s="247" t="str">
        <f ca="1">IF(C804="","",IF($J$11="营业利润率",[1]!S_STM07_IS(D804,48,$G$5,$H$13)/[1]!S_STM07_IS(D804,9,$G$5,$H$13),([1]!S_STM07_CS(D804,87,$G$5,$H$13)+[1]!S_STM07_CS(D804,88,$G$5,$H$13)+[1]!S_STM07_CS(D804,89,$G$5,$H$13))/$E$5))</f>
        <v/>
      </c>
      <c r="K804" s="247" t="str">
        <f ca="1">IF(C804="","",IF($K$11="净利润率",[1]!S_STM07_IS(D804,61,$G$5,$H$13)/[1]!S_STM07_IS(D804,9,$G$5,$H$13),[1]!S_STM07_IS(D804,55,$G$5,$H$13)/$E$5))</f>
        <v/>
      </c>
      <c r="L804" s="247" t="str">
        <f ca="1">IF(C804="","",IF($L$11="ROA",[1]!S_STM07_IS(D804,61,$G$5,$H$13)/[1]!S_STM07_BS(D804,74,$G$5,$H$13),1-[1]!S_STM07_IS(D804,61,$G$5,$H$13)/[1]!S_STM07_IS(D804,55,$G$5,$H$13)))</f>
        <v/>
      </c>
      <c r="M804" s="247" t="str">
        <f ca="1">IF(C804="","",IF($M$11="ROE",[1]!S_STM07_IS(D804,61,$G$5,$H$13)/[1]!S_STM07_BS(D804,141,$G$5,$H$13),([1]!S_STM07_BS(D804,25,$G$5,$H$13)-[1]!S_STM07_BS(D804,93,$G$5,$H$13))/$E$5))</f>
        <v/>
      </c>
      <c r="N804" s="247" t="str">
        <f ca="1">IF(C804="","",IF($N$11="EPS",[1]!S_STM07_IS(D804,61,$G$5,$H$13)/IF([1]!S_SHARE_TOTAL(D804,$G$5)=0,[1]!S_SHARE_TOTAL(D804,[1]!s_ipo_listeddate(D804)),[1]!S_SHARE_TOTAL(D804,$G$5)),([1]!S_STM07_BS(D804,75,$G$5,$H$13)+[1]!S_STM07_BS(D804,88,$G$5,$H$13)+[1]!S_STM07_BS(D804,94,$G$5,$H$13)+[1]!S_STM07_BS(D804,95,$G$5,$H$13))/$E$5))</f>
        <v/>
      </c>
      <c r="O804" s="247" t="str">
        <f ca="1">IF(C804="","",IF($O$11="BPS",[1]!S_STM07_BS(D804,141,$G$5,$H$13)/IF([1]!S_SHARE_TOTAL(D804,$G$5)=0,[1]!S_SHARE_TOTAL(D804,[1]!s_ipo_listeddate(D804)),[1]!S_SHARE_TOTAL(D804,$G$5)),[1]!S_STM07_CS(D804,49,$G$5,$H$13)/$E$5))</f>
        <v/>
      </c>
      <c r="P804" s="247" t="str">
        <f ca="1">IF(C804="","",IF($P$11="CFPS",[1]!S_STM07_CS(D804,84,$G$5,$H$13)/IF([1]!S_SHARE_TOTAL(D804,$G$5)=0,[1]!S_SHARE_TOTAL(D804,[1]!s_ipo_listeddate(D804)),[1]!S_SHARE_TOTAL(D804,$G$5)),[1]!S_STM07_CS(D804,84,$G$5,$H$13)/$E$5))</f>
        <v/>
      </c>
      <c r="Q804" s="248" t="str">
        <f ca="1">IF(C804="","",F804/([1]!S_STM07_IS(D804,61,$G$5,$H$13)/IF([1]!S_SHARE_TOTAL(D804,$G$5)=0,[1]!S_SHARE_TOTAL(D804,[1]!s_ipo_listeddate(D804)),[1]!S_SHARE_TOTAL(D804,$G$5))))</f>
        <v/>
      </c>
      <c r="R804" s="248" t="str">
        <f ca="1">IF(C804="","",F804/([1]!S_STM07_BS(D804,141,$G$5,$H$13)/IF([1]!S_SHARE_TOTAL(D804,$G$5)=0,[1]!S_SHARE_TOTAL(D804,[1]!s_ipo_listeddate(D804)),[1]!S_SHARE_TOTAL(D804,$G$5))))</f>
        <v/>
      </c>
      <c r="S804" s="247" t="str">
        <f ca="1">IF(C804="","",[1]!S_SHARE_TOTAL(D804,TODAY())/$E$5)</f>
        <v/>
      </c>
      <c r="T804" s="247" t="str">
        <f t="shared" ca="1" si="85"/>
        <v/>
      </c>
      <c r="U804" s="218" t="str">
        <f t="shared" ca="1" si="86"/>
        <v/>
      </c>
      <c r="V804" s="342" t="str">
        <f t="shared" ca="1" si="87"/>
        <v/>
      </c>
      <c r="W804" s="139"/>
      <c r="Y804" s="1"/>
    </row>
    <row r="805" spans="3:25" ht="12" customHeight="1">
      <c r="C805" s="343" t="str">
        <f t="shared" ca="1" si="82"/>
        <v/>
      </c>
      <c r="D805" s="124" t="str">
        <f t="shared" ca="1" si="83"/>
        <v/>
      </c>
      <c r="E805" s="124" t="str">
        <f t="shared" ca="1" si="84"/>
        <v/>
      </c>
      <c r="F805" s="172" t="str">
        <f ca="1">IF(C805="","",[1]!S_DQ_CLOSE(D805,TODAY(),1))</f>
        <v/>
      </c>
      <c r="G805" s="173" t="str">
        <f ca="1">IF(C805="","",[1]!s_pq_pctchange(D805,TODAY()-$G$12,TODAY())/100)</f>
        <v/>
      </c>
      <c r="H805" s="249" t="str">
        <f ca="1">IF(C805="","",IF($H$11="收入",[1]!S_STM07_IS(D805,9,$G$5,$H$13)/$E$5,[1]!S_STM07_IS(D805,48,$G$5,$H$13)/$E$5))</f>
        <v/>
      </c>
      <c r="I805" s="249" t="str">
        <f ca="1">IF(C805="","",IF($I$11="毛利率",([1]!S_STM07_IS(D805,9,$G$5,$H$13)-[1]!S_STM07_IS(D805,10,$G$5,$H$13))/[1]!S_STM07_IS(D805,9,$G$5,$H$13),[1]!S_STM07_IS(D805,14,$G$5,$H$13)/$E$5))</f>
        <v/>
      </c>
      <c r="J805" s="249" t="str">
        <f ca="1">IF(C805="","",IF($J$11="营业利润率",[1]!S_STM07_IS(D805,48,$G$5,$H$13)/[1]!S_STM07_IS(D805,9,$G$5,$H$13),([1]!S_STM07_CS(D805,87,$G$5,$H$13)+[1]!S_STM07_CS(D805,88,$G$5,$H$13)+[1]!S_STM07_CS(D805,89,$G$5,$H$13))/$E$5))</f>
        <v/>
      </c>
      <c r="K805" s="249" t="str">
        <f ca="1">IF(C805="","",IF($K$11="净利润率",[1]!S_STM07_IS(D805,61,$G$5,$H$13)/[1]!S_STM07_IS(D805,9,$G$5,$H$13),[1]!S_STM07_IS(D805,55,$G$5,$H$13)/$E$5))</f>
        <v/>
      </c>
      <c r="L805" s="249" t="str">
        <f ca="1">IF(C805="","",IF($L$11="ROA",[1]!S_STM07_IS(D805,61,$G$5,$H$13)/[1]!S_STM07_BS(D805,74,$G$5,$H$13),1-[1]!S_STM07_IS(D805,61,$G$5,$H$13)/[1]!S_STM07_IS(D805,55,$G$5,$H$13)))</f>
        <v/>
      </c>
      <c r="M805" s="249" t="str">
        <f ca="1">IF(C805="","",IF($M$11="ROE",[1]!S_STM07_IS(D805,61,$G$5,$H$13)/[1]!S_STM07_BS(D805,141,$G$5,$H$13),([1]!S_STM07_BS(D805,25,$G$5,$H$13)-[1]!S_STM07_BS(D805,93,$G$5,$H$13))/$E$5))</f>
        <v/>
      </c>
      <c r="N805" s="250" t="str">
        <f ca="1">IF(C805="","",IF($N$11="EPS",[1]!S_STM07_IS(D805,61,$G$5,$H$13)/IF([1]!S_SHARE_TOTAL(D805,$G$5)=0,[1]!S_SHARE_TOTAL(D805,[1]!s_ipo_listeddate(D805)),[1]!S_SHARE_TOTAL(D805,$G$5)),([1]!S_STM07_BS(D805,75,$G$5,$H$13)+[1]!S_STM07_BS(D805,88,$G$5,$H$13)+[1]!S_STM07_BS(D805,94,$G$5,$H$13)+[1]!S_STM07_BS(D805,95,$G$5,$H$13))/$E$5))</f>
        <v/>
      </c>
      <c r="O805" s="250" t="str">
        <f ca="1">IF(C805="","",IF($O$11="BPS",[1]!S_STM07_BS(D805,141,$G$5,$H$13)/IF([1]!S_SHARE_TOTAL(D805,$G$5)=0,[1]!S_SHARE_TOTAL(D805,[1]!s_ipo_listeddate(D805)),[1]!S_SHARE_TOTAL(D805,$G$5)),[1]!S_STM07_CS(D805,49,$G$5,$H$13)/$E$5))</f>
        <v/>
      </c>
      <c r="P805" s="250" t="str">
        <f ca="1">IF(C805="","",IF($P$11="CFPS",[1]!S_STM07_CS(D805,84,$G$5,$H$13)/IF([1]!S_SHARE_TOTAL(D805,$G$5)=0,[1]!S_SHARE_TOTAL(D805,[1]!s_ipo_listeddate(D805)),[1]!S_SHARE_TOTAL(D805,$G$5)),[1]!S_STM07_CS(D805,84,$G$5,$H$13)/$E$5))</f>
        <v/>
      </c>
      <c r="Q805" s="198" t="str">
        <f ca="1">IF(C805="","",F805/([1]!S_STM07_IS(D805,61,$G$5,$H$13)/IF([1]!S_SHARE_TOTAL(D805,$G$5)=0,[1]!S_SHARE_TOTAL(D805,[1]!s_ipo_listeddate(D805)),[1]!S_SHARE_TOTAL(D805,$G$5))))</f>
        <v/>
      </c>
      <c r="R805" s="198" t="str">
        <f ca="1">IF(C805="","",F805/([1]!S_STM07_BS(D805,141,$G$5,$H$13)/IF([1]!S_SHARE_TOTAL(D805,$G$5)=0,[1]!S_SHARE_TOTAL(D805,[1]!s_ipo_listeddate(D805)),[1]!S_SHARE_TOTAL(D805,$G$5))))</f>
        <v/>
      </c>
      <c r="S805" s="249" t="str">
        <f ca="1">IF(C805="","",[1]!S_SHARE_TOTAL(D805,TODAY())/$E$5)</f>
        <v/>
      </c>
      <c r="T805" s="249" t="str">
        <f t="shared" ca="1" si="85"/>
        <v/>
      </c>
      <c r="U805" s="172" t="str">
        <f t="shared" ca="1" si="86"/>
        <v/>
      </c>
      <c r="V805" s="343" t="str">
        <f t="shared" ca="1" si="87"/>
        <v/>
      </c>
      <c r="W805" s="139"/>
      <c r="Y805" s="1"/>
    </row>
    <row r="806" spans="3:25" ht="12" customHeight="1">
      <c r="C806" s="342" t="str">
        <f t="shared" ca="1" si="82"/>
        <v/>
      </c>
      <c r="D806" s="153" t="str">
        <f t="shared" ca="1" si="83"/>
        <v/>
      </c>
      <c r="E806" s="153" t="str">
        <f t="shared" ca="1" si="84"/>
        <v/>
      </c>
      <c r="F806" s="170" t="str">
        <f ca="1">IF(C806="","",[1]!S_DQ_CLOSE(D806,TODAY(),1))</f>
        <v/>
      </c>
      <c r="G806" s="171" t="str">
        <f ca="1">IF(C806="","",[1]!s_pq_pctchange(D806,TODAY()-$G$12,TODAY())/100)</f>
        <v/>
      </c>
      <c r="H806" s="247" t="str">
        <f ca="1">IF(C806="","",IF($H$11="收入",[1]!S_STM07_IS(D806,9,$G$5,$H$13)/$E$5,[1]!S_STM07_IS(D806,48,$G$5,$H$13)/$E$5))</f>
        <v/>
      </c>
      <c r="I806" s="247" t="str">
        <f ca="1">IF(C806="","",IF($I$11="毛利率",([1]!S_STM07_IS(D806,9,$G$5,$H$13)-[1]!S_STM07_IS(D806,10,$G$5,$H$13))/[1]!S_STM07_IS(D806,9,$G$5,$H$13),[1]!S_STM07_IS(D806,14,$G$5,$H$13)/$E$5))</f>
        <v/>
      </c>
      <c r="J806" s="247" t="str">
        <f ca="1">IF(C806="","",IF($J$11="营业利润率",[1]!S_STM07_IS(D806,48,$G$5,$H$13)/[1]!S_STM07_IS(D806,9,$G$5,$H$13),([1]!S_STM07_CS(D806,87,$G$5,$H$13)+[1]!S_STM07_CS(D806,88,$G$5,$H$13)+[1]!S_STM07_CS(D806,89,$G$5,$H$13))/$E$5))</f>
        <v/>
      </c>
      <c r="K806" s="247" t="str">
        <f ca="1">IF(C806="","",IF($K$11="净利润率",[1]!S_STM07_IS(D806,61,$G$5,$H$13)/[1]!S_STM07_IS(D806,9,$G$5,$H$13),[1]!S_STM07_IS(D806,55,$G$5,$H$13)/$E$5))</f>
        <v/>
      </c>
      <c r="L806" s="247" t="str">
        <f ca="1">IF(C806="","",IF($L$11="ROA",[1]!S_STM07_IS(D806,61,$G$5,$H$13)/[1]!S_STM07_BS(D806,74,$G$5,$H$13),1-[1]!S_STM07_IS(D806,61,$G$5,$H$13)/[1]!S_STM07_IS(D806,55,$G$5,$H$13)))</f>
        <v/>
      </c>
      <c r="M806" s="247" t="str">
        <f ca="1">IF(C806="","",IF($M$11="ROE",[1]!S_STM07_IS(D806,61,$G$5,$H$13)/[1]!S_STM07_BS(D806,141,$G$5,$H$13),([1]!S_STM07_BS(D806,25,$G$5,$H$13)-[1]!S_STM07_BS(D806,93,$G$5,$H$13))/$E$5))</f>
        <v/>
      </c>
      <c r="N806" s="247" t="str">
        <f ca="1">IF(C806="","",IF($N$11="EPS",[1]!S_STM07_IS(D806,61,$G$5,$H$13)/IF([1]!S_SHARE_TOTAL(D806,$G$5)=0,[1]!S_SHARE_TOTAL(D806,[1]!s_ipo_listeddate(D806)),[1]!S_SHARE_TOTAL(D806,$G$5)),([1]!S_STM07_BS(D806,75,$G$5,$H$13)+[1]!S_STM07_BS(D806,88,$G$5,$H$13)+[1]!S_STM07_BS(D806,94,$G$5,$H$13)+[1]!S_STM07_BS(D806,95,$G$5,$H$13))/$E$5))</f>
        <v/>
      </c>
      <c r="O806" s="247" t="str">
        <f ca="1">IF(C806="","",IF($O$11="BPS",[1]!S_STM07_BS(D806,141,$G$5,$H$13)/IF([1]!S_SHARE_TOTAL(D806,$G$5)=0,[1]!S_SHARE_TOTAL(D806,[1]!s_ipo_listeddate(D806)),[1]!S_SHARE_TOTAL(D806,$G$5)),[1]!S_STM07_CS(D806,49,$G$5,$H$13)/$E$5))</f>
        <v/>
      </c>
      <c r="P806" s="247" t="str">
        <f ca="1">IF(C806="","",IF($P$11="CFPS",[1]!S_STM07_CS(D806,84,$G$5,$H$13)/IF([1]!S_SHARE_TOTAL(D806,$G$5)=0,[1]!S_SHARE_TOTAL(D806,[1]!s_ipo_listeddate(D806)),[1]!S_SHARE_TOTAL(D806,$G$5)),[1]!S_STM07_CS(D806,84,$G$5,$H$13)/$E$5))</f>
        <v/>
      </c>
      <c r="Q806" s="248" t="str">
        <f ca="1">IF(C806="","",F806/([1]!S_STM07_IS(D806,61,$G$5,$H$13)/IF([1]!S_SHARE_TOTAL(D806,$G$5)=0,[1]!S_SHARE_TOTAL(D806,[1]!s_ipo_listeddate(D806)),[1]!S_SHARE_TOTAL(D806,$G$5))))</f>
        <v/>
      </c>
      <c r="R806" s="248" t="str">
        <f ca="1">IF(C806="","",F806/([1]!S_STM07_BS(D806,141,$G$5,$H$13)/IF([1]!S_SHARE_TOTAL(D806,$G$5)=0,[1]!S_SHARE_TOTAL(D806,[1]!s_ipo_listeddate(D806)),[1]!S_SHARE_TOTAL(D806,$G$5))))</f>
        <v/>
      </c>
      <c r="S806" s="247" t="str">
        <f ca="1">IF(C806="","",[1]!S_SHARE_TOTAL(D806,TODAY())/$E$5)</f>
        <v/>
      </c>
      <c r="T806" s="247" t="str">
        <f t="shared" ca="1" si="85"/>
        <v/>
      </c>
      <c r="U806" s="218" t="str">
        <f t="shared" ca="1" si="86"/>
        <v/>
      </c>
      <c r="V806" s="342" t="str">
        <f t="shared" ca="1" si="87"/>
        <v/>
      </c>
      <c r="W806" s="139"/>
      <c r="Y806" s="1"/>
    </row>
    <row r="807" spans="3:25" ht="12" customHeight="1">
      <c r="C807" s="343" t="str">
        <f t="shared" ca="1" si="82"/>
        <v/>
      </c>
      <c r="D807" s="124" t="str">
        <f t="shared" ca="1" si="83"/>
        <v/>
      </c>
      <c r="E807" s="124" t="str">
        <f t="shared" ca="1" si="84"/>
        <v/>
      </c>
      <c r="F807" s="172" t="str">
        <f ca="1">IF(C807="","",[1]!S_DQ_CLOSE(D807,TODAY(),1))</f>
        <v/>
      </c>
      <c r="G807" s="173" t="str">
        <f ca="1">IF(C807="","",[1]!s_pq_pctchange(D807,TODAY()-$G$12,TODAY())/100)</f>
        <v/>
      </c>
      <c r="H807" s="249" t="str">
        <f ca="1">IF(C807="","",IF($H$11="收入",[1]!S_STM07_IS(D807,9,$G$5,$H$13)/$E$5,[1]!S_STM07_IS(D807,48,$G$5,$H$13)/$E$5))</f>
        <v/>
      </c>
      <c r="I807" s="249" t="str">
        <f ca="1">IF(C807="","",IF($I$11="毛利率",([1]!S_STM07_IS(D807,9,$G$5,$H$13)-[1]!S_STM07_IS(D807,10,$G$5,$H$13))/[1]!S_STM07_IS(D807,9,$G$5,$H$13),[1]!S_STM07_IS(D807,14,$G$5,$H$13)/$E$5))</f>
        <v/>
      </c>
      <c r="J807" s="249" t="str">
        <f ca="1">IF(C807="","",IF($J$11="营业利润率",[1]!S_STM07_IS(D807,48,$G$5,$H$13)/[1]!S_STM07_IS(D807,9,$G$5,$H$13),([1]!S_STM07_CS(D807,87,$G$5,$H$13)+[1]!S_STM07_CS(D807,88,$G$5,$H$13)+[1]!S_STM07_CS(D807,89,$G$5,$H$13))/$E$5))</f>
        <v/>
      </c>
      <c r="K807" s="249" t="str">
        <f ca="1">IF(C807="","",IF($K$11="净利润率",[1]!S_STM07_IS(D807,61,$G$5,$H$13)/[1]!S_STM07_IS(D807,9,$G$5,$H$13),[1]!S_STM07_IS(D807,55,$G$5,$H$13)/$E$5))</f>
        <v/>
      </c>
      <c r="L807" s="249" t="str">
        <f ca="1">IF(C807="","",IF($L$11="ROA",[1]!S_STM07_IS(D807,61,$G$5,$H$13)/[1]!S_STM07_BS(D807,74,$G$5,$H$13),1-[1]!S_STM07_IS(D807,61,$G$5,$H$13)/[1]!S_STM07_IS(D807,55,$G$5,$H$13)))</f>
        <v/>
      </c>
      <c r="M807" s="249" t="str">
        <f ca="1">IF(C807="","",IF($M$11="ROE",[1]!S_STM07_IS(D807,61,$G$5,$H$13)/[1]!S_STM07_BS(D807,141,$G$5,$H$13),([1]!S_STM07_BS(D807,25,$G$5,$H$13)-[1]!S_STM07_BS(D807,93,$G$5,$H$13))/$E$5))</f>
        <v/>
      </c>
      <c r="N807" s="250" t="str">
        <f ca="1">IF(C807="","",IF($N$11="EPS",[1]!S_STM07_IS(D807,61,$G$5,$H$13)/IF([1]!S_SHARE_TOTAL(D807,$G$5)=0,[1]!S_SHARE_TOTAL(D807,[1]!s_ipo_listeddate(D807)),[1]!S_SHARE_TOTAL(D807,$G$5)),([1]!S_STM07_BS(D807,75,$G$5,$H$13)+[1]!S_STM07_BS(D807,88,$G$5,$H$13)+[1]!S_STM07_BS(D807,94,$G$5,$H$13)+[1]!S_STM07_BS(D807,95,$G$5,$H$13))/$E$5))</f>
        <v/>
      </c>
      <c r="O807" s="250" t="str">
        <f ca="1">IF(C807="","",IF($O$11="BPS",[1]!S_STM07_BS(D807,141,$G$5,$H$13)/IF([1]!S_SHARE_TOTAL(D807,$G$5)=0,[1]!S_SHARE_TOTAL(D807,[1]!s_ipo_listeddate(D807)),[1]!S_SHARE_TOTAL(D807,$G$5)),[1]!S_STM07_CS(D807,49,$G$5,$H$13)/$E$5))</f>
        <v/>
      </c>
      <c r="P807" s="250" t="str">
        <f ca="1">IF(C807="","",IF($P$11="CFPS",[1]!S_STM07_CS(D807,84,$G$5,$H$13)/IF([1]!S_SHARE_TOTAL(D807,$G$5)=0,[1]!S_SHARE_TOTAL(D807,[1]!s_ipo_listeddate(D807)),[1]!S_SHARE_TOTAL(D807,$G$5)),[1]!S_STM07_CS(D807,84,$G$5,$H$13)/$E$5))</f>
        <v/>
      </c>
      <c r="Q807" s="198" t="str">
        <f ca="1">IF(C807="","",F807/([1]!S_STM07_IS(D807,61,$G$5,$H$13)/IF([1]!S_SHARE_TOTAL(D807,$G$5)=0,[1]!S_SHARE_TOTAL(D807,[1]!s_ipo_listeddate(D807)),[1]!S_SHARE_TOTAL(D807,$G$5))))</f>
        <v/>
      </c>
      <c r="R807" s="198" t="str">
        <f ca="1">IF(C807="","",F807/([1]!S_STM07_BS(D807,141,$G$5,$H$13)/IF([1]!S_SHARE_TOTAL(D807,$G$5)=0,[1]!S_SHARE_TOTAL(D807,[1]!s_ipo_listeddate(D807)),[1]!S_SHARE_TOTAL(D807,$G$5))))</f>
        <v/>
      </c>
      <c r="S807" s="249" t="str">
        <f ca="1">IF(C807="","",[1]!S_SHARE_TOTAL(D807,TODAY())/$E$5)</f>
        <v/>
      </c>
      <c r="T807" s="249" t="str">
        <f t="shared" ca="1" si="85"/>
        <v/>
      </c>
      <c r="U807" s="172" t="str">
        <f t="shared" ca="1" si="86"/>
        <v/>
      </c>
      <c r="V807" s="343" t="str">
        <f t="shared" ca="1" si="87"/>
        <v/>
      </c>
      <c r="W807" s="139"/>
      <c r="Y807" s="1"/>
    </row>
    <row r="808" spans="3:25" ht="12" customHeight="1">
      <c r="C808" s="342" t="str">
        <f t="shared" ca="1" si="82"/>
        <v/>
      </c>
      <c r="D808" s="153" t="str">
        <f t="shared" ca="1" si="83"/>
        <v/>
      </c>
      <c r="E808" s="153" t="str">
        <f t="shared" ca="1" si="84"/>
        <v/>
      </c>
      <c r="F808" s="170" t="str">
        <f ca="1">IF(C808="","",[1]!S_DQ_CLOSE(D808,TODAY(),1))</f>
        <v/>
      </c>
      <c r="G808" s="171" t="str">
        <f ca="1">IF(C808="","",[1]!s_pq_pctchange(D808,TODAY()-$G$12,TODAY())/100)</f>
        <v/>
      </c>
      <c r="H808" s="247" t="str">
        <f ca="1">IF(C808="","",IF($H$11="收入",[1]!S_STM07_IS(D808,9,$G$5,$H$13)/$E$5,[1]!S_STM07_IS(D808,48,$G$5,$H$13)/$E$5))</f>
        <v/>
      </c>
      <c r="I808" s="247" t="str">
        <f ca="1">IF(C808="","",IF($I$11="毛利率",([1]!S_STM07_IS(D808,9,$G$5,$H$13)-[1]!S_STM07_IS(D808,10,$G$5,$H$13))/[1]!S_STM07_IS(D808,9,$G$5,$H$13),[1]!S_STM07_IS(D808,14,$G$5,$H$13)/$E$5))</f>
        <v/>
      </c>
      <c r="J808" s="247" t="str">
        <f ca="1">IF(C808="","",IF($J$11="营业利润率",[1]!S_STM07_IS(D808,48,$G$5,$H$13)/[1]!S_STM07_IS(D808,9,$G$5,$H$13),([1]!S_STM07_CS(D808,87,$G$5,$H$13)+[1]!S_STM07_CS(D808,88,$G$5,$H$13)+[1]!S_STM07_CS(D808,89,$G$5,$H$13))/$E$5))</f>
        <v/>
      </c>
      <c r="K808" s="247" t="str">
        <f ca="1">IF(C808="","",IF($K$11="净利润率",[1]!S_STM07_IS(D808,61,$G$5,$H$13)/[1]!S_STM07_IS(D808,9,$G$5,$H$13),[1]!S_STM07_IS(D808,55,$G$5,$H$13)/$E$5))</f>
        <v/>
      </c>
      <c r="L808" s="247" t="str">
        <f ca="1">IF(C808="","",IF($L$11="ROA",[1]!S_STM07_IS(D808,61,$G$5,$H$13)/[1]!S_STM07_BS(D808,74,$G$5,$H$13),1-[1]!S_STM07_IS(D808,61,$G$5,$H$13)/[1]!S_STM07_IS(D808,55,$G$5,$H$13)))</f>
        <v/>
      </c>
      <c r="M808" s="247" t="str">
        <f ca="1">IF(C808="","",IF($M$11="ROE",[1]!S_STM07_IS(D808,61,$G$5,$H$13)/[1]!S_STM07_BS(D808,141,$G$5,$H$13),([1]!S_STM07_BS(D808,25,$G$5,$H$13)-[1]!S_STM07_BS(D808,93,$G$5,$H$13))/$E$5))</f>
        <v/>
      </c>
      <c r="N808" s="247" t="str">
        <f ca="1">IF(C808="","",IF($N$11="EPS",[1]!S_STM07_IS(D808,61,$G$5,$H$13)/IF([1]!S_SHARE_TOTAL(D808,$G$5)=0,[1]!S_SHARE_TOTAL(D808,[1]!s_ipo_listeddate(D808)),[1]!S_SHARE_TOTAL(D808,$G$5)),([1]!S_STM07_BS(D808,75,$G$5,$H$13)+[1]!S_STM07_BS(D808,88,$G$5,$H$13)+[1]!S_STM07_BS(D808,94,$G$5,$H$13)+[1]!S_STM07_BS(D808,95,$G$5,$H$13))/$E$5))</f>
        <v/>
      </c>
      <c r="O808" s="247" t="str">
        <f ca="1">IF(C808="","",IF($O$11="BPS",[1]!S_STM07_BS(D808,141,$G$5,$H$13)/IF([1]!S_SHARE_TOTAL(D808,$G$5)=0,[1]!S_SHARE_TOTAL(D808,[1]!s_ipo_listeddate(D808)),[1]!S_SHARE_TOTAL(D808,$G$5)),[1]!S_STM07_CS(D808,49,$G$5,$H$13)/$E$5))</f>
        <v/>
      </c>
      <c r="P808" s="247" t="str">
        <f ca="1">IF(C808="","",IF($P$11="CFPS",[1]!S_STM07_CS(D808,84,$G$5,$H$13)/IF([1]!S_SHARE_TOTAL(D808,$G$5)=0,[1]!S_SHARE_TOTAL(D808,[1]!s_ipo_listeddate(D808)),[1]!S_SHARE_TOTAL(D808,$G$5)),[1]!S_STM07_CS(D808,84,$G$5,$H$13)/$E$5))</f>
        <v/>
      </c>
      <c r="Q808" s="248" t="str">
        <f ca="1">IF(C808="","",F808/([1]!S_STM07_IS(D808,61,$G$5,$H$13)/IF([1]!S_SHARE_TOTAL(D808,$G$5)=0,[1]!S_SHARE_TOTAL(D808,[1]!s_ipo_listeddate(D808)),[1]!S_SHARE_TOTAL(D808,$G$5))))</f>
        <v/>
      </c>
      <c r="R808" s="248" t="str">
        <f ca="1">IF(C808="","",F808/([1]!S_STM07_BS(D808,141,$G$5,$H$13)/IF([1]!S_SHARE_TOTAL(D808,$G$5)=0,[1]!S_SHARE_TOTAL(D808,[1]!s_ipo_listeddate(D808)),[1]!S_SHARE_TOTAL(D808,$G$5))))</f>
        <v/>
      </c>
      <c r="S808" s="247" t="str">
        <f ca="1">IF(C808="","",[1]!S_SHARE_TOTAL(D808,TODAY())/$E$5)</f>
        <v/>
      </c>
      <c r="T808" s="247" t="str">
        <f t="shared" ca="1" si="85"/>
        <v/>
      </c>
      <c r="U808" s="218" t="str">
        <f t="shared" ca="1" si="86"/>
        <v/>
      </c>
      <c r="V808" s="342" t="str">
        <f t="shared" ca="1" si="87"/>
        <v/>
      </c>
      <c r="W808" s="139"/>
      <c r="Y808" s="1"/>
    </row>
    <row r="809" spans="3:25" ht="12" customHeight="1">
      <c r="C809" s="343" t="str">
        <f t="shared" ca="1" si="82"/>
        <v/>
      </c>
      <c r="D809" s="124" t="str">
        <f t="shared" ca="1" si="83"/>
        <v/>
      </c>
      <c r="E809" s="124" t="str">
        <f t="shared" ca="1" si="84"/>
        <v/>
      </c>
      <c r="F809" s="172" t="str">
        <f ca="1">IF(C809="","",[1]!S_DQ_CLOSE(D809,TODAY(),1))</f>
        <v/>
      </c>
      <c r="G809" s="173" t="str">
        <f ca="1">IF(C809="","",[1]!s_pq_pctchange(D809,TODAY()-$G$12,TODAY())/100)</f>
        <v/>
      </c>
      <c r="H809" s="249" t="str">
        <f ca="1">IF(C809="","",IF($H$11="收入",[1]!S_STM07_IS(D809,9,$G$5,$H$13)/$E$5,[1]!S_STM07_IS(D809,48,$G$5,$H$13)/$E$5))</f>
        <v/>
      </c>
      <c r="I809" s="249" t="str">
        <f ca="1">IF(C809="","",IF($I$11="毛利率",([1]!S_STM07_IS(D809,9,$G$5,$H$13)-[1]!S_STM07_IS(D809,10,$G$5,$H$13))/[1]!S_STM07_IS(D809,9,$G$5,$H$13),[1]!S_STM07_IS(D809,14,$G$5,$H$13)/$E$5))</f>
        <v/>
      </c>
      <c r="J809" s="249" t="str">
        <f ca="1">IF(C809="","",IF($J$11="营业利润率",[1]!S_STM07_IS(D809,48,$G$5,$H$13)/[1]!S_STM07_IS(D809,9,$G$5,$H$13),([1]!S_STM07_CS(D809,87,$G$5,$H$13)+[1]!S_STM07_CS(D809,88,$G$5,$H$13)+[1]!S_STM07_CS(D809,89,$G$5,$H$13))/$E$5))</f>
        <v/>
      </c>
      <c r="K809" s="249" t="str">
        <f ca="1">IF(C809="","",IF($K$11="净利润率",[1]!S_STM07_IS(D809,61,$G$5,$H$13)/[1]!S_STM07_IS(D809,9,$G$5,$H$13),[1]!S_STM07_IS(D809,55,$G$5,$H$13)/$E$5))</f>
        <v/>
      </c>
      <c r="L809" s="249" t="str">
        <f ca="1">IF(C809="","",IF($L$11="ROA",[1]!S_STM07_IS(D809,61,$G$5,$H$13)/[1]!S_STM07_BS(D809,74,$G$5,$H$13),1-[1]!S_STM07_IS(D809,61,$G$5,$H$13)/[1]!S_STM07_IS(D809,55,$G$5,$H$13)))</f>
        <v/>
      </c>
      <c r="M809" s="249" t="str">
        <f ca="1">IF(C809="","",IF($M$11="ROE",[1]!S_STM07_IS(D809,61,$G$5,$H$13)/[1]!S_STM07_BS(D809,141,$G$5,$H$13),([1]!S_STM07_BS(D809,25,$G$5,$H$13)-[1]!S_STM07_BS(D809,93,$G$5,$H$13))/$E$5))</f>
        <v/>
      </c>
      <c r="N809" s="250" t="str">
        <f ca="1">IF(C809="","",IF($N$11="EPS",[1]!S_STM07_IS(D809,61,$G$5,$H$13)/IF([1]!S_SHARE_TOTAL(D809,$G$5)=0,[1]!S_SHARE_TOTAL(D809,[1]!s_ipo_listeddate(D809)),[1]!S_SHARE_TOTAL(D809,$G$5)),([1]!S_STM07_BS(D809,75,$G$5,$H$13)+[1]!S_STM07_BS(D809,88,$G$5,$H$13)+[1]!S_STM07_BS(D809,94,$G$5,$H$13)+[1]!S_STM07_BS(D809,95,$G$5,$H$13))/$E$5))</f>
        <v/>
      </c>
      <c r="O809" s="250" t="str">
        <f ca="1">IF(C809="","",IF($O$11="BPS",[1]!S_STM07_BS(D809,141,$G$5,$H$13)/IF([1]!S_SHARE_TOTAL(D809,$G$5)=0,[1]!S_SHARE_TOTAL(D809,[1]!s_ipo_listeddate(D809)),[1]!S_SHARE_TOTAL(D809,$G$5)),[1]!S_STM07_CS(D809,49,$G$5,$H$13)/$E$5))</f>
        <v/>
      </c>
      <c r="P809" s="250" t="str">
        <f ca="1">IF(C809="","",IF($P$11="CFPS",[1]!S_STM07_CS(D809,84,$G$5,$H$13)/IF([1]!S_SHARE_TOTAL(D809,$G$5)=0,[1]!S_SHARE_TOTAL(D809,[1]!s_ipo_listeddate(D809)),[1]!S_SHARE_TOTAL(D809,$G$5)),[1]!S_STM07_CS(D809,84,$G$5,$H$13)/$E$5))</f>
        <v/>
      </c>
      <c r="Q809" s="198" t="str">
        <f ca="1">IF(C809="","",F809/([1]!S_STM07_IS(D809,61,$G$5,$H$13)/IF([1]!S_SHARE_TOTAL(D809,$G$5)=0,[1]!S_SHARE_TOTAL(D809,[1]!s_ipo_listeddate(D809)),[1]!S_SHARE_TOTAL(D809,$G$5))))</f>
        <v/>
      </c>
      <c r="R809" s="198" t="str">
        <f ca="1">IF(C809="","",F809/([1]!S_STM07_BS(D809,141,$G$5,$H$13)/IF([1]!S_SHARE_TOTAL(D809,$G$5)=0,[1]!S_SHARE_TOTAL(D809,[1]!s_ipo_listeddate(D809)),[1]!S_SHARE_TOTAL(D809,$G$5))))</f>
        <v/>
      </c>
      <c r="S809" s="249" t="str">
        <f ca="1">IF(C809="","",[1]!S_SHARE_TOTAL(D809,TODAY())/$E$5)</f>
        <v/>
      </c>
      <c r="T809" s="249" t="str">
        <f t="shared" ca="1" si="85"/>
        <v/>
      </c>
      <c r="U809" s="172" t="str">
        <f t="shared" ca="1" si="86"/>
        <v/>
      </c>
      <c r="V809" s="343" t="str">
        <f t="shared" ca="1" si="87"/>
        <v/>
      </c>
      <c r="W809" s="139"/>
      <c r="Y809" s="1"/>
    </row>
    <row r="810" spans="3:25" ht="12" customHeight="1">
      <c r="C810" s="342" t="str">
        <f t="shared" ca="1" si="82"/>
        <v/>
      </c>
      <c r="D810" s="153" t="str">
        <f t="shared" ca="1" si="83"/>
        <v/>
      </c>
      <c r="E810" s="153" t="str">
        <f t="shared" ca="1" si="84"/>
        <v/>
      </c>
      <c r="F810" s="170" t="str">
        <f ca="1">IF(C810="","",[1]!S_DQ_CLOSE(D810,TODAY(),1))</f>
        <v/>
      </c>
      <c r="G810" s="171" t="str">
        <f ca="1">IF(C810="","",[1]!s_pq_pctchange(D810,TODAY()-$G$12,TODAY())/100)</f>
        <v/>
      </c>
      <c r="H810" s="247" t="str">
        <f ca="1">IF(C810="","",IF($H$11="收入",[1]!S_STM07_IS(D810,9,$G$5,$H$13)/$E$5,[1]!S_STM07_IS(D810,48,$G$5,$H$13)/$E$5))</f>
        <v/>
      </c>
      <c r="I810" s="247" t="str">
        <f ca="1">IF(C810="","",IF($I$11="毛利率",([1]!S_STM07_IS(D810,9,$G$5,$H$13)-[1]!S_STM07_IS(D810,10,$G$5,$H$13))/[1]!S_STM07_IS(D810,9,$G$5,$H$13),[1]!S_STM07_IS(D810,14,$G$5,$H$13)/$E$5))</f>
        <v/>
      </c>
      <c r="J810" s="247" t="str">
        <f ca="1">IF(C810="","",IF($J$11="营业利润率",[1]!S_STM07_IS(D810,48,$G$5,$H$13)/[1]!S_STM07_IS(D810,9,$G$5,$H$13),([1]!S_STM07_CS(D810,87,$G$5,$H$13)+[1]!S_STM07_CS(D810,88,$G$5,$H$13)+[1]!S_STM07_CS(D810,89,$G$5,$H$13))/$E$5))</f>
        <v/>
      </c>
      <c r="K810" s="247" t="str">
        <f ca="1">IF(C810="","",IF($K$11="净利润率",[1]!S_STM07_IS(D810,61,$G$5,$H$13)/[1]!S_STM07_IS(D810,9,$G$5,$H$13),[1]!S_STM07_IS(D810,55,$G$5,$H$13)/$E$5))</f>
        <v/>
      </c>
      <c r="L810" s="247" t="str">
        <f ca="1">IF(C810="","",IF($L$11="ROA",[1]!S_STM07_IS(D810,61,$G$5,$H$13)/[1]!S_STM07_BS(D810,74,$G$5,$H$13),1-[1]!S_STM07_IS(D810,61,$G$5,$H$13)/[1]!S_STM07_IS(D810,55,$G$5,$H$13)))</f>
        <v/>
      </c>
      <c r="M810" s="247" t="str">
        <f ca="1">IF(C810="","",IF($M$11="ROE",[1]!S_STM07_IS(D810,61,$G$5,$H$13)/[1]!S_STM07_BS(D810,141,$G$5,$H$13),([1]!S_STM07_BS(D810,25,$G$5,$H$13)-[1]!S_STM07_BS(D810,93,$G$5,$H$13))/$E$5))</f>
        <v/>
      </c>
      <c r="N810" s="247" t="str">
        <f ca="1">IF(C810="","",IF($N$11="EPS",[1]!S_STM07_IS(D810,61,$G$5,$H$13)/IF([1]!S_SHARE_TOTAL(D810,$G$5)=0,[1]!S_SHARE_TOTAL(D810,[1]!s_ipo_listeddate(D810)),[1]!S_SHARE_TOTAL(D810,$G$5)),([1]!S_STM07_BS(D810,75,$G$5,$H$13)+[1]!S_STM07_BS(D810,88,$G$5,$H$13)+[1]!S_STM07_BS(D810,94,$G$5,$H$13)+[1]!S_STM07_BS(D810,95,$G$5,$H$13))/$E$5))</f>
        <v/>
      </c>
      <c r="O810" s="247" t="str">
        <f ca="1">IF(C810="","",IF($O$11="BPS",[1]!S_STM07_BS(D810,141,$G$5,$H$13)/IF([1]!S_SHARE_TOTAL(D810,$G$5)=0,[1]!S_SHARE_TOTAL(D810,[1]!s_ipo_listeddate(D810)),[1]!S_SHARE_TOTAL(D810,$G$5)),[1]!S_STM07_CS(D810,49,$G$5,$H$13)/$E$5))</f>
        <v/>
      </c>
      <c r="P810" s="247" t="str">
        <f ca="1">IF(C810="","",IF($P$11="CFPS",[1]!S_STM07_CS(D810,84,$G$5,$H$13)/IF([1]!S_SHARE_TOTAL(D810,$G$5)=0,[1]!S_SHARE_TOTAL(D810,[1]!s_ipo_listeddate(D810)),[1]!S_SHARE_TOTAL(D810,$G$5)),[1]!S_STM07_CS(D810,84,$G$5,$H$13)/$E$5))</f>
        <v/>
      </c>
      <c r="Q810" s="248" t="str">
        <f ca="1">IF(C810="","",F810/([1]!S_STM07_IS(D810,61,$G$5,$H$13)/IF([1]!S_SHARE_TOTAL(D810,$G$5)=0,[1]!S_SHARE_TOTAL(D810,[1]!s_ipo_listeddate(D810)),[1]!S_SHARE_TOTAL(D810,$G$5))))</f>
        <v/>
      </c>
      <c r="R810" s="248" t="str">
        <f ca="1">IF(C810="","",F810/([1]!S_STM07_BS(D810,141,$G$5,$H$13)/IF([1]!S_SHARE_TOTAL(D810,$G$5)=0,[1]!S_SHARE_TOTAL(D810,[1]!s_ipo_listeddate(D810)),[1]!S_SHARE_TOTAL(D810,$G$5))))</f>
        <v/>
      </c>
      <c r="S810" s="247" t="str">
        <f ca="1">IF(C810="","",[1]!S_SHARE_TOTAL(D810,TODAY())/$E$5)</f>
        <v/>
      </c>
      <c r="T810" s="247" t="str">
        <f t="shared" ca="1" si="85"/>
        <v/>
      </c>
      <c r="U810" s="218" t="str">
        <f t="shared" ca="1" si="86"/>
        <v/>
      </c>
      <c r="V810" s="342" t="str">
        <f t="shared" ca="1" si="87"/>
        <v/>
      </c>
      <c r="W810" s="139"/>
      <c r="Y810" s="1"/>
    </row>
    <row r="811" spans="3:25" ht="12" customHeight="1">
      <c r="C811" s="343" t="str">
        <f t="shared" ca="1" si="82"/>
        <v/>
      </c>
      <c r="D811" s="124" t="str">
        <f t="shared" ca="1" si="83"/>
        <v/>
      </c>
      <c r="E811" s="124" t="str">
        <f t="shared" ca="1" si="84"/>
        <v/>
      </c>
      <c r="F811" s="172" t="str">
        <f ca="1">IF(C811="","",[1]!S_DQ_CLOSE(D811,TODAY(),1))</f>
        <v/>
      </c>
      <c r="G811" s="173" t="str">
        <f ca="1">IF(C811="","",[1]!s_pq_pctchange(D811,TODAY()-$G$12,TODAY())/100)</f>
        <v/>
      </c>
      <c r="H811" s="249" t="str">
        <f ca="1">IF(C811="","",IF($H$11="收入",[1]!S_STM07_IS(D811,9,$G$5,$H$13)/$E$5,[1]!S_STM07_IS(D811,48,$G$5,$H$13)/$E$5))</f>
        <v/>
      </c>
      <c r="I811" s="249" t="str">
        <f ca="1">IF(C811="","",IF($I$11="毛利率",([1]!S_STM07_IS(D811,9,$G$5,$H$13)-[1]!S_STM07_IS(D811,10,$G$5,$H$13))/[1]!S_STM07_IS(D811,9,$G$5,$H$13),[1]!S_STM07_IS(D811,14,$G$5,$H$13)/$E$5))</f>
        <v/>
      </c>
      <c r="J811" s="249" t="str">
        <f ca="1">IF(C811="","",IF($J$11="营业利润率",[1]!S_STM07_IS(D811,48,$G$5,$H$13)/[1]!S_STM07_IS(D811,9,$G$5,$H$13),([1]!S_STM07_CS(D811,87,$G$5,$H$13)+[1]!S_STM07_CS(D811,88,$G$5,$H$13)+[1]!S_STM07_CS(D811,89,$G$5,$H$13))/$E$5))</f>
        <v/>
      </c>
      <c r="K811" s="249" t="str">
        <f ca="1">IF(C811="","",IF($K$11="净利润率",[1]!S_STM07_IS(D811,61,$G$5,$H$13)/[1]!S_STM07_IS(D811,9,$G$5,$H$13),[1]!S_STM07_IS(D811,55,$G$5,$H$13)/$E$5))</f>
        <v/>
      </c>
      <c r="L811" s="249" t="str">
        <f ca="1">IF(C811="","",IF($L$11="ROA",[1]!S_STM07_IS(D811,61,$G$5,$H$13)/[1]!S_STM07_BS(D811,74,$G$5,$H$13),1-[1]!S_STM07_IS(D811,61,$G$5,$H$13)/[1]!S_STM07_IS(D811,55,$G$5,$H$13)))</f>
        <v/>
      </c>
      <c r="M811" s="249" t="str">
        <f ca="1">IF(C811="","",IF($M$11="ROE",[1]!S_STM07_IS(D811,61,$G$5,$H$13)/[1]!S_STM07_BS(D811,141,$G$5,$H$13),([1]!S_STM07_BS(D811,25,$G$5,$H$13)-[1]!S_STM07_BS(D811,93,$G$5,$H$13))/$E$5))</f>
        <v/>
      </c>
      <c r="N811" s="250" t="str">
        <f ca="1">IF(C811="","",IF($N$11="EPS",[1]!S_STM07_IS(D811,61,$G$5,$H$13)/IF([1]!S_SHARE_TOTAL(D811,$G$5)=0,[1]!S_SHARE_TOTAL(D811,[1]!s_ipo_listeddate(D811)),[1]!S_SHARE_TOTAL(D811,$G$5)),([1]!S_STM07_BS(D811,75,$G$5,$H$13)+[1]!S_STM07_BS(D811,88,$G$5,$H$13)+[1]!S_STM07_BS(D811,94,$G$5,$H$13)+[1]!S_STM07_BS(D811,95,$G$5,$H$13))/$E$5))</f>
        <v/>
      </c>
      <c r="O811" s="250" t="str">
        <f ca="1">IF(C811="","",IF($O$11="BPS",[1]!S_STM07_BS(D811,141,$G$5,$H$13)/IF([1]!S_SHARE_TOTAL(D811,$G$5)=0,[1]!S_SHARE_TOTAL(D811,[1]!s_ipo_listeddate(D811)),[1]!S_SHARE_TOTAL(D811,$G$5)),[1]!S_STM07_CS(D811,49,$G$5,$H$13)/$E$5))</f>
        <v/>
      </c>
      <c r="P811" s="250" t="str">
        <f ca="1">IF(C811="","",IF($P$11="CFPS",[1]!S_STM07_CS(D811,84,$G$5,$H$13)/IF([1]!S_SHARE_TOTAL(D811,$G$5)=0,[1]!S_SHARE_TOTAL(D811,[1]!s_ipo_listeddate(D811)),[1]!S_SHARE_TOTAL(D811,$G$5)),[1]!S_STM07_CS(D811,84,$G$5,$H$13)/$E$5))</f>
        <v/>
      </c>
      <c r="Q811" s="198" t="str">
        <f ca="1">IF(C811="","",F811/([1]!S_STM07_IS(D811,61,$G$5,$H$13)/IF([1]!S_SHARE_TOTAL(D811,$G$5)=0,[1]!S_SHARE_TOTAL(D811,[1]!s_ipo_listeddate(D811)),[1]!S_SHARE_TOTAL(D811,$G$5))))</f>
        <v/>
      </c>
      <c r="R811" s="198" t="str">
        <f ca="1">IF(C811="","",F811/([1]!S_STM07_BS(D811,141,$G$5,$H$13)/IF([1]!S_SHARE_TOTAL(D811,$G$5)=0,[1]!S_SHARE_TOTAL(D811,[1]!s_ipo_listeddate(D811)),[1]!S_SHARE_TOTAL(D811,$G$5))))</f>
        <v/>
      </c>
      <c r="S811" s="249" t="str">
        <f ca="1">IF(C811="","",[1]!S_SHARE_TOTAL(D811,TODAY())/$E$5)</f>
        <v/>
      </c>
      <c r="T811" s="249" t="str">
        <f t="shared" ca="1" si="85"/>
        <v/>
      </c>
      <c r="U811" s="172" t="str">
        <f t="shared" ca="1" si="86"/>
        <v/>
      </c>
      <c r="V811" s="343" t="str">
        <f t="shared" ca="1" si="87"/>
        <v/>
      </c>
      <c r="W811" s="139"/>
      <c r="Y811" s="1"/>
    </row>
    <row r="812" spans="3:25" ht="12" customHeight="1">
      <c r="C812" s="342" t="str">
        <f t="shared" ca="1" si="82"/>
        <v/>
      </c>
      <c r="D812" s="153" t="str">
        <f t="shared" ca="1" si="83"/>
        <v/>
      </c>
      <c r="E812" s="153" t="str">
        <f t="shared" ca="1" si="84"/>
        <v/>
      </c>
      <c r="F812" s="170" t="str">
        <f ca="1">IF(C812="","",[1]!S_DQ_CLOSE(D812,TODAY(),1))</f>
        <v/>
      </c>
      <c r="G812" s="171" t="str">
        <f ca="1">IF(C812="","",[1]!s_pq_pctchange(D812,TODAY()-$G$12,TODAY())/100)</f>
        <v/>
      </c>
      <c r="H812" s="247" t="str">
        <f ca="1">IF(C812="","",IF($H$11="收入",[1]!S_STM07_IS(D812,9,$G$5,$H$13)/$E$5,[1]!S_STM07_IS(D812,48,$G$5,$H$13)/$E$5))</f>
        <v/>
      </c>
      <c r="I812" s="247" t="str">
        <f ca="1">IF(C812="","",IF($I$11="毛利率",([1]!S_STM07_IS(D812,9,$G$5,$H$13)-[1]!S_STM07_IS(D812,10,$G$5,$H$13))/[1]!S_STM07_IS(D812,9,$G$5,$H$13),[1]!S_STM07_IS(D812,14,$G$5,$H$13)/$E$5))</f>
        <v/>
      </c>
      <c r="J812" s="247" t="str">
        <f ca="1">IF(C812="","",IF($J$11="营业利润率",[1]!S_STM07_IS(D812,48,$G$5,$H$13)/[1]!S_STM07_IS(D812,9,$G$5,$H$13),([1]!S_STM07_CS(D812,87,$G$5,$H$13)+[1]!S_STM07_CS(D812,88,$G$5,$H$13)+[1]!S_STM07_CS(D812,89,$G$5,$H$13))/$E$5))</f>
        <v/>
      </c>
      <c r="K812" s="247" t="str">
        <f ca="1">IF(C812="","",IF($K$11="净利润率",[1]!S_STM07_IS(D812,61,$G$5,$H$13)/[1]!S_STM07_IS(D812,9,$G$5,$H$13),[1]!S_STM07_IS(D812,55,$G$5,$H$13)/$E$5))</f>
        <v/>
      </c>
      <c r="L812" s="247" t="str">
        <f ca="1">IF(C812="","",IF($L$11="ROA",[1]!S_STM07_IS(D812,61,$G$5,$H$13)/[1]!S_STM07_BS(D812,74,$G$5,$H$13),1-[1]!S_STM07_IS(D812,61,$G$5,$H$13)/[1]!S_STM07_IS(D812,55,$G$5,$H$13)))</f>
        <v/>
      </c>
      <c r="M812" s="247" t="str">
        <f ca="1">IF(C812="","",IF($M$11="ROE",[1]!S_STM07_IS(D812,61,$G$5,$H$13)/[1]!S_STM07_BS(D812,141,$G$5,$H$13),([1]!S_STM07_BS(D812,25,$G$5,$H$13)-[1]!S_STM07_BS(D812,93,$G$5,$H$13))/$E$5))</f>
        <v/>
      </c>
      <c r="N812" s="247" t="str">
        <f ca="1">IF(C812="","",IF($N$11="EPS",[1]!S_STM07_IS(D812,61,$G$5,$H$13)/IF([1]!S_SHARE_TOTAL(D812,$G$5)=0,[1]!S_SHARE_TOTAL(D812,[1]!s_ipo_listeddate(D812)),[1]!S_SHARE_TOTAL(D812,$G$5)),([1]!S_STM07_BS(D812,75,$G$5,$H$13)+[1]!S_STM07_BS(D812,88,$G$5,$H$13)+[1]!S_STM07_BS(D812,94,$G$5,$H$13)+[1]!S_STM07_BS(D812,95,$G$5,$H$13))/$E$5))</f>
        <v/>
      </c>
      <c r="O812" s="247" t="str">
        <f ca="1">IF(C812="","",IF($O$11="BPS",[1]!S_STM07_BS(D812,141,$G$5,$H$13)/IF([1]!S_SHARE_TOTAL(D812,$G$5)=0,[1]!S_SHARE_TOTAL(D812,[1]!s_ipo_listeddate(D812)),[1]!S_SHARE_TOTAL(D812,$G$5)),[1]!S_STM07_CS(D812,49,$G$5,$H$13)/$E$5))</f>
        <v/>
      </c>
      <c r="P812" s="247" t="str">
        <f ca="1">IF(C812="","",IF($P$11="CFPS",[1]!S_STM07_CS(D812,84,$G$5,$H$13)/IF([1]!S_SHARE_TOTAL(D812,$G$5)=0,[1]!S_SHARE_TOTAL(D812,[1]!s_ipo_listeddate(D812)),[1]!S_SHARE_TOTAL(D812,$G$5)),[1]!S_STM07_CS(D812,84,$G$5,$H$13)/$E$5))</f>
        <v/>
      </c>
      <c r="Q812" s="248" t="str">
        <f ca="1">IF(C812="","",F812/([1]!S_STM07_IS(D812,61,$G$5,$H$13)/IF([1]!S_SHARE_TOTAL(D812,$G$5)=0,[1]!S_SHARE_TOTAL(D812,[1]!s_ipo_listeddate(D812)),[1]!S_SHARE_TOTAL(D812,$G$5))))</f>
        <v/>
      </c>
      <c r="R812" s="248" t="str">
        <f ca="1">IF(C812="","",F812/([1]!S_STM07_BS(D812,141,$G$5,$H$13)/IF([1]!S_SHARE_TOTAL(D812,$G$5)=0,[1]!S_SHARE_TOTAL(D812,[1]!s_ipo_listeddate(D812)),[1]!S_SHARE_TOTAL(D812,$G$5))))</f>
        <v/>
      </c>
      <c r="S812" s="247" t="str">
        <f ca="1">IF(C812="","",[1]!S_SHARE_TOTAL(D812,TODAY())/$E$5)</f>
        <v/>
      </c>
      <c r="T812" s="247" t="str">
        <f t="shared" ca="1" si="85"/>
        <v/>
      </c>
      <c r="U812" s="218" t="str">
        <f t="shared" ca="1" si="86"/>
        <v/>
      </c>
      <c r="V812" s="342" t="str">
        <f t="shared" ca="1" si="87"/>
        <v/>
      </c>
      <c r="W812" s="139"/>
      <c r="Y812" s="1"/>
    </row>
    <row r="813" spans="3:25" ht="12" customHeight="1">
      <c r="C813" s="343" t="str">
        <f t="shared" ca="1" si="82"/>
        <v/>
      </c>
      <c r="D813" s="124" t="str">
        <f t="shared" ca="1" si="83"/>
        <v/>
      </c>
      <c r="E813" s="124" t="str">
        <f t="shared" ca="1" si="84"/>
        <v/>
      </c>
      <c r="F813" s="172" t="str">
        <f ca="1">IF(C813="","",[1]!S_DQ_CLOSE(D813,TODAY(),1))</f>
        <v/>
      </c>
      <c r="G813" s="173" t="str">
        <f ca="1">IF(C813="","",[1]!s_pq_pctchange(D813,TODAY()-$G$12,TODAY())/100)</f>
        <v/>
      </c>
      <c r="H813" s="249" t="str">
        <f ca="1">IF(C813="","",IF($H$11="收入",[1]!S_STM07_IS(D813,9,$G$5,$H$13)/$E$5,[1]!S_STM07_IS(D813,48,$G$5,$H$13)/$E$5))</f>
        <v/>
      </c>
      <c r="I813" s="249" t="str">
        <f ca="1">IF(C813="","",IF($I$11="毛利率",([1]!S_STM07_IS(D813,9,$G$5,$H$13)-[1]!S_STM07_IS(D813,10,$G$5,$H$13))/[1]!S_STM07_IS(D813,9,$G$5,$H$13),[1]!S_STM07_IS(D813,14,$G$5,$H$13)/$E$5))</f>
        <v/>
      </c>
      <c r="J813" s="249" t="str">
        <f ca="1">IF(C813="","",IF($J$11="营业利润率",[1]!S_STM07_IS(D813,48,$G$5,$H$13)/[1]!S_STM07_IS(D813,9,$G$5,$H$13),([1]!S_STM07_CS(D813,87,$G$5,$H$13)+[1]!S_STM07_CS(D813,88,$G$5,$H$13)+[1]!S_STM07_CS(D813,89,$G$5,$H$13))/$E$5))</f>
        <v/>
      </c>
      <c r="K813" s="249" t="str">
        <f ca="1">IF(C813="","",IF($K$11="净利润率",[1]!S_STM07_IS(D813,61,$G$5,$H$13)/[1]!S_STM07_IS(D813,9,$G$5,$H$13),[1]!S_STM07_IS(D813,55,$G$5,$H$13)/$E$5))</f>
        <v/>
      </c>
      <c r="L813" s="249" t="str">
        <f ca="1">IF(C813="","",IF($L$11="ROA",[1]!S_STM07_IS(D813,61,$G$5,$H$13)/[1]!S_STM07_BS(D813,74,$G$5,$H$13),1-[1]!S_STM07_IS(D813,61,$G$5,$H$13)/[1]!S_STM07_IS(D813,55,$G$5,$H$13)))</f>
        <v/>
      </c>
      <c r="M813" s="249" t="str">
        <f ca="1">IF(C813="","",IF($M$11="ROE",[1]!S_STM07_IS(D813,61,$G$5,$H$13)/[1]!S_STM07_BS(D813,141,$G$5,$H$13),([1]!S_STM07_BS(D813,25,$G$5,$H$13)-[1]!S_STM07_BS(D813,93,$G$5,$H$13))/$E$5))</f>
        <v/>
      </c>
      <c r="N813" s="250" t="str">
        <f ca="1">IF(C813="","",IF($N$11="EPS",[1]!S_STM07_IS(D813,61,$G$5,$H$13)/IF([1]!S_SHARE_TOTAL(D813,$G$5)=0,[1]!S_SHARE_TOTAL(D813,[1]!s_ipo_listeddate(D813)),[1]!S_SHARE_TOTAL(D813,$G$5)),([1]!S_STM07_BS(D813,75,$G$5,$H$13)+[1]!S_STM07_BS(D813,88,$G$5,$H$13)+[1]!S_STM07_BS(D813,94,$G$5,$H$13)+[1]!S_STM07_BS(D813,95,$G$5,$H$13))/$E$5))</f>
        <v/>
      </c>
      <c r="O813" s="250" t="str">
        <f ca="1">IF(C813="","",IF($O$11="BPS",[1]!S_STM07_BS(D813,141,$G$5,$H$13)/IF([1]!S_SHARE_TOTAL(D813,$G$5)=0,[1]!S_SHARE_TOTAL(D813,[1]!s_ipo_listeddate(D813)),[1]!S_SHARE_TOTAL(D813,$G$5)),[1]!S_STM07_CS(D813,49,$G$5,$H$13)/$E$5))</f>
        <v/>
      </c>
      <c r="P813" s="250" t="str">
        <f ca="1">IF(C813="","",IF($P$11="CFPS",[1]!S_STM07_CS(D813,84,$G$5,$H$13)/IF([1]!S_SHARE_TOTAL(D813,$G$5)=0,[1]!S_SHARE_TOTAL(D813,[1]!s_ipo_listeddate(D813)),[1]!S_SHARE_TOTAL(D813,$G$5)),[1]!S_STM07_CS(D813,84,$G$5,$H$13)/$E$5))</f>
        <v/>
      </c>
      <c r="Q813" s="198" t="str">
        <f ca="1">IF(C813="","",F813/([1]!S_STM07_IS(D813,61,$G$5,$H$13)/IF([1]!S_SHARE_TOTAL(D813,$G$5)=0,[1]!S_SHARE_TOTAL(D813,[1]!s_ipo_listeddate(D813)),[1]!S_SHARE_TOTAL(D813,$G$5))))</f>
        <v/>
      </c>
      <c r="R813" s="198" t="str">
        <f ca="1">IF(C813="","",F813/([1]!S_STM07_BS(D813,141,$G$5,$H$13)/IF([1]!S_SHARE_TOTAL(D813,$G$5)=0,[1]!S_SHARE_TOTAL(D813,[1]!s_ipo_listeddate(D813)),[1]!S_SHARE_TOTAL(D813,$G$5))))</f>
        <v/>
      </c>
      <c r="S813" s="249" t="str">
        <f ca="1">IF(C813="","",[1]!S_SHARE_TOTAL(D813,TODAY())/$E$5)</f>
        <v/>
      </c>
      <c r="T813" s="249" t="str">
        <f t="shared" ca="1" si="85"/>
        <v/>
      </c>
      <c r="U813" s="172" t="str">
        <f t="shared" ca="1" si="86"/>
        <v/>
      </c>
      <c r="V813" s="343" t="str">
        <f t="shared" ca="1" si="87"/>
        <v/>
      </c>
      <c r="W813" s="139"/>
      <c r="Y813" s="1"/>
    </row>
    <row r="814" spans="3:25" ht="12" customHeight="1">
      <c r="C814" s="342" t="str">
        <f t="shared" ca="1" si="82"/>
        <v/>
      </c>
      <c r="D814" s="153" t="str">
        <f t="shared" ca="1" si="83"/>
        <v/>
      </c>
      <c r="E814" s="153" t="str">
        <f t="shared" ca="1" si="84"/>
        <v/>
      </c>
      <c r="F814" s="170" t="str">
        <f ca="1">IF(C814="","",[1]!S_DQ_CLOSE(D814,TODAY(),1))</f>
        <v/>
      </c>
      <c r="G814" s="171" t="str">
        <f ca="1">IF(C814="","",[1]!s_pq_pctchange(D814,TODAY()-$G$12,TODAY())/100)</f>
        <v/>
      </c>
      <c r="H814" s="247" t="str">
        <f ca="1">IF(C814="","",IF($H$11="收入",[1]!S_STM07_IS(D814,9,$G$5,$H$13)/$E$5,[1]!S_STM07_IS(D814,48,$G$5,$H$13)/$E$5))</f>
        <v/>
      </c>
      <c r="I814" s="247" t="str">
        <f ca="1">IF(C814="","",IF($I$11="毛利率",([1]!S_STM07_IS(D814,9,$G$5,$H$13)-[1]!S_STM07_IS(D814,10,$G$5,$H$13))/[1]!S_STM07_IS(D814,9,$G$5,$H$13),[1]!S_STM07_IS(D814,14,$G$5,$H$13)/$E$5))</f>
        <v/>
      </c>
      <c r="J814" s="247" t="str">
        <f ca="1">IF(C814="","",IF($J$11="营业利润率",[1]!S_STM07_IS(D814,48,$G$5,$H$13)/[1]!S_STM07_IS(D814,9,$G$5,$H$13),([1]!S_STM07_CS(D814,87,$G$5,$H$13)+[1]!S_STM07_CS(D814,88,$G$5,$H$13)+[1]!S_STM07_CS(D814,89,$G$5,$H$13))/$E$5))</f>
        <v/>
      </c>
      <c r="K814" s="247" t="str">
        <f ca="1">IF(C814="","",IF($K$11="净利润率",[1]!S_STM07_IS(D814,61,$G$5,$H$13)/[1]!S_STM07_IS(D814,9,$G$5,$H$13),[1]!S_STM07_IS(D814,55,$G$5,$H$13)/$E$5))</f>
        <v/>
      </c>
      <c r="L814" s="247" t="str">
        <f ca="1">IF(C814="","",IF($L$11="ROA",[1]!S_STM07_IS(D814,61,$G$5,$H$13)/[1]!S_STM07_BS(D814,74,$G$5,$H$13),1-[1]!S_STM07_IS(D814,61,$G$5,$H$13)/[1]!S_STM07_IS(D814,55,$G$5,$H$13)))</f>
        <v/>
      </c>
      <c r="M814" s="247" t="str">
        <f ca="1">IF(C814="","",IF($M$11="ROE",[1]!S_STM07_IS(D814,61,$G$5,$H$13)/[1]!S_STM07_BS(D814,141,$G$5,$H$13),([1]!S_STM07_BS(D814,25,$G$5,$H$13)-[1]!S_STM07_BS(D814,93,$G$5,$H$13))/$E$5))</f>
        <v/>
      </c>
      <c r="N814" s="247" t="str">
        <f ca="1">IF(C814="","",IF($N$11="EPS",[1]!S_STM07_IS(D814,61,$G$5,$H$13)/IF([1]!S_SHARE_TOTAL(D814,$G$5)=0,[1]!S_SHARE_TOTAL(D814,[1]!s_ipo_listeddate(D814)),[1]!S_SHARE_TOTAL(D814,$G$5)),([1]!S_STM07_BS(D814,75,$G$5,$H$13)+[1]!S_STM07_BS(D814,88,$G$5,$H$13)+[1]!S_STM07_BS(D814,94,$G$5,$H$13)+[1]!S_STM07_BS(D814,95,$G$5,$H$13))/$E$5))</f>
        <v/>
      </c>
      <c r="O814" s="247" t="str">
        <f ca="1">IF(C814="","",IF($O$11="BPS",[1]!S_STM07_BS(D814,141,$G$5,$H$13)/IF([1]!S_SHARE_TOTAL(D814,$G$5)=0,[1]!S_SHARE_TOTAL(D814,[1]!s_ipo_listeddate(D814)),[1]!S_SHARE_TOTAL(D814,$G$5)),[1]!S_STM07_CS(D814,49,$G$5,$H$13)/$E$5))</f>
        <v/>
      </c>
      <c r="P814" s="247" t="str">
        <f ca="1">IF(C814="","",IF($P$11="CFPS",[1]!S_STM07_CS(D814,84,$G$5,$H$13)/IF([1]!S_SHARE_TOTAL(D814,$G$5)=0,[1]!S_SHARE_TOTAL(D814,[1]!s_ipo_listeddate(D814)),[1]!S_SHARE_TOTAL(D814,$G$5)),[1]!S_STM07_CS(D814,84,$G$5,$H$13)/$E$5))</f>
        <v/>
      </c>
      <c r="Q814" s="248" t="str">
        <f ca="1">IF(C814="","",F814/([1]!S_STM07_IS(D814,61,$G$5,$H$13)/IF([1]!S_SHARE_TOTAL(D814,$G$5)=0,[1]!S_SHARE_TOTAL(D814,[1]!s_ipo_listeddate(D814)),[1]!S_SHARE_TOTAL(D814,$G$5))))</f>
        <v/>
      </c>
      <c r="R814" s="248" t="str">
        <f ca="1">IF(C814="","",F814/([1]!S_STM07_BS(D814,141,$G$5,$H$13)/IF([1]!S_SHARE_TOTAL(D814,$G$5)=0,[1]!S_SHARE_TOTAL(D814,[1]!s_ipo_listeddate(D814)),[1]!S_SHARE_TOTAL(D814,$G$5))))</f>
        <v/>
      </c>
      <c r="S814" s="247" t="str">
        <f ca="1">IF(C814="","",[1]!S_SHARE_TOTAL(D814,TODAY())/$E$5)</f>
        <v/>
      </c>
      <c r="T814" s="247" t="str">
        <f t="shared" ca="1" si="85"/>
        <v/>
      </c>
      <c r="U814" s="218" t="str">
        <f t="shared" ca="1" si="86"/>
        <v/>
      </c>
      <c r="V814" s="342" t="str">
        <f t="shared" ca="1" si="87"/>
        <v/>
      </c>
      <c r="W814" s="139"/>
      <c r="Y814" s="1"/>
    </row>
    <row r="815" spans="3:25" ht="12" customHeight="1">
      <c r="C815" s="343" t="str">
        <f t="shared" ca="1" si="82"/>
        <v/>
      </c>
      <c r="D815" s="124" t="str">
        <f t="shared" ca="1" si="83"/>
        <v/>
      </c>
      <c r="E815" s="124" t="str">
        <f t="shared" ca="1" si="84"/>
        <v/>
      </c>
      <c r="F815" s="172" t="str">
        <f ca="1">IF(C815="","",[1]!S_DQ_CLOSE(D815,TODAY(),1))</f>
        <v/>
      </c>
      <c r="G815" s="173" t="str">
        <f ca="1">IF(C815="","",[1]!s_pq_pctchange(D815,TODAY()-$G$12,TODAY())/100)</f>
        <v/>
      </c>
      <c r="H815" s="249" t="str">
        <f ca="1">IF(C815="","",IF($H$11="收入",[1]!S_STM07_IS(D815,9,$G$5,$H$13)/$E$5,[1]!S_STM07_IS(D815,48,$G$5,$H$13)/$E$5))</f>
        <v/>
      </c>
      <c r="I815" s="249" t="str">
        <f ca="1">IF(C815="","",IF($I$11="毛利率",([1]!S_STM07_IS(D815,9,$G$5,$H$13)-[1]!S_STM07_IS(D815,10,$G$5,$H$13))/[1]!S_STM07_IS(D815,9,$G$5,$H$13),[1]!S_STM07_IS(D815,14,$G$5,$H$13)/$E$5))</f>
        <v/>
      </c>
      <c r="J815" s="249" t="str">
        <f ca="1">IF(C815="","",IF($J$11="营业利润率",[1]!S_STM07_IS(D815,48,$G$5,$H$13)/[1]!S_STM07_IS(D815,9,$G$5,$H$13),([1]!S_STM07_CS(D815,87,$G$5,$H$13)+[1]!S_STM07_CS(D815,88,$G$5,$H$13)+[1]!S_STM07_CS(D815,89,$G$5,$H$13))/$E$5))</f>
        <v/>
      </c>
      <c r="K815" s="249" t="str">
        <f ca="1">IF(C815="","",IF($K$11="净利润率",[1]!S_STM07_IS(D815,61,$G$5,$H$13)/[1]!S_STM07_IS(D815,9,$G$5,$H$13),[1]!S_STM07_IS(D815,55,$G$5,$H$13)/$E$5))</f>
        <v/>
      </c>
      <c r="L815" s="249" t="str">
        <f ca="1">IF(C815="","",IF($L$11="ROA",[1]!S_STM07_IS(D815,61,$G$5,$H$13)/[1]!S_STM07_BS(D815,74,$G$5,$H$13),1-[1]!S_STM07_IS(D815,61,$G$5,$H$13)/[1]!S_STM07_IS(D815,55,$G$5,$H$13)))</f>
        <v/>
      </c>
      <c r="M815" s="249" t="str">
        <f ca="1">IF(C815="","",IF($M$11="ROE",[1]!S_STM07_IS(D815,61,$G$5,$H$13)/[1]!S_STM07_BS(D815,141,$G$5,$H$13),([1]!S_STM07_BS(D815,25,$G$5,$H$13)-[1]!S_STM07_BS(D815,93,$G$5,$H$13))/$E$5))</f>
        <v/>
      </c>
      <c r="N815" s="250" t="str">
        <f ca="1">IF(C815="","",IF($N$11="EPS",[1]!S_STM07_IS(D815,61,$G$5,$H$13)/IF([1]!S_SHARE_TOTAL(D815,$G$5)=0,[1]!S_SHARE_TOTAL(D815,[1]!s_ipo_listeddate(D815)),[1]!S_SHARE_TOTAL(D815,$G$5)),([1]!S_STM07_BS(D815,75,$G$5,$H$13)+[1]!S_STM07_BS(D815,88,$G$5,$H$13)+[1]!S_STM07_BS(D815,94,$G$5,$H$13)+[1]!S_STM07_BS(D815,95,$G$5,$H$13))/$E$5))</f>
        <v/>
      </c>
      <c r="O815" s="250" t="str">
        <f ca="1">IF(C815="","",IF($O$11="BPS",[1]!S_STM07_BS(D815,141,$G$5,$H$13)/IF([1]!S_SHARE_TOTAL(D815,$G$5)=0,[1]!S_SHARE_TOTAL(D815,[1]!s_ipo_listeddate(D815)),[1]!S_SHARE_TOTAL(D815,$G$5)),[1]!S_STM07_CS(D815,49,$G$5,$H$13)/$E$5))</f>
        <v/>
      </c>
      <c r="P815" s="250" t="str">
        <f ca="1">IF(C815="","",IF($P$11="CFPS",[1]!S_STM07_CS(D815,84,$G$5,$H$13)/IF([1]!S_SHARE_TOTAL(D815,$G$5)=0,[1]!S_SHARE_TOTAL(D815,[1]!s_ipo_listeddate(D815)),[1]!S_SHARE_TOTAL(D815,$G$5)),[1]!S_STM07_CS(D815,84,$G$5,$H$13)/$E$5))</f>
        <v/>
      </c>
      <c r="Q815" s="198" t="str">
        <f ca="1">IF(C815="","",F815/([1]!S_STM07_IS(D815,61,$G$5,$H$13)/IF([1]!S_SHARE_TOTAL(D815,$G$5)=0,[1]!S_SHARE_TOTAL(D815,[1]!s_ipo_listeddate(D815)),[1]!S_SHARE_TOTAL(D815,$G$5))))</f>
        <v/>
      </c>
      <c r="R815" s="198" t="str">
        <f ca="1">IF(C815="","",F815/([1]!S_STM07_BS(D815,141,$G$5,$H$13)/IF([1]!S_SHARE_TOTAL(D815,$G$5)=0,[1]!S_SHARE_TOTAL(D815,[1]!s_ipo_listeddate(D815)),[1]!S_SHARE_TOTAL(D815,$G$5))))</f>
        <v/>
      </c>
      <c r="S815" s="249" t="str">
        <f ca="1">IF(C815="","",[1]!S_SHARE_TOTAL(D815,TODAY())/$E$5)</f>
        <v/>
      </c>
      <c r="T815" s="249" t="str">
        <f t="shared" ca="1" si="85"/>
        <v/>
      </c>
      <c r="U815" s="172" t="str">
        <f t="shared" ca="1" si="86"/>
        <v/>
      </c>
      <c r="V815" s="343" t="str">
        <f t="shared" ca="1" si="87"/>
        <v/>
      </c>
      <c r="W815" s="139"/>
      <c r="Y815" s="1"/>
    </row>
    <row r="816" spans="3:25" ht="12" customHeight="1">
      <c r="C816" s="342" t="str">
        <f t="shared" ca="1" si="82"/>
        <v/>
      </c>
      <c r="D816" s="153" t="str">
        <f t="shared" ca="1" si="83"/>
        <v/>
      </c>
      <c r="E816" s="153" t="str">
        <f t="shared" ca="1" si="84"/>
        <v/>
      </c>
      <c r="F816" s="170" t="str">
        <f ca="1">IF(C816="","",[1]!S_DQ_CLOSE(D816,TODAY(),1))</f>
        <v/>
      </c>
      <c r="G816" s="171" t="str">
        <f ca="1">IF(C816="","",[1]!s_pq_pctchange(D816,TODAY()-$G$12,TODAY())/100)</f>
        <v/>
      </c>
      <c r="H816" s="247" t="str">
        <f ca="1">IF(C816="","",IF($H$11="收入",[1]!S_STM07_IS(D816,9,$G$5,$H$13)/$E$5,[1]!S_STM07_IS(D816,48,$G$5,$H$13)/$E$5))</f>
        <v/>
      </c>
      <c r="I816" s="247" t="str">
        <f ca="1">IF(C816="","",IF($I$11="毛利率",([1]!S_STM07_IS(D816,9,$G$5,$H$13)-[1]!S_STM07_IS(D816,10,$G$5,$H$13))/[1]!S_STM07_IS(D816,9,$G$5,$H$13),[1]!S_STM07_IS(D816,14,$G$5,$H$13)/$E$5))</f>
        <v/>
      </c>
      <c r="J816" s="247" t="str">
        <f ca="1">IF(C816="","",IF($J$11="营业利润率",[1]!S_STM07_IS(D816,48,$G$5,$H$13)/[1]!S_STM07_IS(D816,9,$G$5,$H$13),([1]!S_STM07_CS(D816,87,$G$5,$H$13)+[1]!S_STM07_CS(D816,88,$G$5,$H$13)+[1]!S_STM07_CS(D816,89,$G$5,$H$13))/$E$5))</f>
        <v/>
      </c>
      <c r="K816" s="247" t="str">
        <f ca="1">IF(C816="","",IF($K$11="净利润率",[1]!S_STM07_IS(D816,61,$G$5,$H$13)/[1]!S_STM07_IS(D816,9,$G$5,$H$13),[1]!S_STM07_IS(D816,55,$G$5,$H$13)/$E$5))</f>
        <v/>
      </c>
      <c r="L816" s="247" t="str">
        <f ca="1">IF(C816="","",IF($L$11="ROA",[1]!S_STM07_IS(D816,61,$G$5,$H$13)/[1]!S_STM07_BS(D816,74,$G$5,$H$13),1-[1]!S_STM07_IS(D816,61,$G$5,$H$13)/[1]!S_STM07_IS(D816,55,$G$5,$H$13)))</f>
        <v/>
      </c>
      <c r="M816" s="247" t="str">
        <f ca="1">IF(C816="","",IF($M$11="ROE",[1]!S_STM07_IS(D816,61,$G$5,$H$13)/[1]!S_STM07_BS(D816,141,$G$5,$H$13),([1]!S_STM07_BS(D816,25,$G$5,$H$13)-[1]!S_STM07_BS(D816,93,$G$5,$H$13))/$E$5))</f>
        <v/>
      </c>
      <c r="N816" s="247" t="str">
        <f ca="1">IF(C816="","",IF($N$11="EPS",[1]!S_STM07_IS(D816,61,$G$5,$H$13)/IF([1]!S_SHARE_TOTAL(D816,$G$5)=0,[1]!S_SHARE_TOTAL(D816,[1]!s_ipo_listeddate(D816)),[1]!S_SHARE_TOTAL(D816,$G$5)),([1]!S_STM07_BS(D816,75,$G$5,$H$13)+[1]!S_STM07_BS(D816,88,$G$5,$H$13)+[1]!S_STM07_BS(D816,94,$G$5,$H$13)+[1]!S_STM07_BS(D816,95,$G$5,$H$13))/$E$5))</f>
        <v/>
      </c>
      <c r="O816" s="247" t="str">
        <f ca="1">IF(C816="","",IF($O$11="BPS",[1]!S_STM07_BS(D816,141,$G$5,$H$13)/IF([1]!S_SHARE_TOTAL(D816,$G$5)=0,[1]!S_SHARE_TOTAL(D816,[1]!s_ipo_listeddate(D816)),[1]!S_SHARE_TOTAL(D816,$G$5)),[1]!S_STM07_CS(D816,49,$G$5,$H$13)/$E$5))</f>
        <v/>
      </c>
      <c r="P816" s="247" t="str">
        <f ca="1">IF(C816="","",IF($P$11="CFPS",[1]!S_STM07_CS(D816,84,$G$5,$H$13)/IF([1]!S_SHARE_TOTAL(D816,$G$5)=0,[1]!S_SHARE_TOTAL(D816,[1]!s_ipo_listeddate(D816)),[1]!S_SHARE_TOTAL(D816,$G$5)),[1]!S_STM07_CS(D816,84,$G$5,$H$13)/$E$5))</f>
        <v/>
      </c>
      <c r="Q816" s="248" t="str">
        <f ca="1">IF(C816="","",F816/([1]!S_STM07_IS(D816,61,$G$5,$H$13)/IF([1]!S_SHARE_TOTAL(D816,$G$5)=0,[1]!S_SHARE_TOTAL(D816,[1]!s_ipo_listeddate(D816)),[1]!S_SHARE_TOTAL(D816,$G$5))))</f>
        <v/>
      </c>
      <c r="R816" s="248" t="str">
        <f ca="1">IF(C816="","",F816/([1]!S_STM07_BS(D816,141,$G$5,$H$13)/IF([1]!S_SHARE_TOTAL(D816,$G$5)=0,[1]!S_SHARE_TOTAL(D816,[1]!s_ipo_listeddate(D816)),[1]!S_SHARE_TOTAL(D816,$G$5))))</f>
        <v/>
      </c>
      <c r="S816" s="247" t="str">
        <f ca="1">IF(C816="","",[1]!S_SHARE_TOTAL(D816,TODAY())/$E$5)</f>
        <v/>
      </c>
      <c r="T816" s="247" t="str">
        <f t="shared" ca="1" si="85"/>
        <v/>
      </c>
      <c r="U816" s="218" t="str">
        <f t="shared" ca="1" si="86"/>
        <v/>
      </c>
      <c r="V816" s="342" t="str">
        <f t="shared" ca="1" si="87"/>
        <v/>
      </c>
      <c r="W816" s="139"/>
      <c r="Y816" s="1"/>
    </row>
    <row r="817" spans="3:25" ht="12" customHeight="1">
      <c r="C817" s="343" t="str">
        <f t="shared" ca="1" si="82"/>
        <v/>
      </c>
      <c r="D817" s="124" t="str">
        <f t="shared" ca="1" si="83"/>
        <v/>
      </c>
      <c r="E817" s="124" t="str">
        <f t="shared" ca="1" si="84"/>
        <v/>
      </c>
      <c r="F817" s="172" t="str">
        <f ca="1">IF(C817="","",[1]!S_DQ_CLOSE(D817,TODAY(),1))</f>
        <v/>
      </c>
      <c r="G817" s="173" t="str">
        <f ca="1">IF(C817="","",[1]!s_pq_pctchange(D817,TODAY()-$G$12,TODAY())/100)</f>
        <v/>
      </c>
      <c r="H817" s="249" t="str">
        <f ca="1">IF(C817="","",IF($H$11="收入",[1]!S_STM07_IS(D817,9,$G$5,$H$13)/$E$5,[1]!S_STM07_IS(D817,48,$G$5,$H$13)/$E$5))</f>
        <v/>
      </c>
      <c r="I817" s="249" t="str">
        <f ca="1">IF(C817="","",IF($I$11="毛利率",([1]!S_STM07_IS(D817,9,$G$5,$H$13)-[1]!S_STM07_IS(D817,10,$G$5,$H$13))/[1]!S_STM07_IS(D817,9,$G$5,$H$13),[1]!S_STM07_IS(D817,14,$G$5,$H$13)/$E$5))</f>
        <v/>
      </c>
      <c r="J817" s="249" t="str">
        <f ca="1">IF(C817="","",IF($J$11="营业利润率",[1]!S_STM07_IS(D817,48,$G$5,$H$13)/[1]!S_STM07_IS(D817,9,$G$5,$H$13),([1]!S_STM07_CS(D817,87,$G$5,$H$13)+[1]!S_STM07_CS(D817,88,$G$5,$H$13)+[1]!S_STM07_CS(D817,89,$G$5,$H$13))/$E$5))</f>
        <v/>
      </c>
      <c r="K817" s="249" t="str">
        <f ca="1">IF(C817="","",IF($K$11="净利润率",[1]!S_STM07_IS(D817,61,$G$5,$H$13)/[1]!S_STM07_IS(D817,9,$G$5,$H$13),[1]!S_STM07_IS(D817,55,$G$5,$H$13)/$E$5))</f>
        <v/>
      </c>
      <c r="L817" s="249" t="str">
        <f ca="1">IF(C817="","",IF($L$11="ROA",[1]!S_STM07_IS(D817,61,$G$5,$H$13)/[1]!S_STM07_BS(D817,74,$G$5,$H$13),1-[1]!S_STM07_IS(D817,61,$G$5,$H$13)/[1]!S_STM07_IS(D817,55,$G$5,$H$13)))</f>
        <v/>
      </c>
      <c r="M817" s="249" t="str">
        <f ca="1">IF(C817="","",IF($M$11="ROE",[1]!S_STM07_IS(D817,61,$G$5,$H$13)/[1]!S_STM07_BS(D817,141,$G$5,$H$13),([1]!S_STM07_BS(D817,25,$G$5,$H$13)-[1]!S_STM07_BS(D817,93,$G$5,$H$13))/$E$5))</f>
        <v/>
      </c>
      <c r="N817" s="250" t="str">
        <f ca="1">IF(C817="","",IF($N$11="EPS",[1]!S_STM07_IS(D817,61,$G$5,$H$13)/IF([1]!S_SHARE_TOTAL(D817,$G$5)=0,[1]!S_SHARE_TOTAL(D817,[1]!s_ipo_listeddate(D817)),[1]!S_SHARE_TOTAL(D817,$G$5)),([1]!S_STM07_BS(D817,75,$G$5,$H$13)+[1]!S_STM07_BS(D817,88,$G$5,$H$13)+[1]!S_STM07_BS(D817,94,$G$5,$H$13)+[1]!S_STM07_BS(D817,95,$G$5,$H$13))/$E$5))</f>
        <v/>
      </c>
      <c r="O817" s="250" t="str">
        <f ca="1">IF(C817="","",IF($O$11="BPS",[1]!S_STM07_BS(D817,141,$G$5,$H$13)/IF([1]!S_SHARE_TOTAL(D817,$G$5)=0,[1]!S_SHARE_TOTAL(D817,[1]!s_ipo_listeddate(D817)),[1]!S_SHARE_TOTAL(D817,$G$5)),[1]!S_STM07_CS(D817,49,$G$5,$H$13)/$E$5))</f>
        <v/>
      </c>
      <c r="P817" s="250" t="str">
        <f ca="1">IF(C817="","",IF($P$11="CFPS",[1]!S_STM07_CS(D817,84,$G$5,$H$13)/IF([1]!S_SHARE_TOTAL(D817,$G$5)=0,[1]!S_SHARE_TOTAL(D817,[1]!s_ipo_listeddate(D817)),[1]!S_SHARE_TOTAL(D817,$G$5)),[1]!S_STM07_CS(D817,84,$G$5,$H$13)/$E$5))</f>
        <v/>
      </c>
      <c r="Q817" s="198" t="str">
        <f ca="1">IF(C817="","",F817/([1]!S_STM07_IS(D817,61,$G$5,$H$13)/IF([1]!S_SHARE_TOTAL(D817,$G$5)=0,[1]!S_SHARE_TOTAL(D817,[1]!s_ipo_listeddate(D817)),[1]!S_SHARE_TOTAL(D817,$G$5))))</f>
        <v/>
      </c>
      <c r="R817" s="198" t="str">
        <f ca="1">IF(C817="","",F817/([1]!S_STM07_BS(D817,141,$G$5,$H$13)/IF([1]!S_SHARE_TOTAL(D817,$G$5)=0,[1]!S_SHARE_TOTAL(D817,[1]!s_ipo_listeddate(D817)),[1]!S_SHARE_TOTAL(D817,$G$5))))</f>
        <v/>
      </c>
      <c r="S817" s="249" t="str">
        <f ca="1">IF(C817="","",[1]!S_SHARE_TOTAL(D817,TODAY())/$E$5)</f>
        <v/>
      </c>
      <c r="T817" s="249" t="str">
        <f t="shared" ca="1" si="85"/>
        <v/>
      </c>
      <c r="U817" s="172" t="str">
        <f t="shared" ca="1" si="86"/>
        <v/>
      </c>
      <c r="V817" s="343" t="str">
        <f t="shared" ca="1" si="87"/>
        <v/>
      </c>
      <c r="W817" s="139"/>
      <c r="Y817" s="1"/>
    </row>
    <row r="818" spans="3:25" ht="12" customHeight="1">
      <c r="C818" s="342" t="str">
        <f t="shared" ca="1" si="82"/>
        <v/>
      </c>
      <c r="D818" s="153" t="str">
        <f t="shared" ca="1" si="83"/>
        <v/>
      </c>
      <c r="E818" s="153" t="str">
        <f t="shared" ca="1" si="84"/>
        <v/>
      </c>
      <c r="F818" s="170" t="str">
        <f ca="1">IF(C818="","",[1]!S_DQ_CLOSE(D818,TODAY(),1))</f>
        <v/>
      </c>
      <c r="G818" s="171" t="str">
        <f ca="1">IF(C818="","",[1]!s_pq_pctchange(D818,TODAY()-$G$12,TODAY())/100)</f>
        <v/>
      </c>
      <c r="H818" s="247" t="str">
        <f ca="1">IF(C818="","",IF($H$11="收入",[1]!S_STM07_IS(D818,9,$G$5,$H$13)/$E$5,[1]!S_STM07_IS(D818,48,$G$5,$H$13)/$E$5))</f>
        <v/>
      </c>
      <c r="I818" s="247" t="str">
        <f ca="1">IF(C818="","",IF($I$11="毛利率",([1]!S_STM07_IS(D818,9,$G$5,$H$13)-[1]!S_STM07_IS(D818,10,$G$5,$H$13))/[1]!S_STM07_IS(D818,9,$G$5,$H$13),[1]!S_STM07_IS(D818,14,$G$5,$H$13)/$E$5))</f>
        <v/>
      </c>
      <c r="J818" s="247" t="str">
        <f ca="1">IF(C818="","",IF($J$11="营业利润率",[1]!S_STM07_IS(D818,48,$G$5,$H$13)/[1]!S_STM07_IS(D818,9,$G$5,$H$13),([1]!S_STM07_CS(D818,87,$G$5,$H$13)+[1]!S_STM07_CS(D818,88,$G$5,$H$13)+[1]!S_STM07_CS(D818,89,$G$5,$H$13))/$E$5))</f>
        <v/>
      </c>
      <c r="K818" s="247" t="str">
        <f ca="1">IF(C818="","",IF($K$11="净利润率",[1]!S_STM07_IS(D818,61,$G$5,$H$13)/[1]!S_STM07_IS(D818,9,$G$5,$H$13),[1]!S_STM07_IS(D818,55,$G$5,$H$13)/$E$5))</f>
        <v/>
      </c>
      <c r="L818" s="247" t="str">
        <f ca="1">IF(C818="","",IF($L$11="ROA",[1]!S_STM07_IS(D818,61,$G$5,$H$13)/[1]!S_STM07_BS(D818,74,$G$5,$H$13),1-[1]!S_STM07_IS(D818,61,$G$5,$H$13)/[1]!S_STM07_IS(D818,55,$G$5,$H$13)))</f>
        <v/>
      </c>
      <c r="M818" s="247" t="str">
        <f ca="1">IF(C818="","",IF($M$11="ROE",[1]!S_STM07_IS(D818,61,$G$5,$H$13)/[1]!S_STM07_BS(D818,141,$G$5,$H$13),([1]!S_STM07_BS(D818,25,$G$5,$H$13)-[1]!S_STM07_BS(D818,93,$G$5,$H$13))/$E$5))</f>
        <v/>
      </c>
      <c r="N818" s="247" t="str">
        <f ca="1">IF(C818="","",IF($N$11="EPS",[1]!S_STM07_IS(D818,61,$G$5,$H$13)/IF([1]!S_SHARE_TOTAL(D818,$G$5)=0,[1]!S_SHARE_TOTAL(D818,[1]!s_ipo_listeddate(D818)),[1]!S_SHARE_TOTAL(D818,$G$5)),([1]!S_STM07_BS(D818,75,$G$5,$H$13)+[1]!S_STM07_BS(D818,88,$G$5,$H$13)+[1]!S_STM07_BS(D818,94,$G$5,$H$13)+[1]!S_STM07_BS(D818,95,$G$5,$H$13))/$E$5))</f>
        <v/>
      </c>
      <c r="O818" s="247" t="str">
        <f ca="1">IF(C818="","",IF($O$11="BPS",[1]!S_STM07_BS(D818,141,$G$5,$H$13)/IF([1]!S_SHARE_TOTAL(D818,$G$5)=0,[1]!S_SHARE_TOTAL(D818,[1]!s_ipo_listeddate(D818)),[1]!S_SHARE_TOTAL(D818,$G$5)),[1]!S_STM07_CS(D818,49,$G$5,$H$13)/$E$5))</f>
        <v/>
      </c>
      <c r="P818" s="247" t="str">
        <f ca="1">IF(C818="","",IF($P$11="CFPS",[1]!S_STM07_CS(D818,84,$G$5,$H$13)/IF([1]!S_SHARE_TOTAL(D818,$G$5)=0,[1]!S_SHARE_TOTAL(D818,[1]!s_ipo_listeddate(D818)),[1]!S_SHARE_TOTAL(D818,$G$5)),[1]!S_STM07_CS(D818,84,$G$5,$H$13)/$E$5))</f>
        <v/>
      </c>
      <c r="Q818" s="248" t="str">
        <f ca="1">IF(C818="","",F818/([1]!S_STM07_IS(D818,61,$G$5,$H$13)/IF([1]!S_SHARE_TOTAL(D818,$G$5)=0,[1]!S_SHARE_TOTAL(D818,[1]!s_ipo_listeddate(D818)),[1]!S_SHARE_TOTAL(D818,$G$5))))</f>
        <v/>
      </c>
      <c r="R818" s="248" t="str">
        <f ca="1">IF(C818="","",F818/([1]!S_STM07_BS(D818,141,$G$5,$H$13)/IF([1]!S_SHARE_TOTAL(D818,$G$5)=0,[1]!S_SHARE_TOTAL(D818,[1]!s_ipo_listeddate(D818)),[1]!S_SHARE_TOTAL(D818,$G$5))))</f>
        <v/>
      </c>
      <c r="S818" s="247" t="str">
        <f ca="1">IF(C818="","",[1]!S_SHARE_TOTAL(D818,TODAY())/$E$5)</f>
        <v/>
      </c>
      <c r="T818" s="247" t="str">
        <f t="shared" ca="1" si="85"/>
        <v/>
      </c>
      <c r="U818" s="218" t="str">
        <f t="shared" ca="1" si="86"/>
        <v/>
      </c>
      <c r="V818" s="342" t="str">
        <f t="shared" ca="1" si="87"/>
        <v/>
      </c>
      <c r="W818" s="139"/>
      <c r="Y818" s="1"/>
    </row>
    <row r="819" spans="3:25" ht="12" customHeight="1">
      <c r="C819" s="343" t="str">
        <f t="shared" ca="1" si="82"/>
        <v/>
      </c>
      <c r="D819" s="124" t="str">
        <f t="shared" ca="1" si="83"/>
        <v/>
      </c>
      <c r="E819" s="124" t="str">
        <f t="shared" ca="1" si="84"/>
        <v/>
      </c>
      <c r="F819" s="172" t="str">
        <f ca="1">IF(C819="","",[1]!S_DQ_CLOSE(D819,TODAY(),1))</f>
        <v/>
      </c>
      <c r="G819" s="173" t="str">
        <f ca="1">IF(C819="","",[1]!s_pq_pctchange(D819,TODAY()-$G$12,TODAY())/100)</f>
        <v/>
      </c>
      <c r="H819" s="249" t="str">
        <f ca="1">IF(C819="","",IF($H$11="收入",[1]!S_STM07_IS(D819,9,$G$5,$H$13)/$E$5,[1]!S_STM07_IS(D819,48,$G$5,$H$13)/$E$5))</f>
        <v/>
      </c>
      <c r="I819" s="249" t="str">
        <f ca="1">IF(C819="","",IF($I$11="毛利率",([1]!S_STM07_IS(D819,9,$G$5,$H$13)-[1]!S_STM07_IS(D819,10,$G$5,$H$13))/[1]!S_STM07_IS(D819,9,$G$5,$H$13),[1]!S_STM07_IS(D819,14,$G$5,$H$13)/$E$5))</f>
        <v/>
      </c>
      <c r="J819" s="249" t="str">
        <f ca="1">IF(C819="","",IF($J$11="营业利润率",[1]!S_STM07_IS(D819,48,$G$5,$H$13)/[1]!S_STM07_IS(D819,9,$G$5,$H$13),([1]!S_STM07_CS(D819,87,$G$5,$H$13)+[1]!S_STM07_CS(D819,88,$G$5,$H$13)+[1]!S_STM07_CS(D819,89,$G$5,$H$13))/$E$5))</f>
        <v/>
      </c>
      <c r="K819" s="249" t="str">
        <f ca="1">IF(C819="","",IF($K$11="净利润率",[1]!S_STM07_IS(D819,61,$G$5,$H$13)/[1]!S_STM07_IS(D819,9,$G$5,$H$13),[1]!S_STM07_IS(D819,55,$G$5,$H$13)/$E$5))</f>
        <v/>
      </c>
      <c r="L819" s="249" t="str">
        <f ca="1">IF(C819="","",IF($L$11="ROA",[1]!S_STM07_IS(D819,61,$G$5,$H$13)/[1]!S_STM07_BS(D819,74,$G$5,$H$13),1-[1]!S_STM07_IS(D819,61,$G$5,$H$13)/[1]!S_STM07_IS(D819,55,$G$5,$H$13)))</f>
        <v/>
      </c>
      <c r="M819" s="249" t="str">
        <f ca="1">IF(C819="","",IF($M$11="ROE",[1]!S_STM07_IS(D819,61,$G$5,$H$13)/[1]!S_STM07_BS(D819,141,$G$5,$H$13),([1]!S_STM07_BS(D819,25,$G$5,$H$13)-[1]!S_STM07_BS(D819,93,$G$5,$H$13))/$E$5))</f>
        <v/>
      </c>
      <c r="N819" s="250" t="str">
        <f ca="1">IF(C819="","",IF($N$11="EPS",[1]!S_STM07_IS(D819,61,$G$5,$H$13)/IF([1]!S_SHARE_TOTAL(D819,$G$5)=0,[1]!S_SHARE_TOTAL(D819,[1]!s_ipo_listeddate(D819)),[1]!S_SHARE_TOTAL(D819,$G$5)),([1]!S_STM07_BS(D819,75,$G$5,$H$13)+[1]!S_STM07_BS(D819,88,$G$5,$H$13)+[1]!S_STM07_BS(D819,94,$G$5,$H$13)+[1]!S_STM07_BS(D819,95,$G$5,$H$13))/$E$5))</f>
        <v/>
      </c>
      <c r="O819" s="250" t="str">
        <f ca="1">IF(C819="","",IF($O$11="BPS",[1]!S_STM07_BS(D819,141,$G$5,$H$13)/IF([1]!S_SHARE_TOTAL(D819,$G$5)=0,[1]!S_SHARE_TOTAL(D819,[1]!s_ipo_listeddate(D819)),[1]!S_SHARE_TOTAL(D819,$G$5)),[1]!S_STM07_CS(D819,49,$G$5,$H$13)/$E$5))</f>
        <v/>
      </c>
      <c r="P819" s="250" t="str">
        <f ca="1">IF(C819="","",IF($P$11="CFPS",[1]!S_STM07_CS(D819,84,$G$5,$H$13)/IF([1]!S_SHARE_TOTAL(D819,$G$5)=0,[1]!S_SHARE_TOTAL(D819,[1]!s_ipo_listeddate(D819)),[1]!S_SHARE_TOTAL(D819,$G$5)),[1]!S_STM07_CS(D819,84,$G$5,$H$13)/$E$5))</f>
        <v/>
      </c>
      <c r="Q819" s="198" t="str">
        <f ca="1">IF(C819="","",F819/([1]!S_STM07_IS(D819,61,$G$5,$H$13)/IF([1]!S_SHARE_TOTAL(D819,$G$5)=0,[1]!S_SHARE_TOTAL(D819,[1]!s_ipo_listeddate(D819)),[1]!S_SHARE_TOTAL(D819,$G$5))))</f>
        <v/>
      </c>
      <c r="R819" s="198" t="str">
        <f ca="1">IF(C819="","",F819/([1]!S_STM07_BS(D819,141,$G$5,$H$13)/IF([1]!S_SHARE_TOTAL(D819,$G$5)=0,[1]!S_SHARE_TOTAL(D819,[1]!s_ipo_listeddate(D819)),[1]!S_SHARE_TOTAL(D819,$G$5))))</f>
        <v/>
      </c>
      <c r="S819" s="249" t="str">
        <f ca="1">IF(C819="","",[1]!S_SHARE_TOTAL(D819,TODAY())/$E$5)</f>
        <v/>
      </c>
      <c r="T819" s="249" t="str">
        <f t="shared" ca="1" si="85"/>
        <v/>
      </c>
      <c r="U819" s="172" t="str">
        <f t="shared" ca="1" si="86"/>
        <v/>
      </c>
      <c r="V819" s="343" t="str">
        <f t="shared" ca="1" si="87"/>
        <v/>
      </c>
      <c r="W819" s="139"/>
      <c r="Y819" s="1"/>
    </row>
    <row r="820" spans="3:25" ht="12" customHeight="1">
      <c r="C820" s="342" t="str">
        <f t="shared" ca="1" si="82"/>
        <v/>
      </c>
      <c r="D820" s="153" t="str">
        <f t="shared" ca="1" si="83"/>
        <v/>
      </c>
      <c r="E820" s="153" t="str">
        <f t="shared" ca="1" si="84"/>
        <v/>
      </c>
      <c r="F820" s="170" t="str">
        <f ca="1">IF(C820="","",[1]!S_DQ_CLOSE(D820,TODAY(),1))</f>
        <v/>
      </c>
      <c r="G820" s="171" t="str">
        <f ca="1">IF(C820="","",[1]!s_pq_pctchange(D820,TODAY()-$G$12,TODAY())/100)</f>
        <v/>
      </c>
      <c r="H820" s="247" t="str">
        <f ca="1">IF(C820="","",IF($H$11="收入",[1]!S_STM07_IS(D820,9,$G$5,$H$13)/$E$5,[1]!S_STM07_IS(D820,48,$G$5,$H$13)/$E$5))</f>
        <v/>
      </c>
      <c r="I820" s="247" t="str">
        <f ca="1">IF(C820="","",IF($I$11="毛利率",([1]!S_STM07_IS(D820,9,$G$5,$H$13)-[1]!S_STM07_IS(D820,10,$G$5,$H$13))/[1]!S_STM07_IS(D820,9,$G$5,$H$13),[1]!S_STM07_IS(D820,14,$G$5,$H$13)/$E$5))</f>
        <v/>
      </c>
      <c r="J820" s="247" t="str">
        <f ca="1">IF(C820="","",IF($J$11="营业利润率",[1]!S_STM07_IS(D820,48,$G$5,$H$13)/[1]!S_STM07_IS(D820,9,$G$5,$H$13),([1]!S_STM07_CS(D820,87,$G$5,$H$13)+[1]!S_STM07_CS(D820,88,$G$5,$H$13)+[1]!S_STM07_CS(D820,89,$G$5,$H$13))/$E$5))</f>
        <v/>
      </c>
      <c r="K820" s="247" t="str">
        <f ca="1">IF(C820="","",IF($K$11="净利润率",[1]!S_STM07_IS(D820,61,$G$5,$H$13)/[1]!S_STM07_IS(D820,9,$G$5,$H$13),[1]!S_STM07_IS(D820,55,$G$5,$H$13)/$E$5))</f>
        <v/>
      </c>
      <c r="L820" s="247" t="str">
        <f ca="1">IF(C820="","",IF($L$11="ROA",[1]!S_STM07_IS(D820,61,$G$5,$H$13)/[1]!S_STM07_BS(D820,74,$G$5,$H$13),1-[1]!S_STM07_IS(D820,61,$G$5,$H$13)/[1]!S_STM07_IS(D820,55,$G$5,$H$13)))</f>
        <v/>
      </c>
      <c r="M820" s="247" t="str">
        <f ca="1">IF(C820="","",IF($M$11="ROE",[1]!S_STM07_IS(D820,61,$G$5,$H$13)/[1]!S_STM07_BS(D820,141,$G$5,$H$13),([1]!S_STM07_BS(D820,25,$G$5,$H$13)-[1]!S_STM07_BS(D820,93,$G$5,$H$13))/$E$5))</f>
        <v/>
      </c>
      <c r="N820" s="247" t="str">
        <f ca="1">IF(C820="","",IF($N$11="EPS",[1]!S_STM07_IS(D820,61,$G$5,$H$13)/IF([1]!S_SHARE_TOTAL(D820,$G$5)=0,[1]!S_SHARE_TOTAL(D820,[1]!s_ipo_listeddate(D820)),[1]!S_SHARE_TOTAL(D820,$G$5)),([1]!S_STM07_BS(D820,75,$G$5,$H$13)+[1]!S_STM07_BS(D820,88,$G$5,$H$13)+[1]!S_STM07_BS(D820,94,$G$5,$H$13)+[1]!S_STM07_BS(D820,95,$G$5,$H$13))/$E$5))</f>
        <v/>
      </c>
      <c r="O820" s="247" t="str">
        <f ca="1">IF(C820="","",IF($O$11="BPS",[1]!S_STM07_BS(D820,141,$G$5,$H$13)/IF([1]!S_SHARE_TOTAL(D820,$G$5)=0,[1]!S_SHARE_TOTAL(D820,[1]!s_ipo_listeddate(D820)),[1]!S_SHARE_TOTAL(D820,$G$5)),[1]!S_STM07_CS(D820,49,$G$5,$H$13)/$E$5))</f>
        <v/>
      </c>
      <c r="P820" s="247" t="str">
        <f ca="1">IF(C820="","",IF($P$11="CFPS",[1]!S_STM07_CS(D820,84,$G$5,$H$13)/IF([1]!S_SHARE_TOTAL(D820,$G$5)=0,[1]!S_SHARE_TOTAL(D820,[1]!s_ipo_listeddate(D820)),[1]!S_SHARE_TOTAL(D820,$G$5)),[1]!S_STM07_CS(D820,84,$G$5,$H$13)/$E$5))</f>
        <v/>
      </c>
      <c r="Q820" s="248" t="str">
        <f ca="1">IF(C820="","",F820/([1]!S_STM07_IS(D820,61,$G$5,$H$13)/IF([1]!S_SHARE_TOTAL(D820,$G$5)=0,[1]!S_SHARE_TOTAL(D820,[1]!s_ipo_listeddate(D820)),[1]!S_SHARE_TOTAL(D820,$G$5))))</f>
        <v/>
      </c>
      <c r="R820" s="248" t="str">
        <f ca="1">IF(C820="","",F820/([1]!S_STM07_BS(D820,141,$G$5,$H$13)/IF([1]!S_SHARE_TOTAL(D820,$G$5)=0,[1]!S_SHARE_TOTAL(D820,[1]!s_ipo_listeddate(D820)),[1]!S_SHARE_TOTAL(D820,$G$5))))</f>
        <v/>
      </c>
      <c r="S820" s="247" t="str">
        <f ca="1">IF(C820="","",[1]!S_SHARE_TOTAL(D820,TODAY())/$E$5)</f>
        <v/>
      </c>
      <c r="T820" s="247" t="str">
        <f t="shared" ca="1" si="85"/>
        <v/>
      </c>
      <c r="U820" s="218" t="str">
        <f t="shared" ca="1" si="86"/>
        <v/>
      </c>
      <c r="V820" s="342" t="str">
        <f t="shared" ca="1" si="87"/>
        <v/>
      </c>
      <c r="W820" s="139"/>
      <c r="Y820" s="1"/>
    </row>
    <row r="821" spans="3:25" ht="12" customHeight="1">
      <c r="C821" s="343" t="str">
        <f t="shared" ca="1" si="82"/>
        <v/>
      </c>
      <c r="D821" s="124" t="str">
        <f t="shared" ca="1" si="83"/>
        <v/>
      </c>
      <c r="E821" s="124" t="str">
        <f t="shared" ca="1" si="84"/>
        <v/>
      </c>
      <c r="F821" s="172" t="str">
        <f ca="1">IF(C821="","",[1]!S_DQ_CLOSE(D821,TODAY(),1))</f>
        <v/>
      </c>
      <c r="G821" s="173" t="str">
        <f ca="1">IF(C821="","",[1]!s_pq_pctchange(D821,TODAY()-$G$12,TODAY())/100)</f>
        <v/>
      </c>
      <c r="H821" s="249" t="str">
        <f ca="1">IF(C821="","",IF($H$11="收入",[1]!S_STM07_IS(D821,9,$G$5,$H$13)/$E$5,[1]!S_STM07_IS(D821,48,$G$5,$H$13)/$E$5))</f>
        <v/>
      </c>
      <c r="I821" s="249" t="str">
        <f ca="1">IF(C821="","",IF($I$11="毛利率",([1]!S_STM07_IS(D821,9,$G$5,$H$13)-[1]!S_STM07_IS(D821,10,$G$5,$H$13))/[1]!S_STM07_IS(D821,9,$G$5,$H$13),[1]!S_STM07_IS(D821,14,$G$5,$H$13)/$E$5))</f>
        <v/>
      </c>
      <c r="J821" s="249" t="str">
        <f ca="1">IF(C821="","",IF($J$11="营业利润率",[1]!S_STM07_IS(D821,48,$G$5,$H$13)/[1]!S_STM07_IS(D821,9,$G$5,$H$13),([1]!S_STM07_CS(D821,87,$G$5,$H$13)+[1]!S_STM07_CS(D821,88,$G$5,$H$13)+[1]!S_STM07_CS(D821,89,$G$5,$H$13))/$E$5))</f>
        <v/>
      </c>
      <c r="K821" s="249" t="str">
        <f ca="1">IF(C821="","",IF($K$11="净利润率",[1]!S_STM07_IS(D821,61,$G$5,$H$13)/[1]!S_STM07_IS(D821,9,$G$5,$H$13),[1]!S_STM07_IS(D821,55,$G$5,$H$13)/$E$5))</f>
        <v/>
      </c>
      <c r="L821" s="249" t="str">
        <f ca="1">IF(C821="","",IF($L$11="ROA",[1]!S_STM07_IS(D821,61,$G$5,$H$13)/[1]!S_STM07_BS(D821,74,$G$5,$H$13),1-[1]!S_STM07_IS(D821,61,$G$5,$H$13)/[1]!S_STM07_IS(D821,55,$G$5,$H$13)))</f>
        <v/>
      </c>
      <c r="M821" s="249" t="str">
        <f ca="1">IF(C821="","",IF($M$11="ROE",[1]!S_STM07_IS(D821,61,$G$5,$H$13)/[1]!S_STM07_BS(D821,141,$G$5,$H$13),([1]!S_STM07_BS(D821,25,$G$5,$H$13)-[1]!S_STM07_BS(D821,93,$G$5,$H$13))/$E$5))</f>
        <v/>
      </c>
      <c r="N821" s="250" t="str">
        <f ca="1">IF(C821="","",IF($N$11="EPS",[1]!S_STM07_IS(D821,61,$G$5,$H$13)/IF([1]!S_SHARE_TOTAL(D821,$G$5)=0,[1]!S_SHARE_TOTAL(D821,[1]!s_ipo_listeddate(D821)),[1]!S_SHARE_TOTAL(D821,$G$5)),([1]!S_STM07_BS(D821,75,$G$5,$H$13)+[1]!S_STM07_BS(D821,88,$G$5,$H$13)+[1]!S_STM07_BS(D821,94,$G$5,$H$13)+[1]!S_STM07_BS(D821,95,$G$5,$H$13))/$E$5))</f>
        <v/>
      </c>
      <c r="O821" s="250" t="str">
        <f ca="1">IF(C821="","",IF($O$11="BPS",[1]!S_STM07_BS(D821,141,$G$5,$H$13)/IF([1]!S_SHARE_TOTAL(D821,$G$5)=0,[1]!S_SHARE_TOTAL(D821,[1]!s_ipo_listeddate(D821)),[1]!S_SHARE_TOTAL(D821,$G$5)),[1]!S_STM07_CS(D821,49,$G$5,$H$13)/$E$5))</f>
        <v/>
      </c>
      <c r="P821" s="250" t="str">
        <f ca="1">IF(C821="","",IF($P$11="CFPS",[1]!S_STM07_CS(D821,84,$G$5,$H$13)/IF([1]!S_SHARE_TOTAL(D821,$G$5)=0,[1]!S_SHARE_TOTAL(D821,[1]!s_ipo_listeddate(D821)),[1]!S_SHARE_TOTAL(D821,$G$5)),[1]!S_STM07_CS(D821,84,$G$5,$H$13)/$E$5))</f>
        <v/>
      </c>
      <c r="Q821" s="198" t="str">
        <f ca="1">IF(C821="","",F821/([1]!S_STM07_IS(D821,61,$G$5,$H$13)/IF([1]!S_SHARE_TOTAL(D821,$G$5)=0,[1]!S_SHARE_TOTAL(D821,[1]!s_ipo_listeddate(D821)),[1]!S_SHARE_TOTAL(D821,$G$5))))</f>
        <v/>
      </c>
      <c r="R821" s="198" t="str">
        <f ca="1">IF(C821="","",F821/([1]!S_STM07_BS(D821,141,$G$5,$H$13)/IF([1]!S_SHARE_TOTAL(D821,$G$5)=0,[1]!S_SHARE_TOTAL(D821,[1]!s_ipo_listeddate(D821)),[1]!S_SHARE_TOTAL(D821,$G$5))))</f>
        <v/>
      </c>
      <c r="S821" s="249" t="str">
        <f ca="1">IF(C821="","",[1]!S_SHARE_TOTAL(D821,TODAY())/$E$5)</f>
        <v/>
      </c>
      <c r="T821" s="249" t="str">
        <f t="shared" ca="1" si="85"/>
        <v/>
      </c>
      <c r="U821" s="172" t="str">
        <f t="shared" ca="1" si="86"/>
        <v/>
      </c>
      <c r="V821" s="343" t="str">
        <f t="shared" ca="1" si="87"/>
        <v/>
      </c>
      <c r="W821" s="139"/>
      <c r="Y821" s="1"/>
    </row>
    <row r="822" spans="3:25" ht="12" customHeight="1">
      <c r="C822" s="342" t="str">
        <f t="shared" ca="1" si="82"/>
        <v/>
      </c>
      <c r="D822" s="153" t="str">
        <f t="shared" ca="1" si="83"/>
        <v/>
      </c>
      <c r="E822" s="153" t="str">
        <f t="shared" ca="1" si="84"/>
        <v/>
      </c>
      <c r="F822" s="170" t="str">
        <f ca="1">IF(C822="","",[1]!S_DQ_CLOSE(D822,TODAY(),1))</f>
        <v/>
      </c>
      <c r="G822" s="171" t="str">
        <f ca="1">IF(C822="","",[1]!s_pq_pctchange(D822,TODAY()-$G$12,TODAY())/100)</f>
        <v/>
      </c>
      <c r="H822" s="247" t="str">
        <f ca="1">IF(C822="","",IF($H$11="收入",[1]!S_STM07_IS(D822,9,$G$5,$H$13)/$E$5,[1]!S_STM07_IS(D822,48,$G$5,$H$13)/$E$5))</f>
        <v/>
      </c>
      <c r="I822" s="247" t="str">
        <f ca="1">IF(C822="","",IF($I$11="毛利率",([1]!S_STM07_IS(D822,9,$G$5,$H$13)-[1]!S_STM07_IS(D822,10,$G$5,$H$13))/[1]!S_STM07_IS(D822,9,$G$5,$H$13),[1]!S_STM07_IS(D822,14,$G$5,$H$13)/$E$5))</f>
        <v/>
      </c>
      <c r="J822" s="247" t="str">
        <f ca="1">IF(C822="","",IF($J$11="营业利润率",[1]!S_STM07_IS(D822,48,$G$5,$H$13)/[1]!S_STM07_IS(D822,9,$G$5,$H$13),([1]!S_STM07_CS(D822,87,$G$5,$H$13)+[1]!S_STM07_CS(D822,88,$G$5,$H$13)+[1]!S_STM07_CS(D822,89,$G$5,$H$13))/$E$5))</f>
        <v/>
      </c>
      <c r="K822" s="247" t="str">
        <f ca="1">IF(C822="","",IF($K$11="净利润率",[1]!S_STM07_IS(D822,61,$G$5,$H$13)/[1]!S_STM07_IS(D822,9,$G$5,$H$13),[1]!S_STM07_IS(D822,55,$G$5,$H$13)/$E$5))</f>
        <v/>
      </c>
      <c r="L822" s="247" t="str">
        <f ca="1">IF(C822="","",IF($L$11="ROA",[1]!S_STM07_IS(D822,61,$G$5,$H$13)/[1]!S_STM07_BS(D822,74,$G$5,$H$13),1-[1]!S_STM07_IS(D822,61,$G$5,$H$13)/[1]!S_STM07_IS(D822,55,$G$5,$H$13)))</f>
        <v/>
      </c>
      <c r="M822" s="247" t="str">
        <f ca="1">IF(C822="","",IF($M$11="ROE",[1]!S_STM07_IS(D822,61,$G$5,$H$13)/[1]!S_STM07_BS(D822,141,$G$5,$H$13),([1]!S_STM07_BS(D822,25,$G$5,$H$13)-[1]!S_STM07_BS(D822,93,$G$5,$H$13))/$E$5))</f>
        <v/>
      </c>
      <c r="N822" s="247" t="str">
        <f ca="1">IF(C822="","",IF($N$11="EPS",[1]!S_STM07_IS(D822,61,$G$5,$H$13)/IF([1]!S_SHARE_TOTAL(D822,$G$5)=0,[1]!S_SHARE_TOTAL(D822,[1]!s_ipo_listeddate(D822)),[1]!S_SHARE_TOTAL(D822,$G$5)),([1]!S_STM07_BS(D822,75,$G$5,$H$13)+[1]!S_STM07_BS(D822,88,$G$5,$H$13)+[1]!S_STM07_BS(D822,94,$G$5,$H$13)+[1]!S_STM07_BS(D822,95,$G$5,$H$13))/$E$5))</f>
        <v/>
      </c>
      <c r="O822" s="247" t="str">
        <f ca="1">IF(C822="","",IF($O$11="BPS",[1]!S_STM07_BS(D822,141,$G$5,$H$13)/IF([1]!S_SHARE_TOTAL(D822,$G$5)=0,[1]!S_SHARE_TOTAL(D822,[1]!s_ipo_listeddate(D822)),[1]!S_SHARE_TOTAL(D822,$G$5)),[1]!S_STM07_CS(D822,49,$G$5,$H$13)/$E$5))</f>
        <v/>
      </c>
      <c r="P822" s="247" t="str">
        <f ca="1">IF(C822="","",IF($P$11="CFPS",[1]!S_STM07_CS(D822,84,$G$5,$H$13)/IF([1]!S_SHARE_TOTAL(D822,$G$5)=0,[1]!S_SHARE_TOTAL(D822,[1]!s_ipo_listeddate(D822)),[1]!S_SHARE_TOTAL(D822,$G$5)),[1]!S_STM07_CS(D822,84,$G$5,$H$13)/$E$5))</f>
        <v/>
      </c>
      <c r="Q822" s="248" t="str">
        <f ca="1">IF(C822="","",F822/([1]!S_STM07_IS(D822,61,$G$5,$H$13)/IF([1]!S_SHARE_TOTAL(D822,$G$5)=0,[1]!S_SHARE_TOTAL(D822,[1]!s_ipo_listeddate(D822)),[1]!S_SHARE_TOTAL(D822,$G$5))))</f>
        <v/>
      </c>
      <c r="R822" s="248" t="str">
        <f ca="1">IF(C822="","",F822/([1]!S_STM07_BS(D822,141,$G$5,$H$13)/IF([1]!S_SHARE_TOTAL(D822,$G$5)=0,[1]!S_SHARE_TOTAL(D822,[1]!s_ipo_listeddate(D822)),[1]!S_SHARE_TOTAL(D822,$G$5))))</f>
        <v/>
      </c>
      <c r="S822" s="247" t="str">
        <f ca="1">IF(C822="","",[1]!S_SHARE_TOTAL(D822,TODAY())/$E$5)</f>
        <v/>
      </c>
      <c r="T822" s="247" t="str">
        <f t="shared" ca="1" si="85"/>
        <v/>
      </c>
      <c r="U822" s="218" t="str">
        <f t="shared" ca="1" si="86"/>
        <v/>
      </c>
      <c r="V822" s="342" t="str">
        <f t="shared" ca="1" si="87"/>
        <v/>
      </c>
      <c r="W822" s="139"/>
      <c r="Y822" s="1"/>
    </row>
    <row r="823" spans="3:25" ht="12" customHeight="1">
      <c r="C823" s="343" t="str">
        <f t="shared" ca="1" si="82"/>
        <v/>
      </c>
      <c r="D823" s="124" t="str">
        <f t="shared" ca="1" si="83"/>
        <v/>
      </c>
      <c r="E823" s="124" t="str">
        <f t="shared" ca="1" si="84"/>
        <v/>
      </c>
      <c r="F823" s="172" t="str">
        <f ca="1">IF(C823="","",[1]!S_DQ_CLOSE(D823,TODAY(),1))</f>
        <v/>
      </c>
      <c r="G823" s="173" t="str">
        <f ca="1">IF(C823="","",[1]!s_pq_pctchange(D823,TODAY()-$G$12,TODAY())/100)</f>
        <v/>
      </c>
      <c r="H823" s="249" t="str">
        <f ca="1">IF(C823="","",IF($H$11="收入",[1]!S_STM07_IS(D823,9,$G$5,$H$13)/$E$5,[1]!S_STM07_IS(D823,48,$G$5,$H$13)/$E$5))</f>
        <v/>
      </c>
      <c r="I823" s="249" t="str">
        <f ca="1">IF(C823="","",IF($I$11="毛利率",([1]!S_STM07_IS(D823,9,$G$5,$H$13)-[1]!S_STM07_IS(D823,10,$G$5,$H$13))/[1]!S_STM07_IS(D823,9,$G$5,$H$13),[1]!S_STM07_IS(D823,14,$G$5,$H$13)/$E$5))</f>
        <v/>
      </c>
      <c r="J823" s="249" t="str">
        <f ca="1">IF(C823="","",IF($J$11="营业利润率",[1]!S_STM07_IS(D823,48,$G$5,$H$13)/[1]!S_STM07_IS(D823,9,$G$5,$H$13),([1]!S_STM07_CS(D823,87,$G$5,$H$13)+[1]!S_STM07_CS(D823,88,$G$5,$H$13)+[1]!S_STM07_CS(D823,89,$G$5,$H$13))/$E$5))</f>
        <v/>
      </c>
      <c r="K823" s="249" t="str">
        <f ca="1">IF(C823="","",IF($K$11="净利润率",[1]!S_STM07_IS(D823,61,$G$5,$H$13)/[1]!S_STM07_IS(D823,9,$G$5,$H$13),[1]!S_STM07_IS(D823,55,$G$5,$H$13)/$E$5))</f>
        <v/>
      </c>
      <c r="L823" s="249" t="str">
        <f ca="1">IF(C823="","",IF($L$11="ROA",[1]!S_STM07_IS(D823,61,$G$5,$H$13)/[1]!S_STM07_BS(D823,74,$G$5,$H$13),1-[1]!S_STM07_IS(D823,61,$G$5,$H$13)/[1]!S_STM07_IS(D823,55,$G$5,$H$13)))</f>
        <v/>
      </c>
      <c r="M823" s="249" t="str">
        <f ca="1">IF(C823="","",IF($M$11="ROE",[1]!S_STM07_IS(D823,61,$G$5,$H$13)/[1]!S_STM07_BS(D823,141,$G$5,$H$13),([1]!S_STM07_BS(D823,25,$G$5,$H$13)-[1]!S_STM07_BS(D823,93,$G$5,$H$13))/$E$5))</f>
        <v/>
      </c>
      <c r="N823" s="250" t="str">
        <f ca="1">IF(C823="","",IF($N$11="EPS",[1]!S_STM07_IS(D823,61,$G$5,$H$13)/IF([1]!S_SHARE_TOTAL(D823,$G$5)=0,[1]!S_SHARE_TOTAL(D823,[1]!s_ipo_listeddate(D823)),[1]!S_SHARE_TOTAL(D823,$G$5)),([1]!S_STM07_BS(D823,75,$G$5,$H$13)+[1]!S_STM07_BS(D823,88,$G$5,$H$13)+[1]!S_STM07_BS(D823,94,$G$5,$H$13)+[1]!S_STM07_BS(D823,95,$G$5,$H$13))/$E$5))</f>
        <v/>
      </c>
      <c r="O823" s="250" t="str">
        <f ca="1">IF(C823="","",IF($O$11="BPS",[1]!S_STM07_BS(D823,141,$G$5,$H$13)/IF([1]!S_SHARE_TOTAL(D823,$G$5)=0,[1]!S_SHARE_TOTAL(D823,[1]!s_ipo_listeddate(D823)),[1]!S_SHARE_TOTAL(D823,$G$5)),[1]!S_STM07_CS(D823,49,$G$5,$H$13)/$E$5))</f>
        <v/>
      </c>
      <c r="P823" s="250" t="str">
        <f ca="1">IF(C823="","",IF($P$11="CFPS",[1]!S_STM07_CS(D823,84,$G$5,$H$13)/IF([1]!S_SHARE_TOTAL(D823,$G$5)=0,[1]!S_SHARE_TOTAL(D823,[1]!s_ipo_listeddate(D823)),[1]!S_SHARE_TOTAL(D823,$G$5)),[1]!S_STM07_CS(D823,84,$G$5,$H$13)/$E$5))</f>
        <v/>
      </c>
      <c r="Q823" s="198" t="str">
        <f ca="1">IF(C823="","",F823/([1]!S_STM07_IS(D823,61,$G$5,$H$13)/IF([1]!S_SHARE_TOTAL(D823,$G$5)=0,[1]!S_SHARE_TOTAL(D823,[1]!s_ipo_listeddate(D823)),[1]!S_SHARE_TOTAL(D823,$G$5))))</f>
        <v/>
      </c>
      <c r="R823" s="198" t="str">
        <f ca="1">IF(C823="","",F823/([1]!S_STM07_BS(D823,141,$G$5,$H$13)/IF([1]!S_SHARE_TOTAL(D823,$G$5)=0,[1]!S_SHARE_TOTAL(D823,[1]!s_ipo_listeddate(D823)),[1]!S_SHARE_TOTAL(D823,$G$5))))</f>
        <v/>
      </c>
      <c r="S823" s="249" t="str">
        <f ca="1">IF(C823="","",[1]!S_SHARE_TOTAL(D823,TODAY())/$E$5)</f>
        <v/>
      </c>
      <c r="T823" s="249" t="str">
        <f t="shared" ca="1" si="85"/>
        <v/>
      </c>
      <c r="U823" s="172" t="str">
        <f t="shared" ca="1" si="86"/>
        <v/>
      </c>
      <c r="V823" s="343" t="str">
        <f t="shared" ca="1" si="87"/>
        <v/>
      </c>
      <c r="W823" s="139"/>
      <c r="Y823" s="1"/>
    </row>
    <row r="824" spans="3:25" ht="12" customHeight="1">
      <c r="C824" s="342" t="str">
        <f t="shared" ca="1" si="82"/>
        <v/>
      </c>
      <c r="D824" s="153" t="str">
        <f t="shared" ca="1" si="83"/>
        <v/>
      </c>
      <c r="E824" s="153" t="str">
        <f t="shared" ca="1" si="84"/>
        <v/>
      </c>
      <c r="F824" s="170" t="str">
        <f ca="1">IF(C824="","",[1]!S_DQ_CLOSE(D824,TODAY(),1))</f>
        <v/>
      </c>
      <c r="G824" s="171" t="str">
        <f ca="1">IF(C824="","",[1]!s_pq_pctchange(D824,TODAY()-$G$12,TODAY())/100)</f>
        <v/>
      </c>
      <c r="H824" s="247" t="str">
        <f ca="1">IF(C824="","",IF($H$11="收入",[1]!S_STM07_IS(D824,9,$G$5,$H$13)/$E$5,[1]!S_STM07_IS(D824,48,$G$5,$H$13)/$E$5))</f>
        <v/>
      </c>
      <c r="I824" s="247" t="str">
        <f ca="1">IF(C824="","",IF($I$11="毛利率",([1]!S_STM07_IS(D824,9,$G$5,$H$13)-[1]!S_STM07_IS(D824,10,$G$5,$H$13))/[1]!S_STM07_IS(D824,9,$G$5,$H$13),[1]!S_STM07_IS(D824,14,$G$5,$H$13)/$E$5))</f>
        <v/>
      </c>
      <c r="J824" s="247" t="str">
        <f ca="1">IF(C824="","",IF($J$11="营业利润率",[1]!S_STM07_IS(D824,48,$G$5,$H$13)/[1]!S_STM07_IS(D824,9,$G$5,$H$13),([1]!S_STM07_CS(D824,87,$G$5,$H$13)+[1]!S_STM07_CS(D824,88,$G$5,$H$13)+[1]!S_STM07_CS(D824,89,$G$5,$H$13))/$E$5))</f>
        <v/>
      </c>
      <c r="K824" s="247" t="str">
        <f ca="1">IF(C824="","",IF($K$11="净利润率",[1]!S_STM07_IS(D824,61,$G$5,$H$13)/[1]!S_STM07_IS(D824,9,$G$5,$H$13),[1]!S_STM07_IS(D824,55,$G$5,$H$13)/$E$5))</f>
        <v/>
      </c>
      <c r="L824" s="247" t="str">
        <f ca="1">IF(C824="","",IF($L$11="ROA",[1]!S_STM07_IS(D824,61,$G$5,$H$13)/[1]!S_STM07_BS(D824,74,$G$5,$H$13),1-[1]!S_STM07_IS(D824,61,$G$5,$H$13)/[1]!S_STM07_IS(D824,55,$G$5,$H$13)))</f>
        <v/>
      </c>
      <c r="M824" s="247" t="str">
        <f ca="1">IF(C824="","",IF($M$11="ROE",[1]!S_STM07_IS(D824,61,$G$5,$H$13)/[1]!S_STM07_BS(D824,141,$G$5,$H$13),([1]!S_STM07_BS(D824,25,$G$5,$H$13)-[1]!S_STM07_BS(D824,93,$G$5,$H$13))/$E$5))</f>
        <v/>
      </c>
      <c r="N824" s="247" t="str">
        <f ca="1">IF(C824="","",IF($N$11="EPS",[1]!S_STM07_IS(D824,61,$G$5,$H$13)/IF([1]!S_SHARE_TOTAL(D824,$G$5)=0,[1]!S_SHARE_TOTAL(D824,[1]!s_ipo_listeddate(D824)),[1]!S_SHARE_TOTAL(D824,$G$5)),([1]!S_STM07_BS(D824,75,$G$5,$H$13)+[1]!S_STM07_BS(D824,88,$G$5,$H$13)+[1]!S_STM07_BS(D824,94,$G$5,$H$13)+[1]!S_STM07_BS(D824,95,$G$5,$H$13))/$E$5))</f>
        <v/>
      </c>
      <c r="O824" s="247" t="str">
        <f ca="1">IF(C824="","",IF($O$11="BPS",[1]!S_STM07_BS(D824,141,$G$5,$H$13)/IF([1]!S_SHARE_TOTAL(D824,$G$5)=0,[1]!S_SHARE_TOTAL(D824,[1]!s_ipo_listeddate(D824)),[1]!S_SHARE_TOTAL(D824,$G$5)),[1]!S_STM07_CS(D824,49,$G$5,$H$13)/$E$5))</f>
        <v/>
      </c>
      <c r="P824" s="247" t="str">
        <f ca="1">IF(C824="","",IF($P$11="CFPS",[1]!S_STM07_CS(D824,84,$G$5,$H$13)/IF([1]!S_SHARE_TOTAL(D824,$G$5)=0,[1]!S_SHARE_TOTAL(D824,[1]!s_ipo_listeddate(D824)),[1]!S_SHARE_TOTAL(D824,$G$5)),[1]!S_STM07_CS(D824,84,$G$5,$H$13)/$E$5))</f>
        <v/>
      </c>
      <c r="Q824" s="248" t="str">
        <f ca="1">IF(C824="","",F824/([1]!S_STM07_IS(D824,61,$G$5,$H$13)/IF([1]!S_SHARE_TOTAL(D824,$G$5)=0,[1]!S_SHARE_TOTAL(D824,[1]!s_ipo_listeddate(D824)),[1]!S_SHARE_TOTAL(D824,$G$5))))</f>
        <v/>
      </c>
      <c r="R824" s="248" t="str">
        <f ca="1">IF(C824="","",F824/([1]!S_STM07_BS(D824,141,$G$5,$H$13)/IF([1]!S_SHARE_TOTAL(D824,$G$5)=0,[1]!S_SHARE_TOTAL(D824,[1]!s_ipo_listeddate(D824)),[1]!S_SHARE_TOTAL(D824,$G$5))))</f>
        <v/>
      </c>
      <c r="S824" s="247" t="str">
        <f ca="1">IF(C824="","",[1]!S_SHARE_TOTAL(D824,TODAY())/$E$5)</f>
        <v/>
      </c>
      <c r="T824" s="247" t="str">
        <f t="shared" ca="1" si="85"/>
        <v/>
      </c>
      <c r="U824" s="218" t="str">
        <f t="shared" ca="1" si="86"/>
        <v/>
      </c>
      <c r="V824" s="342" t="str">
        <f t="shared" ca="1" si="87"/>
        <v/>
      </c>
      <c r="W824" s="139"/>
      <c r="Y824" s="1"/>
    </row>
    <row r="825" spans="3:25" ht="12" customHeight="1">
      <c r="C825" s="343" t="str">
        <f t="shared" ca="1" si="82"/>
        <v/>
      </c>
      <c r="D825" s="124" t="str">
        <f t="shared" ca="1" si="83"/>
        <v/>
      </c>
      <c r="E825" s="124" t="str">
        <f t="shared" ca="1" si="84"/>
        <v/>
      </c>
      <c r="F825" s="172" t="str">
        <f ca="1">IF(C825="","",[1]!S_DQ_CLOSE(D825,TODAY(),1))</f>
        <v/>
      </c>
      <c r="G825" s="173" t="str">
        <f ca="1">IF(C825="","",[1]!s_pq_pctchange(D825,TODAY()-$G$12,TODAY())/100)</f>
        <v/>
      </c>
      <c r="H825" s="249" t="str">
        <f ca="1">IF(C825="","",IF($H$11="收入",[1]!S_STM07_IS(D825,9,$G$5,$H$13)/$E$5,[1]!S_STM07_IS(D825,48,$G$5,$H$13)/$E$5))</f>
        <v/>
      </c>
      <c r="I825" s="249" t="str">
        <f ca="1">IF(C825="","",IF($I$11="毛利率",([1]!S_STM07_IS(D825,9,$G$5,$H$13)-[1]!S_STM07_IS(D825,10,$G$5,$H$13))/[1]!S_STM07_IS(D825,9,$G$5,$H$13),[1]!S_STM07_IS(D825,14,$G$5,$H$13)/$E$5))</f>
        <v/>
      </c>
      <c r="J825" s="249" t="str">
        <f ca="1">IF(C825="","",IF($J$11="营业利润率",[1]!S_STM07_IS(D825,48,$G$5,$H$13)/[1]!S_STM07_IS(D825,9,$G$5,$H$13),([1]!S_STM07_CS(D825,87,$G$5,$H$13)+[1]!S_STM07_CS(D825,88,$G$5,$H$13)+[1]!S_STM07_CS(D825,89,$G$5,$H$13))/$E$5))</f>
        <v/>
      </c>
      <c r="K825" s="249" t="str">
        <f ca="1">IF(C825="","",IF($K$11="净利润率",[1]!S_STM07_IS(D825,61,$G$5,$H$13)/[1]!S_STM07_IS(D825,9,$G$5,$H$13),[1]!S_STM07_IS(D825,55,$G$5,$H$13)/$E$5))</f>
        <v/>
      </c>
      <c r="L825" s="249" t="str">
        <f ca="1">IF(C825="","",IF($L$11="ROA",[1]!S_STM07_IS(D825,61,$G$5,$H$13)/[1]!S_STM07_BS(D825,74,$G$5,$H$13),1-[1]!S_STM07_IS(D825,61,$G$5,$H$13)/[1]!S_STM07_IS(D825,55,$G$5,$H$13)))</f>
        <v/>
      </c>
      <c r="M825" s="249" t="str">
        <f ca="1">IF(C825="","",IF($M$11="ROE",[1]!S_STM07_IS(D825,61,$G$5,$H$13)/[1]!S_STM07_BS(D825,141,$G$5,$H$13),([1]!S_STM07_BS(D825,25,$G$5,$H$13)-[1]!S_STM07_BS(D825,93,$G$5,$H$13))/$E$5))</f>
        <v/>
      </c>
      <c r="N825" s="250" t="str">
        <f ca="1">IF(C825="","",IF($N$11="EPS",[1]!S_STM07_IS(D825,61,$G$5,$H$13)/IF([1]!S_SHARE_TOTAL(D825,$G$5)=0,[1]!S_SHARE_TOTAL(D825,[1]!s_ipo_listeddate(D825)),[1]!S_SHARE_TOTAL(D825,$G$5)),([1]!S_STM07_BS(D825,75,$G$5,$H$13)+[1]!S_STM07_BS(D825,88,$G$5,$H$13)+[1]!S_STM07_BS(D825,94,$G$5,$H$13)+[1]!S_STM07_BS(D825,95,$G$5,$H$13))/$E$5))</f>
        <v/>
      </c>
      <c r="O825" s="250" t="str">
        <f ca="1">IF(C825="","",IF($O$11="BPS",[1]!S_STM07_BS(D825,141,$G$5,$H$13)/IF([1]!S_SHARE_TOTAL(D825,$G$5)=0,[1]!S_SHARE_TOTAL(D825,[1]!s_ipo_listeddate(D825)),[1]!S_SHARE_TOTAL(D825,$G$5)),[1]!S_STM07_CS(D825,49,$G$5,$H$13)/$E$5))</f>
        <v/>
      </c>
      <c r="P825" s="250" t="str">
        <f ca="1">IF(C825="","",IF($P$11="CFPS",[1]!S_STM07_CS(D825,84,$G$5,$H$13)/IF([1]!S_SHARE_TOTAL(D825,$G$5)=0,[1]!S_SHARE_TOTAL(D825,[1]!s_ipo_listeddate(D825)),[1]!S_SHARE_TOTAL(D825,$G$5)),[1]!S_STM07_CS(D825,84,$G$5,$H$13)/$E$5))</f>
        <v/>
      </c>
      <c r="Q825" s="198" t="str">
        <f ca="1">IF(C825="","",F825/([1]!S_STM07_IS(D825,61,$G$5,$H$13)/IF([1]!S_SHARE_TOTAL(D825,$G$5)=0,[1]!S_SHARE_TOTAL(D825,[1]!s_ipo_listeddate(D825)),[1]!S_SHARE_TOTAL(D825,$G$5))))</f>
        <v/>
      </c>
      <c r="R825" s="198" t="str">
        <f ca="1">IF(C825="","",F825/([1]!S_STM07_BS(D825,141,$G$5,$H$13)/IF([1]!S_SHARE_TOTAL(D825,$G$5)=0,[1]!S_SHARE_TOTAL(D825,[1]!s_ipo_listeddate(D825)),[1]!S_SHARE_TOTAL(D825,$G$5))))</f>
        <v/>
      </c>
      <c r="S825" s="249" t="str">
        <f ca="1">IF(C825="","",[1]!S_SHARE_TOTAL(D825,TODAY())/$E$5)</f>
        <v/>
      </c>
      <c r="T825" s="249" t="str">
        <f t="shared" ca="1" si="85"/>
        <v/>
      </c>
      <c r="U825" s="172" t="str">
        <f t="shared" ca="1" si="86"/>
        <v/>
      </c>
      <c r="V825" s="343" t="str">
        <f t="shared" ca="1" si="87"/>
        <v/>
      </c>
      <c r="W825" s="139"/>
      <c r="Y825" s="1"/>
    </row>
    <row r="826" spans="3:25" ht="12" customHeight="1">
      <c r="C826" s="342" t="str">
        <f t="shared" ca="1" si="82"/>
        <v/>
      </c>
      <c r="D826" s="153" t="str">
        <f t="shared" ca="1" si="83"/>
        <v/>
      </c>
      <c r="E826" s="153" t="str">
        <f t="shared" ca="1" si="84"/>
        <v/>
      </c>
      <c r="F826" s="170" t="str">
        <f ca="1">IF(C826="","",[1]!S_DQ_CLOSE(D826,TODAY(),1))</f>
        <v/>
      </c>
      <c r="G826" s="171" t="str">
        <f ca="1">IF(C826="","",[1]!s_pq_pctchange(D826,TODAY()-$G$12,TODAY())/100)</f>
        <v/>
      </c>
      <c r="H826" s="247" t="str">
        <f ca="1">IF(C826="","",IF($H$11="收入",[1]!S_STM07_IS(D826,9,$G$5,$H$13)/$E$5,[1]!S_STM07_IS(D826,48,$G$5,$H$13)/$E$5))</f>
        <v/>
      </c>
      <c r="I826" s="247" t="str">
        <f ca="1">IF(C826="","",IF($I$11="毛利率",([1]!S_STM07_IS(D826,9,$G$5,$H$13)-[1]!S_STM07_IS(D826,10,$G$5,$H$13))/[1]!S_STM07_IS(D826,9,$G$5,$H$13),[1]!S_STM07_IS(D826,14,$G$5,$H$13)/$E$5))</f>
        <v/>
      </c>
      <c r="J826" s="247" t="str">
        <f ca="1">IF(C826="","",IF($J$11="营业利润率",[1]!S_STM07_IS(D826,48,$G$5,$H$13)/[1]!S_STM07_IS(D826,9,$G$5,$H$13),([1]!S_STM07_CS(D826,87,$G$5,$H$13)+[1]!S_STM07_CS(D826,88,$G$5,$H$13)+[1]!S_STM07_CS(D826,89,$G$5,$H$13))/$E$5))</f>
        <v/>
      </c>
      <c r="K826" s="247" t="str">
        <f ca="1">IF(C826="","",IF($K$11="净利润率",[1]!S_STM07_IS(D826,61,$G$5,$H$13)/[1]!S_STM07_IS(D826,9,$G$5,$H$13),[1]!S_STM07_IS(D826,55,$G$5,$H$13)/$E$5))</f>
        <v/>
      </c>
      <c r="L826" s="247" t="str">
        <f ca="1">IF(C826="","",IF($L$11="ROA",[1]!S_STM07_IS(D826,61,$G$5,$H$13)/[1]!S_STM07_BS(D826,74,$G$5,$H$13),1-[1]!S_STM07_IS(D826,61,$G$5,$H$13)/[1]!S_STM07_IS(D826,55,$G$5,$H$13)))</f>
        <v/>
      </c>
      <c r="M826" s="247" t="str">
        <f ca="1">IF(C826="","",IF($M$11="ROE",[1]!S_STM07_IS(D826,61,$G$5,$H$13)/[1]!S_STM07_BS(D826,141,$G$5,$H$13),([1]!S_STM07_BS(D826,25,$G$5,$H$13)-[1]!S_STM07_BS(D826,93,$G$5,$H$13))/$E$5))</f>
        <v/>
      </c>
      <c r="N826" s="247" t="str">
        <f ca="1">IF(C826="","",IF($N$11="EPS",[1]!S_STM07_IS(D826,61,$G$5,$H$13)/IF([1]!S_SHARE_TOTAL(D826,$G$5)=0,[1]!S_SHARE_TOTAL(D826,[1]!s_ipo_listeddate(D826)),[1]!S_SHARE_TOTAL(D826,$G$5)),([1]!S_STM07_BS(D826,75,$G$5,$H$13)+[1]!S_STM07_BS(D826,88,$G$5,$H$13)+[1]!S_STM07_BS(D826,94,$G$5,$H$13)+[1]!S_STM07_BS(D826,95,$G$5,$H$13))/$E$5))</f>
        <v/>
      </c>
      <c r="O826" s="247" t="str">
        <f ca="1">IF(C826="","",IF($O$11="BPS",[1]!S_STM07_BS(D826,141,$G$5,$H$13)/IF([1]!S_SHARE_TOTAL(D826,$G$5)=0,[1]!S_SHARE_TOTAL(D826,[1]!s_ipo_listeddate(D826)),[1]!S_SHARE_TOTAL(D826,$G$5)),[1]!S_STM07_CS(D826,49,$G$5,$H$13)/$E$5))</f>
        <v/>
      </c>
      <c r="P826" s="247" t="str">
        <f ca="1">IF(C826="","",IF($P$11="CFPS",[1]!S_STM07_CS(D826,84,$G$5,$H$13)/IF([1]!S_SHARE_TOTAL(D826,$G$5)=0,[1]!S_SHARE_TOTAL(D826,[1]!s_ipo_listeddate(D826)),[1]!S_SHARE_TOTAL(D826,$G$5)),[1]!S_STM07_CS(D826,84,$G$5,$H$13)/$E$5))</f>
        <v/>
      </c>
      <c r="Q826" s="248" t="str">
        <f ca="1">IF(C826="","",F826/([1]!S_STM07_IS(D826,61,$G$5,$H$13)/IF([1]!S_SHARE_TOTAL(D826,$G$5)=0,[1]!S_SHARE_TOTAL(D826,[1]!s_ipo_listeddate(D826)),[1]!S_SHARE_TOTAL(D826,$G$5))))</f>
        <v/>
      </c>
      <c r="R826" s="248" t="str">
        <f ca="1">IF(C826="","",F826/([1]!S_STM07_BS(D826,141,$G$5,$H$13)/IF([1]!S_SHARE_TOTAL(D826,$G$5)=0,[1]!S_SHARE_TOTAL(D826,[1]!s_ipo_listeddate(D826)),[1]!S_SHARE_TOTAL(D826,$G$5))))</f>
        <v/>
      </c>
      <c r="S826" s="247" t="str">
        <f ca="1">IF(C826="","",[1]!S_SHARE_TOTAL(D826,TODAY())/$E$5)</f>
        <v/>
      </c>
      <c r="T826" s="247" t="str">
        <f t="shared" ca="1" si="85"/>
        <v/>
      </c>
      <c r="U826" s="218" t="str">
        <f t="shared" ca="1" si="86"/>
        <v/>
      </c>
      <c r="V826" s="342" t="str">
        <f t="shared" ca="1" si="87"/>
        <v/>
      </c>
      <c r="W826" s="139"/>
      <c r="Y826" s="1"/>
    </row>
    <row r="827" spans="3:25" ht="12" customHeight="1">
      <c r="C827" s="343" t="str">
        <f t="shared" ca="1" si="82"/>
        <v/>
      </c>
      <c r="D827" s="124" t="str">
        <f t="shared" ca="1" si="83"/>
        <v/>
      </c>
      <c r="E827" s="124" t="str">
        <f t="shared" ca="1" si="84"/>
        <v/>
      </c>
      <c r="F827" s="172" t="str">
        <f ca="1">IF(C827="","",[1]!S_DQ_CLOSE(D827,TODAY(),1))</f>
        <v/>
      </c>
      <c r="G827" s="173" t="str">
        <f ca="1">IF(C827="","",[1]!s_pq_pctchange(D827,TODAY()-$G$12,TODAY())/100)</f>
        <v/>
      </c>
      <c r="H827" s="249" t="str">
        <f ca="1">IF(C827="","",IF($H$11="收入",[1]!S_STM07_IS(D827,9,$G$5,$H$13)/$E$5,[1]!S_STM07_IS(D827,48,$G$5,$H$13)/$E$5))</f>
        <v/>
      </c>
      <c r="I827" s="249" t="str">
        <f ca="1">IF(C827="","",IF($I$11="毛利率",([1]!S_STM07_IS(D827,9,$G$5,$H$13)-[1]!S_STM07_IS(D827,10,$G$5,$H$13))/[1]!S_STM07_IS(D827,9,$G$5,$H$13),[1]!S_STM07_IS(D827,14,$G$5,$H$13)/$E$5))</f>
        <v/>
      </c>
      <c r="J827" s="249" t="str">
        <f ca="1">IF(C827="","",IF($J$11="营业利润率",[1]!S_STM07_IS(D827,48,$G$5,$H$13)/[1]!S_STM07_IS(D827,9,$G$5,$H$13),([1]!S_STM07_CS(D827,87,$G$5,$H$13)+[1]!S_STM07_CS(D827,88,$G$5,$H$13)+[1]!S_STM07_CS(D827,89,$G$5,$H$13))/$E$5))</f>
        <v/>
      </c>
      <c r="K827" s="249" t="str">
        <f ca="1">IF(C827="","",IF($K$11="净利润率",[1]!S_STM07_IS(D827,61,$G$5,$H$13)/[1]!S_STM07_IS(D827,9,$G$5,$H$13),[1]!S_STM07_IS(D827,55,$G$5,$H$13)/$E$5))</f>
        <v/>
      </c>
      <c r="L827" s="249" t="str">
        <f ca="1">IF(C827="","",IF($L$11="ROA",[1]!S_STM07_IS(D827,61,$G$5,$H$13)/[1]!S_STM07_BS(D827,74,$G$5,$H$13),1-[1]!S_STM07_IS(D827,61,$G$5,$H$13)/[1]!S_STM07_IS(D827,55,$G$5,$H$13)))</f>
        <v/>
      </c>
      <c r="M827" s="249" t="str">
        <f ca="1">IF(C827="","",IF($M$11="ROE",[1]!S_STM07_IS(D827,61,$G$5,$H$13)/[1]!S_STM07_BS(D827,141,$G$5,$H$13),([1]!S_STM07_BS(D827,25,$G$5,$H$13)-[1]!S_STM07_BS(D827,93,$G$5,$H$13))/$E$5))</f>
        <v/>
      </c>
      <c r="N827" s="250" t="str">
        <f ca="1">IF(C827="","",IF($N$11="EPS",[1]!S_STM07_IS(D827,61,$G$5,$H$13)/IF([1]!S_SHARE_TOTAL(D827,$G$5)=0,[1]!S_SHARE_TOTAL(D827,[1]!s_ipo_listeddate(D827)),[1]!S_SHARE_TOTAL(D827,$G$5)),([1]!S_STM07_BS(D827,75,$G$5,$H$13)+[1]!S_STM07_BS(D827,88,$G$5,$H$13)+[1]!S_STM07_BS(D827,94,$G$5,$H$13)+[1]!S_STM07_BS(D827,95,$G$5,$H$13))/$E$5))</f>
        <v/>
      </c>
      <c r="O827" s="250" t="str">
        <f ca="1">IF(C827="","",IF($O$11="BPS",[1]!S_STM07_BS(D827,141,$G$5,$H$13)/IF([1]!S_SHARE_TOTAL(D827,$G$5)=0,[1]!S_SHARE_TOTAL(D827,[1]!s_ipo_listeddate(D827)),[1]!S_SHARE_TOTAL(D827,$G$5)),[1]!S_STM07_CS(D827,49,$G$5,$H$13)/$E$5))</f>
        <v/>
      </c>
      <c r="P827" s="250" t="str">
        <f ca="1">IF(C827="","",IF($P$11="CFPS",[1]!S_STM07_CS(D827,84,$G$5,$H$13)/IF([1]!S_SHARE_TOTAL(D827,$G$5)=0,[1]!S_SHARE_TOTAL(D827,[1]!s_ipo_listeddate(D827)),[1]!S_SHARE_TOTAL(D827,$G$5)),[1]!S_STM07_CS(D827,84,$G$5,$H$13)/$E$5))</f>
        <v/>
      </c>
      <c r="Q827" s="198" t="str">
        <f ca="1">IF(C827="","",F827/([1]!S_STM07_IS(D827,61,$G$5,$H$13)/IF([1]!S_SHARE_TOTAL(D827,$G$5)=0,[1]!S_SHARE_TOTAL(D827,[1]!s_ipo_listeddate(D827)),[1]!S_SHARE_TOTAL(D827,$G$5))))</f>
        <v/>
      </c>
      <c r="R827" s="198" t="str">
        <f ca="1">IF(C827="","",F827/([1]!S_STM07_BS(D827,141,$G$5,$H$13)/IF([1]!S_SHARE_TOTAL(D827,$G$5)=0,[1]!S_SHARE_TOTAL(D827,[1]!s_ipo_listeddate(D827)),[1]!S_SHARE_TOTAL(D827,$G$5))))</f>
        <v/>
      </c>
      <c r="S827" s="249" t="str">
        <f ca="1">IF(C827="","",[1]!S_SHARE_TOTAL(D827,TODAY())/$E$5)</f>
        <v/>
      </c>
      <c r="T827" s="249" t="str">
        <f t="shared" ca="1" si="85"/>
        <v/>
      </c>
      <c r="U827" s="172" t="str">
        <f t="shared" ca="1" si="86"/>
        <v/>
      </c>
      <c r="V827" s="343" t="str">
        <f t="shared" ca="1" si="87"/>
        <v/>
      </c>
      <c r="W827" s="139"/>
      <c r="Y827" s="1"/>
    </row>
    <row r="828" spans="3:25" ht="12" customHeight="1">
      <c r="C828" s="342" t="str">
        <f t="shared" ca="1" si="82"/>
        <v/>
      </c>
      <c r="D828" s="153" t="str">
        <f t="shared" ca="1" si="83"/>
        <v/>
      </c>
      <c r="E828" s="153" t="str">
        <f t="shared" ca="1" si="84"/>
        <v/>
      </c>
      <c r="F828" s="170" t="str">
        <f ca="1">IF(C828="","",[1]!S_DQ_CLOSE(D828,TODAY(),1))</f>
        <v/>
      </c>
      <c r="G828" s="171" t="str">
        <f ca="1">IF(C828="","",[1]!s_pq_pctchange(D828,TODAY()-$G$12,TODAY())/100)</f>
        <v/>
      </c>
      <c r="H828" s="247" t="str">
        <f ca="1">IF(C828="","",IF($H$11="收入",[1]!S_STM07_IS(D828,9,$G$5,$H$13)/$E$5,[1]!S_STM07_IS(D828,48,$G$5,$H$13)/$E$5))</f>
        <v/>
      </c>
      <c r="I828" s="247" t="str">
        <f ca="1">IF(C828="","",IF($I$11="毛利率",([1]!S_STM07_IS(D828,9,$G$5,$H$13)-[1]!S_STM07_IS(D828,10,$G$5,$H$13))/[1]!S_STM07_IS(D828,9,$G$5,$H$13),[1]!S_STM07_IS(D828,14,$G$5,$H$13)/$E$5))</f>
        <v/>
      </c>
      <c r="J828" s="247" t="str">
        <f ca="1">IF(C828="","",IF($J$11="营业利润率",[1]!S_STM07_IS(D828,48,$G$5,$H$13)/[1]!S_STM07_IS(D828,9,$G$5,$H$13),([1]!S_STM07_CS(D828,87,$G$5,$H$13)+[1]!S_STM07_CS(D828,88,$G$5,$H$13)+[1]!S_STM07_CS(D828,89,$G$5,$H$13))/$E$5))</f>
        <v/>
      </c>
      <c r="K828" s="247" t="str">
        <f ca="1">IF(C828="","",IF($K$11="净利润率",[1]!S_STM07_IS(D828,61,$G$5,$H$13)/[1]!S_STM07_IS(D828,9,$G$5,$H$13),[1]!S_STM07_IS(D828,55,$G$5,$H$13)/$E$5))</f>
        <v/>
      </c>
      <c r="L828" s="247" t="str">
        <f ca="1">IF(C828="","",IF($L$11="ROA",[1]!S_STM07_IS(D828,61,$G$5,$H$13)/[1]!S_STM07_BS(D828,74,$G$5,$H$13),1-[1]!S_STM07_IS(D828,61,$G$5,$H$13)/[1]!S_STM07_IS(D828,55,$G$5,$H$13)))</f>
        <v/>
      </c>
      <c r="M828" s="247" t="str">
        <f ca="1">IF(C828="","",IF($M$11="ROE",[1]!S_STM07_IS(D828,61,$G$5,$H$13)/[1]!S_STM07_BS(D828,141,$G$5,$H$13),([1]!S_STM07_BS(D828,25,$G$5,$H$13)-[1]!S_STM07_BS(D828,93,$G$5,$H$13))/$E$5))</f>
        <v/>
      </c>
      <c r="N828" s="247" t="str">
        <f ca="1">IF(C828="","",IF($N$11="EPS",[1]!S_STM07_IS(D828,61,$G$5,$H$13)/IF([1]!S_SHARE_TOTAL(D828,$G$5)=0,[1]!S_SHARE_TOTAL(D828,[1]!s_ipo_listeddate(D828)),[1]!S_SHARE_TOTAL(D828,$G$5)),([1]!S_STM07_BS(D828,75,$G$5,$H$13)+[1]!S_STM07_BS(D828,88,$G$5,$H$13)+[1]!S_STM07_BS(D828,94,$G$5,$H$13)+[1]!S_STM07_BS(D828,95,$G$5,$H$13))/$E$5))</f>
        <v/>
      </c>
      <c r="O828" s="247" t="str">
        <f ca="1">IF(C828="","",IF($O$11="BPS",[1]!S_STM07_BS(D828,141,$G$5,$H$13)/IF([1]!S_SHARE_TOTAL(D828,$G$5)=0,[1]!S_SHARE_TOTAL(D828,[1]!s_ipo_listeddate(D828)),[1]!S_SHARE_TOTAL(D828,$G$5)),[1]!S_STM07_CS(D828,49,$G$5,$H$13)/$E$5))</f>
        <v/>
      </c>
      <c r="P828" s="247" t="str">
        <f ca="1">IF(C828="","",IF($P$11="CFPS",[1]!S_STM07_CS(D828,84,$G$5,$H$13)/IF([1]!S_SHARE_TOTAL(D828,$G$5)=0,[1]!S_SHARE_TOTAL(D828,[1]!s_ipo_listeddate(D828)),[1]!S_SHARE_TOTAL(D828,$G$5)),[1]!S_STM07_CS(D828,84,$G$5,$H$13)/$E$5))</f>
        <v/>
      </c>
      <c r="Q828" s="248" t="str">
        <f ca="1">IF(C828="","",F828/([1]!S_STM07_IS(D828,61,$G$5,$H$13)/IF([1]!S_SHARE_TOTAL(D828,$G$5)=0,[1]!S_SHARE_TOTAL(D828,[1]!s_ipo_listeddate(D828)),[1]!S_SHARE_TOTAL(D828,$G$5))))</f>
        <v/>
      </c>
      <c r="R828" s="248" t="str">
        <f ca="1">IF(C828="","",F828/([1]!S_STM07_BS(D828,141,$G$5,$H$13)/IF([1]!S_SHARE_TOTAL(D828,$G$5)=0,[1]!S_SHARE_TOTAL(D828,[1]!s_ipo_listeddate(D828)),[1]!S_SHARE_TOTAL(D828,$G$5))))</f>
        <v/>
      </c>
      <c r="S828" s="247" t="str">
        <f ca="1">IF(C828="","",[1]!S_SHARE_TOTAL(D828,TODAY())/$E$5)</f>
        <v/>
      </c>
      <c r="T828" s="247" t="str">
        <f t="shared" ca="1" si="85"/>
        <v/>
      </c>
      <c r="U828" s="218" t="str">
        <f t="shared" ca="1" si="86"/>
        <v/>
      </c>
      <c r="V828" s="342" t="str">
        <f t="shared" ca="1" si="87"/>
        <v/>
      </c>
      <c r="W828" s="139"/>
      <c r="Y828" s="1"/>
    </row>
    <row r="829" spans="3:25" ht="12" customHeight="1">
      <c r="C829" s="343" t="str">
        <f t="shared" ca="1" si="82"/>
        <v/>
      </c>
      <c r="D829" s="124" t="str">
        <f t="shared" ca="1" si="83"/>
        <v/>
      </c>
      <c r="E829" s="124" t="str">
        <f t="shared" ca="1" si="84"/>
        <v/>
      </c>
      <c r="F829" s="172" t="str">
        <f ca="1">IF(C829="","",[1]!S_DQ_CLOSE(D829,TODAY(),1))</f>
        <v/>
      </c>
      <c r="G829" s="173" t="str">
        <f ca="1">IF(C829="","",[1]!s_pq_pctchange(D829,TODAY()-$G$12,TODAY())/100)</f>
        <v/>
      </c>
      <c r="H829" s="249" t="str">
        <f ca="1">IF(C829="","",IF($H$11="收入",[1]!S_STM07_IS(D829,9,$G$5,$H$13)/$E$5,[1]!S_STM07_IS(D829,48,$G$5,$H$13)/$E$5))</f>
        <v/>
      </c>
      <c r="I829" s="249" t="str">
        <f ca="1">IF(C829="","",IF($I$11="毛利率",([1]!S_STM07_IS(D829,9,$G$5,$H$13)-[1]!S_STM07_IS(D829,10,$G$5,$H$13))/[1]!S_STM07_IS(D829,9,$G$5,$H$13),[1]!S_STM07_IS(D829,14,$G$5,$H$13)/$E$5))</f>
        <v/>
      </c>
      <c r="J829" s="249" t="str">
        <f ca="1">IF(C829="","",IF($J$11="营业利润率",[1]!S_STM07_IS(D829,48,$G$5,$H$13)/[1]!S_STM07_IS(D829,9,$G$5,$H$13),([1]!S_STM07_CS(D829,87,$G$5,$H$13)+[1]!S_STM07_CS(D829,88,$G$5,$H$13)+[1]!S_STM07_CS(D829,89,$G$5,$H$13))/$E$5))</f>
        <v/>
      </c>
      <c r="K829" s="249" t="str">
        <f ca="1">IF(C829="","",IF($K$11="净利润率",[1]!S_STM07_IS(D829,61,$G$5,$H$13)/[1]!S_STM07_IS(D829,9,$G$5,$H$13),[1]!S_STM07_IS(D829,55,$G$5,$H$13)/$E$5))</f>
        <v/>
      </c>
      <c r="L829" s="249" t="str">
        <f ca="1">IF(C829="","",IF($L$11="ROA",[1]!S_STM07_IS(D829,61,$G$5,$H$13)/[1]!S_STM07_BS(D829,74,$G$5,$H$13),1-[1]!S_STM07_IS(D829,61,$G$5,$H$13)/[1]!S_STM07_IS(D829,55,$G$5,$H$13)))</f>
        <v/>
      </c>
      <c r="M829" s="249" t="str">
        <f ca="1">IF(C829="","",IF($M$11="ROE",[1]!S_STM07_IS(D829,61,$G$5,$H$13)/[1]!S_STM07_BS(D829,141,$G$5,$H$13),([1]!S_STM07_BS(D829,25,$G$5,$H$13)-[1]!S_STM07_BS(D829,93,$G$5,$H$13))/$E$5))</f>
        <v/>
      </c>
      <c r="N829" s="250" t="str">
        <f ca="1">IF(C829="","",IF($N$11="EPS",[1]!S_STM07_IS(D829,61,$G$5,$H$13)/IF([1]!S_SHARE_TOTAL(D829,$G$5)=0,[1]!S_SHARE_TOTAL(D829,[1]!s_ipo_listeddate(D829)),[1]!S_SHARE_TOTAL(D829,$G$5)),([1]!S_STM07_BS(D829,75,$G$5,$H$13)+[1]!S_STM07_BS(D829,88,$G$5,$H$13)+[1]!S_STM07_BS(D829,94,$G$5,$H$13)+[1]!S_STM07_BS(D829,95,$G$5,$H$13))/$E$5))</f>
        <v/>
      </c>
      <c r="O829" s="250" t="str">
        <f ca="1">IF(C829="","",IF($O$11="BPS",[1]!S_STM07_BS(D829,141,$G$5,$H$13)/IF([1]!S_SHARE_TOTAL(D829,$G$5)=0,[1]!S_SHARE_TOTAL(D829,[1]!s_ipo_listeddate(D829)),[1]!S_SHARE_TOTAL(D829,$G$5)),[1]!S_STM07_CS(D829,49,$G$5,$H$13)/$E$5))</f>
        <v/>
      </c>
      <c r="P829" s="250" t="str">
        <f ca="1">IF(C829="","",IF($P$11="CFPS",[1]!S_STM07_CS(D829,84,$G$5,$H$13)/IF([1]!S_SHARE_TOTAL(D829,$G$5)=0,[1]!S_SHARE_TOTAL(D829,[1]!s_ipo_listeddate(D829)),[1]!S_SHARE_TOTAL(D829,$G$5)),[1]!S_STM07_CS(D829,84,$G$5,$H$13)/$E$5))</f>
        <v/>
      </c>
      <c r="Q829" s="198" t="str">
        <f ca="1">IF(C829="","",F829/([1]!S_STM07_IS(D829,61,$G$5,$H$13)/IF([1]!S_SHARE_TOTAL(D829,$G$5)=0,[1]!S_SHARE_TOTAL(D829,[1]!s_ipo_listeddate(D829)),[1]!S_SHARE_TOTAL(D829,$G$5))))</f>
        <v/>
      </c>
      <c r="R829" s="198" t="str">
        <f ca="1">IF(C829="","",F829/([1]!S_STM07_BS(D829,141,$G$5,$H$13)/IF([1]!S_SHARE_TOTAL(D829,$G$5)=0,[1]!S_SHARE_TOTAL(D829,[1]!s_ipo_listeddate(D829)),[1]!S_SHARE_TOTAL(D829,$G$5))))</f>
        <v/>
      </c>
      <c r="S829" s="249" t="str">
        <f ca="1">IF(C829="","",[1]!S_SHARE_TOTAL(D829,TODAY())/$E$5)</f>
        <v/>
      </c>
      <c r="T829" s="249" t="str">
        <f t="shared" ca="1" si="85"/>
        <v/>
      </c>
      <c r="U829" s="172" t="str">
        <f t="shared" ca="1" si="86"/>
        <v/>
      </c>
      <c r="V829" s="343" t="str">
        <f t="shared" ca="1" si="87"/>
        <v/>
      </c>
      <c r="W829" s="139"/>
      <c r="Y829" s="1"/>
    </row>
    <row r="830" spans="3:25" ht="12" customHeight="1">
      <c r="C830" s="342" t="str">
        <f t="shared" ca="1" si="82"/>
        <v/>
      </c>
      <c r="D830" s="153" t="str">
        <f t="shared" ca="1" si="83"/>
        <v/>
      </c>
      <c r="E830" s="153" t="str">
        <f t="shared" ca="1" si="84"/>
        <v/>
      </c>
      <c r="F830" s="170" t="str">
        <f ca="1">IF(C830="","",[1]!S_DQ_CLOSE(D830,TODAY(),1))</f>
        <v/>
      </c>
      <c r="G830" s="171" t="str">
        <f ca="1">IF(C830="","",[1]!s_pq_pctchange(D830,TODAY()-$G$12,TODAY())/100)</f>
        <v/>
      </c>
      <c r="H830" s="247" t="str">
        <f ca="1">IF(C830="","",IF($H$11="收入",[1]!S_STM07_IS(D830,9,$G$5,$H$13)/$E$5,[1]!S_STM07_IS(D830,48,$G$5,$H$13)/$E$5))</f>
        <v/>
      </c>
      <c r="I830" s="247" t="str">
        <f ca="1">IF(C830="","",IF($I$11="毛利率",([1]!S_STM07_IS(D830,9,$G$5,$H$13)-[1]!S_STM07_IS(D830,10,$G$5,$H$13))/[1]!S_STM07_IS(D830,9,$G$5,$H$13),[1]!S_STM07_IS(D830,14,$G$5,$H$13)/$E$5))</f>
        <v/>
      </c>
      <c r="J830" s="247" t="str">
        <f ca="1">IF(C830="","",IF($J$11="营业利润率",[1]!S_STM07_IS(D830,48,$G$5,$H$13)/[1]!S_STM07_IS(D830,9,$G$5,$H$13),([1]!S_STM07_CS(D830,87,$G$5,$H$13)+[1]!S_STM07_CS(D830,88,$G$5,$H$13)+[1]!S_STM07_CS(D830,89,$G$5,$H$13))/$E$5))</f>
        <v/>
      </c>
      <c r="K830" s="247" t="str">
        <f ca="1">IF(C830="","",IF($K$11="净利润率",[1]!S_STM07_IS(D830,61,$G$5,$H$13)/[1]!S_STM07_IS(D830,9,$G$5,$H$13),[1]!S_STM07_IS(D830,55,$G$5,$H$13)/$E$5))</f>
        <v/>
      </c>
      <c r="L830" s="247" t="str">
        <f ca="1">IF(C830="","",IF($L$11="ROA",[1]!S_STM07_IS(D830,61,$G$5,$H$13)/[1]!S_STM07_BS(D830,74,$G$5,$H$13),1-[1]!S_STM07_IS(D830,61,$G$5,$H$13)/[1]!S_STM07_IS(D830,55,$G$5,$H$13)))</f>
        <v/>
      </c>
      <c r="M830" s="247" t="str">
        <f ca="1">IF(C830="","",IF($M$11="ROE",[1]!S_STM07_IS(D830,61,$G$5,$H$13)/[1]!S_STM07_BS(D830,141,$G$5,$H$13),([1]!S_STM07_BS(D830,25,$G$5,$H$13)-[1]!S_STM07_BS(D830,93,$G$5,$H$13))/$E$5))</f>
        <v/>
      </c>
      <c r="N830" s="247" t="str">
        <f ca="1">IF(C830="","",IF($N$11="EPS",[1]!S_STM07_IS(D830,61,$G$5,$H$13)/IF([1]!S_SHARE_TOTAL(D830,$G$5)=0,[1]!S_SHARE_TOTAL(D830,[1]!s_ipo_listeddate(D830)),[1]!S_SHARE_TOTAL(D830,$G$5)),([1]!S_STM07_BS(D830,75,$G$5,$H$13)+[1]!S_STM07_BS(D830,88,$G$5,$H$13)+[1]!S_STM07_BS(D830,94,$G$5,$H$13)+[1]!S_STM07_BS(D830,95,$G$5,$H$13))/$E$5))</f>
        <v/>
      </c>
      <c r="O830" s="247" t="str">
        <f ca="1">IF(C830="","",IF($O$11="BPS",[1]!S_STM07_BS(D830,141,$G$5,$H$13)/IF([1]!S_SHARE_TOTAL(D830,$G$5)=0,[1]!S_SHARE_TOTAL(D830,[1]!s_ipo_listeddate(D830)),[1]!S_SHARE_TOTAL(D830,$G$5)),[1]!S_STM07_CS(D830,49,$G$5,$H$13)/$E$5))</f>
        <v/>
      </c>
      <c r="P830" s="247" t="str">
        <f ca="1">IF(C830="","",IF($P$11="CFPS",[1]!S_STM07_CS(D830,84,$G$5,$H$13)/IF([1]!S_SHARE_TOTAL(D830,$G$5)=0,[1]!S_SHARE_TOTAL(D830,[1]!s_ipo_listeddate(D830)),[1]!S_SHARE_TOTAL(D830,$G$5)),[1]!S_STM07_CS(D830,84,$G$5,$H$13)/$E$5))</f>
        <v/>
      </c>
      <c r="Q830" s="248" t="str">
        <f ca="1">IF(C830="","",F830/([1]!S_STM07_IS(D830,61,$G$5,$H$13)/IF([1]!S_SHARE_TOTAL(D830,$G$5)=0,[1]!S_SHARE_TOTAL(D830,[1]!s_ipo_listeddate(D830)),[1]!S_SHARE_TOTAL(D830,$G$5))))</f>
        <v/>
      </c>
      <c r="R830" s="248" t="str">
        <f ca="1">IF(C830="","",F830/([1]!S_STM07_BS(D830,141,$G$5,$H$13)/IF([1]!S_SHARE_TOTAL(D830,$G$5)=0,[1]!S_SHARE_TOTAL(D830,[1]!s_ipo_listeddate(D830)),[1]!S_SHARE_TOTAL(D830,$G$5))))</f>
        <v/>
      </c>
      <c r="S830" s="247" t="str">
        <f ca="1">IF(C830="","",[1]!S_SHARE_TOTAL(D830,TODAY())/$E$5)</f>
        <v/>
      </c>
      <c r="T830" s="247" t="str">
        <f t="shared" ca="1" si="85"/>
        <v/>
      </c>
      <c r="U830" s="218" t="str">
        <f t="shared" ca="1" si="86"/>
        <v/>
      </c>
      <c r="V830" s="342" t="str">
        <f t="shared" ca="1" si="87"/>
        <v/>
      </c>
      <c r="W830" s="139"/>
      <c r="Y830" s="1"/>
    </row>
    <row r="831" spans="3:25" ht="12" customHeight="1">
      <c r="C831" s="343" t="str">
        <f t="shared" ca="1" si="82"/>
        <v/>
      </c>
      <c r="D831" s="124" t="str">
        <f t="shared" ca="1" si="83"/>
        <v/>
      </c>
      <c r="E831" s="124" t="str">
        <f t="shared" ca="1" si="84"/>
        <v/>
      </c>
      <c r="F831" s="172" t="str">
        <f ca="1">IF(C831="","",[1]!S_DQ_CLOSE(D831,TODAY(),1))</f>
        <v/>
      </c>
      <c r="G831" s="173" t="str">
        <f ca="1">IF(C831="","",[1]!s_pq_pctchange(D831,TODAY()-$G$12,TODAY())/100)</f>
        <v/>
      </c>
      <c r="H831" s="249" t="str">
        <f ca="1">IF(C831="","",IF($H$11="收入",[1]!S_STM07_IS(D831,9,$G$5,$H$13)/$E$5,[1]!S_STM07_IS(D831,48,$G$5,$H$13)/$E$5))</f>
        <v/>
      </c>
      <c r="I831" s="249" t="str">
        <f ca="1">IF(C831="","",IF($I$11="毛利率",([1]!S_STM07_IS(D831,9,$G$5,$H$13)-[1]!S_STM07_IS(D831,10,$G$5,$H$13))/[1]!S_STM07_IS(D831,9,$G$5,$H$13),[1]!S_STM07_IS(D831,14,$G$5,$H$13)/$E$5))</f>
        <v/>
      </c>
      <c r="J831" s="249" t="str">
        <f ca="1">IF(C831="","",IF($J$11="营业利润率",[1]!S_STM07_IS(D831,48,$G$5,$H$13)/[1]!S_STM07_IS(D831,9,$G$5,$H$13),([1]!S_STM07_CS(D831,87,$G$5,$H$13)+[1]!S_STM07_CS(D831,88,$G$5,$H$13)+[1]!S_STM07_CS(D831,89,$G$5,$H$13))/$E$5))</f>
        <v/>
      </c>
      <c r="K831" s="249" t="str">
        <f ca="1">IF(C831="","",IF($K$11="净利润率",[1]!S_STM07_IS(D831,61,$G$5,$H$13)/[1]!S_STM07_IS(D831,9,$G$5,$H$13),[1]!S_STM07_IS(D831,55,$G$5,$H$13)/$E$5))</f>
        <v/>
      </c>
      <c r="L831" s="249" t="str">
        <f ca="1">IF(C831="","",IF($L$11="ROA",[1]!S_STM07_IS(D831,61,$G$5,$H$13)/[1]!S_STM07_BS(D831,74,$G$5,$H$13),1-[1]!S_STM07_IS(D831,61,$G$5,$H$13)/[1]!S_STM07_IS(D831,55,$G$5,$H$13)))</f>
        <v/>
      </c>
      <c r="M831" s="249" t="str">
        <f ca="1">IF(C831="","",IF($M$11="ROE",[1]!S_STM07_IS(D831,61,$G$5,$H$13)/[1]!S_STM07_BS(D831,141,$G$5,$H$13),([1]!S_STM07_BS(D831,25,$G$5,$H$13)-[1]!S_STM07_BS(D831,93,$G$5,$H$13))/$E$5))</f>
        <v/>
      </c>
      <c r="N831" s="250" t="str">
        <f ca="1">IF(C831="","",IF($N$11="EPS",[1]!S_STM07_IS(D831,61,$G$5,$H$13)/IF([1]!S_SHARE_TOTAL(D831,$G$5)=0,[1]!S_SHARE_TOTAL(D831,[1]!s_ipo_listeddate(D831)),[1]!S_SHARE_TOTAL(D831,$G$5)),([1]!S_STM07_BS(D831,75,$G$5,$H$13)+[1]!S_STM07_BS(D831,88,$G$5,$H$13)+[1]!S_STM07_BS(D831,94,$G$5,$H$13)+[1]!S_STM07_BS(D831,95,$G$5,$H$13))/$E$5))</f>
        <v/>
      </c>
      <c r="O831" s="250" t="str">
        <f ca="1">IF(C831="","",IF($O$11="BPS",[1]!S_STM07_BS(D831,141,$G$5,$H$13)/IF([1]!S_SHARE_TOTAL(D831,$G$5)=0,[1]!S_SHARE_TOTAL(D831,[1]!s_ipo_listeddate(D831)),[1]!S_SHARE_TOTAL(D831,$G$5)),[1]!S_STM07_CS(D831,49,$G$5,$H$13)/$E$5))</f>
        <v/>
      </c>
      <c r="P831" s="250" t="str">
        <f ca="1">IF(C831="","",IF($P$11="CFPS",[1]!S_STM07_CS(D831,84,$G$5,$H$13)/IF([1]!S_SHARE_TOTAL(D831,$G$5)=0,[1]!S_SHARE_TOTAL(D831,[1]!s_ipo_listeddate(D831)),[1]!S_SHARE_TOTAL(D831,$G$5)),[1]!S_STM07_CS(D831,84,$G$5,$H$13)/$E$5))</f>
        <v/>
      </c>
      <c r="Q831" s="198" t="str">
        <f ca="1">IF(C831="","",F831/([1]!S_STM07_IS(D831,61,$G$5,$H$13)/IF([1]!S_SHARE_TOTAL(D831,$G$5)=0,[1]!S_SHARE_TOTAL(D831,[1]!s_ipo_listeddate(D831)),[1]!S_SHARE_TOTAL(D831,$G$5))))</f>
        <v/>
      </c>
      <c r="R831" s="198" t="str">
        <f ca="1">IF(C831="","",F831/([1]!S_STM07_BS(D831,141,$G$5,$H$13)/IF([1]!S_SHARE_TOTAL(D831,$G$5)=0,[1]!S_SHARE_TOTAL(D831,[1]!s_ipo_listeddate(D831)),[1]!S_SHARE_TOTAL(D831,$G$5))))</f>
        <v/>
      </c>
      <c r="S831" s="249" t="str">
        <f ca="1">IF(C831="","",[1]!S_SHARE_TOTAL(D831,TODAY())/$E$5)</f>
        <v/>
      </c>
      <c r="T831" s="249" t="str">
        <f t="shared" ca="1" si="85"/>
        <v/>
      </c>
      <c r="U831" s="172" t="str">
        <f t="shared" ca="1" si="86"/>
        <v/>
      </c>
      <c r="V831" s="343" t="str">
        <f t="shared" ca="1" si="87"/>
        <v/>
      </c>
      <c r="W831" s="139"/>
      <c r="Y831" s="1"/>
    </row>
    <row r="832" spans="3:25" ht="12" customHeight="1">
      <c r="C832" s="342" t="str">
        <f t="shared" ca="1" si="82"/>
        <v/>
      </c>
      <c r="D832" s="153" t="str">
        <f t="shared" ca="1" si="83"/>
        <v/>
      </c>
      <c r="E832" s="153" t="str">
        <f t="shared" ca="1" si="84"/>
        <v/>
      </c>
      <c r="F832" s="170" t="str">
        <f ca="1">IF(C832="","",[1]!S_DQ_CLOSE(D832,TODAY(),1))</f>
        <v/>
      </c>
      <c r="G832" s="171" t="str">
        <f ca="1">IF(C832="","",[1]!s_pq_pctchange(D832,TODAY()-$G$12,TODAY())/100)</f>
        <v/>
      </c>
      <c r="H832" s="247" t="str">
        <f ca="1">IF(C832="","",IF($H$11="收入",[1]!S_STM07_IS(D832,9,$G$5,$H$13)/$E$5,[1]!S_STM07_IS(D832,48,$G$5,$H$13)/$E$5))</f>
        <v/>
      </c>
      <c r="I832" s="247" t="str">
        <f ca="1">IF(C832="","",IF($I$11="毛利率",([1]!S_STM07_IS(D832,9,$G$5,$H$13)-[1]!S_STM07_IS(D832,10,$G$5,$H$13))/[1]!S_STM07_IS(D832,9,$G$5,$H$13),[1]!S_STM07_IS(D832,14,$G$5,$H$13)/$E$5))</f>
        <v/>
      </c>
      <c r="J832" s="247" t="str">
        <f ca="1">IF(C832="","",IF($J$11="营业利润率",[1]!S_STM07_IS(D832,48,$G$5,$H$13)/[1]!S_STM07_IS(D832,9,$G$5,$H$13),([1]!S_STM07_CS(D832,87,$G$5,$H$13)+[1]!S_STM07_CS(D832,88,$G$5,$H$13)+[1]!S_STM07_CS(D832,89,$G$5,$H$13))/$E$5))</f>
        <v/>
      </c>
      <c r="K832" s="247" t="str">
        <f ca="1">IF(C832="","",IF($K$11="净利润率",[1]!S_STM07_IS(D832,61,$G$5,$H$13)/[1]!S_STM07_IS(D832,9,$G$5,$H$13),[1]!S_STM07_IS(D832,55,$G$5,$H$13)/$E$5))</f>
        <v/>
      </c>
      <c r="L832" s="247" t="str">
        <f ca="1">IF(C832="","",IF($L$11="ROA",[1]!S_STM07_IS(D832,61,$G$5,$H$13)/[1]!S_STM07_BS(D832,74,$G$5,$H$13),1-[1]!S_STM07_IS(D832,61,$G$5,$H$13)/[1]!S_STM07_IS(D832,55,$G$5,$H$13)))</f>
        <v/>
      </c>
      <c r="M832" s="247" t="str">
        <f ca="1">IF(C832="","",IF($M$11="ROE",[1]!S_STM07_IS(D832,61,$G$5,$H$13)/[1]!S_STM07_BS(D832,141,$G$5,$H$13),([1]!S_STM07_BS(D832,25,$G$5,$H$13)-[1]!S_STM07_BS(D832,93,$G$5,$H$13))/$E$5))</f>
        <v/>
      </c>
      <c r="N832" s="247" t="str">
        <f ca="1">IF(C832="","",IF($N$11="EPS",[1]!S_STM07_IS(D832,61,$G$5,$H$13)/IF([1]!S_SHARE_TOTAL(D832,$G$5)=0,[1]!S_SHARE_TOTAL(D832,[1]!s_ipo_listeddate(D832)),[1]!S_SHARE_TOTAL(D832,$G$5)),([1]!S_STM07_BS(D832,75,$G$5,$H$13)+[1]!S_STM07_BS(D832,88,$G$5,$H$13)+[1]!S_STM07_BS(D832,94,$G$5,$H$13)+[1]!S_STM07_BS(D832,95,$G$5,$H$13))/$E$5))</f>
        <v/>
      </c>
      <c r="O832" s="247" t="str">
        <f ca="1">IF(C832="","",IF($O$11="BPS",[1]!S_STM07_BS(D832,141,$G$5,$H$13)/IF([1]!S_SHARE_TOTAL(D832,$G$5)=0,[1]!S_SHARE_TOTAL(D832,[1]!s_ipo_listeddate(D832)),[1]!S_SHARE_TOTAL(D832,$G$5)),[1]!S_STM07_CS(D832,49,$G$5,$H$13)/$E$5))</f>
        <v/>
      </c>
      <c r="P832" s="247" t="str">
        <f ca="1">IF(C832="","",IF($P$11="CFPS",[1]!S_STM07_CS(D832,84,$G$5,$H$13)/IF([1]!S_SHARE_TOTAL(D832,$G$5)=0,[1]!S_SHARE_TOTAL(D832,[1]!s_ipo_listeddate(D832)),[1]!S_SHARE_TOTAL(D832,$G$5)),[1]!S_STM07_CS(D832,84,$G$5,$H$13)/$E$5))</f>
        <v/>
      </c>
      <c r="Q832" s="248" t="str">
        <f ca="1">IF(C832="","",F832/([1]!S_STM07_IS(D832,61,$G$5,$H$13)/IF([1]!S_SHARE_TOTAL(D832,$G$5)=0,[1]!S_SHARE_TOTAL(D832,[1]!s_ipo_listeddate(D832)),[1]!S_SHARE_TOTAL(D832,$G$5))))</f>
        <v/>
      </c>
      <c r="R832" s="248" t="str">
        <f ca="1">IF(C832="","",F832/([1]!S_STM07_BS(D832,141,$G$5,$H$13)/IF([1]!S_SHARE_TOTAL(D832,$G$5)=0,[1]!S_SHARE_TOTAL(D832,[1]!s_ipo_listeddate(D832)),[1]!S_SHARE_TOTAL(D832,$G$5))))</f>
        <v/>
      </c>
      <c r="S832" s="247" t="str">
        <f ca="1">IF(C832="","",[1]!S_SHARE_TOTAL(D832,TODAY())/$E$5)</f>
        <v/>
      </c>
      <c r="T832" s="247" t="str">
        <f t="shared" ca="1" si="85"/>
        <v/>
      </c>
      <c r="U832" s="218" t="str">
        <f t="shared" ca="1" si="86"/>
        <v/>
      </c>
      <c r="V832" s="342" t="str">
        <f t="shared" ca="1" si="87"/>
        <v/>
      </c>
      <c r="W832" s="139"/>
      <c r="Y832" s="1"/>
    </row>
    <row r="833" spans="3:25" ht="12" customHeight="1">
      <c r="C833" s="343" t="str">
        <f t="shared" ca="1" si="82"/>
        <v/>
      </c>
      <c r="D833" s="124" t="str">
        <f t="shared" ca="1" si="83"/>
        <v/>
      </c>
      <c r="E833" s="124" t="str">
        <f t="shared" ca="1" si="84"/>
        <v/>
      </c>
      <c r="F833" s="172" t="str">
        <f ca="1">IF(C833="","",[1]!S_DQ_CLOSE(D833,TODAY(),1))</f>
        <v/>
      </c>
      <c r="G833" s="173" t="str">
        <f ca="1">IF(C833="","",[1]!s_pq_pctchange(D833,TODAY()-$G$12,TODAY())/100)</f>
        <v/>
      </c>
      <c r="H833" s="249" t="str">
        <f ca="1">IF(C833="","",IF($H$11="收入",[1]!S_STM07_IS(D833,9,$G$5,$H$13)/$E$5,[1]!S_STM07_IS(D833,48,$G$5,$H$13)/$E$5))</f>
        <v/>
      </c>
      <c r="I833" s="249" t="str">
        <f ca="1">IF(C833="","",IF($I$11="毛利率",([1]!S_STM07_IS(D833,9,$G$5,$H$13)-[1]!S_STM07_IS(D833,10,$G$5,$H$13))/[1]!S_STM07_IS(D833,9,$G$5,$H$13),[1]!S_STM07_IS(D833,14,$G$5,$H$13)/$E$5))</f>
        <v/>
      </c>
      <c r="J833" s="249" t="str">
        <f ca="1">IF(C833="","",IF($J$11="营业利润率",[1]!S_STM07_IS(D833,48,$G$5,$H$13)/[1]!S_STM07_IS(D833,9,$G$5,$H$13),([1]!S_STM07_CS(D833,87,$G$5,$H$13)+[1]!S_STM07_CS(D833,88,$G$5,$H$13)+[1]!S_STM07_CS(D833,89,$G$5,$H$13))/$E$5))</f>
        <v/>
      </c>
      <c r="K833" s="249" t="str">
        <f ca="1">IF(C833="","",IF($K$11="净利润率",[1]!S_STM07_IS(D833,61,$G$5,$H$13)/[1]!S_STM07_IS(D833,9,$G$5,$H$13),[1]!S_STM07_IS(D833,55,$G$5,$H$13)/$E$5))</f>
        <v/>
      </c>
      <c r="L833" s="249" t="str">
        <f ca="1">IF(C833="","",IF($L$11="ROA",[1]!S_STM07_IS(D833,61,$G$5,$H$13)/[1]!S_STM07_BS(D833,74,$G$5,$H$13),1-[1]!S_STM07_IS(D833,61,$G$5,$H$13)/[1]!S_STM07_IS(D833,55,$G$5,$H$13)))</f>
        <v/>
      </c>
      <c r="M833" s="249" t="str">
        <f ca="1">IF(C833="","",IF($M$11="ROE",[1]!S_STM07_IS(D833,61,$G$5,$H$13)/[1]!S_STM07_BS(D833,141,$G$5,$H$13),([1]!S_STM07_BS(D833,25,$G$5,$H$13)-[1]!S_STM07_BS(D833,93,$G$5,$H$13))/$E$5))</f>
        <v/>
      </c>
      <c r="N833" s="250" t="str">
        <f ca="1">IF(C833="","",IF($N$11="EPS",[1]!S_STM07_IS(D833,61,$G$5,$H$13)/IF([1]!S_SHARE_TOTAL(D833,$G$5)=0,[1]!S_SHARE_TOTAL(D833,[1]!s_ipo_listeddate(D833)),[1]!S_SHARE_TOTAL(D833,$G$5)),([1]!S_STM07_BS(D833,75,$G$5,$H$13)+[1]!S_STM07_BS(D833,88,$G$5,$H$13)+[1]!S_STM07_BS(D833,94,$G$5,$H$13)+[1]!S_STM07_BS(D833,95,$G$5,$H$13))/$E$5))</f>
        <v/>
      </c>
      <c r="O833" s="250" t="str">
        <f ca="1">IF(C833="","",IF($O$11="BPS",[1]!S_STM07_BS(D833,141,$G$5,$H$13)/IF([1]!S_SHARE_TOTAL(D833,$G$5)=0,[1]!S_SHARE_TOTAL(D833,[1]!s_ipo_listeddate(D833)),[1]!S_SHARE_TOTAL(D833,$G$5)),[1]!S_STM07_CS(D833,49,$G$5,$H$13)/$E$5))</f>
        <v/>
      </c>
      <c r="P833" s="250" t="str">
        <f ca="1">IF(C833="","",IF($P$11="CFPS",[1]!S_STM07_CS(D833,84,$G$5,$H$13)/IF([1]!S_SHARE_TOTAL(D833,$G$5)=0,[1]!S_SHARE_TOTAL(D833,[1]!s_ipo_listeddate(D833)),[1]!S_SHARE_TOTAL(D833,$G$5)),[1]!S_STM07_CS(D833,84,$G$5,$H$13)/$E$5))</f>
        <v/>
      </c>
      <c r="Q833" s="198" t="str">
        <f ca="1">IF(C833="","",F833/([1]!S_STM07_IS(D833,61,$G$5,$H$13)/IF([1]!S_SHARE_TOTAL(D833,$G$5)=0,[1]!S_SHARE_TOTAL(D833,[1]!s_ipo_listeddate(D833)),[1]!S_SHARE_TOTAL(D833,$G$5))))</f>
        <v/>
      </c>
      <c r="R833" s="198" t="str">
        <f ca="1">IF(C833="","",F833/([1]!S_STM07_BS(D833,141,$G$5,$H$13)/IF([1]!S_SHARE_TOTAL(D833,$G$5)=0,[1]!S_SHARE_TOTAL(D833,[1]!s_ipo_listeddate(D833)),[1]!S_SHARE_TOTAL(D833,$G$5))))</f>
        <v/>
      </c>
      <c r="S833" s="249" t="str">
        <f ca="1">IF(C833="","",[1]!S_SHARE_TOTAL(D833,TODAY())/$E$5)</f>
        <v/>
      </c>
      <c r="T833" s="249" t="str">
        <f t="shared" ca="1" si="85"/>
        <v/>
      </c>
      <c r="U833" s="172" t="str">
        <f t="shared" ca="1" si="86"/>
        <v/>
      </c>
      <c r="V833" s="343" t="str">
        <f t="shared" ca="1" si="87"/>
        <v/>
      </c>
      <c r="W833" s="139"/>
      <c r="Y833" s="1"/>
    </row>
    <row r="834" spans="3:25" ht="12" customHeight="1">
      <c r="C834" s="342" t="str">
        <f t="shared" ca="1" si="82"/>
        <v/>
      </c>
      <c r="D834" s="153" t="str">
        <f t="shared" ca="1" si="83"/>
        <v/>
      </c>
      <c r="E834" s="153" t="str">
        <f t="shared" ca="1" si="84"/>
        <v/>
      </c>
      <c r="F834" s="170" t="str">
        <f ca="1">IF(C834="","",[1]!S_DQ_CLOSE(D834,TODAY(),1))</f>
        <v/>
      </c>
      <c r="G834" s="171" t="str">
        <f ca="1">IF(C834="","",[1]!s_pq_pctchange(D834,TODAY()-$G$12,TODAY())/100)</f>
        <v/>
      </c>
      <c r="H834" s="247" t="str">
        <f ca="1">IF(C834="","",IF($H$11="收入",[1]!S_STM07_IS(D834,9,$G$5,$H$13)/$E$5,[1]!S_STM07_IS(D834,48,$G$5,$H$13)/$E$5))</f>
        <v/>
      </c>
      <c r="I834" s="247" t="str">
        <f ca="1">IF(C834="","",IF($I$11="毛利率",([1]!S_STM07_IS(D834,9,$G$5,$H$13)-[1]!S_STM07_IS(D834,10,$G$5,$H$13))/[1]!S_STM07_IS(D834,9,$G$5,$H$13),[1]!S_STM07_IS(D834,14,$G$5,$H$13)/$E$5))</f>
        <v/>
      </c>
      <c r="J834" s="247" t="str">
        <f ca="1">IF(C834="","",IF($J$11="营业利润率",[1]!S_STM07_IS(D834,48,$G$5,$H$13)/[1]!S_STM07_IS(D834,9,$G$5,$H$13),([1]!S_STM07_CS(D834,87,$G$5,$H$13)+[1]!S_STM07_CS(D834,88,$G$5,$H$13)+[1]!S_STM07_CS(D834,89,$G$5,$H$13))/$E$5))</f>
        <v/>
      </c>
      <c r="K834" s="247" t="str">
        <f ca="1">IF(C834="","",IF($K$11="净利润率",[1]!S_STM07_IS(D834,61,$G$5,$H$13)/[1]!S_STM07_IS(D834,9,$G$5,$H$13),[1]!S_STM07_IS(D834,55,$G$5,$H$13)/$E$5))</f>
        <v/>
      </c>
      <c r="L834" s="247" t="str">
        <f ca="1">IF(C834="","",IF($L$11="ROA",[1]!S_STM07_IS(D834,61,$G$5,$H$13)/[1]!S_STM07_BS(D834,74,$G$5,$H$13),1-[1]!S_STM07_IS(D834,61,$G$5,$H$13)/[1]!S_STM07_IS(D834,55,$G$5,$H$13)))</f>
        <v/>
      </c>
      <c r="M834" s="247" t="str">
        <f ca="1">IF(C834="","",IF($M$11="ROE",[1]!S_STM07_IS(D834,61,$G$5,$H$13)/[1]!S_STM07_BS(D834,141,$G$5,$H$13),([1]!S_STM07_BS(D834,25,$G$5,$H$13)-[1]!S_STM07_BS(D834,93,$G$5,$H$13))/$E$5))</f>
        <v/>
      </c>
      <c r="N834" s="247" t="str">
        <f ca="1">IF(C834="","",IF($N$11="EPS",[1]!S_STM07_IS(D834,61,$G$5,$H$13)/IF([1]!S_SHARE_TOTAL(D834,$G$5)=0,[1]!S_SHARE_TOTAL(D834,[1]!s_ipo_listeddate(D834)),[1]!S_SHARE_TOTAL(D834,$G$5)),([1]!S_STM07_BS(D834,75,$G$5,$H$13)+[1]!S_STM07_BS(D834,88,$G$5,$H$13)+[1]!S_STM07_BS(D834,94,$G$5,$H$13)+[1]!S_STM07_BS(D834,95,$G$5,$H$13))/$E$5))</f>
        <v/>
      </c>
      <c r="O834" s="247" t="str">
        <f ca="1">IF(C834="","",IF($O$11="BPS",[1]!S_STM07_BS(D834,141,$G$5,$H$13)/IF([1]!S_SHARE_TOTAL(D834,$G$5)=0,[1]!S_SHARE_TOTAL(D834,[1]!s_ipo_listeddate(D834)),[1]!S_SHARE_TOTAL(D834,$G$5)),[1]!S_STM07_CS(D834,49,$G$5,$H$13)/$E$5))</f>
        <v/>
      </c>
      <c r="P834" s="247" t="str">
        <f ca="1">IF(C834="","",IF($P$11="CFPS",[1]!S_STM07_CS(D834,84,$G$5,$H$13)/IF([1]!S_SHARE_TOTAL(D834,$G$5)=0,[1]!S_SHARE_TOTAL(D834,[1]!s_ipo_listeddate(D834)),[1]!S_SHARE_TOTAL(D834,$G$5)),[1]!S_STM07_CS(D834,84,$G$5,$H$13)/$E$5))</f>
        <v/>
      </c>
      <c r="Q834" s="248" t="str">
        <f ca="1">IF(C834="","",F834/([1]!S_STM07_IS(D834,61,$G$5,$H$13)/IF([1]!S_SHARE_TOTAL(D834,$G$5)=0,[1]!S_SHARE_TOTAL(D834,[1]!s_ipo_listeddate(D834)),[1]!S_SHARE_TOTAL(D834,$G$5))))</f>
        <v/>
      </c>
      <c r="R834" s="248" t="str">
        <f ca="1">IF(C834="","",F834/([1]!S_STM07_BS(D834,141,$G$5,$H$13)/IF([1]!S_SHARE_TOTAL(D834,$G$5)=0,[1]!S_SHARE_TOTAL(D834,[1]!s_ipo_listeddate(D834)),[1]!S_SHARE_TOTAL(D834,$G$5))))</f>
        <v/>
      </c>
      <c r="S834" s="247" t="str">
        <f ca="1">IF(C834="","",[1]!S_SHARE_TOTAL(D834,TODAY())/$E$5)</f>
        <v/>
      </c>
      <c r="T834" s="247" t="str">
        <f t="shared" ca="1" si="85"/>
        <v/>
      </c>
      <c r="U834" s="218" t="str">
        <f t="shared" ca="1" si="86"/>
        <v/>
      </c>
      <c r="V834" s="342" t="str">
        <f t="shared" ca="1" si="87"/>
        <v/>
      </c>
      <c r="W834" s="139"/>
      <c r="Y834" s="1"/>
    </row>
    <row r="835" spans="3:25" ht="12" customHeight="1">
      <c r="C835" s="343" t="str">
        <f t="shared" ca="1" si="82"/>
        <v/>
      </c>
      <c r="D835" s="124" t="str">
        <f t="shared" ca="1" si="83"/>
        <v/>
      </c>
      <c r="E835" s="124" t="str">
        <f t="shared" ca="1" si="84"/>
        <v/>
      </c>
      <c r="F835" s="172" t="str">
        <f ca="1">IF(C835="","",[1]!S_DQ_CLOSE(D835,TODAY(),1))</f>
        <v/>
      </c>
      <c r="G835" s="173" t="str">
        <f ca="1">IF(C835="","",[1]!s_pq_pctchange(D835,TODAY()-$G$12,TODAY())/100)</f>
        <v/>
      </c>
      <c r="H835" s="249" t="str">
        <f ca="1">IF(C835="","",IF($H$11="收入",[1]!S_STM07_IS(D835,9,$G$5,$H$13)/$E$5,[1]!S_STM07_IS(D835,48,$G$5,$H$13)/$E$5))</f>
        <v/>
      </c>
      <c r="I835" s="249" t="str">
        <f ca="1">IF(C835="","",IF($I$11="毛利率",([1]!S_STM07_IS(D835,9,$G$5,$H$13)-[1]!S_STM07_IS(D835,10,$G$5,$H$13))/[1]!S_STM07_IS(D835,9,$G$5,$H$13),[1]!S_STM07_IS(D835,14,$G$5,$H$13)/$E$5))</f>
        <v/>
      </c>
      <c r="J835" s="249" t="str">
        <f ca="1">IF(C835="","",IF($J$11="营业利润率",[1]!S_STM07_IS(D835,48,$G$5,$H$13)/[1]!S_STM07_IS(D835,9,$G$5,$H$13),([1]!S_STM07_CS(D835,87,$G$5,$H$13)+[1]!S_STM07_CS(D835,88,$G$5,$H$13)+[1]!S_STM07_CS(D835,89,$G$5,$H$13))/$E$5))</f>
        <v/>
      </c>
      <c r="K835" s="249" t="str">
        <f ca="1">IF(C835="","",IF($K$11="净利润率",[1]!S_STM07_IS(D835,61,$G$5,$H$13)/[1]!S_STM07_IS(D835,9,$G$5,$H$13),[1]!S_STM07_IS(D835,55,$G$5,$H$13)/$E$5))</f>
        <v/>
      </c>
      <c r="L835" s="249" t="str">
        <f ca="1">IF(C835="","",IF($L$11="ROA",[1]!S_STM07_IS(D835,61,$G$5,$H$13)/[1]!S_STM07_BS(D835,74,$G$5,$H$13),1-[1]!S_STM07_IS(D835,61,$G$5,$H$13)/[1]!S_STM07_IS(D835,55,$G$5,$H$13)))</f>
        <v/>
      </c>
      <c r="M835" s="249" t="str">
        <f ca="1">IF(C835="","",IF($M$11="ROE",[1]!S_STM07_IS(D835,61,$G$5,$H$13)/[1]!S_STM07_BS(D835,141,$G$5,$H$13),([1]!S_STM07_BS(D835,25,$G$5,$H$13)-[1]!S_STM07_BS(D835,93,$G$5,$H$13))/$E$5))</f>
        <v/>
      </c>
      <c r="N835" s="250" t="str">
        <f ca="1">IF(C835="","",IF($N$11="EPS",[1]!S_STM07_IS(D835,61,$G$5,$H$13)/IF([1]!S_SHARE_TOTAL(D835,$G$5)=0,[1]!S_SHARE_TOTAL(D835,[1]!s_ipo_listeddate(D835)),[1]!S_SHARE_TOTAL(D835,$G$5)),([1]!S_STM07_BS(D835,75,$G$5,$H$13)+[1]!S_STM07_BS(D835,88,$G$5,$H$13)+[1]!S_STM07_BS(D835,94,$G$5,$H$13)+[1]!S_STM07_BS(D835,95,$G$5,$H$13))/$E$5))</f>
        <v/>
      </c>
      <c r="O835" s="250" t="str">
        <f ca="1">IF(C835="","",IF($O$11="BPS",[1]!S_STM07_BS(D835,141,$G$5,$H$13)/IF([1]!S_SHARE_TOTAL(D835,$G$5)=0,[1]!S_SHARE_TOTAL(D835,[1]!s_ipo_listeddate(D835)),[1]!S_SHARE_TOTAL(D835,$G$5)),[1]!S_STM07_CS(D835,49,$G$5,$H$13)/$E$5))</f>
        <v/>
      </c>
      <c r="P835" s="250" t="str">
        <f ca="1">IF(C835="","",IF($P$11="CFPS",[1]!S_STM07_CS(D835,84,$G$5,$H$13)/IF([1]!S_SHARE_TOTAL(D835,$G$5)=0,[1]!S_SHARE_TOTAL(D835,[1]!s_ipo_listeddate(D835)),[1]!S_SHARE_TOTAL(D835,$G$5)),[1]!S_STM07_CS(D835,84,$G$5,$H$13)/$E$5))</f>
        <v/>
      </c>
      <c r="Q835" s="198" t="str">
        <f ca="1">IF(C835="","",F835/([1]!S_STM07_IS(D835,61,$G$5,$H$13)/IF([1]!S_SHARE_TOTAL(D835,$G$5)=0,[1]!S_SHARE_TOTAL(D835,[1]!s_ipo_listeddate(D835)),[1]!S_SHARE_TOTAL(D835,$G$5))))</f>
        <v/>
      </c>
      <c r="R835" s="198" t="str">
        <f ca="1">IF(C835="","",F835/([1]!S_STM07_BS(D835,141,$G$5,$H$13)/IF([1]!S_SHARE_TOTAL(D835,$G$5)=0,[1]!S_SHARE_TOTAL(D835,[1]!s_ipo_listeddate(D835)),[1]!S_SHARE_TOTAL(D835,$G$5))))</f>
        <v/>
      </c>
      <c r="S835" s="249" t="str">
        <f ca="1">IF(C835="","",[1]!S_SHARE_TOTAL(D835,TODAY())/$E$5)</f>
        <v/>
      </c>
      <c r="T835" s="249" t="str">
        <f t="shared" ca="1" si="85"/>
        <v/>
      </c>
      <c r="U835" s="172" t="str">
        <f t="shared" ca="1" si="86"/>
        <v/>
      </c>
      <c r="V835" s="343" t="str">
        <f t="shared" ca="1" si="87"/>
        <v/>
      </c>
      <c r="W835" s="139"/>
      <c r="Y835" s="1"/>
    </row>
    <row r="836" spans="3:25" ht="12" customHeight="1">
      <c r="C836" s="342" t="str">
        <f t="shared" ca="1" si="82"/>
        <v/>
      </c>
      <c r="D836" s="153" t="str">
        <f t="shared" ca="1" si="83"/>
        <v/>
      </c>
      <c r="E836" s="153" t="str">
        <f t="shared" ca="1" si="84"/>
        <v/>
      </c>
      <c r="F836" s="170" t="str">
        <f ca="1">IF(C836="","",[1]!S_DQ_CLOSE(D836,TODAY(),1))</f>
        <v/>
      </c>
      <c r="G836" s="171" t="str">
        <f ca="1">IF(C836="","",[1]!s_pq_pctchange(D836,TODAY()-$G$12,TODAY())/100)</f>
        <v/>
      </c>
      <c r="H836" s="247" t="str">
        <f ca="1">IF(C836="","",IF($H$11="收入",[1]!S_STM07_IS(D836,9,$G$5,$H$13)/$E$5,[1]!S_STM07_IS(D836,48,$G$5,$H$13)/$E$5))</f>
        <v/>
      </c>
      <c r="I836" s="247" t="str">
        <f ca="1">IF(C836="","",IF($I$11="毛利率",([1]!S_STM07_IS(D836,9,$G$5,$H$13)-[1]!S_STM07_IS(D836,10,$G$5,$H$13))/[1]!S_STM07_IS(D836,9,$G$5,$H$13),[1]!S_STM07_IS(D836,14,$G$5,$H$13)/$E$5))</f>
        <v/>
      </c>
      <c r="J836" s="247" t="str">
        <f ca="1">IF(C836="","",IF($J$11="营业利润率",[1]!S_STM07_IS(D836,48,$G$5,$H$13)/[1]!S_STM07_IS(D836,9,$G$5,$H$13),([1]!S_STM07_CS(D836,87,$G$5,$H$13)+[1]!S_STM07_CS(D836,88,$G$5,$H$13)+[1]!S_STM07_CS(D836,89,$G$5,$H$13))/$E$5))</f>
        <v/>
      </c>
      <c r="K836" s="247" t="str">
        <f ca="1">IF(C836="","",IF($K$11="净利润率",[1]!S_STM07_IS(D836,61,$G$5,$H$13)/[1]!S_STM07_IS(D836,9,$G$5,$H$13),[1]!S_STM07_IS(D836,55,$G$5,$H$13)/$E$5))</f>
        <v/>
      </c>
      <c r="L836" s="247" t="str">
        <f ca="1">IF(C836="","",IF($L$11="ROA",[1]!S_STM07_IS(D836,61,$G$5,$H$13)/[1]!S_STM07_BS(D836,74,$G$5,$H$13),1-[1]!S_STM07_IS(D836,61,$G$5,$H$13)/[1]!S_STM07_IS(D836,55,$G$5,$H$13)))</f>
        <v/>
      </c>
      <c r="M836" s="247" t="str">
        <f ca="1">IF(C836="","",IF($M$11="ROE",[1]!S_STM07_IS(D836,61,$G$5,$H$13)/[1]!S_STM07_BS(D836,141,$G$5,$H$13),([1]!S_STM07_BS(D836,25,$G$5,$H$13)-[1]!S_STM07_BS(D836,93,$G$5,$H$13))/$E$5))</f>
        <v/>
      </c>
      <c r="N836" s="247" t="str">
        <f ca="1">IF(C836="","",IF($N$11="EPS",[1]!S_STM07_IS(D836,61,$G$5,$H$13)/IF([1]!S_SHARE_TOTAL(D836,$G$5)=0,[1]!S_SHARE_TOTAL(D836,[1]!s_ipo_listeddate(D836)),[1]!S_SHARE_TOTAL(D836,$G$5)),([1]!S_STM07_BS(D836,75,$G$5,$H$13)+[1]!S_STM07_BS(D836,88,$G$5,$H$13)+[1]!S_STM07_BS(D836,94,$G$5,$H$13)+[1]!S_STM07_BS(D836,95,$G$5,$H$13))/$E$5))</f>
        <v/>
      </c>
      <c r="O836" s="247" t="str">
        <f ca="1">IF(C836="","",IF($O$11="BPS",[1]!S_STM07_BS(D836,141,$G$5,$H$13)/IF([1]!S_SHARE_TOTAL(D836,$G$5)=0,[1]!S_SHARE_TOTAL(D836,[1]!s_ipo_listeddate(D836)),[1]!S_SHARE_TOTAL(D836,$G$5)),[1]!S_STM07_CS(D836,49,$G$5,$H$13)/$E$5))</f>
        <v/>
      </c>
      <c r="P836" s="247" t="str">
        <f ca="1">IF(C836="","",IF($P$11="CFPS",[1]!S_STM07_CS(D836,84,$G$5,$H$13)/IF([1]!S_SHARE_TOTAL(D836,$G$5)=0,[1]!S_SHARE_TOTAL(D836,[1]!s_ipo_listeddate(D836)),[1]!S_SHARE_TOTAL(D836,$G$5)),[1]!S_STM07_CS(D836,84,$G$5,$H$13)/$E$5))</f>
        <v/>
      </c>
      <c r="Q836" s="248" t="str">
        <f ca="1">IF(C836="","",F836/([1]!S_STM07_IS(D836,61,$G$5,$H$13)/IF([1]!S_SHARE_TOTAL(D836,$G$5)=0,[1]!S_SHARE_TOTAL(D836,[1]!s_ipo_listeddate(D836)),[1]!S_SHARE_TOTAL(D836,$G$5))))</f>
        <v/>
      </c>
      <c r="R836" s="248" t="str">
        <f ca="1">IF(C836="","",F836/([1]!S_STM07_BS(D836,141,$G$5,$H$13)/IF([1]!S_SHARE_TOTAL(D836,$G$5)=0,[1]!S_SHARE_TOTAL(D836,[1]!s_ipo_listeddate(D836)),[1]!S_SHARE_TOTAL(D836,$G$5))))</f>
        <v/>
      </c>
      <c r="S836" s="247" t="str">
        <f ca="1">IF(C836="","",[1]!S_SHARE_TOTAL(D836,TODAY())/$E$5)</f>
        <v/>
      </c>
      <c r="T836" s="247" t="str">
        <f t="shared" ca="1" si="85"/>
        <v/>
      </c>
      <c r="U836" s="218" t="str">
        <f t="shared" ca="1" si="86"/>
        <v/>
      </c>
      <c r="V836" s="342" t="str">
        <f t="shared" ca="1" si="87"/>
        <v/>
      </c>
      <c r="W836" s="139"/>
      <c r="Y836" s="1"/>
    </row>
    <row r="837" spans="3:25" ht="12" customHeight="1">
      <c r="C837" s="343" t="str">
        <f t="shared" ca="1" si="82"/>
        <v/>
      </c>
      <c r="D837" s="124" t="str">
        <f t="shared" ca="1" si="83"/>
        <v/>
      </c>
      <c r="E837" s="124" t="str">
        <f t="shared" ca="1" si="84"/>
        <v/>
      </c>
      <c r="F837" s="172" t="str">
        <f ca="1">IF(C837="","",[1]!S_DQ_CLOSE(D837,TODAY(),1))</f>
        <v/>
      </c>
      <c r="G837" s="173" t="str">
        <f ca="1">IF(C837="","",[1]!s_pq_pctchange(D837,TODAY()-$G$12,TODAY())/100)</f>
        <v/>
      </c>
      <c r="H837" s="249" t="str">
        <f ca="1">IF(C837="","",IF($H$11="收入",[1]!S_STM07_IS(D837,9,$G$5,$H$13)/$E$5,[1]!S_STM07_IS(D837,48,$G$5,$H$13)/$E$5))</f>
        <v/>
      </c>
      <c r="I837" s="249" t="str">
        <f ca="1">IF(C837="","",IF($I$11="毛利率",([1]!S_STM07_IS(D837,9,$G$5,$H$13)-[1]!S_STM07_IS(D837,10,$G$5,$H$13))/[1]!S_STM07_IS(D837,9,$G$5,$H$13),[1]!S_STM07_IS(D837,14,$G$5,$H$13)/$E$5))</f>
        <v/>
      </c>
      <c r="J837" s="249" t="str">
        <f ca="1">IF(C837="","",IF($J$11="营业利润率",[1]!S_STM07_IS(D837,48,$G$5,$H$13)/[1]!S_STM07_IS(D837,9,$G$5,$H$13),([1]!S_STM07_CS(D837,87,$G$5,$H$13)+[1]!S_STM07_CS(D837,88,$G$5,$H$13)+[1]!S_STM07_CS(D837,89,$G$5,$H$13))/$E$5))</f>
        <v/>
      </c>
      <c r="K837" s="249" t="str">
        <f ca="1">IF(C837="","",IF($K$11="净利润率",[1]!S_STM07_IS(D837,61,$G$5,$H$13)/[1]!S_STM07_IS(D837,9,$G$5,$H$13),[1]!S_STM07_IS(D837,55,$G$5,$H$13)/$E$5))</f>
        <v/>
      </c>
      <c r="L837" s="249" t="str">
        <f ca="1">IF(C837="","",IF($L$11="ROA",[1]!S_STM07_IS(D837,61,$G$5,$H$13)/[1]!S_STM07_BS(D837,74,$G$5,$H$13),1-[1]!S_STM07_IS(D837,61,$G$5,$H$13)/[1]!S_STM07_IS(D837,55,$G$5,$H$13)))</f>
        <v/>
      </c>
      <c r="M837" s="249" t="str">
        <f ca="1">IF(C837="","",IF($M$11="ROE",[1]!S_STM07_IS(D837,61,$G$5,$H$13)/[1]!S_STM07_BS(D837,141,$G$5,$H$13),([1]!S_STM07_BS(D837,25,$G$5,$H$13)-[1]!S_STM07_BS(D837,93,$G$5,$H$13))/$E$5))</f>
        <v/>
      </c>
      <c r="N837" s="250" t="str">
        <f ca="1">IF(C837="","",IF($N$11="EPS",[1]!S_STM07_IS(D837,61,$G$5,$H$13)/IF([1]!S_SHARE_TOTAL(D837,$G$5)=0,[1]!S_SHARE_TOTAL(D837,[1]!s_ipo_listeddate(D837)),[1]!S_SHARE_TOTAL(D837,$G$5)),([1]!S_STM07_BS(D837,75,$G$5,$H$13)+[1]!S_STM07_BS(D837,88,$G$5,$H$13)+[1]!S_STM07_BS(D837,94,$G$5,$H$13)+[1]!S_STM07_BS(D837,95,$G$5,$H$13))/$E$5))</f>
        <v/>
      </c>
      <c r="O837" s="250" t="str">
        <f ca="1">IF(C837="","",IF($O$11="BPS",[1]!S_STM07_BS(D837,141,$G$5,$H$13)/IF([1]!S_SHARE_TOTAL(D837,$G$5)=0,[1]!S_SHARE_TOTAL(D837,[1]!s_ipo_listeddate(D837)),[1]!S_SHARE_TOTAL(D837,$G$5)),[1]!S_STM07_CS(D837,49,$G$5,$H$13)/$E$5))</f>
        <v/>
      </c>
      <c r="P837" s="250" t="str">
        <f ca="1">IF(C837="","",IF($P$11="CFPS",[1]!S_STM07_CS(D837,84,$G$5,$H$13)/IF([1]!S_SHARE_TOTAL(D837,$G$5)=0,[1]!S_SHARE_TOTAL(D837,[1]!s_ipo_listeddate(D837)),[1]!S_SHARE_TOTAL(D837,$G$5)),[1]!S_STM07_CS(D837,84,$G$5,$H$13)/$E$5))</f>
        <v/>
      </c>
      <c r="Q837" s="198" t="str">
        <f ca="1">IF(C837="","",F837/([1]!S_STM07_IS(D837,61,$G$5,$H$13)/IF([1]!S_SHARE_TOTAL(D837,$G$5)=0,[1]!S_SHARE_TOTAL(D837,[1]!s_ipo_listeddate(D837)),[1]!S_SHARE_TOTAL(D837,$G$5))))</f>
        <v/>
      </c>
      <c r="R837" s="198" t="str">
        <f ca="1">IF(C837="","",F837/([1]!S_STM07_BS(D837,141,$G$5,$H$13)/IF([1]!S_SHARE_TOTAL(D837,$G$5)=0,[1]!S_SHARE_TOTAL(D837,[1]!s_ipo_listeddate(D837)),[1]!S_SHARE_TOTAL(D837,$G$5))))</f>
        <v/>
      </c>
      <c r="S837" s="249" t="str">
        <f ca="1">IF(C837="","",[1]!S_SHARE_TOTAL(D837,TODAY())/$E$5)</f>
        <v/>
      </c>
      <c r="T837" s="249" t="str">
        <f t="shared" ca="1" si="85"/>
        <v/>
      </c>
      <c r="U837" s="172" t="str">
        <f t="shared" ca="1" si="86"/>
        <v/>
      </c>
      <c r="V837" s="343" t="str">
        <f t="shared" ca="1" si="87"/>
        <v/>
      </c>
      <c r="W837" s="139"/>
      <c r="Y837" s="1"/>
    </row>
    <row r="838" spans="3:25" ht="12" customHeight="1">
      <c r="C838" s="342" t="str">
        <f t="shared" ca="1" si="82"/>
        <v/>
      </c>
      <c r="D838" s="153" t="str">
        <f t="shared" ca="1" si="83"/>
        <v/>
      </c>
      <c r="E838" s="153" t="str">
        <f t="shared" ca="1" si="84"/>
        <v/>
      </c>
      <c r="F838" s="170" t="str">
        <f ca="1">IF(C838="","",[1]!S_DQ_CLOSE(D838,TODAY(),1))</f>
        <v/>
      </c>
      <c r="G838" s="171" t="str">
        <f ca="1">IF(C838="","",[1]!s_pq_pctchange(D838,TODAY()-$G$12,TODAY())/100)</f>
        <v/>
      </c>
      <c r="H838" s="247" t="str">
        <f ca="1">IF(C838="","",IF($H$11="收入",[1]!S_STM07_IS(D838,9,$G$5,$H$13)/$E$5,[1]!S_STM07_IS(D838,48,$G$5,$H$13)/$E$5))</f>
        <v/>
      </c>
      <c r="I838" s="247" t="str">
        <f ca="1">IF(C838="","",IF($I$11="毛利率",([1]!S_STM07_IS(D838,9,$G$5,$H$13)-[1]!S_STM07_IS(D838,10,$G$5,$H$13))/[1]!S_STM07_IS(D838,9,$G$5,$H$13),[1]!S_STM07_IS(D838,14,$G$5,$H$13)/$E$5))</f>
        <v/>
      </c>
      <c r="J838" s="247" t="str">
        <f ca="1">IF(C838="","",IF($J$11="营业利润率",[1]!S_STM07_IS(D838,48,$G$5,$H$13)/[1]!S_STM07_IS(D838,9,$G$5,$H$13),([1]!S_STM07_CS(D838,87,$G$5,$H$13)+[1]!S_STM07_CS(D838,88,$G$5,$H$13)+[1]!S_STM07_CS(D838,89,$G$5,$H$13))/$E$5))</f>
        <v/>
      </c>
      <c r="K838" s="247" t="str">
        <f ca="1">IF(C838="","",IF($K$11="净利润率",[1]!S_STM07_IS(D838,61,$G$5,$H$13)/[1]!S_STM07_IS(D838,9,$G$5,$H$13),[1]!S_STM07_IS(D838,55,$G$5,$H$13)/$E$5))</f>
        <v/>
      </c>
      <c r="L838" s="247" t="str">
        <f ca="1">IF(C838="","",IF($L$11="ROA",[1]!S_STM07_IS(D838,61,$G$5,$H$13)/[1]!S_STM07_BS(D838,74,$G$5,$H$13),1-[1]!S_STM07_IS(D838,61,$G$5,$H$13)/[1]!S_STM07_IS(D838,55,$G$5,$H$13)))</f>
        <v/>
      </c>
      <c r="M838" s="247" t="str">
        <f ca="1">IF(C838="","",IF($M$11="ROE",[1]!S_STM07_IS(D838,61,$G$5,$H$13)/[1]!S_STM07_BS(D838,141,$G$5,$H$13),([1]!S_STM07_BS(D838,25,$G$5,$H$13)-[1]!S_STM07_BS(D838,93,$G$5,$H$13))/$E$5))</f>
        <v/>
      </c>
      <c r="N838" s="247" t="str">
        <f ca="1">IF(C838="","",IF($N$11="EPS",[1]!S_STM07_IS(D838,61,$G$5,$H$13)/IF([1]!S_SHARE_TOTAL(D838,$G$5)=0,[1]!S_SHARE_TOTAL(D838,[1]!s_ipo_listeddate(D838)),[1]!S_SHARE_TOTAL(D838,$G$5)),([1]!S_STM07_BS(D838,75,$G$5,$H$13)+[1]!S_STM07_BS(D838,88,$G$5,$H$13)+[1]!S_STM07_BS(D838,94,$G$5,$H$13)+[1]!S_STM07_BS(D838,95,$G$5,$H$13))/$E$5))</f>
        <v/>
      </c>
      <c r="O838" s="247" t="str">
        <f ca="1">IF(C838="","",IF($O$11="BPS",[1]!S_STM07_BS(D838,141,$G$5,$H$13)/IF([1]!S_SHARE_TOTAL(D838,$G$5)=0,[1]!S_SHARE_TOTAL(D838,[1]!s_ipo_listeddate(D838)),[1]!S_SHARE_TOTAL(D838,$G$5)),[1]!S_STM07_CS(D838,49,$G$5,$H$13)/$E$5))</f>
        <v/>
      </c>
      <c r="P838" s="247" t="str">
        <f ca="1">IF(C838="","",IF($P$11="CFPS",[1]!S_STM07_CS(D838,84,$G$5,$H$13)/IF([1]!S_SHARE_TOTAL(D838,$G$5)=0,[1]!S_SHARE_TOTAL(D838,[1]!s_ipo_listeddate(D838)),[1]!S_SHARE_TOTAL(D838,$G$5)),[1]!S_STM07_CS(D838,84,$G$5,$H$13)/$E$5))</f>
        <v/>
      </c>
      <c r="Q838" s="248" t="str">
        <f ca="1">IF(C838="","",F838/([1]!S_STM07_IS(D838,61,$G$5,$H$13)/IF([1]!S_SHARE_TOTAL(D838,$G$5)=0,[1]!S_SHARE_TOTAL(D838,[1]!s_ipo_listeddate(D838)),[1]!S_SHARE_TOTAL(D838,$G$5))))</f>
        <v/>
      </c>
      <c r="R838" s="248" t="str">
        <f ca="1">IF(C838="","",F838/([1]!S_STM07_BS(D838,141,$G$5,$H$13)/IF([1]!S_SHARE_TOTAL(D838,$G$5)=0,[1]!S_SHARE_TOTAL(D838,[1]!s_ipo_listeddate(D838)),[1]!S_SHARE_TOTAL(D838,$G$5))))</f>
        <v/>
      </c>
      <c r="S838" s="247" t="str">
        <f ca="1">IF(C838="","",[1]!S_SHARE_TOTAL(D838,TODAY())/$E$5)</f>
        <v/>
      </c>
      <c r="T838" s="247" t="str">
        <f t="shared" ca="1" si="85"/>
        <v/>
      </c>
      <c r="U838" s="218" t="str">
        <f t="shared" ca="1" si="86"/>
        <v/>
      </c>
      <c r="V838" s="342" t="str">
        <f t="shared" ca="1" si="87"/>
        <v/>
      </c>
      <c r="W838" s="139"/>
      <c r="Y838" s="1"/>
    </row>
    <row r="839" spans="3:25" ht="12" customHeight="1">
      <c r="C839" s="343" t="str">
        <f t="shared" ca="1" si="82"/>
        <v/>
      </c>
      <c r="D839" s="124" t="str">
        <f t="shared" ca="1" si="83"/>
        <v/>
      </c>
      <c r="E839" s="124" t="str">
        <f t="shared" ca="1" si="84"/>
        <v/>
      </c>
      <c r="F839" s="172" t="str">
        <f ca="1">IF(C839="","",[1]!S_DQ_CLOSE(D839,TODAY(),1))</f>
        <v/>
      </c>
      <c r="G839" s="173" t="str">
        <f ca="1">IF(C839="","",[1]!s_pq_pctchange(D839,TODAY()-$G$12,TODAY())/100)</f>
        <v/>
      </c>
      <c r="H839" s="249" t="str">
        <f ca="1">IF(C839="","",IF($H$11="收入",[1]!S_STM07_IS(D839,9,$G$5,$H$13)/$E$5,[1]!S_STM07_IS(D839,48,$G$5,$H$13)/$E$5))</f>
        <v/>
      </c>
      <c r="I839" s="249" t="str">
        <f ca="1">IF(C839="","",IF($I$11="毛利率",([1]!S_STM07_IS(D839,9,$G$5,$H$13)-[1]!S_STM07_IS(D839,10,$G$5,$H$13))/[1]!S_STM07_IS(D839,9,$G$5,$H$13),[1]!S_STM07_IS(D839,14,$G$5,$H$13)/$E$5))</f>
        <v/>
      </c>
      <c r="J839" s="249" t="str">
        <f ca="1">IF(C839="","",IF($J$11="营业利润率",[1]!S_STM07_IS(D839,48,$G$5,$H$13)/[1]!S_STM07_IS(D839,9,$G$5,$H$13),([1]!S_STM07_CS(D839,87,$G$5,$H$13)+[1]!S_STM07_CS(D839,88,$G$5,$H$13)+[1]!S_STM07_CS(D839,89,$G$5,$H$13))/$E$5))</f>
        <v/>
      </c>
      <c r="K839" s="249" t="str">
        <f ca="1">IF(C839="","",IF($K$11="净利润率",[1]!S_STM07_IS(D839,61,$G$5,$H$13)/[1]!S_STM07_IS(D839,9,$G$5,$H$13),[1]!S_STM07_IS(D839,55,$G$5,$H$13)/$E$5))</f>
        <v/>
      </c>
      <c r="L839" s="249" t="str">
        <f ca="1">IF(C839="","",IF($L$11="ROA",[1]!S_STM07_IS(D839,61,$G$5,$H$13)/[1]!S_STM07_BS(D839,74,$G$5,$H$13),1-[1]!S_STM07_IS(D839,61,$G$5,$H$13)/[1]!S_STM07_IS(D839,55,$G$5,$H$13)))</f>
        <v/>
      </c>
      <c r="M839" s="249" t="str">
        <f ca="1">IF(C839="","",IF($M$11="ROE",[1]!S_STM07_IS(D839,61,$G$5,$H$13)/[1]!S_STM07_BS(D839,141,$G$5,$H$13),([1]!S_STM07_BS(D839,25,$G$5,$H$13)-[1]!S_STM07_BS(D839,93,$G$5,$H$13))/$E$5))</f>
        <v/>
      </c>
      <c r="N839" s="250" t="str">
        <f ca="1">IF(C839="","",IF($N$11="EPS",[1]!S_STM07_IS(D839,61,$G$5,$H$13)/IF([1]!S_SHARE_TOTAL(D839,$G$5)=0,[1]!S_SHARE_TOTAL(D839,[1]!s_ipo_listeddate(D839)),[1]!S_SHARE_TOTAL(D839,$G$5)),([1]!S_STM07_BS(D839,75,$G$5,$H$13)+[1]!S_STM07_BS(D839,88,$G$5,$H$13)+[1]!S_STM07_BS(D839,94,$G$5,$H$13)+[1]!S_STM07_BS(D839,95,$G$5,$H$13))/$E$5))</f>
        <v/>
      </c>
      <c r="O839" s="250" t="str">
        <f ca="1">IF(C839="","",IF($O$11="BPS",[1]!S_STM07_BS(D839,141,$G$5,$H$13)/IF([1]!S_SHARE_TOTAL(D839,$G$5)=0,[1]!S_SHARE_TOTAL(D839,[1]!s_ipo_listeddate(D839)),[1]!S_SHARE_TOTAL(D839,$G$5)),[1]!S_STM07_CS(D839,49,$G$5,$H$13)/$E$5))</f>
        <v/>
      </c>
      <c r="P839" s="250" t="str">
        <f ca="1">IF(C839="","",IF($P$11="CFPS",[1]!S_STM07_CS(D839,84,$G$5,$H$13)/IF([1]!S_SHARE_TOTAL(D839,$G$5)=0,[1]!S_SHARE_TOTAL(D839,[1]!s_ipo_listeddate(D839)),[1]!S_SHARE_TOTAL(D839,$G$5)),[1]!S_STM07_CS(D839,84,$G$5,$H$13)/$E$5))</f>
        <v/>
      </c>
      <c r="Q839" s="198" t="str">
        <f ca="1">IF(C839="","",F839/([1]!S_STM07_IS(D839,61,$G$5,$H$13)/IF([1]!S_SHARE_TOTAL(D839,$G$5)=0,[1]!S_SHARE_TOTAL(D839,[1]!s_ipo_listeddate(D839)),[1]!S_SHARE_TOTAL(D839,$G$5))))</f>
        <v/>
      </c>
      <c r="R839" s="198" t="str">
        <f ca="1">IF(C839="","",F839/([1]!S_STM07_BS(D839,141,$G$5,$H$13)/IF([1]!S_SHARE_TOTAL(D839,$G$5)=0,[1]!S_SHARE_TOTAL(D839,[1]!s_ipo_listeddate(D839)),[1]!S_SHARE_TOTAL(D839,$G$5))))</f>
        <v/>
      </c>
      <c r="S839" s="249" t="str">
        <f ca="1">IF(C839="","",[1]!S_SHARE_TOTAL(D839,TODAY())/$E$5)</f>
        <v/>
      </c>
      <c r="T839" s="249" t="str">
        <f t="shared" ca="1" si="85"/>
        <v/>
      </c>
      <c r="U839" s="172" t="str">
        <f t="shared" ca="1" si="86"/>
        <v/>
      </c>
      <c r="V839" s="343" t="str">
        <f t="shared" ca="1" si="87"/>
        <v/>
      </c>
      <c r="W839" s="139"/>
      <c r="Y839" s="1"/>
    </row>
    <row r="840" spans="3:25" ht="12" customHeight="1">
      <c r="C840" s="342" t="str">
        <f t="shared" ca="1" si="82"/>
        <v/>
      </c>
      <c r="D840" s="153" t="str">
        <f t="shared" ca="1" si="83"/>
        <v/>
      </c>
      <c r="E840" s="153" t="str">
        <f t="shared" ca="1" si="84"/>
        <v/>
      </c>
      <c r="F840" s="170" t="str">
        <f ca="1">IF(C840="","",[1]!S_DQ_CLOSE(D840,TODAY(),1))</f>
        <v/>
      </c>
      <c r="G840" s="171" t="str">
        <f ca="1">IF(C840="","",[1]!s_pq_pctchange(D840,TODAY()-$G$12,TODAY())/100)</f>
        <v/>
      </c>
      <c r="H840" s="247" t="str">
        <f ca="1">IF(C840="","",IF($H$11="收入",[1]!S_STM07_IS(D840,9,$G$5,$H$13)/$E$5,[1]!S_STM07_IS(D840,48,$G$5,$H$13)/$E$5))</f>
        <v/>
      </c>
      <c r="I840" s="247" t="str">
        <f ca="1">IF(C840="","",IF($I$11="毛利率",([1]!S_STM07_IS(D840,9,$G$5,$H$13)-[1]!S_STM07_IS(D840,10,$G$5,$H$13))/[1]!S_STM07_IS(D840,9,$G$5,$H$13),[1]!S_STM07_IS(D840,14,$G$5,$H$13)/$E$5))</f>
        <v/>
      </c>
      <c r="J840" s="247" t="str">
        <f ca="1">IF(C840="","",IF($J$11="营业利润率",[1]!S_STM07_IS(D840,48,$G$5,$H$13)/[1]!S_STM07_IS(D840,9,$G$5,$H$13),([1]!S_STM07_CS(D840,87,$G$5,$H$13)+[1]!S_STM07_CS(D840,88,$G$5,$H$13)+[1]!S_STM07_CS(D840,89,$G$5,$H$13))/$E$5))</f>
        <v/>
      </c>
      <c r="K840" s="247" t="str">
        <f ca="1">IF(C840="","",IF($K$11="净利润率",[1]!S_STM07_IS(D840,61,$G$5,$H$13)/[1]!S_STM07_IS(D840,9,$G$5,$H$13),[1]!S_STM07_IS(D840,55,$G$5,$H$13)/$E$5))</f>
        <v/>
      </c>
      <c r="L840" s="247" t="str">
        <f ca="1">IF(C840="","",IF($L$11="ROA",[1]!S_STM07_IS(D840,61,$G$5,$H$13)/[1]!S_STM07_BS(D840,74,$G$5,$H$13),1-[1]!S_STM07_IS(D840,61,$G$5,$H$13)/[1]!S_STM07_IS(D840,55,$G$5,$H$13)))</f>
        <v/>
      </c>
      <c r="M840" s="247" t="str">
        <f ca="1">IF(C840="","",IF($M$11="ROE",[1]!S_STM07_IS(D840,61,$G$5,$H$13)/[1]!S_STM07_BS(D840,141,$G$5,$H$13),([1]!S_STM07_BS(D840,25,$G$5,$H$13)-[1]!S_STM07_BS(D840,93,$G$5,$H$13))/$E$5))</f>
        <v/>
      </c>
      <c r="N840" s="247" t="str">
        <f ca="1">IF(C840="","",IF($N$11="EPS",[1]!S_STM07_IS(D840,61,$G$5,$H$13)/IF([1]!S_SHARE_TOTAL(D840,$G$5)=0,[1]!S_SHARE_TOTAL(D840,[1]!s_ipo_listeddate(D840)),[1]!S_SHARE_TOTAL(D840,$G$5)),([1]!S_STM07_BS(D840,75,$G$5,$H$13)+[1]!S_STM07_BS(D840,88,$G$5,$H$13)+[1]!S_STM07_BS(D840,94,$G$5,$H$13)+[1]!S_STM07_BS(D840,95,$G$5,$H$13))/$E$5))</f>
        <v/>
      </c>
      <c r="O840" s="247" t="str">
        <f ca="1">IF(C840="","",IF($O$11="BPS",[1]!S_STM07_BS(D840,141,$G$5,$H$13)/IF([1]!S_SHARE_TOTAL(D840,$G$5)=0,[1]!S_SHARE_TOTAL(D840,[1]!s_ipo_listeddate(D840)),[1]!S_SHARE_TOTAL(D840,$G$5)),[1]!S_STM07_CS(D840,49,$G$5,$H$13)/$E$5))</f>
        <v/>
      </c>
      <c r="P840" s="247" t="str">
        <f ca="1">IF(C840="","",IF($P$11="CFPS",[1]!S_STM07_CS(D840,84,$G$5,$H$13)/IF([1]!S_SHARE_TOTAL(D840,$G$5)=0,[1]!S_SHARE_TOTAL(D840,[1]!s_ipo_listeddate(D840)),[1]!S_SHARE_TOTAL(D840,$G$5)),[1]!S_STM07_CS(D840,84,$G$5,$H$13)/$E$5))</f>
        <v/>
      </c>
      <c r="Q840" s="248" t="str">
        <f ca="1">IF(C840="","",F840/([1]!S_STM07_IS(D840,61,$G$5,$H$13)/IF([1]!S_SHARE_TOTAL(D840,$G$5)=0,[1]!S_SHARE_TOTAL(D840,[1]!s_ipo_listeddate(D840)),[1]!S_SHARE_TOTAL(D840,$G$5))))</f>
        <v/>
      </c>
      <c r="R840" s="248" t="str">
        <f ca="1">IF(C840="","",F840/([1]!S_STM07_BS(D840,141,$G$5,$H$13)/IF([1]!S_SHARE_TOTAL(D840,$G$5)=0,[1]!S_SHARE_TOTAL(D840,[1]!s_ipo_listeddate(D840)),[1]!S_SHARE_TOTAL(D840,$G$5))))</f>
        <v/>
      </c>
      <c r="S840" s="247" t="str">
        <f ca="1">IF(C840="","",[1]!S_SHARE_TOTAL(D840,TODAY())/$E$5)</f>
        <v/>
      </c>
      <c r="T840" s="247" t="str">
        <f t="shared" ca="1" si="85"/>
        <v/>
      </c>
      <c r="U840" s="218" t="str">
        <f t="shared" ca="1" si="86"/>
        <v/>
      </c>
      <c r="V840" s="342" t="str">
        <f t="shared" ca="1" si="87"/>
        <v/>
      </c>
      <c r="W840" s="139"/>
      <c r="Y840" s="1"/>
    </row>
    <row r="841" spans="3:25" ht="12" customHeight="1">
      <c r="C841" s="343" t="str">
        <f t="shared" ca="1" si="82"/>
        <v/>
      </c>
      <c r="D841" s="124" t="str">
        <f t="shared" ca="1" si="83"/>
        <v/>
      </c>
      <c r="E841" s="124" t="str">
        <f t="shared" ca="1" si="84"/>
        <v/>
      </c>
      <c r="F841" s="172" t="str">
        <f ca="1">IF(C841="","",[1]!S_DQ_CLOSE(D841,TODAY(),1))</f>
        <v/>
      </c>
      <c r="G841" s="173" t="str">
        <f ca="1">IF(C841="","",[1]!s_pq_pctchange(D841,TODAY()-$G$12,TODAY())/100)</f>
        <v/>
      </c>
      <c r="H841" s="249" t="str">
        <f ca="1">IF(C841="","",IF($H$11="收入",[1]!S_STM07_IS(D841,9,$G$5,$H$13)/$E$5,[1]!S_STM07_IS(D841,48,$G$5,$H$13)/$E$5))</f>
        <v/>
      </c>
      <c r="I841" s="249" t="str">
        <f ca="1">IF(C841="","",IF($I$11="毛利率",([1]!S_STM07_IS(D841,9,$G$5,$H$13)-[1]!S_STM07_IS(D841,10,$G$5,$H$13))/[1]!S_STM07_IS(D841,9,$G$5,$H$13),[1]!S_STM07_IS(D841,14,$G$5,$H$13)/$E$5))</f>
        <v/>
      </c>
      <c r="J841" s="249" t="str">
        <f ca="1">IF(C841="","",IF($J$11="营业利润率",[1]!S_STM07_IS(D841,48,$G$5,$H$13)/[1]!S_STM07_IS(D841,9,$G$5,$H$13),([1]!S_STM07_CS(D841,87,$G$5,$H$13)+[1]!S_STM07_CS(D841,88,$G$5,$H$13)+[1]!S_STM07_CS(D841,89,$G$5,$H$13))/$E$5))</f>
        <v/>
      </c>
      <c r="K841" s="249" t="str">
        <f ca="1">IF(C841="","",IF($K$11="净利润率",[1]!S_STM07_IS(D841,61,$G$5,$H$13)/[1]!S_STM07_IS(D841,9,$G$5,$H$13),[1]!S_STM07_IS(D841,55,$G$5,$H$13)/$E$5))</f>
        <v/>
      </c>
      <c r="L841" s="249" t="str">
        <f ca="1">IF(C841="","",IF($L$11="ROA",[1]!S_STM07_IS(D841,61,$G$5,$H$13)/[1]!S_STM07_BS(D841,74,$G$5,$H$13),1-[1]!S_STM07_IS(D841,61,$G$5,$H$13)/[1]!S_STM07_IS(D841,55,$G$5,$H$13)))</f>
        <v/>
      </c>
      <c r="M841" s="249" t="str">
        <f ca="1">IF(C841="","",IF($M$11="ROE",[1]!S_STM07_IS(D841,61,$G$5,$H$13)/[1]!S_STM07_BS(D841,141,$G$5,$H$13),([1]!S_STM07_BS(D841,25,$G$5,$H$13)-[1]!S_STM07_BS(D841,93,$G$5,$H$13))/$E$5))</f>
        <v/>
      </c>
      <c r="N841" s="250" t="str">
        <f ca="1">IF(C841="","",IF($N$11="EPS",[1]!S_STM07_IS(D841,61,$G$5,$H$13)/IF([1]!S_SHARE_TOTAL(D841,$G$5)=0,[1]!S_SHARE_TOTAL(D841,[1]!s_ipo_listeddate(D841)),[1]!S_SHARE_TOTAL(D841,$G$5)),([1]!S_STM07_BS(D841,75,$G$5,$H$13)+[1]!S_STM07_BS(D841,88,$G$5,$H$13)+[1]!S_STM07_BS(D841,94,$G$5,$H$13)+[1]!S_STM07_BS(D841,95,$G$5,$H$13))/$E$5))</f>
        <v/>
      </c>
      <c r="O841" s="250" t="str">
        <f ca="1">IF(C841="","",IF($O$11="BPS",[1]!S_STM07_BS(D841,141,$G$5,$H$13)/IF([1]!S_SHARE_TOTAL(D841,$G$5)=0,[1]!S_SHARE_TOTAL(D841,[1]!s_ipo_listeddate(D841)),[1]!S_SHARE_TOTAL(D841,$G$5)),[1]!S_STM07_CS(D841,49,$G$5,$H$13)/$E$5))</f>
        <v/>
      </c>
      <c r="P841" s="250" t="str">
        <f ca="1">IF(C841="","",IF($P$11="CFPS",[1]!S_STM07_CS(D841,84,$G$5,$H$13)/IF([1]!S_SHARE_TOTAL(D841,$G$5)=0,[1]!S_SHARE_TOTAL(D841,[1]!s_ipo_listeddate(D841)),[1]!S_SHARE_TOTAL(D841,$G$5)),[1]!S_STM07_CS(D841,84,$G$5,$H$13)/$E$5))</f>
        <v/>
      </c>
      <c r="Q841" s="198" t="str">
        <f ca="1">IF(C841="","",F841/([1]!S_STM07_IS(D841,61,$G$5,$H$13)/IF([1]!S_SHARE_TOTAL(D841,$G$5)=0,[1]!S_SHARE_TOTAL(D841,[1]!s_ipo_listeddate(D841)),[1]!S_SHARE_TOTAL(D841,$G$5))))</f>
        <v/>
      </c>
      <c r="R841" s="198" t="str">
        <f ca="1">IF(C841="","",F841/([1]!S_STM07_BS(D841,141,$G$5,$H$13)/IF([1]!S_SHARE_TOTAL(D841,$G$5)=0,[1]!S_SHARE_TOTAL(D841,[1]!s_ipo_listeddate(D841)),[1]!S_SHARE_TOTAL(D841,$G$5))))</f>
        <v/>
      </c>
      <c r="S841" s="249" t="str">
        <f ca="1">IF(C841="","",[1]!S_SHARE_TOTAL(D841,TODAY())/$E$5)</f>
        <v/>
      </c>
      <c r="T841" s="249" t="str">
        <f t="shared" ca="1" si="85"/>
        <v/>
      </c>
      <c r="U841" s="172" t="str">
        <f t="shared" ca="1" si="86"/>
        <v/>
      </c>
      <c r="V841" s="343" t="str">
        <f t="shared" ca="1" si="87"/>
        <v/>
      </c>
      <c r="W841" s="139"/>
      <c r="Y841" s="1"/>
    </row>
    <row r="842" spans="3:25" ht="12" customHeight="1">
      <c r="C842" s="342" t="str">
        <f t="shared" ca="1" si="82"/>
        <v/>
      </c>
      <c r="D842" s="153" t="str">
        <f t="shared" ca="1" si="83"/>
        <v/>
      </c>
      <c r="E842" s="153" t="str">
        <f t="shared" ca="1" si="84"/>
        <v/>
      </c>
      <c r="F842" s="170" t="str">
        <f ca="1">IF(C842="","",[1]!S_DQ_CLOSE(D842,TODAY(),1))</f>
        <v/>
      </c>
      <c r="G842" s="171" t="str">
        <f ca="1">IF(C842="","",[1]!s_pq_pctchange(D842,TODAY()-$G$12,TODAY())/100)</f>
        <v/>
      </c>
      <c r="H842" s="247" t="str">
        <f ca="1">IF(C842="","",IF($H$11="收入",[1]!S_STM07_IS(D842,9,$G$5,$H$13)/$E$5,[1]!S_STM07_IS(D842,48,$G$5,$H$13)/$E$5))</f>
        <v/>
      </c>
      <c r="I842" s="247" t="str">
        <f ca="1">IF(C842="","",IF($I$11="毛利率",([1]!S_STM07_IS(D842,9,$G$5,$H$13)-[1]!S_STM07_IS(D842,10,$G$5,$H$13))/[1]!S_STM07_IS(D842,9,$G$5,$H$13),[1]!S_STM07_IS(D842,14,$G$5,$H$13)/$E$5))</f>
        <v/>
      </c>
      <c r="J842" s="247" t="str">
        <f ca="1">IF(C842="","",IF($J$11="营业利润率",[1]!S_STM07_IS(D842,48,$G$5,$H$13)/[1]!S_STM07_IS(D842,9,$G$5,$H$13),([1]!S_STM07_CS(D842,87,$G$5,$H$13)+[1]!S_STM07_CS(D842,88,$G$5,$H$13)+[1]!S_STM07_CS(D842,89,$G$5,$H$13))/$E$5))</f>
        <v/>
      </c>
      <c r="K842" s="247" t="str">
        <f ca="1">IF(C842="","",IF($K$11="净利润率",[1]!S_STM07_IS(D842,61,$G$5,$H$13)/[1]!S_STM07_IS(D842,9,$G$5,$H$13),[1]!S_STM07_IS(D842,55,$G$5,$H$13)/$E$5))</f>
        <v/>
      </c>
      <c r="L842" s="247" t="str">
        <f ca="1">IF(C842="","",IF($L$11="ROA",[1]!S_STM07_IS(D842,61,$G$5,$H$13)/[1]!S_STM07_BS(D842,74,$G$5,$H$13),1-[1]!S_STM07_IS(D842,61,$G$5,$H$13)/[1]!S_STM07_IS(D842,55,$G$5,$H$13)))</f>
        <v/>
      </c>
      <c r="M842" s="247" t="str">
        <f ca="1">IF(C842="","",IF($M$11="ROE",[1]!S_STM07_IS(D842,61,$G$5,$H$13)/[1]!S_STM07_BS(D842,141,$G$5,$H$13),([1]!S_STM07_BS(D842,25,$G$5,$H$13)-[1]!S_STM07_BS(D842,93,$G$5,$H$13))/$E$5))</f>
        <v/>
      </c>
      <c r="N842" s="247" t="str">
        <f ca="1">IF(C842="","",IF($N$11="EPS",[1]!S_STM07_IS(D842,61,$G$5,$H$13)/IF([1]!S_SHARE_TOTAL(D842,$G$5)=0,[1]!S_SHARE_TOTAL(D842,[1]!s_ipo_listeddate(D842)),[1]!S_SHARE_TOTAL(D842,$G$5)),([1]!S_STM07_BS(D842,75,$G$5,$H$13)+[1]!S_STM07_BS(D842,88,$G$5,$H$13)+[1]!S_STM07_BS(D842,94,$G$5,$H$13)+[1]!S_STM07_BS(D842,95,$G$5,$H$13))/$E$5))</f>
        <v/>
      </c>
      <c r="O842" s="247" t="str">
        <f ca="1">IF(C842="","",IF($O$11="BPS",[1]!S_STM07_BS(D842,141,$G$5,$H$13)/IF([1]!S_SHARE_TOTAL(D842,$G$5)=0,[1]!S_SHARE_TOTAL(D842,[1]!s_ipo_listeddate(D842)),[1]!S_SHARE_TOTAL(D842,$G$5)),[1]!S_STM07_CS(D842,49,$G$5,$H$13)/$E$5))</f>
        <v/>
      </c>
      <c r="P842" s="247" t="str">
        <f ca="1">IF(C842="","",IF($P$11="CFPS",[1]!S_STM07_CS(D842,84,$G$5,$H$13)/IF([1]!S_SHARE_TOTAL(D842,$G$5)=0,[1]!S_SHARE_TOTAL(D842,[1]!s_ipo_listeddate(D842)),[1]!S_SHARE_TOTAL(D842,$G$5)),[1]!S_STM07_CS(D842,84,$G$5,$H$13)/$E$5))</f>
        <v/>
      </c>
      <c r="Q842" s="248" t="str">
        <f ca="1">IF(C842="","",F842/([1]!S_STM07_IS(D842,61,$G$5,$H$13)/IF([1]!S_SHARE_TOTAL(D842,$G$5)=0,[1]!S_SHARE_TOTAL(D842,[1]!s_ipo_listeddate(D842)),[1]!S_SHARE_TOTAL(D842,$G$5))))</f>
        <v/>
      </c>
      <c r="R842" s="248" t="str">
        <f ca="1">IF(C842="","",F842/([1]!S_STM07_BS(D842,141,$G$5,$H$13)/IF([1]!S_SHARE_TOTAL(D842,$G$5)=0,[1]!S_SHARE_TOTAL(D842,[1]!s_ipo_listeddate(D842)),[1]!S_SHARE_TOTAL(D842,$G$5))))</f>
        <v/>
      </c>
      <c r="S842" s="247" t="str">
        <f ca="1">IF(C842="","",[1]!S_SHARE_TOTAL(D842,TODAY())/$E$5)</f>
        <v/>
      </c>
      <c r="T842" s="247" t="str">
        <f t="shared" ca="1" si="85"/>
        <v/>
      </c>
      <c r="U842" s="218" t="str">
        <f t="shared" ca="1" si="86"/>
        <v/>
      </c>
      <c r="V842" s="342" t="str">
        <f t="shared" ca="1" si="87"/>
        <v/>
      </c>
      <c r="W842" s="139"/>
      <c r="Y842" s="1"/>
    </row>
    <row r="843" spans="3:25" ht="12" customHeight="1">
      <c r="C843" s="343" t="str">
        <f t="shared" ca="1" si="82"/>
        <v/>
      </c>
      <c r="D843" s="124" t="str">
        <f t="shared" ca="1" si="83"/>
        <v/>
      </c>
      <c r="E843" s="124" t="str">
        <f t="shared" ca="1" si="84"/>
        <v/>
      </c>
      <c r="F843" s="172" t="str">
        <f ca="1">IF(C843="","",[1]!S_DQ_CLOSE(D843,TODAY(),1))</f>
        <v/>
      </c>
      <c r="G843" s="173" t="str">
        <f ca="1">IF(C843="","",[1]!s_pq_pctchange(D843,TODAY()-$G$12,TODAY())/100)</f>
        <v/>
      </c>
      <c r="H843" s="249" t="str">
        <f ca="1">IF(C843="","",IF($H$11="收入",[1]!S_STM07_IS(D843,9,$G$5,$H$13)/$E$5,[1]!S_STM07_IS(D843,48,$G$5,$H$13)/$E$5))</f>
        <v/>
      </c>
      <c r="I843" s="249" t="str">
        <f ca="1">IF(C843="","",IF($I$11="毛利率",([1]!S_STM07_IS(D843,9,$G$5,$H$13)-[1]!S_STM07_IS(D843,10,$G$5,$H$13))/[1]!S_STM07_IS(D843,9,$G$5,$H$13),[1]!S_STM07_IS(D843,14,$G$5,$H$13)/$E$5))</f>
        <v/>
      </c>
      <c r="J843" s="249" t="str">
        <f ca="1">IF(C843="","",IF($J$11="营业利润率",[1]!S_STM07_IS(D843,48,$G$5,$H$13)/[1]!S_STM07_IS(D843,9,$G$5,$H$13),([1]!S_STM07_CS(D843,87,$G$5,$H$13)+[1]!S_STM07_CS(D843,88,$G$5,$H$13)+[1]!S_STM07_CS(D843,89,$G$5,$H$13))/$E$5))</f>
        <v/>
      </c>
      <c r="K843" s="249" t="str">
        <f ca="1">IF(C843="","",IF($K$11="净利润率",[1]!S_STM07_IS(D843,61,$G$5,$H$13)/[1]!S_STM07_IS(D843,9,$G$5,$H$13),[1]!S_STM07_IS(D843,55,$G$5,$H$13)/$E$5))</f>
        <v/>
      </c>
      <c r="L843" s="249" t="str">
        <f ca="1">IF(C843="","",IF($L$11="ROA",[1]!S_STM07_IS(D843,61,$G$5,$H$13)/[1]!S_STM07_BS(D843,74,$G$5,$H$13),1-[1]!S_STM07_IS(D843,61,$G$5,$H$13)/[1]!S_STM07_IS(D843,55,$G$5,$H$13)))</f>
        <v/>
      </c>
      <c r="M843" s="249" t="str">
        <f ca="1">IF(C843="","",IF($M$11="ROE",[1]!S_STM07_IS(D843,61,$G$5,$H$13)/[1]!S_STM07_BS(D843,141,$G$5,$H$13),([1]!S_STM07_BS(D843,25,$G$5,$H$13)-[1]!S_STM07_BS(D843,93,$G$5,$H$13))/$E$5))</f>
        <v/>
      </c>
      <c r="N843" s="250" t="str">
        <f ca="1">IF(C843="","",IF($N$11="EPS",[1]!S_STM07_IS(D843,61,$G$5,$H$13)/IF([1]!S_SHARE_TOTAL(D843,$G$5)=0,[1]!S_SHARE_TOTAL(D843,[1]!s_ipo_listeddate(D843)),[1]!S_SHARE_TOTAL(D843,$G$5)),([1]!S_STM07_BS(D843,75,$G$5,$H$13)+[1]!S_STM07_BS(D843,88,$G$5,$H$13)+[1]!S_STM07_BS(D843,94,$G$5,$H$13)+[1]!S_STM07_BS(D843,95,$G$5,$H$13))/$E$5))</f>
        <v/>
      </c>
      <c r="O843" s="250" t="str">
        <f ca="1">IF(C843="","",IF($O$11="BPS",[1]!S_STM07_BS(D843,141,$G$5,$H$13)/IF([1]!S_SHARE_TOTAL(D843,$G$5)=0,[1]!S_SHARE_TOTAL(D843,[1]!s_ipo_listeddate(D843)),[1]!S_SHARE_TOTAL(D843,$G$5)),[1]!S_STM07_CS(D843,49,$G$5,$H$13)/$E$5))</f>
        <v/>
      </c>
      <c r="P843" s="250" t="str">
        <f ca="1">IF(C843="","",IF($P$11="CFPS",[1]!S_STM07_CS(D843,84,$G$5,$H$13)/IF([1]!S_SHARE_TOTAL(D843,$G$5)=0,[1]!S_SHARE_TOTAL(D843,[1]!s_ipo_listeddate(D843)),[1]!S_SHARE_TOTAL(D843,$G$5)),[1]!S_STM07_CS(D843,84,$G$5,$H$13)/$E$5))</f>
        <v/>
      </c>
      <c r="Q843" s="198" t="str">
        <f ca="1">IF(C843="","",F843/([1]!S_STM07_IS(D843,61,$G$5,$H$13)/IF([1]!S_SHARE_TOTAL(D843,$G$5)=0,[1]!S_SHARE_TOTAL(D843,[1]!s_ipo_listeddate(D843)),[1]!S_SHARE_TOTAL(D843,$G$5))))</f>
        <v/>
      </c>
      <c r="R843" s="198" t="str">
        <f ca="1">IF(C843="","",F843/([1]!S_STM07_BS(D843,141,$G$5,$H$13)/IF([1]!S_SHARE_TOTAL(D843,$G$5)=0,[1]!S_SHARE_TOTAL(D843,[1]!s_ipo_listeddate(D843)),[1]!S_SHARE_TOTAL(D843,$G$5))))</f>
        <v/>
      </c>
      <c r="S843" s="249" t="str">
        <f ca="1">IF(C843="","",[1]!S_SHARE_TOTAL(D843,TODAY())/$E$5)</f>
        <v/>
      </c>
      <c r="T843" s="249" t="str">
        <f t="shared" ca="1" si="85"/>
        <v/>
      </c>
      <c r="U843" s="172" t="str">
        <f t="shared" ca="1" si="86"/>
        <v/>
      </c>
      <c r="V843" s="343" t="str">
        <f t="shared" ca="1" si="87"/>
        <v/>
      </c>
      <c r="W843" s="139"/>
      <c r="Y843" s="1"/>
    </row>
    <row r="844" spans="3:25" ht="12" customHeight="1">
      <c r="C844" s="342" t="str">
        <f t="shared" ca="1" si="82"/>
        <v/>
      </c>
      <c r="D844" s="153" t="str">
        <f t="shared" ca="1" si="83"/>
        <v/>
      </c>
      <c r="E844" s="153" t="str">
        <f t="shared" ca="1" si="84"/>
        <v/>
      </c>
      <c r="F844" s="170" t="str">
        <f ca="1">IF(C844="","",[1]!S_DQ_CLOSE(D844,TODAY(),1))</f>
        <v/>
      </c>
      <c r="G844" s="171" t="str">
        <f ca="1">IF(C844="","",[1]!s_pq_pctchange(D844,TODAY()-$G$12,TODAY())/100)</f>
        <v/>
      </c>
      <c r="H844" s="247" t="str">
        <f ca="1">IF(C844="","",IF($H$11="收入",[1]!S_STM07_IS(D844,9,$G$5,$H$13)/$E$5,[1]!S_STM07_IS(D844,48,$G$5,$H$13)/$E$5))</f>
        <v/>
      </c>
      <c r="I844" s="247" t="str">
        <f ca="1">IF(C844="","",IF($I$11="毛利率",([1]!S_STM07_IS(D844,9,$G$5,$H$13)-[1]!S_STM07_IS(D844,10,$G$5,$H$13))/[1]!S_STM07_IS(D844,9,$G$5,$H$13),[1]!S_STM07_IS(D844,14,$G$5,$H$13)/$E$5))</f>
        <v/>
      </c>
      <c r="J844" s="247" t="str">
        <f ca="1">IF(C844="","",IF($J$11="营业利润率",[1]!S_STM07_IS(D844,48,$G$5,$H$13)/[1]!S_STM07_IS(D844,9,$G$5,$H$13),([1]!S_STM07_CS(D844,87,$G$5,$H$13)+[1]!S_STM07_CS(D844,88,$G$5,$H$13)+[1]!S_STM07_CS(D844,89,$G$5,$H$13))/$E$5))</f>
        <v/>
      </c>
      <c r="K844" s="247" t="str">
        <f ca="1">IF(C844="","",IF($K$11="净利润率",[1]!S_STM07_IS(D844,61,$G$5,$H$13)/[1]!S_STM07_IS(D844,9,$G$5,$H$13),[1]!S_STM07_IS(D844,55,$G$5,$H$13)/$E$5))</f>
        <v/>
      </c>
      <c r="L844" s="247" t="str">
        <f ca="1">IF(C844="","",IF($L$11="ROA",[1]!S_STM07_IS(D844,61,$G$5,$H$13)/[1]!S_STM07_BS(D844,74,$G$5,$H$13),1-[1]!S_STM07_IS(D844,61,$G$5,$H$13)/[1]!S_STM07_IS(D844,55,$G$5,$H$13)))</f>
        <v/>
      </c>
      <c r="M844" s="247" t="str">
        <f ca="1">IF(C844="","",IF($M$11="ROE",[1]!S_STM07_IS(D844,61,$G$5,$H$13)/[1]!S_STM07_BS(D844,141,$G$5,$H$13),([1]!S_STM07_BS(D844,25,$G$5,$H$13)-[1]!S_STM07_BS(D844,93,$G$5,$H$13))/$E$5))</f>
        <v/>
      </c>
      <c r="N844" s="247" t="str">
        <f ca="1">IF(C844="","",IF($N$11="EPS",[1]!S_STM07_IS(D844,61,$G$5,$H$13)/IF([1]!S_SHARE_TOTAL(D844,$G$5)=0,[1]!S_SHARE_TOTAL(D844,[1]!s_ipo_listeddate(D844)),[1]!S_SHARE_TOTAL(D844,$G$5)),([1]!S_STM07_BS(D844,75,$G$5,$H$13)+[1]!S_STM07_BS(D844,88,$G$5,$H$13)+[1]!S_STM07_BS(D844,94,$G$5,$H$13)+[1]!S_STM07_BS(D844,95,$G$5,$H$13))/$E$5))</f>
        <v/>
      </c>
      <c r="O844" s="247" t="str">
        <f ca="1">IF(C844="","",IF($O$11="BPS",[1]!S_STM07_BS(D844,141,$G$5,$H$13)/IF([1]!S_SHARE_TOTAL(D844,$G$5)=0,[1]!S_SHARE_TOTAL(D844,[1]!s_ipo_listeddate(D844)),[1]!S_SHARE_TOTAL(D844,$G$5)),[1]!S_STM07_CS(D844,49,$G$5,$H$13)/$E$5))</f>
        <v/>
      </c>
      <c r="P844" s="247" t="str">
        <f ca="1">IF(C844="","",IF($P$11="CFPS",[1]!S_STM07_CS(D844,84,$G$5,$H$13)/IF([1]!S_SHARE_TOTAL(D844,$G$5)=0,[1]!S_SHARE_TOTAL(D844,[1]!s_ipo_listeddate(D844)),[1]!S_SHARE_TOTAL(D844,$G$5)),[1]!S_STM07_CS(D844,84,$G$5,$H$13)/$E$5))</f>
        <v/>
      </c>
      <c r="Q844" s="248" t="str">
        <f ca="1">IF(C844="","",F844/([1]!S_STM07_IS(D844,61,$G$5,$H$13)/IF([1]!S_SHARE_TOTAL(D844,$G$5)=0,[1]!S_SHARE_TOTAL(D844,[1]!s_ipo_listeddate(D844)),[1]!S_SHARE_TOTAL(D844,$G$5))))</f>
        <v/>
      </c>
      <c r="R844" s="248" t="str">
        <f ca="1">IF(C844="","",F844/([1]!S_STM07_BS(D844,141,$G$5,$H$13)/IF([1]!S_SHARE_TOTAL(D844,$G$5)=0,[1]!S_SHARE_TOTAL(D844,[1]!s_ipo_listeddate(D844)),[1]!S_SHARE_TOTAL(D844,$G$5))))</f>
        <v/>
      </c>
      <c r="S844" s="247" t="str">
        <f ca="1">IF(C844="","",[1]!S_SHARE_TOTAL(D844,TODAY())/$E$5)</f>
        <v/>
      </c>
      <c r="T844" s="247" t="str">
        <f t="shared" ca="1" si="85"/>
        <v/>
      </c>
      <c r="U844" s="218" t="str">
        <f t="shared" ca="1" si="86"/>
        <v/>
      </c>
      <c r="V844" s="342" t="str">
        <f t="shared" ca="1" si="87"/>
        <v/>
      </c>
      <c r="W844" s="139"/>
      <c r="Y844" s="1"/>
    </row>
    <row r="845" spans="3:25" ht="12" customHeight="1">
      <c r="C845" s="343" t="str">
        <f t="shared" ca="1" si="82"/>
        <v/>
      </c>
      <c r="D845" s="124" t="str">
        <f t="shared" ca="1" si="83"/>
        <v/>
      </c>
      <c r="E845" s="124" t="str">
        <f t="shared" ca="1" si="84"/>
        <v/>
      </c>
      <c r="F845" s="172" t="str">
        <f ca="1">IF(C845="","",[1]!S_DQ_CLOSE(D845,TODAY(),1))</f>
        <v/>
      </c>
      <c r="G845" s="173" t="str">
        <f ca="1">IF(C845="","",[1]!s_pq_pctchange(D845,TODAY()-$G$12,TODAY())/100)</f>
        <v/>
      </c>
      <c r="H845" s="249" t="str">
        <f ca="1">IF(C845="","",IF($H$11="收入",[1]!S_STM07_IS(D845,9,$G$5,$H$13)/$E$5,[1]!S_STM07_IS(D845,48,$G$5,$H$13)/$E$5))</f>
        <v/>
      </c>
      <c r="I845" s="249" t="str">
        <f ca="1">IF(C845="","",IF($I$11="毛利率",([1]!S_STM07_IS(D845,9,$G$5,$H$13)-[1]!S_STM07_IS(D845,10,$G$5,$H$13))/[1]!S_STM07_IS(D845,9,$G$5,$H$13),[1]!S_STM07_IS(D845,14,$G$5,$H$13)/$E$5))</f>
        <v/>
      </c>
      <c r="J845" s="249" t="str">
        <f ca="1">IF(C845="","",IF($J$11="营业利润率",[1]!S_STM07_IS(D845,48,$G$5,$H$13)/[1]!S_STM07_IS(D845,9,$G$5,$H$13),([1]!S_STM07_CS(D845,87,$G$5,$H$13)+[1]!S_STM07_CS(D845,88,$G$5,$H$13)+[1]!S_STM07_CS(D845,89,$G$5,$H$13))/$E$5))</f>
        <v/>
      </c>
      <c r="K845" s="249" t="str">
        <f ca="1">IF(C845="","",IF($K$11="净利润率",[1]!S_STM07_IS(D845,61,$G$5,$H$13)/[1]!S_STM07_IS(D845,9,$G$5,$H$13),[1]!S_STM07_IS(D845,55,$G$5,$H$13)/$E$5))</f>
        <v/>
      </c>
      <c r="L845" s="249" t="str">
        <f ca="1">IF(C845="","",IF($L$11="ROA",[1]!S_STM07_IS(D845,61,$G$5,$H$13)/[1]!S_STM07_BS(D845,74,$G$5,$H$13),1-[1]!S_STM07_IS(D845,61,$G$5,$H$13)/[1]!S_STM07_IS(D845,55,$G$5,$H$13)))</f>
        <v/>
      </c>
      <c r="M845" s="249" t="str">
        <f ca="1">IF(C845="","",IF($M$11="ROE",[1]!S_STM07_IS(D845,61,$G$5,$H$13)/[1]!S_STM07_BS(D845,141,$G$5,$H$13),([1]!S_STM07_BS(D845,25,$G$5,$H$13)-[1]!S_STM07_BS(D845,93,$G$5,$H$13))/$E$5))</f>
        <v/>
      </c>
      <c r="N845" s="250" t="str">
        <f ca="1">IF(C845="","",IF($N$11="EPS",[1]!S_STM07_IS(D845,61,$G$5,$H$13)/IF([1]!S_SHARE_TOTAL(D845,$G$5)=0,[1]!S_SHARE_TOTAL(D845,[1]!s_ipo_listeddate(D845)),[1]!S_SHARE_TOTAL(D845,$G$5)),([1]!S_STM07_BS(D845,75,$G$5,$H$13)+[1]!S_STM07_BS(D845,88,$G$5,$H$13)+[1]!S_STM07_BS(D845,94,$G$5,$H$13)+[1]!S_STM07_BS(D845,95,$G$5,$H$13))/$E$5))</f>
        <v/>
      </c>
      <c r="O845" s="250" t="str">
        <f ca="1">IF(C845="","",IF($O$11="BPS",[1]!S_STM07_BS(D845,141,$G$5,$H$13)/IF([1]!S_SHARE_TOTAL(D845,$G$5)=0,[1]!S_SHARE_TOTAL(D845,[1]!s_ipo_listeddate(D845)),[1]!S_SHARE_TOTAL(D845,$G$5)),[1]!S_STM07_CS(D845,49,$G$5,$H$13)/$E$5))</f>
        <v/>
      </c>
      <c r="P845" s="250" t="str">
        <f ca="1">IF(C845="","",IF($P$11="CFPS",[1]!S_STM07_CS(D845,84,$G$5,$H$13)/IF([1]!S_SHARE_TOTAL(D845,$G$5)=0,[1]!S_SHARE_TOTAL(D845,[1]!s_ipo_listeddate(D845)),[1]!S_SHARE_TOTAL(D845,$G$5)),[1]!S_STM07_CS(D845,84,$G$5,$H$13)/$E$5))</f>
        <v/>
      </c>
      <c r="Q845" s="198" t="str">
        <f ca="1">IF(C845="","",F845/([1]!S_STM07_IS(D845,61,$G$5,$H$13)/IF([1]!S_SHARE_TOTAL(D845,$G$5)=0,[1]!S_SHARE_TOTAL(D845,[1]!s_ipo_listeddate(D845)),[1]!S_SHARE_TOTAL(D845,$G$5))))</f>
        <v/>
      </c>
      <c r="R845" s="198" t="str">
        <f ca="1">IF(C845="","",F845/([1]!S_STM07_BS(D845,141,$G$5,$H$13)/IF([1]!S_SHARE_TOTAL(D845,$G$5)=0,[1]!S_SHARE_TOTAL(D845,[1]!s_ipo_listeddate(D845)),[1]!S_SHARE_TOTAL(D845,$G$5))))</f>
        <v/>
      </c>
      <c r="S845" s="249" t="str">
        <f ca="1">IF(C845="","",[1]!S_SHARE_TOTAL(D845,TODAY())/$E$5)</f>
        <v/>
      </c>
      <c r="T845" s="249" t="str">
        <f t="shared" ca="1" si="85"/>
        <v/>
      </c>
      <c r="U845" s="172" t="str">
        <f t="shared" ca="1" si="86"/>
        <v/>
      </c>
      <c r="V845" s="343" t="str">
        <f t="shared" ca="1" si="87"/>
        <v/>
      </c>
      <c r="W845" s="139"/>
      <c r="Y845" s="1"/>
    </row>
    <row r="846" spans="3:25" ht="12" customHeight="1">
      <c r="C846" s="342" t="str">
        <f t="shared" ref="C846:C909" ca="1" si="88">IF(ROW()-13&lt;=MAX(series),ROW()-13,"")</f>
        <v/>
      </c>
      <c r="D846" s="153" t="str">
        <f t="shared" ca="1" si="83"/>
        <v/>
      </c>
      <c r="E846" s="153" t="str">
        <f t="shared" ca="1" si="84"/>
        <v/>
      </c>
      <c r="F846" s="170" t="str">
        <f ca="1">IF(C846="","",[1]!S_DQ_CLOSE(D846,TODAY(),1))</f>
        <v/>
      </c>
      <c r="G846" s="171" t="str">
        <f ca="1">IF(C846="","",[1]!s_pq_pctchange(D846,TODAY()-$G$12,TODAY())/100)</f>
        <v/>
      </c>
      <c r="H846" s="247" t="str">
        <f ca="1">IF(C846="","",IF($H$11="收入",[1]!S_STM07_IS(D846,9,$G$5,$H$13)/$E$5,[1]!S_STM07_IS(D846,48,$G$5,$H$13)/$E$5))</f>
        <v/>
      </c>
      <c r="I846" s="247" t="str">
        <f ca="1">IF(C846="","",IF($I$11="毛利率",([1]!S_STM07_IS(D846,9,$G$5,$H$13)-[1]!S_STM07_IS(D846,10,$G$5,$H$13))/[1]!S_STM07_IS(D846,9,$G$5,$H$13),[1]!S_STM07_IS(D846,14,$G$5,$H$13)/$E$5))</f>
        <v/>
      </c>
      <c r="J846" s="247" t="str">
        <f ca="1">IF(C846="","",IF($J$11="营业利润率",[1]!S_STM07_IS(D846,48,$G$5,$H$13)/[1]!S_STM07_IS(D846,9,$G$5,$H$13),([1]!S_STM07_CS(D846,87,$G$5,$H$13)+[1]!S_STM07_CS(D846,88,$G$5,$H$13)+[1]!S_STM07_CS(D846,89,$G$5,$H$13))/$E$5))</f>
        <v/>
      </c>
      <c r="K846" s="247" t="str">
        <f ca="1">IF(C846="","",IF($K$11="净利润率",[1]!S_STM07_IS(D846,61,$G$5,$H$13)/[1]!S_STM07_IS(D846,9,$G$5,$H$13),[1]!S_STM07_IS(D846,55,$G$5,$H$13)/$E$5))</f>
        <v/>
      </c>
      <c r="L846" s="247" t="str">
        <f ca="1">IF(C846="","",IF($L$11="ROA",[1]!S_STM07_IS(D846,61,$G$5,$H$13)/[1]!S_STM07_BS(D846,74,$G$5,$H$13),1-[1]!S_STM07_IS(D846,61,$G$5,$H$13)/[1]!S_STM07_IS(D846,55,$G$5,$H$13)))</f>
        <v/>
      </c>
      <c r="M846" s="247" t="str">
        <f ca="1">IF(C846="","",IF($M$11="ROE",[1]!S_STM07_IS(D846,61,$G$5,$H$13)/[1]!S_STM07_BS(D846,141,$G$5,$H$13),([1]!S_STM07_BS(D846,25,$G$5,$H$13)-[1]!S_STM07_BS(D846,93,$G$5,$H$13))/$E$5))</f>
        <v/>
      </c>
      <c r="N846" s="247" t="str">
        <f ca="1">IF(C846="","",IF($N$11="EPS",[1]!S_STM07_IS(D846,61,$G$5,$H$13)/IF([1]!S_SHARE_TOTAL(D846,$G$5)=0,[1]!S_SHARE_TOTAL(D846,[1]!s_ipo_listeddate(D846)),[1]!S_SHARE_TOTAL(D846,$G$5)),([1]!S_STM07_BS(D846,75,$G$5,$H$13)+[1]!S_STM07_BS(D846,88,$G$5,$H$13)+[1]!S_STM07_BS(D846,94,$G$5,$H$13)+[1]!S_STM07_BS(D846,95,$G$5,$H$13))/$E$5))</f>
        <v/>
      </c>
      <c r="O846" s="247" t="str">
        <f ca="1">IF(C846="","",IF($O$11="BPS",[1]!S_STM07_BS(D846,141,$G$5,$H$13)/IF([1]!S_SHARE_TOTAL(D846,$G$5)=0,[1]!S_SHARE_TOTAL(D846,[1]!s_ipo_listeddate(D846)),[1]!S_SHARE_TOTAL(D846,$G$5)),[1]!S_STM07_CS(D846,49,$G$5,$H$13)/$E$5))</f>
        <v/>
      </c>
      <c r="P846" s="247" t="str">
        <f ca="1">IF(C846="","",IF($P$11="CFPS",[1]!S_STM07_CS(D846,84,$G$5,$H$13)/IF([1]!S_SHARE_TOTAL(D846,$G$5)=0,[1]!S_SHARE_TOTAL(D846,[1]!s_ipo_listeddate(D846)),[1]!S_SHARE_TOTAL(D846,$G$5)),[1]!S_STM07_CS(D846,84,$G$5,$H$13)/$E$5))</f>
        <v/>
      </c>
      <c r="Q846" s="248" t="str">
        <f ca="1">IF(C846="","",F846/([1]!S_STM07_IS(D846,61,$G$5,$H$13)/IF([1]!S_SHARE_TOTAL(D846,$G$5)=0,[1]!S_SHARE_TOTAL(D846,[1]!s_ipo_listeddate(D846)),[1]!S_SHARE_TOTAL(D846,$G$5))))</f>
        <v/>
      </c>
      <c r="R846" s="248" t="str">
        <f ca="1">IF(C846="","",F846/([1]!S_STM07_BS(D846,141,$G$5,$H$13)/IF([1]!S_SHARE_TOTAL(D846,$G$5)=0,[1]!S_SHARE_TOTAL(D846,[1]!s_ipo_listeddate(D846)),[1]!S_SHARE_TOTAL(D846,$G$5))))</f>
        <v/>
      </c>
      <c r="S846" s="247" t="str">
        <f ca="1">IF(C846="","",[1]!S_SHARE_TOTAL(D846,TODAY())/$E$5)</f>
        <v/>
      </c>
      <c r="T846" s="247" t="str">
        <f t="shared" ca="1" si="85"/>
        <v/>
      </c>
      <c r="U846" s="218" t="str">
        <f t="shared" ca="1" si="86"/>
        <v/>
      </c>
      <c r="V846" s="342" t="str">
        <f t="shared" ca="1" si="87"/>
        <v/>
      </c>
      <c r="W846" s="139"/>
      <c r="Y846" s="1"/>
    </row>
    <row r="847" spans="3:25" ht="12" customHeight="1">
      <c r="C847" s="343" t="str">
        <f t="shared" ca="1" si="88"/>
        <v/>
      </c>
      <c r="D847" s="124" t="str">
        <f t="shared" ca="1" si="83"/>
        <v/>
      </c>
      <c r="E847" s="124" t="str">
        <f t="shared" ca="1" si="84"/>
        <v/>
      </c>
      <c r="F847" s="172" t="str">
        <f ca="1">IF(C847="","",[1]!S_DQ_CLOSE(D847,TODAY(),1))</f>
        <v/>
      </c>
      <c r="G847" s="173" t="str">
        <f ca="1">IF(C847="","",[1]!s_pq_pctchange(D847,TODAY()-$G$12,TODAY())/100)</f>
        <v/>
      </c>
      <c r="H847" s="249" t="str">
        <f ca="1">IF(C847="","",IF($H$11="收入",[1]!S_STM07_IS(D847,9,$G$5,$H$13)/$E$5,[1]!S_STM07_IS(D847,48,$G$5,$H$13)/$E$5))</f>
        <v/>
      </c>
      <c r="I847" s="249" t="str">
        <f ca="1">IF(C847="","",IF($I$11="毛利率",([1]!S_STM07_IS(D847,9,$G$5,$H$13)-[1]!S_STM07_IS(D847,10,$G$5,$H$13))/[1]!S_STM07_IS(D847,9,$G$5,$H$13),[1]!S_STM07_IS(D847,14,$G$5,$H$13)/$E$5))</f>
        <v/>
      </c>
      <c r="J847" s="249" t="str">
        <f ca="1">IF(C847="","",IF($J$11="营业利润率",[1]!S_STM07_IS(D847,48,$G$5,$H$13)/[1]!S_STM07_IS(D847,9,$G$5,$H$13),([1]!S_STM07_CS(D847,87,$G$5,$H$13)+[1]!S_STM07_CS(D847,88,$G$5,$H$13)+[1]!S_STM07_CS(D847,89,$G$5,$H$13))/$E$5))</f>
        <v/>
      </c>
      <c r="K847" s="249" t="str">
        <f ca="1">IF(C847="","",IF($K$11="净利润率",[1]!S_STM07_IS(D847,61,$G$5,$H$13)/[1]!S_STM07_IS(D847,9,$G$5,$H$13),[1]!S_STM07_IS(D847,55,$G$5,$H$13)/$E$5))</f>
        <v/>
      </c>
      <c r="L847" s="249" t="str">
        <f ca="1">IF(C847="","",IF($L$11="ROA",[1]!S_STM07_IS(D847,61,$G$5,$H$13)/[1]!S_STM07_BS(D847,74,$G$5,$H$13),1-[1]!S_STM07_IS(D847,61,$G$5,$H$13)/[1]!S_STM07_IS(D847,55,$G$5,$H$13)))</f>
        <v/>
      </c>
      <c r="M847" s="249" t="str">
        <f ca="1">IF(C847="","",IF($M$11="ROE",[1]!S_STM07_IS(D847,61,$G$5,$H$13)/[1]!S_STM07_BS(D847,141,$G$5,$H$13),([1]!S_STM07_BS(D847,25,$G$5,$H$13)-[1]!S_STM07_BS(D847,93,$G$5,$H$13))/$E$5))</f>
        <v/>
      </c>
      <c r="N847" s="250" t="str">
        <f ca="1">IF(C847="","",IF($N$11="EPS",[1]!S_STM07_IS(D847,61,$G$5,$H$13)/IF([1]!S_SHARE_TOTAL(D847,$G$5)=0,[1]!S_SHARE_TOTAL(D847,[1]!s_ipo_listeddate(D847)),[1]!S_SHARE_TOTAL(D847,$G$5)),([1]!S_STM07_BS(D847,75,$G$5,$H$13)+[1]!S_STM07_BS(D847,88,$G$5,$H$13)+[1]!S_STM07_BS(D847,94,$G$5,$H$13)+[1]!S_STM07_BS(D847,95,$G$5,$H$13))/$E$5))</f>
        <v/>
      </c>
      <c r="O847" s="250" t="str">
        <f ca="1">IF(C847="","",IF($O$11="BPS",[1]!S_STM07_BS(D847,141,$G$5,$H$13)/IF([1]!S_SHARE_TOTAL(D847,$G$5)=0,[1]!S_SHARE_TOTAL(D847,[1]!s_ipo_listeddate(D847)),[1]!S_SHARE_TOTAL(D847,$G$5)),[1]!S_STM07_CS(D847,49,$G$5,$H$13)/$E$5))</f>
        <v/>
      </c>
      <c r="P847" s="250" t="str">
        <f ca="1">IF(C847="","",IF($P$11="CFPS",[1]!S_STM07_CS(D847,84,$G$5,$H$13)/IF([1]!S_SHARE_TOTAL(D847,$G$5)=0,[1]!S_SHARE_TOTAL(D847,[1]!s_ipo_listeddate(D847)),[1]!S_SHARE_TOTAL(D847,$G$5)),[1]!S_STM07_CS(D847,84,$G$5,$H$13)/$E$5))</f>
        <v/>
      </c>
      <c r="Q847" s="198" t="str">
        <f ca="1">IF(C847="","",F847/([1]!S_STM07_IS(D847,61,$G$5,$H$13)/IF([1]!S_SHARE_TOTAL(D847,$G$5)=0,[1]!S_SHARE_TOTAL(D847,[1]!s_ipo_listeddate(D847)),[1]!S_SHARE_TOTAL(D847,$G$5))))</f>
        <v/>
      </c>
      <c r="R847" s="198" t="str">
        <f ca="1">IF(C847="","",F847/([1]!S_STM07_BS(D847,141,$G$5,$H$13)/IF([1]!S_SHARE_TOTAL(D847,$G$5)=0,[1]!S_SHARE_TOTAL(D847,[1]!s_ipo_listeddate(D847)),[1]!S_SHARE_TOTAL(D847,$G$5))))</f>
        <v/>
      </c>
      <c r="S847" s="249" t="str">
        <f ca="1">IF(C847="","",[1]!S_SHARE_TOTAL(D847,TODAY())/$E$5)</f>
        <v/>
      </c>
      <c r="T847" s="249" t="str">
        <f t="shared" ca="1" si="85"/>
        <v/>
      </c>
      <c r="U847" s="172" t="str">
        <f t="shared" ca="1" si="86"/>
        <v/>
      </c>
      <c r="V847" s="343" t="str">
        <f t="shared" ca="1" si="87"/>
        <v/>
      </c>
      <c r="W847" s="139"/>
      <c r="Y847" s="1"/>
    </row>
    <row r="848" spans="3:25" ht="12" customHeight="1">
      <c r="C848" s="342" t="str">
        <f t="shared" ca="1" si="88"/>
        <v/>
      </c>
      <c r="D848" s="153" t="str">
        <f t="shared" ca="1" si="83"/>
        <v/>
      </c>
      <c r="E848" s="153" t="str">
        <f t="shared" ca="1" si="84"/>
        <v/>
      </c>
      <c r="F848" s="170" t="str">
        <f ca="1">IF(C848="","",[1]!S_DQ_CLOSE(D848,TODAY(),1))</f>
        <v/>
      </c>
      <c r="G848" s="171" t="str">
        <f ca="1">IF(C848="","",[1]!s_pq_pctchange(D848,TODAY()-$G$12,TODAY())/100)</f>
        <v/>
      </c>
      <c r="H848" s="247" t="str">
        <f ca="1">IF(C848="","",IF($H$11="收入",[1]!S_STM07_IS(D848,9,$G$5,$H$13)/$E$5,[1]!S_STM07_IS(D848,48,$G$5,$H$13)/$E$5))</f>
        <v/>
      </c>
      <c r="I848" s="247" t="str">
        <f ca="1">IF(C848="","",IF($I$11="毛利率",([1]!S_STM07_IS(D848,9,$G$5,$H$13)-[1]!S_STM07_IS(D848,10,$G$5,$H$13))/[1]!S_STM07_IS(D848,9,$G$5,$H$13),[1]!S_STM07_IS(D848,14,$G$5,$H$13)/$E$5))</f>
        <v/>
      </c>
      <c r="J848" s="247" t="str">
        <f ca="1">IF(C848="","",IF($J$11="营业利润率",[1]!S_STM07_IS(D848,48,$G$5,$H$13)/[1]!S_STM07_IS(D848,9,$G$5,$H$13),([1]!S_STM07_CS(D848,87,$G$5,$H$13)+[1]!S_STM07_CS(D848,88,$G$5,$H$13)+[1]!S_STM07_CS(D848,89,$G$5,$H$13))/$E$5))</f>
        <v/>
      </c>
      <c r="K848" s="247" t="str">
        <f ca="1">IF(C848="","",IF($K$11="净利润率",[1]!S_STM07_IS(D848,61,$G$5,$H$13)/[1]!S_STM07_IS(D848,9,$G$5,$H$13),[1]!S_STM07_IS(D848,55,$G$5,$H$13)/$E$5))</f>
        <v/>
      </c>
      <c r="L848" s="247" t="str">
        <f ca="1">IF(C848="","",IF($L$11="ROA",[1]!S_STM07_IS(D848,61,$G$5,$H$13)/[1]!S_STM07_BS(D848,74,$G$5,$H$13),1-[1]!S_STM07_IS(D848,61,$G$5,$H$13)/[1]!S_STM07_IS(D848,55,$G$5,$H$13)))</f>
        <v/>
      </c>
      <c r="M848" s="247" t="str">
        <f ca="1">IF(C848="","",IF($M$11="ROE",[1]!S_STM07_IS(D848,61,$G$5,$H$13)/[1]!S_STM07_BS(D848,141,$G$5,$H$13),([1]!S_STM07_BS(D848,25,$G$5,$H$13)-[1]!S_STM07_BS(D848,93,$G$5,$H$13))/$E$5))</f>
        <v/>
      </c>
      <c r="N848" s="247" t="str">
        <f ca="1">IF(C848="","",IF($N$11="EPS",[1]!S_STM07_IS(D848,61,$G$5,$H$13)/IF([1]!S_SHARE_TOTAL(D848,$G$5)=0,[1]!S_SHARE_TOTAL(D848,[1]!s_ipo_listeddate(D848)),[1]!S_SHARE_TOTAL(D848,$G$5)),([1]!S_STM07_BS(D848,75,$G$5,$H$13)+[1]!S_STM07_BS(D848,88,$G$5,$H$13)+[1]!S_STM07_BS(D848,94,$G$5,$H$13)+[1]!S_STM07_BS(D848,95,$G$5,$H$13))/$E$5))</f>
        <v/>
      </c>
      <c r="O848" s="247" t="str">
        <f ca="1">IF(C848="","",IF($O$11="BPS",[1]!S_STM07_BS(D848,141,$G$5,$H$13)/IF([1]!S_SHARE_TOTAL(D848,$G$5)=0,[1]!S_SHARE_TOTAL(D848,[1]!s_ipo_listeddate(D848)),[1]!S_SHARE_TOTAL(D848,$G$5)),[1]!S_STM07_CS(D848,49,$G$5,$H$13)/$E$5))</f>
        <v/>
      </c>
      <c r="P848" s="247" t="str">
        <f ca="1">IF(C848="","",IF($P$11="CFPS",[1]!S_STM07_CS(D848,84,$G$5,$H$13)/IF([1]!S_SHARE_TOTAL(D848,$G$5)=0,[1]!S_SHARE_TOTAL(D848,[1]!s_ipo_listeddate(D848)),[1]!S_SHARE_TOTAL(D848,$G$5)),[1]!S_STM07_CS(D848,84,$G$5,$H$13)/$E$5))</f>
        <v/>
      </c>
      <c r="Q848" s="248" t="str">
        <f ca="1">IF(C848="","",F848/([1]!S_STM07_IS(D848,61,$G$5,$H$13)/IF([1]!S_SHARE_TOTAL(D848,$G$5)=0,[1]!S_SHARE_TOTAL(D848,[1]!s_ipo_listeddate(D848)),[1]!S_SHARE_TOTAL(D848,$G$5))))</f>
        <v/>
      </c>
      <c r="R848" s="248" t="str">
        <f ca="1">IF(C848="","",F848/([1]!S_STM07_BS(D848,141,$G$5,$H$13)/IF([1]!S_SHARE_TOTAL(D848,$G$5)=0,[1]!S_SHARE_TOTAL(D848,[1]!s_ipo_listeddate(D848)),[1]!S_SHARE_TOTAL(D848,$G$5))))</f>
        <v/>
      </c>
      <c r="S848" s="247" t="str">
        <f ca="1">IF(C848="","",[1]!S_SHARE_TOTAL(D848,TODAY())/$E$5)</f>
        <v/>
      </c>
      <c r="T848" s="247" t="str">
        <f t="shared" ca="1" si="85"/>
        <v/>
      </c>
      <c r="U848" s="218" t="str">
        <f t="shared" ca="1" si="86"/>
        <v/>
      </c>
      <c r="V848" s="342" t="str">
        <f t="shared" ca="1" si="87"/>
        <v/>
      </c>
      <c r="W848" s="139"/>
      <c r="Y848" s="1"/>
    </row>
    <row r="849" spans="3:25" ht="12" customHeight="1">
      <c r="C849" s="343" t="str">
        <f t="shared" ca="1" si="88"/>
        <v/>
      </c>
      <c r="D849" s="124" t="str">
        <f t="shared" ca="1" si="83"/>
        <v/>
      </c>
      <c r="E849" s="124" t="str">
        <f t="shared" ca="1" si="84"/>
        <v/>
      </c>
      <c r="F849" s="172" t="str">
        <f ca="1">IF(C849="","",[1]!S_DQ_CLOSE(D849,TODAY(),1))</f>
        <v/>
      </c>
      <c r="G849" s="173" t="str">
        <f ca="1">IF(C849="","",[1]!s_pq_pctchange(D849,TODAY()-$G$12,TODAY())/100)</f>
        <v/>
      </c>
      <c r="H849" s="249" t="str">
        <f ca="1">IF(C849="","",IF($H$11="收入",[1]!S_STM07_IS(D849,9,$G$5,$H$13)/$E$5,[1]!S_STM07_IS(D849,48,$G$5,$H$13)/$E$5))</f>
        <v/>
      </c>
      <c r="I849" s="249" t="str">
        <f ca="1">IF(C849="","",IF($I$11="毛利率",([1]!S_STM07_IS(D849,9,$G$5,$H$13)-[1]!S_STM07_IS(D849,10,$G$5,$H$13))/[1]!S_STM07_IS(D849,9,$G$5,$H$13),[1]!S_STM07_IS(D849,14,$G$5,$H$13)/$E$5))</f>
        <v/>
      </c>
      <c r="J849" s="249" t="str">
        <f ca="1">IF(C849="","",IF($J$11="营业利润率",[1]!S_STM07_IS(D849,48,$G$5,$H$13)/[1]!S_STM07_IS(D849,9,$G$5,$H$13),([1]!S_STM07_CS(D849,87,$G$5,$H$13)+[1]!S_STM07_CS(D849,88,$G$5,$H$13)+[1]!S_STM07_CS(D849,89,$G$5,$H$13))/$E$5))</f>
        <v/>
      </c>
      <c r="K849" s="249" t="str">
        <f ca="1">IF(C849="","",IF($K$11="净利润率",[1]!S_STM07_IS(D849,61,$G$5,$H$13)/[1]!S_STM07_IS(D849,9,$G$5,$H$13),[1]!S_STM07_IS(D849,55,$G$5,$H$13)/$E$5))</f>
        <v/>
      </c>
      <c r="L849" s="249" t="str">
        <f ca="1">IF(C849="","",IF($L$11="ROA",[1]!S_STM07_IS(D849,61,$G$5,$H$13)/[1]!S_STM07_BS(D849,74,$G$5,$H$13),1-[1]!S_STM07_IS(D849,61,$G$5,$H$13)/[1]!S_STM07_IS(D849,55,$G$5,$H$13)))</f>
        <v/>
      </c>
      <c r="M849" s="249" t="str">
        <f ca="1">IF(C849="","",IF($M$11="ROE",[1]!S_STM07_IS(D849,61,$G$5,$H$13)/[1]!S_STM07_BS(D849,141,$G$5,$H$13),([1]!S_STM07_BS(D849,25,$G$5,$H$13)-[1]!S_STM07_BS(D849,93,$G$5,$H$13))/$E$5))</f>
        <v/>
      </c>
      <c r="N849" s="250" t="str">
        <f ca="1">IF(C849="","",IF($N$11="EPS",[1]!S_STM07_IS(D849,61,$G$5,$H$13)/IF([1]!S_SHARE_TOTAL(D849,$G$5)=0,[1]!S_SHARE_TOTAL(D849,[1]!s_ipo_listeddate(D849)),[1]!S_SHARE_TOTAL(D849,$G$5)),([1]!S_STM07_BS(D849,75,$G$5,$H$13)+[1]!S_STM07_BS(D849,88,$G$5,$H$13)+[1]!S_STM07_BS(D849,94,$G$5,$H$13)+[1]!S_STM07_BS(D849,95,$G$5,$H$13))/$E$5))</f>
        <v/>
      </c>
      <c r="O849" s="250" t="str">
        <f ca="1">IF(C849="","",IF($O$11="BPS",[1]!S_STM07_BS(D849,141,$G$5,$H$13)/IF([1]!S_SHARE_TOTAL(D849,$G$5)=0,[1]!S_SHARE_TOTAL(D849,[1]!s_ipo_listeddate(D849)),[1]!S_SHARE_TOTAL(D849,$G$5)),[1]!S_STM07_CS(D849,49,$G$5,$H$13)/$E$5))</f>
        <v/>
      </c>
      <c r="P849" s="250" t="str">
        <f ca="1">IF(C849="","",IF($P$11="CFPS",[1]!S_STM07_CS(D849,84,$G$5,$H$13)/IF([1]!S_SHARE_TOTAL(D849,$G$5)=0,[1]!S_SHARE_TOTAL(D849,[1]!s_ipo_listeddate(D849)),[1]!S_SHARE_TOTAL(D849,$G$5)),[1]!S_STM07_CS(D849,84,$G$5,$H$13)/$E$5))</f>
        <v/>
      </c>
      <c r="Q849" s="198" t="str">
        <f ca="1">IF(C849="","",F849/([1]!S_STM07_IS(D849,61,$G$5,$H$13)/IF([1]!S_SHARE_TOTAL(D849,$G$5)=0,[1]!S_SHARE_TOTAL(D849,[1]!s_ipo_listeddate(D849)),[1]!S_SHARE_TOTAL(D849,$G$5))))</f>
        <v/>
      </c>
      <c r="R849" s="198" t="str">
        <f ca="1">IF(C849="","",F849/([1]!S_STM07_BS(D849,141,$G$5,$H$13)/IF([1]!S_SHARE_TOTAL(D849,$G$5)=0,[1]!S_SHARE_TOTAL(D849,[1]!s_ipo_listeddate(D849)),[1]!S_SHARE_TOTAL(D849,$G$5))))</f>
        <v/>
      </c>
      <c r="S849" s="249" t="str">
        <f ca="1">IF(C849="","",[1]!S_SHARE_TOTAL(D849,TODAY())/$E$5)</f>
        <v/>
      </c>
      <c r="T849" s="249" t="str">
        <f t="shared" ca="1" si="85"/>
        <v/>
      </c>
      <c r="U849" s="172" t="str">
        <f t="shared" ca="1" si="86"/>
        <v/>
      </c>
      <c r="V849" s="343" t="str">
        <f t="shared" ca="1" si="87"/>
        <v/>
      </c>
      <c r="W849" s="139"/>
      <c r="Y849" s="1"/>
    </row>
    <row r="850" spans="3:25" ht="12" customHeight="1">
      <c r="C850" s="342" t="str">
        <f t="shared" ca="1" si="88"/>
        <v/>
      </c>
      <c r="D850" s="153" t="str">
        <f t="shared" ca="1" si="83"/>
        <v/>
      </c>
      <c r="E850" s="153" t="str">
        <f t="shared" ca="1" si="84"/>
        <v/>
      </c>
      <c r="F850" s="170" t="str">
        <f ca="1">IF(C850="","",[1]!S_DQ_CLOSE(D850,TODAY(),1))</f>
        <v/>
      </c>
      <c r="G850" s="171" t="str">
        <f ca="1">IF(C850="","",[1]!s_pq_pctchange(D850,TODAY()-$G$12,TODAY())/100)</f>
        <v/>
      </c>
      <c r="H850" s="247" t="str">
        <f ca="1">IF(C850="","",IF($H$11="收入",[1]!S_STM07_IS(D850,9,$G$5,$H$13)/$E$5,[1]!S_STM07_IS(D850,48,$G$5,$H$13)/$E$5))</f>
        <v/>
      </c>
      <c r="I850" s="247" t="str">
        <f ca="1">IF(C850="","",IF($I$11="毛利率",([1]!S_STM07_IS(D850,9,$G$5,$H$13)-[1]!S_STM07_IS(D850,10,$G$5,$H$13))/[1]!S_STM07_IS(D850,9,$G$5,$H$13),[1]!S_STM07_IS(D850,14,$G$5,$H$13)/$E$5))</f>
        <v/>
      </c>
      <c r="J850" s="247" t="str">
        <f ca="1">IF(C850="","",IF($J$11="营业利润率",[1]!S_STM07_IS(D850,48,$G$5,$H$13)/[1]!S_STM07_IS(D850,9,$G$5,$H$13),([1]!S_STM07_CS(D850,87,$G$5,$H$13)+[1]!S_STM07_CS(D850,88,$G$5,$H$13)+[1]!S_STM07_CS(D850,89,$G$5,$H$13))/$E$5))</f>
        <v/>
      </c>
      <c r="K850" s="247" t="str">
        <f ca="1">IF(C850="","",IF($K$11="净利润率",[1]!S_STM07_IS(D850,61,$G$5,$H$13)/[1]!S_STM07_IS(D850,9,$G$5,$H$13),[1]!S_STM07_IS(D850,55,$G$5,$H$13)/$E$5))</f>
        <v/>
      </c>
      <c r="L850" s="247" t="str">
        <f ca="1">IF(C850="","",IF($L$11="ROA",[1]!S_STM07_IS(D850,61,$G$5,$H$13)/[1]!S_STM07_BS(D850,74,$G$5,$H$13),1-[1]!S_STM07_IS(D850,61,$G$5,$H$13)/[1]!S_STM07_IS(D850,55,$G$5,$H$13)))</f>
        <v/>
      </c>
      <c r="M850" s="247" t="str">
        <f ca="1">IF(C850="","",IF($M$11="ROE",[1]!S_STM07_IS(D850,61,$G$5,$H$13)/[1]!S_STM07_BS(D850,141,$G$5,$H$13),([1]!S_STM07_BS(D850,25,$G$5,$H$13)-[1]!S_STM07_BS(D850,93,$G$5,$H$13))/$E$5))</f>
        <v/>
      </c>
      <c r="N850" s="247" t="str">
        <f ca="1">IF(C850="","",IF($N$11="EPS",[1]!S_STM07_IS(D850,61,$G$5,$H$13)/IF([1]!S_SHARE_TOTAL(D850,$G$5)=0,[1]!S_SHARE_TOTAL(D850,[1]!s_ipo_listeddate(D850)),[1]!S_SHARE_TOTAL(D850,$G$5)),([1]!S_STM07_BS(D850,75,$G$5,$H$13)+[1]!S_STM07_BS(D850,88,$G$5,$H$13)+[1]!S_STM07_BS(D850,94,$G$5,$H$13)+[1]!S_STM07_BS(D850,95,$G$5,$H$13))/$E$5))</f>
        <v/>
      </c>
      <c r="O850" s="247" t="str">
        <f ca="1">IF(C850="","",IF($O$11="BPS",[1]!S_STM07_BS(D850,141,$G$5,$H$13)/IF([1]!S_SHARE_TOTAL(D850,$G$5)=0,[1]!S_SHARE_TOTAL(D850,[1]!s_ipo_listeddate(D850)),[1]!S_SHARE_TOTAL(D850,$G$5)),[1]!S_STM07_CS(D850,49,$G$5,$H$13)/$E$5))</f>
        <v/>
      </c>
      <c r="P850" s="247" t="str">
        <f ca="1">IF(C850="","",IF($P$11="CFPS",[1]!S_STM07_CS(D850,84,$G$5,$H$13)/IF([1]!S_SHARE_TOTAL(D850,$G$5)=0,[1]!S_SHARE_TOTAL(D850,[1]!s_ipo_listeddate(D850)),[1]!S_SHARE_TOTAL(D850,$G$5)),[1]!S_STM07_CS(D850,84,$G$5,$H$13)/$E$5))</f>
        <v/>
      </c>
      <c r="Q850" s="248" t="str">
        <f ca="1">IF(C850="","",F850/([1]!S_STM07_IS(D850,61,$G$5,$H$13)/IF([1]!S_SHARE_TOTAL(D850,$G$5)=0,[1]!S_SHARE_TOTAL(D850,[1]!s_ipo_listeddate(D850)),[1]!S_SHARE_TOTAL(D850,$G$5))))</f>
        <v/>
      </c>
      <c r="R850" s="248" t="str">
        <f ca="1">IF(C850="","",F850/([1]!S_STM07_BS(D850,141,$G$5,$H$13)/IF([1]!S_SHARE_TOTAL(D850,$G$5)=0,[1]!S_SHARE_TOTAL(D850,[1]!s_ipo_listeddate(D850)),[1]!S_SHARE_TOTAL(D850,$G$5))))</f>
        <v/>
      </c>
      <c r="S850" s="247" t="str">
        <f ca="1">IF(C850="","",[1]!S_SHARE_TOTAL(D850,TODAY())/$E$5)</f>
        <v/>
      </c>
      <c r="T850" s="247" t="str">
        <f t="shared" ca="1" si="85"/>
        <v/>
      </c>
      <c r="U850" s="218" t="str">
        <f t="shared" ca="1" si="86"/>
        <v/>
      </c>
      <c r="V850" s="342" t="str">
        <f t="shared" ca="1" si="87"/>
        <v/>
      </c>
      <c r="W850" s="139"/>
      <c r="Y850" s="1"/>
    </row>
    <row r="851" spans="3:25" ht="12" customHeight="1">
      <c r="C851" s="343" t="str">
        <f t="shared" ca="1" si="88"/>
        <v/>
      </c>
      <c r="D851" s="124" t="str">
        <f t="shared" ca="1" si="83"/>
        <v/>
      </c>
      <c r="E851" s="124" t="str">
        <f t="shared" ca="1" si="84"/>
        <v/>
      </c>
      <c r="F851" s="172" t="str">
        <f ca="1">IF(C851="","",[1]!S_DQ_CLOSE(D851,TODAY(),1))</f>
        <v/>
      </c>
      <c r="G851" s="173" t="str">
        <f ca="1">IF(C851="","",[1]!s_pq_pctchange(D851,TODAY()-$G$12,TODAY())/100)</f>
        <v/>
      </c>
      <c r="H851" s="249" t="str">
        <f ca="1">IF(C851="","",IF($H$11="收入",[1]!S_STM07_IS(D851,9,$G$5,$H$13)/$E$5,[1]!S_STM07_IS(D851,48,$G$5,$H$13)/$E$5))</f>
        <v/>
      </c>
      <c r="I851" s="249" t="str">
        <f ca="1">IF(C851="","",IF($I$11="毛利率",([1]!S_STM07_IS(D851,9,$G$5,$H$13)-[1]!S_STM07_IS(D851,10,$G$5,$H$13))/[1]!S_STM07_IS(D851,9,$G$5,$H$13),[1]!S_STM07_IS(D851,14,$G$5,$H$13)/$E$5))</f>
        <v/>
      </c>
      <c r="J851" s="249" t="str">
        <f ca="1">IF(C851="","",IF($J$11="营业利润率",[1]!S_STM07_IS(D851,48,$G$5,$H$13)/[1]!S_STM07_IS(D851,9,$G$5,$H$13),([1]!S_STM07_CS(D851,87,$G$5,$H$13)+[1]!S_STM07_CS(D851,88,$G$5,$H$13)+[1]!S_STM07_CS(D851,89,$G$5,$H$13))/$E$5))</f>
        <v/>
      </c>
      <c r="K851" s="249" t="str">
        <f ca="1">IF(C851="","",IF($K$11="净利润率",[1]!S_STM07_IS(D851,61,$G$5,$H$13)/[1]!S_STM07_IS(D851,9,$G$5,$H$13),[1]!S_STM07_IS(D851,55,$G$5,$H$13)/$E$5))</f>
        <v/>
      </c>
      <c r="L851" s="249" t="str">
        <f ca="1">IF(C851="","",IF($L$11="ROA",[1]!S_STM07_IS(D851,61,$G$5,$H$13)/[1]!S_STM07_BS(D851,74,$G$5,$H$13),1-[1]!S_STM07_IS(D851,61,$G$5,$H$13)/[1]!S_STM07_IS(D851,55,$G$5,$H$13)))</f>
        <v/>
      </c>
      <c r="M851" s="249" t="str">
        <f ca="1">IF(C851="","",IF($M$11="ROE",[1]!S_STM07_IS(D851,61,$G$5,$H$13)/[1]!S_STM07_BS(D851,141,$G$5,$H$13),([1]!S_STM07_BS(D851,25,$G$5,$H$13)-[1]!S_STM07_BS(D851,93,$G$5,$H$13))/$E$5))</f>
        <v/>
      </c>
      <c r="N851" s="250" t="str">
        <f ca="1">IF(C851="","",IF($N$11="EPS",[1]!S_STM07_IS(D851,61,$G$5,$H$13)/IF([1]!S_SHARE_TOTAL(D851,$G$5)=0,[1]!S_SHARE_TOTAL(D851,[1]!s_ipo_listeddate(D851)),[1]!S_SHARE_TOTAL(D851,$G$5)),([1]!S_STM07_BS(D851,75,$G$5,$H$13)+[1]!S_STM07_BS(D851,88,$G$5,$H$13)+[1]!S_STM07_BS(D851,94,$G$5,$H$13)+[1]!S_STM07_BS(D851,95,$G$5,$H$13))/$E$5))</f>
        <v/>
      </c>
      <c r="O851" s="250" t="str">
        <f ca="1">IF(C851="","",IF($O$11="BPS",[1]!S_STM07_BS(D851,141,$G$5,$H$13)/IF([1]!S_SHARE_TOTAL(D851,$G$5)=0,[1]!S_SHARE_TOTAL(D851,[1]!s_ipo_listeddate(D851)),[1]!S_SHARE_TOTAL(D851,$G$5)),[1]!S_STM07_CS(D851,49,$G$5,$H$13)/$E$5))</f>
        <v/>
      </c>
      <c r="P851" s="250" t="str">
        <f ca="1">IF(C851="","",IF($P$11="CFPS",[1]!S_STM07_CS(D851,84,$G$5,$H$13)/IF([1]!S_SHARE_TOTAL(D851,$G$5)=0,[1]!S_SHARE_TOTAL(D851,[1]!s_ipo_listeddate(D851)),[1]!S_SHARE_TOTAL(D851,$G$5)),[1]!S_STM07_CS(D851,84,$G$5,$H$13)/$E$5))</f>
        <v/>
      </c>
      <c r="Q851" s="198" t="str">
        <f ca="1">IF(C851="","",F851/([1]!S_STM07_IS(D851,61,$G$5,$H$13)/IF([1]!S_SHARE_TOTAL(D851,$G$5)=0,[1]!S_SHARE_TOTAL(D851,[1]!s_ipo_listeddate(D851)),[1]!S_SHARE_TOTAL(D851,$G$5))))</f>
        <v/>
      </c>
      <c r="R851" s="198" t="str">
        <f ca="1">IF(C851="","",F851/([1]!S_STM07_BS(D851,141,$G$5,$H$13)/IF([1]!S_SHARE_TOTAL(D851,$G$5)=0,[1]!S_SHARE_TOTAL(D851,[1]!s_ipo_listeddate(D851)),[1]!S_SHARE_TOTAL(D851,$G$5))))</f>
        <v/>
      </c>
      <c r="S851" s="249" t="str">
        <f ca="1">IF(C851="","",[1]!S_SHARE_TOTAL(D851,TODAY())/$E$5)</f>
        <v/>
      </c>
      <c r="T851" s="249" t="str">
        <f t="shared" ca="1" si="85"/>
        <v/>
      </c>
      <c r="U851" s="172" t="str">
        <f t="shared" ca="1" si="86"/>
        <v/>
      </c>
      <c r="V851" s="343" t="str">
        <f t="shared" ca="1" si="87"/>
        <v/>
      </c>
      <c r="W851" s="139"/>
      <c r="Y851" s="1"/>
    </row>
    <row r="852" spans="3:25" ht="12" customHeight="1">
      <c r="C852" s="342" t="str">
        <f t="shared" ca="1" si="88"/>
        <v/>
      </c>
      <c r="D852" s="153" t="str">
        <f t="shared" ca="1" si="83"/>
        <v/>
      </c>
      <c r="E852" s="153" t="str">
        <f t="shared" ca="1" si="84"/>
        <v/>
      </c>
      <c r="F852" s="170" t="str">
        <f ca="1">IF(C852="","",[1]!S_DQ_CLOSE(D852,TODAY(),1))</f>
        <v/>
      </c>
      <c r="G852" s="171" t="str">
        <f ca="1">IF(C852="","",[1]!s_pq_pctchange(D852,TODAY()-$G$12,TODAY())/100)</f>
        <v/>
      </c>
      <c r="H852" s="247" t="str">
        <f ca="1">IF(C852="","",IF($H$11="收入",[1]!S_STM07_IS(D852,9,$G$5,$H$13)/$E$5,[1]!S_STM07_IS(D852,48,$G$5,$H$13)/$E$5))</f>
        <v/>
      </c>
      <c r="I852" s="247" t="str">
        <f ca="1">IF(C852="","",IF($I$11="毛利率",([1]!S_STM07_IS(D852,9,$G$5,$H$13)-[1]!S_STM07_IS(D852,10,$G$5,$H$13))/[1]!S_STM07_IS(D852,9,$G$5,$H$13),[1]!S_STM07_IS(D852,14,$G$5,$H$13)/$E$5))</f>
        <v/>
      </c>
      <c r="J852" s="247" t="str">
        <f ca="1">IF(C852="","",IF($J$11="营业利润率",[1]!S_STM07_IS(D852,48,$G$5,$H$13)/[1]!S_STM07_IS(D852,9,$G$5,$H$13),([1]!S_STM07_CS(D852,87,$G$5,$H$13)+[1]!S_STM07_CS(D852,88,$G$5,$H$13)+[1]!S_STM07_CS(D852,89,$G$5,$H$13))/$E$5))</f>
        <v/>
      </c>
      <c r="K852" s="247" t="str">
        <f ca="1">IF(C852="","",IF($K$11="净利润率",[1]!S_STM07_IS(D852,61,$G$5,$H$13)/[1]!S_STM07_IS(D852,9,$G$5,$H$13),[1]!S_STM07_IS(D852,55,$G$5,$H$13)/$E$5))</f>
        <v/>
      </c>
      <c r="L852" s="247" t="str">
        <f ca="1">IF(C852="","",IF($L$11="ROA",[1]!S_STM07_IS(D852,61,$G$5,$H$13)/[1]!S_STM07_BS(D852,74,$G$5,$H$13),1-[1]!S_STM07_IS(D852,61,$G$5,$H$13)/[1]!S_STM07_IS(D852,55,$G$5,$H$13)))</f>
        <v/>
      </c>
      <c r="M852" s="247" t="str">
        <f ca="1">IF(C852="","",IF($M$11="ROE",[1]!S_STM07_IS(D852,61,$G$5,$H$13)/[1]!S_STM07_BS(D852,141,$G$5,$H$13),([1]!S_STM07_BS(D852,25,$G$5,$H$13)-[1]!S_STM07_BS(D852,93,$G$5,$H$13))/$E$5))</f>
        <v/>
      </c>
      <c r="N852" s="247" t="str">
        <f ca="1">IF(C852="","",IF($N$11="EPS",[1]!S_STM07_IS(D852,61,$G$5,$H$13)/IF([1]!S_SHARE_TOTAL(D852,$G$5)=0,[1]!S_SHARE_TOTAL(D852,[1]!s_ipo_listeddate(D852)),[1]!S_SHARE_TOTAL(D852,$G$5)),([1]!S_STM07_BS(D852,75,$G$5,$H$13)+[1]!S_STM07_BS(D852,88,$G$5,$H$13)+[1]!S_STM07_BS(D852,94,$G$5,$H$13)+[1]!S_STM07_BS(D852,95,$G$5,$H$13))/$E$5))</f>
        <v/>
      </c>
      <c r="O852" s="247" t="str">
        <f ca="1">IF(C852="","",IF($O$11="BPS",[1]!S_STM07_BS(D852,141,$G$5,$H$13)/IF([1]!S_SHARE_TOTAL(D852,$G$5)=0,[1]!S_SHARE_TOTAL(D852,[1]!s_ipo_listeddate(D852)),[1]!S_SHARE_TOTAL(D852,$G$5)),[1]!S_STM07_CS(D852,49,$G$5,$H$13)/$E$5))</f>
        <v/>
      </c>
      <c r="P852" s="247" t="str">
        <f ca="1">IF(C852="","",IF($P$11="CFPS",[1]!S_STM07_CS(D852,84,$G$5,$H$13)/IF([1]!S_SHARE_TOTAL(D852,$G$5)=0,[1]!S_SHARE_TOTAL(D852,[1]!s_ipo_listeddate(D852)),[1]!S_SHARE_TOTAL(D852,$G$5)),[1]!S_STM07_CS(D852,84,$G$5,$H$13)/$E$5))</f>
        <v/>
      </c>
      <c r="Q852" s="248" t="str">
        <f ca="1">IF(C852="","",F852/([1]!S_STM07_IS(D852,61,$G$5,$H$13)/IF([1]!S_SHARE_TOTAL(D852,$G$5)=0,[1]!S_SHARE_TOTAL(D852,[1]!s_ipo_listeddate(D852)),[1]!S_SHARE_TOTAL(D852,$G$5))))</f>
        <v/>
      </c>
      <c r="R852" s="248" t="str">
        <f ca="1">IF(C852="","",F852/([1]!S_STM07_BS(D852,141,$G$5,$H$13)/IF([1]!S_SHARE_TOTAL(D852,$G$5)=0,[1]!S_SHARE_TOTAL(D852,[1]!s_ipo_listeddate(D852)),[1]!S_SHARE_TOTAL(D852,$G$5))))</f>
        <v/>
      </c>
      <c r="S852" s="247" t="str">
        <f ca="1">IF(C852="","",[1]!S_SHARE_TOTAL(D852,TODAY())/$E$5)</f>
        <v/>
      </c>
      <c r="T852" s="247" t="str">
        <f t="shared" ca="1" si="85"/>
        <v/>
      </c>
      <c r="U852" s="218" t="str">
        <f t="shared" ca="1" si="86"/>
        <v/>
      </c>
      <c r="V852" s="342" t="str">
        <f t="shared" ca="1" si="87"/>
        <v/>
      </c>
      <c r="W852" s="139"/>
      <c r="Y852" s="1"/>
    </row>
    <row r="853" spans="3:25" ht="12" customHeight="1">
      <c r="C853" s="343" t="str">
        <f t="shared" ca="1" si="88"/>
        <v/>
      </c>
      <c r="D853" s="124" t="str">
        <f t="shared" ca="1" si="83"/>
        <v/>
      </c>
      <c r="E853" s="124" t="str">
        <f t="shared" ca="1" si="84"/>
        <v/>
      </c>
      <c r="F853" s="172" t="str">
        <f ca="1">IF(C853="","",[1]!S_DQ_CLOSE(D853,TODAY(),1))</f>
        <v/>
      </c>
      <c r="G853" s="173" t="str">
        <f ca="1">IF(C853="","",[1]!s_pq_pctchange(D853,TODAY()-$G$12,TODAY())/100)</f>
        <v/>
      </c>
      <c r="H853" s="249" t="str">
        <f ca="1">IF(C853="","",IF($H$11="收入",[1]!S_STM07_IS(D853,9,$G$5,$H$13)/$E$5,[1]!S_STM07_IS(D853,48,$G$5,$H$13)/$E$5))</f>
        <v/>
      </c>
      <c r="I853" s="249" t="str">
        <f ca="1">IF(C853="","",IF($I$11="毛利率",([1]!S_STM07_IS(D853,9,$G$5,$H$13)-[1]!S_STM07_IS(D853,10,$G$5,$H$13))/[1]!S_STM07_IS(D853,9,$G$5,$H$13),[1]!S_STM07_IS(D853,14,$G$5,$H$13)/$E$5))</f>
        <v/>
      </c>
      <c r="J853" s="249" t="str">
        <f ca="1">IF(C853="","",IF($J$11="营业利润率",[1]!S_STM07_IS(D853,48,$G$5,$H$13)/[1]!S_STM07_IS(D853,9,$G$5,$H$13),([1]!S_STM07_CS(D853,87,$G$5,$H$13)+[1]!S_STM07_CS(D853,88,$G$5,$H$13)+[1]!S_STM07_CS(D853,89,$G$5,$H$13))/$E$5))</f>
        <v/>
      </c>
      <c r="K853" s="249" t="str">
        <f ca="1">IF(C853="","",IF($K$11="净利润率",[1]!S_STM07_IS(D853,61,$G$5,$H$13)/[1]!S_STM07_IS(D853,9,$G$5,$H$13),[1]!S_STM07_IS(D853,55,$G$5,$H$13)/$E$5))</f>
        <v/>
      </c>
      <c r="L853" s="249" t="str">
        <f ca="1">IF(C853="","",IF($L$11="ROA",[1]!S_STM07_IS(D853,61,$G$5,$H$13)/[1]!S_STM07_BS(D853,74,$G$5,$H$13),1-[1]!S_STM07_IS(D853,61,$G$5,$H$13)/[1]!S_STM07_IS(D853,55,$G$5,$H$13)))</f>
        <v/>
      </c>
      <c r="M853" s="249" t="str">
        <f ca="1">IF(C853="","",IF($M$11="ROE",[1]!S_STM07_IS(D853,61,$G$5,$H$13)/[1]!S_STM07_BS(D853,141,$G$5,$H$13),([1]!S_STM07_BS(D853,25,$G$5,$H$13)-[1]!S_STM07_BS(D853,93,$G$5,$H$13))/$E$5))</f>
        <v/>
      </c>
      <c r="N853" s="250" t="str">
        <f ca="1">IF(C853="","",IF($N$11="EPS",[1]!S_STM07_IS(D853,61,$G$5,$H$13)/IF([1]!S_SHARE_TOTAL(D853,$G$5)=0,[1]!S_SHARE_TOTAL(D853,[1]!s_ipo_listeddate(D853)),[1]!S_SHARE_TOTAL(D853,$G$5)),([1]!S_STM07_BS(D853,75,$G$5,$H$13)+[1]!S_STM07_BS(D853,88,$G$5,$H$13)+[1]!S_STM07_BS(D853,94,$G$5,$H$13)+[1]!S_STM07_BS(D853,95,$G$5,$H$13))/$E$5))</f>
        <v/>
      </c>
      <c r="O853" s="250" t="str">
        <f ca="1">IF(C853="","",IF($O$11="BPS",[1]!S_STM07_BS(D853,141,$G$5,$H$13)/IF([1]!S_SHARE_TOTAL(D853,$G$5)=0,[1]!S_SHARE_TOTAL(D853,[1]!s_ipo_listeddate(D853)),[1]!S_SHARE_TOTAL(D853,$G$5)),[1]!S_STM07_CS(D853,49,$G$5,$H$13)/$E$5))</f>
        <v/>
      </c>
      <c r="P853" s="250" t="str">
        <f ca="1">IF(C853="","",IF($P$11="CFPS",[1]!S_STM07_CS(D853,84,$G$5,$H$13)/IF([1]!S_SHARE_TOTAL(D853,$G$5)=0,[1]!S_SHARE_TOTAL(D853,[1]!s_ipo_listeddate(D853)),[1]!S_SHARE_TOTAL(D853,$G$5)),[1]!S_STM07_CS(D853,84,$G$5,$H$13)/$E$5))</f>
        <v/>
      </c>
      <c r="Q853" s="198" t="str">
        <f ca="1">IF(C853="","",F853/([1]!S_STM07_IS(D853,61,$G$5,$H$13)/IF([1]!S_SHARE_TOTAL(D853,$G$5)=0,[1]!S_SHARE_TOTAL(D853,[1]!s_ipo_listeddate(D853)),[1]!S_SHARE_TOTAL(D853,$G$5))))</f>
        <v/>
      </c>
      <c r="R853" s="198" t="str">
        <f ca="1">IF(C853="","",F853/([1]!S_STM07_BS(D853,141,$G$5,$H$13)/IF([1]!S_SHARE_TOTAL(D853,$G$5)=0,[1]!S_SHARE_TOTAL(D853,[1]!s_ipo_listeddate(D853)),[1]!S_SHARE_TOTAL(D853,$G$5))))</f>
        <v/>
      </c>
      <c r="S853" s="249" t="str">
        <f ca="1">IF(C853="","",[1]!S_SHARE_TOTAL(D853,TODAY())/$E$5)</f>
        <v/>
      </c>
      <c r="T853" s="249" t="str">
        <f t="shared" ca="1" si="85"/>
        <v/>
      </c>
      <c r="U853" s="172" t="str">
        <f t="shared" ca="1" si="86"/>
        <v/>
      </c>
      <c r="V853" s="343" t="str">
        <f t="shared" ca="1" si="87"/>
        <v/>
      </c>
      <c r="W853" s="139"/>
      <c r="Y853" s="1"/>
    </row>
    <row r="854" spans="3:25" ht="12" customHeight="1">
      <c r="C854" s="342" t="str">
        <f t="shared" ca="1" si="88"/>
        <v/>
      </c>
      <c r="D854" s="153" t="str">
        <f t="shared" ca="1" si="83"/>
        <v/>
      </c>
      <c r="E854" s="153" t="str">
        <f t="shared" ca="1" si="84"/>
        <v/>
      </c>
      <c r="F854" s="170" t="str">
        <f ca="1">IF(C854="","",[1]!S_DQ_CLOSE(D854,TODAY(),1))</f>
        <v/>
      </c>
      <c r="G854" s="171" t="str">
        <f ca="1">IF(C854="","",[1]!s_pq_pctchange(D854,TODAY()-$G$12,TODAY())/100)</f>
        <v/>
      </c>
      <c r="H854" s="247" t="str">
        <f ca="1">IF(C854="","",IF($H$11="收入",[1]!S_STM07_IS(D854,9,$G$5,$H$13)/$E$5,[1]!S_STM07_IS(D854,48,$G$5,$H$13)/$E$5))</f>
        <v/>
      </c>
      <c r="I854" s="247" t="str">
        <f ca="1">IF(C854="","",IF($I$11="毛利率",([1]!S_STM07_IS(D854,9,$G$5,$H$13)-[1]!S_STM07_IS(D854,10,$G$5,$H$13))/[1]!S_STM07_IS(D854,9,$G$5,$H$13),[1]!S_STM07_IS(D854,14,$G$5,$H$13)/$E$5))</f>
        <v/>
      </c>
      <c r="J854" s="247" t="str">
        <f ca="1">IF(C854="","",IF($J$11="营业利润率",[1]!S_STM07_IS(D854,48,$G$5,$H$13)/[1]!S_STM07_IS(D854,9,$G$5,$H$13),([1]!S_STM07_CS(D854,87,$G$5,$H$13)+[1]!S_STM07_CS(D854,88,$G$5,$H$13)+[1]!S_STM07_CS(D854,89,$G$5,$H$13))/$E$5))</f>
        <v/>
      </c>
      <c r="K854" s="247" t="str">
        <f ca="1">IF(C854="","",IF($K$11="净利润率",[1]!S_STM07_IS(D854,61,$G$5,$H$13)/[1]!S_STM07_IS(D854,9,$G$5,$H$13),[1]!S_STM07_IS(D854,55,$G$5,$H$13)/$E$5))</f>
        <v/>
      </c>
      <c r="L854" s="247" t="str">
        <f ca="1">IF(C854="","",IF($L$11="ROA",[1]!S_STM07_IS(D854,61,$G$5,$H$13)/[1]!S_STM07_BS(D854,74,$G$5,$H$13),1-[1]!S_STM07_IS(D854,61,$G$5,$H$13)/[1]!S_STM07_IS(D854,55,$G$5,$H$13)))</f>
        <v/>
      </c>
      <c r="M854" s="247" t="str">
        <f ca="1">IF(C854="","",IF($M$11="ROE",[1]!S_STM07_IS(D854,61,$G$5,$H$13)/[1]!S_STM07_BS(D854,141,$G$5,$H$13),([1]!S_STM07_BS(D854,25,$G$5,$H$13)-[1]!S_STM07_BS(D854,93,$G$5,$H$13))/$E$5))</f>
        <v/>
      </c>
      <c r="N854" s="247" t="str">
        <f ca="1">IF(C854="","",IF($N$11="EPS",[1]!S_STM07_IS(D854,61,$G$5,$H$13)/IF([1]!S_SHARE_TOTAL(D854,$G$5)=0,[1]!S_SHARE_TOTAL(D854,[1]!s_ipo_listeddate(D854)),[1]!S_SHARE_TOTAL(D854,$G$5)),([1]!S_STM07_BS(D854,75,$G$5,$H$13)+[1]!S_STM07_BS(D854,88,$G$5,$H$13)+[1]!S_STM07_BS(D854,94,$G$5,$H$13)+[1]!S_STM07_BS(D854,95,$G$5,$H$13))/$E$5))</f>
        <v/>
      </c>
      <c r="O854" s="247" t="str">
        <f ca="1">IF(C854="","",IF($O$11="BPS",[1]!S_STM07_BS(D854,141,$G$5,$H$13)/IF([1]!S_SHARE_TOTAL(D854,$G$5)=0,[1]!S_SHARE_TOTAL(D854,[1]!s_ipo_listeddate(D854)),[1]!S_SHARE_TOTAL(D854,$G$5)),[1]!S_STM07_CS(D854,49,$G$5,$H$13)/$E$5))</f>
        <v/>
      </c>
      <c r="P854" s="247" t="str">
        <f ca="1">IF(C854="","",IF($P$11="CFPS",[1]!S_STM07_CS(D854,84,$G$5,$H$13)/IF([1]!S_SHARE_TOTAL(D854,$G$5)=0,[1]!S_SHARE_TOTAL(D854,[1]!s_ipo_listeddate(D854)),[1]!S_SHARE_TOTAL(D854,$G$5)),[1]!S_STM07_CS(D854,84,$G$5,$H$13)/$E$5))</f>
        <v/>
      </c>
      <c r="Q854" s="248" t="str">
        <f ca="1">IF(C854="","",F854/([1]!S_STM07_IS(D854,61,$G$5,$H$13)/IF([1]!S_SHARE_TOTAL(D854,$G$5)=0,[1]!S_SHARE_TOTAL(D854,[1]!s_ipo_listeddate(D854)),[1]!S_SHARE_TOTAL(D854,$G$5))))</f>
        <v/>
      </c>
      <c r="R854" s="248" t="str">
        <f ca="1">IF(C854="","",F854/([1]!S_STM07_BS(D854,141,$G$5,$H$13)/IF([1]!S_SHARE_TOTAL(D854,$G$5)=0,[1]!S_SHARE_TOTAL(D854,[1]!s_ipo_listeddate(D854)),[1]!S_SHARE_TOTAL(D854,$G$5))))</f>
        <v/>
      </c>
      <c r="S854" s="247" t="str">
        <f ca="1">IF(C854="","",[1]!S_SHARE_TOTAL(D854,TODAY())/$E$5)</f>
        <v/>
      </c>
      <c r="T854" s="247" t="str">
        <f t="shared" ca="1" si="85"/>
        <v/>
      </c>
      <c r="U854" s="218" t="str">
        <f t="shared" ca="1" si="86"/>
        <v/>
      </c>
      <c r="V854" s="342" t="str">
        <f t="shared" ca="1" si="87"/>
        <v/>
      </c>
      <c r="W854" s="139"/>
      <c r="Y854" s="1"/>
    </row>
    <row r="855" spans="3:25" ht="12" customHeight="1">
      <c r="C855" s="343" t="str">
        <f t="shared" ca="1" si="88"/>
        <v/>
      </c>
      <c r="D855" s="124" t="str">
        <f t="shared" ca="1" si="83"/>
        <v/>
      </c>
      <c r="E855" s="124" t="str">
        <f t="shared" ca="1" si="84"/>
        <v/>
      </c>
      <c r="F855" s="172" t="str">
        <f ca="1">IF(C855="","",[1]!S_DQ_CLOSE(D855,TODAY(),1))</f>
        <v/>
      </c>
      <c r="G855" s="173" t="str">
        <f ca="1">IF(C855="","",[1]!s_pq_pctchange(D855,TODAY()-$G$12,TODAY())/100)</f>
        <v/>
      </c>
      <c r="H855" s="249" t="str">
        <f ca="1">IF(C855="","",IF($H$11="收入",[1]!S_STM07_IS(D855,9,$G$5,$H$13)/$E$5,[1]!S_STM07_IS(D855,48,$G$5,$H$13)/$E$5))</f>
        <v/>
      </c>
      <c r="I855" s="249" t="str">
        <f ca="1">IF(C855="","",IF($I$11="毛利率",([1]!S_STM07_IS(D855,9,$G$5,$H$13)-[1]!S_STM07_IS(D855,10,$G$5,$H$13))/[1]!S_STM07_IS(D855,9,$G$5,$H$13),[1]!S_STM07_IS(D855,14,$G$5,$H$13)/$E$5))</f>
        <v/>
      </c>
      <c r="J855" s="249" t="str">
        <f ca="1">IF(C855="","",IF($J$11="营业利润率",[1]!S_STM07_IS(D855,48,$G$5,$H$13)/[1]!S_STM07_IS(D855,9,$G$5,$H$13),([1]!S_STM07_CS(D855,87,$G$5,$H$13)+[1]!S_STM07_CS(D855,88,$G$5,$H$13)+[1]!S_STM07_CS(D855,89,$G$5,$H$13))/$E$5))</f>
        <v/>
      </c>
      <c r="K855" s="249" t="str">
        <f ca="1">IF(C855="","",IF($K$11="净利润率",[1]!S_STM07_IS(D855,61,$G$5,$H$13)/[1]!S_STM07_IS(D855,9,$G$5,$H$13),[1]!S_STM07_IS(D855,55,$G$5,$H$13)/$E$5))</f>
        <v/>
      </c>
      <c r="L855" s="249" t="str">
        <f ca="1">IF(C855="","",IF($L$11="ROA",[1]!S_STM07_IS(D855,61,$G$5,$H$13)/[1]!S_STM07_BS(D855,74,$G$5,$H$13),1-[1]!S_STM07_IS(D855,61,$G$5,$H$13)/[1]!S_STM07_IS(D855,55,$G$5,$H$13)))</f>
        <v/>
      </c>
      <c r="M855" s="249" t="str">
        <f ca="1">IF(C855="","",IF($M$11="ROE",[1]!S_STM07_IS(D855,61,$G$5,$H$13)/[1]!S_STM07_BS(D855,141,$G$5,$H$13),([1]!S_STM07_BS(D855,25,$G$5,$H$13)-[1]!S_STM07_BS(D855,93,$G$5,$H$13))/$E$5))</f>
        <v/>
      </c>
      <c r="N855" s="250" t="str">
        <f ca="1">IF(C855="","",IF($N$11="EPS",[1]!S_STM07_IS(D855,61,$G$5,$H$13)/IF([1]!S_SHARE_TOTAL(D855,$G$5)=0,[1]!S_SHARE_TOTAL(D855,[1]!s_ipo_listeddate(D855)),[1]!S_SHARE_TOTAL(D855,$G$5)),([1]!S_STM07_BS(D855,75,$G$5,$H$13)+[1]!S_STM07_BS(D855,88,$G$5,$H$13)+[1]!S_STM07_BS(D855,94,$G$5,$H$13)+[1]!S_STM07_BS(D855,95,$G$5,$H$13))/$E$5))</f>
        <v/>
      </c>
      <c r="O855" s="250" t="str">
        <f ca="1">IF(C855="","",IF($O$11="BPS",[1]!S_STM07_BS(D855,141,$G$5,$H$13)/IF([1]!S_SHARE_TOTAL(D855,$G$5)=0,[1]!S_SHARE_TOTAL(D855,[1]!s_ipo_listeddate(D855)),[1]!S_SHARE_TOTAL(D855,$G$5)),[1]!S_STM07_CS(D855,49,$G$5,$H$13)/$E$5))</f>
        <v/>
      </c>
      <c r="P855" s="250" t="str">
        <f ca="1">IF(C855="","",IF($P$11="CFPS",[1]!S_STM07_CS(D855,84,$G$5,$H$13)/IF([1]!S_SHARE_TOTAL(D855,$G$5)=0,[1]!S_SHARE_TOTAL(D855,[1]!s_ipo_listeddate(D855)),[1]!S_SHARE_TOTAL(D855,$G$5)),[1]!S_STM07_CS(D855,84,$G$5,$H$13)/$E$5))</f>
        <v/>
      </c>
      <c r="Q855" s="198" t="str">
        <f ca="1">IF(C855="","",F855/([1]!S_STM07_IS(D855,61,$G$5,$H$13)/IF([1]!S_SHARE_TOTAL(D855,$G$5)=0,[1]!S_SHARE_TOTAL(D855,[1]!s_ipo_listeddate(D855)),[1]!S_SHARE_TOTAL(D855,$G$5))))</f>
        <v/>
      </c>
      <c r="R855" s="198" t="str">
        <f ca="1">IF(C855="","",F855/([1]!S_STM07_BS(D855,141,$G$5,$H$13)/IF([1]!S_SHARE_TOTAL(D855,$G$5)=0,[1]!S_SHARE_TOTAL(D855,[1]!s_ipo_listeddate(D855)),[1]!S_SHARE_TOTAL(D855,$G$5))))</f>
        <v/>
      </c>
      <c r="S855" s="249" t="str">
        <f ca="1">IF(C855="","",[1]!S_SHARE_TOTAL(D855,TODAY())/$E$5)</f>
        <v/>
      </c>
      <c r="T855" s="249" t="str">
        <f t="shared" ca="1" si="85"/>
        <v/>
      </c>
      <c r="U855" s="172" t="str">
        <f t="shared" ca="1" si="86"/>
        <v/>
      </c>
      <c r="V855" s="343" t="str">
        <f t="shared" ca="1" si="87"/>
        <v/>
      </c>
      <c r="W855" s="139"/>
      <c r="Y855" s="1"/>
    </row>
    <row r="856" spans="3:25" ht="12" customHeight="1">
      <c r="C856" s="342" t="str">
        <f t="shared" ca="1" si="88"/>
        <v/>
      </c>
      <c r="D856" s="153" t="str">
        <f t="shared" ca="1" si="83"/>
        <v/>
      </c>
      <c r="E856" s="153" t="str">
        <f t="shared" ca="1" si="84"/>
        <v/>
      </c>
      <c r="F856" s="170" t="str">
        <f ca="1">IF(C856="","",[1]!S_DQ_CLOSE(D856,TODAY(),1))</f>
        <v/>
      </c>
      <c r="G856" s="171" t="str">
        <f ca="1">IF(C856="","",[1]!s_pq_pctchange(D856,TODAY()-$G$12,TODAY())/100)</f>
        <v/>
      </c>
      <c r="H856" s="247" t="str">
        <f ca="1">IF(C856="","",IF($H$11="收入",[1]!S_STM07_IS(D856,9,$G$5,$H$13)/$E$5,[1]!S_STM07_IS(D856,48,$G$5,$H$13)/$E$5))</f>
        <v/>
      </c>
      <c r="I856" s="247" t="str">
        <f ca="1">IF(C856="","",IF($I$11="毛利率",([1]!S_STM07_IS(D856,9,$G$5,$H$13)-[1]!S_STM07_IS(D856,10,$G$5,$H$13))/[1]!S_STM07_IS(D856,9,$G$5,$H$13),[1]!S_STM07_IS(D856,14,$G$5,$H$13)/$E$5))</f>
        <v/>
      </c>
      <c r="J856" s="247" t="str">
        <f ca="1">IF(C856="","",IF($J$11="营业利润率",[1]!S_STM07_IS(D856,48,$G$5,$H$13)/[1]!S_STM07_IS(D856,9,$G$5,$H$13),([1]!S_STM07_CS(D856,87,$G$5,$H$13)+[1]!S_STM07_CS(D856,88,$G$5,$H$13)+[1]!S_STM07_CS(D856,89,$G$5,$H$13))/$E$5))</f>
        <v/>
      </c>
      <c r="K856" s="247" t="str">
        <f ca="1">IF(C856="","",IF($K$11="净利润率",[1]!S_STM07_IS(D856,61,$G$5,$H$13)/[1]!S_STM07_IS(D856,9,$G$5,$H$13),[1]!S_STM07_IS(D856,55,$G$5,$H$13)/$E$5))</f>
        <v/>
      </c>
      <c r="L856" s="247" t="str">
        <f ca="1">IF(C856="","",IF($L$11="ROA",[1]!S_STM07_IS(D856,61,$G$5,$H$13)/[1]!S_STM07_BS(D856,74,$G$5,$H$13),1-[1]!S_STM07_IS(D856,61,$G$5,$H$13)/[1]!S_STM07_IS(D856,55,$G$5,$H$13)))</f>
        <v/>
      </c>
      <c r="M856" s="247" t="str">
        <f ca="1">IF(C856="","",IF($M$11="ROE",[1]!S_STM07_IS(D856,61,$G$5,$H$13)/[1]!S_STM07_BS(D856,141,$G$5,$H$13),([1]!S_STM07_BS(D856,25,$G$5,$H$13)-[1]!S_STM07_BS(D856,93,$G$5,$H$13))/$E$5))</f>
        <v/>
      </c>
      <c r="N856" s="247" t="str">
        <f ca="1">IF(C856="","",IF($N$11="EPS",[1]!S_STM07_IS(D856,61,$G$5,$H$13)/IF([1]!S_SHARE_TOTAL(D856,$G$5)=0,[1]!S_SHARE_TOTAL(D856,[1]!s_ipo_listeddate(D856)),[1]!S_SHARE_TOTAL(D856,$G$5)),([1]!S_STM07_BS(D856,75,$G$5,$H$13)+[1]!S_STM07_BS(D856,88,$G$5,$H$13)+[1]!S_STM07_BS(D856,94,$G$5,$H$13)+[1]!S_STM07_BS(D856,95,$G$5,$H$13))/$E$5))</f>
        <v/>
      </c>
      <c r="O856" s="247" t="str">
        <f ca="1">IF(C856="","",IF($O$11="BPS",[1]!S_STM07_BS(D856,141,$G$5,$H$13)/IF([1]!S_SHARE_TOTAL(D856,$G$5)=0,[1]!S_SHARE_TOTAL(D856,[1]!s_ipo_listeddate(D856)),[1]!S_SHARE_TOTAL(D856,$G$5)),[1]!S_STM07_CS(D856,49,$G$5,$H$13)/$E$5))</f>
        <v/>
      </c>
      <c r="P856" s="247" t="str">
        <f ca="1">IF(C856="","",IF($P$11="CFPS",[1]!S_STM07_CS(D856,84,$G$5,$H$13)/IF([1]!S_SHARE_TOTAL(D856,$G$5)=0,[1]!S_SHARE_TOTAL(D856,[1]!s_ipo_listeddate(D856)),[1]!S_SHARE_TOTAL(D856,$G$5)),[1]!S_STM07_CS(D856,84,$G$5,$H$13)/$E$5))</f>
        <v/>
      </c>
      <c r="Q856" s="248" t="str">
        <f ca="1">IF(C856="","",F856/([1]!S_STM07_IS(D856,61,$G$5,$H$13)/IF([1]!S_SHARE_TOTAL(D856,$G$5)=0,[1]!S_SHARE_TOTAL(D856,[1]!s_ipo_listeddate(D856)),[1]!S_SHARE_TOTAL(D856,$G$5))))</f>
        <v/>
      </c>
      <c r="R856" s="248" t="str">
        <f ca="1">IF(C856="","",F856/([1]!S_STM07_BS(D856,141,$G$5,$H$13)/IF([1]!S_SHARE_TOTAL(D856,$G$5)=0,[1]!S_SHARE_TOTAL(D856,[1]!s_ipo_listeddate(D856)),[1]!S_SHARE_TOTAL(D856,$G$5))))</f>
        <v/>
      </c>
      <c r="S856" s="247" t="str">
        <f ca="1">IF(C856="","",[1]!S_SHARE_TOTAL(D856,TODAY())/$E$5)</f>
        <v/>
      </c>
      <c r="T856" s="247" t="str">
        <f t="shared" ca="1" si="85"/>
        <v/>
      </c>
      <c r="U856" s="218" t="str">
        <f t="shared" ca="1" si="86"/>
        <v/>
      </c>
      <c r="V856" s="342" t="str">
        <f t="shared" ca="1" si="87"/>
        <v/>
      </c>
      <c r="W856" s="139"/>
      <c r="Y856" s="1"/>
    </row>
    <row r="857" spans="3:25" ht="12" customHeight="1">
      <c r="C857" s="343" t="str">
        <f t="shared" ca="1" si="88"/>
        <v/>
      </c>
      <c r="D857" s="124" t="str">
        <f t="shared" ref="D857:D920" ca="1" si="89">IF(C857="","",VLOOKUP(C857,comppool,2,FALSE))</f>
        <v/>
      </c>
      <c r="E857" s="124" t="str">
        <f t="shared" ref="E857:E920" ca="1" si="90">IF(C857="","",VLOOKUP(C857,comppool,3,FALSE))</f>
        <v/>
      </c>
      <c r="F857" s="172" t="str">
        <f ca="1">IF(C857="","",[1]!S_DQ_CLOSE(D857,TODAY(),1))</f>
        <v/>
      </c>
      <c r="G857" s="173" t="str">
        <f ca="1">IF(C857="","",[1]!s_pq_pctchange(D857,TODAY()-$G$12,TODAY())/100)</f>
        <v/>
      </c>
      <c r="H857" s="249" t="str">
        <f ca="1">IF(C857="","",IF($H$11="收入",[1]!S_STM07_IS(D857,9,$G$5,$H$13)/$E$5,[1]!S_STM07_IS(D857,48,$G$5,$H$13)/$E$5))</f>
        <v/>
      </c>
      <c r="I857" s="249" t="str">
        <f ca="1">IF(C857="","",IF($I$11="毛利率",([1]!S_STM07_IS(D857,9,$G$5,$H$13)-[1]!S_STM07_IS(D857,10,$G$5,$H$13))/[1]!S_STM07_IS(D857,9,$G$5,$H$13),[1]!S_STM07_IS(D857,14,$G$5,$H$13)/$E$5))</f>
        <v/>
      </c>
      <c r="J857" s="249" t="str">
        <f ca="1">IF(C857="","",IF($J$11="营业利润率",[1]!S_STM07_IS(D857,48,$G$5,$H$13)/[1]!S_STM07_IS(D857,9,$G$5,$H$13),([1]!S_STM07_CS(D857,87,$G$5,$H$13)+[1]!S_STM07_CS(D857,88,$G$5,$H$13)+[1]!S_STM07_CS(D857,89,$G$5,$H$13))/$E$5))</f>
        <v/>
      </c>
      <c r="K857" s="249" t="str">
        <f ca="1">IF(C857="","",IF($K$11="净利润率",[1]!S_STM07_IS(D857,61,$G$5,$H$13)/[1]!S_STM07_IS(D857,9,$G$5,$H$13),[1]!S_STM07_IS(D857,55,$G$5,$H$13)/$E$5))</f>
        <v/>
      </c>
      <c r="L857" s="249" t="str">
        <f ca="1">IF(C857="","",IF($L$11="ROA",[1]!S_STM07_IS(D857,61,$G$5,$H$13)/[1]!S_STM07_BS(D857,74,$G$5,$H$13),1-[1]!S_STM07_IS(D857,61,$G$5,$H$13)/[1]!S_STM07_IS(D857,55,$G$5,$H$13)))</f>
        <v/>
      </c>
      <c r="M857" s="249" t="str">
        <f ca="1">IF(C857="","",IF($M$11="ROE",[1]!S_STM07_IS(D857,61,$G$5,$H$13)/[1]!S_STM07_BS(D857,141,$G$5,$H$13),([1]!S_STM07_BS(D857,25,$G$5,$H$13)-[1]!S_STM07_BS(D857,93,$G$5,$H$13))/$E$5))</f>
        <v/>
      </c>
      <c r="N857" s="250" t="str">
        <f ca="1">IF(C857="","",IF($N$11="EPS",[1]!S_STM07_IS(D857,61,$G$5,$H$13)/IF([1]!S_SHARE_TOTAL(D857,$G$5)=0,[1]!S_SHARE_TOTAL(D857,[1]!s_ipo_listeddate(D857)),[1]!S_SHARE_TOTAL(D857,$G$5)),([1]!S_STM07_BS(D857,75,$G$5,$H$13)+[1]!S_STM07_BS(D857,88,$G$5,$H$13)+[1]!S_STM07_BS(D857,94,$G$5,$H$13)+[1]!S_STM07_BS(D857,95,$G$5,$H$13))/$E$5))</f>
        <v/>
      </c>
      <c r="O857" s="250" t="str">
        <f ca="1">IF(C857="","",IF($O$11="BPS",[1]!S_STM07_BS(D857,141,$G$5,$H$13)/IF([1]!S_SHARE_TOTAL(D857,$G$5)=0,[1]!S_SHARE_TOTAL(D857,[1]!s_ipo_listeddate(D857)),[1]!S_SHARE_TOTAL(D857,$G$5)),[1]!S_STM07_CS(D857,49,$G$5,$H$13)/$E$5))</f>
        <v/>
      </c>
      <c r="P857" s="250" t="str">
        <f ca="1">IF(C857="","",IF($P$11="CFPS",[1]!S_STM07_CS(D857,84,$G$5,$H$13)/IF([1]!S_SHARE_TOTAL(D857,$G$5)=0,[1]!S_SHARE_TOTAL(D857,[1]!s_ipo_listeddate(D857)),[1]!S_SHARE_TOTAL(D857,$G$5)),[1]!S_STM07_CS(D857,84,$G$5,$H$13)/$E$5))</f>
        <v/>
      </c>
      <c r="Q857" s="198" t="str">
        <f ca="1">IF(C857="","",F857/([1]!S_STM07_IS(D857,61,$G$5,$H$13)/IF([1]!S_SHARE_TOTAL(D857,$G$5)=0,[1]!S_SHARE_TOTAL(D857,[1]!s_ipo_listeddate(D857)),[1]!S_SHARE_TOTAL(D857,$G$5))))</f>
        <v/>
      </c>
      <c r="R857" s="198" t="str">
        <f ca="1">IF(C857="","",F857/([1]!S_STM07_BS(D857,141,$G$5,$H$13)/IF([1]!S_SHARE_TOTAL(D857,$G$5)=0,[1]!S_SHARE_TOTAL(D857,[1]!s_ipo_listeddate(D857)),[1]!S_SHARE_TOTAL(D857,$G$5))))</f>
        <v/>
      </c>
      <c r="S857" s="249" t="str">
        <f ca="1">IF(C857="","",[1]!S_SHARE_TOTAL(D857,TODAY())/$E$5)</f>
        <v/>
      </c>
      <c r="T857" s="249" t="str">
        <f t="shared" ref="T857:T920" ca="1" si="91">IF(C857="","",F857*S857)</f>
        <v/>
      </c>
      <c r="U857" s="172" t="str">
        <f t="shared" ref="U857:U920" ca="1" si="92">IF(C857="","",HLOOKUP($V$12,$G$11:$T$20003,ROW()-ROW($G$11)+1,FALSE))</f>
        <v/>
      </c>
      <c r="V857" s="343" t="str">
        <f t="shared" ref="V857:V920" ca="1" si="93">IF(C857="","",RANK(U857,U:U,0))</f>
        <v/>
      </c>
      <c r="W857" s="139"/>
      <c r="Y857" s="1"/>
    </row>
    <row r="858" spans="3:25" ht="12" customHeight="1">
      <c r="C858" s="342" t="str">
        <f t="shared" ca="1" si="88"/>
        <v/>
      </c>
      <c r="D858" s="153" t="str">
        <f t="shared" ca="1" si="89"/>
        <v/>
      </c>
      <c r="E858" s="153" t="str">
        <f t="shared" ca="1" si="90"/>
        <v/>
      </c>
      <c r="F858" s="170" t="str">
        <f ca="1">IF(C858="","",[1]!S_DQ_CLOSE(D858,TODAY(),1))</f>
        <v/>
      </c>
      <c r="G858" s="171" t="str">
        <f ca="1">IF(C858="","",[1]!s_pq_pctchange(D858,TODAY()-$G$12,TODAY())/100)</f>
        <v/>
      </c>
      <c r="H858" s="247" t="str">
        <f ca="1">IF(C858="","",IF($H$11="收入",[1]!S_STM07_IS(D858,9,$G$5,$H$13)/$E$5,[1]!S_STM07_IS(D858,48,$G$5,$H$13)/$E$5))</f>
        <v/>
      </c>
      <c r="I858" s="247" t="str">
        <f ca="1">IF(C858="","",IF($I$11="毛利率",([1]!S_STM07_IS(D858,9,$G$5,$H$13)-[1]!S_STM07_IS(D858,10,$G$5,$H$13))/[1]!S_STM07_IS(D858,9,$G$5,$H$13),[1]!S_STM07_IS(D858,14,$G$5,$H$13)/$E$5))</f>
        <v/>
      </c>
      <c r="J858" s="247" t="str">
        <f ca="1">IF(C858="","",IF($J$11="营业利润率",[1]!S_STM07_IS(D858,48,$G$5,$H$13)/[1]!S_STM07_IS(D858,9,$G$5,$H$13),([1]!S_STM07_CS(D858,87,$G$5,$H$13)+[1]!S_STM07_CS(D858,88,$G$5,$H$13)+[1]!S_STM07_CS(D858,89,$G$5,$H$13))/$E$5))</f>
        <v/>
      </c>
      <c r="K858" s="247" t="str">
        <f ca="1">IF(C858="","",IF($K$11="净利润率",[1]!S_STM07_IS(D858,61,$G$5,$H$13)/[1]!S_STM07_IS(D858,9,$G$5,$H$13),[1]!S_STM07_IS(D858,55,$G$5,$H$13)/$E$5))</f>
        <v/>
      </c>
      <c r="L858" s="247" t="str">
        <f ca="1">IF(C858="","",IF($L$11="ROA",[1]!S_STM07_IS(D858,61,$G$5,$H$13)/[1]!S_STM07_BS(D858,74,$G$5,$H$13),1-[1]!S_STM07_IS(D858,61,$G$5,$H$13)/[1]!S_STM07_IS(D858,55,$G$5,$H$13)))</f>
        <v/>
      </c>
      <c r="M858" s="247" t="str">
        <f ca="1">IF(C858="","",IF($M$11="ROE",[1]!S_STM07_IS(D858,61,$G$5,$H$13)/[1]!S_STM07_BS(D858,141,$G$5,$H$13),([1]!S_STM07_BS(D858,25,$G$5,$H$13)-[1]!S_STM07_BS(D858,93,$G$5,$H$13))/$E$5))</f>
        <v/>
      </c>
      <c r="N858" s="247" t="str">
        <f ca="1">IF(C858="","",IF($N$11="EPS",[1]!S_STM07_IS(D858,61,$G$5,$H$13)/IF([1]!S_SHARE_TOTAL(D858,$G$5)=0,[1]!S_SHARE_TOTAL(D858,[1]!s_ipo_listeddate(D858)),[1]!S_SHARE_TOTAL(D858,$G$5)),([1]!S_STM07_BS(D858,75,$G$5,$H$13)+[1]!S_STM07_BS(D858,88,$G$5,$H$13)+[1]!S_STM07_BS(D858,94,$G$5,$H$13)+[1]!S_STM07_BS(D858,95,$G$5,$H$13))/$E$5))</f>
        <v/>
      </c>
      <c r="O858" s="247" t="str">
        <f ca="1">IF(C858="","",IF($O$11="BPS",[1]!S_STM07_BS(D858,141,$G$5,$H$13)/IF([1]!S_SHARE_TOTAL(D858,$G$5)=0,[1]!S_SHARE_TOTAL(D858,[1]!s_ipo_listeddate(D858)),[1]!S_SHARE_TOTAL(D858,$G$5)),[1]!S_STM07_CS(D858,49,$G$5,$H$13)/$E$5))</f>
        <v/>
      </c>
      <c r="P858" s="247" t="str">
        <f ca="1">IF(C858="","",IF($P$11="CFPS",[1]!S_STM07_CS(D858,84,$G$5,$H$13)/IF([1]!S_SHARE_TOTAL(D858,$G$5)=0,[1]!S_SHARE_TOTAL(D858,[1]!s_ipo_listeddate(D858)),[1]!S_SHARE_TOTAL(D858,$G$5)),[1]!S_STM07_CS(D858,84,$G$5,$H$13)/$E$5))</f>
        <v/>
      </c>
      <c r="Q858" s="248" t="str">
        <f ca="1">IF(C858="","",F858/([1]!S_STM07_IS(D858,61,$G$5,$H$13)/IF([1]!S_SHARE_TOTAL(D858,$G$5)=0,[1]!S_SHARE_TOTAL(D858,[1]!s_ipo_listeddate(D858)),[1]!S_SHARE_TOTAL(D858,$G$5))))</f>
        <v/>
      </c>
      <c r="R858" s="248" t="str">
        <f ca="1">IF(C858="","",F858/([1]!S_STM07_BS(D858,141,$G$5,$H$13)/IF([1]!S_SHARE_TOTAL(D858,$G$5)=0,[1]!S_SHARE_TOTAL(D858,[1]!s_ipo_listeddate(D858)),[1]!S_SHARE_TOTAL(D858,$G$5))))</f>
        <v/>
      </c>
      <c r="S858" s="247" t="str">
        <f ca="1">IF(C858="","",[1]!S_SHARE_TOTAL(D858,TODAY())/$E$5)</f>
        <v/>
      </c>
      <c r="T858" s="247" t="str">
        <f t="shared" ca="1" si="91"/>
        <v/>
      </c>
      <c r="U858" s="218" t="str">
        <f t="shared" ca="1" si="92"/>
        <v/>
      </c>
      <c r="V858" s="342" t="str">
        <f t="shared" ca="1" si="93"/>
        <v/>
      </c>
      <c r="W858" s="139"/>
      <c r="Y858" s="1"/>
    </row>
    <row r="859" spans="3:25" ht="12" customHeight="1">
      <c r="C859" s="343" t="str">
        <f t="shared" ca="1" si="88"/>
        <v/>
      </c>
      <c r="D859" s="124" t="str">
        <f t="shared" ca="1" si="89"/>
        <v/>
      </c>
      <c r="E859" s="124" t="str">
        <f t="shared" ca="1" si="90"/>
        <v/>
      </c>
      <c r="F859" s="172" t="str">
        <f ca="1">IF(C859="","",[1]!S_DQ_CLOSE(D859,TODAY(),1))</f>
        <v/>
      </c>
      <c r="G859" s="173" t="str">
        <f ca="1">IF(C859="","",[1]!s_pq_pctchange(D859,TODAY()-$G$12,TODAY())/100)</f>
        <v/>
      </c>
      <c r="H859" s="249" t="str">
        <f ca="1">IF(C859="","",IF($H$11="收入",[1]!S_STM07_IS(D859,9,$G$5,$H$13)/$E$5,[1]!S_STM07_IS(D859,48,$G$5,$H$13)/$E$5))</f>
        <v/>
      </c>
      <c r="I859" s="249" t="str">
        <f ca="1">IF(C859="","",IF($I$11="毛利率",([1]!S_STM07_IS(D859,9,$G$5,$H$13)-[1]!S_STM07_IS(D859,10,$G$5,$H$13))/[1]!S_STM07_IS(D859,9,$G$5,$H$13),[1]!S_STM07_IS(D859,14,$G$5,$H$13)/$E$5))</f>
        <v/>
      </c>
      <c r="J859" s="249" t="str">
        <f ca="1">IF(C859="","",IF($J$11="营业利润率",[1]!S_STM07_IS(D859,48,$G$5,$H$13)/[1]!S_STM07_IS(D859,9,$G$5,$H$13),([1]!S_STM07_CS(D859,87,$G$5,$H$13)+[1]!S_STM07_CS(D859,88,$G$5,$H$13)+[1]!S_STM07_CS(D859,89,$G$5,$H$13))/$E$5))</f>
        <v/>
      </c>
      <c r="K859" s="249" t="str">
        <f ca="1">IF(C859="","",IF($K$11="净利润率",[1]!S_STM07_IS(D859,61,$G$5,$H$13)/[1]!S_STM07_IS(D859,9,$G$5,$H$13),[1]!S_STM07_IS(D859,55,$G$5,$H$13)/$E$5))</f>
        <v/>
      </c>
      <c r="L859" s="249" t="str">
        <f ca="1">IF(C859="","",IF($L$11="ROA",[1]!S_STM07_IS(D859,61,$G$5,$H$13)/[1]!S_STM07_BS(D859,74,$G$5,$H$13),1-[1]!S_STM07_IS(D859,61,$G$5,$H$13)/[1]!S_STM07_IS(D859,55,$G$5,$H$13)))</f>
        <v/>
      </c>
      <c r="M859" s="249" t="str">
        <f ca="1">IF(C859="","",IF($M$11="ROE",[1]!S_STM07_IS(D859,61,$G$5,$H$13)/[1]!S_STM07_BS(D859,141,$G$5,$H$13),([1]!S_STM07_BS(D859,25,$G$5,$H$13)-[1]!S_STM07_BS(D859,93,$G$5,$H$13))/$E$5))</f>
        <v/>
      </c>
      <c r="N859" s="250" t="str">
        <f ca="1">IF(C859="","",IF($N$11="EPS",[1]!S_STM07_IS(D859,61,$G$5,$H$13)/IF([1]!S_SHARE_TOTAL(D859,$G$5)=0,[1]!S_SHARE_TOTAL(D859,[1]!s_ipo_listeddate(D859)),[1]!S_SHARE_TOTAL(D859,$G$5)),([1]!S_STM07_BS(D859,75,$G$5,$H$13)+[1]!S_STM07_BS(D859,88,$G$5,$H$13)+[1]!S_STM07_BS(D859,94,$G$5,$H$13)+[1]!S_STM07_BS(D859,95,$G$5,$H$13))/$E$5))</f>
        <v/>
      </c>
      <c r="O859" s="250" t="str">
        <f ca="1">IF(C859="","",IF($O$11="BPS",[1]!S_STM07_BS(D859,141,$G$5,$H$13)/IF([1]!S_SHARE_TOTAL(D859,$G$5)=0,[1]!S_SHARE_TOTAL(D859,[1]!s_ipo_listeddate(D859)),[1]!S_SHARE_TOTAL(D859,$G$5)),[1]!S_STM07_CS(D859,49,$G$5,$H$13)/$E$5))</f>
        <v/>
      </c>
      <c r="P859" s="250" t="str">
        <f ca="1">IF(C859="","",IF($P$11="CFPS",[1]!S_STM07_CS(D859,84,$G$5,$H$13)/IF([1]!S_SHARE_TOTAL(D859,$G$5)=0,[1]!S_SHARE_TOTAL(D859,[1]!s_ipo_listeddate(D859)),[1]!S_SHARE_TOTAL(D859,$G$5)),[1]!S_STM07_CS(D859,84,$G$5,$H$13)/$E$5))</f>
        <v/>
      </c>
      <c r="Q859" s="198" t="str">
        <f ca="1">IF(C859="","",F859/([1]!S_STM07_IS(D859,61,$G$5,$H$13)/IF([1]!S_SHARE_TOTAL(D859,$G$5)=0,[1]!S_SHARE_TOTAL(D859,[1]!s_ipo_listeddate(D859)),[1]!S_SHARE_TOTAL(D859,$G$5))))</f>
        <v/>
      </c>
      <c r="R859" s="198" t="str">
        <f ca="1">IF(C859="","",F859/([1]!S_STM07_BS(D859,141,$G$5,$H$13)/IF([1]!S_SHARE_TOTAL(D859,$G$5)=0,[1]!S_SHARE_TOTAL(D859,[1]!s_ipo_listeddate(D859)),[1]!S_SHARE_TOTAL(D859,$G$5))))</f>
        <v/>
      </c>
      <c r="S859" s="249" t="str">
        <f ca="1">IF(C859="","",[1]!S_SHARE_TOTAL(D859,TODAY())/$E$5)</f>
        <v/>
      </c>
      <c r="T859" s="249" t="str">
        <f t="shared" ca="1" si="91"/>
        <v/>
      </c>
      <c r="U859" s="172" t="str">
        <f t="shared" ca="1" si="92"/>
        <v/>
      </c>
      <c r="V859" s="343" t="str">
        <f t="shared" ca="1" si="93"/>
        <v/>
      </c>
      <c r="W859" s="139"/>
      <c r="Y859" s="1"/>
    </row>
    <row r="860" spans="3:25" ht="12" customHeight="1">
      <c r="C860" s="342" t="str">
        <f t="shared" ca="1" si="88"/>
        <v/>
      </c>
      <c r="D860" s="153" t="str">
        <f t="shared" ca="1" si="89"/>
        <v/>
      </c>
      <c r="E860" s="153" t="str">
        <f t="shared" ca="1" si="90"/>
        <v/>
      </c>
      <c r="F860" s="170" t="str">
        <f ca="1">IF(C860="","",[1]!S_DQ_CLOSE(D860,TODAY(),1))</f>
        <v/>
      </c>
      <c r="G860" s="171" t="str">
        <f ca="1">IF(C860="","",[1]!s_pq_pctchange(D860,TODAY()-$G$12,TODAY())/100)</f>
        <v/>
      </c>
      <c r="H860" s="247" t="str">
        <f ca="1">IF(C860="","",IF($H$11="收入",[1]!S_STM07_IS(D860,9,$G$5,$H$13)/$E$5,[1]!S_STM07_IS(D860,48,$G$5,$H$13)/$E$5))</f>
        <v/>
      </c>
      <c r="I860" s="247" t="str">
        <f ca="1">IF(C860="","",IF($I$11="毛利率",([1]!S_STM07_IS(D860,9,$G$5,$H$13)-[1]!S_STM07_IS(D860,10,$G$5,$H$13))/[1]!S_STM07_IS(D860,9,$G$5,$H$13),[1]!S_STM07_IS(D860,14,$G$5,$H$13)/$E$5))</f>
        <v/>
      </c>
      <c r="J860" s="247" t="str">
        <f ca="1">IF(C860="","",IF($J$11="营业利润率",[1]!S_STM07_IS(D860,48,$G$5,$H$13)/[1]!S_STM07_IS(D860,9,$G$5,$H$13),([1]!S_STM07_CS(D860,87,$G$5,$H$13)+[1]!S_STM07_CS(D860,88,$G$5,$H$13)+[1]!S_STM07_CS(D860,89,$G$5,$H$13))/$E$5))</f>
        <v/>
      </c>
      <c r="K860" s="247" t="str">
        <f ca="1">IF(C860="","",IF($K$11="净利润率",[1]!S_STM07_IS(D860,61,$G$5,$H$13)/[1]!S_STM07_IS(D860,9,$G$5,$H$13),[1]!S_STM07_IS(D860,55,$G$5,$H$13)/$E$5))</f>
        <v/>
      </c>
      <c r="L860" s="247" t="str">
        <f ca="1">IF(C860="","",IF($L$11="ROA",[1]!S_STM07_IS(D860,61,$G$5,$H$13)/[1]!S_STM07_BS(D860,74,$G$5,$H$13),1-[1]!S_STM07_IS(D860,61,$G$5,$H$13)/[1]!S_STM07_IS(D860,55,$G$5,$H$13)))</f>
        <v/>
      </c>
      <c r="M860" s="247" t="str">
        <f ca="1">IF(C860="","",IF($M$11="ROE",[1]!S_STM07_IS(D860,61,$G$5,$H$13)/[1]!S_STM07_BS(D860,141,$G$5,$H$13),([1]!S_STM07_BS(D860,25,$G$5,$H$13)-[1]!S_STM07_BS(D860,93,$G$5,$H$13))/$E$5))</f>
        <v/>
      </c>
      <c r="N860" s="247" t="str">
        <f ca="1">IF(C860="","",IF($N$11="EPS",[1]!S_STM07_IS(D860,61,$G$5,$H$13)/IF([1]!S_SHARE_TOTAL(D860,$G$5)=0,[1]!S_SHARE_TOTAL(D860,[1]!s_ipo_listeddate(D860)),[1]!S_SHARE_TOTAL(D860,$G$5)),([1]!S_STM07_BS(D860,75,$G$5,$H$13)+[1]!S_STM07_BS(D860,88,$G$5,$H$13)+[1]!S_STM07_BS(D860,94,$G$5,$H$13)+[1]!S_STM07_BS(D860,95,$G$5,$H$13))/$E$5))</f>
        <v/>
      </c>
      <c r="O860" s="247" t="str">
        <f ca="1">IF(C860="","",IF($O$11="BPS",[1]!S_STM07_BS(D860,141,$G$5,$H$13)/IF([1]!S_SHARE_TOTAL(D860,$G$5)=0,[1]!S_SHARE_TOTAL(D860,[1]!s_ipo_listeddate(D860)),[1]!S_SHARE_TOTAL(D860,$G$5)),[1]!S_STM07_CS(D860,49,$G$5,$H$13)/$E$5))</f>
        <v/>
      </c>
      <c r="P860" s="247" t="str">
        <f ca="1">IF(C860="","",IF($P$11="CFPS",[1]!S_STM07_CS(D860,84,$G$5,$H$13)/IF([1]!S_SHARE_TOTAL(D860,$G$5)=0,[1]!S_SHARE_TOTAL(D860,[1]!s_ipo_listeddate(D860)),[1]!S_SHARE_TOTAL(D860,$G$5)),[1]!S_STM07_CS(D860,84,$G$5,$H$13)/$E$5))</f>
        <v/>
      </c>
      <c r="Q860" s="248" t="str">
        <f ca="1">IF(C860="","",F860/([1]!S_STM07_IS(D860,61,$G$5,$H$13)/IF([1]!S_SHARE_TOTAL(D860,$G$5)=0,[1]!S_SHARE_TOTAL(D860,[1]!s_ipo_listeddate(D860)),[1]!S_SHARE_TOTAL(D860,$G$5))))</f>
        <v/>
      </c>
      <c r="R860" s="248" t="str">
        <f ca="1">IF(C860="","",F860/([1]!S_STM07_BS(D860,141,$G$5,$H$13)/IF([1]!S_SHARE_TOTAL(D860,$G$5)=0,[1]!S_SHARE_TOTAL(D860,[1]!s_ipo_listeddate(D860)),[1]!S_SHARE_TOTAL(D860,$G$5))))</f>
        <v/>
      </c>
      <c r="S860" s="247" t="str">
        <f ca="1">IF(C860="","",[1]!S_SHARE_TOTAL(D860,TODAY())/$E$5)</f>
        <v/>
      </c>
      <c r="T860" s="247" t="str">
        <f t="shared" ca="1" si="91"/>
        <v/>
      </c>
      <c r="U860" s="218" t="str">
        <f t="shared" ca="1" si="92"/>
        <v/>
      </c>
      <c r="V860" s="342" t="str">
        <f t="shared" ca="1" si="93"/>
        <v/>
      </c>
      <c r="W860" s="139"/>
      <c r="Y860" s="1"/>
    </row>
    <row r="861" spans="3:25" ht="12" customHeight="1">
      <c r="C861" s="343" t="str">
        <f t="shared" ca="1" si="88"/>
        <v/>
      </c>
      <c r="D861" s="124" t="str">
        <f t="shared" ca="1" si="89"/>
        <v/>
      </c>
      <c r="E861" s="124" t="str">
        <f t="shared" ca="1" si="90"/>
        <v/>
      </c>
      <c r="F861" s="172" t="str">
        <f ca="1">IF(C861="","",[1]!S_DQ_CLOSE(D861,TODAY(),1))</f>
        <v/>
      </c>
      <c r="G861" s="173" t="str">
        <f ca="1">IF(C861="","",[1]!s_pq_pctchange(D861,TODAY()-$G$12,TODAY())/100)</f>
        <v/>
      </c>
      <c r="H861" s="249" t="str">
        <f ca="1">IF(C861="","",IF($H$11="收入",[1]!S_STM07_IS(D861,9,$G$5,$H$13)/$E$5,[1]!S_STM07_IS(D861,48,$G$5,$H$13)/$E$5))</f>
        <v/>
      </c>
      <c r="I861" s="249" t="str">
        <f ca="1">IF(C861="","",IF($I$11="毛利率",([1]!S_STM07_IS(D861,9,$G$5,$H$13)-[1]!S_STM07_IS(D861,10,$G$5,$H$13))/[1]!S_STM07_IS(D861,9,$G$5,$H$13),[1]!S_STM07_IS(D861,14,$G$5,$H$13)/$E$5))</f>
        <v/>
      </c>
      <c r="J861" s="249" t="str">
        <f ca="1">IF(C861="","",IF($J$11="营业利润率",[1]!S_STM07_IS(D861,48,$G$5,$H$13)/[1]!S_STM07_IS(D861,9,$G$5,$H$13),([1]!S_STM07_CS(D861,87,$G$5,$H$13)+[1]!S_STM07_CS(D861,88,$G$5,$H$13)+[1]!S_STM07_CS(D861,89,$G$5,$H$13))/$E$5))</f>
        <v/>
      </c>
      <c r="K861" s="249" t="str">
        <f ca="1">IF(C861="","",IF($K$11="净利润率",[1]!S_STM07_IS(D861,61,$G$5,$H$13)/[1]!S_STM07_IS(D861,9,$G$5,$H$13),[1]!S_STM07_IS(D861,55,$G$5,$H$13)/$E$5))</f>
        <v/>
      </c>
      <c r="L861" s="249" t="str">
        <f ca="1">IF(C861="","",IF($L$11="ROA",[1]!S_STM07_IS(D861,61,$G$5,$H$13)/[1]!S_STM07_BS(D861,74,$G$5,$H$13),1-[1]!S_STM07_IS(D861,61,$G$5,$H$13)/[1]!S_STM07_IS(D861,55,$G$5,$H$13)))</f>
        <v/>
      </c>
      <c r="M861" s="249" t="str">
        <f ca="1">IF(C861="","",IF($M$11="ROE",[1]!S_STM07_IS(D861,61,$G$5,$H$13)/[1]!S_STM07_BS(D861,141,$G$5,$H$13),([1]!S_STM07_BS(D861,25,$G$5,$H$13)-[1]!S_STM07_BS(D861,93,$G$5,$H$13))/$E$5))</f>
        <v/>
      </c>
      <c r="N861" s="250" t="str">
        <f ca="1">IF(C861="","",IF($N$11="EPS",[1]!S_STM07_IS(D861,61,$G$5,$H$13)/IF([1]!S_SHARE_TOTAL(D861,$G$5)=0,[1]!S_SHARE_TOTAL(D861,[1]!s_ipo_listeddate(D861)),[1]!S_SHARE_TOTAL(D861,$G$5)),([1]!S_STM07_BS(D861,75,$G$5,$H$13)+[1]!S_STM07_BS(D861,88,$G$5,$H$13)+[1]!S_STM07_BS(D861,94,$G$5,$H$13)+[1]!S_STM07_BS(D861,95,$G$5,$H$13))/$E$5))</f>
        <v/>
      </c>
      <c r="O861" s="250" t="str">
        <f ca="1">IF(C861="","",IF($O$11="BPS",[1]!S_STM07_BS(D861,141,$G$5,$H$13)/IF([1]!S_SHARE_TOTAL(D861,$G$5)=0,[1]!S_SHARE_TOTAL(D861,[1]!s_ipo_listeddate(D861)),[1]!S_SHARE_TOTAL(D861,$G$5)),[1]!S_STM07_CS(D861,49,$G$5,$H$13)/$E$5))</f>
        <v/>
      </c>
      <c r="P861" s="250" t="str">
        <f ca="1">IF(C861="","",IF($P$11="CFPS",[1]!S_STM07_CS(D861,84,$G$5,$H$13)/IF([1]!S_SHARE_TOTAL(D861,$G$5)=0,[1]!S_SHARE_TOTAL(D861,[1]!s_ipo_listeddate(D861)),[1]!S_SHARE_TOTAL(D861,$G$5)),[1]!S_STM07_CS(D861,84,$G$5,$H$13)/$E$5))</f>
        <v/>
      </c>
      <c r="Q861" s="198" t="str">
        <f ca="1">IF(C861="","",F861/([1]!S_STM07_IS(D861,61,$G$5,$H$13)/IF([1]!S_SHARE_TOTAL(D861,$G$5)=0,[1]!S_SHARE_TOTAL(D861,[1]!s_ipo_listeddate(D861)),[1]!S_SHARE_TOTAL(D861,$G$5))))</f>
        <v/>
      </c>
      <c r="R861" s="198" t="str">
        <f ca="1">IF(C861="","",F861/([1]!S_STM07_BS(D861,141,$G$5,$H$13)/IF([1]!S_SHARE_TOTAL(D861,$G$5)=0,[1]!S_SHARE_TOTAL(D861,[1]!s_ipo_listeddate(D861)),[1]!S_SHARE_TOTAL(D861,$G$5))))</f>
        <v/>
      </c>
      <c r="S861" s="249" t="str">
        <f ca="1">IF(C861="","",[1]!S_SHARE_TOTAL(D861,TODAY())/$E$5)</f>
        <v/>
      </c>
      <c r="T861" s="249" t="str">
        <f t="shared" ca="1" si="91"/>
        <v/>
      </c>
      <c r="U861" s="172" t="str">
        <f t="shared" ca="1" si="92"/>
        <v/>
      </c>
      <c r="V861" s="343" t="str">
        <f t="shared" ca="1" si="93"/>
        <v/>
      </c>
      <c r="W861" s="139"/>
      <c r="Y861" s="1"/>
    </row>
    <row r="862" spans="3:25" ht="12" customHeight="1">
      <c r="C862" s="342" t="str">
        <f t="shared" ca="1" si="88"/>
        <v/>
      </c>
      <c r="D862" s="153" t="str">
        <f t="shared" ca="1" si="89"/>
        <v/>
      </c>
      <c r="E862" s="153" t="str">
        <f t="shared" ca="1" si="90"/>
        <v/>
      </c>
      <c r="F862" s="170" t="str">
        <f ca="1">IF(C862="","",[1]!S_DQ_CLOSE(D862,TODAY(),1))</f>
        <v/>
      </c>
      <c r="G862" s="171" t="str">
        <f ca="1">IF(C862="","",[1]!s_pq_pctchange(D862,TODAY()-$G$12,TODAY())/100)</f>
        <v/>
      </c>
      <c r="H862" s="247" t="str">
        <f ca="1">IF(C862="","",IF($H$11="收入",[1]!S_STM07_IS(D862,9,$G$5,$H$13)/$E$5,[1]!S_STM07_IS(D862,48,$G$5,$H$13)/$E$5))</f>
        <v/>
      </c>
      <c r="I862" s="247" t="str">
        <f ca="1">IF(C862="","",IF($I$11="毛利率",([1]!S_STM07_IS(D862,9,$G$5,$H$13)-[1]!S_STM07_IS(D862,10,$G$5,$H$13))/[1]!S_STM07_IS(D862,9,$G$5,$H$13),[1]!S_STM07_IS(D862,14,$G$5,$H$13)/$E$5))</f>
        <v/>
      </c>
      <c r="J862" s="247" t="str">
        <f ca="1">IF(C862="","",IF($J$11="营业利润率",[1]!S_STM07_IS(D862,48,$G$5,$H$13)/[1]!S_STM07_IS(D862,9,$G$5,$H$13),([1]!S_STM07_CS(D862,87,$G$5,$H$13)+[1]!S_STM07_CS(D862,88,$G$5,$H$13)+[1]!S_STM07_CS(D862,89,$G$5,$H$13))/$E$5))</f>
        <v/>
      </c>
      <c r="K862" s="247" t="str">
        <f ca="1">IF(C862="","",IF($K$11="净利润率",[1]!S_STM07_IS(D862,61,$G$5,$H$13)/[1]!S_STM07_IS(D862,9,$G$5,$H$13),[1]!S_STM07_IS(D862,55,$G$5,$H$13)/$E$5))</f>
        <v/>
      </c>
      <c r="L862" s="247" t="str">
        <f ca="1">IF(C862="","",IF($L$11="ROA",[1]!S_STM07_IS(D862,61,$G$5,$H$13)/[1]!S_STM07_BS(D862,74,$G$5,$H$13),1-[1]!S_STM07_IS(D862,61,$G$5,$H$13)/[1]!S_STM07_IS(D862,55,$G$5,$H$13)))</f>
        <v/>
      </c>
      <c r="M862" s="247" t="str">
        <f ca="1">IF(C862="","",IF($M$11="ROE",[1]!S_STM07_IS(D862,61,$G$5,$H$13)/[1]!S_STM07_BS(D862,141,$G$5,$H$13),([1]!S_STM07_BS(D862,25,$G$5,$H$13)-[1]!S_STM07_BS(D862,93,$G$5,$H$13))/$E$5))</f>
        <v/>
      </c>
      <c r="N862" s="247" t="str">
        <f ca="1">IF(C862="","",IF($N$11="EPS",[1]!S_STM07_IS(D862,61,$G$5,$H$13)/IF([1]!S_SHARE_TOTAL(D862,$G$5)=0,[1]!S_SHARE_TOTAL(D862,[1]!s_ipo_listeddate(D862)),[1]!S_SHARE_TOTAL(D862,$G$5)),([1]!S_STM07_BS(D862,75,$G$5,$H$13)+[1]!S_STM07_BS(D862,88,$G$5,$H$13)+[1]!S_STM07_BS(D862,94,$G$5,$H$13)+[1]!S_STM07_BS(D862,95,$G$5,$H$13))/$E$5))</f>
        <v/>
      </c>
      <c r="O862" s="247" t="str">
        <f ca="1">IF(C862="","",IF($O$11="BPS",[1]!S_STM07_BS(D862,141,$G$5,$H$13)/IF([1]!S_SHARE_TOTAL(D862,$G$5)=0,[1]!S_SHARE_TOTAL(D862,[1]!s_ipo_listeddate(D862)),[1]!S_SHARE_TOTAL(D862,$G$5)),[1]!S_STM07_CS(D862,49,$G$5,$H$13)/$E$5))</f>
        <v/>
      </c>
      <c r="P862" s="247" t="str">
        <f ca="1">IF(C862="","",IF($P$11="CFPS",[1]!S_STM07_CS(D862,84,$G$5,$H$13)/IF([1]!S_SHARE_TOTAL(D862,$G$5)=0,[1]!S_SHARE_TOTAL(D862,[1]!s_ipo_listeddate(D862)),[1]!S_SHARE_TOTAL(D862,$G$5)),[1]!S_STM07_CS(D862,84,$G$5,$H$13)/$E$5))</f>
        <v/>
      </c>
      <c r="Q862" s="248" t="str">
        <f ca="1">IF(C862="","",F862/([1]!S_STM07_IS(D862,61,$G$5,$H$13)/IF([1]!S_SHARE_TOTAL(D862,$G$5)=0,[1]!S_SHARE_TOTAL(D862,[1]!s_ipo_listeddate(D862)),[1]!S_SHARE_TOTAL(D862,$G$5))))</f>
        <v/>
      </c>
      <c r="R862" s="248" t="str">
        <f ca="1">IF(C862="","",F862/([1]!S_STM07_BS(D862,141,$G$5,$H$13)/IF([1]!S_SHARE_TOTAL(D862,$G$5)=0,[1]!S_SHARE_TOTAL(D862,[1]!s_ipo_listeddate(D862)),[1]!S_SHARE_TOTAL(D862,$G$5))))</f>
        <v/>
      </c>
      <c r="S862" s="247" t="str">
        <f ca="1">IF(C862="","",[1]!S_SHARE_TOTAL(D862,TODAY())/$E$5)</f>
        <v/>
      </c>
      <c r="T862" s="247" t="str">
        <f t="shared" ca="1" si="91"/>
        <v/>
      </c>
      <c r="U862" s="218" t="str">
        <f t="shared" ca="1" si="92"/>
        <v/>
      </c>
      <c r="V862" s="342" t="str">
        <f t="shared" ca="1" si="93"/>
        <v/>
      </c>
      <c r="W862" s="139"/>
      <c r="Y862" s="1"/>
    </row>
    <row r="863" spans="3:25" ht="12" customHeight="1">
      <c r="C863" s="343" t="str">
        <f t="shared" ca="1" si="88"/>
        <v/>
      </c>
      <c r="D863" s="124" t="str">
        <f t="shared" ca="1" si="89"/>
        <v/>
      </c>
      <c r="E863" s="124" t="str">
        <f t="shared" ca="1" si="90"/>
        <v/>
      </c>
      <c r="F863" s="172" t="str">
        <f ca="1">IF(C863="","",[1]!S_DQ_CLOSE(D863,TODAY(),1))</f>
        <v/>
      </c>
      <c r="G863" s="173" t="str">
        <f ca="1">IF(C863="","",[1]!s_pq_pctchange(D863,TODAY()-$G$12,TODAY())/100)</f>
        <v/>
      </c>
      <c r="H863" s="249" t="str">
        <f ca="1">IF(C863="","",IF($H$11="收入",[1]!S_STM07_IS(D863,9,$G$5,$H$13)/$E$5,[1]!S_STM07_IS(D863,48,$G$5,$H$13)/$E$5))</f>
        <v/>
      </c>
      <c r="I863" s="249" t="str">
        <f ca="1">IF(C863="","",IF($I$11="毛利率",([1]!S_STM07_IS(D863,9,$G$5,$H$13)-[1]!S_STM07_IS(D863,10,$G$5,$H$13))/[1]!S_STM07_IS(D863,9,$G$5,$H$13),[1]!S_STM07_IS(D863,14,$G$5,$H$13)/$E$5))</f>
        <v/>
      </c>
      <c r="J863" s="249" t="str">
        <f ca="1">IF(C863="","",IF($J$11="营业利润率",[1]!S_STM07_IS(D863,48,$G$5,$H$13)/[1]!S_STM07_IS(D863,9,$G$5,$H$13),([1]!S_STM07_CS(D863,87,$G$5,$H$13)+[1]!S_STM07_CS(D863,88,$G$5,$H$13)+[1]!S_STM07_CS(D863,89,$G$5,$H$13))/$E$5))</f>
        <v/>
      </c>
      <c r="K863" s="249" t="str">
        <f ca="1">IF(C863="","",IF($K$11="净利润率",[1]!S_STM07_IS(D863,61,$G$5,$H$13)/[1]!S_STM07_IS(D863,9,$G$5,$H$13),[1]!S_STM07_IS(D863,55,$G$5,$H$13)/$E$5))</f>
        <v/>
      </c>
      <c r="L863" s="249" t="str">
        <f ca="1">IF(C863="","",IF($L$11="ROA",[1]!S_STM07_IS(D863,61,$G$5,$H$13)/[1]!S_STM07_BS(D863,74,$G$5,$H$13),1-[1]!S_STM07_IS(D863,61,$G$5,$H$13)/[1]!S_STM07_IS(D863,55,$G$5,$H$13)))</f>
        <v/>
      </c>
      <c r="M863" s="249" t="str">
        <f ca="1">IF(C863="","",IF($M$11="ROE",[1]!S_STM07_IS(D863,61,$G$5,$H$13)/[1]!S_STM07_BS(D863,141,$G$5,$H$13),([1]!S_STM07_BS(D863,25,$G$5,$H$13)-[1]!S_STM07_BS(D863,93,$G$5,$H$13))/$E$5))</f>
        <v/>
      </c>
      <c r="N863" s="250" t="str">
        <f ca="1">IF(C863="","",IF($N$11="EPS",[1]!S_STM07_IS(D863,61,$G$5,$H$13)/IF([1]!S_SHARE_TOTAL(D863,$G$5)=0,[1]!S_SHARE_TOTAL(D863,[1]!s_ipo_listeddate(D863)),[1]!S_SHARE_TOTAL(D863,$G$5)),([1]!S_STM07_BS(D863,75,$G$5,$H$13)+[1]!S_STM07_BS(D863,88,$G$5,$H$13)+[1]!S_STM07_BS(D863,94,$G$5,$H$13)+[1]!S_STM07_BS(D863,95,$G$5,$H$13))/$E$5))</f>
        <v/>
      </c>
      <c r="O863" s="250" t="str">
        <f ca="1">IF(C863="","",IF($O$11="BPS",[1]!S_STM07_BS(D863,141,$G$5,$H$13)/IF([1]!S_SHARE_TOTAL(D863,$G$5)=0,[1]!S_SHARE_TOTAL(D863,[1]!s_ipo_listeddate(D863)),[1]!S_SHARE_TOTAL(D863,$G$5)),[1]!S_STM07_CS(D863,49,$G$5,$H$13)/$E$5))</f>
        <v/>
      </c>
      <c r="P863" s="250" t="str">
        <f ca="1">IF(C863="","",IF($P$11="CFPS",[1]!S_STM07_CS(D863,84,$G$5,$H$13)/IF([1]!S_SHARE_TOTAL(D863,$G$5)=0,[1]!S_SHARE_TOTAL(D863,[1]!s_ipo_listeddate(D863)),[1]!S_SHARE_TOTAL(D863,$G$5)),[1]!S_STM07_CS(D863,84,$G$5,$H$13)/$E$5))</f>
        <v/>
      </c>
      <c r="Q863" s="198" t="str">
        <f ca="1">IF(C863="","",F863/([1]!S_STM07_IS(D863,61,$G$5,$H$13)/IF([1]!S_SHARE_TOTAL(D863,$G$5)=0,[1]!S_SHARE_TOTAL(D863,[1]!s_ipo_listeddate(D863)),[1]!S_SHARE_TOTAL(D863,$G$5))))</f>
        <v/>
      </c>
      <c r="R863" s="198" t="str">
        <f ca="1">IF(C863="","",F863/([1]!S_STM07_BS(D863,141,$G$5,$H$13)/IF([1]!S_SHARE_TOTAL(D863,$G$5)=0,[1]!S_SHARE_TOTAL(D863,[1]!s_ipo_listeddate(D863)),[1]!S_SHARE_TOTAL(D863,$G$5))))</f>
        <v/>
      </c>
      <c r="S863" s="249" t="str">
        <f ca="1">IF(C863="","",[1]!S_SHARE_TOTAL(D863,TODAY())/$E$5)</f>
        <v/>
      </c>
      <c r="T863" s="249" t="str">
        <f t="shared" ca="1" si="91"/>
        <v/>
      </c>
      <c r="U863" s="172" t="str">
        <f t="shared" ca="1" si="92"/>
        <v/>
      </c>
      <c r="V863" s="343" t="str">
        <f t="shared" ca="1" si="93"/>
        <v/>
      </c>
      <c r="W863" s="139"/>
      <c r="Y863" s="1"/>
    </row>
    <row r="864" spans="3:25" ht="12" customHeight="1">
      <c r="C864" s="342" t="str">
        <f t="shared" ca="1" si="88"/>
        <v/>
      </c>
      <c r="D864" s="153" t="str">
        <f t="shared" ca="1" si="89"/>
        <v/>
      </c>
      <c r="E864" s="153" t="str">
        <f t="shared" ca="1" si="90"/>
        <v/>
      </c>
      <c r="F864" s="170" t="str">
        <f ca="1">IF(C864="","",[1]!S_DQ_CLOSE(D864,TODAY(),1))</f>
        <v/>
      </c>
      <c r="G864" s="171" t="str">
        <f ca="1">IF(C864="","",[1]!s_pq_pctchange(D864,TODAY()-$G$12,TODAY())/100)</f>
        <v/>
      </c>
      <c r="H864" s="247" t="str">
        <f ca="1">IF(C864="","",IF($H$11="收入",[1]!S_STM07_IS(D864,9,$G$5,$H$13)/$E$5,[1]!S_STM07_IS(D864,48,$G$5,$H$13)/$E$5))</f>
        <v/>
      </c>
      <c r="I864" s="247" t="str">
        <f ca="1">IF(C864="","",IF($I$11="毛利率",([1]!S_STM07_IS(D864,9,$G$5,$H$13)-[1]!S_STM07_IS(D864,10,$G$5,$H$13))/[1]!S_STM07_IS(D864,9,$G$5,$H$13),[1]!S_STM07_IS(D864,14,$G$5,$H$13)/$E$5))</f>
        <v/>
      </c>
      <c r="J864" s="247" t="str">
        <f ca="1">IF(C864="","",IF($J$11="营业利润率",[1]!S_STM07_IS(D864,48,$G$5,$H$13)/[1]!S_STM07_IS(D864,9,$G$5,$H$13),([1]!S_STM07_CS(D864,87,$G$5,$H$13)+[1]!S_STM07_CS(D864,88,$G$5,$H$13)+[1]!S_STM07_CS(D864,89,$G$5,$H$13))/$E$5))</f>
        <v/>
      </c>
      <c r="K864" s="247" t="str">
        <f ca="1">IF(C864="","",IF($K$11="净利润率",[1]!S_STM07_IS(D864,61,$G$5,$H$13)/[1]!S_STM07_IS(D864,9,$G$5,$H$13),[1]!S_STM07_IS(D864,55,$G$5,$H$13)/$E$5))</f>
        <v/>
      </c>
      <c r="L864" s="247" t="str">
        <f ca="1">IF(C864="","",IF($L$11="ROA",[1]!S_STM07_IS(D864,61,$G$5,$H$13)/[1]!S_STM07_BS(D864,74,$G$5,$H$13),1-[1]!S_STM07_IS(D864,61,$G$5,$H$13)/[1]!S_STM07_IS(D864,55,$G$5,$H$13)))</f>
        <v/>
      </c>
      <c r="M864" s="247" t="str">
        <f ca="1">IF(C864="","",IF($M$11="ROE",[1]!S_STM07_IS(D864,61,$G$5,$H$13)/[1]!S_STM07_BS(D864,141,$G$5,$H$13),([1]!S_STM07_BS(D864,25,$G$5,$H$13)-[1]!S_STM07_BS(D864,93,$G$5,$H$13))/$E$5))</f>
        <v/>
      </c>
      <c r="N864" s="247" t="str">
        <f ca="1">IF(C864="","",IF($N$11="EPS",[1]!S_STM07_IS(D864,61,$G$5,$H$13)/IF([1]!S_SHARE_TOTAL(D864,$G$5)=0,[1]!S_SHARE_TOTAL(D864,[1]!s_ipo_listeddate(D864)),[1]!S_SHARE_TOTAL(D864,$G$5)),([1]!S_STM07_BS(D864,75,$G$5,$H$13)+[1]!S_STM07_BS(D864,88,$G$5,$H$13)+[1]!S_STM07_BS(D864,94,$G$5,$H$13)+[1]!S_STM07_BS(D864,95,$G$5,$H$13))/$E$5))</f>
        <v/>
      </c>
      <c r="O864" s="247" t="str">
        <f ca="1">IF(C864="","",IF($O$11="BPS",[1]!S_STM07_BS(D864,141,$G$5,$H$13)/IF([1]!S_SHARE_TOTAL(D864,$G$5)=0,[1]!S_SHARE_TOTAL(D864,[1]!s_ipo_listeddate(D864)),[1]!S_SHARE_TOTAL(D864,$G$5)),[1]!S_STM07_CS(D864,49,$G$5,$H$13)/$E$5))</f>
        <v/>
      </c>
      <c r="P864" s="247" t="str">
        <f ca="1">IF(C864="","",IF($P$11="CFPS",[1]!S_STM07_CS(D864,84,$G$5,$H$13)/IF([1]!S_SHARE_TOTAL(D864,$G$5)=0,[1]!S_SHARE_TOTAL(D864,[1]!s_ipo_listeddate(D864)),[1]!S_SHARE_TOTAL(D864,$G$5)),[1]!S_STM07_CS(D864,84,$G$5,$H$13)/$E$5))</f>
        <v/>
      </c>
      <c r="Q864" s="248" t="str">
        <f ca="1">IF(C864="","",F864/([1]!S_STM07_IS(D864,61,$G$5,$H$13)/IF([1]!S_SHARE_TOTAL(D864,$G$5)=0,[1]!S_SHARE_TOTAL(D864,[1]!s_ipo_listeddate(D864)),[1]!S_SHARE_TOTAL(D864,$G$5))))</f>
        <v/>
      </c>
      <c r="R864" s="248" t="str">
        <f ca="1">IF(C864="","",F864/([1]!S_STM07_BS(D864,141,$G$5,$H$13)/IF([1]!S_SHARE_TOTAL(D864,$G$5)=0,[1]!S_SHARE_TOTAL(D864,[1]!s_ipo_listeddate(D864)),[1]!S_SHARE_TOTAL(D864,$G$5))))</f>
        <v/>
      </c>
      <c r="S864" s="247" t="str">
        <f ca="1">IF(C864="","",[1]!S_SHARE_TOTAL(D864,TODAY())/$E$5)</f>
        <v/>
      </c>
      <c r="T864" s="247" t="str">
        <f t="shared" ca="1" si="91"/>
        <v/>
      </c>
      <c r="U864" s="218" t="str">
        <f t="shared" ca="1" si="92"/>
        <v/>
      </c>
      <c r="V864" s="342" t="str">
        <f t="shared" ca="1" si="93"/>
        <v/>
      </c>
      <c r="W864" s="139"/>
      <c r="Y864" s="1"/>
    </row>
    <row r="865" spans="3:25" ht="12" customHeight="1">
      <c r="C865" s="343" t="str">
        <f t="shared" ca="1" si="88"/>
        <v/>
      </c>
      <c r="D865" s="124" t="str">
        <f t="shared" ca="1" si="89"/>
        <v/>
      </c>
      <c r="E865" s="124" t="str">
        <f t="shared" ca="1" si="90"/>
        <v/>
      </c>
      <c r="F865" s="172" t="str">
        <f ca="1">IF(C865="","",[1]!S_DQ_CLOSE(D865,TODAY(),1))</f>
        <v/>
      </c>
      <c r="G865" s="173" t="str">
        <f ca="1">IF(C865="","",[1]!s_pq_pctchange(D865,TODAY()-$G$12,TODAY())/100)</f>
        <v/>
      </c>
      <c r="H865" s="249" t="str">
        <f ca="1">IF(C865="","",IF($H$11="收入",[1]!S_STM07_IS(D865,9,$G$5,$H$13)/$E$5,[1]!S_STM07_IS(D865,48,$G$5,$H$13)/$E$5))</f>
        <v/>
      </c>
      <c r="I865" s="249" t="str">
        <f ca="1">IF(C865="","",IF($I$11="毛利率",([1]!S_STM07_IS(D865,9,$G$5,$H$13)-[1]!S_STM07_IS(D865,10,$G$5,$H$13))/[1]!S_STM07_IS(D865,9,$G$5,$H$13),[1]!S_STM07_IS(D865,14,$G$5,$H$13)/$E$5))</f>
        <v/>
      </c>
      <c r="J865" s="249" t="str">
        <f ca="1">IF(C865="","",IF($J$11="营业利润率",[1]!S_STM07_IS(D865,48,$G$5,$H$13)/[1]!S_STM07_IS(D865,9,$G$5,$H$13),([1]!S_STM07_CS(D865,87,$G$5,$H$13)+[1]!S_STM07_CS(D865,88,$G$5,$H$13)+[1]!S_STM07_CS(D865,89,$G$5,$H$13))/$E$5))</f>
        <v/>
      </c>
      <c r="K865" s="249" t="str">
        <f ca="1">IF(C865="","",IF($K$11="净利润率",[1]!S_STM07_IS(D865,61,$G$5,$H$13)/[1]!S_STM07_IS(D865,9,$G$5,$H$13),[1]!S_STM07_IS(D865,55,$G$5,$H$13)/$E$5))</f>
        <v/>
      </c>
      <c r="L865" s="249" t="str">
        <f ca="1">IF(C865="","",IF($L$11="ROA",[1]!S_STM07_IS(D865,61,$G$5,$H$13)/[1]!S_STM07_BS(D865,74,$G$5,$H$13),1-[1]!S_STM07_IS(D865,61,$G$5,$H$13)/[1]!S_STM07_IS(D865,55,$G$5,$H$13)))</f>
        <v/>
      </c>
      <c r="M865" s="249" t="str">
        <f ca="1">IF(C865="","",IF($M$11="ROE",[1]!S_STM07_IS(D865,61,$G$5,$H$13)/[1]!S_STM07_BS(D865,141,$G$5,$H$13),([1]!S_STM07_BS(D865,25,$G$5,$H$13)-[1]!S_STM07_BS(D865,93,$G$5,$H$13))/$E$5))</f>
        <v/>
      </c>
      <c r="N865" s="250" t="str">
        <f ca="1">IF(C865="","",IF($N$11="EPS",[1]!S_STM07_IS(D865,61,$G$5,$H$13)/IF([1]!S_SHARE_TOTAL(D865,$G$5)=0,[1]!S_SHARE_TOTAL(D865,[1]!s_ipo_listeddate(D865)),[1]!S_SHARE_TOTAL(D865,$G$5)),([1]!S_STM07_BS(D865,75,$G$5,$H$13)+[1]!S_STM07_BS(D865,88,$G$5,$H$13)+[1]!S_STM07_BS(D865,94,$G$5,$H$13)+[1]!S_STM07_BS(D865,95,$G$5,$H$13))/$E$5))</f>
        <v/>
      </c>
      <c r="O865" s="250" t="str">
        <f ca="1">IF(C865="","",IF($O$11="BPS",[1]!S_STM07_BS(D865,141,$G$5,$H$13)/IF([1]!S_SHARE_TOTAL(D865,$G$5)=0,[1]!S_SHARE_TOTAL(D865,[1]!s_ipo_listeddate(D865)),[1]!S_SHARE_TOTAL(D865,$G$5)),[1]!S_STM07_CS(D865,49,$G$5,$H$13)/$E$5))</f>
        <v/>
      </c>
      <c r="P865" s="250" t="str">
        <f ca="1">IF(C865="","",IF($P$11="CFPS",[1]!S_STM07_CS(D865,84,$G$5,$H$13)/IF([1]!S_SHARE_TOTAL(D865,$G$5)=0,[1]!S_SHARE_TOTAL(D865,[1]!s_ipo_listeddate(D865)),[1]!S_SHARE_TOTAL(D865,$G$5)),[1]!S_STM07_CS(D865,84,$G$5,$H$13)/$E$5))</f>
        <v/>
      </c>
      <c r="Q865" s="198" t="str">
        <f ca="1">IF(C865="","",F865/([1]!S_STM07_IS(D865,61,$G$5,$H$13)/IF([1]!S_SHARE_TOTAL(D865,$G$5)=0,[1]!S_SHARE_TOTAL(D865,[1]!s_ipo_listeddate(D865)),[1]!S_SHARE_TOTAL(D865,$G$5))))</f>
        <v/>
      </c>
      <c r="R865" s="198" t="str">
        <f ca="1">IF(C865="","",F865/([1]!S_STM07_BS(D865,141,$G$5,$H$13)/IF([1]!S_SHARE_TOTAL(D865,$G$5)=0,[1]!S_SHARE_TOTAL(D865,[1]!s_ipo_listeddate(D865)),[1]!S_SHARE_TOTAL(D865,$G$5))))</f>
        <v/>
      </c>
      <c r="S865" s="249" t="str">
        <f ca="1">IF(C865="","",[1]!S_SHARE_TOTAL(D865,TODAY())/$E$5)</f>
        <v/>
      </c>
      <c r="T865" s="249" t="str">
        <f t="shared" ca="1" si="91"/>
        <v/>
      </c>
      <c r="U865" s="172" t="str">
        <f t="shared" ca="1" si="92"/>
        <v/>
      </c>
      <c r="V865" s="343" t="str">
        <f t="shared" ca="1" si="93"/>
        <v/>
      </c>
      <c r="W865" s="139"/>
      <c r="Y865" s="1"/>
    </row>
    <row r="866" spans="3:25" ht="12" customHeight="1">
      <c r="C866" s="342" t="str">
        <f t="shared" ca="1" si="88"/>
        <v/>
      </c>
      <c r="D866" s="153" t="str">
        <f t="shared" ca="1" si="89"/>
        <v/>
      </c>
      <c r="E866" s="153" t="str">
        <f t="shared" ca="1" si="90"/>
        <v/>
      </c>
      <c r="F866" s="170" t="str">
        <f ca="1">IF(C866="","",[1]!S_DQ_CLOSE(D866,TODAY(),1))</f>
        <v/>
      </c>
      <c r="G866" s="171" t="str">
        <f ca="1">IF(C866="","",[1]!s_pq_pctchange(D866,TODAY()-$G$12,TODAY())/100)</f>
        <v/>
      </c>
      <c r="H866" s="247" t="str">
        <f ca="1">IF(C866="","",IF($H$11="收入",[1]!S_STM07_IS(D866,9,$G$5,$H$13)/$E$5,[1]!S_STM07_IS(D866,48,$G$5,$H$13)/$E$5))</f>
        <v/>
      </c>
      <c r="I866" s="247" t="str">
        <f ca="1">IF(C866="","",IF($I$11="毛利率",([1]!S_STM07_IS(D866,9,$G$5,$H$13)-[1]!S_STM07_IS(D866,10,$G$5,$H$13))/[1]!S_STM07_IS(D866,9,$G$5,$H$13),[1]!S_STM07_IS(D866,14,$G$5,$H$13)/$E$5))</f>
        <v/>
      </c>
      <c r="J866" s="247" t="str">
        <f ca="1">IF(C866="","",IF($J$11="营业利润率",[1]!S_STM07_IS(D866,48,$G$5,$H$13)/[1]!S_STM07_IS(D866,9,$G$5,$H$13),([1]!S_STM07_CS(D866,87,$G$5,$H$13)+[1]!S_STM07_CS(D866,88,$G$5,$H$13)+[1]!S_STM07_CS(D866,89,$G$5,$H$13))/$E$5))</f>
        <v/>
      </c>
      <c r="K866" s="247" t="str">
        <f ca="1">IF(C866="","",IF($K$11="净利润率",[1]!S_STM07_IS(D866,61,$G$5,$H$13)/[1]!S_STM07_IS(D866,9,$G$5,$H$13),[1]!S_STM07_IS(D866,55,$G$5,$H$13)/$E$5))</f>
        <v/>
      </c>
      <c r="L866" s="247" t="str">
        <f ca="1">IF(C866="","",IF($L$11="ROA",[1]!S_STM07_IS(D866,61,$G$5,$H$13)/[1]!S_STM07_BS(D866,74,$G$5,$H$13),1-[1]!S_STM07_IS(D866,61,$G$5,$H$13)/[1]!S_STM07_IS(D866,55,$G$5,$H$13)))</f>
        <v/>
      </c>
      <c r="M866" s="247" t="str">
        <f ca="1">IF(C866="","",IF($M$11="ROE",[1]!S_STM07_IS(D866,61,$G$5,$H$13)/[1]!S_STM07_BS(D866,141,$G$5,$H$13),([1]!S_STM07_BS(D866,25,$G$5,$H$13)-[1]!S_STM07_BS(D866,93,$G$5,$H$13))/$E$5))</f>
        <v/>
      </c>
      <c r="N866" s="247" t="str">
        <f ca="1">IF(C866="","",IF($N$11="EPS",[1]!S_STM07_IS(D866,61,$G$5,$H$13)/IF([1]!S_SHARE_TOTAL(D866,$G$5)=0,[1]!S_SHARE_TOTAL(D866,[1]!s_ipo_listeddate(D866)),[1]!S_SHARE_TOTAL(D866,$G$5)),([1]!S_STM07_BS(D866,75,$G$5,$H$13)+[1]!S_STM07_BS(D866,88,$G$5,$H$13)+[1]!S_STM07_BS(D866,94,$G$5,$H$13)+[1]!S_STM07_BS(D866,95,$G$5,$H$13))/$E$5))</f>
        <v/>
      </c>
      <c r="O866" s="247" t="str">
        <f ca="1">IF(C866="","",IF($O$11="BPS",[1]!S_STM07_BS(D866,141,$G$5,$H$13)/IF([1]!S_SHARE_TOTAL(D866,$G$5)=0,[1]!S_SHARE_TOTAL(D866,[1]!s_ipo_listeddate(D866)),[1]!S_SHARE_TOTAL(D866,$G$5)),[1]!S_STM07_CS(D866,49,$G$5,$H$13)/$E$5))</f>
        <v/>
      </c>
      <c r="P866" s="247" t="str">
        <f ca="1">IF(C866="","",IF($P$11="CFPS",[1]!S_STM07_CS(D866,84,$G$5,$H$13)/IF([1]!S_SHARE_TOTAL(D866,$G$5)=0,[1]!S_SHARE_TOTAL(D866,[1]!s_ipo_listeddate(D866)),[1]!S_SHARE_TOTAL(D866,$G$5)),[1]!S_STM07_CS(D866,84,$G$5,$H$13)/$E$5))</f>
        <v/>
      </c>
      <c r="Q866" s="248" t="str">
        <f ca="1">IF(C866="","",F866/([1]!S_STM07_IS(D866,61,$G$5,$H$13)/IF([1]!S_SHARE_TOTAL(D866,$G$5)=0,[1]!S_SHARE_TOTAL(D866,[1]!s_ipo_listeddate(D866)),[1]!S_SHARE_TOTAL(D866,$G$5))))</f>
        <v/>
      </c>
      <c r="R866" s="248" t="str">
        <f ca="1">IF(C866="","",F866/([1]!S_STM07_BS(D866,141,$G$5,$H$13)/IF([1]!S_SHARE_TOTAL(D866,$G$5)=0,[1]!S_SHARE_TOTAL(D866,[1]!s_ipo_listeddate(D866)),[1]!S_SHARE_TOTAL(D866,$G$5))))</f>
        <v/>
      </c>
      <c r="S866" s="247" t="str">
        <f ca="1">IF(C866="","",[1]!S_SHARE_TOTAL(D866,TODAY())/$E$5)</f>
        <v/>
      </c>
      <c r="T866" s="247" t="str">
        <f t="shared" ca="1" si="91"/>
        <v/>
      </c>
      <c r="U866" s="218" t="str">
        <f t="shared" ca="1" si="92"/>
        <v/>
      </c>
      <c r="V866" s="342" t="str">
        <f t="shared" ca="1" si="93"/>
        <v/>
      </c>
      <c r="W866" s="139"/>
      <c r="Y866" s="1"/>
    </row>
    <row r="867" spans="3:25" ht="12" customHeight="1">
      <c r="C867" s="343" t="str">
        <f t="shared" ca="1" si="88"/>
        <v/>
      </c>
      <c r="D867" s="124" t="str">
        <f t="shared" ca="1" si="89"/>
        <v/>
      </c>
      <c r="E867" s="124" t="str">
        <f t="shared" ca="1" si="90"/>
        <v/>
      </c>
      <c r="F867" s="172" t="str">
        <f ca="1">IF(C867="","",[1]!S_DQ_CLOSE(D867,TODAY(),1))</f>
        <v/>
      </c>
      <c r="G867" s="173" t="str">
        <f ca="1">IF(C867="","",[1]!s_pq_pctchange(D867,TODAY()-$G$12,TODAY())/100)</f>
        <v/>
      </c>
      <c r="H867" s="249" t="str">
        <f ca="1">IF(C867="","",IF($H$11="收入",[1]!S_STM07_IS(D867,9,$G$5,$H$13)/$E$5,[1]!S_STM07_IS(D867,48,$G$5,$H$13)/$E$5))</f>
        <v/>
      </c>
      <c r="I867" s="249" t="str">
        <f ca="1">IF(C867="","",IF($I$11="毛利率",([1]!S_STM07_IS(D867,9,$G$5,$H$13)-[1]!S_STM07_IS(D867,10,$G$5,$H$13))/[1]!S_STM07_IS(D867,9,$G$5,$H$13),[1]!S_STM07_IS(D867,14,$G$5,$H$13)/$E$5))</f>
        <v/>
      </c>
      <c r="J867" s="249" t="str">
        <f ca="1">IF(C867="","",IF($J$11="营业利润率",[1]!S_STM07_IS(D867,48,$G$5,$H$13)/[1]!S_STM07_IS(D867,9,$G$5,$H$13),([1]!S_STM07_CS(D867,87,$G$5,$H$13)+[1]!S_STM07_CS(D867,88,$G$5,$H$13)+[1]!S_STM07_CS(D867,89,$G$5,$H$13))/$E$5))</f>
        <v/>
      </c>
      <c r="K867" s="249" t="str">
        <f ca="1">IF(C867="","",IF($K$11="净利润率",[1]!S_STM07_IS(D867,61,$G$5,$H$13)/[1]!S_STM07_IS(D867,9,$G$5,$H$13),[1]!S_STM07_IS(D867,55,$G$5,$H$13)/$E$5))</f>
        <v/>
      </c>
      <c r="L867" s="249" t="str">
        <f ca="1">IF(C867="","",IF($L$11="ROA",[1]!S_STM07_IS(D867,61,$G$5,$H$13)/[1]!S_STM07_BS(D867,74,$G$5,$H$13),1-[1]!S_STM07_IS(D867,61,$G$5,$H$13)/[1]!S_STM07_IS(D867,55,$G$5,$H$13)))</f>
        <v/>
      </c>
      <c r="M867" s="249" t="str">
        <f ca="1">IF(C867="","",IF($M$11="ROE",[1]!S_STM07_IS(D867,61,$G$5,$H$13)/[1]!S_STM07_BS(D867,141,$G$5,$H$13),([1]!S_STM07_BS(D867,25,$G$5,$H$13)-[1]!S_STM07_BS(D867,93,$G$5,$H$13))/$E$5))</f>
        <v/>
      </c>
      <c r="N867" s="250" t="str">
        <f ca="1">IF(C867="","",IF($N$11="EPS",[1]!S_STM07_IS(D867,61,$G$5,$H$13)/IF([1]!S_SHARE_TOTAL(D867,$G$5)=0,[1]!S_SHARE_TOTAL(D867,[1]!s_ipo_listeddate(D867)),[1]!S_SHARE_TOTAL(D867,$G$5)),([1]!S_STM07_BS(D867,75,$G$5,$H$13)+[1]!S_STM07_BS(D867,88,$G$5,$H$13)+[1]!S_STM07_BS(D867,94,$G$5,$H$13)+[1]!S_STM07_BS(D867,95,$G$5,$H$13))/$E$5))</f>
        <v/>
      </c>
      <c r="O867" s="250" t="str">
        <f ca="1">IF(C867="","",IF($O$11="BPS",[1]!S_STM07_BS(D867,141,$G$5,$H$13)/IF([1]!S_SHARE_TOTAL(D867,$G$5)=0,[1]!S_SHARE_TOTAL(D867,[1]!s_ipo_listeddate(D867)),[1]!S_SHARE_TOTAL(D867,$G$5)),[1]!S_STM07_CS(D867,49,$G$5,$H$13)/$E$5))</f>
        <v/>
      </c>
      <c r="P867" s="250" t="str">
        <f ca="1">IF(C867="","",IF($P$11="CFPS",[1]!S_STM07_CS(D867,84,$G$5,$H$13)/IF([1]!S_SHARE_TOTAL(D867,$G$5)=0,[1]!S_SHARE_TOTAL(D867,[1]!s_ipo_listeddate(D867)),[1]!S_SHARE_TOTAL(D867,$G$5)),[1]!S_STM07_CS(D867,84,$G$5,$H$13)/$E$5))</f>
        <v/>
      </c>
      <c r="Q867" s="198" t="str">
        <f ca="1">IF(C867="","",F867/([1]!S_STM07_IS(D867,61,$G$5,$H$13)/IF([1]!S_SHARE_TOTAL(D867,$G$5)=0,[1]!S_SHARE_TOTAL(D867,[1]!s_ipo_listeddate(D867)),[1]!S_SHARE_TOTAL(D867,$G$5))))</f>
        <v/>
      </c>
      <c r="R867" s="198" t="str">
        <f ca="1">IF(C867="","",F867/([1]!S_STM07_BS(D867,141,$G$5,$H$13)/IF([1]!S_SHARE_TOTAL(D867,$G$5)=0,[1]!S_SHARE_TOTAL(D867,[1]!s_ipo_listeddate(D867)),[1]!S_SHARE_TOTAL(D867,$G$5))))</f>
        <v/>
      </c>
      <c r="S867" s="249" t="str">
        <f ca="1">IF(C867="","",[1]!S_SHARE_TOTAL(D867,TODAY())/$E$5)</f>
        <v/>
      </c>
      <c r="T867" s="249" t="str">
        <f t="shared" ca="1" si="91"/>
        <v/>
      </c>
      <c r="U867" s="172" t="str">
        <f t="shared" ca="1" si="92"/>
        <v/>
      </c>
      <c r="V867" s="343" t="str">
        <f t="shared" ca="1" si="93"/>
        <v/>
      </c>
      <c r="W867" s="139"/>
      <c r="Y867" s="1"/>
    </row>
    <row r="868" spans="3:25" ht="12" customHeight="1">
      <c r="C868" s="342" t="str">
        <f t="shared" ca="1" si="88"/>
        <v/>
      </c>
      <c r="D868" s="153" t="str">
        <f t="shared" ca="1" si="89"/>
        <v/>
      </c>
      <c r="E868" s="153" t="str">
        <f t="shared" ca="1" si="90"/>
        <v/>
      </c>
      <c r="F868" s="170" t="str">
        <f ca="1">IF(C868="","",[1]!S_DQ_CLOSE(D868,TODAY(),1))</f>
        <v/>
      </c>
      <c r="G868" s="171" t="str">
        <f ca="1">IF(C868="","",[1]!s_pq_pctchange(D868,TODAY()-$G$12,TODAY())/100)</f>
        <v/>
      </c>
      <c r="H868" s="247" t="str">
        <f ca="1">IF(C868="","",IF($H$11="收入",[1]!S_STM07_IS(D868,9,$G$5,$H$13)/$E$5,[1]!S_STM07_IS(D868,48,$G$5,$H$13)/$E$5))</f>
        <v/>
      </c>
      <c r="I868" s="247" t="str">
        <f ca="1">IF(C868="","",IF($I$11="毛利率",([1]!S_STM07_IS(D868,9,$G$5,$H$13)-[1]!S_STM07_IS(D868,10,$G$5,$H$13))/[1]!S_STM07_IS(D868,9,$G$5,$H$13),[1]!S_STM07_IS(D868,14,$G$5,$H$13)/$E$5))</f>
        <v/>
      </c>
      <c r="J868" s="247" t="str">
        <f ca="1">IF(C868="","",IF($J$11="营业利润率",[1]!S_STM07_IS(D868,48,$G$5,$H$13)/[1]!S_STM07_IS(D868,9,$G$5,$H$13),([1]!S_STM07_CS(D868,87,$G$5,$H$13)+[1]!S_STM07_CS(D868,88,$G$5,$H$13)+[1]!S_STM07_CS(D868,89,$G$5,$H$13))/$E$5))</f>
        <v/>
      </c>
      <c r="K868" s="247" t="str">
        <f ca="1">IF(C868="","",IF($K$11="净利润率",[1]!S_STM07_IS(D868,61,$G$5,$H$13)/[1]!S_STM07_IS(D868,9,$G$5,$H$13),[1]!S_STM07_IS(D868,55,$G$5,$H$13)/$E$5))</f>
        <v/>
      </c>
      <c r="L868" s="247" t="str">
        <f ca="1">IF(C868="","",IF($L$11="ROA",[1]!S_STM07_IS(D868,61,$G$5,$H$13)/[1]!S_STM07_BS(D868,74,$G$5,$H$13),1-[1]!S_STM07_IS(D868,61,$G$5,$H$13)/[1]!S_STM07_IS(D868,55,$G$5,$H$13)))</f>
        <v/>
      </c>
      <c r="M868" s="247" t="str">
        <f ca="1">IF(C868="","",IF($M$11="ROE",[1]!S_STM07_IS(D868,61,$G$5,$H$13)/[1]!S_STM07_BS(D868,141,$G$5,$H$13),([1]!S_STM07_BS(D868,25,$G$5,$H$13)-[1]!S_STM07_BS(D868,93,$G$5,$H$13))/$E$5))</f>
        <v/>
      </c>
      <c r="N868" s="247" t="str">
        <f ca="1">IF(C868="","",IF($N$11="EPS",[1]!S_STM07_IS(D868,61,$G$5,$H$13)/IF([1]!S_SHARE_TOTAL(D868,$G$5)=0,[1]!S_SHARE_TOTAL(D868,[1]!s_ipo_listeddate(D868)),[1]!S_SHARE_TOTAL(D868,$G$5)),([1]!S_STM07_BS(D868,75,$G$5,$H$13)+[1]!S_STM07_BS(D868,88,$G$5,$H$13)+[1]!S_STM07_BS(D868,94,$G$5,$H$13)+[1]!S_STM07_BS(D868,95,$G$5,$H$13))/$E$5))</f>
        <v/>
      </c>
      <c r="O868" s="247" t="str">
        <f ca="1">IF(C868="","",IF($O$11="BPS",[1]!S_STM07_BS(D868,141,$G$5,$H$13)/IF([1]!S_SHARE_TOTAL(D868,$G$5)=0,[1]!S_SHARE_TOTAL(D868,[1]!s_ipo_listeddate(D868)),[1]!S_SHARE_TOTAL(D868,$G$5)),[1]!S_STM07_CS(D868,49,$G$5,$H$13)/$E$5))</f>
        <v/>
      </c>
      <c r="P868" s="247" t="str">
        <f ca="1">IF(C868="","",IF($P$11="CFPS",[1]!S_STM07_CS(D868,84,$G$5,$H$13)/IF([1]!S_SHARE_TOTAL(D868,$G$5)=0,[1]!S_SHARE_TOTAL(D868,[1]!s_ipo_listeddate(D868)),[1]!S_SHARE_TOTAL(D868,$G$5)),[1]!S_STM07_CS(D868,84,$G$5,$H$13)/$E$5))</f>
        <v/>
      </c>
      <c r="Q868" s="248" t="str">
        <f ca="1">IF(C868="","",F868/([1]!S_STM07_IS(D868,61,$G$5,$H$13)/IF([1]!S_SHARE_TOTAL(D868,$G$5)=0,[1]!S_SHARE_TOTAL(D868,[1]!s_ipo_listeddate(D868)),[1]!S_SHARE_TOTAL(D868,$G$5))))</f>
        <v/>
      </c>
      <c r="R868" s="248" t="str">
        <f ca="1">IF(C868="","",F868/([1]!S_STM07_BS(D868,141,$G$5,$H$13)/IF([1]!S_SHARE_TOTAL(D868,$G$5)=0,[1]!S_SHARE_TOTAL(D868,[1]!s_ipo_listeddate(D868)),[1]!S_SHARE_TOTAL(D868,$G$5))))</f>
        <v/>
      </c>
      <c r="S868" s="247" t="str">
        <f ca="1">IF(C868="","",[1]!S_SHARE_TOTAL(D868,TODAY())/$E$5)</f>
        <v/>
      </c>
      <c r="T868" s="247" t="str">
        <f t="shared" ca="1" si="91"/>
        <v/>
      </c>
      <c r="U868" s="218" t="str">
        <f t="shared" ca="1" si="92"/>
        <v/>
      </c>
      <c r="V868" s="342" t="str">
        <f t="shared" ca="1" si="93"/>
        <v/>
      </c>
      <c r="W868" s="139"/>
      <c r="Y868" s="1"/>
    </row>
    <row r="869" spans="3:25" ht="12" customHeight="1">
      <c r="C869" s="343" t="str">
        <f t="shared" ca="1" si="88"/>
        <v/>
      </c>
      <c r="D869" s="124" t="str">
        <f t="shared" ca="1" si="89"/>
        <v/>
      </c>
      <c r="E869" s="124" t="str">
        <f t="shared" ca="1" si="90"/>
        <v/>
      </c>
      <c r="F869" s="172" t="str">
        <f ca="1">IF(C869="","",[1]!S_DQ_CLOSE(D869,TODAY(),1))</f>
        <v/>
      </c>
      <c r="G869" s="173" t="str">
        <f ca="1">IF(C869="","",[1]!s_pq_pctchange(D869,TODAY()-$G$12,TODAY())/100)</f>
        <v/>
      </c>
      <c r="H869" s="249" t="str">
        <f ca="1">IF(C869="","",IF($H$11="收入",[1]!S_STM07_IS(D869,9,$G$5,$H$13)/$E$5,[1]!S_STM07_IS(D869,48,$G$5,$H$13)/$E$5))</f>
        <v/>
      </c>
      <c r="I869" s="249" t="str">
        <f ca="1">IF(C869="","",IF($I$11="毛利率",([1]!S_STM07_IS(D869,9,$G$5,$H$13)-[1]!S_STM07_IS(D869,10,$G$5,$H$13))/[1]!S_STM07_IS(D869,9,$G$5,$H$13),[1]!S_STM07_IS(D869,14,$G$5,$H$13)/$E$5))</f>
        <v/>
      </c>
      <c r="J869" s="249" t="str">
        <f ca="1">IF(C869="","",IF($J$11="营业利润率",[1]!S_STM07_IS(D869,48,$G$5,$H$13)/[1]!S_STM07_IS(D869,9,$G$5,$H$13),([1]!S_STM07_CS(D869,87,$G$5,$H$13)+[1]!S_STM07_CS(D869,88,$G$5,$H$13)+[1]!S_STM07_CS(D869,89,$G$5,$H$13))/$E$5))</f>
        <v/>
      </c>
      <c r="K869" s="249" t="str">
        <f ca="1">IF(C869="","",IF($K$11="净利润率",[1]!S_STM07_IS(D869,61,$G$5,$H$13)/[1]!S_STM07_IS(D869,9,$G$5,$H$13),[1]!S_STM07_IS(D869,55,$G$5,$H$13)/$E$5))</f>
        <v/>
      </c>
      <c r="L869" s="249" t="str">
        <f ca="1">IF(C869="","",IF($L$11="ROA",[1]!S_STM07_IS(D869,61,$G$5,$H$13)/[1]!S_STM07_BS(D869,74,$G$5,$H$13),1-[1]!S_STM07_IS(D869,61,$G$5,$H$13)/[1]!S_STM07_IS(D869,55,$G$5,$H$13)))</f>
        <v/>
      </c>
      <c r="M869" s="249" t="str">
        <f ca="1">IF(C869="","",IF($M$11="ROE",[1]!S_STM07_IS(D869,61,$G$5,$H$13)/[1]!S_STM07_BS(D869,141,$G$5,$H$13),([1]!S_STM07_BS(D869,25,$G$5,$H$13)-[1]!S_STM07_BS(D869,93,$G$5,$H$13))/$E$5))</f>
        <v/>
      </c>
      <c r="N869" s="250" t="str">
        <f ca="1">IF(C869="","",IF($N$11="EPS",[1]!S_STM07_IS(D869,61,$G$5,$H$13)/IF([1]!S_SHARE_TOTAL(D869,$G$5)=0,[1]!S_SHARE_TOTAL(D869,[1]!s_ipo_listeddate(D869)),[1]!S_SHARE_TOTAL(D869,$G$5)),([1]!S_STM07_BS(D869,75,$G$5,$H$13)+[1]!S_STM07_BS(D869,88,$G$5,$H$13)+[1]!S_STM07_BS(D869,94,$G$5,$H$13)+[1]!S_STM07_BS(D869,95,$G$5,$H$13))/$E$5))</f>
        <v/>
      </c>
      <c r="O869" s="250" t="str">
        <f ca="1">IF(C869="","",IF($O$11="BPS",[1]!S_STM07_BS(D869,141,$G$5,$H$13)/IF([1]!S_SHARE_TOTAL(D869,$G$5)=0,[1]!S_SHARE_TOTAL(D869,[1]!s_ipo_listeddate(D869)),[1]!S_SHARE_TOTAL(D869,$G$5)),[1]!S_STM07_CS(D869,49,$G$5,$H$13)/$E$5))</f>
        <v/>
      </c>
      <c r="P869" s="250" t="str">
        <f ca="1">IF(C869="","",IF($P$11="CFPS",[1]!S_STM07_CS(D869,84,$G$5,$H$13)/IF([1]!S_SHARE_TOTAL(D869,$G$5)=0,[1]!S_SHARE_TOTAL(D869,[1]!s_ipo_listeddate(D869)),[1]!S_SHARE_TOTAL(D869,$G$5)),[1]!S_STM07_CS(D869,84,$G$5,$H$13)/$E$5))</f>
        <v/>
      </c>
      <c r="Q869" s="198" t="str">
        <f ca="1">IF(C869="","",F869/([1]!S_STM07_IS(D869,61,$G$5,$H$13)/IF([1]!S_SHARE_TOTAL(D869,$G$5)=0,[1]!S_SHARE_TOTAL(D869,[1]!s_ipo_listeddate(D869)),[1]!S_SHARE_TOTAL(D869,$G$5))))</f>
        <v/>
      </c>
      <c r="R869" s="198" t="str">
        <f ca="1">IF(C869="","",F869/([1]!S_STM07_BS(D869,141,$G$5,$H$13)/IF([1]!S_SHARE_TOTAL(D869,$G$5)=0,[1]!S_SHARE_TOTAL(D869,[1]!s_ipo_listeddate(D869)),[1]!S_SHARE_TOTAL(D869,$G$5))))</f>
        <v/>
      </c>
      <c r="S869" s="249" t="str">
        <f ca="1">IF(C869="","",[1]!S_SHARE_TOTAL(D869,TODAY())/$E$5)</f>
        <v/>
      </c>
      <c r="T869" s="249" t="str">
        <f t="shared" ca="1" si="91"/>
        <v/>
      </c>
      <c r="U869" s="172" t="str">
        <f t="shared" ca="1" si="92"/>
        <v/>
      </c>
      <c r="V869" s="343" t="str">
        <f t="shared" ca="1" si="93"/>
        <v/>
      </c>
      <c r="W869" s="139"/>
      <c r="Y869" s="1"/>
    </row>
    <row r="870" spans="3:25" ht="12" customHeight="1">
      <c r="C870" s="342" t="str">
        <f t="shared" ca="1" si="88"/>
        <v/>
      </c>
      <c r="D870" s="153" t="str">
        <f t="shared" ca="1" si="89"/>
        <v/>
      </c>
      <c r="E870" s="153" t="str">
        <f t="shared" ca="1" si="90"/>
        <v/>
      </c>
      <c r="F870" s="170" t="str">
        <f ca="1">IF(C870="","",[1]!S_DQ_CLOSE(D870,TODAY(),1))</f>
        <v/>
      </c>
      <c r="G870" s="171" t="str">
        <f ca="1">IF(C870="","",[1]!s_pq_pctchange(D870,TODAY()-$G$12,TODAY())/100)</f>
        <v/>
      </c>
      <c r="H870" s="247" t="str">
        <f ca="1">IF(C870="","",IF($H$11="收入",[1]!S_STM07_IS(D870,9,$G$5,$H$13)/$E$5,[1]!S_STM07_IS(D870,48,$G$5,$H$13)/$E$5))</f>
        <v/>
      </c>
      <c r="I870" s="247" t="str">
        <f ca="1">IF(C870="","",IF($I$11="毛利率",([1]!S_STM07_IS(D870,9,$G$5,$H$13)-[1]!S_STM07_IS(D870,10,$G$5,$H$13))/[1]!S_STM07_IS(D870,9,$G$5,$H$13),[1]!S_STM07_IS(D870,14,$G$5,$H$13)/$E$5))</f>
        <v/>
      </c>
      <c r="J870" s="247" t="str">
        <f ca="1">IF(C870="","",IF($J$11="营业利润率",[1]!S_STM07_IS(D870,48,$G$5,$H$13)/[1]!S_STM07_IS(D870,9,$G$5,$H$13),([1]!S_STM07_CS(D870,87,$G$5,$H$13)+[1]!S_STM07_CS(D870,88,$G$5,$H$13)+[1]!S_STM07_CS(D870,89,$G$5,$H$13))/$E$5))</f>
        <v/>
      </c>
      <c r="K870" s="247" t="str">
        <f ca="1">IF(C870="","",IF($K$11="净利润率",[1]!S_STM07_IS(D870,61,$G$5,$H$13)/[1]!S_STM07_IS(D870,9,$G$5,$H$13),[1]!S_STM07_IS(D870,55,$G$5,$H$13)/$E$5))</f>
        <v/>
      </c>
      <c r="L870" s="247" t="str">
        <f ca="1">IF(C870="","",IF($L$11="ROA",[1]!S_STM07_IS(D870,61,$G$5,$H$13)/[1]!S_STM07_BS(D870,74,$G$5,$H$13),1-[1]!S_STM07_IS(D870,61,$G$5,$H$13)/[1]!S_STM07_IS(D870,55,$G$5,$H$13)))</f>
        <v/>
      </c>
      <c r="M870" s="247" t="str">
        <f ca="1">IF(C870="","",IF($M$11="ROE",[1]!S_STM07_IS(D870,61,$G$5,$H$13)/[1]!S_STM07_BS(D870,141,$G$5,$H$13),([1]!S_STM07_BS(D870,25,$G$5,$H$13)-[1]!S_STM07_BS(D870,93,$G$5,$H$13))/$E$5))</f>
        <v/>
      </c>
      <c r="N870" s="247" t="str">
        <f ca="1">IF(C870="","",IF($N$11="EPS",[1]!S_STM07_IS(D870,61,$G$5,$H$13)/IF([1]!S_SHARE_TOTAL(D870,$G$5)=0,[1]!S_SHARE_TOTAL(D870,[1]!s_ipo_listeddate(D870)),[1]!S_SHARE_TOTAL(D870,$G$5)),([1]!S_STM07_BS(D870,75,$G$5,$H$13)+[1]!S_STM07_BS(D870,88,$G$5,$H$13)+[1]!S_STM07_BS(D870,94,$G$5,$H$13)+[1]!S_STM07_BS(D870,95,$G$5,$H$13))/$E$5))</f>
        <v/>
      </c>
      <c r="O870" s="247" t="str">
        <f ca="1">IF(C870="","",IF($O$11="BPS",[1]!S_STM07_BS(D870,141,$G$5,$H$13)/IF([1]!S_SHARE_TOTAL(D870,$G$5)=0,[1]!S_SHARE_TOTAL(D870,[1]!s_ipo_listeddate(D870)),[1]!S_SHARE_TOTAL(D870,$G$5)),[1]!S_STM07_CS(D870,49,$G$5,$H$13)/$E$5))</f>
        <v/>
      </c>
      <c r="P870" s="247" t="str">
        <f ca="1">IF(C870="","",IF($P$11="CFPS",[1]!S_STM07_CS(D870,84,$G$5,$H$13)/IF([1]!S_SHARE_TOTAL(D870,$G$5)=0,[1]!S_SHARE_TOTAL(D870,[1]!s_ipo_listeddate(D870)),[1]!S_SHARE_TOTAL(D870,$G$5)),[1]!S_STM07_CS(D870,84,$G$5,$H$13)/$E$5))</f>
        <v/>
      </c>
      <c r="Q870" s="248" t="str">
        <f ca="1">IF(C870="","",F870/([1]!S_STM07_IS(D870,61,$G$5,$H$13)/IF([1]!S_SHARE_TOTAL(D870,$G$5)=0,[1]!S_SHARE_TOTAL(D870,[1]!s_ipo_listeddate(D870)),[1]!S_SHARE_TOTAL(D870,$G$5))))</f>
        <v/>
      </c>
      <c r="R870" s="248" t="str">
        <f ca="1">IF(C870="","",F870/([1]!S_STM07_BS(D870,141,$G$5,$H$13)/IF([1]!S_SHARE_TOTAL(D870,$G$5)=0,[1]!S_SHARE_TOTAL(D870,[1]!s_ipo_listeddate(D870)),[1]!S_SHARE_TOTAL(D870,$G$5))))</f>
        <v/>
      </c>
      <c r="S870" s="247" t="str">
        <f ca="1">IF(C870="","",[1]!S_SHARE_TOTAL(D870,TODAY())/$E$5)</f>
        <v/>
      </c>
      <c r="T870" s="247" t="str">
        <f t="shared" ca="1" si="91"/>
        <v/>
      </c>
      <c r="U870" s="218" t="str">
        <f t="shared" ca="1" si="92"/>
        <v/>
      </c>
      <c r="V870" s="342" t="str">
        <f t="shared" ca="1" si="93"/>
        <v/>
      </c>
      <c r="W870" s="139"/>
      <c r="Y870" s="1"/>
    </row>
    <row r="871" spans="3:25" ht="12" customHeight="1">
      <c r="C871" s="343" t="str">
        <f t="shared" ca="1" si="88"/>
        <v/>
      </c>
      <c r="D871" s="124" t="str">
        <f t="shared" ca="1" si="89"/>
        <v/>
      </c>
      <c r="E871" s="124" t="str">
        <f t="shared" ca="1" si="90"/>
        <v/>
      </c>
      <c r="F871" s="172" t="str">
        <f ca="1">IF(C871="","",[1]!S_DQ_CLOSE(D871,TODAY(),1))</f>
        <v/>
      </c>
      <c r="G871" s="173" t="str">
        <f ca="1">IF(C871="","",[1]!s_pq_pctchange(D871,TODAY()-$G$12,TODAY())/100)</f>
        <v/>
      </c>
      <c r="H871" s="249" t="str">
        <f ca="1">IF(C871="","",IF($H$11="收入",[1]!S_STM07_IS(D871,9,$G$5,$H$13)/$E$5,[1]!S_STM07_IS(D871,48,$G$5,$H$13)/$E$5))</f>
        <v/>
      </c>
      <c r="I871" s="249" t="str">
        <f ca="1">IF(C871="","",IF($I$11="毛利率",([1]!S_STM07_IS(D871,9,$G$5,$H$13)-[1]!S_STM07_IS(D871,10,$G$5,$H$13))/[1]!S_STM07_IS(D871,9,$G$5,$H$13),[1]!S_STM07_IS(D871,14,$G$5,$H$13)/$E$5))</f>
        <v/>
      </c>
      <c r="J871" s="249" t="str">
        <f ca="1">IF(C871="","",IF($J$11="营业利润率",[1]!S_STM07_IS(D871,48,$G$5,$H$13)/[1]!S_STM07_IS(D871,9,$G$5,$H$13),([1]!S_STM07_CS(D871,87,$G$5,$H$13)+[1]!S_STM07_CS(D871,88,$G$5,$H$13)+[1]!S_STM07_CS(D871,89,$G$5,$H$13))/$E$5))</f>
        <v/>
      </c>
      <c r="K871" s="249" t="str">
        <f ca="1">IF(C871="","",IF($K$11="净利润率",[1]!S_STM07_IS(D871,61,$G$5,$H$13)/[1]!S_STM07_IS(D871,9,$G$5,$H$13),[1]!S_STM07_IS(D871,55,$G$5,$H$13)/$E$5))</f>
        <v/>
      </c>
      <c r="L871" s="249" t="str">
        <f ca="1">IF(C871="","",IF($L$11="ROA",[1]!S_STM07_IS(D871,61,$G$5,$H$13)/[1]!S_STM07_BS(D871,74,$G$5,$H$13),1-[1]!S_STM07_IS(D871,61,$G$5,$H$13)/[1]!S_STM07_IS(D871,55,$G$5,$H$13)))</f>
        <v/>
      </c>
      <c r="M871" s="249" t="str">
        <f ca="1">IF(C871="","",IF($M$11="ROE",[1]!S_STM07_IS(D871,61,$G$5,$H$13)/[1]!S_STM07_BS(D871,141,$G$5,$H$13),([1]!S_STM07_BS(D871,25,$G$5,$H$13)-[1]!S_STM07_BS(D871,93,$G$5,$H$13))/$E$5))</f>
        <v/>
      </c>
      <c r="N871" s="250" t="str">
        <f ca="1">IF(C871="","",IF($N$11="EPS",[1]!S_STM07_IS(D871,61,$G$5,$H$13)/IF([1]!S_SHARE_TOTAL(D871,$G$5)=0,[1]!S_SHARE_TOTAL(D871,[1]!s_ipo_listeddate(D871)),[1]!S_SHARE_TOTAL(D871,$G$5)),([1]!S_STM07_BS(D871,75,$G$5,$H$13)+[1]!S_STM07_BS(D871,88,$G$5,$H$13)+[1]!S_STM07_BS(D871,94,$G$5,$H$13)+[1]!S_STM07_BS(D871,95,$G$5,$H$13))/$E$5))</f>
        <v/>
      </c>
      <c r="O871" s="250" t="str">
        <f ca="1">IF(C871="","",IF($O$11="BPS",[1]!S_STM07_BS(D871,141,$G$5,$H$13)/IF([1]!S_SHARE_TOTAL(D871,$G$5)=0,[1]!S_SHARE_TOTAL(D871,[1]!s_ipo_listeddate(D871)),[1]!S_SHARE_TOTAL(D871,$G$5)),[1]!S_STM07_CS(D871,49,$G$5,$H$13)/$E$5))</f>
        <v/>
      </c>
      <c r="P871" s="250" t="str">
        <f ca="1">IF(C871="","",IF($P$11="CFPS",[1]!S_STM07_CS(D871,84,$G$5,$H$13)/IF([1]!S_SHARE_TOTAL(D871,$G$5)=0,[1]!S_SHARE_TOTAL(D871,[1]!s_ipo_listeddate(D871)),[1]!S_SHARE_TOTAL(D871,$G$5)),[1]!S_STM07_CS(D871,84,$G$5,$H$13)/$E$5))</f>
        <v/>
      </c>
      <c r="Q871" s="198" t="str">
        <f ca="1">IF(C871="","",F871/([1]!S_STM07_IS(D871,61,$G$5,$H$13)/IF([1]!S_SHARE_TOTAL(D871,$G$5)=0,[1]!S_SHARE_TOTAL(D871,[1]!s_ipo_listeddate(D871)),[1]!S_SHARE_TOTAL(D871,$G$5))))</f>
        <v/>
      </c>
      <c r="R871" s="198" t="str">
        <f ca="1">IF(C871="","",F871/([1]!S_STM07_BS(D871,141,$G$5,$H$13)/IF([1]!S_SHARE_TOTAL(D871,$G$5)=0,[1]!S_SHARE_TOTAL(D871,[1]!s_ipo_listeddate(D871)),[1]!S_SHARE_TOTAL(D871,$G$5))))</f>
        <v/>
      </c>
      <c r="S871" s="249" t="str">
        <f ca="1">IF(C871="","",[1]!S_SHARE_TOTAL(D871,TODAY())/$E$5)</f>
        <v/>
      </c>
      <c r="T871" s="249" t="str">
        <f t="shared" ca="1" si="91"/>
        <v/>
      </c>
      <c r="U871" s="172" t="str">
        <f t="shared" ca="1" si="92"/>
        <v/>
      </c>
      <c r="V871" s="343" t="str">
        <f t="shared" ca="1" si="93"/>
        <v/>
      </c>
      <c r="W871" s="139"/>
      <c r="Y871" s="1"/>
    </row>
    <row r="872" spans="3:25" ht="12" customHeight="1">
      <c r="C872" s="342" t="str">
        <f t="shared" ca="1" si="88"/>
        <v/>
      </c>
      <c r="D872" s="153" t="str">
        <f t="shared" ca="1" si="89"/>
        <v/>
      </c>
      <c r="E872" s="153" t="str">
        <f t="shared" ca="1" si="90"/>
        <v/>
      </c>
      <c r="F872" s="170" t="str">
        <f ca="1">IF(C872="","",[1]!S_DQ_CLOSE(D872,TODAY(),1))</f>
        <v/>
      </c>
      <c r="G872" s="171" t="str">
        <f ca="1">IF(C872="","",[1]!s_pq_pctchange(D872,TODAY()-$G$12,TODAY())/100)</f>
        <v/>
      </c>
      <c r="H872" s="247" t="str">
        <f ca="1">IF(C872="","",IF($H$11="收入",[1]!S_STM07_IS(D872,9,$G$5,$H$13)/$E$5,[1]!S_STM07_IS(D872,48,$G$5,$H$13)/$E$5))</f>
        <v/>
      </c>
      <c r="I872" s="247" t="str">
        <f ca="1">IF(C872="","",IF($I$11="毛利率",([1]!S_STM07_IS(D872,9,$G$5,$H$13)-[1]!S_STM07_IS(D872,10,$G$5,$H$13))/[1]!S_STM07_IS(D872,9,$G$5,$H$13),[1]!S_STM07_IS(D872,14,$G$5,$H$13)/$E$5))</f>
        <v/>
      </c>
      <c r="J872" s="247" t="str">
        <f ca="1">IF(C872="","",IF($J$11="营业利润率",[1]!S_STM07_IS(D872,48,$G$5,$H$13)/[1]!S_STM07_IS(D872,9,$G$5,$H$13),([1]!S_STM07_CS(D872,87,$G$5,$H$13)+[1]!S_STM07_CS(D872,88,$G$5,$H$13)+[1]!S_STM07_CS(D872,89,$G$5,$H$13))/$E$5))</f>
        <v/>
      </c>
      <c r="K872" s="247" t="str">
        <f ca="1">IF(C872="","",IF($K$11="净利润率",[1]!S_STM07_IS(D872,61,$G$5,$H$13)/[1]!S_STM07_IS(D872,9,$G$5,$H$13),[1]!S_STM07_IS(D872,55,$G$5,$H$13)/$E$5))</f>
        <v/>
      </c>
      <c r="L872" s="247" t="str">
        <f ca="1">IF(C872="","",IF($L$11="ROA",[1]!S_STM07_IS(D872,61,$G$5,$H$13)/[1]!S_STM07_BS(D872,74,$G$5,$H$13),1-[1]!S_STM07_IS(D872,61,$G$5,$H$13)/[1]!S_STM07_IS(D872,55,$G$5,$H$13)))</f>
        <v/>
      </c>
      <c r="M872" s="247" t="str">
        <f ca="1">IF(C872="","",IF($M$11="ROE",[1]!S_STM07_IS(D872,61,$G$5,$H$13)/[1]!S_STM07_BS(D872,141,$G$5,$H$13),([1]!S_STM07_BS(D872,25,$G$5,$H$13)-[1]!S_STM07_BS(D872,93,$G$5,$H$13))/$E$5))</f>
        <v/>
      </c>
      <c r="N872" s="247" t="str">
        <f ca="1">IF(C872="","",IF($N$11="EPS",[1]!S_STM07_IS(D872,61,$G$5,$H$13)/IF([1]!S_SHARE_TOTAL(D872,$G$5)=0,[1]!S_SHARE_TOTAL(D872,[1]!s_ipo_listeddate(D872)),[1]!S_SHARE_TOTAL(D872,$G$5)),([1]!S_STM07_BS(D872,75,$G$5,$H$13)+[1]!S_STM07_BS(D872,88,$G$5,$H$13)+[1]!S_STM07_BS(D872,94,$G$5,$H$13)+[1]!S_STM07_BS(D872,95,$G$5,$H$13))/$E$5))</f>
        <v/>
      </c>
      <c r="O872" s="247" t="str">
        <f ca="1">IF(C872="","",IF($O$11="BPS",[1]!S_STM07_BS(D872,141,$G$5,$H$13)/IF([1]!S_SHARE_TOTAL(D872,$G$5)=0,[1]!S_SHARE_TOTAL(D872,[1]!s_ipo_listeddate(D872)),[1]!S_SHARE_TOTAL(D872,$G$5)),[1]!S_STM07_CS(D872,49,$G$5,$H$13)/$E$5))</f>
        <v/>
      </c>
      <c r="P872" s="247" t="str">
        <f ca="1">IF(C872="","",IF($P$11="CFPS",[1]!S_STM07_CS(D872,84,$G$5,$H$13)/IF([1]!S_SHARE_TOTAL(D872,$G$5)=0,[1]!S_SHARE_TOTAL(D872,[1]!s_ipo_listeddate(D872)),[1]!S_SHARE_TOTAL(D872,$G$5)),[1]!S_STM07_CS(D872,84,$G$5,$H$13)/$E$5))</f>
        <v/>
      </c>
      <c r="Q872" s="248" t="str">
        <f ca="1">IF(C872="","",F872/([1]!S_STM07_IS(D872,61,$G$5,$H$13)/IF([1]!S_SHARE_TOTAL(D872,$G$5)=0,[1]!S_SHARE_TOTAL(D872,[1]!s_ipo_listeddate(D872)),[1]!S_SHARE_TOTAL(D872,$G$5))))</f>
        <v/>
      </c>
      <c r="R872" s="248" t="str">
        <f ca="1">IF(C872="","",F872/([1]!S_STM07_BS(D872,141,$G$5,$H$13)/IF([1]!S_SHARE_TOTAL(D872,$G$5)=0,[1]!S_SHARE_TOTAL(D872,[1]!s_ipo_listeddate(D872)),[1]!S_SHARE_TOTAL(D872,$G$5))))</f>
        <v/>
      </c>
      <c r="S872" s="247" t="str">
        <f ca="1">IF(C872="","",[1]!S_SHARE_TOTAL(D872,TODAY())/$E$5)</f>
        <v/>
      </c>
      <c r="T872" s="247" t="str">
        <f t="shared" ca="1" si="91"/>
        <v/>
      </c>
      <c r="U872" s="218" t="str">
        <f t="shared" ca="1" si="92"/>
        <v/>
      </c>
      <c r="V872" s="342" t="str">
        <f t="shared" ca="1" si="93"/>
        <v/>
      </c>
      <c r="W872" s="139"/>
      <c r="Y872" s="1"/>
    </row>
    <row r="873" spans="3:25" ht="12" customHeight="1">
      <c r="C873" s="343" t="str">
        <f t="shared" ca="1" si="88"/>
        <v/>
      </c>
      <c r="D873" s="124" t="str">
        <f t="shared" ca="1" si="89"/>
        <v/>
      </c>
      <c r="E873" s="124" t="str">
        <f t="shared" ca="1" si="90"/>
        <v/>
      </c>
      <c r="F873" s="172" t="str">
        <f ca="1">IF(C873="","",[1]!S_DQ_CLOSE(D873,TODAY(),1))</f>
        <v/>
      </c>
      <c r="G873" s="173" t="str">
        <f ca="1">IF(C873="","",[1]!s_pq_pctchange(D873,TODAY()-$G$12,TODAY())/100)</f>
        <v/>
      </c>
      <c r="H873" s="249" t="str">
        <f ca="1">IF(C873="","",IF($H$11="收入",[1]!S_STM07_IS(D873,9,$G$5,$H$13)/$E$5,[1]!S_STM07_IS(D873,48,$G$5,$H$13)/$E$5))</f>
        <v/>
      </c>
      <c r="I873" s="249" t="str">
        <f ca="1">IF(C873="","",IF($I$11="毛利率",([1]!S_STM07_IS(D873,9,$G$5,$H$13)-[1]!S_STM07_IS(D873,10,$G$5,$H$13))/[1]!S_STM07_IS(D873,9,$G$5,$H$13),[1]!S_STM07_IS(D873,14,$G$5,$H$13)/$E$5))</f>
        <v/>
      </c>
      <c r="J873" s="249" t="str">
        <f ca="1">IF(C873="","",IF($J$11="营业利润率",[1]!S_STM07_IS(D873,48,$G$5,$H$13)/[1]!S_STM07_IS(D873,9,$G$5,$H$13),([1]!S_STM07_CS(D873,87,$G$5,$H$13)+[1]!S_STM07_CS(D873,88,$G$5,$H$13)+[1]!S_STM07_CS(D873,89,$G$5,$H$13))/$E$5))</f>
        <v/>
      </c>
      <c r="K873" s="249" t="str">
        <f ca="1">IF(C873="","",IF($K$11="净利润率",[1]!S_STM07_IS(D873,61,$G$5,$H$13)/[1]!S_STM07_IS(D873,9,$G$5,$H$13),[1]!S_STM07_IS(D873,55,$G$5,$H$13)/$E$5))</f>
        <v/>
      </c>
      <c r="L873" s="249" t="str">
        <f ca="1">IF(C873="","",IF($L$11="ROA",[1]!S_STM07_IS(D873,61,$G$5,$H$13)/[1]!S_STM07_BS(D873,74,$G$5,$H$13),1-[1]!S_STM07_IS(D873,61,$G$5,$H$13)/[1]!S_STM07_IS(D873,55,$G$5,$H$13)))</f>
        <v/>
      </c>
      <c r="M873" s="249" t="str">
        <f ca="1">IF(C873="","",IF($M$11="ROE",[1]!S_STM07_IS(D873,61,$G$5,$H$13)/[1]!S_STM07_BS(D873,141,$G$5,$H$13),([1]!S_STM07_BS(D873,25,$G$5,$H$13)-[1]!S_STM07_BS(D873,93,$G$5,$H$13))/$E$5))</f>
        <v/>
      </c>
      <c r="N873" s="250" t="str">
        <f ca="1">IF(C873="","",IF($N$11="EPS",[1]!S_STM07_IS(D873,61,$G$5,$H$13)/IF([1]!S_SHARE_TOTAL(D873,$G$5)=0,[1]!S_SHARE_TOTAL(D873,[1]!s_ipo_listeddate(D873)),[1]!S_SHARE_TOTAL(D873,$G$5)),([1]!S_STM07_BS(D873,75,$G$5,$H$13)+[1]!S_STM07_BS(D873,88,$G$5,$H$13)+[1]!S_STM07_BS(D873,94,$G$5,$H$13)+[1]!S_STM07_BS(D873,95,$G$5,$H$13))/$E$5))</f>
        <v/>
      </c>
      <c r="O873" s="250" t="str">
        <f ca="1">IF(C873="","",IF($O$11="BPS",[1]!S_STM07_BS(D873,141,$G$5,$H$13)/IF([1]!S_SHARE_TOTAL(D873,$G$5)=0,[1]!S_SHARE_TOTAL(D873,[1]!s_ipo_listeddate(D873)),[1]!S_SHARE_TOTAL(D873,$G$5)),[1]!S_STM07_CS(D873,49,$G$5,$H$13)/$E$5))</f>
        <v/>
      </c>
      <c r="P873" s="250" t="str">
        <f ca="1">IF(C873="","",IF($P$11="CFPS",[1]!S_STM07_CS(D873,84,$G$5,$H$13)/IF([1]!S_SHARE_TOTAL(D873,$G$5)=0,[1]!S_SHARE_TOTAL(D873,[1]!s_ipo_listeddate(D873)),[1]!S_SHARE_TOTAL(D873,$G$5)),[1]!S_STM07_CS(D873,84,$G$5,$H$13)/$E$5))</f>
        <v/>
      </c>
      <c r="Q873" s="198" t="str">
        <f ca="1">IF(C873="","",F873/([1]!S_STM07_IS(D873,61,$G$5,$H$13)/IF([1]!S_SHARE_TOTAL(D873,$G$5)=0,[1]!S_SHARE_TOTAL(D873,[1]!s_ipo_listeddate(D873)),[1]!S_SHARE_TOTAL(D873,$G$5))))</f>
        <v/>
      </c>
      <c r="R873" s="198" t="str">
        <f ca="1">IF(C873="","",F873/([1]!S_STM07_BS(D873,141,$G$5,$H$13)/IF([1]!S_SHARE_TOTAL(D873,$G$5)=0,[1]!S_SHARE_TOTAL(D873,[1]!s_ipo_listeddate(D873)),[1]!S_SHARE_TOTAL(D873,$G$5))))</f>
        <v/>
      </c>
      <c r="S873" s="249" t="str">
        <f ca="1">IF(C873="","",[1]!S_SHARE_TOTAL(D873,TODAY())/$E$5)</f>
        <v/>
      </c>
      <c r="T873" s="249" t="str">
        <f t="shared" ca="1" si="91"/>
        <v/>
      </c>
      <c r="U873" s="172" t="str">
        <f t="shared" ca="1" si="92"/>
        <v/>
      </c>
      <c r="V873" s="343" t="str">
        <f t="shared" ca="1" si="93"/>
        <v/>
      </c>
      <c r="W873" s="139"/>
      <c r="Y873" s="1"/>
    </row>
    <row r="874" spans="3:25" ht="12" customHeight="1">
      <c r="C874" s="342" t="str">
        <f t="shared" ca="1" si="88"/>
        <v/>
      </c>
      <c r="D874" s="153" t="str">
        <f t="shared" ca="1" si="89"/>
        <v/>
      </c>
      <c r="E874" s="153" t="str">
        <f t="shared" ca="1" si="90"/>
        <v/>
      </c>
      <c r="F874" s="170" t="str">
        <f ca="1">IF(C874="","",[1]!S_DQ_CLOSE(D874,TODAY(),1))</f>
        <v/>
      </c>
      <c r="G874" s="171" t="str">
        <f ca="1">IF(C874="","",[1]!s_pq_pctchange(D874,TODAY()-$G$12,TODAY())/100)</f>
        <v/>
      </c>
      <c r="H874" s="247" t="str">
        <f ca="1">IF(C874="","",IF($H$11="收入",[1]!S_STM07_IS(D874,9,$G$5,$H$13)/$E$5,[1]!S_STM07_IS(D874,48,$G$5,$H$13)/$E$5))</f>
        <v/>
      </c>
      <c r="I874" s="247" t="str">
        <f ca="1">IF(C874="","",IF($I$11="毛利率",([1]!S_STM07_IS(D874,9,$G$5,$H$13)-[1]!S_STM07_IS(D874,10,$G$5,$H$13))/[1]!S_STM07_IS(D874,9,$G$5,$H$13),[1]!S_STM07_IS(D874,14,$G$5,$H$13)/$E$5))</f>
        <v/>
      </c>
      <c r="J874" s="247" t="str">
        <f ca="1">IF(C874="","",IF($J$11="营业利润率",[1]!S_STM07_IS(D874,48,$G$5,$H$13)/[1]!S_STM07_IS(D874,9,$G$5,$H$13),([1]!S_STM07_CS(D874,87,$G$5,$H$13)+[1]!S_STM07_CS(D874,88,$G$5,$H$13)+[1]!S_STM07_CS(D874,89,$G$5,$H$13))/$E$5))</f>
        <v/>
      </c>
      <c r="K874" s="247" t="str">
        <f ca="1">IF(C874="","",IF($K$11="净利润率",[1]!S_STM07_IS(D874,61,$G$5,$H$13)/[1]!S_STM07_IS(D874,9,$G$5,$H$13),[1]!S_STM07_IS(D874,55,$G$5,$H$13)/$E$5))</f>
        <v/>
      </c>
      <c r="L874" s="247" t="str">
        <f ca="1">IF(C874="","",IF($L$11="ROA",[1]!S_STM07_IS(D874,61,$G$5,$H$13)/[1]!S_STM07_BS(D874,74,$G$5,$H$13),1-[1]!S_STM07_IS(D874,61,$G$5,$H$13)/[1]!S_STM07_IS(D874,55,$G$5,$H$13)))</f>
        <v/>
      </c>
      <c r="M874" s="247" t="str">
        <f ca="1">IF(C874="","",IF($M$11="ROE",[1]!S_STM07_IS(D874,61,$G$5,$H$13)/[1]!S_STM07_BS(D874,141,$G$5,$H$13),([1]!S_STM07_BS(D874,25,$G$5,$H$13)-[1]!S_STM07_BS(D874,93,$G$5,$H$13))/$E$5))</f>
        <v/>
      </c>
      <c r="N874" s="247" t="str">
        <f ca="1">IF(C874="","",IF($N$11="EPS",[1]!S_STM07_IS(D874,61,$G$5,$H$13)/IF([1]!S_SHARE_TOTAL(D874,$G$5)=0,[1]!S_SHARE_TOTAL(D874,[1]!s_ipo_listeddate(D874)),[1]!S_SHARE_TOTAL(D874,$G$5)),([1]!S_STM07_BS(D874,75,$G$5,$H$13)+[1]!S_STM07_BS(D874,88,$G$5,$H$13)+[1]!S_STM07_BS(D874,94,$G$5,$H$13)+[1]!S_STM07_BS(D874,95,$G$5,$H$13))/$E$5))</f>
        <v/>
      </c>
      <c r="O874" s="247" t="str">
        <f ca="1">IF(C874="","",IF($O$11="BPS",[1]!S_STM07_BS(D874,141,$G$5,$H$13)/IF([1]!S_SHARE_TOTAL(D874,$G$5)=0,[1]!S_SHARE_TOTAL(D874,[1]!s_ipo_listeddate(D874)),[1]!S_SHARE_TOTAL(D874,$G$5)),[1]!S_STM07_CS(D874,49,$G$5,$H$13)/$E$5))</f>
        <v/>
      </c>
      <c r="P874" s="247" t="str">
        <f ca="1">IF(C874="","",IF($P$11="CFPS",[1]!S_STM07_CS(D874,84,$G$5,$H$13)/IF([1]!S_SHARE_TOTAL(D874,$G$5)=0,[1]!S_SHARE_TOTAL(D874,[1]!s_ipo_listeddate(D874)),[1]!S_SHARE_TOTAL(D874,$G$5)),[1]!S_STM07_CS(D874,84,$G$5,$H$13)/$E$5))</f>
        <v/>
      </c>
      <c r="Q874" s="248" t="str">
        <f ca="1">IF(C874="","",F874/([1]!S_STM07_IS(D874,61,$G$5,$H$13)/IF([1]!S_SHARE_TOTAL(D874,$G$5)=0,[1]!S_SHARE_TOTAL(D874,[1]!s_ipo_listeddate(D874)),[1]!S_SHARE_TOTAL(D874,$G$5))))</f>
        <v/>
      </c>
      <c r="R874" s="248" t="str">
        <f ca="1">IF(C874="","",F874/([1]!S_STM07_BS(D874,141,$G$5,$H$13)/IF([1]!S_SHARE_TOTAL(D874,$G$5)=0,[1]!S_SHARE_TOTAL(D874,[1]!s_ipo_listeddate(D874)),[1]!S_SHARE_TOTAL(D874,$G$5))))</f>
        <v/>
      </c>
      <c r="S874" s="247" t="str">
        <f ca="1">IF(C874="","",[1]!S_SHARE_TOTAL(D874,TODAY())/$E$5)</f>
        <v/>
      </c>
      <c r="T874" s="247" t="str">
        <f t="shared" ca="1" si="91"/>
        <v/>
      </c>
      <c r="U874" s="218" t="str">
        <f t="shared" ca="1" si="92"/>
        <v/>
      </c>
      <c r="V874" s="342" t="str">
        <f t="shared" ca="1" si="93"/>
        <v/>
      </c>
      <c r="W874" s="139"/>
      <c r="Y874" s="1"/>
    </row>
    <row r="875" spans="3:25" ht="12" customHeight="1">
      <c r="C875" s="343" t="str">
        <f t="shared" ca="1" si="88"/>
        <v/>
      </c>
      <c r="D875" s="124" t="str">
        <f t="shared" ca="1" si="89"/>
        <v/>
      </c>
      <c r="E875" s="124" t="str">
        <f t="shared" ca="1" si="90"/>
        <v/>
      </c>
      <c r="F875" s="172" t="str">
        <f ca="1">IF(C875="","",[1]!S_DQ_CLOSE(D875,TODAY(),1))</f>
        <v/>
      </c>
      <c r="G875" s="173" t="str">
        <f ca="1">IF(C875="","",[1]!s_pq_pctchange(D875,TODAY()-$G$12,TODAY())/100)</f>
        <v/>
      </c>
      <c r="H875" s="249" t="str">
        <f ca="1">IF(C875="","",IF($H$11="收入",[1]!S_STM07_IS(D875,9,$G$5,$H$13)/$E$5,[1]!S_STM07_IS(D875,48,$G$5,$H$13)/$E$5))</f>
        <v/>
      </c>
      <c r="I875" s="249" t="str">
        <f ca="1">IF(C875="","",IF($I$11="毛利率",([1]!S_STM07_IS(D875,9,$G$5,$H$13)-[1]!S_STM07_IS(D875,10,$G$5,$H$13))/[1]!S_STM07_IS(D875,9,$G$5,$H$13),[1]!S_STM07_IS(D875,14,$G$5,$H$13)/$E$5))</f>
        <v/>
      </c>
      <c r="J875" s="249" t="str">
        <f ca="1">IF(C875="","",IF($J$11="营业利润率",[1]!S_STM07_IS(D875,48,$G$5,$H$13)/[1]!S_STM07_IS(D875,9,$G$5,$H$13),([1]!S_STM07_CS(D875,87,$G$5,$H$13)+[1]!S_STM07_CS(D875,88,$G$5,$H$13)+[1]!S_STM07_CS(D875,89,$G$5,$H$13))/$E$5))</f>
        <v/>
      </c>
      <c r="K875" s="249" t="str">
        <f ca="1">IF(C875="","",IF($K$11="净利润率",[1]!S_STM07_IS(D875,61,$G$5,$H$13)/[1]!S_STM07_IS(D875,9,$G$5,$H$13),[1]!S_STM07_IS(D875,55,$G$5,$H$13)/$E$5))</f>
        <v/>
      </c>
      <c r="L875" s="249" t="str">
        <f ca="1">IF(C875="","",IF($L$11="ROA",[1]!S_STM07_IS(D875,61,$G$5,$H$13)/[1]!S_STM07_BS(D875,74,$G$5,$H$13),1-[1]!S_STM07_IS(D875,61,$G$5,$H$13)/[1]!S_STM07_IS(D875,55,$G$5,$H$13)))</f>
        <v/>
      </c>
      <c r="M875" s="249" t="str">
        <f ca="1">IF(C875="","",IF($M$11="ROE",[1]!S_STM07_IS(D875,61,$G$5,$H$13)/[1]!S_STM07_BS(D875,141,$G$5,$H$13),([1]!S_STM07_BS(D875,25,$G$5,$H$13)-[1]!S_STM07_BS(D875,93,$G$5,$H$13))/$E$5))</f>
        <v/>
      </c>
      <c r="N875" s="250" t="str">
        <f ca="1">IF(C875="","",IF($N$11="EPS",[1]!S_STM07_IS(D875,61,$G$5,$H$13)/IF([1]!S_SHARE_TOTAL(D875,$G$5)=0,[1]!S_SHARE_TOTAL(D875,[1]!s_ipo_listeddate(D875)),[1]!S_SHARE_TOTAL(D875,$G$5)),([1]!S_STM07_BS(D875,75,$G$5,$H$13)+[1]!S_STM07_BS(D875,88,$G$5,$H$13)+[1]!S_STM07_BS(D875,94,$G$5,$H$13)+[1]!S_STM07_BS(D875,95,$G$5,$H$13))/$E$5))</f>
        <v/>
      </c>
      <c r="O875" s="250" t="str">
        <f ca="1">IF(C875="","",IF($O$11="BPS",[1]!S_STM07_BS(D875,141,$G$5,$H$13)/IF([1]!S_SHARE_TOTAL(D875,$G$5)=0,[1]!S_SHARE_TOTAL(D875,[1]!s_ipo_listeddate(D875)),[1]!S_SHARE_TOTAL(D875,$G$5)),[1]!S_STM07_CS(D875,49,$G$5,$H$13)/$E$5))</f>
        <v/>
      </c>
      <c r="P875" s="250" t="str">
        <f ca="1">IF(C875="","",IF($P$11="CFPS",[1]!S_STM07_CS(D875,84,$G$5,$H$13)/IF([1]!S_SHARE_TOTAL(D875,$G$5)=0,[1]!S_SHARE_TOTAL(D875,[1]!s_ipo_listeddate(D875)),[1]!S_SHARE_TOTAL(D875,$G$5)),[1]!S_STM07_CS(D875,84,$G$5,$H$13)/$E$5))</f>
        <v/>
      </c>
      <c r="Q875" s="198" t="str">
        <f ca="1">IF(C875="","",F875/([1]!S_STM07_IS(D875,61,$G$5,$H$13)/IF([1]!S_SHARE_TOTAL(D875,$G$5)=0,[1]!S_SHARE_TOTAL(D875,[1]!s_ipo_listeddate(D875)),[1]!S_SHARE_TOTAL(D875,$G$5))))</f>
        <v/>
      </c>
      <c r="R875" s="198" t="str">
        <f ca="1">IF(C875="","",F875/([1]!S_STM07_BS(D875,141,$G$5,$H$13)/IF([1]!S_SHARE_TOTAL(D875,$G$5)=0,[1]!S_SHARE_TOTAL(D875,[1]!s_ipo_listeddate(D875)),[1]!S_SHARE_TOTAL(D875,$G$5))))</f>
        <v/>
      </c>
      <c r="S875" s="249" t="str">
        <f ca="1">IF(C875="","",[1]!S_SHARE_TOTAL(D875,TODAY())/$E$5)</f>
        <v/>
      </c>
      <c r="T875" s="249" t="str">
        <f t="shared" ca="1" si="91"/>
        <v/>
      </c>
      <c r="U875" s="172" t="str">
        <f t="shared" ca="1" si="92"/>
        <v/>
      </c>
      <c r="V875" s="343" t="str">
        <f t="shared" ca="1" si="93"/>
        <v/>
      </c>
      <c r="W875" s="139"/>
      <c r="Y875" s="1"/>
    </row>
    <row r="876" spans="3:25" ht="12" customHeight="1">
      <c r="C876" s="342" t="str">
        <f t="shared" ca="1" si="88"/>
        <v/>
      </c>
      <c r="D876" s="153" t="str">
        <f t="shared" ca="1" si="89"/>
        <v/>
      </c>
      <c r="E876" s="153" t="str">
        <f t="shared" ca="1" si="90"/>
        <v/>
      </c>
      <c r="F876" s="170" t="str">
        <f ca="1">IF(C876="","",[1]!S_DQ_CLOSE(D876,TODAY(),1))</f>
        <v/>
      </c>
      <c r="G876" s="171" t="str">
        <f ca="1">IF(C876="","",[1]!s_pq_pctchange(D876,TODAY()-$G$12,TODAY())/100)</f>
        <v/>
      </c>
      <c r="H876" s="247" t="str">
        <f ca="1">IF(C876="","",IF($H$11="收入",[1]!S_STM07_IS(D876,9,$G$5,$H$13)/$E$5,[1]!S_STM07_IS(D876,48,$G$5,$H$13)/$E$5))</f>
        <v/>
      </c>
      <c r="I876" s="247" t="str">
        <f ca="1">IF(C876="","",IF($I$11="毛利率",([1]!S_STM07_IS(D876,9,$G$5,$H$13)-[1]!S_STM07_IS(D876,10,$G$5,$H$13))/[1]!S_STM07_IS(D876,9,$G$5,$H$13),[1]!S_STM07_IS(D876,14,$G$5,$H$13)/$E$5))</f>
        <v/>
      </c>
      <c r="J876" s="247" t="str">
        <f ca="1">IF(C876="","",IF($J$11="营业利润率",[1]!S_STM07_IS(D876,48,$G$5,$H$13)/[1]!S_STM07_IS(D876,9,$G$5,$H$13),([1]!S_STM07_CS(D876,87,$G$5,$H$13)+[1]!S_STM07_CS(D876,88,$G$5,$H$13)+[1]!S_STM07_CS(D876,89,$G$5,$H$13))/$E$5))</f>
        <v/>
      </c>
      <c r="K876" s="247" t="str">
        <f ca="1">IF(C876="","",IF($K$11="净利润率",[1]!S_STM07_IS(D876,61,$G$5,$H$13)/[1]!S_STM07_IS(D876,9,$G$5,$H$13),[1]!S_STM07_IS(D876,55,$G$5,$H$13)/$E$5))</f>
        <v/>
      </c>
      <c r="L876" s="247" t="str">
        <f ca="1">IF(C876="","",IF($L$11="ROA",[1]!S_STM07_IS(D876,61,$G$5,$H$13)/[1]!S_STM07_BS(D876,74,$G$5,$H$13),1-[1]!S_STM07_IS(D876,61,$G$5,$H$13)/[1]!S_STM07_IS(D876,55,$G$5,$H$13)))</f>
        <v/>
      </c>
      <c r="M876" s="247" t="str">
        <f ca="1">IF(C876="","",IF($M$11="ROE",[1]!S_STM07_IS(D876,61,$G$5,$H$13)/[1]!S_STM07_BS(D876,141,$G$5,$H$13),([1]!S_STM07_BS(D876,25,$G$5,$H$13)-[1]!S_STM07_BS(D876,93,$G$5,$H$13))/$E$5))</f>
        <v/>
      </c>
      <c r="N876" s="247" t="str">
        <f ca="1">IF(C876="","",IF($N$11="EPS",[1]!S_STM07_IS(D876,61,$G$5,$H$13)/IF([1]!S_SHARE_TOTAL(D876,$G$5)=0,[1]!S_SHARE_TOTAL(D876,[1]!s_ipo_listeddate(D876)),[1]!S_SHARE_TOTAL(D876,$G$5)),([1]!S_STM07_BS(D876,75,$G$5,$H$13)+[1]!S_STM07_BS(D876,88,$G$5,$H$13)+[1]!S_STM07_BS(D876,94,$G$5,$H$13)+[1]!S_STM07_BS(D876,95,$G$5,$H$13))/$E$5))</f>
        <v/>
      </c>
      <c r="O876" s="247" t="str">
        <f ca="1">IF(C876="","",IF($O$11="BPS",[1]!S_STM07_BS(D876,141,$G$5,$H$13)/IF([1]!S_SHARE_TOTAL(D876,$G$5)=0,[1]!S_SHARE_TOTAL(D876,[1]!s_ipo_listeddate(D876)),[1]!S_SHARE_TOTAL(D876,$G$5)),[1]!S_STM07_CS(D876,49,$G$5,$H$13)/$E$5))</f>
        <v/>
      </c>
      <c r="P876" s="247" t="str">
        <f ca="1">IF(C876="","",IF($P$11="CFPS",[1]!S_STM07_CS(D876,84,$G$5,$H$13)/IF([1]!S_SHARE_TOTAL(D876,$G$5)=0,[1]!S_SHARE_TOTAL(D876,[1]!s_ipo_listeddate(D876)),[1]!S_SHARE_TOTAL(D876,$G$5)),[1]!S_STM07_CS(D876,84,$G$5,$H$13)/$E$5))</f>
        <v/>
      </c>
      <c r="Q876" s="248" t="str">
        <f ca="1">IF(C876="","",F876/([1]!S_STM07_IS(D876,61,$G$5,$H$13)/IF([1]!S_SHARE_TOTAL(D876,$G$5)=0,[1]!S_SHARE_TOTAL(D876,[1]!s_ipo_listeddate(D876)),[1]!S_SHARE_TOTAL(D876,$G$5))))</f>
        <v/>
      </c>
      <c r="R876" s="248" t="str">
        <f ca="1">IF(C876="","",F876/([1]!S_STM07_BS(D876,141,$G$5,$H$13)/IF([1]!S_SHARE_TOTAL(D876,$G$5)=0,[1]!S_SHARE_TOTAL(D876,[1]!s_ipo_listeddate(D876)),[1]!S_SHARE_TOTAL(D876,$G$5))))</f>
        <v/>
      </c>
      <c r="S876" s="247" t="str">
        <f ca="1">IF(C876="","",[1]!S_SHARE_TOTAL(D876,TODAY())/$E$5)</f>
        <v/>
      </c>
      <c r="T876" s="247" t="str">
        <f t="shared" ca="1" si="91"/>
        <v/>
      </c>
      <c r="U876" s="218" t="str">
        <f t="shared" ca="1" si="92"/>
        <v/>
      </c>
      <c r="V876" s="342" t="str">
        <f t="shared" ca="1" si="93"/>
        <v/>
      </c>
      <c r="W876" s="139"/>
      <c r="Y876" s="1"/>
    </row>
    <row r="877" spans="3:25" ht="12" customHeight="1">
      <c r="C877" s="343" t="str">
        <f t="shared" ca="1" si="88"/>
        <v/>
      </c>
      <c r="D877" s="124" t="str">
        <f t="shared" ca="1" si="89"/>
        <v/>
      </c>
      <c r="E877" s="124" t="str">
        <f t="shared" ca="1" si="90"/>
        <v/>
      </c>
      <c r="F877" s="172" t="str">
        <f ca="1">IF(C877="","",[1]!S_DQ_CLOSE(D877,TODAY(),1))</f>
        <v/>
      </c>
      <c r="G877" s="173" t="str">
        <f ca="1">IF(C877="","",[1]!s_pq_pctchange(D877,TODAY()-$G$12,TODAY())/100)</f>
        <v/>
      </c>
      <c r="H877" s="249" t="str">
        <f ca="1">IF(C877="","",IF($H$11="收入",[1]!S_STM07_IS(D877,9,$G$5,$H$13)/$E$5,[1]!S_STM07_IS(D877,48,$G$5,$H$13)/$E$5))</f>
        <v/>
      </c>
      <c r="I877" s="249" t="str">
        <f ca="1">IF(C877="","",IF($I$11="毛利率",([1]!S_STM07_IS(D877,9,$G$5,$H$13)-[1]!S_STM07_IS(D877,10,$G$5,$H$13))/[1]!S_STM07_IS(D877,9,$G$5,$H$13),[1]!S_STM07_IS(D877,14,$G$5,$H$13)/$E$5))</f>
        <v/>
      </c>
      <c r="J877" s="249" t="str">
        <f ca="1">IF(C877="","",IF($J$11="营业利润率",[1]!S_STM07_IS(D877,48,$G$5,$H$13)/[1]!S_STM07_IS(D877,9,$G$5,$H$13),([1]!S_STM07_CS(D877,87,$G$5,$H$13)+[1]!S_STM07_CS(D877,88,$G$5,$H$13)+[1]!S_STM07_CS(D877,89,$G$5,$H$13))/$E$5))</f>
        <v/>
      </c>
      <c r="K877" s="249" t="str">
        <f ca="1">IF(C877="","",IF($K$11="净利润率",[1]!S_STM07_IS(D877,61,$G$5,$H$13)/[1]!S_STM07_IS(D877,9,$G$5,$H$13),[1]!S_STM07_IS(D877,55,$G$5,$H$13)/$E$5))</f>
        <v/>
      </c>
      <c r="L877" s="249" t="str">
        <f ca="1">IF(C877="","",IF($L$11="ROA",[1]!S_STM07_IS(D877,61,$G$5,$H$13)/[1]!S_STM07_BS(D877,74,$G$5,$H$13),1-[1]!S_STM07_IS(D877,61,$G$5,$H$13)/[1]!S_STM07_IS(D877,55,$G$5,$H$13)))</f>
        <v/>
      </c>
      <c r="M877" s="249" t="str">
        <f ca="1">IF(C877="","",IF($M$11="ROE",[1]!S_STM07_IS(D877,61,$G$5,$H$13)/[1]!S_STM07_BS(D877,141,$G$5,$H$13),([1]!S_STM07_BS(D877,25,$G$5,$H$13)-[1]!S_STM07_BS(D877,93,$G$5,$H$13))/$E$5))</f>
        <v/>
      </c>
      <c r="N877" s="250" t="str">
        <f ca="1">IF(C877="","",IF($N$11="EPS",[1]!S_STM07_IS(D877,61,$G$5,$H$13)/IF([1]!S_SHARE_TOTAL(D877,$G$5)=0,[1]!S_SHARE_TOTAL(D877,[1]!s_ipo_listeddate(D877)),[1]!S_SHARE_TOTAL(D877,$G$5)),([1]!S_STM07_BS(D877,75,$G$5,$H$13)+[1]!S_STM07_BS(D877,88,$G$5,$H$13)+[1]!S_STM07_BS(D877,94,$G$5,$H$13)+[1]!S_STM07_BS(D877,95,$G$5,$H$13))/$E$5))</f>
        <v/>
      </c>
      <c r="O877" s="250" t="str">
        <f ca="1">IF(C877="","",IF($O$11="BPS",[1]!S_STM07_BS(D877,141,$G$5,$H$13)/IF([1]!S_SHARE_TOTAL(D877,$G$5)=0,[1]!S_SHARE_TOTAL(D877,[1]!s_ipo_listeddate(D877)),[1]!S_SHARE_TOTAL(D877,$G$5)),[1]!S_STM07_CS(D877,49,$G$5,$H$13)/$E$5))</f>
        <v/>
      </c>
      <c r="P877" s="250" t="str">
        <f ca="1">IF(C877="","",IF($P$11="CFPS",[1]!S_STM07_CS(D877,84,$G$5,$H$13)/IF([1]!S_SHARE_TOTAL(D877,$G$5)=0,[1]!S_SHARE_TOTAL(D877,[1]!s_ipo_listeddate(D877)),[1]!S_SHARE_TOTAL(D877,$G$5)),[1]!S_STM07_CS(D877,84,$G$5,$H$13)/$E$5))</f>
        <v/>
      </c>
      <c r="Q877" s="198" t="str">
        <f ca="1">IF(C877="","",F877/([1]!S_STM07_IS(D877,61,$G$5,$H$13)/IF([1]!S_SHARE_TOTAL(D877,$G$5)=0,[1]!S_SHARE_TOTAL(D877,[1]!s_ipo_listeddate(D877)),[1]!S_SHARE_TOTAL(D877,$G$5))))</f>
        <v/>
      </c>
      <c r="R877" s="198" t="str">
        <f ca="1">IF(C877="","",F877/([1]!S_STM07_BS(D877,141,$G$5,$H$13)/IF([1]!S_SHARE_TOTAL(D877,$G$5)=0,[1]!S_SHARE_TOTAL(D877,[1]!s_ipo_listeddate(D877)),[1]!S_SHARE_TOTAL(D877,$G$5))))</f>
        <v/>
      </c>
      <c r="S877" s="249" t="str">
        <f ca="1">IF(C877="","",[1]!S_SHARE_TOTAL(D877,TODAY())/$E$5)</f>
        <v/>
      </c>
      <c r="T877" s="249" t="str">
        <f t="shared" ca="1" si="91"/>
        <v/>
      </c>
      <c r="U877" s="172" t="str">
        <f t="shared" ca="1" si="92"/>
        <v/>
      </c>
      <c r="V877" s="343" t="str">
        <f t="shared" ca="1" si="93"/>
        <v/>
      </c>
      <c r="W877" s="139"/>
      <c r="Y877" s="1"/>
    </row>
    <row r="878" spans="3:25" ht="12" customHeight="1">
      <c r="C878" s="342" t="str">
        <f t="shared" ca="1" si="88"/>
        <v/>
      </c>
      <c r="D878" s="153" t="str">
        <f t="shared" ca="1" si="89"/>
        <v/>
      </c>
      <c r="E878" s="153" t="str">
        <f t="shared" ca="1" si="90"/>
        <v/>
      </c>
      <c r="F878" s="170" t="str">
        <f ca="1">IF(C878="","",[1]!S_DQ_CLOSE(D878,TODAY(),1))</f>
        <v/>
      </c>
      <c r="G878" s="171" t="str">
        <f ca="1">IF(C878="","",[1]!s_pq_pctchange(D878,TODAY()-$G$12,TODAY())/100)</f>
        <v/>
      </c>
      <c r="H878" s="247" t="str">
        <f ca="1">IF(C878="","",IF($H$11="收入",[1]!S_STM07_IS(D878,9,$G$5,$H$13)/$E$5,[1]!S_STM07_IS(D878,48,$G$5,$H$13)/$E$5))</f>
        <v/>
      </c>
      <c r="I878" s="247" t="str">
        <f ca="1">IF(C878="","",IF($I$11="毛利率",([1]!S_STM07_IS(D878,9,$G$5,$H$13)-[1]!S_STM07_IS(D878,10,$G$5,$H$13))/[1]!S_STM07_IS(D878,9,$G$5,$H$13),[1]!S_STM07_IS(D878,14,$G$5,$H$13)/$E$5))</f>
        <v/>
      </c>
      <c r="J878" s="247" t="str">
        <f ca="1">IF(C878="","",IF($J$11="营业利润率",[1]!S_STM07_IS(D878,48,$G$5,$H$13)/[1]!S_STM07_IS(D878,9,$G$5,$H$13),([1]!S_STM07_CS(D878,87,$G$5,$H$13)+[1]!S_STM07_CS(D878,88,$G$5,$H$13)+[1]!S_STM07_CS(D878,89,$G$5,$H$13))/$E$5))</f>
        <v/>
      </c>
      <c r="K878" s="247" t="str">
        <f ca="1">IF(C878="","",IF($K$11="净利润率",[1]!S_STM07_IS(D878,61,$G$5,$H$13)/[1]!S_STM07_IS(D878,9,$G$5,$H$13),[1]!S_STM07_IS(D878,55,$G$5,$H$13)/$E$5))</f>
        <v/>
      </c>
      <c r="L878" s="247" t="str">
        <f ca="1">IF(C878="","",IF($L$11="ROA",[1]!S_STM07_IS(D878,61,$G$5,$H$13)/[1]!S_STM07_BS(D878,74,$G$5,$H$13),1-[1]!S_STM07_IS(D878,61,$G$5,$H$13)/[1]!S_STM07_IS(D878,55,$G$5,$H$13)))</f>
        <v/>
      </c>
      <c r="M878" s="247" t="str">
        <f ca="1">IF(C878="","",IF($M$11="ROE",[1]!S_STM07_IS(D878,61,$G$5,$H$13)/[1]!S_STM07_BS(D878,141,$G$5,$H$13),([1]!S_STM07_BS(D878,25,$G$5,$H$13)-[1]!S_STM07_BS(D878,93,$G$5,$H$13))/$E$5))</f>
        <v/>
      </c>
      <c r="N878" s="247" t="str">
        <f ca="1">IF(C878="","",IF($N$11="EPS",[1]!S_STM07_IS(D878,61,$G$5,$H$13)/IF([1]!S_SHARE_TOTAL(D878,$G$5)=0,[1]!S_SHARE_TOTAL(D878,[1]!s_ipo_listeddate(D878)),[1]!S_SHARE_TOTAL(D878,$G$5)),([1]!S_STM07_BS(D878,75,$G$5,$H$13)+[1]!S_STM07_BS(D878,88,$G$5,$H$13)+[1]!S_STM07_BS(D878,94,$G$5,$H$13)+[1]!S_STM07_BS(D878,95,$G$5,$H$13))/$E$5))</f>
        <v/>
      </c>
      <c r="O878" s="247" t="str">
        <f ca="1">IF(C878="","",IF($O$11="BPS",[1]!S_STM07_BS(D878,141,$G$5,$H$13)/IF([1]!S_SHARE_TOTAL(D878,$G$5)=0,[1]!S_SHARE_TOTAL(D878,[1]!s_ipo_listeddate(D878)),[1]!S_SHARE_TOTAL(D878,$G$5)),[1]!S_STM07_CS(D878,49,$G$5,$H$13)/$E$5))</f>
        <v/>
      </c>
      <c r="P878" s="247" t="str">
        <f ca="1">IF(C878="","",IF($P$11="CFPS",[1]!S_STM07_CS(D878,84,$G$5,$H$13)/IF([1]!S_SHARE_TOTAL(D878,$G$5)=0,[1]!S_SHARE_TOTAL(D878,[1]!s_ipo_listeddate(D878)),[1]!S_SHARE_TOTAL(D878,$G$5)),[1]!S_STM07_CS(D878,84,$G$5,$H$13)/$E$5))</f>
        <v/>
      </c>
      <c r="Q878" s="248" t="str">
        <f ca="1">IF(C878="","",F878/([1]!S_STM07_IS(D878,61,$G$5,$H$13)/IF([1]!S_SHARE_TOTAL(D878,$G$5)=0,[1]!S_SHARE_TOTAL(D878,[1]!s_ipo_listeddate(D878)),[1]!S_SHARE_TOTAL(D878,$G$5))))</f>
        <v/>
      </c>
      <c r="R878" s="248" t="str">
        <f ca="1">IF(C878="","",F878/([1]!S_STM07_BS(D878,141,$G$5,$H$13)/IF([1]!S_SHARE_TOTAL(D878,$G$5)=0,[1]!S_SHARE_TOTAL(D878,[1]!s_ipo_listeddate(D878)),[1]!S_SHARE_TOTAL(D878,$G$5))))</f>
        <v/>
      </c>
      <c r="S878" s="247" t="str">
        <f ca="1">IF(C878="","",[1]!S_SHARE_TOTAL(D878,TODAY())/$E$5)</f>
        <v/>
      </c>
      <c r="T878" s="247" t="str">
        <f t="shared" ca="1" si="91"/>
        <v/>
      </c>
      <c r="U878" s="218" t="str">
        <f t="shared" ca="1" si="92"/>
        <v/>
      </c>
      <c r="V878" s="342" t="str">
        <f t="shared" ca="1" si="93"/>
        <v/>
      </c>
      <c r="W878" s="139"/>
      <c r="Y878" s="1"/>
    </row>
    <row r="879" spans="3:25" ht="12" customHeight="1">
      <c r="C879" s="343" t="str">
        <f t="shared" ca="1" si="88"/>
        <v/>
      </c>
      <c r="D879" s="124" t="str">
        <f t="shared" ca="1" si="89"/>
        <v/>
      </c>
      <c r="E879" s="124" t="str">
        <f t="shared" ca="1" si="90"/>
        <v/>
      </c>
      <c r="F879" s="172" t="str">
        <f ca="1">IF(C879="","",[1]!S_DQ_CLOSE(D879,TODAY(),1))</f>
        <v/>
      </c>
      <c r="G879" s="173" t="str">
        <f ca="1">IF(C879="","",[1]!s_pq_pctchange(D879,TODAY()-$G$12,TODAY())/100)</f>
        <v/>
      </c>
      <c r="H879" s="249" t="str">
        <f ca="1">IF(C879="","",IF($H$11="收入",[1]!S_STM07_IS(D879,9,$G$5,$H$13)/$E$5,[1]!S_STM07_IS(D879,48,$G$5,$H$13)/$E$5))</f>
        <v/>
      </c>
      <c r="I879" s="249" t="str">
        <f ca="1">IF(C879="","",IF($I$11="毛利率",([1]!S_STM07_IS(D879,9,$G$5,$H$13)-[1]!S_STM07_IS(D879,10,$G$5,$H$13))/[1]!S_STM07_IS(D879,9,$G$5,$H$13),[1]!S_STM07_IS(D879,14,$G$5,$H$13)/$E$5))</f>
        <v/>
      </c>
      <c r="J879" s="249" t="str">
        <f ca="1">IF(C879="","",IF($J$11="营业利润率",[1]!S_STM07_IS(D879,48,$G$5,$H$13)/[1]!S_STM07_IS(D879,9,$G$5,$H$13),([1]!S_STM07_CS(D879,87,$G$5,$H$13)+[1]!S_STM07_CS(D879,88,$G$5,$H$13)+[1]!S_STM07_CS(D879,89,$G$5,$H$13))/$E$5))</f>
        <v/>
      </c>
      <c r="K879" s="249" t="str">
        <f ca="1">IF(C879="","",IF($K$11="净利润率",[1]!S_STM07_IS(D879,61,$G$5,$H$13)/[1]!S_STM07_IS(D879,9,$G$5,$H$13),[1]!S_STM07_IS(D879,55,$G$5,$H$13)/$E$5))</f>
        <v/>
      </c>
      <c r="L879" s="249" t="str">
        <f ca="1">IF(C879="","",IF($L$11="ROA",[1]!S_STM07_IS(D879,61,$G$5,$H$13)/[1]!S_STM07_BS(D879,74,$G$5,$H$13),1-[1]!S_STM07_IS(D879,61,$G$5,$H$13)/[1]!S_STM07_IS(D879,55,$G$5,$H$13)))</f>
        <v/>
      </c>
      <c r="M879" s="249" t="str">
        <f ca="1">IF(C879="","",IF($M$11="ROE",[1]!S_STM07_IS(D879,61,$G$5,$H$13)/[1]!S_STM07_BS(D879,141,$G$5,$H$13),([1]!S_STM07_BS(D879,25,$G$5,$H$13)-[1]!S_STM07_BS(D879,93,$G$5,$H$13))/$E$5))</f>
        <v/>
      </c>
      <c r="N879" s="250" t="str">
        <f ca="1">IF(C879="","",IF($N$11="EPS",[1]!S_STM07_IS(D879,61,$G$5,$H$13)/IF([1]!S_SHARE_TOTAL(D879,$G$5)=0,[1]!S_SHARE_TOTAL(D879,[1]!s_ipo_listeddate(D879)),[1]!S_SHARE_TOTAL(D879,$G$5)),([1]!S_STM07_BS(D879,75,$G$5,$H$13)+[1]!S_STM07_BS(D879,88,$G$5,$H$13)+[1]!S_STM07_BS(D879,94,$G$5,$H$13)+[1]!S_STM07_BS(D879,95,$G$5,$H$13))/$E$5))</f>
        <v/>
      </c>
      <c r="O879" s="250" t="str">
        <f ca="1">IF(C879="","",IF($O$11="BPS",[1]!S_STM07_BS(D879,141,$G$5,$H$13)/IF([1]!S_SHARE_TOTAL(D879,$G$5)=0,[1]!S_SHARE_TOTAL(D879,[1]!s_ipo_listeddate(D879)),[1]!S_SHARE_TOTAL(D879,$G$5)),[1]!S_STM07_CS(D879,49,$G$5,$H$13)/$E$5))</f>
        <v/>
      </c>
      <c r="P879" s="250" t="str">
        <f ca="1">IF(C879="","",IF($P$11="CFPS",[1]!S_STM07_CS(D879,84,$G$5,$H$13)/IF([1]!S_SHARE_TOTAL(D879,$G$5)=0,[1]!S_SHARE_TOTAL(D879,[1]!s_ipo_listeddate(D879)),[1]!S_SHARE_TOTAL(D879,$G$5)),[1]!S_STM07_CS(D879,84,$G$5,$H$13)/$E$5))</f>
        <v/>
      </c>
      <c r="Q879" s="198" t="str">
        <f ca="1">IF(C879="","",F879/([1]!S_STM07_IS(D879,61,$G$5,$H$13)/IF([1]!S_SHARE_TOTAL(D879,$G$5)=0,[1]!S_SHARE_TOTAL(D879,[1]!s_ipo_listeddate(D879)),[1]!S_SHARE_TOTAL(D879,$G$5))))</f>
        <v/>
      </c>
      <c r="R879" s="198" t="str">
        <f ca="1">IF(C879="","",F879/([1]!S_STM07_BS(D879,141,$G$5,$H$13)/IF([1]!S_SHARE_TOTAL(D879,$G$5)=0,[1]!S_SHARE_TOTAL(D879,[1]!s_ipo_listeddate(D879)),[1]!S_SHARE_TOTAL(D879,$G$5))))</f>
        <v/>
      </c>
      <c r="S879" s="249" t="str">
        <f ca="1">IF(C879="","",[1]!S_SHARE_TOTAL(D879,TODAY())/$E$5)</f>
        <v/>
      </c>
      <c r="T879" s="249" t="str">
        <f t="shared" ca="1" si="91"/>
        <v/>
      </c>
      <c r="U879" s="172" t="str">
        <f t="shared" ca="1" si="92"/>
        <v/>
      </c>
      <c r="V879" s="343" t="str">
        <f t="shared" ca="1" si="93"/>
        <v/>
      </c>
      <c r="W879" s="139"/>
      <c r="Y879" s="1"/>
    </row>
    <row r="880" spans="3:25" ht="12" customHeight="1">
      <c r="C880" s="342" t="str">
        <f t="shared" ca="1" si="88"/>
        <v/>
      </c>
      <c r="D880" s="153" t="str">
        <f t="shared" ca="1" si="89"/>
        <v/>
      </c>
      <c r="E880" s="153" t="str">
        <f t="shared" ca="1" si="90"/>
        <v/>
      </c>
      <c r="F880" s="170" t="str">
        <f ca="1">IF(C880="","",[1]!S_DQ_CLOSE(D880,TODAY(),1))</f>
        <v/>
      </c>
      <c r="G880" s="171" t="str">
        <f ca="1">IF(C880="","",[1]!s_pq_pctchange(D880,TODAY()-$G$12,TODAY())/100)</f>
        <v/>
      </c>
      <c r="H880" s="247" t="str">
        <f ca="1">IF(C880="","",IF($H$11="收入",[1]!S_STM07_IS(D880,9,$G$5,$H$13)/$E$5,[1]!S_STM07_IS(D880,48,$G$5,$H$13)/$E$5))</f>
        <v/>
      </c>
      <c r="I880" s="247" t="str">
        <f ca="1">IF(C880="","",IF($I$11="毛利率",([1]!S_STM07_IS(D880,9,$G$5,$H$13)-[1]!S_STM07_IS(D880,10,$G$5,$H$13))/[1]!S_STM07_IS(D880,9,$G$5,$H$13),[1]!S_STM07_IS(D880,14,$G$5,$H$13)/$E$5))</f>
        <v/>
      </c>
      <c r="J880" s="247" t="str">
        <f ca="1">IF(C880="","",IF($J$11="营业利润率",[1]!S_STM07_IS(D880,48,$G$5,$H$13)/[1]!S_STM07_IS(D880,9,$G$5,$H$13),([1]!S_STM07_CS(D880,87,$G$5,$H$13)+[1]!S_STM07_CS(D880,88,$G$5,$H$13)+[1]!S_STM07_CS(D880,89,$G$5,$H$13))/$E$5))</f>
        <v/>
      </c>
      <c r="K880" s="247" t="str">
        <f ca="1">IF(C880="","",IF($K$11="净利润率",[1]!S_STM07_IS(D880,61,$G$5,$H$13)/[1]!S_STM07_IS(D880,9,$G$5,$H$13),[1]!S_STM07_IS(D880,55,$G$5,$H$13)/$E$5))</f>
        <v/>
      </c>
      <c r="L880" s="247" t="str">
        <f ca="1">IF(C880="","",IF($L$11="ROA",[1]!S_STM07_IS(D880,61,$G$5,$H$13)/[1]!S_STM07_BS(D880,74,$G$5,$H$13),1-[1]!S_STM07_IS(D880,61,$G$5,$H$13)/[1]!S_STM07_IS(D880,55,$G$5,$H$13)))</f>
        <v/>
      </c>
      <c r="M880" s="247" t="str">
        <f ca="1">IF(C880="","",IF($M$11="ROE",[1]!S_STM07_IS(D880,61,$G$5,$H$13)/[1]!S_STM07_BS(D880,141,$G$5,$H$13),([1]!S_STM07_BS(D880,25,$G$5,$H$13)-[1]!S_STM07_BS(D880,93,$G$5,$H$13))/$E$5))</f>
        <v/>
      </c>
      <c r="N880" s="247" t="str">
        <f ca="1">IF(C880="","",IF($N$11="EPS",[1]!S_STM07_IS(D880,61,$G$5,$H$13)/IF([1]!S_SHARE_TOTAL(D880,$G$5)=0,[1]!S_SHARE_TOTAL(D880,[1]!s_ipo_listeddate(D880)),[1]!S_SHARE_TOTAL(D880,$G$5)),([1]!S_STM07_BS(D880,75,$G$5,$H$13)+[1]!S_STM07_BS(D880,88,$G$5,$H$13)+[1]!S_STM07_BS(D880,94,$G$5,$H$13)+[1]!S_STM07_BS(D880,95,$G$5,$H$13))/$E$5))</f>
        <v/>
      </c>
      <c r="O880" s="247" t="str">
        <f ca="1">IF(C880="","",IF($O$11="BPS",[1]!S_STM07_BS(D880,141,$G$5,$H$13)/IF([1]!S_SHARE_TOTAL(D880,$G$5)=0,[1]!S_SHARE_TOTAL(D880,[1]!s_ipo_listeddate(D880)),[1]!S_SHARE_TOTAL(D880,$G$5)),[1]!S_STM07_CS(D880,49,$G$5,$H$13)/$E$5))</f>
        <v/>
      </c>
      <c r="P880" s="247" t="str">
        <f ca="1">IF(C880="","",IF($P$11="CFPS",[1]!S_STM07_CS(D880,84,$G$5,$H$13)/IF([1]!S_SHARE_TOTAL(D880,$G$5)=0,[1]!S_SHARE_TOTAL(D880,[1]!s_ipo_listeddate(D880)),[1]!S_SHARE_TOTAL(D880,$G$5)),[1]!S_STM07_CS(D880,84,$G$5,$H$13)/$E$5))</f>
        <v/>
      </c>
      <c r="Q880" s="248" t="str">
        <f ca="1">IF(C880="","",F880/([1]!S_STM07_IS(D880,61,$G$5,$H$13)/IF([1]!S_SHARE_TOTAL(D880,$G$5)=0,[1]!S_SHARE_TOTAL(D880,[1]!s_ipo_listeddate(D880)),[1]!S_SHARE_TOTAL(D880,$G$5))))</f>
        <v/>
      </c>
      <c r="R880" s="248" t="str">
        <f ca="1">IF(C880="","",F880/([1]!S_STM07_BS(D880,141,$G$5,$H$13)/IF([1]!S_SHARE_TOTAL(D880,$G$5)=0,[1]!S_SHARE_TOTAL(D880,[1]!s_ipo_listeddate(D880)),[1]!S_SHARE_TOTAL(D880,$G$5))))</f>
        <v/>
      </c>
      <c r="S880" s="247" t="str">
        <f ca="1">IF(C880="","",[1]!S_SHARE_TOTAL(D880,TODAY())/$E$5)</f>
        <v/>
      </c>
      <c r="T880" s="247" t="str">
        <f t="shared" ca="1" si="91"/>
        <v/>
      </c>
      <c r="U880" s="218" t="str">
        <f t="shared" ca="1" si="92"/>
        <v/>
      </c>
      <c r="V880" s="342" t="str">
        <f t="shared" ca="1" si="93"/>
        <v/>
      </c>
      <c r="W880" s="139"/>
      <c r="Y880" s="1"/>
    </row>
    <row r="881" spans="3:25" ht="12" customHeight="1">
      <c r="C881" s="343" t="str">
        <f t="shared" ca="1" si="88"/>
        <v/>
      </c>
      <c r="D881" s="124" t="str">
        <f t="shared" ca="1" si="89"/>
        <v/>
      </c>
      <c r="E881" s="124" t="str">
        <f t="shared" ca="1" si="90"/>
        <v/>
      </c>
      <c r="F881" s="172" t="str">
        <f ca="1">IF(C881="","",[1]!S_DQ_CLOSE(D881,TODAY(),1))</f>
        <v/>
      </c>
      <c r="G881" s="173" t="str">
        <f ca="1">IF(C881="","",[1]!s_pq_pctchange(D881,TODAY()-$G$12,TODAY())/100)</f>
        <v/>
      </c>
      <c r="H881" s="249" t="str">
        <f ca="1">IF(C881="","",IF($H$11="收入",[1]!S_STM07_IS(D881,9,$G$5,$H$13)/$E$5,[1]!S_STM07_IS(D881,48,$G$5,$H$13)/$E$5))</f>
        <v/>
      </c>
      <c r="I881" s="249" t="str">
        <f ca="1">IF(C881="","",IF($I$11="毛利率",([1]!S_STM07_IS(D881,9,$G$5,$H$13)-[1]!S_STM07_IS(D881,10,$G$5,$H$13))/[1]!S_STM07_IS(D881,9,$G$5,$H$13),[1]!S_STM07_IS(D881,14,$G$5,$H$13)/$E$5))</f>
        <v/>
      </c>
      <c r="J881" s="249" t="str">
        <f ca="1">IF(C881="","",IF($J$11="营业利润率",[1]!S_STM07_IS(D881,48,$G$5,$H$13)/[1]!S_STM07_IS(D881,9,$G$5,$H$13),([1]!S_STM07_CS(D881,87,$G$5,$H$13)+[1]!S_STM07_CS(D881,88,$G$5,$H$13)+[1]!S_STM07_CS(D881,89,$G$5,$H$13))/$E$5))</f>
        <v/>
      </c>
      <c r="K881" s="249" t="str">
        <f ca="1">IF(C881="","",IF($K$11="净利润率",[1]!S_STM07_IS(D881,61,$G$5,$H$13)/[1]!S_STM07_IS(D881,9,$G$5,$H$13),[1]!S_STM07_IS(D881,55,$G$5,$H$13)/$E$5))</f>
        <v/>
      </c>
      <c r="L881" s="249" t="str">
        <f ca="1">IF(C881="","",IF($L$11="ROA",[1]!S_STM07_IS(D881,61,$G$5,$H$13)/[1]!S_STM07_BS(D881,74,$G$5,$H$13),1-[1]!S_STM07_IS(D881,61,$G$5,$H$13)/[1]!S_STM07_IS(D881,55,$G$5,$H$13)))</f>
        <v/>
      </c>
      <c r="M881" s="249" t="str">
        <f ca="1">IF(C881="","",IF($M$11="ROE",[1]!S_STM07_IS(D881,61,$G$5,$H$13)/[1]!S_STM07_BS(D881,141,$G$5,$H$13),([1]!S_STM07_BS(D881,25,$G$5,$H$13)-[1]!S_STM07_BS(D881,93,$G$5,$H$13))/$E$5))</f>
        <v/>
      </c>
      <c r="N881" s="250" t="str">
        <f ca="1">IF(C881="","",IF($N$11="EPS",[1]!S_STM07_IS(D881,61,$G$5,$H$13)/IF([1]!S_SHARE_TOTAL(D881,$G$5)=0,[1]!S_SHARE_TOTAL(D881,[1]!s_ipo_listeddate(D881)),[1]!S_SHARE_TOTAL(D881,$G$5)),([1]!S_STM07_BS(D881,75,$G$5,$H$13)+[1]!S_STM07_BS(D881,88,$G$5,$H$13)+[1]!S_STM07_BS(D881,94,$G$5,$H$13)+[1]!S_STM07_BS(D881,95,$G$5,$H$13))/$E$5))</f>
        <v/>
      </c>
      <c r="O881" s="250" t="str">
        <f ca="1">IF(C881="","",IF($O$11="BPS",[1]!S_STM07_BS(D881,141,$G$5,$H$13)/IF([1]!S_SHARE_TOTAL(D881,$G$5)=0,[1]!S_SHARE_TOTAL(D881,[1]!s_ipo_listeddate(D881)),[1]!S_SHARE_TOTAL(D881,$G$5)),[1]!S_STM07_CS(D881,49,$G$5,$H$13)/$E$5))</f>
        <v/>
      </c>
      <c r="P881" s="250" t="str">
        <f ca="1">IF(C881="","",IF($P$11="CFPS",[1]!S_STM07_CS(D881,84,$G$5,$H$13)/IF([1]!S_SHARE_TOTAL(D881,$G$5)=0,[1]!S_SHARE_TOTAL(D881,[1]!s_ipo_listeddate(D881)),[1]!S_SHARE_TOTAL(D881,$G$5)),[1]!S_STM07_CS(D881,84,$G$5,$H$13)/$E$5))</f>
        <v/>
      </c>
      <c r="Q881" s="198" t="str">
        <f ca="1">IF(C881="","",F881/([1]!S_STM07_IS(D881,61,$G$5,$H$13)/IF([1]!S_SHARE_TOTAL(D881,$G$5)=0,[1]!S_SHARE_TOTAL(D881,[1]!s_ipo_listeddate(D881)),[1]!S_SHARE_TOTAL(D881,$G$5))))</f>
        <v/>
      </c>
      <c r="R881" s="198" t="str">
        <f ca="1">IF(C881="","",F881/([1]!S_STM07_BS(D881,141,$G$5,$H$13)/IF([1]!S_SHARE_TOTAL(D881,$G$5)=0,[1]!S_SHARE_TOTAL(D881,[1]!s_ipo_listeddate(D881)),[1]!S_SHARE_TOTAL(D881,$G$5))))</f>
        <v/>
      </c>
      <c r="S881" s="249" t="str">
        <f ca="1">IF(C881="","",[1]!S_SHARE_TOTAL(D881,TODAY())/$E$5)</f>
        <v/>
      </c>
      <c r="T881" s="249" t="str">
        <f t="shared" ca="1" si="91"/>
        <v/>
      </c>
      <c r="U881" s="172" t="str">
        <f t="shared" ca="1" si="92"/>
        <v/>
      </c>
      <c r="V881" s="343" t="str">
        <f t="shared" ca="1" si="93"/>
        <v/>
      </c>
      <c r="W881" s="139"/>
      <c r="Y881" s="1"/>
    </row>
    <row r="882" spans="3:25" ht="12" customHeight="1">
      <c r="C882" s="342" t="str">
        <f t="shared" ca="1" si="88"/>
        <v/>
      </c>
      <c r="D882" s="153" t="str">
        <f t="shared" ca="1" si="89"/>
        <v/>
      </c>
      <c r="E882" s="153" t="str">
        <f t="shared" ca="1" si="90"/>
        <v/>
      </c>
      <c r="F882" s="170" t="str">
        <f ca="1">IF(C882="","",[1]!S_DQ_CLOSE(D882,TODAY(),1))</f>
        <v/>
      </c>
      <c r="G882" s="171" t="str">
        <f ca="1">IF(C882="","",[1]!s_pq_pctchange(D882,TODAY()-$G$12,TODAY())/100)</f>
        <v/>
      </c>
      <c r="H882" s="247" t="str">
        <f ca="1">IF(C882="","",IF($H$11="收入",[1]!S_STM07_IS(D882,9,$G$5,$H$13)/$E$5,[1]!S_STM07_IS(D882,48,$G$5,$H$13)/$E$5))</f>
        <v/>
      </c>
      <c r="I882" s="247" t="str">
        <f ca="1">IF(C882="","",IF($I$11="毛利率",([1]!S_STM07_IS(D882,9,$G$5,$H$13)-[1]!S_STM07_IS(D882,10,$G$5,$H$13))/[1]!S_STM07_IS(D882,9,$G$5,$H$13),[1]!S_STM07_IS(D882,14,$G$5,$H$13)/$E$5))</f>
        <v/>
      </c>
      <c r="J882" s="247" t="str">
        <f ca="1">IF(C882="","",IF($J$11="营业利润率",[1]!S_STM07_IS(D882,48,$G$5,$H$13)/[1]!S_STM07_IS(D882,9,$G$5,$H$13),([1]!S_STM07_CS(D882,87,$G$5,$H$13)+[1]!S_STM07_CS(D882,88,$G$5,$H$13)+[1]!S_STM07_CS(D882,89,$G$5,$H$13))/$E$5))</f>
        <v/>
      </c>
      <c r="K882" s="247" t="str">
        <f ca="1">IF(C882="","",IF($K$11="净利润率",[1]!S_STM07_IS(D882,61,$G$5,$H$13)/[1]!S_STM07_IS(D882,9,$G$5,$H$13),[1]!S_STM07_IS(D882,55,$G$5,$H$13)/$E$5))</f>
        <v/>
      </c>
      <c r="L882" s="247" t="str">
        <f ca="1">IF(C882="","",IF($L$11="ROA",[1]!S_STM07_IS(D882,61,$G$5,$H$13)/[1]!S_STM07_BS(D882,74,$G$5,$H$13),1-[1]!S_STM07_IS(D882,61,$G$5,$H$13)/[1]!S_STM07_IS(D882,55,$G$5,$H$13)))</f>
        <v/>
      </c>
      <c r="M882" s="247" t="str">
        <f ca="1">IF(C882="","",IF($M$11="ROE",[1]!S_STM07_IS(D882,61,$G$5,$H$13)/[1]!S_STM07_BS(D882,141,$G$5,$H$13),([1]!S_STM07_BS(D882,25,$G$5,$H$13)-[1]!S_STM07_BS(D882,93,$G$5,$H$13))/$E$5))</f>
        <v/>
      </c>
      <c r="N882" s="247" t="str">
        <f ca="1">IF(C882="","",IF($N$11="EPS",[1]!S_STM07_IS(D882,61,$G$5,$H$13)/IF([1]!S_SHARE_TOTAL(D882,$G$5)=0,[1]!S_SHARE_TOTAL(D882,[1]!s_ipo_listeddate(D882)),[1]!S_SHARE_TOTAL(D882,$G$5)),([1]!S_STM07_BS(D882,75,$G$5,$H$13)+[1]!S_STM07_BS(D882,88,$G$5,$H$13)+[1]!S_STM07_BS(D882,94,$G$5,$H$13)+[1]!S_STM07_BS(D882,95,$G$5,$H$13))/$E$5))</f>
        <v/>
      </c>
      <c r="O882" s="247" t="str">
        <f ca="1">IF(C882="","",IF($O$11="BPS",[1]!S_STM07_BS(D882,141,$G$5,$H$13)/IF([1]!S_SHARE_TOTAL(D882,$G$5)=0,[1]!S_SHARE_TOTAL(D882,[1]!s_ipo_listeddate(D882)),[1]!S_SHARE_TOTAL(D882,$G$5)),[1]!S_STM07_CS(D882,49,$G$5,$H$13)/$E$5))</f>
        <v/>
      </c>
      <c r="P882" s="247" t="str">
        <f ca="1">IF(C882="","",IF($P$11="CFPS",[1]!S_STM07_CS(D882,84,$G$5,$H$13)/IF([1]!S_SHARE_TOTAL(D882,$G$5)=0,[1]!S_SHARE_TOTAL(D882,[1]!s_ipo_listeddate(D882)),[1]!S_SHARE_TOTAL(D882,$G$5)),[1]!S_STM07_CS(D882,84,$G$5,$H$13)/$E$5))</f>
        <v/>
      </c>
      <c r="Q882" s="248" t="str">
        <f ca="1">IF(C882="","",F882/([1]!S_STM07_IS(D882,61,$G$5,$H$13)/IF([1]!S_SHARE_TOTAL(D882,$G$5)=0,[1]!S_SHARE_TOTAL(D882,[1]!s_ipo_listeddate(D882)),[1]!S_SHARE_TOTAL(D882,$G$5))))</f>
        <v/>
      </c>
      <c r="R882" s="248" t="str">
        <f ca="1">IF(C882="","",F882/([1]!S_STM07_BS(D882,141,$G$5,$H$13)/IF([1]!S_SHARE_TOTAL(D882,$G$5)=0,[1]!S_SHARE_TOTAL(D882,[1]!s_ipo_listeddate(D882)),[1]!S_SHARE_TOTAL(D882,$G$5))))</f>
        <v/>
      </c>
      <c r="S882" s="247" t="str">
        <f ca="1">IF(C882="","",[1]!S_SHARE_TOTAL(D882,TODAY())/$E$5)</f>
        <v/>
      </c>
      <c r="T882" s="247" t="str">
        <f t="shared" ca="1" si="91"/>
        <v/>
      </c>
      <c r="U882" s="218" t="str">
        <f t="shared" ca="1" si="92"/>
        <v/>
      </c>
      <c r="V882" s="342" t="str">
        <f t="shared" ca="1" si="93"/>
        <v/>
      </c>
      <c r="W882" s="139"/>
      <c r="Y882" s="1"/>
    </row>
    <row r="883" spans="3:25" ht="12" customHeight="1">
      <c r="C883" s="343" t="str">
        <f t="shared" ca="1" si="88"/>
        <v/>
      </c>
      <c r="D883" s="124" t="str">
        <f t="shared" ca="1" si="89"/>
        <v/>
      </c>
      <c r="E883" s="124" t="str">
        <f t="shared" ca="1" si="90"/>
        <v/>
      </c>
      <c r="F883" s="172" t="str">
        <f ca="1">IF(C883="","",[1]!S_DQ_CLOSE(D883,TODAY(),1))</f>
        <v/>
      </c>
      <c r="G883" s="173" t="str">
        <f ca="1">IF(C883="","",[1]!s_pq_pctchange(D883,TODAY()-$G$12,TODAY())/100)</f>
        <v/>
      </c>
      <c r="H883" s="249" t="str">
        <f ca="1">IF(C883="","",IF($H$11="收入",[1]!S_STM07_IS(D883,9,$G$5,$H$13)/$E$5,[1]!S_STM07_IS(D883,48,$G$5,$H$13)/$E$5))</f>
        <v/>
      </c>
      <c r="I883" s="249" t="str">
        <f ca="1">IF(C883="","",IF($I$11="毛利率",([1]!S_STM07_IS(D883,9,$G$5,$H$13)-[1]!S_STM07_IS(D883,10,$G$5,$H$13))/[1]!S_STM07_IS(D883,9,$G$5,$H$13),[1]!S_STM07_IS(D883,14,$G$5,$H$13)/$E$5))</f>
        <v/>
      </c>
      <c r="J883" s="249" t="str">
        <f ca="1">IF(C883="","",IF($J$11="营业利润率",[1]!S_STM07_IS(D883,48,$G$5,$H$13)/[1]!S_STM07_IS(D883,9,$G$5,$H$13),([1]!S_STM07_CS(D883,87,$G$5,$H$13)+[1]!S_STM07_CS(D883,88,$G$5,$H$13)+[1]!S_STM07_CS(D883,89,$G$5,$H$13))/$E$5))</f>
        <v/>
      </c>
      <c r="K883" s="249" t="str">
        <f ca="1">IF(C883="","",IF($K$11="净利润率",[1]!S_STM07_IS(D883,61,$G$5,$H$13)/[1]!S_STM07_IS(D883,9,$G$5,$H$13),[1]!S_STM07_IS(D883,55,$G$5,$H$13)/$E$5))</f>
        <v/>
      </c>
      <c r="L883" s="249" t="str">
        <f ca="1">IF(C883="","",IF($L$11="ROA",[1]!S_STM07_IS(D883,61,$G$5,$H$13)/[1]!S_STM07_BS(D883,74,$G$5,$H$13),1-[1]!S_STM07_IS(D883,61,$G$5,$H$13)/[1]!S_STM07_IS(D883,55,$G$5,$H$13)))</f>
        <v/>
      </c>
      <c r="M883" s="249" t="str">
        <f ca="1">IF(C883="","",IF($M$11="ROE",[1]!S_STM07_IS(D883,61,$G$5,$H$13)/[1]!S_STM07_BS(D883,141,$G$5,$H$13),([1]!S_STM07_BS(D883,25,$G$5,$H$13)-[1]!S_STM07_BS(D883,93,$G$5,$H$13))/$E$5))</f>
        <v/>
      </c>
      <c r="N883" s="250" t="str">
        <f ca="1">IF(C883="","",IF($N$11="EPS",[1]!S_STM07_IS(D883,61,$G$5,$H$13)/IF([1]!S_SHARE_TOTAL(D883,$G$5)=0,[1]!S_SHARE_TOTAL(D883,[1]!s_ipo_listeddate(D883)),[1]!S_SHARE_TOTAL(D883,$G$5)),([1]!S_STM07_BS(D883,75,$G$5,$H$13)+[1]!S_STM07_BS(D883,88,$G$5,$H$13)+[1]!S_STM07_BS(D883,94,$G$5,$H$13)+[1]!S_STM07_BS(D883,95,$G$5,$H$13))/$E$5))</f>
        <v/>
      </c>
      <c r="O883" s="250" t="str">
        <f ca="1">IF(C883="","",IF($O$11="BPS",[1]!S_STM07_BS(D883,141,$G$5,$H$13)/IF([1]!S_SHARE_TOTAL(D883,$G$5)=0,[1]!S_SHARE_TOTAL(D883,[1]!s_ipo_listeddate(D883)),[1]!S_SHARE_TOTAL(D883,$G$5)),[1]!S_STM07_CS(D883,49,$G$5,$H$13)/$E$5))</f>
        <v/>
      </c>
      <c r="P883" s="250" t="str">
        <f ca="1">IF(C883="","",IF($P$11="CFPS",[1]!S_STM07_CS(D883,84,$G$5,$H$13)/IF([1]!S_SHARE_TOTAL(D883,$G$5)=0,[1]!S_SHARE_TOTAL(D883,[1]!s_ipo_listeddate(D883)),[1]!S_SHARE_TOTAL(D883,$G$5)),[1]!S_STM07_CS(D883,84,$G$5,$H$13)/$E$5))</f>
        <v/>
      </c>
      <c r="Q883" s="198" t="str">
        <f ca="1">IF(C883="","",F883/([1]!S_STM07_IS(D883,61,$G$5,$H$13)/IF([1]!S_SHARE_TOTAL(D883,$G$5)=0,[1]!S_SHARE_TOTAL(D883,[1]!s_ipo_listeddate(D883)),[1]!S_SHARE_TOTAL(D883,$G$5))))</f>
        <v/>
      </c>
      <c r="R883" s="198" t="str">
        <f ca="1">IF(C883="","",F883/([1]!S_STM07_BS(D883,141,$G$5,$H$13)/IF([1]!S_SHARE_TOTAL(D883,$G$5)=0,[1]!S_SHARE_TOTAL(D883,[1]!s_ipo_listeddate(D883)),[1]!S_SHARE_TOTAL(D883,$G$5))))</f>
        <v/>
      </c>
      <c r="S883" s="249" t="str">
        <f ca="1">IF(C883="","",[1]!S_SHARE_TOTAL(D883,TODAY())/$E$5)</f>
        <v/>
      </c>
      <c r="T883" s="249" t="str">
        <f t="shared" ca="1" si="91"/>
        <v/>
      </c>
      <c r="U883" s="172" t="str">
        <f t="shared" ca="1" si="92"/>
        <v/>
      </c>
      <c r="V883" s="343" t="str">
        <f t="shared" ca="1" si="93"/>
        <v/>
      </c>
      <c r="W883" s="139"/>
      <c r="Y883" s="1"/>
    </row>
    <row r="884" spans="3:25" ht="12" customHeight="1">
      <c r="C884" s="342" t="str">
        <f t="shared" ca="1" si="88"/>
        <v/>
      </c>
      <c r="D884" s="153" t="str">
        <f t="shared" ca="1" si="89"/>
        <v/>
      </c>
      <c r="E884" s="153" t="str">
        <f t="shared" ca="1" si="90"/>
        <v/>
      </c>
      <c r="F884" s="170" t="str">
        <f ca="1">IF(C884="","",[1]!S_DQ_CLOSE(D884,TODAY(),1))</f>
        <v/>
      </c>
      <c r="G884" s="171" t="str">
        <f ca="1">IF(C884="","",[1]!s_pq_pctchange(D884,TODAY()-$G$12,TODAY())/100)</f>
        <v/>
      </c>
      <c r="H884" s="247" t="str">
        <f ca="1">IF(C884="","",IF($H$11="收入",[1]!S_STM07_IS(D884,9,$G$5,$H$13)/$E$5,[1]!S_STM07_IS(D884,48,$G$5,$H$13)/$E$5))</f>
        <v/>
      </c>
      <c r="I884" s="247" t="str">
        <f ca="1">IF(C884="","",IF($I$11="毛利率",([1]!S_STM07_IS(D884,9,$G$5,$H$13)-[1]!S_STM07_IS(D884,10,$G$5,$H$13))/[1]!S_STM07_IS(D884,9,$G$5,$H$13),[1]!S_STM07_IS(D884,14,$G$5,$H$13)/$E$5))</f>
        <v/>
      </c>
      <c r="J884" s="247" t="str">
        <f ca="1">IF(C884="","",IF($J$11="营业利润率",[1]!S_STM07_IS(D884,48,$G$5,$H$13)/[1]!S_STM07_IS(D884,9,$G$5,$H$13),([1]!S_STM07_CS(D884,87,$G$5,$H$13)+[1]!S_STM07_CS(D884,88,$G$5,$H$13)+[1]!S_STM07_CS(D884,89,$G$5,$H$13))/$E$5))</f>
        <v/>
      </c>
      <c r="K884" s="247" t="str">
        <f ca="1">IF(C884="","",IF($K$11="净利润率",[1]!S_STM07_IS(D884,61,$G$5,$H$13)/[1]!S_STM07_IS(D884,9,$G$5,$H$13),[1]!S_STM07_IS(D884,55,$G$5,$H$13)/$E$5))</f>
        <v/>
      </c>
      <c r="L884" s="247" t="str">
        <f ca="1">IF(C884="","",IF($L$11="ROA",[1]!S_STM07_IS(D884,61,$G$5,$H$13)/[1]!S_STM07_BS(D884,74,$G$5,$H$13),1-[1]!S_STM07_IS(D884,61,$G$5,$H$13)/[1]!S_STM07_IS(D884,55,$G$5,$H$13)))</f>
        <v/>
      </c>
      <c r="M884" s="247" t="str">
        <f ca="1">IF(C884="","",IF($M$11="ROE",[1]!S_STM07_IS(D884,61,$G$5,$H$13)/[1]!S_STM07_BS(D884,141,$G$5,$H$13),([1]!S_STM07_BS(D884,25,$G$5,$H$13)-[1]!S_STM07_BS(D884,93,$G$5,$H$13))/$E$5))</f>
        <v/>
      </c>
      <c r="N884" s="247" t="str">
        <f ca="1">IF(C884="","",IF($N$11="EPS",[1]!S_STM07_IS(D884,61,$G$5,$H$13)/IF([1]!S_SHARE_TOTAL(D884,$G$5)=0,[1]!S_SHARE_TOTAL(D884,[1]!s_ipo_listeddate(D884)),[1]!S_SHARE_TOTAL(D884,$G$5)),([1]!S_STM07_BS(D884,75,$G$5,$H$13)+[1]!S_STM07_BS(D884,88,$G$5,$H$13)+[1]!S_STM07_BS(D884,94,$G$5,$H$13)+[1]!S_STM07_BS(D884,95,$G$5,$H$13))/$E$5))</f>
        <v/>
      </c>
      <c r="O884" s="247" t="str">
        <f ca="1">IF(C884="","",IF($O$11="BPS",[1]!S_STM07_BS(D884,141,$G$5,$H$13)/IF([1]!S_SHARE_TOTAL(D884,$G$5)=0,[1]!S_SHARE_TOTAL(D884,[1]!s_ipo_listeddate(D884)),[1]!S_SHARE_TOTAL(D884,$G$5)),[1]!S_STM07_CS(D884,49,$G$5,$H$13)/$E$5))</f>
        <v/>
      </c>
      <c r="P884" s="247" t="str">
        <f ca="1">IF(C884="","",IF($P$11="CFPS",[1]!S_STM07_CS(D884,84,$G$5,$H$13)/IF([1]!S_SHARE_TOTAL(D884,$G$5)=0,[1]!S_SHARE_TOTAL(D884,[1]!s_ipo_listeddate(D884)),[1]!S_SHARE_TOTAL(D884,$G$5)),[1]!S_STM07_CS(D884,84,$G$5,$H$13)/$E$5))</f>
        <v/>
      </c>
      <c r="Q884" s="248" t="str">
        <f ca="1">IF(C884="","",F884/([1]!S_STM07_IS(D884,61,$G$5,$H$13)/IF([1]!S_SHARE_TOTAL(D884,$G$5)=0,[1]!S_SHARE_TOTAL(D884,[1]!s_ipo_listeddate(D884)),[1]!S_SHARE_TOTAL(D884,$G$5))))</f>
        <v/>
      </c>
      <c r="R884" s="248" t="str">
        <f ca="1">IF(C884="","",F884/([1]!S_STM07_BS(D884,141,$G$5,$H$13)/IF([1]!S_SHARE_TOTAL(D884,$G$5)=0,[1]!S_SHARE_TOTAL(D884,[1]!s_ipo_listeddate(D884)),[1]!S_SHARE_TOTAL(D884,$G$5))))</f>
        <v/>
      </c>
      <c r="S884" s="247" t="str">
        <f ca="1">IF(C884="","",[1]!S_SHARE_TOTAL(D884,TODAY())/$E$5)</f>
        <v/>
      </c>
      <c r="T884" s="247" t="str">
        <f t="shared" ca="1" si="91"/>
        <v/>
      </c>
      <c r="U884" s="218" t="str">
        <f t="shared" ca="1" si="92"/>
        <v/>
      </c>
      <c r="V884" s="342" t="str">
        <f t="shared" ca="1" si="93"/>
        <v/>
      </c>
      <c r="W884" s="139"/>
      <c r="Y884" s="1"/>
    </row>
    <row r="885" spans="3:25" ht="12" customHeight="1">
      <c r="C885" s="343" t="str">
        <f t="shared" ca="1" si="88"/>
        <v/>
      </c>
      <c r="D885" s="124" t="str">
        <f t="shared" ca="1" si="89"/>
        <v/>
      </c>
      <c r="E885" s="124" t="str">
        <f t="shared" ca="1" si="90"/>
        <v/>
      </c>
      <c r="F885" s="172" t="str">
        <f ca="1">IF(C885="","",[1]!S_DQ_CLOSE(D885,TODAY(),1))</f>
        <v/>
      </c>
      <c r="G885" s="173" t="str">
        <f ca="1">IF(C885="","",[1]!s_pq_pctchange(D885,TODAY()-$G$12,TODAY())/100)</f>
        <v/>
      </c>
      <c r="H885" s="249" t="str">
        <f ca="1">IF(C885="","",IF($H$11="收入",[1]!S_STM07_IS(D885,9,$G$5,$H$13)/$E$5,[1]!S_STM07_IS(D885,48,$G$5,$H$13)/$E$5))</f>
        <v/>
      </c>
      <c r="I885" s="249" t="str">
        <f ca="1">IF(C885="","",IF($I$11="毛利率",([1]!S_STM07_IS(D885,9,$G$5,$H$13)-[1]!S_STM07_IS(D885,10,$G$5,$H$13))/[1]!S_STM07_IS(D885,9,$G$5,$H$13),[1]!S_STM07_IS(D885,14,$G$5,$H$13)/$E$5))</f>
        <v/>
      </c>
      <c r="J885" s="249" t="str">
        <f ca="1">IF(C885="","",IF($J$11="营业利润率",[1]!S_STM07_IS(D885,48,$G$5,$H$13)/[1]!S_STM07_IS(D885,9,$G$5,$H$13),([1]!S_STM07_CS(D885,87,$G$5,$H$13)+[1]!S_STM07_CS(D885,88,$G$5,$H$13)+[1]!S_STM07_CS(D885,89,$G$5,$H$13))/$E$5))</f>
        <v/>
      </c>
      <c r="K885" s="249" t="str">
        <f ca="1">IF(C885="","",IF($K$11="净利润率",[1]!S_STM07_IS(D885,61,$G$5,$H$13)/[1]!S_STM07_IS(D885,9,$G$5,$H$13),[1]!S_STM07_IS(D885,55,$G$5,$H$13)/$E$5))</f>
        <v/>
      </c>
      <c r="L885" s="249" t="str">
        <f ca="1">IF(C885="","",IF($L$11="ROA",[1]!S_STM07_IS(D885,61,$G$5,$H$13)/[1]!S_STM07_BS(D885,74,$G$5,$H$13),1-[1]!S_STM07_IS(D885,61,$G$5,$H$13)/[1]!S_STM07_IS(D885,55,$G$5,$H$13)))</f>
        <v/>
      </c>
      <c r="M885" s="249" t="str">
        <f ca="1">IF(C885="","",IF($M$11="ROE",[1]!S_STM07_IS(D885,61,$G$5,$H$13)/[1]!S_STM07_BS(D885,141,$G$5,$H$13),([1]!S_STM07_BS(D885,25,$G$5,$H$13)-[1]!S_STM07_BS(D885,93,$G$5,$H$13))/$E$5))</f>
        <v/>
      </c>
      <c r="N885" s="250" t="str">
        <f ca="1">IF(C885="","",IF($N$11="EPS",[1]!S_STM07_IS(D885,61,$G$5,$H$13)/IF([1]!S_SHARE_TOTAL(D885,$G$5)=0,[1]!S_SHARE_TOTAL(D885,[1]!s_ipo_listeddate(D885)),[1]!S_SHARE_TOTAL(D885,$G$5)),([1]!S_STM07_BS(D885,75,$G$5,$H$13)+[1]!S_STM07_BS(D885,88,$G$5,$H$13)+[1]!S_STM07_BS(D885,94,$G$5,$H$13)+[1]!S_STM07_BS(D885,95,$G$5,$H$13))/$E$5))</f>
        <v/>
      </c>
      <c r="O885" s="250" t="str">
        <f ca="1">IF(C885="","",IF($O$11="BPS",[1]!S_STM07_BS(D885,141,$G$5,$H$13)/IF([1]!S_SHARE_TOTAL(D885,$G$5)=0,[1]!S_SHARE_TOTAL(D885,[1]!s_ipo_listeddate(D885)),[1]!S_SHARE_TOTAL(D885,$G$5)),[1]!S_STM07_CS(D885,49,$G$5,$H$13)/$E$5))</f>
        <v/>
      </c>
      <c r="P885" s="250" t="str">
        <f ca="1">IF(C885="","",IF($P$11="CFPS",[1]!S_STM07_CS(D885,84,$G$5,$H$13)/IF([1]!S_SHARE_TOTAL(D885,$G$5)=0,[1]!S_SHARE_TOTAL(D885,[1]!s_ipo_listeddate(D885)),[1]!S_SHARE_TOTAL(D885,$G$5)),[1]!S_STM07_CS(D885,84,$G$5,$H$13)/$E$5))</f>
        <v/>
      </c>
      <c r="Q885" s="198" t="str">
        <f ca="1">IF(C885="","",F885/([1]!S_STM07_IS(D885,61,$G$5,$H$13)/IF([1]!S_SHARE_TOTAL(D885,$G$5)=0,[1]!S_SHARE_TOTAL(D885,[1]!s_ipo_listeddate(D885)),[1]!S_SHARE_TOTAL(D885,$G$5))))</f>
        <v/>
      </c>
      <c r="R885" s="198" t="str">
        <f ca="1">IF(C885="","",F885/([1]!S_STM07_BS(D885,141,$G$5,$H$13)/IF([1]!S_SHARE_TOTAL(D885,$G$5)=0,[1]!S_SHARE_TOTAL(D885,[1]!s_ipo_listeddate(D885)),[1]!S_SHARE_TOTAL(D885,$G$5))))</f>
        <v/>
      </c>
      <c r="S885" s="249" t="str">
        <f ca="1">IF(C885="","",[1]!S_SHARE_TOTAL(D885,TODAY())/$E$5)</f>
        <v/>
      </c>
      <c r="T885" s="249" t="str">
        <f t="shared" ca="1" si="91"/>
        <v/>
      </c>
      <c r="U885" s="172" t="str">
        <f t="shared" ca="1" si="92"/>
        <v/>
      </c>
      <c r="V885" s="343" t="str">
        <f t="shared" ca="1" si="93"/>
        <v/>
      </c>
      <c r="W885" s="139"/>
      <c r="Y885" s="1"/>
    </row>
    <row r="886" spans="3:25" ht="12" customHeight="1">
      <c r="C886" s="342" t="str">
        <f t="shared" ca="1" si="88"/>
        <v/>
      </c>
      <c r="D886" s="153" t="str">
        <f t="shared" ca="1" si="89"/>
        <v/>
      </c>
      <c r="E886" s="153" t="str">
        <f t="shared" ca="1" si="90"/>
        <v/>
      </c>
      <c r="F886" s="170" t="str">
        <f ca="1">IF(C886="","",[1]!S_DQ_CLOSE(D886,TODAY(),1))</f>
        <v/>
      </c>
      <c r="G886" s="171" t="str">
        <f ca="1">IF(C886="","",[1]!s_pq_pctchange(D886,TODAY()-$G$12,TODAY())/100)</f>
        <v/>
      </c>
      <c r="H886" s="247" t="str">
        <f ca="1">IF(C886="","",IF($H$11="收入",[1]!S_STM07_IS(D886,9,$G$5,$H$13)/$E$5,[1]!S_STM07_IS(D886,48,$G$5,$H$13)/$E$5))</f>
        <v/>
      </c>
      <c r="I886" s="247" t="str">
        <f ca="1">IF(C886="","",IF($I$11="毛利率",([1]!S_STM07_IS(D886,9,$G$5,$H$13)-[1]!S_STM07_IS(D886,10,$G$5,$H$13))/[1]!S_STM07_IS(D886,9,$G$5,$H$13),[1]!S_STM07_IS(D886,14,$G$5,$H$13)/$E$5))</f>
        <v/>
      </c>
      <c r="J886" s="247" t="str">
        <f ca="1">IF(C886="","",IF($J$11="营业利润率",[1]!S_STM07_IS(D886,48,$G$5,$H$13)/[1]!S_STM07_IS(D886,9,$G$5,$H$13),([1]!S_STM07_CS(D886,87,$G$5,$H$13)+[1]!S_STM07_CS(D886,88,$G$5,$H$13)+[1]!S_STM07_CS(D886,89,$G$5,$H$13))/$E$5))</f>
        <v/>
      </c>
      <c r="K886" s="247" t="str">
        <f ca="1">IF(C886="","",IF($K$11="净利润率",[1]!S_STM07_IS(D886,61,$G$5,$H$13)/[1]!S_STM07_IS(D886,9,$G$5,$H$13),[1]!S_STM07_IS(D886,55,$G$5,$H$13)/$E$5))</f>
        <v/>
      </c>
      <c r="L886" s="247" t="str">
        <f ca="1">IF(C886="","",IF($L$11="ROA",[1]!S_STM07_IS(D886,61,$G$5,$H$13)/[1]!S_STM07_BS(D886,74,$G$5,$H$13),1-[1]!S_STM07_IS(D886,61,$G$5,$H$13)/[1]!S_STM07_IS(D886,55,$G$5,$H$13)))</f>
        <v/>
      </c>
      <c r="M886" s="247" t="str">
        <f ca="1">IF(C886="","",IF($M$11="ROE",[1]!S_STM07_IS(D886,61,$G$5,$H$13)/[1]!S_STM07_BS(D886,141,$G$5,$H$13),([1]!S_STM07_BS(D886,25,$G$5,$H$13)-[1]!S_STM07_BS(D886,93,$G$5,$H$13))/$E$5))</f>
        <v/>
      </c>
      <c r="N886" s="247" t="str">
        <f ca="1">IF(C886="","",IF($N$11="EPS",[1]!S_STM07_IS(D886,61,$G$5,$H$13)/IF([1]!S_SHARE_TOTAL(D886,$G$5)=0,[1]!S_SHARE_TOTAL(D886,[1]!s_ipo_listeddate(D886)),[1]!S_SHARE_TOTAL(D886,$G$5)),([1]!S_STM07_BS(D886,75,$G$5,$H$13)+[1]!S_STM07_BS(D886,88,$G$5,$H$13)+[1]!S_STM07_BS(D886,94,$G$5,$H$13)+[1]!S_STM07_BS(D886,95,$G$5,$H$13))/$E$5))</f>
        <v/>
      </c>
      <c r="O886" s="247" t="str">
        <f ca="1">IF(C886="","",IF($O$11="BPS",[1]!S_STM07_BS(D886,141,$G$5,$H$13)/IF([1]!S_SHARE_TOTAL(D886,$G$5)=0,[1]!S_SHARE_TOTAL(D886,[1]!s_ipo_listeddate(D886)),[1]!S_SHARE_TOTAL(D886,$G$5)),[1]!S_STM07_CS(D886,49,$G$5,$H$13)/$E$5))</f>
        <v/>
      </c>
      <c r="P886" s="247" t="str">
        <f ca="1">IF(C886="","",IF($P$11="CFPS",[1]!S_STM07_CS(D886,84,$G$5,$H$13)/IF([1]!S_SHARE_TOTAL(D886,$G$5)=0,[1]!S_SHARE_TOTAL(D886,[1]!s_ipo_listeddate(D886)),[1]!S_SHARE_TOTAL(D886,$G$5)),[1]!S_STM07_CS(D886,84,$G$5,$H$13)/$E$5))</f>
        <v/>
      </c>
      <c r="Q886" s="248" t="str">
        <f ca="1">IF(C886="","",F886/([1]!S_STM07_IS(D886,61,$G$5,$H$13)/IF([1]!S_SHARE_TOTAL(D886,$G$5)=0,[1]!S_SHARE_TOTAL(D886,[1]!s_ipo_listeddate(D886)),[1]!S_SHARE_TOTAL(D886,$G$5))))</f>
        <v/>
      </c>
      <c r="R886" s="248" t="str">
        <f ca="1">IF(C886="","",F886/([1]!S_STM07_BS(D886,141,$G$5,$H$13)/IF([1]!S_SHARE_TOTAL(D886,$G$5)=0,[1]!S_SHARE_TOTAL(D886,[1]!s_ipo_listeddate(D886)),[1]!S_SHARE_TOTAL(D886,$G$5))))</f>
        <v/>
      </c>
      <c r="S886" s="247" t="str">
        <f ca="1">IF(C886="","",[1]!S_SHARE_TOTAL(D886,TODAY())/$E$5)</f>
        <v/>
      </c>
      <c r="T886" s="247" t="str">
        <f t="shared" ca="1" si="91"/>
        <v/>
      </c>
      <c r="U886" s="218" t="str">
        <f t="shared" ca="1" si="92"/>
        <v/>
      </c>
      <c r="V886" s="342" t="str">
        <f t="shared" ca="1" si="93"/>
        <v/>
      </c>
      <c r="W886" s="139"/>
      <c r="Y886" s="1"/>
    </row>
    <row r="887" spans="3:25" ht="12" customHeight="1">
      <c r="C887" s="343" t="str">
        <f t="shared" ca="1" si="88"/>
        <v/>
      </c>
      <c r="D887" s="124" t="str">
        <f t="shared" ca="1" si="89"/>
        <v/>
      </c>
      <c r="E887" s="124" t="str">
        <f t="shared" ca="1" si="90"/>
        <v/>
      </c>
      <c r="F887" s="172" t="str">
        <f ca="1">IF(C887="","",[1]!S_DQ_CLOSE(D887,TODAY(),1))</f>
        <v/>
      </c>
      <c r="G887" s="173" t="str">
        <f ca="1">IF(C887="","",[1]!s_pq_pctchange(D887,TODAY()-$G$12,TODAY())/100)</f>
        <v/>
      </c>
      <c r="H887" s="249" t="str">
        <f ca="1">IF(C887="","",IF($H$11="收入",[1]!S_STM07_IS(D887,9,$G$5,$H$13)/$E$5,[1]!S_STM07_IS(D887,48,$G$5,$H$13)/$E$5))</f>
        <v/>
      </c>
      <c r="I887" s="249" t="str">
        <f ca="1">IF(C887="","",IF($I$11="毛利率",([1]!S_STM07_IS(D887,9,$G$5,$H$13)-[1]!S_STM07_IS(D887,10,$G$5,$H$13))/[1]!S_STM07_IS(D887,9,$G$5,$H$13),[1]!S_STM07_IS(D887,14,$G$5,$H$13)/$E$5))</f>
        <v/>
      </c>
      <c r="J887" s="249" t="str">
        <f ca="1">IF(C887="","",IF($J$11="营业利润率",[1]!S_STM07_IS(D887,48,$G$5,$H$13)/[1]!S_STM07_IS(D887,9,$G$5,$H$13),([1]!S_STM07_CS(D887,87,$G$5,$H$13)+[1]!S_STM07_CS(D887,88,$G$5,$H$13)+[1]!S_STM07_CS(D887,89,$G$5,$H$13))/$E$5))</f>
        <v/>
      </c>
      <c r="K887" s="249" t="str">
        <f ca="1">IF(C887="","",IF($K$11="净利润率",[1]!S_STM07_IS(D887,61,$G$5,$H$13)/[1]!S_STM07_IS(D887,9,$G$5,$H$13),[1]!S_STM07_IS(D887,55,$G$5,$H$13)/$E$5))</f>
        <v/>
      </c>
      <c r="L887" s="249" t="str">
        <f ca="1">IF(C887="","",IF($L$11="ROA",[1]!S_STM07_IS(D887,61,$G$5,$H$13)/[1]!S_STM07_BS(D887,74,$G$5,$H$13),1-[1]!S_STM07_IS(D887,61,$G$5,$H$13)/[1]!S_STM07_IS(D887,55,$G$5,$H$13)))</f>
        <v/>
      </c>
      <c r="M887" s="249" t="str">
        <f ca="1">IF(C887="","",IF($M$11="ROE",[1]!S_STM07_IS(D887,61,$G$5,$H$13)/[1]!S_STM07_BS(D887,141,$G$5,$H$13),([1]!S_STM07_BS(D887,25,$G$5,$H$13)-[1]!S_STM07_BS(D887,93,$G$5,$H$13))/$E$5))</f>
        <v/>
      </c>
      <c r="N887" s="250" t="str">
        <f ca="1">IF(C887="","",IF($N$11="EPS",[1]!S_STM07_IS(D887,61,$G$5,$H$13)/IF([1]!S_SHARE_TOTAL(D887,$G$5)=0,[1]!S_SHARE_TOTAL(D887,[1]!s_ipo_listeddate(D887)),[1]!S_SHARE_TOTAL(D887,$G$5)),([1]!S_STM07_BS(D887,75,$G$5,$H$13)+[1]!S_STM07_BS(D887,88,$G$5,$H$13)+[1]!S_STM07_BS(D887,94,$G$5,$H$13)+[1]!S_STM07_BS(D887,95,$G$5,$H$13))/$E$5))</f>
        <v/>
      </c>
      <c r="O887" s="250" t="str">
        <f ca="1">IF(C887="","",IF($O$11="BPS",[1]!S_STM07_BS(D887,141,$G$5,$H$13)/IF([1]!S_SHARE_TOTAL(D887,$G$5)=0,[1]!S_SHARE_TOTAL(D887,[1]!s_ipo_listeddate(D887)),[1]!S_SHARE_TOTAL(D887,$G$5)),[1]!S_STM07_CS(D887,49,$G$5,$H$13)/$E$5))</f>
        <v/>
      </c>
      <c r="P887" s="250" t="str">
        <f ca="1">IF(C887="","",IF($P$11="CFPS",[1]!S_STM07_CS(D887,84,$G$5,$H$13)/IF([1]!S_SHARE_TOTAL(D887,$G$5)=0,[1]!S_SHARE_TOTAL(D887,[1]!s_ipo_listeddate(D887)),[1]!S_SHARE_TOTAL(D887,$G$5)),[1]!S_STM07_CS(D887,84,$G$5,$H$13)/$E$5))</f>
        <v/>
      </c>
      <c r="Q887" s="198" t="str">
        <f ca="1">IF(C887="","",F887/([1]!S_STM07_IS(D887,61,$G$5,$H$13)/IF([1]!S_SHARE_TOTAL(D887,$G$5)=0,[1]!S_SHARE_TOTAL(D887,[1]!s_ipo_listeddate(D887)),[1]!S_SHARE_TOTAL(D887,$G$5))))</f>
        <v/>
      </c>
      <c r="R887" s="198" t="str">
        <f ca="1">IF(C887="","",F887/([1]!S_STM07_BS(D887,141,$G$5,$H$13)/IF([1]!S_SHARE_TOTAL(D887,$G$5)=0,[1]!S_SHARE_TOTAL(D887,[1]!s_ipo_listeddate(D887)),[1]!S_SHARE_TOTAL(D887,$G$5))))</f>
        <v/>
      </c>
      <c r="S887" s="249" t="str">
        <f ca="1">IF(C887="","",[1]!S_SHARE_TOTAL(D887,TODAY())/$E$5)</f>
        <v/>
      </c>
      <c r="T887" s="249" t="str">
        <f t="shared" ca="1" si="91"/>
        <v/>
      </c>
      <c r="U887" s="172" t="str">
        <f t="shared" ca="1" si="92"/>
        <v/>
      </c>
      <c r="V887" s="343" t="str">
        <f t="shared" ca="1" si="93"/>
        <v/>
      </c>
      <c r="W887" s="139"/>
      <c r="Y887" s="1"/>
    </row>
    <row r="888" spans="3:25" ht="12" customHeight="1">
      <c r="C888" s="342" t="str">
        <f t="shared" ca="1" si="88"/>
        <v/>
      </c>
      <c r="D888" s="153" t="str">
        <f t="shared" ca="1" si="89"/>
        <v/>
      </c>
      <c r="E888" s="153" t="str">
        <f t="shared" ca="1" si="90"/>
        <v/>
      </c>
      <c r="F888" s="170" t="str">
        <f ca="1">IF(C888="","",[1]!S_DQ_CLOSE(D888,TODAY(),1))</f>
        <v/>
      </c>
      <c r="G888" s="171" t="str">
        <f ca="1">IF(C888="","",[1]!s_pq_pctchange(D888,TODAY()-$G$12,TODAY())/100)</f>
        <v/>
      </c>
      <c r="H888" s="247" t="str">
        <f ca="1">IF(C888="","",IF($H$11="收入",[1]!S_STM07_IS(D888,9,$G$5,$H$13)/$E$5,[1]!S_STM07_IS(D888,48,$G$5,$H$13)/$E$5))</f>
        <v/>
      </c>
      <c r="I888" s="247" t="str">
        <f ca="1">IF(C888="","",IF($I$11="毛利率",([1]!S_STM07_IS(D888,9,$G$5,$H$13)-[1]!S_STM07_IS(D888,10,$G$5,$H$13))/[1]!S_STM07_IS(D888,9,$G$5,$H$13),[1]!S_STM07_IS(D888,14,$G$5,$H$13)/$E$5))</f>
        <v/>
      </c>
      <c r="J888" s="247" t="str">
        <f ca="1">IF(C888="","",IF($J$11="营业利润率",[1]!S_STM07_IS(D888,48,$G$5,$H$13)/[1]!S_STM07_IS(D888,9,$G$5,$H$13),([1]!S_STM07_CS(D888,87,$G$5,$H$13)+[1]!S_STM07_CS(D888,88,$G$5,$H$13)+[1]!S_STM07_CS(D888,89,$G$5,$H$13))/$E$5))</f>
        <v/>
      </c>
      <c r="K888" s="247" t="str">
        <f ca="1">IF(C888="","",IF($K$11="净利润率",[1]!S_STM07_IS(D888,61,$G$5,$H$13)/[1]!S_STM07_IS(D888,9,$G$5,$H$13),[1]!S_STM07_IS(D888,55,$G$5,$H$13)/$E$5))</f>
        <v/>
      </c>
      <c r="L888" s="247" t="str">
        <f ca="1">IF(C888="","",IF($L$11="ROA",[1]!S_STM07_IS(D888,61,$G$5,$H$13)/[1]!S_STM07_BS(D888,74,$G$5,$H$13),1-[1]!S_STM07_IS(D888,61,$G$5,$H$13)/[1]!S_STM07_IS(D888,55,$G$5,$H$13)))</f>
        <v/>
      </c>
      <c r="M888" s="247" t="str">
        <f ca="1">IF(C888="","",IF($M$11="ROE",[1]!S_STM07_IS(D888,61,$G$5,$H$13)/[1]!S_STM07_BS(D888,141,$G$5,$H$13),([1]!S_STM07_BS(D888,25,$G$5,$H$13)-[1]!S_STM07_BS(D888,93,$G$5,$H$13))/$E$5))</f>
        <v/>
      </c>
      <c r="N888" s="247" t="str">
        <f ca="1">IF(C888="","",IF($N$11="EPS",[1]!S_STM07_IS(D888,61,$G$5,$H$13)/IF([1]!S_SHARE_TOTAL(D888,$G$5)=0,[1]!S_SHARE_TOTAL(D888,[1]!s_ipo_listeddate(D888)),[1]!S_SHARE_TOTAL(D888,$G$5)),([1]!S_STM07_BS(D888,75,$G$5,$H$13)+[1]!S_STM07_BS(D888,88,$G$5,$H$13)+[1]!S_STM07_BS(D888,94,$G$5,$H$13)+[1]!S_STM07_BS(D888,95,$G$5,$H$13))/$E$5))</f>
        <v/>
      </c>
      <c r="O888" s="247" t="str">
        <f ca="1">IF(C888="","",IF($O$11="BPS",[1]!S_STM07_BS(D888,141,$G$5,$H$13)/IF([1]!S_SHARE_TOTAL(D888,$G$5)=0,[1]!S_SHARE_TOTAL(D888,[1]!s_ipo_listeddate(D888)),[1]!S_SHARE_TOTAL(D888,$G$5)),[1]!S_STM07_CS(D888,49,$G$5,$H$13)/$E$5))</f>
        <v/>
      </c>
      <c r="P888" s="247" t="str">
        <f ca="1">IF(C888="","",IF($P$11="CFPS",[1]!S_STM07_CS(D888,84,$G$5,$H$13)/IF([1]!S_SHARE_TOTAL(D888,$G$5)=0,[1]!S_SHARE_TOTAL(D888,[1]!s_ipo_listeddate(D888)),[1]!S_SHARE_TOTAL(D888,$G$5)),[1]!S_STM07_CS(D888,84,$G$5,$H$13)/$E$5))</f>
        <v/>
      </c>
      <c r="Q888" s="248" t="str">
        <f ca="1">IF(C888="","",F888/([1]!S_STM07_IS(D888,61,$G$5,$H$13)/IF([1]!S_SHARE_TOTAL(D888,$G$5)=0,[1]!S_SHARE_TOTAL(D888,[1]!s_ipo_listeddate(D888)),[1]!S_SHARE_TOTAL(D888,$G$5))))</f>
        <v/>
      </c>
      <c r="R888" s="248" t="str">
        <f ca="1">IF(C888="","",F888/([1]!S_STM07_BS(D888,141,$G$5,$H$13)/IF([1]!S_SHARE_TOTAL(D888,$G$5)=0,[1]!S_SHARE_TOTAL(D888,[1]!s_ipo_listeddate(D888)),[1]!S_SHARE_TOTAL(D888,$G$5))))</f>
        <v/>
      </c>
      <c r="S888" s="247" t="str">
        <f ca="1">IF(C888="","",[1]!S_SHARE_TOTAL(D888,TODAY())/$E$5)</f>
        <v/>
      </c>
      <c r="T888" s="247" t="str">
        <f t="shared" ca="1" si="91"/>
        <v/>
      </c>
      <c r="U888" s="218" t="str">
        <f t="shared" ca="1" si="92"/>
        <v/>
      </c>
      <c r="V888" s="342" t="str">
        <f t="shared" ca="1" si="93"/>
        <v/>
      </c>
      <c r="W888" s="139"/>
      <c r="Y888" s="1"/>
    </row>
    <row r="889" spans="3:25" ht="12" customHeight="1">
      <c r="C889" s="343" t="str">
        <f t="shared" ca="1" si="88"/>
        <v/>
      </c>
      <c r="D889" s="124" t="str">
        <f t="shared" ca="1" si="89"/>
        <v/>
      </c>
      <c r="E889" s="124" t="str">
        <f t="shared" ca="1" si="90"/>
        <v/>
      </c>
      <c r="F889" s="172" t="str">
        <f ca="1">IF(C889="","",[1]!S_DQ_CLOSE(D889,TODAY(),1))</f>
        <v/>
      </c>
      <c r="G889" s="173" t="str">
        <f ca="1">IF(C889="","",[1]!s_pq_pctchange(D889,TODAY()-$G$12,TODAY())/100)</f>
        <v/>
      </c>
      <c r="H889" s="249" t="str">
        <f ca="1">IF(C889="","",IF($H$11="收入",[1]!S_STM07_IS(D889,9,$G$5,$H$13)/$E$5,[1]!S_STM07_IS(D889,48,$G$5,$H$13)/$E$5))</f>
        <v/>
      </c>
      <c r="I889" s="249" t="str">
        <f ca="1">IF(C889="","",IF($I$11="毛利率",([1]!S_STM07_IS(D889,9,$G$5,$H$13)-[1]!S_STM07_IS(D889,10,$G$5,$H$13))/[1]!S_STM07_IS(D889,9,$G$5,$H$13),[1]!S_STM07_IS(D889,14,$G$5,$H$13)/$E$5))</f>
        <v/>
      </c>
      <c r="J889" s="249" t="str">
        <f ca="1">IF(C889="","",IF($J$11="营业利润率",[1]!S_STM07_IS(D889,48,$G$5,$H$13)/[1]!S_STM07_IS(D889,9,$G$5,$H$13),([1]!S_STM07_CS(D889,87,$G$5,$H$13)+[1]!S_STM07_CS(D889,88,$G$5,$H$13)+[1]!S_STM07_CS(D889,89,$G$5,$H$13))/$E$5))</f>
        <v/>
      </c>
      <c r="K889" s="249" t="str">
        <f ca="1">IF(C889="","",IF($K$11="净利润率",[1]!S_STM07_IS(D889,61,$G$5,$H$13)/[1]!S_STM07_IS(D889,9,$G$5,$H$13),[1]!S_STM07_IS(D889,55,$G$5,$H$13)/$E$5))</f>
        <v/>
      </c>
      <c r="L889" s="249" t="str">
        <f ca="1">IF(C889="","",IF($L$11="ROA",[1]!S_STM07_IS(D889,61,$G$5,$H$13)/[1]!S_STM07_BS(D889,74,$G$5,$H$13),1-[1]!S_STM07_IS(D889,61,$G$5,$H$13)/[1]!S_STM07_IS(D889,55,$G$5,$H$13)))</f>
        <v/>
      </c>
      <c r="M889" s="249" t="str">
        <f ca="1">IF(C889="","",IF($M$11="ROE",[1]!S_STM07_IS(D889,61,$G$5,$H$13)/[1]!S_STM07_BS(D889,141,$G$5,$H$13),([1]!S_STM07_BS(D889,25,$G$5,$H$13)-[1]!S_STM07_BS(D889,93,$G$5,$H$13))/$E$5))</f>
        <v/>
      </c>
      <c r="N889" s="250" t="str">
        <f ca="1">IF(C889="","",IF($N$11="EPS",[1]!S_STM07_IS(D889,61,$G$5,$H$13)/IF([1]!S_SHARE_TOTAL(D889,$G$5)=0,[1]!S_SHARE_TOTAL(D889,[1]!s_ipo_listeddate(D889)),[1]!S_SHARE_TOTAL(D889,$G$5)),([1]!S_STM07_BS(D889,75,$G$5,$H$13)+[1]!S_STM07_BS(D889,88,$G$5,$H$13)+[1]!S_STM07_BS(D889,94,$G$5,$H$13)+[1]!S_STM07_BS(D889,95,$G$5,$H$13))/$E$5))</f>
        <v/>
      </c>
      <c r="O889" s="250" t="str">
        <f ca="1">IF(C889="","",IF($O$11="BPS",[1]!S_STM07_BS(D889,141,$G$5,$H$13)/IF([1]!S_SHARE_TOTAL(D889,$G$5)=0,[1]!S_SHARE_TOTAL(D889,[1]!s_ipo_listeddate(D889)),[1]!S_SHARE_TOTAL(D889,$G$5)),[1]!S_STM07_CS(D889,49,$G$5,$H$13)/$E$5))</f>
        <v/>
      </c>
      <c r="P889" s="250" t="str">
        <f ca="1">IF(C889="","",IF($P$11="CFPS",[1]!S_STM07_CS(D889,84,$G$5,$H$13)/IF([1]!S_SHARE_TOTAL(D889,$G$5)=0,[1]!S_SHARE_TOTAL(D889,[1]!s_ipo_listeddate(D889)),[1]!S_SHARE_TOTAL(D889,$G$5)),[1]!S_STM07_CS(D889,84,$G$5,$H$13)/$E$5))</f>
        <v/>
      </c>
      <c r="Q889" s="198" t="str">
        <f ca="1">IF(C889="","",F889/([1]!S_STM07_IS(D889,61,$G$5,$H$13)/IF([1]!S_SHARE_TOTAL(D889,$G$5)=0,[1]!S_SHARE_TOTAL(D889,[1]!s_ipo_listeddate(D889)),[1]!S_SHARE_TOTAL(D889,$G$5))))</f>
        <v/>
      </c>
      <c r="R889" s="198" t="str">
        <f ca="1">IF(C889="","",F889/([1]!S_STM07_BS(D889,141,$G$5,$H$13)/IF([1]!S_SHARE_TOTAL(D889,$G$5)=0,[1]!S_SHARE_TOTAL(D889,[1]!s_ipo_listeddate(D889)),[1]!S_SHARE_TOTAL(D889,$G$5))))</f>
        <v/>
      </c>
      <c r="S889" s="249" t="str">
        <f ca="1">IF(C889="","",[1]!S_SHARE_TOTAL(D889,TODAY())/$E$5)</f>
        <v/>
      </c>
      <c r="T889" s="249" t="str">
        <f t="shared" ca="1" si="91"/>
        <v/>
      </c>
      <c r="U889" s="172" t="str">
        <f t="shared" ca="1" si="92"/>
        <v/>
      </c>
      <c r="V889" s="343" t="str">
        <f t="shared" ca="1" si="93"/>
        <v/>
      </c>
      <c r="W889" s="139"/>
      <c r="Y889" s="1"/>
    </row>
    <row r="890" spans="3:25" ht="12" customHeight="1">
      <c r="C890" s="342" t="str">
        <f t="shared" ca="1" si="88"/>
        <v/>
      </c>
      <c r="D890" s="153" t="str">
        <f t="shared" ca="1" si="89"/>
        <v/>
      </c>
      <c r="E890" s="153" t="str">
        <f t="shared" ca="1" si="90"/>
        <v/>
      </c>
      <c r="F890" s="170" t="str">
        <f ca="1">IF(C890="","",[1]!S_DQ_CLOSE(D890,TODAY(),1))</f>
        <v/>
      </c>
      <c r="G890" s="171" t="str">
        <f ca="1">IF(C890="","",[1]!s_pq_pctchange(D890,TODAY()-$G$12,TODAY())/100)</f>
        <v/>
      </c>
      <c r="H890" s="247" t="str">
        <f ca="1">IF(C890="","",IF($H$11="收入",[1]!S_STM07_IS(D890,9,$G$5,$H$13)/$E$5,[1]!S_STM07_IS(D890,48,$G$5,$H$13)/$E$5))</f>
        <v/>
      </c>
      <c r="I890" s="247" t="str">
        <f ca="1">IF(C890="","",IF($I$11="毛利率",([1]!S_STM07_IS(D890,9,$G$5,$H$13)-[1]!S_STM07_IS(D890,10,$G$5,$H$13))/[1]!S_STM07_IS(D890,9,$G$5,$H$13),[1]!S_STM07_IS(D890,14,$G$5,$H$13)/$E$5))</f>
        <v/>
      </c>
      <c r="J890" s="247" t="str">
        <f ca="1">IF(C890="","",IF($J$11="营业利润率",[1]!S_STM07_IS(D890,48,$G$5,$H$13)/[1]!S_STM07_IS(D890,9,$G$5,$H$13),([1]!S_STM07_CS(D890,87,$G$5,$H$13)+[1]!S_STM07_CS(D890,88,$G$5,$H$13)+[1]!S_STM07_CS(D890,89,$G$5,$H$13))/$E$5))</f>
        <v/>
      </c>
      <c r="K890" s="247" t="str">
        <f ca="1">IF(C890="","",IF($K$11="净利润率",[1]!S_STM07_IS(D890,61,$G$5,$H$13)/[1]!S_STM07_IS(D890,9,$G$5,$H$13),[1]!S_STM07_IS(D890,55,$G$5,$H$13)/$E$5))</f>
        <v/>
      </c>
      <c r="L890" s="247" t="str">
        <f ca="1">IF(C890="","",IF($L$11="ROA",[1]!S_STM07_IS(D890,61,$G$5,$H$13)/[1]!S_STM07_BS(D890,74,$G$5,$H$13),1-[1]!S_STM07_IS(D890,61,$G$5,$H$13)/[1]!S_STM07_IS(D890,55,$G$5,$H$13)))</f>
        <v/>
      </c>
      <c r="M890" s="247" t="str">
        <f ca="1">IF(C890="","",IF($M$11="ROE",[1]!S_STM07_IS(D890,61,$G$5,$H$13)/[1]!S_STM07_BS(D890,141,$G$5,$H$13),([1]!S_STM07_BS(D890,25,$G$5,$H$13)-[1]!S_STM07_BS(D890,93,$G$5,$H$13))/$E$5))</f>
        <v/>
      </c>
      <c r="N890" s="247" t="str">
        <f ca="1">IF(C890="","",IF($N$11="EPS",[1]!S_STM07_IS(D890,61,$G$5,$H$13)/IF([1]!S_SHARE_TOTAL(D890,$G$5)=0,[1]!S_SHARE_TOTAL(D890,[1]!s_ipo_listeddate(D890)),[1]!S_SHARE_TOTAL(D890,$G$5)),([1]!S_STM07_BS(D890,75,$G$5,$H$13)+[1]!S_STM07_BS(D890,88,$G$5,$H$13)+[1]!S_STM07_BS(D890,94,$G$5,$H$13)+[1]!S_STM07_BS(D890,95,$G$5,$H$13))/$E$5))</f>
        <v/>
      </c>
      <c r="O890" s="247" t="str">
        <f ca="1">IF(C890="","",IF($O$11="BPS",[1]!S_STM07_BS(D890,141,$G$5,$H$13)/IF([1]!S_SHARE_TOTAL(D890,$G$5)=0,[1]!S_SHARE_TOTAL(D890,[1]!s_ipo_listeddate(D890)),[1]!S_SHARE_TOTAL(D890,$G$5)),[1]!S_STM07_CS(D890,49,$G$5,$H$13)/$E$5))</f>
        <v/>
      </c>
      <c r="P890" s="247" t="str">
        <f ca="1">IF(C890="","",IF($P$11="CFPS",[1]!S_STM07_CS(D890,84,$G$5,$H$13)/IF([1]!S_SHARE_TOTAL(D890,$G$5)=0,[1]!S_SHARE_TOTAL(D890,[1]!s_ipo_listeddate(D890)),[1]!S_SHARE_TOTAL(D890,$G$5)),[1]!S_STM07_CS(D890,84,$G$5,$H$13)/$E$5))</f>
        <v/>
      </c>
      <c r="Q890" s="248" t="str">
        <f ca="1">IF(C890="","",F890/([1]!S_STM07_IS(D890,61,$G$5,$H$13)/IF([1]!S_SHARE_TOTAL(D890,$G$5)=0,[1]!S_SHARE_TOTAL(D890,[1]!s_ipo_listeddate(D890)),[1]!S_SHARE_TOTAL(D890,$G$5))))</f>
        <v/>
      </c>
      <c r="R890" s="248" t="str">
        <f ca="1">IF(C890="","",F890/([1]!S_STM07_BS(D890,141,$G$5,$H$13)/IF([1]!S_SHARE_TOTAL(D890,$G$5)=0,[1]!S_SHARE_TOTAL(D890,[1]!s_ipo_listeddate(D890)),[1]!S_SHARE_TOTAL(D890,$G$5))))</f>
        <v/>
      </c>
      <c r="S890" s="247" t="str">
        <f ca="1">IF(C890="","",[1]!S_SHARE_TOTAL(D890,TODAY())/$E$5)</f>
        <v/>
      </c>
      <c r="T890" s="247" t="str">
        <f t="shared" ca="1" si="91"/>
        <v/>
      </c>
      <c r="U890" s="218" t="str">
        <f t="shared" ca="1" si="92"/>
        <v/>
      </c>
      <c r="V890" s="342" t="str">
        <f t="shared" ca="1" si="93"/>
        <v/>
      </c>
      <c r="W890" s="139"/>
      <c r="Y890" s="1"/>
    </row>
    <row r="891" spans="3:25" ht="12" customHeight="1">
      <c r="C891" s="343" t="str">
        <f t="shared" ca="1" si="88"/>
        <v/>
      </c>
      <c r="D891" s="124" t="str">
        <f t="shared" ca="1" si="89"/>
        <v/>
      </c>
      <c r="E891" s="124" t="str">
        <f t="shared" ca="1" si="90"/>
        <v/>
      </c>
      <c r="F891" s="172" t="str">
        <f ca="1">IF(C891="","",[1]!S_DQ_CLOSE(D891,TODAY(),1))</f>
        <v/>
      </c>
      <c r="G891" s="173" t="str">
        <f ca="1">IF(C891="","",[1]!s_pq_pctchange(D891,TODAY()-$G$12,TODAY())/100)</f>
        <v/>
      </c>
      <c r="H891" s="249" t="str">
        <f ca="1">IF(C891="","",IF($H$11="收入",[1]!S_STM07_IS(D891,9,$G$5,$H$13)/$E$5,[1]!S_STM07_IS(D891,48,$G$5,$H$13)/$E$5))</f>
        <v/>
      </c>
      <c r="I891" s="249" t="str">
        <f ca="1">IF(C891="","",IF($I$11="毛利率",([1]!S_STM07_IS(D891,9,$G$5,$H$13)-[1]!S_STM07_IS(D891,10,$G$5,$H$13))/[1]!S_STM07_IS(D891,9,$G$5,$H$13),[1]!S_STM07_IS(D891,14,$G$5,$H$13)/$E$5))</f>
        <v/>
      </c>
      <c r="J891" s="249" t="str">
        <f ca="1">IF(C891="","",IF($J$11="营业利润率",[1]!S_STM07_IS(D891,48,$G$5,$H$13)/[1]!S_STM07_IS(D891,9,$G$5,$H$13),([1]!S_STM07_CS(D891,87,$G$5,$H$13)+[1]!S_STM07_CS(D891,88,$G$5,$H$13)+[1]!S_STM07_CS(D891,89,$G$5,$H$13))/$E$5))</f>
        <v/>
      </c>
      <c r="K891" s="249" t="str">
        <f ca="1">IF(C891="","",IF($K$11="净利润率",[1]!S_STM07_IS(D891,61,$G$5,$H$13)/[1]!S_STM07_IS(D891,9,$G$5,$H$13),[1]!S_STM07_IS(D891,55,$G$5,$H$13)/$E$5))</f>
        <v/>
      </c>
      <c r="L891" s="249" t="str">
        <f ca="1">IF(C891="","",IF($L$11="ROA",[1]!S_STM07_IS(D891,61,$G$5,$H$13)/[1]!S_STM07_BS(D891,74,$G$5,$H$13),1-[1]!S_STM07_IS(D891,61,$G$5,$H$13)/[1]!S_STM07_IS(D891,55,$G$5,$H$13)))</f>
        <v/>
      </c>
      <c r="M891" s="249" t="str">
        <f ca="1">IF(C891="","",IF($M$11="ROE",[1]!S_STM07_IS(D891,61,$G$5,$H$13)/[1]!S_STM07_BS(D891,141,$G$5,$H$13),([1]!S_STM07_BS(D891,25,$G$5,$H$13)-[1]!S_STM07_BS(D891,93,$G$5,$H$13))/$E$5))</f>
        <v/>
      </c>
      <c r="N891" s="250" t="str">
        <f ca="1">IF(C891="","",IF($N$11="EPS",[1]!S_STM07_IS(D891,61,$G$5,$H$13)/IF([1]!S_SHARE_TOTAL(D891,$G$5)=0,[1]!S_SHARE_TOTAL(D891,[1]!s_ipo_listeddate(D891)),[1]!S_SHARE_TOTAL(D891,$G$5)),([1]!S_STM07_BS(D891,75,$G$5,$H$13)+[1]!S_STM07_BS(D891,88,$G$5,$H$13)+[1]!S_STM07_BS(D891,94,$G$5,$H$13)+[1]!S_STM07_BS(D891,95,$G$5,$H$13))/$E$5))</f>
        <v/>
      </c>
      <c r="O891" s="250" t="str">
        <f ca="1">IF(C891="","",IF($O$11="BPS",[1]!S_STM07_BS(D891,141,$G$5,$H$13)/IF([1]!S_SHARE_TOTAL(D891,$G$5)=0,[1]!S_SHARE_TOTAL(D891,[1]!s_ipo_listeddate(D891)),[1]!S_SHARE_TOTAL(D891,$G$5)),[1]!S_STM07_CS(D891,49,$G$5,$H$13)/$E$5))</f>
        <v/>
      </c>
      <c r="P891" s="250" t="str">
        <f ca="1">IF(C891="","",IF($P$11="CFPS",[1]!S_STM07_CS(D891,84,$G$5,$H$13)/IF([1]!S_SHARE_TOTAL(D891,$G$5)=0,[1]!S_SHARE_TOTAL(D891,[1]!s_ipo_listeddate(D891)),[1]!S_SHARE_TOTAL(D891,$G$5)),[1]!S_STM07_CS(D891,84,$G$5,$H$13)/$E$5))</f>
        <v/>
      </c>
      <c r="Q891" s="198" t="str">
        <f ca="1">IF(C891="","",F891/([1]!S_STM07_IS(D891,61,$G$5,$H$13)/IF([1]!S_SHARE_TOTAL(D891,$G$5)=0,[1]!S_SHARE_TOTAL(D891,[1]!s_ipo_listeddate(D891)),[1]!S_SHARE_TOTAL(D891,$G$5))))</f>
        <v/>
      </c>
      <c r="R891" s="198" t="str">
        <f ca="1">IF(C891="","",F891/([1]!S_STM07_BS(D891,141,$G$5,$H$13)/IF([1]!S_SHARE_TOTAL(D891,$G$5)=0,[1]!S_SHARE_TOTAL(D891,[1]!s_ipo_listeddate(D891)),[1]!S_SHARE_TOTAL(D891,$G$5))))</f>
        <v/>
      </c>
      <c r="S891" s="249" t="str">
        <f ca="1">IF(C891="","",[1]!S_SHARE_TOTAL(D891,TODAY())/$E$5)</f>
        <v/>
      </c>
      <c r="T891" s="249" t="str">
        <f t="shared" ca="1" si="91"/>
        <v/>
      </c>
      <c r="U891" s="172" t="str">
        <f t="shared" ca="1" si="92"/>
        <v/>
      </c>
      <c r="V891" s="343" t="str">
        <f t="shared" ca="1" si="93"/>
        <v/>
      </c>
      <c r="W891" s="139"/>
      <c r="Y891" s="1"/>
    </row>
    <row r="892" spans="3:25" ht="12" customHeight="1">
      <c r="C892" s="342" t="str">
        <f t="shared" ca="1" si="88"/>
        <v/>
      </c>
      <c r="D892" s="153" t="str">
        <f t="shared" ca="1" si="89"/>
        <v/>
      </c>
      <c r="E892" s="153" t="str">
        <f t="shared" ca="1" si="90"/>
        <v/>
      </c>
      <c r="F892" s="170" t="str">
        <f ca="1">IF(C892="","",[1]!S_DQ_CLOSE(D892,TODAY(),1))</f>
        <v/>
      </c>
      <c r="G892" s="171" t="str">
        <f ca="1">IF(C892="","",[1]!s_pq_pctchange(D892,TODAY()-$G$12,TODAY())/100)</f>
        <v/>
      </c>
      <c r="H892" s="247" t="str">
        <f ca="1">IF(C892="","",IF($H$11="收入",[1]!S_STM07_IS(D892,9,$G$5,$H$13)/$E$5,[1]!S_STM07_IS(D892,48,$G$5,$H$13)/$E$5))</f>
        <v/>
      </c>
      <c r="I892" s="247" t="str">
        <f ca="1">IF(C892="","",IF($I$11="毛利率",([1]!S_STM07_IS(D892,9,$G$5,$H$13)-[1]!S_STM07_IS(D892,10,$G$5,$H$13))/[1]!S_STM07_IS(D892,9,$G$5,$H$13),[1]!S_STM07_IS(D892,14,$G$5,$H$13)/$E$5))</f>
        <v/>
      </c>
      <c r="J892" s="247" t="str">
        <f ca="1">IF(C892="","",IF($J$11="营业利润率",[1]!S_STM07_IS(D892,48,$G$5,$H$13)/[1]!S_STM07_IS(D892,9,$G$5,$H$13),([1]!S_STM07_CS(D892,87,$G$5,$H$13)+[1]!S_STM07_CS(D892,88,$G$5,$H$13)+[1]!S_STM07_CS(D892,89,$G$5,$H$13))/$E$5))</f>
        <v/>
      </c>
      <c r="K892" s="247" t="str">
        <f ca="1">IF(C892="","",IF($K$11="净利润率",[1]!S_STM07_IS(D892,61,$G$5,$H$13)/[1]!S_STM07_IS(D892,9,$G$5,$H$13),[1]!S_STM07_IS(D892,55,$G$5,$H$13)/$E$5))</f>
        <v/>
      </c>
      <c r="L892" s="247" t="str">
        <f ca="1">IF(C892="","",IF($L$11="ROA",[1]!S_STM07_IS(D892,61,$G$5,$H$13)/[1]!S_STM07_BS(D892,74,$G$5,$H$13),1-[1]!S_STM07_IS(D892,61,$G$5,$H$13)/[1]!S_STM07_IS(D892,55,$G$5,$H$13)))</f>
        <v/>
      </c>
      <c r="M892" s="247" t="str">
        <f ca="1">IF(C892="","",IF($M$11="ROE",[1]!S_STM07_IS(D892,61,$G$5,$H$13)/[1]!S_STM07_BS(D892,141,$G$5,$H$13),([1]!S_STM07_BS(D892,25,$G$5,$H$13)-[1]!S_STM07_BS(D892,93,$G$5,$H$13))/$E$5))</f>
        <v/>
      </c>
      <c r="N892" s="247" t="str">
        <f ca="1">IF(C892="","",IF($N$11="EPS",[1]!S_STM07_IS(D892,61,$G$5,$H$13)/IF([1]!S_SHARE_TOTAL(D892,$G$5)=0,[1]!S_SHARE_TOTAL(D892,[1]!s_ipo_listeddate(D892)),[1]!S_SHARE_TOTAL(D892,$G$5)),([1]!S_STM07_BS(D892,75,$G$5,$H$13)+[1]!S_STM07_BS(D892,88,$G$5,$H$13)+[1]!S_STM07_BS(D892,94,$G$5,$H$13)+[1]!S_STM07_BS(D892,95,$G$5,$H$13))/$E$5))</f>
        <v/>
      </c>
      <c r="O892" s="247" t="str">
        <f ca="1">IF(C892="","",IF($O$11="BPS",[1]!S_STM07_BS(D892,141,$G$5,$H$13)/IF([1]!S_SHARE_TOTAL(D892,$G$5)=0,[1]!S_SHARE_TOTAL(D892,[1]!s_ipo_listeddate(D892)),[1]!S_SHARE_TOTAL(D892,$G$5)),[1]!S_STM07_CS(D892,49,$G$5,$H$13)/$E$5))</f>
        <v/>
      </c>
      <c r="P892" s="247" t="str">
        <f ca="1">IF(C892="","",IF($P$11="CFPS",[1]!S_STM07_CS(D892,84,$G$5,$H$13)/IF([1]!S_SHARE_TOTAL(D892,$G$5)=0,[1]!S_SHARE_TOTAL(D892,[1]!s_ipo_listeddate(D892)),[1]!S_SHARE_TOTAL(D892,$G$5)),[1]!S_STM07_CS(D892,84,$G$5,$H$13)/$E$5))</f>
        <v/>
      </c>
      <c r="Q892" s="248" t="str">
        <f ca="1">IF(C892="","",F892/([1]!S_STM07_IS(D892,61,$G$5,$H$13)/IF([1]!S_SHARE_TOTAL(D892,$G$5)=0,[1]!S_SHARE_TOTAL(D892,[1]!s_ipo_listeddate(D892)),[1]!S_SHARE_TOTAL(D892,$G$5))))</f>
        <v/>
      </c>
      <c r="R892" s="248" t="str">
        <f ca="1">IF(C892="","",F892/([1]!S_STM07_BS(D892,141,$G$5,$H$13)/IF([1]!S_SHARE_TOTAL(D892,$G$5)=0,[1]!S_SHARE_TOTAL(D892,[1]!s_ipo_listeddate(D892)),[1]!S_SHARE_TOTAL(D892,$G$5))))</f>
        <v/>
      </c>
      <c r="S892" s="247" t="str">
        <f ca="1">IF(C892="","",[1]!S_SHARE_TOTAL(D892,TODAY())/$E$5)</f>
        <v/>
      </c>
      <c r="T892" s="247" t="str">
        <f t="shared" ca="1" si="91"/>
        <v/>
      </c>
      <c r="U892" s="218" t="str">
        <f t="shared" ca="1" si="92"/>
        <v/>
      </c>
      <c r="V892" s="342" t="str">
        <f t="shared" ca="1" si="93"/>
        <v/>
      </c>
      <c r="W892" s="139"/>
      <c r="Y892" s="1"/>
    </row>
    <row r="893" spans="3:25" ht="12" customHeight="1">
      <c r="C893" s="343" t="str">
        <f t="shared" ca="1" si="88"/>
        <v/>
      </c>
      <c r="D893" s="124" t="str">
        <f t="shared" ca="1" si="89"/>
        <v/>
      </c>
      <c r="E893" s="124" t="str">
        <f t="shared" ca="1" si="90"/>
        <v/>
      </c>
      <c r="F893" s="172" t="str">
        <f ca="1">IF(C893="","",[1]!S_DQ_CLOSE(D893,TODAY(),1))</f>
        <v/>
      </c>
      <c r="G893" s="173" t="str">
        <f ca="1">IF(C893="","",[1]!s_pq_pctchange(D893,TODAY()-$G$12,TODAY())/100)</f>
        <v/>
      </c>
      <c r="H893" s="249" t="str">
        <f ca="1">IF(C893="","",IF($H$11="收入",[1]!S_STM07_IS(D893,9,$G$5,$H$13)/$E$5,[1]!S_STM07_IS(D893,48,$G$5,$H$13)/$E$5))</f>
        <v/>
      </c>
      <c r="I893" s="249" t="str">
        <f ca="1">IF(C893="","",IF($I$11="毛利率",([1]!S_STM07_IS(D893,9,$G$5,$H$13)-[1]!S_STM07_IS(D893,10,$G$5,$H$13))/[1]!S_STM07_IS(D893,9,$G$5,$H$13),[1]!S_STM07_IS(D893,14,$G$5,$H$13)/$E$5))</f>
        <v/>
      </c>
      <c r="J893" s="249" t="str">
        <f ca="1">IF(C893="","",IF($J$11="营业利润率",[1]!S_STM07_IS(D893,48,$G$5,$H$13)/[1]!S_STM07_IS(D893,9,$G$5,$H$13),([1]!S_STM07_CS(D893,87,$G$5,$H$13)+[1]!S_STM07_CS(D893,88,$G$5,$H$13)+[1]!S_STM07_CS(D893,89,$G$5,$H$13))/$E$5))</f>
        <v/>
      </c>
      <c r="K893" s="249" t="str">
        <f ca="1">IF(C893="","",IF($K$11="净利润率",[1]!S_STM07_IS(D893,61,$G$5,$H$13)/[1]!S_STM07_IS(D893,9,$G$5,$H$13),[1]!S_STM07_IS(D893,55,$G$5,$H$13)/$E$5))</f>
        <v/>
      </c>
      <c r="L893" s="249" t="str">
        <f ca="1">IF(C893="","",IF($L$11="ROA",[1]!S_STM07_IS(D893,61,$G$5,$H$13)/[1]!S_STM07_BS(D893,74,$G$5,$H$13),1-[1]!S_STM07_IS(D893,61,$G$5,$H$13)/[1]!S_STM07_IS(D893,55,$G$5,$H$13)))</f>
        <v/>
      </c>
      <c r="M893" s="249" t="str">
        <f ca="1">IF(C893="","",IF($M$11="ROE",[1]!S_STM07_IS(D893,61,$G$5,$H$13)/[1]!S_STM07_BS(D893,141,$G$5,$H$13),([1]!S_STM07_BS(D893,25,$G$5,$H$13)-[1]!S_STM07_BS(D893,93,$G$5,$H$13))/$E$5))</f>
        <v/>
      </c>
      <c r="N893" s="250" t="str">
        <f ca="1">IF(C893="","",IF($N$11="EPS",[1]!S_STM07_IS(D893,61,$G$5,$H$13)/IF([1]!S_SHARE_TOTAL(D893,$G$5)=0,[1]!S_SHARE_TOTAL(D893,[1]!s_ipo_listeddate(D893)),[1]!S_SHARE_TOTAL(D893,$G$5)),([1]!S_STM07_BS(D893,75,$G$5,$H$13)+[1]!S_STM07_BS(D893,88,$G$5,$H$13)+[1]!S_STM07_BS(D893,94,$G$5,$H$13)+[1]!S_STM07_BS(D893,95,$G$5,$H$13))/$E$5))</f>
        <v/>
      </c>
      <c r="O893" s="250" t="str">
        <f ca="1">IF(C893="","",IF($O$11="BPS",[1]!S_STM07_BS(D893,141,$G$5,$H$13)/IF([1]!S_SHARE_TOTAL(D893,$G$5)=0,[1]!S_SHARE_TOTAL(D893,[1]!s_ipo_listeddate(D893)),[1]!S_SHARE_TOTAL(D893,$G$5)),[1]!S_STM07_CS(D893,49,$G$5,$H$13)/$E$5))</f>
        <v/>
      </c>
      <c r="P893" s="250" t="str">
        <f ca="1">IF(C893="","",IF($P$11="CFPS",[1]!S_STM07_CS(D893,84,$G$5,$H$13)/IF([1]!S_SHARE_TOTAL(D893,$G$5)=0,[1]!S_SHARE_TOTAL(D893,[1]!s_ipo_listeddate(D893)),[1]!S_SHARE_TOTAL(D893,$G$5)),[1]!S_STM07_CS(D893,84,$G$5,$H$13)/$E$5))</f>
        <v/>
      </c>
      <c r="Q893" s="198" t="str">
        <f ca="1">IF(C893="","",F893/([1]!S_STM07_IS(D893,61,$G$5,$H$13)/IF([1]!S_SHARE_TOTAL(D893,$G$5)=0,[1]!S_SHARE_TOTAL(D893,[1]!s_ipo_listeddate(D893)),[1]!S_SHARE_TOTAL(D893,$G$5))))</f>
        <v/>
      </c>
      <c r="R893" s="198" t="str">
        <f ca="1">IF(C893="","",F893/([1]!S_STM07_BS(D893,141,$G$5,$H$13)/IF([1]!S_SHARE_TOTAL(D893,$G$5)=0,[1]!S_SHARE_TOTAL(D893,[1]!s_ipo_listeddate(D893)),[1]!S_SHARE_TOTAL(D893,$G$5))))</f>
        <v/>
      </c>
      <c r="S893" s="249" t="str">
        <f ca="1">IF(C893="","",[1]!S_SHARE_TOTAL(D893,TODAY())/$E$5)</f>
        <v/>
      </c>
      <c r="T893" s="249" t="str">
        <f t="shared" ca="1" si="91"/>
        <v/>
      </c>
      <c r="U893" s="172" t="str">
        <f t="shared" ca="1" si="92"/>
        <v/>
      </c>
      <c r="V893" s="343" t="str">
        <f t="shared" ca="1" si="93"/>
        <v/>
      </c>
      <c r="W893" s="139"/>
      <c r="Y893" s="1"/>
    </row>
    <row r="894" spans="3:25" ht="12" customHeight="1">
      <c r="C894" s="342" t="str">
        <f t="shared" ca="1" si="88"/>
        <v/>
      </c>
      <c r="D894" s="153" t="str">
        <f t="shared" ca="1" si="89"/>
        <v/>
      </c>
      <c r="E894" s="153" t="str">
        <f t="shared" ca="1" si="90"/>
        <v/>
      </c>
      <c r="F894" s="170" t="str">
        <f ca="1">IF(C894="","",[1]!S_DQ_CLOSE(D894,TODAY(),1))</f>
        <v/>
      </c>
      <c r="G894" s="171" t="str">
        <f ca="1">IF(C894="","",[1]!s_pq_pctchange(D894,TODAY()-$G$12,TODAY())/100)</f>
        <v/>
      </c>
      <c r="H894" s="247" t="str">
        <f ca="1">IF(C894="","",IF($H$11="收入",[1]!S_STM07_IS(D894,9,$G$5,$H$13)/$E$5,[1]!S_STM07_IS(D894,48,$G$5,$H$13)/$E$5))</f>
        <v/>
      </c>
      <c r="I894" s="247" t="str">
        <f ca="1">IF(C894="","",IF($I$11="毛利率",([1]!S_STM07_IS(D894,9,$G$5,$H$13)-[1]!S_STM07_IS(D894,10,$G$5,$H$13))/[1]!S_STM07_IS(D894,9,$G$5,$H$13),[1]!S_STM07_IS(D894,14,$G$5,$H$13)/$E$5))</f>
        <v/>
      </c>
      <c r="J894" s="247" t="str">
        <f ca="1">IF(C894="","",IF($J$11="营业利润率",[1]!S_STM07_IS(D894,48,$G$5,$H$13)/[1]!S_STM07_IS(D894,9,$G$5,$H$13),([1]!S_STM07_CS(D894,87,$G$5,$H$13)+[1]!S_STM07_CS(D894,88,$G$5,$H$13)+[1]!S_STM07_CS(D894,89,$G$5,$H$13))/$E$5))</f>
        <v/>
      </c>
      <c r="K894" s="247" t="str">
        <f ca="1">IF(C894="","",IF($K$11="净利润率",[1]!S_STM07_IS(D894,61,$G$5,$H$13)/[1]!S_STM07_IS(D894,9,$G$5,$H$13),[1]!S_STM07_IS(D894,55,$G$5,$H$13)/$E$5))</f>
        <v/>
      </c>
      <c r="L894" s="247" t="str">
        <f ca="1">IF(C894="","",IF($L$11="ROA",[1]!S_STM07_IS(D894,61,$G$5,$H$13)/[1]!S_STM07_BS(D894,74,$G$5,$H$13),1-[1]!S_STM07_IS(D894,61,$G$5,$H$13)/[1]!S_STM07_IS(D894,55,$G$5,$H$13)))</f>
        <v/>
      </c>
      <c r="M894" s="247" t="str">
        <f ca="1">IF(C894="","",IF($M$11="ROE",[1]!S_STM07_IS(D894,61,$G$5,$H$13)/[1]!S_STM07_BS(D894,141,$G$5,$H$13),([1]!S_STM07_BS(D894,25,$G$5,$H$13)-[1]!S_STM07_BS(D894,93,$G$5,$H$13))/$E$5))</f>
        <v/>
      </c>
      <c r="N894" s="247" t="str">
        <f ca="1">IF(C894="","",IF($N$11="EPS",[1]!S_STM07_IS(D894,61,$G$5,$H$13)/IF([1]!S_SHARE_TOTAL(D894,$G$5)=0,[1]!S_SHARE_TOTAL(D894,[1]!s_ipo_listeddate(D894)),[1]!S_SHARE_TOTAL(D894,$G$5)),([1]!S_STM07_BS(D894,75,$G$5,$H$13)+[1]!S_STM07_BS(D894,88,$G$5,$H$13)+[1]!S_STM07_BS(D894,94,$G$5,$H$13)+[1]!S_STM07_BS(D894,95,$G$5,$H$13))/$E$5))</f>
        <v/>
      </c>
      <c r="O894" s="247" t="str">
        <f ca="1">IF(C894="","",IF($O$11="BPS",[1]!S_STM07_BS(D894,141,$G$5,$H$13)/IF([1]!S_SHARE_TOTAL(D894,$G$5)=0,[1]!S_SHARE_TOTAL(D894,[1]!s_ipo_listeddate(D894)),[1]!S_SHARE_TOTAL(D894,$G$5)),[1]!S_STM07_CS(D894,49,$G$5,$H$13)/$E$5))</f>
        <v/>
      </c>
      <c r="P894" s="247" t="str">
        <f ca="1">IF(C894="","",IF($P$11="CFPS",[1]!S_STM07_CS(D894,84,$G$5,$H$13)/IF([1]!S_SHARE_TOTAL(D894,$G$5)=0,[1]!S_SHARE_TOTAL(D894,[1]!s_ipo_listeddate(D894)),[1]!S_SHARE_TOTAL(D894,$G$5)),[1]!S_STM07_CS(D894,84,$G$5,$H$13)/$E$5))</f>
        <v/>
      </c>
      <c r="Q894" s="248" t="str">
        <f ca="1">IF(C894="","",F894/([1]!S_STM07_IS(D894,61,$G$5,$H$13)/IF([1]!S_SHARE_TOTAL(D894,$G$5)=0,[1]!S_SHARE_TOTAL(D894,[1]!s_ipo_listeddate(D894)),[1]!S_SHARE_TOTAL(D894,$G$5))))</f>
        <v/>
      </c>
      <c r="R894" s="248" t="str">
        <f ca="1">IF(C894="","",F894/([1]!S_STM07_BS(D894,141,$G$5,$H$13)/IF([1]!S_SHARE_TOTAL(D894,$G$5)=0,[1]!S_SHARE_TOTAL(D894,[1]!s_ipo_listeddate(D894)),[1]!S_SHARE_TOTAL(D894,$G$5))))</f>
        <v/>
      </c>
      <c r="S894" s="247" t="str">
        <f ca="1">IF(C894="","",[1]!S_SHARE_TOTAL(D894,TODAY())/$E$5)</f>
        <v/>
      </c>
      <c r="T894" s="247" t="str">
        <f t="shared" ca="1" si="91"/>
        <v/>
      </c>
      <c r="U894" s="218" t="str">
        <f t="shared" ca="1" si="92"/>
        <v/>
      </c>
      <c r="V894" s="342" t="str">
        <f t="shared" ca="1" si="93"/>
        <v/>
      </c>
      <c r="W894" s="139"/>
      <c r="Y894" s="1"/>
    </row>
    <row r="895" spans="3:25" ht="12" customHeight="1">
      <c r="C895" s="343" t="str">
        <f t="shared" ca="1" si="88"/>
        <v/>
      </c>
      <c r="D895" s="124" t="str">
        <f t="shared" ca="1" si="89"/>
        <v/>
      </c>
      <c r="E895" s="124" t="str">
        <f t="shared" ca="1" si="90"/>
        <v/>
      </c>
      <c r="F895" s="172" t="str">
        <f ca="1">IF(C895="","",[1]!S_DQ_CLOSE(D895,TODAY(),1))</f>
        <v/>
      </c>
      <c r="G895" s="173" t="str">
        <f ca="1">IF(C895="","",[1]!s_pq_pctchange(D895,TODAY()-$G$12,TODAY())/100)</f>
        <v/>
      </c>
      <c r="H895" s="249" t="str">
        <f ca="1">IF(C895="","",IF($H$11="收入",[1]!S_STM07_IS(D895,9,$G$5,$H$13)/$E$5,[1]!S_STM07_IS(D895,48,$G$5,$H$13)/$E$5))</f>
        <v/>
      </c>
      <c r="I895" s="249" t="str">
        <f ca="1">IF(C895="","",IF($I$11="毛利率",([1]!S_STM07_IS(D895,9,$G$5,$H$13)-[1]!S_STM07_IS(D895,10,$G$5,$H$13))/[1]!S_STM07_IS(D895,9,$G$5,$H$13),[1]!S_STM07_IS(D895,14,$G$5,$H$13)/$E$5))</f>
        <v/>
      </c>
      <c r="J895" s="249" t="str">
        <f ca="1">IF(C895="","",IF($J$11="营业利润率",[1]!S_STM07_IS(D895,48,$G$5,$H$13)/[1]!S_STM07_IS(D895,9,$G$5,$H$13),([1]!S_STM07_CS(D895,87,$G$5,$H$13)+[1]!S_STM07_CS(D895,88,$G$5,$H$13)+[1]!S_STM07_CS(D895,89,$G$5,$H$13))/$E$5))</f>
        <v/>
      </c>
      <c r="K895" s="249" t="str">
        <f ca="1">IF(C895="","",IF($K$11="净利润率",[1]!S_STM07_IS(D895,61,$G$5,$H$13)/[1]!S_STM07_IS(D895,9,$G$5,$H$13),[1]!S_STM07_IS(D895,55,$G$5,$H$13)/$E$5))</f>
        <v/>
      </c>
      <c r="L895" s="249" t="str">
        <f ca="1">IF(C895="","",IF($L$11="ROA",[1]!S_STM07_IS(D895,61,$G$5,$H$13)/[1]!S_STM07_BS(D895,74,$G$5,$H$13),1-[1]!S_STM07_IS(D895,61,$G$5,$H$13)/[1]!S_STM07_IS(D895,55,$G$5,$H$13)))</f>
        <v/>
      </c>
      <c r="M895" s="249" t="str">
        <f ca="1">IF(C895="","",IF($M$11="ROE",[1]!S_STM07_IS(D895,61,$G$5,$H$13)/[1]!S_STM07_BS(D895,141,$G$5,$H$13),([1]!S_STM07_BS(D895,25,$G$5,$H$13)-[1]!S_STM07_BS(D895,93,$G$5,$H$13))/$E$5))</f>
        <v/>
      </c>
      <c r="N895" s="250" t="str">
        <f ca="1">IF(C895="","",IF($N$11="EPS",[1]!S_STM07_IS(D895,61,$G$5,$H$13)/IF([1]!S_SHARE_TOTAL(D895,$G$5)=0,[1]!S_SHARE_TOTAL(D895,[1]!s_ipo_listeddate(D895)),[1]!S_SHARE_TOTAL(D895,$G$5)),([1]!S_STM07_BS(D895,75,$G$5,$H$13)+[1]!S_STM07_BS(D895,88,$G$5,$H$13)+[1]!S_STM07_BS(D895,94,$G$5,$H$13)+[1]!S_STM07_BS(D895,95,$G$5,$H$13))/$E$5))</f>
        <v/>
      </c>
      <c r="O895" s="250" t="str">
        <f ca="1">IF(C895="","",IF($O$11="BPS",[1]!S_STM07_BS(D895,141,$G$5,$H$13)/IF([1]!S_SHARE_TOTAL(D895,$G$5)=0,[1]!S_SHARE_TOTAL(D895,[1]!s_ipo_listeddate(D895)),[1]!S_SHARE_TOTAL(D895,$G$5)),[1]!S_STM07_CS(D895,49,$G$5,$H$13)/$E$5))</f>
        <v/>
      </c>
      <c r="P895" s="250" t="str">
        <f ca="1">IF(C895="","",IF($P$11="CFPS",[1]!S_STM07_CS(D895,84,$G$5,$H$13)/IF([1]!S_SHARE_TOTAL(D895,$G$5)=0,[1]!S_SHARE_TOTAL(D895,[1]!s_ipo_listeddate(D895)),[1]!S_SHARE_TOTAL(D895,$G$5)),[1]!S_STM07_CS(D895,84,$G$5,$H$13)/$E$5))</f>
        <v/>
      </c>
      <c r="Q895" s="198" t="str">
        <f ca="1">IF(C895="","",F895/([1]!S_STM07_IS(D895,61,$G$5,$H$13)/IF([1]!S_SHARE_TOTAL(D895,$G$5)=0,[1]!S_SHARE_TOTAL(D895,[1]!s_ipo_listeddate(D895)),[1]!S_SHARE_TOTAL(D895,$G$5))))</f>
        <v/>
      </c>
      <c r="R895" s="198" t="str">
        <f ca="1">IF(C895="","",F895/([1]!S_STM07_BS(D895,141,$G$5,$H$13)/IF([1]!S_SHARE_TOTAL(D895,$G$5)=0,[1]!S_SHARE_TOTAL(D895,[1]!s_ipo_listeddate(D895)),[1]!S_SHARE_TOTAL(D895,$G$5))))</f>
        <v/>
      </c>
      <c r="S895" s="249" t="str">
        <f ca="1">IF(C895="","",[1]!S_SHARE_TOTAL(D895,TODAY())/$E$5)</f>
        <v/>
      </c>
      <c r="T895" s="249" t="str">
        <f t="shared" ca="1" si="91"/>
        <v/>
      </c>
      <c r="U895" s="172" t="str">
        <f t="shared" ca="1" si="92"/>
        <v/>
      </c>
      <c r="V895" s="343" t="str">
        <f t="shared" ca="1" si="93"/>
        <v/>
      </c>
      <c r="W895" s="139"/>
      <c r="Y895" s="1"/>
    </row>
    <row r="896" spans="3:25" ht="12" customHeight="1">
      <c r="C896" s="342" t="str">
        <f t="shared" ca="1" si="88"/>
        <v/>
      </c>
      <c r="D896" s="153" t="str">
        <f t="shared" ca="1" si="89"/>
        <v/>
      </c>
      <c r="E896" s="153" t="str">
        <f t="shared" ca="1" si="90"/>
        <v/>
      </c>
      <c r="F896" s="170" t="str">
        <f ca="1">IF(C896="","",[1]!S_DQ_CLOSE(D896,TODAY(),1))</f>
        <v/>
      </c>
      <c r="G896" s="171" t="str">
        <f ca="1">IF(C896="","",[1]!s_pq_pctchange(D896,TODAY()-$G$12,TODAY())/100)</f>
        <v/>
      </c>
      <c r="H896" s="247" t="str">
        <f ca="1">IF(C896="","",IF($H$11="收入",[1]!S_STM07_IS(D896,9,$G$5,$H$13)/$E$5,[1]!S_STM07_IS(D896,48,$G$5,$H$13)/$E$5))</f>
        <v/>
      </c>
      <c r="I896" s="247" t="str">
        <f ca="1">IF(C896="","",IF($I$11="毛利率",([1]!S_STM07_IS(D896,9,$G$5,$H$13)-[1]!S_STM07_IS(D896,10,$G$5,$H$13))/[1]!S_STM07_IS(D896,9,$G$5,$H$13),[1]!S_STM07_IS(D896,14,$G$5,$H$13)/$E$5))</f>
        <v/>
      </c>
      <c r="J896" s="247" t="str">
        <f ca="1">IF(C896="","",IF($J$11="营业利润率",[1]!S_STM07_IS(D896,48,$G$5,$H$13)/[1]!S_STM07_IS(D896,9,$G$5,$H$13),([1]!S_STM07_CS(D896,87,$G$5,$H$13)+[1]!S_STM07_CS(D896,88,$G$5,$H$13)+[1]!S_STM07_CS(D896,89,$G$5,$H$13))/$E$5))</f>
        <v/>
      </c>
      <c r="K896" s="247" t="str">
        <f ca="1">IF(C896="","",IF($K$11="净利润率",[1]!S_STM07_IS(D896,61,$G$5,$H$13)/[1]!S_STM07_IS(D896,9,$G$5,$H$13),[1]!S_STM07_IS(D896,55,$G$5,$H$13)/$E$5))</f>
        <v/>
      </c>
      <c r="L896" s="247" t="str">
        <f ca="1">IF(C896="","",IF($L$11="ROA",[1]!S_STM07_IS(D896,61,$G$5,$H$13)/[1]!S_STM07_BS(D896,74,$G$5,$H$13),1-[1]!S_STM07_IS(D896,61,$G$5,$H$13)/[1]!S_STM07_IS(D896,55,$G$5,$H$13)))</f>
        <v/>
      </c>
      <c r="M896" s="247" t="str">
        <f ca="1">IF(C896="","",IF($M$11="ROE",[1]!S_STM07_IS(D896,61,$G$5,$H$13)/[1]!S_STM07_BS(D896,141,$G$5,$H$13),([1]!S_STM07_BS(D896,25,$G$5,$H$13)-[1]!S_STM07_BS(D896,93,$G$5,$H$13))/$E$5))</f>
        <v/>
      </c>
      <c r="N896" s="247" t="str">
        <f ca="1">IF(C896="","",IF($N$11="EPS",[1]!S_STM07_IS(D896,61,$G$5,$H$13)/IF([1]!S_SHARE_TOTAL(D896,$G$5)=0,[1]!S_SHARE_TOTAL(D896,[1]!s_ipo_listeddate(D896)),[1]!S_SHARE_TOTAL(D896,$G$5)),([1]!S_STM07_BS(D896,75,$G$5,$H$13)+[1]!S_STM07_BS(D896,88,$G$5,$H$13)+[1]!S_STM07_BS(D896,94,$G$5,$H$13)+[1]!S_STM07_BS(D896,95,$G$5,$H$13))/$E$5))</f>
        <v/>
      </c>
      <c r="O896" s="247" t="str">
        <f ca="1">IF(C896="","",IF($O$11="BPS",[1]!S_STM07_BS(D896,141,$G$5,$H$13)/IF([1]!S_SHARE_TOTAL(D896,$G$5)=0,[1]!S_SHARE_TOTAL(D896,[1]!s_ipo_listeddate(D896)),[1]!S_SHARE_TOTAL(D896,$G$5)),[1]!S_STM07_CS(D896,49,$G$5,$H$13)/$E$5))</f>
        <v/>
      </c>
      <c r="P896" s="247" t="str">
        <f ca="1">IF(C896="","",IF($P$11="CFPS",[1]!S_STM07_CS(D896,84,$G$5,$H$13)/IF([1]!S_SHARE_TOTAL(D896,$G$5)=0,[1]!S_SHARE_TOTAL(D896,[1]!s_ipo_listeddate(D896)),[1]!S_SHARE_TOTAL(D896,$G$5)),[1]!S_STM07_CS(D896,84,$G$5,$H$13)/$E$5))</f>
        <v/>
      </c>
      <c r="Q896" s="248" t="str">
        <f ca="1">IF(C896="","",F896/([1]!S_STM07_IS(D896,61,$G$5,$H$13)/IF([1]!S_SHARE_TOTAL(D896,$G$5)=0,[1]!S_SHARE_TOTAL(D896,[1]!s_ipo_listeddate(D896)),[1]!S_SHARE_TOTAL(D896,$G$5))))</f>
        <v/>
      </c>
      <c r="R896" s="248" t="str">
        <f ca="1">IF(C896="","",F896/([1]!S_STM07_BS(D896,141,$G$5,$H$13)/IF([1]!S_SHARE_TOTAL(D896,$G$5)=0,[1]!S_SHARE_TOTAL(D896,[1]!s_ipo_listeddate(D896)),[1]!S_SHARE_TOTAL(D896,$G$5))))</f>
        <v/>
      </c>
      <c r="S896" s="247" t="str">
        <f ca="1">IF(C896="","",[1]!S_SHARE_TOTAL(D896,TODAY())/$E$5)</f>
        <v/>
      </c>
      <c r="T896" s="247" t="str">
        <f t="shared" ca="1" si="91"/>
        <v/>
      </c>
      <c r="U896" s="218" t="str">
        <f t="shared" ca="1" si="92"/>
        <v/>
      </c>
      <c r="V896" s="342" t="str">
        <f t="shared" ca="1" si="93"/>
        <v/>
      </c>
      <c r="W896" s="139"/>
      <c r="Y896" s="1"/>
    </row>
    <row r="897" spans="3:25" ht="12" customHeight="1">
      <c r="C897" s="343" t="str">
        <f t="shared" ca="1" si="88"/>
        <v/>
      </c>
      <c r="D897" s="124" t="str">
        <f t="shared" ca="1" si="89"/>
        <v/>
      </c>
      <c r="E897" s="124" t="str">
        <f t="shared" ca="1" si="90"/>
        <v/>
      </c>
      <c r="F897" s="172" t="str">
        <f ca="1">IF(C897="","",[1]!S_DQ_CLOSE(D897,TODAY(),1))</f>
        <v/>
      </c>
      <c r="G897" s="173" t="str">
        <f ca="1">IF(C897="","",[1]!s_pq_pctchange(D897,TODAY()-$G$12,TODAY())/100)</f>
        <v/>
      </c>
      <c r="H897" s="249" t="str">
        <f ca="1">IF(C897="","",IF($H$11="收入",[1]!S_STM07_IS(D897,9,$G$5,$H$13)/$E$5,[1]!S_STM07_IS(D897,48,$G$5,$H$13)/$E$5))</f>
        <v/>
      </c>
      <c r="I897" s="249" t="str">
        <f ca="1">IF(C897="","",IF($I$11="毛利率",([1]!S_STM07_IS(D897,9,$G$5,$H$13)-[1]!S_STM07_IS(D897,10,$G$5,$H$13))/[1]!S_STM07_IS(D897,9,$G$5,$H$13),[1]!S_STM07_IS(D897,14,$G$5,$H$13)/$E$5))</f>
        <v/>
      </c>
      <c r="J897" s="249" t="str">
        <f ca="1">IF(C897="","",IF($J$11="营业利润率",[1]!S_STM07_IS(D897,48,$G$5,$H$13)/[1]!S_STM07_IS(D897,9,$G$5,$H$13),([1]!S_STM07_CS(D897,87,$G$5,$H$13)+[1]!S_STM07_CS(D897,88,$G$5,$H$13)+[1]!S_STM07_CS(D897,89,$G$5,$H$13))/$E$5))</f>
        <v/>
      </c>
      <c r="K897" s="249" t="str">
        <f ca="1">IF(C897="","",IF($K$11="净利润率",[1]!S_STM07_IS(D897,61,$G$5,$H$13)/[1]!S_STM07_IS(D897,9,$G$5,$H$13),[1]!S_STM07_IS(D897,55,$G$5,$H$13)/$E$5))</f>
        <v/>
      </c>
      <c r="L897" s="249" t="str">
        <f ca="1">IF(C897="","",IF($L$11="ROA",[1]!S_STM07_IS(D897,61,$G$5,$H$13)/[1]!S_STM07_BS(D897,74,$G$5,$H$13),1-[1]!S_STM07_IS(D897,61,$G$5,$H$13)/[1]!S_STM07_IS(D897,55,$G$5,$H$13)))</f>
        <v/>
      </c>
      <c r="M897" s="249" t="str">
        <f ca="1">IF(C897="","",IF($M$11="ROE",[1]!S_STM07_IS(D897,61,$G$5,$H$13)/[1]!S_STM07_BS(D897,141,$G$5,$H$13),([1]!S_STM07_BS(D897,25,$G$5,$H$13)-[1]!S_STM07_BS(D897,93,$G$5,$H$13))/$E$5))</f>
        <v/>
      </c>
      <c r="N897" s="250" t="str">
        <f ca="1">IF(C897="","",IF($N$11="EPS",[1]!S_STM07_IS(D897,61,$G$5,$H$13)/IF([1]!S_SHARE_TOTAL(D897,$G$5)=0,[1]!S_SHARE_TOTAL(D897,[1]!s_ipo_listeddate(D897)),[1]!S_SHARE_TOTAL(D897,$G$5)),([1]!S_STM07_BS(D897,75,$G$5,$H$13)+[1]!S_STM07_BS(D897,88,$G$5,$H$13)+[1]!S_STM07_BS(D897,94,$G$5,$H$13)+[1]!S_STM07_BS(D897,95,$G$5,$H$13))/$E$5))</f>
        <v/>
      </c>
      <c r="O897" s="250" t="str">
        <f ca="1">IF(C897="","",IF($O$11="BPS",[1]!S_STM07_BS(D897,141,$G$5,$H$13)/IF([1]!S_SHARE_TOTAL(D897,$G$5)=0,[1]!S_SHARE_TOTAL(D897,[1]!s_ipo_listeddate(D897)),[1]!S_SHARE_TOTAL(D897,$G$5)),[1]!S_STM07_CS(D897,49,$G$5,$H$13)/$E$5))</f>
        <v/>
      </c>
      <c r="P897" s="250" t="str">
        <f ca="1">IF(C897="","",IF($P$11="CFPS",[1]!S_STM07_CS(D897,84,$G$5,$H$13)/IF([1]!S_SHARE_TOTAL(D897,$G$5)=0,[1]!S_SHARE_TOTAL(D897,[1]!s_ipo_listeddate(D897)),[1]!S_SHARE_TOTAL(D897,$G$5)),[1]!S_STM07_CS(D897,84,$G$5,$H$13)/$E$5))</f>
        <v/>
      </c>
      <c r="Q897" s="198" t="str">
        <f ca="1">IF(C897="","",F897/([1]!S_STM07_IS(D897,61,$G$5,$H$13)/IF([1]!S_SHARE_TOTAL(D897,$G$5)=0,[1]!S_SHARE_TOTAL(D897,[1]!s_ipo_listeddate(D897)),[1]!S_SHARE_TOTAL(D897,$G$5))))</f>
        <v/>
      </c>
      <c r="R897" s="198" t="str">
        <f ca="1">IF(C897="","",F897/([1]!S_STM07_BS(D897,141,$G$5,$H$13)/IF([1]!S_SHARE_TOTAL(D897,$G$5)=0,[1]!S_SHARE_TOTAL(D897,[1]!s_ipo_listeddate(D897)),[1]!S_SHARE_TOTAL(D897,$G$5))))</f>
        <v/>
      </c>
      <c r="S897" s="249" t="str">
        <f ca="1">IF(C897="","",[1]!S_SHARE_TOTAL(D897,TODAY())/$E$5)</f>
        <v/>
      </c>
      <c r="T897" s="249" t="str">
        <f t="shared" ca="1" si="91"/>
        <v/>
      </c>
      <c r="U897" s="172" t="str">
        <f t="shared" ca="1" si="92"/>
        <v/>
      </c>
      <c r="V897" s="343" t="str">
        <f t="shared" ca="1" si="93"/>
        <v/>
      </c>
      <c r="W897" s="139"/>
      <c r="Y897" s="1"/>
    </row>
    <row r="898" spans="3:25" ht="12" customHeight="1">
      <c r="C898" s="342" t="str">
        <f t="shared" ca="1" si="88"/>
        <v/>
      </c>
      <c r="D898" s="153" t="str">
        <f t="shared" ca="1" si="89"/>
        <v/>
      </c>
      <c r="E898" s="153" t="str">
        <f t="shared" ca="1" si="90"/>
        <v/>
      </c>
      <c r="F898" s="170" t="str">
        <f ca="1">IF(C898="","",[1]!S_DQ_CLOSE(D898,TODAY(),1))</f>
        <v/>
      </c>
      <c r="G898" s="171" t="str">
        <f ca="1">IF(C898="","",[1]!s_pq_pctchange(D898,TODAY()-$G$12,TODAY())/100)</f>
        <v/>
      </c>
      <c r="H898" s="247" t="str">
        <f ca="1">IF(C898="","",IF($H$11="收入",[1]!S_STM07_IS(D898,9,$G$5,$H$13)/$E$5,[1]!S_STM07_IS(D898,48,$G$5,$H$13)/$E$5))</f>
        <v/>
      </c>
      <c r="I898" s="247" t="str">
        <f ca="1">IF(C898="","",IF($I$11="毛利率",([1]!S_STM07_IS(D898,9,$G$5,$H$13)-[1]!S_STM07_IS(D898,10,$G$5,$H$13))/[1]!S_STM07_IS(D898,9,$G$5,$H$13),[1]!S_STM07_IS(D898,14,$G$5,$H$13)/$E$5))</f>
        <v/>
      </c>
      <c r="J898" s="247" t="str">
        <f ca="1">IF(C898="","",IF($J$11="营业利润率",[1]!S_STM07_IS(D898,48,$G$5,$H$13)/[1]!S_STM07_IS(D898,9,$G$5,$H$13),([1]!S_STM07_CS(D898,87,$G$5,$H$13)+[1]!S_STM07_CS(D898,88,$G$5,$H$13)+[1]!S_STM07_CS(D898,89,$G$5,$H$13))/$E$5))</f>
        <v/>
      </c>
      <c r="K898" s="247" t="str">
        <f ca="1">IF(C898="","",IF($K$11="净利润率",[1]!S_STM07_IS(D898,61,$G$5,$H$13)/[1]!S_STM07_IS(D898,9,$G$5,$H$13),[1]!S_STM07_IS(D898,55,$G$5,$H$13)/$E$5))</f>
        <v/>
      </c>
      <c r="L898" s="247" t="str">
        <f ca="1">IF(C898="","",IF($L$11="ROA",[1]!S_STM07_IS(D898,61,$G$5,$H$13)/[1]!S_STM07_BS(D898,74,$G$5,$H$13),1-[1]!S_STM07_IS(D898,61,$G$5,$H$13)/[1]!S_STM07_IS(D898,55,$G$5,$H$13)))</f>
        <v/>
      </c>
      <c r="M898" s="247" t="str">
        <f ca="1">IF(C898="","",IF($M$11="ROE",[1]!S_STM07_IS(D898,61,$G$5,$H$13)/[1]!S_STM07_BS(D898,141,$G$5,$H$13),([1]!S_STM07_BS(D898,25,$G$5,$H$13)-[1]!S_STM07_BS(D898,93,$G$5,$H$13))/$E$5))</f>
        <v/>
      </c>
      <c r="N898" s="247" t="str">
        <f ca="1">IF(C898="","",IF($N$11="EPS",[1]!S_STM07_IS(D898,61,$G$5,$H$13)/IF([1]!S_SHARE_TOTAL(D898,$G$5)=0,[1]!S_SHARE_TOTAL(D898,[1]!s_ipo_listeddate(D898)),[1]!S_SHARE_TOTAL(D898,$G$5)),([1]!S_STM07_BS(D898,75,$G$5,$H$13)+[1]!S_STM07_BS(D898,88,$G$5,$H$13)+[1]!S_STM07_BS(D898,94,$G$5,$H$13)+[1]!S_STM07_BS(D898,95,$G$5,$H$13))/$E$5))</f>
        <v/>
      </c>
      <c r="O898" s="247" t="str">
        <f ca="1">IF(C898="","",IF($O$11="BPS",[1]!S_STM07_BS(D898,141,$G$5,$H$13)/IF([1]!S_SHARE_TOTAL(D898,$G$5)=0,[1]!S_SHARE_TOTAL(D898,[1]!s_ipo_listeddate(D898)),[1]!S_SHARE_TOTAL(D898,$G$5)),[1]!S_STM07_CS(D898,49,$G$5,$H$13)/$E$5))</f>
        <v/>
      </c>
      <c r="P898" s="247" t="str">
        <f ca="1">IF(C898="","",IF($P$11="CFPS",[1]!S_STM07_CS(D898,84,$G$5,$H$13)/IF([1]!S_SHARE_TOTAL(D898,$G$5)=0,[1]!S_SHARE_TOTAL(D898,[1]!s_ipo_listeddate(D898)),[1]!S_SHARE_TOTAL(D898,$G$5)),[1]!S_STM07_CS(D898,84,$G$5,$H$13)/$E$5))</f>
        <v/>
      </c>
      <c r="Q898" s="248" t="str">
        <f ca="1">IF(C898="","",F898/([1]!S_STM07_IS(D898,61,$G$5,$H$13)/IF([1]!S_SHARE_TOTAL(D898,$G$5)=0,[1]!S_SHARE_TOTAL(D898,[1]!s_ipo_listeddate(D898)),[1]!S_SHARE_TOTAL(D898,$G$5))))</f>
        <v/>
      </c>
      <c r="R898" s="248" t="str">
        <f ca="1">IF(C898="","",F898/([1]!S_STM07_BS(D898,141,$G$5,$H$13)/IF([1]!S_SHARE_TOTAL(D898,$G$5)=0,[1]!S_SHARE_TOTAL(D898,[1]!s_ipo_listeddate(D898)),[1]!S_SHARE_TOTAL(D898,$G$5))))</f>
        <v/>
      </c>
      <c r="S898" s="247" t="str">
        <f ca="1">IF(C898="","",[1]!S_SHARE_TOTAL(D898,TODAY())/$E$5)</f>
        <v/>
      </c>
      <c r="T898" s="247" t="str">
        <f t="shared" ca="1" si="91"/>
        <v/>
      </c>
      <c r="U898" s="218" t="str">
        <f t="shared" ca="1" si="92"/>
        <v/>
      </c>
      <c r="V898" s="342" t="str">
        <f t="shared" ca="1" si="93"/>
        <v/>
      </c>
      <c r="W898" s="139"/>
      <c r="Y898" s="1"/>
    </row>
    <row r="899" spans="3:25" ht="12" customHeight="1">
      <c r="C899" s="343" t="str">
        <f t="shared" ca="1" si="88"/>
        <v/>
      </c>
      <c r="D899" s="124" t="str">
        <f t="shared" ca="1" si="89"/>
        <v/>
      </c>
      <c r="E899" s="124" t="str">
        <f t="shared" ca="1" si="90"/>
        <v/>
      </c>
      <c r="F899" s="172" t="str">
        <f ca="1">IF(C899="","",[1]!S_DQ_CLOSE(D899,TODAY(),1))</f>
        <v/>
      </c>
      <c r="G899" s="173" t="str">
        <f ca="1">IF(C899="","",[1]!s_pq_pctchange(D899,TODAY()-$G$12,TODAY())/100)</f>
        <v/>
      </c>
      <c r="H899" s="249" t="str">
        <f ca="1">IF(C899="","",IF($H$11="收入",[1]!S_STM07_IS(D899,9,$G$5,$H$13)/$E$5,[1]!S_STM07_IS(D899,48,$G$5,$H$13)/$E$5))</f>
        <v/>
      </c>
      <c r="I899" s="249" t="str">
        <f ca="1">IF(C899="","",IF($I$11="毛利率",([1]!S_STM07_IS(D899,9,$G$5,$H$13)-[1]!S_STM07_IS(D899,10,$G$5,$H$13))/[1]!S_STM07_IS(D899,9,$G$5,$H$13),[1]!S_STM07_IS(D899,14,$G$5,$H$13)/$E$5))</f>
        <v/>
      </c>
      <c r="J899" s="249" t="str">
        <f ca="1">IF(C899="","",IF($J$11="营业利润率",[1]!S_STM07_IS(D899,48,$G$5,$H$13)/[1]!S_STM07_IS(D899,9,$G$5,$H$13),([1]!S_STM07_CS(D899,87,$G$5,$H$13)+[1]!S_STM07_CS(D899,88,$G$5,$H$13)+[1]!S_STM07_CS(D899,89,$G$5,$H$13))/$E$5))</f>
        <v/>
      </c>
      <c r="K899" s="249" t="str">
        <f ca="1">IF(C899="","",IF($K$11="净利润率",[1]!S_STM07_IS(D899,61,$G$5,$H$13)/[1]!S_STM07_IS(D899,9,$G$5,$H$13),[1]!S_STM07_IS(D899,55,$G$5,$H$13)/$E$5))</f>
        <v/>
      </c>
      <c r="L899" s="249" t="str">
        <f ca="1">IF(C899="","",IF($L$11="ROA",[1]!S_STM07_IS(D899,61,$G$5,$H$13)/[1]!S_STM07_BS(D899,74,$G$5,$H$13),1-[1]!S_STM07_IS(D899,61,$G$5,$H$13)/[1]!S_STM07_IS(D899,55,$G$5,$H$13)))</f>
        <v/>
      </c>
      <c r="M899" s="249" t="str">
        <f ca="1">IF(C899="","",IF($M$11="ROE",[1]!S_STM07_IS(D899,61,$G$5,$H$13)/[1]!S_STM07_BS(D899,141,$G$5,$H$13),([1]!S_STM07_BS(D899,25,$G$5,$H$13)-[1]!S_STM07_BS(D899,93,$G$5,$H$13))/$E$5))</f>
        <v/>
      </c>
      <c r="N899" s="250" t="str">
        <f ca="1">IF(C899="","",IF($N$11="EPS",[1]!S_STM07_IS(D899,61,$G$5,$H$13)/IF([1]!S_SHARE_TOTAL(D899,$G$5)=0,[1]!S_SHARE_TOTAL(D899,[1]!s_ipo_listeddate(D899)),[1]!S_SHARE_TOTAL(D899,$G$5)),([1]!S_STM07_BS(D899,75,$G$5,$H$13)+[1]!S_STM07_BS(D899,88,$G$5,$H$13)+[1]!S_STM07_BS(D899,94,$G$5,$H$13)+[1]!S_STM07_BS(D899,95,$G$5,$H$13))/$E$5))</f>
        <v/>
      </c>
      <c r="O899" s="250" t="str">
        <f ca="1">IF(C899="","",IF($O$11="BPS",[1]!S_STM07_BS(D899,141,$G$5,$H$13)/IF([1]!S_SHARE_TOTAL(D899,$G$5)=0,[1]!S_SHARE_TOTAL(D899,[1]!s_ipo_listeddate(D899)),[1]!S_SHARE_TOTAL(D899,$G$5)),[1]!S_STM07_CS(D899,49,$G$5,$H$13)/$E$5))</f>
        <v/>
      </c>
      <c r="P899" s="250" t="str">
        <f ca="1">IF(C899="","",IF($P$11="CFPS",[1]!S_STM07_CS(D899,84,$G$5,$H$13)/IF([1]!S_SHARE_TOTAL(D899,$G$5)=0,[1]!S_SHARE_TOTAL(D899,[1]!s_ipo_listeddate(D899)),[1]!S_SHARE_TOTAL(D899,$G$5)),[1]!S_STM07_CS(D899,84,$G$5,$H$13)/$E$5))</f>
        <v/>
      </c>
      <c r="Q899" s="198" t="str">
        <f ca="1">IF(C899="","",F899/([1]!S_STM07_IS(D899,61,$G$5,$H$13)/IF([1]!S_SHARE_TOTAL(D899,$G$5)=0,[1]!S_SHARE_TOTAL(D899,[1]!s_ipo_listeddate(D899)),[1]!S_SHARE_TOTAL(D899,$G$5))))</f>
        <v/>
      </c>
      <c r="R899" s="198" t="str">
        <f ca="1">IF(C899="","",F899/([1]!S_STM07_BS(D899,141,$G$5,$H$13)/IF([1]!S_SHARE_TOTAL(D899,$G$5)=0,[1]!S_SHARE_TOTAL(D899,[1]!s_ipo_listeddate(D899)),[1]!S_SHARE_TOTAL(D899,$G$5))))</f>
        <v/>
      </c>
      <c r="S899" s="249" t="str">
        <f ca="1">IF(C899="","",[1]!S_SHARE_TOTAL(D899,TODAY())/$E$5)</f>
        <v/>
      </c>
      <c r="T899" s="249" t="str">
        <f t="shared" ca="1" si="91"/>
        <v/>
      </c>
      <c r="U899" s="172" t="str">
        <f t="shared" ca="1" si="92"/>
        <v/>
      </c>
      <c r="V899" s="343" t="str">
        <f t="shared" ca="1" si="93"/>
        <v/>
      </c>
      <c r="W899" s="139"/>
      <c r="Y899" s="1"/>
    </row>
    <row r="900" spans="3:25" ht="12" customHeight="1">
      <c r="C900" s="342" t="str">
        <f t="shared" ca="1" si="88"/>
        <v/>
      </c>
      <c r="D900" s="153" t="str">
        <f t="shared" ca="1" si="89"/>
        <v/>
      </c>
      <c r="E900" s="153" t="str">
        <f t="shared" ca="1" si="90"/>
        <v/>
      </c>
      <c r="F900" s="170" t="str">
        <f ca="1">IF(C900="","",[1]!S_DQ_CLOSE(D900,TODAY(),1))</f>
        <v/>
      </c>
      <c r="G900" s="171" t="str">
        <f ca="1">IF(C900="","",[1]!s_pq_pctchange(D900,TODAY()-$G$12,TODAY())/100)</f>
        <v/>
      </c>
      <c r="H900" s="247" t="str">
        <f ca="1">IF(C900="","",IF($H$11="收入",[1]!S_STM07_IS(D900,9,$G$5,$H$13)/$E$5,[1]!S_STM07_IS(D900,48,$G$5,$H$13)/$E$5))</f>
        <v/>
      </c>
      <c r="I900" s="247" t="str">
        <f ca="1">IF(C900="","",IF($I$11="毛利率",([1]!S_STM07_IS(D900,9,$G$5,$H$13)-[1]!S_STM07_IS(D900,10,$G$5,$H$13))/[1]!S_STM07_IS(D900,9,$G$5,$H$13),[1]!S_STM07_IS(D900,14,$G$5,$H$13)/$E$5))</f>
        <v/>
      </c>
      <c r="J900" s="247" t="str">
        <f ca="1">IF(C900="","",IF($J$11="营业利润率",[1]!S_STM07_IS(D900,48,$G$5,$H$13)/[1]!S_STM07_IS(D900,9,$G$5,$H$13),([1]!S_STM07_CS(D900,87,$G$5,$H$13)+[1]!S_STM07_CS(D900,88,$G$5,$H$13)+[1]!S_STM07_CS(D900,89,$G$5,$H$13))/$E$5))</f>
        <v/>
      </c>
      <c r="K900" s="247" t="str">
        <f ca="1">IF(C900="","",IF($K$11="净利润率",[1]!S_STM07_IS(D900,61,$G$5,$H$13)/[1]!S_STM07_IS(D900,9,$G$5,$H$13),[1]!S_STM07_IS(D900,55,$G$5,$H$13)/$E$5))</f>
        <v/>
      </c>
      <c r="L900" s="247" t="str">
        <f ca="1">IF(C900="","",IF($L$11="ROA",[1]!S_STM07_IS(D900,61,$G$5,$H$13)/[1]!S_STM07_BS(D900,74,$G$5,$H$13),1-[1]!S_STM07_IS(D900,61,$G$5,$H$13)/[1]!S_STM07_IS(D900,55,$G$5,$H$13)))</f>
        <v/>
      </c>
      <c r="M900" s="247" t="str">
        <f ca="1">IF(C900="","",IF($M$11="ROE",[1]!S_STM07_IS(D900,61,$G$5,$H$13)/[1]!S_STM07_BS(D900,141,$G$5,$H$13),([1]!S_STM07_BS(D900,25,$G$5,$H$13)-[1]!S_STM07_BS(D900,93,$G$5,$H$13))/$E$5))</f>
        <v/>
      </c>
      <c r="N900" s="247" t="str">
        <f ca="1">IF(C900="","",IF($N$11="EPS",[1]!S_STM07_IS(D900,61,$G$5,$H$13)/IF([1]!S_SHARE_TOTAL(D900,$G$5)=0,[1]!S_SHARE_TOTAL(D900,[1]!s_ipo_listeddate(D900)),[1]!S_SHARE_TOTAL(D900,$G$5)),([1]!S_STM07_BS(D900,75,$G$5,$H$13)+[1]!S_STM07_BS(D900,88,$G$5,$H$13)+[1]!S_STM07_BS(D900,94,$G$5,$H$13)+[1]!S_STM07_BS(D900,95,$G$5,$H$13))/$E$5))</f>
        <v/>
      </c>
      <c r="O900" s="247" t="str">
        <f ca="1">IF(C900="","",IF($O$11="BPS",[1]!S_STM07_BS(D900,141,$G$5,$H$13)/IF([1]!S_SHARE_TOTAL(D900,$G$5)=0,[1]!S_SHARE_TOTAL(D900,[1]!s_ipo_listeddate(D900)),[1]!S_SHARE_TOTAL(D900,$G$5)),[1]!S_STM07_CS(D900,49,$G$5,$H$13)/$E$5))</f>
        <v/>
      </c>
      <c r="P900" s="247" t="str">
        <f ca="1">IF(C900="","",IF($P$11="CFPS",[1]!S_STM07_CS(D900,84,$G$5,$H$13)/IF([1]!S_SHARE_TOTAL(D900,$G$5)=0,[1]!S_SHARE_TOTAL(D900,[1]!s_ipo_listeddate(D900)),[1]!S_SHARE_TOTAL(D900,$G$5)),[1]!S_STM07_CS(D900,84,$G$5,$H$13)/$E$5))</f>
        <v/>
      </c>
      <c r="Q900" s="248" t="str">
        <f ca="1">IF(C900="","",F900/([1]!S_STM07_IS(D900,61,$G$5,$H$13)/IF([1]!S_SHARE_TOTAL(D900,$G$5)=0,[1]!S_SHARE_TOTAL(D900,[1]!s_ipo_listeddate(D900)),[1]!S_SHARE_TOTAL(D900,$G$5))))</f>
        <v/>
      </c>
      <c r="R900" s="248" t="str">
        <f ca="1">IF(C900="","",F900/([1]!S_STM07_BS(D900,141,$G$5,$H$13)/IF([1]!S_SHARE_TOTAL(D900,$G$5)=0,[1]!S_SHARE_TOTAL(D900,[1]!s_ipo_listeddate(D900)),[1]!S_SHARE_TOTAL(D900,$G$5))))</f>
        <v/>
      </c>
      <c r="S900" s="247" t="str">
        <f ca="1">IF(C900="","",[1]!S_SHARE_TOTAL(D900,TODAY())/$E$5)</f>
        <v/>
      </c>
      <c r="T900" s="247" t="str">
        <f t="shared" ca="1" si="91"/>
        <v/>
      </c>
      <c r="U900" s="218" t="str">
        <f t="shared" ca="1" si="92"/>
        <v/>
      </c>
      <c r="V900" s="342" t="str">
        <f t="shared" ca="1" si="93"/>
        <v/>
      </c>
      <c r="W900" s="139"/>
      <c r="Y900" s="1"/>
    </row>
    <row r="901" spans="3:25" ht="12" customHeight="1">
      <c r="C901" s="343" t="str">
        <f t="shared" ca="1" si="88"/>
        <v/>
      </c>
      <c r="D901" s="124" t="str">
        <f t="shared" ca="1" si="89"/>
        <v/>
      </c>
      <c r="E901" s="124" t="str">
        <f t="shared" ca="1" si="90"/>
        <v/>
      </c>
      <c r="F901" s="172" t="str">
        <f ca="1">IF(C901="","",[1]!S_DQ_CLOSE(D901,TODAY(),1))</f>
        <v/>
      </c>
      <c r="G901" s="173" t="str">
        <f ca="1">IF(C901="","",[1]!s_pq_pctchange(D901,TODAY()-$G$12,TODAY())/100)</f>
        <v/>
      </c>
      <c r="H901" s="249" t="str">
        <f ca="1">IF(C901="","",IF($H$11="收入",[1]!S_STM07_IS(D901,9,$G$5,$H$13)/$E$5,[1]!S_STM07_IS(D901,48,$G$5,$H$13)/$E$5))</f>
        <v/>
      </c>
      <c r="I901" s="249" t="str">
        <f ca="1">IF(C901="","",IF($I$11="毛利率",([1]!S_STM07_IS(D901,9,$G$5,$H$13)-[1]!S_STM07_IS(D901,10,$G$5,$H$13))/[1]!S_STM07_IS(D901,9,$G$5,$H$13),[1]!S_STM07_IS(D901,14,$G$5,$H$13)/$E$5))</f>
        <v/>
      </c>
      <c r="J901" s="249" t="str">
        <f ca="1">IF(C901="","",IF($J$11="营业利润率",[1]!S_STM07_IS(D901,48,$G$5,$H$13)/[1]!S_STM07_IS(D901,9,$G$5,$H$13),([1]!S_STM07_CS(D901,87,$G$5,$H$13)+[1]!S_STM07_CS(D901,88,$G$5,$H$13)+[1]!S_STM07_CS(D901,89,$G$5,$H$13))/$E$5))</f>
        <v/>
      </c>
      <c r="K901" s="249" t="str">
        <f ca="1">IF(C901="","",IF($K$11="净利润率",[1]!S_STM07_IS(D901,61,$G$5,$H$13)/[1]!S_STM07_IS(D901,9,$G$5,$H$13),[1]!S_STM07_IS(D901,55,$G$5,$H$13)/$E$5))</f>
        <v/>
      </c>
      <c r="L901" s="249" t="str">
        <f ca="1">IF(C901="","",IF($L$11="ROA",[1]!S_STM07_IS(D901,61,$G$5,$H$13)/[1]!S_STM07_BS(D901,74,$G$5,$H$13),1-[1]!S_STM07_IS(D901,61,$G$5,$H$13)/[1]!S_STM07_IS(D901,55,$G$5,$H$13)))</f>
        <v/>
      </c>
      <c r="M901" s="249" t="str">
        <f ca="1">IF(C901="","",IF($M$11="ROE",[1]!S_STM07_IS(D901,61,$G$5,$H$13)/[1]!S_STM07_BS(D901,141,$G$5,$H$13),([1]!S_STM07_BS(D901,25,$G$5,$H$13)-[1]!S_STM07_BS(D901,93,$G$5,$H$13))/$E$5))</f>
        <v/>
      </c>
      <c r="N901" s="250" t="str">
        <f ca="1">IF(C901="","",IF($N$11="EPS",[1]!S_STM07_IS(D901,61,$G$5,$H$13)/IF([1]!S_SHARE_TOTAL(D901,$G$5)=0,[1]!S_SHARE_TOTAL(D901,[1]!s_ipo_listeddate(D901)),[1]!S_SHARE_TOTAL(D901,$G$5)),([1]!S_STM07_BS(D901,75,$G$5,$H$13)+[1]!S_STM07_BS(D901,88,$G$5,$H$13)+[1]!S_STM07_BS(D901,94,$G$5,$H$13)+[1]!S_STM07_BS(D901,95,$G$5,$H$13))/$E$5))</f>
        <v/>
      </c>
      <c r="O901" s="250" t="str">
        <f ca="1">IF(C901="","",IF($O$11="BPS",[1]!S_STM07_BS(D901,141,$G$5,$H$13)/IF([1]!S_SHARE_TOTAL(D901,$G$5)=0,[1]!S_SHARE_TOTAL(D901,[1]!s_ipo_listeddate(D901)),[1]!S_SHARE_TOTAL(D901,$G$5)),[1]!S_STM07_CS(D901,49,$G$5,$H$13)/$E$5))</f>
        <v/>
      </c>
      <c r="P901" s="250" t="str">
        <f ca="1">IF(C901="","",IF($P$11="CFPS",[1]!S_STM07_CS(D901,84,$G$5,$H$13)/IF([1]!S_SHARE_TOTAL(D901,$G$5)=0,[1]!S_SHARE_TOTAL(D901,[1]!s_ipo_listeddate(D901)),[1]!S_SHARE_TOTAL(D901,$G$5)),[1]!S_STM07_CS(D901,84,$G$5,$H$13)/$E$5))</f>
        <v/>
      </c>
      <c r="Q901" s="198" t="str">
        <f ca="1">IF(C901="","",F901/([1]!S_STM07_IS(D901,61,$G$5,$H$13)/IF([1]!S_SHARE_TOTAL(D901,$G$5)=0,[1]!S_SHARE_TOTAL(D901,[1]!s_ipo_listeddate(D901)),[1]!S_SHARE_TOTAL(D901,$G$5))))</f>
        <v/>
      </c>
      <c r="R901" s="198" t="str">
        <f ca="1">IF(C901="","",F901/([1]!S_STM07_BS(D901,141,$G$5,$H$13)/IF([1]!S_SHARE_TOTAL(D901,$G$5)=0,[1]!S_SHARE_TOTAL(D901,[1]!s_ipo_listeddate(D901)),[1]!S_SHARE_TOTAL(D901,$G$5))))</f>
        <v/>
      </c>
      <c r="S901" s="249" t="str">
        <f ca="1">IF(C901="","",[1]!S_SHARE_TOTAL(D901,TODAY())/$E$5)</f>
        <v/>
      </c>
      <c r="T901" s="249" t="str">
        <f t="shared" ca="1" si="91"/>
        <v/>
      </c>
      <c r="U901" s="172" t="str">
        <f t="shared" ca="1" si="92"/>
        <v/>
      </c>
      <c r="V901" s="343" t="str">
        <f t="shared" ca="1" si="93"/>
        <v/>
      </c>
      <c r="W901" s="139"/>
      <c r="Y901" s="1"/>
    </row>
    <row r="902" spans="3:25" ht="12" customHeight="1">
      <c r="C902" s="342" t="str">
        <f t="shared" ca="1" si="88"/>
        <v/>
      </c>
      <c r="D902" s="153" t="str">
        <f t="shared" ca="1" si="89"/>
        <v/>
      </c>
      <c r="E902" s="153" t="str">
        <f t="shared" ca="1" si="90"/>
        <v/>
      </c>
      <c r="F902" s="170" t="str">
        <f ca="1">IF(C902="","",[1]!S_DQ_CLOSE(D902,TODAY(),1))</f>
        <v/>
      </c>
      <c r="G902" s="171" t="str">
        <f ca="1">IF(C902="","",[1]!s_pq_pctchange(D902,TODAY()-$G$12,TODAY())/100)</f>
        <v/>
      </c>
      <c r="H902" s="247" t="str">
        <f ca="1">IF(C902="","",IF($H$11="收入",[1]!S_STM07_IS(D902,9,$G$5,$H$13)/$E$5,[1]!S_STM07_IS(D902,48,$G$5,$H$13)/$E$5))</f>
        <v/>
      </c>
      <c r="I902" s="247" t="str">
        <f ca="1">IF(C902="","",IF($I$11="毛利率",([1]!S_STM07_IS(D902,9,$G$5,$H$13)-[1]!S_STM07_IS(D902,10,$G$5,$H$13))/[1]!S_STM07_IS(D902,9,$G$5,$H$13),[1]!S_STM07_IS(D902,14,$G$5,$H$13)/$E$5))</f>
        <v/>
      </c>
      <c r="J902" s="247" t="str">
        <f ca="1">IF(C902="","",IF($J$11="营业利润率",[1]!S_STM07_IS(D902,48,$G$5,$H$13)/[1]!S_STM07_IS(D902,9,$G$5,$H$13),([1]!S_STM07_CS(D902,87,$G$5,$H$13)+[1]!S_STM07_CS(D902,88,$G$5,$H$13)+[1]!S_STM07_CS(D902,89,$G$5,$H$13))/$E$5))</f>
        <v/>
      </c>
      <c r="K902" s="247" t="str">
        <f ca="1">IF(C902="","",IF($K$11="净利润率",[1]!S_STM07_IS(D902,61,$G$5,$H$13)/[1]!S_STM07_IS(D902,9,$G$5,$H$13),[1]!S_STM07_IS(D902,55,$G$5,$H$13)/$E$5))</f>
        <v/>
      </c>
      <c r="L902" s="247" t="str">
        <f ca="1">IF(C902="","",IF($L$11="ROA",[1]!S_STM07_IS(D902,61,$G$5,$H$13)/[1]!S_STM07_BS(D902,74,$G$5,$H$13),1-[1]!S_STM07_IS(D902,61,$G$5,$H$13)/[1]!S_STM07_IS(D902,55,$G$5,$H$13)))</f>
        <v/>
      </c>
      <c r="M902" s="247" t="str">
        <f ca="1">IF(C902="","",IF($M$11="ROE",[1]!S_STM07_IS(D902,61,$G$5,$H$13)/[1]!S_STM07_BS(D902,141,$G$5,$H$13),([1]!S_STM07_BS(D902,25,$G$5,$H$13)-[1]!S_STM07_BS(D902,93,$G$5,$H$13))/$E$5))</f>
        <v/>
      </c>
      <c r="N902" s="247" t="str">
        <f ca="1">IF(C902="","",IF($N$11="EPS",[1]!S_STM07_IS(D902,61,$G$5,$H$13)/IF([1]!S_SHARE_TOTAL(D902,$G$5)=0,[1]!S_SHARE_TOTAL(D902,[1]!s_ipo_listeddate(D902)),[1]!S_SHARE_TOTAL(D902,$G$5)),([1]!S_STM07_BS(D902,75,$G$5,$H$13)+[1]!S_STM07_BS(D902,88,$G$5,$H$13)+[1]!S_STM07_BS(D902,94,$G$5,$H$13)+[1]!S_STM07_BS(D902,95,$G$5,$H$13))/$E$5))</f>
        <v/>
      </c>
      <c r="O902" s="247" t="str">
        <f ca="1">IF(C902="","",IF($O$11="BPS",[1]!S_STM07_BS(D902,141,$G$5,$H$13)/IF([1]!S_SHARE_TOTAL(D902,$G$5)=0,[1]!S_SHARE_TOTAL(D902,[1]!s_ipo_listeddate(D902)),[1]!S_SHARE_TOTAL(D902,$G$5)),[1]!S_STM07_CS(D902,49,$G$5,$H$13)/$E$5))</f>
        <v/>
      </c>
      <c r="P902" s="247" t="str">
        <f ca="1">IF(C902="","",IF($P$11="CFPS",[1]!S_STM07_CS(D902,84,$G$5,$H$13)/IF([1]!S_SHARE_TOTAL(D902,$G$5)=0,[1]!S_SHARE_TOTAL(D902,[1]!s_ipo_listeddate(D902)),[1]!S_SHARE_TOTAL(D902,$G$5)),[1]!S_STM07_CS(D902,84,$G$5,$H$13)/$E$5))</f>
        <v/>
      </c>
      <c r="Q902" s="248" t="str">
        <f ca="1">IF(C902="","",F902/([1]!S_STM07_IS(D902,61,$G$5,$H$13)/IF([1]!S_SHARE_TOTAL(D902,$G$5)=0,[1]!S_SHARE_TOTAL(D902,[1]!s_ipo_listeddate(D902)),[1]!S_SHARE_TOTAL(D902,$G$5))))</f>
        <v/>
      </c>
      <c r="R902" s="248" t="str">
        <f ca="1">IF(C902="","",F902/([1]!S_STM07_BS(D902,141,$G$5,$H$13)/IF([1]!S_SHARE_TOTAL(D902,$G$5)=0,[1]!S_SHARE_TOTAL(D902,[1]!s_ipo_listeddate(D902)),[1]!S_SHARE_TOTAL(D902,$G$5))))</f>
        <v/>
      </c>
      <c r="S902" s="247" t="str">
        <f ca="1">IF(C902="","",[1]!S_SHARE_TOTAL(D902,TODAY())/$E$5)</f>
        <v/>
      </c>
      <c r="T902" s="247" t="str">
        <f t="shared" ca="1" si="91"/>
        <v/>
      </c>
      <c r="U902" s="218" t="str">
        <f t="shared" ca="1" si="92"/>
        <v/>
      </c>
      <c r="V902" s="342" t="str">
        <f t="shared" ca="1" si="93"/>
        <v/>
      </c>
      <c r="W902" s="139"/>
      <c r="Y902" s="1"/>
    </row>
    <row r="903" spans="3:25" ht="12" customHeight="1">
      <c r="C903" s="343" t="str">
        <f t="shared" ca="1" si="88"/>
        <v/>
      </c>
      <c r="D903" s="124" t="str">
        <f t="shared" ca="1" si="89"/>
        <v/>
      </c>
      <c r="E903" s="124" t="str">
        <f t="shared" ca="1" si="90"/>
        <v/>
      </c>
      <c r="F903" s="172" t="str">
        <f ca="1">IF(C903="","",[1]!S_DQ_CLOSE(D903,TODAY(),1))</f>
        <v/>
      </c>
      <c r="G903" s="173" t="str">
        <f ca="1">IF(C903="","",[1]!s_pq_pctchange(D903,TODAY()-$G$12,TODAY())/100)</f>
        <v/>
      </c>
      <c r="H903" s="249" t="str">
        <f ca="1">IF(C903="","",IF($H$11="收入",[1]!S_STM07_IS(D903,9,$G$5,$H$13)/$E$5,[1]!S_STM07_IS(D903,48,$G$5,$H$13)/$E$5))</f>
        <v/>
      </c>
      <c r="I903" s="249" t="str">
        <f ca="1">IF(C903="","",IF($I$11="毛利率",([1]!S_STM07_IS(D903,9,$G$5,$H$13)-[1]!S_STM07_IS(D903,10,$G$5,$H$13))/[1]!S_STM07_IS(D903,9,$G$5,$H$13),[1]!S_STM07_IS(D903,14,$G$5,$H$13)/$E$5))</f>
        <v/>
      </c>
      <c r="J903" s="249" t="str">
        <f ca="1">IF(C903="","",IF($J$11="营业利润率",[1]!S_STM07_IS(D903,48,$G$5,$H$13)/[1]!S_STM07_IS(D903,9,$G$5,$H$13),([1]!S_STM07_CS(D903,87,$G$5,$H$13)+[1]!S_STM07_CS(D903,88,$G$5,$H$13)+[1]!S_STM07_CS(D903,89,$G$5,$H$13))/$E$5))</f>
        <v/>
      </c>
      <c r="K903" s="249" t="str">
        <f ca="1">IF(C903="","",IF($K$11="净利润率",[1]!S_STM07_IS(D903,61,$G$5,$H$13)/[1]!S_STM07_IS(D903,9,$G$5,$H$13),[1]!S_STM07_IS(D903,55,$G$5,$H$13)/$E$5))</f>
        <v/>
      </c>
      <c r="L903" s="249" t="str">
        <f ca="1">IF(C903="","",IF($L$11="ROA",[1]!S_STM07_IS(D903,61,$G$5,$H$13)/[1]!S_STM07_BS(D903,74,$G$5,$H$13),1-[1]!S_STM07_IS(D903,61,$G$5,$H$13)/[1]!S_STM07_IS(D903,55,$G$5,$H$13)))</f>
        <v/>
      </c>
      <c r="M903" s="249" t="str">
        <f ca="1">IF(C903="","",IF($M$11="ROE",[1]!S_STM07_IS(D903,61,$G$5,$H$13)/[1]!S_STM07_BS(D903,141,$G$5,$H$13),([1]!S_STM07_BS(D903,25,$G$5,$H$13)-[1]!S_STM07_BS(D903,93,$G$5,$H$13))/$E$5))</f>
        <v/>
      </c>
      <c r="N903" s="250" t="str">
        <f ca="1">IF(C903="","",IF($N$11="EPS",[1]!S_STM07_IS(D903,61,$G$5,$H$13)/IF([1]!S_SHARE_TOTAL(D903,$G$5)=0,[1]!S_SHARE_TOTAL(D903,[1]!s_ipo_listeddate(D903)),[1]!S_SHARE_TOTAL(D903,$G$5)),([1]!S_STM07_BS(D903,75,$G$5,$H$13)+[1]!S_STM07_BS(D903,88,$G$5,$H$13)+[1]!S_STM07_BS(D903,94,$G$5,$H$13)+[1]!S_STM07_BS(D903,95,$G$5,$H$13))/$E$5))</f>
        <v/>
      </c>
      <c r="O903" s="250" t="str">
        <f ca="1">IF(C903="","",IF($O$11="BPS",[1]!S_STM07_BS(D903,141,$G$5,$H$13)/IF([1]!S_SHARE_TOTAL(D903,$G$5)=0,[1]!S_SHARE_TOTAL(D903,[1]!s_ipo_listeddate(D903)),[1]!S_SHARE_TOTAL(D903,$G$5)),[1]!S_STM07_CS(D903,49,$G$5,$H$13)/$E$5))</f>
        <v/>
      </c>
      <c r="P903" s="250" t="str">
        <f ca="1">IF(C903="","",IF($P$11="CFPS",[1]!S_STM07_CS(D903,84,$G$5,$H$13)/IF([1]!S_SHARE_TOTAL(D903,$G$5)=0,[1]!S_SHARE_TOTAL(D903,[1]!s_ipo_listeddate(D903)),[1]!S_SHARE_TOTAL(D903,$G$5)),[1]!S_STM07_CS(D903,84,$G$5,$H$13)/$E$5))</f>
        <v/>
      </c>
      <c r="Q903" s="198" t="str">
        <f ca="1">IF(C903="","",F903/([1]!S_STM07_IS(D903,61,$G$5,$H$13)/IF([1]!S_SHARE_TOTAL(D903,$G$5)=0,[1]!S_SHARE_TOTAL(D903,[1]!s_ipo_listeddate(D903)),[1]!S_SHARE_TOTAL(D903,$G$5))))</f>
        <v/>
      </c>
      <c r="R903" s="198" t="str">
        <f ca="1">IF(C903="","",F903/([1]!S_STM07_BS(D903,141,$G$5,$H$13)/IF([1]!S_SHARE_TOTAL(D903,$G$5)=0,[1]!S_SHARE_TOTAL(D903,[1]!s_ipo_listeddate(D903)),[1]!S_SHARE_TOTAL(D903,$G$5))))</f>
        <v/>
      </c>
      <c r="S903" s="249" t="str">
        <f ca="1">IF(C903="","",[1]!S_SHARE_TOTAL(D903,TODAY())/$E$5)</f>
        <v/>
      </c>
      <c r="T903" s="249" t="str">
        <f t="shared" ca="1" si="91"/>
        <v/>
      </c>
      <c r="U903" s="172" t="str">
        <f t="shared" ca="1" si="92"/>
        <v/>
      </c>
      <c r="V903" s="343" t="str">
        <f t="shared" ca="1" si="93"/>
        <v/>
      </c>
      <c r="W903" s="139"/>
      <c r="Y903" s="1"/>
    </row>
    <row r="904" spans="3:25" ht="12" customHeight="1">
      <c r="C904" s="342" t="str">
        <f t="shared" ca="1" si="88"/>
        <v/>
      </c>
      <c r="D904" s="153" t="str">
        <f t="shared" ca="1" si="89"/>
        <v/>
      </c>
      <c r="E904" s="153" t="str">
        <f t="shared" ca="1" si="90"/>
        <v/>
      </c>
      <c r="F904" s="170" t="str">
        <f ca="1">IF(C904="","",[1]!S_DQ_CLOSE(D904,TODAY(),1))</f>
        <v/>
      </c>
      <c r="G904" s="171" t="str">
        <f ca="1">IF(C904="","",[1]!s_pq_pctchange(D904,TODAY()-$G$12,TODAY())/100)</f>
        <v/>
      </c>
      <c r="H904" s="247" t="str">
        <f ca="1">IF(C904="","",IF($H$11="收入",[1]!S_STM07_IS(D904,9,$G$5,$H$13)/$E$5,[1]!S_STM07_IS(D904,48,$G$5,$H$13)/$E$5))</f>
        <v/>
      </c>
      <c r="I904" s="247" t="str">
        <f ca="1">IF(C904="","",IF($I$11="毛利率",([1]!S_STM07_IS(D904,9,$G$5,$H$13)-[1]!S_STM07_IS(D904,10,$G$5,$H$13))/[1]!S_STM07_IS(D904,9,$G$5,$H$13),[1]!S_STM07_IS(D904,14,$G$5,$H$13)/$E$5))</f>
        <v/>
      </c>
      <c r="J904" s="247" t="str">
        <f ca="1">IF(C904="","",IF($J$11="营业利润率",[1]!S_STM07_IS(D904,48,$G$5,$H$13)/[1]!S_STM07_IS(D904,9,$G$5,$H$13),([1]!S_STM07_CS(D904,87,$G$5,$H$13)+[1]!S_STM07_CS(D904,88,$G$5,$H$13)+[1]!S_STM07_CS(D904,89,$G$5,$H$13))/$E$5))</f>
        <v/>
      </c>
      <c r="K904" s="247" t="str">
        <f ca="1">IF(C904="","",IF($K$11="净利润率",[1]!S_STM07_IS(D904,61,$G$5,$H$13)/[1]!S_STM07_IS(D904,9,$G$5,$H$13),[1]!S_STM07_IS(D904,55,$G$5,$H$13)/$E$5))</f>
        <v/>
      </c>
      <c r="L904" s="247" t="str">
        <f ca="1">IF(C904="","",IF($L$11="ROA",[1]!S_STM07_IS(D904,61,$G$5,$H$13)/[1]!S_STM07_BS(D904,74,$G$5,$H$13),1-[1]!S_STM07_IS(D904,61,$G$5,$H$13)/[1]!S_STM07_IS(D904,55,$G$5,$H$13)))</f>
        <v/>
      </c>
      <c r="M904" s="247" t="str">
        <f ca="1">IF(C904="","",IF($M$11="ROE",[1]!S_STM07_IS(D904,61,$G$5,$H$13)/[1]!S_STM07_BS(D904,141,$G$5,$H$13),([1]!S_STM07_BS(D904,25,$G$5,$H$13)-[1]!S_STM07_BS(D904,93,$G$5,$H$13))/$E$5))</f>
        <v/>
      </c>
      <c r="N904" s="247" t="str">
        <f ca="1">IF(C904="","",IF($N$11="EPS",[1]!S_STM07_IS(D904,61,$G$5,$H$13)/IF([1]!S_SHARE_TOTAL(D904,$G$5)=0,[1]!S_SHARE_TOTAL(D904,[1]!s_ipo_listeddate(D904)),[1]!S_SHARE_TOTAL(D904,$G$5)),([1]!S_STM07_BS(D904,75,$G$5,$H$13)+[1]!S_STM07_BS(D904,88,$G$5,$H$13)+[1]!S_STM07_BS(D904,94,$G$5,$H$13)+[1]!S_STM07_BS(D904,95,$G$5,$H$13))/$E$5))</f>
        <v/>
      </c>
      <c r="O904" s="247" t="str">
        <f ca="1">IF(C904="","",IF($O$11="BPS",[1]!S_STM07_BS(D904,141,$G$5,$H$13)/IF([1]!S_SHARE_TOTAL(D904,$G$5)=0,[1]!S_SHARE_TOTAL(D904,[1]!s_ipo_listeddate(D904)),[1]!S_SHARE_TOTAL(D904,$G$5)),[1]!S_STM07_CS(D904,49,$G$5,$H$13)/$E$5))</f>
        <v/>
      </c>
      <c r="P904" s="247" t="str">
        <f ca="1">IF(C904="","",IF($P$11="CFPS",[1]!S_STM07_CS(D904,84,$G$5,$H$13)/IF([1]!S_SHARE_TOTAL(D904,$G$5)=0,[1]!S_SHARE_TOTAL(D904,[1]!s_ipo_listeddate(D904)),[1]!S_SHARE_TOTAL(D904,$G$5)),[1]!S_STM07_CS(D904,84,$G$5,$H$13)/$E$5))</f>
        <v/>
      </c>
      <c r="Q904" s="248" t="str">
        <f ca="1">IF(C904="","",F904/([1]!S_STM07_IS(D904,61,$G$5,$H$13)/IF([1]!S_SHARE_TOTAL(D904,$G$5)=0,[1]!S_SHARE_TOTAL(D904,[1]!s_ipo_listeddate(D904)),[1]!S_SHARE_TOTAL(D904,$G$5))))</f>
        <v/>
      </c>
      <c r="R904" s="248" t="str">
        <f ca="1">IF(C904="","",F904/([1]!S_STM07_BS(D904,141,$G$5,$H$13)/IF([1]!S_SHARE_TOTAL(D904,$G$5)=0,[1]!S_SHARE_TOTAL(D904,[1]!s_ipo_listeddate(D904)),[1]!S_SHARE_TOTAL(D904,$G$5))))</f>
        <v/>
      </c>
      <c r="S904" s="247" t="str">
        <f ca="1">IF(C904="","",[1]!S_SHARE_TOTAL(D904,TODAY())/$E$5)</f>
        <v/>
      </c>
      <c r="T904" s="247" t="str">
        <f t="shared" ca="1" si="91"/>
        <v/>
      </c>
      <c r="U904" s="218" t="str">
        <f t="shared" ca="1" si="92"/>
        <v/>
      </c>
      <c r="V904" s="342" t="str">
        <f t="shared" ca="1" si="93"/>
        <v/>
      </c>
      <c r="W904" s="139"/>
      <c r="Y904" s="1"/>
    </row>
    <row r="905" spans="3:25" ht="12" customHeight="1">
      <c r="C905" s="343" t="str">
        <f t="shared" ca="1" si="88"/>
        <v/>
      </c>
      <c r="D905" s="124" t="str">
        <f t="shared" ca="1" si="89"/>
        <v/>
      </c>
      <c r="E905" s="124" t="str">
        <f t="shared" ca="1" si="90"/>
        <v/>
      </c>
      <c r="F905" s="172" t="str">
        <f ca="1">IF(C905="","",[1]!S_DQ_CLOSE(D905,TODAY(),1))</f>
        <v/>
      </c>
      <c r="G905" s="173" t="str">
        <f ca="1">IF(C905="","",[1]!s_pq_pctchange(D905,TODAY()-$G$12,TODAY())/100)</f>
        <v/>
      </c>
      <c r="H905" s="249" t="str">
        <f ca="1">IF(C905="","",IF($H$11="收入",[1]!S_STM07_IS(D905,9,$G$5,$H$13)/$E$5,[1]!S_STM07_IS(D905,48,$G$5,$H$13)/$E$5))</f>
        <v/>
      </c>
      <c r="I905" s="249" t="str">
        <f ca="1">IF(C905="","",IF($I$11="毛利率",([1]!S_STM07_IS(D905,9,$G$5,$H$13)-[1]!S_STM07_IS(D905,10,$G$5,$H$13))/[1]!S_STM07_IS(D905,9,$G$5,$H$13),[1]!S_STM07_IS(D905,14,$G$5,$H$13)/$E$5))</f>
        <v/>
      </c>
      <c r="J905" s="249" t="str">
        <f ca="1">IF(C905="","",IF($J$11="营业利润率",[1]!S_STM07_IS(D905,48,$G$5,$H$13)/[1]!S_STM07_IS(D905,9,$G$5,$H$13),([1]!S_STM07_CS(D905,87,$G$5,$H$13)+[1]!S_STM07_CS(D905,88,$G$5,$H$13)+[1]!S_STM07_CS(D905,89,$G$5,$H$13))/$E$5))</f>
        <v/>
      </c>
      <c r="K905" s="249" t="str">
        <f ca="1">IF(C905="","",IF($K$11="净利润率",[1]!S_STM07_IS(D905,61,$G$5,$H$13)/[1]!S_STM07_IS(D905,9,$G$5,$H$13),[1]!S_STM07_IS(D905,55,$G$5,$H$13)/$E$5))</f>
        <v/>
      </c>
      <c r="L905" s="249" t="str">
        <f ca="1">IF(C905="","",IF($L$11="ROA",[1]!S_STM07_IS(D905,61,$G$5,$H$13)/[1]!S_STM07_BS(D905,74,$G$5,$H$13),1-[1]!S_STM07_IS(D905,61,$G$5,$H$13)/[1]!S_STM07_IS(D905,55,$G$5,$H$13)))</f>
        <v/>
      </c>
      <c r="M905" s="249" t="str">
        <f ca="1">IF(C905="","",IF($M$11="ROE",[1]!S_STM07_IS(D905,61,$G$5,$H$13)/[1]!S_STM07_BS(D905,141,$G$5,$H$13),([1]!S_STM07_BS(D905,25,$G$5,$H$13)-[1]!S_STM07_BS(D905,93,$G$5,$H$13))/$E$5))</f>
        <v/>
      </c>
      <c r="N905" s="250" t="str">
        <f ca="1">IF(C905="","",IF($N$11="EPS",[1]!S_STM07_IS(D905,61,$G$5,$H$13)/IF([1]!S_SHARE_TOTAL(D905,$G$5)=0,[1]!S_SHARE_TOTAL(D905,[1]!s_ipo_listeddate(D905)),[1]!S_SHARE_TOTAL(D905,$G$5)),([1]!S_STM07_BS(D905,75,$G$5,$H$13)+[1]!S_STM07_BS(D905,88,$G$5,$H$13)+[1]!S_STM07_BS(D905,94,$G$5,$H$13)+[1]!S_STM07_BS(D905,95,$G$5,$H$13))/$E$5))</f>
        <v/>
      </c>
      <c r="O905" s="250" t="str">
        <f ca="1">IF(C905="","",IF($O$11="BPS",[1]!S_STM07_BS(D905,141,$G$5,$H$13)/IF([1]!S_SHARE_TOTAL(D905,$G$5)=0,[1]!S_SHARE_TOTAL(D905,[1]!s_ipo_listeddate(D905)),[1]!S_SHARE_TOTAL(D905,$G$5)),[1]!S_STM07_CS(D905,49,$G$5,$H$13)/$E$5))</f>
        <v/>
      </c>
      <c r="P905" s="250" t="str">
        <f ca="1">IF(C905="","",IF($P$11="CFPS",[1]!S_STM07_CS(D905,84,$G$5,$H$13)/IF([1]!S_SHARE_TOTAL(D905,$G$5)=0,[1]!S_SHARE_TOTAL(D905,[1]!s_ipo_listeddate(D905)),[1]!S_SHARE_TOTAL(D905,$G$5)),[1]!S_STM07_CS(D905,84,$G$5,$H$13)/$E$5))</f>
        <v/>
      </c>
      <c r="Q905" s="198" t="str">
        <f ca="1">IF(C905="","",F905/([1]!S_STM07_IS(D905,61,$G$5,$H$13)/IF([1]!S_SHARE_TOTAL(D905,$G$5)=0,[1]!S_SHARE_TOTAL(D905,[1]!s_ipo_listeddate(D905)),[1]!S_SHARE_TOTAL(D905,$G$5))))</f>
        <v/>
      </c>
      <c r="R905" s="198" t="str">
        <f ca="1">IF(C905="","",F905/([1]!S_STM07_BS(D905,141,$G$5,$H$13)/IF([1]!S_SHARE_TOTAL(D905,$G$5)=0,[1]!S_SHARE_TOTAL(D905,[1]!s_ipo_listeddate(D905)),[1]!S_SHARE_TOTAL(D905,$G$5))))</f>
        <v/>
      </c>
      <c r="S905" s="249" t="str">
        <f ca="1">IF(C905="","",[1]!S_SHARE_TOTAL(D905,TODAY())/$E$5)</f>
        <v/>
      </c>
      <c r="T905" s="249" t="str">
        <f t="shared" ca="1" si="91"/>
        <v/>
      </c>
      <c r="U905" s="172" t="str">
        <f t="shared" ca="1" si="92"/>
        <v/>
      </c>
      <c r="V905" s="343" t="str">
        <f t="shared" ca="1" si="93"/>
        <v/>
      </c>
      <c r="W905" s="139"/>
      <c r="Y905" s="1"/>
    </row>
    <row r="906" spans="3:25" ht="12" customHeight="1">
      <c r="C906" s="342" t="str">
        <f t="shared" ca="1" si="88"/>
        <v/>
      </c>
      <c r="D906" s="153" t="str">
        <f t="shared" ca="1" si="89"/>
        <v/>
      </c>
      <c r="E906" s="153" t="str">
        <f t="shared" ca="1" si="90"/>
        <v/>
      </c>
      <c r="F906" s="170" t="str">
        <f ca="1">IF(C906="","",[1]!S_DQ_CLOSE(D906,TODAY(),1))</f>
        <v/>
      </c>
      <c r="G906" s="171" t="str">
        <f ca="1">IF(C906="","",[1]!s_pq_pctchange(D906,TODAY()-$G$12,TODAY())/100)</f>
        <v/>
      </c>
      <c r="H906" s="247" t="str">
        <f ca="1">IF(C906="","",IF($H$11="收入",[1]!S_STM07_IS(D906,9,$G$5,$H$13)/$E$5,[1]!S_STM07_IS(D906,48,$G$5,$H$13)/$E$5))</f>
        <v/>
      </c>
      <c r="I906" s="247" t="str">
        <f ca="1">IF(C906="","",IF($I$11="毛利率",([1]!S_STM07_IS(D906,9,$G$5,$H$13)-[1]!S_STM07_IS(D906,10,$G$5,$H$13))/[1]!S_STM07_IS(D906,9,$G$5,$H$13),[1]!S_STM07_IS(D906,14,$G$5,$H$13)/$E$5))</f>
        <v/>
      </c>
      <c r="J906" s="247" t="str">
        <f ca="1">IF(C906="","",IF($J$11="营业利润率",[1]!S_STM07_IS(D906,48,$G$5,$H$13)/[1]!S_STM07_IS(D906,9,$G$5,$H$13),([1]!S_STM07_CS(D906,87,$G$5,$H$13)+[1]!S_STM07_CS(D906,88,$G$5,$H$13)+[1]!S_STM07_CS(D906,89,$G$5,$H$13))/$E$5))</f>
        <v/>
      </c>
      <c r="K906" s="247" t="str">
        <f ca="1">IF(C906="","",IF($K$11="净利润率",[1]!S_STM07_IS(D906,61,$G$5,$H$13)/[1]!S_STM07_IS(D906,9,$G$5,$H$13),[1]!S_STM07_IS(D906,55,$G$5,$H$13)/$E$5))</f>
        <v/>
      </c>
      <c r="L906" s="247" t="str">
        <f ca="1">IF(C906="","",IF($L$11="ROA",[1]!S_STM07_IS(D906,61,$G$5,$H$13)/[1]!S_STM07_BS(D906,74,$G$5,$H$13),1-[1]!S_STM07_IS(D906,61,$G$5,$H$13)/[1]!S_STM07_IS(D906,55,$G$5,$H$13)))</f>
        <v/>
      </c>
      <c r="M906" s="247" t="str">
        <f ca="1">IF(C906="","",IF($M$11="ROE",[1]!S_STM07_IS(D906,61,$G$5,$H$13)/[1]!S_STM07_BS(D906,141,$G$5,$H$13),([1]!S_STM07_BS(D906,25,$G$5,$H$13)-[1]!S_STM07_BS(D906,93,$G$5,$H$13))/$E$5))</f>
        <v/>
      </c>
      <c r="N906" s="247" t="str">
        <f ca="1">IF(C906="","",IF($N$11="EPS",[1]!S_STM07_IS(D906,61,$G$5,$H$13)/IF([1]!S_SHARE_TOTAL(D906,$G$5)=0,[1]!S_SHARE_TOTAL(D906,[1]!s_ipo_listeddate(D906)),[1]!S_SHARE_TOTAL(D906,$G$5)),([1]!S_STM07_BS(D906,75,$G$5,$H$13)+[1]!S_STM07_BS(D906,88,$G$5,$H$13)+[1]!S_STM07_BS(D906,94,$G$5,$H$13)+[1]!S_STM07_BS(D906,95,$G$5,$H$13))/$E$5))</f>
        <v/>
      </c>
      <c r="O906" s="247" t="str">
        <f ca="1">IF(C906="","",IF($O$11="BPS",[1]!S_STM07_BS(D906,141,$G$5,$H$13)/IF([1]!S_SHARE_TOTAL(D906,$G$5)=0,[1]!S_SHARE_TOTAL(D906,[1]!s_ipo_listeddate(D906)),[1]!S_SHARE_TOTAL(D906,$G$5)),[1]!S_STM07_CS(D906,49,$G$5,$H$13)/$E$5))</f>
        <v/>
      </c>
      <c r="P906" s="247" t="str">
        <f ca="1">IF(C906="","",IF($P$11="CFPS",[1]!S_STM07_CS(D906,84,$G$5,$H$13)/IF([1]!S_SHARE_TOTAL(D906,$G$5)=0,[1]!S_SHARE_TOTAL(D906,[1]!s_ipo_listeddate(D906)),[1]!S_SHARE_TOTAL(D906,$G$5)),[1]!S_STM07_CS(D906,84,$G$5,$H$13)/$E$5))</f>
        <v/>
      </c>
      <c r="Q906" s="248" t="str">
        <f ca="1">IF(C906="","",F906/([1]!S_STM07_IS(D906,61,$G$5,$H$13)/IF([1]!S_SHARE_TOTAL(D906,$G$5)=0,[1]!S_SHARE_TOTAL(D906,[1]!s_ipo_listeddate(D906)),[1]!S_SHARE_TOTAL(D906,$G$5))))</f>
        <v/>
      </c>
      <c r="R906" s="248" t="str">
        <f ca="1">IF(C906="","",F906/([1]!S_STM07_BS(D906,141,$G$5,$H$13)/IF([1]!S_SHARE_TOTAL(D906,$G$5)=0,[1]!S_SHARE_TOTAL(D906,[1]!s_ipo_listeddate(D906)),[1]!S_SHARE_TOTAL(D906,$G$5))))</f>
        <v/>
      </c>
      <c r="S906" s="247" t="str">
        <f ca="1">IF(C906="","",[1]!S_SHARE_TOTAL(D906,TODAY())/$E$5)</f>
        <v/>
      </c>
      <c r="T906" s="247" t="str">
        <f t="shared" ca="1" si="91"/>
        <v/>
      </c>
      <c r="U906" s="218" t="str">
        <f t="shared" ca="1" si="92"/>
        <v/>
      </c>
      <c r="V906" s="342" t="str">
        <f t="shared" ca="1" si="93"/>
        <v/>
      </c>
      <c r="W906" s="139"/>
      <c r="Y906" s="1"/>
    </row>
    <row r="907" spans="3:25" ht="12" customHeight="1">
      <c r="C907" s="343" t="str">
        <f t="shared" ca="1" si="88"/>
        <v/>
      </c>
      <c r="D907" s="124" t="str">
        <f t="shared" ca="1" si="89"/>
        <v/>
      </c>
      <c r="E907" s="124" t="str">
        <f t="shared" ca="1" si="90"/>
        <v/>
      </c>
      <c r="F907" s="172" t="str">
        <f ca="1">IF(C907="","",[1]!S_DQ_CLOSE(D907,TODAY(),1))</f>
        <v/>
      </c>
      <c r="G907" s="173" t="str">
        <f ca="1">IF(C907="","",[1]!s_pq_pctchange(D907,TODAY()-$G$12,TODAY())/100)</f>
        <v/>
      </c>
      <c r="H907" s="249" t="str">
        <f ca="1">IF(C907="","",IF($H$11="收入",[1]!S_STM07_IS(D907,9,$G$5,$H$13)/$E$5,[1]!S_STM07_IS(D907,48,$G$5,$H$13)/$E$5))</f>
        <v/>
      </c>
      <c r="I907" s="249" t="str">
        <f ca="1">IF(C907="","",IF($I$11="毛利率",([1]!S_STM07_IS(D907,9,$G$5,$H$13)-[1]!S_STM07_IS(D907,10,$G$5,$H$13))/[1]!S_STM07_IS(D907,9,$G$5,$H$13),[1]!S_STM07_IS(D907,14,$G$5,$H$13)/$E$5))</f>
        <v/>
      </c>
      <c r="J907" s="249" t="str">
        <f ca="1">IF(C907="","",IF($J$11="营业利润率",[1]!S_STM07_IS(D907,48,$G$5,$H$13)/[1]!S_STM07_IS(D907,9,$G$5,$H$13),([1]!S_STM07_CS(D907,87,$G$5,$H$13)+[1]!S_STM07_CS(D907,88,$G$5,$H$13)+[1]!S_STM07_CS(D907,89,$G$5,$H$13))/$E$5))</f>
        <v/>
      </c>
      <c r="K907" s="249" t="str">
        <f ca="1">IF(C907="","",IF($K$11="净利润率",[1]!S_STM07_IS(D907,61,$G$5,$H$13)/[1]!S_STM07_IS(D907,9,$G$5,$H$13),[1]!S_STM07_IS(D907,55,$G$5,$H$13)/$E$5))</f>
        <v/>
      </c>
      <c r="L907" s="249" t="str">
        <f ca="1">IF(C907="","",IF($L$11="ROA",[1]!S_STM07_IS(D907,61,$G$5,$H$13)/[1]!S_STM07_BS(D907,74,$G$5,$H$13),1-[1]!S_STM07_IS(D907,61,$G$5,$H$13)/[1]!S_STM07_IS(D907,55,$G$5,$H$13)))</f>
        <v/>
      </c>
      <c r="M907" s="249" t="str">
        <f ca="1">IF(C907="","",IF($M$11="ROE",[1]!S_STM07_IS(D907,61,$G$5,$H$13)/[1]!S_STM07_BS(D907,141,$G$5,$H$13),([1]!S_STM07_BS(D907,25,$G$5,$H$13)-[1]!S_STM07_BS(D907,93,$G$5,$H$13))/$E$5))</f>
        <v/>
      </c>
      <c r="N907" s="250" t="str">
        <f ca="1">IF(C907="","",IF($N$11="EPS",[1]!S_STM07_IS(D907,61,$G$5,$H$13)/IF([1]!S_SHARE_TOTAL(D907,$G$5)=0,[1]!S_SHARE_TOTAL(D907,[1]!s_ipo_listeddate(D907)),[1]!S_SHARE_TOTAL(D907,$G$5)),([1]!S_STM07_BS(D907,75,$G$5,$H$13)+[1]!S_STM07_BS(D907,88,$G$5,$H$13)+[1]!S_STM07_BS(D907,94,$G$5,$H$13)+[1]!S_STM07_BS(D907,95,$G$5,$H$13))/$E$5))</f>
        <v/>
      </c>
      <c r="O907" s="250" t="str">
        <f ca="1">IF(C907="","",IF($O$11="BPS",[1]!S_STM07_BS(D907,141,$G$5,$H$13)/IF([1]!S_SHARE_TOTAL(D907,$G$5)=0,[1]!S_SHARE_TOTAL(D907,[1]!s_ipo_listeddate(D907)),[1]!S_SHARE_TOTAL(D907,$G$5)),[1]!S_STM07_CS(D907,49,$G$5,$H$13)/$E$5))</f>
        <v/>
      </c>
      <c r="P907" s="250" t="str">
        <f ca="1">IF(C907="","",IF($P$11="CFPS",[1]!S_STM07_CS(D907,84,$G$5,$H$13)/IF([1]!S_SHARE_TOTAL(D907,$G$5)=0,[1]!S_SHARE_TOTAL(D907,[1]!s_ipo_listeddate(D907)),[1]!S_SHARE_TOTAL(D907,$G$5)),[1]!S_STM07_CS(D907,84,$G$5,$H$13)/$E$5))</f>
        <v/>
      </c>
      <c r="Q907" s="198" t="str">
        <f ca="1">IF(C907="","",F907/([1]!S_STM07_IS(D907,61,$G$5,$H$13)/IF([1]!S_SHARE_TOTAL(D907,$G$5)=0,[1]!S_SHARE_TOTAL(D907,[1]!s_ipo_listeddate(D907)),[1]!S_SHARE_TOTAL(D907,$G$5))))</f>
        <v/>
      </c>
      <c r="R907" s="198" t="str">
        <f ca="1">IF(C907="","",F907/([1]!S_STM07_BS(D907,141,$G$5,$H$13)/IF([1]!S_SHARE_TOTAL(D907,$G$5)=0,[1]!S_SHARE_TOTAL(D907,[1]!s_ipo_listeddate(D907)),[1]!S_SHARE_TOTAL(D907,$G$5))))</f>
        <v/>
      </c>
      <c r="S907" s="249" t="str">
        <f ca="1">IF(C907="","",[1]!S_SHARE_TOTAL(D907,TODAY())/$E$5)</f>
        <v/>
      </c>
      <c r="T907" s="249" t="str">
        <f t="shared" ca="1" si="91"/>
        <v/>
      </c>
      <c r="U907" s="172" t="str">
        <f t="shared" ca="1" si="92"/>
        <v/>
      </c>
      <c r="V907" s="343" t="str">
        <f t="shared" ca="1" si="93"/>
        <v/>
      </c>
      <c r="W907" s="139"/>
      <c r="Y907" s="1"/>
    </row>
    <row r="908" spans="3:25" ht="12" customHeight="1">
      <c r="C908" s="342" t="str">
        <f t="shared" ca="1" si="88"/>
        <v/>
      </c>
      <c r="D908" s="153" t="str">
        <f t="shared" ca="1" si="89"/>
        <v/>
      </c>
      <c r="E908" s="153" t="str">
        <f t="shared" ca="1" si="90"/>
        <v/>
      </c>
      <c r="F908" s="170" t="str">
        <f ca="1">IF(C908="","",[1]!S_DQ_CLOSE(D908,TODAY(),1))</f>
        <v/>
      </c>
      <c r="G908" s="171" t="str">
        <f ca="1">IF(C908="","",[1]!s_pq_pctchange(D908,TODAY()-$G$12,TODAY())/100)</f>
        <v/>
      </c>
      <c r="H908" s="247" t="str">
        <f ca="1">IF(C908="","",IF($H$11="收入",[1]!S_STM07_IS(D908,9,$G$5,$H$13)/$E$5,[1]!S_STM07_IS(D908,48,$G$5,$H$13)/$E$5))</f>
        <v/>
      </c>
      <c r="I908" s="247" t="str">
        <f ca="1">IF(C908="","",IF($I$11="毛利率",([1]!S_STM07_IS(D908,9,$G$5,$H$13)-[1]!S_STM07_IS(D908,10,$G$5,$H$13))/[1]!S_STM07_IS(D908,9,$G$5,$H$13),[1]!S_STM07_IS(D908,14,$G$5,$H$13)/$E$5))</f>
        <v/>
      </c>
      <c r="J908" s="247" t="str">
        <f ca="1">IF(C908="","",IF($J$11="营业利润率",[1]!S_STM07_IS(D908,48,$G$5,$H$13)/[1]!S_STM07_IS(D908,9,$G$5,$H$13),([1]!S_STM07_CS(D908,87,$G$5,$H$13)+[1]!S_STM07_CS(D908,88,$G$5,$H$13)+[1]!S_STM07_CS(D908,89,$G$5,$H$13))/$E$5))</f>
        <v/>
      </c>
      <c r="K908" s="247" t="str">
        <f ca="1">IF(C908="","",IF($K$11="净利润率",[1]!S_STM07_IS(D908,61,$G$5,$H$13)/[1]!S_STM07_IS(D908,9,$G$5,$H$13),[1]!S_STM07_IS(D908,55,$G$5,$H$13)/$E$5))</f>
        <v/>
      </c>
      <c r="L908" s="247" t="str">
        <f ca="1">IF(C908="","",IF($L$11="ROA",[1]!S_STM07_IS(D908,61,$G$5,$H$13)/[1]!S_STM07_BS(D908,74,$G$5,$H$13),1-[1]!S_STM07_IS(D908,61,$G$5,$H$13)/[1]!S_STM07_IS(D908,55,$G$5,$H$13)))</f>
        <v/>
      </c>
      <c r="M908" s="247" t="str">
        <f ca="1">IF(C908="","",IF($M$11="ROE",[1]!S_STM07_IS(D908,61,$G$5,$H$13)/[1]!S_STM07_BS(D908,141,$G$5,$H$13),([1]!S_STM07_BS(D908,25,$G$5,$H$13)-[1]!S_STM07_BS(D908,93,$G$5,$H$13))/$E$5))</f>
        <v/>
      </c>
      <c r="N908" s="247" t="str">
        <f ca="1">IF(C908="","",IF($N$11="EPS",[1]!S_STM07_IS(D908,61,$G$5,$H$13)/IF([1]!S_SHARE_TOTAL(D908,$G$5)=0,[1]!S_SHARE_TOTAL(D908,[1]!s_ipo_listeddate(D908)),[1]!S_SHARE_TOTAL(D908,$G$5)),([1]!S_STM07_BS(D908,75,$G$5,$H$13)+[1]!S_STM07_BS(D908,88,$G$5,$H$13)+[1]!S_STM07_BS(D908,94,$G$5,$H$13)+[1]!S_STM07_BS(D908,95,$G$5,$H$13))/$E$5))</f>
        <v/>
      </c>
      <c r="O908" s="247" t="str">
        <f ca="1">IF(C908="","",IF($O$11="BPS",[1]!S_STM07_BS(D908,141,$G$5,$H$13)/IF([1]!S_SHARE_TOTAL(D908,$G$5)=0,[1]!S_SHARE_TOTAL(D908,[1]!s_ipo_listeddate(D908)),[1]!S_SHARE_TOTAL(D908,$G$5)),[1]!S_STM07_CS(D908,49,$G$5,$H$13)/$E$5))</f>
        <v/>
      </c>
      <c r="P908" s="247" t="str">
        <f ca="1">IF(C908="","",IF($P$11="CFPS",[1]!S_STM07_CS(D908,84,$G$5,$H$13)/IF([1]!S_SHARE_TOTAL(D908,$G$5)=0,[1]!S_SHARE_TOTAL(D908,[1]!s_ipo_listeddate(D908)),[1]!S_SHARE_TOTAL(D908,$G$5)),[1]!S_STM07_CS(D908,84,$G$5,$H$13)/$E$5))</f>
        <v/>
      </c>
      <c r="Q908" s="248" t="str">
        <f ca="1">IF(C908="","",F908/([1]!S_STM07_IS(D908,61,$G$5,$H$13)/IF([1]!S_SHARE_TOTAL(D908,$G$5)=0,[1]!S_SHARE_TOTAL(D908,[1]!s_ipo_listeddate(D908)),[1]!S_SHARE_TOTAL(D908,$G$5))))</f>
        <v/>
      </c>
      <c r="R908" s="248" t="str">
        <f ca="1">IF(C908="","",F908/([1]!S_STM07_BS(D908,141,$G$5,$H$13)/IF([1]!S_SHARE_TOTAL(D908,$G$5)=0,[1]!S_SHARE_TOTAL(D908,[1]!s_ipo_listeddate(D908)),[1]!S_SHARE_TOTAL(D908,$G$5))))</f>
        <v/>
      </c>
      <c r="S908" s="247" t="str">
        <f ca="1">IF(C908="","",[1]!S_SHARE_TOTAL(D908,TODAY())/$E$5)</f>
        <v/>
      </c>
      <c r="T908" s="247" t="str">
        <f t="shared" ca="1" si="91"/>
        <v/>
      </c>
      <c r="U908" s="218" t="str">
        <f t="shared" ca="1" si="92"/>
        <v/>
      </c>
      <c r="V908" s="342" t="str">
        <f t="shared" ca="1" si="93"/>
        <v/>
      </c>
      <c r="W908" s="139"/>
      <c r="Y908" s="1"/>
    </row>
    <row r="909" spans="3:25" ht="12" customHeight="1">
      <c r="C909" s="343" t="str">
        <f t="shared" ca="1" si="88"/>
        <v/>
      </c>
      <c r="D909" s="124" t="str">
        <f t="shared" ca="1" si="89"/>
        <v/>
      </c>
      <c r="E909" s="124" t="str">
        <f t="shared" ca="1" si="90"/>
        <v/>
      </c>
      <c r="F909" s="172" t="str">
        <f ca="1">IF(C909="","",[1]!S_DQ_CLOSE(D909,TODAY(),1))</f>
        <v/>
      </c>
      <c r="G909" s="173" t="str">
        <f ca="1">IF(C909="","",[1]!s_pq_pctchange(D909,TODAY()-$G$12,TODAY())/100)</f>
        <v/>
      </c>
      <c r="H909" s="249" t="str">
        <f ca="1">IF(C909="","",IF($H$11="收入",[1]!S_STM07_IS(D909,9,$G$5,$H$13)/$E$5,[1]!S_STM07_IS(D909,48,$G$5,$H$13)/$E$5))</f>
        <v/>
      </c>
      <c r="I909" s="249" t="str">
        <f ca="1">IF(C909="","",IF($I$11="毛利率",([1]!S_STM07_IS(D909,9,$G$5,$H$13)-[1]!S_STM07_IS(D909,10,$G$5,$H$13))/[1]!S_STM07_IS(D909,9,$G$5,$H$13),[1]!S_STM07_IS(D909,14,$G$5,$H$13)/$E$5))</f>
        <v/>
      </c>
      <c r="J909" s="249" t="str">
        <f ca="1">IF(C909="","",IF($J$11="营业利润率",[1]!S_STM07_IS(D909,48,$G$5,$H$13)/[1]!S_STM07_IS(D909,9,$G$5,$H$13),([1]!S_STM07_CS(D909,87,$G$5,$H$13)+[1]!S_STM07_CS(D909,88,$G$5,$H$13)+[1]!S_STM07_CS(D909,89,$G$5,$H$13))/$E$5))</f>
        <v/>
      </c>
      <c r="K909" s="249" t="str">
        <f ca="1">IF(C909="","",IF($K$11="净利润率",[1]!S_STM07_IS(D909,61,$G$5,$H$13)/[1]!S_STM07_IS(D909,9,$G$5,$H$13),[1]!S_STM07_IS(D909,55,$G$5,$H$13)/$E$5))</f>
        <v/>
      </c>
      <c r="L909" s="249" t="str">
        <f ca="1">IF(C909="","",IF($L$11="ROA",[1]!S_STM07_IS(D909,61,$G$5,$H$13)/[1]!S_STM07_BS(D909,74,$G$5,$H$13),1-[1]!S_STM07_IS(D909,61,$G$5,$H$13)/[1]!S_STM07_IS(D909,55,$G$5,$H$13)))</f>
        <v/>
      </c>
      <c r="M909" s="249" t="str">
        <f ca="1">IF(C909="","",IF($M$11="ROE",[1]!S_STM07_IS(D909,61,$G$5,$H$13)/[1]!S_STM07_BS(D909,141,$G$5,$H$13),([1]!S_STM07_BS(D909,25,$G$5,$H$13)-[1]!S_STM07_BS(D909,93,$G$5,$H$13))/$E$5))</f>
        <v/>
      </c>
      <c r="N909" s="250" t="str">
        <f ca="1">IF(C909="","",IF($N$11="EPS",[1]!S_STM07_IS(D909,61,$G$5,$H$13)/IF([1]!S_SHARE_TOTAL(D909,$G$5)=0,[1]!S_SHARE_TOTAL(D909,[1]!s_ipo_listeddate(D909)),[1]!S_SHARE_TOTAL(D909,$G$5)),([1]!S_STM07_BS(D909,75,$G$5,$H$13)+[1]!S_STM07_BS(D909,88,$G$5,$H$13)+[1]!S_STM07_BS(D909,94,$G$5,$H$13)+[1]!S_STM07_BS(D909,95,$G$5,$H$13))/$E$5))</f>
        <v/>
      </c>
      <c r="O909" s="250" t="str">
        <f ca="1">IF(C909="","",IF($O$11="BPS",[1]!S_STM07_BS(D909,141,$G$5,$H$13)/IF([1]!S_SHARE_TOTAL(D909,$G$5)=0,[1]!S_SHARE_TOTAL(D909,[1]!s_ipo_listeddate(D909)),[1]!S_SHARE_TOTAL(D909,$G$5)),[1]!S_STM07_CS(D909,49,$G$5,$H$13)/$E$5))</f>
        <v/>
      </c>
      <c r="P909" s="250" t="str">
        <f ca="1">IF(C909="","",IF($P$11="CFPS",[1]!S_STM07_CS(D909,84,$G$5,$H$13)/IF([1]!S_SHARE_TOTAL(D909,$G$5)=0,[1]!S_SHARE_TOTAL(D909,[1]!s_ipo_listeddate(D909)),[1]!S_SHARE_TOTAL(D909,$G$5)),[1]!S_STM07_CS(D909,84,$G$5,$H$13)/$E$5))</f>
        <v/>
      </c>
      <c r="Q909" s="198" t="str">
        <f ca="1">IF(C909="","",F909/([1]!S_STM07_IS(D909,61,$G$5,$H$13)/IF([1]!S_SHARE_TOTAL(D909,$G$5)=0,[1]!S_SHARE_TOTAL(D909,[1]!s_ipo_listeddate(D909)),[1]!S_SHARE_TOTAL(D909,$G$5))))</f>
        <v/>
      </c>
      <c r="R909" s="198" t="str">
        <f ca="1">IF(C909="","",F909/([1]!S_STM07_BS(D909,141,$G$5,$H$13)/IF([1]!S_SHARE_TOTAL(D909,$G$5)=0,[1]!S_SHARE_TOTAL(D909,[1]!s_ipo_listeddate(D909)),[1]!S_SHARE_TOTAL(D909,$G$5))))</f>
        <v/>
      </c>
      <c r="S909" s="249" t="str">
        <f ca="1">IF(C909="","",[1]!S_SHARE_TOTAL(D909,TODAY())/$E$5)</f>
        <v/>
      </c>
      <c r="T909" s="249" t="str">
        <f t="shared" ca="1" si="91"/>
        <v/>
      </c>
      <c r="U909" s="172" t="str">
        <f t="shared" ca="1" si="92"/>
        <v/>
      </c>
      <c r="V909" s="343" t="str">
        <f t="shared" ca="1" si="93"/>
        <v/>
      </c>
      <c r="W909" s="139"/>
      <c r="Y909" s="1"/>
    </row>
    <row r="910" spans="3:25" ht="12" customHeight="1">
      <c r="C910" s="342" t="str">
        <f t="shared" ref="C910:C973" ca="1" si="94">IF(ROW()-13&lt;=MAX(series),ROW()-13,"")</f>
        <v/>
      </c>
      <c r="D910" s="153" t="str">
        <f t="shared" ca="1" si="89"/>
        <v/>
      </c>
      <c r="E910" s="153" t="str">
        <f t="shared" ca="1" si="90"/>
        <v/>
      </c>
      <c r="F910" s="170" t="str">
        <f ca="1">IF(C910="","",[1]!S_DQ_CLOSE(D910,TODAY(),1))</f>
        <v/>
      </c>
      <c r="G910" s="171" t="str">
        <f ca="1">IF(C910="","",[1]!s_pq_pctchange(D910,TODAY()-$G$12,TODAY())/100)</f>
        <v/>
      </c>
      <c r="H910" s="247" t="str">
        <f ca="1">IF(C910="","",IF($H$11="收入",[1]!S_STM07_IS(D910,9,$G$5,$H$13)/$E$5,[1]!S_STM07_IS(D910,48,$G$5,$H$13)/$E$5))</f>
        <v/>
      </c>
      <c r="I910" s="247" t="str">
        <f ca="1">IF(C910="","",IF($I$11="毛利率",([1]!S_STM07_IS(D910,9,$G$5,$H$13)-[1]!S_STM07_IS(D910,10,$G$5,$H$13))/[1]!S_STM07_IS(D910,9,$G$5,$H$13),[1]!S_STM07_IS(D910,14,$G$5,$H$13)/$E$5))</f>
        <v/>
      </c>
      <c r="J910" s="247" t="str">
        <f ca="1">IF(C910="","",IF($J$11="营业利润率",[1]!S_STM07_IS(D910,48,$G$5,$H$13)/[1]!S_STM07_IS(D910,9,$G$5,$H$13),([1]!S_STM07_CS(D910,87,$G$5,$H$13)+[1]!S_STM07_CS(D910,88,$G$5,$H$13)+[1]!S_STM07_CS(D910,89,$G$5,$H$13))/$E$5))</f>
        <v/>
      </c>
      <c r="K910" s="247" t="str">
        <f ca="1">IF(C910="","",IF($K$11="净利润率",[1]!S_STM07_IS(D910,61,$G$5,$H$13)/[1]!S_STM07_IS(D910,9,$G$5,$H$13),[1]!S_STM07_IS(D910,55,$G$5,$H$13)/$E$5))</f>
        <v/>
      </c>
      <c r="L910" s="247" t="str">
        <f ca="1">IF(C910="","",IF($L$11="ROA",[1]!S_STM07_IS(D910,61,$G$5,$H$13)/[1]!S_STM07_BS(D910,74,$G$5,$H$13),1-[1]!S_STM07_IS(D910,61,$G$5,$H$13)/[1]!S_STM07_IS(D910,55,$G$5,$H$13)))</f>
        <v/>
      </c>
      <c r="M910" s="247" t="str">
        <f ca="1">IF(C910="","",IF($M$11="ROE",[1]!S_STM07_IS(D910,61,$G$5,$H$13)/[1]!S_STM07_BS(D910,141,$G$5,$H$13),([1]!S_STM07_BS(D910,25,$G$5,$H$13)-[1]!S_STM07_BS(D910,93,$G$5,$H$13))/$E$5))</f>
        <v/>
      </c>
      <c r="N910" s="247" t="str">
        <f ca="1">IF(C910="","",IF($N$11="EPS",[1]!S_STM07_IS(D910,61,$G$5,$H$13)/IF([1]!S_SHARE_TOTAL(D910,$G$5)=0,[1]!S_SHARE_TOTAL(D910,[1]!s_ipo_listeddate(D910)),[1]!S_SHARE_TOTAL(D910,$G$5)),([1]!S_STM07_BS(D910,75,$G$5,$H$13)+[1]!S_STM07_BS(D910,88,$G$5,$H$13)+[1]!S_STM07_BS(D910,94,$G$5,$H$13)+[1]!S_STM07_BS(D910,95,$G$5,$H$13))/$E$5))</f>
        <v/>
      </c>
      <c r="O910" s="247" t="str">
        <f ca="1">IF(C910="","",IF($O$11="BPS",[1]!S_STM07_BS(D910,141,$G$5,$H$13)/IF([1]!S_SHARE_TOTAL(D910,$G$5)=0,[1]!S_SHARE_TOTAL(D910,[1]!s_ipo_listeddate(D910)),[1]!S_SHARE_TOTAL(D910,$G$5)),[1]!S_STM07_CS(D910,49,$G$5,$H$13)/$E$5))</f>
        <v/>
      </c>
      <c r="P910" s="247" t="str">
        <f ca="1">IF(C910="","",IF($P$11="CFPS",[1]!S_STM07_CS(D910,84,$G$5,$H$13)/IF([1]!S_SHARE_TOTAL(D910,$G$5)=0,[1]!S_SHARE_TOTAL(D910,[1]!s_ipo_listeddate(D910)),[1]!S_SHARE_TOTAL(D910,$G$5)),[1]!S_STM07_CS(D910,84,$G$5,$H$13)/$E$5))</f>
        <v/>
      </c>
      <c r="Q910" s="248" t="str">
        <f ca="1">IF(C910="","",F910/([1]!S_STM07_IS(D910,61,$G$5,$H$13)/IF([1]!S_SHARE_TOTAL(D910,$G$5)=0,[1]!S_SHARE_TOTAL(D910,[1]!s_ipo_listeddate(D910)),[1]!S_SHARE_TOTAL(D910,$G$5))))</f>
        <v/>
      </c>
      <c r="R910" s="248" t="str">
        <f ca="1">IF(C910="","",F910/([1]!S_STM07_BS(D910,141,$G$5,$H$13)/IF([1]!S_SHARE_TOTAL(D910,$G$5)=0,[1]!S_SHARE_TOTAL(D910,[1]!s_ipo_listeddate(D910)),[1]!S_SHARE_TOTAL(D910,$G$5))))</f>
        <v/>
      </c>
      <c r="S910" s="247" t="str">
        <f ca="1">IF(C910="","",[1]!S_SHARE_TOTAL(D910,TODAY())/$E$5)</f>
        <v/>
      </c>
      <c r="T910" s="247" t="str">
        <f t="shared" ca="1" si="91"/>
        <v/>
      </c>
      <c r="U910" s="218" t="str">
        <f t="shared" ca="1" si="92"/>
        <v/>
      </c>
      <c r="V910" s="342" t="str">
        <f t="shared" ca="1" si="93"/>
        <v/>
      </c>
      <c r="W910" s="139"/>
      <c r="Y910" s="1"/>
    </row>
    <row r="911" spans="3:25" ht="12" customHeight="1">
      <c r="C911" s="343" t="str">
        <f t="shared" ca="1" si="94"/>
        <v/>
      </c>
      <c r="D911" s="124" t="str">
        <f t="shared" ca="1" si="89"/>
        <v/>
      </c>
      <c r="E911" s="124" t="str">
        <f t="shared" ca="1" si="90"/>
        <v/>
      </c>
      <c r="F911" s="172" t="str">
        <f ca="1">IF(C911="","",[1]!S_DQ_CLOSE(D911,TODAY(),1))</f>
        <v/>
      </c>
      <c r="G911" s="173" t="str">
        <f ca="1">IF(C911="","",[1]!s_pq_pctchange(D911,TODAY()-$G$12,TODAY())/100)</f>
        <v/>
      </c>
      <c r="H911" s="249" t="str">
        <f ca="1">IF(C911="","",IF($H$11="收入",[1]!S_STM07_IS(D911,9,$G$5,$H$13)/$E$5,[1]!S_STM07_IS(D911,48,$G$5,$H$13)/$E$5))</f>
        <v/>
      </c>
      <c r="I911" s="249" t="str">
        <f ca="1">IF(C911="","",IF($I$11="毛利率",([1]!S_STM07_IS(D911,9,$G$5,$H$13)-[1]!S_STM07_IS(D911,10,$G$5,$H$13))/[1]!S_STM07_IS(D911,9,$G$5,$H$13),[1]!S_STM07_IS(D911,14,$G$5,$H$13)/$E$5))</f>
        <v/>
      </c>
      <c r="J911" s="249" t="str">
        <f ca="1">IF(C911="","",IF($J$11="营业利润率",[1]!S_STM07_IS(D911,48,$G$5,$H$13)/[1]!S_STM07_IS(D911,9,$G$5,$H$13),([1]!S_STM07_CS(D911,87,$G$5,$H$13)+[1]!S_STM07_CS(D911,88,$G$5,$H$13)+[1]!S_STM07_CS(D911,89,$G$5,$H$13))/$E$5))</f>
        <v/>
      </c>
      <c r="K911" s="249" t="str">
        <f ca="1">IF(C911="","",IF($K$11="净利润率",[1]!S_STM07_IS(D911,61,$G$5,$H$13)/[1]!S_STM07_IS(D911,9,$G$5,$H$13),[1]!S_STM07_IS(D911,55,$G$5,$H$13)/$E$5))</f>
        <v/>
      </c>
      <c r="L911" s="249" t="str">
        <f ca="1">IF(C911="","",IF($L$11="ROA",[1]!S_STM07_IS(D911,61,$G$5,$H$13)/[1]!S_STM07_BS(D911,74,$G$5,$H$13),1-[1]!S_STM07_IS(D911,61,$G$5,$H$13)/[1]!S_STM07_IS(D911,55,$G$5,$H$13)))</f>
        <v/>
      </c>
      <c r="M911" s="249" t="str">
        <f ca="1">IF(C911="","",IF($M$11="ROE",[1]!S_STM07_IS(D911,61,$G$5,$H$13)/[1]!S_STM07_BS(D911,141,$G$5,$H$13),([1]!S_STM07_BS(D911,25,$G$5,$H$13)-[1]!S_STM07_BS(D911,93,$G$5,$H$13))/$E$5))</f>
        <v/>
      </c>
      <c r="N911" s="250" t="str">
        <f ca="1">IF(C911="","",IF($N$11="EPS",[1]!S_STM07_IS(D911,61,$G$5,$H$13)/IF([1]!S_SHARE_TOTAL(D911,$G$5)=0,[1]!S_SHARE_TOTAL(D911,[1]!s_ipo_listeddate(D911)),[1]!S_SHARE_TOTAL(D911,$G$5)),([1]!S_STM07_BS(D911,75,$G$5,$H$13)+[1]!S_STM07_BS(D911,88,$G$5,$H$13)+[1]!S_STM07_BS(D911,94,$G$5,$H$13)+[1]!S_STM07_BS(D911,95,$G$5,$H$13))/$E$5))</f>
        <v/>
      </c>
      <c r="O911" s="250" t="str">
        <f ca="1">IF(C911="","",IF($O$11="BPS",[1]!S_STM07_BS(D911,141,$G$5,$H$13)/IF([1]!S_SHARE_TOTAL(D911,$G$5)=0,[1]!S_SHARE_TOTAL(D911,[1]!s_ipo_listeddate(D911)),[1]!S_SHARE_TOTAL(D911,$G$5)),[1]!S_STM07_CS(D911,49,$G$5,$H$13)/$E$5))</f>
        <v/>
      </c>
      <c r="P911" s="250" t="str">
        <f ca="1">IF(C911="","",IF($P$11="CFPS",[1]!S_STM07_CS(D911,84,$G$5,$H$13)/IF([1]!S_SHARE_TOTAL(D911,$G$5)=0,[1]!S_SHARE_TOTAL(D911,[1]!s_ipo_listeddate(D911)),[1]!S_SHARE_TOTAL(D911,$G$5)),[1]!S_STM07_CS(D911,84,$G$5,$H$13)/$E$5))</f>
        <v/>
      </c>
      <c r="Q911" s="198" t="str">
        <f ca="1">IF(C911="","",F911/([1]!S_STM07_IS(D911,61,$G$5,$H$13)/IF([1]!S_SHARE_TOTAL(D911,$G$5)=0,[1]!S_SHARE_TOTAL(D911,[1]!s_ipo_listeddate(D911)),[1]!S_SHARE_TOTAL(D911,$G$5))))</f>
        <v/>
      </c>
      <c r="R911" s="198" t="str">
        <f ca="1">IF(C911="","",F911/([1]!S_STM07_BS(D911,141,$G$5,$H$13)/IF([1]!S_SHARE_TOTAL(D911,$G$5)=0,[1]!S_SHARE_TOTAL(D911,[1]!s_ipo_listeddate(D911)),[1]!S_SHARE_TOTAL(D911,$G$5))))</f>
        <v/>
      </c>
      <c r="S911" s="249" t="str">
        <f ca="1">IF(C911="","",[1]!S_SHARE_TOTAL(D911,TODAY())/$E$5)</f>
        <v/>
      </c>
      <c r="T911" s="249" t="str">
        <f t="shared" ca="1" si="91"/>
        <v/>
      </c>
      <c r="U911" s="172" t="str">
        <f t="shared" ca="1" si="92"/>
        <v/>
      </c>
      <c r="V911" s="343" t="str">
        <f t="shared" ca="1" si="93"/>
        <v/>
      </c>
      <c r="W911" s="139"/>
      <c r="Y911" s="1"/>
    </row>
    <row r="912" spans="3:25" ht="12" customHeight="1">
      <c r="C912" s="342" t="str">
        <f t="shared" ca="1" si="94"/>
        <v/>
      </c>
      <c r="D912" s="153" t="str">
        <f t="shared" ca="1" si="89"/>
        <v/>
      </c>
      <c r="E912" s="153" t="str">
        <f t="shared" ca="1" si="90"/>
        <v/>
      </c>
      <c r="F912" s="170" t="str">
        <f ca="1">IF(C912="","",[1]!S_DQ_CLOSE(D912,TODAY(),1))</f>
        <v/>
      </c>
      <c r="G912" s="171" t="str">
        <f ca="1">IF(C912="","",[1]!s_pq_pctchange(D912,TODAY()-$G$12,TODAY())/100)</f>
        <v/>
      </c>
      <c r="H912" s="247" t="str">
        <f ca="1">IF(C912="","",IF($H$11="收入",[1]!S_STM07_IS(D912,9,$G$5,$H$13)/$E$5,[1]!S_STM07_IS(D912,48,$G$5,$H$13)/$E$5))</f>
        <v/>
      </c>
      <c r="I912" s="247" t="str">
        <f ca="1">IF(C912="","",IF($I$11="毛利率",([1]!S_STM07_IS(D912,9,$G$5,$H$13)-[1]!S_STM07_IS(D912,10,$G$5,$H$13))/[1]!S_STM07_IS(D912,9,$G$5,$H$13),[1]!S_STM07_IS(D912,14,$G$5,$H$13)/$E$5))</f>
        <v/>
      </c>
      <c r="J912" s="247" t="str">
        <f ca="1">IF(C912="","",IF($J$11="营业利润率",[1]!S_STM07_IS(D912,48,$G$5,$H$13)/[1]!S_STM07_IS(D912,9,$G$5,$H$13),([1]!S_STM07_CS(D912,87,$G$5,$H$13)+[1]!S_STM07_CS(D912,88,$G$5,$H$13)+[1]!S_STM07_CS(D912,89,$G$5,$H$13))/$E$5))</f>
        <v/>
      </c>
      <c r="K912" s="247" t="str">
        <f ca="1">IF(C912="","",IF($K$11="净利润率",[1]!S_STM07_IS(D912,61,$G$5,$H$13)/[1]!S_STM07_IS(D912,9,$G$5,$H$13),[1]!S_STM07_IS(D912,55,$G$5,$H$13)/$E$5))</f>
        <v/>
      </c>
      <c r="L912" s="247" t="str">
        <f ca="1">IF(C912="","",IF($L$11="ROA",[1]!S_STM07_IS(D912,61,$G$5,$H$13)/[1]!S_STM07_BS(D912,74,$G$5,$H$13),1-[1]!S_STM07_IS(D912,61,$G$5,$H$13)/[1]!S_STM07_IS(D912,55,$G$5,$H$13)))</f>
        <v/>
      </c>
      <c r="M912" s="247" t="str">
        <f ca="1">IF(C912="","",IF($M$11="ROE",[1]!S_STM07_IS(D912,61,$G$5,$H$13)/[1]!S_STM07_BS(D912,141,$G$5,$H$13),([1]!S_STM07_BS(D912,25,$G$5,$H$13)-[1]!S_STM07_BS(D912,93,$G$5,$H$13))/$E$5))</f>
        <v/>
      </c>
      <c r="N912" s="247" t="str">
        <f ca="1">IF(C912="","",IF($N$11="EPS",[1]!S_STM07_IS(D912,61,$G$5,$H$13)/IF([1]!S_SHARE_TOTAL(D912,$G$5)=0,[1]!S_SHARE_TOTAL(D912,[1]!s_ipo_listeddate(D912)),[1]!S_SHARE_TOTAL(D912,$G$5)),([1]!S_STM07_BS(D912,75,$G$5,$H$13)+[1]!S_STM07_BS(D912,88,$G$5,$H$13)+[1]!S_STM07_BS(D912,94,$G$5,$H$13)+[1]!S_STM07_BS(D912,95,$G$5,$H$13))/$E$5))</f>
        <v/>
      </c>
      <c r="O912" s="247" t="str">
        <f ca="1">IF(C912="","",IF($O$11="BPS",[1]!S_STM07_BS(D912,141,$G$5,$H$13)/IF([1]!S_SHARE_TOTAL(D912,$G$5)=0,[1]!S_SHARE_TOTAL(D912,[1]!s_ipo_listeddate(D912)),[1]!S_SHARE_TOTAL(D912,$G$5)),[1]!S_STM07_CS(D912,49,$G$5,$H$13)/$E$5))</f>
        <v/>
      </c>
      <c r="P912" s="247" t="str">
        <f ca="1">IF(C912="","",IF($P$11="CFPS",[1]!S_STM07_CS(D912,84,$G$5,$H$13)/IF([1]!S_SHARE_TOTAL(D912,$G$5)=0,[1]!S_SHARE_TOTAL(D912,[1]!s_ipo_listeddate(D912)),[1]!S_SHARE_TOTAL(D912,$G$5)),[1]!S_STM07_CS(D912,84,$G$5,$H$13)/$E$5))</f>
        <v/>
      </c>
      <c r="Q912" s="248" t="str">
        <f ca="1">IF(C912="","",F912/([1]!S_STM07_IS(D912,61,$G$5,$H$13)/IF([1]!S_SHARE_TOTAL(D912,$G$5)=0,[1]!S_SHARE_TOTAL(D912,[1]!s_ipo_listeddate(D912)),[1]!S_SHARE_TOTAL(D912,$G$5))))</f>
        <v/>
      </c>
      <c r="R912" s="248" t="str">
        <f ca="1">IF(C912="","",F912/([1]!S_STM07_BS(D912,141,$G$5,$H$13)/IF([1]!S_SHARE_TOTAL(D912,$G$5)=0,[1]!S_SHARE_TOTAL(D912,[1]!s_ipo_listeddate(D912)),[1]!S_SHARE_TOTAL(D912,$G$5))))</f>
        <v/>
      </c>
      <c r="S912" s="247" t="str">
        <f ca="1">IF(C912="","",[1]!S_SHARE_TOTAL(D912,TODAY())/$E$5)</f>
        <v/>
      </c>
      <c r="T912" s="247" t="str">
        <f t="shared" ca="1" si="91"/>
        <v/>
      </c>
      <c r="U912" s="218" t="str">
        <f t="shared" ca="1" si="92"/>
        <v/>
      </c>
      <c r="V912" s="342" t="str">
        <f t="shared" ca="1" si="93"/>
        <v/>
      </c>
      <c r="W912" s="139"/>
      <c r="Y912" s="1"/>
    </row>
    <row r="913" spans="3:25" ht="12" customHeight="1">
      <c r="C913" s="343" t="str">
        <f t="shared" ca="1" si="94"/>
        <v/>
      </c>
      <c r="D913" s="124" t="str">
        <f t="shared" ca="1" si="89"/>
        <v/>
      </c>
      <c r="E913" s="124" t="str">
        <f t="shared" ca="1" si="90"/>
        <v/>
      </c>
      <c r="F913" s="172" t="str">
        <f ca="1">IF(C913="","",[1]!S_DQ_CLOSE(D913,TODAY(),1))</f>
        <v/>
      </c>
      <c r="G913" s="173" t="str">
        <f ca="1">IF(C913="","",[1]!s_pq_pctchange(D913,TODAY()-$G$12,TODAY())/100)</f>
        <v/>
      </c>
      <c r="H913" s="249" t="str">
        <f ca="1">IF(C913="","",IF($H$11="收入",[1]!S_STM07_IS(D913,9,$G$5,$H$13)/$E$5,[1]!S_STM07_IS(D913,48,$G$5,$H$13)/$E$5))</f>
        <v/>
      </c>
      <c r="I913" s="249" t="str">
        <f ca="1">IF(C913="","",IF($I$11="毛利率",([1]!S_STM07_IS(D913,9,$G$5,$H$13)-[1]!S_STM07_IS(D913,10,$G$5,$H$13))/[1]!S_STM07_IS(D913,9,$G$5,$H$13),[1]!S_STM07_IS(D913,14,$G$5,$H$13)/$E$5))</f>
        <v/>
      </c>
      <c r="J913" s="249" t="str">
        <f ca="1">IF(C913="","",IF($J$11="营业利润率",[1]!S_STM07_IS(D913,48,$G$5,$H$13)/[1]!S_STM07_IS(D913,9,$G$5,$H$13),([1]!S_STM07_CS(D913,87,$G$5,$H$13)+[1]!S_STM07_CS(D913,88,$G$5,$H$13)+[1]!S_STM07_CS(D913,89,$G$5,$H$13))/$E$5))</f>
        <v/>
      </c>
      <c r="K913" s="249" t="str">
        <f ca="1">IF(C913="","",IF($K$11="净利润率",[1]!S_STM07_IS(D913,61,$G$5,$H$13)/[1]!S_STM07_IS(D913,9,$G$5,$H$13),[1]!S_STM07_IS(D913,55,$G$5,$H$13)/$E$5))</f>
        <v/>
      </c>
      <c r="L913" s="249" t="str">
        <f ca="1">IF(C913="","",IF($L$11="ROA",[1]!S_STM07_IS(D913,61,$G$5,$H$13)/[1]!S_STM07_BS(D913,74,$G$5,$H$13),1-[1]!S_STM07_IS(D913,61,$G$5,$H$13)/[1]!S_STM07_IS(D913,55,$G$5,$H$13)))</f>
        <v/>
      </c>
      <c r="M913" s="249" t="str">
        <f ca="1">IF(C913="","",IF($M$11="ROE",[1]!S_STM07_IS(D913,61,$G$5,$H$13)/[1]!S_STM07_BS(D913,141,$G$5,$H$13),([1]!S_STM07_BS(D913,25,$G$5,$H$13)-[1]!S_STM07_BS(D913,93,$G$5,$H$13))/$E$5))</f>
        <v/>
      </c>
      <c r="N913" s="250" t="str">
        <f ca="1">IF(C913="","",IF($N$11="EPS",[1]!S_STM07_IS(D913,61,$G$5,$H$13)/IF([1]!S_SHARE_TOTAL(D913,$G$5)=0,[1]!S_SHARE_TOTAL(D913,[1]!s_ipo_listeddate(D913)),[1]!S_SHARE_TOTAL(D913,$G$5)),([1]!S_STM07_BS(D913,75,$G$5,$H$13)+[1]!S_STM07_BS(D913,88,$G$5,$H$13)+[1]!S_STM07_BS(D913,94,$G$5,$H$13)+[1]!S_STM07_BS(D913,95,$G$5,$H$13))/$E$5))</f>
        <v/>
      </c>
      <c r="O913" s="250" t="str">
        <f ca="1">IF(C913="","",IF($O$11="BPS",[1]!S_STM07_BS(D913,141,$G$5,$H$13)/IF([1]!S_SHARE_TOTAL(D913,$G$5)=0,[1]!S_SHARE_TOTAL(D913,[1]!s_ipo_listeddate(D913)),[1]!S_SHARE_TOTAL(D913,$G$5)),[1]!S_STM07_CS(D913,49,$G$5,$H$13)/$E$5))</f>
        <v/>
      </c>
      <c r="P913" s="250" t="str">
        <f ca="1">IF(C913="","",IF($P$11="CFPS",[1]!S_STM07_CS(D913,84,$G$5,$H$13)/IF([1]!S_SHARE_TOTAL(D913,$G$5)=0,[1]!S_SHARE_TOTAL(D913,[1]!s_ipo_listeddate(D913)),[1]!S_SHARE_TOTAL(D913,$G$5)),[1]!S_STM07_CS(D913,84,$G$5,$H$13)/$E$5))</f>
        <v/>
      </c>
      <c r="Q913" s="198" t="str">
        <f ca="1">IF(C913="","",F913/([1]!S_STM07_IS(D913,61,$G$5,$H$13)/IF([1]!S_SHARE_TOTAL(D913,$G$5)=0,[1]!S_SHARE_TOTAL(D913,[1]!s_ipo_listeddate(D913)),[1]!S_SHARE_TOTAL(D913,$G$5))))</f>
        <v/>
      </c>
      <c r="R913" s="198" t="str">
        <f ca="1">IF(C913="","",F913/([1]!S_STM07_BS(D913,141,$G$5,$H$13)/IF([1]!S_SHARE_TOTAL(D913,$G$5)=0,[1]!S_SHARE_TOTAL(D913,[1]!s_ipo_listeddate(D913)),[1]!S_SHARE_TOTAL(D913,$G$5))))</f>
        <v/>
      </c>
      <c r="S913" s="249" t="str">
        <f ca="1">IF(C913="","",[1]!S_SHARE_TOTAL(D913,TODAY())/$E$5)</f>
        <v/>
      </c>
      <c r="T913" s="249" t="str">
        <f t="shared" ca="1" si="91"/>
        <v/>
      </c>
      <c r="U913" s="172" t="str">
        <f t="shared" ca="1" si="92"/>
        <v/>
      </c>
      <c r="V913" s="343" t="str">
        <f t="shared" ca="1" si="93"/>
        <v/>
      </c>
      <c r="W913" s="139"/>
      <c r="Y913" s="1"/>
    </row>
    <row r="914" spans="3:25" ht="12" customHeight="1">
      <c r="C914" s="342" t="str">
        <f t="shared" ca="1" si="94"/>
        <v/>
      </c>
      <c r="D914" s="153" t="str">
        <f t="shared" ca="1" si="89"/>
        <v/>
      </c>
      <c r="E914" s="153" t="str">
        <f t="shared" ca="1" si="90"/>
        <v/>
      </c>
      <c r="F914" s="170" t="str">
        <f ca="1">IF(C914="","",[1]!S_DQ_CLOSE(D914,TODAY(),1))</f>
        <v/>
      </c>
      <c r="G914" s="171" t="str">
        <f ca="1">IF(C914="","",[1]!s_pq_pctchange(D914,TODAY()-$G$12,TODAY())/100)</f>
        <v/>
      </c>
      <c r="H914" s="247" t="str">
        <f ca="1">IF(C914="","",IF($H$11="收入",[1]!S_STM07_IS(D914,9,$G$5,$H$13)/$E$5,[1]!S_STM07_IS(D914,48,$G$5,$H$13)/$E$5))</f>
        <v/>
      </c>
      <c r="I914" s="247" t="str">
        <f ca="1">IF(C914="","",IF($I$11="毛利率",([1]!S_STM07_IS(D914,9,$G$5,$H$13)-[1]!S_STM07_IS(D914,10,$G$5,$H$13))/[1]!S_STM07_IS(D914,9,$G$5,$H$13),[1]!S_STM07_IS(D914,14,$G$5,$H$13)/$E$5))</f>
        <v/>
      </c>
      <c r="J914" s="247" t="str">
        <f ca="1">IF(C914="","",IF($J$11="营业利润率",[1]!S_STM07_IS(D914,48,$G$5,$H$13)/[1]!S_STM07_IS(D914,9,$G$5,$H$13),([1]!S_STM07_CS(D914,87,$G$5,$H$13)+[1]!S_STM07_CS(D914,88,$G$5,$H$13)+[1]!S_STM07_CS(D914,89,$G$5,$H$13))/$E$5))</f>
        <v/>
      </c>
      <c r="K914" s="247" t="str">
        <f ca="1">IF(C914="","",IF($K$11="净利润率",[1]!S_STM07_IS(D914,61,$G$5,$H$13)/[1]!S_STM07_IS(D914,9,$G$5,$H$13),[1]!S_STM07_IS(D914,55,$G$5,$H$13)/$E$5))</f>
        <v/>
      </c>
      <c r="L914" s="247" t="str">
        <f ca="1">IF(C914="","",IF($L$11="ROA",[1]!S_STM07_IS(D914,61,$G$5,$H$13)/[1]!S_STM07_BS(D914,74,$G$5,$H$13),1-[1]!S_STM07_IS(D914,61,$G$5,$H$13)/[1]!S_STM07_IS(D914,55,$G$5,$H$13)))</f>
        <v/>
      </c>
      <c r="M914" s="247" t="str">
        <f ca="1">IF(C914="","",IF($M$11="ROE",[1]!S_STM07_IS(D914,61,$G$5,$H$13)/[1]!S_STM07_BS(D914,141,$G$5,$H$13),([1]!S_STM07_BS(D914,25,$G$5,$H$13)-[1]!S_STM07_BS(D914,93,$G$5,$H$13))/$E$5))</f>
        <v/>
      </c>
      <c r="N914" s="247" t="str">
        <f ca="1">IF(C914="","",IF($N$11="EPS",[1]!S_STM07_IS(D914,61,$G$5,$H$13)/IF([1]!S_SHARE_TOTAL(D914,$G$5)=0,[1]!S_SHARE_TOTAL(D914,[1]!s_ipo_listeddate(D914)),[1]!S_SHARE_TOTAL(D914,$G$5)),([1]!S_STM07_BS(D914,75,$G$5,$H$13)+[1]!S_STM07_BS(D914,88,$G$5,$H$13)+[1]!S_STM07_BS(D914,94,$G$5,$H$13)+[1]!S_STM07_BS(D914,95,$G$5,$H$13))/$E$5))</f>
        <v/>
      </c>
      <c r="O914" s="247" t="str">
        <f ca="1">IF(C914="","",IF($O$11="BPS",[1]!S_STM07_BS(D914,141,$G$5,$H$13)/IF([1]!S_SHARE_TOTAL(D914,$G$5)=0,[1]!S_SHARE_TOTAL(D914,[1]!s_ipo_listeddate(D914)),[1]!S_SHARE_TOTAL(D914,$G$5)),[1]!S_STM07_CS(D914,49,$G$5,$H$13)/$E$5))</f>
        <v/>
      </c>
      <c r="P914" s="247" t="str">
        <f ca="1">IF(C914="","",IF($P$11="CFPS",[1]!S_STM07_CS(D914,84,$G$5,$H$13)/IF([1]!S_SHARE_TOTAL(D914,$G$5)=0,[1]!S_SHARE_TOTAL(D914,[1]!s_ipo_listeddate(D914)),[1]!S_SHARE_TOTAL(D914,$G$5)),[1]!S_STM07_CS(D914,84,$G$5,$H$13)/$E$5))</f>
        <v/>
      </c>
      <c r="Q914" s="248" t="str">
        <f ca="1">IF(C914="","",F914/([1]!S_STM07_IS(D914,61,$G$5,$H$13)/IF([1]!S_SHARE_TOTAL(D914,$G$5)=0,[1]!S_SHARE_TOTAL(D914,[1]!s_ipo_listeddate(D914)),[1]!S_SHARE_TOTAL(D914,$G$5))))</f>
        <v/>
      </c>
      <c r="R914" s="248" t="str">
        <f ca="1">IF(C914="","",F914/([1]!S_STM07_BS(D914,141,$G$5,$H$13)/IF([1]!S_SHARE_TOTAL(D914,$G$5)=0,[1]!S_SHARE_TOTAL(D914,[1]!s_ipo_listeddate(D914)),[1]!S_SHARE_TOTAL(D914,$G$5))))</f>
        <v/>
      </c>
      <c r="S914" s="247" t="str">
        <f ca="1">IF(C914="","",[1]!S_SHARE_TOTAL(D914,TODAY())/$E$5)</f>
        <v/>
      </c>
      <c r="T914" s="247" t="str">
        <f t="shared" ca="1" si="91"/>
        <v/>
      </c>
      <c r="U914" s="218" t="str">
        <f t="shared" ca="1" si="92"/>
        <v/>
      </c>
      <c r="V914" s="342" t="str">
        <f t="shared" ca="1" si="93"/>
        <v/>
      </c>
      <c r="W914" s="139"/>
      <c r="Y914" s="1"/>
    </row>
    <row r="915" spans="3:25" ht="12" customHeight="1">
      <c r="C915" s="343" t="str">
        <f t="shared" ca="1" si="94"/>
        <v/>
      </c>
      <c r="D915" s="124" t="str">
        <f t="shared" ca="1" si="89"/>
        <v/>
      </c>
      <c r="E915" s="124" t="str">
        <f t="shared" ca="1" si="90"/>
        <v/>
      </c>
      <c r="F915" s="172" t="str">
        <f ca="1">IF(C915="","",[1]!S_DQ_CLOSE(D915,TODAY(),1))</f>
        <v/>
      </c>
      <c r="G915" s="173" t="str">
        <f ca="1">IF(C915="","",[1]!s_pq_pctchange(D915,TODAY()-$G$12,TODAY())/100)</f>
        <v/>
      </c>
      <c r="H915" s="249" t="str">
        <f ca="1">IF(C915="","",IF($H$11="收入",[1]!S_STM07_IS(D915,9,$G$5,$H$13)/$E$5,[1]!S_STM07_IS(D915,48,$G$5,$H$13)/$E$5))</f>
        <v/>
      </c>
      <c r="I915" s="249" t="str">
        <f ca="1">IF(C915="","",IF($I$11="毛利率",([1]!S_STM07_IS(D915,9,$G$5,$H$13)-[1]!S_STM07_IS(D915,10,$G$5,$H$13))/[1]!S_STM07_IS(D915,9,$G$5,$H$13),[1]!S_STM07_IS(D915,14,$G$5,$H$13)/$E$5))</f>
        <v/>
      </c>
      <c r="J915" s="249" t="str">
        <f ca="1">IF(C915="","",IF($J$11="营业利润率",[1]!S_STM07_IS(D915,48,$G$5,$H$13)/[1]!S_STM07_IS(D915,9,$G$5,$H$13),([1]!S_STM07_CS(D915,87,$G$5,$H$13)+[1]!S_STM07_CS(D915,88,$G$5,$H$13)+[1]!S_STM07_CS(D915,89,$G$5,$H$13))/$E$5))</f>
        <v/>
      </c>
      <c r="K915" s="249" t="str">
        <f ca="1">IF(C915="","",IF($K$11="净利润率",[1]!S_STM07_IS(D915,61,$G$5,$H$13)/[1]!S_STM07_IS(D915,9,$G$5,$H$13),[1]!S_STM07_IS(D915,55,$G$5,$H$13)/$E$5))</f>
        <v/>
      </c>
      <c r="L915" s="249" t="str">
        <f ca="1">IF(C915="","",IF($L$11="ROA",[1]!S_STM07_IS(D915,61,$G$5,$H$13)/[1]!S_STM07_BS(D915,74,$G$5,$H$13),1-[1]!S_STM07_IS(D915,61,$G$5,$H$13)/[1]!S_STM07_IS(D915,55,$G$5,$H$13)))</f>
        <v/>
      </c>
      <c r="M915" s="249" t="str">
        <f ca="1">IF(C915="","",IF($M$11="ROE",[1]!S_STM07_IS(D915,61,$G$5,$H$13)/[1]!S_STM07_BS(D915,141,$G$5,$H$13),([1]!S_STM07_BS(D915,25,$G$5,$H$13)-[1]!S_STM07_BS(D915,93,$G$5,$H$13))/$E$5))</f>
        <v/>
      </c>
      <c r="N915" s="250" t="str">
        <f ca="1">IF(C915="","",IF($N$11="EPS",[1]!S_STM07_IS(D915,61,$G$5,$H$13)/IF([1]!S_SHARE_TOTAL(D915,$G$5)=0,[1]!S_SHARE_TOTAL(D915,[1]!s_ipo_listeddate(D915)),[1]!S_SHARE_TOTAL(D915,$G$5)),([1]!S_STM07_BS(D915,75,$G$5,$H$13)+[1]!S_STM07_BS(D915,88,$G$5,$H$13)+[1]!S_STM07_BS(D915,94,$G$5,$H$13)+[1]!S_STM07_BS(D915,95,$G$5,$H$13))/$E$5))</f>
        <v/>
      </c>
      <c r="O915" s="250" t="str">
        <f ca="1">IF(C915="","",IF($O$11="BPS",[1]!S_STM07_BS(D915,141,$G$5,$H$13)/IF([1]!S_SHARE_TOTAL(D915,$G$5)=0,[1]!S_SHARE_TOTAL(D915,[1]!s_ipo_listeddate(D915)),[1]!S_SHARE_TOTAL(D915,$G$5)),[1]!S_STM07_CS(D915,49,$G$5,$H$13)/$E$5))</f>
        <v/>
      </c>
      <c r="P915" s="250" t="str">
        <f ca="1">IF(C915="","",IF($P$11="CFPS",[1]!S_STM07_CS(D915,84,$G$5,$H$13)/IF([1]!S_SHARE_TOTAL(D915,$G$5)=0,[1]!S_SHARE_TOTAL(D915,[1]!s_ipo_listeddate(D915)),[1]!S_SHARE_TOTAL(D915,$G$5)),[1]!S_STM07_CS(D915,84,$G$5,$H$13)/$E$5))</f>
        <v/>
      </c>
      <c r="Q915" s="198" t="str">
        <f ca="1">IF(C915="","",F915/([1]!S_STM07_IS(D915,61,$G$5,$H$13)/IF([1]!S_SHARE_TOTAL(D915,$G$5)=0,[1]!S_SHARE_TOTAL(D915,[1]!s_ipo_listeddate(D915)),[1]!S_SHARE_TOTAL(D915,$G$5))))</f>
        <v/>
      </c>
      <c r="R915" s="198" t="str">
        <f ca="1">IF(C915="","",F915/([1]!S_STM07_BS(D915,141,$G$5,$H$13)/IF([1]!S_SHARE_TOTAL(D915,$G$5)=0,[1]!S_SHARE_TOTAL(D915,[1]!s_ipo_listeddate(D915)),[1]!S_SHARE_TOTAL(D915,$G$5))))</f>
        <v/>
      </c>
      <c r="S915" s="249" t="str">
        <f ca="1">IF(C915="","",[1]!S_SHARE_TOTAL(D915,TODAY())/$E$5)</f>
        <v/>
      </c>
      <c r="T915" s="249" t="str">
        <f t="shared" ca="1" si="91"/>
        <v/>
      </c>
      <c r="U915" s="172" t="str">
        <f t="shared" ca="1" si="92"/>
        <v/>
      </c>
      <c r="V915" s="343" t="str">
        <f t="shared" ca="1" si="93"/>
        <v/>
      </c>
      <c r="W915" s="139"/>
      <c r="Y915" s="1"/>
    </row>
    <row r="916" spans="3:25" ht="12" customHeight="1">
      <c r="C916" s="342" t="str">
        <f t="shared" ca="1" si="94"/>
        <v/>
      </c>
      <c r="D916" s="153" t="str">
        <f t="shared" ca="1" si="89"/>
        <v/>
      </c>
      <c r="E916" s="153" t="str">
        <f t="shared" ca="1" si="90"/>
        <v/>
      </c>
      <c r="F916" s="170" t="str">
        <f ca="1">IF(C916="","",[1]!S_DQ_CLOSE(D916,TODAY(),1))</f>
        <v/>
      </c>
      <c r="G916" s="171" t="str">
        <f ca="1">IF(C916="","",[1]!s_pq_pctchange(D916,TODAY()-$G$12,TODAY())/100)</f>
        <v/>
      </c>
      <c r="H916" s="247" t="str">
        <f ca="1">IF(C916="","",IF($H$11="收入",[1]!S_STM07_IS(D916,9,$G$5,$H$13)/$E$5,[1]!S_STM07_IS(D916,48,$G$5,$H$13)/$E$5))</f>
        <v/>
      </c>
      <c r="I916" s="247" t="str">
        <f ca="1">IF(C916="","",IF($I$11="毛利率",([1]!S_STM07_IS(D916,9,$G$5,$H$13)-[1]!S_STM07_IS(D916,10,$G$5,$H$13))/[1]!S_STM07_IS(D916,9,$G$5,$H$13),[1]!S_STM07_IS(D916,14,$G$5,$H$13)/$E$5))</f>
        <v/>
      </c>
      <c r="J916" s="247" t="str">
        <f ca="1">IF(C916="","",IF($J$11="营业利润率",[1]!S_STM07_IS(D916,48,$G$5,$H$13)/[1]!S_STM07_IS(D916,9,$G$5,$H$13),([1]!S_STM07_CS(D916,87,$G$5,$H$13)+[1]!S_STM07_CS(D916,88,$G$5,$H$13)+[1]!S_STM07_CS(D916,89,$G$5,$H$13))/$E$5))</f>
        <v/>
      </c>
      <c r="K916" s="247" t="str">
        <f ca="1">IF(C916="","",IF($K$11="净利润率",[1]!S_STM07_IS(D916,61,$G$5,$H$13)/[1]!S_STM07_IS(D916,9,$G$5,$H$13),[1]!S_STM07_IS(D916,55,$G$5,$H$13)/$E$5))</f>
        <v/>
      </c>
      <c r="L916" s="247" t="str">
        <f ca="1">IF(C916="","",IF($L$11="ROA",[1]!S_STM07_IS(D916,61,$G$5,$H$13)/[1]!S_STM07_BS(D916,74,$G$5,$H$13),1-[1]!S_STM07_IS(D916,61,$G$5,$H$13)/[1]!S_STM07_IS(D916,55,$G$5,$H$13)))</f>
        <v/>
      </c>
      <c r="M916" s="247" t="str">
        <f ca="1">IF(C916="","",IF($M$11="ROE",[1]!S_STM07_IS(D916,61,$G$5,$H$13)/[1]!S_STM07_BS(D916,141,$G$5,$H$13),([1]!S_STM07_BS(D916,25,$G$5,$H$13)-[1]!S_STM07_BS(D916,93,$G$5,$H$13))/$E$5))</f>
        <v/>
      </c>
      <c r="N916" s="247" t="str">
        <f ca="1">IF(C916="","",IF($N$11="EPS",[1]!S_STM07_IS(D916,61,$G$5,$H$13)/IF([1]!S_SHARE_TOTAL(D916,$G$5)=0,[1]!S_SHARE_TOTAL(D916,[1]!s_ipo_listeddate(D916)),[1]!S_SHARE_TOTAL(D916,$G$5)),([1]!S_STM07_BS(D916,75,$G$5,$H$13)+[1]!S_STM07_BS(D916,88,$G$5,$H$13)+[1]!S_STM07_BS(D916,94,$G$5,$H$13)+[1]!S_STM07_BS(D916,95,$G$5,$H$13))/$E$5))</f>
        <v/>
      </c>
      <c r="O916" s="247" t="str">
        <f ca="1">IF(C916="","",IF($O$11="BPS",[1]!S_STM07_BS(D916,141,$G$5,$H$13)/IF([1]!S_SHARE_TOTAL(D916,$G$5)=0,[1]!S_SHARE_TOTAL(D916,[1]!s_ipo_listeddate(D916)),[1]!S_SHARE_TOTAL(D916,$G$5)),[1]!S_STM07_CS(D916,49,$G$5,$H$13)/$E$5))</f>
        <v/>
      </c>
      <c r="P916" s="247" t="str">
        <f ca="1">IF(C916="","",IF($P$11="CFPS",[1]!S_STM07_CS(D916,84,$G$5,$H$13)/IF([1]!S_SHARE_TOTAL(D916,$G$5)=0,[1]!S_SHARE_TOTAL(D916,[1]!s_ipo_listeddate(D916)),[1]!S_SHARE_TOTAL(D916,$G$5)),[1]!S_STM07_CS(D916,84,$G$5,$H$13)/$E$5))</f>
        <v/>
      </c>
      <c r="Q916" s="248" t="str">
        <f ca="1">IF(C916="","",F916/([1]!S_STM07_IS(D916,61,$G$5,$H$13)/IF([1]!S_SHARE_TOTAL(D916,$G$5)=0,[1]!S_SHARE_TOTAL(D916,[1]!s_ipo_listeddate(D916)),[1]!S_SHARE_TOTAL(D916,$G$5))))</f>
        <v/>
      </c>
      <c r="R916" s="248" t="str">
        <f ca="1">IF(C916="","",F916/([1]!S_STM07_BS(D916,141,$G$5,$H$13)/IF([1]!S_SHARE_TOTAL(D916,$G$5)=0,[1]!S_SHARE_TOTAL(D916,[1]!s_ipo_listeddate(D916)),[1]!S_SHARE_TOTAL(D916,$G$5))))</f>
        <v/>
      </c>
      <c r="S916" s="247" t="str">
        <f ca="1">IF(C916="","",[1]!S_SHARE_TOTAL(D916,TODAY())/$E$5)</f>
        <v/>
      </c>
      <c r="T916" s="247" t="str">
        <f t="shared" ca="1" si="91"/>
        <v/>
      </c>
      <c r="U916" s="218" t="str">
        <f t="shared" ca="1" si="92"/>
        <v/>
      </c>
      <c r="V916" s="342" t="str">
        <f t="shared" ca="1" si="93"/>
        <v/>
      </c>
      <c r="W916" s="139"/>
      <c r="Y916" s="1"/>
    </row>
    <row r="917" spans="3:25" ht="12" customHeight="1">
      <c r="C917" s="343" t="str">
        <f t="shared" ca="1" si="94"/>
        <v/>
      </c>
      <c r="D917" s="124" t="str">
        <f t="shared" ca="1" si="89"/>
        <v/>
      </c>
      <c r="E917" s="124" t="str">
        <f t="shared" ca="1" si="90"/>
        <v/>
      </c>
      <c r="F917" s="172" t="str">
        <f ca="1">IF(C917="","",[1]!S_DQ_CLOSE(D917,TODAY(),1))</f>
        <v/>
      </c>
      <c r="G917" s="173" t="str">
        <f ca="1">IF(C917="","",[1]!s_pq_pctchange(D917,TODAY()-$G$12,TODAY())/100)</f>
        <v/>
      </c>
      <c r="H917" s="249" t="str">
        <f ca="1">IF(C917="","",IF($H$11="收入",[1]!S_STM07_IS(D917,9,$G$5,$H$13)/$E$5,[1]!S_STM07_IS(D917,48,$G$5,$H$13)/$E$5))</f>
        <v/>
      </c>
      <c r="I917" s="249" t="str">
        <f ca="1">IF(C917="","",IF($I$11="毛利率",([1]!S_STM07_IS(D917,9,$G$5,$H$13)-[1]!S_STM07_IS(D917,10,$G$5,$H$13))/[1]!S_STM07_IS(D917,9,$G$5,$H$13),[1]!S_STM07_IS(D917,14,$G$5,$H$13)/$E$5))</f>
        <v/>
      </c>
      <c r="J917" s="249" t="str">
        <f ca="1">IF(C917="","",IF($J$11="营业利润率",[1]!S_STM07_IS(D917,48,$G$5,$H$13)/[1]!S_STM07_IS(D917,9,$G$5,$H$13),([1]!S_STM07_CS(D917,87,$G$5,$H$13)+[1]!S_STM07_CS(D917,88,$G$5,$H$13)+[1]!S_STM07_CS(D917,89,$G$5,$H$13))/$E$5))</f>
        <v/>
      </c>
      <c r="K917" s="249" t="str">
        <f ca="1">IF(C917="","",IF($K$11="净利润率",[1]!S_STM07_IS(D917,61,$G$5,$H$13)/[1]!S_STM07_IS(D917,9,$G$5,$H$13),[1]!S_STM07_IS(D917,55,$G$5,$H$13)/$E$5))</f>
        <v/>
      </c>
      <c r="L917" s="249" t="str">
        <f ca="1">IF(C917="","",IF($L$11="ROA",[1]!S_STM07_IS(D917,61,$G$5,$H$13)/[1]!S_STM07_BS(D917,74,$G$5,$H$13),1-[1]!S_STM07_IS(D917,61,$G$5,$H$13)/[1]!S_STM07_IS(D917,55,$G$5,$H$13)))</f>
        <v/>
      </c>
      <c r="M917" s="249" t="str">
        <f ca="1">IF(C917="","",IF($M$11="ROE",[1]!S_STM07_IS(D917,61,$G$5,$H$13)/[1]!S_STM07_BS(D917,141,$G$5,$H$13),([1]!S_STM07_BS(D917,25,$G$5,$H$13)-[1]!S_STM07_BS(D917,93,$G$5,$H$13))/$E$5))</f>
        <v/>
      </c>
      <c r="N917" s="250" t="str">
        <f ca="1">IF(C917="","",IF($N$11="EPS",[1]!S_STM07_IS(D917,61,$G$5,$H$13)/IF([1]!S_SHARE_TOTAL(D917,$G$5)=0,[1]!S_SHARE_TOTAL(D917,[1]!s_ipo_listeddate(D917)),[1]!S_SHARE_TOTAL(D917,$G$5)),([1]!S_STM07_BS(D917,75,$G$5,$H$13)+[1]!S_STM07_BS(D917,88,$G$5,$H$13)+[1]!S_STM07_BS(D917,94,$G$5,$H$13)+[1]!S_STM07_BS(D917,95,$G$5,$H$13))/$E$5))</f>
        <v/>
      </c>
      <c r="O917" s="250" t="str">
        <f ca="1">IF(C917="","",IF($O$11="BPS",[1]!S_STM07_BS(D917,141,$G$5,$H$13)/IF([1]!S_SHARE_TOTAL(D917,$G$5)=0,[1]!S_SHARE_TOTAL(D917,[1]!s_ipo_listeddate(D917)),[1]!S_SHARE_TOTAL(D917,$G$5)),[1]!S_STM07_CS(D917,49,$G$5,$H$13)/$E$5))</f>
        <v/>
      </c>
      <c r="P917" s="250" t="str">
        <f ca="1">IF(C917="","",IF($P$11="CFPS",[1]!S_STM07_CS(D917,84,$G$5,$H$13)/IF([1]!S_SHARE_TOTAL(D917,$G$5)=0,[1]!S_SHARE_TOTAL(D917,[1]!s_ipo_listeddate(D917)),[1]!S_SHARE_TOTAL(D917,$G$5)),[1]!S_STM07_CS(D917,84,$G$5,$H$13)/$E$5))</f>
        <v/>
      </c>
      <c r="Q917" s="198" t="str">
        <f ca="1">IF(C917="","",F917/([1]!S_STM07_IS(D917,61,$G$5,$H$13)/IF([1]!S_SHARE_TOTAL(D917,$G$5)=0,[1]!S_SHARE_TOTAL(D917,[1]!s_ipo_listeddate(D917)),[1]!S_SHARE_TOTAL(D917,$G$5))))</f>
        <v/>
      </c>
      <c r="R917" s="198" t="str">
        <f ca="1">IF(C917="","",F917/([1]!S_STM07_BS(D917,141,$G$5,$H$13)/IF([1]!S_SHARE_TOTAL(D917,$G$5)=0,[1]!S_SHARE_TOTAL(D917,[1]!s_ipo_listeddate(D917)),[1]!S_SHARE_TOTAL(D917,$G$5))))</f>
        <v/>
      </c>
      <c r="S917" s="249" t="str">
        <f ca="1">IF(C917="","",[1]!S_SHARE_TOTAL(D917,TODAY())/$E$5)</f>
        <v/>
      </c>
      <c r="T917" s="249" t="str">
        <f t="shared" ca="1" si="91"/>
        <v/>
      </c>
      <c r="U917" s="172" t="str">
        <f t="shared" ca="1" si="92"/>
        <v/>
      </c>
      <c r="V917" s="343" t="str">
        <f t="shared" ca="1" si="93"/>
        <v/>
      </c>
      <c r="W917" s="139"/>
      <c r="Y917" s="1"/>
    </row>
    <row r="918" spans="3:25" ht="12" customHeight="1">
      <c r="C918" s="342" t="str">
        <f t="shared" ca="1" si="94"/>
        <v/>
      </c>
      <c r="D918" s="153" t="str">
        <f t="shared" ca="1" si="89"/>
        <v/>
      </c>
      <c r="E918" s="153" t="str">
        <f t="shared" ca="1" si="90"/>
        <v/>
      </c>
      <c r="F918" s="170" t="str">
        <f ca="1">IF(C918="","",[1]!S_DQ_CLOSE(D918,TODAY(),1))</f>
        <v/>
      </c>
      <c r="G918" s="171" t="str">
        <f ca="1">IF(C918="","",[1]!s_pq_pctchange(D918,TODAY()-$G$12,TODAY())/100)</f>
        <v/>
      </c>
      <c r="H918" s="247" t="str">
        <f ca="1">IF(C918="","",IF($H$11="收入",[1]!S_STM07_IS(D918,9,$G$5,$H$13)/$E$5,[1]!S_STM07_IS(D918,48,$G$5,$H$13)/$E$5))</f>
        <v/>
      </c>
      <c r="I918" s="247" t="str">
        <f ca="1">IF(C918="","",IF($I$11="毛利率",([1]!S_STM07_IS(D918,9,$G$5,$H$13)-[1]!S_STM07_IS(D918,10,$G$5,$H$13))/[1]!S_STM07_IS(D918,9,$G$5,$H$13),[1]!S_STM07_IS(D918,14,$G$5,$H$13)/$E$5))</f>
        <v/>
      </c>
      <c r="J918" s="247" t="str">
        <f ca="1">IF(C918="","",IF($J$11="营业利润率",[1]!S_STM07_IS(D918,48,$G$5,$H$13)/[1]!S_STM07_IS(D918,9,$G$5,$H$13),([1]!S_STM07_CS(D918,87,$G$5,$H$13)+[1]!S_STM07_CS(D918,88,$G$5,$H$13)+[1]!S_STM07_CS(D918,89,$G$5,$H$13))/$E$5))</f>
        <v/>
      </c>
      <c r="K918" s="247" t="str">
        <f ca="1">IF(C918="","",IF($K$11="净利润率",[1]!S_STM07_IS(D918,61,$G$5,$H$13)/[1]!S_STM07_IS(D918,9,$G$5,$H$13),[1]!S_STM07_IS(D918,55,$G$5,$H$13)/$E$5))</f>
        <v/>
      </c>
      <c r="L918" s="247" t="str">
        <f ca="1">IF(C918="","",IF($L$11="ROA",[1]!S_STM07_IS(D918,61,$G$5,$H$13)/[1]!S_STM07_BS(D918,74,$G$5,$H$13),1-[1]!S_STM07_IS(D918,61,$G$5,$H$13)/[1]!S_STM07_IS(D918,55,$G$5,$H$13)))</f>
        <v/>
      </c>
      <c r="M918" s="247" t="str">
        <f ca="1">IF(C918="","",IF($M$11="ROE",[1]!S_STM07_IS(D918,61,$G$5,$H$13)/[1]!S_STM07_BS(D918,141,$G$5,$H$13),([1]!S_STM07_BS(D918,25,$G$5,$H$13)-[1]!S_STM07_BS(D918,93,$G$5,$H$13))/$E$5))</f>
        <v/>
      </c>
      <c r="N918" s="247" t="str">
        <f ca="1">IF(C918="","",IF($N$11="EPS",[1]!S_STM07_IS(D918,61,$G$5,$H$13)/IF([1]!S_SHARE_TOTAL(D918,$G$5)=0,[1]!S_SHARE_TOTAL(D918,[1]!s_ipo_listeddate(D918)),[1]!S_SHARE_TOTAL(D918,$G$5)),([1]!S_STM07_BS(D918,75,$G$5,$H$13)+[1]!S_STM07_BS(D918,88,$G$5,$H$13)+[1]!S_STM07_BS(D918,94,$G$5,$H$13)+[1]!S_STM07_BS(D918,95,$G$5,$H$13))/$E$5))</f>
        <v/>
      </c>
      <c r="O918" s="247" t="str">
        <f ca="1">IF(C918="","",IF($O$11="BPS",[1]!S_STM07_BS(D918,141,$G$5,$H$13)/IF([1]!S_SHARE_TOTAL(D918,$G$5)=0,[1]!S_SHARE_TOTAL(D918,[1]!s_ipo_listeddate(D918)),[1]!S_SHARE_TOTAL(D918,$G$5)),[1]!S_STM07_CS(D918,49,$G$5,$H$13)/$E$5))</f>
        <v/>
      </c>
      <c r="P918" s="247" t="str">
        <f ca="1">IF(C918="","",IF($P$11="CFPS",[1]!S_STM07_CS(D918,84,$G$5,$H$13)/IF([1]!S_SHARE_TOTAL(D918,$G$5)=0,[1]!S_SHARE_TOTAL(D918,[1]!s_ipo_listeddate(D918)),[1]!S_SHARE_TOTAL(D918,$G$5)),[1]!S_STM07_CS(D918,84,$G$5,$H$13)/$E$5))</f>
        <v/>
      </c>
      <c r="Q918" s="248" t="str">
        <f ca="1">IF(C918="","",F918/([1]!S_STM07_IS(D918,61,$G$5,$H$13)/IF([1]!S_SHARE_TOTAL(D918,$G$5)=0,[1]!S_SHARE_TOTAL(D918,[1]!s_ipo_listeddate(D918)),[1]!S_SHARE_TOTAL(D918,$G$5))))</f>
        <v/>
      </c>
      <c r="R918" s="248" t="str">
        <f ca="1">IF(C918="","",F918/([1]!S_STM07_BS(D918,141,$G$5,$H$13)/IF([1]!S_SHARE_TOTAL(D918,$G$5)=0,[1]!S_SHARE_TOTAL(D918,[1]!s_ipo_listeddate(D918)),[1]!S_SHARE_TOTAL(D918,$G$5))))</f>
        <v/>
      </c>
      <c r="S918" s="247" t="str">
        <f ca="1">IF(C918="","",[1]!S_SHARE_TOTAL(D918,TODAY())/$E$5)</f>
        <v/>
      </c>
      <c r="T918" s="247" t="str">
        <f t="shared" ca="1" si="91"/>
        <v/>
      </c>
      <c r="U918" s="218" t="str">
        <f t="shared" ca="1" si="92"/>
        <v/>
      </c>
      <c r="V918" s="342" t="str">
        <f t="shared" ca="1" si="93"/>
        <v/>
      </c>
      <c r="W918" s="139"/>
      <c r="Y918" s="1"/>
    </row>
    <row r="919" spans="3:25" ht="12" customHeight="1">
      <c r="C919" s="343" t="str">
        <f t="shared" ca="1" si="94"/>
        <v/>
      </c>
      <c r="D919" s="124" t="str">
        <f t="shared" ca="1" si="89"/>
        <v/>
      </c>
      <c r="E919" s="124" t="str">
        <f t="shared" ca="1" si="90"/>
        <v/>
      </c>
      <c r="F919" s="172" t="str">
        <f ca="1">IF(C919="","",[1]!S_DQ_CLOSE(D919,TODAY(),1))</f>
        <v/>
      </c>
      <c r="G919" s="173" t="str">
        <f ca="1">IF(C919="","",[1]!s_pq_pctchange(D919,TODAY()-$G$12,TODAY())/100)</f>
        <v/>
      </c>
      <c r="H919" s="249" t="str">
        <f ca="1">IF(C919="","",IF($H$11="收入",[1]!S_STM07_IS(D919,9,$G$5,$H$13)/$E$5,[1]!S_STM07_IS(D919,48,$G$5,$H$13)/$E$5))</f>
        <v/>
      </c>
      <c r="I919" s="249" t="str">
        <f ca="1">IF(C919="","",IF($I$11="毛利率",([1]!S_STM07_IS(D919,9,$G$5,$H$13)-[1]!S_STM07_IS(D919,10,$G$5,$H$13))/[1]!S_STM07_IS(D919,9,$G$5,$H$13),[1]!S_STM07_IS(D919,14,$G$5,$H$13)/$E$5))</f>
        <v/>
      </c>
      <c r="J919" s="249" t="str">
        <f ca="1">IF(C919="","",IF($J$11="营业利润率",[1]!S_STM07_IS(D919,48,$G$5,$H$13)/[1]!S_STM07_IS(D919,9,$G$5,$H$13),([1]!S_STM07_CS(D919,87,$G$5,$H$13)+[1]!S_STM07_CS(D919,88,$G$5,$H$13)+[1]!S_STM07_CS(D919,89,$G$5,$H$13))/$E$5))</f>
        <v/>
      </c>
      <c r="K919" s="249" t="str">
        <f ca="1">IF(C919="","",IF($K$11="净利润率",[1]!S_STM07_IS(D919,61,$G$5,$H$13)/[1]!S_STM07_IS(D919,9,$G$5,$H$13),[1]!S_STM07_IS(D919,55,$G$5,$H$13)/$E$5))</f>
        <v/>
      </c>
      <c r="L919" s="249" t="str">
        <f ca="1">IF(C919="","",IF($L$11="ROA",[1]!S_STM07_IS(D919,61,$G$5,$H$13)/[1]!S_STM07_BS(D919,74,$G$5,$H$13),1-[1]!S_STM07_IS(D919,61,$G$5,$H$13)/[1]!S_STM07_IS(D919,55,$G$5,$H$13)))</f>
        <v/>
      </c>
      <c r="M919" s="249" t="str">
        <f ca="1">IF(C919="","",IF($M$11="ROE",[1]!S_STM07_IS(D919,61,$G$5,$H$13)/[1]!S_STM07_BS(D919,141,$G$5,$H$13),([1]!S_STM07_BS(D919,25,$G$5,$H$13)-[1]!S_STM07_BS(D919,93,$G$5,$H$13))/$E$5))</f>
        <v/>
      </c>
      <c r="N919" s="250" t="str">
        <f ca="1">IF(C919="","",IF($N$11="EPS",[1]!S_STM07_IS(D919,61,$G$5,$H$13)/IF([1]!S_SHARE_TOTAL(D919,$G$5)=0,[1]!S_SHARE_TOTAL(D919,[1]!s_ipo_listeddate(D919)),[1]!S_SHARE_TOTAL(D919,$G$5)),([1]!S_STM07_BS(D919,75,$G$5,$H$13)+[1]!S_STM07_BS(D919,88,$G$5,$H$13)+[1]!S_STM07_BS(D919,94,$G$5,$H$13)+[1]!S_STM07_BS(D919,95,$G$5,$H$13))/$E$5))</f>
        <v/>
      </c>
      <c r="O919" s="250" t="str">
        <f ca="1">IF(C919="","",IF($O$11="BPS",[1]!S_STM07_BS(D919,141,$G$5,$H$13)/IF([1]!S_SHARE_TOTAL(D919,$G$5)=0,[1]!S_SHARE_TOTAL(D919,[1]!s_ipo_listeddate(D919)),[1]!S_SHARE_TOTAL(D919,$G$5)),[1]!S_STM07_CS(D919,49,$G$5,$H$13)/$E$5))</f>
        <v/>
      </c>
      <c r="P919" s="250" t="str">
        <f ca="1">IF(C919="","",IF($P$11="CFPS",[1]!S_STM07_CS(D919,84,$G$5,$H$13)/IF([1]!S_SHARE_TOTAL(D919,$G$5)=0,[1]!S_SHARE_TOTAL(D919,[1]!s_ipo_listeddate(D919)),[1]!S_SHARE_TOTAL(D919,$G$5)),[1]!S_STM07_CS(D919,84,$G$5,$H$13)/$E$5))</f>
        <v/>
      </c>
      <c r="Q919" s="198" t="str">
        <f ca="1">IF(C919="","",F919/([1]!S_STM07_IS(D919,61,$G$5,$H$13)/IF([1]!S_SHARE_TOTAL(D919,$G$5)=0,[1]!S_SHARE_TOTAL(D919,[1]!s_ipo_listeddate(D919)),[1]!S_SHARE_TOTAL(D919,$G$5))))</f>
        <v/>
      </c>
      <c r="R919" s="198" t="str">
        <f ca="1">IF(C919="","",F919/([1]!S_STM07_BS(D919,141,$G$5,$H$13)/IF([1]!S_SHARE_TOTAL(D919,$G$5)=0,[1]!S_SHARE_TOTAL(D919,[1]!s_ipo_listeddate(D919)),[1]!S_SHARE_TOTAL(D919,$G$5))))</f>
        <v/>
      </c>
      <c r="S919" s="249" t="str">
        <f ca="1">IF(C919="","",[1]!S_SHARE_TOTAL(D919,TODAY())/$E$5)</f>
        <v/>
      </c>
      <c r="T919" s="249" t="str">
        <f t="shared" ca="1" si="91"/>
        <v/>
      </c>
      <c r="U919" s="172" t="str">
        <f t="shared" ca="1" si="92"/>
        <v/>
      </c>
      <c r="V919" s="343" t="str">
        <f t="shared" ca="1" si="93"/>
        <v/>
      </c>
      <c r="W919" s="139"/>
      <c r="Y919" s="1"/>
    </row>
    <row r="920" spans="3:25" ht="12" customHeight="1">
      <c r="C920" s="342" t="str">
        <f t="shared" ca="1" si="94"/>
        <v/>
      </c>
      <c r="D920" s="153" t="str">
        <f t="shared" ca="1" si="89"/>
        <v/>
      </c>
      <c r="E920" s="153" t="str">
        <f t="shared" ca="1" si="90"/>
        <v/>
      </c>
      <c r="F920" s="170" t="str">
        <f ca="1">IF(C920="","",[1]!S_DQ_CLOSE(D920,TODAY(),1))</f>
        <v/>
      </c>
      <c r="G920" s="171" t="str">
        <f ca="1">IF(C920="","",[1]!s_pq_pctchange(D920,TODAY()-$G$12,TODAY())/100)</f>
        <v/>
      </c>
      <c r="H920" s="247" t="str">
        <f ca="1">IF(C920="","",IF($H$11="收入",[1]!S_STM07_IS(D920,9,$G$5,$H$13)/$E$5,[1]!S_STM07_IS(D920,48,$G$5,$H$13)/$E$5))</f>
        <v/>
      </c>
      <c r="I920" s="247" t="str">
        <f ca="1">IF(C920="","",IF($I$11="毛利率",([1]!S_STM07_IS(D920,9,$G$5,$H$13)-[1]!S_STM07_IS(D920,10,$G$5,$H$13))/[1]!S_STM07_IS(D920,9,$G$5,$H$13),[1]!S_STM07_IS(D920,14,$G$5,$H$13)/$E$5))</f>
        <v/>
      </c>
      <c r="J920" s="247" t="str">
        <f ca="1">IF(C920="","",IF($J$11="营业利润率",[1]!S_STM07_IS(D920,48,$G$5,$H$13)/[1]!S_STM07_IS(D920,9,$G$5,$H$13),([1]!S_STM07_CS(D920,87,$G$5,$H$13)+[1]!S_STM07_CS(D920,88,$G$5,$H$13)+[1]!S_STM07_CS(D920,89,$G$5,$H$13))/$E$5))</f>
        <v/>
      </c>
      <c r="K920" s="247" t="str">
        <f ca="1">IF(C920="","",IF($K$11="净利润率",[1]!S_STM07_IS(D920,61,$G$5,$H$13)/[1]!S_STM07_IS(D920,9,$G$5,$H$13),[1]!S_STM07_IS(D920,55,$G$5,$H$13)/$E$5))</f>
        <v/>
      </c>
      <c r="L920" s="247" t="str">
        <f ca="1">IF(C920="","",IF($L$11="ROA",[1]!S_STM07_IS(D920,61,$G$5,$H$13)/[1]!S_STM07_BS(D920,74,$G$5,$H$13),1-[1]!S_STM07_IS(D920,61,$G$5,$H$13)/[1]!S_STM07_IS(D920,55,$G$5,$H$13)))</f>
        <v/>
      </c>
      <c r="M920" s="247" t="str">
        <f ca="1">IF(C920="","",IF($M$11="ROE",[1]!S_STM07_IS(D920,61,$G$5,$H$13)/[1]!S_STM07_BS(D920,141,$G$5,$H$13),([1]!S_STM07_BS(D920,25,$G$5,$H$13)-[1]!S_STM07_BS(D920,93,$G$5,$H$13))/$E$5))</f>
        <v/>
      </c>
      <c r="N920" s="247" t="str">
        <f ca="1">IF(C920="","",IF($N$11="EPS",[1]!S_STM07_IS(D920,61,$G$5,$H$13)/IF([1]!S_SHARE_TOTAL(D920,$G$5)=0,[1]!S_SHARE_TOTAL(D920,[1]!s_ipo_listeddate(D920)),[1]!S_SHARE_TOTAL(D920,$G$5)),([1]!S_STM07_BS(D920,75,$G$5,$H$13)+[1]!S_STM07_BS(D920,88,$G$5,$H$13)+[1]!S_STM07_BS(D920,94,$G$5,$H$13)+[1]!S_STM07_BS(D920,95,$G$5,$H$13))/$E$5))</f>
        <v/>
      </c>
      <c r="O920" s="247" t="str">
        <f ca="1">IF(C920="","",IF($O$11="BPS",[1]!S_STM07_BS(D920,141,$G$5,$H$13)/IF([1]!S_SHARE_TOTAL(D920,$G$5)=0,[1]!S_SHARE_TOTAL(D920,[1]!s_ipo_listeddate(D920)),[1]!S_SHARE_TOTAL(D920,$G$5)),[1]!S_STM07_CS(D920,49,$G$5,$H$13)/$E$5))</f>
        <v/>
      </c>
      <c r="P920" s="247" t="str">
        <f ca="1">IF(C920="","",IF($P$11="CFPS",[1]!S_STM07_CS(D920,84,$G$5,$H$13)/IF([1]!S_SHARE_TOTAL(D920,$G$5)=0,[1]!S_SHARE_TOTAL(D920,[1]!s_ipo_listeddate(D920)),[1]!S_SHARE_TOTAL(D920,$G$5)),[1]!S_STM07_CS(D920,84,$G$5,$H$13)/$E$5))</f>
        <v/>
      </c>
      <c r="Q920" s="248" t="str">
        <f ca="1">IF(C920="","",F920/([1]!S_STM07_IS(D920,61,$G$5,$H$13)/IF([1]!S_SHARE_TOTAL(D920,$G$5)=0,[1]!S_SHARE_TOTAL(D920,[1]!s_ipo_listeddate(D920)),[1]!S_SHARE_TOTAL(D920,$G$5))))</f>
        <v/>
      </c>
      <c r="R920" s="248" t="str">
        <f ca="1">IF(C920="","",F920/([1]!S_STM07_BS(D920,141,$G$5,$H$13)/IF([1]!S_SHARE_TOTAL(D920,$G$5)=0,[1]!S_SHARE_TOTAL(D920,[1]!s_ipo_listeddate(D920)),[1]!S_SHARE_TOTAL(D920,$G$5))))</f>
        <v/>
      </c>
      <c r="S920" s="247" t="str">
        <f ca="1">IF(C920="","",[1]!S_SHARE_TOTAL(D920,TODAY())/$E$5)</f>
        <v/>
      </c>
      <c r="T920" s="247" t="str">
        <f t="shared" ca="1" si="91"/>
        <v/>
      </c>
      <c r="U920" s="218" t="str">
        <f t="shared" ca="1" si="92"/>
        <v/>
      </c>
      <c r="V920" s="342" t="str">
        <f t="shared" ca="1" si="93"/>
        <v/>
      </c>
      <c r="W920" s="139"/>
      <c r="Y920" s="1"/>
    </row>
    <row r="921" spans="3:25" ht="12" customHeight="1">
      <c r="C921" s="343" t="str">
        <f t="shared" ca="1" si="94"/>
        <v/>
      </c>
      <c r="D921" s="124" t="str">
        <f t="shared" ref="D921:D984" ca="1" si="95">IF(C921="","",VLOOKUP(C921,comppool,2,FALSE))</f>
        <v/>
      </c>
      <c r="E921" s="124" t="str">
        <f t="shared" ref="E921:E984" ca="1" si="96">IF(C921="","",VLOOKUP(C921,comppool,3,FALSE))</f>
        <v/>
      </c>
      <c r="F921" s="172" t="str">
        <f ca="1">IF(C921="","",[1]!S_DQ_CLOSE(D921,TODAY(),1))</f>
        <v/>
      </c>
      <c r="G921" s="173" t="str">
        <f ca="1">IF(C921="","",[1]!s_pq_pctchange(D921,TODAY()-$G$12,TODAY())/100)</f>
        <v/>
      </c>
      <c r="H921" s="249" t="str">
        <f ca="1">IF(C921="","",IF($H$11="收入",[1]!S_STM07_IS(D921,9,$G$5,$H$13)/$E$5,[1]!S_STM07_IS(D921,48,$G$5,$H$13)/$E$5))</f>
        <v/>
      </c>
      <c r="I921" s="249" t="str">
        <f ca="1">IF(C921="","",IF($I$11="毛利率",([1]!S_STM07_IS(D921,9,$G$5,$H$13)-[1]!S_STM07_IS(D921,10,$G$5,$H$13))/[1]!S_STM07_IS(D921,9,$G$5,$H$13),[1]!S_STM07_IS(D921,14,$G$5,$H$13)/$E$5))</f>
        <v/>
      </c>
      <c r="J921" s="249" t="str">
        <f ca="1">IF(C921="","",IF($J$11="营业利润率",[1]!S_STM07_IS(D921,48,$G$5,$H$13)/[1]!S_STM07_IS(D921,9,$G$5,$H$13),([1]!S_STM07_CS(D921,87,$G$5,$H$13)+[1]!S_STM07_CS(D921,88,$G$5,$H$13)+[1]!S_STM07_CS(D921,89,$G$5,$H$13))/$E$5))</f>
        <v/>
      </c>
      <c r="K921" s="249" t="str">
        <f ca="1">IF(C921="","",IF($K$11="净利润率",[1]!S_STM07_IS(D921,61,$G$5,$H$13)/[1]!S_STM07_IS(D921,9,$G$5,$H$13),[1]!S_STM07_IS(D921,55,$G$5,$H$13)/$E$5))</f>
        <v/>
      </c>
      <c r="L921" s="249" t="str">
        <f ca="1">IF(C921="","",IF($L$11="ROA",[1]!S_STM07_IS(D921,61,$G$5,$H$13)/[1]!S_STM07_BS(D921,74,$G$5,$H$13),1-[1]!S_STM07_IS(D921,61,$G$5,$H$13)/[1]!S_STM07_IS(D921,55,$G$5,$H$13)))</f>
        <v/>
      </c>
      <c r="M921" s="249" t="str">
        <f ca="1">IF(C921="","",IF($M$11="ROE",[1]!S_STM07_IS(D921,61,$G$5,$H$13)/[1]!S_STM07_BS(D921,141,$G$5,$H$13),([1]!S_STM07_BS(D921,25,$G$5,$H$13)-[1]!S_STM07_BS(D921,93,$G$5,$H$13))/$E$5))</f>
        <v/>
      </c>
      <c r="N921" s="250" t="str">
        <f ca="1">IF(C921="","",IF($N$11="EPS",[1]!S_STM07_IS(D921,61,$G$5,$H$13)/IF([1]!S_SHARE_TOTAL(D921,$G$5)=0,[1]!S_SHARE_TOTAL(D921,[1]!s_ipo_listeddate(D921)),[1]!S_SHARE_TOTAL(D921,$G$5)),([1]!S_STM07_BS(D921,75,$G$5,$H$13)+[1]!S_STM07_BS(D921,88,$G$5,$H$13)+[1]!S_STM07_BS(D921,94,$G$5,$H$13)+[1]!S_STM07_BS(D921,95,$G$5,$H$13))/$E$5))</f>
        <v/>
      </c>
      <c r="O921" s="250" t="str">
        <f ca="1">IF(C921="","",IF($O$11="BPS",[1]!S_STM07_BS(D921,141,$G$5,$H$13)/IF([1]!S_SHARE_TOTAL(D921,$G$5)=0,[1]!S_SHARE_TOTAL(D921,[1]!s_ipo_listeddate(D921)),[1]!S_SHARE_TOTAL(D921,$G$5)),[1]!S_STM07_CS(D921,49,$G$5,$H$13)/$E$5))</f>
        <v/>
      </c>
      <c r="P921" s="250" t="str">
        <f ca="1">IF(C921="","",IF($P$11="CFPS",[1]!S_STM07_CS(D921,84,$G$5,$H$13)/IF([1]!S_SHARE_TOTAL(D921,$G$5)=0,[1]!S_SHARE_TOTAL(D921,[1]!s_ipo_listeddate(D921)),[1]!S_SHARE_TOTAL(D921,$G$5)),[1]!S_STM07_CS(D921,84,$G$5,$H$13)/$E$5))</f>
        <v/>
      </c>
      <c r="Q921" s="198" t="str">
        <f ca="1">IF(C921="","",F921/([1]!S_STM07_IS(D921,61,$G$5,$H$13)/IF([1]!S_SHARE_TOTAL(D921,$G$5)=0,[1]!S_SHARE_TOTAL(D921,[1]!s_ipo_listeddate(D921)),[1]!S_SHARE_TOTAL(D921,$G$5))))</f>
        <v/>
      </c>
      <c r="R921" s="198" t="str">
        <f ca="1">IF(C921="","",F921/([1]!S_STM07_BS(D921,141,$G$5,$H$13)/IF([1]!S_SHARE_TOTAL(D921,$G$5)=0,[1]!S_SHARE_TOTAL(D921,[1]!s_ipo_listeddate(D921)),[1]!S_SHARE_TOTAL(D921,$G$5))))</f>
        <v/>
      </c>
      <c r="S921" s="249" t="str">
        <f ca="1">IF(C921="","",[1]!S_SHARE_TOTAL(D921,TODAY())/$E$5)</f>
        <v/>
      </c>
      <c r="T921" s="249" t="str">
        <f t="shared" ref="T921:T984" ca="1" si="97">IF(C921="","",F921*S921)</f>
        <v/>
      </c>
      <c r="U921" s="172" t="str">
        <f t="shared" ref="U921:U984" ca="1" si="98">IF(C921="","",HLOOKUP($V$12,$G$11:$T$20003,ROW()-ROW($G$11)+1,FALSE))</f>
        <v/>
      </c>
      <c r="V921" s="343" t="str">
        <f t="shared" ref="V921:V984" ca="1" si="99">IF(C921="","",RANK(U921,U:U,0))</f>
        <v/>
      </c>
      <c r="W921" s="139"/>
      <c r="Y921" s="1"/>
    </row>
    <row r="922" spans="3:25" ht="12" customHeight="1">
      <c r="C922" s="342" t="str">
        <f t="shared" ca="1" si="94"/>
        <v/>
      </c>
      <c r="D922" s="153" t="str">
        <f t="shared" ca="1" si="95"/>
        <v/>
      </c>
      <c r="E922" s="153" t="str">
        <f t="shared" ca="1" si="96"/>
        <v/>
      </c>
      <c r="F922" s="170" t="str">
        <f ca="1">IF(C922="","",[1]!S_DQ_CLOSE(D922,TODAY(),1))</f>
        <v/>
      </c>
      <c r="G922" s="171" t="str">
        <f ca="1">IF(C922="","",[1]!s_pq_pctchange(D922,TODAY()-$G$12,TODAY())/100)</f>
        <v/>
      </c>
      <c r="H922" s="247" t="str">
        <f ca="1">IF(C922="","",IF($H$11="收入",[1]!S_STM07_IS(D922,9,$G$5,$H$13)/$E$5,[1]!S_STM07_IS(D922,48,$G$5,$H$13)/$E$5))</f>
        <v/>
      </c>
      <c r="I922" s="247" t="str">
        <f ca="1">IF(C922="","",IF($I$11="毛利率",([1]!S_STM07_IS(D922,9,$G$5,$H$13)-[1]!S_STM07_IS(D922,10,$G$5,$H$13))/[1]!S_STM07_IS(D922,9,$G$5,$H$13),[1]!S_STM07_IS(D922,14,$G$5,$H$13)/$E$5))</f>
        <v/>
      </c>
      <c r="J922" s="247" t="str">
        <f ca="1">IF(C922="","",IF($J$11="营业利润率",[1]!S_STM07_IS(D922,48,$G$5,$H$13)/[1]!S_STM07_IS(D922,9,$G$5,$H$13),([1]!S_STM07_CS(D922,87,$G$5,$H$13)+[1]!S_STM07_CS(D922,88,$G$5,$H$13)+[1]!S_STM07_CS(D922,89,$G$5,$H$13))/$E$5))</f>
        <v/>
      </c>
      <c r="K922" s="247" t="str">
        <f ca="1">IF(C922="","",IF($K$11="净利润率",[1]!S_STM07_IS(D922,61,$G$5,$H$13)/[1]!S_STM07_IS(D922,9,$G$5,$H$13),[1]!S_STM07_IS(D922,55,$G$5,$H$13)/$E$5))</f>
        <v/>
      </c>
      <c r="L922" s="247" t="str">
        <f ca="1">IF(C922="","",IF($L$11="ROA",[1]!S_STM07_IS(D922,61,$G$5,$H$13)/[1]!S_STM07_BS(D922,74,$G$5,$H$13),1-[1]!S_STM07_IS(D922,61,$G$5,$H$13)/[1]!S_STM07_IS(D922,55,$G$5,$H$13)))</f>
        <v/>
      </c>
      <c r="M922" s="247" t="str">
        <f ca="1">IF(C922="","",IF($M$11="ROE",[1]!S_STM07_IS(D922,61,$G$5,$H$13)/[1]!S_STM07_BS(D922,141,$G$5,$H$13),([1]!S_STM07_BS(D922,25,$G$5,$H$13)-[1]!S_STM07_BS(D922,93,$G$5,$H$13))/$E$5))</f>
        <v/>
      </c>
      <c r="N922" s="247" t="str">
        <f ca="1">IF(C922="","",IF($N$11="EPS",[1]!S_STM07_IS(D922,61,$G$5,$H$13)/IF([1]!S_SHARE_TOTAL(D922,$G$5)=0,[1]!S_SHARE_TOTAL(D922,[1]!s_ipo_listeddate(D922)),[1]!S_SHARE_TOTAL(D922,$G$5)),([1]!S_STM07_BS(D922,75,$G$5,$H$13)+[1]!S_STM07_BS(D922,88,$G$5,$H$13)+[1]!S_STM07_BS(D922,94,$G$5,$H$13)+[1]!S_STM07_BS(D922,95,$G$5,$H$13))/$E$5))</f>
        <v/>
      </c>
      <c r="O922" s="247" t="str">
        <f ca="1">IF(C922="","",IF($O$11="BPS",[1]!S_STM07_BS(D922,141,$G$5,$H$13)/IF([1]!S_SHARE_TOTAL(D922,$G$5)=0,[1]!S_SHARE_TOTAL(D922,[1]!s_ipo_listeddate(D922)),[1]!S_SHARE_TOTAL(D922,$G$5)),[1]!S_STM07_CS(D922,49,$G$5,$H$13)/$E$5))</f>
        <v/>
      </c>
      <c r="P922" s="247" t="str">
        <f ca="1">IF(C922="","",IF($P$11="CFPS",[1]!S_STM07_CS(D922,84,$G$5,$H$13)/IF([1]!S_SHARE_TOTAL(D922,$G$5)=0,[1]!S_SHARE_TOTAL(D922,[1]!s_ipo_listeddate(D922)),[1]!S_SHARE_TOTAL(D922,$G$5)),[1]!S_STM07_CS(D922,84,$G$5,$H$13)/$E$5))</f>
        <v/>
      </c>
      <c r="Q922" s="248" t="str">
        <f ca="1">IF(C922="","",F922/([1]!S_STM07_IS(D922,61,$G$5,$H$13)/IF([1]!S_SHARE_TOTAL(D922,$G$5)=0,[1]!S_SHARE_TOTAL(D922,[1]!s_ipo_listeddate(D922)),[1]!S_SHARE_TOTAL(D922,$G$5))))</f>
        <v/>
      </c>
      <c r="R922" s="248" t="str">
        <f ca="1">IF(C922="","",F922/([1]!S_STM07_BS(D922,141,$G$5,$H$13)/IF([1]!S_SHARE_TOTAL(D922,$G$5)=0,[1]!S_SHARE_TOTAL(D922,[1]!s_ipo_listeddate(D922)),[1]!S_SHARE_TOTAL(D922,$G$5))))</f>
        <v/>
      </c>
      <c r="S922" s="247" t="str">
        <f ca="1">IF(C922="","",[1]!S_SHARE_TOTAL(D922,TODAY())/$E$5)</f>
        <v/>
      </c>
      <c r="T922" s="247" t="str">
        <f t="shared" ca="1" si="97"/>
        <v/>
      </c>
      <c r="U922" s="218" t="str">
        <f t="shared" ca="1" si="98"/>
        <v/>
      </c>
      <c r="V922" s="342" t="str">
        <f t="shared" ca="1" si="99"/>
        <v/>
      </c>
      <c r="W922" s="139"/>
      <c r="Y922" s="1"/>
    </row>
    <row r="923" spans="3:25" ht="12" customHeight="1">
      <c r="C923" s="343" t="str">
        <f t="shared" ca="1" si="94"/>
        <v/>
      </c>
      <c r="D923" s="124" t="str">
        <f t="shared" ca="1" si="95"/>
        <v/>
      </c>
      <c r="E923" s="124" t="str">
        <f t="shared" ca="1" si="96"/>
        <v/>
      </c>
      <c r="F923" s="172" t="str">
        <f ca="1">IF(C923="","",[1]!S_DQ_CLOSE(D923,TODAY(),1))</f>
        <v/>
      </c>
      <c r="G923" s="173" t="str">
        <f ca="1">IF(C923="","",[1]!s_pq_pctchange(D923,TODAY()-$G$12,TODAY())/100)</f>
        <v/>
      </c>
      <c r="H923" s="249" t="str">
        <f ca="1">IF(C923="","",IF($H$11="收入",[1]!S_STM07_IS(D923,9,$G$5,$H$13)/$E$5,[1]!S_STM07_IS(D923,48,$G$5,$H$13)/$E$5))</f>
        <v/>
      </c>
      <c r="I923" s="249" t="str">
        <f ca="1">IF(C923="","",IF($I$11="毛利率",([1]!S_STM07_IS(D923,9,$G$5,$H$13)-[1]!S_STM07_IS(D923,10,$G$5,$H$13))/[1]!S_STM07_IS(D923,9,$G$5,$H$13),[1]!S_STM07_IS(D923,14,$G$5,$H$13)/$E$5))</f>
        <v/>
      </c>
      <c r="J923" s="249" t="str">
        <f ca="1">IF(C923="","",IF($J$11="营业利润率",[1]!S_STM07_IS(D923,48,$G$5,$H$13)/[1]!S_STM07_IS(D923,9,$G$5,$H$13),([1]!S_STM07_CS(D923,87,$G$5,$H$13)+[1]!S_STM07_CS(D923,88,$G$5,$H$13)+[1]!S_STM07_CS(D923,89,$G$5,$H$13))/$E$5))</f>
        <v/>
      </c>
      <c r="K923" s="249" t="str">
        <f ca="1">IF(C923="","",IF($K$11="净利润率",[1]!S_STM07_IS(D923,61,$G$5,$H$13)/[1]!S_STM07_IS(D923,9,$G$5,$H$13),[1]!S_STM07_IS(D923,55,$G$5,$H$13)/$E$5))</f>
        <v/>
      </c>
      <c r="L923" s="249" t="str">
        <f ca="1">IF(C923="","",IF($L$11="ROA",[1]!S_STM07_IS(D923,61,$G$5,$H$13)/[1]!S_STM07_BS(D923,74,$G$5,$H$13),1-[1]!S_STM07_IS(D923,61,$G$5,$H$13)/[1]!S_STM07_IS(D923,55,$G$5,$H$13)))</f>
        <v/>
      </c>
      <c r="M923" s="249" t="str">
        <f ca="1">IF(C923="","",IF($M$11="ROE",[1]!S_STM07_IS(D923,61,$G$5,$H$13)/[1]!S_STM07_BS(D923,141,$G$5,$H$13),([1]!S_STM07_BS(D923,25,$G$5,$H$13)-[1]!S_STM07_BS(D923,93,$G$5,$H$13))/$E$5))</f>
        <v/>
      </c>
      <c r="N923" s="250" t="str">
        <f ca="1">IF(C923="","",IF($N$11="EPS",[1]!S_STM07_IS(D923,61,$G$5,$H$13)/IF([1]!S_SHARE_TOTAL(D923,$G$5)=0,[1]!S_SHARE_TOTAL(D923,[1]!s_ipo_listeddate(D923)),[1]!S_SHARE_TOTAL(D923,$G$5)),([1]!S_STM07_BS(D923,75,$G$5,$H$13)+[1]!S_STM07_BS(D923,88,$G$5,$H$13)+[1]!S_STM07_BS(D923,94,$G$5,$H$13)+[1]!S_STM07_BS(D923,95,$G$5,$H$13))/$E$5))</f>
        <v/>
      </c>
      <c r="O923" s="250" t="str">
        <f ca="1">IF(C923="","",IF($O$11="BPS",[1]!S_STM07_BS(D923,141,$G$5,$H$13)/IF([1]!S_SHARE_TOTAL(D923,$G$5)=0,[1]!S_SHARE_TOTAL(D923,[1]!s_ipo_listeddate(D923)),[1]!S_SHARE_TOTAL(D923,$G$5)),[1]!S_STM07_CS(D923,49,$G$5,$H$13)/$E$5))</f>
        <v/>
      </c>
      <c r="P923" s="250" t="str">
        <f ca="1">IF(C923="","",IF($P$11="CFPS",[1]!S_STM07_CS(D923,84,$G$5,$H$13)/IF([1]!S_SHARE_TOTAL(D923,$G$5)=0,[1]!S_SHARE_TOTAL(D923,[1]!s_ipo_listeddate(D923)),[1]!S_SHARE_TOTAL(D923,$G$5)),[1]!S_STM07_CS(D923,84,$G$5,$H$13)/$E$5))</f>
        <v/>
      </c>
      <c r="Q923" s="198" t="str">
        <f ca="1">IF(C923="","",F923/([1]!S_STM07_IS(D923,61,$G$5,$H$13)/IF([1]!S_SHARE_TOTAL(D923,$G$5)=0,[1]!S_SHARE_TOTAL(D923,[1]!s_ipo_listeddate(D923)),[1]!S_SHARE_TOTAL(D923,$G$5))))</f>
        <v/>
      </c>
      <c r="R923" s="198" t="str">
        <f ca="1">IF(C923="","",F923/([1]!S_STM07_BS(D923,141,$G$5,$H$13)/IF([1]!S_SHARE_TOTAL(D923,$G$5)=0,[1]!S_SHARE_TOTAL(D923,[1]!s_ipo_listeddate(D923)),[1]!S_SHARE_TOTAL(D923,$G$5))))</f>
        <v/>
      </c>
      <c r="S923" s="249" t="str">
        <f ca="1">IF(C923="","",[1]!S_SHARE_TOTAL(D923,TODAY())/$E$5)</f>
        <v/>
      </c>
      <c r="T923" s="249" t="str">
        <f t="shared" ca="1" si="97"/>
        <v/>
      </c>
      <c r="U923" s="172" t="str">
        <f t="shared" ca="1" si="98"/>
        <v/>
      </c>
      <c r="V923" s="343" t="str">
        <f t="shared" ca="1" si="99"/>
        <v/>
      </c>
      <c r="W923" s="139"/>
      <c r="Y923" s="1"/>
    </row>
    <row r="924" spans="3:25" ht="12" customHeight="1">
      <c r="C924" s="342" t="str">
        <f t="shared" ca="1" si="94"/>
        <v/>
      </c>
      <c r="D924" s="153" t="str">
        <f t="shared" ca="1" si="95"/>
        <v/>
      </c>
      <c r="E924" s="153" t="str">
        <f t="shared" ca="1" si="96"/>
        <v/>
      </c>
      <c r="F924" s="170" t="str">
        <f ca="1">IF(C924="","",[1]!S_DQ_CLOSE(D924,TODAY(),1))</f>
        <v/>
      </c>
      <c r="G924" s="171" t="str">
        <f ca="1">IF(C924="","",[1]!s_pq_pctchange(D924,TODAY()-$G$12,TODAY())/100)</f>
        <v/>
      </c>
      <c r="H924" s="247" t="str">
        <f ca="1">IF(C924="","",IF($H$11="收入",[1]!S_STM07_IS(D924,9,$G$5,$H$13)/$E$5,[1]!S_STM07_IS(D924,48,$G$5,$H$13)/$E$5))</f>
        <v/>
      </c>
      <c r="I924" s="247" t="str">
        <f ca="1">IF(C924="","",IF($I$11="毛利率",([1]!S_STM07_IS(D924,9,$G$5,$H$13)-[1]!S_STM07_IS(D924,10,$G$5,$H$13))/[1]!S_STM07_IS(D924,9,$G$5,$H$13),[1]!S_STM07_IS(D924,14,$G$5,$H$13)/$E$5))</f>
        <v/>
      </c>
      <c r="J924" s="247" t="str">
        <f ca="1">IF(C924="","",IF($J$11="营业利润率",[1]!S_STM07_IS(D924,48,$G$5,$H$13)/[1]!S_STM07_IS(D924,9,$G$5,$H$13),([1]!S_STM07_CS(D924,87,$G$5,$H$13)+[1]!S_STM07_CS(D924,88,$G$5,$H$13)+[1]!S_STM07_CS(D924,89,$G$5,$H$13))/$E$5))</f>
        <v/>
      </c>
      <c r="K924" s="247" t="str">
        <f ca="1">IF(C924="","",IF($K$11="净利润率",[1]!S_STM07_IS(D924,61,$G$5,$H$13)/[1]!S_STM07_IS(D924,9,$G$5,$H$13),[1]!S_STM07_IS(D924,55,$G$5,$H$13)/$E$5))</f>
        <v/>
      </c>
      <c r="L924" s="247" t="str">
        <f ca="1">IF(C924="","",IF($L$11="ROA",[1]!S_STM07_IS(D924,61,$G$5,$H$13)/[1]!S_STM07_BS(D924,74,$G$5,$H$13),1-[1]!S_STM07_IS(D924,61,$G$5,$H$13)/[1]!S_STM07_IS(D924,55,$G$5,$H$13)))</f>
        <v/>
      </c>
      <c r="M924" s="247" t="str">
        <f ca="1">IF(C924="","",IF($M$11="ROE",[1]!S_STM07_IS(D924,61,$G$5,$H$13)/[1]!S_STM07_BS(D924,141,$G$5,$H$13),([1]!S_STM07_BS(D924,25,$G$5,$H$13)-[1]!S_STM07_BS(D924,93,$G$5,$H$13))/$E$5))</f>
        <v/>
      </c>
      <c r="N924" s="247" t="str">
        <f ca="1">IF(C924="","",IF($N$11="EPS",[1]!S_STM07_IS(D924,61,$G$5,$H$13)/IF([1]!S_SHARE_TOTAL(D924,$G$5)=0,[1]!S_SHARE_TOTAL(D924,[1]!s_ipo_listeddate(D924)),[1]!S_SHARE_TOTAL(D924,$G$5)),([1]!S_STM07_BS(D924,75,$G$5,$H$13)+[1]!S_STM07_BS(D924,88,$G$5,$H$13)+[1]!S_STM07_BS(D924,94,$G$5,$H$13)+[1]!S_STM07_BS(D924,95,$G$5,$H$13))/$E$5))</f>
        <v/>
      </c>
      <c r="O924" s="247" t="str">
        <f ca="1">IF(C924="","",IF($O$11="BPS",[1]!S_STM07_BS(D924,141,$G$5,$H$13)/IF([1]!S_SHARE_TOTAL(D924,$G$5)=0,[1]!S_SHARE_TOTAL(D924,[1]!s_ipo_listeddate(D924)),[1]!S_SHARE_TOTAL(D924,$G$5)),[1]!S_STM07_CS(D924,49,$G$5,$H$13)/$E$5))</f>
        <v/>
      </c>
      <c r="P924" s="247" t="str">
        <f ca="1">IF(C924="","",IF($P$11="CFPS",[1]!S_STM07_CS(D924,84,$G$5,$H$13)/IF([1]!S_SHARE_TOTAL(D924,$G$5)=0,[1]!S_SHARE_TOTAL(D924,[1]!s_ipo_listeddate(D924)),[1]!S_SHARE_TOTAL(D924,$G$5)),[1]!S_STM07_CS(D924,84,$G$5,$H$13)/$E$5))</f>
        <v/>
      </c>
      <c r="Q924" s="248" t="str">
        <f ca="1">IF(C924="","",F924/([1]!S_STM07_IS(D924,61,$G$5,$H$13)/IF([1]!S_SHARE_TOTAL(D924,$G$5)=0,[1]!S_SHARE_TOTAL(D924,[1]!s_ipo_listeddate(D924)),[1]!S_SHARE_TOTAL(D924,$G$5))))</f>
        <v/>
      </c>
      <c r="R924" s="248" t="str">
        <f ca="1">IF(C924="","",F924/([1]!S_STM07_BS(D924,141,$G$5,$H$13)/IF([1]!S_SHARE_TOTAL(D924,$G$5)=0,[1]!S_SHARE_TOTAL(D924,[1]!s_ipo_listeddate(D924)),[1]!S_SHARE_TOTAL(D924,$G$5))))</f>
        <v/>
      </c>
      <c r="S924" s="247" t="str">
        <f ca="1">IF(C924="","",[1]!S_SHARE_TOTAL(D924,TODAY())/$E$5)</f>
        <v/>
      </c>
      <c r="T924" s="247" t="str">
        <f t="shared" ca="1" si="97"/>
        <v/>
      </c>
      <c r="U924" s="218" t="str">
        <f t="shared" ca="1" si="98"/>
        <v/>
      </c>
      <c r="V924" s="342" t="str">
        <f t="shared" ca="1" si="99"/>
        <v/>
      </c>
      <c r="W924" s="139"/>
      <c r="Y924" s="1"/>
    </row>
    <row r="925" spans="3:25" ht="12" customHeight="1">
      <c r="C925" s="343" t="str">
        <f t="shared" ca="1" si="94"/>
        <v/>
      </c>
      <c r="D925" s="124" t="str">
        <f t="shared" ca="1" si="95"/>
        <v/>
      </c>
      <c r="E925" s="124" t="str">
        <f t="shared" ca="1" si="96"/>
        <v/>
      </c>
      <c r="F925" s="172" t="str">
        <f ca="1">IF(C925="","",[1]!S_DQ_CLOSE(D925,TODAY(),1))</f>
        <v/>
      </c>
      <c r="G925" s="173" t="str">
        <f ca="1">IF(C925="","",[1]!s_pq_pctchange(D925,TODAY()-$G$12,TODAY())/100)</f>
        <v/>
      </c>
      <c r="H925" s="249" t="str">
        <f ca="1">IF(C925="","",IF($H$11="收入",[1]!S_STM07_IS(D925,9,$G$5,$H$13)/$E$5,[1]!S_STM07_IS(D925,48,$G$5,$H$13)/$E$5))</f>
        <v/>
      </c>
      <c r="I925" s="249" t="str">
        <f ca="1">IF(C925="","",IF($I$11="毛利率",([1]!S_STM07_IS(D925,9,$G$5,$H$13)-[1]!S_STM07_IS(D925,10,$G$5,$H$13))/[1]!S_STM07_IS(D925,9,$G$5,$H$13),[1]!S_STM07_IS(D925,14,$G$5,$H$13)/$E$5))</f>
        <v/>
      </c>
      <c r="J925" s="249" t="str">
        <f ca="1">IF(C925="","",IF($J$11="营业利润率",[1]!S_STM07_IS(D925,48,$G$5,$H$13)/[1]!S_STM07_IS(D925,9,$G$5,$H$13),([1]!S_STM07_CS(D925,87,$G$5,$H$13)+[1]!S_STM07_CS(D925,88,$G$5,$H$13)+[1]!S_STM07_CS(D925,89,$G$5,$H$13))/$E$5))</f>
        <v/>
      </c>
      <c r="K925" s="249" t="str">
        <f ca="1">IF(C925="","",IF($K$11="净利润率",[1]!S_STM07_IS(D925,61,$G$5,$H$13)/[1]!S_STM07_IS(D925,9,$G$5,$H$13),[1]!S_STM07_IS(D925,55,$G$5,$H$13)/$E$5))</f>
        <v/>
      </c>
      <c r="L925" s="249" t="str">
        <f ca="1">IF(C925="","",IF($L$11="ROA",[1]!S_STM07_IS(D925,61,$G$5,$H$13)/[1]!S_STM07_BS(D925,74,$G$5,$H$13),1-[1]!S_STM07_IS(D925,61,$G$5,$H$13)/[1]!S_STM07_IS(D925,55,$G$5,$H$13)))</f>
        <v/>
      </c>
      <c r="M925" s="249" t="str">
        <f ca="1">IF(C925="","",IF($M$11="ROE",[1]!S_STM07_IS(D925,61,$G$5,$H$13)/[1]!S_STM07_BS(D925,141,$G$5,$H$13),([1]!S_STM07_BS(D925,25,$G$5,$H$13)-[1]!S_STM07_BS(D925,93,$G$5,$H$13))/$E$5))</f>
        <v/>
      </c>
      <c r="N925" s="250" t="str">
        <f ca="1">IF(C925="","",IF($N$11="EPS",[1]!S_STM07_IS(D925,61,$G$5,$H$13)/IF([1]!S_SHARE_TOTAL(D925,$G$5)=0,[1]!S_SHARE_TOTAL(D925,[1]!s_ipo_listeddate(D925)),[1]!S_SHARE_TOTAL(D925,$G$5)),([1]!S_STM07_BS(D925,75,$G$5,$H$13)+[1]!S_STM07_BS(D925,88,$G$5,$H$13)+[1]!S_STM07_BS(D925,94,$G$5,$H$13)+[1]!S_STM07_BS(D925,95,$G$5,$H$13))/$E$5))</f>
        <v/>
      </c>
      <c r="O925" s="250" t="str">
        <f ca="1">IF(C925="","",IF($O$11="BPS",[1]!S_STM07_BS(D925,141,$G$5,$H$13)/IF([1]!S_SHARE_TOTAL(D925,$G$5)=0,[1]!S_SHARE_TOTAL(D925,[1]!s_ipo_listeddate(D925)),[1]!S_SHARE_TOTAL(D925,$G$5)),[1]!S_STM07_CS(D925,49,$G$5,$H$13)/$E$5))</f>
        <v/>
      </c>
      <c r="P925" s="250" t="str">
        <f ca="1">IF(C925="","",IF($P$11="CFPS",[1]!S_STM07_CS(D925,84,$G$5,$H$13)/IF([1]!S_SHARE_TOTAL(D925,$G$5)=0,[1]!S_SHARE_TOTAL(D925,[1]!s_ipo_listeddate(D925)),[1]!S_SHARE_TOTAL(D925,$G$5)),[1]!S_STM07_CS(D925,84,$G$5,$H$13)/$E$5))</f>
        <v/>
      </c>
      <c r="Q925" s="198" t="str">
        <f ca="1">IF(C925="","",F925/([1]!S_STM07_IS(D925,61,$G$5,$H$13)/IF([1]!S_SHARE_TOTAL(D925,$G$5)=0,[1]!S_SHARE_TOTAL(D925,[1]!s_ipo_listeddate(D925)),[1]!S_SHARE_TOTAL(D925,$G$5))))</f>
        <v/>
      </c>
      <c r="R925" s="198" t="str">
        <f ca="1">IF(C925="","",F925/([1]!S_STM07_BS(D925,141,$G$5,$H$13)/IF([1]!S_SHARE_TOTAL(D925,$G$5)=0,[1]!S_SHARE_TOTAL(D925,[1]!s_ipo_listeddate(D925)),[1]!S_SHARE_TOTAL(D925,$G$5))))</f>
        <v/>
      </c>
      <c r="S925" s="249" t="str">
        <f ca="1">IF(C925="","",[1]!S_SHARE_TOTAL(D925,TODAY())/$E$5)</f>
        <v/>
      </c>
      <c r="T925" s="249" t="str">
        <f t="shared" ca="1" si="97"/>
        <v/>
      </c>
      <c r="U925" s="172" t="str">
        <f t="shared" ca="1" si="98"/>
        <v/>
      </c>
      <c r="V925" s="343" t="str">
        <f t="shared" ca="1" si="99"/>
        <v/>
      </c>
      <c r="W925" s="139"/>
      <c r="Y925" s="1"/>
    </row>
    <row r="926" spans="3:25" ht="12" customHeight="1">
      <c r="C926" s="342" t="str">
        <f t="shared" ca="1" si="94"/>
        <v/>
      </c>
      <c r="D926" s="153" t="str">
        <f t="shared" ca="1" si="95"/>
        <v/>
      </c>
      <c r="E926" s="153" t="str">
        <f t="shared" ca="1" si="96"/>
        <v/>
      </c>
      <c r="F926" s="170" t="str">
        <f ca="1">IF(C926="","",[1]!S_DQ_CLOSE(D926,TODAY(),1))</f>
        <v/>
      </c>
      <c r="G926" s="171" t="str">
        <f ca="1">IF(C926="","",[1]!s_pq_pctchange(D926,TODAY()-$G$12,TODAY())/100)</f>
        <v/>
      </c>
      <c r="H926" s="247" t="str">
        <f ca="1">IF(C926="","",IF($H$11="收入",[1]!S_STM07_IS(D926,9,$G$5,$H$13)/$E$5,[1]!S_STM07_IS(D926,48,$G$5,$H$13)/$E$5))</f>
        <v/>
      </c>
      <c r="I926" s="247" t="str">
        <f ca="1">IF(C926="","",IF($I$11="毛利率",([1]!S_STM07_IS(D926,9,$G$5,$H$13)-[1]!S_STM07_IS(D926,10,$G$5,$H$13))/[1]!S_STM07_IS(D926,9,$G$5,$H$13),[1]!S_STM07_IS(D926,14,$G$5,$H$13)/$E$5))</f>
        <v/>
      </c>
      <c r="J926" s="247" t="str">
        <f ca="1">IF(C926="","",IF($J$11="营业利润率",[1]!S_STM07_IS(D926,48,$G$5,$H$13)/[1]!S_STM07_IS(D926,9,$G$5,$H$13),([1]!S_STM07_CS(D926,87,$G$5,$H$13)+[1]!S_STM07_CS(D926,88,$G$5,$H$13)+[1]!S_STM07_CS(D926,89,$G$5,$H$13))/$E$5))</f>
        <v/>
      </c>
      <c r="K926" s="247" t="str">
        <f ca="1">IF(C926="","",IF($K$11="净利润率",[1]!S_STM07_IS(D926,61,$G$5,$H$13)/[1]!S_STM07_IS(D926,9,$G$5,$H$13),[1]!S_STM07_IS(D926,55,$G$5,$H$13)/$E$5))</f>
        <v/>
      </c>
      <c r="L926" s="247" t="str">
        <f ca="1">IF(C926="","",IF($L$11="ROA",[1]!S_STM07_IS(D926,61,$G$5,$H$13)/[1]!S_STM07_BS(D926,74,$G$5,$H$13),1-[1]!S_STM07_IS(D926,61,$G$5,$H$13)/[1]!S_STM07_IS(D926,55,$G$5,$H$13)))</f>
        <v/>
      </c>
      <c r="M926" s="247" t="str">
        <f ca="1">IF(C926="","",IF($M$11="ROE",[1]!S_STM07_IS(D926,61,$G$5,$H$13)/[1]!S_STM07_BS(D926,141,$G$5,$H$13),([1]!S_STM07_BS(D926,25,$G$5,$H$13)-[1]!S_STM07_BS(D926,93,$G$5,$H$13))/$E$5))</f>
        <v/>
      </c>
      <c r="N926" s="247" t="str">
        <f ca="1">IF(C926="","",IF($N$11="EPS",[1]!S_STM07_IS(D926,61,$G$5,$H$13)/IF([1]!S_SHARE_TOTAL(D926,$G$5)=0,[1]!S_SHARE_TOTAL(D926,[1]!s_ipo_listeddate(D926)),[1]!S_SHARE_TOTAL(D926,$G$5)),([1]!S_STM07_BS(D926,75,$G$5,$H$13)+[1]!S_STM07_BS(D926,88,$G$5,$H$13)+[1]!S_STM07_BS(D926,94,$G$5,$H$13)+[1]!S_STM07_BS(D926,95,$G$5,$H$13))/$E$5))</f>
        <v/>
      </c>
      <c r="O926" s="247" t="str">
        <f ca="1">IF(C926="","",IF($O$11="BPS",[1]!S_STM07_BS(D926,141,$G$5,$H$13)/IF([1]!S_SHARE_TOTAL(D926,$G$5)=0,[1]!S_SHARE_TOTAL(D926,[1]!s_ipo_listeddate(D926)),[1]!S_SHARE_TOTAL(D926,$G$5)),[1]!S_STM07_CS(D926,49,$G$5,$H$13)/$E$5))</f>
        <v/>
      </c>
      <c r="P926" s="247" t="str">
        <f ca="1">IF(C926="","",IF($P$11="CFPS",[1]!S_STM07_CS(D926,84,$G$5,$H$13)/IF([1]!S_SHARE_TOTAL(D926,$G$5)=0,[1]!S_SHARE_TOTAL(D926,[1]!s_ipo_listeddate(D926)),[1]!S_SHARE_TOTAL(D926,$G$5)),[1]!S_STM07_CS(D926,84,$G$5,$H$13)/$E$5))</f>
        <v/>
      </c>
      <c r="Q926" s="248" t="str">
        <f ca="1">IF(C926="","",F926/([1]!S_STM07_IS(D926,61,$G$5,$H$13)/IF([1]!S_SHARE_TOTAL(D926,$G$5)=0,[1]!S_SHARE_TOTAL(D926,[1]!s_ipo_listeddate(D926)),[1]!S_SHARE_TOTAL(D926,$G$5))))</f>
        <v/>
      </c>
      <c r="R926" s="248" t="str">
        <f ca="1">IF(C926="","",F926/([1]!S_STM07_BS(D926,141,$G$5,$H$13)/IF([1]!S_SHARE_TOTAL(D926,$G$5)=0,[1]!S_SHARE_TOTAL(D926,[1]!s_ipo_listeddate(D926)),[1]!S_SHARE_TOTAL(D926,$G$5))))</f>
        <v/>
      </c>
      <c r="S926" s="247" t="str">
        <f ca="1">IF(C926="","",[1]!S_SHARE_TOTAL(D926,TODAY())/$E$5)</f>
        <v/>
      </c>
      <c r="T926" s="247" t="str">
        <f t="shared" ca="1" si="97"/>
        <v/>
      </c>
      <c r="U926" s="218" t="str">
        <f t="shared" ca="1" si="98"/>
        <v/>
      </c>
      <c r="V926" s="342" t="str">
        <f t="shared" ca="1" si="99"/>
        <v/>
      </c>
      <c r="W926" s="139"/>
      <c r="Y926" s="1"/>
    </row>
    <row r="927" spans="3:25" ht="12" customHeight="1">
      <c r="C927" s="343" t="str">
        <f t="shared" ca="1" si="94"/>
        <v/>
      </c>
      <c r="D927" s="124" t="str">
        <f t="shared" ca="1" si="95"/>
        <v/>
      </c>
      <c r="E927" s="124" t="str">
        <f t="shared" ca="1" si="96"/>
        <v/>
      </c>
      <c r="F927" s="172" t="str">
        <f ca="1">IF(C927="","",[1]!S_DQ_CLOSE(D927,TODAY(),1))</f>
        <v/>
      </c>
      <c r="G927" s="173" t="str">
        <f ca="1">IF(C927="","",[1]!s_pq_pctchange(D927,TODAY()-$G$12,TODAY())/100)</f>
        <v/>
      </c>
      <c r="H927" s="249" t="str">
        <f ca="1">IF(C927="","",IF($H$11="收入",[1]!S_STM07_IS(D927,9,$G$5,$H$13)/$E$5,[1]!S_STM07_IS(D927,48,$G$5,$H$13)/$E$5))</f>
        <v/>
      </c>
      <c r="I927" s="249" t="str">
        <f ca="1">IF(C927="","",IF($I$11="毛利率",([1]!S_STM07_IS(D927,9,$G$5,$H$13)-[1]!S_STM07_IS(D927,10,$G$5,$H$13))/[1]!S_STM07_IS(D927,9,$G$5,$H$13),[1]!S_STM07_IS(D927,14,$G$5,$H$13)/$E$5))</f>
        <v/>
      </c>
      <c r="J927" s="249" t="str">
        <f ca="1">IF(C927="","",IF($J$11="营业利润率",[1]!S_STM07_IS(D927,48,$G$5,$H$13)/[1]!S_STM07_IS(D927,9,$G$5,$H$13),([1]!S_STM07_CS(D927,87,$G$5,$H$13)+[1]!S_STM07_CS(D927,88,$G$5,$H$13)+[1]!S_STM07_CS(D927,89,$G$5,$H$13))/$E$5))</f>
        <v/>
      </c>
      <c r="K927" s="249" t="str">
        <f ca="1">IF(C927="","",IF($K$11="净利润率",[1]!S_STM07_IS(D927,61,$G$5,$H$13)/[1]!S_STM07_IS(D927,9,$G$5,$H$13),[1]!S_STM07_IS(D927,55,$G$5,$H$13)/$E$5))</f>
        <v/>
      </c>
      <c r="L927" s="249" t="str">
        <f ca="1">IF(C927="","",IF($L$11="ROA",[1]!S_STM07_IS(D927,61,$G$5,$H$13)/[1]!S_STM07_BS(D927,74,$G$5,$H$13),1-[1]!S_STM07_IS(D927,61,$G$5,$H$13)/[1]!S_STM07_IS(D927,55,$G$5,$H$13)))</f>
        <v/>
      </c>
      <c r="M927" s="249" t="str">
        <f ca="1">IF(C927="","",IF($M$11="ROE",[1]!S_STM07_IS(D927,61,$G$5,$H$13)/[1]!S_STM07_BS(D927,141,$G$5,$H$13),([1]!S_STM07_BS(D927,25,$G$5,$H$13)-[1]!S_STM07_BS(D927,93,$G$5,$H$13))/$E$5))</f>
        <v/>
      </c>
      <c r="N927" s="250" t="str">
        <f ca="1">IF(C927="","",IF($N$11="EPS",[1]!S_STM07_IS(D927,61,$G$5,$H$13)/IF([1]!S_SHARE_TOTAL(D927,$G$5)=0,[1]!S_SHARE_TOTAL(D927,[1]!s_ipo_listeddate(D927)),[1]!S_SHARE_TOTAL(D927,$G$5)),([1]!S_STM07_BS(D927,75,$G$5,$H$13)+[1]!S_STM07_BS(D927,88,$G$5,$H$13)+[1]!S_STM07_BS(D927,94,$G$5,$H$13)+[1]!S_STM07_BS(D927,95,$G$5,$H$13))/$E$5))</f>
        <v/>
      </c>
      <c r="O927" s="250" t="str">
        <f ca="1">IF(C927="","",IF($O$11="BPS",[1]!S_STM07_BS(D927,141,$G$5,$H$13)/IF([1]!S_SHARE_TOTAL(D927,$G$5)=0,[1]!S_SHARE_TOTAL(D927,[1]!s_ipo_listeddate(D927)),[1]!S_SHARE_TOTAL(D927,$G$5)),[1]!S_STM07_CS(D927,49,$G$5,$H$13)/$E$5))</f>
        <v/>
      </c>
      <c r="P927" s="250" t="str">
        <f ca="1">IF(C927="","",IF($P$11="CFPS",[1]!S_STM07_CS(D927,84,$G$5,$H$13)/IF([1]!S_SHARE_TOTAL(D927,$G$5)=0,[1]!S_SHARE_TOTAL(D927,[1]!s_ipo_listeddate(D927)),[1]!S_SHARE_TOTAL(D927,$G$5)),[1]!S_STM07_CS(D927,84,$G$5,$H$13)/$E$5))</f>
        <v/>
      </c>
      <c r="Q927" s="198" t="str">
        <f ca="1">IF(C927="","",F927/([1]!S_STM07_IS(D927,61,$G$5,$H$13)/IF([1]!S_SHARE_TOTAL(D927,$G$5)=0,[1]!S_SHARE_TOTAL(D927,[1]!s_ipo_listeddate(D927)),[1]!S_SHARE_TOTAL(D927,$G$5))))</f>
        <v/>
      </c>
      <c r="R927" s="198" t="str">
        <f ca="1">IF(C927="","",F927/([1]!S_STM07_BS(D927,141,$G$5,$H$13)/IF([1]!S_SHARE_TOTAL(D927,$G$5)=0,[1]!S_SHARE_TOTAL(D927,[1]!s_ipo_listeddate(D927)),[1]!S_SHARE_TOTAL(D927,$G$5))))</f>
        <v/>
      </c>
      <c r="S927" s="249" t="str">
        <f ca="1">IF(C927="","",[1]!S_SHARE_TOTAL(D927,TODAY())/$E$5)</f>
        <v/>
      </c>
      <c r="T927" s="249" t="str">
        <f t="shared" ca="1" si="97"/>
        <v/>
      </c>
      <c r="U927" s="172" t="str">
        <f t="shared" ca="1" si="98"/>
        <v/>
      </c>
      <c r="V927" s="343" t="str">
        <f t="shared" ca="1" si="99"/>
        <v/>
      </c>
      <c r="W927" s="139"/>
      <c r="Y927" s="1"/>
    </row>
    <row r="928" spans="3:25" ht="12" customHeight="1">
      <c r="C928" s="342" t="str">
        <f t="shared" ca="1" si="94"/>
        <v/>
      </c>
      <c r="D928" s="153" t="str">
        <f t="shared" ca="1" si="95"/>
        <v/>
      </c>
      <c r="E928" s="153" t="str">
        <f t="shared" ca="1" si="96"/>
        <v/>
      </c>
      <c r="F928" s="170" t="str">
        <f ca="1">IF(C928="","",[1]!S_DQ_CLOSE(D928,TODAY(),1))</f>
        <v/>
      </c>
      <c r="G928" s="171" t="str">
        <f ca="1">IF(C928="","",[1]!s_pq_pctchange(D928,TODAY()-$G$12,TODAY())/100)</f>
        <v/>
      </c>
      <c r="H928" s="247" t="str">
        <f ca="1">IF(C928="","",IF($H$11="收入",[1]!S_STM07_IS(D928,9,$G$5,$H$13)/$E$5,[1]!S_STM07_IS(D928,48,$G$5,$H$13)/$E$5))</f>
        <v/>
      </c>
      <c r="I928" s="247" t="str">
        <f ca="1">IF(C928="","",IF($I$11="毛利率",([1]!S_STM07_IS(D928,9,$G$5,$H$13)-[1]!S_STM07_IS(D928,10,$G$5,$H$13))/[1]!S_STM07_IS(D928,9,$G$5,$H$13),[1]!S_STM07_IS(D928,14,$G$5,$H$13)/$E$5))</f>
        <v/>
      </c>
      <c r="J928" s="247" t="str">
        <f ca="1">IF(C928="","",IF($J$11="营业利润率",[1]!S_STM07_IS(D928,48,$G$5,$H$13)/[1]!S_STM07_IS(D928,9,$G$5,$H$13),([1]!S_STM07_CS(D928,87,$G$5,$H$13)+[1]!S_STM07_CS(D928,88,$G$5,$H$13)+[1]!S_STM07_CS(D928,89,$G$5,$H$13))/$E$5))</f>
        <v/>
      </c>
      <c r="K928" s="247" t="str">
        <f ca="1">IF(C928="","",IF($K$11="净利润率",[1]!S_STM07_IS(D928,61,$G$5,$H$13)/[1]!S_STM07_IS(D928,9,$G$5,$H$13),[1]!S_STM07_IS(D928,55,$G$5,$H$13)/$E$5))</f>
        <v/>
      </c>
      <c r="L928" s="247" t="str">
        <f ca="1">IF(C928="","",IF($L$11="ROA",[1]!S_STM07_IS(D928,61,$G$5,$H$13)/[1]!S_STM07_BS(D928,74,$G$5,$H$13),1-[1]!S_STM07_IS(D928,61,$G$5,$H$13)/[1]!S_STM07_IS(D928,55,$G$5,$H$13)))</f>
        <v/>
      </c>
      <c r="M928" s="247" t="str">
        <f ca="1">IF(C928="","",IF($M$11="ROE",[1]!S_STM07_IS(D928,61,$G$5,$H$13)/[1]!S_STM07_BS(D928,141,$G$5,$H$13),([1]!S_STM07_BS(D928,25,$G$5,$H$13)-[1]!S_STM07_BS(D928,93,$G$5,$H$13))/$E$5))</f>
        <v/>
      </c>
      <c r="N928" s="247" t="str">
        <f ca="1">IF(C928="","",IF($N$11="EPS",[1]!S_STM07_IS(D928,61,$G$5,$H$13)/IF([1]!S_SHARE_TOTAL(D928,$G$5)=0,[1]!S_SHARE_TOTAL(D928,[1]!s_ipo_listeddate(D928)),[1]!S_SHARE_TOTAL(D928,$G$5)),([1]!S_STM07_BS(D928,75,$G$5,$H$13)+[1]!S_STM07_BS(D928,88,$G$5,$H$13)+[1]!S_STM07_BS(D928,94,$G$5,$H$13)+[1]!S_STM07_BS(D928,95,$G$5,$H$13))/$E$5))</f>
        <v/>
      </c>
      <c r="O928" s="247" t="str">
        <f ca="1">IF(C928="","",IF($O$11="BPS",[1]!S_STM07_BS(D928,141,$G$5,$H$13)/IF([1]!S_SHARE_TOTAL(D928,$G$5)=0,[1]!S_SHARE_TOTAL(D928,[1]!s_ipo_listeddate(D928)),[1]!S_SHARE_TOTAL(D928,$G$5)),[1]!S_STM07_CS(D928,49,$G$5,$H$13)/$E$5))</f>
        <v/>
      </c>
      <c r="P928" s="247" t="str">
        <f ca="1">IF(C928="","",IF($P$11="CFPS",[1]!S_STM07_CS(D928,84,$G$5,$H$13)/IF([1]!S_SHARE_TOTAL(D928,$G$5)=0,[1]!S_SHARE_TOTAL(D928,[1]!s_ipo_listeddate(D928)),[1]!S_SHARE_TOTAL(D928,$G$5)),[1]!S_STM07_CS(D928,84,$G$5,$H$13)/$E$5))</f>
        <v/>
      </c>
      <c r="Q928" s="248" t="str">
        <f ca="1">IF(C928="","",F928/([1]!S_STM07_IS(D928,61,$G$5,$H$13)/IF([1]!S_SHARE_TOTAL(D928,$G$5)=0,[1]!S_SHARE_TOTAL(D928,[1]!s_ipo_listeddate(D928)),[1]!S_SHARE_TOTAL(D928,$G$5))))</f>
        <v/>
      </c>
      <c r="R928" s="248" t="str">
        <f ca="1">IF(C928="","",F928/([1]!S_STM07_BS(D928,141,$G$5,$H$13)/IF([1]!S_SHARE_TOTAL(D928,$G$5)=0,[1]!S_SHARE_TOTAL(D928,[1]!s_ipo_listeddate(D928)),[1]!S_SHARE_TOTAL(D928,$G$5))))</f>
        <v/>
      </c>
      <c r="S928" s="247" t="str">
        <f ca="1">IF(C928="","",[1]!S_SHARE_TOTAL(D928,TODAY())/$E$5)</f>
        <v/>
      </c>
      <c r="T928" s="247" t="str">
        <f t="shared" ca="1" si="97"/>
        <v/>
      </c>
      <c r="U928" s="218" t="str">
        <f t="shared" ca="1" si="98"/>
        <v/>
      </c>
      <c r="V928" s="342" t="str">
        <f t="shared" ca="1" si="99"/>
        <v/>
      </c>
      <c r="W928" s="139"/>
      <c r="Y928" s="1"/>
    </row>
    <row r="929" spans="3:25" ht="12" customHeight="1">
      <c r="C929" s="343" t="str">
        <f t="shared" ca="1" si="94"/>
        <v/>
      </c>
      <c r="D929" s="124" t="str">
        <f t="shared" ca="1" si="95"/>
        <v/>
      </c>
      <c r="E929" s="124" t="str">
        <f t="shared" ca="1" si="96"/>
        <v/>
      </c>
      <c r="F929" s="172" t="str">
        <f ca="1">IF(C929="","",[1]!S_DQ_CLOSE(D929,TODAY(),1))</f>
        <v/>
      </c>
      <c r="G929" s="173" t="str">
        <f ca="1">IF(C929="","",[1]!s_pq_pctchange(D929,TODAY()-$G$12,TODAY())/100)</f>
        <v/>
      </c>
      <c r="H929" s="249" t="str">
        <f ca="1">IF(C929="","",IF($H$11="收入",[1]!S_STM07_IS(D929,9,$G$5,$H$13)/$E$5,[1]!S_STM07_IS(D929,48,$G$5,$H$13)/$E$5))</f>
        <v/>
      </c>
      <c r="I929" s="249" t="str">
        <f ca="1">IF(C929="","",IF($I$11="毛利率",([1]!S_STM07_IS(D929,9,$G$5,$H$13)-[1]!S_STM07_IS(D929,10,$G$5,$H$13))/[1]!S_STM07_IS(D929,9,$G$5,$H$13),[1]!S_STM07_IS(D929,14,$G$5,$H$13)/$E$5))</f>
        <v/>
      </c>
      <c r="J929" s="249" t="str">
        <f ca="1">IF(C929="","",IF($J$11="营业利润率",[1]!S_STM07_IS(D929,48,$G$5,$H$13)/[1]!S_STM07_IS(D929,9,$G$5,$H$13),([1]!S_STM07_CS(D929,87,$G$5,$H$13)+[1]!S_STM07_CS(D929,88,$G$5,$H$13)+[1]!S_STM07_CS(D929,89,$G$5,$H$13))/$E$5))</f>
        <v/>
      </c>
      <c r="K929" s="249" t="str">
        <f ca="1">IF(C929="","",IF($K$11="净利润率",[1]!S_STM07_IS(D929,61,$G$5,$H$13)/[1]!S_STM07_IS(D929,9,$G$5,$H$13),[1]!S_STM07_IS(D929,55,$G$5,$H$13)/$E$5))</f>
        <v/>
      </c>
      <c r="L929" s="249" t="str">
        <f ca="1">IF(C929="","",IF($L$11="ROA",[1]!S_STM07_IS(D929,61,$G$5,$H$13)/[1]!S_STM07_BS(D929,74,$G$5,$H$13),1-[1]!S_STM07_IS(D929,61,$G$5,$H$13)/[1]!S_STM07_IS(D929,55,$G$5,$H$13)))</f>
        <v/>
      </c>
      <c r="M929" s="249" t="str">
        <f ca="1">IF(C929="","",IF($M$11="ROE",[1]!S_STM07_IS(D929,61,$G$5,$H$13)/[1]!S_STM07_BS(D929,141,$G$5,$H$13),([1]!S_STM07_BS(D929,25,$G$5,$H$13)-[1]!S_STM07_BS(D929,93,$G$5,$H$13))/$E$5))</f>
        <v/>
      </c>
      <c r="N929" s="250" t="str">
        <f ca="1">IF(C929="","",IF($N$11="EPS",[1]!S_STM07_IS(D929,61,$G$5,$H$13)/IF([1]!S_SHARE_TOTAL(D929,$G$5)=0,[1]!S_SHARE_TOTAL(D929,[1]!s_ipo_listeddate(D929)),[1]!S_SHARE_TOTAL(D929,$G$5)),([1]!S_STM07_BS(D929,75,$G$5,$H$13)+[1]!S_STM07_BS(D929,88,$G$5,$H$13)+[1]!S_STM07_BS(D929,94,$G$5,$H$13)+[1]!S_STM07_BS(D929,95,$G$5,$H$13))/$E$5))</f>
        <v/>
      </c>
      <c r="O929" s="250" t="str">
        <f ca="1">IF(C929="","",IF($O$11="BPS",[1]!S_STM07_BS(D929,141,$G$5,$H$13)/IF([1]!S_SHARE_TOTAL(D929,$G$5)=0,[1]!S_SHARE_TOTAL(D929,[1]!s_ipo_listeddate(D929)),[1]!S_SHARE_TOTAL(D929,$G$5)),[1]!S_STM07_CS(D929,49,$G$5,$H$13)/$E$5))</f>
        <v/>
      </c>
      <c r="P929" s="250" t="str">
        <f ca="1">IF(C929="","",IF($P$11="CFPS",[1]!S_STM07_CS(D929,84,$G$5,$H$13)/IF([1]!S_SHARE_TOTAL(D929,$G$5)=0,[1]!S_SHARE_TOTAL(D929,[1]!s_ipo_listeddate(D929)),[1]!S_SHARE_TOTAL(D929,$G$5)),[1]!S_STM07_CS(D929,84,$G$5,$H$13)/$E$5))</f>
        <v/>
      </c>
      <c r="Q929" s="198" t="str">
        <f ca="1">IF(C929="","",F929/([1]!S_STM07_IS(D929,61,$G$5,$H$13)/IF([1]!S_SHARE_TOTAL(D929,$G$5)=0,[1]!S_SHARE_TOTAL(D929,[1]!s_ipo_listeddate(D929)),[1]!S_SHARE_TOTAL(D929,$G$5))))</f>
        <v/>
      </c>
      <c r="R929" s="198" t="str">
        <f ca="1">IF(C929="","",F929/([1]!S_STM07_BS(D929,141,$G$5,$H$13)/IF([1]!S_SHARE_TOTAL(D929,$G$5)=0,[1]!S_SHARE_TOTAL(D929,[1]!s_ipo_listeddate(D929)),[1]!S_SHARE_TOTAL(D929,$G$5))))</f>
        <v/>
      </c>
      <c r="S929" s="249" t="str">
        <f ca="1">IF(C929="","",[1]!S_SHARE_TOTAL(D929,TODAY())/$E$5)</f>
        <v/>
      </c>
      <c r="T929" s="249" t="str">
        <f t="shared" ca="1" si="97"/>
        <v/>
      </c>
      <c r="U929" s="172" t="str">
        <f t="shared" ca="1" si="98"/>
        <v/>
      </c>
      <c r="V929" s="343" t="str">
        <f t="shared" ca="1" si="99"/>
        <v/>
      </c>
      <c r="W929" s="139"/>
      <c r="Y929" s="1"/>
    </row>
    <row r="930" spans="3:25" ht="12" customHeight="1">
      <c r="C930" s="342" t="str">
        <f t="shared" ca="1" si="94"/>
        <v/>
      </c>
      <c r="D930" s="153" t="str">
        <f t="shared" ca="1" si="95"/>
        <v/>
      </c>
      <c r="E930" s="153" t="str">
        <f t="shared" ca="1" si="96"/>
        <v/>
      </c>
      <c r="F930" s="170" t="str">
        <f ca="1">IF(C930="","",[1]!S_DQ_CLOSE(D930,TODAY(),1))</f>
        <v/>
      </c>
      <c r="G930" s="171" t="str">
        <f ca="1">IF(C930="","",[1]!s_pq_pctchange(D930,TODAY()-$G$12,TODAY())/100)</f>
        <v/>
      </c>
      <c r="H930" s="247" t="str">
        <f ca="1">IF(C930="","",IF($H$11="收入",[1]!S_STM07_IS(D930,9,$G$5,$H$13)/$E$5,[1]!S_STM07_IS(D930,48,$G$5,$H$13)/$E$5))</f>
        <v/>
      </c>
      <c r="I930" s="247" t="str">
        <f ca="1">IF(C930="","",IF($I$11="毛利率",([1]!S_STM07_IS(D930,9,$G$5,$H$13)-[1]!S_STM07_IS(D930,10,$G$5,$H$13))/[1]!S_STM07_IS(D930,9,$G$5,$H$13),[1]!S_STM07_IS(D930,14,$G$5,$H$13)/$E$5))</f>
        <v/>
      </c>
      <c r="J930" s="247" t="str">
        <f ca="1">IF(C930="","",IF($J$11="营业利润率",[1]!S_STM07_IS(D930,48,$G$5,$H$13)/[1]!S_STM07_IS(D930,9,$G$5,$H$13),([1]!S_STM07_CS(D930,87,$G$5,$H$13)+[1]!S_STM07_CS(D930,88,$G$5,$H$13)+[1]!S_STM07_CS(D930,89,$G$5,$H$13))/$E$5))</f>
        <v/>
      </c>
      <c r="K930" s="247" t="str">
        <f ca="1">IF(C930="","",IF($K$11="净利润率",[1]!S_STM07_IS(D930,61,$G$5,$H$13)/[1]!S_STM07_IS(D930,9,$G$5,$H$13),[1]!S_STM07_IS(D930,55,$G$5,$H$13)/$E$5))</f>
        <v/>
      </c>
      <c r="L930" s="247" t="str">
        <f ca="1">IF(C930="","",IF($L$11="ROA",[1]!S_STM07_IS(D930,61,$G$5,$H$13)/[1]!S_STM07_BS(D930,74,$G$5,$H$13),1-[1]!S_STM07_IS(D930,61,$G$5,$H$13)/[1]!S_STM07_IS(D930,55,$G$5,$H$13)))</f>
        <v/>
      </c>
      <c r="M930" s="247" t="str">
        <f ca="1">IF(C930="","",IF($M$11="ROE",[1]!S_STM07_IS(D930,61,$G$5,$H$13)/[1]!S_STM07_BS(D930,141,$G$5,$H$13),([1]!S_STM07_BS(D930,25,$G$5,$H$13)-[1]!S_STM07_BS(D930,93,$G$5,$H$13))/$E$5))</f>
        <v/>
      </c>
      <c r="N930" s="247" t="str">
        <f ca="1">IF(C930="","",IF($N$11="EPS",[1]!S_STM07_IS(D930,61,$G$5,$H$13)/IF([1]!S_SHARE_TOTAL(D930,$G$5)=0,[1]!S_SHARE_TOTAL(D930,[1]!s_ipo_listeddate(D930)),[1]!S_SHARE_TOTAL(D930,$G$5)),([1]!S_STM07_BS(D930,75,$G$5,$H$13)+[1]!S_STM07_BS(D930,88,$G$5,$H$13)+[1]!S_STM07_BS(D930,94,$G$5,$H$13)+[1]!S_STM07_BS(D930,95,$G$5,$H$13))/$E$5))</f>
        <v/>
      </c>
      <c r="O930" s="247" t="str">
        <f ca="1">IF(C930="","",IF($O$11="BPS",[1]!S_STM07_BS(D930,141,$G$5,$H$13)/IF([1]!S_SHARE_TOTAL(D930,$G$5)=0,[1]!S_SHARE_TOTAL(D930,[1]!s_ipo_listeddate(D930)),[1]!S_SHARE_TOTAL(D930,$G$5)),[1]!S_STM07_CS(D930,49,$G$5,$H$13)/$E$5))</f>
        <v/>
      </c>
      <c r="P930" s="247" t="str">
        <f ca="1">IF(C930="","",IF($P$11="CFPS",[1]!S_STM07_CS(D930,84,$G$5,$H$13)/IF([1]!S_SHARE_TOTAL(D930,$G$5)=0,[1]!S_SHARE_TOTAL(D930,[1]!s_ipo_listeddate(D930)),[1]!S_SHARE_TOTAL(D930,$G$5)),[1]!S_STM07_CS(D930,84,$G$5,$H$13)/$E$5))</f>
        <v/>
      </c>
      <c r="Q930" s="248" t="str">
        <f ca="1">IF(C930="","",F930/([1]!S_STM07_IS(D930,61,$G$5,$H$13)/IF([1]!S_SHARE_TOTAL(D930,$G$5)=0,[1]!S_SHARE_TOTAL(D930,[1]!s_ipo_listeddate(D930)),[1]!S_SHARE_TOTAL(D930,$G$5))))</f>
        <v/>
      </c>
      <c r="R930" s="248" t="str">
        <f ca="1">IF(C930="","",F930/([1]!S_STM07_BS(D930,141,$G$5,$H$13)/IF([1]!S_SHARE_TOTAL(D930,$G$5)=0,[1]!S_SHARE_TOTAL(D930,[1]!s_ipo_listeddate(D930)),[1]!S_SHARE_TOTAL(D930,$G$5))))</f>
        <v/>
      </c>
      <c r="S930" s="247" t="str">
        <f ca="1">IF(C930="","",[1]!S_SHARE_TOTAL(D930,TODAY())/$E$5)</f>
        <v/>
      </c>
      <c r="T930" s="247" t="str">
        <f t="shared" ca="1" si="97"/>
        <v/>
      </c>
      <c r="U930" s="218" t="str">
        <f t="shared" ca="1" si="98"/>
        <v/>
      </c>
      <c r="V930" s="342" t="str">
        <f t="shared" ca="1" si="99"/>
        <v/>
      </c>
      <c r="W930" s="139"/>
      <c r="Y930" s="1"/>
    </row>
    <row r="931" spans="3:25" ht="12" customHeight="1">
      <c r="C931" s="343" t="str">
        <f t="shared" ca="1" si="94"/>
        <v/>
      </c>
      <c r="D931" s="124" t="str">
        <f t="shared" ca="1" si="95"/>
        <v/>
      </c>
      <c r="E931" s="124" t="str">
        <f t="shared" ca="1" si="96"/>
        <v/>
      </c>
      <c r="F931" s="172" t="str">
        <f ca="1">IF(C931="","",[1]!S_DQ_CLOSE(D931,TODAY(),1))</f>
        <v/>
      </c>
      <c r="G931" s="173" t="str">
        <f ca="1">IF(C931="","",[1]!s_pq_pctchange(D931,TODAY()-$G$12,TODAY())/100)</f>
        <v/>
      </c>
      <c r="H931" s="249" t="str">
        <f ca="1">IF(C931="","",IF($H$11="收入",[1]!S_STM07_IS(D931,9,$G$5,$H$13)/$E$5,[1]!S_STM07_IS(D931,48,$G$5,$H$13)/$E$5))</f>
        <v/>
      </c>
      <c r="I931" s="249" t="str">
        <f ca="1">IF(C931="","",IF($I$11="毛利率",([1]!S_STM07_IS(D931,9,$G$5,$H$13)-[1]!S_STM07_IS(D931,10,$G$5,$H$13))/[1]!S_STM07_IS(D931,9,$G$5,$H$13),[1]!S_STM07_IS(D931,14,$G$5,$H$13)/$E$5))</f>
        <v/>
      </c>
      <c r="J931" s="249" t="str">
        <f ca="1">IF(C931="","",IF($J$11="营业利润率",[1]!S_STM07_IS(D931,48,$G$5,$H$13)/[1]!S_STM07_IS(D931,9,$G$5,$H$13),([1]!S_STM07_CS(D931,87,$G$5,$H$13)+[1]!S_STM07_CS(D931,88,$G$5,$H$13)+[1]!S_STM07_CS(D931,89,$G$5,$H$13))/$E$5))</f>
        <v/>
      </c>
      <c r="K931" s="249" t="str">
        <f ca="1">IF(C931="","",IF($K$11="净利润率",[1]!S_STM07_IS(D931,61,$G$5,$H$13)/[1]!S_STM07_IS(D931,9,$G$5,$H$13),[1]!S_STM07_IS(D931,55,$G$5,$H$13)/$E$5))</f>
        <v/>
      </c>
      <c r="L931" s="249" t="str">
        <f ca="1">IF(C931="","",IF($L$11="ROA",[1]!S_STM07_IS(D931,61,$G$5,$H$13)/[1]!S_STM07_BS(D931,74,$G$5,$H$13),1-[1]!S_STM07_IS(D931,61,$G$5,$H$13)/[1]!S_STM07_IS(D931,55,$G$5,$H$13)))</f>
        <v/>
      </c>
      <c r="M931" s="249" t="str">
        <f ca="1">IF(C931="","",IF($M$11="ROE",[1]!S_STM07_IS(D931,61,$G$5,$H$13)/[1]!S_STM07_BS(D931,141,$G$5,$H$13),([1]!S_STM07_BS(D931,25,$G$5,$H$13)-[1]!S_STM07_BS(D931,93,$G$5,$H$13))/$E$5))</f>
        <v/>
      </c>
      <c r="N931" s="250" t="str">
        <f ca="1">IF(C931="","",IF($N$11="EPS",[1]!S_STM07_IS(D931,61,$G$5,$H$13)/IF([1]!S_SHARE_TOTAL(D931,$G$5)=0,[1]!S_SHARE_TOTAL(D931,[1]!s_ipo_listeddate(D931)),[1]!S_SHARE_TOTAL(D931,$G$5)),([1]!S_STM07_BS(D931,75,$G$5,$H$13)+[1]!S_STM07_BS(D931,88,$G$5,$H$13)+[1]!S_STM07_BS(D931,94,$G$5,$H$13)+[1]!S_STM07_BS(D931,95,$G$5,$H$13))/$E$5))</f>
        <v/>
      </c>
      <c r="O931" s="250" t="str">
        <f ca="1">IF(C931="","",IF($O$11="BPS",[1]!S_STM07_BS(D931,141,$G$5,$H$13)/IF([1]!S_SHARE_TOTAL(D931,$G$5)=0,[1]!S_SHARE_TOTAL(D931,[1]!s_ipo_listeddate(D931)),[1]!S_SHARE_TOTAL(D931,$G$5)),[1]!S_STM07_CS(D931,49,$G$5,$H$13)/$E$5))</f>
        <v/>
      </c>
      <c r="P931" s="250" t="str">
        <f ca="1">IF(C931="","",IF($P$11="CFPS",[1]!S_STM07_CS(D931,84,$G$5,$H$13)/IF([1]!S_SHARE_TOTAL(D931,$G$5)=0,[1]!S_SHARE_TOTAL(D931,[1]!s_ipo_listeddate(D931)),[1]!S_SHARE_TOTAL(D931,$G$5)),[1]!S_STM07_CS(D931,84,$G$5,$H$13)/$E$5))</f>
        <v/>
      </c>
      <c r="Q931" s="198" t="str">
        <f ca="1">IF(C931="","",F931/([1]!S_STM07_IS(D931,61,$G$5,$H$13)/IF([1]!S_SHARE_TOTAL(D931,$G$5)=0,[1]!S_SHARE_TOTAL(D931,[1]!s_ipo_listeddate(D931)),[1]!S_SHARE_TOTAL(D931,$G$5))))</f>
        <v/>
      </c>
      <c r="R931" s="198" t="str">
        <f ca="1">IF(C931="","",F931/([1]!S_STM07_BS(D931,141,$G$5,$H$13)/IF([1]!S_SHARE_TOTAL(D931,$G$5)=0,[1]!S_SHARE_TOTAL(D931,[1]!s_ipo_listeddate(D931)),[1]!S_SHARE_TOTAL(D931,$G$5))))</f>
        <v/>
      </c>
      <c r="S931" s="249" t="str">
        <f ca="1">IF(C931="","",[1]!S_SHARE_TOTAL(D931,TODAY())/$E$5)</f>
        <v/>
      </c>
      <c r="T931" s="249" t="str">
        <f t="shared" ca="1" si="97"/>
        <v/>
      </c>
      <c r="U931" s="172" t="str">
        <f t="shared" ca="1" si="98"/>
        <v/>
      </c>
      <c r="V931" s="343" t="str">
        <f t="shared" ca="1" si="99"/>
        <v/>
      </c>
      <c r="W931" s="139"/>
      <c r="Y931" s="1"/>
    </row>
    <row r="932" spans="3:25" ht="12" customHeight="1">
      <c r="C932" s="342" t="str">
        <f t="shared" ca="1" si="94"/>
        <v/>
      </c>
      <c r="D932" s="153" t="str">
        <f t="shared" ca="1" si="95"/>
        <v/>
      </c>
      <c r="E932" s="153" t="str">
        <f t="shared" ca="1" si="96"/>
        <v/>
      </c>
      <c r="F932" s="170" t="str">
        <f ca="1">IF(C932="","",[1]!S_DQ_CLOSE(D932,TODAY(),1))</f>
        <v/>
      </c>
      <c r="G932" s="171" t="str">
        <f ca="1">IF(C932="","",[1]!s_pq_pctchange(D932,TODAY()-$G$12,TODAY())/100)</f>
        <v/>
      </c>
      <c r="H932" s="247" t="str">
        <f ca="1">IF(C932="","",IF($H$11="收入",[1]!S_STM07_IS(D932,9,$G$5,$H$13)/$E$5,[1]!S_STM07_IS(D932,48,$G$5,$H$13)/$E$5))</f>
        <v/>
      </c>
      <c r="I932" s="247" t="str">
        <f ca="1">IF(C932="","",IF($I$11="毛利率",([1]!S_STM07_IS(D932,9,$G$5,$H$13)-[1]!S_STM07_IS(D932,10,$G$5,$H$13))/[1]!S_STM07_IS(D932,9,$G$5,$H$13),[1]!S_STM07_IS(D932,14,$G$5,$H$13)/$E$5))</f>
        <v/>
      </c>
      <c r="J932" s="247" t="str">
        <f ca="1">IF(C932="","",IF($J$11="营业利润率",[1]!S_STM07_IS(D932,48,$G$5,$H$13)/[1]!S_STM07_IS(D932,9,$G$5,$H$13),([1]!S_STM07_CS(D932,87,$G$5,$H$13)+[1]!S_STM07_CS(D932,88,$G$5,$H$13)+[1]!S_STM07_CS(D932,89,$G$5,$H$13))/$E$5))</f>
        <v/>
      </c>
      <c r="K932" s="247" t="str">
        <f ca="1">IF(C932="","",IF($K$11="净利润率",[1]!S_STM07_IS(D932,61,$G$5,$H$13)/[1]!S_STM07_IS(D932,9,$G$5,$H$13),[1]!S_STM07_IS(D932,55,$G$5,$H$13)/$E$5))</f>
        <v/>
      </c>
      <c r="L932" s="247" t="str">
        <f ca="1">IF(C932="","",IF($L$11="ROA",[1]!S_STM07_IS(D932,61,$G$5,$H$13)/[1]!S_STM07_BS(D932,74,$G$5,$H$13),1-[1]!S_STM07_IS(D932,61,$G$5,$H$13)/[1]!S_STM07_IS(D932,55,$G$5,$H$13)))</f>
        <v/>
      </c>
      <c r="M932" s="247" t="str">
        <f ca="1">IF(C932="","",IF($M$11="ROE",[1]!S_STM07_IS(D932,61,$G$5,$H$13)/[1]!S_STM07_BS(D932,141,$G$5,$H$13),([1]!S_STM07_BS(D932,25,$G$5,$H$13)-[1]!S_STM07_BS(D932,93,$G$5,$H$13))/$E$5))</f>
        <v/>
      </c>
      <c r="N932" s="247" t="str">
        <f ca="1">IF(C932="","",IF($N$11="EPS",[1]!S_STM07_IS(D932,61,$G$5,$H$13)/IF([1]!S_SHARE_TOTAL(D932,$G$5)=0,[1]!S_SHARE_TOTAL(D932,[1]!s_ipo_listeddate(D932)),[1]!S_SHARE_TOTAL(D932,$G$5)),([1]!S_STM07_BS(D932,75,$G$5,$H$13)+[1]!S_STM07_BS(D932,88,$G$5,$H$13)+[1]!S_STM07_BS(D932,94,$G$5,$H$13)+[1]!S_STM07_BS(D932,95,$G$5,$H$13))/$E$5))</f>
        <v/>
      </c>
      <c r="O932" s="247" t="str">
        <f ca="1">IF(C932="","",IF($O$11="BPS",[1]!S_STM07_BS(D932,141,$G$5,$H$13)/IF([1]!S_SHARE_TOTAL(D932,$G$5)=0,[1]!S_SHARE_TOTAL(D932,[1]!s_ipo_listeddate(D932)),[1]!S_SHARE_TOTAL(D932,$G$5)),[1]!S_STM07_CS(D932,49,$G$5,$H$13)/$E$5))</f>
        <v/>
      </c>
      <c r="P932" s="247" t="str">
        <f ca="1">IF(C932="","",IF($P$11="CFPS",[1]!S_STM07_CS(D932,84,$G$5,$H$13)/IF([1]!S_SHARE_TOTAL(D932,$G$5)=0,[1]!S_SHARE_TOTAL(D932,[1]!s_ipo_listeddate(D932)),[1]!S_SHARE_TOTAL(D932,$G$5)),[1]!S_STM07_CS(D932,84,$G$5,$H$13)/$E$5))</f>
        <v/>
      </c>
      <c r="Q932" s="248" t="str">
        <f ca="1">IF(C932="","",F932/([1]!S_STM07_IS(D932,61,$G$5,$H$13)/IF([1]!S_SHARE_TOTAL(D932,$G$5)=0,[1]!S_SHARE_TOTAL(D932,[1]!s_ipo_listeddate(D932)),[1]!S_SHARE_TOTAL(D932,$G$5))))</f>
        <v/>
      </c>
      <c r="R932" s="248" t="str">
        <f ca="1">IF(C932="","",F932/([1]!S_STM07_BS(D932,141,$G$5,$H$13)/IF([1]!S_SHARE_TOTAL(D932,$G$5)=0,[1]!S_SHARE_TOTAL(D932,[1]!s_ipo_listeddate(D932)),[1]!S_SHARE_TOTAL(D932,$G$5))))</f>
        <v/>
      </c>
      <c r="S932" s="247" t="str">
        <f ca="1">IF(C932="","",[1]!S_SHARE_TOTAL(D932,TODAY())/$E$5)</f>
        <v/>
      </c>
      <c r="T932" s="247" t="str">
        <f t="shared" ca="1" si="97"/>
        <v/>
      </c>
      <c r="U932" s="218" t="str">
        <f t="shared" ca="1" si="98"/>
        <v/>
      </c>
      <c r="V932" s="342" t="str">
        <f t="shared" ca="1" si="99"/>
        <v/>
      </c>
      <c r="W932" s="139"/>
      <c r="Y932" s="1"/>
    </row>
    <row r="933" spans="3:25" ht="12" customHeight="1">
      <c r="C933" s="343" t="str">
        <f t="shared" ca="1" si="94"/>
        <v/>
      </c>
      <c r="D933" s="124" t="str">
        <f t="shared" ca="1" si="95"/>
        <v/>
      </c>
      <c r="E933" s="124" t="str">
        <f t="shared" ca="1" si="96"/>
        <v/>
      </c>
      <c r="F933" s="172" t="str">
        <f ca="1">IF(C933="","",[1]!S_DQ_CLOSE(D933,TODAY(),1))</f>
        <v/>
      </c>
      <c r="G933" s="173" t="str">
        <f ca="1">IF(C933="","",[1]!s_pq_pctchange(D933,TODAY()-$G$12,TODAY())/100)</f>
        <v/>
      </c>
      <c r="H933" s="249" t="str">
        <f ca="1">IF(C933="","",IF($H$11="收入",[1]!S_STM07_IS(D933,9,$G$5,$H$13)/$E$5,[1]!S_STM07_IS(D933,48,$G$5,$H$13)/$E$5))</f>
        <v/>
      </c>
      <c r="I933" s="249" t="str">
        <f ca="1">IF(C933="","",IF($I$11="毛利率",([1]!S_STM07_IS(D933,9,$G$5,$H$13)-[1]!S_STM07_IS(D933,10,$G$5,$H$13))/[1]!S_STM07_IS(D933,9,$G$5,$H$13),[1]!S_STM07_IS(D933,14,$G$5,$H$13)/$E$5))</f>
        <v/>
      </c>
      <c r="J933" s="249" t="str">
        <f ca="1">IF(C933="","",IF($J$11="营业利润率",[1]!S_STM07_IS(D933,48,$G$5,$H$13)/[1]!S_STM07_IS(D933,9,$G$5,$H$13),([1]!S_STM07_CS(D933,87,$G$5,$H$13)+[1]!S_STM07_CS(D933,88,$G$5,$H$13)+[1]!S_STM07_CS(D933,89,$G$5,$H$13))/$E$5))</f>
        <v/>
      </c>
      <c r="K933" s="249" t="str">
        <f ca="1">IF(C933="","",IF($K$11="净利润率",[1]!S_STM07_IS(D933,61,$G$5,$H$13)/[1]!S_STM07_IS(D933,9,$G$5,$H$13),[1]!S_STM07_IS(D933,55,$G$5,$H$13)/$E$5))</f>
        <v/>
      </c>
      <c r="L933" s="249" t="str">
        <f ca="1">IF(C933="","",IF($L$11="ROA",[1]!S_STM07_IS(D933,61,$G$5,$H$13)/[1]!S_STM07_BS(D933,74,$G$5,$H$13),1-[1]!S_STM07_IS(D933,61,$G$5,$H$13)/[1]!S_STM07_IS(D933,55,$G$5,$H$13)))</f>
        <v/>
      </c>
      <c r="M933" s="249" t="str">
        <f ca="1">IF(C933="","",IF($M$11="ROE",[1]!S_STM07_IS(D933,61,$G$5,$H$13)/[1]!S_STM07_BS(D933,141,$G$5,$H$13),([1]!S_STM07_BS(D933,25,$G$5,$H$13)-[1]!S_STM07_BS(D933,93,$G$5,$H$13))/$E$5))</f>
        <v/>
      </c>
      <c r="N933" s="250" t="str">
        <f ca="1">IF(C933="","",IF($N$11="EPS",[1]!S_STM07_IS(D933,61,$G$5,$H$13)/IF([1]!S_SHARE_TOTAL(D933,$G$5)=0,[1]!S_SHARE_TOTAL(D933,[1]!s_ipo_listeddate(D933)),[1]!S_SHARE_TOTAL(D933,$G$5)),([1]!S_STM07_BS(D933,75,$G$5,$H$13)+[1]!S_STM07_BS(D933,88,$G$5,$H$13)+[1]!S_STM07_BS(D933,94,$G$5,$H$13)+[1]!S_STM07_BS(D933,95,$G$5,$H$13))/$E$5))</f>
        <v/>
      </c>
      <c r="O933" s="250" t="str">
        <f ca="1">IF(C933="","",IF($O$11="BPS",[1]!S_STM07_BS(D933,141,$G$5,$H$13)/IF([1]!S_SHARE_TOTAL(D933,$G$5)=0,[1]!S_SHARE_TOTAL(D933,[1]!s_ipo_listeddate(D933)),[1]!S_SHARE_TOTAL(D933,$G$5)),[1]!S_STM07_CS(D933,49,$G$5,$H$13)/$E$5))</f>
        <v/>
      </c>
      <c r="P933" s="250" t="str">
        <f ca="1">IF(C933="","",IF($P$11="CFPS",[1]!S_STM07_CS(D933,84,$G$5,$H$13)/IF([1]!S_SHARE_TOTAL(D933,$G$5)=0,[1]!S_SHARE_TOTAL(D933,[1]!s_ipo_listeddate(D933)),[1]!S_SHARE_TOTAL(D933,$G$5)),[1]!S_STM07_CS(D933,84,$G$5,$H$13)/$E$5))</f>
        <v/>
      </c>
      <c r="Q933" s="198" t="str">
        <f ca="1">IF(C933="","",F933/([1]!S_STM07_IS(D933,61,$G$5,$H$13)/IF([1]!S_SHARE_TOTAL(D933,$G$5)=0,[1]!S_SHARE_TOTAL(D933,[1]!s_ipo_listeddate(D933)),[1]!S_SHARE_TOTAL(D933,$G$5))))</f>
        <v/>
      </c>
      <c r="R933" s="198" t="str">
        <f ca="1">IF(C933="","",F933/([1]!S_STM07_BS(D933,141,$G$5,$H$13)/IF([1]!S_SHARE_TOTAL(D933,$G$5)=0,[1]!S_SHARE_TOTAL(D933,[1]!s_ipo_listeddate(D933)),[1]!S_SHARE_TOTAL(D933,$G$5))))</f>
        <v/>
      </c>
      <c r="S933" s="249" t="str">
        <f ca="1">IF(C933="","",[1]!S_SHARE_TOTAL(D933,TODAY())/$E$5)</f>
        <v/>
      </c>
      <c r="T933" s="249" t="str">
        <f t="shared" ca="1" si="97"/>
        <v/>
      </c>
      <c r="U933" s="172" t="str">
        <f t="shared" ca="1" si="98"/>
        <v/>
      </c>
      <c r="V933" s="343" t="str">
        <f t="shared" ca="1" si="99"/>
        <v/>
      </c>
      <c r="W933" s="139"/>
      <c r="Y933" s="1"/>
    </row>
    <row r="934" spans="3:25" ht="12" customHeight="1">
      <c r="C934" s="342" t="str">
        <f t="shared" ca="1" si="94"/>
        <v/>
      </c>
      <c r="D934" s="153" t="str">
        <f t="shared" ca="1" si="95"/>
        <v/>
      </c>
      <c r="E934" s="153" t="str">
        <f t="shared" ca="1" si="96"/>
        <v/>
      </c>
      <c r="F934" s="170" t="str">
        <f ca="1">IF(C934="","",[1]!S_DQ_CLOSE(D934,TODAY(),1))</f>
        <v/>
      </c>
      <c r="G934" s="171" t="str">
        <f ca="1">IF(C934="","",[1]!s_pq_pctchange(D934,TODAY()-$G$12,TODAY())/100)</f>
        <v/>
      </c>
      <c r="H934" s="247" t="str">
        <f ca="1">IF(C934="","",IF($H$11="收入",[1]!S_STM07_IS(D934,9,$G$5,$H$13)/$E$5,[1]!S_STM07_IS(D934,48,$G$5,$H$13)/$E$5))</f>
        <v/>
      </c>
      <c r="I934" s="247" t="str">
        <f ca="1">IF(C934="","",IF($I$11="毛利率",([1]!S_STM07_IS(D934,9,$G$5,$H$13)-[1]!S_STM07_IS(D934,10,$G$5,$H$13))/[1]!S_STM07_IS(D934,9,$G$5,$H$13),[1]!S_STM07_IS(D934,14,$G$5,$H$13)/$E$5))</f>
        <v/>
      </c>
      <c r="J934" s="247" t="str">
        <f ca="1">IF(C934="","",IF($J$11="营业利润率",[1]!S_STM07_IS(D934,48,$G$5,$H$13)/[1]!S_STM07_IS(D934,9,$G$5,$H$13),([1]!S_STM07_CS(D934,87,$G$5,$H$13)+[1]!S_STM07_CS(D934,88,$G$5,$H$13)+[1]!S_STM07_CS(D934,89,$G$5,$H$13))/$E$5))</f>
        <v/>
      </c>
      <c r="K934" s="247" t="str">
        <f ca="1">IF(C934="","",IF($K$11="净利润率",[1]!S_STM07_IS(D934,61,$G$5,$H$13)/[1]!S_STM07_IS(D934,9,$G$5,$H$13),[1]!S_STM07_IS(D934,55,$G$5,$H$13)/$E$5))</f>
        <v/>
      </c>
      <c r="L934" s="247" t="str">
        <f ca="1">IF(C934="","",IF($L$11="ROA",[1]!S_STM07_IS(D934,61,$G$5,$H$13)/[1]!S_STM07_BS(D934,74,$G$5,$H$13),1-[1]!S_STM07_IS(D934,61,$G$5,$H$13)/[1]!S_STM07_IS(D934,55,$G$5,$H$13)))</f>
        <v/>
      </c>
      <c r="M934" s="247" t="str">
        <f ca="1">IF(C934="","",IF($M$11="ROE",[1]!S_STM07_IS(D934,61,$G$5,$H$13)/[1]!S_STM07_BS(D934,141,$G$5,$H$13),([1]!S_STM07_BS(D934,25,$G$5,$H$13)-[1]!S_STM07_BS(D934,93,$G$5,$H$13))/$E$5))</f>
        <v/>
      </c>
      <c r="N934" s="247" t="str">
        <f ca="1">IF(C934="","",IF($N$11="EPS",[1]!S_STM07_IS(D934,61,$G$5,$H$13)/IF([1]!S_SHARE_TOTAL(D934,$G$5)=0,[1]!S_SHARE_TOTAL(D934,[1]!s_ipo_listeddate(D934)),[1]!S_SHARE_TOTAL(D934,$G$5)),([1]!S_STM07_BS(D934,75,$G$5,$H$13)+[1]!S_STM07_BS(D934,88,$G$5,$H$13)+[1]!S_STM07_BS(D934,94,$G$5,$H$13)+[1]!S_STM07_BS(D934,95,$G$5,$H$13))/$E$5))</f>
        <v/>
      </c>
      <c r="O934" s="247" t="str">
        <f ca="1">IF(C934="","",IF($O$11="BPS",[1]!S_STM07_BS(D934,141,$G$5,$H$13)/IF([1]!S_SHARE_TOTAL(D934,$G$5)=0,[1]!S_SHARE_TOTAL(D934,[1]!s_ipo_listeddate(D934)),[1]!S_SHARE_TOTAL(D934,$G$5)),[1]!S_STM07_CS(D934,49,$G$5,$H$13)/$E$5))</f>
        <v/>
      </c>
      <c r="P934" s="247" t="str">
        <f ca="1">IF(C934="","",IF($P$11="CFPS",[1]!S_STM07_CS(D934,84,$G$5,$H$13)/IF([1]!S_SHARE_TOTAL(D934,$G$5)=0,[1]!S_SHARE_TOTAL(D934,[1]!s_ipo_listeddate(D934)),[1]!S_SHARE_TOTAL(D934,$G$5)),[1]!S_STM07_CS(D934,84,$G$5,$H$13)/$E$5))</f>
        <v/>
      </c>
      <c r="Q934" s="248" t="str">
        <f ca="1">IF(C934="","",F934/([1]!S_STM07_IS(D934,61,$G$5,$H$13)/IF([1]!S_SHARE_TOTAL(D934,$G$5)=0,[1]!S_SHARE_TOTAL(D934,[1]!s_ipo_listeddate(D934)),[1]!S_SHARE_TOTAL(D934,$G$5))))</f>
        <v/>
      </c>
      <c r="R934" s="248" t="str">
        <f ca="1">IF(C934="","",F934/([1]!S_STM07_BS(D934,141,$G$5,$H$13)/IF([1]!S_SHARE_TOTAL(D934,$G$5)=0,[1]!S_SHARE_TOTAL(D934,[1]!s_ipo_listeddate(D934)),[1]!S_SHARE_TOTAL(D934,$G$5))))</f>
        <v/>
      </c>
      <c r="S934" s="247" t="str">
        <f ca="1">IF(C934="","",[1]!S_SHARE_TOTAL(D934,TODAY())/$E$5)</f>
        <v/>
      </c>
      <c r="T934" s="247" t="str">
        <f t="shared" ca="1" si="97"/>
        <v/>
      </c>
      <c r="U934" s="218" t="str">
        <f t="shared" ca="1" si="98"/>
        <v/>
      </c>
      <c r="V934" s="342" t="str">
        <f t="shared" ca="1" si="99"/>
        <v/>
      </c>
      <c r="W934" s="139"/>
      <c r="Y934" s="1"/>
    </row>
    <row r="935" spans="3:25" ht="12" customHeight="1">
      <c r="C935" s="343" t="str">
        <f t="shared" ca="1" si="94"/>
        <v/>
      </c>
      <c r="D935" s="124" t="str">
        <f t="shared" ca="1" si="95"/>
        <v/>
      </c>
      <c r="E935" s="124" t="str">
        <f t="shared" ca="1" si="96"/>
        <v/>
      </c>
      <c r="F935" s="172" t="str">
        <f ca="1">IF(C935="","",[1]!S_DQ_CLOSE(D935,TODAY(),1))</f>
        <v/>
      </c>
      <c r="G935" s="173" t="str">
        <f ca="1">IF(C935="","",[1]!s_pq_pctchange(D935,TODAY()-$G$12,TODAY())/100)</f>
        <v/>
      </c>
      <c r="H935" s="249" t="str">
        <f ca="1">IF(C935="","",IF($H$11="收入",[1]!S_STM07_IS(D935,9,$G$5,$H$13)/$E$5,[1]!S_STM07_IS(D935,48,$G$5,$H$13)/$E$5))</f>
        <v/>
      </c>
      <c r="I935" s="249" t="str">
        <f ca="1">IF(C935="","",IF($I$11="毛利率",([1]!S_STM07_IS(D935,9,$G$5,$H$13)-[1]!S_STM07_IS(D935,10,$G$5,$H$13))/[1]!S_STM07_IS(D935,9,$G$5,$H$13),[1]!S_STM07_IS(D935,14,$G$5,$H$13)/$E$5))</f>
        <v/>
      </c>
      <c r="J935" s="249" t="str">
        <f ca="1">IF(C935="","",IF($J$11="营业利润率",[1]!S_STM07_IS(D935,48,$G$5,$H$13)/[1]!S_STM07_IS(D935,9,$G$5,$H$13),([1]!S_STM07_CS(D935,87,$G$5,$H$13)+[1]!S_STM07_CS(D935,88,$G$5,$H$13)+[1]!S_STM07_CS(D935,89,$G$5,$H$13))/$E$5))</f>
        <v/>
      </c>
      <c r="K935" s="249" t="str">
        <f ca="1">IF(C935="","",IF($K$11="净利润率",[1]!S_STM07_IS(D935,61,$G$5,$H$13)/[1]!S_STM07_IS(D935,9,$G$5,$H$13),[1]!S_STM07_IS(D935,55,$G$5,$H$13)/$E$5))</f>
        <v/>
      </c>
      <c r="L935" s="249" t="str">
        <f ca="1">IF(C935="","",IF($L$11="ROA",[1]!S_STM07_IS(D935,61,$G$5,$H$13)/[1]!S_STM07_BS(D935,74,$G$5,$H$13),1-[1]!S_STM07_IS(D935,61,$G$5,$H$13)/[1]!S_STM07_IS(D935,55,$G$5,$H$13)))</f>
        <v/>
      </c>
      <c r="M935" s="249" t="str">
        <f ca="1">IF(C935="","",IF($M$11="ROE",[1]!S_STM07_IS(D935,61,$G$5,$H$13)/[1]!S_STM07_BS(D935,141,$G$5,$H$13),([1]!S_STM07_BS(D935,25,$G$5,$H$13)-[1]!S_STM07_BS(D935,93,$G$5,$H$13))/$E$5))</f>
        <v/>
      </c>
      <c r="N935" s="250" t="str">
        <f ca="1">IF(C935="","",IF($N$11="EPS",[1]!S_STM07_IS(D935,61,$G$5,$H$13)/IF([1]!S_SHARE_TOTAL(D935,$G$5)=0,[1]!S_SHARE_TOTAL(D935,[1]!s_ipo_listeddate(D935)),[1]!S_SHARE_TOTAL(D935,$G$5)),([1]!S_STM07_BS(D935,75,$G$5,$H$13)+[1]!S_STM07_BS(D935,88,$G$5,$H$13)+[1]!S_STM07_BS(D935,94,$G$5,$H$13)+[1]!S_STM07_BS(D935,95,$G$5,$H$13))/$E$5))</f>
        <v/>
      </c>
      <c r="O935" s="250" t="str">
        <f ca="1">IF(C935="","",IF($O$11="BPS",[1]!S_STM07_BS(D935,141,$G$5,$H$13)/IF([1]!S_SHARE_TOTAL(D935,$G$5)=0,[1]!S_SHARE_TOTAL(D935,[1]!s_ipo_listeddate(D935)),[1]!S_SHARE_TOTAL(D935,$G$5)),[1]!S_STM07_CS(D935,49,$G$5,$H$13)/$E$5))</f>
        <v/>
      </c>
      <c r="P935" s="250" t="str">
        <f ca="1">IF(C935="","",IF($P$11="CFPS",[1]!S_STM07_CS(D935,84,$G$5,$H$13)/IF([1]!S_SHARE_TOTAL(D935,$G$5)=0,[1]!S_SHARE_TOTAL(D935,[1]!s_ipo_listeddate(D935)),[1]!S_SHARE_TOTAL(D935,$G$5)),[1]!S_STM07_CS(D935,84,$G$5,$H$13)/$E$5))</f>
        <v/>
      </c>
      <c r="Q935" s="198" t="str">
        <f ca="1">IF(C935="","",F935/([1]!S_STM07_IS(D935,61,$G$5,$H$13)/IF([1]!S_SHARE_TOTAL(D935,$G$5)=0,[1]!S_SHARE_TOTAL(D935,[1]!s_ipo_listeddate(D935)),[1]!S_SHARE_TOTAL(D935,$G$5))))</f>
        <v/>
      </c>
      <c r="R935" s="198" t="str">
        <f ca="1">IF(C935="","",F935/([1]!S_STM07_BS(D935,141,$G$5,$H$13)/IF([1]!S_SHARE_TOTAL(D935,$G$5)=0,[1]!S_SHARE_TOTAL(D935,[1]!s_ipo_listeddate(D935)),[1]!S_SHARE_TOTAL(D935,$G$5))))</f>
        <v/>
      </c>
      <c r="S935" s="249" t="str">
        <f ca="1">IF(C935="","",[1]!S_SHARE_TOTAL(D935,TODAY())/$E$5)</f>
        <v/>
      </c>
      <c r="T935" s="249" t="str">
        <f t="shared" ca="1" si="97"/>
        <v/>
      </c>
      <c r="U935" s="172" t="str">
        <f t="shared" ca="1" si="98"/>
        <v/>
      </c>
      <c r="V935" s="343" t="str">
        <f t="shared" ca="1" si="99"/>
        <v/>
      </c>
      <c r="W935" s="139"/>
      <c r="Y935" s="1"/>
    </row>
    <row r="936" spans="3:25" ht="12" customHeight="1">
      <c r="C936" s="342" t="str">
        <f t="shared" ca="1" si="94"/>
        <v/>
      </c>
      <c r="D936" s="153" t="str">
        <f t="shared" ca="1" si="95"/>
        <v/>
      </c>
      <c r="E936" s="153" t="str">
        <f t="shared" ca="1" si="96"/>
        <v/>
      </c>
      <c r="F936" s="170" t="str">
        <f ca="1">IF(C936="","",[1]!S_DQ_CLOSE(D936,TODAY(),1))</f>
        <v/>
      </c>
      <c r="G936" s="171" t="str">
        <f ca="1">IF(C936="","",[1]!s_pq_pctchange(D936,TODAY()-$G$12,TODAY())/100)</f>
        <v/>
      </c>
      <c r="H936" s="247" t="str">
        <f ca="1">IF(C936="","",IF($H$11="收入",[1]!S_STM07_IS(D936,9,$G$5,$H$13)/$E$5,[1]!S_STM07_IS(D936,48,$G$5,$H$13)/$E$5))</f>
        <v/>
      </c>
      <c r="I936" s="247" t="str">
        <f ca="1">IF(C936="","",IF($I$11="毛利率",([1]!S_STM07_IS(D936,9,$G$5,$H$13)-[1]!S_STM07_IS(D936,10,$G$5,$H$13))/[1]!S_STM07_IS(D936,9,$G$5,$H$13),[1]!S_STM07_IS(D936,14,$G$5,$H$13)/$E$5))</f>
        <v/>
      </c>
      <c r="J936" s="247" t="str">
        <f ca="1">IF(C936="","",IF($J$11="营业利润率",[1]!S_STM07_IS(D936,48,$G$5,$H$13)/[1]!S_STM07_IS(D936,9,$G$5,$H$13),([1]!S_STM07_CS(D936,87,$G$5,$H$13)+[1]!S_STM07_CS(D936,88,$G$5,$H$13)+[1]!S_STM07_CS(D936,89,$G$5,$H$13))/$E$5))</f>
        <v/>
      </c>
      <c r="K936" s="247" t="str">
        <f ca="1">IF(C936="","",IF($K$11="净利润率",[1]!S_STM07_IS(D936,61,$G$5,$H$13)/[1]!S_STM07_IS(D936,9,$G$5,$H$13),[1]!S_STM07_IS(D936,55,$G$5,$H$13)/$E$5))</f>
        <v/>
      </c>
      <c r="L936" s="247" t="str">
        <f ca="1">IF(C936="","",IF($L$11="ROA",[1]!S_STM07_IS(D936,61,$G$5,$H$13)/[1]!S_STM07_BS(D936,74,$G$5,$H$13),1-[1]!S_STM07_IS(D936,61,$G$5,$H$13)/[1]!S_STM07_IS(D936,55,$G$5,$H$13)))</f>
        <v/>
      </c>
      <c r="M936" s="247" t="str">
        <f ca="1">IF(C936="","",IF($M$11="ROE",[1]!S_STM07_IS(D936,61,$G$5,$H$13)/[1]!S_STM07_BS(D936,141,$G$5,$H$13),([1]!S_STM07_BS(D936,25,$G$5,$H$13)-[1]!S_STM07_BS(D936,93,$G$5,$H$13))/$E$5))</f>
        <v/>
      </c>
      <c r="N936" s="247" t="str">
        <f ca="1">IF(C936="","",IF($N$11="EPS",[1]!S_STM07_IS(D936,61,$G$5,$H$13)/IF([1]!S_SHARE_TOTAL(D936,$G$5)=0,[1]!S_SHARE_TOTAL(D936,[1]!s_ipo_listeddate(D936)),[1]!S_SHARE_TOTAL(D936,$G$5)),([1]!S_STM07_BS(D936,75,$G$5,$H$13)+[1]!S_STM07_BS(D936,88,$G$5,$H$13)+[1]!S_STM07_BS(D936,94,$G$5,$H$13)+[1]!S_STM07_BS(D936,95,$G$5,$H$13))/$E$5))</f>
        <v/>
      </c>
      <c r="O936" s="247" t="str">
        <f ca="1">IF(C936="","",IF($O$11="BPS",[1]!S_STM07_BS(D936,141,$G$5,$H$13)/IF([1]!S_SHARE_TOTAL(D936,$G$5)=0,[1]!S_SHARE_TOTAL(D936,[1]!s_ipo_listeddate(D936)),[1]!S_SHARE_TOTAL(D936,$G$5)),[1]!S_STM07_CS(D936,49,$G$5,$H$13)/$E$5))</f>
        <v/>
      </c>
      <c r="P936" s="247" t="str">
        <f ca="1">IF(C936="","",IF($P$11="CFPS",[1]!S_STM07_CS(D936,84,$G$5,$H$13)/IF([1]!S_SHARE_TOTAL(D936,$G$5)=0,[1]!S_SHARE_TOTAL(D936,[1]!s_ipo_listeddate(D936)),[1]!S_SHARE_TOTAL(D936,$G$5)),[1]!S_STM07_CS(D936,84,$G$5,$H$13)/$E$5))</f>
        <v/>
      </c>
      <c r="Q936" s="248" t="str">
        <f ca="1">IF(C936="","",F936/([1]!S_STM07_IS(D936,61,$G$5,$H$13)/IF([1]!S_SHARE_TOTAL(D936,$G$5)=0,[1]!S_SHARE_TOTAL(D936,[1]!s_ipo_listeddate(D936)),[1]!S_SHARE_TOTAL(D936,$G$5))))</f>
        <v/>
      </c>
      <c r="R936" s="248" t="str">
        <f ca="1">IF(C936="","",F936/([1]!S_STM07_BS(D936,141,$G$5,$H$13)/IF([1]!S_SHARE_TOTAL(D936,$G$5)=0,[1]!S_SHARE_TOTAL(D936,[1]!s_ipo_listeddate(D936)),[1]!S_SHARE_TOTAL(D936,$G$5))))</f>
        <v/>
      </c>
      <c r="S936" s="247" t="str">
        <f ca="1">IF(C936="","",[1]!S_SHARE_TOTAL(D936,TODAY())/$E$5)</f>
        <v/>
      </c>
      <c r="T936" s="247" t="str">
        <f t="shared" ca="1" si="97"/>
        <v/>
      </c>
      <c r="U936" s="218" t="str">
        <f t="shared" ca="1" si="98"/>
        <v/>
      </c>
      <c r="V936" s="342" t="str">
        <f t="shared" ca="1" si="99"/>
        <v/>
      </c>
      <c r="W936" s="139"/>
      <c r="Y936" s="1"/>
    </row>
    <row r="937" spans="3:25" ht="12" customHeight="1">
      <c r="C937" s="343" t="str">
        <f t="shared" ca="1" si="94"/>
        <v/>
      </c>
      <c r="D937" s="124" t="str">
        <f t="shared" ca="1" si="95"/>
        <v/>
      </c>
      <c r="E937" s="124" t="str">
        <f t="shared" ca="1" si="96"/>
        <v/>
      </c>
      <c r="F937" s="172" t="str">
        <f ca="1">IF(C937="","",[1]!S_DQ_CLOSE(D937,TODAY(),1))</f>
        <v/>
      </c>
      <c r="G937" s="173" t="str">
        <f ca="1">IF(C937="","",[1]!s_pq_pctchange(D937,TODAY()-$G$12,TODAY())/100)</f>
        <v/>
      </c>
      <c r="H937" s="249" t="str">
        <f ca="1">IF(C937="","",IF($H$11="收入",[1]!S_STM07_IS(D937,9,$G$5,$H$13)/$E$5,[1]!S_STM07_IS(D937,48,$G$5,$H$13)/$E$5))</f>
        <v/>
      </c>
      <c r="I937" s="249" t="str">
        <f ca="1">IF(C937="","",IF($I$11="毛利率",([1]!S_STM07_IS(D937,9,$G$5,$H$13)-[1]!S_STM07_IS(D937,10,$G$5,$H$13))/[1]!S_STM07_IS(D937,9,$G$5,$H$13),[1]!S_STM07_IS(D937,14,$G$5,$H$13)/$E$5))</f>
        <v/>
      </c>
      <c r="J937" s="249" t="str">
        <f ca="1">IF(C937="","",IF($J$11="营业利润率",[1]!S_STM07_IS(D937,48,$G$5,$H$13)/[1]!S_STM07_IS(D937,9,$G$5,$H$13),([1]!S_STM07_CS(D937,87,$G$5,$H$13)+[1]!S_STM07_CS(D937,88,$G$5,$H$13)+[1]!S_STM07_CS(D937,89,$G$5,$H$13))/$E$5))</f>
        <v/>
      </c>
      <c r="K937" s="249" t="str">
        <f ca="1">IF(C937="","",IF($K$11="净利润率",[1]!S_STM07_IS(D937,61,$G$5,$H$13)/[1]!S_STM07_IS(D937,9,$G$5,$H$13),[1]!S_STM07_IS(D937,55,$G$5,$H$13)/$E$5))</f>
        <v/>
      </c>
      <c r="L937" s="249" t="str">
        <f ca="1">IF(C937="","",IF($L$11="ROA",[1]!S_STM07_IS(D937,61,$G$5,$H$13)/[1]!S_STM07_BS(D937,74,$G$5,$H$13),1-[1]!S_STM07_IS(D937,61,$G$5,$H$13)/[1]!S_STM07_IS(D937,55,$G$5,$H$13)))</f>
        <v/>
      </c>
      <c r="M937" s="249" t="str">
        <f ca="1">IF(C937="","",IF($M$11="ROE",[1]!S_STM07_IS(D937,61,$G$5,$H$13)/[1]!S_STM07_BS(D937,141,$G$5,$H$13),([1]!S_STM07_BS(D937,25,$G$5,$H$13)-[1]!S_STM07_BS(D937,93,$G$5,$H$13))/$E$5))</f>
        <v/>
      </c>
      <c r="N937" s="250" t="str">
        <f ca="1">IF(C937="","",IF($N$11="EPS",[1]!S_STM07_IS(D937,61,$G$5,$H$13)/IF([1]!S_SHARE_TOTAL(D937,$G$5)=0,[1]!S_SHARE_TOTAL(D937,[1]!s_ipo_listeddate(D937)),[1]!S_SHARE_TOTAL(D937,$G$5)),([1]!S_STM07_BS(D937,75,$G$5,$H$13)+[1]!S_STM07_BS(D937,88,$G$5,$H$13)+[1]!S_STM07_BS(D937,94,$G$5,$H$13)+[1]!S_STM07_BS(D937,95,$G$5,$H$13))/$E$5))</f>
        <v/>
      </c>
      <c r="O937" s="250" t="str">
        <f ca="1">IF(C937="","",IF($O$11="BPS",[1]!S_STM07_BS(D937,141,$G$5,$H$13)/IF([1]!S_SHARE_TOTAL(D937,$G$5)=0,[1]!S_SHARE_TOTAL(D937,[1]!s_ipo_listeddate(D937)),[1]!S_SHARE_TOTAL(D937,$G$5)),[1]!S_STM07_CS(D937,49,$G$5,$H$13)/$E$5))</f>
        <v/>
      </c>
      <c r="P937" s="250" t="str">
        <f ca="1">IF(C937="","",IF($P$11="CFPS",[1]!S_STM07_CS(D937,84,$G$5,$H$13)/IF([1]!S_SHARE_TOTAL(D937,$G$5)=0,[1]!S_SHARE_TOTAL(D937,[1]!s_ipo_listeddate(D937)),[1]!S_SHARE_TOTAL(D937,$G$5)),[1]!S_STM07_CS(D937,84,$G$5,$H$13)/$E$5))</f>
        <v/>
      </c>
      <c r="Q937" s="198" t="str">
        <f ca="1">IF(C937="","",F937/([1]!S_STM07_IS(D937,61,$G$5,$H$13)/IF([1]!S_SHARE_TOTAL(D937,$G$5)=0,[1]!S_SHARE_TOTAL(D937,[1]!s_ipo_listeddate(D937)),[1]!S_SHARE_TOTAL(D937,$G$5))))</f>
        <v/>
      </c>
      <c r="R937" s="198" t="str">
        <f ca="1">IF(C937="","",F937/([1]!S_STM07_BS(D937,141,$G$5,$H$13)/IF([1]!S_SHARE_TOTAL(D937,$G$5)=0,[1]!S_SHARE_TOTAL(D937,[1]!s_ipo_listeddate(D937)),[1]!S_SHARE_TOTAL(D937,$G$5))))</f>
        <v/>
      </c>
      <c r="S937" s="249" t="str">
        <f ca="1">IF(C937="","",[1]!S_SHARE_TOTAL(D937,TODAY())/$E$5)</f>
        <v/>
      </c>
      <c r="T937" s="249" t="str">
        <f t="shared" ca="1" si="97"/>
        <v/>
      </c>
      <c r="U937" s="172" t="str">
        <f t="shared" ca="1" si="98"/>
        <v/>
      </c>
      <c r="V937" s="343" t="str">
        <f t="shared" ca="1" si="99"/>
        <v/>
      </c>
      <c r="W937" s="139"/>
      <c r="Y937" s="1"/>
    </row>
    <row r="938" spans="3:25" ht="12" customHeight="1">
      <c r="C938" s="342" t="str">
        <f t="shared" ca="1" si="94"/>
        <v/>
      </c>
      <c r="D938" s="153" t="str">
        <f t="shared" ca="1" si="95"/>
        <v/>
      </c>
      <c r="E938" s="153" t="str">
        <f t="shared" ca="1" si="96"/>
        <v/>
      </c>
      <c r="F938" s="170" t="str">
        <f ca="1">IF(C938="","",[1]!S_DQ_CLOSE(D938,TODAY(),1))</f>
        <v/>
      </c>
      <c r="G938" s="171" t="str">
        <f ca="1">IF(C938="","",[1]!s_pq_pctchange(D938,TODAY()-$G$12,TODAY())/100)</f>
        <v/>
      </c>
      <c r="H938" s="247" t="str">
        <f ca="1">IF(C938="","",IF($H$11="收入",[1]!S_STM07_IS(D938,9,$G$5,$H$13)/$E$5,[1]!S_STM07_IS(D938,48,$G$5,$H$13)/$E$5))</f>
        <v/>
      </c>
      <c r="I938" s="247" t="str">
        <f ca="1">IF(C938="","",IF($I$11="毛利率",([1]!S_STM07_IS(D938,9,$G$5,$H$13)-[1]!S_STM07_IS(D938,10,$G$5,$H$13))/[1]!S_STM07_IS(D938,9,$G$5,$H$13),[1]!S_STM07_IS(D938,14,$G$5,$H$13)/$E$5))</f>
        <v/>
      </c>
      <c r="J938" s="247" t="str">
        <f ca="1">IF(C938="","",IF($J$11="营业利润率",[1]!S_STM07_IS(D938,48,$G$5,$H$13)/[1]!S_STM07_IS(D938,9,$G$5,$H$13),([1]!S_STM07_CS(D938,87,$G$5,$H$13)+[1]!S_STM07_CS(D938,88,$G$5,$H$13)+[1]!S_STM07_CS(D938,89,$G$5,$H$13))/$E$5))</f>
        <v/>
      </c>
      <c r="K938" s="247" t="str">
        <f ca="1">IF(C938="","",IF($K$11="净利润率",[1]!S_STM07_IS(D938,61,$G$5,$H$13)/[1]!S_STM07_IS(D938,9,$G$5,$H$13),[1]!S_STM07_IS(D938,55,$G$5,$H$13)/$E$5))</f>
        <v/>
      </c>
      <c r="L938" s="247" t="str">
        <f ca="1">IF(C938="","",IF($L$11="ROA",[1]!S_STM07_IS(D938,61,$G$5,$H$13)/[1]!S_STM07_BS(D938,74,$G$5,$H$13),1-[1]!S_STM07_IS(D938,61,$G$5,$H$13)/[1]!S_STM07_IS(D938,55,$G$5,$H$13)))</f>
        <v/>
      </c>
      <c r="M938" s="247" t="str">
        <f ca="1">IF(C938="","",IF($M$11="ROE",[1]!S_STM07_IS(D938,61,$G$5,$H$13)/[1]!S_STM07_BS(D938,141,$G$5,$H$13),([1]!S_STM07_BS(D938,25,$G$5,$H$13)-[1]!S_STM07_BS(D938,93,$G$5,$H$13))/$E$5))</f>
        <v/>
      </c>
      <c r="N938" s="247" t="str">
        <f ca="1">IF(C938="","",IF($N$11="EPS",[1]!S_STM07_IS(D938,61,$G$5,$H$13)/IF([1]!S_SHARE_TOTAL(D938,$G$5)=0,[1]!S_SHARE_TOTAL(D938,[1]!s_ipo_listeddate(D938)),[1]!S_SHARE_TOTAL(D938,$G$5)),([1]!S_STM07_BS(D938,75,$G$5,$H$13)+[1]!S_STM07_BS(D938,88,$G$5,$H$13)+[1]!S_STM07_BS(D938,94,$G$5,$H$13)+[1]!S_STM07_BS(D938,95,$G$5,$H$13))/$E$5))</f>
        <v/>
      </c>
      <c r="O938" s="247" t="str">
        <f ca="1">IF(C938="","",IF($O$11="BPS",[1]!S_STM07_BS(D938,141,$G$5,$H$13)/IF([1]!S_SHARE_TOTAL(D938,$G$5)=0,[1]!S_SHARE_TOTAL(D938,[1]!s_ipo_listeddate(D938)),[1]!S_SHARE_TOTAL(D938,$G$5)),[1]!S_STM07_CS(D938,49,$G$5,$H$13)/$E$5))</f>
        <v/>
      </c>
      <c r="P938" s="247" t="str">
        <f ca="1">IF(C938="","",IF($P$11="CFPS",[1]!S_STM07_CS(D938,84,$G$5,$H$13)/IF([1]!S_SHARE_TOTAL(D938,$G$5)=0,[1]!S_SHARE_TOTAL(D938,[1]!s_ipo_listeddate(D938)),[1]!S_SHARE_TOTAL(D938,$G$5)),[1]!S_STM07_CS(D938,84,$G$5,$H$13)/$E$5))</f>
        <v/>
      </c>
      <c r="Q938" s="248" t="str">
        <f ca="1">IF(C938="","",F938/([1]!S_STM07_IS(D938,61,$G$5,$H$13)/IF([1]!S_SHARE_TOTAL(D938,$G$5)=0,[1]!S_SHARE_TOTAL(D938,[1]!s_ipo_listeddate(D938)),[1]!S_SHARE_TOTAL(D938,$G$5))))</f>
        <v/>
      </c>
      <c r="R938" s="248" t="str">
        <f ca="1">IF(C938="","",F938/([1]!S_STM07_BS(D938,141,$G$5,$H$13)/IF([1]!S_SHARE_TOTAL(D938,$G$5)=0,[1]!S_SHARE_TOTAL(D938,[1]!s_ipo_listeddate(D938)),[1]!S_SHARE_TOTAL(D938,$G$5))))</f>
        <v/>
      </c>
      <c r="S938" s="247" t="str">
        <f ca="1">IF(C938="","",[1]!S_SHARE_TOTAL(D938,TODAY())/$E$5)</f>
        <v/>
      </c>
      <c r="T938" s="247" t="str">
        <f t="shared" ca="1" si="97"/>
        <v/>
      </c>
      <c r="U938" s="218" t="str">
        <f t="shared" ca="1" si="98"/>
        <v/>
      </c>
      <c r="V938" s="342" t="str">
        <f t="shared" ca="1" si="99"/>
        <v/>
      </c>
      <c r="W938" s="139"/>
      <c r="Y938" s="1"/>
    </row>
    <row r="939" spans="3:25" ht="12" customHeight="1">
      <c r="C939" s="343" t="str">
        <f t="shared" ca="1" si="94"/>
        <v/>
      </c>
      <c r="D939" s="124" t="str">
        <f t="shared" ca="1" si="95"/>
        <v/>
      </c>
      <c r="E939" s="124" t="str">
        <f t="shared" ca="1" si="96"/>
        <v/>
      </c>
      <c r="F939" s="172" t="str">
        <f ca="1">IF(C939="","",[1]!S_DQ_CLOSE(D939,TODAY(),1))</f>
        <v/>
      </c>
      <c r="G939" s="173" t="str">
        <f ca="1">IF(C939="","",[1]!s_pq_pctchange(D939,TODAY()-$G$12,TODAY())/100)</f>
        <v/>
      </c>
      <c r="H939" s="249" t="str">
        <f ca="1">IF(C939="","",IF($H$11="收入",[1]!S_STM07_IS(D939,9,$G$5,$H$13)/$E$5,[1]!S_STM07_IS(D939,48,$G$5,$H$13)/$E$5))</f>
        <v/>
      </c>
      <c r="I939" s="249" t="str">
        <f ca="1">IF(C939="","",IF($I$11="毛利率",([1]!S_STM07_IS(D939,9,$G$5,$H$13)-[1]!S_STM07_IS(D939,10,$G$5,$H$13))/[1]!S_STM07_IS(D939,9,$G$5,$H$13),[1]!S_STM07_IS(D939,14,$G$5,$H$13)/$E$5))</f>
        <v/>
      </c>
      <c r="J939" s="249" t="str">
        <f ca="1">IF(C939="","",IF($J$11="营业利润率",[1]!S_STM07_IS(D939,48,$G$5,$H$13)/[1]!S_STM07_IS(D939,9,$G$5,$H$13),([1]!S_STM07_CS(D939,87,$G$5,$H$13)+[1]!S_STM07_CS(D939,88,$G$5,$H$13)+[1]!S_STM07_CS(D939,89,$G$5,$H$13))/$E$5))</f>
        <v/>
      </c>
      <c r="K939" s="249" t="str">
        <f ca="1">IF(C939="","",IF($K$11="净利润率",[1]!S_STM07_IS(D939,61,$G$5,$H$13)/[1]!S_STM07_IS(D939,9,$G$5,$H$13),[1]!S_STM07_IS(D939,55,$G$5,$H$13)/$E$5))</f>
        <v/>
      </c>
      <c r="L939" s="249" t="str">
        <f ca="1">IF(C939="","",IF($L$11="ROA",[1]!S_STM07_IS(D939,61,$G$5,$H$13)/[1]!S_STM07_BS(D939,74,$G$5,$H$13),1-[1]!S_STM07_IS(D939,61,$G$5,$H$13)/[1]!S_STM07_IS(D939,55,$G$5,$H$13)))</f>
        <v/>
      </c>
      <c r="M939" s="249" t="str">
        <f ca="1">IF(C939="","",IF($M$11="ROE",[1]!S_STM07_IS(D939,61,$G$5,$H$13)/[1]!S_STM07_BS(D939,141,$G$5,$H$13),([1]!S_STM07_BS(D939,25,$G$5,$H$13)-[1]!S_STM07_BS(D939,93,$G$5,$H$13))/$E$5))</f>
        <v/>
      </c>
      <c r="N939" s="250" t="str">
        <f ca="1">IF(C939="","",IF($N$11="EPS",[1]!S_STM07_IS(D939,61,$G$5,$H$13)/IF([1]!S_SHARE_TOTAL(D939,$G$5)=0,[1]!S_SHARE_TOTAL(D939,[1]!s_ipo_listeddate(D939)),[1]!S_SHARE_TOTAL(D939,$G$5)),([1]!S_STM07_BS(D939,75,$G$5,$H$13)+[1]!S_STM07_BS(D939,88,$G$5,$H$13)+[1]!S_STM07_BS(D939,94,$G$5,$H$13)+[1]!S_STM07_BS(D939,95,$G$5,$H$13))/$E$5))</f>
        <v/>
      </c>
      <c r="O939" s="250" t="str">
        <f ca="1">IF(C939="","",IF($O$11="BPS",[1]!S_STM07_BS(D939,141,$G$5,$H$13)/IF([1]!S_SHARE_TOTAL(D939,$G$5)=0,[1]!S_SHARE_TOTAL(D939,[1]!s_ipo_listeddate(D939)),[1]!S_SHARE_TOTAL(D939,$G$5)),[1]!S_STM07_CS(D939,49,$G$5,$H$13)/$E$5))</f>
        <v/>
      </c>
      <c r="P939" s="250" t="str">
        <f ca="1">IF(C939="","",IF($P$11="CFPS",[1]!S_STM07_CS(D939,84,$G$5,$H$13)/IF([1]!S_SHARE_TOTAL(D939,$G$5)=0,[1]!S_SHARE_TOTAL(D939,[1]!s_ipo_listeddate(D939)),[1]!S_SHARE_TOTAL(D939,$G$5)),[1]!S_STM07_CS(D939,84,$G$5,$H$13)/$E$5))</f>
        <v/>
      </c>
      <c r="Q939" s="198" t="str">
        <f ca="1">IF(C939="","",F939/([1]!S_STM07_IS(D939,61,$G$5,$H$13)/IF([1]!S_SHARE_TOTAL(D939,$G$5)=0,[1]!S_SHARE_TOTAL(D939,[1]!s_ipo_listeddate(D939)),[1]!S_SHARE_TOTAL(D939,$G$5))))</f>
        <v/>
      </c>
      <c r="R939" s="198" t="str">
        <f ca="1">IF(C939="","",F939/([1]!S_STM07_BS(D939,141,$G$5,$H$13)/IF([1]!S_SHARE_TOTAL(D939,$G$5)=0,[1]!S_SHARE_TOTAL(D939,[1]!s_ipo_listeddate(D939)),[1]!S_SHARE_TOTAL(D939,$G$5))))</f>
        <v/>
      </c>
      <c r="S939" s="249" t="str">
        <f ca="1">IF(C939="","",[1]!S_SHARE_TOTAL(D939,TODAY())/$E$5)</f>
        <v/>
      </c>
      <c r="T939" s="249" t="str">
        <f t="shared" ca="1" si="97"/>
        <v/>
      </c>
      <c r="U939" s="172" t="str">
        <f t="shared" ca="1" si="98"/>
        <v/>
      </c>
      <c r="V939" s="343" t="str">
        <f t="shared" ca="1" si="99"/>
        <v/>
      </c>
      <c r="W939" s="139"/>
      <c r="Y939" s="1"/>
    </row>
    <row r="940" spans="3:25" ht="12" customHeight="1">
      <c r="C940" s="342" t="str">
        <f t="shared" ca="1" si="94"/>
        <v/>
      </c>
      <c r="D940" s="153" t="str">
        <f t="shared" ca="1" si="95"/>
        <v/>
      </c>
      <c r="E940" s="153" t="str">
        <f t="shared" ca="1" si="96"/>
        <v/>
      </c>
      <c r="F940" s="170" t="str">
        <f ca="1">IF(C940="","",[1]!S_DQ_CLOSE(D940,TODAY(),1))</f>
        <v/>
      </c>
      <c r="G940" s="171" t="str">
        <f ca="1">IF(C940="","",[1]!s_pq_pctchange(D940,TODAY()-$G$12,TODAY())/100)</f>
        <v/>
      </c>
      <c r="H940" s="247" t="str">
        <f ca="1">IF(C940="","",IF($H$11="收入",[1]!S_STM07_IS(D940,9,$G$5,$H$13)/$E$5,[1]!S_STM07_IS(D940,48,$G$5,$H$13)/$E$5))</f>
        <v/>
      </c>
      <c r="I940" s="247" t="str">
        <f ca="1">IF(C940="","",IF($I$11="毛利率",([1]!S_STM07_IS(D940,9,$G$5,$H$13)-[1]!S_STM07_IS(D940,10,$G$5,$H$13))/[1]!S_STM07_IS(D940,9,$G$5,$H$13),[1]!S_STM07_IS(D940,14,$G$5,$H$13)/$E$5))</f>
        <v/>
      </c>
      <c r="J940" s="247" t="str">
        <f ca="1">IF(C940="","",IF($J$11="营业利润率",[1]!S_STM07_IS(D940,48,$G$5,$H$13)/[1]!S_STM07_IS(D940,9,$G$5,$H$13),([1]!S_STM07_CS(D940,87,$G$5,$H$13)+[1]!S_STM07_CS(D940,88,$G$5,$H$13)+[1]!S_STM07_CS(D940,89,$G$5,$H$13))/$E$5))</f>
        <v/>
      </c>
      <c r="K940" s="247" t="str">
        <f ca="1">IF(C940="","",IF($K$11="净利润率",[1]!S_STM07_IS(D940,61,$G$5,$H$13)/[1]!S_STM07_IS(D940,9,$G$5,$H$13),[1]!S_STM07_IS(D940,55,$G$5,$H$13)/$E$5))</f>
        <v/>
      </c>
      <c r="L940" s="247" t="str">
        <f ca="1">IF(C940="","",IF($L$11="ROA",[1]!S_STM07_IS(D940,61,$G$5,$H$13)/[1]!S_STM07_BS(D940,74,$G$5,$H$13),1-[1]!S_STM07_IS(D940,61,$G$5,$H$13)/[1]!S_STM07_IS(D940,55,$G$5,$H$13)))</f>
        <v/>
      </c>
      <c r="M940" s="247" t="str">
        <f ca="1">IF(C940="","",IF($M$11="ROE",[1]!S_STM07_IS(D940,61,$G$5,$H$13)/[1]!S_STM07_BS(D940,141,$G$5,$H$13),([1]!S_STM07_BS(D940,25,$G$5,$H$13)-[1]!S_STM07_BS(D940,93,$G$5,$H$13))/$E$5))</f>
        <v/>
      </c>
      <c r="N940" s="247" t="str">
        <f ca="1">IF(C940="","",IF($N$11="EPS",[1]!S_STM07_IS(D940,61,$G$5,$H$13)/IF([1]!S_SHARE_TOTAL(D940,$G$5)=0,[1]!S_SHARE_TOTAL(D940,[1]!s_ipo_listeddate(D940)),[1]!S_SHARE_TOTAL(D940,$G$5)),([1]!S_STM07_BS(D940,75,$G$5,$H$13)+[1]!S_STM07_BS(D940,88,$G$5,$H$13)+[1]!S_STM07_BS(D940,94,$G$5,$H$13)+[1]!S_STM07_BS(D940,95,$G$5,$H$13))/$E$5))</f>
        <v/>
      </c>
      <c r="O940" s="247" t="str">
        <f ca="1">IF(C940="","",IF($O$11="BPS",[1]!S_STM07_BS(D940,141,$G$5,$H$13)/IF([1]!S_SHARE_TOTAL(D940,$G$5)=0,[1]!S_SHARE_TOTAL(D940,[1]!s_ipo_listeddate(D940)),[1]!S_SHARE_TOTAL(D940,$G$5)),[1]!S_STM07_CS(D940,49,$G$5,$H$13)/$E$5))</f>
        <v/>
      </c>
      <c r="P940" s="247" t="str">
        <f ca="1">IF(C940="","",IF($P$11="CFPS",[1]!S_STM07_CS(D940,84,$G$5,$H$13)/IF([1]!S_SHARE_TOTAL(D940,$G$5)=0,[1]!S_SHARE_TOTAL(D940,[1]!s_ipo_listeddate(D940)),[1]!S_SHARE_TOTAL(D940,$G$5)),[1]!S_STM07_CS(D940,84,$G$5,$H$13)/$E$5))</f>
        <v/>
      </c>
      <c r="Q940" s="248" t="str">
        <f ca="1">IF(C940="","",F940/([1]!S_STM07_IS(D940,61,$G$5,$H$13)/IF([1]!S_SHARE_TOTAL(D940,$G$5)=0,[1]!S_SHARE_TOTAL(D940,[1]!s_ipo_listeddate(D940)),[1]!S_SHARE_TOTAL(D940,$G$5))))</f>
        <v/>
      </c>
      <c r="R940" s="248" t="str">
        <f ca="1">IF(C940="","",F940/([1]!S_STM07_BS(D940,141,$G$5,$H$13)/IF([1]!S_SHARE_TOTAL(D940,$G$5)=0,[1]!S_SHARE_TOTAL(D940,[1]!s_ipo_listeddate(D940)),[1]!S_SHARE_TOTAL(D940,$G$5))))</f>
        <v/>
      </c>
      <c r="S940" s="247" t="str">
        <f ca="1">IF(C940="","",[1]!S_SHARE_TOTAL(D940,TODAY())/$E$5)</f>
        <v/>
      </c>
      <c r="T940" s="247" t="str">
        <f t="shared" ca="1" si="97"/>
        <v/>
      </c>
      <c r="U940" s="218" t="str">
        <f t="shared" ca="1" si="98"/>
        <v/>
      </c>
      <c r="V940" s="342" t="str">
        <f t="shared" ca="1" si="99"/>
        <v/>
      </c>
      <c r="W940" s="139"/>
      <c r="Y940" s="1"/>
    </row>
    <row r="941" spans="3:25" ht="12" customHeight="1">
      <c r="C941" s="343" t="str">
        <f t="shared" ca="1" si="94"/>
        <v/>
      </c>
      <c r="D941" s="124" t="str">
        <f t="shared" ca="1" si="95"/>
        <v/>
      </c>
      <c r="E941" s="124" t="str">
        <f t="shared" ca="1" si="96"/>
        <v/>
      </c>
      <c r="F941" s="172" t="str">
        <f ca="1">IF(C941="","",[1]!S_DQ_CLOSE(D941,TODAY(),1))</f>
        <v/>
      </c>
      <c r="G941" s="173" t="str">
        <f ca="1">IF(C941="","",[1]!s_pq_pctchange(D941,TODAY()-$G$12,TODAY())/100)</f>
        <v/>
      </c>
      <c r="H941" s="249" t="str">
        <f ca="1">IF(C941="","",IF($H$11="收入",[1]!S_STM07_IS(D941,9,$G$5,$H$13)/$E$5,[1]!S_STM07_IS(D941,48,$G$5,$H$13)/$E$5))</f>
        <v/>
      </c>
      <c r="I941" s="249" t="str">
        <f ca="1">IF(C941="","",IF($I$11="毛利率",([1]!S_STM07_IS(D941,9,$G$5,$H$13)-[1]!S_STM07_IS(D941,10,$G$5,$H$13))/[1]!S_STM07_IS(D941,9,$G$5,$H$13),[1]!S_STM07_IS(D941,14,$G$5,$H$13)/$E$5))</f>
        <v/>
      </c>
      <c r="J941" s="249" t="str">
        <f ca="1">IF(C941="","",IF($J$11="营业利润率",[1]!S_STM07_IS(D941,48,$G$5,$H$13)/[1]!S_STM07_IS(D941,9,$G$5,$H$13),([1]!S_STM07_CS(D941,87,$G$5,$H$13)+[1]!S_STM07_CS(D941,88,$G$5,$H$13)+[1]!S_STM07_CS(D941,89,$G$5,$H$13))/$E$5))</f>
        <v/>
      </c>
      <c r="K941" s="249" t="str">
        <f ca="1">IF(C941="","",IF($K$11="净利润率",[1]!S_STM07_IS(D941,61,$G$5,$H$13)/[1]!S_STM07_IS(D941,9,$G$5,$H$13),[1]!S_STM07_IS(D941,55,$G$5,$H$13)/$E$5))</f>
        <v/>
      </c>
      <c r="L941" s="249" t="str">
        <f ca="1">IF(C941="","",IF($L$11="ROA",[1]!S_STM07_IS(D941,61,$G$5,$H$13)/[1]!S_STM07_BS(D941,74,$G$5,$H$13),1-[1]!S_STM07_IS(D941,61,$G$5,$H$13)/[1]!S_STM07_IS(D941,55,$G$5,$H$13)))</f>
        <v/>
      </c>
      <c r="M941" s="249" t="str">
        <f ca="1">IF(C941="","",IF($M$11="ROE",[1]!S_STM07_IS(D941,61,$G$5,$H$13)/[1]!S_STM07_BS(D941,141,$G$5,$H$13),([1]!S_STM07_BS(D941,25,$G$5,$H$13)-[1]!S_STM07_BS(D941,93,$G$5,$H$13))/$E$5))</f>
        <v/>
      </c>
      <c r="N941" s="250" t="str">
        <f ca="1">IF(C941="","",IF($N$11="EPS",[1]!S_STM07_IS(D941,61,$G$5,$H$13)/IF([1]!S_SHARE_TOTAL(D941,$G$5)=0,[1]!S_SHARE_TOTAL(D941,[1]!s_ipo_listeddate(D941)),[1]!S_SHARE_TOTAL(D941,$G$5)),([1]!S_STM07_BS(D941,75,$G$5,$H$13)+[1]!S_STM07_BS(D941,88,$G$5,$H$13)+[1]!S_STM07_BS(D941,94,$G$5,$H$13)+[1]!S_STM07_BS(D941,95,$G$5,$H$13))/$E$5))</f>
        <v/>
      </c>
      <c r="O941" s="250" t="str">
        <f ca="1">IF(C941="","",IF($O$11="BPS",[1]!S_STM07_BS(D941,141,$G$5,$H$13)/IF([1]!S_SHARE_TOTAL(D941,$G$5)=0,[1]!S_SHARE_TOTAL(D941,[1]!s_ipo_listeddate(D941)),[1]!S_SHARE_TOTAL(D941,$G$5)),[1]!S_STM07_CS(D941,49,$G$5,$H$13)/$E$5))</f>
        <v/>
      </c>
      <c r="P941" s="250" t="str">
        <f ca="1">IF(C941="","",IF($P$11="CFPS",[1]!S_STM07_CS(D941,84,$G$5,$H$13)/IF([1]!S_SHARE_TOTAL(D941,$G$5)=0,[1]!S_SHARE_TOTAL(D941,[1]!s_ipo_listeddate(D941)),[1]!S_SHARE_TOTAL(D941,$G$5)),[1]!S_STM07_CS(D941,84,$G$5,$H$13)/$E$5))</f>
        <v/>
      </c>
      <c r="Q941" s="198" t="str">
        <f ca="1">IF(C941="","",F941/([1]!S_STM07_IS(D941,61,$G$5,$H$13)/IF([1]!S_SHARE_TOTAL(D941,$G$5)=0,[1]!S_SHARE_TOTAL(D941,[1]!s_ipo_listeddate(D941)),[1]!S_SHARE_TOTAL(D941,$G$5))))</f>
        <v/>
      </c>
      <c r="R941" s="198" t="str">
        <f ca="1">IF(C941="","",F941/([1]!S_STM07_BS(D941,141,$G$5,$H$13)/IF([1]!S_SHARE_TOTAL(D941,$G$5)=0,[1]!S_SHARE_TOTAL(D941,[1]!s_ipo_listeddate(D941)),[1]!S_SHARE_TOTAL(D941,$G$5))))</f>
        <v/>
      </c>
      <c r="S941" s="249" t="str">
        <f ca="1">IF(C941="","",[1]!S_SHARE_TOTAL(D941,TODAY())/$E$5)</f>
        <v/>
      </c>
      <c r="T941" s="249" t="str">
        <f t="shared" ca="1" si="97"/>
        <v/>
      </c>
      <c r="U941" s="172" t="str">
        <f t="shared" ca="1" si="98"/>
        <v/>
      </c>
      <c r="V941" s="343" t="str">
        <f t="shared" ca="1" si="99"/>
        <v/>
      </c>
      <c r="W941" s="139"/>
      <c r="Y941" s="1"/>
    </row>
    <row r="942" spans="3:25" ht="12" customHeight="1">
      <c r="C942" s="342" t="str">
        <f t="shared" ca="1" si="94"/>
        <v/>
      </c>
      <c r="D942" s="153" t="str">
        <f t="shared" ca="1" si="95"/>
        <v/>
      </c>
      <c r="E942" s="153" t="str">
        <f t="shared" ca="1" si="96"/>
        <v/>
      </c>
      <c r="F942" s="170" t="str">
        <f ca="1">IF(C942="","",[1]!S_DQ_CLOSE(D942,TODAY(),1))</f>
        <v/>
      </c>
      <c r="G942" s="171" t="str">
        <f ca="1">IF(C942="","",[1]!s_pq_pctchange(D942,TODAY()-$G$12,TODAY())/100)</f>
        <v/>
      </c>
      <c r="H942" s="247" t="str">
        <f ca="1">IF(C942="","",IF($H$11="收入",[1]!S_STM07_IS(D942,9,$G$5,$H$13)/$E$5,[1]!S_STM07_IS(D942,48,$G$5,$H$13)/$E$5))</f>
        <v/>
      </c>
      <c r="I942" s="247" t="str">
        <f ca="1">IF(C942="","",IF($I$11="毛利率",([1]!S_STM07_IS(D942,9,$G$5,$H$13)-[1]!S_STM07_IS(D942,10,$G$5,$H$13))/[1]!S_STM07_IS(D942,9,$G$5,$H$13),[1]!S_STM07_IS(D942,14,$G$5,$H$13)/$E$5))</f>
        <v/>
      </c>
      <c r="J942" s="247" t="str">
        <f ca="1">IF(C942="","",IF($J$11="营业利润率",[1]!S_STM07_IS(D942,48,$G$5,$H$13)/[1]!S_STM07_IS(D942,9,$G$5,$H$13),([1]!S_STM07_CS(D942,87,$G$5,$H$13)+[1]!S_STM07_CS(D942,88,$G$5,$H$13)+[1]!S_STM07_CS(D942,89,$G$5,$H$13))/$E$5))</f>
        <v/>
      </c>
      <c r="K942" s="247" t="str">
        <f ca="1">IF(C942="","",IF($K$11="净利润率",[1]!S_STM07_IS(D942,61,$G$5,$H$13)/[1]!S_STM07_IS(D942,9,$G$5,$H$13),[1]!S_STM07_IS(D942,55,$G$5,$H$13)/$E$5))</f>
        <v/>
      </c>
      <c r="L942" s="247" t="str">
        <f ca="1">IF(C942="","",IF($L$11="ROA",[1]!S_STM07_IS(D942,61,$G$5,$H$13)/[1]!S_STM07_BS(D942,74,$G$5,$H$13),1-[1]!S_STM07_IS(D942,61,$G$5,$H$13)/[1]!S_STM07_IS(D942,55,$G$5,$H$13)))</f>
        <v/>
      </c>
      <c r="M942" s="247" t="str">
        <f ca="1">IF(C942="","",IF($M$11="ROE",[1]!S_STM07_IS(D942,61,$G$5,$H$13)/[1]!S_STM07_BS(D942,141,$G$5,$H$13),([1]!S_STM07_BS(D942,25,$G$5,$H$13)-[1]!S_STM07_BS(D942,93,$G$5,$H$13))/$E$5))</f>
        <v/>
      </c>
      <c r="N942" s="247" t="str">
        <f ca="1">IF(C942="","",IF($N$11="EPS",[1]!S_STM07_IS(D942,61,$G$5,$H$13)/IF([1]!S_SHARE_TOTAL(D942,$G$5)=0,[1]!S_SHARE_TOTAL(D942,[1]!s_ipo_listeddate(D942)),[1]!S_SHARE_TOTAL(D942,$G$5)),([1]!S_STM07_BS(D942,75,$G$5,$H$13)+[1]!S_STM07_BS(D942,88,$G$5,$H$13)+[1]!S_STM07_BS(D942,94,$G$5,$H$13)+[1]!S_STM07_BS(D942,95,$G$5,$H$13))/$E$5))</f>
        <v/>
      </c>
      <c r="O942" s="247" t="str">
        <f ca="1">IF(C942="","",IF($O$11="BPS",[1]!S_STM07_BS(D942,141,$G$5,$H$13)/IF([1]!S_SHARE_TOTAL(D942,$G$5)=0,[1]!S_SHARE_TOTAL(D942,[1]!s_ipo_listeddate(D942)),[1]!S_SHARE_TOTAL(D942,$G$5)),[1]!S_STM07_CS(D942,49,$G$5,$H$13)/$E$5))</f>
        <v/>
      </c>
      <c r="P942" s="247" t="str">
        <f ca="1">IF(C942="","",IF($P$11="CFPS",[1]!S_STM07_CS(D942,84,$G$5,$H$13)/IF([1]!S_SHARE_TOTAL(D942,$G$5)=0,[1]!S_SHARE_TOTAL(D942,[1]!s_ipo_listeddate(D942)),[1]!S_SHARE_TOTAL(D942,$G$5)),[1]!S_STM07_CS(D942,84,$G$5,$H$13)/$E$5))</f>
        <v/>
      </c>
      <c r="Q942" s="248" t="str">
        <f ca="1">IF(C942="","",F942/([1]!S_STM07_IS(D942,61,$G$5,$H$13)/IF([1]!S_SHARE_TOTAL(D942,$G$5)=0,[1]!S_SHARE_TOTAL(D942,[1]!s_ipo_listeddate(D942)),[1]!S_SHARE_TOTAL(D942,$G$5))))</f>
        <v/>
      </c>
      <c r="R942" s="248" t="str">
        <f ca="1">IF(C942="","",F942/([1]!S_STM07_BS(D942,141,$G$5,$H$13)/IF([1]!S_SHARE_TOTAL(D942,$G$5)=0,[1]!S_SHARE_TOTAL(D942,[1]!s_ipo_listeddate(D942)),[1]!S_SHARE_TOTAL(D942,$G$5))))</f>
        <v/>
      </c>
      <c r="S942" s="247" t="str">
        <f ca="1">IF(C942="","",[1]!S_SHARE_TOTAL(D942,TODAY())/$E$5)</f>
        <v/>
      </c>
      <c r="T942" s="247" t="str">
        <f t="shared" ca="1" si="97"/>
        <v/>
      </c>
      <c r="U942" s="218" t="str">
        <f t="shared" ca="1" si="98"/>
        <v/>
      </c>
      <c r="V942" s="342" t="str">
        <f t="shared" ca="1" si="99"/>
        <v/>
      </c>
      <c r="W942" s="139"/>
      <c r="Y942" s="1"/>
    </row>
    <row r="943" spans="3:25" ht="12" customHeight="1">
      <c r="C943" s="343" t="str">
        <f t="shared" ca="1" si="94"/>
        <v/>
      </c>
      <c r="D943" s="124" t="str">
        <f t="shared" ca="1" si="95"/>
        <v/>
      </c>
      <c r="E943" s="124" t="str">
        <f t="shared" ca="1" si="96"/>
        <v/>
      </c>
      <c r="F943" s="172" t="str">
        <f ca="1">IF(C943="","",[1]!S_DQ_CLOSE(D943,TODAY(),1))</f>
        <v/>
      </c>
      <c r="G943" s="173" t="str">
        <f ca="1">IF(C943="","",[1]!s_pq_pctchange(D943,TODAY()-$G$12,TODAY())/100)</f>
        <v/>
      </c>
      <c r="H943" s="249" t="str">
        <f ca="1">IF(C943="","",IF($H$11="收入",[1]!S_STM07_IS(D943,9,$G$5,$H$13)/$E$5,[1]!S_STM07_IS(D943,48,$G$5,$H$13)/$E$5))</f>
        <v/>
      </c>
      <c r="I943" s="249" t="str">
        <f ca="1">IF(C943="","",IF($I$11="毛利率",([1]!S_STM07_IS(D943,9,$G$5,$H$13)-[1]!S_STM07_IS(D943,10,$G$5,$H$13))/[1]!S_STM07_IS(D943,9,$G$5,$H$13),[1]!S_STM07_IS(D943,14,$G$5,$H$13)/$E$5))</f>
        <v/>
      </c>
      <c r="J943" s="249" t="str">
        <f ca="1">IF(C943="","",IF($J$11="营业利润率",[1]!S_STM07_IS(D943,48,$G$5,$H$13)/[1]!S_STM07_IS(D943,9,$G$5,$H$13),([1]!S_STM07_CS(D943,87,$G$5,$H$13)+[1]!S_STM07_CS(D943,88,$G$5,$H$13)+[1]!S_STM07_CS(D943,89,$G$5,$H$13))/$E$5))</f>
        <v/>
      </c>
      <c r="K943" s="249" t="str">
        <f ca="1">IF(C943="","",IF($K$11="净利润率",[1]!S_STM07_IS(D943,61,$G$5,$H$13)/[1]!S_STM07_IS(D943,9,$G$5,$H$13),[1]!S_STM07_IS(D943,55,$G$5,$H$13)/$E$5))</f>
        <v/>
      </c>
      <c r="L943" s="249" t="str">
        <f ca="1">IF(C943="","",IF($L$11="ROA",[1]!S_STM07_IS(D943,61,$G$5,$H$13)/[1]!S_STM07_BS(D943,74,$G$5,$H$13),1-[1]!S_STM07_IS(D943,61,$G$5,$H$13)/[1]!S_STM07_IS(D943,55,$G$5,$H$13)))</f>
        <v/>
      </c>
      <c r="M943" s="249" t="str">
        <f ca="1">IF(C943="","",IF($M$11="ROE",[1]!S_STM07_IS(D943,61,$G$5,$H$13)/[1]!S_STM07_BS(D943,141,$G$5,$H$13),([1]!S_STM07_BS(D943,25,$G$5,$H$13)-[1]!S_STM07_BS(D943,93,$G$5,$H$13))/$E$5))</f>
        <v/>
      </c>
      <c r="N943" s="250" t="str">
        <f ca="1">IF(C943="","",IF($N$11="EPS",[1]!S_STM07_IS(D943,61,$G$5,$H$13)/IF([1]!S_SHARE_TOTAL(D943,$G$5)=0,[1]!S_SHARE_TOTAL(D943,[1]!s_ipo_listeddate(D943)),[1]!S_SHARE_TOTAL(D943,$G$5)),([1]!S_STM07_BS(D943,75,$G$5,$H$13)+[1]!S_STM07_BS(D943,88,$G$5,$H$13)+[1]!S_STM07_BS(D943,94,$G$5,$H$13)+[1]!S_STM07_BS(D943,95,$G$5,$H$13))/$E$5))</f>
        <v/>
      </c>
      <c r="O943" s="250" t="str">
        <f ca="1">IF(C943="","",IF($O$11="BPS",[1]!S_STM07_BS(D943,141,$G$5,$H$13)/IF([1]!S_SHARE_TOTAL(D943,$G$5)=0,[1]!S_SHARE_TOTAL(D943,[1]!s_ipo_listeddate(D943)),[1]!S_SHARE_TOTAL(D943,$G$5)),[1]!S_STM07_CS(D943,49,$G$5,$H$13)/$E$5))</f>
        <v/>
      </c>
      <c r="P943" s="250" t="str">
        <f ca="1">IF(C943="","",IF($P$11="CFPS",[1]!S_STM07_CS(D943,84,$G$5,$H$13)/IF([1]!S_SHARE_TOTAL(D943,$G$5)=0,[1]!S_SHARE_TOTAL(D943,[1]!s_ipo_listeddate(D943)),[1]!S_SHARE_TOTAL(D943,$G$5)),[1]!S_STM07_CS(D943,84,$G$5,$H$13)/$E$5))</f>
        <v/>
      </c>
      <c r="Q943" s="198" t="str">
        <f ca="1">IF(C943="","",F943/([1]!S_STM07_IS(D943,61,$G$5,$H$13)/IF([1]!S_SHARE_TOTAL(D943,$G$5)=0,[1]!S_SHARE_TOTAL(D943,[1]!s_ipo_listeddate(D943)),[1]!S_SHARE_TOTAL(D943,$G$5))))</f>
        <v/>
      </c>
      <c r="R943" s="198" t="str">
        <f ca="1">IF(C943="","",F943/([1]!S_STM07_BS(D943,141,$G$5,$H$13)/IF([1]!S_SHARE_TOTAL(D943,$G$5)=0,[1]!S_SHARE_TOTAL(D943,[1]!s_ipo_listeddate(D943)),[1]!S_SHARE_TOTAL(D943,$G$5))))</f>
        <v/>
      </c>
      <c r="S943" s="249" t="str">
        <f ca="1">IF(C943="","",[1]!S_SHARE_TOTAL(D943,TODAY())/$E$5)</f>
        <v/>
      </c>
      <c r="T943" s="249" t="str">
        <f t="shared" ca="1" si="97"/>
        <v/>
      </c>
      <c r="U943" s="172" t="str">
        <f t="shared" ca="1" si="98"/>
        <v/>
      </c>
      <c r="V943" s="343" t="str">
        <f t="shared" ca="1" si="99"/>
        <v/>
      </c>
      <c r="W943" s="139"/>
      <c r="Y943" s="1"/>
    </row>
    <row r="944" spans="3:25" ht="12" customHeight="1">
      <c r="C944" s="342" t="str">
        <f t="shared" ca="1" si="94"/>
        <v/>
      </c>
      <c r="D944" s="153" t="str">
        <f t="shared" ca="1" si="95"/>
        <v/>
      </c>
      <c r="E944" s="153" t="str">
        <f t="shared" ca="1" si="96"/>
        <v/>
      </c>
      <c r="F944" s="170" t="str">
        <f ca="1">IF(C944="","",[1]!S_DQ_CLOSE(D944,TODAY(),1))</f>
        <v/>
      </c>
      <c r="G944" s="171" t="str">
        <f ca="1">IF(C944="","",[1]!s_pq_pctchange(D944,TODAY()-$G$12,TODAY())/100)</f>
        <v/>
      </c>
      <c r="H944" s="247" t="str">
        <f ca="1">IF(C944="","",IF($H$11="收入",[1]!S_STM07_IS(D944,9,$G$5,$H$13)/$E$5,[1]!S_STM07_IS(D944,48,$G$5,$H$13)/$E$5))</f>
        <v/>
      </c>
      <c r="I944" s="247" t="str">
        <f ca="1">IF(C944="","",IF($I$11="毛利率",([1]!S_STM07_IS(D944,9,$G$5,$H$13)-[1]!S_STM07_IS(D944,10,$G$5,$H$13))/[1]!S_STM07_IS(D944,9,$G$5,$H$13),[1]!S_STM07_IS(D944,14,$G$5,$H$13)/$E$5))</f>
        <v/>
      </c>
      <c r="J944" s="247" t="str">
        <f ca="1">IF(C944="","",IF($J$11="营业利润率",[1]!S_STM07_IS(D944,48,$G$5,$H$13)/[1]!S_STM07_IS(D944,9,$G$5,$H$13),([1]!S_STM07_CS(D944,87,$G$5,$H$13)+[1]!S_STM07_CS(D944,88,$G$5,$H$13)+[1]!S_STM07_CS(D944,89,$G$5,$H$13))/$E$5))</f>
        <v/>
      </c>
      <c r="K944" s="247" t="str">
        <f ca="1">IF(C944="","",IF($K$11="净利润率",[1]!S_STM07_IS(D944,61,$G$5,$H$13)/[1]!S_STM07_IS(D944,9,$G$5,$H$13),[1]!S_STM07_IS(D944,55,$G$5,$H$13)/$E$5))</f>
        <v/>
      </c>
      <c r="L944" s="247" t="str">
        <f ca="1">IF(C944="","",IF($L$11="ROA",[1]!S_STM07_IS(D944,61,$G$5,$H$13)/[1]!S_STM07_BS(D944,74,$G$5,$H$13),1-[1]!S_STM07_IS(D944,61,$G$5,$H$13)/[1]!S_STM07_IS(D944,55,$G$5,$H$13)))</f>
        <v/>
      </c>
      <c r="M944" s="247" t="str">
        <f ca="1">IF(C944="","",IF($M$11="ROE",[1]!S_STM07_IS(D944,61,$G$5,$H$13)/[1]!S_STM07_BS(D944,141,$G$5,$H$13),([1]!S_STM07_BS(D944,25,$G$5,$H$13)-[1]!S_STM07_BS(D944,93,$G$5,$H$13))/$E$5))</f>
        <v/>
      </c>
      <c r="N944" s="247" t="str">
        <f ca="1">IF(C944="","",IF($N$11="EPS",[1]!S_STM07_IS(D944,61,$G$5,$H$13)/IF([1]!S_SHARE_TOTAL(D944,$G$5)=0,[1]!S_SHARE_TOTAL(D944,[1]!s_ipo_listeddate(D944)),[1]!S_SHARE_TOTAL(D944,$G$5)),([1]!S_STM07_BS(D944,75,$G$5,$H$13)+[1]!S_STM07_BS(D944,88,$G$5,$H$13)+[1]!S_STM07_BS(D944,94,$G$5,$H$13)+[1]!S_STM07_BS(D944,95,$G$5,$H$13))/$E$5))</f>
        <v/>
      </c>
      <c r="O944" s="247" t="str">
        <f ca="1">IF(C944="","",IF($O$11="BPS",[1]!S_STM07_BS(D944,141,$G$5,$H$13)/IF([1]!S_SHARE_TOTAL(D944,$G$5)=0,[1]!S_SHARE_TOTAL(D944,[1]!s_ipo_listeddate(D944)),[1]!S_SHARE_TOTAL(D944,$G$5)),[1]!S_STM07_CS(D944,49,$G$5,$H$13)/$E$5))</f>
        <v/>
      </c>
      <c r="P944" s="247" t="str">
        <f ca="1">IF(C944="","",IF($P$11="CFPS",[1]!S_STM07_CS(D944,84,$G$5,$H$13)/IF([1]!S_SHARE_TOTAL(D944,$G$5)=0,[1]!S_SHARE_TOTAL(D944,[1]!s_ipo_listeddate(D944)),[1]!S_SHARE_TOTAL(D944,$G$5)),[1]!S_STM07_CS(D944,84,$G$5,$H$13)/$E$5))</f>
        <v/>
      </c>
      <c r="Q944" s="248" t="str">
        <f ca="1">IF(C944="","",F944/([1]!S_STM07_IS(D944,61,$G$5,$H$13)/IF([1]!S_SHARE_TOTAL(D944,$G$5)=0,[1]!S_SHARE_TOTAL(D944,[1]!s_ipo_listeddate(D944)),[1]!S_SHARE_TOTAL(D944,$G$5))))</f>
        <v/>
      </c>
      <c r="R944" s="248" t="str">
        <f ca="1">IF(C944="","",F944/([1]!S_STM07_BS(D944,141,$G$5,$H$13)/IF([1]!S_SHARE_TOTAL(D944,$G$5)=0,[1]!S_SHARE_TOTAL(D944,[1]!s_ipo_listeddate(D944)),[1]!S_SHARE_TOTAL(D944,$G$5))))</f>
        <v/>
      </c>
      <c r="S944" s="247" t="str">
        <f ca="1">IF(C944="","",[1]!S_SHARE_TOTAL(D944,TODAY())/$E$5)</f>
        <v/>
      </c>
      <c r="T944" s="247" t="str">
        <f t="shared" ca="1" si="97"/>
        <v/>
      </c>
      <c r="U944" s="218" t="str">
        <f t="shared" ca="1" si="98"/>
        <v/>
      </c>
      <c r="V944" s="342" t="str">
        <f t="shared" ca="1" si="99"/>
        <v/>
      </c>
      <c r="W944" s="139"/>
      <c r="Y944" s="1"/>
    </row>
    <row r="945" spans="3:25" ht="12" customHeight="1">
      <c r="C945" s="343" t="str">
        <f t="shared" ca="1" si="94"/>
        <v/>
      </c>
      <c r="D945" s="124" t="str">
        <f t="shared" ca="1" si="95"/>
        <v/>
      </c>
      <c r="E945" s="124" t="str">
        <f t="shared" ca="1" si="96"/>
        <v/>
      </c>
      <c r="F945" s="172" t="str">
        <f ca="1">IF(C945="","",[1]!S_DQ_CLOSE(D945,TODAY(),1))</f>
        <v/>
      </c>
      <c r="G945" s="173" t="str">
        <f ca="1">IF(C945="","",[1]!s_pq_pctchange(D945,TODAY()-$G$12,TODAY())/100)</f>
        <v/>
      </c>
      <c r="H945" s="249" t="str">
        <f ca="1">IF(C945="","",IF($H$11="收入",[1]!S_STM07_IS(D945,9,$G$5,$H$13)/$E$5,[1]!S_STM07_IS(D945,48,$G$5,$H$13)/$E$5))</f>
        <v/>
      </c>
      <c r="I945" s="249" t="str">
        <f ca="1">IF(C945="","",IF($I$11="毛利率",([1]!S_STM07_IS(D945,9,$G$5,$H$13)-[1]!S_STM07_IS(D945,10,$G$5,$H$13))/[1]!S_STM07_IS(D945,9,$G$5,$H$13),[1]!S_STM07_IS(D945,14,$G$5,$H$13)/$E$5))</f>
        <v/>
      </c>
      <c r="J945" s="249" t="str">
        <f ca="1">IF(C945="","",IF($J$11="营业利润率",[1]!S_STM07_IS(D945,48,$G$5,$H$13)/[1]!S_STM07_IS(D945,9,$G$5,$H$13),([1]!S_STM07_CS(D945,87,$G$5,$H$13)+[1]!S_STM07_CS(D945,88,$G$5,$H$13)+[1]!S_STM07_CS(D945,89,$G$5,$H$13))/$E$5))</f>
        <v/>
      </c>
      <c r="K945" s="249" t="str">
        <f ca="1">IF(C945="","",IF($K$11="净利润率",[1]!S_STM07_IS(D945,61,$G$5,$H$13)/[1]!S_STM07_IS(D945,9,$G$5,$H$13),[1]!S_STM07_IS(D945,55,$G$5,$H$13)/$E$5))</f>
        <v/>
      </c>
      <c r="L945" s="249" t="str">
        <f ca="1">IF(C945="","",IF($L$11="ROA",[1]!S_STM07_IS(D945,61,$G$5,$H$13)/[1]!S_STM07_BS(D945,74,$G$5,$H$13),1-[1]!S_STM07_IS(D945,61,$G$5,$H$13)/[1]!S_STM07_IS(D945,55,$G$5,$H$13)))</f>
        <v/>
      </c>
      <c r="M945" s="249" t="str">
        <f ca="1">IF(C945="","",IF($M$11="ROE",[1]!S_STM07_IS(D945,61,$G$5,$H$13)/[1]!S_STM07_BS(D945,141,$G$5,$H$13),([1]!S_STM07_BS(D945,25,$G$5,$H$13)-[1]!S_STM07_BS(D945,93,$G$5,$H$13))/$E$5))</f>
        <v/>
      </c>
      <c r="N945" s="250" t="str">
        <f ca="1">IF(C945="","",IF($N$11="EPS",[1]!S_STM07_IS(D945,61,$G$5,$H$13)/IF([1]!S_SHARE_TOTAL(D945,$G$5)=0,[1]!S_SHARE_TOTAL(D945,[1]!s_ipo_listeddate(D945)),[1]!S_SHARE_TOTAL(D945,$G$5)),([1]!S_STM07_BS(D945,75,$G$5,$H$13)+[1]!S_STM07_BS(D945,88,$G$5,$H$13)+[1]!S_STM07_BS(D945,94,$G$5,$H$13)+[1]!S_STM07_BS(D945,95,$G$5,$H$13))/$E$5))</f>
        <v/>
      </c>
      <c r="O945" s="250" t="str">
        <f ca="1">IF(C945="","",IF($O$11="BPS",[1]!S_STM07_BS(D945,141,$G$5,$H$13)/IF([1]!S_SHARE_TOTAL(D945,$G$5)=0,[1]!S_SHARE_TOTAL(D945,[1]!s_ipo_listeddate(D945)),[1]!S_SHARE_TOTAL(D945,$G$5)),[1]!S_STM07_CS(D945,49,$G$5,$H$13)/$E$5))</f>
        <v/>
      </c>
      <c r="P945" s="250" t="str">
        <f ca="1">IF(C945="","",IF($P$11="CFPS",[1]!S_STM07_CS(D945,84,$G$5,$H$13)/IF([1]!S_SHARE_TOTAL(D945,$G$5)=0,[1]!S_SHARE_TOTAL(D945,[1]!s_ipo_listeddate(D945)),[1]!S_SHARE_TOTAL(D945,$G$5)),[1]!S_STM07_CS(D945,84,$G$5,$H$13)/$E$5))</f>
        <v/>
      </c>
      <c r="Q945" s="198" t="str">
        <f ca="1">IF(C945="","",F945/([1]!S_STM07_IS(D945,61,$G$5,$H$13)/IF([1]!S_SHARE_TOTAL(D945,$G$5)=0,[1]!S_SHARE_TOTAL(D945,[1]!s_ipo_listeddate(D945)),[1]!S_SHARE_TOTAL(D945,$G$5))))</f>
        <v/>
      </c>
      <c r="R945" s="198" t="str">
        <f ca="1">IF(C945="","",F945/([1]!S_STM07_BS(D945,141,$G$5,$H$13)/IF([1]!S_SHARE_TOTAL(D945,$G$5)=0,[1]!S_SHARE_TOTAL(D945,[1]!s_ipo_listeddate(D945)),[1]!S_SHARE_TOTAL(D945,$G$5))))</f>
        <v/>
      </c>
      <c r="S945" s="249" t="str">
        <f ca="1">IF(C945="","",[1]!S_SHARE_TOTAL(D945,TODAY())/$E$5)</f>
        <v/>
      </c>
      <c r="T945" s="249" t="str">
        <f t="shared" ca="1" si="97"/>
        <v/>
      </c>
      <c r="U945" s="172" t="str">
        <f t="shared" ca="1" si="98"/>
        <v/>
      </c>
      <c r="V945" s="343" t="str">
        <f t="shared" ca="1" si="99"/>
        <v/>
      </c>
      <c r="W945" s="139"/>
      <c r="Y945" s="1"/>
    </row>
    <row r="946" spans="3:25" ht="12" customHeight="1">
      <c r="C946" s="342" t="str">
        <f t="shared" ca="1" si="94"/>
        <v/>
      </c>
      <c r="D946" s="153" t="str">
        <f t="shared" ca="1" si="95"/>
        <v/>
      </c>
      <c r="E946" s="153" t="str">
        <f t="shared" ca="1" si="96"/>
        <v/>
      </c>
      <c r="F946" s="170" t="str">
        <f ca="1">IF(C946="","",[1]!S_DQ_CLOSE(D946,TODAY(),1))</f>
        <v/>
      </c>
      <c r="G946" s="171" t="str">
        <f ca="1">IF(C946="","",[1]!s_pq_pctchange(D946,TODAY()-$G$12,TODAY())/100)</f>
        <v/>
      </c>
      <c r="H946" s="247" t="str">
        <f ca="1">IF(C946="","",IF($H$11="收入",[1]!S_STM07_IS(D946,9,$G$5,$H$13)/$E$5,[1]!S_STM07_IS(D946,48,$G$5,$H$13)/$E$5))</f>
        <v/>
      </c>
      <c r="I946" s="247" t="str">
        <f ca="1">IF(C946="","",IF($I$11="毛利率",([1]!S_STM07_IS(D946,9,$G$5,$H$13)-[1]!S_STM07_IS(D946,10,$G$5,$H$13))/[1]!S_STM07_IS(D946,9,$G$5,$H$13),[1]!S_STM07_IS(D946,14,$G$5,$H$13)/$E$5))</f>
        <v/>
      </c>
      <c r="J946" s="247" t="str">
        <f ca="1">IF(C946="","",IF($J$11="营业利润率",[1]!S_STM07_IS(D946,48,$G$5,$H$13)/[1]!S_STM07_IS(D946,9,$G$5,$H$13),([1]!S_STM07_CS(D946,87,$G$5,$H$13)+[1]!S_STM07_CS(D946,88,$G$5,$H$13)+[1]!S_STM07_CS(D946,89,$G$5,$H$13))/$E$5))</f>
        <v/>
      </c>
      <c r="K946" s="247" t="str">
        <f ca="1">IF(C946="","",IF($K$11="净利润率",[1]!S_STM07_IS(D946,61,$G$5,$H$13)/[1]!S_STM07_IS(D946,9,$G$5,$H$13),[1]!S_STM07_IS(D946,55,$G$5,$H$13)/$E$5))</f>
        <v/>
      </c>
      <c r="L946" s="247" t="str">
        <f ca="1">IF(C946="","",IF($L$11="ROA",[1]!S_STM07_IS(D946,61,$G$5,$H$13)/[1]!S_STM07_BS(D946,74,$G$5,$H$13),1-[1]!S_STM07_IS(D946,61,$G$5,$H$13)/[1]!S_STM07_IS(D946,55,$G$5,$H$13)))</f>
        <v/>
      </c>
      <c r="M946" s="247" t="str">
        <f ca="1">IF(C946="","",IF($M$11="ROE",[1]!S_STM07_IS(D946,61,$G$5,$H$13)/[1]!S_STM07_BS(D946,141,$G$5,$H$13),([1]!S_STM07_BS(D946,25,$G$5,$H$13)-[1]!S_STM07_BS(D946,93,$G$5,$H$13))/$E$5))</f>
        <v/>
      </c>
      <c r="N946" s="247" t="str">
        <f ca="1">IF(C946="","",IF($N$11="EPS",[1]!S_STM07_IS(D946,61,$G$5,$H$13)/IF([1]!S_SHARE_TOTAL(D946,$G$5)=0,[1]!S_SHARE_TOTAL(D946,[1]!s_ipo_listeddate(D946)),[1]!S_SHARE_TOTAL(D946,$G$5)),([1]!S_STM07_BS(D946,75,$G$5,$H$13)+[1]!S_STM07_BS(D946,88,$G$5,$H$13)+[1]!S_STM07_BS(D946,94,$G$5,$H$13)+[1]!S_STM07_BS(D946,95,$G$5,$H$13))/$E$5))</f>
        <v/>
      </c>
      <c r="O946" s="247" t="str">
        <f ca="1">IF(C946="","",IF($O$11="BPS",[1]!S_STM07_BS(D946,141,$G$5,$H$13)/IF([1]!S_SHARE_TOTAL(D946,$G$5)=0,[1]!S_SHARE_TOTAL(D946,[1]!s_ipo_listeddate(D946)),[1]!S_SHARE_TOTAL(D946,$G$5)),[1]!S_STM07_CS(D946,49,$G$5,$H$13)/$E$5))</f>
        <v/>
      </c>
      <c r="P946" s="247" t="str">
        <f ca="1">IF(C946="","",IF($P$11="CFPS",[1]!S_STM07_CS(D946,84,$G$5,$H$13)/IF([1]!S_SHARE_TOTAL(D946,$G$5)=0,[1]!S_SHARE_TOTAL(D946,[1]!s_ipo_listeddate(D946)),[1]!S_SHARE_TOTAL(D946,$G$5)),[1]!S_STM07_CS(D946,84,$G$5,$H$13)/$E$5))</f>
        <v/>
      </c>
      <c r="Q946" s="248" t="str">
        <f ca="1">IF(C946="","",F946/([1]!S_STM07_IS(D946,61,$G$5,$H$13)/IF([1]!S_SHARE_TOTAL(D946,$G$5)=0,[1]!S_SHARE_TOTAL(D946,[1]!s_ipo_listeddate(D946)),[1]!S_SHARE_TOTAL(D946,$G$5))))</f>
        <v/>
      </c>
      <c r="R946" s="248" t="str">
        <f ca="1">IF(C946="","",F946/([1]!S_STM07_BS(D946,141,$G$5,$H$13)/IF([1]!S_SHARE_TOTAL(D946,$G$5)=0,[1]!S_SHARE_TOTAL(D946,[1]!s_ipo_listeddate(D946)),[1]!S_SHARE_TOTAL(D946,$G$5))))</f>
        <v/>
      </c>
      <c r="S946" s="247" t="str">
        <f ca="1">IF(C946="","",[1]!S_SHARE_TOTAL(D946,TODAY())/$E$5)</f>
        <v/>
      </c>
      <c r="T946" s="247" t="str">
        <f t="shared" ca="1" si="97"/>
        <v/>
      </c>
      <c r="U946" s="218" t="str">
        <f t="shared" ca="1" si="98"/>
        <v/>
      </c>
      <c r="V946" s="342" t="str">
        <f t="shared" ca="1" si="99"/>
        <v/>
      </c>
      <c r="W946" s="139"/>
      <c r="Y946" s="1"/>
    </row>
    <row r="947" spans="3:25" ht="12" customHeight="1">
      <c r="C947" s="343" t="str">
        <f t="shared" ca="1" si="94"/>
        <v/>
      </c>
      <c r="D947" s="124" t="str">
        <f t="shared" ca="1" si="95"/>
        <v/>
      </c>
      <c r="E947" s="124" t="str">
        <f t="shared" ca="1" si="96"/>
        <v/>
      </c>
      <c r="F947" s="172" t="str">
        <f ca="1">IF(C947="","",[1]!S_DQ_CLOSE(D947,TODAY(),1))</f>
        <v/>
      </c>
      <c r="G947" s="173" t="str">
        <f ca="1">IF(C947="","",[1]!s_pq_pctchange(D947,TODAY()-$G$12,TODAY())/100)</f>
        <v/>
      </c>
      <c r="H947" s="249" t="str">
        <f ca="1">IF(C947="","",IF($H$11="收入",[1]!S_STM07_IS(D947,9,$G$5,$H$13)/$E$5,[1]!S_STM07_IS(D947,48,$G$5,$H$13)/$E$5))</f>
        <v/>
      </c>
      <c r="I947" s="249" t="str">
        <f ca="1">IF(C947="","",IF($I$11="毛利率",([1]!S_STM07_IS(D947,9,$G$5,$H$13)-[1]!S_STM07_IS(D947,10,$G$5,$H$13))/[1]!S_STM07_IS(D947,9,$G$5,$H$13),[1]!S_STM07_IS(D947,14,$G$5,$H$13)/$E$5))</f>
        <v/>
      </c>
      <c r="J947" s="249" t="str">
        <f ca="1">IF(C947="","",IF($J$11="营业利润率",[1]!S_STM07_IS(D947,48,$G$5,$H$13)/[1]!S_STM07_IS(D947,9,$G$5,$H$13),([1]!S_STM07_CS(D947,87,$G$5,$H$13)+[1]!S_STM07_CS(D947,88,$G$5,$H$13)+[1]!S_STM07_CS(D947,89,$G$5,$H$13))/$E$5))</f>
        <v/>
      </c>
      <c r="K947" s="249" t="str">
        <f ca="1">IF(C947="","",IF($K$11="净利润率",[1]!S_STM07_IS(D947,61,$G$5,$H$13)/[1]!S_STM07_IS(D947,9,$G$5,$H$13),[1]!S_STM07_IS(D947,55,$G$5,$H$13)/$E$5))</f>
        <v/>
      </c>
      <c r="L947" s="249" t="str">
        <f ca="1">IF(C947="","",IF($L$11="ROA",[1]!S_STM07_IS(D947,61,$G$5,$H$13)/[1]!S_STM07_BS(D947,74,$G$5,$H$13),1-[1]!S_STM07_IS(D947,61,$G$5,$H$13)/[1]!S_STM07_IS(D947,55,$G$5,$H$13)))</f>
        <v/>
      </c>
      <c r="M947" s="249" t="str">
        <f ca="1">IF(C947="","",IF($M$11="ROE",[1]!S_STM07_IS(D947,61,$G$5,$H$13)/[1]!S_STM07_BS(D947,141,$G$5,$H$13),([1]!S_STM07_BS(D947,25,$G$5,$H$13)-[1]!S_STM07_BS(D947,93,$G$5,$H$13))/$E$5))</f>
        <v/>
      </c>
      <c r="N947" s="250" t="str">
        <f ca="1">IF(C947="","",IF($N$11="EPS",[1]!S_STM07_IS(D947,61,$G$5,$H$13)/IF([1]!S_SHARE_TOTAL(D947,$G$5)=0,[1]!S_SHARE_TOTAL(D947,[1]!s_ipo_listeddate(D947)),[1]!S_SHARE_TOTAL(D947,$G$5)),([1]!S_STM07_BS(D947,75,$G$5,$H$13)+[1]!S_STM07_BS(D947,88,$G$5,$H$13)+[1]!S_STM07_BS(D947,94,$G$5,$H$13)+[1]!S_STM07_BS(D947,95,$G$5,$H$13))/$E$5))</f>
        <v/>
      </c>
      <c r="O947" s="250" t="str">
        <f ca="1">IF(C947="","",IF($O$11="BPS",[1]!S_STM07_BS(D947,141,$G$5,$H$13)/IF([1]!S_SHARE_TOTAL(D947,$G$5)=0,[1]!S_SHARE_TOTAL(D947,[1]!s_ipo_listeddate(D947)),[1]!S_SHARE_TOTAL(D947,$G$5)),[1]!S_STM07_CS(D947,49,$G$5,$H$13)/$E$5))</f>
        <v/>
      </c>
      <c r="P947" s="250" t="str">
        <f ca="1">IF(C947="","",IF($P$11="CFPS",[1]!S_STM07_CS(D947,84,$G$5,$H$13)/IF([1]!S_SHARE_TOTAL(D947,$G$5)=0,[1]!S_SHARE_TOTAL(D947,[1]!s_ipo_listeddate(D947)),[1]!S_SHARE_TOTAL(D947,$G$5)),[1]!S_STM07_CS(D947,84,$G$5,$H$13)/$E$5))</f>
        <v/>
      </c>
      <c r="Q947" s="198" t="str">
        <f ca="1">IF(C947="","",F947/([1]!S_STM07_IS(D947,61,$G$5,$H$13)/IF([1]!S_SHARE_TOTAL(D947,$G$5)=0,[1]!S_SHARE_TOTAL(D947,[1]!s_ipo_listeddate(D947)),[1]!S_SHARE_TOTAL(D947,$G$5))))</f>
        <v/>
      </c>
      <c r="R947" s="198" t="str">
        <f ca="1">IF(C947="","",F947/([1]!S_STM07_BS(D947,141,$G$5,$H$13)/IF([1]!S_SHARE_TOTAL(D947,$G$5)=0,[1]!S_SHARE_TOTAL(D947,[1]!s_ipo_listeddate(D947)),[1]!S_SHARE_TOTAL(D947,$G$5))))</f>
        <v/>
      </c>
      <c r="S947" s="249" t="str">
        <f ca="1">IF(C947="","",[1]!S_SHARE_TOTAL(D947,TODAY())/$E$5)</f>
        <v/>
      </c>
      <c r="T947" s="249" t="str">
        <f t="shared" ca="1" si="97"/>
        <v/>
      </c>
      <c r="U947" s="172" t="str">
        <f t="shared" ca="1" si="98"/>
        <v/>
      </c>
      <c r="V947" s="343" t="str">
        <f t="shared" ca="1" si="99"/>
        <v/>
      </c>
      <c r="W947" s="139"/>
      <c r="Y947" s="1"/>
    </row>
    <row r="948" spans="3:25" ht="12" customHeight="1">
      <c r="C948" s="342" t="str">
        <f t="shared" ca="1" si="94"/>
        <v/>
      </c>
      <c r="D948" s="153" t="str">
        <f t="shared" ca="1" si="95"/>
        <v/>
      </c>
      <c r="E948" s="153" t="str">
        <f t="shared" ca="1" si="96"/>
        <v/>
      </c>
      <c r="F948" s="170" t="str">
        <f ca="1">IF(C948="","",[1]!S_DQ_CLOSE(D948,TODAY(),1))</f>
        <v/>
      </c>
      <c r="G948" s="171" t="str">
        <f ca="1">IF(C948="","",[1]!s_pq_pctchange(D948,TODAY()-$G$12,TODAY())/100)</f>
        <v/>
      </c>
      <c r="H948" s="247" t="str">
        <f ca="1">IF(C948="","",IF($H$11="收入",[1]!S_STM07_IS(D948,9,$G$5,$H$13)/$E$5,[1]!S_STM07_IS(D948,48,$G$5,$H$13)/$E$5))</f>
        <v/>
      </c>
      <c r="I948" s="247" t="str">
        <f ca="1">IF(C948="","",IF($I$11="毛利率",([1]!S_STM07_IS(D948,9,$G$5,$H$13)-[1]!S_STM07_IS(D948,10,$G$5,$H$13))/[1]!S_STM07_IS(D948,9,$G$5,$H$13),[1]!S_STM07_IS(D948,14,$G$5,$H$13)/$E$5))</f>
        <v/>
      </c>
      <c r="J948" s="247" t="str">
        <f ca="1">IF(C948="","",IF($J$11="营业利润率",[1]!S_STM07_IS(D948,48,$G$5,$H$13)/[1]!S_STM07_IS(D948,9,$G$5,$H$13),([1]!S_STM07_CS(D948,87,$G$5,$H$13)+[1]!S_STM07_CS(D948,88,$G$5,$H$13)+[1]!S_STM07_CS(D948,89,$G$5,$H$13))/$E$5))</f>
        <v/>
      </c>
      <c r="K948" s="247" t="str">
        <f ca="1">IF(C948="","",IF($K$11="净利润率",[1]!S_STM07_IS(D948,61,$G$5,$H$13)/[1]!S_STM07_IS(D948,9,$G$5,$H$13),[1]!S_STM07_IS(D948,55,$G$5,$H$13)/$E$5))</f>
        <v/>
      </c>
      <c r="L948" s="247" t="str">
        <f ca="1">IF(C948="","",IF($L$11="ROA",[1]!S_STM07_IS(D948,61,$G$5,$H$13)/[1]!S_STM07_BS(D948,74,$G$5,$H$13),1-[1]!S_STM07_IS(D948,61,$G$5,$H$13)/[1]!S_STM07_IS(D948,55,$G$5,$H$13)))</f>
        <v/>
      </c>
      <c r="M948" s="247" t="str">
        <f ca="1">IF(C948="","",IF($M$11="ROE",[1]!S_STM07_IS(D948,61,$G$5,$H$13)/[1]!S_STM07_BS(D948,141,$G$5,$H$13),([1]!S_STM07_BS(D948,25,$G$5,$H$13)-[1]!S_STM07_BS(D948,93,$G$5,$H$13))/$E$5))</f>
        <v/>
      </c>
      <c r="N948" s="247" t="str">
        <f ca="1">IF(C948="","",IF($N$11="EPS",[1]!S_STM07_IS(D948,61,$G$5,$H$13)/IF([1]!S_SHARE_TOTAL(D948,$G$5)=0,[1]!S_SHARE_TOTAL(D948,[1]!s_ipo_listeddate(D948)),[1]!S_SHARE_TOTAL(D948,$G$5)),([1]!S_STM07_BS(D948,75,$G$5,$H$13)+[1]!S_STM07_BS(D948,88,$G$5,$H$13)+[1]!S_STM07_BS(D948,94,$G$5,$H$13)+[1]!S_STM07_BS(D948,95,$G$5,$H$13))/$E$5))</f>
        <v/>
      </c>
      <c r="O948" s="247" t="str">
        <f ca="1">IF(C948="","",IF($O$11="BPS",[1]!S_STM07_BS(D948,141,$G$5,$H$13)/IF([1]!S_SHARE_TOTAL(D948,$G$5)=0,[1]!S_SHARE_TOTAL(D948,[1]!s_ipo_listeddate(D948)),[1]!S_SHARE_TOTAL(D948,$G$5)),[1]!S_STM07_CS(D948,49,$G$5,$H$13)/$E$5))</f>
        <v/>
      </c>
      <c r="P948" s="247" t="str">
        <f ca="1">IF(C948="","",IF($P$11="CFPS",[1]!S_STM07_CS(D948,84,$G$5,$H$13)/IF([1]!S_SHARE_TOTAL(D948,$G$5)=0,[1]!S_SHARE_TOTAL(D948,[1]!s_ipo_listeddate(D948)),[1]!S_SHARE_TOTAL(D948,$G$5)),[1]!S_STM07_CS(D948,84,$G$5,$H$13)/$E$5))</f>
        <v/>
      </c>
      <c r="Q948" s="248" t="str">
        <f ca="1">IF(C948="","",F948/([1]!S_STM07_IS(D948,61,$G$5,$H$13)/IF([1]!S_SHARE_TOTAL(D948,$G$5)=0,[1]!S_SHARE_TOTAL(D948,[1]!s_ipo_listeddate(D948)),[1]!S_SHARE_TOTAL(D948,$G$5))))</f>
        <v/>
      </c>
      <c r="R948" s="248" t="str">
        <f ca="1">IF(C948="","",F948/([1]!S_STM07_BS(D948,141,$G$5,$H$13)/IF([1]!S_SHARE_TOTAL(D948,$G$5)=0,[1]!S_SHARE_TOTAL(D948,[1]!s_ipo_listeddate(D948)),[1]!S_SHARE_TOTAL(D948,$G$5))))</f>
        <v/>
      </c>
      <c r="S948" s="247" t="str">
        <f ca="1">IF(C948="","",[1]!S_SHARE_TOTAL(D948,TODAY())/$E$5)</f>
        <v/>
      </c>
      <c r="T948" s="247" t="str">
        <f t="shared" ca="1" si="97"/>
        <v/>
      </c>
      <c r="U948" s="218" t="str">
        <f t="shared" ca="1" si="98"/>
        <v/>
      </c>
      <c r="V948" s="342" t="str">
        <f t="shared" ca="1" si="99"/>
        <v/>
      </c>
      <c r="W948" s="139"/>
      <c r="Y948" s="1"/>
    </row>
    <row r="949" spans="3:25" ht="12" customHeight="1">
      <c r="C949" s="343" t="str">
        <f t="shared" ca="1" si="94"/>
        <v/>
      </c>
      <c r="D949" s="124" t="str">
        <f t="shared" ca="1" si="95"/>
        <v/>
      </c>
      <c r="E949" s="124" t="str">
        <f t="shared" ca="1" si="96"/>
        <v/>
      </c>
      <c r="F949" s="172" t="str">
        <f ca="1">IF(C949="","",[1]!S_DQ_CLOSE(D949,TODAY(),1))</f>
        <v/>
      </c>
      <c r="G949" s="173" t="str">
        <f ca="1">IF(C949="","",[1]!s_pq_pctchange(D949,TODAY()-$G$12,TODAY())/100)</f>
        <v/>
      </c>
      <c r="H949" s="249" t="str">
        <f ca="1">IF(C949="","",IF($H$11="收入",[1]!S_STM07_IS(D949,9,$G$5,$H$13)/$E$5,[1]!S_STM07_IS(D949,48,$G$5,$H$13)/$E$5))</f>
        <v/>
      </c>
      <c r="I949" s="249" t="str">
        <f ca="1">IF(C949="","",IF($I$11="毛利率",([1]!S_STM07_IS(D949,9,$G$5,$H$13)-[1]!S_STM07_IS(D949,10,$G$5,$H$13))/[1]!S_STM07_IS(D949,9,$G$5,$H$13),[1]!S_STM07_IS(D949,14,$G$5,$H$13)/$E$5))</f>
        <v/>
      </c>
      <c r="J949" s="249" t="str">
        <f ca="1">IF(C949="","",IF($J$11="营业利润率",[1]!S_STM07_IS(D949,48,$G$5,$H$13)/[1]!S_STM07_IS(D949,9,$G$5,$H$13),([1]!S_STM07_CS(D949,87,$G$5,$H$13)+[1]!S_STM07_CS(D949,88,$G$5,$H$13)+[1]!S_STM07_CS(D949,89,$G$5,$H$13))/$E$5))</f>
        <v/>
      </c>
      <c r="K949" s="249" t="str">
        <f ca="1">IF(C949="","",IF($K$11="净利润率",[1]!S_STM07_IS(D949,61,$G$5,$H$13)/[1]!S_STM07_IS(D949,9,$G$5,$H$13),[1]!S_STM07_IS(D949,55,$G$5,$H$13)/$E$5))</f>
        <v/>
      </c>
      <c r="L949" s="249" t="str">
        <f ca="1">IF(C949="","",IF($L$11="ROA",[1]!S_STM07_IS(D949,61,$G$5,$H$13)/[1]!S_STM07_BS(D949,74,$G$5,$H$13),1-[1]!S_STM07_IS(D949,61,$G$5,$H$13)/[1]!S_STM07_IS(D949,55,$G$5,$H$13)))</f>
        <v/>
      </c>
      <c r="M949" s="249" t="str">
        <f ca="1">IF(C949="","",IF($M$11="ROE",[1]!S_STM07_IS(D949,61,$G$5,$H$13)/[1]!S_STM07_BS(D949,141,$G$5,$H$13),([1]!S_STM07_BS(D949,25,$G$5,$H$13)-[1]!S_STM07_BS(D949,93,$G$5,$H$13))/$E$5))</f>
        <v/>
      </c>
      <c r="N949" s="250" t="str">
        <f ca="1">IF(C949="","",IF($N$11="EPS",[1]!S_STM07_IS(D949,61,$G$5,$H$13)/IF([1]!S_SHARE_TOTAL(D949,$G$5)=0,[1]!S_SHARE_TOTAL(D949,[1]!s_ipo_listeddate(D949)),[1]!S_SHARE_TOTAL(D949,$G$5)),([1]!S_STM07_BS(D949,75,$G$5,$H$13)+[1]!S_STM07_BS(D949,88,$G$5,$H$13)+[1]!S_STM07_BS(D949,94,$G$5,$H$13)+[1]!S_STM07_BS(D949,95,$G$5,$H$13))/$E$5))</f>
        <v/>
      </c>
      <c r="O949" s="250" t="str">
        <f ca="1">IF(C949="","",IF($O$11="BPS",[1]!S_STM07_BS(D949,141,$G$5,$H$13)/IF([1]!S_SHARE_TOTAL(D949,$G$5)=0,[1]!S_SHARE_TOTAL(D949,[1]!s_ipo_listeddate(D949)),[1]!S_SHARE_TOTAL(D949,$G$5)),[1]!S_STM07_CS(D949,49,$G$5,$H$13)/$E$5))</f>
        <v/>
      </c>
      <c r="P949" s="250" t="str">
        <f ca="1">IF(C949="","",IF($P$11="CFPS",[1]!S_STM07_CS(D949,84,$G$5,$H$13)/IF([1]!S_SHARE_TOTAL(D949,$G$5)=0,[1]!S_SHARE_TOTAL(D949,[1]!s_ipo_listeddate(D949)),[1]!S_SHARE_TOTAL(D949,$G$5)),[1]!S_STM07_CS(D949,84,$G$5,$H$13)/$E$5))</f>
        <v/>
      </c>
      <c r="Q949" s="198" t="str">
        <f ca="1">IF(C949="","",F949/([1]!S_STM07_IS(D949,61,$G$5,$H$13)/IF([1]!S_SHARE_TOTAL(D949,$G$5)=0,[1]!S_SHARE_TOTAL(D949,[1]!s_ipo_listeddate(D949)),[1]!S_SHARE_TOTAL(D949,$G$5))))</f>
        <v/>
      </c>
      <c r="R949" s="198" t="str">
        <f ca="1">IF(C949="","",F949/([1]!S_STM07_BS(D949,141,$G$5,$H$13)/IF([1]!S_SHARE_TOTAL(D949,$G$5)=0,[1]!S_SHARE_TOTAL(D949,[1]!s_ipo_listeddate(D949)),[1]!S_SHARE_TOTAL(D949,$G$5))))</f>
        <v/>
      </c>
      <c r="S949" s="249" t="str">
        <f ca="1">IF(C949="","",[1]!S_SHARE_TOTAL(D949,TODAY())/$E$5)</f>
        <v/>
      </c>
      <c r="T949" s="249" t="str">
        <f t="shared" ca="1" si="97"/>
        <v/>
      </c>
      <c r="U949" s="172" t="str">
        <f t="shared" ca="1" si="98"/>
        <v/>
      </c>
      <c r="V949" s="343" t="str">
        <f t="shared" ca="1" si="99"/>
        <v/>
      </c>
      <c r="W949" s="139"/>
      <c r="Y949" s="1"/>
    </row>
    <row r="950" spans="3:25" ht="12" customHeight="1">
      <c r="C950" s="342" t="str">
        <f t="shared" ca="1" si="94"/>
        <v/>
      </c>
      <c r="D950" s="153" t="str">
        <f t="shared" ca="1" si="95"/>
        <v/>
      </c>
      <c r="E950" s="153" t="str">
        <f t="shared" ca="1" si="96"/>
        <v/>
      </c>
      <c r="F950" s="170" t="str">
        <f ca="1">IF(C950="","",[1]!S_DQ_CLOSE(D950,TODAY(),1))</f>
        <v/>
      </c>
      <c r="G950" s="171" t="str">
        <f ca="1">IF(C950="","",[1]!s_pq_pctchange(D950,TODAY()-$G$12,TODAY())/100)</f>
        <v/>
      </c>
      <c r="H950" s="247" t="str">
        <f ca="1">IF(C950="","",IF($H$11="收入",[1]!S_STM07_IS(D950,9,$G$5,$H$13)/$E$5,[1]!S_STM07_IS(D950,48,$G$5,$H$13)/$E$5))</f>
        <v/>
      </c>
      <c r="I950" s="247" t="str">
        <f ca="1">IF(C950="","",IF($I$11="毛利率",([1]!S_STM07_IS(D950,9,$G$5,$H$13)-[1]!S_STM07_IS(D950,10,$G$5,$H$13))/[1]!S_STM07_IS(D950,9,$G$5,$H$13),[1]!S_STM07_IS(D950,14,$G$5,$H$13)/$E$5))</f>
        <v/>
      </c>
      <c r="J950" s="247" t="str">
        <f ca="1">IF(C950="","",IF($J$11="营业利润率",[1]!S_STM07_IS(D950,48,$G$5,$H$13)/[1]!S_STM07_IS(D950,9,$G$5,$H$13),([1]!S_STM07_CS(D950,87,$G$5,$H$13)+[1]!S_STM07_CS(D950,88,$G$5,$H$13)+[1]!S_STM07_CS(D950,89,$G$5,$H$13))/$E$5))</f>
        <v/>
      </c>
      <c r="K950" s="247" t="str">
        <f ca="1">IF(C950="","",IF($K$11="净利润率",[1]!S_STM07_IS(D950,61,$G$5,$H$13)/[1]!S_STM07_IS(D950,9,$G$5,$H$13),[1]!S_STM07_IS(D950,55,$G$5,$H$13)/$E$5))</f>
        <v/>
      </c>
      <c r="L950" s="247" t="str">
        <f ca="1">IF(C950="","",IF($L$11="ROA",[1]!S_STM07_IS(D950,61,$G$5,$H$13)/[1]!S_STM07_BS(D950,74,$G$5,$H$13),1-[1]!S_STM07_IS(D950,61,$G$5,$H$13)/[1]!S_STM07_IS(D950,55,$G$5,$H$13)))</f>
        <v/>
      </c>
      <c r="M950" s="247" t="str">
        <f ca="1">IF(C950="","",IF($M$11="ROE",[1]!S_STM07_IS(D950,61,$G$5,$H$13)/[1]!S_STM07_BS(D950,141,$G$5,$H$13),([1]!S_STM07_BS(D950,25,$G$5,$H$13)-[1]!S_STM07_BS(D950,93,$G$5,$H$13))/$E$5))</f>
        <v/>
      </c>
      <c r="N950" s="247" t="str">
        <f ca="1">IF(C950="","",IF($N$11="EPS",[1]!S_STM07_IS(D950,61,$G$5,$H$13)/IF([1]!S_SHARE_TOTAL(D950,$G$5)=0,[1]!S_SHARE_TOTAL(D950,[1]!s_ipo_listeddate(D950)),[1]!S_SHARE_TOTAL(D950,$G$5)),([1]!S_STM07_BS(D950,75,$G$5,$H$13)+[1]!S_STM07_BS(D950,88,$G$5,$H$13)+[1]!S_STM07_BS(D950,94,$G$5,$H$13)+[1]!S_STM07_BS(D950,95,$G$5,$H$13))/$E$5))</f>
        <v/>
      </c>
      <c r="O950" s="247" t="str">
        <f ca="1">IF(C950="","",IF($O$11="BPS",[1]!S_STM07_BS(D950,141,$G$5,$H$13)/IF([1]!S_SHARE_TOTAL(D950,$G$5)=0,[1]!S_SHARE_TOTAL(D950,[1]!s_ipo_listeddate(D950)),[1]!S_SHARE_TOTAL(D950,$G$5)),[1]!S_STM07_CS(D950,49,$G$5,$H$13)/$E$5))</f>
        <v/>
      </c>
      <c r="P950" s="247" t="str">
        <f ca="1">IF(C950="","",IF($P$11="CFPS",[1]!S_STM07_CS(D950,84,$G$5,$H$13)/IF([1]!S_SHARE_TOTAL(D950,$G$5)=0,[1]!S_SHARE_TOTAL(D950,[1]!s_ipo_listeddate(D950)),[1]!S_SHARE_TOTAL(D950,$G$5)),[1]!S_STM07_CS(D950,84,$G$5,$H$13)/$E$5))</f>
        <v/>
      </c>
      <c r="Q950" s="248" t="str">
        <f ca="1">IF(C950="","",F950/([1]!S_STM07_IS(D950,61,$G$5,$H$13)/IF([1]!S_SHARE_TOTAL(D950,$G$5)=0,[1]!S_SHARE_TOTAL(D950,[1]!s_ipo_listeddate(D950)),[1]!S_SHARE_TOTAL(D950,$G$5))))</f>
        <v/>
      </c>
      <c r="R950" s="248" t="str">
        <f ca="1">IF(C950="","",F950/([1]!S_STM07_BS(D950,141,$G$5,$H$13)/IF([1]!S_SHARE_TOTAL(D950,$G$5)=0,[1]!S_SHARE_TOTAL(D950,[1]!s_ipo_listeddate(D950)),[1]!S_SHARE_TOTAL(D950,$G$5))))</f>
        <v/>
      </c>
      <c r="S950" s="247" t="str">
        <f ca="1">IF(C950="","",[1]!S_SHARE_TOTAL(D950,TODAY())/$E$5)</f>
        <v/>
      </c>
      <c r="T950" s="247" t="str">
        <f t="shared" ca="1" si="97"/>
        <v/>
      </c>
      <c r="U950" s="218" t="str">
        <f t="shared" ca="1" si="98"/>
        <v/>
      </c>
      <c r="V950" s="342" t="str">
        <f t="shared" ca="1" si="99"/>
        <v/>
      </c>
      <c r="W950" s="139"/>
      <c r="Y950" s="1"/>
    </row>
    <row r="951" spans="3:25" ht="12" customHeight="1">
      <c r="C951" s="343" t="str">
        <f t="shared" ca="1" si="94"/>
        <v/>
      </c>
      <c r="D951" s="124" t="str">
        <f t="shared" ca="1" si="95"/>
        <v/>
      </c>
      <c r="E951" s="124" t="str">
        <f t="shared" ca="1" si="96"/>
        <v/>
      </c>
      <c r="F951" s="172" t="str">
        <f ca="1">IF(C951="","",[1]!S_DQ_CLOSE(D951,TODAY(),1))</f>
        <v/>
      </c>
      <c r="G951" s="173" t="str">
        <f ca="1">IF(C951="","",[1]!s_pq_pctchange(D951,TODAY()-$G$12,TODAY())/100)</f>
        <v/>
      </c>
      <c r="H951" s="249" t="str">
        <f ca="1">IF(C951="","",IF($H$11="收入",[1]!S_STM07_IS(D951,9,$G$5,$H$13)/$E$5,[1]!S_STM07_IS(D951,48,$G$5,$H$13)/$E$5))</f>
        <v/>
      </c>
      <c r="I951" s="249" t="str">
        <f ca="1">IF(C951="","",IF($I$11="毛利率",([1]!S_STM07_IS(D951,9,$G$5,$H$13)-[1]!S_STM07_IS(D951,10,$G$5,$H$13))/[1]!S_STM07_IS(D951,9,$G$5,$H$13),[1]!S_STM07_IS(D951,14,$G$5,$H$13)/$E$5))</f>
        <v/>
      </c>
      <c r="J951" s="249" t="str">
        <f ca="1">IF(C951="","",IF($J$11="营业利润率",[1]!S_STM07_IS(D951,48,$G$5,$H$13)/[1]!S_STM07_IS(D951,9,$G$5,$H$13),([1]!S_STM07_CS(D951,87,$G$5,$H$13)+[1]!S_STM07_CS(D951,88,$G$5,$H$13)+[1]!S_STM07_CS(D951,89,$G$5,$H$13))/$E$5))</f>
        <v/>
      </c>
      <c r="K951" s="249" t="str">
        <f ca="1">IF(C951="","",IF($K$11="净利润率",[1]!S_STM07_IS(D951,61,$G$5,$H$13)/[1]!S_STM07_IS(D951,9,$G$5,$H$13),[1]!S_STM07_IS(D951,55,$G$5,$H$13)/$E$5))</f>
        <v/>
      </c>
      <c r="L951" s="249" t="str">
        <f ca="1">IF(C951="","",IF($L$11="ROA",[1]!S_STM07_IS(D951,61,$G$5,$H$13)/[1]!S_STM07_BS(D951,74,$G$5,$H$13),1-[1]!S_STM07_IS(D951,61,$G$5,$H$13)/[1]!S_STM07_IS(D951,55,$G$5,$H$13)))</f>
        <v/>
      </c>
      <c r="M951" s="249" t="str">
        <f ca="1">IF(C951="","",IF($M$11="ROE",[1]!S_STM07_IS(D951,61,$G$5,$H$13)/[1]!S_STM07_BS(D951,141,$G$5,$H$13),([1]!S_STM07_BS(D951,25,$G$5,$H$13)-[1]!S_STM07_BS(D951,93,$G$5,$H$13))/$E$5))</f>
        <v/>
      </c>
      <c r="N951" s="250" t="str">
        <f ca="1">IF(C951="","",IF($N$11="EPS",[1]!S_STM07_IS(D951,61,$G$5,$H$13)/IF([1]!S_SHARE_TOTAL(D951,$G$5)=0,[1]!S_SHARE_TOTAL(D951,[1]!s_ipo_listeddate(D951)),[1]!S_SHARE_TOTAL(D951,$G$5)),([1]!S_STM07_BS(D951,75,$G$5,$H$13)+[1]!S_STM07_BS(D951,88,$G$5,$H$13)+[1]!S_STM07_BS(D951,94,$G$5,$H$13)+[1]!S_STM07_BS(D951,95,$G$5,$H$13))/$E$5))</f>
        <v/>
      </c>
      <c r="O951" s="250" t="str">
        <f ca="1">IF(C951="","",IF($O$11="BPS",[1]!S_STM07_BS(D951,141,$G$5,$H$13)/IF([1]!S_SHARE_TOTAL(D951,$G$5)=0,[1]!S_SHARE_TOTAL(D951,[1]!s_ipo_listeddate(D951)),[1]!S_SHARE_TOTAL(D951,$G$5)),[1]!S_STM07_CS(D951,49,$G$5,$H$13)/$E$5))</f>
        <v/>
      </c>
      <c r="P951" s="250" t="str">
        <f ca="1">IF(C951="","",IF($P$11="CFPS",[1]!S_STM07_CS(D951,84,$G$5,$H$13)/IF([1]!S_SHARE_TOTAL(D951,$G$5)=0,[1]!S_SHARE_TOTAL(D951,[1]!s_ipo_listeddate(D951)),[1]!S_SHARE_TOTAL(D951,$G$5)),[1]!S_STM07_CS(D951,84,$G$5,$H$13)/$E$5))</f>
        <v/>
      </c>
      <c r="Q951" s="198" t="str">
        <f ca="1">IF(C951="","",F951/([1]!S_STM07_IS(D951,61,$G$5,$H$13)/IF([1]!S_SHARE_TOTAL(D951,$G$5)=0,[1]!S_SHARE_TOTAL(D951,[1]!s_ipo_listeddate(D951)),[1]!S_SHARE_TOTAL(D951,$G$5))))</f>
        <v/>
      </c>
      <c r="R951" s="198" t="str">
        <f ca="1">IF(C951="","",F951/([1]!S_STM07_BS(D951,141,$G$5,$H$13)/IF([1]!S_SHARE_TOTAL(D951,$G$5)=0,[1]!S_SHARE_TOTAL(D951,[1]!s_ipo_listeddate(D951)),[1]!S_SHARE_TOTAL(D951,$G$5))))</f>
        <v/>
      </c>
      <c r="S951" s="249" t="str">
        <f ca="1">IF(C951="","",[1]!S_SHARE_TOTAL(D951,TODAY())/$E$5)</f>
        <v/>
      </c>
      <c r="T951" s="249" t="str">
        <f t="shared" ca="1" si="97"/>
        <v/>
      </c>
      <c r="U951" s="172" t="str">
        <f t="shared" ca="1" si="98"/>
        <v/>
      </c>
      <c r="V951" s="343" t="str">
        <f t="shared" ca="1" si="99"/>
        <v/>
      </c>
      <c r="W951" s="139"/>
      <c r="Y951" s="1"/>
    </row>
    <row r="952" spans="3:25" ht="12" customHeight="1">
      <c r="C952" s="342" t="str">
        <f t="shared" ca="1" si="94"/>
        <v/>
      </c>
      <c r="D952" s="153" t="str">
        <f t="shared" ca="1" si="95"/>
        <v/>
      </c>
      <c r="E952" s="153" t="str">
        <f t="shared" ca="1" si="96"/>
        <v/>
      </c>
      <c r="F952" s="170" t="str">
        <f ca="1">IF(C952="","",[1]!S_DQ_CLOSE(D952,TODAY(),1))</f>
        <v/>
      </c>
      <c r="G952" s="171" t="str">
        <f ca="1">IF(C952="","",[1]!s_pq_pctchange(D952,TODAY()-$G$12,TODAY())/100)</f>
        <v/>
      </c>
      <c r="H952" s="247" t="str">
        <f ca="1">IF(C952="","",IF($H$11="收入",[1]!S_STM07_IS(D952,9,$G$5,$H$13)/$E$5,[1]!S_STM07_IS(D952,48,$G$5,$H$13)/$E$5))</f>
        <v/>
      </c>
      <c r="I952" s="247" t="str">
        <f ca="1">IF(C952="","",IF($I$11="毛利率",([1]!S_STM07_IS(D952,9,$G$5,$H$13)-[1]!S_STM07_IS(D952,10,$G$5,$H$13))/[1]!S_STM07_IS(D952,9,$G$5,$H$13),[1]!S_STM07_IS(D952,14,$G$5,$H$13)/$E$5))</f>
        <v/>
      </c>
      <c r="J952" s="247" t="str">
        <f ca="1">IF(C952="","",IF($J$11="营业利润率",[1]!S_STM07_IS(D952,48,$G$5,$H$13)/[1]!S_STM07_IS(D952,9,$G$5,$H$13),([1]!S_STM07_CS(D952,87,$G$5,$H$13)+[1]!S_STM07_CS(D952,88,$G$5,$H$13)+[1]!S_STM07_CS(D952,89,$G$5,$H$13))/$E$5))</f>
        <v/>
      </c>
      <c r="K952" s="247" t="str">
        <f ca="1">IF(C952="","",IF($K$11="净利润率",[1]!S_STM07_IS(D952,61,$G$5,$H$13)/[1]!S_STM07_IS(D952,9,$G$5,$H$13),[1]!S_STM07_IS(D952,55,$G$5,$H$13)/$E$5))</f>
        <v/>
      </c>
      <c r="L952" s="247" t="str">
        <f ca="1">IF(C952="","",IF($L$11="ROA",[1]!S_STM07_IS(D952,61,$G$5,$H$13)/[1]!S_STM07_BS(D952,74,$G$5,$H$13),1-[1]!S_STM07_IS(D952,61,$G$5,$H$13)/[1]!S_STM07_IS(D952,55,$G$5,$H$13)))</f>
        <v/>
      </c>
      <c r="M952" s="247" t="str">
        <f ca="1">IF(C952="","",IF($M$11="ROE",[1]!S_STM07_IS(D952,61,$G$5,$H$13)/[1]!S_STM07_BS(D952,141,$G$5,$H$13),([1]!S_STM07_BS(D952,25,$G$5,$H$13)-[1]!S_STM07_BS(D952,93,$G$5,$H$13))/$E$5))</f>
        <v/>
      </c>
      <c r="N952" s="247" t="str">
        <f ca="1">IF(C952="","",IF($N$11="EPS",[1]!S_STM07_IS(D952,61,$G$5,$H$13)/IF([1]!S_SHARE_TOTAL(D952,$G$5)=0,[1]!S_SHARE_TOTAL(D952,[1]!s_ipo_listeddate(D952)),[1]!S_SHARE_TOTAL(D952,$G$5)),([1]!S_STM07_BS(D952,75,$G$5,$H$13)+[1]!S_STM07_BS(D952,88,$G$5,$H$13)+[1]!S_STM07_BS(D952,94,$G$5,$H$13)+[1]!S_STM07_BS(D952,95,$G$5,$H$13))/$E$5))</f>
        <v/>
      </c>
      <c r="O952" s="247" t="str">
        <f ca="1">IF(C952="","",IF($O$11="BPS",[1]!S_STM07_BS(D952,141,$G$5,$H$13)/IF([1]!S_SHARE_TOTAL(D952,$G$5)=0,[1]!S_SHARE_TOTAL(D952,[1]!s_ipo_listeddate(D952)),[1]!S_SHARE_TOTAL(D952,$G$5)),[1]!S_STM07_CS(D952,49,$G$5,$H$13)/$E$5))</f>
        <v/>
      </c>
      <c r="P952" s="247" t="str">
        <f ca="1">IF(C952="","",IF($P$11="CFPS",[1]!S_STM07_CS(D952,84,$G$5,$H$13)/IF([1]!S_SHARE_TOTAL(D952,$G$5)=0,[1]!S_SHARE_TOTAL(D952,[1]!s_ipo_listeddate(D952)),[1]!S_SHARE_TOTAL(D952,$G$5)),[1]!S_STM07_CS(D952,84,$G$5,$H$13)/$E$5))</f>
        <v/>
      </c>
      <c r="Q952" s="248" t="str">
        <f ca="1">IF(C952="","",F952/([1]!S_STM07_IS(D952,61,$G$5,$H$13)/IF([1]!S_SHARE_TOTAL(D952,$G$5)=0,[1]!S_SHARE_TOTAL(D952,[1]!s_ipo_listeddate(D952)),[1]!S_SHARE_TOTAL(D952,$G$5))))</f>
        <v/>
      </c>
      <c r="R952" s="248" t="str">
        <f ca="1">IF(C952="","",F952/([1]!S_STM07_BS(D952,141,$G$5,$H$13)/IF([1]!S_SHARE_TOTAL(D952,$G$5)=0,[1]!S_SHARE_TOTAL(D952,[1]!s_ipo_listeddate(D952)),[1]!S_SHARE_TOTAL(D952,$G$5))))</f>
        <v/>
      </c>
      <c r="S952" s="247" t="str">
        <f ca="1">IF(C952="","",[1]!S_SHARE_TOTAL(D952,TODAY())/$E$5)</f>
        <v/>
      </c>
      <c r="T952" s="247" t="str">
        <f t="shared" ca="1" si="97"/>
        <v/>
      </c>
      <c r="U952" s="218" t="str">
        <f t="shared" ca="1" si="98"/>
        <v/>
      </c>
      <c r="V952" s="342" t="str">
        <f t="shared" ca="1" si="99"/>
        <v/>
      </c>
      <c r="W952" s="139"/>
      <c r="Y952" s="1"/>
    </row>
    <row r="953" spans="3:25" ht="12" customHeight="1">
      <c r="C953" s="343" t="str">
        <f t="shared" ca="1" si="94"/>
        <v/>
      </c>
      <c r="D953" s="124" t="str">
        <f t="shared" ca="1" si="95"/>
        <v/>
      </c>
      <c r="E953" s="124" t="str">
        <f t="shared" ca="1" si="96"/>
        <v/>
      </c>
      <c r="F953" s="172" t="str">
        <f ca="1">IF(C953="","",[1]!S_DQ_CLOSE(D953,TODAY(),1))</f>
        <v/>
      </c>
      <c r="G953" s="173" t="str">
        <f ca="1">IF(C953="","",[1]!s_pq_pctchange(D953,TODAY()-$G$12,TODAY())/100)</f>
        <v/>
      </c>
      <c r="H953" s="249" t="str">
        <f ca="1">IF(C953="","",IF($H$11="收入",[1]!S_STM07_IS(D953,9,$G$5,$H$13)/$E$5,[1]!S_STM07_IS(D953,48,$G$5,$H$13)/$E$5))</f>
        <v/>
      </c>
      <c r="I953" s="249" t="str">
        <f ca="1">IF(C953="","",IF($I$11="毛利率",([1]!S_STM07_IS(D953,9,$G$5,$H$13)-[1]!S_STM07_IS(D953,10,$G$5,$H$13))/[1]!S_STM07_IS(D953,9,$G$5,$H$13),[1]!S_STM07_IS(D953,14,$G$5,$H$13)/$E$5))</f>
        <v/>
      </c>
      <c r="J953" s="249" t="str">
        <f ca="1">IF(C953="","",IF($J$11="营业利润率",[1]!S_STM07_IS(D953,48,$G$5,$H$13)/[1]!S_STM07_IS(D953,9,$G$5,$H$13),([1]!S_STM07_CS(D953,87,$G$5,$H$13)+[1]!S_STM07_CS(D953,88,$G$5,$H$13)+[1]!S_STM07_CS(D953,89,$G$5,$H$13))/$E$5))</f>
        <v/>
      </c>
      <c r="K953" s="249" t="str">
        <f ca="1">IF(C953="","",IF($K$11="净利润率",[1]!S_STM07_IS(D953,61,$G$5,$H$13)/[1]!S_STM07_IS(D953,9,$G$5,$H$13),[1]!S_STM07_IS(D953,55,$G$5,$H$13)/$E$5))</f>
        <v/>
      </c>
      <c r="L953" s="249" t="str">
        <f ca="1">IF(C953="","",IF($L$11="ROA",[1]!S_STM07_IS(D953,61,$G$5,$H$13)/[1]!S_STM07_BS(D953,74,$G$5,$H$13),1-[1]!S_STM07_IS(D953,61,$G$5,$H$13)/[1]!S_STM07_IS(D953,55,$G$5,$H$13)))</f>
        <v/>
      </c>
      <c r="M953" s="249" t="str">
        <f ca="1">IF(C953="","",IF($M$11="ROE",[1]!S_STM07_IS(D953,61,$G$5,$H$13)/[1]!S_STM07_BS(D953,141,$G$5,$H$13),([1]!S_STM07_BS(D953,25,$G$5,$H$13)-[1]!S_STM07_BS(D953,93,$G$5,$H$13))/$E$5))</f>
        <v/>
      </c>
      <c r="N953" s="250" t="str">
        <f ca="1">IF(C953="","",IF($N$11="EPS",[1]!S_STM07_IS(D953,61,$G$5,$H$13)/IF([1]!S_SHARE_TOTAL(D953,$G$5)=0,[1]!S_SHARE_TOTAL(D953,[1]!s_ipo_listeddate(D953)),[1]!S_SHARE_TOTAL(D953,$G$5)),([1]!S_STM07_BS(D953,75,$G$5,$H$13)+[1]!S_STM07_BS(D953,88,$G$5,$H$13)+[1]!S_STM07_BS(D953,94,$G$5,$H$13)+[1]!S_STM07_BS(D953,95,$G$5,$H$13))/$E$5))</f>
        <v/>
      </c>
      <c r="O953" s="250" t="str">
        <f ca="1">IF(C953="","",IF($O$11="BPS",[1]!S_STM07_BS(D953,141,$G$5,$H$13)/IF([1]!S_SHARE_TOTAL(D953,$G$5)=0,[1]!S_SHARE_TOTAL(D953,[1]!s_ipo_listeddate(D953)),[1]!S_SHARE_TOTAL(D953,$G$5)),[1]!S_STM07_CS(D953,49,$G$5,$H$13)/$E$5))</f>
        <v/>
      </c>
      <c r="P953" s="250" t="str">
        <f ca="1">IF(C953="","",IF($P$11="CFPS",[1]!S_STM07_CS(D953,84,$G$5,$H$13)/IF([1]!S_SHARE_TOTAL(D953,$G$5)=0,[1]!S_SHARE_TOTAL(D953,[1]!s_ipo_listeddate(D953)),[1]!S_SHARE_TOTAL(D953,$G$5)),[1]!S_STM07_CS(D953,84,$G$5,$H$13)/$E$5))</f>
        <v/>
      </c>
      <c r="Q953" s="198" t="str">
        <f ca="1">IF(C953="","",F953/([1]!S_STM07_IS(D953,61,$G$5,$H$13)/IF([1]!S_SHARE_TOTAL(D953,$G$5)=0,[1]!S_SHARE_TOTAL(D953,[1]!s_ipo_listeddate(D953)),[1]!S_SHARE_TOTAL(D953,$G$5))))</f>
        <v/>
      </c>
      <c r="R953" s="198" t="str">
        <f ca="1">IF(C953="","",F953/([1]!S_STM07_BS(D953,141,$G$5,$H$13)/IF([1]!S_SHARE_TOTAL(D953,$G$5)=0,[1]!S_SHARE_TOTAL(D953,[1]!s_ipo_listeddate(D953)),[1]!S_SHARE_TOTAL(D953,$G$5))))</f>
        <v/>
      </c>
      <c r="S953" s="249" t="str">
        <f ca="1">IF(C953="","",[1]!S_SHARE_TOTAL(D953,TODAY())/$E$5)</f>
        <v/>
      </c>
      <c r="T953" s="249" t="str">
        <f t="shared" ca="1" si="97"/>
        <v/>
      </c>
      <c r="U953" s="172" t="str">
        <f t="shared" ca="1" si="98"/>
        <v/>
      </c>
      <c r="V953" s="343" t="str">
        <f t="shared" ca="1" si="99"/>
        <v/>
      </c>
      <c r="W953" s="139"/>
      <c r="Y953" s="1"/>
    </row>
    <row r="954" spans="3:25" ht="12" customHeight="1">
      <c r="C954" s="342" t="str">
        <f t="shared" ca="1" si="94"/>
        <v/>
      </c>
      <c r="D954" s="153" t="str">
        <f t="shared" ca="1" si="95"/>
        <v/>
      </c>
      <c r="E954" s="153" t="str">
        <f t="shared" ca="1" si="96"/>
        <v/>
      </c>
      <c r="F954" s="170" t="str">
        <f ca="1">IF(C954="","",[1]!S_DQ_CLOSE(D954,TODAY(),1))</f>
        <v/>
      </c>
      <c r="G954" s="171" t="str">
        <f ca="1">IF(C954="","",[1]!s_pq_pctchange(D954,TODAY()-$G$12,TODAY())/100)</f>
        <v/>
      </c>
      <c r="H954" s="247" t="str">
        <f ca="1">IF(C954="","",IF($H$11="收入",[1]!S_STM07_IS(D954,9,$G$5,$H$13)/$E$5,[1]!S_STM07_IS(D954,48,$G$5,$H$13)/$E$5))</f>
        <v/>
      </c>
      <c r="I954" s="247" t="str">
        <f ca="1">IF(C954="","",IF($I$11="毛利率",([1]!S_STM07_IS(D954,9,$G$5,$H$13)-[1]!S_STM07_IS(D954,10,$G$5,$H$13))/[1]!S_STM07_IS(D954,9,$G$5,$H$13),[1]!S_STM07_IS(D954,14,$G$5,$H$13)/$E$5))</f>
        <v/>
      </c>
      <c r="J954" s="247" t="str">
        <f ca="1">IF(C954="","",IF($J$11="营业利润率",[1]!S_STM07_IS(D954,48,$G$5,$H$13)/[1]!S_STM07_IS(D954,9,$G$5,$H$13),([1]!S_STM07_CS(D954,87,$G$5,$H$13)+[1]!S_STM07_CS(D954,88,$G$5,$H$13)+[1]!S_STM07_CS(D954,89,$G$5,$H$13))/$E$5))</f>
        <v/>
      </c>
      <c r="K954" s="247" t="str">
        <f ca="1">IF(C954="","",IF($K$11="净利润率",[1]!S_STM07_IS(D954,61,$G$5,$H$13)/[1]!S_STM07_IS(D954,9,$G$5,$H$13),[1]!S_STM07_IS(D954,55,$G$5,$H$13)/$E$5))</f>
        <v/>
      </c>
      <c r="L954" s="247" t="str">
        <f ca="1">IF(C954="","",IF($L$11="ROA",[1]!S_STM07_IS(D954,61,$G$5,$H$13)/[1]!S_STM07_BS(D954,74,$G$5,$H$13),1-[1]!S_STM07_IS(D954,61,$G$5,$H$13)/[1]!S_STM07_IS(D954,55,$G$5,$H$13)))</f>
        <v/>
      </c>
      <c r="M954" s="247" t="str">
        <f ca="1">IF(C954="","",IF($M$11="ROE",[1]!S_STM07_IS(D954,61,$G$5,$H$13)/[1]!S_STM07_BS(D954,141,$G$5,$H$13),([1]!S_STM07_BS(D954,25,$G$5,$H$13)-[1]!S_STM07_BS(D954,93,$G$5,$H$13))/$E$5))</f>
        <v/>
      </c>
      <c r="N954" s="247" t="str">
        <f ca="1">IF(C954="","",IF($N$11="EPS",[1]!S_STM07_IS(D954,61,$G$5,$H$13)/IF([1]!S_SHARE_TOTAL(D954,$G$5)=0,[1]!S_SHARE_TOTAL(D954,[1]!s_ipo_listeddate(D954)),[1]!S_SHARE_TOTAL(D954,$G$5)),([1]!S_STM07_BS(D954,75,$G$5,$H$13)+[1]!S_STM07_BS(D954,88,$G$5,$H$13)+[1]!S_STM07_BS(D954,94,$G$5,$H$13)+[1]!S_STM07_BS(D954,95,$G$5,$H$13))/$E$5))</f>
        <v/>
      </c>
      <c r="O954" s="247" t="str">
        <f ca="1">IF(C954="","",IF($O$11="BPS",[1]!S_STM07_BS(D954,141,$G$5,$H$13)/IF([1]!S_SHARE_TOTAL(D954,$G$5)=0,[1]!S_SHARE_TOTAL(D954,[1]!s_ipo_listeddate(D954)),[1]!S_SHARE_TOTAL(D954,$G$5)),[1]!S_STM07_CS(D954,49,$G$5,$H$13)/$E$5))</f>
        <v/>
      </c>
      <c r="P954" s="247" t="str">
        <f ca="1">IF(C954="","",IF($P$11="CFPS",[1]!S_STM07_CS(D954,84,$G$5,$H$13)/IF([1]!S_SHARE_TOTAL(D954,$G$5)=0,[1]!S_SHARE_TOTAL(D954,[1]!s_ipo_listeddate(D954)),[1]!S_SHARE_TOTAL(D954,$G$5)),[1]!S_STM07_CS(D954,84,$G$5,$H$13)/$E$5))</f>
        <v/>
      </c>
      <c r="Q954" s="248" t="str">
        <f ca="1">IF(C954="","",F954/([1]!S_STM07_IS(D954,61,$G$5,$H$13)/IF([1]!S_SHARE_TOTAL(D954,$G$5)=0,[1]!S_SHARE_TOTAL(D954,[1]!s_ipo_listeddate(D954)),[1]!S_SHARE_TOTAL(D954,$G$5))))</f>
        <v/>
      </c>
      <c r="R954" s="248" t="str">
        <f ca="1">IF(C954="","",F954/([1]!S_STM07_BS(D954,141,$G$5,$H$13)/IF([1]!S_SHARE_TOTAL(D954,$G$5)=0,[1]!S_SHARE_TOTAL(D954,[1]!s_ipo_listeddate(D954)),[1]!S_SHARE_TOTAL(D954,$G$5))))</f>
        <v/>
      </c>
      <c r="S954" s="247" t="str">
        <f ca="1">IF(C954="","",[1]!S_SHARE_TOTAL(D954,TODAY())/$E$5)</f>
        <v/>
      </c>
      <c r="T954" s="247" t="str">
        <f t="shared" ca="1" si="97"/>
        <v/>
      </c>
      <c r="U954" s="218" t="str">
        <f t="shared" ca="1" si="98"/>
        <v/>
      </c>
      <c r="V954" s="342" t="str">
        <f t="shared" ca="1" si="99"/>
        <v/>
      </c>
      <c r="W954" s="139"/>
      <c r="Y954" s="1"/>
    </row>
    <row r="955" spans="3:25" ht="12" customHeight="1">
      <c r="C955" s="343" t="str">
        <f t="shared" ca="1" si="94"/>
        <v/>
      </c>
      <c r="D955" s="124" t="str">
        <f t="shared" ca="1" si="95"/>
        <v/>
      </c>
      <c r="E955" s="124" t="str">
        <f t="shared" ca="1" si="96"/>
        <v/>
      </c>
      <c r="F955" s="172" t="str">
        <f ca="1">IF(C955="","",[1]!S_DQ_CLOSE(D955,TODAY(),1))</f>
        <v/>
      </c>
      <c r="G955" s="173" t="str">
        <f ca="1">IF(C955="","",[1]!s_pq_pctchange(D955,TODAY()-$G$12,TODAY())/100)</f>
        <v/>
      </c>
      <c r="H955" s="249" t="str">
        <f ca="1">IF(C955="","",IF($H$11="收入",[1]!S_STM07_IS(D955,9,$G$5,$H$13)/$E$5,[1]!S_STM07_IS(D955,48,$G$5,$H$13)/$E$5))</f>
        <v/>
      </c>
      <c r="I955" s="249" t="str">
        <f ca="1">IF(C955="","",IF($I$11="毛利率",([1]!S_STM07_IS(D955,9,$G$5,$H$13)-[1]!S_STM07_IS(D955,10,$G$5,$H$13))/[1]!S_STM07_IS(D955,9,$G$5,$H$13),[1]!S_STM07_IS(D955,14,$G$5,$H$13)/$E$5))</f>
        <v/>
      </c>
      <c r="J955" s="249" t="str">
        <f ca="1">IF(C955="","",IF($J$11="营业利润率",[1]!S_STM07_IS(D955,48,$G$5,$H$13)/[1]!S_STM07_IS(D955,9,$G$5,$H$13),([1]!S_STM07_CS(D955,87,$G$5,$H$13)+[1]!S_STM07_CS(D955,88,$G$5,$H$13)+[1]!S_STM07_CS(D955,89,$G$5,$H$13))/$E$5))</f>
        <v/>
      </c>
      <c r="K955" s="249" t="str">
        <f ca="1">IF(C955="","",IF($K$11="净利润率",[1]!S_STM07_IS(D955,61,$G$5,$H$13)/[1]!S_STM07_IS(D955,9,$G$5,$H$13),[1]!S_STM07_IS(D955,55,$G$5,$H$13)/$E$5))</f>
        <v/>
      </c>
      <c r="L955" s="249" t="str">
        <f ca="1">IF(C955="","",IF($L$11="ROA",[1]!S_STM07_IS(D955,61,$G$5,$H$13)/[1]!S_STM07_BS(D955,74,$G$5,$H$13),1-[1]!S_STM07_IS(D955,61,$G$5,$H$13)/[1]!S_STM07_IS(D955,55,$G$5,$H$13)))</f>
        <v/>
      </c>
      <c r="M955" s="249" t="str">
        <f ca="1">IF(C955="","",IF($M$11="ROE",[1]!S_STM07_IS(D955,61,$G$5,$H$13)/[1]!S_STM07_BS(D955,141,$G$5,$H$13),([1]!S_STM07_BS(D955,25,$G$5,$H$13)-[1]!S_STM07_BS(D955,93,$G$5,$H$13))/$E$5))</f>
        <v/>
      </c>
      <c r="N955" s="250" t="str">
        <f ca="1">IF(C955="","",IF($N$11="EPS",[1]!S_STM07_IS(D955,61,$G$5,$H$13)/IF([1]!S_SHARE_TOTAL(D955,$G$5)=0,[1]!S_SHARE_TOTAL(D955,[1]!s_ipo_listeddate(D955)),[1]!S_SHARE_TOTAL(D955,$G$5)),([1]!S_STM07_BS(D955,75,$G$5,$H$13)+[1]!S_STM07_BS(D955,88,$G$5,$H$13)+[1]!S_STM07_BS(D955,94,$G$5,$H$13)+[1]!S_STM07_BS(D955,95,$G$5,$H$13))/$E$5))</f>
        <v/>
      </c>
      <c r="O955" s="250" t="str">
        <f ca="1">IF(C955="","",IF($O$11="BPS",[1]!S_STM07_BS(D955,141,$G$5,$H$13)/IF([1]!S_SHARE_TOTAL(D955,$G$5)=0,[1]!S_SHARE_TOTAL(D955,[1]!s_ipo_listeddate(D955)),[1]!S_SHARE_TOTAL(D955,$G$5)),[1]!S_STM07_CS(D955,49,$G$5,$H$13)/$E$5))</f>
        <v/>
      </c>
      <c r="P955" s="250" t="str">
        <f ca="1">IF(C955="","",IF($P$11="CFPS",[1]!S_STM07_CS(D955,84,$G$5,$H$13)/IF([1]!S_SHARE_TOTAL(D955,$G$5)=0,[1]!S_SHARE_TOTAL(D955,[1]!s_ipo_listeddate(D955)),[1]!S_SHARE_TOTAL(D955,$G$5)),[1]!S_STM07_CS(D955,84,$G$5,$H$13)/$E$5))</f>
        <v/>
      </c>
      <c r="Q955" s="198" t="str">
        <f ca="1">IF(C955="","",F955/([1]!S_STM07_IS(D955,61,$G$5,$H$13)/IF([1]!S_SHARE_TOTAL(D955,$G$5)=0,[1]!S_SHARE_TOTAL(D955,[1]!s_ipo_listeddate(D955)),[1]!S_SHARE_TOTAL(D955,$G$5))))</f>
        <v/>
      </c>
      <c r="R955" s="198" t="str">
        <f ca="1">IF(C955="","",F955/([1]!S_STM07_BS(D955,141,$G$5,$H$13)/IF([1]!S_SHARE_TOTAL(D955,$G$5)=0,[1]!S_SHARE_TOTAL(D955,[1]!s_ipo_listeddate(D955)),[1]!S_SHARE_TOTAL(D955,$G$5))))</f>
        <v/>
      </c>
      <c r="S955" s="249" t="str">
        <f ca="1">IF(C955="","",[1]!S_SHARE_TOTAL(D955,TODAY())/$E$5)</f>
        <v/>
      </c>
      <c r="T955" s="249" t="str">
        <f t="shared" ca="1" si="97"/>
        <v/>
      </c>
      <c r="U955" s="172" t="str">
        <f t="shared" ca="1" si="98"/>
        <v/>
      </c>
      <c r="V955" s="343" t="str">
        <f t="shared" ca="1" si="99"/>
        <v/>
      </c>
      <c r="W955" s="139"/>
      <c r="Y955" s="1"/>
    </row>
    <row r="956" spans="3:25" ht="12" customHeight="1">
      <c r="C956" s="342" t="str">
        <f t="shared" ca="1" si="94"/>
        <v/>
      </c>
      <c r="D956" s="153" t="str">
        <f t="shared" ca="1" si="95"/>
        <v/>
      </c>
      <c r="E956" s="153" t="str">
        <f t="shared" ca="1" si="96"/>
        <v/>
      </c>
      <c r="F956" s="170" t="str">
        <f ca="1">IF(C956="","",[1]!S_DQ_CLOSE(D956,TODAY(),1))</f>
        <v/>
      </c>
      <c r="G956" s="171" t="str">
        <f ca="1">IF(C956="","",[1]!s_pq_pctchange(D956,TODAY()-$G$12,TODAY())/100)</f>
        <v/>
      </c>
      <c r="H956" s="247" t="str">
        <f ca="1">IF(C956="","",IF($H$11="收入",[1]!S_STM07_IS(D956,9,$G$5,$H$13)/$E$5,[1]!S_STM07_IS(D956,48,$G$5,$H$13)/$E$5))</f>
        <v/>
      </c>
      <c r="I956" s="247" t="str">
        <f ca="1">IF(C956="","",IF($I$11="毛利率",([1]!S_STM07_IS(D956,9,$G$5,$H$13)-[1]!S_STM07_IS(D956,10,$G$5,$H$13))/[1]!S_STM07_IS(D956,9,$G$5,$H$13),[1]!S_STM07_IS(D956,14,$G$5,$H$13)/$E$5))</f>
        <v/>
      </c>
      <c r="J956" s="247" t="str">
        <f ca="1">IF(C956="","",IF($J$11="营业利润率",[1]!S_STM07_IS(D956,48,$G$5,$H$13)/[1]!S_STM07_IS(D956,9,$G$5,$H$13),([1]!S_STM07_CS(D956,87,$G$5,$H$13)+[1]!S_STM07_CS(D956,88,$G$5,$H$13)+[1]!S_STM07_CS(D956,89,$G$5,$H$13))/$E$5))</f>
        <v/>
      </c>
      <c r="K956" s="247" t="str">
        <f ca="1">IF(C956="","",IF($K$11="净利润率",[1]!S_STM07_IS(D956,61,$G$5,$H$13)/[1]!S_STM07_IS(D956,9,$G$5,$H$13),[1]!S_STM07_IS(D956,55,$G$5,$H$13)/$E$5))</f>
        <v/>
      </c>
      <c r="L956" s="247" t="str">
        <f ca="1">IF(C956="","",IF($L$11="ROA",[1]!S_STM07_IS(D956,61,$G$5,$H$13)/[1]!S_STM07_BS(D956,74,$G$5,$H$13),1-[1]!S_STM07_IS(D956,61,$G$5,$H$13)/[1]!S_STM07_IS(D956,55,$G$5,$H$13)))</f>
        <v/>
      </c>
      <c r="M956" s="247" t="str">
        <f ca="1">IF(C956="","",IF($M$11="ROE",[1]!S_STM07_IS(D956,61,$G$5,$H$13)/[1]!S_STM07_BS(D956,141,$G$5,$H$13),([1]!S_STM07_BS(D956,25,$G$5,$H$13)-[1]!S_STM07_BS(D956,93,$G$5,$H$13))/$E$5))</f>
        <v/>
      </c>
      <c r="N956" s="247" t="str">
        <f ca="1">IF(C956="","",IF($N$11="EPS",[1]!S_STM07_IS(D956,61,$G$5,$H$13)/IF([1]!S_SHARE_TOTAL(D956,$G$5)=0,[1]!S_SHARE_TOTAL(D956,[1]!s_ipo_listeddate(D956)),[1]!S_SHARE_TOTAL(D956,$G$5)),([1]!S_STM07_BS(D956,75,$G$5,$H$13)+[1]!S_STM07_BS(D956,88,$G$5,$H$13)+[1]!S_STM07_BS(D956,94,$G$5,$H$13)+[1]!S_STM07_BS(D956,95,$G$5,$H$13))/$E$5))</f>
        <v/>
      </c>
      <c r="O956" s="247" t="str">
        <f ca="1">IF(C956="","",IF($O$11="BPS",[1]!S_STM07_BS(D956,141,$G$5,$H$13)/IF([1]!S_SHARE_TOTAL(D956,$G$5)=0,[1]!S_SHARE_TOTAL(D956,[1]!s_ipo_listeddate(D956)),[1]!S_SHARE_TOTAL(D956,$G$5)),[1]!S_STM07_CS(D956,49,$G$5,$H$13)/$E$5))</f>
        <v/>
      </c>
      <c r="P956" s="247" t="str">
        <f ca="1">IF(C956="","",IF($P$11="CFPS",[1]!S_STM07_CS(D956,84,$G$5,$H$13)/IF([1]!S_SHARE_TOTAL(D956,$G$5)=0,[1]!S_SHARE_TOTAL(D956,[1]!s_ipo_listeddate(D956)),[1]!S_SHARE_TOTAL(D956,$G$5)),[1]!S_STM07_CS(D956,84,$G$5,$H$13)/$E$5))</f>
        <v/>
      </c>
      <c r="Q956" s="248" t="str">
        <f ca="1">IF(C956="","",F956/([1]!S_STM07_IS(D956,61,$G$5,$H$13)/IF([1]!S_SHARE_TOTAL(D956,$G$5)=0,[1]!S_SHARE_TOTAL(D956,[1]!s_ipo_listeddate(D956)),[1]!S_SHARE_TOTAL(D956,$G$5))))</f>
        <v/>
      </c>
      <c r="R956" s="248" t="str">
        <f ca="1">IF(C956="","",F956/([1]!S_STM07_BS(D956,141,$G$5,$H$13)/IF([1]!S_SHARE_TOTAL(D956,$G$5)=0,[1]!S_SHARE_TOTAL(D956,[1]!s_ipo_listeddate(D956)),[1]!S_SHARE_TOTAL(D956,$G$5))))</f>
        <v/>
      </c>
      <c r="S956" s="247" t="str">
        <f ca="1">IF(C956="","",[1]!S_SHARE_TOTAL(D956,TODAY())/$E$5)</f>
        <v/>
      </c>
      <c r="T956" s="247" t="str">
        <f t="shared" ca="1" si="97"/>
        <v/>
      </c>
      <c r="U956" s="218" t="str">
        <f t="shared" ca="1" si="98"/>
        <v/>
      </c>
      <c r="V956" s="342" t="str">
        <f t="shared" ca="1" si="99"/>
        <v/>
      </c>
      <c r="W956" s="139"/>
      <c r="Y956" s="1"/>
    </row>
    <row r="957" spans="3:25" ht="12" customHeight="1">
      <c r="C957" s="343" t="str">
        <f t="shared" ca="1" si="94"/>
        <v/>
      </c>
      <c r="D957" s="124" t="str">
        <f t="shared" ca="1" si="95"/>
        <v/>
      </c>
      <c r="E957" s="124" t="str">
        <f t="shared" ca="1" si="96"/>
        <v/>
      </c>
      <c r="F957" s="172" t="str">
        <f ca="1">IF(C957="","",[1]!S_DQ_CLOSE(D957,TODAY(),1))</f>
        <v/>
      </c>
      <c r="G957" s="173" t="str">
        <f ca="1">IF(C957="","",[1]!s_pq_pctchange(D957,TODAY()-$G$12,TODAY())/100)</f>
        <v/>
      </c>
      <c r="H957" s="249" t="str">
        <f ca="1">IF(C957="","",IF($H$11="收入",[1]!S_STM07_IS(D957,9,$G$5,$H$13)/$E$5,[1]!S_STM07_IS(D957,48,$G$5,$H$13)/$E$5))</f>
        <v/>
      </c>
      <c r="I957" s="249" t="str">
        <f ca="1">IF(C957="","",IF($I$11="毛利率",([1]!S_STM07_IS(D957,9,$G$5,$H$13)-[1]!S_STM07_IS(D957,10,$G$5,$H$13))/[1]!S_STM07_IS(D957,9,$G$5,$H$13),[1]!S_STM07_IS(D957,14,$G$5,$H$13)/$E$5))</f>
        <v/>
      </c>
      <c r="J957" s="249" t="str">
        <f ca="1">IF(C957="","",IF($J$11="营业利润率",[1]!S_STM07_IS(D957,48,$G$5,$H$13)/[1]!S_STM07_IS(D957,9,$G$5,$H$13),([1]!S_STM07_CS(D957,87,$G$5,$H$13)+[1]!S_STM07_CS(D957,88,$G$5,$H$13)+[1]!S_STM07_CS(D957,89,$G$5,$H$13))/$E$5))</f>
        <v/>
      </c>
      <c r="K957" s="249" t="str">
        <f ca="1">IF(C957="","",IF($K$11="净利润率",[1]!S_STM07_IS(D957,61,$G$5,$H$13)/[1]!S_STM07_IS(D957,9,$G$5,$H$13),[1]!S_STM07_IS(D957,55,$G$5,$H$13)/$E$5))</f>
        <v/>
      </c>
      <c r="L957" s="249" t="str">
        <f ca="1">IF(C957="","",IF($L$11="ROA",[1]!S_STM07_IS(D957,61,$G$5,$H$13)/[1]!S_STM07_BS(D957,74,$G$5,$H$13),1-[1]!S_STM07_IS(D957,61,$G$5,$H$13)/[1]!S_STM07_IS(D957,55,$G$5,$H$13)))</f>
        <v/>
      </c>
      <c r="M957" s="249" t="str">
        <f ca="1">IF(C957="","",IF($M$11="ROE",[1]!S_STM07_IS(D957,61,$G$5,$H$13)/[1]!S_STM07_BS(D957,141,$G$5,$H$13),([1]!S_STM07_BS(D957,25,$G$5,$H$13)-[1]!S_STM07_BS(D957,93,$G$5,$H$13))/$E$5))</f>
        <v/>
      </c>
      <c r="N957" s="250" t="str">
        <f ca="1">IF(C957="","",IF($N$11="EPS",[1]!S_STM07_IS(D957,61,$G$5,$H$13)/IF([1]!S_SHARE_TOTAL(D957,$G$5)=0,[1]!S_SHARE_TOTAL(D957,[1]!s_ipo_listeddate(D957)),[1]!S_SHARE_TOTAL(D957,$G$5)),([1]!S_STM07_BS(D957,75,$G$5,$H$13)+[1]!S_STM07_BS(D957,88,$G$5,$H$13)+[1]!S_STM07_BS(D957,94,$G$5,$H$13)+[1]!S_STM07_BS(D957,95,$G$5,$H$13))/$E$5))</f>
        <v/>
      </c>
      <c r="O957" s="250" t="str">
        <f ca="1">IF(C957="","",IF($O$11="BPS",[1]!S_STM07_BS(D957,141,$G$5,$H$13)/IF([1]!S_SHARE_TOTAL(D957,$G$5)=0,[1]!S_SHARE_TOTAL(D957,[1]!s_ipo_listeddate(D957)),[1]!S_SHARE_TOTAL(D957,$G$5)),[1]!S_STM07_CS(D957,49,$G$5,$H$13)/$E$5))</f>
        <v/>
      </c>
      <c r="P957" s="250" t="str">
        <f ca="1">IF(C957="","",IF($P$11="CFPS",[1]!S_STM07_CS(D957,84,$G$5,$H$13)/IF([1]!S_SHARE_TOTAL(D957,$G$5)=0,[1]!S_SHARE_TOTAL(D957,[1]!s_ipo_listeddate(D957)),[1]!S_SHARE_TOTAL(D957,$G$5)),[1]!S_STM07_CS(D957,84,$G$5,$H$13)/$E$5))</f>
        <v/>
      </c>
      <c r="Q957" s="198" t="str">
        <f ca="1">IF(C957="","",F957/([1]!S_STM07_IS(D957,61,$G$5,$H$13)/IF([1]!S_SHARE_TOTAL(D957,$G$5)=0,[1]!S_SHARE_TOTAL(D957,[1]!s_ipo_listeddate(D957)),[1]!S_SHARE_TOTAL(D957,$G$5))))</f>
        <v/>
      </c>
      <c r="R957" s="198" t="str">
        <f ca="1">IF(C957="","",F957/([1]!S_STM07_BS(D957,141,$G$5,$H$13)/IF([1]!S_SHARE_TOTAL(D957,$G$5)=0,[1]!S_SHARE_TOTAL(D957,[1]!s_ipo_listeddate(D957)),[1]!S_SHARE_TOTAL(D957,$G$5))))</f>
        <v/>
      </c>
      <c r="S957" s="249" t="str">
        <f ca="1">IF(C957="","",[1]!S_SHARE_TOTAL(D957,TODAY())/$E$5)</f>
        <v/>
      </c>
      <c r="T957" s="249" t="str">
        <f t="shared" ca="1" si="97"/>
        <v/>
      </c>
      <c r="U957" s="172" t="str">
        <f t="shared" ca="1" si="98"/>
        <v/>
      </c>
      <c r="V957" s="343" t="str">
        <f t="shared" ca="1" si="99"/>
        <v/>
      </c>
      <c r="W957" s="139"/>
      <c r="Y957" s="1"/>
    </row>
    <row r="958" spans="3:25" ht="12" customHeight="1">
      <c r="C958" s="342" t="str">
        <f t="shared" ca="1" si="94"/>
        <v/>
      </c>
      <c r="D958" s="153" t="str">
        <f t="shared" ca="1" si="95"/>
        <v/>
      </c>
      <c r="E958" s="153" t="str">
        <f t="shared" ca="1" si="96"/>
        <v/>
      </c>
      <c r="F958" s="170" t="str">
        <f ca="1">IF(C958="","",[1]!S_DQ_CLOSE(D958,TODAY(),1))</f>
        <v/>
      </c>
      <c r="G958" s="171" t="str">
        <f ca="1">IF(C958="","",[1]!s_pq_pctchange(D958,TODAY()-$G$12,TODAY())/100)</f>
        <v/>
      </c>
      <c r="H958" s="247" t="str">
        <f ca="1">IF(C958="","",IF($H$11="收入",[1]!S_STM07_IS(D958,9,$G$5,$H$13)/$E$5,[1]!S_STM07_IS(D958,48,$G$5,$H$13)/$E$5))</f>
        <v/>
      </c>
      <c r="I958" s="247" t="str">
        <f ca="1">IF(C958="","",IF($I$11="毛利率",([1]!S_STM07_IS(D958,9,$G$5,$H$13)-[1]!S_STM07_IS(D958,10,$G$5,$H$13))/[1]!S_STM07_IS(D958,9,$G$5,$H$13),[1]!S_STM07_IS(D958,14,$G$5,$H$13)/$E$5))</f>
        <v/>
      </c>
      <c r="J958" s="247" t="str">
        <f ca="1">IF(C958="","",IF($J$11="营业利润率",[1]!S_STM07_IS(D958,48,$G$5,$H$13)/[1]!S_STM07_IS(D958,9,$G$5,$H$13),([1]!S_STM07_CS(D958,87,$G$5,$H$13)+[1]!S_STM07_CS(D958,88,$G$5,$H$13)+[1]!S_STM07_CS(D958,89,$G$5,$H$13))/$E$5))</f>
        <v/>
      </c>
      <c r="K958" s="247" t="str">
        <f ca="1">IF(C958="","",IF($K$11="净利润率",[1]!S_STM07_IS(D958,61,$G$5,$H$13)/[1]!S_STM07_IS(D958,9,$G$5,$H$13),[1]!S_STM07_IS(D958,55,$G$5,$H$13)/$E$5))</f>
        <v/>
      </c>
      <c r="L958" s="247" t="str">
        <f ca="1">IF(C958="","",IF($L$11="ROA",[1]!S_STM07_IS(D958,61,$G$5,$H$13)/[1]!S_STM07_BS(D958,74,$G$5,$H$13),1-[1]!S_STM07_IS(D958,61,$G$5,$H$13)/[1]!S_STM07_IS(D958,55,$G$5,$H$13)))</f>
        <v/>
      </c>
      <c r="M958" s="247" t="str">
        <f ca="1">IF(C958="","",IF($M$11="ROE",[1]!S_STM07_IS(D958,61,$G$5,$H$13)/[1]!S_STM07_BS(D958,141,$G$5,$H$13),([1]!S_STM07_BS(D958,25,$G$5,$H$13)-[1]!S_STM07_BS(D958,93,$G$5,$H$13))/$E$5))</f>
        <v/>
      </c>
      <c r="N958" s="247" t="str">
        <f ca="1">IF(C958="","",IF($N$11="EPS",[1]!S_STM07_IS(D958,61,$G$5,$H$13)/IF([1]!S_SHARE_TOTAL(D958,$G$5)=0,[1]!S_SHARE_TOTAL(D958,[1]!s_ipo_listeddate(D958)),[1]!S_SHARE_TOTAL(D958,$G$5)),([1]!S_STM07_BS(D958,75,$G$5,$H$13)+[1]!S_STM07_BS(D958,88,$G$5,$H$13)+[1]!S_STM07_BS(D958,94,$G$5,$H$13)+[1]!S_STM07_BS(D958,95,$G$5,$H$13))/$E$5))</f>
        <v/>
      </c>
      <c r="O958" s="247" t="str">
        <f ca="1">IF(C958="","",IF($O$11="BPS",[1]!S_STM07_BS(D958,141,$G$5,$H$13)/IF([1]!S_SHARE_TOTAL(D958,$G$5)=0,[1]!S_SHARE_TOTAL(D958,[1]!s_ipo_listeddate(D958)),[1]!S_SHARE_TOTAL(D958,$G$5)),[1]!S_STM07_CS(D958,49,$G$5,$H$13)/$E$5))</f>
        <v/>
      </c>
      <c r="P958" s="247" t="str">
        <f ca="1">IF(C958="","",IF($P$11="CFPS",[1]!S_STM07_CS(D958,84,$G$5,$H$13)/IF([1]!S_SHARE_TOTAL(D958,$G$5)=0,[1]!S_SHARE_TOTAL(D958,[1]!s_ipo_listeddate(D958)),[1]!S_SHARE_TOTAL(D958,$G$5)),[1]!S_STM07_CS(D958,84,$G$5,$H$13)/$E$5))</f>
        <v/>
      </c>
      <c r="Q958" s="248" t="str">
        <f ca="1">IF(C958="","",F958/([1]!S_STM07_IS(D958,61,$G$5,$H$13)/IF([1]!S_SHARE_TOTAL(D958,$G$5)=0,[1]!S_SHARE_TOTAL(D958,[1]!s_ipo_listeddate(D958)),[1]!S_SHARE_TOTAL(D958,$G$5))))</f>
        <v/>
      </c>
      <c r="R958" s="248" t="str">
        <f ca="1">IF(C958="","",F958/([1]!S_STM07_BS(D958,141,$G$5,$H$13)/IF([1]!S_SHARE_TOTAL(D958,$G$5)=0,[1]!S_SHARE_TOTAL(D958,[1]!s_ipo_listeddate(D958)),[1]!S_SHARE_TOTAL(D958,$G$5))))</f>
        <v/>
      </c>
      <c r="S958" s="247" t="str">
        <f ca="1">IF(C958="","",[1]!S_SHARE_TOTAL(D958,TODAY())/$E$5)</f>
        <v/>
      </c>
      <c r="T958" s="247" t="str">
        <f t="shared" ca="1" si="97"/>
        <v/>
      </c>
      <c r="U958" s="218" t="str">
        <f t="shared" ca="1" si="98"/>
        <v/>
      </c>
      <c r="V958" s="342" t="str">
        <f t="shared" ca="1" si="99"/>
        <v/>
      </c>
      <c r="W958" s="139"/>
      <c r="Y958" s="1"/>
    </row>
    <row r="959" spans="3:25" ht="12" customHeight="1">
      <c r="C959" s="343" t="str">
        <f t="shared" ca="1" si="94"/>
        <v/>
      </c>
      <c r="D959" s="124" t="str">
        <f t="shared" ca="1" si="95"/>
        <v/>
      </c>
      <c r="E959" s="124" t="str">
        <f t="shared" ca="1" si="96"/>
        <v/>
      </c>
      <c r="F959" s="172" t="str">
        <f ca="1">IF(C959="","",[1]!S_DQ_CLOSE(D959,TODAY(),1))</f>
        <v/>
      </c>
      <c r="G959" s="173" t="str">
        <f ca="1">IF(C959="","",[1]!s_pq_pctchange(D959,TODAY()-$G$12,TODAY())/100)</f>
        <v/>
      </c>
      <c r="H959" s="249" t="str">
        <f ca="1">IF(C959="","",IF($H$11="收入",[1]!S_STM07_IS(D959,9,$G$5,$H$13)/$E$5,[1]!S_STM07_IS(D959,48,$G$5,$H$13)/$E$5))</f>
        <v/>
      </c>
      <c r="I959" s="249" t="str">
        <f ca="1">IF(C959="","",IF($I$11="毛利率",([1]!S_STM07_IS(D959,9,$G$5,$H$13)-[1]!S_STM07_IS(D959,10,$G$5,$H$13))/[1]!S_STM07_IS(D959,9,$G$5,$H$13),[1]!S_STM07_IS(D959,14,$G$5,$H$13)/$E$5))</f>
        <v/>
      </c>
      <c r="J959" s="249" t="str">
        <f ca="1">IF(C959="","",IF($J$11="营业利润率",[1]!S_STM07_IS(D959,48,$G$5,$H$13)/[1]!S_STM07_IS(D959,9,$G$5,$H$13),([1]!S_STM07_CS(D959,87,$G$5,$H$13)+[1]!S_STM07_CS(D959,88,$G$5,$H$13)+[1]!S_STM07_CS(D959,89,$G$5,$H$13))/$E$5))</f>
        <v/>
      </c>
      <c r="K959" s="249" t="str">
        <f ca="1">IF(C959="","",IF($K$11="净利润率",[1]!S_STM07_IS(D959,61,$G$5,$H$13)/[1]!S_STM07_IS(D959,9,$G$5,$H$13),[1]!S_STM07_IS(D959,55,$G$5,$H$13)/$E$5))</f>
        <v/>
      </c>
      <c r="L959" s="249" t="str">
        <f ca="1">IF(C959="","",IF($L$11="ROA",[1]!S_STM07_IS(D959,61,$G$5,$H$13)/[1]!S_STM07_BS(D959,74,$G$5,$H$13),1-[1]!S_STM07_IS(D959,61,$G$5,$H$13)/[1]!S_STM07_IS(D959,55,$G$5,$H$13)))</f>
        <v/>
      </c>
      <c r="M959" s="249" t="str">
        <f ca="1">IF(C959="","",IF($M$11="ROE",[1]!S_STM07_IS(D959,61,$G$5,$H$13)/[1]!S_STM07_BS(D959,141,$G$5,$H$13),([1]!S_STM07_BS(D959,25,$G$5,$H$13)-[1]!S_STM07_BS(D959,93,$G$5,$H$13))/$E$5))</f>
        <v/>
      </c>
      <c r="N959" s="250" t="str">
        <f ca="1">IF(C959="","",IF($N$11="EPS",[1]!S_STM07_IS(D959,61,$G$5,$H$13)/IF([1]!S_SHARE_TOTAL(D959,$G$5)=0,[1]!S_SHARE_TOTAL(D959,[1]!s_ipo_listeddate(D959)),[1]!S_SHARE_TOTAL(D959,$G$5)),([1]!S_STM07_BS(D959,75,$G$5,$H$13)+[1]!S_STM07_BS(D959,88,$G$5,$H$13)+[1]!S_STM07_BS(D959,94,$G$5,$H$13)+[1]!S_STM07_BS(D959,95,$G$5,$H$13))/$E$5))</f>
        <v/>
      </c>
      <c r="O959" s="250" t="str">
        <f ca="1">IF(C959="","",IF($O$11="BPS",[1]!S_STM07_BS(D959,141,$G$5,$H$13)/IF([1]!S_SHARE_TOTAL(D959,$G$5)=0,[1]!S_SHARE_TOTAL(D959,[1]!s_ipo_listeddate(D959)),[1]!S_SHARE_TOTAL(D959,$G$5)),[1]!S_STM07_CS(D959,49,$G$5,$H$13)/$E$5))</f>
        <v/>
      </c>
      <c r="P959" s="250" t="str">
        <f ca="1">IF(C959="","",IF($P$11="CFPS",[1]!S_STM07_CS(D959,84,$G$5,$H$13)/IF([1]!S_SHARE_TOTAL(D959,$G$5)=0,[1]!S_SHARE_TOTAL(D959,[1]!s_ipo_listeddate(D959)),[1]!S_SHARE_TOTAL(D959,$G$5)),[1]!S_STM07_CS(D959,84,$G$5,$H$13)/$E$5))</f>
        <v/>
      </c>
      <c r="Q959" s="198" t="str">
        <f ca="1">IF(C959="","",F959/([1]!S_STM07_IS(D959,61,$G$5,$H$13)/IF([1]!S_SHARE_TOTAL(D959,$G$5)=0,[1]!S_SHARE_TOTAL(D959,[1]!s_ipo_listeddate(D959)),[1]!S_SHARE_TOTAL(D959,$G$5))))</f>
        <v/>
      </c>
      <c r="R959" s="198" t="str">
        <f ca="1">IF(C959="","",F959/([1]!S_STM07_BS(D959,141,$G$5,$H$13)/IF([1]!S_SHARE_TOTAL(D959,$G$5)=0,[1]!S_SHARE_TOTAL(D959,[1]!s_ipo_listeddate(D959)),[1]!S_SHARE_TOTAL(D959,$G$5))))</f>
        <v/>
      </c>
      <c r="S959" s="249" t="str">
        <f ca="1">IF(C959="","",[1]!S_SHARE_TOTAL(D959,TODAY())/$E$5)</f>
        <v/>
      </c>
      <c r="T959" s="249" t="str">
        <f t="shared" ca="1" si="97"/>
        <v/>
      </c>
      <c r="U959" s="172" t="str">
        <f t="shared" ca="1" si="98"/>
        <v/>
      </c>
      <c r="V959" s="343" t="str">
        <f t="shared" ca="1" si="99"/>
        <v/>
      </c>
      <c r="W959" s="139"/>
      <c r="Y959" s="1"/>
    </row>
    <row r="960" spans="3:25" ht="12" customHeight="1">
      <c r="C960" s="342" t="str">
        <f t="shared" ca="1" si="94"/>
        <v/>
      </c>
      <c r="D960" s="153" t="str">
        <f t="shared" ca="1" si="95"/>
        <v/>
      </c>
      <c r="E960" s="153" t="str">
        <f t="shared" ca="1" si="96"/>
        <v/>
      </c>
      <c r="F960" s="170" t="str">
        <f ca="1">IF(C960="","",[1]!S_DQ_CLOSE(D960,TODAY(),1))</f>
        <v/>
      </c>
      <c r="G960" s="171" t="str">
        <f ca="1">IF(C960="","",[1]!s_pq_pctchange(D960,TODAY()-$G$12,TODAY())/100)</f>
        <v/>
      </c>
      <c r="H960" s="247" t="str">
        <f ca="1">IF(C960="","",IF($H$11="收入",[1]!S_STM07_IS(D960,9,$G$5,$H$13)/$E$5,[1]!S_STM07_IS(D960,48,$G$5,$H$13)/$E$5))</f>
        <v/>
      </c>
      <c r="I960" s="247" t="str">
        <f ca="1">IF(C960="","",IF($I$11="毛利率",([1]!S_STM07_IS(D960,9,$G$5,$H$13)-[1]!S_STM07_IS(D960,10,$G$5,$H$13))/[1]!S_STM07_IS(D960,9,$G$5,$H$13),[1]!S_STM07_IS(D960,14,$G$5,$H$13)/$E$5))</f>
        <v/>
      </c>
      <c r="J960" s="247" t="str">
        <f ca="1">IF(C960="","",IF($J$11="营业利润率",[1]!S_STM07_IS(D960,48,$G$5,$H$13)/[1]!S_STM07_IS(D960,9,$G$5,$H$13),([1]!S_STM07_CS(D960,87,$G$5,$H$13)+[1]!S_STM07_CS(D960,88,$G$5,$H$13)+[1]!S_STM07_CS(D960,89,$G$5,$H$13))/$E$5))</f>
        <v/>
      </c>
      <c r="K960" s="247" t="str">
        <f ca="1">IF(C960="","",IF($K$11="净利润率",[1]!S_STM07_IS(D960,61,$G$5,$H$13)/[1]!S_STM07_IS(D960,9,$G$5,$H$13),[1]!S_STM07_IS(D960,55,$G$5,$H$13)/$E$5))</f>
        <v/>
      </c>
      <c r="L960" s="247" t="str">
        <f ca="1">IF(C960="","",IF($L$11="ROA",[1]!S_STM07_IS(D960,61,$G$5,$H$13)/[1]!S_STM07_BS(D960,74,$G$5,$H$13),1-[1]!S_STM07_IS(D960,61,$G$5,$H$13)/[1]!S_STM07_IS(D960,55,$G$5,$H$13)))</f>
        <v/>
      </c>
      <c r="M960" s="247" t="str">
        <f ca="1">IF(C960="","",IF($M$11="ROE",[1]!S_STM07_IS(D960,61,$G$5,$H$13)/[1]!S_STM07_BS(D960,141,$G$5,$H$13),([1]!S_STM07_BS(D960,25,$G$5,$H$13)-[1]!S_STM07_BS(D960,93,$G$5,$H$13))/$E$5))</f>
        <v/>
      </c>
      <c r="N960" s="247" t="str">
        <f ca="1">IF(C960="","",IF($N$11="EPS",[1]!S_STM07_IS(D960,61,$G$5,$H$13)/IF([1]!S_SHARE_TOTAL(D960,$G$5)=0,[1]!S_SHARE_TOTAL(D960,[1]!s_ipo_listeddate(D960)),[1]!S_SHARE_TOTAL(D960,$G$5)),([1]!S_STM07_BS(D960,75,$G$5,$H$13)+[1]!S_STM07_BS(D960,88,$G$5,$H$13)+[1]!S_STM07_BS(D960,94,$G$5,$H$13)+[1]!S_STM07_BS(D960,95,$G$5,$H$13))/$E$5))</f>
        <v/>
      </c>
      <c r="O960" s="247" t="str">
        <f ca="1">IF(C960="","",IF($O$11="BPS",[1]!S_STM07_BS(D960,141,$G$5,$H$13)/IF([1]!S_SHARE_TOTAL(D960,$G$5)=0,[1]!S_SHARE_TOTAL(D960,[1]!s_ipo_listeddate(D960)),[1]!S_SHARE_TOTAL(D960,$G$5)),[1]!S_STM07_CS(D960,49,$G$5,$H$13)/$E$5))</f>
        <v/>
      </c>
      <c r="P960" s="247" t="str">
        <f ca="1">IF(C960="","",IF($P$11="CFPS",[1]!S_STM07_CS(D960,84,$G$5,$H$13)/IF([1]!S_SHARE_TOTAL(D960,$G$5)=0,[1]!S_SHARE_TOTAL(D960,[1]!s_ipo_listeddate(D960)),[1]!S_SHARE_TOTAL(D960,$G$5)),[1]!S_STM07_CS(D960,84,$G$5,$H$13)/$E$5))</f>
        <v/>
      </c>
      <c r="Q960" s="248" t="str">
        <f ca="1">IF(C960="","",F960/([1]!S_STM07_IS(D960,61,$G$5,$H$13)/IF([1]!S_SHARE_TOTAL(D960,$G$5)=0,[1]!S_SHARE_TOTAL(D960,[1]!s_ipo_listeddate(D960)),[1]!S_SHARE_TOTAL(D960,$G$5))))</f>
        <v/>
      </c>
      <c r="R960" s="248" t="str">
        <f ca="1">IF(C960="","",F960/([1]!S_STM07_BS(D960,141,$G$5,$H$13)/IF([1]!S_SHARE_TOTAL(D960,$G$5)=0,[1]!S_SHARE_TOTAL(D960,[1]!s_ipo_listeddate(D960)),[1]!S_SHARE_TOTAL(D960,$G$5))))</f>
        <v/>
      </c>
      <c r="S960" s="247" t="str">
        <f ca="1">IF(C960="","",[1]!S_SHARE_TOTAL(D960,TODAY())/$E$5)</f>
        <v/>
      </c>
      <c r="T960" s="247" t="str">
        <f t="shared" ca="1" si="97"/>
        <v/>
      </c>
      <c r="U960" s="218" t="str">
        <f t="shared" ca="1" si="98"/>
        <v/>
      </c>
      <c r="V960" s="342" t="str">
        <f t="shared" ca="1" si="99"/>
        <v/>
      </c>
      <c r="W960" s="139"/>
      <c r="Y960" s="1"/>
    </row>
    <row r="961" spans="3:25" ht="12" customHeight="1">
      <c r="C961" s="343" t="str">
        <f t="shared" ca="1" si="94"/>
        <v/>
      </c>
      <c r="D961" s="124" t="str">
        <f t="shared" ca="1" si="95"/>
        <v/>
      </c>
      <c r="E961" s="124" t="str">
        <f t="shared" ca="1" si="96"/>
        <v/>
      </c>
      <c r="F961" s="172" t="str">
        <f ca="1">IF(C961="","",[1]!S_DQ_CLOSE(D961,TODAY(),1))</f>
        <v/>
      </c>
      <c r="G961" s="173" t="str">
        <f ca="1">IF(C961="","",[1]!s_pq_pctchange(D961,TODAY()-$G$12,TODAY())/100)</f>
        <v/>
      </c>
      <c r="H961" s="249" t="str">
        <f ca="1">IF(C961="","",IF($H$11="收入",[1]!S_STM07_IS(D961,9,$G$5,$H$13)/$E$5,[1]!S_STM07_IS(D961,48,$G$5,$H$13)/$E$5))</f>
        <v/>
      </c>
      <c r="I961" s="249" t="str">
        <f ca="1">IF(C961="","",IF($I$11="毛利率",([1]!S_STM07_IS(D961,9,$G$5,$H$13)-[1]!S_STM07_IS(D961,10,$G$5,$H$13))/[1]!S_STM07_IS(D961,9,$G$5,$H$13),[1]!S_STM07_IS(D961,14,$G$5,$H$13)/$E$5))</f>
        <v/>
      </c>
      <c r="J961" s="249" t="str">
        <f ca="1">IF(C961="","",IF($J$11="营业利润率",[1]!S_STM07_IS(D961,48,$G$5,$H$13)/[1]!S_STM07_IS(D961,9,$G$5,$H$13),([1]!S_STM07_CS(D961,87,$G$5,$H$13)+[1]!S_STM07_CS(D961,88,$G$5,$H$13)+[1]!S_STM07_CS(D961,89,$G$5,$H$13))/$E$5))</f>
        <v/>
      </c>
      <c r="K961" s="249" t="str">
        <f ca="1">IF(C961="","",IF($K$11="净利润率",[1]!S_STM07_IS(D961,61,$G$5,$H$13)/[1]!S_STM07_IS(D961,9,$G$5,$H$13),[1]!S_STM07_IS(D961,55,$G$5,$H$13)/$E$5))</f>
        <v/>
      </c>
      <c r="L961" s="249" t="str">
        <f ca="1">IF(C961="","",IF($L$11="ROA",[1]!S_STM07_IS(D961,61,$G$5,$H$13)/[1]!S_STM07_BS(D961,74,$G$5,$H$13),1-[1]!S_STM07_IS(D961,61,$G$5,$H$13)/[1]!S_STM07_IS(D961,55,$G$5,$H$13)))</f>
        <v/>
      </c>
      <c r="M961" s="249" t="str">
        <f ca="1">IF(C961="","",IF($M$11="ROE",[1]!S_STM07_IS(D961,61,$G$5,$H$13)/[1]!S_STM07_BS(D961,141,$G$5,$H$13),([1]!S_STM07_BS(D961,25,$G$5,$H$13)-[1]!S_STM07_BS(D961,93,$G$5,$H$13))/$E$5))</f>
        <v/>
      </c>
      <c r="N961" s="250" t="str">
        <f ca="1">IF(C961="","",IF($N$11="EPS",[1]!S_STM07_IS(D961,61,$G$5,$H$13)/IF([1]!S_SHARE_TOTAL(D961,$G$5)=0,[1]!S_SHARE_TOTAL(D961,[1]!s_ipo_listeddate(D961)),[1]!S_SHARE_TOTAL(D961,$G$5)),([1]!S_STM07_BS(D961,75,$G$5,$H$13)+[1]!S_STM07_BS(D961,88,$G$5,$H$13)+[1]!S_STM07_BS(D961,94,$G$5,$H$13)+[1]!S_STM07_BS(D961,95,$G$5,$H$13))/$E$5))</f>
        <v/>
      </c>
      <c r="O961" s="250" t="str">
        <f ca="1">IF(C961="","",IF($O$11="BPS",[1]!S_STM07_BS(D961,141,$G$5,$H$13)/IF([1]!S_SHARE_TOTAL(D961,$G$5)=0,[1]!S_SHARE_TOTAL(D961,[1]!s_ipo_listeddate(D961)),[1]!S_SHARE_TOTAL(D961,$G$5)),[1]!S_STM07_CS(D961,49,$G$5,$H$13)/$E$5))</f>
        <v/>
      </c>
      <c r="P961" s="250" t="str">
        <f ca="1">IF(C961="","",IF($P$11="CFPS",[1]!S_STM07_CS(D961,84,$G$5,$H$13)/IF([1]!S_SHARE_TOTAL(D961,$G$5)=0,[1]!S_SHARE_TOTAL(D961,[1]!s_ipo_listeddate(D961)),[1]!S_SHARE_TOTAL(D961,$G$5)),[1]!S_STM07_CS(D961,84,$G$5,$H$13)/$E$5))</f>
        <v/>
      </c>
      <c r="Q961" s="198" t="str">
        <f ca="1">IF(C961="","",F961/([1]!S_STM07_IS(D961,61,$G$5,$H$13)/IF([1]!S_SHARE_TOTAL(D961,$G$5)=0,[1]!S_SHARE_TOTAL(D961,[1]!s_ipo_listeddate(D961)),[1]!S_SHARE_TOTAL(D961,$G$5))))</f>
        <v/>
      </c>
      <c r="R961" s="198" t="str">
        <f ca="1">IF(C961="","",F961/([1]!S_STM07_BS(D961,141,$G$5,$H$13)/IF([1]!S_SHARE_TOTAL(D961,$G$5)=0,[1]!S_SHARE_TOTAL(D961,[1]!s_ipo_listeddate(D961)),[1]!S_SHARE_TOTAL(D961,$G$5))))</f>
        <v/>
      </c>
      <c r="S961" s="249" t="str">
        <f ca="1">IF(C961="","",[1]!S_SHARE_TOTAL(D961,TODAY())/$E$5)</f>
        <v/>
      </c>
      <c r="T961" s="249" t="str">
        <f t="shared" ca="1" si="97"/>
        <v/>
      </c>
      <c r="U961" s="172" t="str">
        <f t="shared" ca="1" si="98"/>
        <v/>
      </c>
      <c r="V961" s="343" t="str">
        <f t="shared" ca="1" si="99"/>
        <v/>
      </c>
      <c r="W961" s="139"/>
      <c r="Y961" s="1"/>
    </row>
    <row r="962" spans="3:25" ht="12" customHeight="1">
      <c r="C962" s="342" t="str">
        <f t="shared" ca="1" si="94"/>
        <v/>
      </c>
      <c r="D962" s="153" t="str">
        <f t="shared" ca="1" si="95"/>
        <v/>
      </c>
      <c r="E962" s="153" t="str">
        <f t="shared" ca="1" si="96"/>
        <v/>
      </c>
      <c r="F962" s="170" t="str">
        <f ca="1">IF(C962="","",[1]!S_DQ_CLOSE(D962,TODAY(),1))</f>
        <v/>
      </c>
      <c r="G962" s="171" t="str">
        <f ca="1">IF(C962="","",[1]!s_pq_pctchange(D962,TODAY()-$G$12,TODAY())/100)</f>
        <v/>
      </c>
      <c r="H962" s="247" t="str">
        <f ca="1">IF(C962="","",IF($H$11="收入",[1]!S_STM07_IS(D962,9,$G$5,$H$13)/$E$5,[1]!S_STM07_IS(D962,48,$G$5,$H$13)/$E$5))</f>
        <v/>
      </c>
      <c r="I962" s="247" t="str">
        <f ca="1">IF(C962="","",IF($I$11="毛利率",([1]!S_STM07_IS(D962,9,$G$5,$H$13)-[1]!S_STM07_IS(D962,10,$G$5,$H$13))/[1]!S_STM07_IS(D962,9,$G$5,$H$13),[1]!S_STM07_IS(D962,14,$G$5,$H$13)/$E$5))</f>
        <v/>
      </c>
      <c r="J962" s="247" t="str">
        <f ca="1">IF(C962="","",IF($J$11="营业利润率",[1]!S_STM07_IS(D962,48,$G$5,$H$13)/[1]!S_STM07_IS(D962,9,$G$5,$H$13),([1]!S_STM07_CS(D962,87,$G$5,$H$13)+[1]!S_STM07_CS(D962,88,$G$5,$H$13)+[1]!S_STM07_CS(D962,89,$G$5,$H$13))/$E$5))</f>
        <v/>
      </c>
      <c r="K962" s="247" t="str">
        <f ca="1">IF(C962="","",IF($K$11="净利润率",[1]!S_STM07_IS(D962,61,$G$5,$H$13)/[1]!S_STM07_IS(D962,9,$G$5,$H$13),[1]!S_STM07_IS(D962,55,$G$5,$H$13)/$E$5))</f>
        <v/>
      </c>
      <c r="L962" s="247" t="str">
        <f ca="1">IF(C962="","",IF($L$11="ROA",[1]!S_STM07_IS(D962,61,$G$5,$H$13)/[1]!S_STM07_BS(D962,74,$G$5,$H$13),1-[1]!S_STM07_IS(D962,61,$G$5,$H$13)/[1]!S_STM07_IS(D962,55,$G$5,$H$13)))</f>
        <v/>
      </c>
      <c r="M962" s="247" t="str">
        <f ca="1">IF(C962="","",IF($M$11="ROE",[1]!S_STM07_IS(D962,61,$G$5,$H$13)/[1]!S_STM07_BS(D962,141,$G$5,$H$13),([1]!S_STM07_BS(D962,25,$G$5,$H$13)-[1]!S_STM07_BS(D962,93,$G$5,$H$13))/$E$5))</f>
        <v/>
      </c>
      <c r="N962" s="247" t="str">
        <f ca="1">IF(C962="","",IF($N$11="EPS",[1]!S_STM07_IS(D962,61,$G$5,$H$13)/IF([1]!S_SHARE_TOTAL(D962,$G$5)=0,[1]!S_SHARE_TOTAL(D962,[1]!s_ipo_listeddate(D962)),[1]!S_SHARE_TOTAL(D962,$G$5)),([1]!S_STM07_BS(D962,75,$G$5,$H$13)+[1]!S_STM07_BS(D962,88,$G$5,$H$13)+[1]!S_STM07_BS(D962,94,$G$5,$H$13)+[1]!S_STM07_BS(D962,95,$G$5,$H$13))/$E$5))</f>
        <v/>
      </c>
      <c r="O962" s="247" t="str">
        <f ca="1">IF(C962="","",IF($O$11="BPS",[1]!S_STM07_BS(D962,141,$G$5,$H$13)/IF([1]!S_SHARE_TOTAL(D962,$G$5)=0,[1]!S_SHARE_TOTAL(D962,[1]!s_ipo_listeddate(D962)),[1]!S_SHARE_TOTAL(D962,$G$5)),[1]!S_STM07_CS(D962,49,$G$5,$H$13)/$E$5))</f>
        <v/>
      </c>
      <c r="P962" s="247" t="str">
        <f ca="1">IF(C962="","",IF($P$11="CFPS",[1]!S_STM07_CS(D962,84,$G$5,$H$13)/IF([1]!S_SHARE_TOTAL(D962,$G$5)=0,[1]!S_SHARE_TOTAL(D962,[1]!s_ipo_listeddate(D962)),[1]!S_SHARE_TOTAL(D962,$G$5)),[1]!S_STM07_CS(D962,84,$G$5,$H$13)/$E$5))</f>
        <v/>
      </c>
      <c r="Q962" s="248" t="str">
        <f ca="1">IF(C962="","",F962/([1]!S_STM07_IS(D962,61,$G$5,$H$13)/IF([1]!S_SHARE_TOTAL(D962,$G$5)=0,[1]!S_SHARE_TOTAL(D962,[1]!s_ipo_listeddate(D962)),[1]!S_SHARE_TOTAL(D962,$G$5))))</f>
        <v/>
      </c>
      <c r="R962" s="248" t="str">
        <f ca="1">IF(C962="","",F962/([1]!S_STM07_BS(D962,141,$G$5,$H$13)/IF([1]!S_SHARE_TOTAL(D962,$G$5)=0,[1]!S_SHARE_TOTAL(D962,[1]!s_ipo_listeddate(D962)),[1]!S_SHARE_TOTAL(D962,$G$5))))</f>
        <v/>
      </c>
      <c r="S962" s="247" t="str">
        <f ca="1">IF(C962="","",[1]!S_SHARE_TOTAL(D962,TODAY())/$E$5)</f>
        <v/>
      </c>
      <c r="T962" s="247" t="str">
        <f t="shared" ca="1" si="97"/>
        <v/>
      </c>
      <c r="U962" s="218" t="str">
        <f t="shared" ca="1" si="98"/>
        <v/>
      </c>
      <c r="V962" s="342" t="str">
        <f t="shared" ca="1" si="99"/>
        <v/>
      </c>
      <c r="W962" s="139"/>
      <c r="Y962" s="1"/>
    </row>
    <row r="963" spans="3:25" ht="12" customHeight="1">
      <c r="C963" s="343" t="str">
        <f t="shared" ca="1" si="94"/>
        <v/>
      </c>
      <c r="D963" s="124" t="str">
        <f t="shared" ca="1" si="95"/>
        <v/>
      </c>
      <c r="E963" s="124" t="str">
        <f t="shared" ca="1" si="96"/>
        <v/>
      </c>
      <c r="F963" s="172" t="str">
        <f ca="1">IF(C963="","",[1]!S_DQ_CLOSE(D963,TODAY(),1))</f>
        <v/>
      </c>
      <c r="G963" s="173" t="str">
        <f ca="1">IF(C963="","",[1]!s_pq_pctchange(D963,TODAY()-$G$12,TODAY())/100)</f>
        <v/>
      </c>
      <c r="H963" s="249" t="str">
        <f ca="1">IF(C963="","",IF($H$11="收入",[1]!S_STM07_IS(D963,9,$G$5,$H$13)/$E$5,[1]!S_STM07_IS(D963,48,$G$5,$H$13)/$E$5))</f>
        <v/>
      </c>
      <c r="I963" s="249" t="str">
        <f ca="1">IF(C963="","",IF($I$11="毛利率",([1]!S_STM07_IS(D963,9,$G$5,$H$13)-[1]!S_STM07_IS(D963,10,$G$5,$H$13))/[1]!S_STM07_IS(D963,9,$G$5,$H$13),[1]!S_STM07_IS(D963,14,$G$5,$H$13)/$E$5))</f>
        <v/>
      </c>
      <c r="J963" s="249" t="str">
        <f ca="1">IF(C963="","",IF($J$11="营业利润率",[1]!S_STM07_IS(D963,48,$G$5,$H$13)/[1]!S_STM07_IS(D963,9,$G$5,$H$13),([1]!S_STM07_CS(D963,87,$G$5,$H$13)+[1]!S_STM07_CS(D963,88,$G$5,$H$13)+[1]!S_STM07_CS(D963,89,$G$5,$H$13))/$E$5))</f>
        <v/>
      </c>
      <c r="K963" s="249" t="str">
        <f ca="1">IF(C963="","",IF($K$11="净利润率",[1]!S_STM07_IS(D963,61,$G$5,$H$13)/[1]!S_STM07_IS(D963,9,$G$5,$H$13),[1]!S_STM07_IS(D963,55,$G$5,$H$13)/$E$5))</f>
        <v/>
      </c>
      <c r="L963" s="249" t="str">
        <f ca="1">IF(C963="","",IF($L$11="ROA",[1]!S_STM07_IS(D963,61,$G$5,$H$13)/[1]!S_STM07_BS(D963,74,$G$5,$H$13),1-[1]!S_STM07_IS(D963,61,$G$5,$H$13)/[1]!S_STM07_IS(D963,55,$G$5,$H$13)))</f>
        <v/>
      </c>
      <c r="M963" s="249" t="str">
        <f ca="1">IF(C963="","",IF($M$11="ROE",[1]!S_STM07_IS(D963,61,$G$5,$H$13)/[1]!S_STM07_BS(D963,141,$G$5,$H$13),([1]!S_STM07_BS(D963,25,$G$5,$H$13)-[1]!S_STM07_BS(D963,93,$G$5,$H$13))/$E$5))</f>
        <v/>
      </c>
      <c r="N963" s="250" t="str">
        <f ca="1">IF(C963="","",IF($N$11="EPS",[1]!S_STM07_IS(D963,61,$G$5,$H$13)/IF([1]!S_SHARE_TOTAL(D963,$G$5)=0,[1]!S_SHARE_TOTAL(D963,[1]!s_ipo_listeddate(D963)),[1]!S_SHARE_TOTAL(D963,$G$5)),([1]!S_STM07_BS(D963,75,$G$5,$H$13)+[1]!S_STM07_BS(D963,88,$G$5,$H$13)+[1]!S_STM07_BS(D963,94,$G$5,$H$13)+[1]!S_STM07_BS(D963,95,$G$5,$H$13))/$E$5))</f>
        <v/>
      </c>
      <c r="O963" s="250" t="str">
        <f ca="1">IF(C963="","",IF($O$11="BPS",[1]!S_STM07_BS(D963,141,$G$5,$H$13)/IF([1]!S_SHARE_TOTAL(D963,$G$5)=0,[1]!S_SHARE_TOTAL(D963,[1]!s_ipo_listeddate(D963)),[1]!S_SHARE_TOTAL(D963,$G$5)),[1]!S_STM07_CS(D963,49,$G$5,$H$13)/$E$5))</f>
        <v/>
      </c>
      <c r="P963" s="250" t="str">
        <f ca="1">IF(C963="","",IF($P$11="CFPS",[1]!S_STM07_CS(D963,84,$G$5,$H$13)/IF([1]!S_SHARE_TOTAL(D963,$G$5)=0,[1]!S_SHARE_TOTAL(D963,[1]!s_ipo_listeddate(D963)),[1]!S_SHARE_TOTAL(D963,$G$5)),[1]!S_STM07_CS(D963,84,$G$5,$H$13)/$E$5))</f>
        <v/>
      </c>
      <c r="Q963" s="198" t="str">
        <f ca="1">IF(C963="","",F963/([1]!S_STM07_IS(D963,61,$G$5,$H$13)/IF([1]!S_SHARE_TOTAL(D963,$G$5)=0,[1]!S_SHARE_TOTAL(D963,[1]!s_ipo_listeddate(D963)),[1]!S_SHARE_TOTAL(D963,$G$5))))</f>
        <v/>
      </c>
      <c r="R963" s="198" t="str">
        <f ca="1">IF(C963="","",F963/([1]!S_STM07_BS(D963,141,$G$5,$H$13)/IF([1]!S_SHARE_TOTAL(D963,$G$5)=0,[1]!S_SHARE_TOTAL(D963,[1]!s_ipo_listeddate(D963)),[1]!S_SHARE_TOTAL(D963,$G$5))))</f>
        <v/>
      </c>
      <c r="S963" s="249" t="str">
        <f ca="1">IF(C963="","",[1]!S_SHARE_TOTAL(D963,TODAY())/$E$5)</f>
        <v/>
      </c>
      <c r="T963" s="249" t="str">
        <f t="shared" ca="1" si="97"/>
        <v/>
      </c>
      <c r="U963" s="172" t="str">
        <f t="shared" ca="1" si="98"/>
        <v/>
      </c>
      <c r="V963" s="343" t="str">
        <f t="shared" ca="1" si="99"/>
        <v/>
      </c>
      <c r="W963" s="139"/>
      <c r="Y963" s="1"/>
    </row>
    <row r="964" spans="3:25" ht="12" customHeight="1">
      <c r="C964" s="342" t="str">
        <f t="shared" ca="1" si="94"/>
        <v/>
      </c>
      <c r="D964" s="153" t="str">
        <f t="shared" ca="1" si="95"/>
        <v/>
      </c>
      <c r="E964" s="153" t="str">
        <f t="shared" ca="1" si="96"/>
        <v/>
      </c>
      <c r="F964" s="170" t="str">
        <f ca="1">IF(C964="","",[1]!S_DQ_CLOSE(D964,TODAY(),1))</f>
        <v/>
      </c>
      <c r="G964" s="171" t="str">
        <f ca="1">IF(C964="","",[1]!s_pq_pctchange(D964,TODAY()-$G$12,TODAY())/100)</f>
        <v/>
      </c>
      <c r="H964" s="247" t="str">
        <f ca="1">IF(C964="","",IF($H$11="收入",[1]!S_STM07_IS(D964,9,$G$5,$H$13)/$E$5,[1]!S_STM07_IS(D964,48,$G$5,$H$13)/$E$5))</f>
        <v/>
      </c>
      <c r="I964" s="247" t="str">
        <f ca="1">IF(C964="","",IF($I$11="毛利率",([1]!S_STM07_IS(D964,9,$G$5,$H$13)-[1]!S_STM07_IS(D964,10,$G$5,$H$13))/[1]!S_STM07_IS(D964,9,$G$5,$H$13),[1]!S_STM07_IS(D964,14,$G$5,$H$13)/$E$5))</f>
        <v/>
      </c>
      <c r="J964" s="247" t="str">
        <f ca="1">IF(C964="","",IF($J$11="营业利润率",[1]!S_STM07_IS(D964,48,$G$5,$H$13)/[1]!S_STM07_IS(D964,9,$G$5,$H$13),([1]!S_STM07_CS(D964,87,$G$5,$H$13)+[1]!S_STM07_CS(D964,88,$G$5,$H$13)+[1]!S_STM07_CS(D964,89,$G$5,$H$13))/$E$5))</f>
        <v/>
      </c>
      <c r="K964" s="247" t="str">
        <f ca="1">IF(C964="","",IF($K$11="净利润率",[1]!S_STM07_IS(D964,61,$G$5,$H$13)/[1]!S_STM07_IS(D964,9,$G$5,$H$13),[1]!S_STM07_IS(D964,55,$G$5,$H$13)/$E$5))</f>
        <v/>
      </c>
      <c r="L964" s="247" t="str">
        <f ca="1">IF(C964="","",IF($L$11="ROA",[1]!S_STM07_IS(D964,61,$G$5,$H$13)/[1]!S_STM07_BS(D964,74,$G$5,$H$13),1-[1]!S_STM07_IS(D964,61,$G$5,$H$13)/[1]!S_STM07_IS(D964,55,$G$5,$H$13)))</f>
        <v/>
      </c>
      <c r="M964" s="247" t="str">
        <f ca="1">IF(C964="","",IF($M$11="ROE",[1]!S_STM07_IS(D964,61,$G$5,$H$13)/[1]!S_STM07_BS(D964,141,$G$5,$H$13),([1]!S_STM07_BS(D964,25,$G$5,$H$13)-[1]!S_STM07_BS(D964,93,$G$5,$H$13))/$E$5))</f>
        <v/>
      </c>
      <c r="N964" s="247" t="str">
        <f ca="1">IF(C964="","",IF($N$11="EPS",[1]!S_STM07_IS(D964,61,$G$5,$H$13)/IF([1]!S_SHARE_TOTAL(D964,$G$5)=0,[1]!S_SHARE_TOTAL(D964,[1]!s_ipo_listeddate(D964)),[1]!S_SHARE_TOTAL(D964,$G$5)),([1]!S_STM07_BS(D964,75,$G$5,$H$13)+[1]!S_STM07_BS(D964,88,$G$5,$H$13)+[1]!S_STM07_BS(D964,94,$G$5,$H$13)+[1]!S_STM07_BS(D964,95,$G$5,$H$13))/$E$5))</f>
        <v/>
      </c>
      <c r="O964" s="247" t="str">
        <f ca="1">IF(C964="","",IF($O$11="BPS",[1]!S_STM07_BS(D964,141,$G$5,$H$13)/IF([1]!S_SHARE_TOTAL(D964,$G$5)=0,[1]!S_SHARE_TOTAL(D964,[1]!s_ipo_listeddate(D964)),[1]!S_SHARE_TOTAL(D964,$G$5)),[1]!S_STM07_CS(D964,49,$G$5,$H$13)/$E$5))</f>
        <v/>
      </c>
      <c r="P964" s="247" t="str">
        <f ca="1">IF(C964="","",IF($P$11="CFPS",[1]!S_STM07_CS(D964,84,$G$5,$H$13)/IF([1]!S_SHARE_TOTAL(D964,$G$5)=0,[1]!S_SHARE_TOTAL(D964,[1]!s_ipo_listeddate(D964)),[1]!S_SHARE_TOTAL(D964,$G$5)),[1]!S_STM07_CS(D964,84,$G$5,$H$13)/$E$5))</f>
        <v/>
      </c>
      <c r="Q964" s="248" t="str">
        <f ca="1">IF(C964="","",F964/([1]!S_STM07_IS(D964,61,$G$5,$H$13)/IF([1]!S_SHARE_TOTAL(D964,$G$5)=0,[1]!S_SHARE_TOTAL(D964,[1]!s_ipo_listeddate(D964)),[1]!S_SHARE_TOTAL(D964,$G$5))))</f>
        <v/>
      </c>
      <c r="R964" s="248" t="str">
        <f ca="1">IF(C964="","",F964/([1]!S_STM07_BS(D964,141,$G$5,$H$13)/IF([1]!S_SHARE_TOTAL(D964,$G$5)=0,[1]!S_SHARE_TOTAL(D964,[1]!s_ipo_listeddate(D964)),[1]!S_SHARE_TOTAL(D964,$G$5))))</f>
        <v/>
      </c>
      <c r="S964" s="247" t="str">
        <f ca="1">IF(C964="","",[1]!S_SHARE_TOTAL(D964,TODAY())/$E$5)</f>
        <v/>
      </c>
      <c r="T964" s="247" t="str">
        <f t="shared" ca="1" si="97"/>
        <v/>
      </c>
      <c r="U964" s="218" t="str">
        <f t="shared" ca="1" si="98"/>
        <v/>
      </c>
      <c r="V964" s="342" t="str">
        <f t="shared" ca="1" si="99"/>
        <v/>
      </c>
      <c r="W964" s="139"/>
      <c r="Y964" s="1"/>
    </row>
    <row r="965" spans="3:25" ht="12" customHeight="1">
      <c r="C965" s="343" t="str">
        <f t="shared" ca="1" si="94"/>
        <v/>
      </c>
      <c r="D965" s="124" t="str">
        <f t="shared" ca="1" si="95"/>
        <v/>
      </c>
      <c r="E965" s="124" t="str">
        <f t="shared" ca="1" si="96"/>
        <v/>
      </c>
      <c r="F965" s="172" t="str">
        <f ca="1">IF(C965="","",[1]!S_DQ_CLOSE(D965,TODAY(),1))</f>
        <v/>
      </c>
      <c r="G965" s="173" t="str">
        <f ca="1">IF(C965="","",[1]!s_pq_pctchange(D965,TODAY()-$G$12,TODAY())/100)</f>
        <v/>
      </c>
      <c r="H965" s="249" t="str">
        <f ca="1">IF(C965="","",IF($H$11="收入",[1]!S_STM07_IS(D965,9,$G$5,$H$13)/$E$5,[1]!S_STM07_IS(D965,48,$G$5,$H$13)/$E$5))</f>
        <v/>
      </c>
      <c r="I965" s="249" t="str">
        <f ca="1">IF(C965="","",IF($I$11="毛利率",([1]!S_STM07_IS(D965,9,$G$5,$H$13)-[1]!S_STM07_IS(D965,10,$G$5,$H$13))/[1]!S_STM07_IS(D965,9,$G$5,$H$13),[1]!S_STM07_IS(D965,14,$G$5,$H$13)/$E$5))</f>
        <v/>
      </c>
      <c r="J965" s="249" t="str">
        <f ca="1">IF(C965="","",IF($J$11="营业利润率",[1]!S_STM07_IS(D965,48,$G$5,$H$13)/[1]!S_STM07_IS(D965,9,$G$5,$H$13),([1]!S_STM07_CS(D965,87,$G$5,$H$13)+[1]!S_STM07_CS(D965,88,$G$5,$H$13)+[1]!S_STM07_CS(D965,89,$G$5,$H$13))/$E$5))</f>
        <v/>
      </c>
      <c r="K965" s="249" t="str">
        <f ca="1">IF(C965="","",IF($K$11="净利润率",[1]!S_STM07_IS(D965,61,$G$5,$H$13)/[1]!S_STM07_IS(D965,9,$G$5,$H$13),[1]!S_STM07_IS(D965,55,$G$5,$H$13)/$E$5))</f>
        <v/>
      </c>
      <c r="L965" s="249" t="str">
        <f ca="1">IF(C965="","",IF($L$11="ROA",[1]!S_STM07_IS(D965,61,$G$5,$H$13)/[1]!S_STM07_BS(D965,74,$G$5,$H$13),1-[1]!S_STM07_IS(D965,61,$G$5,$H$13)/[1]!S_STM07_IS(D965,55,$G$5,$H$13)))</f>
        <v/>
      </c>
      <c r="M965" s="249" t="str">
        <f ca="1">IF(C965="","",IF($M$11="ROE",[1]!S_STM07_IS(D965,61,$G$5,$H$13)/[1]!S_STM07_BS(D965,141,$G$5,$H$13),([1]!S_STM07_BS(D965,25,$G$5,$H$13)-[1]!S_STM07_BS(D965,93,$G$5,$H$13))/$E$5))</f>
        <v/>
      </c>
      <c r="N965" s="250" t="str">
        <f ca="1">IF(C965="","",IF($N$11="EPS",[1]!S_STM07_IS(D965,61,$G$5,$H$13)/IF([1]!S_SHARE_TOTAL(D965,$G$5)=0,[1]!S_SHARE_TOTAL(D965,[1]!s_ipo_listeddate(D965)),[1]!S_SHARE_TOTAL(D965,$G$5)),([1]!S_STM07_BS(D965,75,$G$5,$H$13)+[1]!S_STM07_BS(D965,88,$G$5,$H$13)+[1]!S_STM07_BS(D965,94,$G$5,$H$13)+[1]!S_STM07_BS(D965,95,$G$5,$H$13))/$E$5))</f>
        <v/>
      </c>
      <c r="O965" s="250" t="str">
        <f ca="1">IF(C965="","",IF($O$11="BPS",[1]!S_STM07_BS(D965,141,$G$5,$H$13)/IF([1]!S_SHARE_TOTAL(D965,$G$5)=0,[1]!S_SHARE_TOTAL(D965,[1]!s_ipo_listeddate(D965)),[1]!S_SHARE_TOTAL(D965,$G$5)),[1]!S_STM07_CS(D965,49,$G$5,$H$13)/$E$5))</f>
        <v/>
      </c>
      <c r="P965" s="250" t="str">
        <f ca="1">IF(C965="","",IF($P$11="CFPS",[1]!S_STM07_CS(D965,84,$G$5,$H$13)/IF([1]!S_SHARE_TOTAL(D965,$G$5)=0,[1]!S_SHARE_TOTAL(D965,[1]!s_ipo_listeddate(D965)),[1]!S_SHARE_TOTAL(D965,$G$5)),[1]!S_STM07_CS(D965,84,$G$5,$H$13)/$E$5))</f>
        <v/>
      </c>
      <c r="Q965" s="198" t="str">
        <f ca="1">IF(C965="","",F965/([1]!S_STM07_IS(D965,61,$G$5,$H$13)/IF([1]!S_SHARE_TOTAL(D965,$G$5)=0,[1]!S_SHARE_TOTAL(D965,[1]!s_ipo_listeddate(D965)),[1]!S_SHARE_TOTAL(D965,$G$5))))</f>
        <v/>
      </c>
      <c r="R965" s="198" t="str">
        <f ca="1">IF(C965="","",F965/([1]!S_STM07_BS(D965,141,$G$5,$H$13)/IF([1]!S_SHARE_TOTAL(D965,$G$5)=0,[1]!S_SHARE_TOTAL(D965,[1]!s_ipo_listeddate(D965)),[1]!S_SHARE_TOTAL(D965,$G$5))))</f>
        <v/>
      </c>
      <c r="S965" s="249" t="str">
        <f ca="1">IF(C965="","",[1]!S_SHARE_TOTAL(D965,TODAY())/$E$5)</f>
        <v/>
      </c>
      <c r="T965" s="249" t="str">
        <f t="shared" ca="1" si="97"/>
        <v/>
      </c>
      <c r="U965" s="172" t="str">
        <f t="shared" ca="1" si="98"/>
        <v/>
      </c>
      <c r="V965" s="343" t="str">
        <f t="shared" ca="1" si="99"/>
        <v/>
      </c>
      <c r="W965" s="139"/>
      <c r="Y965" s="1"/>
    </row>
    <row r="966" spans="3:25" ht="12" customHeight="1">
      <c r="C966" s="342" t="str">
        <f t="shared" ca="1" si="94"/>
        <v/>
      </c>
      <c r="D966" s="153" t="str">
        <f t="shared" ca="1" si="95"/>
        <v/>
      </c>
      <c r="E966" s="153" t="str">
        <f t="shared" ca="1" si="96"/>
        <v/>
      </c>
      <c r="F966" s="170" t="str">
        <f ca="1">IF(C966="","",[1]!S_DQ_CLOSE(D966,TODAY(),1))</f>
        <v/>
      </c>
      <c r="G966" s="171" t="str">
        <f ca="1">IF(C966="","",[1]!s_pq_pctchange(D966,TODAY()-$G$12,TODAY())/100)</f>
        <v/>
      </c>
      <c r="H966" s="247" t="str">
        <f ca="1">IF(C966="","",IF($H$11="收入",[1]!S_STM07_IS(D966,9,$G$5,$H$13)/$E$5,[1]!S_STM07_IS(D966,48,$G$5,$H$13)/$E$5))</f>
        <v/>
      </c>
      <c r="I966" s="247" t="str">
        <f ca="1">IF(C966="","",IF($I$11="毛利率",([1]!S_STM07_IS(D966,9,$G$5,$H$13)-[1]!S_STM07_IS(D966,10,$G$5,$H$13))/[1]!S_STM07_IS(D966,9,$G$5,$H$13),[1]!S_STM07_IS(D966,14,$G$5,$H$13)/$E$5))</f>
        <v/>
      </c>
      <c r="J966" s="247" t="str">
        <f ca="1">IF(C966="","",IF($J$11="营业利润率",[1]!S_STM07_IS(D966,48,$G$5,$H$13)/[1]!S_STM07_IS(D966,9,$G$5,$H$13),([1]!S_STM07_CS(D966,87,$G$5,$H$13)+[1]!S_STM07_CS(D966,88,$G$5,$H$13)+[1]!S_STM07_CS(D966,89,$G$5,$H$13))/$E$5))</f>
        <v/>
      </c>
      <c r="K966" s="247" t="str">
        <f ca="1">IF(C966="","",IF($K$11="净利润率",[1]!S_STM07_IS(D966,61,$G$5,$H$13)/[1]!S_STM07_IS(D966,9,$G$5,$H$13),[1]!S_STM07_IS(D966,55,$G$5,$H$13)/$E$5))</f>
        <v/>
      </c>
      <c r="L966" s="247" t="str">
        <f ca="1">IF(C966="","",IF($L$11="ROA",[1]!S_STM07_IS(D966,61,$G$5,$H$13)/[1]!S_STM07_BS(D966,74,$G$5,$H$13),1-[1]!S_STM07_IS(D966,61,$G$5,$H$13)/[1]!S_STM07_IS(D966,55,$G$5,$H$13)))</f>
        <v/>
      </c>
      <c r="M966" s="247" t="str">
        <f ca="1">IF(C966="","",IF($M$11="ROE",[1]!S_STM07_IS(D966,61,$G$5,$H$13)/[1]!S_STM07_BS(D966,141,$G$5,$H$13),([1]!S_STM07_BS(D966,25,$G$5,$H$13)-[1]!S_STM07_BS(D966,93,$G$5,$H$13))/$E$5))</f>
        <v/>
      </c>
      <c r="N966" s="247" t="str">
        <f ca="1">IF(C966="","",IF($N$11="EPS",[1]!S_STM07_IS(D966,61,$G$5,$H$13)/IF([1]!S_SHARE_TOTAL(D966,$G$5)=0,[1]!S_SHARE_TOTAL(D966,[1]!s_ipo_listeddate(D966)),[1]!S_SHARE_TOTAL(D966,$G$5)),([1]!S_STM07_BS(D966,75,$G$5,$H$13)+[1]!S_STM07_BS(D966,88,$G$5,$H$13)+[1]!S_STM07_BS(D966,94,$G$5,$H$13)+[1]!S_STM07_BS(D966,95,$G$5,$H$13))/$E$5))</f>
        <v/>
      </c>
      <c r="O966" s="247" t="str">
        <f ca="1">IF(C966="","",IF($O$11="BPS",[1]!S_STM07_BS(D966,141,$G$5,$H$13)/IF([1]!S_SHARE_TOTAL(D966,$G$5)=0,[1]!S_SHARE_TOTAL(D966,[1]!s_ipo_listeddate(D966)),[1]!S_SHARE_TOTAL(D966,$G$5)),[1]!S_STM07_CS(D966,49,$G$5,$H$13)/$E$5))</f>
        <v/>
      </c>
      <c r="P966" s="247" t="str">
        <f ca="1">IF(C966="","",IF($P$11="CFPS",[1]!S_STM07_CS(D966,84,$G$5,$H$13)/IF([1]!S_SHARE_TOTAL(D966,$G$5)=0,[1]!S_SHARE_TOTAL(D966,[1]!s_ipo_listeddate(D966)),[1]!S_SHARE_TOTAL(D966,$G$5)),[1]!S_STM07_CS(D966,84,$G$5,$H$13)/$E$5))</f>
        <v/>
      </c>
      <c r="Q966" s="248" t="str">
        <f ca="1">IF(C966="","",F966/([1]!S_STM07_IS(D966,61,$G$5,$H$13)/IF([1]!S_SHARE_TOTAL(D966,$G$5)=0,[1]!S_SHARE_TOTAL(D966,[1]!s_ipo_listeddate(D966)),[1]!S_SHARE_TOTAL(D966,$G$5))))</f>
        <v/>
      </c>
      <c r="R966" s="248" t="str">
        <f ca="1">IF(C966="","",F966/([1]!S_STM07_BS(D966,141,$G$5,$H$13)/IF([1]!S_SHARE_TOTAL(D966,$G$5)=0,[1]!S_SHARE_TOTAL(D966,[1]!s_ipo_listeddate(D966)),[1]!S_SHARE_TOTAL(D966,$G$5))))</f>
        <v/>
      </c>
      <c r="S966" s="247" t="str">
        <f ca="1">IF(C966="","",[1]!S_SHARE_TOTAL(D966,TODAY())/$E$5)</f>
        <v/>
      </c>
      <c r="T966" s="247" t="str">
        <f t="shared" ca="1" si="97"/>
        <v/>
      </c>
      <c r="U966" s="218" t="str">
        <f t="shared" ca="1" si="98"/>
        <v/>
      </c>
      <c r="V966" s="342" t="str">
        <f t="shared" ca="1" si="99"/>
        <v/>
      </c>
      <c r="W966" s="139"/>
      <c r="Y966" s="1"/>
    </row>
    <row r="967" spans="3:25" ht="12" customHeight="1">
      <c r="C967" s="343" t="str">
        <f t="shared" ca="1" si="94"/>
        <v/>
      </c>
      <c r="D967" s="124" t="str">
        <f t="shared" ca="1" si="95"/>
        <v/>
      </c>
      <c r="E967" s="124" t="str">
        <f t="shared" ca="1" si="96"/>
        <v/>
      </c>
      <c r="F967" s="172" t="str">
        <f ca="1">IF(C967="","",[1]!S_DQ_CLOSE(D967,TODAY(),1))</f>
        <v/>
      </c>
      <c r="G967" s="173" t="str">
        <f ca="1">IF(C967="","",[1]!s_pq_pctchange(D967,TODAY()-$G$12,TODAY())/100)</f>
        <v/>
      </c>
      <c r="H967" s="249" t="str">
        <f ca="1">IF(C967="","",IF($H$11="收入",[1]!S_STM07_IS(D967,9,$G$5,$H$13)/$E$5,[1]!S_STM07_IS(D967,48,$G$5,$H$13)/$E$5))</f>
        <v/>
      </c>
      <c r="I967" s="249" t="str">
        <f ca="1">IF(C967="","",IF($I$11="毛利率",([1]!S_STM07_IS(D967,9,$G$5,$H$13)-[1]!S_STM07_IS(D967,10,$G$5,$H$13))/[1]!S_STM07_IS(D967,9,$G$5,$H$13),[1]!S_STM07_IS(D967,14,$G$5,$H$13)/$E$5))</f>
        <v/>
      </c>
      <c r="J967" s="249" t="str">
        <f ca="1">IF(C967="","",IF($J$11="营业利润率",[1]!S_STM07_IS(D967,48,$G$5,$H$13)/[1]!S_STM07_IS(D967,9,$G$5,$H$13),([1]!S_STM07_CS(D967,87,$G$5,$H$13)+[1]!S_STM07_CS(D967,88,$G$5,$H$13)+[1]!S_STM07_CS(D967,89,$G$5,$H$13))/$E$5))</f>
        <v/>
      </c>
      <c r="K967" s="249" t="str">
        <f ca="1">IF(C967="","",IF($K$11="净利润率",[1]!S_STM07_IS(D967,61,$G$5,$H$13)/[1]!S_STM07_IS(D967,9,$G$5,$H$13),[1]!S_STM07_IS(D967,55,$G$5,$H$13)/$E$5))</f>
        <v/>
      </c>
      <c r="L967" s="249" t="str">
        <f ca="1">IF(C967="","",IF($L$11="ROA",[1]!S_STM07_IS(D967,61,$G$5,$H$13)/[1]!S_STM07_BS(D967,74,$G$5,$H$13),1-[1]!S_STM07_IS(D967,61,$G$5,$H$13)/[1]!S_STM07_IS(D967,55,$G$5,$H$13)))</f>
        <v/>
      </c>
      <c r="M967" s="249" t="str">
        <f ca="1">IF(C967="","",IF($M$11="ROE",[1]!S_STM07_IS(D967,61,$G$5,$H$13)/[1]!S_STM07_BS(D967,141,$G$5,$H$13),([1]!S_STM07_BS(D967,25,$G$5,$H$13)-[1]!S_STM07_BS(D967,93,$G$5,$H$13))/$E$5))</f>
        <v/>
      </c>
      <c r="N967" s="250" t="str">
        <f ca="1">IF(C967="","",IF($N$11="EPS",[1]!S_STM07_IS(D967,61,$G$5,$H$13)/IF([1]!S_SHARE_TOTAL(D967,$G$5)=0,[1]!S_SHARE_TOTAL(D967,[1]!s_ipo_listeddate(D967)),[1]!S_SHARE_TOTAL(D967,$G$5)),([1]!S_STM07_BS(D967,75,$G$5,$H$13)+[1]!S_STM07_BS(D967,88,$G$5,$H$13)+[1]!S_STM07_BS(D967,94,$G$5,$H$13)+[1]!S_STM07_BS(D967,95,$G$5,$H$13))/$E$5))</f>
        <v/>
      </c>
      <c r="O967" s="250" t="str">
        <f ca="1">IF(C967="","",IF($O$11="BPS",[1]!S_STM07_BS(D967,141,$G$5,$H$13)/IF([1]!S_SHARE_TOTAL(D967,$G$5)=0,[1]!S_SHARE_TOTAL(D967,[1]!s_ipo_listeddate(D967)),[1]!S_SHARE_TOTAL(D967,$G$5)),[1]!S_STM07_CS(D967,49,$G$5,$H$13)/$E$5))</f>
        <v/>
      </c>
      <c r="P967" s="250" t="str">
        <f ca="1">IF(C967="","",IF($P$11="CFPS",[1]!S_STM07_CS(D967,84,$G$5,$H$13)/IF([1]!S_SHARE_TOTAL(D967,$G$5)=0,[1]!S_SHARE_TOTAL(D967,[1]!s_ipo_listeddate(D967)),[1]!S_SHARE_TOTAL(D967,$G$5)),[1]!S_STM07_CS(D967,84,$G$5,$H$13)/$E$5))</f>
        <v/>
      </c>
      <c r="Q967" s="198" t="str">
        <f ca="1">IF(C967="","",F967/([1]!S_STM07_IS(D967,61,$G$5,$H$13)/IF([1]!S_SHARE_TOTAL(D967,$G$5)=0,[1]!S_SHARE_TOTAL(D967,[1]!s_ipo_listeddate(D967)),[1]!S_SHARE_TOTAL(D967,$G$5))))</f>
        <v/>
      </c>
      <c r="R967" s="198" t="str">
        <f ca="1">IF(C967="","",F967/([1]!S_STM07_BS(D967,141,$G$5,$H$13)/IF([1]!S_SHARE_TOTAL(D967,$G$5)=0,[1]!S_SHARE_TOTAL(D967,[1]!s_ipo_listeddate(D967)),[1]!S_SHARE_TOTAL(D967,$G$5))))</f>
        <v/>
      </c>
      <c r="S967" s="249" t="str">
        <f ca="1">IF(C967="","",[1]!S_SHARE_TOTAL(D967,TODAY())/$E$5)</f>
        <v/>
      </c>
      <c r="T967" s="249" t="str">
        <f t="shared" ca="1" si="97"/>
        <v/>
      </c>
      <c r="U967" s="172" t="str">
        <f t="shared" ca="1" si="98"/>
        <v/>
      </c>
      <c r="V967" s="343" t="str">
        <f t="shared" ca="1" si="99"/>
        <v/>
      </c>
      <c r="W967" s="139"/>
      <c r="Y967" s="1"/>
    </row>
    <row r="968" spans="3:25" ht="12" customHeight="1">
      <c r="C968" s="342" t="str">
        <f t="shared" ca="1" si="94"/>
        <v/>
      </c>
      <c r="D968" s="153" t="str">
        <f t="shared" ca="1" si="95"/>
        <v/>
      </c>
      <c r="E968" s="153" t="str">
        <f t="shared" ca="1" si="96"/>
        <v/>
      </c>
      <c r="F968" s="170" t="str">
        <f ca="1">IF(C968="","",[1]!S_DQ_CLOSE(D968,TODAY(),1))</f>
        <v/>
      </c>
      <c r="G968" s="171" t="str">
        <f ca="1">IF(C968="","",[1]!s_pq_pctchange(D968,TODAY()-$G$12,TODAY())/100)</f>
        <v/>
      </c>
      <c r="H968" s="247" t="str">
        <f ca="1">IF(C968="","",IF($H$11="收入",[1]!S_STM07_IS(D968,9,$G$5,$H$13)/$E$5,[1]!S_STM07_IS(D968,48,$G$5,$H$13)/$E$5))</f>
        <v/>
      </c>
      <c r="I968" s="247" t="str">
        <f ca="1">IF(C968="","",IF($I$11="毛利率",([1]!S_STM07_IS(D968,9,$G$5,$H$13)-[1]!S_STM07_IS(D968,10,$G$5,$H$13))/[1]!S_STM07_IS(D968,9,$G$5,$H$13),[1]!S_STM07_IS(D968,14,$G$5,$H$13)/$E$5))</f>
        <v/>
      </c>
      <c r="J968" s="247" t="str">
        <f ca="1">IF(C968="","",IF($J$11="营业利润率",[1]!S_STM07_IS(D968,48,$G$5,$H$13)/[1]!S_STM07_IS(D968,9,$G$5,$H$13),([1]!S_STM07_CS(D968,87,$G$5,$H$13)+[1]!S_STM07_CS(D968,88,$G$5,$H$13)+[1]!S_STM07_CS(D968,89,$G$5,$H$13))/$E$5))</f>
        <v/>
      </c>
      <c r="K968" s="247" t="str">
        <f ca="1">IF(C968="","",IF($K$11="净利润率",[1]!S_STM07_IS(D968,61,$G$5,$H$13)/[1]!S_STM07_IS(D968,9,$G$5,$H$13),[1]!S_STM07_IS(D968,55,$G$5,$H$13)/$E$5))</f>
        <v/>
      </c>
      <c r="L968" s="247" t="str">
        <f ca="1">IF(C968="","",IF($L$11="ROA",[1]!S_STM07_IS(D968,61,$G$5,$H$13)/[1]!S_STM07_BS(D968,74,$G$5,$H$13),1-[1]!S_STM07_IS(D968,61,$G$5,$H$13)/[1]!S_STM07_IS(D968,55,$G$5,$H$13)))</f>
        <v/>
      </c>
      <c r="M968" s="247" t="str">
        <f ca="1">IF(C968="","",IF($M$11="ROE",[1]!S_STM07_IS(D968,61,$G$5,$H$13)/[1]!S_STM07_BS(D968,141,$G$5,$H$13),([1]!S_STM07_BS(D968,25,$G$5,$H$13)-[1]!S_STM07_BS(D968,93,$G$5,$H$13))/$E$5))</f>
        <v/>
      </c>
      <c r="N968" s="247" t="str">
        <f ca="1">IF(C968="","",IF($N$11="EPS",[1]!S_STM07_IS(D968,61,$G$5,$H$13)/IF([1]!S_SHARE_TOTAL(D968,$G$5)=0,[1]!S_SHARE_TOTAL(D968,[1]!s_ipo_listeddate(D968)),[1]!S_SHARE_TOTAL(D968,$G$5)),([1]!S_STM07_BS(D968,75,$G$5,$H$13)+[1]!S_STM07_BS(D968,88,$G$5,$H$13)+[1]!S_STM07_BS(D968,94,$G$5,$H$13)+[1]!S_STM07_BS(D968,95,$G$5,$H$13))/$E$5))</f>
        <v/>
      </c>
      <c r="O968" s="247" t="str">
        <f ca="1">IF(C968="","",IF($O$11="BPS",[1]!S_STM07_BS(D968,141,$G$5,$H$13)/IF([1]!S_SHARE_TOTAL(D968,$G$5)=0,[1]!S_SHARE_TOTAL(D968,[1]!s_ipo_listeddate(D968)),[1]!S_SHARE_TOTAL(D968,$G$5)),[1]!S_STM07_CS(D968,49,$G$5,$H$13)/$E$5))</f>
        <v/>
      </c>
      <c r="P968" s="247" t="str">
        <f ca="1">IF(C968="","",IF($P$11="CFPS",[1]!S_STM07_CS(D968,84,$G$5,$H$13)/IF([1]!S_SHARE_TOTAL(D968,$G$5)=0,[1]!S_SHARE_TOTAL(D968,[1]!s_ipo_listeddate(D968)),[1]!S_SHARE_TOTAL(D968,$G$5)),[1]!S_STM07_CS(D968,84,$G$5,$H$13)/$E$5))</f>
        <v/>
      </c>
      <c r="Q968" s="248" t="str">
        <f ca="1">IF(C968="","",F968/([1]!S_STM07_IS(D968,61,$G$5,$H$13)/IF([1]!S_SHARE_TOTAL(D968,$G$5)=0,[1]!S_SHARE_TOTAL(D968,[1]!s_ipo_listeddate(D968)),[1]!S_SHARE_TOTAL(D968,$G$5))))</f>
        <v/>
      </c>
      <c r="R968" s="248" t="str">
        <f ca="1">IF(C968="","",F968/([1]!S_STM07_BS(D968,141,$G$5,$H$13)/IF([1]!S_SHARE_TOTAL(D968,$G$5)=0,[1]!S_SHARE_TOTAL(D968,[1]!s_ipo_listeddate(D968)),[1]!S_SHARE_TOTAL(D968,$G$5))))</f>
        <v/>
      </c>
      <c r="S968" s="247" t="str">
        <f ca="1">IF(C968="","",[1]!S_SHARE_TOTAL(D968,TODAY())/$E$5)</f>
        <v/>
      </c>
      <c r="T968" s="247" t="str">
        <f t="shared" ca="1" si="97"/>
        <v/>
      </c>
      <c r="U968" s="218" t="str">
        <f t="shared" ca="1" si="98"/>
        <v/>
      </c>
      <c r="V968" s="342" t="str">
        <f t="shared" ca="1" si="99"/>
        <v/>
      </c>
      <c r="W968" s="139"/>
      <c r="Y968" s="1"/>
    </row>
    <row r="969" spans="3:25" ht="12" customHeight="1">
      <c r="C969" s="343" t="str">
        <f t="shared" ca="1" si="94"/>
        <v/>
      </c>
      <c r="D969" s="124" t="str">
        <f t="shared" ca="1" si="95"/>
        <v/>
      </c>
      <c r="E969" s="124" t="str">
        <f t="shared" ca="1" si="96"/>
        <v/>
      </c>
      <c r="F969" s="172" t="str">
        <f ca="1">IF(C969="","",[1]!S_DQ_CLOSE(D969,TODAY(),1))</f>
        <v/>
      </c>
      <c r="G969" s="173" t="str">
        <f ca="1">IF(C969="","",[1]!s_pq_pctchange(D969,TODAY()-$G$12,TODAY())/100)</f>
        <v/>
      </c>
      <c r="H969" s="249" t="str">
        <f ca="1">IF(C969="","",IF($H$11="收入",[1]!S_STM07_IS(D969,9,$G$5,$H$13)/$E$5,[1]!S_STM07_IS(D969,48,$G$5,$H$13)/$E$5))</f>
        <v/>
      </c>
      <c r="I969" s="249" t="str">
        <f ca="1">IF(C969="","",IF($I$11="毛利率",([1]!S_STM07_IS(D969,9,$G$5,$H$13)-[1]!S_STM07_IS(D969,10,$G$5,$H$13))/[1]!S_STM07_IS(D969,9,$G$5,$H$13),[1]!S_STM07_IS(D969,14,$G$5,$H$13)/$E$5))</f>
        <v/>
      </c>
      <c r="J969" s="249" t="str">
        <f ca="1">IF(C969="","",IF($J$11="营业利润率",[1]!S_STM07_IS(D969,48,$G$5,$H$13)/[1]!S_STM07_IS(D969,9,$G$5,$H$13),([1]!S_STM07_CS(D969,87,$G$5,$H$13)+[1]!S_STM07_CS(D969,88,$G$5,$H$13)+[1]!S_STM07_CS(D969,89,$G$5,$H$13))/$E$5))</f>
        <v/>
      </c>
      <c r="K969" s="249" t="str">
        <f ca="1">IF(C969="","",IF($K$11="净利润率",[1]!S_STM07_IS(D969,61,$G$5,$H$13)/[1]!S_STM07_IS(D969,9,$G$5,$H$13),[1]!S_STM07_IS(D969,55,$G$5,$H$13)/$E$5))</f>
        <v/>
      </c>
      <c r="L969" s="249" t="str">
        <f ca="1">IF(C969="","",IF($L$11="ROA",[1]!S_STM07_IS(D969,61,$G$5,$H$13)/[1]!S_STM07_BS(D969,74,$G$5,$H$13),1-[1]!S_STM07_IS(D969,61,$G$5,$H$13)/[1]!S_STM07_IS(D969,55,$G$5,$H$13)))</f>
        <v/>
      </c>
      <c r="M969" s="249" t="str">
        <f ca="1">IF(C969="","",IF($M$11="ROE",[1]!S_STM07_IS(D969,61,$G$5,$H$13)/[1]!S_STM07_BS(D969,141,$G$5,$H$13),([1]!S_STM07_BS(D969,25,$G$5,$H$13)-[1]!S_STM07_BS(D969,93,$G$5,$H$13))/$E$5))</f>
        <v/>
      </c>
      <c r="N969" s="250" t="str">
        <f ca="1">IF(C969="","",IF($N$11="EPS",[1]!S_STM07_IS(D969,61,$G$5,$H$13)/IF([1]!S_SHARE_TOTAL(D969,$G$5)=0,[1]!S_SHARE_TOTAL(D969,[1]!s_ipo_listeddate(D969)),[1]!S_SHARE_TOTAL(D969,$G$5)),([1]!S_STM07_BS(D969,75,$G$5,$H$13)+[1]!S_STM07_BS(D969,88,$G$5,$H$13)+[1]!S_STM07_BS(D969,94,$G$5,$H$13)+[1]!S_STM07_BS(D969,95,$G$5,$H$13))/$E$5))</f>
        <v/>
      </c>
      <c r="O969" s="250" t="str">
        <f ca="1">IF(C969="","",IF($O$11="BPS",[1]!S_STM07_BS(D969,141,$G$5,$H$13)/IF([1]!S_SHARE_TOTAL(D969,$G$5)=0,[1]!S_SHARE_TOTAL(D969,[1]!s_ipo_listeddate(D969)),[1]!S_SHARE_TOTAL(D969,$G$5)),[1]!S_STM07_CS(D969,49,$G$5,$H$13)/$E$5))</f>
        <v/>
      </c>
      <c r="P969" s="250" t="str">
        <f ca="1">IF(C969="","",IF($P$11="CFPS",[1]!S_STM07_CS(D969,84,$G$5,$H$13)/IF([1]!S_SHARE_TOTAL(D969,$G$5)=0,[1]!S_SHARE_TOTAL(D969,[1]!s_ipo_listeddate(D969)),[1]!S_SHARE_TOTAL(D969,$G$5)),[1]!S_STM07_CS(D969,84,$G$5,$H$13)/$E$5))</f>
        <v/>
      </c>
      <c r="Q969" s="198" t="str">
        <f ca="1">IF(C969="","",F969/([1]!S_STM07_IS(D969,61,$G$5,$H$13)/IF([1]!S_SHARE_TOTAL(D969,$G$5)=0,[1]!S_SHARE_TOTAL(D969,[1]!s_ipo_listeddate(D969)),[1]!S_SHARE_TOTAL(D969,$G$5))))</f>
        <v/>
      </c>
      <c r="R969" s="198" t="str">
        <f ca="1">IF(C969="","",F969/([1]!S_STM07_BS(D969,141,$G$5,$H$13)/IF([1]!S_SHARE_TOTAL(D969,$G$5)=0,[1]!S_SHARE_TOTAL(D969,[1]!s_ipo_listeddate(D969)),[1]!S_SHARE_TOTAL(D969,$G$5))))</f>
        <v/>
      </c>
      <c r="S969" s="249" t="str">
        <f ca="1">IF(C969="","",[1]!S_SHARE_TOTAL(D969,TODAY())/$E$5)</f>
        <v/>
      </c>
      <c r="T969" s="249" t="str">
        <f t="shared" ca="1" si="97"/>
        <v/>
      </c>
      <c r="U969" s="172" t="str">
        <f t="shared" ca="1" si="98"/>
        <v/>
      </c>
      <c r="V969" s="343" t="str">
        <f t="shared" ca="1" si="99"/>
        <v/>
      </c>
      <c r="W969" s="139"/>
      <c r="Y969" s="1"/>
    </row>
    <row r="970" spans="3:25" ht="12" customHeight="1">
      <c r="C970" s="342" t="str">
        <f t="shared" ca="1" si="94"/>
        <v/>
      </c>
      <c r="D970" s="153" t="str">
        <f t="shared" ca="1" si="95"/>
        <v/>
      </c>
      <c r="E970" s="153" t="str">
        <f t="shared" ca="1" si="96"/>
        <v/>
      </c>
      <c r="F970" s="170" t="str">
        <f ca="1">IF(C970="","",[1]!S_DQ_CLOSE(D970,TODAY(),1))</f>
        <v/>
      </c>
      <c r="G970" s="171" t="str">
        <f ca="1">IF(C970="","",[1]!s_pq_pctchange(D970,TODAY()-$G$12,TODAY())/100)</f>
        <v/>
      </c>
      <c r="H970" s="247" t="str">
        <f ca="1">IF(C970="","",IF($H$11="收入",[1]!S_STM07_IS(D970,9,$G$5,$H$13)/$E$5,[1]!S_STM07_IS(D970,48,$G$5,$H$13)/$E$5))</f>
        <v/>
      </c>
      <c r="I970" s="247" t="str">
        <f ca="1">IF(C970="","",IF($I$11="毛利率",([1]!S_STM07_IS(D970,9,$G$5,$H$13)-[1]!S_STM07_IS(D970,10,$G$5,$H$13))/[1]!S_STM07_IS(D970,9,$G$5,$H$13),[1]!S_STM07_IS(D970,14,$G$5,$H$13)/$E$5))</f>
        <v/>
      </c>
      <c r="J970" s="247" t="str">
        <f ca="1">IF(C970="","",IF($J$11="营业利润率",[1]!S_STM07_IS(D970,48,$G$5,$H$13)/[1]!S_STM07_IS(D970,9,$G$5,$H$13),([1]!S_STM07_CS(D970,87,$G$5,$H$13)+[1]!S_STM07_CS(D970,88,$G$5,$H$13)+[1]!S_STM07_CS(D970,89,$G$5,$H$13))/$E$5))</f>
        <v/>
      </c>
      <c r="K970" s="247" t="str">
        <f ca="1">IF(C970="","",IF($K$11="净利润率",[1]!S_STM07_IS(D970,61,$G$5,$H$13)/[1]!S_STM07_IS(D970,9,$G$5,$H$13),[1]!S_STM07_IS(D970,55,$G$5,$H$13)/$E$5))</f>
        <v/>
      </c>
      <c r="L970" s="247" t="str">
        <f ca="1">IF(C970="","",IF($L$11="ROA",[1]!S_STM07_IS(D970,61,$G$5,$H$13)/[1]!S_STM07_BS(D970,74,$G$5,$H$13),1-[1]!S_STM07_IS(D970,61,$G$5,$H$13)/[1]!S_STM07_IS(D970,55,$G$5,$H$13)))</f>
        <v/>
      </c>
      <c r="M970" s="247" t="str">
        <f ca="1">IF(C970="","",IF($M$11="ROE",[1]!S_STM07_IS(D970,61,$G$5,$H$13)/[1]!S_STM07_BS(D970,141,$G$5,$H$13),([1]!S_STM07_BS(D970,25,$G$5,$H$13)-[1]!S_STM07_BS(D970,93,$G$5,$H$13))/$E$5))</f>
        <v/>
      </c>
      <c r="N970" s="247" t="str">
        <f ca="1">IF(C970="","",IF($N$11="EPS",[1]!S_STM07_IS(D970,61,$G$5,$H$13)/IF([1]!S_SHARE_TOTAL(D970,$G$5)=0,[1]!S_SHARE_TOTAL(D970,[1]!s_ipo_listeddate(D970)),[1]!S_SHARE_TOTAL(D970,$G$5)),([1]!S_STM07_BS(D970,75,$G$5,$H$13)+[1]!S_STM07_BS(D970,88,$G$5,$H$13)+[1]!S_STM07_BS(D970,94,$G$5,$H$13)+[1]!S_STM07_BS(D970,95,$G$5,$H$13))/$E$5))</f>
        <v/>
      </c>
      <c r="O970" s="247" t="str">
        <f ca="1">IF(C970="","",IF($O$11="BPS",[1]!S_STM07_BS(D970,141,$G$5,$H$13)/IF([1]!S_SHARE_TOTAL(D970,$G$5)=0,[1]!S_SHARE_TOTAL(D970,[1]!s_ipo_listeddate(D970)),[1]!S_SHARE_TOTAL(D970,$G$5)),[1]!S_STM07_CS(D970,49,$G$5,$H$13)/$E$5))</f>
        <v/>
      </c>
      <c r="P970" s="247" t="str">
        <f ca="1">IF(C970="","",IF($P$11="CFPS",[1]!S_STM07_CS(D970,84,$G$5,$H$13)/IF([1]!S_SHARE_TOTAL(D970,$G$5)=0,[1]!S_SHARE_TOTAL(D970,[1]!s_ipo_listeddate(D970)),[1]!S_SHARE_TOTAL(D970,$G$5)),[1]!S_STM07_CS(D970,84,$G$5,$H$13)/$E$5))</f>
        <v/>
      </c>
      <c r="Q970" s="248" t="str">
        <f ca="1">IF(C970="","",F970/([1]!S_STM07_IS(D970,61,$G$5,$H$13)/IF([1]!S_SHARE_TOTAL(D970,$G$5)=0,[1]!S_SHARE_TOTAL(D970,[1]!s_ipo_listeddate(D970)),[1]!S_SHARE_TOTAL(D970,$G$5))))</f>
        <v/>
      </c>
      <c r="R970" s="248" t="str">
        <f ca="1">IF(C970="","",F970/([1]!S_STM07_BS(D970,141,$G$5,$H$13)/IF([1]!S_SHARE_TOTAL(D970,$G$5)=0,[1]!S_SHARE_TOTAL(D970,[1]!s_ipo_listeddate(D970)),[1]!S_SHARE_TOTAL(D970,$G$5))))</f>
        <v/>
      </c>
      <c r="S970" s="247" t="str">
        <f ca="1">IF(C970="","",[1]!S_SHARE_TOTAL(D970,TODAY())/$E$5)</f>
        <v/>
      </c>
      <c r="T970" s="247" t="str">
        <f t="shared" ca="1" si="97"/>
        <v/>
      </c>
      <c r="U970" s="218" t="str">
        <f t="shared" ca="1" si="98"/>
        <v/>
      </c>
      <c r="V970" s="342" t="str">
        <f t="shared" ca="1" si="99"/>
        <v/>
      </c>
      <c r="W970" s="139"/>
      <c r="Y970" s="1"/>
    </row>
    <row r="971" spans="3:25" ht="12" customHeight="1">
      <c r="C971" s="343" t="str">
        <f t="shared" ca="1" si="94"/>
        <v/>
      </c>
      <c r="D971" s="124" t="str">
        <f t="shared" ca="1" si="95"/>
        <v/>
      </c>
      <c r="E971" s="124" t="str">
        <f t="shared" ca="1" si="96"/>
        <v/>
      </c>
      <c r="F971" s="172" t="str">
        <f ca="1">IF(C971="","",[1]!S_DQ_CLOSE(D971,TODAY(),1))</f>
        <v/>
      </c>
      <c r="G971" s="173" t="str">
        <f ca="1">IF(C971="","",[1]!s_pq_pctchange(D971,TODAY()-$G$12,TODAY())/100)</f>
        <v/>
      </c>
      <c r="H971" s="249" t="str">
        <f ca="1">IF(C971="","",IF($H$11="收入",[1]!S_STM07_IS(D971,9,$G$5,$H$13)/$E$5,[1]!S_STM07_IS(D971,48,$G$5,$H$13)/$E$5))</f>
        <v/>
      </c>
      <c r="I971" s="249" t="str">
        <f ca="1">IF(C971="","",IF($I$11="毛利率",([1]!S_STM07_IS(D971,9,$G$5,$H$13)-[1]!S_STM07_IS(D971,10,$G$5,$H$13))/[1]!S_STM07_IS(D971,9,$G$5,$H$13),[1]!S_STM07_IS(D971,14,$G$5,$H$13)/$E$5))</f>
        <v/>
      </c>
      <c r="J971" s="249" t="str">
        <f ca="1">IF(C971="","",IF($J$11="营业利润率",[1]!S_STM07_IS(D971,48,$G$5,$H$13)/[1]!S_STM07_IS(D971,9,$G$5,$H$13),([1]!S_STM07_CS(D971,87,$G$5,$H$13)+[1]!S_STM07_CS(D971,88,$G$5,$H$13)+[1]!S_STM07_CS(D971,89,$G$5,$H$13))/$E$5))</f>
        <v/>
      </c>
      <c r="K971" s="249" t="str">
        <f ca="1">IF(C971="","",IF($K$11="净利润率",[1]!S_STM07_IS(D971,61,$G$5,$H$13)/[1]!S_STM07_IS(D971,9,$G$5,$H$13),[1]!S_STM07_IS(D971,55,$G$5,$H$13)/$E$5))</f>
        <v/>
      </c>
      <c r="L971" s="249" t="str">
        <f ca="1">IF(C971="","",IF($L$11="ROA",[1]!S_STM07_IS(D971,61,$G$5,$H$13)/[1]!S_STM07_BS(D971,74,$G$5,$H$13),1-[1]!S_STM07_IS(D971,61,$G$5,$H$13)/[1]!S_STM07_IS(D971,55,$G$5,$H$13)))</f>
        <v/>
      </c>
      <c r="M971" s="249" t="str">
        <f ca="1">IF(C971="","",IF($M$11="ROE",[1]!S_STM07_IS(D971,61,$G$5,$H$13)/[1]!S_STM07_BS(D971,141,$G$5,$H$13),([1]!S_STM07_BS(D971,25,$G$5,$H$13)-[1]!S_STM07_BS(D971,93,$G$5,$H$13))/$E$5))</f>
        <v/>
      </c>
      <c r="N971" s="250" t="str">
        <f ca="1">IF(C971="","",IF($N$11="EPS",[1]!S_STM07_IS(D971,61,$G$5,$H$13)/IF([1]!S_SHARE_TOTAL(D971,$G$5)=0,[1]!S_SHARE_TOTAL(D971,[1]!s_ipo_listeddate(D971)),[1]!S_SHARE_TOTAL(D971,$G$5)),([1]!S_STM07_BS(D971,75,$G$5,$H$13)+[1]!S_STM07_BS(D971,88,$G$5,$H$13)+[1]!S_STM07_BS(D971,94,$G$5,$H$13)+[1]!S_STM07_BS(D971,95,$G$5,$H$13))/$E$5))</f>
        <v/>
      </c>
      <c r="O971" s="250" t="str">
        <f ca="1">IF(C971="","",IF($O$11="BPS",[1]!S_STM07_BS(D971,141,$G$5,$H$13)/IF([1]!S_SHARE_TOTAL(D971,$G$5)=0,[1]!S_SHARE_TOTAL(D971,[1]!s_ipo_listeddate(D971)),[1]!S_SHARE_TOTAL(D971,$G$5)),[1]!S_STM07_CS(D971,49,$G$5,$H$13)/$E$5))</f>
        <v/>
      </c>
      <c r="P971" s="250" t="str">
        <f ca="1">IF(C971="","",IF($P$11="CFPS",[1]!S_STM07_CS(D971,84,$G$5,$H$13)/IF([1]!S_SHARE_TOTAL(D971,$G$5)=0,[1]!S_SHARE_TOTAL(D971,[1]!s_ipo_listeddate(D971)),[1]!S_SHARE_TOTAL(D971,$G$5)),[1]!S_STM07_CS(D971,84,$G$5,$H$13)/$E$5))</f>
        <v/>
      </c>
      <c r="Q971" s="198" t="str">
        <f ca="1">IF(C971="","",F971/([1]!S_STM07_IS(D971,61,$G$5,$H$13)/IF([1]!S_SHARE_TOTAL(D971,$G$5)=0,[1]!S_SHARE_TOTAL(D971,[1]!s_ipo_listeddate(D971)),[1]!S_SHARE_TOTAL(D971,$G$5))))</f>
        <v/>
      </c>
      <c r="R971" s="198" t="str">
        <f ca="1">IF(C971="","",F971/([1]!S_STM07_BS(D971,141,$G$5,$H$13)/IF([1]!S_SHARE_TOTAL(D971,$G$5)=0,[1]!S_SHARE_TOTAL(D971,[1]!s_ipo_listeddate(D971)),[1]!S_SHARE_TOTAL(D971,$G$5))))</f>
        <v/>
      </c>
      <c r="S971" s="249" t="str">
        <f ca="1">IF(C971="","",[1]!S_SHARE_TOTAL(D971,TODAY())/$E$5)</f>
        <v/>
      </c>
      <c r="T971" s="249" t="str">
        <f t="shared" ca="1" si="97"/>
        <v/>
      </c>
      <c r="U971" s="172" t="str">
        <f t="shared" ca="1" si="98"/>
        <v/>
      </c>
      <c r="V971" s="343" t="str">
        <f t="shared" ca="1" si="99"/>
        <v/>
      </c>
      <c r="W971" s="139"/>
      <c r="Y971" s="1"/>
    </row>
    <row r="972" spans="3:25" ht="12" customHeight="1">
      <c r="C972" s="342" t="str">
        <f t="shared" ca="1" si="94"/>
        <v/>
      </c>
      <c r="D972" s="153" t="str">
        <f t="shared" ca="1" si="95"/>
        <v/>
      </c>
      <c r="E972" s="153" t="str">
        <f t="shared" ca="1" si="96"/>
        <v/>
      </c>
      <c r="F972" s="170" t="str">
        <f ca="1">IF(C972="","",[1]!S_DQ_CLOSE(D972,TODAY(),1))</f>
        <v/>
      </c>
      <c r="G972" s="171" t="str">
        <f ca="1">IF(C972="","",[1]!s_pq_pctchange(D972,TODAY()-$G$12,TODAY())/100)</f>
        <v/>
      </c>
      <c r="H972" s="247" t="str">
        <f ca="1">IF(C972="","",IF($H$11="收入",[1]!S_STM07_IS(D972,9,$G$5,$H$13)/$E$5,[1]!S_STM07_IS(D972,48,$G$5,$H$13)/$E$5))</f>
        <v/>
      </c>
      <c r="I972" s="247" t="str">
        <f ca="1">IF(C972="","",IF($I$11="毛利率",([1]!S_STM07_IS(D972,9,$G$5,$H$13)-[1]!S_STM07_IS(D972,10,$G$5,$H$13))/[1]!S_STM07_IS(D972,9,$G$5,$H$13),[1]!S_STM07_IS(D972,14,$G$5,$H$13)/$E$5))</f>
        <v/>
      </c>
      <c r="J972" s="247" t="str">
        <f ca="1">IF(C972="","",IF($J$11="营业利润率",[1]!S_STM07_IS(D972,48,$G$5,$H$13)/[1]!S_STM07_IS(D972,9,$G$5,$H$13),([1]!S_STM07_CS(D972,87,$G$5,$H$13)+[1]!S_STM07_CS(D972,88,$G$5,$H$13)+[1]!S_STM07_CS(D972,89,$G$5,$H$13))/$E$5))</f>
        <v/>
      </c>
      <c r="K972" s="247" t="str">
        <f ca="1">IF(C972="","",IF($K$11="净利润率",[1]!S_STM07_IS(D972,61,$G$5,$H$13)/[1]!S_STM07_IS(D972,9,$G$5,$H$13),[1]!S_STM07_IS(D972,55,$G$5,$H$13)/$E$5))</f>
        <v/>
      </c>
      <c r="L972" s="247" t="str">
        <f ca="1">IF(C972="","",IF($L$11="ROA",[1]!S_STM07_IS(D972,61,$G$5,$H$13)/[1]!S_STM07_BS(D972,74,$G$5,$H$13),1-[1]!S_STM07_IS(D972,61,$G$5,$H$13)/[1]!S_STM07_IS(D972,55,$G$5,$H$13)))</f>
        <v/>
      </c>
      <c r="M972" s="247" t="str">
        <f ca="1">IF(C972="","",IF($M$11="ROE",[1]!S_STM07_IS(D972,61,$G$5,$H$13)/[1]!S_STM07_BS(D972,141,$G$5,$H$13),([1]!S_STM07_BS(D972,25,$G$5,$H$13)-[1]!S_STM07_BS(D972,93,$G$5,$H$13))/$E$5))</f>
        <v/>
      </c>
      <c r="N972" s="247" t="str">
        <f ca="1">IF(C972="","",IF($N$11="EPS",[1]!S_STM07_IS(D972,61,$G$5,$H$13)/IF([1]!S_SHARE_TOTAL(D972,$G$5)=0,[1]!S_SHARE_TOTAL(D972,[1]!s_ipo_listeddate(D972)),[1]!S_SHARE_TOTAL(D972,$G$5)),([1]!S_STM07_BS(D972,75,$G$5,$H$13)+[1]!S_STM07_BS(D972,88,$G$5,$H$13)+[1]!S_STM07_BS(D972,94,$G$5,$H$13)+[1]!S_STM07_BS(D972,95,$G$5,$H$13))/$E$5))</f>
        <v/>
      </c>
      <c r="O972" s="247" t="str">
        <f ca="1">IF(C972="","",IF($O$11="BPS",[1]!S_STM07_BS(D972,141,$G$5,$H$13)/IF([1]!S_SHARE_TOTAL(D972,$G$5)=0,[1]!S_SHARE_TOTAL(D972,[1]!s_ipo_listeddate(D972)),[1]!S_SHARE_TOTAL(D972,$G$5)),[1]!S_STM07_CS(D972,49,$G$5,$H$13)/$E$5))</f>
        <v/>
      </c>
      <c r="P972" s="247" t="str">
        <f ca="1">IF(C972="","",IF($P$11="CFPS",[1]!S_STM07_CS(D972,84,$G$5,$H$13)/IF([1]!S_SHARE_TOTAL(D972,$G$5)=0,[1]!S_SHARE_TOTAL(D972,[1]!s_ipo_listeddate(D972)),[1]!S_SHARE_TOTAL(D972,$G$5)),[1]!S_STM07_CS(D972,84,$G$5,$H$13)/$E$5))</f>
        <v/>
      </c>
      <c r="Q972" s="248" t="str">
        <f ca="1">IF(C972="","",F972/([1]!S_STM07_IS(D972,61,$G$5,$H$13)/IF([1]!S_SHARE_TOTAL(D972,$G$5)=0,[1]!S_SHARE_TOTAL(D972,[1]!s_ipo_listeddate(D972)),[1]!S_SHARE_TOTAL(D972,$G$5))))</f>
        <v/>
      </c>
      <c r="R972" s="248" t="str">
        <f ca="1">IF(C972="","",F972/([1]!S_STM07_BS(D972,141,$G$5,$H$13)/IF([1]!S_SHARE_TOTAL(D972,$G$5)=0,[1]!S_SHARE_TOTAL(D972,[1]!s_ipo_listeddate(D972)),[1]!S_SHARE_TOTAL(D972,$G$5))))</f>
        <v/>
      </c>
      <c r="S972" s="247" t="str">
        <f ca="1">IF(C972="","",[1]!S_SHARE_TOTAL(D972,TODAY())/$E$5)</f>
        <v/>
      </c>
      <c r="T972" s="247" t="str">
        <f t="shared" ca="1" si="97"/>
        <v/>
      </c>
      <c r="U972" s="218" t="str">
        <f t="shared" ca="1" si="98"/>
        <v/>
      </c>
      <c r="V972" s="342" t="str">
        <f t="shared" ca="1" si="99"/>
        <v/>
      </c>
      <c r="W972" s="139"/>
      <c r="Y972" s="1"/>
    </row>
    <row r="973" spans="3:25" ht="12" customHeight="1">
      <c r="C973" s="343" t="str">
        <f t="shared" ca="1" si="94"/>
        <v/>
      </c>
      <c r="D973" s="124" t="str">
        <f t="shared" ca="1" si="95"/>
        <v/>
      </c>
      <c r="E973" s="124" t="str">
        <f t="shared" ca="1" si="96"/>
        <v/>
      </c>
      <c r="F973" s="172" t="str">
        <f ca="1">IF(C973="","",[1]!S_DQ_CLOSE(D973,TODAY(),1))</f>
        <v/>
      </c>
      <c r="G973" s="173" t="str">
        <f ca="1">IF(C973="","",[1]!s_pq_pctchange(D973,TODAY()-$G$12,TODAY())/100)</f>
        <v/>
      </c>
      <c r="H973" s="249" t="str">
        <f ca="1">IF(C973="","",IF($H$11="收入",[1]!S_STM07_IS(D973,9,$G$5,$H$13)/$E$5,[1]!S_STM07_IS(D973,48,$G$5,$H$13)/$E$5))</f>
        <v/>
      </c>
      <c r="I973" s="249" t="str">
        <f ca="1">IF(C973="","",IF($I$11="毛利率",([1]!S_STM07_IS(D973,9,$G$5,$H$13)-[1]!S_STM07_IS(D973,10,$G$5,$H$13))/[1]!S_STM07_IS(D973,9,$G$5,$H$13),[1]!S_STM07_IS(D973,14,$G$5,$H$13)/$E$5))</f>
        <v/>
      </c>
      <c r="J973" s="249" t="str">
        <f ca="1">IF(C973="","",IF($J$11="营业利润率",[1]!S_STM07_IS(D973,48,$G$5,$H$13)/[1]!S_STM07_IS(D973,9,$G$5,$H$13),([1]!S_STM07_CS(D973,87,$G$5,$H$13)+[1]!S_STM07_CS(D973,88,$G$5,$H$13)+[1]!S_STM07_CS(D973,89,$G$5,$H$13))/$E$5))</f>
        <v/>
      </c>
      <c r="K973" s="249" t="str">
        <f ca="1">IF(C973="","",IF($K$11="净利润率",[1]!S_STM07_IS(D973,61,$G$5,$H$13)/[1]!S_STM07_IS(D973,9,$G$5,$H$13),[1]!S_STM07_IS(D973,55,$G$5,$H$13)/$E$5))</f>
        <v/>
      </c>
      <c r="L973" s="249" t="str">
        <f ca="1">IF(C973="","",IF($L$11="ROA",[1]!S_STM07_IS(D973,61,$G$5,$H$13)/[1]!S_STM07_BS(D973,74,$G$5,$H$13),1-[1]!S_STM07_IS(D973,61,$G$5,$H$13)/[1]!S_STM07_IS(D973,55,$G$5,$H$13)))</f>
        <v/>
      </c>
      <c r="M973" s="249" t="str">
        <f ca="1">IF(C973="","",IF($M$11="ROE",[1]!S_STM07_IS(D973,61,$G$5,$H$13)/[1]!S_STM07_BS(D973,141,$G$5,$H$13),([1]!S_STM07_BS(D973,25,$G$5,$H$13)-[1]!S_STM07_BS(D973,93,$G$5,$H$13))/$E$5))</f>
        <v/>
      </c>
      <c r="N973" s="250" t="str">
        <f ca="1">IF(C973="","",IF($N$11="EPS",[1]!S_STM07_IS(D973,61,$G$5,$H$13)/IF([1]!S_SHARE_TOTAL(D973,$G$5)=0,[1]!S_SHARE_TOTAL(D973,[1]!s_ipo_listeddate(D973)),[1]!S_SHARE_TOTAL(D973,$G$5)),([1]!S_STM07_BS(D973,75,$G$5,$H$13)+[1]!S_STM07_BS(D973,88,$G$5,$H$13)+[1]!S_STM07_BS(D973,94,$G$5,$H$13)+[1]!S_STM07_BS(D973,95,$G$5,$H$13))/$E$5))</f>
        <v/>
      </c>
      <c r="O973" s="250" t="str">
        <f ca="1">IF(C973="","",IF($O$11="BPS",[1]!S_STM07_BS(D973,141,$G$5,$H$13)/IF([1]!S_SHARE_TOTAL(D973,$G$5)=0,[1]!S_SHARE_TOTAL(D973,[1]!s_ipo_listeddate(D973)),[1]!S_SHARE_TOTAL(D973,$G$5)),[1]!S_STM07_CS(D973,49,$G$5,$H$13)/$E$5))</f>
        <v/>
      </c>
      <c r="P973" s="250" t="str">
        <f ca="1">IF(C973="","",IF($P$11="CFPS",[1]!S_STM07_CS(D973,84,$G$5,$H$13)/IF([1]!S_SHARE_TOTAL(D973,$G$5)=0,[1]!S_SHARE_TOTAL(D973,[1]!s_ipo_listeddate(D973)),[1]!S_SHARE_TOTAL(D973,$G$5)),[1]!S_STM07_CS(D973,84,$G$5,$H$13)/$E$5))</f>
        <v/>
      </c>
      <c r="Q973" s="198" t="str">
        <f ca="1">IF(C973="","",F973/([1]!S_STM07_IS(D973,61,$G$5,$H$13)/IF([1]!S_SHARE_TOTAL(D973,$G$5)=0,[1]!S_SHARE_TOTAL(D973,[1]!s_ipo_listeddate(D973)),[1]!S_SHARE_TOTAL(D973,$G$5))))</f>
        <v/>
      </c>
      <c r="R973" s="198" t="str">
        <f ca="1">IF(C973="","",F973/([1]!S_STM07_BS(D973,141,$G$5,$H$13)/IF([1]!S_SHARE_TOTAL(D973,$G$5)=0,[1]!S_SHARE_TOTAL(D973,[1]!s_ipo_listeddate(D973)),[1]!S_SHARE_TOTAL(D973,$G$5))))</f>
        <v/>
      </c>
      <c r="S973" s="249" t="str">
        <f ca="1">IF(C973="","",[1]!S_SHARE_TOTAL(D973,TODAY())/$E$5)</f>
        <v/>
      </c>
      <c r="T973" s="249" t="str">
        <f t="shared" ca="1" si="97"/>
        <v/>
      </c>
      <c r="U973" s="172" t="str">
        <f t="shared" ca="1" si="98"/>
        <v/>
      </c>
      <c r="V973" s="343" t="str">
        <f t="shared" ca="1" si="99"/>
        <v/>
      </c>
      <c r="W973" s="139"/>
      <c r="Y973" s="1"/>
    </row>
    <row r="974" spans="3:25" ht="12" customHeight="1">
      <c r="C974" s="342" t="str">
        <f t="shared" ref="C974:C1037" ca="1" si="100">IF(ROW()-13&lt;=MAX(series),ROW()-13,"")</f>
        <v/>
      </c>
      <c r="D974" s="153" t="str">
        <f t="shared" ca="1" si="95"/>
        <v/>
      </c>
      <c r="E974" s="153" t="str">
        <f t="shared" ca="1" si="96"/>
        <v/>
      </c>
      <c r="F974" s="170" t="str">
        <f ca="1">IF(C974="","",[1]!S_DQ_CLOSE(D974,TODAY(),1))</f>
        <v/>
      </c>
      <c r="G974" s="171" t="str">
        <f ca="1">IF(C974="","",[1]!s_pq_pctchange(D974,TODAY()-$G$12,TODAY())/100)</f>
        <v/>
      </c>
      <c r="H974" s="247" t="str">
        <f ca="1">IF(C974="","",IF($H$11="收入",[1]!S_STM07_IS(D974,9,$G$5,$H$13)/$E$5,[1]!S_STM07_IS(D974,48,$G$5,$H$13)/$E$5))</f>
        <v/>
      </c>
      <c r="I974" s="247" t="str">
        <f ca="1">IF(C974="","",IF($I$11="毛利率",([1]!S_STM07_IS(D974,9,$G$5,$H$13)-[1]!S_STM07_IS(D974,10,$G$5,$H$13))/[1]!S_STM07_IS(D974,9,$G$5,$H$13),[1]!S_STM07_IS(D974,14,$G$5,$H$13)/$E$5))</f>
        <v/>
      </c>
      <c r="J974" s="247" t="str">
        <f ca="1">IF(C974="","",IF($J$11="营业利润率",[1]!S_STM07_IS(D974,48,$G$5,$H$13)/[1]!S_STM07_IS(D974,9,$G$5,$H$13),([1]!S_STM07_CS(D974,87,$G$5,$H$13)+[1]!S_STM07_CS(D974,88,$G$5,$H$13)+[1]!S_STM07_CS(D974,89,$G$5,$H$13))/$E$5))</f>
        <v/>
      </c>
      <c r="K974" s="247" t="str">
        <f ca="1">IF(C974="","",IF($K$11="净利润率",[1]!S_STM07_IS(D974,61,$G$5,$H$13)/[1]!S_STM07_IS(D974,9,$G$5,$H$13),[1]!S_STM07_IS(D974,55,$G$5,$H$13)/$E$5))</f>
        <v/>
      </c>
      <c r="L974" s="247" t="str">
        <f ca="1">IF(C974="","",IF($L$11="ROA",[1]!S_STM07_IS(D974,61,$G$5,$H$13)/[1]!S_STM07_BS(D974,74,$G$5,$H$13),1-[1]!S_STM07_IS(D974,61,$G$5,$H$13)/[1]!S_STM07_IS(D974,55,$G$5,$H$13)))</f>
        <v/>
      </c>
      <c r="M974" s="247" t="str">
        <f ca="1">IF(C974="","",IF($M$11="ROE",[1]!S_STM07_IS(D974,61,$G$5,$H$13)/[1]!S_STM07_BS(D974,141,$G$5,$H$13),([1]!S_STM07_BS(D974,25,$G$5,$H$13)-[1]!S_STM07_BS(D974,93,$G$5,$H$13))/$E$5))</f>
        <v/>
      </c>
      <c r="N974" s="247" t="str">
        <f ca="1">IF(C974="","",IF($N$11="EPS",[1]!S_STM07_IS(D974,61,$G$5,$H$13)/IF([1]!S_SHARE_TOTAL(D974,$G$5)=0,[1]!S_SHARE_TOTAL(D974,[1]!s_ipo_listeddate(D974)),[1]!S_SHARE_TOTAL(D974,$G$5)),([1]!S_STM07_BS(D974,75,$G$5,$H$13)+[1]!S_STM07_BS(D974,88,$G$5,$H$13)+[1]!S_STM07_BS(D974,94,$G$5,$H$13)+[1]!S_STM07_BS(D974,95,$G$5,$H$13))/$E$5))</f>
        <v/>
      </c>
      <c r="O974" s="247" t="str">
        <f ca="1">IF(C974="","",IF($O$11="BPS",[1]!S_STM07_BS(D974,141,$G$5,$H$13)/IF([1]!S_SHARE_TOTAL(D974,$G$5)=0,[1]!S_SHARE_TOTAL(D974,[1]!s_ipo_listeddate(D974)),[1]!S_SHARE_TOTAL(D974,$G$5)),[1]!S_STM07_CS(D974,49,$G$5,$H$13)/$E$5))</f>
        <v/>
      </c>
      <c r="P974" s="247" t="str">
        <f ca="1">IF(C974="","",IF($P$11="CFPS",[1]!S_STM07_CS(D974,84,$G$5,$H$13)/IF([1]!S_SHARE_TOTAL(D974,$G$5)=0,[1]!S_SHARE_TOTAL(D974,[1]!s_ipo_listeddate(D974)),[1]!S_SHARE_TOTAL(D974,$G$5)),[1]!S_STM07_CS(D974,84,$G$5,$H$13)/$E$5))</f>
        <v/>
      </c>
      <c r="Q974" s="248" t="str">
        <f ca="1">IF(C974="","",F974/([1]!S_STM07_IS(D974,61,$G$5,$H$13)/IF([1]!S_SHARE_TOTAL(D974,$G$5)=0,[1]!S_SHARE_TOTAL(D974,[1]!s_ipo_listeddate(D974)),[1]!S_SHARE_TOTAL(D974,$G$5))))</f>
        <v/>
      </c>
      <c r="R974" s="248" t="str">
        <f ca="1">IF(C974="","",F974/([1]!S_STM07_BS(D974,141,$G$5,$H$13)/IF([1]!S_SHARE_TOTAL(D974,$G$5)=0,[1]!S_SHARE_TOTAL(D974,[1]!s_ipo_listeddate(D974)),[1]!S_SHARE_TOTAL(D974,$G$5))))</f>
        <v/>
      </c>
      <c r="S974" s="247" t="str">
        <f ca="1">IF(C974="","",[1]!S_SHARE_TOTAL(D974,TODAY())/$E$5)</f>
        <v/>
      </c>
      <c r="T974" s="247" t="str">
        <f t="shared" ca="1" si="97"/>
        <v/>
      </c>
      <c r="U974" s="218" t="str">
        <f t="shared" ca="1" si="98"/>
        <v/>
      </c>
      <c r="V974" s="342" t="str">
        <f t="shared" ca="1" si="99"/>
        <v/>
      </c>
      <c r="W974" s="139"/>
      <c r="Y974" s="1"/>
    </row>
    <row r="975" spans="3:25" ht="12" customHeight="1">
      <c r="C975" s="343" t="str">
        <f t="shared" ca="1" si="100"/>
        <v/>
      </c>
      <c r="D975" s="124" t="str">
        <f t="shared" ca="1" si="95"/>
        <v/>
      </c>
      <c r="E975" s="124" t="str">
        <f t="shared" ca="1" si="96"/>
        <v/>
      </c>
      <c r="F975" s="172" t="str">
        <f ca="1">IF(C975="","",[1]!S_DQ_CLOSE(D975,TODAY(),1))</f>
        <v/>
      </c>
      <c r="G975" s="173" t="str">
        <f ca="1">IF(C975="","",[1]!s_pq_pctchange(D975,TODAY()-$G$12,TODAY())/100)</f>
        <v/>
      </c>
      <c r="H975" s="249" t="str">
        <f ca="1">IF(C975="","",IF($H$11="收入",[1]!S_STM07_IS(D975,9,$G$5,$H$13)/$E$5,[1]!S_STM07_IS(D975,48,$G$5,$H$13)/$E$5))</f>
        <v/>
      </c>
      <c r="I975" s="249" t="str">
        <f ca="1">IF(C975="","",IF($I$11="毛利率",([1]!S_STM07_IS(D975,9,$G$5,$H$13)-[1]!S_STM07_IS(D975,10,$G$5,$H$13))/[1]!S_STM07_IS(D975,9,$G$5,$H$13),[1]!S_STM07_IS(D975,14,$G$5,$H$13)/$E$5))</f>
        <v/>
      </c>
      <c r="J975" s="249" t="str">
        <f ca="1">IF(C975="","",IF($J$11="营业利润率",[1]!S_STM07_IS(D975,48,$G$5,$H$13)/[1]!S_STM07_IS(D975,9,$G$5,$H$13),([1]!S_STM07_CS(D975,87,$G$5,$H$13)+[1]!S_STM07_CS(D975,88,$G$5,$H$13)+[1]!S_STM07_CS(D975,89,$G$5,$H$13))/$E$5))</f>
        <v/>
      </c>
      <c r="K975" s="249" t="str">
        <f ca="1">IF(C975="","",IF($K$11="净利润率",[1]!S_STM07_IS(D975,61,$G$5,$H$13)/[1]!S_STM07_IS(D975,9,$G$5,$H$13),[1]!S_STM07_IS(D975,55,$G$5,$H$13)/$E$5))</f>
        <v/>
      </c>
      <c r="L975" s="249" t="str">
        <f ca="1">IF(C975="","",IF($L$11="ROA",[1]!S_STM07_IS(D975,61,$G$5,$H$13)/[1]!S_STM07_BS(D975,74,$G$5,$H$13),1-[1]!S_STM07_IS(D975,61,$G$5,$H$13)/[1]!S_STM07_IS(D975,55,$G$5,$H$13)))</f>
        <v/>
      </c>
      <c r="M975" s="249" t="str">
        <f ca="1">IF(C975="","",IF($M$11="ROE",[1]!S_STM07_IS(D975,61,$G$5,$H$13)/[1]!S_STM07_BS(D975,141,$G$5,$H$13),([1]!S_STM07_BS(D975,25,$G$5,$H$13)-[1]!S_STM07_BS(D975,93,$G$5,$H$13))/$E$5))</f>
        <v/>
      </c>
      <c r="N975" s="250" t="str">
        <f ca="1">IF(C975="","",IF($N$11="EPS",[1]!S_STM07_IS(D975,61,$G$5,$H$13)/IF([1]!S_SHARE_TOTAL(D975,$G$5)=0,[1]!S_SHARE_TOTAL(D975,[1]!s_ipo_listeddate(D975)),[1]!S_SHARE_TOTAL(D975,$G$5)),([1]!S_STM07_BS(D975,75,$G$5,$H$13)+[1]!S_STM07_BS(D975,88,$G$5,$H$13)+[1]!S_STM07_BS(D975,94,$G$5,$H$13)+[1]!S_STM07_BS(D975,95,$G$5,$H$13))/$E$5))</f>
        <v/>
      </c>
      <c r="O975" s="250" t="str">
        <f ca="1">IF(C975="","",IF($O$11="BPS",[1]!S_STM07_BS(D975,141,$G$5,$H$13)/IF([1]!S_SHARE_TOTAL(D975,$G$5)=0,[1]!S_SHARE_TOTAL(D975,[1]!s_ipo_listeddate(D975)),[1]!S_SHARE_TOTAL(D975,$G$5)),[1]!S_STM07_CS(D975,49,$G$5,$H$13)/$E$5))</f>
        <v/>
      </c>
      <c r="P975" s="250" t="str">
        <f ca="1">IF(C975="","",IF($P$11="CFPS",[1]!S_STM07_CS(D975,84,$G$5,$H$13)/IF([1]!S_SHARE_TOTAL(D975,$G$5)=0,[1]!S_SHARE_TOTAL(D975,[1]!s_ipo_listeddate(D975)),[1]!S_SHARE_TOTAL(D975,$G$5)),[1]!S_STM07_CS(D975,84,$G$5,$H$13)/$E$5))</f>
        <v/>
      </c>
      <c r="Q975" s="198" t="str">
        <f ca="1">IF(C975="","",F975/([1]!S_STM07_IS(D975,61,$G$5,$H$13)/IF([1]!S_SHARE_TOTAL(D975,$G$5)=0,[1]!S_SHARE_TOTAL(D975,[1]!s_ipo_listeddate(D975)),[1]!S_SHARE_TOTAL(D975,$G$5))))</f>
        <v/>
      </c>
      <c r="R975" s="198" t="str">
        <f ca="1">IF(C975="","",F975/([1]!S_STM07_BS(D975,141,$G$5,$H$13)/IF([1]!S_SHARE_TOTAL(D975,$G$5)=0,[1]!S_SHARE_TOTAL(D975,[1]!s_ipo_listeddate(D975)),[1]!S_SHARE_TOTAL(D975,$G$5))))</f>
        <v/>
      </c>
      <c r="S975" s="249" t="str">
        <f ca="1">IF(C975="","",[1]!S_SHARE_TOTAL(D975,TODAY())/$E$5)</f>
        <v/>
      </c>
      <c r="T975" s="249" t="str">
        <f t="shared" ca="1" si="97"/>
        <v/>
      </c>
      <c r="U975" s="172" t="str">
        <f t="shared" ca="1" si="98"/>
        <v/>
      </c>
      <c r="V975" s="343" t="str">
        <f t="shared" ca="1" si="99"/>
        <v/>
      </c>
      <c r="W975" s="139"/>
      <c r="Y975" s="1"/>
    </row>
    <row r="976" spans="3:25" ht="12" customHeight="1">
      <c r="C976" s="342" t="str">
        <f t="shared" ca="1" si="100"/>
        <v/>
      </c>
      <c r="D976" s="153" t="str">
        <f t="shared" ca="1" si="95"/>
        <v/>
      </c>
      <c r="E976" s="153" t="str">
        <f t="shared" ca="1" si="96"/>
        <v/>
      </c>
      <c r="F976" s="170" t="str">
        <f ca="1">IF(C976="","",[1]!S_DQ_CLOSE(D976,TODAY(),1))</f>
        <v/>
      </c>
      <c r="G976" s="171" t="str">
        <f ca="1">IF(C976="","",[1]!s_pq_pctchange(D976,TODAY()-$G$12,TODAY())/100)</f>
        <v/>
      </c>
      <c r="H976" s="247" t="str">
        <f ca="1">IF(C976="","",IF($H$11="收入",[1]!S_STM07_IS(D976,9,$G$5,$H$13)/$E$5,[1]!S_STM07_IS(D976,48,$G$5,$H$13)/$E$5))</f>
        <v/>
      </c>
      <c r="I976" s="247" t="str">
        <f ca="1">IF(C976="","",IF($I$11="毛利率",([1]!S_STM07_IS(D976,9,$G$5,$H$13)-[1]!S_STM07_IS(D976,10,$G$5,$H$13))/[1]!S_STM07_IS(D976,9,$G$5,$H$13),[1]!S_STM07_IS(D976,14,$G$5,$H$13)/$E$5))</f>
        <v/>
      </c>
      <c r="J976" s="247" t="str">
        <f ca="1">IF(C976="","",IF($J$11="营业利润率",[1]!S_STM07_IS(D976,48,$G$5,$H$13)/[1]!S_STM07_IS(D976,9,$G$5,$H$13),([1]!S_STM07_CS(D976,87,$G$5,$H$13)+[1]!S_STM07_CS(D976,88,$G$5,$H$13)+[1]!S_STM07_CS(D976,89,$G$5,$H$13))/$E$5))</f>
        <v/>
      </c>
      <c r="K976" s="247" t="str">
        <f ca="1">IF(C976="","",IF($K$11="净利润率",[1]!S_STM07_IS(D976,61,$G$5,$H$13)/[1]!S_STM07_IS(D976,9,$G$5,$H$13),[1]!S_STM07_IS(D976,55,$G$5,$H$13)/$E$5))</f>
        <v/>
      </c>
      <c r="L976" s="247" t="str">
        <f ca="1">IF(C976="","",IF($L$11="ROA",[1]!S_STM07_IS(D976,61,$G$5,$H$13)/[1]!S_STM07_BS(D976,74,$G$5,$H$13),1-[1]!S_STM07_IS(D976,61,$G$5,$H$13)/[1]!S_STM07_IS(D976,55,$G$5,$H$13)))</f>
        <v/>
      </c>
      <c r="M976" s="247" t="str">
        <f ca="1">IF(C976="","",IF($M$11="ROE",[1]!S_STM07_IS(D976,61,$G$5,$H$13)/[1]!S_STM07_BS(D976,141,$G$5,$H$13),([1]!S_STM07_BS(D976,25,$G$5,$H$13)-[1]!S_STM07_BS(D976,93,$G$5,$H$13))/$E$5))</f>
        <v/>
      </c>
      <c r="N976" s="247" t="str">
        <f ca="1">IF(C976="","",IF($N$11="EPS",[1]!S_STM07_IS(D976,61,$G$5,$H$13)/IF([1]!S_SHARE_TOTAL(D976,$G$5)=0,[1]!S_SHARE_TOTAL(D976,[1]!s_ipo_listeddate(D976)),[1]!S_SHARE_TOTAL(D976,$G$5)),([1]!S_STM07_BS(D976,75,$G$5,$H$13)+[1]!S_STM07_BS(D976,88,$G$5,$H$13)+[1]!S_STM07_BS(D976,94,$G$5,$H$13)+[1]!S_STM07_BS(D976,95,$G$5,$H$13))/$E$5))</f>
        <v/>
      </c>
      <c r="O976" s="247" t="str">
        <f ca="1">IF(C976="","",IF($O$11="BPS",[1]!S_STM07_BS(D976,141,$G$5,$H$13)/IF([1]!S_SHARE_TOTAL(D976,$G$5)=0,[1]!S_SHARE_TOTAL(D976,[1]!s_ipo_listeddate(D976)),[1]!S_SHARE_TOTAL(D976,$G$5)),[1]!S_STM07_CS(D976,49,$G$5,$H$13)/$E$5))</f>
        <v/>
      </c>
      <c r="P976" s="247" t="str">
        <f ca="1">IF(C976="","",IF($P$11="CFPS",[1]!S_STM07_CS(D976,84,$G$5,$H$13)/IF([1]!S_SHARE_TOTAL(D976,$G$5)=0,[1]!S_SHARE_TOTAL(D976,[1]!s_ipo_listeddate(D976)),[1]!S_SHARE_TOTAL(D976,$G$5)),[1]!S_STM07_CS(D976,84,$G$5,$H$13)/$E$5))</f>
        <v/>
      </c>
      <c r="Q976" s="248" t="str">
        <f ca="1">IF(C976="","",F976/([1]!S_STM07_IS(D976,61,$G$5,$H$13)/IF([1]!S_SHARE_TOTAL(D976,$G$5)=0,[1]!S_SHARE_TOTAL(D976,[1]!s_ipo_listeddate(D976)),[1]!S_SHARE_TOTAL(D976,$G$5))))</f>
        <v/>
      </c>
      <c r="R976" s="248" t="str">
        <f ca="1">IF(C976="","",F976/([1]!S_STM07_BS(D976,141,$G$5,$H$13)/IF([1]!S_SHARE_TOTAL(D976,$G$5)=0,[1]!S_SHARE_TOTAL(D976,[1]!s_ipo_listeddate(D976)),[1]!S_SHARE_TOTAL(D976,$G$5))))</f>
        <v/>
      </c>
      <c r="S976" s="247" t="str">
        <f ca="1">IF(C976="","",[1]!S_SHARE_TOTAL(D976,TODAY())/$E$5)</f>
        <v/>
      </c>
      <c r="T976" s="247" t="str">
        <f t="shared" ca="1" si="97"/>
        <v/>
      </c>
      <c r="U976" s="218" t="str">
        <f t="shared" ca="1" si="98"/>
        <v/>
      </c>
      <c r="V976" s="342" t="str">
        <f t="shared" ca="1" si="99"/>
        <v/>
      </c>
      <c r="W976" s="139"/>
      <c r="Y976" s="1"/>
    </row>
    <row r="977" spans="3:25" ht="12" customHeight="1">
      <c r="C977" s="343" t="str">
        <f t="shared" ca="1" si="100"/>
        <v/>
      </c>
      <c r="D977" s="124" t="str">
        <f t="shared" ca="1" si="95"/>
        <v/>
      </c>
      <c r="E977" s="124" t="str">
        <f t="shared" ca="1" si="96"/>
        <v/>
      </c>
      <c r="F977" s="172" t="str">
        <f ca="1">IF(C977="","",[1]!S_DQ_CLOSE(D977,TODAY(),1))</f>
        <v/>
      </c>
      <c r="G977" s="173" t="str">
        <f ca="1">IF(C977="","",[1]!s_pq_pctchange(D977,TODAY()-$G$12,TODAY())/100)</f>
        <v/>
      </c>
      <c r="H977" s="249" t="str">
        <f ca="1">IF(C977="","",IF($H$11="收入",[1]!S_STM07_IS(D977,9,$G$5,$H$13)/$E$5,[1]!S_STM07_IS(D977,48,$G$5,$H$13)/$E$5))</f>
        <v/>
      </c>
      <c r="I977" s="249" t="str">
        <f ca="1">IF(C977="","",IF($I$11="毛利率",([1]!S_STM07_IS(D977,9,$G$5,$H$13)-[1]!S_STM07_IS(D977,10,$G$5,$H$13))/[1]!S_STM07_IS(D977,9,$G$5,$H$13),[1]!S_STM07_IS(D977,14,$G$5,$H$13)/$E$5))</f>
        <v/>
      </c>
      <c r="J977" s="249" t="str">
        <f ca="1">IF(C977="","",IF($J$11="营业利润率",[1]!S_STM07_IS(D977,48,$G$5,$H$13)/[1]!S_STM07_IS(D977,9,$G$5,$H$13),([1]!S_STM07_CS(D977,87,$G$5,$H$13)+[1]!S_STM07_CS(D977,88,$G$5,$H$13)+[1]!S_STM07_CS(D977,89,$G$5,$H$13))/$E$5))</f>
        <v/>
      </c>
      <c r="K977" s="249" t="str">
        <f ca="1">IF(C977="","",IF($K$11="净利润率",[1]!S_STM07_IS(D977,61,$G$5,$H$13)/[1]!S_STM07_IS(D977,9,$G$5,$H$13),[1]!S_STM07_IS(D977,55,$G$5,$H$13)/$E$5))</f>
        <v/>
      </c>
      <c r="L977" s="249" t="str">
        <f ca="1">IF(C977="","",IF($L$11="ROA",[1]!S_STM07_IS(D977,61,$G$5,$H$13)/[1]!S_STM07_BS(D977,74,$G$5,$H$13),1-[1]!S_STM07_IS(D977,61,$G$5,$H$13)/[1]!S_STM07_IS(D977,55,$G$5,$H$13)))</f>
        <v/>
      </c>
      <c r="M977" s="249" t="str">
        <f ca="1">IF(C977="","",IF($M$11="ROE",[1]!S_STM07_IS(D977,61,$G$5,$H$13)/[1]!S_STM07_BS(D977,141,$G$5,$H$13),([1]!S_STM07_BS(D977,25,$G$5,$H$13)-[1]!S_STM07_BS(D977,93,$G$5,$H$13))/$E$5))</f>
        <v/>
      </c>
      <c r="N977" s="250" t="str">
        <f ca="1">IF(C977="","",IF($N$11="EPS",[1]!S_STM07_IS(D977,61,$G$5,$H$13)/IF([1]!S_SHARE_TOTAL(D977,$G$5)=0,[1]!S_SHARE_TOTAL(D977,[1]!s_ipo_listeddate(D977)),[1]!S_SHARE_TOTAL(D977,$G$5)),([1]!S_STM07_BS(D977,75,$G$5,$H$13)+[1]!S_STM07_BS(D977,88,$G$5,$H$13)+[1]!S_STM07_BS(D977,94,$G$5,$H$13)+[1]!S_STM07_BS(D977,95,$G$5,$H$13))/$E$5))</f>
        <v/>
      </c>
      <c r="O977" s="250" t="str">
        <f ca="1">IF(C977="","",IF($O$11="BPS",[1]!S_STM07_BS(D977,141,$G$5,$H$13)/IF([1]!S_SHARE_TOTAL(D977,$G$5)=0,[1]!S_SHARE_TOTAL(D977,[1]!s_ipo_listeddate(D977)),[1]!S_SHARE_TOTAL(D977,$G$5)),[1]!S_STM07_CS(D977,49,$G$5,$H$13)/$E$5))</f>
        <v/>
      </c>
      <c r="P977" s="250" t="str">
        <f ca="1">IF(C977="","",IF($P$11="CFPS",[1]!S_STM07_CS(D977,84,$G$5,$H$13)/IF([1]!S_SHARE_TOTAL(D977,$G$5)=0,[1]!S_SHARE_TOTAL(D977,[1]!s_ipo_listeddate(D977)),[1]!S_SHARE_TOTAL(D977,$G$5)),[1]!S_STM07_CS(D977,84,$G$5,$H$13)/$E$5))</f>
        <v/>
      </c>
      <c r="Q977" s="198" t="str">
        <f ca="1">IF(C977="","",F977/([1]!S_STM07_IS(D977,61,$G$5,$H$13)/IF([1]!S_SHARE_TOTAL(D977,$G$5)=0,[1]!S_SHARE_TOTAL(D977,[1]!s_ipo_listeddate(D977)),[1]!S_SHARE_TOTAL(D977,$G$5))))</f>
        <v/>
      </c>
      <c r="R977" s="198" t="str">
        <f ca="1">IF(C977="","",F977/([1]!S_STM07_BS(D977,141,$G$5,$H$13)/IF([1]!S_SHARE_TOTAL(D977,$G$5)=0,[1]!S_SHARE_TOTAL(D977,[1]!s_ipo_listeddate(D977)),[1]!S_SHARE_TOTAL(D977,$G$5))))</f>
        <v/>
      </c>
      <c r="S977" s="249" t="str">
        <f ca="1">IF(C977="","",[1]!S_SHARE_TOTAL(D977,TODAY())/$E$5)</f>
        <v/>
      </c>
      <c r="T977" s="249" t="str">
        <f t="shared" ca="1" si="97"/>
        <v/>
      </c>
      <c r="U977" s="172" t="str">
        <f t="shared" ca="1" si="98"/>
        <v/>
      </c>
      <c r="V977" s="343" t="str">
        <f t="shared" ca="1" si="99"/>
        <v/>
      </c>
      <c r="W977" s="139"/>
      <c r="Y977" s="1"/>
    </row>
    <row r="978" spans="3:25" ht="12" customHeight="1">
      <c r="C978" s="342" t="str">
        <f t="shared" ca="1" si="100"/>
        <v/>
      </c>
      <c r="D978" s="153" t="str">
        <f t="shared" ca="1" si="95"/>
        <v/>
      </c>
      <c r="E978" s="153" t="str">
        <f t="shared" ca="1" si="96"/>
        <v/>
      </c>
      <c r="F978" s="170" t="str">
        <f ca="1">IF(C978="","",[1]!S_DQ_CLOSE(D978,TODAY(),1))</f>
        <v/>
      </c>
      <c r="G978" s="171" t="str">
        <f ca="1">IF(C978="","",[1]!s_pq_pctchange(D978,TODAY()-$G$12,TODAY())/100)</f>
        <v/>
      </c>
      <c r="H978" s="247" t="str">
        <f ca="1">IF(C978="","",IF($H$11="收入",[1]!S_STM07_IS(D978,9,$G$5,$H$13)/$E$5,[1]!S_STM07_IS(D978,48,$G$5,$H$13)/$E$5))</f>
        <v/>
      </c>
      <c r="I978" s="247" t="str">
        <f ca="1">IF(C978="","",IF($I$11="毛利率",([1]!S_STM07_IS(D978,9,$G$5,$H$13)-[1]!S_STM07_IS(D978,10,$G$5,$H$13))/[1]!S_STM07_IS(D978,9,$G$5,$H$13),[1]!S_STM07_IS(D978,14,$G$5,$H$13)/$E$5))</f>
        <v/>
      </c>
      <c r="J978" s="247" t="str">
        <f ca="1">IF(C978="","",IF($J$11="营业利润率",[1]!S_STM07_IS(D978,48,$G$5,$H$13)/[1]!S_STM07_IS(D978,9,$G$5,$H$13),([1]!S_STM07_CS(D978,87,$G$5,$H$13)+[1]!S_STM07_CS(D978,88,$G$5,$H$13)+[1]!S_STM07_CS(D978,89,$G$5,$H$13))/$E$5))</f>
        <v/>
      </c>
      <c r="K978" s="247" t="str">
        <f ca="1">IF(C978="","",IF($K$11="净利润率",[1]!S_STM07_IS(D978,61,$G$5,$H$13)/[1]!S_STM07_IS(D978,9,$G$5,$H$13),[1]!S_STM07_IS(D978,55,$G$5,$H$13)/$E$5))</f>
        <v/>
      </c>
      <c r="L978" s="247" t="str">
        <f ca="1">IF(C978="","",IF($L$11="ROA",[1]!S_STM07_IS(D978,61,$G$5,$H$13)/[1]!S_STM07_BS(D978,74,$G$5,$H$13),1-[1]!S_STM07_IS(D978,61,$G$5,$H$13)/[1]!S_STM07_IS(D978,55,$G$5,$H$13)))</f>
        <v/>
      </c>
      <c r="M978" s="247" t="str">
        <f ca="1">IF(C978="","",IF($M$11="ROE",[1]!S_STM07_IS(D978,61,$G$5,$H$13)/[1]!S_STM07_BS(D978,141,$G$5,$H$13),([1]!S_STM07_BS(D978,25,$G$5,$H$13)-[1]!S_STM07_BS(D978,93,$G$5,$H$13))/$E$5))</f>
        <v/>
      </c>
      <c r="N978" s="247" t="str">
        <f ca="1">IF(C978="","",IF($N$11="EPS",[1]!S_STM07_IS(D978,61,$G$5,$H$13)/IF([1]!S_SHARE_TOTAL(D978,$G$5)=0,[1]!S_SHARE_TOTAL(D978,[1]!s_ipo_listeddate(D978)),[1]!S_SHARE_TOTAL(D978,$G$5)),([1]!S_STM07_BS(D978,75,$G$5,$H$13)+[1]!S_STM07_BS(D978,88,$G$5,$H$13)+[1]!S_STM07_BS(D978,94,$G$5,$H$13)+[1]!S_STM07_BS(D978,95,$G$5,$H$13))/$E$5))</f>
        <v/>
      </c>
      <c r="O978" s="247" t="str">
        <f ca="1">IF(C978="","",IF($O$11="BPS",[1]!S_STM07_BS(D978,141,$G$5,$H$13)/IF([1]!S_SHARE_TOTAL(D978,$G$5)=0,[1]!S_SHARE_TOTAL(D978,[1]!s_ipo_listeddate(D978)),[1]!S_SHARE_TOTAL(D978,$G$5)),[1]!S_STM07_CS(D978,49,$G$5,$H$13)/$E$5))</f>
        <v/>
      </c>
      <c r="P978" s="247" t="str">
        <f ca="1">IF(C978="","",IF($P$11="CFPS",[1]!S_STM07_CS(D978,84,$G$5,$H$13)/IF([1]!S_SHARE_TOTAL(D978,$G$5)=0,[1]!S_SHARE_TOTAL(D978,[1]!s_ipo_listeddate(D978)),[1]!S_SHARE_TOTAL(D978,$G$5)),[1]!S_STM07_CS(D978,84,$G$5,$H$13)/$E$5))</f>
        <v/>
      </c>
      <c r="Q978" s="248" t="str">
        <f ca="1">IF(C978="","",F978/([1]!S_STM07_IS(D978,61,$G$5,$H$13)/IF([1]!S_SHARE_TOTAL(D978,$G$5)=0,[1]!S_SHARE_TOTAL(D978,[1]!s_ipo_listeddate(D978)),[1]!S_SHARE_TOTAL(D978,$G$5))))</f>
        <v/>
      </c>
      <c r="R978" s="248" t="str">
        <f ca="1">IF(C978="","",F978/([1]!S_STM07_BS(D978,141,$G$5,$H$13)/IF([1]!S_SHARE_TOTAL(D978,$G$5)=0,[1]!S_SHARE_TOTAL(D978,[1]!s_ipo_listeddate(D978)),[1]!S_SHARE_TOTAL(D978,$G$5))))</f>
        <v/>
      </c>
      <c r="S978" s="247" t="str">
        <f ca="1">IF(C978="","",[1]!S_SHARE_TOTAL(D978,TODAY())/$E$5)</f>
        <v/>
      </c>
      <c r="T978" s="247" t="str">
        <f t="shared" ca="1" si="97"/>
        <v/>
      </c>
      <c r="U978" s="218" t="str">
        <f t="shared" ca="1" si="98"/>
        <v/>
      </c>
      <c r="V978" s="342" t="str">
        <f t="shared" ca="1" si="99"/>
        <v/>
      </c>
      <c r="W978" s="139"/>
      <c r="Y978" s="1"/>
    </row>
    <row r="979" spans="3:25" ht="12" customHeight="1">
      <c r="C979" s="343" t="str">
        <f t="shared" ca="1" si="100"/>
        <v/>
      </c>
      <c r="D979" s="124" t="str">
        <f t="shared" ca="1" si="95"/>
        <v/>
      </c>
      <c r="E979" s="124" t="str">
        <f t="shared" ca="1" si="96"/>
        <v/>
      </c>
      <c r="F979" s="172" t="str">
        <f ca="1">IF(C979="","",[1]!S_DQ_CLOSE(D979,TODAY(),1))</f>
        <v/>
      </c>
      <c r="G979" s="173" t="str">
        <f ca="1">IF(C979="","",[1]!s_pq_pctchange(D979,TODAY()-$G$12,TODAY())/100)</f>
        <v/>
      </c>
      <c r="H979" s="249" t="str">
        <f ca="1">IF(C979="","",IF($H$11="收入",[1]!S_STM07_IS(D979,9,$G$5,$H$13)/$E$5,[1]!S_STM07_IS(D979,48,$G$5,$H$13)/$E$5))</f>
        <v/>
      </c>
      <c r="I979" s="249" t="str">
        <f ca="1">IF(C979="","",IF($I$11="毛利率",([1]!S_STM07_IS(D979,9,$G$5,$H$13)-[1]!S_STM07_IS(D979,10,$G$5,$H$13))/[1]!S_STM07_IS(D979,9,$G$5,$H$13),[1]!S_STM07_IS(D979,14,$G$5,$H$13)/$E$5))</f>
        <v/>
      </c>
      <c r="J979" s="249" t="str">
        <f ca="1">IF(C979="","",IF($J$11="营业利润率",[1]!S_STM07_IS(D979,48,$G$5,$H$13)/[1]!S_STM07_IS(D979,9,$G$5,$H$13),([1]!S_STM07_CS(D979,87,$G$5,$H$13)+[1]!S_STM07_CS(D979,88,$G$5,$H$13)+[1]!S_STM07_CS(D979,89,$G$5,$H$13))/$E$5))</f>
        <v/>
      </c>
      <c r="K979" s="249" t="str">
        <f ca="1">IF(C979="","",IF($K$11="净利润率",[1]!S_STM07_IS(D979,61,$G$5,$H$13)/[1]!S_STM07_IS(D979,9,$G$5,$H$13),[1]!S_STM07_IS(D979,55,$G$5,$H$13)/$E$5))</f>
        <v/>
      </c>
      <c r="L979" s="249" t="str">
        <f ca="1">IF(C979="","",IF($L$11="ROA",[1]!S_STM07_IS(D979,61,$G$5,$H$13)/[1]!S_STM07_BS(D979,74,$G$5,$H$13),1-[1]!S_STM07_IS(D979,61,$G$5,$H$13)/[1]!S_STM07_IS(D979,55,$G$5,$H$13)))</f>
        <v/>
      </c>
      <c r="M979" s="249" t="str">
        <f ca="1">IF(C979="","",IF($M$11="ROE",[1]!S_STM07_IS(D979,61,$G$5,$H$13)/[1]!S_STM07_BS(D979,141,$G$5,$H$13),([1]!S_STM07_BS(D979,25,$G$5,$H$13)-[1]!S_STM07_BS(D979,93,$G$5,$H$13))/$E$5))</f>
        <v/>
      </c>
      <c r="N979" s="250" t="str">
        <f ca="1">IF(C979="","",IF($N$11="EPS",[1]!S_STM07_IS(D979,61,$G$5,$H$13)/IF([1]!S_SHARE_TOTAL(D979,$G$5)=0,[1]!S_SHARE_TOTAL(D979,[1]!s_ipo_listeddate(D979)),[1]!S_SHARE_TOTAL(D979,$G$5)),([1]!S_STM07_BS(D979,75,$G$5,$H$13)+[1]!S_STM07_BS(D979,88,$G$5,$H$13)+[1]!S_STM07_BS(D979,94,$G$5,$H$13)+[1]!S_STM07_BS(D979,95,$G$5,$H$13))/$E$5))</f>
        <v/>
      </c>
      <c r="O979" s="250" t="str">
        <f ca="1">IF(C979="","",IF($O$11="BPS",[1]!S_STM07_BS(D979,141,$G$5,$H$13)/IF([1]!S_SHARE_TOTAL(D979,$G$5)=0,[1]!S_SHARE_TOTAL(D979,[1]!s_ipo_listeddate(D979)),[1]!S_SHARE_TOTAL(D979,$G$5)),[1]!S_STM07_CS(D979,49,$G$5,$H$13)/$E$5))</f>
        <v/>
      </c>
      <c r="P979" s="250" t="str">
        <f ca="1">IF(C979="","",IF($P$11="CFPS",[1]!S_STM07_CS(D979,84,$G$5,$H$13)/IF([1]!S_SHARE_TOTAL(D979,$G$5)=0,[1]!S_SHARE_TOTAL(D979,[1]!s_ipo_listeddate(D979)),[1]!S_SHARE_TOTAL(D979,$G$5)),[1]!S_STM07_CS(D979,84,$G$5,$H$13)/$E$5))</f>
        <v/>
      </c>
      <c r="Q979" s="198" t="str">
        <f ca="1">IF(C979="","",F979/([1]!S_STM07_IS(D979,61,$G$5,$H$13)/IF([1]!S_SHARE_TOTAL(D979,$G$5)=0,[1]!S_SHARE_TOTAL(D979,[1]!s_ipo_listeddate(D979)),[1]!S_SHARE_TOTAL(D979,$G$5))))</f>
        <v/>
      </c>
      <c r="R979" s="198" t="str">
        <f ca="1">IF(C979="","",F979/([1]!S_STM07_BS(D979,141,$G$5,$H$13)/IF([1]!S_SHARE_TOTAL(D979,$G$5)=0,[1]!S_SHARE_TOTAL(D979,[1]!s_ipo_listeddate(D979)),[1]!S_SHARE_TOTAL(D979,$G$5))))</f>
        <v/>
      </c>
      <c r="S979" s="249" t="str">
        <f ca="1">IF(C979="","",[1]!S_SHARE_TOTAL(D979,TODAY())/$E$5)</f>
        <v/>
      </c>
      <c r="T979" s="249" t="str">
        <f t="shared" ca="1" si="97"/>
        <v/>
      </c>
      <c r="U979" s="172" t="str">
        <f t="shared" ca="1" si="98"/>
        <v/>
      </c>
      <c r="V979" s="343" t="str">
        <f t="shared" ca="1" si="99"/>
        <v/>
      </c>
      <c r="W979" s="139"/>
      <c r="Y979" s="1"/>
    </row>
    <row r="980" spans="3:25" ht="12" customHeight="1">
      <c r="C980" s="342" t="str">
        <f t="shared" ca="1" si="100"/>
        <v/>
      </c>
      <c r="D980" s="153" t="str">
        <f t="shared" ca="1" si="95"/>
        <v/>
      </c>
      <c r="E980" s="153" t="str">
        <f t="shared" ca="1" si="96"/>
        <v/>
      </c>
      <c r="F980" s="170" t="str">
        <f ca="1">IF(C980="","",[1]!S_DQ_CLOSE(D980,TODAY(),1))</f>
        <v/>
      </c>
      <c r="G980" s="171" t="str">
        <f ca="1">IF(C980="","",[1]!s_pq_pctchange(D980,TODAY()-$G$12,TODAY())/100)</f>
        <v/>
      </c>
      <c r="H980" s="247" t="str">
        <f ca="1">IF(C980="","",IF($H$11="收入",[1]!S_STM07_IS(D980,9,$G$5,$H$13)/$E$5,[1]!S_STM07_IS(D980,48,$G$5,$H$13)/$E$5))</f>
        <v/>
      </c>
      <c r="I980" s="247" t="str">
        <f ca="1">IF(C980="","",IF($I$11="毛利率",([1]!S_STM07_IS(D980,9,$G$5,$H$13)-[1]!S_STM07_IS(D980,10,$G$5,$H$13))/[1]!S_STM07_IS(D980,9,$G$5,$H$13),[1]!S_STM07_IS(D980,14,$G$5,$H$13)/$E$5))</f>
        <v/>
      </c>
      <c r="J980" s="247" t="str">
        <f ca="1">IF(C980="","",IF($J$11="营业利润率",[1]!S_STM07_IS(D980,48,$G$5,$H$13)/[1]!S_STM07_IS(D980,9,$G$5,$H$13),([1]!S_STM07_CS(D980,87,$G$5,$H$13)+[1]!S_STM07_CS(D980,88,$G$5,$H$13)+[1]!S_STM07_CS(D980,89,$G$5,$H$13))/$E$5))</f>
        <v/>
      </c>
      <c r="K980" s="247" t="str">
        <f ca="1">IF(C980="","",IF($K$11="净利润率",[1]!S_STM07_IS(D980,61,$G$5,$H$13)/[1]!S_STM07_IS(D980,9,$G$5,$H$13),[1]!S_STM07_IS(D980,55,$G$5,$H$13)/$E$5))</f>
        <v/>
      </c>
      <c r="L980" s="247" t="str">
        <f ca="1">IF(C980="","",IF($L$11="ROA",[1]!S_STM07_IS(D980,61,$G$5,$H$13)/[1]!S_STM07_BS(D980,74,$G$5,$H$13),1-[1]!S_STM07_IS(D980,61,$G$5,$H$13)/[1]!S_STM07_IS(D980,55,$G$5,$H$13)))</f>
        <v/>
      </c>
      <c r="M980" s="247" t="str">
        <f ca="1">IF(C980="","",IF($M$11="ROE",[1]!S_STM07_IS(D980,61,$G$5,$H$13)/[1]!S_STM07_BS(D980,141,$G$5,$H$13),([1]!S_STM07_BS(D980,25,$G$5,$H$13)-[1]!S_STM07_BS(D980,93,$G$5,$H$13))/$E$5))</f>
        <v/>
      </c>
      <c r="N980" s="247" t="str">
        <f ca="1">IF(C980="","",IF($N$11="EPS",[1]!S_STM07_IS(D980,61,$G$5,$H$13)/IF([1]!S_SHARE_TOTAL(D980,$G$5)=0,[1]!S_SHARE_TOTAL(D980,[1]!s_ipo_listeddate(D980)),[1]!S_SHARE_TOTAL(D980,$G$5)),([1]!S_STM07_BS(D980,75,$G$5,$H$13)+[1]!S_STM07_BS(D980,88,$G$5,$H$13)+[1]!S_STM07_BS(D980,94,$G$5,$H$13)+[1]!S_STM07_BS(D980,95,$G$5,$H$13))/$E$5))</f>
        <v/>
      </c>
      <c r="O980" s="247" t="str">
        <f ca="1">IF(C980="","",IF($O$11="BPS",[1]!S_STM07_BS(D980,141,$G$5,$H$13)/IF([1]!S_SHARE_TOTAL(D980,$G$5)=0,[1]!S_SHARE_TOTAL(D980,[1]!s_ipo_listeddate(D980)),[1]!S_SHARE_TOTAL(D980,$G$5)),[1]!S_STM07_CS(D980,49,$G$5,$H$13)/$E$5))</f>
        <v/>
      </c>
      <c r="P980" s="247" t="str">
        <f ca="1">IF(C980="","",IF($P$11="CFPS",[1]!S_STM07_CS(D980,84,$G$5,$H$13)/IF([1]!S_SHARE_TOTAL(D980,$G$5)=0,[1]!S_SHARE_TOTAL(D980,[1]!s_ipo_listeddate(D980)),[1]!S_SHARE_TOTAL(D980,$G$5)),[1]!S_STM07_CS(D980,84,$G$5,$H$13)/$E$5))</f>
        <v/>
      </c>
      <c r="Q980" s="248" t="str">
        <f ca="1">IF(C980="","",F980/([1]!S_STM07_IS(D980,61,$G$5,$H$13)/IF([1]!S_SHARE_TOTAL(D980,$G$5)=0,[1]!S_SHARE_TOTAL(D980,[1]!s_ipo_listeddate(D980)),[1]!S_SHARE_TOTAL(D980,$G$5))))</f>
        <v/>
      </c>
      <c r="R980" s="248" t="str">
        <f ca="1">IF(C980="","",F980/([1]!S_STM07_BS(D980,141,$G$5,$H$13)/IF([1]!S_SHARE_TOTAL(D980,$G$5)=0,[1]!S_SHARE_TOTAL(D980,[1]!s_ipo_listeddate(D980)),[1]!S_SHARE_TOTAL(D980,$G$5))))</f>
        <v/>
      </c>
      <c r="S980" s="247" t="str">
        <f ca="1">IF(C980="","",[1]!S_SHARE_TOTAL(D980,TODAY())/$E$5)</f>
        <v/>
      </c>
      <c r="T980" s="247" t="str">
        <f t="shared" ca="1" si="97"/>
        <v/>
      </c>
      <c r="U980" s="218" t="str">
        <f t="shared" ca="1" si="98"/>
        <v/>
      </c>
      <c r="V980" s="342" t="str">
        <f t="shared" ca="1" si="99"/>
        <v/>
      </c>
      <c r="W980" s="139"/>
      <c r="Y980" s="1"/>
    </row>
    <row r="981" spans="3:25" ht="12" customHeight="1">
      <c r="C981" s="343" t="str">
        <f t="shared" ca="1" si="100"/>
        <v/>
      </c>
      <c r="D981" s="124" t="str">
        <f t="shared" ca="1" si="95"/>
        <v/>
      </c>
      <c r="E981" s="124" t="str">
        <f t="shared" ca="1" si="96"/>
        <v/>
      </c>
      <c r="F981" s="172" t="str">
        <f ca="1">IF(C981="","",[1]!S_DQ_CLOSE(D981,TODAY(),1))</f>
        <v/>
      </c>
      <c r="G981" s="173" t="str">
        <f ca="1">IF(C981="","",[1]!s_pq_pctchange(D981,TODAY()-$G$12,TODAY())/100)</f>
        <v/>
      </c>
      <c r="H981" s="249" t="str">
        <f ca="1">IF(C981="","",IF($H$11="收入",[1]!S_STM07_IS(D981,9,$G$5,$H$13)/$E$5,[1]!S_STM07_IS(D981,48,$G$5,$H$13)/$E$5))</f>
        <v/>
      </c>
      <c r="I981" s="249" t="str">
        <f ca="1">IF(C981="","",IF($I$11="毛利率",([1]!S_STM07_IS(D981,9,$G$5,$H$13)-[1]!S_STM07_IS(D981,10,$G$5,$H$13))/[1]!S_STM07_IS(D981,9,$G$5,$H$13),[1]!S_STM07_IS(D981,14,$G$5,$H$13)/$E$5))</f>
        <v/>
      </c>
      <c r="J981" s="249" t="str">
        <f ca="1">IF(C981="","",IF($J$11="营业利润率",[1]!S_STM07_IS(D981,48,$G$5,$H$13)/[1]!S_STM07_IS(D981,9,$G$5,$H$13),([1]!S_STM07_CS(D981,87,$G$5,$H$13)+[1]!S_STM07_CS(D981,88,$G$5,$H$13)+[1]!S_STM07_CS(D981,89,$G$5,$H$13))/$E$5))</f>
        <v/>
      </c>
      <c r="K981" s="249" t="str">
        <f ca="1">IF(C981="","",IF($K$11="净利润率",[1]!S_STM07_IS(D981,61,$G$5,$H$13)/[1]!S_STM07_IS(D981,9,$G$5,$H$13),[1]!S_STM07_IS(D981,55,$G$5,$H$13)/$E$5))</f>
        <v/>
      </c>
      <c r="L981" s="249" t="str">
        <f ca="1">IF(C981="","",IF($L$11="ROA",[1]!S_STM07_IS(D981,61,$G$5,$H$13)/[1]!S_STM07_BS(D981,74,$G$5,$H$13),1-[1]!S_STM07_IS(D981,61,$G$5,$H$13)/[1]!S_STM07_IS(D981,55,$G$5,$H$13)))</f>
        <v/>
      </c>
      <c r="M981" s="249" t="str">
        <f ca="1">IF(C981="","",IF($M$11="ROE",[1]!S_STM07_IS(D981,61,$G$5,$H$13)/[1]!S_STM07_BS(D981,141,$G$5,$H$13),([1]!S_STM07_BS(D981,25,$G$5,$H$13)-[1]!S_STM07_BS(D981,93,$G$5,$H$13))/$E$5))</f>
        <v/>
      </c>
      <c r="N981" s="250" t="str">
        <f ca="1">IF(C981="","",IF($N$11="EPS",[1]!S_STM07_IS(D981,61,$G$5,$H$13)/IF([1]!S_SHARE_TOTAL(D981,$G$5)=0,[1]!S_SHARE_TOTAL(D981,[1]!s_ipo_listeddate(D981)),[1]!S_SHARE_TOTAL(D981,$G$5)),([1]!S_STM07_BS(D981,75,$G$5,$H$13)+[1]!S_STM07_BS(D981,88,$G$5,$H$13)+[1]!S_STM07_BS(D981,94,$G$5,$H$13)+[1]!S_STM07_BS(D981,95,$G$5,$H$13))/$E$5))</f>
        <v/>
      </c>
      <c r="O981" s="250" t="str">
        <f ca="1">IF(C981="","",IF($O$11="BPS",[1]!S_STM07_BS(D981,141,$G$5,$H$13)/IF([1]!S_SHARE_TOTAL(D981,$G$5)=0,[1]!S_SHARE_TOTAL(D981,[1]!s_ipo_listeddate(D981)),[1]!S_SHARE_TOTAL(D981,$G$5)),[1]!S_STM07_CS(D981,49,$G$5,$H$13)/$E$5))</f>
        <v/>
      </c>
      <c r="P981" s="250" t="str">
        <f ca="1">IF(C981="","",IF($P$11="CFPS",[1]!S_STM07_CS(D981,84,$G$5,$H$13)/IF([1]!S_SHARE_TOTAL(D981,$G$5)=0,[1]!S_SHARE_TOTAL(D981,[1]!s_ipo_listeddate(D981)),[1]!S_SHARE_TOTAL(D981,$G$5)),[1]!S_STM07_CS(D981,84,$G$5,$H$13)/$E$5))</f>
        <v/>
      </c>
      <c r="Q981" s="198" t="str">
        <f ca="1">IF(C981="","",F981/([1]!S_STM07_IS(D981,61,$G$5,$H$13)/IF([1]!S_SHARE_TOTAL(D981,$G$5)=0,[1]!S_SHARE_TOTAL(D981,[1]!s_ipo_listeddate(D981)),[1]!S_SHARE_TOTAL(D981,$G$5))))</f>
        <v/>
      </c>
      <c r="R981" s="198" t="str">
        <f ca="1">IF(C981="","",F981/([1]!S_STM07_BS(D981,141,$G$5,$H$13)/IF([1]!S_SHARE_TOTAL(D981,$G$5)=0,[1]!S_SHARE_TOTAL(D981,[1]!s_ipo_listeddate(D981)),[1]!S_SHARE_TOTAL(D981,$G$5))))</f>
        <v/>
      </c>
      <c r="S981" s="249" t="str">
        <f ca="1">IF(C981="","",[1]!S_SHARE_TOTAL(D981,TODAY())/$E$5)</f>
        <v/>
      </c>
      <c r="T981" s="249" t="str">
        <f t="shared" ca="1" si="97"/>
        <v/>
      </c>
      <c r="U981" s="172" t="str">
        <f t="shared" ca="1" si="98"/>
        <v/>
      </c>
      <c r="V981" s="343" t="str">
        <f t="shared" ca="1" si="99"/>
        <v/>
      </c>
      <c r="W981" s="139"/>
      <c r="Y981" s="1"/>
    </row>
    <row r="982" spans="3:25" ht="12" customHeight="1">
      <c r="C982" s="342" t="str">
        <f t="shared" ca="1" si="100"/>
        <v/>
      </c>
      <c r="D982" s="153" t="str">
        <f t="shared" ca="1" si="95"/>
        <v/>
      </c>
      <c r="E982" s="153" t="str">
        <f t="shared" ca="1" si="96"/>
        <v/>
      </c>
      <c r="F982" s="170" t="str">
        <f ca="1">IF(C982="","",[1]!S_DQ_CLOSE(D982,TODAY(),1))</f>
        <v/>
      </c>
      <c r="G982" s="171" t="str">
        <f ca="1">IF(C982="","",[1]!s_pq_pctchange(D982,TODAY()-$G$12,TODAY())/100)</f>
        <v/>
      </c>
      <c r="H982" s="247" t="str">
        <f ca="1">IF(C982="","",IF($H$11="收入",[1]!S_STM07_IS(D982,9,$G$5,$H$13)/$E$5,[1]!S_STM07_IS(D982,48,$G$5,$H$13)/$E$5))</f>
        <v/>
      </c>
      <c r="I982" s="247" t="str">
        <f ca="1">IF(C982="","",IF($I$11="毛利率",([1]!S_STM07_IS(D982,9,$G$5,$H$13)-[1]!S_STM07_IS(D982,10,$G$5,$H$13))/[1]!S_STM07_IS(D982,9,$G$5,$H$13),[1]!S_STM07_IS(D982,14,$G$5,$H$13)/$E$5))</f>
        <v/>
      </c>
      <c r="J982" s="247" t="str">
        <f ca="1">IF(C982="","",IF($J$11="营业利润率",[1]!S_STM07_IS(D982,48,$G$5,$H$13)/[1]!S_STM07_IS(D982,9,$G$5,$H$13),([1]!S_STM07_CS(D982,87,$G$5,$H$13)+[1]!S_STM07_CS(D982,88,$G$5,$H$13)+[1]!S_STM07_CS(D982,89,$G$5,$H$13))/$E$5))</f>
        <v/>
      </c>
      <c r="K982" s="247" t="str">
        <f ca="1">IF(C982="","",IF($K$11="净利润率",[1]!S_STM07_IS(D982,61,$G$5,$H$13)/[1]!S_STM07_IS(D982,9,$G$5,$H$13),[1]!S_STM07_IS(D982,55,$G$5,$H$13)/$E$5))</f>
        <v/>
      </c>
      <c r="L982" s="247" t="str">
        <f ca="1">IF(C982="","",IF($L$11="ROA",[1]!S_STM07_IS(D982,61,$G$5,$H$13)/[1]!S_STM07_BS(D982,74,$G$5,$H$13),1-[1]!S_STM07_IS(D982,61,$G$5,$H$13)/[1]!S_STM07_IS(D982,55,$G$5,$H$13)))</f>
        <v/>
      </c>
      <c r="M982" s="247" t="str">
        <f ca="1">IF(C982="","",IF($M$11="ROE",[1]!S_STM07_IS(D982,61,$G$5,$H$13)/[1]!S_STM07_BS(D982,141,$G$5,$H$13),([1]!S_STM07_BS(D982,25,$G$5,$H$13)-[1]!S_STM07_BS(D982,93,$G$5,$H$13))/$E$5))</f>
        <v/>
      </c>
      <c r="N982" s="247" t="str">
        <f ca="1">IF(C982="","",IF($N$11="EPS",[1]!S_STM07_IS(D982,61,$G$5,$H$13)/IF([1]!S_SHARE_TOTAL(D982,$G$5)=0,[1]!S_SHARE_TOTAL(D982,[1]!s_ipo_listeddate(D982)),[1]!S_SHARE_TOTAL(D982,$G$5)),([1]!S_STM07_BS(D982,75,$G$5,$H$13)+[1]!S_STM07_BS(D982,88,$G$5,$H$13)+[1]!S_STM07_BS(D982,94,$G$5,$H$13)+[1]!S_STM07_BS(D982,95,$G$5,$H$13))/$E$5))</f>
        <v/>
      </c>
      <c r="O982" s="247" t="str">
        <f ca="1">IF(C982="","",IF($O$11="BPS",[1]!S_STM07_BS(D982,141,$G$5,$H$13)/IF([1]!S_SHARE_TOTAL(D982,$G$5)=0,[1]!S_SHARE_TOTAL(D982,[1]!s_ipo_listeddate(D982)),[1]!S_SHARE_TOTAL(D982,$G$5)),[1]!S_STM07_CS(D982,49,$G$5,$H$13)/$E$5))</f>
        <v/>
      </c>
      <c r="P982" s="247" t="str">
        <f ca="1">IF(C982="","",IF($P$11="CFPS",[1]!S_STM07_CS(D982,84,$G$5,$H$13)/IF([1]!S_SHARE_TOTAL(D982,$G$5)=0,[1]!S_SHARE_TOTAL(D982,[1]!s_ipo_listeddate(D982)),[1]!S_SHARE_TOTAL(D982,$G$5)),[1]!S_STM07_CS(D982,84,$G$5,$H$13)/$E$5))</f>
        <v/>
      </c>
      <c r="Q982" s="248" t="str">
        <f ca="1">IF(C982="","",F982/([1]!S_STM07_IS(D982,61,$G$5,$H$13)/IF([1]!S_SHARE_TOTAL(D982,$G$5)=0,[1]!S_SHARE_TOTAL(D982,[1]!s_ipo_listeddate(D982)),[1]!S_SHARE_TOTAL(D982,$G$5))))</f>
        <v/>
      </c>
      <c r="R982" s="248" t="str">
        <f ca="1">IF(C982="","",F982/([1]!S_STM07_BS(D982,141,$G$5,$H$13)/IF([1]!S_SHARE_TOTAL(D982,$G$5)=0,[1]!S_SHARE_TOTAL(D982,[1]!s_ipo_listeddate(D982)),[1]!S_SHARE_TOTAL(D982,$G$5))))</f>
        <v/>
      </c>
      <c r="S982" s="247" t="str">
        <f ca="1">IF(C982="","",[1]!S_SHARE_TOTAL(D982,TODAY())/$E$5)</f>
        <v/>
      </c>
      <c r="T982" s="247" t="str">
        <f t="shared" ca="1" si="97"/>
        <v/>
      </c>
      <c r="U982" s="218" t="str">
        <f t="shared" ca="1" si="98"/>
        <v/>
      </c>
      <c r="V982" s="342" t="str">
        <f t="shared" ca="1" si="99"/>
        <v/>
      </c>
      <c r="W982" s="139"/>
      <c r="Y982" s="1"/>
    </row>
    <row r="983" spans="3:25" ht="12" customHeight="1">
      <c r="C983" s="343" t="str">
        <f t="shared" ca="1" si="100"/>
        <v/>
      </c>
      <c r="D983" s="124" t="str">
        <f t="shared" ca="1" si="95"/>
        <v/>
      </c>
      <c r="E983" s="124" t="str">
        <f t="shared" ca="1" si="96"/>
        <v/>
      </c>
      <c r="F983" s="172" t="str">
        <f ca="1">IF(C983="","",[1]!S_DQ_CLOSE(D983,TODAY(),1))</f>
        <v/>
      </c>
      <c r="G983" s="173" t="str">
        <f ca="1">IF(C983="","",[1]!s_pq_pctchange(D983,TODAY()-$G$12,TODAY())/100)</f>
        <v/>
      </c>
      <c r="H983" s="249" t="str">
        <f ca="1">IF(C983="","",IF($H$11="收入",[1]!S_STM07_IS(D983,9,$G$5,$H$13)/$E$5,[1]!S_STM07_IS(D983,48,$G$5,$H$13)/$E$5))</f>
        <v/>
      </c>
      <c r="I983" s="249" t="str">
        <f ca="1">IF(C983="","",IF($I$11="毛利率",([1]!S_STM07_IS(D983,9,$G$5,$H$13)-[1]!S_STM07_IS(D983,10,$G$5,$H$13))/[1]!S_STM07_IS(D983,9,$G$5,$H$13),[1]!S_STM07_IS(D983,14,$G$5,$H$13)/$E$5))</f>
        <v/>
      </c>
      <c r="J983" s="249" t="str">
        <f ca="1">IF(C983="","",IF($J$11="营业利润率",[1]!S_STM07_IS(D983,48,$G$5,$H$13)/[1]!S_STM07_IS(D983,9,$G$5,$H$13),([1]!S_STM07_CS(D983,87,$G$5,$H$13)+[1]!S_STM07_CS(D983,88,$G$5,$H$13)+[1]!S_STM07_CS(D983,89,$G$5,$H$13))/$E$5))</f>
        <v/>
      </c>
      <c r="K983" s="249" t="str">
        <f ca="1">IF(C983="","",IF($K$11="净利润率",[1]!S_STM07_IS(D983,61,$G$5,$H$13)/[1]!S_STM07_IS(D983,9,$G$5,$H$13),[1]!S_STM07_IS(D983,55,$G$5,$H$13)/$E$5))</f>
        <v/>
      </c>
      <c r="L983" s="249" t="str">
        <f ca="1">IF(C983="","",IF($L$11="ROA",[1]!S_STM07_IS(D983,61,$G$5,$H$13)/[1]!S_STM07_BS(D983,74,$G$5,$H$13),1-[1]!S_STM07_IS(D983,61,$G$5,$H$13)/[1]!S_STM07_IS(D983,55,$G$5,$H$13)))</f>
        <v/>
      </c>
      <c r="M983" s="249" t="str">
        <f ca="1">IF(C983="","",IF($M$11="ROE",[1]!S_STM07_IS(D983,61,$G$5,$H$13)/[1]!S_STM07_BS(D983,141,$G$5,$H$13),([1]!S_STM07_BS(D983,25,$G$5,$H$13)-[1]!S_STM07_BS(D983,93,$G$5,$H$13))/$E$5))</f>
        <v/>
      </c>
      <c r="N983" s="250" t="str">
        <f ca="1">IF(C983="","",IF($N$11="EPS",[1]!S_STM07_IS(D983,61,$G$5,$H$13)/IF([1]!S_SHARE_TOTAL(D983,$G$5)=0,[1]!S_SHARE_TOTAL(D983,[1]!s_ipo_listeddate(D983)),[1]!S_SHARE_TOTAL(D983,$G$5)),([1]!S_STM07_BS(D983,75,$G$5,$H$13)+[1]!S_STM07_BS(D983,88,$G$5,$H$13)+[1]!S_STM07_BS(D983,94,$G$5,$H$13)+[1]!S_STM07_BS(D983,95,$G$5,$H$13))/$E$5))</f>
        <v/>
      </c>
      <c r="O983" s="250" t="str">
        <f ca="1">IF(C983="","",IF($O$11="BPS",[1]!S_STM07_BS(D983,141,$G$5,$H$13)/IF([1]!S_SHARE_TOTAL(D983,$G$5)=0,[1]!S_SHARE_TOTAL(D983,[1]!s_ipo_listeddate(D983)),[1]!S_SHARE_TOTAL(D983,$G$5)),[1]!S_STM07_CS(D983,49,$G$5,$H$13)/$E$5))</f>
        <v/>
      </c>
      <c r="P983" s="250" t="str">
        <f ca="1">IF(C983="","",IF($P$11="CFPS",[1]!S_STM07_CS(D983,84,$G$5,$H$13)/IF([1]!S_SHARE_TOTAL(D983,$G$5)=0,[1]!S_SHARE_TOTAL(D983,[1]!s_ipo_listeddate(D983)),[1]!S_SHARE_TOTAL(D983,$G$5)),[1]!S_STM07_CS(D983,84,$G$5,$H$13)/$E$5))</f>
        <v/>
      </c>
      <c r="Q983" s="198" t="str">
        <f ca="1">IF(C983="","",F983/([1]!S_STM07_IS(D983,61,$G$5,$H$13)/IF([1]!S_SHARE_TOTAL(D983,$G$5)=0,[1]!S_SHARE_TOTAL(D983,[1]!s_ipo_listeddate(D983)),[1]!S_SHARE_TOTAL(D983,$G$5))))</f>
        <v/>
      </c>
      <c r="R983" s="198" t="str">
        <f ca="1">IF(C983="","",F983/([1]!S_STM07_BS(D983,141,$G$5,$H$13)/IF([1]!S_SHARE_TOTAL(D983,$G$5)=0,[1]!S_SHARE_TOTAL(D983,[1]!s_ipo_listeddate(D983)),[1]!S_SHARE_TOTAL(D983,$G$5))))</f>
        <v/>
      </c>
      <c r="S983" s="249" t="str">
        <f ca="1">IF(C983="","",[1]!S_SHARE_TOTAL(D983,TODAY())/$E$5)</f>
        <v/>
      </c>
      <c r="T983" s="249" t="str">
        <f t="shared" ca="1" si="97"/>
        <v/>
      </c>
      <c r="U983" s="172" t="str">
        <f t="shared" ca="1" si="98"/>
        <v/>
      </c>
      <c r="V983" s="343" t="str">
        <f t="shared" ca="1" si="99"/>
        <v/>
      </c>
      <c r="W983" s="139"/>
      <c r="Y983" s="1"/>
    </row>
    <row r="984" spans="3:25" ht="12" customHeight="1">
      <c r="C984" s="342" t="str">
        <f t="shared" ca="1" si="100"/>
        <v/>
      </c>
      <c r="D984" s="153" t="str">
        <f t="shared" ca="1" si="95"/>
        <v/>
      </c>
      <c r="E984" s="153" t="str">
        <f t="shared" ca="1" si="96"/>
        <v/>
      </c>
      <c r="F984" s="170" t="str">
        <f ca="1">IF(C984="","",[1]!S_DQ_CLOSE(D984,TODAY(),1))</f>
        <v/>
      </c>
      <c r="G984" s="171" t="str">
        <f ca="1">IF(C984="","",[1]!s_pq_pctchange(D984,TODAY()-$G$12,TODAY())/100)</f>
        <v/>
      </c>
      <c r="H984" s="247" t="str">
        <f ca="1">IF(C984="","",IF($H$11="收入",[1]!S_STM07_IS(D984,9,$G$5,$H$13)/$E$5,[1]!S_STM07_IS(D984,48,$G$5,$H$13)/$E$5))</f>
        <v/>
      </c>
      <c r="I984" s="247" t="str">
        <f ca="1">IF(C984="","",IF($I$11="毛利率",([1]!S_STM07_IS(D984,9,$G$5,$H$13)-[1]!S_STM07_IS(D984,10,$G$5,$H$13))/[1]!S_STM07_IS(D984,9,$G$5,$H$13),[1]!S_STM07_IS(D984,14,$G$5,$H$13)/$E$5))</f>
        <v/>
      </c>
      <c r="J984" s="247" t="str">
        <f ca="1">IF(C984="","",IF($J$11="营业利润率",[1]!S_STM07_IS(D984,48,$G$5,$H$13)/[1]!S_STM07_IS(D984,9,$G$5,$H$13),([1]!S_STM07_CS(D984,87,$G$5,$H$13)+[1]!S_STM07_CS(D984,88,$G$5,$H$13)+[1]!S_STM07_CS(D984,89,$G$5,$H$13))/$E$5))</f>
        <v/>
      </c>
      <c r="K984" s="247" t="str">
        <f ca="1">IF(C984="","",IF($K$11="净利润率",[1]!S_STM07_IS(D984,61,$G$5,$H$13)/[1]!S_STM07_IS(D984,9,$G$5,$H$13),[1]!S_STM07_IS(D984,55,$G$5,$H$13)/$E$5))</f>
        <v/>
      </c>
      <c r="L984" s="247" t="str">
        <f ca="1">IF(C984="","",IF($L$11="ROA",[1]!S_STM07_IS(D984,61,$G$5,$H$13)/[1]!S_STM07_BS(D984,74,$G$5,$H$13),1-[1]!S_STM07_IS(D984,61,$G$5,$H$13)/[1]!S_STM07_IS(D984,55,$G$5,$H$13)))</f>
        <v/>
      </c>
      <c r="M984" s="247" t="str">
        <f ca="1">IF(C984="","",IF($M$11="ROE",[1]!S_STM07_IS(D984,61,$G$5,$H$13)/[1]!S_STM07_BS(D984,141,$G$5,$H$13),([1]!S_STM07_BS(D984,25,$G$5,$H$13)-[1]!S_STM07_BS(D984,93,$G$5,$H$13))/$E$5))</f>
        <v/>
      </c>
      <c r="N984" s="247" t="str">
        <f ca="1">IF(C984="","",IF($N$11="EPS",[1]!S_STM07_IS(D984,61,$G$5,$H$13)/IF([1]!S_SHARE_TOTAL(D984,$G$5)=0,[1]!S_SHARE_TOTAL(D984,[1]!s_ipo_listeddate(D984)),[1]!S_SHARE_TOTAL(D984,$G$5)),([1]!S_STM07_BS(D984,75,$G$5,$H$13)+[1]!S_STM07_BS(D984,88,$G$5,$H$13)+[1]!S_STM07_BS(D984,94,$G$5,$H$13)+[1]!S_STM07_BS(D984,95,$G$5,$H$13))/$E$5))</f>
        <v/>
      </c>
      <c r="O984" s="247" t="str">
        <f ca="1">IF(C984="","",IF($O$11="BPS",[1]!S_STM07_BS(D984,141,$G$5,$H$13)/IF([1]!S_SHARE_TOTAL(D984,$G$5)=0,[1]!S_SHARE_TOTAL(D984,[1]!s_ipo_listeddate(D984)),[1]!S_SHARE_TOTAL(D984,$G$5)),[1]!S_STM07_CS(D984,49,$G$5,$H$13)/$E$5))</f>
        <v/>
      </c>
      <c r="P984" s="247" t="str">
        <f ca="1">IF(C984="","",IF($P$11="CFPS",[1]!S_STM07_CS(D984,84,$G$5,$H$13)/IF([1]!S_SHARE_TOTAL(D984,$G$5)=0,[1]!S_SHARE_TOTAL(D984,[1]!s_ipo_listeddate(D984)),[1]!S_SHARE_TOTAL(D984,$G$5)),[1]!S_STM07_CS(D984,84,$G$5,$H$13)/$E$5))</f>
        <v/>
      </c>
      <c r="Q984" s="248" t="str">
        <f ca="1">IF(C984="","",F984/([1]!S_STM07_IS(D984,61,$G$5,$H$13)/IF([1]!S_SHARE_TOTAL(D984,$G$5)=0,[1]!S_SHARE_TOTAL(D984,[1]!s_ipo_listeddate(D984)),[1]!S_SHARE_TOTAL(D984,$G$5))))</f>
        <v/>
      </c>
      <c r="R984" s="248" t="str">
        <f ca="1">IF(C984="","",F984/([1]!S_STM07_BS(D984,141,$G$5,$H$13)/IF([1]!S_SHARE_TOTAL(D984,$G$5)=0,[1]!S_SHARE_TOTAL(D984,[1]!s_ipo_listeddate(D984)),[1]!S_SHARE_TOTAL(D984,$G$5))))</f>
        <v/>
      </c>
      <c r="S984" s="247" t="str">
        <f ca="1">IF(C984="","",[1]!S_SHARE_TOTAL(D984,TODAY())/$E$5)</f>
        <v/>
      </c>
      <c r="T984" s="247" t="str">
        <f t="shared" ca="1" si="97"/>
        <v/>
      </c>
      <c r="U984" s="218" t="str">
        <f t="shared" ca="1" si="98"/>
        <v/>
      </c>
      <c r="V984" s="342" t="str">
        <f t="shared" ca="1" si="99"/>
        <v/>
      </c>
      <c r="W984" s="139"/>
      <c r="Y984" s="1"/>
    </row>
    <row r="985" spans="3:25" ht="12" customHeight="1">
      <c r="C985" s="343" t="str">
        <f t="shared" ca="1" si="100"/>
        <v/>
      </c>
      <c r="D985" s="124" t="str">
        <f t="shared" ref="D985:D1048" ca="1" si="101">IF(C985="","",VLOOKUP(C985,comppool,2,FALSE))</f>
        <v/>
      </c>
      <c r="E985" s="124" t="str">
        <f t="shared" ref="E985:E1048" ca="1" si="102">IF(C985="","",VLOOKUP(C985,comppool,3,FALSE))</f>
        <v/>
      </c>
      <c r="F985" s="172" t="str">
        <f ca="1">IF(C985="","",[1]!S_DQ_CLOSE(D985,TODAY(),1))</f>
        <v/>
      </c>
      <c r="G985" s="173" t="str">
        <f ca="1">IF(C985="","",[1]!s_pq_pctchange(D985,TODAY()-$G$12,TODAY())/100)</f>
        <v/>
      </c>
      <c r="H985" s="249" t="str">
        <f ca="1">IF(C985="","",IF($H$11="收入",[1]!S_STM07_IS(D985,9,$G$5,$H$13)/$E$5,[1]!S_STM07_IS(D985,48,$G$5,$H$13)/$E$5))</f>
        <v/>
      </c>
      <c r="I985" s="249" t="str">
        <f ca="1">IF(C985="","",IF($I$11="毛利率",([1]!S_STM07_IS(D985,9,$G$5,$H$13)-[1]!S_STM07_IS(D985,10,$G$5,$H$13))/[1]!S_STM07_IS(D985,9,$G$5,$H$13),[1]!S_STM07_IS(D985,14,$G$5,$H$13)/$E$5))</f>
        <v/>
      </c>
      <c r="J985" s="249" t="str">
        <f ca="1">IF(C985="","",IF($J$11="营业利润率",[1]!S_STM07_IS(D985,48,$G$5,$H$13)/[1]!S_STM07_IS(D985,9,$G$5,$H$13),([1]!S_STM07_CS(D985,87,$G$5,$H$13)+[1]!S_STM07_CS(D985,88,$G$5,$H$13)+[1]!S_STM07_CS(D985,89,$G$5,$H$13))/$E$5))</f>
        <v/>
      </c>
      <c r="K985" s="249" t="str">
        <f ca="1">IF(C985="","",IF($K$11="净利润率",[1]!S_STM07_IS(D985,61,$G$5,$H$13)/[1]!S_STM07_IS(D985,9,$G$5,$H$13),[1]!S_STM07_IS(D985,55,$G$5,$H$13)/$E$5))</f>
        <v/>
      </c>
      <c r="L985" s="249" t="str">
        <f ca="1">IF(C985="","",IF($L$11="ROA",[1]!S_STM07_IS(D985,61,$G$5,$H$13)/[1]!S_STM07_BS(D985,74,$G$5,$H$13),1-[1]!S_STM07_IS(D985,61,$G$5,$H$13)/[1]!S_STM07_IS(D985,55,$G$5,$H$13)))</f>
        <v/>
      </c>
      <c r="M985" s="249" t="str">
        <f ca="1">IF(C985="","",IF($M$11="ROE",[1]!S_STM07_IS(D985,61,$G$5,$H$13)/[1]!S_STM07_BS(D985,141,$G$5,$H$13),([1]!S_STM07_BS(D985,25,$G$5,$H$13)-[1]!S_STM07_BS(D985,93,$G$5,$H$13))/$E$5))</f>
        <v/>
      </c>
      <c r="N985" s="250" t="str">
        <f ca="1">IF(C985="","",IF($N$11="EPS",[1]!S_STM07_IS(D985,61,$G$5,$H$13)/IF([1]!S_SHARE_TOTAL(D985,$G$5)=0,[1]!S_SHARE_TOTAL(D985,[1]!s_ipo_listeddate(D985)),[1]!S_SHARE_TOTAL(D985,$G$5)),([1]!S_STM07_BS(D985,75,$G$5,$H$13)+[1]!S_STM07_BS(D985,88,$G$5,$H$13)+[1]!S_STM07_BS(D985,94,$G$5,$H$13)+[1]!S_STM07_BS(D985,95,$G$5,$H$13))/$E$5))</f>
        <v/>
      </c>
      <c r="O985" s="250" t="str">
        <f ca="1">IF(C985="","",IF($O$11="BPS",[1]!S_STM07_BS(D985,141,$G$5,$H$13)/IF([1]!S_SHARE_TOTAL(D985,$G$5)=0,[1]!S_SHARE_TOTAL(D985,[1]!s_ipo_listeddate(D985)),[1]!S_SHARE_TOTAL(D985,$G$5)),[1]!S_STM07_CS(D985,49,$G$5,$H$13)/$E$5))</f>
        <v/>
      </c>
      <c r="P985" s="250" t="str">
        <f ca="1">IF(C985="","",IF($P$11="CFPS",[1]!S_STM07_CS(D985,84,$G$5,$H$13)/IF([1]!S_SHARE_TOTAL(D985,$G$5)=0,[1]!S_SHARE_TOTAL(D985,[1]!s_ipo_listeddate(D985)),[1]!S_SHARE_TOTAL(D985,$G$5)),[1]!S_STM07_CS(D985,84,$G$5,$H$13)/$E$5))</f>
        <v/>
      </c>
      <c r="Q985" s="198" t="str">
        <f ca="1">IF(C985="","",F985/([1]!S_STM07_IS(D985,61,$G$5,$H$13)/IF([1]!S_SHARE_TOTAL(D985,$G$5)=0,[1]!S_SHARE_TOTAL(D985,[1]!s_ipo_listeddate(D985)),[1]!S_SHARE_TOTAL(D985,$G$5))))</f>
        <v/>
      </c>
      <c r="R985" s="198" t="str">
        <f ca="1">IF(C985="","",F985/([1]!S_STM07_BS(D985,141,$G$5,$H$13)/IF([1]!S_SHARE_TOTAL(D985,$G$5)=0,[1]!S_SHARE_TOTAL(D985,[1]!s_ipo_listeddate(D985)),[1]!S_SHARE_TOTAL(D985,$G$5))))</f>
        <v/>
      </c>
      <c r="S985" s="249" t="str">
        <f ca="1">IF(C985="","",[1]!S_SHARE_TOTAL(D985,TODAY())/$E$5)</f>
        <v/>
      </c>
      <c r="T985" s="249" t="str">
        <f t="shared" ref="T985:T1048" ca="1" si="103">IF(C985="","",F985*S985)</f>
        <v/>
      </c>
      <c r="U985" s="172" t="str">
        <f t="shared" ref="U985:U1048" ca="1" si="104">IF(C985="","",HLOOKUP($V$12,$G$11:$T$20003,ROW()-ROW($G$11)+1,FALSE))</f>
        <v/>
      </c>
      <c r="V985" s="343" t="str">
        <f t="shared" ref="V985:V1048" ca="1" si="105">IF(C985="","",RANK(U985,U:U,0))</f>
        <v/>
      </c>
      <c r="W985" s="139"/>
      <c r="Y985" s="1"/>
    </row>
    <row r="986" spans="3:25" ht="12" customHeight="1">
      <c r="C986" s="342" t="str">
        <f t="shared" ca="1" si="100"/>
        <v/>
      </c>
      <c r="D986" s="153" t="str">
        <f t="shared" ca="1" si="101"/>
        <v/>
      </c>
      <c r="E986" s="153" t="str">
        <f t="shared" ca="1" si="102"/>
        <v/>
      </c>
      <c r="F986" s="170" t="str">
        <f ca="1">IF(C986="","",[1]!S_DQ_CLOSE(D986,TODAY(),1))</f>
        <v/>
      </c>
      <c r="G986" s="171" t="str">
        <f ca="1">IF(C986="","",[1]!s_pq_pctchange(D986,TODAY()-$G$12,TODAY())/100)</f>
        <v/>
      </c>
      <c r="H986" s="247" t="str">
        <f ca="1">IF(C986="","",IF($H$11="收入",[1]!S_STM07_IS(D986,9,$G$5,$H$13)/$E$5,[1]!S_STM07_IS(D986,48,$G$5,$H$13)/$E$5))</f>
        <v/>
      </c>
      <c r="I986" s="247" t="str">
        <f ca="1">IF(C986="","",IF($I$11="毛利率",([1]!S_STM07_IS(D986,9,$G$5,$H$13)-[1]!S_STM07_IS(D986,10,$G$5,$H$13))/[1]!S_STM07_IS(D986,9,$G$5,$H$13),[1]!S_STM07_IS(D986,14,$G$5,$H$13)/$E$5))</f>
        <v/>
      </c>
      <c r="J986" s="247" t="str">
        <f ca="1">IF(C986="","",IF($J$11="营业利润率",[1]!S_STM07_IS(D986,48,$G$5,$H$13)/[1]!S_STM07_IS(D986,9,$G$5,$H$13),([1]!S_STM07_CS(D986,87,$G$5,$H$13)+[1]!S_STM07_CS(D986,88,$G$5,$H$13)+[1]!S_STM07_CS(D986,89,$G$5,$H$13))/$E$5))</f>
        <v/>
      </c>
      <c r="K986" s="247" t="str">
        <f ca="1">IF(C986="","",IF($K$11="净利润率",[1]!S_STM07_IS(D986,61,$G$5,$H$13)/[1]!S_STM07_IS(D986,9,$G$5,$H$13),[1]!S_STM07_IS(D986,55,$G$5,$H$13)/$E$5))</f>
        <v/>
      </c>
      <c r="L986" s="247" t="str">
        <f ca="1">IF(C986="","",IF($L$11="ROA",[1]!S_STM07_IS(D986,61,$G$5,$H$13)/[1]!S_STM07_BS(D986,74,$G$5,$H$13),1-[1]!S_STM07_IS(D986,61,$G$5,$H$13)/[1]!S_STM07_IS(D986,55,$G$5,$H$13)))</f>
        <v/>
      </c>
      <c r="M986" s="247" t="str">
        <f ca="1">IF(C986="","",IF($M$11="ROE",[1]!S_STM07_IS(D986,61,$G$5,$H$13)/[1]!S_STM07_BS(D986,141,$G$5,$H$13),([1]!S_STM07_BS(D986,25,$G$5,$H$13)-[1]!S_STM07_BS(D986,93,$G$5,$H$13))/$E$5))</f>
        <v/>
      </c>
      <c r="N986" s="247" t="str">
        <f ca="1">IF(C986="","",IF($N$11="EPS",[1]!S_STM07_IS(D986,61,$G$5,$H$13)/IF([1]!S_SHARE_TOTAL(D986,$G$5)=0,[1]!S_SHARE_TOTAL(D986,[1]!s_ipo_listeddate(D986)),[1]!S_SHARE_TOTAL(D986,$G$5)),([1]!S_STM07_BS(D986,75,$G$5,$H$13)+[1]!S_STM07_BS(D986,88,$G$5,$H$13)+[1]!S_STM07_BS(D986,94,$G$5,$H$13)+[1]!S_STM07_BS(D986,95,$G$5,$H$13))/$E$5))</f>
        <v/>
      </c>
      <c r="O986" s="247" t="str">
        <f ca="1">IF(C986="","",IF($O$11="BPS",[1]!S_STM07_BS(D986,141,$G$5,$H$13)/IF([1]!S_SHARE_TOTAL(D986,$G$5)=0,[1]!S_SHARE_TOTAL(D986,[1]!s_ipo_listeddate(D986)),[1]!S_SHARE_TOTAL(D986,$G$5)),[1]!S_STM07_CS(D986,49,$G$5,$H$13)/$E$5))</f>
        <v/>
      </c>
      <c r="P986" s="247" t="str">
        <f ca="1">IF(C986="","",IF($P$11="CFPS",[1]!S_STM07_CS(D986,84,$G$5,$H$13)/IF([1]!S_SHARE_TOTAL(D986,$G$5)=0,[1]!S_SHARE_TOTAL(D986,[1]!s_ipo_listeddate(D986)),[1]!S_SHARE_TOTAL(D986,$G$5)),[1]!S_STM07_CS(D986,84,$G$5,$H$13)/$E$5))</f>
        <v/>
      </c>
      <c r="Q986" s="248" t="str">
        <f ca="1">IF(C986="","",F986/([1]!S_STM07_IS(D986,61,$G$5,$H$13)/IF([1]!S_SHARE_TOTAL(D986,$G$5)=0,[1]!S_SHARE_TOTAL(D986,[1]!s_ipo_listeddate(D986)),[1]!S_SHARE_TOTAL(D986,$G$5))))</f>
        <v/>
      </c>
      <c r="R986" s="248" t="str">
        <f ca="1">IF(C986="","",F986/([1]!S_STM07_BS(D986,141,$G$5,$H$13)/IF([1]!S_SHARE_TOTAL(D986,$G$5)=0,[1]!S_SHARE_TOTAL(D986,[1]!s_ipo_listeddate(D986)),[1]!S_SHARE_TOTAL(D986,$G$5))))</f>
        <v/>
      </c>
      <c r="S986" s="247" t="str">
        <f ca="1">IF(C986="","",[1]!S_SHARE_TOTAL(D986,TODAY())/$E$5)</f>
        <v/>
      </c>
      <c r="T986" s="247" t="str">
        <f t="shared" ca="1" si="103"/>
        <v/>
      </c>
      <c r="U986" s="218" t="str">
        <f t="shared" ca="1" si="104"/>
        <v/>
      </c>
      <c r="V986" s="342" t="str">
        <f t="shared" ca="1" si="105"/>
        <v/>
      </c>
      <c r="W986" s="139"/>
      <c r="Y986" s="1"/>
    </row>
    <row r="987" spans="3:25" ht="12" customHeight="1">
      <c r="C987" s="343" t="str">
        <f t="shared" ca="1" si="100"/>
        <v/>
      </c>
      <c r="D987" s="124" t="str">
        <f t="shared" ca="1" si="101"/>
        <v/>
      </c>
      <c r="E987" s="124" t="str">
        <f t="shared" ca="1" si="102"/>
        <v/>
      </c>
      <c r="F987" s="172" t="str">
        <f ca="1">IF(C987="","",[1]!S_DQ_CLOSE(D987,TODAY(),1))</f>
        <v/>
      </c>
      <c r="G987" s="173" t="str">
        <f ca="1">IF(C987="","",[1]!s_pq_pctchange(D987,TODAY()-$G$12,TODAY())/100)</f>
        <v/>
      </c>
      <c r="H987" s="249" t="str">
        <f ca="1">IF(C987="","",IF($H$11="收入",[1]!S_STM07_IS(D987,9,$G$5,$H$13)/$E$5,[1]!S_STM07_IS(D987,48,$G$5,$H$13)/$E$5))</f>
        <v/>
      </c>
      <c r="I987" s="249" t="str">
        <f ca="1">IF(C987="","",IF($I$11="毛利率",([1]!S_STM07_IS(D987,9,$G$5,$H$13)-[1]!S_STM07_IS(D987,10,$G$5,$H$13))/[1]!S_STM07_IS(D987,9,$G$5,$H$13),[1]!S_STM07_IS(D987,14,$G$5,$H$13)/$E$5))</f>
        <v/>
      </c>
      <c r="J987" s="249" t="str">
        <f ca="1">IF(C987="","",IF($J$11="营业利润率",[1]!S_STM07_IS(D987,48,$G$5,$H$13)/[1]!S_STM07_IS(D987,9,$G$5,$H$13),([1]!S_STM07_CS(D987,87,$G$5,$H$13)+[1]!S_STM07_CS(D987,88,$G$5,$H$13)+[1]!S_STM07_CS(D987,89,$G$5,$H$13))/$E$5))</f>
        <v/>
      </c>
      <c r="K987" s="249" t="str">
        <f ca="1">IF(C987="","",IF($K$11="净利润率",[1]!S_STM07_IS(D987,61,$G$5,$H$13)/[1]!S_STM07_IS(D987,9,$G$5,$H$13),[1]!S_STM07_IS(D987,55,$G$5,$H$13)/$E$5))</f>
        <v/>
      </c>
      <c r="L987" s="249" t="str">
        <f ca="1">IF(C987="","",IF($L$11="ROA",[1]!S_STM07_IS(D987,61,$G$5,$H$13)/[1]!S_STM07_BS(D987,74,$G$5,$H$13),1-[1]!S_STM07_IS(D987,61,$G$5,$H$13)/[1]!S_STM07_IS(D987,55,$G$5,$H$13)))</f>
        <v/>
      </c>
      <c r="M987" s="249" t="str">
        <f ca="1">IF(C987="","",IF($M$11="ROE",[1]!S_STM07_IS(D987,61,$G$5,$H$13)/[1]!S_STM07_BS(D987,141,$G$5,$H$13),([1]!S_STM07_BS(D987,25,$G$5,$H$13)-[1]!S_STM07_BS(D987,93,$G$5,$H$13))/$E$5))</f>
        <v/>
      </c>
      <c r="N987" s="250" t="str">
        <f ca="1">IF(C987="","",IF($N$11="EPS",[1]!S_STM07_IS(D987,61,$G$5,$H$13)/IF([1]!S_SHARE_TOTAL(D987,$G$5)=0,[1]!S_SHARE_TOTAL(D987,[1]!s_ipo_listeddate(D987)),[1]!S_SHARE_TOTAL(D987,$G$5)),([1]!S_STM07_BS(D987,75,$G$5,$H$13)+[1]!S_STM07_BS(D987,88,$G$5,$H$13)+[1]!S_STM07_BS(D987,94,$G$5,$H$13)+[1]!S_STM07_BS(D987,95,$G$5,$H$13))/$E$5))</f>
        <v/>
      </c>
      <c r="O987" s="250" t="str">
        <f ca="1">IF(C987="","",IF($O$11="BPS",[1]!S_STM07_BS(D987,141,$G$5,$H$13)/IF([1]!S_SHARE_TOTAL(D987,$G$5)=0,[1]!S_SHARE_TOTAL(D987,[1]!s_ipo_listeddate(D987)),[1]!S_SHARE_TOTAL(D987,$G$5)),[1]!S_STM07_CS(D987,49,$G$5,$H$13)/$E$5))</f>
        <v/>
      </c>
      <c r="P987" s="250" t="str">
        <f ca="1">IF(C987="","",IF($P$11="CFPS",[1]!S_STM07_CS(D987,84,$G$5,$H$13)/IF([1]!S_SHARE_TOTAL(D987,$G$5)=0,[1]!S_SHARE_TOTAL(D987,[1]!s_ipo_listeddate(D987)),[1]!S_SHARE_TOTAL(D987,$G$5)),[1]!S_STM07_CS(D987,84,$G$5,$H$13)/$E$5))</f>
        <v/>
      </c>
      <c r="Q987" s="198" t="str">
        <f ca="1">IF(C987="","",F987/([1]!S_STM07_IS(D987,61,$G$5,$H$13)/IF([1]!S_SHARE_TOTAL(D987,$G$5)=0,[1]!S_SHARE_TOTAL(D987,[1]!s_ipo_listeddate(D987)),[1]!S_SHARE_TOTAL(D987,$G$5))))</f>
        <v/>
      </c>
      <c r="R987" s="198" t="str">
        <f ca="1">IF(C987="","",F987/([1]!S_STM07_BS(D987,141,$G$5,$H$13)/IF([1]!S_SHARE_TOTAL(D987,$G$5)=0,[1]!S_SHARE_TOTAL(D987,[1]!s_ipo_listeddate(D987)),[1]!S_SHARE_TOTAL(D987,$G$5))))</f>
        <v/>
      </c>
      <c r="S987" s="249" t="str">
        <f ca="1">IF(C987="","",[1]!S_SHARE_TOTAL(D987,TODAY())/$E$5)</f>
        <v/>
      </c>
      <c r="T987" s="249" t="str">
        <f t="shared" ca="1" si="103"/>
        <v/>
      </c>
      <c r="U987" s="172" t="str">
        <f t="shared" ca="1" si="104"/>
        <v/>
      </c>
      <c r="V987" s="343" t="str">
        <f t="shared" ca="1" si="105"/>
        <v/>
      </c>
      <c r="W987" s="139"/>
      <c r="Y987" s="1"/>
    </row>
    <row r="988" spans="3:25" ht="12" customHeight="1">
      <c r="C988" s="342" t="str">
        <f t="shared" ca="1" si="100"/>
        <v/>
      </c>
      <c r="D988" s="153" t="str">
        <f t="shared" ca="1" si="101"/>
        <v/>
      </c>
      <c r="E988" s="153" t="str">
        <f t="shared" ca="1" si="102"/>
        <v/>
      </c>
      <c r="F988" s="170" t="str">
        <f ca="1">IF(C988="","",[1]!S_DQ_CLOSE(D988,TODAY(),1))</f>
        <v/>
      </c>
      <c r="G988" s="171" t="str">
        <f ca="1">IF(C988="","",[1]!s_pq_pctchange(D988,TODAY()-$G$12,TODAY())/100)</f>
        <v/>
      </c>
      <c r="H988" s="247" t="str">
        <f ca="1">IF(C988="","",IF($H$11="收入",[1]!S_STM07_IS(D988,9,$G$5,$H$13)/$E$5,[1]!S_STM07_IS(D988,48,$G$5,$H$13)/$E$5))</f>
        <v/>
      </c>
      <c r="I988" s="247" t="str">
        <f ca="1">IF(C988="","",IF($I$11="毛利率",([1]!S_STM07_IS(D988,9,$G$5,$H$13)-[1]!S_STM07_IS(D988,10,$G$5,$H$13))/[1]!S_STM07_IS(D988,9,$G$5,$H$13),[1]!S_STM07_IS(D988,14,$G$5,$H$13)/$E$5))</f>
        <v/>
      </c>
      <c r="J988" s="247" t="str">
        <f ca="1">IF(C988="","",IF($J$11="营业利润率",[1]!S_STM07_IS(D988,48,$G$5,$H$13)/[1]!S_STM07_IS(D988,9,$G$5,$H$13),([1]!S_STM07_CS(D988,87,$G$5,$H$13)+[1]!S_STM07_CS(D988,88,$G$5,$H$13)+[1]!S_STM07_CS(D988,89,$G$5,$H$13))/$E$5))</f>
        <v/>
      </c>
      <c r="K988" s="247" t="str">
        <f ca="1">IF(C988="","",IF($K$11="净利润率",[1]!S_STM07_IS(D988,61,$G$5,$H$13)/[1]!S_STM07_IS(D988,9,$G$5,$H$13),[1]!S_STM07_IS(D988,55,$G$5,$H$13)/$E$5))</f>
        <v/>
      </c>
      <c r="L988" s="247" t="str">
        <f ca="1">IF(C988="","",IF($L$11="ROA",[1]!S_STM07_IS(D988,61,$G$5,$H$13)/[1]!S_STM07_BS(D988,74,$G$5,$H$13),1-[1]!S_STM07_IS(D988,61,$G$5,$H$13)/[1]!S_STM07_IS(D988,55,$G$5,$H$13)))</f>
        <v/>
      </c>
      <c r="M988" s="247" t="str">
        <f ca="1">IF(C988="","",IF($M$11="ROE",[1]!S_STM07_IS(D988,61,$G$5,$H$13)/[1]!S_STM07_BS(D988,141,$G$5,$H$13),([1]!S_STM07_BS(D988,25,$G$5,$H$13)-[1]!S_STM07_BS(D988,93,$G$5,$H$13))/$E$5))</f>
        <v/>
      </c>
      <c r="N988" s="247" t="str">
        <f ca="1">IF(C988="","",IF($N$11="EPS",[1]!S_STM07_IS(D988,61,$G$5,$H$13)/IF([1]!S_SHARE_TOTAL(D988,$G$5)=0,[1]!S_SHARE_TOTAL(D988,[1]!s_ipo_listeddate(D988)),[1]!S_SHARE_TOTAL(D988,$G$5)),([1]!S_STM07_BS(D988,75,$G$5,$H$13)+[1]!S_STM07_BS(D988,88,$G$5,$H$13)+[1]!S_STM07_BS(D988,94,$G$5,$H$13)+[1]!S_STM07_BS(D988,95,$G$5,$H$13))/$E$5))</f>
        <v/>
      </c>
      <c r="O988" s="247" t="str">
        <f ca="1">IF(C988="","",IF($O$11="BPS",[1]!S_STM07_BS(D988,141,$G$5,$H$13)/IF([1]!S_SHARE_TOTAL(D988,$G$5)=0,[1]!S_SHARE_TOTAL(D988,[1]!s_ipo_listeddate(D988)),[1]!S_SHARE_TOTAL(D988,$G$5)),[1]!S_STM07_CS(D988,49,$G$5,$H$13)/$E$5))</f>
        <v/>
      </c>
      <c r="P988" s="247" t="str">
        <f ca="1">IF(C988="","",IF($P$11="CFPS",[1]!S_STM07_CS(D988,84,$G$5,$H$13)/IF([1]!S_SHARE_TOTAL(D988,$G$5)=0,[1]!S_SHARE_TOTAL(D988,[1]!s_ipo_listeddate(D988)),[1]!S_SHARE_TOTAL(D988,$G$5)),[1]!S_STM07_CS(D988,84,$G$5,$H$13)/$E$5))</f>
        <v/>
      </c>
      <c r="Q988" s="248" t="str">
        <f ca="1">IF(C988="","",F988/([1]!S_STM07_IS(D988,61,$G$5,$H$13)/IF([1]!S_SHARE_TOTAL(D988,$G$5)=0,[1]!S_SHARE_TOTAL(D988,[1]!s_ipo_listeddate(D988)),[1]!S_SHARE_TOTAL(D988,$G$5))))</f>
        <v/>
      </c>
      <c r="R988" s="248" t="str">
        <f ca="1">IF(C988="","",F988/([1]!S_STM07_BS(D988,141,$G$5,$H$13)/IF([1]!S_SHARE_TOTAL(D988,$G$5)=0,[1]!S_SHARE_TOTAL(D988,[1]!s_ipo_listeddate(D988)),[1]!S_SHARE_TOTAL(D988,$G$5))))</f>
        <v/>
      </c>
      <c r="S988" s="247" t="str">
        <f ca="1">IF(C988="","",[1]!S_SHARE_TOTAL(D988,TODAY())/$E$5)</f>
        <v/>
      </c>
      <c r="T988" s="247" t="str">
        <f t="shared" ca="1" si="103"/>
        <v/>
      </c>
      <c r="U988" s="218" t="str">
        <f t="shared" ca="1" si="104"/>
        <v/>
      </c>
      <c r="V988" s="342" t="str">
        <f t="shared" ca="1" si="105"/>
        <v/>
      </c>
      <c r="W988" s="139"/>
      <c r="Y988" s="1"/>
    </row>
    <row r="989" spans="3:25" ht="12" customHeight="1">
      <c r="C989" s="343" t="str">
        <f t="shared" ca="1" si="100"/>
        <v/>
      </c>
      <c r="D989" s="124" t="str">
        <f t="shared" ca="1" si="101"/>
        <v/>
      </c>
      <c r="E989" s="124" t="str">
        <f t="shared" ca="1" si="102"/>
        <v/>
      </c>
      <c r="F989" s="172" t="str">
        <f ca="1">IF(C989="","",[1]!S_DQ_CLOSE(D989,TODAY(),1))</f>
        <v/>
      </c>
      <c r="G989" s="173" t="str">
        <f ca="1">IF(C989="","",[1]!s_pq_pctchange(D989,TODAY()-$G$12,TODAY())/100)</f>
        <v/>
      </c>
      <c r="H989" s="249" t="str">
        <f ca="1">IF(C989="","",IF($H$11="收入",[1]!S_STM07_IS(D989,9,$G$5,$H$13)/$E$5,[1]!S_STM07_IS(D989,48,$G$5,$H$13)/$E$5))</f>
        <v/>
      </c>
      <c r="I989" s="249" t="str">
        <f ca="1">IF(C989="","",IF($I$11="毛利率",([1]!S_STM07_IS(D989,9,$G$5,$H$13)-[1]!S_STM07_IS(D989,10,$G$5,$H$13))/[1]!S_STM07_IS(D989,9,$G$5,$H$13),[1]!S_STM07_IS(D989,14,$G$5,$H$13)/$E$5))</f>
        <v/>
      </c>
      <c r="J989" s="249" t="str">
        <f ca="1">IF(C989="","",IF($J$11="营业利润率",[1]!S_STM07_IS(D989,48,$G$5,$H$13)/[1]!S_STM07_IS(D989,9,$G$5,$H$13),([1]!S_STM07_CS(D989,87,$G$5,$H$13)+[1]!S_STM07_CS(D989,88,$G$5,$H$13)+[1]!S_STM07_CS(D989,89,$G$5,$H$13))/$E$5))</f>
        <v/>
      </c>
      <c r="K989" s="249" t="str">
        <f ca="1">IF(C989="","",IF($K$11="净利润率",[1]!S_STM07_IS(D989,61,$G$5,$H$13)/[1]!S_STM07_IS(D989,9,$G$5,$H$13),[1]!S_STM07_IS(D989,55,$G$5,$H$13)/$E$5))</f>
        <v/>
      </c>
      <c r="L989" s="249" t="str">
        <f ca="1">IF(C989="","",IF($L$11="ROA",[1]!S_STM07_IS(D989,61,$G$5,$H$13)/[1]!S_STM07_BS(D989,74,$G$5,$H$13),1-[1]!S_STM07_IS(D989,61,$G$5,$H$13)/[1]!S_STM07_IS(D989,55,$G$5,$H$13)))</f>
        <v/>
      </c>
      <c r="M989" s="249" t="str">
        <f ca="1">IF(C989="","",IF($M$11="ROE",[1]!S_STM07_IS(D989,61,$G$5,$H$13)/[1]!S_STM07_BS(D989,141,$G$5,$H$13),([1]!S_STM07_BS(D989,25,$G$5,$H$13)-[1]!S_STM07_BS(D989,93,$G$5,$H$13))/$E$5))</f>
        <v/>
      </c>
      <c r="N989" s="250" t="str">
        <f ca="1">IF(C989="","",IF($N$11="EPS",[1]!S_STM07_IS(D989,61,$G$5,$H$13)/IF([1]!S_SHARE_TOTAL(D989,$G$5)=0,[1]!S_SHARE_TOTAL(D989,[1]!s_ipo_listeddate(D989)),[1]!S_SHARE_TOTAL(D989,$G$5)),([1]!S_STM07_BS(D989,75,$G$5,$H$13)+[1]!S_STM07_BS(D989,88,$G$5,$H$13)+[1]!S_STM07_BS(D989,94,$G$5,$H$13)+[1]!S_STM07_BS(D989,95,$G$5,$H$13))/$E$5))</f>
        <v/>
      </c>
      <c r="O989" s="250" t="str">
        <f ca="1">IF(C989="","",IF($O$11="BPS",[1]!S_STM07_BS(D989,141,$G$5,$H$13)/IF([1]!S_SHARE_TOTAL(D989,$G$5)=0,[1]!S_SHARE_TOTAL(D989,[1]!s_ipo_listeddate(D989)),[1]!S_SHARE_TOTAL(D989,$G$5)),[1]!S_STM07_CS(D989,49,$G$5,$H$13)/$E$5))</f>
        <v/>
      </c>
      <c r="P989" s="250" t="str">
        <f ca="1">IF(C989="","",IF($P$11="CFPS",[1]!S_STM07_CS(D989,84,$G$5,$H$13)/IF([1]!S_SHARE_TOTAL(D989,$G$5)=0,[1]!S_SHARE_TOTAL(D989,[1]!s_ipo_listeddate(D989)),[1]!S_SHARE_TOTAL(D989,$G$5)),[1]!S_STM07_CS(D989,84,$G$5,$H$13)/$E$5))</f>
        <v/>
      </c>
      <c r="Q989" s="198" t="str">
        <f ca="1">IF(C989="","",F989/([1]!S_STM07_IS(D989,61,$G$5,$H$13)/IF([1]!S_SHARE_TOTAL(D989,$G$5)=0,[1]!S_SHARE_TOTAL(D989,[1]!s_ipo_listeddate(D989)),[1]!S_SHARE_TOTAL(D989,$G$5))))</f>
        <v/>
      </c>
      <c r="R989" s="198" t="str">
        <f ca="1">IF(C989="","",F989/([1]!S_STM07_BS(D989,141,$G$5,$H$13)/IF([1]!S_SHARE_TOTAL(D989,$G$5)=0,[1]!S_SHARE_TOTAL(D989,[1]!s_ipo_listeddate(D989)),[1]!S_SHARE_TOTAL(D989,$G$5))))</f>
        <v/>
      </c>
      <c r="S989" s="249" t="str">
        <f ca="1">IF(C989="","",[1]!S_SHARE_TOTAL(D989,TODAY())/$E$5)</f>
        <v/>
      </c>
      <c r="T989" s="249" t="str">
        <f t="shared" ca="1" si="103"/>
        <v/>
      </c>
      <c r="U989" s="172" t="str">
        <f t="shared" ca="1" si="104"/>
        <v/>
      </c>
      <c r="V989" s="343" t="str">
        <f t="shared" ca="1" si="105"/>
        <v/>
      </c>
      <c r="W989" s="139"/>
      <c r="Y989" s="1"/>
    </row>
    <row r="990" spans="3:25" ht="12" customHeight="1">
      <c r="C990" s="342" t="str">
        <f t="shared" ca="1" si="100"/>
        <v/>
      </c>
      <c r="D990" s="153" t="str">
        <f t="shared" ca="1" si="101"/>
        <v/>
      </c>
      <c r="E990" s="153" t="str">
        <f t="shared" ca="1" si="102"/>
        <v/>
      </c>
      <c r="F990" s="170" t="str">
        <f ca="1">IF(C990="","",[1]!S_DQ_CLOSE(D990,TODAY(),1))</f>
        <v/>
      </c>
      <c r="G990" s="171" t="str">
        <f ca="1">IF(C990="","",[1]!s_pq_pctchange(D990,TODAY()-$G$12,TODAY())/100)</f>
        <v/>
      </c>
      <c r="H990" s="247" t="str">
        <f ca="1">IF(C990="","",IF($H$11="收入",[1]!S_STM07_IS(D990,9,$G$5,$H$13)/$E$5,[1]!S_STM07_IS(D990,48,$G$5,$H$13)/$E$5))</f>
        <v/>
      </c>
      <c r="I990" s="247" t="str">
        <f ca="1">IF(C990="","",IF($I$11="毛利率",([1]!S_STM07_IS(D990,9,$G$5,$H$13)-[1]!S_STM07_IS(D990,10,$G$5,$H$13))/[1]!S_STM07_IS(D990,9,$G$5,$H$13),[1]!S_STM07_IS(D990,14,$G$5,$H$13)/$E$5))</f>
        <v/>
      </c>
      <c r="J990" s="247" t="str">
        <f ca="1">IF(C990="","",IF($J$11="营业利润率",[1]!S_STM07_IS(D990,48,$G$5,$H$13)/[1]!S_STM07_IS(D990,9,$G$5,$H$13),([1]!S_STM07_CS(D990,87,$G$5,$H$13)+[1]!S_STM07_CS(D990,88,$G$5,$H$13)+[1]!S_STM07_CS(D990,89,$G$5,$H$13))/$E$5))</f>
        <v/>
      </c>
      <c r="K990" s="247" t="str">
        <f ca="1">IF(C990="","",IF($K$11="净利润率",[1]!S_STM07_IS(D990,61,$G$5,$H$13)/[1]!S_STM07_IS(D990,9,$G$5,$H$13),[1]!S_STM07_IS(D990,55,$G$5,$H$13)/$E$5))</f>
        <v/>
      </c>
      <c r="L990" s="247" t="str">
        <f ca="1">IF(C990="","",IF($L$11="ROA",[1]!S_STM07_IS(D990,61,$G$5,$H$13)/[1]!S_STM07_BS(D990,74,$G$5,$H$13),1-[1]!S_STM07_IS(D990,61,$G$5,$H$13)/[1]!S_STM07_IS(D990,55,$G$5,$H$13)))</f>
        <v/>
      </c>
      <c r="M990" s="247" t="str">
        <f ca="1">IF(C990="","",IF($M$11="ROE",[1]!S_STM07_IS(D990,61,$G$5,$H$13)/[1]!S_STM07_BS(D990,141,$G$5,$H$13),([1]!S_STM07_BS(D990,25,$G$5,$H$13)-[1]!S_STM07_BS(D990,93,$G$5,$H$13))/$E$5))</f>
        <v/>
      </c>
      <c r="N990" s="247" t="str">
        <f ca="1">IF(C990="","",IF($N$11="EPS",[1]!S_STM07_IS(D990,61,$G$5,$H$13)/IF([1]!S_SHARE_TOTAL(D990,$G$5)=0,[1]!S_SHARE_TOTAL(D990,[1]!s_ipo_listeddate(D990)),[1]!S_SHARE_TOTAL(D990,$G$5)),([1]!S_STM07_BS(D990,75,$G$5,$H$13)+[1]!S_STM07_BS(D990,88,$G$5,$H$13)+[1]!S_STM07_BS(D990,94,$G$5,$H$13)+[1]!S_STM07_BS(D990,95,$G$5,$H$13))/$E$5))</f>
        <v/>
      </c>
      <c r="O990" s="247" t="str">
        <f ca="1">IF(C990="","",IF($O$11="BPS",[1]!S_STM07_BS(D990,141,$G$5,$H$13)/IF([1]!S_SHARE_TOTAL(D990,$G$5)=0,[1]!S_SHARE_TOTAL(D990,[1]!s_ipo_listeddate(D990)),[1]!S_SHARE_TOTAL(D990,$G$5)),[1]!S_STM07_CS(D990,49,$G$5,$H$13)/$E$5))</f>
        <v/>
      </c>
      <c r="P990" s="247" t="str">
        <f ca="1">IF(C990="","",IF($P$11="CFPS",[1]!S_STM07_CS(D990,84,$G$5,$H$13)/IF([1]!S_SHARE_TOTAL(D990,$G$5)=0,[1]!S_SHARE_TOTAL(D990,[1]!s_ipo_listeddate(D990)),[1]!S_SHARE_TOTAL(D990,$G$5)),[1]!S_STM07_CS(D990,84,$G$5,$H$13)/$E$5))</f>
        <v/>
      </c>
      <c r="Q990" s="248" t="str">
        <f ca="1">IF(C990="","",F990/([1]!S_STM07_IS(D990,61,$G$5,$H$13)/IF([1]!S_SHARE_TOTAL(D990,$G$5)=0,[1]!S_SHARE_TOTAL(D990,[1]!s_ipo_listeddate(D990)),[1]!S_SHARE_TOTAL(D990,$G$5))))</f>
        <v/>
      </c>
      <c r="R990" s="248" t="str">
        <f ca="1">IF(C990="","",F990/([1]!S_STM07_BS(D990,141,$G$5,$H$13)/IF([1]!S_SHARE_TOTAL(D990,$G$5)=0,[1]!S_SHARE_TOTAL(D990,[1]!s_ipo_listeddate(D990)),[1]!S_SHARE_TOTAL(D990,$G$5))))</f>
        <v/>
      </c>
      <c r="S990" s="247" t="str">
        <f ca="1">IF(C990="","",[1]!S_SHARE_TOTAL(D990,TODAY())/$E$5)</f>
        <v/>
      </c>
      <c r="T990" s="247" t="str">
        <f t="shared" ca="1" si="103"/>
        <v/>
      </c>
      <c r="U990" s="218" t="str">
        <f t="shared" ca="1" si="104"/>
        <v/>
      </c>
      <c r="V990" s="342" t="str">
        <f t="shared" ca="1" si="105"/>
        <v/>
      </c>
      <c r="W990" s="139"/>
      <c r="Y990" s="1"/>
    </row>
    <row r="991" spans="3:25" ht="12" customHeight="1">
      <c r="C991" s="343" t="str">
        <f t="shared" ca="1" si="100"/>
        <v/>
      </c>
      <c r="D991" s="124" t="str">
        <f t="shared" ca="1" si="101"/>
        <v/>
      </c>
      <c r="E991" s="124" t="str">
        <f t="shared" ca="1" si="102"/>
        <v/>
      </c>
      <c r="F991" s="172" t="str">
        <f ca="1">IF(C991="","",[1]!S_DQ_CLOSE(D991,TODAY(),1))</f>
        <v/>
      </c>
      <c r="G991" s="173" t="str">
        <f ca="1">IF(C991="","",[1]!s_pq_pctchange(D991,TODAY()-$G$12,TODAY())/100)</f>
        <v/>
      </c>
      <c r="H991" s="249" t="str">
        <f ca="1">IF(C991="","",IF($H$11="收入",[1]!S_STM07_IS(D991,9,$G$5,$H$13)/$E$5,[1]!S_STM07_IS(D991,48,$G$5,$H$13)/$E$5))</f>
        <v/>
      </c>
      <c r="I991" s="249" t="str">
        <f ca="1">IF(C991="","",IF($I$11="毛利率",([1]!S_STM07_IS(D991,9,$G$5,$H$13)-[1]!S_STM07_IS(D991,10,$G$5,$H$13))/[1]!S_STM07_IS(D991,9,$G$5,$H$13),[1]!S_STM07_IS(D991,14,$G$5,$H$13)/$E$5))</f>
        <v/>
      </c>
      <c r="J991" s="249" t="str">
        <f ca="1">IF(C991="","",IF($J$11="营业利润率",[1]!S_STM07_IS(D991,48,$G$5,$H$13)/[1]!S_STM07_IS(D991,9,$G$5,$H$13),([1]!S_STM07_CS(D991,87,$G$5,$H$13)+[1]!S_STM07_CS(D991,88,$G$5,$H$13)+[1]!S_STM07_CS(D991,89,$G$5,$H$13))/$E$5))</f>
        <v/>
      </c>
      <c r="K991" s="249" t="str">
        <f ca="1">IF(C991="","",IF($K$11="净利润率",[1]!S_STM07_IS(D991,61,$G$5,$H$13)/[1]!S_STM07_IS(D991,9,$G$5,$H$13),[1]!S_STM07_IS(D991,55,$G$5,$H$13)/$E$5))</f>
        <v/>
      </c>
      <c r="L991" s="249" t="str">
        <f ca="1">IF(C991="","",IF($L$11="ROA",[1]!S_STM07_IS(D991,61,$G$5,$H$13)/[1]!S_STM07_BS(D991,74,$G$5,$H$13),1-[1]!S_STM07_IS(D991,61,$G$5,$H$13)/[1]!S_STM07_IS(D991,55,$G$5,$H$13)))</f>
        <v/>
      </c>
      <c r="M991" s="249" t="str">
        <f ca="1">IF(C991="","",IF($M$11="ROE",[1]!S_STM07_IS(D991,61,$G$5,$H$13)/[1]!S_STM07_BS(D991,141,$G$5,$H$13),([1]!S_STM07_BS(D991,25,$G$5,$H$13)-[1]!S_STM07_BS(D991,93,$G$5,$H$13))/$E$5))</f>
        <v/>
      </c>
      <c r="N991" s="250" t="str">
        <f ca="1">IF(C991="","",IF($N$11="EPS",[1]!S_STM07_IS(D991,61,$G$5,$H$13)/IF([1]!S_SHARE_TOTAL(D991,$G$5)=0,[1]!S_SHARE_TOTAL(D991,[1]!s_ipo_listeddate(D991)),[1]!S_SHARE_TOTAL(D991,$G$5)),([1]!S_STM07_BS(D991,75,$G$5,$H$13)+[1]!S_STM07_BS(D991,88,$G$5,$H$13)+[1]!S_STM07_BS(D991,94,$G$5,$H$13)+[1]!S_STM07_BS(D991,95,$G$5,$H$13))/$E$5))</f>
        <v/>
      </c>
      <c r="O991" s="250" t="str">
        <f ca="1">IF(C991="","",IF($O$11="BPS",[1]!S_STM07_BS(D991,141,$G$5,$H$13)/IF([1]!S_SHARE_TOTAL(D991,$G$5)=0,[1]!S_SHARE_TOTAL(D991,[1]!s_ipo_listeddate(D991)),[1]!S_SHARE_TOTAL(D991,$G$5)),[1]!S_STM07_CS(D991,49,$G$5,$H$13)/$E$5))</f>
        <v/>
      </c>
      <c r="P991" s="250" t="str">
        <f ca="1">IF(C991="","",IF($P$11="CFPS",[1]!S_STM07_CS(D991,84,$G$5,$H$13)/IF([1]!S_SHARE_TOTAL(D991,$G$5)=0,[1]!S_SHARE_TOTAL(D991,[1]!s_ipo_listeddate(D991)),[1]!S_SHARE_TOTAL(D991,$G$5)),[1]!S_STM07_CS(D991,84,$G$5,$H$13)/$E$5))</f>
        <v/>
      </c>
      <c r="Q991" s="198" t="str">
        <f ca="1">IF(C991="","",F991/([1]!S_STM07_IS(D991,61,$G$5,$H$13)/IF([1]!S_SHARE_TOTAL(D991,$G$5)=0,[1]!S_SHARE_TOTAL(D991,[1]!s_ipo_listeddate(D991)),[1]!S_SHARE_TOTAL(D991,$G$5))))</f>
        <v/>
      </c>
      <c r="R991" s="198" t="str">
        <f ca="1">IF(C991="","",F991/([1]!S_STM07_BS(D991,141,$G$5,$H$13)/IF([1]!S_SHARE_TOTAL(D991,$G$5)=0,[1]!S_SHARE_TOTAL(D991,[1]!s_ipo_listeddate(D991)),[1]!S_SHARE_TOTAL(D991,$G$5))))</f>
        <v/>
      </c>
      <c r="S991" s="249" t="str">
        <f ca="1">IF(C991="","",[1]!S_SHARE_TOTAL(D991,TODAY())/$E$5)</f>
        <v/>
      </c>
      <c r="T991" s="249" t="str">
        <f t="shared" ca="1" si="103"/>
        <v/>
      </c>
      <c r="U991" s="172" t="str">
        <f t="shared" ca="1" si="104"/>
        <v/>
      </c>
      <c r="V991" s="343" t="str">
        <f t="shared" ca="1" si="105"/>
        <v/>
      </c>
      <c r="W991" s="139"/>
      <c r="Y991" s="1"/>
    </row>
    <row r="992" spans="3:25" ht="12" customHeight="1">
      <c r="C992" s="342" t="str">
        <f t="shared" ca="1" si="100"/>
        <v/>
      </c>
      <c r="D992" s="153" t="str">
        <f t="shared" ca="1" si="101"/>
        <v/>
      </c>
      <c r="E992" s="153" t="str">
        <f t="shared" ca="1" si="102"/>
        <v/>
      </c>
      <c r="F992" s="170" t="str">
        <f ca="1">IF(C992="","",[1]!S_DQ_CLOSE(D992,TODAY(),1))</f>
        <v/>
      </c>
      <c r="G992" s="171" t="str">
        <f ca="1">IF(C992="","",[1]!s_pq_pctchange(D992,TODAY()-$G$12,TODAY())/100)</f>
        <v/>
      </c>
      <c r="H992" s="247" t="str">
        <f ca="1">IF(C992="","",IF($H$11="收入",[1]!S_STM07_IS(D992,9,$G$5,$H$13)/$E$5,[1]!S_STM07_IS(D992,48,$G$5,$H$13)/$E$5))</f>
        <v/>
      </c>
      <c r="I992" s="247" t="str">
        <f ca="1">IF(C992="","",IF($I$11="毛利率",([1]!S_STM07_IS(D992,9,$G$5,$H$13)-[1]!S_STM07_IS(D992,10,$G$5,$H$13))/[1]!S_STM07_IS(D992,9,$G$5,$H$13),[1]!S_STM07_IS(D992,14,$G$5,$H$13)/$E$5))</f>
        <v/>
      </c>
      <c r="J992" s="247" t="str">
        <f ca="1">IF(C992="","",IF($J$11="营业利润率",[1]!S_STM07_IS(D992,48,$G$5,$H$13)/[1]!S_STM07_IS(D992,9,$G$5,$H$13),([1]!S_STM07_CS(D992,87,$G$5,$H$13)+[1]!S_STM07_CS(D992,88,$G$5,$H$13)+[1]!S_STM07_CS(D992,89,$G$5,$H$13))/$E$5))</f>
        <v/>
      </c>
      <c r="K992" s="247" t="str">
        <f ca="1">IF(C992="","",IF($K$11="净利润率",[1]!S_STM07_IS(D992,61,$G$5,$H$13)/[1]!S_STM07_IS(D992,9,$G$5,$H$13),[1]!S_STM07_IS(D992,55,$G$5,$H$13)/$E$5))</f>
        <v/>
      </c>
      <c r="L992" s="247" t="str">
        <f ca="1">IF(C992="","",IF($L$11="ROA",[1]!S_STM07_IS(D992,61,$G$5,$H$13)/[1]!S_STM07_BS(D992,74,$G$5,$H$13),1-[1]!S_STM07_IS(D992,61,$G$5,$H$13)/[1]!S_STM07_IS(D992,55,$G$5,$H$13)))</f>
        <v/>
      </c>
      <c r="M992" s="247" t="str">
        <f ca="1">IF(C992="","",IF($M$11="ROE",[1]!S_STM07_IS(D992,61,$G$5,$H$13)/[1]!S_STM07_BS(D992,141,$G$5,$H$13),([1]!S_STM07_BS(D992,25,$G$5,$H$13)-[1]!S_STM07_BS(D992,93,$G$5,$H$13))/$E$5))</f>
        <v/>
      </c>
      <c r="N992" s="247" t="str">
        <f ca="1">IF(C992="","",IF($N$11="EPS",[1]!S_STM07_IS(D992,61,$G$5,$H$13)/IF([1]!S_SHARE_TOTAL(D992,$G$5)=0,[1]!S_SHARE_TOTAL(D992,[1]!s_ipo_listeddate(D992)),[1]!S_SHARE_TOTAL(D992,$G$5)),([1]!S_STM07_BS(D992,75,$G$5,$H$13)+[1]!S_STM07_BS(D992,88,$G$5,$H$13)+[1]!S_STM07_BS(D992,94,$G$5,$H$13)+[1]!S_STM07_BS(D992,95,$G$5,$H$13))/$E$5))</f>
        <v/>
      </c>
      <c r="O992" s="247" t="str">
        <f ca="1">IF(C992="","",IF($O$11="BPS",[1]!S_STM07_BS(D992,141,$G$5,$H$13)/IF([1]!S_SHARE_TOTAL(D992,$G$5)=0,[1]!S_SHARE_TOTAL(D992,[1]!s_ipo_listeddate(D992)),[1]!S_SHARE_TOTAL(D992,$G$5)),[1]!S_STM07_CS(D992,49,$G$5,$H$13)/$E$5))</f>
        <v/>
      </c>
      <c r="P992" s="247" t="str">
        <f ca="1">IF(C992="","",IF($P$11="CFPS",[1]!S_STM07_CS(D992,84,$G$5,$H$13)/IF([1]!S_SHARE_TOTAL(D992,$G$5)=0,[1]!S_SHARE_TOTAL(D992,[1]!s_ipo_listeddate(D992)),[1]!S_SHARE_TOTAL(D992,$G$5)),[1]!S_STM07_CS(D992,84,$G$5,$H$13)/$E$5))</f>
        <v/>
      </c>
      <c r="Q992" s="248" t="str">
        <f ca="1">IF(C992="","",F992/([1]!S_STM07_IS(D992,61,$G$5,$H$13)/IF([1]!S_SHARE_TOTAL(D992,$G$5)=0,[1]!S_SHARE_TOTAL(D992,[1]!s_ipo_listeddate(D992)),[1]!S_SHARE_TOTAL(D992,$G$5))))</f>
        <v/>
      </c>
      <c r="R992" s="248" t="str">
        <f ca="1">IF(C992="","",F992/([1]!S_STM07_BS(D992,141,$G$5,$H$13)/IF([1]!S_SHARE_TOTAL(D992,$G$5)=0,[1]!S_SHARE_TOTAL(D992,[1]!s_ipo_listeddate(D992)),[1]!S_SHARE_TOTAL(D992,$G$5))))</f>
        <v/>
      </c>
      <c r="S992" s="247" t="str">
        <f ca="1">IF(C992="","",[1]!S_SHARE_TOTAL(D992,TODAY())/$E$5)</f>
        <v/>
      </c>
      <c r="T992" s="247" t="str">
        <f t="shared" ca="1" si="103"/>
        <v/>
      </c>
      <c r="U992" s="218" t="str">
        <f t="shared" ca="1" si="104"/>
        <v/>
      </c>
      <c r="V992" s="342" t="str">
        <f t="shared" ca="1" si="105"/>
        <v/>
      </c>
      <c r="W992" s="139"/>
      <c r="Y992" s="1"/>
    </row>
    <row r="993" spans="3:25" ht="12" customHeight="1">
      <c r="C993" s="343" t="str">
        <f t="shared" ca="1" si="100"/>
        <v/>
      </c>
      <c r="D993" s="124" t="str">
        <f t="shared" ca="1" si="101"/>
        <v/>
      </c>
      <c r="E993" s="124" t="str">
        <f t="shared" ca="1" si="102"/>
        <v/>
      </c>
      <c r="F993" s="172" t="str">
        <f ca="1">IF(C993="","",[1]!S_DQ_CLOSE(D993,TODAY(),1))</f>
        <v/>
      </c>
      <c r="G993" s="173" t="str">
        <f ca="1">IF(C993="","",[1]!s_pq_pctchange(D993,TODAY()-$G$12,TODAY())/100)</f>
        <v/>
      </c>
      <c r="H993" s="249" t="str">
        <f ca="1">IF(C993="","",IF($H$11="收入",[1]!S_STM07_IS(D993,9,$G$5,$H$13)/$E$5,[1]!S_STM07_IS(D993,48,$G$5,$H$13)/$E$5))</f>
        <v/>
      </c>
      <c r="I993" s="249" t="str">
        <f ca="1">IF(C993="","",IF($I$11="毛利率",([1]!S_STM07_IS(D993,9,$G$5,$H$13)-[1]!S_STM07_IS(D993,10,$G$5,$H$13))/[1]!S_STM07_IS(D993,9,$G$5,$H$13),[1]!S_STM07_IS(D993,14,$G$5,$H$13)/$E$5))</f>
        <v/>
      </c>
      <c r="J993" s="249" t="str">
        <f ca="1">IF(C993="","",IF($J$11="营业利润率",[1]!S_STM07_IS(D993,48,$G$5,$H$13)/[1]!S_STM07_IS(D993,9,$G$5,$H$13),([1]!S_STM07_CS(D993,87,$G$5,$H$13)+[1]!S_STM07_CS(D993,88,$G$5,$H$13)+[1]!S_STM07_CS(D993,89,$G$5,$H$13))/$E$5))</f>
        <v/>
      </c>
      <c r="K993" s="249" t="str">
        <f ca="1">IF(C993="","",IF($K$11="净利润率",[1]!S_STM07_IS(D993,61,$G$5,$H$13)/[1]!S_STM07_IS(D993,9,$G$5,$H$13),[1]!S_STM07_IS(D993,55,$G$5,$H$13)/$E$5))</f>
        <v/>
      </c>
      <c r="L993" s="249" t="str">
        <f ca="1">IF(C993="","",IF($L$11="ROA",[1]!S_STM07_IS(D993,61,$G$5,$H$13)/[1]!S_STM07_BS(D993,74,$G$5,$H$13),1-[1]!S_STM07_IS(D993,61,$G$5,$H$13)/[1]!S_STM07_IS(D993,55,$G$5,$H$13)))</f>
        <v/>
      </c>
      <c r="M993" s="249" t="str">
        <f ca="1">IF(C993="","",IF($M$11="ROE",[1]!S_STM07_IS(D993,61,$G$5,$H$13)/[1]!S_STM07_BS(D993,141,$G$5,$H$13),([1]!S_STM07_BS(D993,25,$G$5,$H$13)-[1]!S_STM07_BS(D993,93,$G$5,$H$13))/$E$5))</f>
        <v/>
      </c>
      <c r="N993" s="250" t="str">
        <f ca="1">IF(C993="","",IF($N$11="EPS",[1]!S_STM07_IS(D993,61,$G$5,$H$13)/IF([1]!S_SHARE_TOTAL(D993,$G$5)=0,[1]!S_SHARE_TOTAL(D993,[1]!s_ipo_listeddate(D993)),[1]!S_SHARE_TOTAL(D993,$G$5)),([1]!S_STM07_BS(D993,75,$G$5,$H$13)+[1]!S_STM07_BS(D993,88,$G$5,$H$13)+[1]!S_STM07_BS(D993,94,$G$5,$H$13)+[1]!S_STM07_BS(D993,95,$G$5,$H$13))/$E$5))</f>
        <v/>
      </c>
      <c r="O993" s="250" t="str">
        <f ca="1">IF(C993="","",IF($O$11="BPS",[1]!S_STM07_BS(D993,141,$G$5,$H$13)/IF([1]!S_SHARE_TOTAL(D993,$G$5)=0,[1]!S_SHARE_TOTAL(D993,[1]!s_ipo_listeddate(D993)),[1]!S_SHARE_TOTAL(D993,$G$5)),[1]!S_STM07_CS(D993,49,$G$5,$H$13)/$E$5))</f>
        <v/>
      </c>
      <c r="P993" s="250" t="str">
        <f ca="1">IF(C993="","",IF($P$11="CFPS",[1]!S_STM07_CS(D993,84,$G$5,$H$13)/IF([1]!S_SHARE_TOTAL(D993,$G$5)=0,[1]!S_SHARE_TOTAL(D993,[1]!s_ipo_listeddate(D993)),[1]!S_SHARE_TOTAL(D993,$G$5)),[1]!S_STM07_CS(D993,84,$G$5,$H$13)/$E$5))</f>
        <v/>
      </c>
      <c r="Q993" s="198" t="str">
        <f ca="1">IF(C993="","",F993/([1]!S_STM07_IS(D993,61,$G$5,$H$13)/IF([1]!S_SHARE_TOTAL(D993,$G$5)=0,[1]!S_SHARE_TOTAL(D993,[1]!s_ipo_listeddate(D993)),[1]!S_SHARE_TOTAL(D993,$G$5))))</f>
        <v/>
      </c>
      <c r="R993" s="198" t="str">
        <f ca="1">IF(C993="","",F993/([1]!S_STM07_BS(D993,141,$G$5,$H$13)/IF([1]!S_SHARE_TOTAL(D993,$G$5)=0,[1]!S_SHARE_TOTAL(D993,[1]!s_ipo_listeddate(D993)),[1]!S_SHARE_TOTAL(D993,$G$5))))</f>
        <v/>
      </c>
      <c r="S993" s="249" t="str">
        <f ca="1">IF(C993="","",[1]!S_SHARE_TOTAL(D993,TODAY())/$E$5)</f>
        <v/>
      </c>
      <c r="T993" s="249" t="str">
        <f t="shared" ca="1" si="103"/>
        <v/>
      </c>
      <c r="U993" s="172" t="str">
        <f t="shared" ca="1" si="104"/>
        <v/>
      </c>
      <c r="V993" s="343" t="str">
        <f t="shared" ca="1" si="105"/>
        <v/>
      </c>
      <c r="W993" s="139"/>
      <c r="Y993" s="1"/>
    </row>
    <row r="994" spans="3:25" ht="12" customHeight="1">
      <c r="C994" s="342" t="str">
        <f t="shared" ca="1" si="100"/>
        <v/>
      </c>
      <c r="D994" s="153" t="str">
        <f t="shared" ca="1" si="101"/>
        <v/>
      </c>
      <c r="E994" s="153" t="str">
        <f t="shared" ca="1" si="102"/>
        <v/>
      </c>
      <c r="F994" s="170" t="str">
        <f ca="1">IF(C994="","",[1]!S_DQ_CLOSE(D994,TODAY(),1))</f>
        <v/>
      </c>
      <c r="G994" s="171" t="str">
        <f ca="1">IF(C994="","",[1]!s_pq_pctchange(D994,TODAY()-$G$12,TODAY())/100)</f>
        <v/>
      </c>
      <c r="H994" s="247" t="str">
        <f ca="1">IF(C994="","",IF($H$11="收入",[1]!S_STM07_IS(D994,9,$G$5,$H$13)/$E$5,[1]!S_STM07_IS(D994,48,$G$5,$H$13)/$E$5))</f>
        <v/>
      </c>
      <c r="I994" s="247" t="str">
        <f ca="1">IF(C994="","",IF($I$11="毛利率",([1]!S_STM07_IS(D994,9,$G$5,$H$13)-[1]!S_STM07_IS(D994,10,$G$5,$H$13))/[1]!S_STM07_IS(D994,9,$G$5,$H$13),[1]!S_STM07_IS(D994,14,$G$5,$H$13)/$E$5))</f>
        <v/>
      </c>
      <c r="J994" s="247" t="str">
        <f ca="1">IF(C994="","",IF($J$11="营业利润率",[1]!S_STM07_IS(D994,48,$G$5,$H$13)/[1]!S_STM07_IS(D994,9,$G$5,$H$13),([1]!S_STM07_CS(D994,87,$G$5,$H$13)+[1]!S_STM07_CS(D994,88,$G$5,$H$13)+[1]!S_STM07_CS(D994,89,$G$5,$H$13))/$E$5))</f>
        <v/>
      </c>
      <c r="K994" s="247" t="str">
        <f ca="1">IF(C994="","",IF($K$11="净利润率",[1]!S_STM07_IS(D994,61,$G$5,$H$13)/[1]!S_STM07_IS(D994,9,$G$5,$H$13),[1]!S_STM07_IS(D994,55,$G$5,$H$13)/$E$5))</f>
        <v/>
      </c>
      <c r="L994" s="247" t="str">
        <f ca="1">IF(C994="","",IF($L$11="ROA",[1]!S_STM07_IS(D994,61,$G$5,$H$13)/[1]!S_STM07_BS(D994,74,$G$5,$H$13),1-[1]!S_STM07_IS(D994,61,$G$5,$H$13)/[1]!S_STM07_IS(D994,55,$G$5,$H$13)))</f>
        <v/>
      </c>
      <c r="M994" s="247" t="str">
        <f ca="1">IF(C994="","",IF($M$11="ROE",[1]!S_STM07_IS(D994,61,$G$5,$H$13)/[1]!S_STM07_BS(D994,141,$G$5,$H$13),([1]!S_STM07_BS(D994,25,$G$5,$H$13)-[1]!S_STM07_BS(D994,93,$G$5,$H$13))/$E$5))</f>
        <v/>
      </c>
      <c r="N994" s="247" t="str">
        <f ca="1">IF(C994="","",IF($N$11="EPS",[1]!S_STM07_IS(D994,61,$G$5,$H$13)/IF([1]!S_SHARE_TOTAL(D994,$G$5)=0,[1]!S_SHARE_TOTAL(D994,[1]!s_ipo_listeddate(D994)),[1]!S_SHARE_TOTAL(D994,$G$5)),([1]!S_STM07_BS(D994,75,$G$5,$H$13)+[1]!S_STM07_BS(D994,88,$G$5,$H$13)+[1]!S_STM07_BS(D994,94,$G$5,$H$13)+[1]!S_STM07_BS(D994,95,$G$5,$H$13))/$E$5))</f>
        <v/>
      </c>
      <c r="O994" s="247" t="str">
        <f ca="1">IF(C994="","",IF($O$11="BPS",[1]!S_STM07_BS(D994,141,$G$5,$H$13)/IF([1]!S_SHARE_TOTAL(D994,$G$5)=0,[1]!S_SHARE_TOTAL(D994,[1]!s_ipo_listeddate(D994)),[1]!S_SHARE_TOTAL(D994,$G$5)),[1]!S_STM07_CS(D994,49,$G$5,$H$13)/$E$5))</f>
        <v/>
      </c>
      <c r="P994" s="247" t="str">
        <f ca="1">IF(C994="","",IF($P$11="CFPS",[1]!S_STM07_CS(D994,84,$G$5,$H$13)/IF([1]!S_SHARE_TOTAL(D994,$G$5)=0,[1]!S_SHARE_TOTAL(D994,[1]!s_ipo_listeddate(D994)),[1]!S_SHARE_TOTAL(D994,$G$5)),[1]!S_STM07_CS(D994,84,$G$5,$H$13)/$E$5))</f>
        <v/>
      </c>
      <c r="Q994" s="248" t="str">
        <f ca="1">IF(C994="","",F994/([1]!S_STM07_IS(D994,61,$G$5,$H$13)/IF([1]!S_SHARE_TOTAL(D994,$G$5)=0,[1]!S_SHARE_TOTAL(D994,[1]!s_ipo_listeddate(D994)),[1]!S_SHARE_TOTAL(D994,$G$5))))</f>
        <v/>
      </c>
      <c r="R994" s="248" t="str">
        <f ca="1">IF(C994="","",F994/([1]!S_STM07_BS(D994,141,$G$5,$H$13)/IF([1]!S_SHARE_TOTAL(D994,$G$5)=0,[1]!S_SHARE_TOTAL(D994,[1]!s_ipo_listeddate(D994)),[1]!S_SHARE_TOTAL(D994,$G$5))))</f>
        <v/>
      </c>
      <c r="S994" s="247" t="str">
        <f ca="1">IF(C994="","",[1]!S_SHARE_TOTAL(D994,TODAY())/$E$5)</f>
        <v/>
      </c>
      <c r="T994" s="247" t="str">
        <f t="shared" ca="1" si="103"/>
        <v/>
      </c>
      <c r="U994" s="218" t="str">
        <f t="shared" ca="1" si="104"/>
        <v/>
      </c>
      <c r="V994" s="342" t="str">
        <f t="shared" ca="1" si="105"/>
        <v/>
      </c>
      <c r="W994" s="139"/>
      <c r="Y994" s="1"/>
    </row>
    <row r="995" spans="3:25" ht="12" customHeight="1">
      <c r="C995" s="343" t="str">
        <f t="shared" ca="1" si="100"/>
        <v/>
      </c>
      <c r="D995" s="124" t="str">
        <f t="shared" ca="1" si="101"/>
        <v/>
      </c>
      <c r="E995" s="124" t="str">
        <f t="shared" ca="1" si="102"/>
        <v/>
      </c>
      <c r="F995" s="172" t="str">
        <f ca="1">IF(C995="","",[1]!S_DQ_CLOSE(D995,TODAY(),1))</f>
        <v/>
      </c>
      <c r="G995" s="173" t="str">
        <f ca="1">IF(C995="","",[1]!s_pq_pctchange(D995,TODAY()-$G$12,TODAY())/100)</f>
        <v/>
      </c>
      <c r="H995" s="249" t="str">
        <f ca="1">IF(C995="","",IF($H$11="收入",[1]!S_STM07_IS(D995,9,$G$5,$H$13)/$E$5,[1]!S_STM07_IS(D995,48,$G$5,$H$13)/$E$5))</f>
        <v/>
      </c>
      <c r="I995" s="249" t="str">
        <f ca="1">IF(C995="","",IF($I$11="毛利率",([1]!S_STM07_IS(D995,9,$G$5,$H$13)-[1]!S_STM07_IS(D995,10,$G$5,$H$13))/[1]!S_STM07_IS(D995,9,$G$5,$H$13),[1]!S_STM07_IS(D995,14,$G$5,$H$13)/$E$5))</f>
        <v/>
      </c>
      <c r="J995" s="249" t="str">
        <f ca="1">IF(C995="","",IF($J$11="营业利润率",[1]!S_STM07_IS(D995,48,$G$5,$H$13)/[1]!S_STM07_IS(D995,9,$G$5,$H$13),([1]!S_STM07_CS(D995,87,$G$5,$H$13)+[1]!S_STM07_CS(D995,88,$G$5,$H$13)+[1]!S_STM07_CS(D995,89,$G$5,$H$13))/$E$5))</f>
        <v/>
      </c>
      <c r="K995" s="249" t="str">
        <f ca="1">IF(C995="","",IF($K$11="净利润率",[1]!S_STM07_IS(D995,61,$G$5,$H$13)/[1]!S_STM07_IS(D995,9,$G$5,$H$13),[1]!S_STM07_IS(D995,55,$G$5,$H$13)/$E$5))</f>
        <v/>
      </c>
      <c r="L995" s="249" t="str">
        <f ca="1">IF(C995="","",IF($L$11="ROA",[1]!S_STM07_IS(D995,61,$G$5,$H$13)/[1]!S_STM07_BS(D995,74,$G$5,$H$13),1-[1]!S_STM07_IS(D995,61,$G$5,$H$13)/[1]!S_STM07_IS(D995,55,$G$5,$H$13)))</f>
        <v/>
      </c>
      <c r="M995" s="249" t="str">
        <f ca="1">IF(C995="","",IF($M$11="ROE",[1]!S_STM07_IS(D995,61,$G$5,$H$13)/[1]!S_STM07_BS(D995,141,$G$5,$H$13),([1]!S_STM07_BS(D995,25,$G$5,$H$13)-[1]!S_STM07_BS(D995,93,$G$5,$H$13))/$E$5))</f>
        <v/>
      </c>
      <c r="N995" s="250" t="str">
        <f ca="1">IF(C995="","",IF($N$11="EPS",[1]!S_STM07_IS(D995,61,$G$5,$H$13)/IF([1]!S_SHARE_TOTAL(D995,$G$5)=0,[1]!S_SHARE_TOTAL(D995,[1]!s_ipo_listeddate(D995)),[1]!S_SHARE_TOTAL(D995,$G$5)),([1]!S_STM07_BS(D995,75,$G$5,$H$13)+[1]!S_STM07_BS(D995,88,$G$5,$H$13)+[1]!S_STM07_BS(D995,94,$G$5,$H$13)+[1]!S_STM07_BS(D995,95,$G$5,$H$13))/$E$5))</f>
        <v/>
      </c>
      <c r="O995" s="250" t="str">
        <f ca="1">IF(C995="","",IF($O$11="BPS",[1]!S_STM07_BS(D995,141,$G$5,$H$13)/IF([1]!S_SHARE_TOTAL(D995,$G$5)=0,[1]!S_SHARE_TOTAL(D995,[1]!s_ipo_listeddate(D995)),[1]!S_SHARE_TOTAL(D995,$G$5)),[1]!S_STM07_CS(D995,49,$G$5,$H$13)/$E$5))</f>
        <v/>
      </c>
      <c r="P995" s="250" t="str">
        <f ca="1">IF(C995="","",IF($P$11="CFPS",[1]!S_STM07_CS(D995,84,$G$5,$H$13)/IF([1]!S_SHARE_TOTAL(D995,$G$5)=0,[1]!S_SHARE_TOTAL(D995,[1]!s_ipo_listeddate(D995)),[1]!S_SHARE_TOTAL(D995,$G$5)),[1]!S_STM07_CS(D995,84,$G$5,$H$13)/$E$5))</f>
        <v/>
      </c>
      <c r="Q995" s="198" t="str">
        <f ca="1">IF(C995="","",F995/([1]!S_STM07_IS(D995,61,$G$5,$H$13)/IF([1]!S_SHARE_TOTAL(D995,$G$5)=0,[1]!S_SHARE_TOTAL(D995,[1]!s_ipo_listeddate(D995)),[1]!S_SHARE_TOTAL(D995,$G$5))))</f>
        <v/>
      </c>
      <c r="R995" s="198" t="str">
        <f ca="1">IF(C995="","",F995/([1]!S_STM07_BS(D995,141,$G$5,$H$13)/IF([1]!S_SHARE_TOTAL(D995,$G$5)=0,[1]!S_SHARE_TOTAL(D995,[1]!s_ipo_listeddate(D995)),[1]!S_SHARE_TOTAL(D995,$G$5))))</f>
        <v/>
      </c>
      <c r="S995" s="249" t="str">
        <f ca="1">IF(C995="","",[1]!S_SHARE_TOTAL(D995,TODAY())/$E$5)</f>
        <v/>
      </c>
      <c r="T995" s="249" t="str">
        <f t="shared" ca="1" si="103"/>
        <v/>
      </c>
      <c r="U995" s="172" t="str">
        <f t="shared" ca="1" si="104"/>
        <v/>
      </c>
      <c r="V995" s="343" t="str">
        <f t="shared" ca="1" si="105"/>
        <v/>
      </c>
      <c r="W995" s="139"/>
      <c r="Y995" s="1"/>
    </row>
    <row r="996" spans="3:25" ht="12" customHeight="1">
      <c r="C996" s="342" t="str">
        <f t="shared" ca="1" si="100"/>
        <v/>
      </c>
      <c r="D996" s="153" t="str">
        <f t="shared" ca="1" si="101"/>
        <v/>
      </c>
      <c r="E996" s="153" t="str">
        <f t="shared" ca="1" si="102"/>
        <v/>
      </c>
      <c r="F996" s="170" t="str">
        <f ca="1">IF(C996="","",[1]!S_DQ_CLOSE(D996,TODAY(),1))</f>
        <v/>
      </c>
      <c r="G996" s="171" t="str">
        <f ca="1">IF(C996="","",[1]!s_pq_pctchange(D996,TODAY()-$G$12,TODAY())/100)</f>
        <v/>
      </c>
      <c r="H996" s="247" t="str">
        <f ca="1">IF(C996="","",IF($H$11="收入",[1]!S_STM07_IS(D996,9,$G$5,$H$13)/$E$5,[1]!S_STM07_IS(D996,48,$G$5,$H$13)/$E$5))</f>
        <v/>
      </c>
      <c r="I996" s="247" t="str">
        <f ca="1">IF(C996="","",IF($I$11="毛利率",([1]!S_STM07_IS(D996,9,$G$5,$H$13)-[1]!S_STM07_IS(D996,10,$G$5,$H$13))/[1]!S_STM07_IS(D996,9,$G$5,$H$13),[1]!S_STM07_IS(D996,14,$G$5,$H$13)/$E$5))</f>
        <v/>
      </c>
      <c r="J996" s="247" t="str">
        <f ca="1">IF(C996="","",IF($J$11="营业利润率",[1]!S_STM07_IS(D996,48,$G$5,$H$13)/[1]!S_STM07_IS(D996,9,$G$5,$H$13),([1]!S_STM07_CS(D996,87,$G$5,$H$13)+[1]!S_STM07_CS(D996,88,$G$5,$H$13)+[1]!S_STM07_CS(D996,89,$G$5,$H$13))/$E$5))</f>
        <v/>
      </c>
      <c r="K996" s="247" t="str">
        <f ca="1">IF(C996="","",IF($K$11="净利润率",[1]!S_STM07_IS(D996,61,$G$5,$H$13)/[1]!S_STM07_IS(D996,9,$G$5,$H$13),[1]!S_STM07_IS(D996,55,$G$5,$H$13)/$E$5))</f>
        <v/>
      </c>
      <c r="L996" s="247" t="str">
        <f ca="1">IF(C996="","",IF($L$11="ROA",[1]!S_STM07_IS(D996,61,$G$5,$H$13)/[1]!S_STM07_BS(D996,74,$G$5,$H$13),1-[1]!S_STM07_IS(D996,61,$G$5,$H$13)/[1]!S_STM07_IS(D996,55,$G$5,$H$13)))</f>
        <v/>
      </c>
      <c r="M996" s="247" t="str">
        <f ca="1">IF(C996="","",IF($M$11="ROE",[1]!S_STM07_IS(D996,61,$G$5,$H$13)/[1]!S_STM07_BS(D996,141,$G$5,$H$13),([1]!S_STM07_BS(D996,25,$G$5,$H$13)-[1]!S_STM07_BS(D996,93,$G$5,$H$13))/$E$5))</f>
        <v/>
      </c>
      <c r="N996" s="247" t="str">
        <f ca="1">IF(C996="","",IF($N$11="EPS",[1]!S_STM07_IS(D996,61,$G$5,$H$13)/IF([1]!S_SHARE_TOTAL(D996,$G$5)=0,[1]!S_SHARE_TOTAL(D996,[1]!s_ipo_listeddate(D996)),[1]!S_SHARE_TOTAL(D996,$G$5)),([1]!S_STM07_BS(D996,75,$G$5,$H$13)+[1]!S_STM07_BS(D996,88,$G$5,$H$13)+[1]!S_STM07_BS(D996,94,$G$5,$H$13)+[1]!S_STM07_BS(D996,95,$G$5,$H$13))/$E$5))</f>
        <v/>
      </c>
      <c r="O996" s="247" t="str">
        <f ca="1">IF(C996="","",IF($O$11="BPS",[1]!S_STM07_BS(D996,141,$G$5,$H$13)/IF([1]!S_SHARE_TOTAL(D996,$G$5)=0,[1]!S_SHARE_TOTAL(D996,[1]!s_ipo_listeddate(D996)),[1]!S_SHARE_TOTAL(D996,$G$5)),[1]!S_STM07_CS(D996,49,$G$5,$H$13)/$E$5))</f>
        <v/>
      </c>
      <c r="P996" s="247" t="str">
        <f ca="1">IF(C996="","",IF($P$11="CFPS",[1]!S_STM07_CS(D996,84,$G$5,$H$13)/IF([1]!S_SHARE_TOTAL(D996,$G$5)=0,[1]!S_SHARE_TOTAL(D996,[1]!s_ipo_listeddate(D996)),[1]!S_SHARE_TOTAL(D996,$G$5)),[1]!S_STM07_CS(D996,84,$G$5,$H$13)/$E$5))</f>
        <v/>
      </c>
      <c r="Q996" s="248" t="str">
        <f ca="1">IF(C996="","",F996/([1]!S_STM07_IS(D996,61,$G$5,$H$13)/IF([1]!S_SHARE_TOTAL(D996,$G$5)=0,[1]!S_SHARE_TOTAL(D996,[1]!s_ipo_listeddate(D996)),[1]!S_SHARE_TOTAL(D996,$G$5))))</f>
        <v/>
      </c>
      <c r="R996" s="248" t="str">
        <f ca="1">IF(C996="","",F996/([1]!S_STM07_BS(D996,141,$G$5,$H$13)/IF([1]!S_SHARE_TOTAL(D996,$G$5)=0,[1]!S_SHARE_TOTAL(D996,[1]!s_ipo_listeddate(D996)),[1]!S_SHARE_TOTAL(D996,$G$5))))</f>
        <v/>
      </c>
      <c r="S996" s="247" t="str">
        <f ca="1">IF(C996="","",[1]!S_SHARE_TOTAL(D996,TODAY())/$E$5)</f>
        <v/>
      </c>
      <c r="T996" s="247" t="str">
        <f t="shared" ca="1" si="103"/>
        <v/>
      </c>
      <c r="U996" s="218" t="str">
        <f t="shared" ca="1" si="104"/>
        <v/>
      </c>
      <c r="V996" s="342" t="str">
        <f t="shared" ca="1" si="105"/>
        <v/>
      </c>
      <c r="W996" s="139"/>
      <c r="Y996" s="1"/>
    </row>
    <row r="997" spans="3:25" ht="12" customHeight="1">
      <c r="C997" s="343" t="str">
        <f t="shared" ca="1" si="100"/>
        <v/>
      </c>
      <c r="D997" s="124" t="str">
        <f t="shared" ca="1" si="101"/>
        <v/>
      </c>
      <c r="E997" s="124" t="str">
        <f t="shared" ca="1" si="102"/>
        <v/>
      </c>
      <c r="F997" s="172" t="str">
        <f ca="1">IF(C997="","",[1]!S_DQ_CLOSE(D997,TODAY(),1))</f>
        <v/>
      </c>
      <c r="G997" s="173" t="str">
        <f ca="1">IF(C997="","",[1]!s_pq_pctchange(D997,TODAY()-$G$12,TODAY())/100)</f>
        <v/>
      </c>
      <c r="H997" s="249" t="str">
        <f ca="1">IF(C997="","",IF($H$11="收入",[1]!S_STM07_IS(D997,9,$G$5,$H$13)/$E$5,[1]!S_STM07_IS(D997,48,$G$5,$H$13)/$E$5))</f>
        <v/>
      </c>
      <c r="I997" s="249" t="str">
        <f ca="1">IF(C997="","",IF($I$11="毛利率",([1]!S_STM07_IS(D997,9,$G$5,$H$13)-[1]!S_STM07_IS(D997,10,$G$5,$H$13))/[1]!S_STM07_IS(D997,9,$G$5,$H$13),[1]!S_STM07_IS(D997,14,$G$5,$H$13)/$E$5))</f>
        <v/>
      </c>
      <c r="J997" s="249" t="str">
        <f ca="1">IF(C997="","",IF($J$11="营业利润率",[1]!S_STM07_IS(D997,48,$G$5,$H$13)/[1]!S_STM07_IS(D997,9,$G$5,$H$13),([1]!S_STM07_CS(D997,87,$G$5,$H$13)+[1]!S_STM07_CS(D997,88,$G$5,$H$13)+[1]!S_STM07_CS(D997,89,$G$5,$H$13))/$E$5))</f>
        <v/>
      </c>
      <c r="K997" s="249" t="str">
        <f ca="1">IF(C997="","",IF($K$11="净利润率",[1]!S_STM07_IS(D997,61,$G$5,$H$13)/[1]!S_STM07_IS(D997,9,$G$5,$H$13),[1]!S_STM07_IS(D997,55,$G$5,$H$13)/$E$5))</f>
        <v/>
      </c>
      <c r="L997" s="249" t="str">
        <f ca="1">IF(C997="","",IF($L$11="ROA",[1]!S_STM07_IS(D997,61,$G$5,$H$13)/[1]!S_STM07_BS(D997,74,$G$5,$H$13),1-[1]!S_STM07_IS(D997,61,$G$5,$H$13)/[1]!S_STM07_IS(D997,55,$G$5,$H$13)))</f>
        <v/>
      </c>
      <c r="M997" s="249" t="str">
        <f ca="1">IF(C997="","",IF($M$11="ROE",[1]!S_STM07_IS(D997,61,$G$5,$H$13)/[1]!S_STM07_BS(D997,141,$G$5,$H$13),([1]!S_STM07_BS(D997,25,$G$5,$H$13)-[1]!S_STM07_BS(D997,93,$G$5,$H$13))/$E$5))</f>
        <v/>
      </c>
      <c r="N997" s="250" t="str">
        <f ca="1">IF(C997="","",IF($N$11="EPS",[1]!S_STM07_IS(D997,61,$G$5,$H$13)/IF([1]!S_SHARE_TOTAL(D997,$G$5)=0,[1]!S_SHARE_TOTAL(D997,[1]!s_ipo_listeddate(D997)),[1]!S_SHARE_TOTAL(D997,$G$5)),([1]!S_STM07_BS(D997,75,$G$5,$H$13)+[1]!S_STM07_BS(D997,88,$G$5,$H$13)+[1]!S_STM07_BS(D997,94,$G$5,$H$13)+[1]!S_STM07_BS(D997,95,$G$5,$H$13))/$E$5))</f>
        <v/>
      </c>
      <c r="O997" s="250" t="str">
        <f ca="1">IF(C997="","",IF($O$11="BPS",[1]!S_STM07_BS(D997,141,$G$5,$H$13)/IF([1]!S_SHARE_TOTAL(D997,$G$5)=0,[1]!S_SHARE_TOTAL(D997,[1]!s_ipo_listeddate(D997)),[1]!S_SHARE_TOTAL(D997,$G$5)),[1]!S_STM07_CS(D997,49,$G$5,$H$13)/$E$5))</f>
        <v/>
      </c>
      <c r="P997" s="250" t="str">
        <f ca="1">IF(C997="","",IF($P$11="CFPS",[1]!S_STM07_CS(D997,84,$G$5,$H$13)/IF([1]!S_SHARE_TOTAL(D997,$G$5)=0,[1]!S_SHARE_TOTAL(D997,[1]!s_ipo_listeddate(D997)),[1]!S_SHARE_TOTAL(D997,$G$5)),[1]!S_STM07_CS(D997,84,$G$5,$H$13)/$E$5))</f>
        <v/>
      </c>
      <c r="Q997" s="198" t="str">
        <f ca="1">IF(C997="","",F997/([1]!S_STM07_IS(D997,61,$G$5,$H$13)/IF([1]!S_SHARE_TOTAL(D997,$G$5)=0,[1]!S_SHARE_TOTAL(D997,[1]!s_ipo_listeddate(D997)),[1]!S_SHARE_TOTAL(D997,$G$5))))</f>
        <v/>
      </c>
      <c r="R997" s="198" t="str">
        <f ca="1">IF(C997="","",F997/([1]!S_STM07_BS(D997,141,$G$5,$H$13)/IF([1]!S_SHARE_TOTAL(D997,$G$5)=0,[1]!S_SHARE_TOTAL(D997,[1]!s_ipo_listeddate(D997)),[1]!S_SHARE_TOTAL(D997,$G$5))))</f>
        <v/>
      </c>
      <c r="S997" s="249" t="str">
        <f ca="1">IF(C997="","",[1]!S_SHARE_TOTAL(D997,TODAY())/$E$5)</f>
        <v/>
      </c>
      <c r="T997" s="249" t="str">
        <f t="shared" ca="1" si="103"/>
        <v/>
      </c>
      <c r="U997" s="172" t="str">
        <f t="shared" ca="1" si="104"/>
        <v/>
      </c>
      <c r="V997" s="343" t="str">
        <f t="shared" ca="1" si="105"/>
        <v/>
      </c>
      <c r="W997" s="139"/>
      <c r="Y997" s="1"/>
    </row>
    <row r="998" spans="3:25" ht="12" customHeight="1">
      <c r="C998" s="342" t="str">
        <f t="shared" ca="1" si="100"/>
        <v/>
      </c>
      <c r="D998" s="153" t="str">
        <f t="shared" ca="1" si="101"/>
        <v/>
      </c>
      <c r="E998" s="153" t="str">
        <f t="shared" ca="1" si="102"/>
        <v/>
      </c>
      <c r="F998" s="170" t="str">
        <f ca="1">IF(C998="","",[1]!S_DQ_CLOSE(D998,TODAY(),1))</f>
        <v/>
      </c>
      <c r="G998" s="171" t="str">
        <f ca="1">IF(C998="","",[1]!s_pq_pctchange(D998,TODAY()-$G$12,TODAY())/100)</f>
        <v/>
      </c>
      <c r="H998" s="247" t="str">
        <f ca="1">IF(C998="","",IF($H$11="收入",[1]!S_STM07_IS(D998,9,$G$5,$H$13)/$E$5,[1]!S_STM07_IS(D998,48,$G$5,$H$13)/$E$5))</f>
        <v/>
      </c>
      <c r="I998" s="247" t="str">
        <f ca="1">IF(C998="","",IF($I$11="毛利率",([1]!S_STM07_IS(D998,9,$G$5,$H$13)-[1]!S_STM07_IS(D998,10,$G$5,$H$13))/[1]!S_STM07_IS(D998,9,$G$5,$H$13),[1]!S_STM07_IS(D998,14,$G$5,$H$13)/$E$5))</f>
        <v/>
      </c>
      <c r="J998" s="247" t="str">
        <f ca="1">IF(C998="","",IF($J$11="营业利润率",[1]!S_STM07_IS(D998,48,$G$5,$H$13)/[1]!S_STM07_IS(D998,9,$G$5,$H$13),([1]!S_STM07_CS(D998,87,$G$5,$H$13)+[1]!S_STM07_CS(D998,88,$G$5,$H$13)+[1]!S_STM07_CS(D998,89,$G$5,$H$13))/$E$5))</f>
        <v/>
      </c>
      <c r="K998" s="247" t="str">
        <f ca="1">IF(C998="","",IF($K$11="净利润率",[1]!S_STM07_IS(D998,61,$G$5,$H$13)/[1]!S_STM07_IS(D998,9,$G$5,$H$13),[1]!S_STM07_IS(D998,55,$G$5,$H$13)/$E$5))</f>
        <v/>
      </c>
      <c r="L998" s="247" t="str">
        <f ca="1">IF(C998="","",IF($L$11="ROA",[1]!S_STM07_IS(D998,61,$G$5,$H$13)/[1]!S_STM07_BS(D998,74,$G$5,$H$13),1-[1]!S_STM07_IS(D998,61,$G$5,$H$13)/[1]!S_STM07_IS(D998,55,$G$5,$H$13)))</f>
        <v/>
      </c>
      <c r="M998" s="247" t="str">
        <f ca="1">IF(C998="","",IF($M$11="ROE",[1]!S_STM07_IS(D998,61,$G$5,$H$13)/[1]!S_STM07_BS(D998,141,$G$5,$H$13),([1]!S_STM07_BS(D998,25,$G$5,$H$13)-[1]!S_STM07_BS(D998,93,$G$5,$H$13))/$E$5))</f>
        <v/>
      </c>
      <c r="N998" s="247" t="str">
        <f ca="1">IF(C998="","",IF($N$11="EPS",[1]!S_STM07_IS(D998,61,$G$5,$H$13)/IF([1]!S_SHARE_TOTAL(D998,$G$5)=0,[1]!S_SHARE_TOTAL(D998,[1]!s_ipo_listeddate(D998)),[1]!S_SHARE_TOTAL(D998,$G$5)),([1]!S_STM07_BS(D998,75,$G$5,$H$13)+[1]!S_STM07_BS(D998,88,$G$5,$H$13)+[1]!S_STM07_BS(D998,94,$G$5,$H$13)+[1]!S_STM07_BS(D998,95,$G$5,$H$13))/$E$5))</f>
        <v/>
      </c>
      <c r="O998" s="247" t="str">
        <f ca="1">IF(C998="","",IF($O$11="BPS",[1]!S_STM07_BS(D998,141,$G$5,$H$13)/IF([1]!S_SHARE_TOTAL(D998,$G$5)=0,[1]!S_SHARE_TOTAL(D998,[1]!s_ipo_listeddate(D998)),[1]!S_SHARE_TOTAL(D998,$G$5)),[1]!S_STM07_CS(D998,49,$G$5,$H$13)/$E$5))</f>
        <v/>
      </c>
      <c r="P998" s="247" t="str">
        <f ca="1">IF(C998="","",IF($P$11="CFPS",[1]!S_STM07_CS(D998,84,$G$5,$H$13)/IF([1]!S_SHARE_TOTAL(D998,$G$5)=0,[1]!S_SHARE_TOTAL(D998,[1]!s_ipo_listeddate(D998)),[1]!S_SHARE_TOTAL(D998,$G$5)),[1]!S_STM07_CS(D998,84,$G$5,$H$13)/$E$5))</f>
        <v/>
      </c>
      <c r="Q998" s="248" t="str">
        <f ca="1">IF(C998="","",F998/([1]!S_STM07_IS(D998,61,$G$5,$H$13)/IF([1]!S_SHARE_TOTAL(D998,$G$5)=0,[1]!S_SHARE_TOTAL(D998,[1]!s_ipo_listeddate(D998)),[1]!S_SHARE_TOTAL(D998,$G$5))))</f>
        <v/>
      </c>
      <c r="R998" s="248" t="str">
        <f ca="1">IF(C998="","",F998/([1]!S_STM07_BS(D998,141,$G$5,$H$13)/IF([1]!S_SHARE_TOTAL(D998,$G$5)=0,[1]!S_SHARE_TOTAL(D998,[1]!s_ipo_listeddate(D998)),[1]!S_SHARE_TOTAL(D998,$G$5))))</f>
        <v/>
      </c>
      <c r="S998" s="247" t="str">
        <f ca="1">IF(C998="","",[1]!S_SHARE_TOTAL(D998,TODAY())/$E$5)</f>
        <v/>
      </c>
      <c r="T998" s="247" t="str">
        <f t="shared" ca="1" si="103"/>
        <v/>
      </c>
      <c r="U998" s="218" t="str">
        <f t="shared" ca="1" si="104"/>
        <v/>
      </c>
      <c r="V998" s="342" t="str">
        <f t="shared" ca="1" si="105"/>
        <v/>
      </c>
      <c r="W998" s="139"/>
      <c r="Y998" s="1"/>
    </row>
    <row r="999" spans="3:25" ht="12" customHeight="1">
      <c r="C999" s="343" t="str">
        <f t="shared" ca="1" si="100"/>
        <v/>
      </c>
      <c r="D999" s="124" t="str">
        <f t="shared" ca="1" si="101"/>
        <v/>
      </c>
      <c r="E999" s="124" t="str">
        <f t="shared" ca="1" si="102"/>
        <v/>
      </c>
      <c r="F999" s="172" t="str">
        <f ca="1">IF(C999="","",[1]!S_DQ_CLOSE(D999,TODAY(),1))</f>
        <v/>
      </c>
      <c r="G999" s="173" t="str">
        <f ca="1">IF(C999="","",[1]!s_pq_pctchange(D999,TODAY()-$G$12,TODAY())/100)</f>
        <v/>
      </c>
      <c r="H999" s="249" t="str">
        <f ca="1">IF(C999="","",IF($H$11="收入",[1]!S_STM07_IS(D999,9,$G$5,$H$13)/$E$5,[1]!S_STM07_IS(D999,48,$G$5,$H$13)/$E$5))</f>
        <v/>
      </c>
      <c r="I999" s="249" t="str">
        <f ca="1">IF(C999="","",IF($I$11="毛利率",([1]!S_STM07_IS(D999,9,$G$5,$H$13)-[1]!S_STM07_IS(D999,10,$G$5,$H$13))/[1]!S_STM07_IS(D999,9,$G$5,$H$13),[1]!S_STM07_IS(D999,14,$G$5,$H$13)/$E$5))</f>
        <v/>
      </c>
      <c r="J999" s="249" t="str">
        <f ca="1">IF(C999="","",IF($J$11="营业利润率",[1]!S_STM07_IS(D999,48,$G$5,$H$13)/[1]!S_STM07_IS(D999,9,$G$5,$H$13),([1]!S_STM07_CS(D999,87,$G$5,$H$13)+[1]!S_STM07_CS(D999,88,$G$5,$H$13)+[1]!S_STM07_CS(D999,89,$G$5,$H$13))/$E$5))</f>
        <v/>
      </c>
      <c r="K999" s="249" t="str">
        <f ca="1">IF(C999="","",IF($K$11="净利润率",[1]!S_STM07_IS(D999,61,$G$5,$H$13)/[1]!S_STM07_IS(D999,9,$G$5,$H$13),[1]!S_STM07_IS(D999,55,$G$5,$H$13)/$E$5))</f>
        <v/>
      </c>
      <c r="L999" s="249" t="str">
        <f ca="1">IF(C999="","",IF($L$11="ROA",[1]!S_STM07_IS(D999,61,$G$5,$H$13)/[1]!S_STM07_BS(D999,74,$G$5,$H$13),1-[1]!S_STM07_IS(D999,61,$G$5,$H$13)/[1]!S_STM07_IS(D999,55,$G$5,$H$13)))</f>
        <v/>
      </c>
      <c r="M999" s="249" t="str">
        <f ca="1">IF(C999="","",IF($M$11="ROE",[1]!S_STM07_IS(D999,61,$G$5,$H$13)/[1]!S_STM07_BS(D999,141,$G$5,$H$13),([1]!S_STM07_BS(D999,25,$G$5,$H$13)-[1]!S_STM07_BS(D999,93,$G$5,$H$13))/$E$5))</f>
        <v/>
      </c>
      <c r="N999" s="250" t="str">
        <f ca="1">IF(C999="","",IF($N$11="EPS",[1]!S_STM07_IS(D999,61,$G$5,$H$13)/IF([1]!S_SHARE_TOTAL(D999,$G$5)=0,[1]!S_SHARE_TOTAL(D999,[1]!s_ipo_listeddate(D999)),[1]!S_SHARE_TOTAL(D999,$G$5)),([1]!S_STM07_BS(D999,75,$G$5,$H$13)+[1]!S_STM07_BS(D999,88,$G$5,$H$13)+[1]!S_STM07_BS(D999,94,$G$5,$H$13)+[1]!S_STM07_BS(D999,95,$G$5,$H$13))/$E$5))</f>
        <v/>
      </c>
      <c r="O999" s="250" t="str">
        <f ca="1">IF(C999="","",IF($O$11="BPS",[1]!S_STM07_BS(D999,141,$G$5,$H$13)/IF([1]!S_SHARE_TOTAL(D999,$G$5)=0,[1]!S_SHARE_TOTAL(D999,[1]!s_ipo_listeddate(D999)),[1]!S_SHARE_TOTAL(D999,$G$5)),[1]!S_STM07_CS(D999,49,$G$5,$H$13)/$E$5))</f>
        <v/>
      </c>
      <c r="P999" s="250" t="str">
        <f ca="1">IF(C999="","",IF($P$11="CFPS",[1]!S_STM07_CS(D999,84,$G$5,$H$13)/IF([1]!S_SHARE_TOTAL(D999,$G$5)=0,[1]!S_SHARE_TOTAL(D999,[1]!s_ipo_listeddate(D999)),[1]!S_SHARE_TOTAL(D999,$G$5)),[1]!S_STM07_CS(D999,84,$G$5,$H$13)/$E$5))</f>
        <v/>
      </c>
      <c r="Q999" s="198" t="str">
        <f ca="1">IF(C999="","",F999/([1]!S_STM07_IS(D999,61,$G$5,$H$13)/IF([1]!S_SHARE_TOTAL(D999,$G$5)=0,[1]!S_SHARE_TOTAL(D999,[1]!s_ipo_listeddate(D999)),[1]!S_SHARE_TOTAL(D999,$G$5))))</f>
        <v/>
      </c>
      <c r="R999" s="198" t="str">
        <f ca="1">IF(C999="","",F999/([1]!S_STM07_BS(D999,141,$G$5,$H$13)/IF([1]!S_SHARE_TOTAL(D999,$G$5)=0,[1]!S_SHARE_TOTAL(D999,[1]!s_ipo_listeddate(D999)),[1]!S_SHARE_TOTAL(D999,$G$5))))</f>
        <v/>
      </c>
      <c r="S999" s="249" t="str">
        <f ca="1">IF(C999="","",[1]!S_SHARE_TOTAL(D999,TODAY())/$E$5)</f>
        <v/>
      </c>
      <c r="T999" s="249" t="str">
        <f t="shared" ca="1" si="103"/>
        <v/>
      </c>
      <c r="U999" s="172" t="str">
        <f t="shared" ca="1" si="104"/>
        <v/>
      </c>
      <c r="V999" s="343" t="str">
        <f t="shared" ca="1" si="105"/>
        <v/>
      </c>
      <c r="W999" s="139"/>
      <c r="Y999" s="1"/>
    </row>
    <row r="1000" spans="3:25" ht="12" customHeight="1">
      <c r="C1000" s="342" t="str">
        <f t="shared" ca="1" si="100"/>
        <v/>
      </c>
      <c r="D1000" s="153" t="str">
        <f t="shared" ca="1" si="101"/>
        <v/>
      </c>
      <c r="E1000" s="153" t="str">
        <f t="shared" ca="1" si="102"/>
        <v/>
      </c>
      <c r="F1000" s="170" t="str">
        <f ca="1">IF(C1000="","",[1]!S_DQ_CLOSE(D1000,TODAY(),1))</f>
        <v/>
      </c>
      <c r="G1000" s="171" t="str">
        <f ca="1">IF(C1000="","",[1]!s_pq_pctchange(D1000,TODAY()-$G$12,TODAY())/100)</f>
        <v/>
      </c>
      <c r="H1000" s="247" t="str">
        <f ca="1">IF(C1000="","",IF($H$11="收入",[1]!S_STM07_IS(D1000,9,$G$5,$H$13)/$E$5,[1]!S_STM07_IS(D1000,48,$G$5,$H$13)/$E$5))</f>
        <v/>
      </c>
      <c r="I1000" s="247" t="str">
        <f ca="1">IF(C1000="","",IF($I$11="毛利率",([1]!S_STM07_IS(D1000,9,$G$5,$H$13)-[1]!S_STM07_IS(D1000,10,$G$5,$H$13))/[1]!S_STM07_IS(D1000,9,$G$5,$H$13),[1]!S_STM07_IS(D1000,14,$G$5,$H$13)/$E$5))</f>
        <v/>
      </c>
      <c r="J1000" s="247" t="str">
        <f ca="1">IF(C1000="","",IF($J$11="营业利润率",[1]!S_STM07_IS(D1000,48,$G$5,$H$13)/[1]!S_STM07_IS(D1000,9,$G$5,$H$13),([1]!S_STM07_CS(D1000,87,$G$5,$H$13)+[1]!S_STM07_CS(D1000,88,$G$5,$H$13)+[1]!S_STM07_CS(D1000,89,$G$5,$H$13))/$E$5))</f>
        <v/>
      </c>
      <c r="K1000" s="247" t="str">
        <f ca="1">IF(C1000="","",IF($K$11="净利润率",[1]!S_STM07_IS(D1000,61,$G$5,$H$13)/[1]!S_STM07_IS(D1000,9,$G$5,$H$13),[1]!S_STM07_IS(D1000,55,$G$5,$H$13)/$E$5))</f>
        <v/>
      </c>
      <c r="L1000" s="247" t="str">
        <f ca="1">IF(C1000="","",IF($L$11="ROA",[1]!S_STM07_IS(D1000,61,$G$5,$H$13)/[1]!S_STM07_BS(D1000,74,$G$5,$H$13),1-[1]!S_STM07_IS(D1000,61,$G$5,$H$13)/[1]!S_STM07_IS(D1000,55,$G$5,$H$13)))</f>
        <v/>
      </c>
      <c r="M1000" s="247" t="str">
        <f ca="1">IF(C1000="","",IF($M$11="ROE",[1]!S_STM07_IS(D1000,61,$G$5,$H$13)/[1]!S_STM07_BS(D1000,141,$G$5,$H$13),([1]!S_STM07_BS(D1000,25,$G$5,$H$13)-[1]!S_STM07_BS(D1000,93,$G$5,$H$13))/$E$5))</f>
        <v/>
      </c>
      <c r="N1000" s="247" t="str">
        <f ca="1">IF(C1000="","",IF($N$11="EPS",[1]!S_STM07_IS(D1000,61,$G$5,$H$13)/IF([1]!S_SHARE_TOTAL(D1000,$G$5)=0,[1]!S_SHARE_TOTAL(D1000,[1]!s_ipo_listeddate(D1000)),[1]!S_SHARE_TOTAL(D1000,$G$5)),([1]!S_STM07_BS(D1000,75,$G$5,$H$13)+[1]!S_STM07_BS(D1000,88,$G$5,$H$13)+[1]!S_STM07_BS(D1000,94,$G$5,$H$13)+[1]!S_STM07_BS(D1000,95,$G$5,$H$13))/$E$5))</f>
        <v/>
      </c>
      <c r="O1000" s="247" t="str">
        <f ca="1">IF(C1000="","",IF($O$11="BPS",[1]!S_STM07_BS(D1000,141,$G$5,$H$13)/IF([1]!S_SHARE_TOTAL(D1000,$G$5)=0,[1]!S_SHARE_TOTAL(D1000,[1]!s_ipo_listeddate(D1000)),[1]!S_SHARE_TOTAL(D1000,$G$5)),[1]!S_STM07_CS(D1000,49,$G$5,$H$13)/$E$5))</f>
        <v/>
      </c>
      <c r="P1000" s="247" t="str">
        <f ca="1">IF(C1000="","",IF($P$11="CFPS",[1]!S_STM07_CS(D1000,84,$G$5,$H$13)/IF([1]!S_SHARE_TOTAL(D1000,$G$5)=0,[1]!S_SHARE_TOTAL(D1000,[1]!s_ipo_listeddate(D1000)),[1]!S_SHARE_TOTAL(D1000,$G$5)),[1]!S_STM07_CS(D1000,84,$G$5,$H$13)/$E$5))</f>
        <v/>
      </c>
      <c r="Q1000" s="248" t="str">
        <f ca="1">IF(C1000="","",F1000/([1]!S_STM07_IS(D1000,61,$G$5,$H$13)/IF([1]!S_SHARE_TOTAL(D1000,$G$5)=0,[1]!S_SHARE_TOTAL(D1000,[1]!s_ipo_listeddate(D1000)),[1]!S_SHARE_TOTAL(D1000,$G$5))))</f>
        <v/>
      </c>
      <c r="R1000" s="248" t="str">
        <f ca="1">IF(C1000="","",F1000/([1]!S_STM07_BS(D1000,141,$G$5,$H$13)/IF([1]!S_SHARE_TOTAL(D1000,$G$5)=0,[1]!S_SHARE_TOTAL(D1000,[1]!s_ipo_listeddate(D1000)),[1]!S_SHARE_TOTAL(D1000,$G$5))))</f>
        <v/>
      </c>
      <c r="S1000" s="247" t="str">
        <f ca="1">IF(C1000="","",[1]!S_SHARE_TOTAL(D1000,TODAY())/$E$5)</f>
        <v/>
      </c>
      <c r="T1000" s="247" t="str">
        <f t="shared" ca="1" si="103"/>
        <v/>
      </c>
      <c r="U1000" s="218" t="str">
        <f t="shared" ca="1" si="104"/>
        <v/>
      </c>
      <c r="V1000" s="342" t="str">
        <f t="shared" ca="1" si="105"/>
        <v/>
      </c>
      <c r="W1000" s="139"/>
      <c r="Y1000" s="1"/>
    </row>
    <row r="1001" spans="3:25" ht="12" customHeight="1">
      <c r="C1001" s="343" t="str">
        <f t="shared" ca="1" si="100"/>
        <v/>
      </c>
      <c r="D1001" s="124" t="str">
        <f t="shared" ca="1" si="101"/>
        <v/>
      </c>
      <c r="E1001" s="124" t="str">
        <f t="shared" ca="1" si="102"/>
        <v/>
      </c>
      <c r="F1001" s="172" t="str">
        <f ca="1">IF(C1001="","",[1]!S_DQ_CLOSE(D1001,TODAY(),1))</f>
        <v/>
      </c>
      <c r="G1001" s="173" t="str">
        <f ca="1">IF(C1001="","",[1]!s_pq_pctchange(D1001,TODAY()-$G$12,TODAY())/100)</f>
        <v/>
      </c>
      <c r="H1001" s="249" t="str">
        <f ca="1">IF(C1001="","",IF($H$11="收入",[1]!S_STM07_IS(D1001,9,$G$5,$H$13)/$E$5,[1]!S_STM07_IS(D1001,48,$G$5,$H$13)/$E$5))</f>
        <v/>
      </c>
      <c r="I1001" s="249" t="str">
        <f ca="1">IF(C1001="","",IF($I$11="毛利率",([1]!S_STM07_IS(D1001,9,$G$5,$H$13)-[1]!S_STM07_IS(D1001,10,$G$5,$H$13))/[1]!S_STM07_IS(D1001,9,$G$5,$H$13),[1]!S_STM07_IS(D1001,14,$G$5,$H$13)/$E$5))</f>
        <v/>
      </c>
      <c r="J1001" s="249" t="str">
        <f ca="1">IF(C1001="","",IF($J$11="营业利润率",[1]!S_STM07_IS(D1001,48,$G$5,$H$13)/[1]!S_STM07_IS(D1001,9,$G$5,$H$13),([1]!S_STM07_CS(D1001,87,$G$5,$H$13)+[1]!S_STM07_CS(D1001,88,$G$5,$H$13)+[1]!S_STM07_CS(D1001,89,$G$5,$H$13))/$E$5))</f>
        <v/>
      </c>
      <c r="K1001" s="249" t="str">
        <f ca="1">IF(C1001="","",IF($K$11="净利润率",[1]!S_STM07_IS(D1001,61,$G$5,$H$13)/[1]!S_STM07_IS(D1001,9,$G$5,$H$13),[1]!S_STM07_IS(D1001,55,$G$5,$H$13)/$E$5))</f>
        <v/>
      </c>
      <c r="L1001" s="249" t="str">
        <f ca="1">IF(C1001="","",IF($L$11="ROA",[1]!S_STM07_IS(D1001,61,$G$5,$H$13)/[1]!S_STM07_BS(D1001,74,$G$5,$H$13),1-[1]!S_STM07_IS(D1001,61,$G$5,$H$13)/[1]!S_STM07_IS(D1001,55,$G$5,$H$13)))</f>
        <v/>
      </c>
      <c r="M1001" s="249" t="str">
        <f ca="1">IF(C1001="","",IF($M$11="ROE",[1]!S_STM07_IS(D1001,61,$G$5,$H$13)/[1]!S_STM07_BS(D1001,141,$G$5,$H$13),([1]!S_STM07_BS(D1001,25,$G$5,$H$13)-[1]!S_STM07_BS(D1001,93,$G$5,$H$13))/$E$5))</f>
        <v/>
      </c>
      <c r="N1001" s="250" t="str">
        <f ca="1">IF(C1001="","",IF($N$11="EPS",[1]!S_STM07_IS(D1001,61,$G$5,$H$13)/IF([1]!S_SHARE_TOTAL(D1001,$G$5)=0,[1]!S_SHARE_TOTAL(D1001,[1]!s_ipo_listeddate(D1001)),[1]!S_SHARE_TOTAL(D1001,$G$5)),([1]!S_STM07_BS(D1001,75,$G$5,$H$13)+[1]!S_STM07_BS(D1001,88,$G$5,$H$13)+[1]!S_STM07_BS(D1001,94,$G$5,$H$13)+[1]!S_STM07_BS(D1001,95,$G$5,$H$13))/$E$5))</f>
        <v/>
      </c>
      <c r="O1001" s="250" t="str">
        <f ca="1">IF(C1001="","",IF($O$11="BPS",[1]!S_STM07_BS(D1001,141,$G$5,$H$13)/IF([1]!S_SHARE_TOTAL(D1001,$G$5)=0,[1]!S_SHARE_TOTAL(D1001,[1]!s_ipo_listeddate(D1001)),[1]!S_SHARE_TOTAL(D1001,$G$5)),[1]!S_STM07_CS(D1001,49,$G$5,$H$13)/$E$5))</f>
        <v/>
      </c>
      <c r="P1001" s="250" t="str">
        <f ca="1">IF(C1001="","",IF($P$11="CFPS",[1]!S_STM07_CS(D1001,84,$G$5,$H$13)/IF([1]!S_SHARE_TOTAL(D1001,$G$5)=0,[1]!S_SHARE_TOTAL(D1001,[1]!s_ipo_listeddate(D1001)),[1]!S_SHARE_TOTAL(D1001,$G$5)),[1]!S_STM07_CS(D1001,84,$G$5,$H$13)/$E$5))</f>
        <v/>
      </c>
      <c r="Q1001" s="198" t="str">
        <f ca="1">IF(C1001="","",F1001/([1]!S_STM07_IS(D1001,61,$G$5,$H$13)/IF([1]!S_SHARE_TOTAL(D1001,$G$5)=0,[1]!S_SHARE_TOTAL(D1001,[1]!s_ipo_listeddate(D1001)),[1]!S_SHARE_TOTAL(D1001,$G$5))))</f>
        <v/>
      </c>
      <c r="R1001" s="198" t="str">
        <f ca="1">IF(C1001="","",F1001/([1]!S_STM07_BS(D1001,141,$G$5,$H$13)/IF([1]!S_SHARE_TOTAL(D1001,$G$5)=0,[1]!S_SHARE_TOTAL(D1001,[1]!s_ipo_listeddate(D1001)),[1]!S_SHARE_TOTAL(D1001,$G$5))))</f>
        <v/>
      </c>
      <c r="S1001" s="249" t="str">
        <f ca="1">IF(C1001="","",[1]!S_SHARE_TOTAL(D1001,TODAY())/$E$5)</f>
        <v/>
      </c>
      <c r="T1001" s="249" t="str">
        <f t="shared" ca="1" si="103"/>
        <v/>
      </c>
      <c r="U1001" s="172" t="str">
        <f t="shared" ca="1" si="104"/>
        <v/>
      </c>
      <c r="V1001" s="343" t="str">
        <f t="shared" ca="1" si="105"/>
        <v/>
      </c>
      <c r="W1001" s="139"/>
      <c r="Y1001" s="1"/>
    </row>
    <row r="1002" spans="3:25" ht="12" customHeight="1">
      <c r="C1002" s="342" t="str">
        <f t="shared" ca="1" si="100"/>
        <v/>
      </c>
      <c r="D1002" s="153" t="str">
        <f t="shared" ca="1" si="101"/>
        <v/>
      </c>
      <c r="E1002" s="153" t="str">
        <f t="shared" ca="1" si="102"/>
        <v/>
      </c>
      <c r="F1002" s="170" t="str">
        <f ca="1">IF(C1002="","",[1]!S_DQ_CLOSE(D1002,TODAY(),1))</f>
        <v/>
      </c>
      <c r="G1002" s="171" t="str">
        <f ca="1">IF(C1002="","",[1]!s_pq_pctchange(D1002,TODAY()-$G$12,TODAY())/100)</f>
        <v/>
      </c>
      <c r="H1002" s="247" t="str">
        <f ca="1">IF(C1002="","",IF($H$11="收入",[1]!S_STM07_IS(D1002,9,$G$5,$H$13)/$E$5,[1]!S_STM07_IS(D1002,48,$G$5,$H$13)/$E$5))</f>
        <v/>
      </c>
      <c r="I1002" s="247" t="str">
        <f ca="1">IF(C1002="","",IF($I$11="毛利率",([1]!S_STM07_IS(D1002,9,$G$5,$H$13)-[1]!S_STM07_IS(D1002,10,$G$5,$H$13))/[1]!S_STM07_IS(D1002,9,$G$5,$H$13),[1]!S_STM07_IS(D1002,14,$G$5,$H$13)/$E$5))</f>
        <v/>
      </c>
      <c r="J1002" s="247" t="str">
        <f ca="1">IF(C1002="","",IF($J$11="营业利润率",[1]!S_STM07_IS(D1002,48,$G$5,$H$13)/[1]!S_STM07_IS(D1002,9,$G$5,$H$13),([1]!S_STM07_CS(D1002,87,$G$5,$H$13)+[1]!S_STM07_CS(D1002,88,$G$5,$H$13)+[1]!S_STM07_CS(D1002,89,$G$5,$H$13))/$E$5))</f>
        <v/>
      </c>
      <c r="K1002" s="247" t="str">
        <f ca="1">IF(C1002="","",IF($K$11="净利润率",[1]!S_STM07_IS(D1002,61,$G$5,$H$13)/[1]!S_STM07_IS(D1002,9,$G$5,$H$13),[1]!S_STM07_IS(D1002,55,$G$5,$H$13)/$E$5))</f>
        <v/>
      </c>
      <c r="L1002" s="247" t="str">
        <f ca="1">IF(C1002="","",IF($L$11="ROA",[1]!S_STM07_IS(D1002,61,$G$5,$H$13)/[1]!S_STM07_BS(D1002,74,$G$5,$H$13),1-[1]!S_STM07_IS(D1002,61,$G$5,$H$13)/[1]!S_STM07_IS(D1002,55,$G$5,$H$13)))</f>
        <v/>
      </c>
      <c r="M1002" s="247" t="str">
        <f ca="1">IF(C1002="","",IF($M$11="ROE",[1]!S_STM07_IS(D1002,61,$G$5,$H$13)/[1]!S_STM07_BS(D1002,141,$G$5,$H$13),([1]!S_STM07_BS(D1002,25,$G$5,$H$13)-[1]!S_STM07_BS(D1002,93,$G$5,$H$13))/$E$5))</f>
        <v/>
      </c>
      <c r="N1002" s="247" t="str">
        <f ca="1">IF(C1002="","",IF($N$11="EPS",[1]!S_STM07_IS(D1002,61,$G$5,$H$13)/IF([1]!S_SHARE_TOTAL(D1002,$G$5)=0,[1]!S_SHARE_TOTAL(D1002,[1]!s_ipo_listeddate(D1002)),[1]!S_SHARE_TOTAL(D1002,$G$5)),([1]!S_STM07_BS(D1002,75,$G$5,$H$13)+[1]!S_STM07_BS(D1002,88,$G$5,$H$13)+[1]!S_STM07_BS(D1002,94,$G$5,$H$13)+[1]!S_STM07_BS(D1002,95,$G$5,$H$13))/$E$5))</f>
        <v/>
      </c>
      <c r="O1002" s="247" t="str">
        <f ca="1">IF(C1002="","",IF($O$11="BPS",[1]!S_STM07_BS(D1002,141,$G$5,$H$13)/IF([1]!S_SHARE_TOTAL(D1002,$G$5)=0,[1]!S_SHARE_TOTAL(D1002,[1]!s_ipo_listeddate(D1002)),[1]!S_SHARE_TOTAL(D1002,$G$5)),[1]!S_STM07_CS(D1002,49,$G$5,$H$13)/$E$5))</f>
        <v/>
      </c>
      <c r="P1002" s="247" t="str">
        <f ca="1">IF(C1002="","",IF($P$11="CFPS",[1]!S_STM07_CS(D1002,84,$G$5,$H$13)/IF([1]!S_SHARE_TOTAL(D1002,$G$5)=0,[1]!S_SHARE_TOTAL(D1002,[1]!s_ipo_listeddate(D1002)),[1]!S_SHARE_TOTAL(D1002,$G$5)),[1]!S_STM07_CS(D1002,84,$G$5,$H$13)/$E$5))</f>
        <v/>
      </c>
      <c r="Q1002" s="248" t="str">
        <f ca="1">IF(C1002="","",F1002/([1]!S_STM07_IS(D1002,61,$G$5,$H$13)/IF([1]!S_SHARE_TOTAL(D1002,$G$5)=0,[1]!S_SHARE_TOTAL(D1002,[1]!s_ipo_listeddate(D1002)),[1]!S_SHARE_TOTAL(D1002,$G$5))))</f>
        <v/>
      </c>
      <c r="R1002" s="248" t="str">
        <f ca="1">IF(C1002="","",F1002/([1]!S_STM07_BS(D1002,141,$G$5,$H$13)/IF([1]!S_SHARE_TOTAL(D1002,$G$5)=0,[1]!S_SHARE_TOTAL(D1002,[1]!s_ipo_listeddate(D1002)),[1]!S_SHARE_TOTAL(D1002,$G$5))))</f>
        <v/>
      </c>
      <c r="S1002" s="247" t="str">
        <f ca="1">IF(C1002="","",[1]!S_SHARE_TOTAL(D1002,TODAY())/$E$5)</f>
        <v/>
      </c>
      <c r="T1002" s="247" t="str">
        <f t="shared" ca="1" si="103"/>
        <v/>
      </c>
      <c r="U1002" s="218" t="str">
        <f t="shared" ca="1" si="104"/>
        <v/>
      </c>
      <c r="V1002" s="342" t="str">
        <f t="shared" ca="1" si="105"/>
        <v/>
      </c>
      <c r="W1002" s="139"/>
      <c r="Y1002" s="1"/>
    </row>
    <row r="1003" spans="3:25" ht="12" customHeight="1">
      <c r="C1003" s="343" t="str">
        <f t="shared" ca="1" si="100"/>
        <v/>
      </c>
      <c r="D1003" s="124" t="str">
        <f t="shared" ca="1" si="101"/>
        <v/>
      </c>
      <c r="E1003" s="124" t="str">
        <f t="shared" ca="1" si="102"/>
        <v/>
      </c>
      <c r="F1003" s="172" t="str">
        <f ca="1">IF(C1003="","",[1]!S_DQ_CLOSE(D1003,TODAY(),1))</f>
        <v/>
      </c>
      <c r="G1003" s="173" t="str">
        <f ca="1">IF(C1003="","",[1]!s_pq_pctchange(D1003,TODAY()-$G$12,TODAY())/100)</f>
        <v/>
      </c>
      <c r="H1003" s="249" t="str">
        <f ca="1">IF(C1003="","",IF($H$11="收入",[1]!S_STM07_IS(D1003,9,$G$5,$H$13)/$E$5,[1]!S_STM07_IS(D1003,48,$G$5,$H$13)/$E$5))</f>
        <v/>
      </c>
      <c r="I1003" s="249" t="str">
        <f ca="1">IF(C1003="","",IF($I$11="毛利率",([1]!S_STM07_IS(D1003,9,$G$5,$H$13)-[1]!S_STM07_IS(D1003,10,$G$5,$H$13))/[1]!S_STM07_IS(D1003,9,$G$5,$H$13),[1]!S_STM07_IS(D1003,14,$G$5,$H$13)/$E$5))</f>
        <v/>
      </c>
      <c r="J1003" s="249" t="str">
        <f ca="1">IF(C1003="","",IF($J$11="营业利润率",[1]!S_STM07_IS(D1003,48,$G$5,$H$13)/[1]!S_STM07_IS(D1003,9,$G$5,$H$13),([1]!S_STM07_CS(D1003,87,$G$5,$H$13)+[1]!S_STM07_CS(D1003,88,$G$5,$H$13)+[1]!S_STM07_CS(D1003,89,$G$5,$H$13))/$E$5))</f>
        <v/>
      </c>
      <c r="K1003" s="249" t="str">
        <f ca="1">IF(C1003="","",IF($K$11="净利润率",[1]!S_STM07_IS(D1003,61,$G$5,$H$13)/[1]!S_STM07_IS(D1003,9,$G$5,$H$13),[1]!S_STM07_IS(D1003,55,$G$5,$H$13)/$E$5))</f>
        <v/>
      </c>
      <c r="L1003" s="249" t="str">
        <f ca="1">IF(C1003="","",IF($L$11="ROA",[1]!S_STM07_IS(D1003,61,$G$5,$H$13)/[1]!S_STM07_BS(D1003,74,$G$5,$H$13),1-[1]!S_STM07_IS(D1003,61,$G$5,$H$13)/[1]!S_STM07_IS(D1003,55,$G$5,$H$13)))</f>
        <v/>
      </c>
      <c r="M1003" s="249" t="str">
        <f ca="1">IF(C1003="","",IF($M$11="ROE",[1]!S_STM07_IS(D1003,61,$G$5,$H$13)/[1]!S_STM07_BS(D1003,141,$G$5,$H$13),([1]!S_STM07_BS(D1003,25,$G$5,$H$13)-[1]!S_STM07_BS(D1003,93,$G$5,$H$13))/$E$5))</f>
        <v/>
      </c>
      <c r="N1003" s="250" t="str">
        <f ca="1">IF(C1003="","",IF($N$11="EPS",[1]!S_STM07_IS(D1003,61,$G$5,$H$13)/IF([1]!S_SHARE_TOTAL(D1003,$G$5)=0,[1]!S_SHARE_TOTAL(D1003,[1]!s_ipo_listeddate(D1003)),[1]!S_SHARE_TOTAL(D1003,$G$5)),([1]!S_STM07_BS(D1003,75,$G$5,$H$13)+[1]!S_STM07_BS(D1003,88,$G$5,$H$13)+[1]!S_STM07_BS(D1003,94,$G$5,$H$13)+[1]!S_STM07_BS(D1003,95,$G$5,$H$13))/$E$5))</f>
        <v/>
      </c>
      <c r="O1003" s="250" t="str">
        <f ca="1">IF(C1003="","",IF($O$11="BPS",[1]!S_STM07_BS(D1003,141,$G$5,$H$13)/IF([1]!S_SHARE_TOTAL(D1003,$G$5)=0,[1]!S_SHARE_TOTAL(D1003,[1]!s_ipo_listeddate(D1003)),[1]!S_SHARE_TOTAL(D1003,$G$5)),[1]!S_STM07_CS(D1003,49,$G$5,$H$13)/$E$5))</f>
        <v/>
      </c>
      <c r="P1003" s="250" t="str">
        <f ca="1">IF(C1003="","",IF($P$11="CFPS",[1]!S_STM07_CS(D1003,84,$G$5,$H$13)/IF([1]!S_SHARE_TOTAL(D1003,$G$5)=0,[1]!S_SHARE_TOTAL(D1003,[1]!s_ipo_listeddate(D1003)),[1]!S_SHARE_TOTAL(D1003,$G$5)),[1]!S_STM07_CS(D1003,84,$G$5,$H$13)/$E$5))</f>
        <v/>
      </c>
      <c r="Q1003" s="198" t="str">
        <f ca="1">IF(C1003="","",F1003/([1]!S_STM07_IS(D1003,61,$G$5,$H$13)/IF([1]!S_SHARE_TOTAL(D1003,$G$5)=0,[1]!S_SHARE_TOTAL(D1003,[1]!s_ipo_listeddate(D1003)),[1]!S_SHARE_TOTAL(D1003,$G$5))))</f>
        <v/>
      </c>
      <c r="R1003" s="198" t="str">
        <f ca="1">IF(C1003="","",F1003/([1]!S_STM07_BS(D1003,141,$G$5,$H$13)/IF([1]!S_SHARE_TOTAL(D1003,$G$5)=0,[1]!S_SHARE_TOTAL(D1003,[1]!s_ipo_listeddate(D1003)),[1]!S_SHARE_TOTAL(D1003,$G$5))))</f>
        <v/>
      </c>
      <c r="S1003" s="249" t="str">
        <f ca="1">IF(C1003="","",[1]!S_SHARE_TOTAL(D1003,TODAY())/$E$5)</f>
        <v/>
      </c>
      <c r="T1003" s="249" t="str">
        <f t="shared" ca="1" si="103"/>
        <v/>
      </c>
      <c r="U1003" s="172" t="str">
        <f t="shared" ca="1" si="104"/>
        <v/>
      </c>
      <c r="V1003" s="343" t="str">
        <f t="shared" ca="1" si="105"/>
        <v/>
      </c>
      <c r="W1003" s="139"/>
      <c r="Y1003" s="1"/>
    </row>
    <row r="1004" spans="3:25" ht="12" customHeight="1">
      <c r="C1004" s="342" t="str">
        <f t="shared" ca="1" si="100"/>
        <v/>
      </c>
      <c r="D1004" s="153" t="str">
        <f t="shared" ca="1" si="101"/>
        <v/>
      </c>
      <c r="E1004" s="153" t="str">
        <f t="shared" ca="1" si="102"/>
        <v/>
      </c>
      <c r="F1004" s="170" t="str">
        <f ca="1">IF(C1004="","",[1]!S_DQ_CLOSE(D1004,TODAY(),1))</f>
        <v/>
      </c>
      <c r="G1004" s="171" t="str">
        <f ca="1">IF(C1004="","",[1]!s_pq_pctchange(D1004,TODAY()-$G$12,TODAY())/100)</f>
        <v/>
      </c>
      <c r="H1004" s="247" t="str">
        <f ca="1">IF(C1004="","",IF($H$11="收入",[1]!S_STM07_IS(D1004,9,$G$5,$H$13)/$E$5,[1]!S_STM07_IS(D1004,48,$G$5,$H$13)/$E$5))</f>
        <v/>
      </c>
      <c r="I1004" s="247" t="str">
        <f ca="1">IF(C1004="","",IF($I$11="毛利率",([1]!S_STM07_IS(D1004,9,$G$5,$H$13)-[1]!S_STM07_IS(D1004,10,$G$5,$H$13))/[1]!S_STM07_IS(D1004,9,$G$5,$H$13),[1]!S_STM07_IS(D1004,14,$G$5,$H$13)/$E$5))</f>
        <v/>
      </c>
      <c r="J1004" s="247" t="str">
        <f ca="1">IF(C1004="","",IF($J$11="营业利润率",[1]!S_STM07_IS(D1004,48,$G$5,$H$13)/[1]!S_STM07_IS(D1004,9,$G$5,$H$13),([1]!S_STM07_CS(D1004,87,$G$5,$H$13)+[1]!S_STM07_CS(D1004,88,$G$5,$H$13)+[1]!S_STM07_CS(D1004,89,$G$5,$H$13))/$E$5))</f>
        <v/>
      </c>
      <c r="K1004" s="247" t="str">
        <f ca="1">IF(C1004="","",IF($K$11="净利润率",[1]!S_STM07_IS(D1004,61,$G$5,$H$13)/[1]!S_STM07_IS(D1004,9,$G$5,$H$13),[1]!S_STM07_IS(D1004,55,$G$5,$H$13)/$E$5))</f>
        <v/>
      </c>
      <c r="L1004" s="247" t="str">
        <f ca="1">IF(C1004="","",IF($L$11="ROA",[1]!S_STM07_IS(D1004,61,$G$5,$H$13)/[1]!S_STM07_BS(D1004,74,$G$5,$H$13),1-[1]!S_STM07_IS(D1004,61,$G$5,$H$13)/[1]!S_STM07_IS(D1004,55,$G$5,$H$13)))</f>
        <v/>
      </c>
      <c r="M1004" s="247" t="str">
        <f ca="1">IF(C1004="","",IF($M$11="ROE",[1]!S_STM07_IS(D1004,61,$G$5,$H$13)/[1]!S_STM07_BS(D1004,141,$G$5,$H$13),([1]!S_STM07_BS(D1004,25,$G$5,$H$13)-[1]!S_STM07_BS(D1004,93,$G$5,$H$13))/$E$5))</f>
        <v/>
      </c>
      <c r="N1004" s="247" t="str">
        <f ca="1">IF(C1004="","",IF($N$11="EPS",[1]!S_STM07_IS(D1004,61,$G$5,$H$13)/IF([1]!S_SHARE_TOTAL(D1004,$G$5)=0,[1]!S_SHARE_TOTAL(D1004,[1]!s_ipo_listeddate(D1004)),[1]!S_SHARE_TOTAL(D1004,$G$5)),([1]!S_STM07_BS(D1004,75,$G$5,$H$13)+[1]!S_STM07_BS(D1004,88,$G$5,$H$13)+[1]!S_STM07_BS(D1004,94,$G$5,$H$13)+[1]!S_STM07_BS(D1004,95,$G$5,$H$13))/$E$5))</f>
        <v/>
      </c>
      <c r="O1004" s="247" t="str">
        <f ca="1">IF(C1004="","",IF($O$11="BPS",[1]!S_STM07_BS(D1004,141,$G$5,$H$13)/IF([1]!S_SHARE_TOTAL(D1004,$G$5)=0,[1]!S_SHARE_TOTAL(D1004,[1]!s_ipo_listeddate(D1004)),[1]!S_SHARE_TOTAL(D1004,$G$5)),[1]!S_STM07_CS(D1004,49,$G$5,$H$13)/$E$5))</f>
        <v/>
      </c>
      <c r="P1004" s="247" t="str">
        <f ca="1">IF(C1004="","",IF($P$11="CFPS",[1]!S_STM07_CS(D1004,84,$G$5,$H$13)/IF([1]!S_SHARE_TOTAL(D1004,$G$5)=0,[1]!S_SHARE_TOTAL(D1004,[1]!s_ipo_listeddate(D1004)),[1]!S_SHARE_TOTAL(D1004,$G$5)),[1]!S_STM07_CS(D1004,84,$G$5,$H$13)/$E$5))</f>
        <v/>
      </c>
      <c r="Q1004" s="248" t="str">
        <f ca="1">IF(C1004="","",F1004/([1]!S_STM07_IS(D1004,61,$G$5,$H$13)/IF([1]!S_SHARE_TOTAL(D1004,$G$5)=0,[1]!S_SHARE_TOTAL(D1004,[1]!s_ipo_listeddate(D1004)),[1]!S_SHARE_TOTAL(D1004,$G$5))))</f>
        <v/>
      </c>
      <c r="R1004" s="248" t="str">
        <f ca="1">IF(C1004="","",F1004/([1]!S_STM07_BS(D1004,141,$G$5,$H$13)/IF([1]!S_SHARE_TOTAL(D1004,$G$5)=0,[1]!S_SHARE_TOTAL(D1004,[1]!s_ipo_listeddate(D1004)),[1]!S_SHARE_TOTAL(D1004,$G$5))))</f>
        <v/>
      </c>
      <c r="S1004" s="247" t="str">
        <f ca="1">IF(C1004="","",[1]!S_SHARE_TOTAL(D1004,TODAY())/$E$5)</f>
        <v/>
      </c>
      <c r="T1004" s="247" t="str">
        <f t="shared" ca="1" si="103"/>
        <v/>
      </c>
      <c r="U1004" s="218" t="str">
        <f t="shared" ca="1" si="104"/>
        <v/>
      </c>
      <c r="V1004" s="342" t="str">
        <f t="shared" ca="1" si="105"/>
        <v/>
      </c>
      <c r="W1004" s="139"/>
      <c r="Y1004" s="1"/>
    </row>
    <row r="1005" spans="3:25" ht="12" customHeight="1">
      <c r="C1005" s="343" t="str">
        <f t="shared" ca="1" si="100"/>
        <v/>
      </c>
      <c r="D1005" s="124" t="str">
        <f t="shared" ca="1" si="101"/>
        <v/>
      </c>
      <c r="E1005" s="124" t="str">
        <f t="shared" ca="1" si="102"/>
        <v/>
      </c>
      <c r="F1005" s="172" t="str">
        <f ca="1">IF(C1005="","",[1]!S_DQ_CLOSE(D1005,TODAY(),1))</f>
        <v/>
      </c>
      <c r="G1005" s="173" t="str">
        <f ca="1">IF(C1005="","",[1]!s_pq_pctchange(D1005,TODAY()-$G$12,TODAY())/100)</f>
        <v/>
      </c>
      <c r="H1005" s="249" t="str">
        <f ca="1">IF(C1005="","",IF($H$11="收入",[1]!S_STM07_IS(D1005,9,$G$5,$H$13)/$E$5,[1]!S_STM07_IS(D1005,48,$G$5,$H$13)/$E$5))</f>
        <v/>
      </c>
      <c r="I1005" s="249" t="str">
        <f ca="1">IF(C1005="","",IF($I$11="毛利率",([1]!S_STM07_IS(D1005,9,$G$5,$H$13)-[1]!S_STM07_IS(D1005,10,$G$5,$H$13))/[1]!S_STM07_IS(D1005,9,$G$5,$H$13),[1]!S_STM07_IS(D1005,14,$G$5,$H$13)/$E$5))</f>
        <v/>
      </c>
      <c r="J1005" s="249" t="str">
        <f ca="1">IF(C1005="","",IF($J$11="营业利润率",[1]!S_STM07_IS(D1005,48,$G$5,$H$13)/[1]!S_STM07_IS(D1005,9,$G$5,$H$13),([1]!S_STM07_CS(D1005,87,$G$5,$H$13)+[1]!S_STM07_CS(D1005,88,$G$5,$H$13)+[1]!S_STM07_CS(D1005,89,$G$5,$H$13))/$E$5))</f>
        <v/>
      </c>
      <c r="K1005" s="249" t="str">
        <f ca="1">IF(C1005="","",IF($K$11="净利润率",[1]!S_STM07_IS(D1005,61,$G$5,$H$13)/[1]!S_STM07_IS(D1005,9,$G$5,$H$13),[1]!S_STM07_IS(D1005,55,$G$5,$H$13)/$E$5))</f>
        <v/>
      </c>
      <c r="L1005" s="249" t="str">
        <f ca="1">IF(C1005="","",IF($L$11="ROA",[1]!S_STM07_IS(D1005,61,$G$5,$H$13)/[1]!S_STM07_BS(D1005,74,$G$5,$H$13),1-[1]!S_STM07_IS(D1005,61,$G$5,$H$13)/[1]!S_STM07_IS(D1005,55,$G$5,$H$13)))</f>
        <v/>
      </c>
      <c r="M1005" s="249" t="str">
        <f ca="1">IF(C1005="","",IF($M$11="ROE",[1]!S_STM07_IS(D1005,61,$G$5,$H$13)/[1]!S_STM07_BS(D1005,141,$G$5,$H$13),([1]!S_STM07_BS(D1005,25,$G$5,$H$13)-[1]!S_STM07_BS(D1005,93,$G$5,$H$13))/$E$5))</f>
        <v/>
      </c>
      <c r="N1005" s="250" t="str">
        <f ca="1">IF(C1005="","",IF($N$11="EPS",[1]!S_STM07_IS(D1005,61,$G$5,$H$13)/IF([1]!S_SHARE_TOTAL(D1005,$G$5)=0,[1]!S_SHARE_TOTAL(D1005,[1]!s_ipo_listeddate(D1005)),[1]!S_SHARE_TOTAL(D1005,$G$5)),([1]!S_STM07_BS(D1005,75,$G$5,$H$13)+[1]!S_STM07_BS(D1005,88,$G$5,$H$13)+[1]!S_STM07_BS(D1005,94,$G$5,$H$13)+[1]!S_STM07_BS(D1005,95,$G$5,$H$13))/$E$5))</f>
        <v/>
      </c>
      <c r="O1005" s="250" t="str">
        <f ca="1">IF(C1005="","",IF($O$11="BPS",[1]!S_STM07_BS(D1005,141,$G$5,$H$13)/IF([1]!S_SHARE_TOTAL(D1005,$G$5)=0,[1]!S_SHARE_TOTAL(D1005,[1]!s_ipo_listeddate(D1005)),[1]!S_SHARE_TOTAL(D1005,$G$5)),[1]!S_STM07_CS(D1005,49,$G$5,$H$13)/$E$5))</f>
        <v/>
      </c>
      <c r="P1005" s="250" t="str">
        <f ca="1">IF(C1005="","",IF($P$11="CFPS",[1]!S_STM07_CS(D1005,84,$G$5,$H$13)/IF([1]!S_SHARE_TOTAL(D1005,$G$5)=0,[1]!S_SHARE_TOTAL(D1005,[1]!s_ipo_listeddate(D1005)),[1]!S_SHARE_TOTAL(D1005,$G$5)),[1]!S_STM07_CS(D1005,84,$G$5,$H$13)/$E$5))</f>
        <v/>
      </c>
      <c r="Q1005" s="198" t="str">
        <f ca="1">IF(C1005="","",F1005/([1]!S_STM07_IS(D1005,61,$G$5,$H$13)/IF([1]!S_SHARE_TOTAL(D1005,$G$5)=0,[1]!S_SHARE_TOTAL(D1005,[1]!s_ipo_listeddate(D1005)),[1]!S_SHARE_TOTAL(D1005,$G$5))))</f>
        <v/>
      </c>
      <c r="R1005" s="198" t="str">
        <f ca="1">IF(C1005="","",F1005/([1]!S_STM07_BS(D1005,141,$G$5,$H$13)/IF([1]!S_SHARE_TOTAL(D1005,$G$5)=0,[1]!S_SHARE_TOTAL(D1005,[1]!s_ipo_listeddate(D1005)),[1]!S_SHARE_TOTAL(D1005,$G$5))))</f>
        <v/>
      </c>
      <c r="S1005" s="249" t="str">
        <f ca="1">IF(C1005="","",[1]!S_SHARE_TOTAL(D1005,TODAY())/$E$5)</f>
        <v/>
      </c>
      <c r="T1005" s="249" t="str">
        <f t="shared" ca="1" si="103"/>
        <v/>
      </c>
      <c r="U1005" s="172" t="str">
        <f t="shared" ca="1" si="104"/>
        <v/>
      </c>
      <c r="V1005" s="343" t="str">
        <f t="shared" ca="1" si="105"/>
        <v/>
      </c>
      <c r="W1005" s="139"/>
      <c r="Y1005" s="1"/>
    </row>
    <row r="1006" spans="3:25" ht="12" customHeight="1">
      <c r="C1006" s="342" t="str">
        <f t="shared" ca="1" si="100"/>
        <v/>
      </c>
      <c r="D1006" s="153" t="str">
        <f t="shared" ca="1" si="101"/>
        <v/>
      </c>
      <c r="E1006" s="153" t="str">
        <f t="shared" ca="1" si="102"/>
        <v/>
      </c>
      <c r="F1006" s="170" t="str">
        <f ca="1">IF(C1006="","",[1]!S_DQ_CLOSE(D1006,TODAY(),1))</f>
        <v/>
      </c>
      <c r="G1006" s="171" t="str">
        <f ca="1">IF(C1006="","",[1]!s_pq_pctchange(D1006,TODAY()-$G$12,TODAY())/100)</f>
        <v/>
      </c>
      <c r="H1006" s="247" t="str">
        <f ca="1">IF(C1006="","",IF($H$11="收入",[1]!S_STM07_IS(D1006,9,$G$5,$H$13)/$E$5,[1]!S_STM07_IS(D1006,48,$G$5,$H$13)/$E$5))</f>
        <v/>
      </c>
      <c r="I1006" s="247" t="str">
        <f ca="1">IF(C1006="","",IF($I$11="毛利率",([1]!S_STM07_IS(D1006,9,$G$5,$H$13)-[1]!S_STM07_IS(D1006,10,$G$5,$H$13))/[1]!S_STM07_IS(D1006,9,$G$5,$H$13),[1]!S_STM07_IS(D1006,14,$G$5,$H$13)/$E$5))</f>
        <v/>
      </c>
      <c r="J1006" s="247" t="str">
        <f ca="1">IF(C1006="","",IF($J$11="营业利润率",[1]!S_STM07_IS(D1006,48,$G$5,$H$13)/[1]!S_STM07_IS(D1006,9,$G$5,$H$13),([1]!S_STM07_CS(D1006,87,$G$5,$H$13)+[1]!S_STM07_CS(D1006,88,$G$5,$H$13)+[1]!S_STM07_CS(D1006,89,$G$5,$H$13))/$E$5))</f>
        <v/>
      </c>
      <c r="K1006" s="247" t="str">
        <f ca="1">IF(C1006="","",IF($K$11="净利润率",[1]!S_STM07_IS(D1006,61,$G$5,$H$13)/[1]!S_STM07_IS(D1006,9,$G$5,$H$13),[1]!S_STM07_IS(D1006,55,$G$5,$H$13)/$E$5))</f>
        <v/>
      </c>
      <c r="L1006" s="247" t="str">
        <f ca="1">IF(C1006="","",IF($L$11="ROA",[1]!S_STM07_IS(D1006,61,$G$5,$H$13)/[1]!S_STM07_BS(D1006,74,$G$5,$H$13),1-[1]!S_STM07_IS(D1006,61,$G$5,$H$13)/[1]!S_STM07_IS(D1006,55,$G$5,$H$13)))</f>
        <v/>
      </c>
      <c r="M1006" s="247" t="str">
        <f ca="1">IF(C1006="","",IF($M$11="ROE",[1]!S_STM07_IS(D1006,61,$G$5,$H$13)/[1]!S_STM07_BS(D1006,141,$G$5,$H$13),([1]!S_STM07_BS(D1006,25,$G$5,$H$13)-[1]!S_STM07_BS(D1006,93,$G$5,$H$13))/$E$5))</f>
        <v/>
      </c>
      <c r="N1006" s="247" t="str">
        <f ca="1">IF(C1006="","",IF($N$11="EPS",[1]!S_STM07_IS(D1006,61,$G$5,$H$13)/IF([1]!S_SHARE_TOTAL(D1006,$G$5)=0,[1]!S_SHARE_TOTAL(D1006,[1]!s_ipo_listeddate(D1006)),[1]!S_SHARE_TOTAL(D1006,$G$5)),([1]!S_STM07_BS(D1006,75,$G$5,$H$13)+[1]!S_STM07_BS(D1006,88,$G$5,$H$13)+[1]!S_STM07_BS(D1006,94,$G$5,$H$13)+[1]!S_STM07_BS(D1006,95,$G$5,$H$13))/$E$5))</f>
        <v/>
      </c>
      <c r="O1006" s="247" t="str">
        <f ca="1">IF(C1006="","",IF($O$11="BPS",[1]!S_STM07_BS(D1006,141,$G$5,$H$13)/IF([1]!S_SHARE_TOTAL(D1006,$G$5)=0,[1]!S_SHARE_TOTAL(D1006,[1]!s_ipo_listeddate(D1006)),[1]!S_SHARE_TOTAL(D1006,$G$5)),[1]!S_STM07_CS(D1006,49,$G$5,$H$13)/$E$5))</f>
        <v/>
      </c>
      <c r="P1006" s="247" t="str">
        <f ca="1">IF(C1006="","",IF($P$11="CFPS",[1]!S_STM07_CS(D1006,84,$G$5,$H$13)/IF([1]!S_SHARE_TOTAL(D1006,$G$5)=0,[1]!S_SHARE_TOTAL(D1006,[1]!s_ipo_listeddate(D1006)),[1]!S_SHARE_TOTAL(D1006,$G$5)),[1]!S_STM07_CS(D1006,84,$G$5,$H$13)/$E$5))</f>
        <v/>
      </c>
      <c r="Q1006" s="248" t="str">
        <f ca="1">IF(C1006="","",F1006/([1]!S_STM07_IS(D1006,61,$G$5,$H$13)/IF([1]!S_SHARE_TOTAL(D1006,$G$5)=0,[1]!S_SHARE_TOTAL(D1006,[1]!s_ipo_listeddate(D1006)),[1]!S_SHARE_TOTAL(D1006,$G$5))))</f>
        <v/>
      </c>
      <c r="R1006" s="248" t="str">
        <f ca="1">IF(C1006="","",F1006/([1]!S_STM07_BS(D1006,141,$G$5,$H$13)/IF([1]!S_SHARE_TOTAL(D1006,$G$5)=0,[1]!S_SHARE_TOTAL(D1006,[1]!s_ipo_listeddate(D1006)),[1]!S_SHARE_TOTAL(D1006,$G$5))))</f>
        <v/>
      </c>
      <c r="S1006" s="247" t="str">
        <f ca="1">IF(C1006="","",[1]!S_SHARE_TOTAL(D1006,TODAY())/$E$5)</f>
        <v/>
      </c>
      <c r="T1006" s="247" t="str">
        <f t="shared" ca="1" si="103"/>
        <v/>
      </c>
      <c r="U1006" s="218" t="str">
        <f t="shared" ca="1" si="104"/>
        <v/>
      </c>
      <c r="V1006" s="342" t="str">
        <f t="shared" ca="1" si="105"/>
        <v/>
      </c>
      <c r="W1006" s="139"/>
      <c r="Y1006" s="1"/>
    </row>
    <row r="1007" spans="3:25" ht="12" customHeight="1">
      <c r="C1007" s="343" t="str">
        <f t="shared" ca="1" si="100"/>
        <v/>
      </c>
      <c r="D1007" s="124" t="str">
        <f t="shared" ca="1" si="101"/>
        <v/>
      </c>
      <c r="E1007" s="124" t="str">
        <f t="shared" ca="1" si="102"/>
        <v/>
      </c>
      <c r="F1007" s="172" t="str">
        <f ca="1">IF(C1007="","",[1]!S_DQ_CLOSE(D1007,TODAY(),1))</f>
        <v/>
      </c>
      <c r="G1007" s="173" t="str">
        <f ca="1">IF(C1007="","",[1]!s_pq_pctchange(D1007,TODAY()-$G$12,TODAY())/100)</f>
        <v/>
      </c>
      <c r="H1007" s="249" t="str">
        <f ca="1">IF(C1007="","",IF($H$11="收入",[1]!S_STM07_IS(D1007,9,$G$5,$H$13)/$E$5,[1]!S_STM07_IS(D1007,48,$G$5,$H$13)/$E$5))</f>
        <v/>
      </c>
      <c r="I1007" s="249" t="str">
        <f ca="1">IF(C1007="","",IF($I$11="毛利率",([1]!S_STM07_IS(D1007,9,$G$5,$H$13)-[1]!S_STM07_IS(D1007,10,$G$5,$H$13))/[1]!S_STM07_IS(D1007,9,$G$5,$H$13),[1]!S_STM07_IS(D1007,14,$G$5,$H$13)/$E$5))</f>
        <v/>
      </c>
      <c r="J1007" s="249" t="str">
        <f ca="1">IF(C1007="","",IF($J$11="营业利润率",[1]!S_STM07_IS(D1007,48,$G$5,$H$13)/[1]!S_STM07_IS(D1007,9,$G$5,$H$13),([1]!S_STM07_CS(D1007,87,$G$5,$H$13)+[1]!S_STM07_CS(D1007,88,$G$5,$H$13)+[1]!S_STM07_CS(D1007,89,$G$5,$H$13))/$E$5))</f>
        <v/>
      </c>
      <c r="K1007" s="249" t="str">
        <f ca="1">IF(C1007="","",IF($K$11="净利润率",[1]!S_STM07_IS(D1007,61,$G$5,$H$13)/[1]!S_STM07_IS(D1007,9,$G$5,$H$13),[1]!S_STM07_IS(D1007,55,$G$5,$H$13)/$E$5))</f>
        <v/>
      </c>
      <c r="L1007" s="249" t="str">
        <f ca="1">IF(C1007="","",IF($L$11="ROA",[1]!S_STM07_IS(D1007,61,$G$5,$H$13)/[1]!S_STM07_BS(D1007,74,$G$5,$H$13),1-[1]!S_STM07_IS(D1007,61,$G$5,$H$13)/[1]!S_STM07_IS(D1007,55,$G$5,$H$13)))</f>
        <v/>
      </c>
      <c r="M1007" s="249" t="str">
        <f ca="1">IF(C1007="","",IF($M$11="ROE",[1]!S_STM07_IS(D1007,61,$G$5,$H$13)/[1]!S_STM07_BS(D1007,141,$G$5,$H$13),([1]!S_STM07_BS(D1007,25,$G$5,$H$13)-[1]!S_STM07_BS(D1007,93,$G$5,$H$13))/$E$5))</f>
        <v/>
      </c>
      <c r="N1007" s="250" t="str">
        <f ca="1">IF(C1007="","",IF($N$11="EPS",[1]!S_STM07_IS(D1007,61,$G$5,$H$13)/IF([1]!S_SHARE_TOTAL(D1007,$G$5)=0,[1]!S_SHARE_TOTAL(D1007,[1]!s_ipo_listeddate(D1007)),[1]!S_SHARE_TOTAL(D1007,$G$5)),([1]!S_STM07_BS(D1007,75,$G$5,$H$13)+[1]!S_STM07_BS(D1007,88,$G$5,$H$13)+[1]!S_STM07_BS(D1007,94,$G$5,$H$13)+[1]!S_STM07_BS(D1007,95,$G$5,$H$13))/$E$5))</f>
        <v/>
      </c>
      <c r="O1007" s="250" t="str">
        <f ca="1">IF(C1007="","",IF($O$11="BPS",[1]!S_STM07_BS(D1007,141,$G$5,$H$13)/IF([1]!S_SHARE_TOTAL(D1007,$G$5)=0,[1]!S_SHARE_TOTAL(D1007,[1]!s_ipo_listeddate(D1007)),[1]!S_SHARE_TOTAL(D1007,$G$5)),[1]!S_STM07_CS(D1007,49,$G$5,$H$13)/$E$5))</f>
        <v/>
      </c>
      <c r="P1007" s="250" t="str">
        <f ca="1">IF(C1007="","",IF($P$11="CFPS",[1]!S_STM07_CS(D1007,84,$G$5,$H$13)/IF([1]!S_SHARE_TOTAL(D1007,$G$5)=0,[1]!S_SHARE_TOTAL(D1007,[1]!s_ipo_listeddate(D1007)),[1]!S_SHARE_TOTAL(D1007,$G$5)),[1]!S_STM07_CS(D1007,84,$G$5,$H$13)/$E$5))</f>
        <v/>
      </c>
      <c r="Q1007" s="198" t="str">
        <f ca="1">IF(C1007="","",F1007/([1]!S_STM07_IS(D1007,61,$G$5,$H$13)/IF([1]!S_SHARE_TOTAL(D1007,$G$5)=0,[1]!S_SHARE_TOTAL(D1007,[1]!s_ipo_listeddate(D1007)),[1]!S_SHARE_TOTAL(D1007,$G$5))))</f>
        <v/>
      </c>
      <c r="R1007" s="198" t="str">
        <f ca="1">IF(C1007="","",F1007/([1]!S_STM07_BS(D1007,141,$G$5,$H$13)/IF([1]!S_SHARE_TOTAL(D1007,$G$5)=0,[1]!S_SHARE_TOTAL(D1007,[1]!s_ipo_listeddate(D1007)),[1]!S_SHARE_TOTAL(D1007,$G$5))))</f>
        <v/>
      </c>
      <c r="S1007" s="249" t="str">
        <f ca="1">IF(C1007="","",[1]!S_SHARE_TOTAL(D1007,TODAY())/$E$5)</f>
        <v/>
      </c>
      <c r="T1007" s="249" t="str">
        <f t="shared" ca="1" si="103"/>
        <v/>
      </c>
      <c r="U1007" s="172" t="str">
        <f t="shared" ca="1" si="104"/>
        <v/>
      </c>
      <c r="V1007" s="343" t="str">
        <f t="shared" ca="1" si="105"/>
        <v/>
      </c>
      <c r="W1007" s="139"/>
      <c r="Y1007" s="1"/>
    </row>
    <row r="1008" spans="3:25" ht="12" customHeight="1">
      <c r="C1008" s="342" t="str">
        <f t="shared" ca="1" si="100"/>
        <v/>
      </c>
      <c r="D1008" s="153" t="str">
        <f t="shared" ca="1" si="101"/>
        <v/>
      </c>
      <c r="E1008" s="153" t="str">
        <f t="shared" ca="1" si="102"/>
        <v/>
      </c>
      <c r="F1008" s="170" t="str">
        <f ca="1">IF(C1008="","",[1]!S_DQ_CLOSE(D1008,TODAY(),1))</f>
        <v/>
      </c>
      <c r="G1008" s="171" t="str">
        <f ca="1">IF(C1008="","",[1]!s_pq_pctchange(D1008,TODAY()-$G$12,TODAY())/100)</f>
        <v/>
      </c>
      <c r="H1008" s="247" t="str">
        <f ca="1">IF(C1008="","",IF($H$11="收入",[1]!S_STM07_IS(D1008,9,$G$5,$H$13)/$E$5,[1]!S_STM07_IS(D1008,48,$G$5,$H$13)/$E$5))</f>
        <v/>
      </c>
      <c r="I1008" s="247" t="str">
        <f ca="1">IF(C1008="","",IF($I$11="毛利率",([1]!S_STM07_IS(D1008,9,$G$5,$H$13)-[1]!S_STM07_IS(D1008,10,$G$5,$H$13))/[1]!S_STM07_IS(D1008,9,$G$5,$H$13),[1]!S_STM07_IS(D1008,14,$G$5,$H$13)/$E$5))</f>
        <v/>
      </c>
      <c r="J1008" s="247" t="str">
        <f ca="1">IF(C1008="","",IF($J$11="营业利润率",[1]!S_STM07_IS(D1008,48,$G$5,$H$13)/[1]!S_STM07_IS(D1008,9,$G$5,$H$13),([1]!S_STM07_CS(D1008,87,$G$5,$H$13)+[1]!S_STM07_CS(D1008,88,$G$5,$H$13)+[1]!S_STM07_CS(D1008,89,$G$5,$H$13))/$E$5))</f>
        <v/>
      </c>
      <c r="K1008" s="247" t="str">
        <f ca="1">IF(C1008="","",IF($K$11="净利润率",[1]!S_STM07_IS(D1008,61,$G$5,$H$13)/[1]!S_STM07_IS(D1008,9,$G$5,$H$13),[1]!S_STM07_IS(D1008,55,$G$5,$H$13)/$E$5))</f>
        <v/>
      </c>
      <c r="L1008" s="247" t="str">
        <f ca="1">IF(C1008="","",IF($L$11="ROA",[1]!S_STM07_IS(D1008,61,$G$5,$H$13)/[1]!S_STM07_BS(D1008,74,$G$5,$H$13),1-[1]!S_STM07_IS(D1008,61,$G$5,$H$13)/[1]!S_STM07_IS(D1008,55,$G$5,$H$13)))</f>
        <v/>
      </c>
      <c r="M1008" s="247" t="str">
        <f ca="1">IF(C1008="","",IF($M$11="ROE",[1]!S_STM07_IS(D1008,61,$G$5,$H$13)/[1]!S_STM07_BS(D1008,141,$G$5,$H$13),([1]!S_STM07_BS(D1008,25,$G$5,$H$13)-[1]!S_STM07_BS(D1008,93,$G$5,$H$13))/$E$5))</f>
        <v/>
      </c>
      <c r="N1008" s="247" t="str">
        <f ca="1">IF(C1008="","",IF($N$11="EPS",[1]!S_STM07_IS(D1008,61,$G$5,$H$13)/IF([1]!S_SHARE_TOTAL(D1008,$G$5)=0,[1]!S_SHARE_TOTAL(D1008,[1]!s_ipo_listeddate(D1008)),[1]!S_SHARE_TOTAL(D1008,$G$5)),([1]!S_STM07_BS(D1008,75,$G$5,$H$13)+[1]!S_STM07_BS(D1008,88,$G$5,$H$13)+[1]!S_STM07_BS(D1008,94,$G$5,$H$13)+[1]!S_STM07_BS(D1008,95,$G$5,$H$13))/$E$5))</f>
        <v/>
      </c>
      <c r="O1008" s="247" t="str">
        <f ca="1">IF(C1008="","",IF($O$11="BPS",[1]!S_STM07_BS(D1008,141,$G$5,$H$13)/IF([1]!S_SHARE_TOTAL(D1008,$G$5)=0,[1]!S_SHARE_TOTAL(D1008,[1]!s_ipo_listeddate(D1008)),[1]!S_SHARE_TOTAL(D1008,$G$5)),[1]!S_STM07_CS(D1008,49,$G$5,$H$13)/$E$5))</f>
        <v/>
      </c>
      <c r="P1008" s="247" t="str">
        <f ca="1">IF(C1008="","",IF($P$11="CFPS",[1]!S_STM07_CS(D1008,84,$G$5,$H$13)/IF([1]!S_SHARE_TOTAL(D1008,$G$5)=0,[1]!S_SHARE_TOTAL(D1008,[1]!s_ipo_listeddate(D1008)),[1]!S_SHARE_TOTAL(D1008,$G$5)),[1]!S_STM07_CS(D1008,84,$G$5,$H$13)/$E$5))</f>
        <v/>
      </c>
      <c r="Q1008" s="248" t="str">
        <f ca="1">IF(C1008="","",F1008/([1]!S_STM07_IS(D1008,61,$G$5,$H$13)/IF([1]!S_SHARE_TOTAL(D1008,$G$5)=0,[1]!S_SHARE_TOTAL(D1008,[1]!s_ipo_listeddate(D1008)),[1]!S_SHARE_TOTAL(D1008,$G$5))))</f>
        <v/>
      </c>
      <c r="R1008" s="248" t="str">
        <f ca="1">IF(C1008="","",F1008/([1]!S_STM07_BS(D1008,141,$G$5,$H$13)/IF([1]!S_SHARE_TOTAL(D1008,$G$5)=0,[1]!S_SHARE_TOTAL(D1008,[1]!s_ipo_listeddate(D1008)),[1]!S_SHARE_TOTAL(D1008,$G$5))))</f>
        <v/>
      </c>
      <c r="S1008" s="247" t="str">
        <f ca="1">IF(C1008="","",[1]!S_SHARE_TOTAL(D1008,TODAY())/$E$5)</f>
        <v/>
      </c>
      <c r="T1008" s="247" t="str">
        <f t="shared" ca="1" si="103"/>
        <v/>
      </c>
      <c r="U1008" s="218" t="str">
        <f t="shared" ca="1" si="104"/>
        <v/>
      </c>
      <c r="V1008" s="342" t="str">
        <f t="shared" ca="1" si="105"/>
        <v/>
      </c>
      <c r="W1008" s="139"/>
      <c r="Y1008" s="1"/>
    </row>
    <row r="1009" spans="3:25" ht="12" customHeight="1">
      <c r="C1009" s="343" t="str">
        <f t="shared" ca="1" si="100"/>
        <v/>
      </c>
      <c r="D1009" s="124" t="str">
        <f t="shared" ca="1" si="101"/>
        <v/>
      </c>
      <c r="E1009" s="124" t="str">
        <f t="shared" ca="1" si="102"/>
        <v/>
      </c>
      <c r="F1009" s="172" t="str">
        <f ca="1">IF(C1009="","",[1]!S_DQ_CLOSE(D1009,TODAY(),1))</f>
        <v/>
      </c>
      <c r="G1009" s="173" t="str">
        <f ca="1">IF(C1009="","",[1]!s_pq_pctchange(D1009,TODAY()-$G$12,TODAY())/100)</f>
        <v/>
      </c>
      <c r="H1009" s="249" t="str">
        <f ca="1">IF(C1009="","",IF($H$11="收入",[1]!S_STM07_IS(D1009,9,$G$5,$H$13)/$E$5,[1]!S_STM07_IS(D1009,48,$G$5,$H$13)/$E$5))</f>
        <v/>
      </c>
      <c r="I1009" s="249" t="str">
        <f ca="1">IF(C1009="","",IF($I$11="毛利率",([1]!S_STM07_IS(D1009,9,$G$5,$H$13)-[1]!S_STM07_IS(D1009,10,$G$5,$H$13))/[1]!S_STM07_IS(D1009,9,$G$5,$H$13),[1]!S_STM07_IS(D1009,14,$G$5,$H$13)/$E$5))</f>
        <v/>
      </c>
      <c r="J1009" s="249" t="str">
        <f ca="1">IF(C1009="","",IF($J$11="营业利润率",[1]!S_STM07_IS(D1009,48,$G$5,$H$13)/[1]!S_STM07_IS(D1009,9,$G$5,$H$13),([1]!S_STM07_CS(D1009,87,$G$5,$H$13)+[1]!S_STM07_CS(D1009,88,$G$5,$H$13)+[1]!S_STM07_CS(D1009,89,$G$5,$H$13))/$E$5))</f>
        <v/>
      </c>
      <c r="K1009" s="249" t="str">
        <f ca="1">IF(C1009="","",IF($K$11="净利润率",[1]!S_STM07_IS(D1009,61,$G$5,$H$13)/[1]!S_STM07_IS(D1009,9,$G$5,$H$13),[1]!S_STM07_IS(D1009,55,$G$5,$H$13)/$E$5))</f>
        <v/>
      </c>
      <c r="L1009" s="249" t="str">
        <f ca="1">IF(C1009="","",IF($L$11="ROA",[1]!S_STM07_IS(D1009,61,$G$5,$H$13)/[1]!S_STM07_BS(D1009,74,$G$5,$H$13),1-[1]!S_STM07_IS(D1009,61,$G$5,$H$13)/[1]!S_STM07_IS(D1009,55,$G$5,$H$13)))</f>
        <v/>
      </c>
      <c r="M1009" s="249" t="str">
        <f ca="1">IF(C1009="","",IF($M$11="ROE",[1]!S_STM07_IS(D1009,61,$G$5,$H$13)/[1]!S_STM07_BS(D1009,141,$G$5,$H$13),([1]!S_STM07_BS(D1009,25,$G$5,$H$13)-[1]!S_STM07_BS(D1009,93,$G$5,$H$13))/$E$5))</f>
        <v/>
      </c>
      <c r="N1009" s="250" t="str">
        <f ca="1">IF(C1009="","",IF($N$11="EPS",[1]!S_STM07_IS(D1009,61,$G$5,$H$13)/IF([1]!S_SHARE_TOTAL(D1009,$G$5)=0,[1]!S_SHARE_TOTAL(D1009,[1]!s_ipo_listeddate(D1009)),[1]!S_SHARE_TOTAL(D1009,$G$5)),([1]!S_STM07_BS(D1009,75,$G$5,$H$13)+[1]!S_STM07_BS(D1009,88,$G$5,$H$13)+[1]!S_STM07_BS(D1009,94,$G$5,$H$13)+[1]!S_STM07_BS(D1009,95,$G$5,$H$13))/$E$5))</f>
        <v/>
      </c>
      <c r="O1009" s="250" t="str">
        <f ca="1">IF(C1009="","",IF($O$11="BPS",[1]!S_STM07_BS(D1009,141,$G$5,$H$13)/IF([1]!S_SHARE_TOTAL(D1009,$G$5)=0,[1]!S_SHARE_TOTAL(D1009,[1]!s_ipo_listeddate(D1009)),[1]!S_SHARE_TOTAL(D1009,$G$5)),[1]!S_STM07_CS(D1009,49,$G$5,$H$13)/$E$5))</f>
        <v/>
      </c>
      <c r="P1009" s="250" t="str">
        <f ca="1">IF(C1009="","",IF($P$11="CFPS",[1]!S_STM07_CS(D1009,84,$G$5,$H$13)/IF([1]!S_SHARE_TOTAL(D1009,$G$5)=0,[1]!S_SHARE_TOTAL(D1009,[1]!s_ipo_listeddate(D1009)),[1]!S_SHARE_TOTAL(D1009,$G$5)),[1]!S_STM07_CS(D1009,84,$G$5,$H$13)/$E$5))</f>
        <v/>
      </c>
      <c r="Q1009" s="198" t="str">
        <f ca="1">IF(C1009="","",F1009/([1]!S_STM07_IS(D1009,61,$G$5,$H$13)/IF([1]!S_SHARE_TOTAL(D1009,$G$5)=0,[1]!S_SHARE_TOTAL(D1009,[1]!s_ipo_listeddate(D1009)),[1]!S_SHARE_TOTAL(D1009,$G$5))))</f>
        <v/>
      </c>
      <c r="R1009" s="198" t="str">
        <f ca="1">IF(C1009="","",F1009/([1]!S_STM07_BS(D1009,141,$G$5,$H$13)/IF([1]!S_SHARE_TOTAL(D1009,$G$5)=0,[1]!S_SHARE_TOTAL(D1009,[1]!s_ipo_listeddate(D1009)),[1]!S_SHARE_TOTAL(D1009,$G$5))))</f>
        <v/>
      </c>
      <c r="S1009" s="249" t="str">
        <f ca="1">IF(C1009="","",[1]!S_SHARE_TOTAL(D1009,TODAY())/$E$5)</f>
        <v/>
      </c>
      <c r="T1009" s="249" t="str">
        <f t="shared" ca="1" si="103"/>
        <v/>
      </c>
      <c r="U1009" s="172" t="str">
        <f t="shared" ca="1" si="104"/>
        <v/>
      </c>
      <c r="V1009" s="343" t="str">
        <f t="shared" ca="1" si="105"/>
        <v/>
      </c>
      <c r="W1009" s="139"/>
      <c r="Y1009" s="1"/>
    </row>
    <row r="1010" spans="3:25" ht="12" customHeight="1">
      <c r="C1010" s="342" t="str">
        <f t="shared" ca="1" si="100"/>
        <v/>
      </c>
      <c r="D1010" s="153" t="str">
        <f t="shared" ca="1" si="101"/>
        <v/>
      </c>
      <c r="E1010" s="153" t="str">
        <f t="shared" ca="1" si="102"/>
        <v/>
      </c>
      <c r="F1010" s="170" t="str">
        <f ca="1">IF(C1010="","",[1]!S_DQ_CLOSE(D1010,TODAY(),1))</f>
        <v/>
      </c>
      <c r="G1010" s="171" t="str">
        <f ca="1">IF(C1010="","",[1]!s_pq_pctchange(D1010,TODAY()-$G$12,TODAY())/100)</f>
        <v/>
      </c>
      <c r="H1010" s="247" t="str">
        <f ca="1">IF(C1010="","",IF($H$11="收入",[1]!S_STM07_IS(D1010,9,$G$5,$H$13)/$E$5,[1]!S_STM07_IS(D1010,48,$G$5,$H$13)/$E$5))</f>
        <v/>
      </c>
      <c r="I1010" s="247" t="str">
        <f ca="1">IF(C1010="","",IF($I$11="毛利率",([1]!S_STM07_IS(D1010,9,$G$5,$H$13)-[1]!S_STM07_IS(D1010,10,$G$5,$H$13))/[1]!S_STM07_IS(D1010,9,$G$5,$H$13),[1]!S_STM07_IS(D1010,14,$G$5,$H$13)/$E$5))</f>
        <v/>
      </c>
      <c r="J1010" s="247" t="str">
        <f ca="1">IF(C1010="","",IF($J$11="营业利润率",[1]!S_STM07_IS(D1010,48,$G$5,$H$13)/[1]!S_STM07_IS(D1010,9,$G$5,$H$13),([1]!S_STM07_CS(D1010,87,$G$5,$H$13)+[1]!S_STM07_CS(D1010,88,$G$5,$H$13)+[1]!S_STM07_CS(D1010,89,$G$5,$H$13))/$E$5))</f>
        <v/>
      </c>
      <c r="K1010" s="247" t="str">
        <f ca="1">IF(C1010="","",IF($K$11="净利润率",[1]!S_STM07_IS(D1010,61,$G$5,$H$13)/[1]!S_STM07_IS(D1010,9,$G$5,$H$13),[1]!S_STM07_IS(D1010,55,$G$5,$H$13)/$E$5))</f>
        <v/>
      </c>
      <c r="L1010" s="247" t="str">
        <f ca="1">IF(C1010="","",IF($L$11="ROA",[1]!S_STM07_IS(D1010,61,$G$5,$H$13)/[1]!S_STM07_BS(D1010,74,$G$5,$H$13),1-[1]!S_STM07_IS(D1010,61,$G$5,$H$13)/[1]!S_STM07_IS(D1010,55,$G$5,$H$13)))</f>
        <v/>
      </c>
      <c r="M1010" s="247" t="str">
        <f ca="1">IF(C1010="","",IF($M$11="ROE",[1]!S_STM07_IS(D1010,61,$G$5,$H$13)/[1]!S_STM07_BS(D1010,141,$G$5,$H$13),([1]!S_STM07_BS(D1010,25,$G$5,$H$13)-[1]!S_STM07_BS(D1010,93,$G$5,$H$13))/$E$5))</f>
        <v/>
      </c>
      <c r="N1010" s="247" t="str">
        <f ca="1">IF(C1010="","",IF($N$11="EPS",[1]!S_STM07_IS(D1010,61,$G$5,$H$13)/IF([1]!S_SHARE_TOTAL(D1010,$G$5)=0,[1]!S_SHARE_TOTAL(D1010,[1]!s_ipo_listeddate(D1010)),[1]!S_SHARE_TOTAL(D1010,$G$5)),([1]!S_STM07_BS(D1010,75,$G$5,$H$13)+[1]!S_STM07_BS(D1010,88,$G$5,$H$13)+[1]!S_STM07_BS(D1010,94,$G$5,$H$13)+[1]!S_STM07_BS(D1010,95,$G$5,$H$13))/$E$5))</f>
        <v/>
      </c>
      <c r="O1010" s="247" t="str">
        <f ca="1">IF(C1010="","",IF($O$11="BPS",[1]!S_STM07_BS(D1010,141,$G$5,$H$13)/IF([1]!S_SHARE_TOTAL(D1010,$G$5)=0,[1]!S_SHARE_TOTAL(D1010,[1]!s_ipo_listeddate(D1010)),[1]!S_SHARE_TOTAL(D1010,$G$5)),[1]!S_STM07_CS(D1010,49,$G$5,$H$13)/$E$5))</f>
        <v/>
      </c>
      <c r="P1010" s="247" t="str">
        <f ca="1">IF(C1010="","",IF($P$11="CFPS",[1]!S_STM07_CS(D1010,84,$G$5,$H$13)/IF([1]!S_SHARE_TOTAL(D1010,$G$5)=0,[1]!S_SHARE_TOTAL(D1010,[1]!s_ipo_listeddate(D1010)),[1]!S_SHARE_TOTAL(D1010,$G$5)),[1]!S_STM07_CS(D1010,84,$G$5,$H$13)/$E$5))</f>
        <v/>
      </c>
      <c r="Q1010" s="248" t="str">
        <f ca="1">IF(C1010="","",F1010/([1]!S_STM07_IS(D1010,61,$G$5,$H$13)/IF([1]!S_SHARE_TOTAL(D1010,$G$5)=0,[1]!S_SHARE_TOTAL(D1010,[1]!s_ipo_listeddate(D1010)),[1]!S_SHARE_TOTAL(D1010,$G$5))))</f>
        <v/>
      </c>
      <c r="R1010" s="248" t="str">
        <f ca="1">IF(C1010="","",F1010/([1]!S_STM07_BS(D1010,141,$G$5,$H$13)/IF([1]!S_SHARE_TOTAL(D1010,$G$5)=0,[1]!S_SHARE_TOTAL(D1010,[1]!s_ipo_listeddate(D1010)),[1]!S_SHARE_TOTAL(D1010,$G$5))))</f>
        <v/>
      </c>
      <c r="S1010" s="247" t="str">
        <f ca="1">IF(C1010="","",[1]!S_SHARE_TOTAL(D1010,TODAY())/$E$5)</f>
        <v/>
      </c>
      <c r="T1010" s="247" t="str">
        <f t="shared" ca="1" si="103"/>
        <v/>
      </c>
      <c r="U1010" s="218" t="str">
        <f t="shared" ca="1" si="104"/>
        <v/>
      </c>
      <c r="V1010" s="342" t="str">
        <f t="shared" ca="1" si="105"/>
        <v/>
      </c>
      <c r="W1010" s="139"/>
      <c r="Y1010" s="1"/>
    </row>
    <row r="1011" spans="3:25" ht="12" customHeight="1">
      <c r="C1011" s="343" t="str">
        <f t="shared" ca="1" si="100"/>
        <v/>
      </c>
      <c r="D1011" s="124" t="str">
        <f t="shared" ca="1" si="101"/>
        <v/>
      </c>
      <c r="E1011" s="124" t="str">
        <f t="shared" ca="1" si="102"/>
        <v/>
      </c>
      <c r="F1011" s="172" t="str">
        <f ca="1">IF(C1011="","",[1]!S_DQ_CLOSE(D1011,TODAY(),1))</f>
        <v/>
      </c>
      <c r="G1011" s="173" t="str">
        <f ca="1">IF(C1011="","",[1]!s_pq_pctchange(D1011,TODAY()-$G$12,TODAY())/100)</f>
        <v/>
      </c>
      <c r="H1011" s="249" t="str">
        <f ca="1">IF(C1011="","",IF($H$11="收入",[1]!S_STM07_IS(D1011,9,$G$5,$H$13)/$E$5,[1]!S_STM07_IS(D1011,48,$G$5,$H$13)/$E$5))</f>
        <v/>
      </c>
      <c r="I1011" s="249" t="str">
        <f ca="1">IF(C1011="","",IF($I$11="毛利率",([1]!S_STM07_IS(D1011,9,$G$5,$H$13)-[1]!S_STM07_IS(D1011,10,$G$5,$H$13))/[1]!S_STM07_IS(D1011,9,$G$5,$H$13),[1]!S_STM07_IS(D1011,14,$G$5,$H$13)/$E$5))</f>
        <v/>
      </c>
      <c r="J1011" s="249" t="str">
        <f ca="1">IF(C1011="","",IF($J$11="营业利润率",[1]!S_STM07_IS(D1011,48,$G$5,$H$13)/[1]!S_STM07_IS(D1011,9,$G$5,$H$13),([1]!S_STM07_CS(D1011,87,$G$5,$H$13)+[1]!S_STM07_CS(D1011,88,$G$5,$H$13)+[1]!S_STM07_CS(D1011,89,$G$5,$H$13))/$E$5))</f>
        <v/>
      </c>
      <c r="K1011" s="249" t="str">
        <f ca="1">IF(C1011="","",IF($K$11="净利润率",[1]!S_STM07_IS(D1011,61,$G$5,$H$13)/[1]!S_STM07_IS(D1011,9,$G$5,$H$13),[1]!S_STM07_IS(D1011,55,$G$5,$H$13)/$E$5))</f>
        <v/>
      </c>
      <c r="L1011" s="249" t="str">
        <f ca="1">IF(C1011="","",IF($L$11="ROA",[1]!S_STM07_IS(D1011,61,$G$5,$H$13)/[1]!S_STM07_BS(D1011,74,$G$5,$H$13),1-[1]!S_STM07_IS(D1011,61,$G$5,$H$13)/[1]!S_STM07_IS(D1011,55,$G$5,$H$13)))</f>
        <v/>
      </c>
      <c r="M1011" s="249" t="str">
        <f ca="1">IF(C1011="","",IF($M$11="ROE",[1]!S_STM07_IS(D1011,61,$G$5,$H$13)/[1]!S_STM07_BS(D1011,141,$G$5,$H$13),([1]!S_STM07_BS(D1011,25,$G$5,$H$13)-[1]!S_STM07_BS(D1011,93,$G$5,$H$13))/$E$5))</f>
        <v/>
      </c>
      <c r="N1011" s="250" t="str">
        <f ca="1">IF(C1011="","",IF($N$11="EPS",[1]!S_STM07_IS(D1011,61,$G$5,$H$13)/IF([1]!S_SHARE_TOTAL(D1011,$G$5)=0,[1]!S_SHARE_TOTAL(D1011,[1]!s_ipo_listeddate(D1011)),[1]!S_SHARE_TOTAL(D1011,$G$5)),([1]!S_STM07_BS(D1011,75,$G$5,$H$13)+[1]!S_STM07_BS(D1011,88,$G$5,$H$13)+[1]!S_STM07_BS(D1011,94,$G$5,$H$13)+[1]!S_STM07_BS(D1011,95,$G$5,$H$13))/$E$5))</f>
        <v/>
      </c>
      <c r="O1011" s="250" t="str">
        <f ca="1">IF(C1011="","",IF($O$11="BPS",[1]!S_STM07_BS(D1011,141,$G$5,$H$13)/IF([1]!S_SHARE_TOTAL(D1011,$G$5)=0,[1]!S_SHARE_TOTAL(D1011,[1]!s_ipo_listeddate(D1011)),[1]!S_SHARE_TOTAL(D1011,$G$5)),[1]!S_STM07_CS(D1011,49,$G$5,$H$13)/$E$5))</f>
        <v/>
      </c>
      <c r="P1011" s="250" t="str">
        <f ca="1">IF(C1011="","",IF($P$11="CFPS",[1]!S_STM07_CS(D1011,84,$G$5,$H$13)/IF([1]!S_SHARE_TOTAL(D1011,$G$5)=0,[1]!S_SHARE_TOTAL(D1011,[1]!s_ipo_listeddate(D1011)),[1]!S_SHARE_TOTAL(D1011,$G$5)),[1]!S_STM07_CS(D1011,84,$G$5,$H$13)/$E$5))</f>
        <v/>
      </c>
      <c r="Q1011" s="198" t="str">
        <f ca="1">IF(C1011="","",F1011/([1]!S_STM07_IS(D1011,61,$G$5,$H$13)/IF([1]!S_SHARE_TOTAL(D1011,$G$5)=0,[1]!S_SHARE_TOTAL(D1011,[1]!s_ipo_listeddate(D1011)),[1]!S_SHARE_TOTAL(D1011,$G$5))))</f>
        <v/>
      </c>
      <c r="R1011" s="198" t="str">
        <f ca="1">IF(C1011="","",F1011/([1]!S_STM07_BS(D1011,141,$G$5,$H$13)/IF([1]!S_SHARE_TOTAL(D1011,$G$5)=0,[1]!S_SHARE_TOTAL(D1011,[1]!s_ipo_listeddate(D1011)),[1]!S_SHARE_TOTAL(D1011,$G$5))))</f>
        <v/>
      </c>
      <c r="S1011" s="249" t="str">
        <f ca="1">IF(C1011="","",[1]!S_SHARE_TOTAL(D1011,TODAY())/$E$5)</f>
        <v/>
      </c>
      <c r="T1011" s="249" t="str">
        <f t="shared" ca="1" si="103"/>
        <v/>
      </c>
      <c r="U1011" s="172" t="str">
        <f t="shared" ca="1" si="104"/>
        <v/>
      </c>
      <c r="V1011" s="343" t="str">
        <f t="shared" ca="1" si="105"/>
        <v/>
      </c>
      <c r="W1011" s="139"/>
      <c r="Y1011" s="1"/>
    </row>
    <row r="1012" spans="3:25" ht="12" customHeight="1">
      <c r="C1012" s="342" t="str">
        <f t="shared" ca="1" si="100"/>
        <v/>
      </c>
      <c r="D1012" s="153" t="str">
        <f t="shared" ca="1" si="101"/>
        <v/>
      </c>
      <c r="E1012" s="153" t="str">
        <f t="shared" ca="1" si="102"/>
        <v/>
      </c>
      <c r="F1012" s="170" t="str">
        <f ca="1">IF(C1012="","",[1]!S_DQ_CLOSE(D1012,TODAY(),1))</f>
        <v/>
      </c>
      <c r="G1012" s="171" t="str">
        <f ca="1">IF(C1012="","",[1]!s_pq_pctchange(D1012,TODAY()-$G$12,TODAY())/100)</f>
        <v/>
      </c>
      <c r="H1012" s="247" t="str">
        <f ca="1">IF(C1012="","",IF($H$11="收入",[1]!S_STM07_IS(D1012,9,$G$5,$H$13)/$E$5,[1]!S_STM07_IS(D1012,48,$G$5,$H$13)/$E$5))</f>
        <v/>
      </c>
      <c r="I1012" s="247" t="str">
        <f ca="1">IF(C1012="","",IF($I$11="毛利率",([1]!S_STM07_IS(D1012,9,$G$5,$H$13)-[1]!S_STM07_IS(D1012,10,$G$5,$H$13))/[1]!S_STM07_IS(D1012,9,$G$5,$H$13),[1]!S_STM07_IS(D1012,14,$G$5,$H$13)/$E$5))</f>
        <v/>
      </c>
      <c r="J1012" s="247" t="str">
        <f ca="1">IF(C1012="","",IF($J$11="营业利润率",[1]!S_STM07_IS(D1012,48,$G$5,$H$13)/[1]!S_STM07_IS(D1012,9,$G$5,$H$13),([1]!S_STM07_CS(D1012,87,$G$5,$H$13)+[1]!S_STM07_CS(D1012,88,$G$5,$H$13)+[1]!S_STM07_CS(D1012,89,$G$5,$H$13))/$E$5))</f>
        <v/>
      </c>
      <c r="K1012" s="247" t="str">
        <f ca="1">IF(C1012="","",IF($K$11="净利润率",[1]!S_STM07_IS(D1012,61,$G$5,$H$13)/[1]!S_STM07_IS(D1012,9,$G$5,$H$13),[1]!S_STM07_IS(D1012,55,$G$5,$H$13)/$E$5))</f>
        <v/>
      </c>
      <c r="L1012" s="247" t="str">
        <f ca="1">IF(C1012="","",IF($L$11="ROA",[1]!S_STM07_IS(D1012,61,$G$5,$H$13)/[1]!S_STM07_BS(D1012,74,$G$5,$H$13),1-[1]!S_STM07_IS(D1012,61,$G$5,$H$13)/[1]!S_STM07_IS(D1012,55,$G$5,$H$13)))</f>
        <v/>
      </c>
      <c r="M1012" s="247" t="str">
        <f ca="1">IF(C1012="","",IF($M$11="ROE",[1]!S_STM07_IS(D1012,61,$G$5,$H$13)/[1]!S_STM07_BS(D1012,141,$G$5,$H$13),([1]!S_STM07_BS(D1012,25,$G$5,$H$13)-[1]!S_STM07_BS(D1012,93,$G$5,$H$13))/$E$5))</f>
        <v/>
      </c>
      <c r="N1012" s="247" t="str">
        <f ca="1">IF(C1012="","",IF($N$11="EPS",[1]!S_STM07_IS(D1012,61,$G$5,$H$13)/IF([1]!S_SHARE_TOTAL(D1012,$G$5)=0,[1]!S_SHARE_TOTAL(D1012,[1]!s_ipo_listeddate(D1012)),[1]!S_SHARE_TOTAL(D1012,$G$5)),([1]!S_STM07_BS(D1012,75,$G$5,$H$13)+[1]!S_STM07_BS(D1012,88,$G$5,$H$13)+[1]!S_STM07_BS(D1012,94,$G$5,$H$13)+[1]!S_STM07_BS(D1012,95,$G$5,$H$13))/$E$5))</f>
        <v/>
      </c>
      <c r="O1012" s="247" t="str">
        <f ca="1">IF(C1012="","",IF($O$11="BPS",[1]!S_STM07_BS(D1012,141,$G$5,$H$13)/IF([1]!S_SHARE_TOTAL(D1012,$G$5)=0,[1]!S_SHARE_TOTAL(D1012,[1]!s_ipo_listeddate(D1012)),[1]!S_SHARE_TOTAL(D1012,$G$5)),[1]!S_STM07_CS(D1012,49,$G$5,$H$13)/$E$5))</f>
        <v/>
      </c>
      <c r="P1012" s="247" t="str">
        <f ca="1">IF(C1012="","",IF($P$11="CFPS",[1]!S_STM07_CS(D1012,84,$G$5,$H$13)/IF([1]!S_SHARE_TOTAL(D1012,$G$5)=0,[1]!S_SHARE_TOTAL(D1012,[1]!s_ipo_listeddate(D1012)),[1]!S_SHARE_TOTAL(D1012,$G$5)),[1]!S_STM07_CS(D1012,84,$G$5,$H$13)/$E$5))</f>
        <v/>
      </c>
      <c r="Q1012" s="248" t="str">
        <f ca="1">IF(C1012="","",F1012/([1]!S_STM07_IS(D1012,61,$G$5,$H$13)/IF([1]!S_SHARE_TOTAL(D1012,$G$5)=0,[1]!S_SHARE_TOTAL(D1012,[1]!s_ipo_listeddate(D1012)),[1]!S_SHARE_TOTAL(D1012,$G$5))))</f>
        <v/>
      </c>
      <c r="R1012" s="248" t="str">
        <f ca="1">IF(C1012="","",F1012/([1]!S_STM07_BS(D1012,141,$G$5,$H$13)/IF([1]!S_SHARE_TOTAL(D1012,$G$5)=0,[1]!S_SHARE_TOTAL(D1012,[1]!s_ipo_listeddate(D1012)),[1]!S_SHARE_TOTAL(D1012,$G$5))))</f>
        <v/>
      </c>
      <c r="S1012" s="247" t="str">
        <f ca="1">IF(C1012="","",[1]!S_SHARE_TOTAL(D1012,TODAY())/$E$5)</f>
        <v/>
      </c>
      <c r="T1012" s="247" t="str">
        <f t="shared" ca="1" si="103"/>
        <v/>
      </c>
      <c r="U1012" s="218" t="str">
        <f t="shared" ca="1" si="104"/>
        <v/>
      </c>
      <c r="V1012" s="342" t="str">
        <f t="shared" ca="1" si="105"/>
        <v/>
      </c>
      <c r="W1012" s="139"/>
      <c r="Y1012" s="1"/>
    </row>
    <row r="1013" spans="3:25" ht="12" customHeight="1">
      <c r="C1013" s="343" t="str">
        <f t="shared" ca="1" si="100"/>
        <v/>
      </c>
      <c r="D1013" s="124" t="str">
        <f t="shared" ca="1" si="101"/>
        <v/>
      </c>
      <c r="E1013" s="124" t="str">
        <f t="shared" ca="1" si="102"/>
        <v/>
      </c>
      <c r="F1013" s="172" t="str">
        <f ca="1">IF(C1013="","",[1]!S_DQ_CLOSE(D1013,TODAY(),1))</f>
        <v/>
      </c>
      <c r="G1013" s="173" t="str">
        <f ca="1">IF(C1013="","",[1]!s_pq_pctchange(D1013,TODAY()-$G$12,TODAY())/100)</f>
        <v/>
      </c>
      <c r="H1013" s="249" t="str">
        <f ca="1">IF(C1013="","",IF($H$11="收入",[1]!S_STM07_IS(D1013,9,$G$5,$H$13)/$E$5,[1]!S_STM07_IS(D1013,48,$G$5,$H$13)/$E$5))</f>
        <v/>
      </c>
      <c r="I1013" s="249" t="str">
        <f ca="1">IF(C1013="","",IF($I$11="毛利率",([1]!S_STM07_IS(D1013,9,$G$5,$H$13)-[1]!S_STM07_IS(D1013,10,$G$5,$H$13))/[1]!S_STM07_IS(D1013,9,$G$5,$H$13),[1]!S_STM07_IS(D1013,14,$G$5,$H$13)/$E$5))</f>
        <v/>
      </c>
      <c r="J1013" s="249" t="str">
        <f ca="1">IF(C1013="","",IF($J$11="营业利润率",[1]!S_STM07_IS(D1013,48,$G$5,$H$13)/[1]!S_STM07_IS(D1013,9,$G$5,$H$13),([1]!S_STM07_CS(D1013,87,$G$5,$H$13)+[1]!S_STM07_CS(D1013,88,$G$5,$H$13)+[1]!S_STM07_CS(D1013,89,$G$5,$H$13))/$E$5))</f>
        <v/>
      </c>
      <c r="K1013" s="249" t="str">
        <f ca="1">IF(C1013="","",IF($K$11="净利润率",[1]!S_STM07_IS(D1013,61,$G$5,$H$13)/[1]!S_STM07_IS(D1013,9,$G$5,$H$13),[1]!S_STM07_IS(D1013,55,$G$5,$H$13)/$E$5))</f>
        <v/>
      </c>
      <c r="L1013" s="249" t="str">
        <f ca="1">IF(C1013="","",IF($L$11="ROA",[1]!S_STM07_IS(D1013,61,$G$5,$H$13)/[1]!S_STM07_BS(D1013,74,$G$5,$H$13),1-[1]!S_STM07_IS(D1013,61,$G$5,$H$13)/[1]!S_STM07_IS(D1013,55,$G$5,$H$13)))</f>
        <v/>
      </c>
      <c r="M1013" s="249" t="str">
        <f ca="1">IF(C1013="","",IF($M$11="ROE",[1]!S_STM07_IS(D1013,61,$G$5,$H$13)/[1]!S_STM07_BS(D1013,141,$G$5,$H$13),([1]!S_STM07_BS(D1013,25,$G$5,$H$13)-[1]!S_STM07_BS(D1013,93,$G$5,$H$13))/$E$5))</f>
        <v/>
      </c>
      <c r="N1013" s="250" t="str">
        <f ca="1">IF(C1013="","",IF($N$11="EPS",[1]!S_STM07_IS(D1013,61,$G$5,$H$13)/IF([1]!S_SHARE_TOTAL(D1013,$G$5)=0,[1]!S_SHARE_TOTAL(D1013,[1]!s_ipo_listeddate(D1013)),[1]!S_SHARE_TOTAL(D1013,$G$5)),([1]!S_STM07_BS(D1013,75,$G$5,$H$13)+[1]!S_STM07_BS(D1013,88,$G$5,$H$13)+[1]!S_STM07_BS(D1013,94,$G$5,$H$13)+[1]!S_STM07_BS(D1013,95,$G$5,$H$13))/$E$5))</f>
        <v/>
      </c>
      <c r="O1013" s="250" t="str">
        <f ca="1">IF(C1013="","",IF($O$11="BPS",[1]!S_STM07_BS(D1013,141,$G$5,$H$13)/IF([1]!S_SHARE_TOTAL(D1013,$G$5)=0,[1]!S_SHARE_TOTAL(D1013,[1]!s_ipo_listeddate(D1013)),[1]!S_SHARE_TOTAL(D1013,$G$5)),[1]!S_STM07_CS(D1013,49,$G$5,$H$13)/$E$5))</f>
        <v/>
      </c>
      <c r="P1013" s="250" t="str">
        <f ca="1">IF(C1013="","",IF($P$11="CFPS",[1]!S_STM07_CS(D1013,84,$G$5,$H$13)/IF([1]!S_SHARE_TOTAL(D1013,$G$5)=0,[1]!S_SHARE_TOTAL(D1013,[1]!s_ipo_listeddate(D1013)),[1]!S_SHARE_TOTAL(D1013,$G$5)),[1]!S_STM07_CS(D1013,84,$G$5,$H$13)/$E$5))</f>
        <v/>
      </c>
      <c r="Q1013" s="198" t="str">
        <f ca="1">IF(C1013="","",F1013/([1]!S_STM07_IS(D1013,61,$G$5,$H$13)/IF([1]!S_SHARE_TOTAL(D1013,$G$5)=0,[1]!S_SHARE_TOTAL(D1013,[1]!s_ipo_listeddate(D1013)),[1]!S_SHARE_TOTAL(D1013,$G$5))))</f>
        <v/>
      </c>
      <c r="R1013" s="198" t="str">
        <f ca="1">IF(C1013="","",F1013/([1]!S_STM07_BS(D1013,141,$G$5,$H$13)/IF([1]!S_SHARE_TOTAL(D1013,$G$5)=0,[1]!S_SHARE_TOTAL(D1013,[1]!s_ipo_listeddate(D1013)),[1]!S_SHARE_TOTAL(D1013,$G$5))))</f>
        <v/>
      </c>
      <c r="S1013" s="249" t="str">
        <f ca="1">IF(C1013="","",[1]!S_SHARE_TOTAL(D1013,TODAY())/$E$5)</f>
        <v/>
      </c>
      <c r="T1013" s="249" t="str">
        <f t="shared" ca="1" si="103"/>
        <v/>
      </c>
      <c r="U1013" s="172" t="str">
        <f t="shared" ca="1" si="104"/>
        <v/>
      </c>
      <c r="V1013" s="343" t="str">
        <f t="shared" ca="1" si="105"/>
        <v/>
      </c>
      <c r="W1013" s="139"/>
      <c r="Y1013" s="1"/>
    </row>
    <row r="1014" spans="3:25" ht="12" customHeight="1">
      <c r="C1014" s="342" t="str">
        <f t="shared" ca="1" si="100"/>
        <v/>
      </c>
      <c r="D1014" s="153" t="str">
        <f t="shared" ca="1" si="101"/>
        <v/>
      </c>
      <c r="E1014" s="153" t="str">
        <f t="shared" ca="1" si="102"/>
        <v/>
      </c>
      <c r="F1014" s="170" t="str">
        <f ca="1">IF(C1014="","",[1]!S_DQ_CLOSE(D1014,TODAY(),1))</f>
        <v/>
      </c>
      <c r="G1014" s="171" t="str">
        <f ca="1">IF(C1014="","",[1]!s_pq_pctchange(D1014,TODAY()-$G$12,TODAY())/100)</f>
        <v/>
      </c>
      <c r="H1014" s="247" t="str">
        <f ca="1">IF(C1014="","",IF($H$11="收入",[1]!S_STM07_IS(D1014,9,$G$5,$H$13)/$E$5,[1]!S_STM07_IS(D1014,48,$G$5,$H$13)/$E$5))</f>
        <v/>
      </c>
      <c r="I1014" s="247" t="str">
        <f ca="1">IF(C1014="","",IF($I$11="毛利率",([1]!S_STM07_IS(D1014,9,$G$5,$H$13)-[1]!S_STM07_IS(D1014,10,$G$5,$H$13))/[1]!S_STM07_IS(D1014,9,$G$5,$H$13),[1]!S_STM07_IS(D1014,14,$G$5,$H$13)/$E$5))</f>
        <v/>
      </c>
      <c r="J1014" s="247" t="str">
        <f ca="1">IF(C1014="","",IF($J$11="营业利润率",[1]!S_STM07_IS(D1014,48,$G$5,$H$13)/[1]!S_STM07_IS(D1014,9,$G$5,$H$13),([1]!S_STM07_CS(D1014,87,$G$5,$H$13)+[1]!S_STM07_CS(D1014,88,$G$5,$H$13)+[1]!S_STM07_CS(D1014,89,$G$5,$H$13))/$E$5))</f>
        <v/>
      </c>
      <c r="K1014" s="247" t="str">
        <f ca="1">IF(C1014="","",IF($K$11="净利润率",[1]!S_STM07_IS(D1014,61,$G$5,$H$13)/[1]!S_STM07_IS(D1014,9,$G$5,$H$13),[1]!S_STM07_IS(D1014,55,$G$5,$H$13)/$E$5))</f>
        <v/>
      </c>
      <c r="L1014" s="247" t="str">
        <f ca="1">IF(C1014="","",IF($L$11="ROA",[1]!S_STM07_IS(D1014,61,$G$5,$H$13)/[1]!S_STM07_BS(D1014,74,$G$5,$H$13),1-[1]!S_STM07_IS(D1014,61,$G$5,$H$13)/[1]!S_STM07_IS(D1014,55,$G$5,$H$13)))</f>
        <v/>
      </c>
      <c r="M1014" s="247" t="str">
        <f ca="1">IF(C1014="","",IF($M$11="ROE",[1]!S_STM07_IS(D1014,61,$G$5,$H$13)/[1]!S_STM07_BS(D1014,141,$G$5,$H$13),([1]!S_STM07_BS(D1014,25,$G$5,$H$13)-[1]!S_STM07_BS(D1014,93,$G$5,$H$13))/$E$5))</f>
        <v/>
      </c>
      <c r="N1014" s="247" t="str">
        <f ca="1">IF(C1014="","",IF($N$11="EPS",[1]!S_STM07_IS(D1014,61,$G$5,$H$13)/IF([1]!S_SHARE_TOTAL(D1014,$G$5)=0,[1]!S_SHARE_TOTAL(D1014,[1]!s_ipo_listeddate(D1014)),[1]!S_SHARE_TOTAL(D1014,$G$5)),([1]!S_STM07_BS(D1014,75,$G$5,$H$13)+[1]!S_STM07_BS(D1014,88,$G$5,$H$13)+[1]!S_STM07_BS(D1014,94,$G$5,$H$13)+[1]!S_STM07_BS(D1014,95,$G$5,$H$13))/$E$5))</f>
        <v/>
      </c>
      <c r="O1014" s="247" t="str">
        <f ca="1">IF(C1014="","",IF($O$11="BPS",[1]!S_STM07_BS(D1014,141,$G$5,$H$13)/IF([1]!S_SHARE_TOTAL(D1014,$G$5)=0,[1]!S_SHARE_TOTAL(D1014,[1]!s_ipo_listeddate(D1014)),[1]!S_SHARE_TOTAL(D1014,$G$5)),[1]!S_STM07_CS(D1014,49,$G$5,$H$13)/$E$5))</f>
        <v/>
      </c>
      <c r="P1014" s="247" t="str">
        <f ca="1">IF(C1014="","",IF($P$11="CFPS",[1]!S_STM07_CS(D1014,84,$G$5,$H$13)/IF([1]!S_SHARE_TOTAL(D1014,$G$5)=0,[1]!S_SHARE_TOTAL(D1014,[1]!s_ipo_listeddate(D1014)),[1]!S_SHARE_TOTAL(D1014,$G$5)),[1]!S_STM07_CS(D1014,84,$G$5,$H$13)/$E$5))</f>
        <v/>
      </c>
      <c r="Q1014" s="248" t="str">
        <f ca="1">IF(C1014="","",F1014/([1]!S_STM07_IS(D1014,61,$G$5,$H$13)/IF([1]!S_SHARE_TOTAL(D1014,$G$5)=0,[1]!S_SHARE_TOTAL(D1014,[1]!s_ipo_listeddate(D1014)),[1]!S_SHARE_TOTAL(D1014,$G$5))))</f>
        <v/>
      </c>
      <c r="R1014" s="248" t="str">
        <f ca="1">IF(C1014="","",F1014/([1]!S_STM07_BS(D1014,141,$G$5,$H$13)/IF([1]!S_SHARE_TOTAL(D1014,$G$5)=0,[1]!S_SHARE_TOTAL(D1014,[1]!s_ipo_listeddate(D1014)),[1]!S_SHARE_TOTAL(D1014,$G$5))))</f>
        <v/>
      </c>
      <c r="S1014" s="247" t="str">
        <f ca="1">IF(C1014="","",[1]!S_SHARE_TOTAL(D1014,TODAY())/$E$5)</f>
        <v/>
      </c>
      <c r="T1014" s="247" t="str">
        <f t="shared" ca="1" si="103"/>
        <v/>
      </c>
      <c r="U1014" s="218" t="str">
        <f t="shared" ca="1" si="104"/>
        <v/>
      </c>
      <c r="V1014" s="342" t="str">
        <f t="shared" ca="1" si="105"/>
        <v/>
      </c>
      <c r="W1014" s="139"/>
      <c r="Y1014" s="1"/>
    </row>
    <row r="1015" spans="3:25" ht="12" customHeight="1">
      <c r="C1015" s="343" t="str">
        <f t="shared" ca="1" si="100"/>
        <v/>
      </c>
      <c r="D1015" s="124" t="str">
        <f t="shared" ca="1" si="101"/>
        <v/>
      </c>
      <c r="E1015" s="124" t="str">
        <f t="shared" ca="1" si="102"/>
        <v/>
      </c>
      <c r="F1015" s="172" t="str">
        <f ca="1">IF(C1015="","",[1]!S_DQ_CLOSE(D1015,TODAY(),1))</f>
        <v/>
      </c>
      <c r="G1015" s="173" t="str">
        <f ca="1">IF(C1015="","",[1]!s_pq_pctchange(D1015,TODAY()-$G$12,TODAY())/100)</f>
        <v/>
      </c>
      <c r="H1015" s="249" t="str">
        <f ca="1">IF(C1015="","",IF($H$11="收入",[1]!S_STM07_IS(D1015,9,$G$5,$H$13)/$E$5,[1]!S_STM07_IS(D1015,48,$G$5,$H$13)/$E$5))</f>
        <v/>
      </c>
      <c r="I1015" s="249" t="str">
        <f ca="1">IF(C1015="","",IF($I$11="毛利率",([1]!S_STM07_IS(D1015,9,$G$5,$H$13)-[1]!S_STM07_IS(D1015,10,$G$5,$H$13))/[1]!S_STM07_IS(D1015,9,$G$5,$H$13),[1]!S_STM07_IS(D1015,14,$G$5,$H$13)/$E$5))</f>
        <v/>
      </c>
      <c r="J1015" s="249" t="str">
        <f ca="1">IF(C1015="","",IF($J$11="营业利润率",[1]!S_STM07_IS(D1015,48,$G$5,$H$13)/[1]!S_STM07_IS(D1015,9,$G$5,$H$13),([1]!S_STM07_CS(D1015,87,$G$5,$H$13)+[1]!S_STM07_CS(D1015,88,$G$5,$H$13)+[1]!S_STM07_CS(D1015,89,$G$5,$H$13))/$E$5))</f>
        <v/>
      </c>
      <c r="K1015" s="249" t="str">
        <f ca="1">IF(C1015="","",IF($K$11="净利润率",[1]!S_STM07_IS(D1015,61,$G$5,$H$13)/[1]!S_STM07_IS(D1015,9,$G$5,$H$13),[1]!S_STM07_IS(D1015,55,$G$5,$H$13)/$E$5))</f>
        <v/>
      </c>
      <c r="L1015" s="249" t="str">
        <f ca="1">IF(C1015="","",IF($L$11="ROA",[1]!S_STM07_IS(D1015,61,$G$5,$H$13)/[1]!S_STM07_BS(D1015,74,$G$5,$H$13),1-[1]!S_STM07_IS(D1015,61,$G$5,$H$13)/[1]!S_STM07_IS(D1015,55,$G$5,$H$13)))</f>
        <v/>
      </c>
      <c r="M1015" s="249" t="str">
        <f ca="1">IF(C1015="","",IF($M$11="ROE",[1]!S_STM07_IS(D1015,61,$G$5,$H$13)/[1]!S_STM07_BS(D1015,141,$G$5,$H$13),([1]!S_STM07_BS(D1015,25,$G$5,$H$13)-[1]!S_STM07_BS(D1015,93,$G$5,$H$13))/$E$5))</f>
        <v/>
      </c>
      <c r="N1015" s="250" t="str">
        <f ca="1">IF(C1015="","",IF($N$11="EPS",[1]!S_STM07_IS(D1015,61,$G$5,$H$13)/IF([1]!S_SHARE_TOTAL(D1015,$G$5)=0,[1]!S_SHARE_TOTAL(D1015,[1]!s_ipo_listeddate(D1015)),[1]!S_SHARE_TOTAL(D1015,$G$5)),([1]!S_STM07_BS(D1015,75,$G$5,$H$13)+[1]!S_STM07_BS(D1015,88,$G$5,$H$13)+[1]!S_STM07_BS(D1015,94,$G$5,$H$13)+[1]!S_STM07_BS(D1015,95,$G$5,$H$13))/$E$5))</f>
        <v/>
      </c>
      <c r="O1015" s="250" t="str">
        <f ca="1">IF(C1015="","",IF($O$11="BPS",[1]!S_STM07_BS(D1015,141,$G$5,$H$13)/IF([1]!S_SHARE_TOTAL(D1015,$G$5)=0,[1]!S_SHARE_TOTAL(D1015,[1]!s_ipo_listeddate(D1015)),[1]!S_SHARE_TOTAL(D1015,$G$5)),[1]!S_STM07_CS(D1015,49,$G$5,$H$13)/$E$5))</f>
        <v/>
      </c>
      <c r="P1015" s="250" t="str">
        <f ca="1">IF(C1015="","",IF($P$11="CFPS",[1]!S_STM07_CS(D1015,84,$G$5,$H$13)/IF([1]!S_SHARE_TOTAL(D1015,$G$5)=0,[1]!S_SHARE_TOTAL(D1015,[1]!s_ipo_listeddate(D1015)),[1]!S_SHARE_TOTAL(D1015,$G$5)),[1]!S_STM07_CS(D1015,84,$G$5,$H$13)/$E$5))</f>
        <v/>
      </c>
      <c r="Q1015" s="198" t="str">
        <f ca="1">IF(C1015="","",F1015/([1]!S_STM07_IS(D1015,61,$G$5,$H$13)/IF([1]!S_SHARE_TOTAL(D1015,$G$5)=0,[1]!S_SHARE_TOTAL(D1015,[1]!s_ipo_listeddate(D1015)),[1]!S_SHARE_TOTAL(D1015,$G$5))))</f>
        <v/>
      </c>
      <c r="R1015" s="198" t="str">
        <f ca="1">IF(C1015="","",F1015/([1]!S_STM07_BS(D1015,141,$G$5,$H$13)/IF([1]!S_SHARE_TOTAL(D1015,$G$5)=0,[1]!S_SHARE_TOTAL(D1015,[1]!s_ipo_listeddate(D1015)),[1]!S_SHARE_TOTAL(D1015,$G$5))))</f>
        <v/>
      </c>
      <c r="S1015" s="249" t="str">
        <f ca="1">IF(C1015="","",[1]!S_SHARE_TOTAL(D1015,TODAY())/$E$5)</f>
        <v/>
      </c>
      <c r="T1015" s="249" t="str">
        <f t="shared" ca="1" si="103"/>
        <v/>
      </c>
      <c r="U1015" s="172" t="str">
        <f t="shared" ca="1" si="104"/>
        <v/>
      </c>
      <c r="V1015" s="343" t="str">
        <f t="shared" ca="1" si="105"/>
        <v/>
      </c>
      <c r="W1015" s="139"/>
      <c r="Y1015" s="1"/>
    </row>
    <row r="1016" spans="3:25" ht="12" customHeight="1">
      <c r="C1016" s="342" t="str">
        <f t="shared" ca="1" si="100"/>
        <v/>
      </c>
      <c r="D1016" s="153" t="str">
        <f t="shared" ca="1" si="101"/>
        <v/>
      </c>
      <c r="E1016" s="153" t="str">
        <f t="shared" ca="1" si="102"/>
        <v/>
      </c>
      <c r="F1016" s="170" t="str">
        <f ca="1">IF(C1016="","",[1]!S_DQ_CLOSE(D1016,TODAY(),1))</f>
        <v/>
      </c>
      <c r="G1016" s="171" t="str">
        <f ca="1">IF(C1016="","",[1]!s_pq_pctchange(D1016,TODAY()-$G$12,TODAY())/100)</f>
        <v/>
      </c>
      <c r="H1016" s="247" t="str">
        <f ca="1">IF(C1016="","",IF($H$11="收入",[1]!S_STM07_IS(D1016,9,$G$5,$H$13)/$E$5,[1]!S_STM07_IS(D1016,48,$G$5,$H$13)/$E$5))</f>
        <v/>
      </c>
      <c r="I1016" s="247" t="str">
        <f ca="1">IF(C1016="","",IF($I$11="毛利率",([1]!S_STM07_IS(D1016,9,$G$5,$H$13)-[1]!S_STM07_IS(D1016,10,$G$5,$H$13))/[1]!S_STM07_IS(D1016,9,$G$5,$H$13),[1]!S_STM07_IS(D1016,14,$G$5,$H$13)/$E$5))</f>
        <v/>
      </c>
      <c r="J1016" s="247" t="str">
        <f ca="1">IF(C1016="","",IF($J$11="营业利润率",[1]!S_STM07_IS(D1016,48,$G$5,$H$13)/[1]!S_STM07_IS(D1016,9,$G$5,$H$13),([1]!S_STM07_CS(D1016,87,$G$5,$H$13)+[1]!S_STM07_CS(D1016,88,$G$5,$H$13)+[1]!S_STM07_CS(D1016,89,$G$5,$H$13))/$E$5))</f>
        <v/>
      </c>
      <c r="K1016" s="247" t="str">
        <f ca="1">IF(C1016="","",IF($K$11="净利润率",[1]!S_STM07_IS(D1016,61,$G$5,$H$13)/[1]!S_STM07_IS(D1016,9,$G$5,$H$13),[1]!S_STM07_IS(D1016,55,$G$5,$H$13)/$E$5))</f>
        <v/>
      </c>
      <c r="L1016" s="247" t="str">
        <f ca="1">IF(C1016="","",IF($L$11="ROA",[1]!S_STM07_IS(D1016,61,$G$5,$H$13)/[1]!S_STM07_BS(D1016,74,$G$5,$H$13),1-[1]!S_STM07_IS(D1016,61,$G$5,$H$13)/[1]!S_STM07_IS(D1016,55,$G$5,$H$13)))</f>
        <v/>
      </c>
      <c r="M1016" s="247" t="str">
        <f ca="1">IF(C1016="","",IF($M$11="ROE",[1]!S_STM07_IS(D1016,61,$G$5,$H$13)/[1]!S_STM07_BS(D1016,141,$G$5,$H$13),([1]!S_STM07_BS(D1016,25,$G$5,$H$13)-[1]!S_STM07_BS(D1016,93,$G$5,$H$13))/$E$5))</f>
        <v/>
      </c>
      <c r="N1016" s="247" t="str">
        <f ca="1">IF(C1016="","",IF($N$11="EPS",[1]!S_STM07_IS(D1016,61,$G$5,$H$13)/IF([1]!S_SHARE_TOTAL(D1016,$G$5)=0,[1]!S_SHARE_TOTAL(D1016,[1]!s_ipo_listeddate(D1016)),[1]!S_SHARE_TOTAL(D1016,$G$5)),([1]!S_STM07_BS(D1016,75,$G$5,$H$13)+[1]!S_STM07_BS(D1016,88,$G$5,$H$13)+[1]!S_STM07_BS(D1016,94,$G$5,$H$13)+[1]!S_STM07_BS(D1016,95,$G$5,$H$13))/$E$5))</f>
        <v/>
      </c>
      <c r="O1016" s="247" t="str">
        <f ca="1">IF(C1016="","",IF($O$11="BPS",[1]!S_STM07_BS(D1016,141,$G$5,$H$13)/IF([1]!S_SHARE_TOTAL(D1016,$G$5)=0,[1]!S_SHARE_TOTAL(D1016,[1]!s_ipo_listeddate(D1016)),[1]!S_SHARE_TOTAL(D1016,$G$5)),[1]!S_STM07_CS(D1016,49,$G$5,$H$13)/$E$5))</f>
        <v/>
      </c>
      <c r="P1016" s="247" t="str">
        <f ca="1">IF(C1016="","",IF($P$11="CFPS",[1]!S_STM07_CS(D1016,84,$G$5,$H$13)/IF([1]!S_SHARE_TOTAL(D1016,$G$5)=0,[1]!S_SHARE_TOTAL(D1016,[1]!s_ipo_listeddate(D1016)),[1]!S_SHARE_TOTAL(D1016,$G$5)),[1]!S_STM07_CS(D1016,84,$G$5,$H$13)/$E$5))</f>
        <v/>
      </c>
      <c r="Q1016" s="248" t="str">
        <f ca="1">IF(C1016="","",F1016/([1]!S_STM07_IS(D1016,61,$G$5,$H$13)/IF([1]!S_SHARE_TOTAL(D1016,$G$5)=0,[1]!S_SHARE_TOTAL(D1016,[1]!s_ipo_listeddate(D1016)),[1]!S_SHARE_TOTAL(D1016,$G$5))))</f>
        <v/>
      </c>
      <c r="R1016" s="248" t="str">
        <f ca="1">IF(C1016="","",F1016/([1]!S_STM07_BS(D1016,141,$G$5,$H$13)/IF([1]!S_SHARE_TOTAL(D1016,$G$5)=0,[1]!S_SHARE_TOTAL(D1016,[1]!s_ipo_listeddate(D1016)),[1]!S_SHARE_TOTAL(D1016,$G$5))))</f>
        <v/>
      </c>
      <c r="S1016" s="247" t="str">
        <f ca="1">IF(C1016="","",[1]!S_SHARE_TOTAL(D1016,TODAY())/$E$5)</f>
        <v/>
      </c>
      <c r="T1016" s="247" t="str">
        <f t="shared" ca="1" si="103"/>
        <v/>
      </c>
      <c r="U1016" s="218" t="str">
        <f t="shared" ca="1" si="104"/>
        <v/>
      </c>
      <c r="V1016" s="342" t="str">
        <f t="shared" ca="1" si="105"/>
        <v/>
      </c>
      <c r="W1016" s="139"/>
      <c r="Y1016" s="1"/>
    </row>
    <row r="1017" spans="3:25" ht="12" customHeight="1">
      <c r="C1017" s="343" t="str">
        <f t="shared" ca="1" si="100"/>
        <v/>
      </c>
      <c r="D1017" s="124" t="str">
        <f t="shared" ca="1" si="101"/>
        <v/>
      </c>
      <c r="E1017" s="124" t="str">
        <f t="shared" ca="1" si="102"/>
        <v/>
      </c>
      <c r="F1017" s="172" t="str">
        <f ca="1">IF(C1017="","",[1]!S_DQ_CLOSE(D1017,TODAY(),1))</f>
        <v/>
      </c>
      <c r="G1017" s="173" t="str">
        <f ca="1">IF(C1017="","",[1]!s_pq_pctchange(D1017,TODAY()-$G$12,TODAY())/100)</f>
        <v/>
      </c>
      <c r="H1017" s="249" t="str">
        <f ca="1">IF(C1017="","",IF($H$11="收入",[1]!S_STM07_IS(D1017,9,$G$5,$H$13)/$E$5,[1]!S_STM07_IS(D1017,48,$G$5,$H$13)/$E$5))</f>
        <v/>
      </c>
      <c r="I1017" s="249" t="str">
        <f ca="1">IF(C1017="","",IF($I$11="毛利率",([1]!S_STM07_IS(D1017,9,$G$5,$H$13)-[1]!S_STM07_IS(D1017,10,$G$5,$H$13))/[1]!S_STM07_IS(D1017,9,$G$5,$H$13),[1]!S_STM07_IS(D1017,14,$G$5,$H$13)/$E$5))</f>
        <v/>
      </c>
      <c r="J1017" s="249" t="str">
        <f ca="1">IF(C1017="","",IF($J$11="营业利润率",[1]!S_STM07_IS(D1017,48,$G$5,$H$13)/[1]!S_STM07_IS(D1017,9,$G$5,$H$13),([1]!S_STM07_CS(D1017,87,$G$5,$H$13)+[1]!S_STM07_CS(D1017,88,$G$5,$H$13)+[1]!S_STM07_CS(D1017,89,$G$5,$H$13))/$E$5))</f>
        <v/>
      </c>
      <c r="K1017" s="249" t="str">
        <f ca="1">IF(C1017="","",IF($K$11="净利润率",[1]!S_STM07_IS(D1017,61,$G$5,$H$13)/[1]!S_STM07_IS(D1017,9,$G$5,$H$13),[1]!S_STM07_IS(D1017,55,$G$5,$H$13)/$E$5))</f>
        <v/>
      </c>
      <c r="L1017" s="249" t="str">
        <f ca="1">IF(C1017="","",IF($L$11="ROA",[1]!S_STM07_IS(D1017,61,$G$5,$H$13)/[1]!S_STM07_BS(D1017,74,$G$5,$H$13),1-[1]!S_STM07_IS(D1017,61,$G$5,$H$13)/[1]!S_STM07_IS(D1017,55,$G$5,$H$13)))</f>
        <v/>
      </c>
      <c r="M1017" s="249" t="str">
        <f ca="1">IF(C1017="","",IF($M$11="ROE",[1]!S_STM07_IS(D1017,61,$G$5,$H$13)/[1]!S_STM07_BS(D1017,141,$G$5,$H$13),([1]!S_STM07_BS(D1017,25,$G$5,$H$13)-[1]!S_STM07_BS(D1017,93,$G$5,$H$13))/$E$5))</f>
        <v/>
      </c>
      <c r="N1017" s="250" t="str">
        <f ca="1">IF(C1017="","",IF($N$11="EPS",[1]!S_STM07_IS(D1017,61,$G$5,$H$13)/IF([1]!S_SHARE_TOTAL(D1017,$G$5)=0,[1]!S_SHARE_TOTAL(D1017,[1]!s_ipo_listeddate(D1017)),[1]!S_SHARE_TOTAL(D1017,$G$5)),([1]!S_STM07_BS(D1017,75,$G$5,$H$13)+[1]!S_STM07_BS(D1017,88,$G$5,$H$13)+[1]!S_STM07_BS(D1017,94,$G$5,$H$13)+[1]!S_STM07_BS(D1017,95,$G$5,$H$13))/$E$5))</f>
        <v/>
      </c>
      <c r="O1017" s="250" t="str">
        <f ca="1">IF(C1017="","",IF($O$11="BPS",[1]!S_STM07_BS(D1017,141,$G$5,$H$13)/IF([1]!S_SHARE_TOTAL(D1017,$G$5)=0,[1]!S_SHARE_TOTAL(D1017,[1]!s_ipo_listeddate(D1017)),[1]!S_SHARE_TOTAL(D1017,$G$5)),[1]!S_STM07_CS(D1017,49,$G$5,$H$13)/$E$5))</f>
        <v/>
      </c>
      <c r="P1017" s="250" t="str">
        <f ca="1">IF(C1017="","",IF($P$11="CFPS",[1]!S_STM07_CS(D1017,84,$G$5,$H$13)/IF([1]!S_SHARE_TOTAL(D1017,$G$5)=0,[1]!S_SHARE_TOTAL(D1017,[1]!s_ipo_listeddate(D1017)),[1]!S_SHARE_TOTAL(D1017,$G$5)),[1]!S_STM07_CS(D1017,84,$G$5,$H$13)/$E$5))</f>
        <v/>
      </c>
      <c r="Q1017" s="198" t="str">
        <f ca="1">IF(C1017="","",F1017/([1]!S_STM07_IS(D1017,61,$G$5,$H$13)/IF([1]!S_SHARE_TOTAL(D1017,$G$5)=0,[1]!S_SHARE_TOTAL(D1017,[1]!s_ipo_listeddate(D1017)),[1]!S_SHARE_TOTAL(D1017,$G$5))))</f>
        <v/>
      </c>
      <c r="R1017" s="198" t="str">
        <f ca="1">IF(C1017="","",F1017/([1]!S_STM07_BS(D1017,141,$G$5,$H$13)/IF([1]!S_SHARE_TOTAL(D1017,$G$5)=0,[1]!S_SHARE_TOTAL(D1017,[1]!s_ipo_listeddate(D1017)),[1]!S_SHARE_TOTAL(D1017,$G$5))))</f>
        <v/>
      </c>
      <c r="S1017" s="249" t="str">
        <f ca="1">IF(C1017="","",[1]!S_SHARE_TOTAL(D1017,TODAY())/$E$5)</f>
        <v/>
      </c>
      <c r="T1017" s="249" t="str">
        <f t="shared" ca="1" si="103"/>
        <v/>
      </c>
      <c r="U1017" s="172" t="str">
        <f t="shared" ca="1" si="104"/>
        <v/>
      </c>
      <c r="V1017" s="343" t="str">
        <f t="shared" ca="1" si="105"/>
        <v/>
      </c>
      <c r="W1017" s="139"/>
      <c r="Y1017" s="1"/>
    </row>
    <row r="1018" spans="3:25" ht="12" customHeight="1">
      <c r="C1018" s="342" t="str">
        <f t="shared" ca="1" si="100"/>
        <v/>
      </c>
      <c r="D1018" s="153" t="str">
        <f t="shared" ca="1" si="101"/>
        <v/>
      </c>
      <c r="E1018" s="153" t="str">
        <f t="shared" ca="1" si="102"/>
        <v/>
      </c>
      <c r="F1018" s="170" t="str">
        <f ca="1">IF(C1018="","",[1]!S_DQ_CLOSE(D1018,TODAY(),1))</f>
        <v/>
      </c>
      <c r="G1018" s="171" t="str">
        <f ca="1">IF(C1018="","",[1]!s_pq_pctchange(D1018,TODAY()-$G$12,TODAY())/100)</f>
        <v/>
      </c>
      <c r="H1018" s="247" t="str">
        <f ca="1">IF(C1018="","",IF($H$11="收入",[1]!S_STM07_IS(D1018,9,$G$5,$H$13)/$E$5,[1]!S_STM07_IS(D1018,48,$G$5,$H$13)/$E$5))</f>
        <v/>
      </c>
      <c r="I1018" s="247" t="str">
        <f ca="1">IF(C1018="","",IF($I$11="毛利率",([1]!S_STM07_IS(D1018,9,$G$5,$H$13)-[1]!S_STM07_IS(D1018,10,$G$5,$H$13))/[1]!S_STM07_IS(D1018,9,$G$5,$H$13),[1]!S_STM07_IS(D1018,14,$G$5,$H$13)/$E$5))</f>
        <v/>
      </c>
      <c r="J1018" s="247" t="str">
        <f ca="1">IF(C1018="","",IF($J$11="营业利润率",[1]!S_STM07_IS(D1018,48,$G$5,$H$13)/[1]!S_STM07_IS(D1018,9,$G$5,$H$13),([1]!S_STM07_CS(D1018,87,$G$5,$H$13)+[1]!S_STM07_CS(D1018,88,$G$5,$H$13)+[1]!S_STM07_CS(D1018,89,$G$5,$H$13))/$E$5))</f>
        <v/>
      </c>
      <c r="K1018" s="247" t="str">
        <f ca="1">IF(C1018="","",IF($K$11="净利润率",[1]!S_STM07_IS(D1018,61,$G$5,$H$13)/[1]!S_STM07_IS(D1018,9,$G$5,$H$13),[1]!S_STM07_IS(D1018,55,$G$5,$H$13)/$E$5))</f>
        <v/>
      </c>
      <c r="L1018" s="247" t="str">
        <f ca="1">IF(C1018="","",IF($L$11="ROA",[1]!S_STM07_IS(D1018,61,$G$5,$H$13)/[1]!S_STM07_BS(D1018,74,$G$5,$H$13),1-[1]!S_STM07_IS(D1018,61,$G$5,$H$13)/[1]!S_STM07_IS(D1018,55,$G$5,$H$13)))</f>
        <v/>
      </c>
      <c r="M1018" s="247" t="str">
        <f ca="1">IF(C1018="","",IF($M$11="ROE",[1]!S_STM07_IS(D1018,61,$G$5,$H$13)/[1]!S_STM07_BS(D1018,141,$G$5,$H$13),([1]!S_STM07_BS(D1018,25,$G$5,$H$13)-[1]!S_STM07_BS(D1018,93,$G$5,$H$13))/$E$5))</f>
        <v/>
      </c>
      <c r="N1018" s="247" t="str">
        <f ca="1">IF(C1018="","",IF($N$11="EPS",[1]!S_STM07_IS(D1018,61,$G$5,$H$13)/IF([1]!S_SHARE_TOTAL(D1018,$G$5)=0,[1]!S_SHARE_TOTAL(D1018,[1]!s_ipo_listeddate(D1018)),[1]!S_SHARE_TOTAL(D1018,$G$5)),([1]!S_STM07_BS(D1018,75,$G$5,$H$13)+[1]!S_STM07_BS(D1018,88,$G$5,$H$13)+[1]!S_STM07_BS(D1018,94,$G$5,$H$13)+[1]!S_STM07_BS(D1018,95,$G$5,$H$13))/$E$5))</f>
        <v/>
      </c>
      <c r="O1018" s="247" t="str">
        <f ca="1">IF(C1018="","",IF($O$11="BPS",[1]!S_STM07_BS(D1018,141,$G$5,$H$13)/IF([1]!S_SHARE_TOTAL(D1018,$G$5)=0,[1]!S_SHARE_TOTAL(D1018,[1]!s_ipo_listeddate(D1018)),[1]!S_SHARE_TOTAL(D1018,$G$5)),[1]!S_STM07_CS(D1018,49,$G$5,$H$13)/$E$5))</f>
        <v/>
      </c>
      <c r="P1018" s="247" t="str">
        <f ca="1">IF(C1018="","",IF($P$11="CFPS",[1]!S_STM07_CS(D1018,84,$G$5,$H$13)/IF([1]!S_SHARE_TOTAL(D1018,$G$5)=0,[1]!S_SHARE_TOTAL(D1018,[1]!s_ipo_listeddate(D1018)),[1]!S_SHARE_TOTAL(D1018,$G$5)),[1]!S_STM07_CS(D1018,84,$G$5,$H$13)/$E$5))</f>
        <v/>
      </c>
      <c r="Q1018" s="248" t="str">
        <f ca="1">IF(C1018="","",F1018/([1]!S_STM07_IS(D1018,61,$G$5,$H$13)/IF([1]!S_SHARE_TOTAL(D1018,$G$5)=0,[1]!S_SHARE_TOTAL(D1018,[1]!s_ipo_listeddate(D1018)),[1]!S_SHARE_TOTAL(D1018,$G$5))))</f>
        <v/>
      </c>
      <c r="R1018" s="248" t="str">
        <f ca="1">IF(C1018="","",F1018/([1]!S_STM07_BS(D1018,141,$G$5,$H$13)/IF([1]!S_SHARE_TOTAL(D1018,$G$5)=0,[1]!S_SHARE_TOTAL(D1018,[1]!s_ipo_listeddate(D1018)),[1]!S_SHARE_TOTAL(D1018,$G$5))))</f>
        <v/>
      </c>
      <c r="S1018" s="247" t="str">
        <f ca="1">IF(C1018="","",[1]!S_SHARE_TOTAL(D1018,TODAY())/$E$5)</f>
        <v/>
      </c>
      <c r="T1018" s="247" t="str">
        <f t="shared" ca="1" si="103"/>
        <v/>
      </c>
      <c r="U1018" s="218" t="str">
        <f t="shared" ca="1" si="104"/>
        <v/>
      </c>
      <c r="V1018" s="342" t="str">
        <f t="shared" ca="1" si="105"/>
        <v/>
      </c>
      <c r="W1018" s="139"/>
      <c r="Y1018" s="1"/>
    </row>
    <row r="1019" spans="3:25" ht="12" customHeight="1">
      <c r="C1019" s="343" t="str">
        <f t="shared" ca="1" si="100"/>
        <v/>
      </c>
      <c r="D1019" s="124" t="str">
        <f t="shared" ca="1" si="101"/>
        <v/>
      </c>
      <c r="E1019" s="124" t="str">
        <f t="shared" ca="1" si="102"/>
        <v/>
      </c>
      <c r="F1019" s="172" t="str">
        <f ca="1">IF(C1019="","",[1]!S_DQ_CLOSE(D1019,TODAY(),1))</f>
        <v/>
      </c>
      <c r="G1019" s="173" t="str">
        <f ca="1">IF(C1019="","",[1]!s_pq_pctchange(D1019,TODAY()-$G$12,TODAY())/100)</f>
        <v/>
      </c>
      <c r="H1019" s="249" t="str">
        <f ca="1">IF(C1019="","",IF($H$11="收入",[1]!S_STM07_IS(D1019,9,$G$5,$H$13)/$E$5,[1]!S_STM07_IS(D1019,48,$G$5,$H$13)/$E$5))</f>
        <v/>
      </c>
      <c r="I1019" s="249" t="str">
        <f ca="1">IF(C1019="","",IF($I$11="毛利率",([1]!S_STM07_IS(D1019,9,$G$5,$H$13)-[1]!S_STM07_IS(D1019,10,$G$5,$H$13))/[1]!S_STM07_IS(D1019,9,$G$5,$H$13),[1]!S_STM07_IS(D1019,14,$G$5,$H$13)/$E$5))</f>
        <v/>
      </c>
      <c r="J1019" s="249" t="str">
        <f ca="1">IF(C1019="","",IF($J$11="营业利润率",[1]!S_STM07_IS(D1019,48,$G$5,$H$13)/[1]!S_STM07_IS(D1019,9,$G$5,$H$13),([1]!S_STM07_CS(D1019,87,$G$5,$H$13)+[1]!S_STM07_CS(D1019,88,$G$5,$H$13)+[1]!S_STM07_CS(D1019,89,$G$5,$H$13))/$E$5))</f>
        <v/>
      </c>
      <c r="K1019" s="249" t="str">
        <f ca="1">IF(C1019="","",IF($K$11="净利润率",[1]!S_STM07_IS(D1019,61,$G$5,$H$13)/[1]!S_STM07_IS(D1019,9,$G$5,$H$13),[1]!S_STM07_IS(D1019,55,$G$5,$H$13)/$E$5))</f>
        <v/>
      </c>
      <c r="L1019" s="249" t="str">
        <f ca="1">IF(C1019="","",IF($L$11="ROA",[1]!S_STM07_IS(D1019,61,$G$5,$H$13)/[1]!S_STM07_BS(D1019,74,$G$5,$H$13),1-[1]!S_STM07_IS(D1019,61,$G$5,$H$13)/[1]!S_STM07_IS(D1019,55,$G$5,$H$13)))</f>
        <v/>
      </c>
      <c r="M1019" s="249" t="str">
        <f ca="1">IF(C1019="","",IF($M$11="ROE",[1]!S_STM07_IS(D1019,61,$G$5,$H$13)/[1]!S_STM07_BS(D1019,141,$G$5,$H$13),([1]!S_STM07_BS(D1019,25,$G$5,$H$13)-[1]!S_STM07_BS(D1019,93,$G$5,$H$13))/$E$5))</f>
        <v/>
      </c>
      <c r="N1019" s="250" t="str">
        <f ca="1">IF(C1019="","",IF($N$11="EPS",[1]!S_STM07_IS(D1019,61,$G$5,$H$13)/IF([1]!S_SHARE_TOTAL(D1019,$G$5)=0,[1]!S_SHARE_TOTAL(D1019,[1]!s_ipo_listeddate(D1019)),[1]!S_SHARE_TOTAL(D1019,$G$5)),([1]!S_STM07_BS(D1019,75,$G$5,$H$13)+[1]!S_STM07_BS(D1019,88,$G$5,$H$13)+[1]!S_STM07_BS(D1019,94,$G$5,$H$13)+[1]!S_STM07_BS(D1019,95,$G$5,$H$13))/$E$5))</f>
        <v/>
      </c>
      <c r="O1019" s="250" t="str">
        <f ca="1">IF(C1019="","",IF($O$11="BPS",[1]!S_STM07_BS(D1019,141,$G$5,$H$13)/IF([1]!S_SHARE_TOTAL(D1019,$G$5)=0,[1]!S_SHARE_TOTAL(D1019,[1]!s_ipo_listeddate(D1019)),[1]!S_SHARE_TOTAL(D1019,$G$5)),[1]!S_STM07_CS(D1019,49,$G$5,$H$13)/$E$5))</f>
        <v/>
      </c>
      <c r="P1019" s="250" t="str">
        <f ca="1">IF(C1019="","",IF($P$11="CFPS",[1]!S_STM07_CS(D1019,84,$G$5,$H$13)/IF([1]!S_SHARE_TOTAL(D1019,$G$5)=0,[1]!S_SHARE_TOTAL(D1019,[1]!s_ipo_listeddate(D1019)),[1]!S_SHARE_TOTAL(D1019,$G$5)),[1]!S_STM07_CS(D1019,84,$G$5,$H$13)/$E$5))</f>
        <v/>
      </c>
      <c r="Q1019" s="198" t="str">
        <f ca="1">IF(C1019="","",F1019/([1]!S_STM07_IS(D1019,61,$G$5,$H$13)/IF([1]!S_SHARE_TOTAL(D1019,$G$5)=0,[1]!S_SHARE_TOTAL(D1019,[1]!s_ipo_listeddate(D1019)),[1]!S_SHARE_TOTAL(D1019,$G$5))))</f>
        <v/>
      </c>
      <c r="R1019" s="198" t="str">
        <f ca="1">IF(C1019="","",F1019/([1]!S_STM07_BS(D1019,141,$G$5,$H$13)/IF([1]!S_SHARE_TOTAL(D1019,$G$5)=0,[1]!S_SHARE_TOTAL(D1019,[1]!s_ipo_listeddate(D1019)),[1]!S_SHARE_TOTAL(D1019,$G$5))))</f>
        <v/>
      </c>
      <c r="S1019" s="249" t="str">
        <f ca="1">IF(C1019="","",[1]!S_SHARE_TOTAL(D1019,TODAY())/$E$5)</f>
        <v/>
      </c>
      <c r="T1019" s="249" t="str">
        <f t="shared" ca="1" si="103"/>
        <v/>
      </c>
      <c r="U1019" s="172" t="str">
        <f t="shared" ca="1" si="104"/>
        <v/>
      </c>
      <c r="V1019" s="343" t="str">
        <f t="shared" ca="1" si="105"/>
        <v/>
      </c>
      <c r="W1019" s="139"/>
      <c r="Y1019" s="1"/>
    </row>
    <row r="1020" spans="3:25" ht="12" customHeight="1">
      <c r="C1020" s="342" t="str">
        <f t="shared" ca="1" si="100"/>
        <v/>
      </c>
      <c r="D1020" s="153" t="str">
        <f t="shared" ca="1" si="101"/>
        <v/>
      </c>
      <c r="E1020" s="153" t="str">
        <f t="shared" ca="1" si="102"/>
        <v/>
      </c>
      <c r="F1020" s="170" t="str">
        <f ca="1">IF(C1020="","",[1]!S_DQ_CLOSE(D1020,TODAY(),1))</f>
        <v/>
      </c>
      <c r="G1020" s="171" t="str">
        <f ca="1">IF(C1020="","",[1]!s_pq_pctchange(D1020,TODAY()-$G$12,TODAY())/100)</f>
        <v/>
      </c>
      <c r="H1020" s="247" t="str">
        <f ca="1">IF(C1020="","",IF($H$11="收入",[1]!S_STM07_IS(D1020,9,$G$5,$H$13)/$E$5,[1]!S_STM07_IS(D1020,48,$G$5,$H$13)/$E$5))</f>
        <v/>
      </c>
      <c r="I1020" s="247" t="str">
        <f ca="1">IF(C1020="","",IF($I$11="毛利率",([1]!S_STM07_IS(D1020,9,$G$5,$H$13)-[1]!S_STM07_IS(D1020,10,$G$5,$H$13))/[1]!S_STM07_IS(D1020,9,$G$5,$H$13),[1]!S_STM07_IS(D1020,14,$G$5,$H$13)/$E$5))</f>
        <v/>
      </c>
      <c r="J1020" s="247" t="str">
        <f ca="1">IF(C1020="","",IF($J$11="营业利润率",[1]!S_STM07_IS(D1020,48,$G$5,$H$13)/[1]!S_STM07_IS(D1020,9,$G$5,$H$13),([1]!S_STM07_CS(D1020,87,$G$5,$H$13)+[1]!S_STM07_CS(D1020,88,$G$5,$H$13)+[1]!S_STM07_CS(D1020,89,$G$5,$H$13))/$E$5))</f>
        <v/>
      </c>
      <c r="K1020" s="247" t="str">
        <f ca="1">IF(C1020="","",IF($K$11="净利润率",[1]!S_STM07_IS(D1020,61,$G$5,$H$13)/[1]!S_STM07_IS(D1020,9,$G$5,$H$13),[1]!S_STM07_IS(D1020,55,$G$5,$H$13)/$E$5))</f>
        <v/>
      </c>
      <c r="L1020" s="247" t="str">
        <f ca="1">IF(C1020="","",IF($L$11="ROA",[1]!S_STM07_IS(D1020,61,$G$5,$H$13)/[1]!S_STM07_BS(D1020,74,$G$5,$H$13),1-[1]!S_STM07_IS(D1020,61,$G$5,$H$13)/[1]!S_STM07_IS(D1020,55,$G$5,$H$13)))</f>
        <v/>
      </c>
      <c r="M1020" s="247" t="str">
        <f ca="1">IF(C1020="","",IF($M$11="ROE",[1]!S_STM07_IS(D1020,61,$G$5,$H$13)/[1]!S_STM07_BS(D1020,141,$G$5,$H$13),([1]!S_STM07_BS(D1020,25,$G$5,$H$13)-[1]!S_STM07_BS(D1020,93,$G$5,$H$13))/$E$5))</f>
        <v/>
      </c>
      <c r="N1020" s="247" t="str">
        <f ca="1">IF(C1020="","",IF($N$11="EPS",[1]!S_STM07_IS(D1020,61,$G$5,$H$13)/IF([1]!S_SHARE_TOTAL(D1020,$G$5)=0,[1]!S_SHARE_TOTAL(D1020,[1]!s_ipo_listeddate(D1020)),[1]!S_SHARE_TOTAL(D1020,$G$5)),([1]!S_STM07_BS(D1020,75,$G$5,$H$13)+[1]!S_STM07_BS(D1020,88,$G$5,$H$13)+[1]!S_STM07_BS(D1020,94,$G$5,$H$13)+[1]!S_STM07_BS(D1020,95,$G$5,$H$13))/$E$5))</f>
        <v/>
      </c>
      <c r="O1020" s="247" t="str">
        <f ca="1">IF(C1020="","",IF($O$11="BPS",[1]!S_STM07_BS(D1020,141,$G$5,$H$13)/IF([1]!S_SHARE_TOTAL(D1020,$G$5)=0,[1]!S_SHARE_TOTAL(D1020,[1]!s_ipo_listeddate(D1020)),[1]!S_SHARE_TOTAL(D1020,$G$5)),[1]!S_STM07_CS(D1020,49,$G$5,$H$13)/$E$5))</f>
        <v/>
      </c>
      <c r="P1020" s="247" t="str">
        <f ca="1">IF(C1020="","",IF($P$11="CFPS",[1]!S_STM07_CS(D1020,84,$G$5,$H$13)/IF([1]!S_SHARE_TOTAL(D1020,$G$5)=0,[1]!S_SHARE_TOTAL(D1020,[1]!s_ipo_listeddate(D1020)),[1]!S_SHARE_TOTAL(D1020,$G$5)),[1]!S_STM07_CS(D1020,84,$G$5,$H$13)/$E$5))</f>
        <v/>
      </c>
      <c r="Q1020" s="248" t="str">
        <f ca="1">IF(C1020="","",F1020/([1]!S_STM07_IS(D1020,61,$G$5,$H$13)/IF([1]!S_SHARE_TOTAL(D1020,$G$5)=0,[1]!S_SHARE_TOTAL(D1020,[1]!s_ipo_listeddate(D1020)),[1]!S_SHARE_TOTAL(D1020,$G$5))))</f>
        <v/>
      </c>
      <c r="R1020" s="248" t="str">
        <f ca="1">IF(C1020="","",F1020/([1]!S_STM07_BS(D1020,141,$G$5,$H$13)/IF([1]!S_SHARE_TOTAL(D1020,$G$5)=0,[1]!S_SHARE_TOTAL(D1020,[1]!s_ipo_listeddate(D1020)),[1]!S_SHARE_TOTAL(D1020,$G$5))))</f>
        <v/>
      </c>
      <c r="S1020" s="247" t="str">
        <f ca="1">IF(C1020="","",[1]!S_SHARE_TOTAL(D1020,TODAY())/$E$5)</f>
        <v/>
      </c>
      <c r="T1020" s="247" t="str">
        <f t="shared" ca="1" si="103"/>
        <v/>
      </c>
      <c r="U1020" s="218" t="str">
        <f t="shared" ca="1" si="104"/>
        <v/>
      </c>
      <c r="V1020" s="342" t="str">
        <f t="shared" ca="1" si="105"/>
        <v/>
      </c>
      <c r="W1020" s="139"/>
      <c r="Y1020" s="1"/>
    </row>
    <row r="1021" spans="3:25" ht="12" customHeight="1">
      <c r="C1021" s="343" t="str">
        <f t="shared" ca="1" si="100"/>
        <v/>
      </c>
      <c r="D1021" s="124" t="str">
        <f t="shared" ca="1" si="101"/>
        <v/>
      </c>
      <c r="E1021" s="124" t="str">
        <f t="shared" ca="1" si="102"/>
        <v/>
      </c>
      <c r="F1021" s="172" t="str">
        <f ca="1">IF(C1021="","",[1]!S_DQ_CLOSE(D1021,TODAY(),1))</f>
        <v/>
      </c>
      <c r="G1021" s="173" t="str">
        <f ca="1">IF(C1021="","",[1]!s_pq_pctchange(D1021,TODAY()-$G$12,TODAY())/100)</f>
        <v/>
      </c>
      <c r="H1021" s="249" t="str">
        <f ca="1">IF(C1021="","",IF($H$11="收入",[1]!S_STM07_IS(D1021,9,$G$5,$H$13)/$E$5,[1]!S_STM07_IS(D1021,48,$G$5,$H$13)/$E$5))</f>
        <v/>
      </c>
      <c r="I1021" s="249" t="str">
        <f ca="1">IF(C1021="","",IF($I$11="毛利率",([1]!S_STM07_IS(D1021,9,$G$5,$H$13)-[1]!S_STM07_IS(D1021,10,$G$5,$H$13))/[1]!S_STM07_IS(D1021,9,$G$5,$H$13),[1]!S_STM07_IS(D1021,14,$G$5,$H$13)/$E$5))</f>
        <v/>
      </c>
      <c r="J1021" s="249" t="str">
        <f ca="1">IF(C1021="","",IF($J$11="营业利润率",[1]!S_STM07_IS(D1021,48,$G$5,$H$13)/[1]!S_STM07_IS(D1021,9,$G$5,$H$13),([1]!S_STM07_CS(D1021,87,$G$5,$H$13)+[1]!S_STM07_CS(D1021,88,$G$5,$H$13)+[1]!S_STM07_CS(D1021,89,$G$5,$H$13))/$E$5))</f>
        <v/>
      </c>
      <c r="K1021" s="249" t="str">
        <f ca="1">IF(C1021="","",IF($K$11="净利润率",[1]!S_STM07_IS(D1021,61,$G$5,$H$13)/[1]!S_STM07_IS(D1021,9,$G$5,$H$13),[1]!S_STM07_IS(D1021,55,$G$5,$H$13)/$E$5))</f>
        <v/>
      </c>
      <c r="L1021" s="249" t="str">
        <f ca="1">IF(C1021="","",IF($L$11="ROA",[1]!S_STM07_IS(D1021,61,$G$5,$H$13)/[1]!S_STM07_BS(D1021,74,$G$5,$H$13),1-[1]!S_STM07_IS(D1021,61,$G$5,$H$13)/[1]!S_STM07_IS(D1021,55,$G$5,$H$13)))</f>
        <v/>
      </c>
      <c r="M1021" s="249" t="str">
        <f ca="1">IF(C1021="","",IF($M$11="ROE",[1]!S_STM07_IS(D1021,61,$G$5,$H$13)/[1]!S_STM07_BS(D1021,141,$G$5,$H$13),([1]!S_STM07_BS(D1021,25,$G$5,$H$13)-[1]!S_STM07_BS(D1021,93,$G$5,$H$13))/$E$5))</f>
        <v/>
      </c>
      <c r="N1021" s="250" t="str">
        <f ca="1">IF(C1021="","",IF($N$11="EPS",[1]!S_STM07_IS(D1021,61,$G$5,$H$13)/IF([1]!S_SHARE_TOTAL(D1021,$G$5)=0,[1]!S_SHARE_TOTAL(D1021,[1]!s_ipo_listeddate(D1021)),[1]!S_SHARE_TOTAL(D1021,$G$5)),([1]!S_STM07_BS(D1021,75,$G$5,$H$13)+[1]!S_STM07_BS(D1021,88,$G$5,$H$13)+[1]!S_STM07_BS(D1021,94,$G$5,$H$13)+[1]!S_STM07_BS(D1021,95,$G$5,$H$13))/$E$5))</f>
        <v/>
      </c>
      <c r="O1021" s="250" t="str">
        <f ca="1">IF(C1021="","",IF($O$11="BPS",[1]!S_STM07_BS(D1021,141,$G$5,$H$13)/IF([1]!S_SHARE_TOTAL(D1021,$G$5)=0,[1]!S_SHARE_TOTAL(D1021,[1]!s_ipo_listeddate(D1021)),[1]!S_SHARE_TOTAL(D1021,$G$5)),[1]!S_STM07_CS(D1021,49,$G$5,$H$13)/$E$5))</f>
        <v/>
      </c>
      <c r="P1021" s="250" t="str">
        <f ca="1">IF(C1021="","",IF($P$11="CFPS",[1]!S_STM07_CS(D1021,84,$G$5,$H$13)/IF([1]!S_SHARE_TOTAL(D1021,$G$5)=0,[1]!S_SHARE_TOTAL(D1021,[1]!s_ipo_listeddate(D1021)),[1]!S_SHARE_TOTAL(D1021,$G$5)),[1]!S_STM07_CS(D1021,84,$G$5,$H$13)/$E$5))</f>
        <v/>
      </c>
      <c r="Q1021" s="198" t="str">
        <f ca="1">IF(C1021="","",F1021/([1]!S_STM07_IS(D1021,61,$G$5,$H$13)/IF([1]!S_SHARE_TOTAL(D1021,$G$5)=0,[1]!S_SHARE_TOTAL(D1021,[1]!s_ipo_listeddate(D1021)),[1]!S_SHARE_TOTAL(D1021,$G$5))))</f>
        <v/>
      </c>
      <c r="R1021" s="198" t="str">
        <f ca="1">IF(C1021="","",F1021/([1]!S_STM07_BS(D1021,141,$G$5,$H$13)/IF([1]!S_SHARE_TOTAL(D1021,$G$5)=0,[1]!S_SHARE_TOTAL(D1021,[1]!s_ipo_listeddate(D1021)),[1]!S_SHARE_TOTAL(D1021,$G$5))))</f>
        <v/>
      </c>
      <c r="S1021" s="249" t="str">
        <f ca="1">IF(C1021="","",[1]!S_SHARE_TOTAL(D1021,TODAY())/$E$5)</f>
        <v/>
      </c>
      <c r="T1021" s="249" t="str">
        <f t="shared" ca="1" si="103"/>
        <v/>
      </c>
      <c r="U1021" s="172" t="str">
        <f t="shared" ca="1" si="104"/>
        <v/>
      </c>
      <c r="V1021" s="343" t="str">
        <f t="shared" ca="1" si="105"/>
        <v/>
      </c>
      <c r="W1021" s="139"/>
      <c r="Y1021" s="1"/>
    </row>
    <row r="1022" spans="3:25" ht="12" customHeight="1">
      <c r="C1022" s="342" t="str">
        <f t="shared" ca="1" si="100"/>
        <v/>
      </c>
      <c r="D1022" s="153" t="str">
        <f t="shared" ca="1" si="101"/>
        <v/>
      </c>
      <c r="E1022" s="153" t="str">
        <f t="shared" ca="1" si="102"/>
        <v/>
      </c>
      <c r="F1022" s="170" t="str">
        <f ca="1">IF(C1022="","",[1]!S_DQ_CLOSE(D1022,TODAY(),1))</f>
        <v/>
      </c>
      <c r="G1022" s="171" t="str">
        <f ca="1">IF(C1022="","",[1]!s_pq_pctchange(D1022,TODAY()-$G$12,TODAY())/100)</f>
        <v/>
      </c>
      <c r="H1022" s="247" t="str">
        <f ca="1">IF(C1022="","",IF($H$11="收入",[1]!S_STM07_IS(D1022,9,$G$5,$H$13)/$E$5,[1]!S_STM07_IS(D1022,48,$G$5,$H$13)/$E$5))</f>
        <v/>
      </c>
      <c r="I1022" s="247" t="str">
        <f ca="1">IF(C1022="","",IF($I$11="毛利率",([1]!S_STM07_IS(D1022,9,$G$5,$H$13)-[1]!S_STM07_IS(D1022,10,$G$5,$H$13))/[1]!S_STM07_IS(D1022,9,$G$5,$H$13),[1]!S_STM07_IS(D1022,14,$G$5,$H$13)/$E$5))</f>
        <v/>
      </c>
      <c r="J1022" s="247" t="str">
        <f ca="1">IF(C1022="","",IF($J$11="营业利润率",[1]!S_STM07_IS(D1022,48,$G$5,$H$13)/[1]!S_STM07_IS(D1022,9,$G$5,$H$13),([1]!S_STM07_CS(D1022,87,$G$5,$H$13)+[1]!S_STM07_CS(D1022,88,$G$5,$H$13)+[1]!S_STM07_CS(D1022,89,$G$5,$H$13))/$E$5))</f>
        <v/>
      </c>
      <c r="K1022" s="247" t="str">
        <f ca="1">IF(C1022="","",IF($K$11="净利润率",[1]!S_STM07_IS(D1022,61,$G$5,$H$13)/[1]!S_STM07_IS(D1022,9,$G$5,$H$13),[1]!S_STM07_IS(D1022,55,$G$5,$H$13)/$E$5))</f>
        <v/>
      </c>
      <c r="L1022" s="247" t="str">
        <f ca="1">IF(C1022="","",IF($L$11="ROA",[1]!S_STM07_IS(D1022,61,$G$5,$H$13)/[1]!S_STM07_BS(D1022,74,$G$5,$H$13),1-[1]!S_STM07_IS(D1022,61,$G$5,$H$13)/[1]!S_STM07_IS(D1022,55,$G$5,$H$13)))</f>
        <v/>
      </c>
      <c r="M1022" s="247" t="str">
        <f ca="1">IF(C1022="","",IF($M$11="ROE",[1]!S_STM07_IS(D1022,61,$G$5,$H$13)/[1]!S_STM07_BS(D1022,141,$G$5,$H$13),([1]!S_STM07_BS(D1022,25,$G$5,$H$13)-[1]!S_STM07_BS(D1022,93,$G$5,$H$13))/$E$5))</f>
        <v/>
      </c>
      <c r="N1022" s="247" t="str">
        <f ca="1">IF(C1022="","",IF($N$11="EPS",[1]!S_STM07_IS(D1022,61,$G$5,$H$13)/IF([1]!S_SHARE_TOTAL(D1022,$G$5)=0,[1]!S_SHARE_TOTAL(D1022,[1]!s_ipo_listeddate(D1022)),[1]!S_SHARE_TOTAL(D1022,$G$5)),([1]!S_STM07_BS(D1022,75,$G$5,$H$13)+[1]!S_STM07_BS(D1022,88,$G$5,$H$13)+[1]!S_STM07_BS(D1022,94,$G$5,$H$13)+[1]!S_STM07_BS(D1022,95,$G$5,$H$13))/$E$5))</f>
        <v/>
      </c>
      <c r="O1022" s="247" t="str">
        <f ca="1">IF(C1022="","",IF($O$11="BPS",[1]!S_STM07_BS(D1022,141,$G$5,$H$13)/IF([1]!S_SHARE_TOTAL(D1022,$G$5)=0,[1]!S_SHARE_TOTAL(D1022,[1]!s_ipo_listeddate(D1022)),[1]!S_SHARE_TOTAL(D1022,$G$5)),[1]!S_STM07_CS(D1022,49,$G$5,$H$13)/$E$5))</f>
        <v/>
      </c>
      <c r="P1022" s="247" t="str">
        <f ca="1">IF(C1022="","",IF($P$11="CFPS",[1]!S_STM07_CS(D1022,84,$G$5,$H$13)/IF([1]!S_SHARE_TOTAL(D1022,$G$5)=0,[1]!S_SHARE_TOTAL(D1022,[1]!s_ipo_listeddate(D1022)),[1]!S_SHARE_TOTAL(D1022,$G$5)),[1]!S_STM07_CS(D1022,84,$G$5,$H$13)/$E$5))</f>
        <v/>
      </c>
      <c r="Q1022" s="248" t="str">
        <f ca="1">IF(C1022="","",F1022/([1]!S_STM07_IS(D1022,61,$G$5,$H$13)/IF([1]!S_SHARE_TOTAL(D1022,$G$5)=0,[1]!S_SHARE_TOTAL(D1022,[1]!s_ipo_listeddate(D1022)),[1]!S_SHARE_TOTAL(D1022,$G$5))))</f>
        <v/>
      </c>
      <c r="R1022" s="248" t="str">
        <f ca="1">IF(C1022="","",F1022/([1]!S_STM07_BS(D1022,141,$G$5,$H$13)/IF([1]!S_SHARE_TOTAL(D1022,$G$5)=0,[1]!S_SHARE_TOTAL(D1022,[1]!s_ipo_listeddate(D1022)),[1]!S_SHARE_TOTAL(D1022,$G$5))))</f>
        <v/>
      </c>
      <c r="S1022" s="247" t="str">
        <f ca="1">IF(C1022="","",[1]!S_SHARE_TOTAL(D1022,TODAY())/$E$5)</f>
        <v/>
      </c>
      <c r="T1022" s="247" t="str">
        <f t="shared" ca="1" si="103"/>
        <v/>
      </c>
      <c r="U1022" s="218" t="str">
        <f t="shared" ca="1" si="104"/>
        <v/>
      </c>
      <c r="V1022" s="342" t="str">
        <f t="shared" ca="1" si="105"/>
        <v/>
      </c>
      <c r="W1022" s="139"/>
      <c r="Y1022" s="1"/>
    </row>
    <row r="1023" spans="3:25" ht="12" customHeight="1">
      <c r="C1023" s="343" t="str">
        <f t="shared" ca="1" si="100"/>
        <v/>
      </c>
      <c r="D1023" s="124" t="str">
        <f t="shared" ca="1" si="101"/>
        <v/>
      </c>
      <c r="E1023" s="124" t="str">
        <f t="shared" ca="1" si="102"/>
        <v/>
      </c>
      <c r="F1023" s="172" t="str">
        <f ca="1">IF(C1023="","",[1]!S_DQ_CLOSE(D1023,TODAY(),1))</f>
        <v/>
      </c>
      <c r="G1023" s="173" t="str">
        <f ca="1">IF(C1023="","",[1]!s_pq_pctchange(D1023,TODAY()-$G$12,TODAY())/100)</f>
        <v/>
      </c>
      <c r="H1023" s="249" t="str">
        <f ca="1">IF(C1023="","",IF($H$11="收入",[1]!S_STM07_IS(D1023,9,$G$5,$H$13)/$E$5,[1]!S_STM07_IS(D1023,48,$G$5,$H$13)/$E$5))</f>
        <v/>
      </c>
      <c r="I1023" s="249" t="str">
        <f ca="1">IF(C1023="","",IF($I$11="毛利率",([1]!S_STM07_IS(D1023,9,$G$5,$H$13)-[1]!S_STM07_IS(D1023,10,$G$5,$H$13))/[1]!S_STM07_IS(D1023,9,$G$5,$H$13),[1]!S_STM07_IS(D1023,14,$G$5,$H$13)/$E$5))</f>
        <v/>
      </c>
      <c r="J1023" s="249" t="str">
        <f ca="1">IF(C1023="","",IF($J$11="营业利润率",[1]!S_STM07_IS(D1023,48,$G$5,$H$13)/[1]!S_STM07_IS(D1023,9,$G$5,$H$13),([1]!S_STM07_CS(D1023,87,$G$5,$H$13)+[1]!S_STM07_CS(D1023,88,$G$5,$H$13)+[1]!S_STM07_CS(D1023,89,$G$5,$H$13))/$E$5))</f>
        <v/>
      </c>
      <c r="K1023" s="249" t="str">
        <f ca="1">IF(C1023="","",IF($K$11="净利润率",[1]!S_STM07_IS(D1023,61,$G$5,$H$13)/[1]!S_STM07_IS(D1023,9,$G$5,$H$13),[1]!S_STM07_IS(D1023,55,$G$5,$H$13)/$E$5))</f>
        <v/>
      </c>
      <c r="L1023" s="249" t="str">
        <f ca="1">IF(C1023="","",IF($L$11="ROA",[1]!S_STM07_IS(D1023,61,$G$5,$H$13)/[1]!S_STM07_BS(D1023,74,$G$5,$H$13),1-[1]!S_STM07_IS(D1023,61,$G$5,$H$13)/[1]!S_STM07_IS(D1023,55,$G$5,$H$13)))</f>
        <v/>
      </c>
      <c r="M1023" s="249" t="str">
        <f ca="1">IF(C1023="","",IF($M$11="ROE",[1]!S_STM07_IS(D1023,61,$G$5,$H$13)/[1]!S_STM07_BS(D1023,141,$G$5,$H$13),([1]!S_STM07_BS(D1023,25,$G$5,$H$13)-[1]!S_STM07_BS(D1023,93,$G$5,$H$13))/$E$5))</f>
        <v/>
      </c>
      <c r="N1023" s="250" t="str">
        <f ca="1">IF(C1023="","",IF($N$11="EPS",[1]!S_STM07_IS(D1023,61,$G$5,$H$13)/IF([1]!S_SHARE_TOTAL(D1023,$G$5)=0,[1]!S_SHARE_TOTAL(D1023,[1]!s_ipo_listeddate(D1023)),[1]!S_SHARE_TOTAL(D1023,$G$5)),([1]!S_STM07_BS(D1023,75,$G$5,$H$13)+[1]!S_STM07_BS(D1023,88,$G$5,$H$13)+[1]!S_STM07_BS(D1023,94,$G$5,$H$13)+[1]!S_STM07_BS(D1023,95,$G$5,$H$13))/$E$5))</f>
        <v/>
      </c>
      <c r="O1023" s="250" t="str">
        <f ca="1">IF(C1023="","",IF($O$11="BPS",[1]!S_STM07_BS(D1023,141,$G$5,$H$13)/IF([1]!S_SHARE_TOTAL(D1023,$G$5)=0,[1]!S_SHARE_TOTAL(D1023,[1]!s_ipo_listeddate(D1023)),[1]!S_SHARE_TOTAL(D1023,$G$5)),[1]!S_STM07_CS(D1023,49,$G$5,$H$13)/$E$5))</f>
        <v/>
      </c>
      <c r="P1023" s="250" t="str">
        <f ca="1">IF(C1023="","",IF($P$11="CFPS",[1]!S_STM07_CS(D1023,84,$G$5,$H$13)/IF([1]!S_SHARE_TOTAL(D1023,$G$5)=0,[1]!S_SHARE_TOTAL(D1023,[1]!s_ipo_listeddate(D1023)),[1]!S_SHARE_TOTAL(D1023,$G$5)),[1]!S_STM07_CS(D1023,84,$G$5,$H$13)/$E$5))</f>
        <v/>
      </c>
      <c r="Q1023" s="198" t="str">
        <f ca="1">IF(C1023="","",F1023/([1]!S_STM07_IS(D1023,61,$G$5,$H$13)/IF([1]!S_SHARE_TOTAL(D1023,$G$5)=0,[1]!S_SHARE_TOTAL(D1023,[1]!s_ipo_listeddate(D1023)),[1]!S_SHARE_TOTAL(D1023,$G$5))))</f>
        <v/>
      </c>
      <c r="R1023" s="198" t="str">
        <f ca="1">IF(C1023="","",F1023/([1]!S_STM07_BS(D1023,141,$G$5,$H$13)/IF([1]!S_SHARE_TOTAL(D1023,$G$5)=0,[1]!S_SHARE_TOTAL(D1023,[1]!s_ipo_listeddate(D1023)),[1]!S_SHARE_TOTAL(D1023,$G$5))))</f>
        <v/>
      </c>
      <c r="S1023" s="249" t="str">
        <f ca="1">IF(C1023="","",[1]!S_SHARE_TOTAL(D1023,TODAY())/$E$5)</f>
        <v/>
      </c>
      <c r="T1023" s="249" t="str">
        <f t="shared" ca="1" si="103"/>
        <v/>
      </c>
      <c r="U1023" s="172" t="str">
        <f t="shared" ca="1" si="104"/>
        <v/>
      </c>
      <c r="V1023" s="343" t="str">
        <f t="shared" ca="1" si="105"/>
        <v/>
      </c>
      <c r="W1023" s="139"/>
      <c r="Y1023" s="1"/>
    </row>
    <row r="1024" spans="3:25" ht="12" customHeight="1">
      <c r="C1024" s="342" t="str">
        <f t="shared" ca="1" si="100"/>
        <v/>
      </c>
      <c r="D1024" s="153" t="str">
        <f t="shared" ca="1" si="101"/>
        <v/>
      </c>
      <c r="E1024" s="153" t="str">
        <f t="shared" ca="1" si="102"/>
        <v/>
      </c>
      <c r="F1024" s="170" t="str">
        <f ca="1">IF(C1024="","",[1]!S_DQ_CLOSE(D1024,TODAY(),1))</f>
        <v/>
      </c>
      <c r="G1024" s="171" t="str">
        <f ca="1">IF(C1024="","",[1]!s_pq_pctchange(D1024,TODAY()-$G$12,TODAY())/100)</f>
        <v/>
      </c>
      <c r="H1024" s="247" t="str">
        <f ca="1">IF(C1024="","",IF($H$11="收入",[1]!S_STM07_IS(D1024,9,$G$5,$H$13)/$E$5,[1]!S_STM07_IS(D1024,48,$G$5,$H$13)/$E$5))</f>
        <v/>
      </c>
      <c r="I1024" s="247" t="str">
        <f ca="1">IF(C1024="","",IF($I$11="毛利率",([1]!S_STM07_IS(D1024,9,$G$5,$H$13)-[1]!S_STM07_IS(D1024,10,$G$5,$H$13))/[1]!S_STM07_IS(D1024,9,$G$5,$H$13),[1]!S_STM07_IS(D1024,14,$G$5,$H$13)/$E$5))</f>
        <v/>
      </c>
      <c r="J1024" s="247" t="str">
        <f ca="1">IF(C1024="","",IF($J$11="营业利润率",[1]!S_STM07_IS(D1024,48,$G$5,$H$13)/[1]!S_STM07_IS(D1024,9,$G$5,$H$13),([1]!S_STM07_CS(D1024,87,$G$5,$H$13)+[1]!S_STM07_CS(D1024,88,$G$5,$H$13)+[1]!S_STM07_CS(D1024,89,$G$5,$H$13))/$E$5))</f>
        <v/>
      </c>
      <c r="K1024" s="247" t="str">
        <f ca="1">IF(C1024="","",IF($K$11="净利润率",[1]!S_STM07_IS(D1024,61,$G$5,$H$13)/[1]!S_STM07_IS(D1024,9,$G$5,$H$13),[1]!S_STM07_IS(D1024,55,$G$5,$H$13)/$E$5))</f>
        <v/>
      </c>
      <c r="L1024" s="247" t="str">
        <f ca="1">IF(C1024="","",IF($L$11="ROA",[1]!S_STM07_IS(D1024,61,$G$5,$H$13)/[1]!S_STM07_BS(D1024,74,$G$5,$H$13),1-[1]!S_STM07_IS(D1024,61,$G$5,$H$13)/[1]!S_STM07_IS(D1024,55,$G$5,$H$13)))</f>
        <v/>
      </c>
      <c r="M1024" s="247" t="str">
        <f ca="1">IF(C1024="","",IF($M$11="ROE",[1]!S_STM07_IS(D1024,61,$G$5,$H$13)/[1]!S_STM07_BS(D1024,141,$G$5,$H$13),([1]!S_STM07_BS(D1024,25,$G$5,$H$13)-[1]!S_STM07_BS(D1024,93,$G$5,$H$13))/$E$5))</f>
        <v/>
      </c>
      <c r="N1024" s="247" t="str">
        <f ca="1">IF(C1024="","",IF($N$11="EPS",[1]!S_STM07_IS(D1024,61,$G$5,$H$13)/IF([1]!S_SHARE_TOTAL(D1024,$G$5)=0,[1]!S_SHARE_TOTAL(D1024,[1]!s_ipo_listeddate(D1024)),[1]!S_SHARE_TOTAL(D1024,$G$5)),([1]!S_STM07_BS(D1024,75,$G$5,$H$13)+[1]!S_STM07_BS(D1024,88,$G$5,$H$13)+[1]!S_STM07_BS(D1024,94,$G$5,$H$13)+[1]!S_STM07_BS(D1024,95,$G$5,$H$13))/$E$5))</f>
        <v/>
      </c>
      <c r="O1024" s="247" t="str">
        <f ca="1">IF(C1024="","",IF($O$11="BPS",[1]!S_STM07_BS(D1024,141,$G$5,$H$13)/IF([1]!S_SHARE_TOTAL(D1024,$G$5)=0,[1]!S_SHARE_TOTAL(D1024,[1]!s_ipo_listeddate(D1024)),[1]!S_SHARE_TOTAL(D1024,$G$5)),[1]!S_STM07_CS(D1024,49,$G$5,$H$13)/$E$5))</f>
        <v/>
      </c>
      <c r="P1024" s="247" t="str">
        <f ca="1">IF(C1024="","",IF($P$11="CFPS",[1]!S_STM07_CS(D1024,84,$G$5,$H$13)/IF([1]!S_SHARE_TOTAL(D1024,$G$5)=0,[1]!S_SHARE_TOTAL(D1024,[1]!s_ipo_listeddate(D1024)),[1]!S_SHARE_TOTAL(D1024,$G$5)),[1]!S_STM07_CS(D1024,84,$G$5,$H$13)/$E$5))</f>
        <v/>
      </c>
      <c r="Q1024" s="248" t="str">
        <f ca="1">IF(C1024="","",F1024/([1]!S_STM07_IS(D1024,61,$G$5,$H$13)/IF([1]!S_SHARE_TOTAL(D1024,$G$5)=0,[1]!S_SHARE_TOTAL(D1024,[1]!s_ipo_listeddate(D1024)),[1]!S_SHARE_TOTAL(D1024,$G$5))))</f>
        <v/>
      </c>
      <c r="R1024" s="248" t="str">
        <f ca="1">IF(C1024="","",F1024/([1]!S_STM07_BS(D1024,141,$G$5,$H$13)/IF([1]!S_SHARE_TOTAL(D1024,$G$5)=0,[1]!S_SHARE_TOTAL(D1024,[1]!s_ipo_listeddate(D1024)),[1]!S_SHARE_TOTAL(D1024,$G$5))))</f>
        <v/>
      </c>
      <c r="S1024" s="247" t="str">
        <f ca="1">IF(C1024="","",[1]!S_SHARE_TOTAL(D1024,TODAY())/$E$5)</f>
        <v/>
      </c>
      <c r="T1024" s="247" t="str">
        <f t="shared" ca="1" si="103"/>
        <v/>
      </c>
      <c r="U1024" s="218" t="str">
        <f t="shared" ca="1" si="104"/>
        <v/>
      </c>
      <c r="V1024" s="342" t="str">
        <f t="shared" ca="1" si="105"/>
        <v/>
      </c>
      <c r="W1024" s="139"/>
      <c r="Y1024" s="1"/>
    </row>
    <row r="1025" spans="3:25" ht="12" customHeight="1">
      <c r="C1025" s="343" t="str">
        <f t="shared" ca="1" si="100"/>
        <v/>
      </c>
      <c r="D1025" s="124" t="str">
        <f t="shared" ca="1" si="101"/>
        <v/>
      </c>
      <c r="E1025" s="124" t="str">
        <f t="shared" ca="1" si="102"/>
        <v/>
      </c>
      <c r="F1025" s="172" t="str">
        <f ca="1">IF(C1025="","",[1]!S_DQ_CLOSE(D1025,TODAY(),1))</f>
        <v/>
      </c>
      <c r="G1025" s="173" t="str">
        <f ca="1">IF(C1025="","",[1]!s_pq_pctchange(D1025,TODAY()-$G$12,TODAY())/100)</f>
        <v/>
      </c>
      <c r="H1025" s="249" t="str">
        <f ca="1">IF(C1025="","",IF($H$11="收入",[1]!S_STM07_IS(D1025,9,$G$5,$H$13)/$E$5,[1]!S_STM07_IS(D1025,48,$G$5,$H$13)/$E$5))</f>
        <v/>
      </c>
      <c r="I1025" s="249" t="str">
        <f ca="1">IF(C1025="","",IF($I$11="毛利率",([1]!S_STM07_IS(D1025,9,$G$5,$H$13)-[1]!S_STM07_IS(D1025,10,$G$5,$H$13))/[1]!S_STM07_IS(D1025,9,$G$5,$H$13),[1]!S_STM07_IS(D1025,14,$G$5,$H$13)/$E$5))</f>
        <v/>
      </c>
      <c r="J1025" s="249" t="str">
        <f ca="1">IF(C1025="","",IF($J$11="营业利润率",[1]!S_STM07_IS(D1025,48,$G$5,$H$13)/[1]!S_STM07_IS(D1025,9,$G$5,$H$13),([1]!S_STM07_CS(D1025,87,$G$5,$H$13)+[1]!S_STM07_CS(D1025,88,$G$5,$H$13)+[1]!S_STM07_CS(D1025,89,$G$5,$H$13))/$E$5))</f>
        <v/>
      </c>
      <c r="K1025" s="249" t="str">
        <f ca="1">IF(C1025="","",IF($K$11="净利润率",[1]!S_STM07_IS(D1025,61,$G$5,$H$13)/[1]!S_STM07_IS(D1025,9,$G$5,$H$13),[1]!S_STM07_IS(D1025,55,$G$5,$H$13)/$E$5))</f>
        <v/>
      </c>
      <c r="L1025" s="249" t="str">
        <f ca="1">IF(C1025="","",IF($L$11="ROA",[1]!S_STM07_IS(D1025,61,$G$5,$H$13)/[1]!S_STM07_BS(D1025,74,$G$5,$H$13),1-[1]!S_STM07_IS(D1025,61,$G$5,$H$13)/[1]!S_STM07_IS(D1025,55,$G$5,$H$13)))</f>
        <v/>
      </c>
      <c r="M1025" s="249" t="str">
        <f ca="1">IF(C1025="","",IF($M$11="ROE",[1]!S_STM07_IS(D1025,61,$G$5,$H$13)/[1]!S_STM07_BS(D1025,141,$G$5,$H$13),([1]!S_STM07_BS(D1025,25,$G$5,$H$13)-[1]!S_STM07_BS(D1025,93,$G$5,$H$13))/$E$5))</f>
        <v/>
      </c>
      <c r="N1025" s="250" t="str">
        <f ca="1">IF(C1025="","",IF($N$11="EPS",[1]!S_STM07_IS(D1025,61,$G$5,$H$13)/IF([1]!S_SHARE_TOTAL(D1025,$G$5)=0,[1]!S_SHARE_TOTAL(D1025,[1]!s_ipo_listeddate(D1025)),[1]!S_SHARE_TOTAL(D1025,$G$5)),([1]!S_STM07_BS(D1025,75,$G$5,$H$13)+[1]!S_STM07_BS(D1025,88,$G$5,$H$13)+[1]!S_STM07_BS(D1025,94,$G$5,$H$13)+[1]!S_STM07_BS(D1025,95,$G$5,$H$13))/$E$5))</f>
        <v/>
      </c>
      <c r="O1025" s="250" t="str">
        <f ca="1">IF(C1025="","",IF($O$11="BPS",[1]!S_STM07_BS(D1025,141,$G$5,$H$13)/IF([1]!S_SHARE_TOTAL(D1025,$G$5)=0,[1]!S_SHARE_TOTAL(D1025,[1]!s_ipo_listeddate(D1025)),[1]!S_SHARE_TOTAL(D1025,$G$5)),[1]!S_STM07_CS(D1025,49,$G$5,$H$13)/$E$5))</f>
        <v/>
      </c>
      <c r="P1025" s="250" t="str">
        <f ca="1">IF(C1025="","",IF($P$11="CFPS",[1]!S_STM07_CS(D1025,84,$G$5,$H$13)/IF([1]!S_SHARE_TOTAL(D1025,$G$5)=0,[1]!S_SHARE_TOTAL(D1025,[1]!s_ipo_listeddate(D1025)),[1]!S_SHARE_TOTAL(D1025,$G$5)),[1]!S_STM07_CS(D1025,84,$G$5,$H$13)/$E$5))</f>
        <v/>
      </c>
      <c r="Q1025" s="198" t="str">
        <f ca="1">IF(C1025="","",F1025/([1]!S_STM07_IS(D1025,61,$G$5,$H$13)/IF([1]!S_SHARE_TOTAL(D1025,$G$5)=0,[1]!S_SHARE_TOTAL(D1025,[1]!s_ipo_listeddate(D1025)),[1]!S_SHARE_TOTAL(D1025,$G$5))))</f>
        <v/>
      </c>
      <c r="R1025" s="198" t="str">
        <f ca="1">IF(C1025="","",F1025/([1]!S_STM07_BS(D1025,141,$G$5,$H$13)/IF([1]!S_SHARE_TOTAL(D1025,$G$5)=0,[1]!S_SHARE_TOTAL(D1025,[1]!s_ipo_listeddate(D1025)),[1]!S_SHARE_TOTAL(D1025,$G$5))))</f>
        <v/>
      </c>
      <c r="S1025" s="249" t="str">
        <f ca="1">IF(C1025="","",[1]!S_SHARE_TOTAL(D1025,TODAY())/$E$5)</f>
        <v/>
      </c>
      <c r="T1025" s="249" t="str">
        <f t="shared" ca="1" si="103"/>
        <v/>
      </c>
      <c r="U1025" s="172" t="str">
        <f t="shared" ca="1" si="104"/>
        <v/>
      </c>
      <c r="V1025" s="343" t="str">
        <f t="shared" ca="1" si="105"/>
        <v/>
      </c>
      <c r="W1025" s="139"/>
      <c r="Y1025" s="1"/>
    </row>
    <row r="1026" spans="3:25" ht="12" customHeight="1">
      <c r="C1026" s="342" t="str">
        <f t="shared" ca="1" si="100"/>
        <v/>
      </c>
      <c r="D1026" s="153" t="str">
        <f t="shared" ca="1" si="101"/>
        <v/>
      </c>
      <c r="E1026" s="153" t="str">
        <f t="shared" ca="1" si="102"/>
        <v/>
      </c>
      <c r="F1026" s="170" t="str">
        <f ca="1">IF(C1026="","",[1]!S_DQ_CLOSE(D1026,TODAY(),1))</f>
        <v/>
      </c>
      <c r="G1026" s="171" t="str">
        <f ca="1">IF(C1026="","",[1]!s_pq_pctchange(D1026,TODAY()-$G$12,TODAY())/100)</f>
        <v/>
      </c>
      <c r="H1026" s="247" t="str">
        <f ca="1">IF(C1026="","",IF($H$11="收入",[1]!S_STM07_IS(D1026,9,$G$5,$H$13)/$E$5,[1]!S_STM07_IS(D1026,48,$G$5,$H$13)/$E$5))</f>
        <v/>
      </c>
      <c r="I1026" s="247" t="str">
        <f ca="1">IF(C1026="","",IF($I$11="毛利率",([1]!S_STM07_IS(D1026,9,$G$5,$H$13)-[1]!S_STM07_IS(D1026,10,$G$5,$H$13))/[1]!S_STM07_IS(D1026,9,$G$5,$H$13),[1]!S_STM07_IS(D1026,14,$G$5,$H$13)/$E$5))</f>
        <v/>
      </c>
      <c r="J1026" s="247" t="str">
        <f ca="1">IF(C1026="","",IF($J$11="营业利润率",[1]!S_STM07_IS(D1026,48,$G$5,$H$13)/[1]!S_STM07_IS(D1026,9,$G$5,$H$13),([1]!S_STM07_CS(D1026,87,$G$5,$H$13)+[1]!S_STM07_CS(D1026,88,$G$5,$H$13)+[1]!S_STM07_CS(D1026,89,$G$5,$H$13))/$E$5))</f>
        <v/>
      </c>
      <c r="K1026" s="247" t="str">
        <f ca="1">IF(C1026="","",IF($K$11="净利润率",[1]!S_STM07_IS(D1026,61,$G$5,$H$13)/[1]!S_STM07_IS(D1026,9,$G$5,$H$13),[1]!S_STM07_IS(D1026,55,$G$5,$H$13)/$E$5))</f>
        <v/>
      </c>
      <c r="L1026" s="247" t="str">
        <f ca="1">IF(C1026="","",IF($L$11="ROA",[1]!S_STM07_IS(D1026,61,$G$5,$H$13)/[1]!S_STM07_BS(D1026,74,$G$5,$H$13),1-[1]!S_STM07_IS(D1026,61,$G$5,$H$13)/[1]!S_STM07_IS(D1026,55,$G$5,$H$13)))</f>
        <v/>
      </c>
      <c r="M1026" s="247" t="str">
        <f ca="1">IF(C1026="","",IF($M$11="ROE",[1]!S_STM07_IS(D1026,61,$G$5,$H$13)/[1]!S_STM07_BS(D1026,141,$G$5,$H$13),([1]!S_STM07_BS(D1026,25,$G$5,$H$13)-[1]!S_STM07_BS(D1026,93,$G$5,$H$13))/$E$5))</f>
        <v/>
      </c>
      <c r="N1026" s="247" t="str">
        <f ca="1">IF(C1026="","",IF($N$11="EPS",[1]!S_STM07_IS(D1026,61,$G$5,$H$13)/IF([1]!S_SHARE_TOTAL(D1026,$G$5)=0,[1]!S_SHARE_TOTAL(D1026,[1]!s_ipo_listeddate(D1026)),[1]!S_SHARE_TOTAL(D1026,$G$5)),([1]!S_STM07_BS(D1026,75,$G$5,$H$13)+[1]!S_STM07_BS(D1026,88,$G$5,$H$13)+[1]!S_STM07_BS(D1026,94,$G$5,$H$13)+[1]!S_STM07_BS(D1026,95,$G$5,$H$13))/$E$5))</f>
        <v/>
      </c>
      <c r="O1026" s="247" t="str">
        <f ca="1">IF(C1026="","",IF($O$11="BPS",[1]!S_STM07_BS(D1026,141,$G$5,$H$13)/IF([1]!S_SHARE_TOTAL(D1026,$G$5)=0,[1]!S_SHARE_TOTAL(D1026,[1]!s_ipo_listeddate(D1026)),[1]!S_SHARE_TOTAL(D1026,$G$5)),[1]!S_STM07_CS(D1026,49,$G$5,$H$13)/$E$5))</f>
        <v/>
      </c>
      <c r="P1026" s="247" t="str">
        <f ca="1">IF(C1026="","",IF($P$11="CFPS",[1]!S_STM07_CS(D1026,84,$G$5,$H$13)/IF([1]!S_SHARE_TOTAL(D1026,$G$5)=0,[1]!S_SHARE_TOTAL(D1026,[1]!s_ipo_listeddate(D1026)),[1]!S_SHARE_TOTAL(D1026,$G$5)),[1]!S_STM07_CS(D1026,84,$G$5,$H$13)/$E$5))</f>
        <v/>
      </c>
      <c r="Q1026" s="248" t="str">
        <f ca="1">IF(C1026="","",F1026/([1]!S_STM07_IS(D1026,61,$G$5,$H$13)/IF([1]!S_SHARE_TOTAL(D1026,$G$5)=0,[1]!S_SHARE_TOTAL(D1026,[1]!s_ipo_listeddate(D1026)),[1]!S_SHARE_TOTAL(D1026,$G$5))))</f>
        <v/>
      </c>
      <c r="R1026" s="248" t="str">
        <f ca="1">IF(C1026="","",F1026/([1]!S_STM07_BS(D1026,141,$G$5,$H$13)/IF([1]!S_SHARE_TOTAL(D1026,$G$5)=0,[1]!S_SHARE_TOTAL(D1026,[1]!s_ipo_listeddate(D1026)),[1]!S_SHARE_TOTAL(D1026,$G$5))))</f>
        <v/>
      </c>
      <c r="S1026" s="247" t="str">
        <f ca="1">IF(C1026="","",[1]!S_SHARE_TOTAL(D1026,TODAY())/$E$5)</f>
        <v/>
      </c>
      <c r="T1026" s="247" t="str">
        <f t="shared" ca="1" si="103"/>
        <v/>
      </c>
      <c r="U1026" s="218" t="str">
        <f t="shared" ca="1" si="104"/>
        <v/>
      </c>
      <c r="V1026" s="342" t="str">
        <f t="shared" ca="1" si="105"/>
        <v/>
      </c>
      <c r="W1026" s="139"/>
      <c r="Y1026" s="1"/>
    </row>
    <row r="1027" spans="3:25" ht="12" customHeight="1">
      <c r="C1027" s="343" t="str">
        <f t="shared" ca="1" si="100"/>
        <v/>
      </c>
      <c r="D1027" s="124" t="str">
        <f t="shared" ca="1" si="101"/>
        <v/>
      </c>
      <c r="E1027" s="124" t="str">
        <f t="shared" ca="1" si="102"/>
        <v/>
      </c>
      <c r="F1027" s="172" t="str">
        <f ca="1">IF(C1027="","",[1]!S_DQ_CLOSE(D1027,TODAY(),1))</f>
        <v/>
      </c>
      <c r="G1027" s="173" t="str">
        <f ca="1">IF(C1027="","",[1]!s_pq_pctchange(D1027,TODAY()-$G$12,TODAY())/100)</f>
        <v/>
      </c>
      <c r="H1027" s="249" t="str">
        <f ca="1">IF(C1027="","",IF($H$11="收入",[1]!S_STM07_IS(D1027,9,$G$5,$H$13)/$E$5,[1]!S_STM07_IS(D1027,48,$G$5,$H$13)/$E$5))</f>
        <v/>
      </c>
      <c r="I1027" s="249" t="str">
        <f ca="1">IF(C1027="","",IF($I$11="毛利率",([1]!S_STM07_IS(D1027,9,$G$5,$H$13)-[1]!S_STM07_IS(D1027,10,$G$5,$H$13))/[1]!S_STM07_IS(D1027,9,$G$5,$H$13),[1]!S_STM07_IS(D1027,14,$G$5,$H$13)/$E$5))</f>
        <v/>
      </c>
      <c r="J1027" s="249" t="str">
        <f ca="1">IF(C1027="","",IF($J$11="营业利润率",[1]!S_STM07_IS(D1027,48,$G$5,$H$13)/[1]!S_STM07_IS(D1027,9,$G$5,$H$13),([1]!S_STM07_CS(D1027,87,$G$5,$H$13)+[1]!S_STM07_CS(D1027,88,$G$5,$H$13)+[1]!S_STM07_CS(D1027,89,$G$5,$H$13))/$E$5))</f>
        <v/>
      </c>
      <c r="K1027" s="249" t="str">
        <f ca="1">IF(C1027="","",IF($K$11="净利润率",[1]!S_STM07_IS(D1027,61,$G$5,$H$13)/[1]!S_STM07_IS(D1027,9,$G$5,$H$13),[1]!S_STM07_IS(D1027,55,$G$5,$H$13)/$E$5))</f>
        <v/>
      </c>
      <c r="L1027" s="249" t="str">
        <f ca="1">IF(C1027="","",IF($L$11="ROA",[1]!S_STM07_IS(D1027,61,$G$5,$H$13)/[1]!S_STM07_BS(D1027,74,$G$5,$H$13),1-[1]!S_STM07_IS(D1027,61,$G$5,$H$13)/[1]!S_STM07_IS(D1027,55,$G$5,$H$13)))</f>
        <v/>
      </c>
      <c r="M1027" s="249" t="str">
        <f ca="1">IF(C1027="","",IF($M$11="ROE",[1]!S_STM07_IS(D1027,61,$G$5,$H$13)/[1]!S_STM07_BS(D1027,141,$G$5,$H$13),([1]!S_STM07_BS(D1027,25,$G$5,$H$13)-[1]!S_STM07_BS(D1027,93,$G$5,$H$13))/$E$5))</f>
        <v/>
      </c>
      <c r="N1027" s="250" t="str">
        <f ca="1">IF(C1027="","",IF($N$11="EPS",[1]!S_STM07_IS(D1027,61,$G$5,$H$13)/IF([1]!S_SHARE_TOTAL(D1027,$G$5)=0,[1]!S_SHARE_TOTAL(D1027,[1]!s_ipo_listeddate(D1027)),[1]!S_SHARE_TOTAL(D1027,$G$5)),([1]!S_STM07_BS(D1027,75,$G$5,$H$13)+[1]!S_STM07_BS(D1027,88,$G$5,$H$13)+[1]!S_STM07_BS(D1027,94,$G$5,$H$13)+[1]!S_STM07_BS(D1027,95,$G$5,$H$13))/$E$5))</f>
        <v/>
      </c>
      <c r="O1027" s="250" t="str">
        <f ca="1">IF(C1027="","",IF($O$11="BPS",[1]!S_STM07_BS(D1027,141,$G$5,$H$13)/IF([1]!S_SHARE_TOTAL(D1027,$G$5)=0,[1]!S_SHARE_TOTAL(D1027,[1]!s_ipo_listeddate(D1027)),[1]!S_SHARE_TOTAL(D1027,$G$5)),[1]!S_STM07_CS(D1027,49,$G$5,$H$13)/$E$5))</f>
        <v/>
      </c>
      <c r="P1027" s="250" t="str">
        <f ca="1">IF(C1027="","",IF($P$11="CFPS",[1]!S_STM07_CS(D1027,84,$G$5,$H$13)/IF([1]!S_SHARE_TOTAL(D1027,$G$5)=0,[1]!S_SHARE_TOTAL(D1027,[1]!s_ipo_listeddate(D1027)),[1]!S_SHARE_TOTAL(D1027,$G$5)),[1]!S_STM07_CS(D1027,84,$G$5,$H$13)/$E$5))</f>
        <v/>
      </c>
      <c r="Q1027" s="198" t="str">
        <f ca="1">IF(C1027="","",F1027/([1]!S_STM07_IS(D1027,61,$G$5,$H$13)/IF([1]!S_SHARE_TOTAL(D1027,$G$5)=0,[1]!S_SHARE_TOTAL(D1027,[1]!s_ipo_listeddate(D1027)),[1]!S_SHARE_TOTAL(D1027,$G$5))))</f>
        <v/>
      </c>
      <c r="R1027" s="198" t="str">
        <f ca="1">IF(C1027="","",F1027/([1]!S_STM07_BS(D1027,141,$G$5,$H$13)/IF([1]!S_SHARE_TOTAL(D1027,$G$5)=0,[1]!S_SHARE_TOTAL(D1027,[1]!s_ipo_listeddate(D1027)),[1]!S_SHARE_TOTAL(D1027,$G$5))))</f>
        <v/>
      </c>
      <c r="S1027" s="249" t="str">
        <f ca="1">IF(C1027="","",[1]!S_SHARE_TOTAL(D1027,TODAY())/$E$5)</f>
        <v/>
      </c>
      <c r="T1027" s="249" t="str">
        <f t="shared" ca="1" si="103"/>
        <v/>
      </c>
      <c r="U1027" s="172" t="str">
        <f t="shared" ca="1" si="104"/>
        <v/>
      </c>
      <c r="V1027" s="343" t="str">
        <f t="shared" ca="1" si="105"/>
        <v/>
      </c>
      <c r="W1027" s="139"/>
      <c r="Y1027" s="1"/>
    </row>
    <row r="1028" spans="3:25" ht="12" customHeight="1">
      <c r="C1028" s="342" t="str">
        <f t="shared" ca="1" si="100"/>
        <v/>
      </c>
      <c r="D1028" s="153" t="str">
        <f t="shared" ca="1" si="101"/>
        <v/>
      </c>
      <c r="E1028" s="153" t="str">
        <f t="shared" ca="1" si="102"/>
        <v/>
      </c>
      <c r="F1028" s="170" t="str">
        <f ca="1">IF(C1028="","",[1]!S_DQ_CLOSE(D1028,TODAY(),1))</f>
        <v/>
      </c>
      <c r="G1028" s="171" t="str">
        <f ca="1">IF(C1028="","",[1]!s_pq_pctchange(D1028,TODAY()-$G$12,TODAY())/100)</f>
        <v/>
      </c>
      <c r="H1028" s="247" t="str">
        <f ca="1">IF(C1028="","",IF($H$11="收入",[1]!S_STM07_IS(D1028,9,$G$5,$H$13)/$E$5,[1]!S_STM07_IS(D1028,48,$G$5,$H$13)/$E$5))</f>
        <v/>
      </c>
      <c r="I1028" s="247" t="str">
        <f ca="1">IF(C1028="","",IF($I$11="毛利率",([1]!S_STM07_IS(D1028,9,$G$5,$H$13)-[1]!S_STM07_IS(D1028,10,$G$5,$H$13))/[1]!S_STM07_IS(D1028,9,$G$5,$H$13),[1]!S_STM07_IS(D1028,14,$G$5,$H$13)/$E$5))</f>
        <v/>
      </c>
      <c r="J1028" s="247" t="str">
        <f ca="1">IF(C1028="","",IF($J$11="营业利润率",[1]!S_STM07_IS(D1028,48,$G$5,$H$13)/[1]!S_STM07_IS(D1028,9,$G$5,$H$13),([1]!S_STM07_CS(D1028,87,$G$5,$H$13)+[1]!S_STM07_CS(D1028,88,$G$5,$H$13)+[1]!S_STM07_CS(D1028,89,$G$5,$H$13))/$E$5))</f>
        <v/>
      </c>
      <c r="K1028" s="247" t="str">
        <f ca="1">IF(C1028="","",IF($K$11="净利润率",[1]!S_STM07_IS(D1028,61,$G$5,$H$13)/[1]!S_STM07_IS(D1028,9,$G$5,$H$13),[1]!S_STM07_IS(D1028,55,$G$5,$H$13)/$E$5))</f>
        <v/>
      </c>
      <c r="L1028" s="247" t="str">
        <f ca="1">IF(C1028="","",IF($L$11="ROA",[1]!S_STM07_IS(D1028,61,$G$5,$H$13)/[1]!S_STM07_BS(D1028,74,$G$5,$H$13),1-[1]!S_STM07_IS(D1028,61,$G$5,$H$13)/[1]!S_STM07_IS(D1028,55,$G$5,$H$13)))</f>
        <v/>
      </c>
      <c r="M1028" s="247" t="str">
        <f ca="1">IF(C1028="","",IF($M$11="ROE",[1]!S_STM07_IS(D1028,61,$G$5,$H$13)/[1]!S_STM07_BS(D1028,141,$G$5,$H$13),([1]!S_STM07_BS(D1028,25,$G$5,$H$13)-[1]!S_STM07_BS(D1028,93,$G$5,$H$13))/$E$5))</f>
        <v/>
      </c>
      <c r="N1028" s="247" t="str">
        <f ca="1">IF(C1028="","",IF($N$11="EPS",[1]!S_STM07_IS(D1028,61,$G$5,$H$13)/IF([1]!S_SHARE_TOTAL(D1028,$G$5)=0,[1]!S_SHARE_TOTAL(D1028,[1]!s_ipo_listeddate(D1028)),[1]!S_SHARE_TOTAL(D1028,$G$5)),([1]!S_STM07_BS(D1028,75,$G$5,$H$13)+[1]!S_STM07_BS(D1028,88,$G$5,$H$13)+[1]!S_STM07_BS(D1028,94,$G$5,$H$13)+[1]!S_STM07_BS(D1028,95,$G$5,$H$13))/$E$5))</f>
        <v/>
      </c>
      <c r="O1028" s="247" t="str">
        <f ca="1">IF(C1028="","",IF($O$11="BPS",[1]!S_STM07_BS(D1028,141,$G$5,$H$13)/IF([1]!S_SHARE_TOTAL(D1028,$G$5)=0,[1]!S_SHARE_TOTAL(D1028,[1]!s_ipo_listeddate(D1028)),[1]!S_SHARE_TOTAL(D1028,$G$5)),[1]!S_STM07_CS(D1028,49,$G$5,$H$13)/$E$5))</f>
        <v/>
      </c>
      <c r="P1028" s="247" t="str">
        <f ca="1">IF(C1028="","",IF($P$11="CFPS",[1]!S_STM07_CS(D1028,84,$G$5,$H$13)/IF([1]!S_SHARE_TOTAL(D1028,$G$5)=0,[1]!S_SHARE_TOTAL(D1028,[1]!s_ipo_listeddate(D1028)),[1]!S_SHARE_TOTAL(D1028,$G$5)),[1]!S_STM07_CS(D1028,84,$G$5,$H$13)/$E$5))</f>
        <v/>
      </c>
      <c r="Q1028" s="248" t="str">
        <f ca="1">IF(C1028="","",F1028/([1]!S_STM07_IS(D1028,61,$G$5,$H$13)/IF([1]!S_SHARE_TOTAL(D1028,$G$5)=0,[1]!S_SHARE_TOTAL(D1028,[1]!s_ipo_listeddate(D1028)),[1]!S_SHARE_TOTAL(D1028,$G$5))))</f>
        <v/>
      </c>
      <c r="R1028" s="248" t="str">
        <f ca="1">IF(C1028="","",F1028/([1]!S_STM07_BS(D1028,141,$G$5,$H$13)/IF([1]!S_SHARE_TOTAL(D1028,$G$5)=0,[1]!S_SHARE_TOTAL(D1028,[1]!s_ipo_listeddate(D1028)),[1]!S_SHARE_TOTAL(D1028,$G$5))))</f>
        <v/>
      </c>
      <c r="S1028" s="247" t="str">
        <f ca="1">IF(C1028="","",[1]!S_SHARE_TOTAL(D1028,TODAY())/$E$5)</f>
        <v/>
      </c>
      <c r="T1028" s="247" t="str">
        <f t="shared" ca="1" si="103"/>
        <v/>
      </c>
      <c r="U1028" s="218" t="str">
        <f t="shared" ca="1" si="104"/>
        <v/>
      </c>
      <c r="V1028" s="342" t="str">
        <f t="shared" ca="1" si="105"/>
        <v/>
      </c>
      <c r="W1028" s="139"/>
      <c r="Y1028" s="1"/>
    </row>
    <row r="1029" spans="3:25" ht="12" customHeight="1">
      <c r="C1029" s="343" t="str">
        <f t="shared" ca="1" si="100"/>
        <v/>
      </c>
      <c r="D1029" s="124" t="str">
        <f t="shared" ca="1" si="101"/>
        <v/>
      </c>
      <c r="E1029" s="124" t="str">
        <f t="shared" ca="1" si="102"/>
        <v/>
      </c>
      <c r="F1029" s="172" t="str">
        <f ca="1">IF(C1029="","",[1]!S_DQ_CLOSE(D1029,TODAY(),1))</f>
        <v/>
      </c>
      <c r="G1029" s="173" t="str">
        <f ca="1">IF(C1029="","",[1]!s_pq_pctchange(D1029,TODAY()-$G$12,TODAY())/100)</f>
        <v/>
      </c>
      <c r="H1029" s="249" t="str">
        <f ca="1">IF(C1029="","",IF($H$11="收入",[1]!S_STM07_IS(D1029,9,$G$5,$H$13)/$E$5,[1]!S_STM07_IS(D1029,48,$G$5,$H$13)/$E$5))</f>
        <v/>
      </c>
      <c r="I1029" s="249" t="str">
        <f ca="1">IF(C1029="","",IF($I$11="毛利率",([1]!S_STM07_IS(D1029,9,$G$5,$H$13)-[1]!S_STM07_IS(D1029,10,$G$5,$H$13))/[1]!S_STM07_IS(D1029,9,$G$5,$H$13),[1]!S_STM07_IS(D1029,14,$G$5,$H$13)/$E$5))</f>
        <v/>
      </c>
      <c r="J1029" s="249" t="str">
        <f ca="1">IF(C1029="","",IF($J$11="营业利润率",[1]!S_STM07_IS(D1029,48,$G$5,$H$13)/[1]!S_STM07_IS(D1029,9,$G$5,$H$13),([1]!S_STM07_CS(D1029,87,$G$5,$H$13)+[1]!S_STM07_CS(D1029,88,$G$5,$H$13)+[1]!S_STM07_CS(D1029,89,$G$5,$H$13))/$E$5))</f>
        <v/>
      </c>
      <c r="K1029" s="249" t="str">
        <f ca="1">IF(C1029="","",IF($K$11="净利润率",[1]!S_STM07_IS(D1029,61,$G$5,$H$13)/[1]!S_STM07_IS(D1029,9,$G$5,$H$13),[1]!S_STM07_IS(D1029,55,$G$5,$H$13)/$E$5))</f>
        <v/>
      </c>
      <c r="L1029" s="249" t="str">
        <f ca="1">IF(C1029="","",IF($L$11="ROA",[1]!S_STM07_IS(D1029,61,$G$5,$H$13)/[1]!S_STM07_BS(D1029,74,$G$5,$H$13),1-[1]!S_STM07_IS(D1029,61,$G$5,$H$13)/[1]!S_STM07_IS(D1029,55,$G$5,$H$13)))</f>
        <v/>
      </c>
      <c r="M1029" s="249" t="str">
        <f ca="1">IF(C1029="","",IF($M$11="ROE",[1]!S_STM07_IS(D1029,61,$G$5,$H$13)/[1]!S_STM07_BS(D1029,141,$G$5,$H$13),([1]!S_STM07_BS(D1029,25,$G$5,$H$13)-[1]!S_STM07_BS(D1029,93,$G$5,$H$13))/$E$5))</f>
        <v/>
      </c>
      <c r="N1029" s="250" t="str">
        <f ca="1">IF(C1029="","",IF($N$11="EPS",[1]!S_STM07_IS(D1029,61,$G$5,$H$13)/IF([1]!S_SHARE_TOTAL(D1029,$G$5)=0,[1]!S_SHARE_TOTAL(D1029,[1]!s_ipo_listeddate(D1029)),[1]!S_SHARE_TOTAL(D1029,$G$5)),([1]!S_STM07_BS(D1029,75,$G$5,$H$13)+[1]!S_STM07_BS(D1029,88,$G$5,$H$13)+[1]!S_STM07_BS(D1029,94,$G$5,$H$13)+[1]!S_STM07_BS(D1029,95,$G$5,$H$13))/$E$5))</f>
        <v/>
      </c>
      <c r="O1029" s="250" t="str">
        <f ca="1">IF(C1029="","",IF($O$11="BPS",[1]!S_STM07_BS(D1029,141,$G$5,$H$13)/IF([1]!S_SHARE_TOTAL(D1029,$G$5)=0,[1]!S_SHARE_TOTAL(D1029,[1]!s_ipo_listeddate(D1029)),[1]!S_SHARE_TOTAL(D1029,$G$5)),[1]!S_STM07_CS(D1029,49,$G$5,$H$13)/$E$5))</f>
        <v/>
      </c>
      <c r="P1029" s="250" t="str">
        <f ca="1">IF(C1029="","",IF($P$11="CFPS",[1]!S_STM07_CS(D1029,84,$G$5,$H$13)/IF([1]!S_SHARE_TOTAL(D1029,$G$5)=0,[1]!S_SHARE_TOTAL(D1029,[1]!s_ipo_listeddate(D1029)),[1]!S_SHARE_TOTAL(D1029,$G$5)),[1]!S_STM07_CS(D1029,84,$G$5,$H$13)/$E$5))</f>
        <v/>
      </c>
      <c r="Q1029" s="198" t="str">
        <f ca="1">IF(C1029="","",F1029/([1]!S_STM07_IS(D1029,61,$G$5,$H$13)/IF([1]!S_SHARE_TOTAL(D1029,$G$5)=0,[1]!S_SHARE_TOTAL(D1029,[1]!s_ipo_listeddate(D1029)),[1]!S_SHARE_TOTAL(D1029,$G$5))))</f>
        <v/>
      </c>
      <c r="R1029" s="198" t="str">
        <f ca="1">IF(C1029="","",F1029/([1]!S_STM07_BS(D1029,141,$G$5,$H$13)/IF([1]!S_SHARE_TOTAL(D1029,$G$5)=0,[1]!S_SHARE_TOTAL(D1029,[1]!s_ipo_listeddate(D1029)),[1]!S_SHARE_TOTAL(D1029,$G$5))))</f>
        <v/>
      </c>
      <c r="S1029" s="249" t="str">
        <f ca="1">IF(C1029="","",[1]!S_SHARE_TOTAL(D1029,TODAY())/$E$5)</f>
        <v/>
      </c>
      <c r="T1029" s="249" t="str">
        <f t="shared" ca="1" si="103"/>
        <v/>
      </c>
      <c r="U1029" s="172" t="str">
        <f t="shared" ca="1" si="104"/>
        <v/>
      </c>
      <c r="V1029" s="343" t="str">
        <f t="shared" ca="1" si="105"/>
        <v/>
      </c>
      <c r="W1029" s="139"/>
      <c r="Y1029" s="1"/>
    </row>
    <row r="1030" spans="3:25" ht="12" customHeight="1">
      <c r="C1030" s="342" t="str">
        <f t="shared" ca="1" si="100"/>
        <v/>
      </c>
      <c r="D1030" s="153" t="str">
        <f t="shared" ca="1" si="101"/>
        <v/>
      </c>
      <c r="E1030" s="153" t="str">
        <f t="shared" ca="1" si="102"/>
        <v/>
      </c>
      <c r="F1030" s="170" t="str">
        <f ca="1">IF(C1030="","",[1]!S_DQ_CLOSE(D1030,TODAY(),1))</f>
        <v/>
      </c>
      <c r="G1030" s="171" t="str">
        <f ca="1">IF(C1030="","",[1]!s_pq_pctchange(D1030,TODAY()-$G$12,TODAY())/100)</f>
        <v/>
      </c>
      <c r="H1030" s="247" t="str">
        <f ca="1">IF(C1030="","",IF($H$11="收入",[1]!S_STM07_IS(D1030,9,$G$5,$H$13)/$E$5,[1]!S_STM07_IS(D1030,48,$G$5,$H$13)/$E$5))</f>
        <v/>
      </c>
      <c r="I1030" s="247" t="str">
        <f ca="1">IF(C1030="","",IF($I$11="毛利率",([1]!S_STM07_IS(D1030,9,$G$5,$H$13)-[1]!S_STM07_IS(D1030,10,$G$5,$H$13))/[1]!S_STM07_IS(D1030,9,$G$5,$H$13),[1]!S_STM07_IS(D1030,14,$G$5,$H$13)/$E$5))</f>
        <v/>
      </c>
      <c r="J1030" s="247" t="str">
        <f ca="1">IF(C1030="","",IF($J$11="营业利润率",[1]!S_STM07_IS(D1030,48,$G$5,$H$13)/[1]!S_STM07_IS(D1030,9,$G$5,$H$13),([1]!S_STM07_CS(D1030,87,$G$5,$H$13)+[1]!S_STM07_CS(D1030,88,$G$5,$H$13)+[1]!S_STM07_CS(D1030,89,$G$5,$H$13))/$E$5))</f>
        <v/>
      </c>
      <c r="K1030" s="247" t="str">
        <f ca="1">IF(C1030="","",IF($K$11="净利润率",[1]!S_STM07_IS(D1030,61,$G$5,$H$13)/[1]!S_STM07_IS(D1030,9,$G$5,$H$13),[1]!S_STM07_IS(D1030,55,$G$5,$H$13)/$E$5))</f>
        <v/>
      </c>
      <c r="L1030" s="247" t="str">
        <f ca="1">IF(C1030="","",IF($L$11="ROA",[1]!S_STM07_IS(D1030,61,$G$5,$H$13)/[1]!S_STM07_BS(D1030,74,$G$5,$H$13),1-[1]!S_STM07_IS(D1030,61,$G$5,$H$13)/[1]!S_STM07_IS(D1030,55,$G$5,$H$13)))</f>
        <v/>
      </c>
      <c r="M1030" s="247" t="str">
        <f ca="1">IF(C1030="","",IF($M$11="ROE",[1]!S_STM07_IS(D1030,61,$G$5,$H$13)/[1]!S_STM07_BS(D1030,141,$G$5,$H$13),([1]!S_STM07_BS(D1030,25,$G$5,$H$13)-[1]!S_STM07_BS(D1030,93,$G$5,$H$13))/$E$5))</f>
        <v/>
      </c>
      <c r="N1030" s="247" t="str">
        <f ca="1">IF(C1030="","",IF($N$11="EPS",[1]!S_STM07_IS(D1030,61,$G$5,$H$13)/IF([1]!S_SHARE_TOTAL(D1030,$G$5)=0,[1]!S_SHARE_TOTAL(D1030,[1]!s_ipo_listeddate(D1030)),[1]!S_SHARE_TOTAL(D1030,$G$5)),([1]!S_STM07_BS(D1030,75,$G$5,$H$13)+[1]!S_STM07_BS(D1030,88,$G$5,$H$13)+[1]!S_STM07_BS(D1030,94,$G$5,$H$13)+[1]!S_STM07_BS(D1030,95,$G$5,$H$13))/$E$5))</f>
        <v/>
      </c>
      <c r="O1030" s="247" t="str">
        <f ca="1">IF(C1030="","",IF($O$11="BPS",[1]!S_STM07_BS(D1030,141,$G$5,$H$13)/IF([1]!S_SHARE_TOTAL(D1030,$G$5)=0,[1]!S_SHARE_TOTAL(D1030,[1]!s_ipo_listeddate(D1030)),[1]!S_SHARE_TOTAL(D1030,$G$5)),[1]!S_STM07_CS(D1030,49,$G$5,$H$13)/$E$5))</f>
        <v/>
      </c>
      <c r="P1030" s="247" t="str">
        <f ca="1">IF(C1030="","",IF($P$11="CFPS",[1]!S_STM07_CS(D1030,84,$G$5,$H$13)/IF([1]!S_SHARE_TOTAL(D1030,$G$5)=0,[1]!S_SHARE_TOTAL(D1030,[1]!s_ipo_listeddate(D1030)),[1]!S_SHARE_TOTAL(D1030,$G$5)),[1]!S_STM07_CS(D1030,84,$G$5,$H$13)/$E$5))</f>
        <v/>
      </c>
      <c r="Q1030" s="248" t="str">
        <f ca="1">IF(C1030="","",F1030/([1]!S_STM07_IS(D1030,61,$G$5,$H$13)/IF([1]!S_SHARE_TOTAL(D1030,$G$5)=0,[1]!S_SHARE_TOTAL(D1030,[1]!s_ipo_listeddate(D1030)),[1]!S_SHARE_TOTAL(D1030,$G$5))))</f>
        <v/>
      </c>
      <c r="R1030" s="248" t="str">
        <f ca="1">IF(C1030="","",F1030/([1]!S_STM07_BS(D1030,141,$G$5,$H$13)/IF([1]!S_SHARE_TOTAL(D1030,$G$5)=0,[1]!S_SHARE_TOTAL(D1030,[1]!s_ipo_listeddate(D1030)),[1]!S_SHARE_TOTAL(D1030,$G$5))))</f>
        <v/>
      </c>
      <c r="S1030" s="247" t="str">
        <f ca="1">IF(C1030="","",[1]!S_SHARE_TOTAL(D1030,TODAY())/$E$5)</f>
        <v/>
      </c>
      <c r="T1030" s="247" t="str">
        <f t="shared" ca="1" si="103"/>
        <v/>
      </c>
      <c r="U1030" s="218" t="str">
        <f t="shared" ca="1" si="104"/>
        <v/>
      </c>
      <c r="V1030" s="342" t="str">
        <f t="shared" ca="1" si="105"/>
        <v/>
      </c>
      <c r="W1030" s="139"/>
      <c r="Y1030" s="1"/>
    </row>
    <row r="1031" spans="3:25" ht="12" customHeight="1">
      <c r="C1031" s="343" t="str">
        <f t="shared" ca="1" si="100"/>
        <v/>
      </c>
      <c r="D1031" s="124" t="str">
        <f t="shared" ca="1" si="101"/>
        <v/>
      </c>
      <c r="E1031" s="124" t="str">
        <f t="shared" ca="1" si="102"/>
        <v/>
      </c>
      <c r="F1031" s="172" t="str">
        <f ca="1">IF(C1031="","",[1]!S_DQ_CLOSE(D1031,TODAY(),1))</f>
        <v/>
      </c>
      <c r="G1031" s="173" t="str">
        <f ca="1">IF(C1031="","",[1]!s_pq_pctchange(D1031,TODAY()-$G$12,TODAY())/100)</f>
        <v/>
      </c>
      <c r="H1031" s="249" t="str">
        <f ca="1">IF(C1031="","",IF($H$11="收入",[1]!S_STM07_IS(D1031,9,$G$5,$H$13)/$E$5,[1]!S_STM07_IS(D1031,48,$G$5,$H$13)/$E$5))</f>
        <v/>
      </c>
      <c r="I1031" s="249" t="str">
        <f ca="1">IF(C1031="","",IF($I$11="毛利率",([1]!S_STM07_IS(D1031,9,$G$5,$H$13)-[1]!S_STM07_IS(D1031,10,$G$5,$H$13))/[1]!S_STM07_IS(D1031,9,$G$5,$H$13),[1]!S_STM07_IS(D1031,14,$G$5,$H$13)/$E$5))</f>
        <v/>
      </c>
      <c r="J1031" s="249" t="str">
        <f ca="1">IF(C1031="","",IF($J$11="营业利润率",[1]!S_STM07_IS(D1031,48,$G$5,$H$13)/[1]!S_STM07_IS(D1031,9,$G$5,$H$13),([1]!S_STM07_CS(D1031,87,$G$5,$H$13)+[1]!S_STM07_CS(D1031,88,$G$5,$H$13)+[1]!S_STM07_CS(D1031,89,$G$5,$H$13))/$E$5))</f>
        <v/>
      </c>
      <c r="K1031" s="249" t="str">
        <f ca="1">IF(C1031="","",IF($K$11="净利润率",[1]!S_STM07_IS(D1031,61,$G$5,$H$13)/[1]!S_STM07_IS(D1031,9,$G$5,$H$13),[1]!S_STM07_IS(D1031,55,$G$5,$H$13)/$E$5))</f>
        <v/>
      </c>
      <c r="L1031" s="249" t="str">
        <f ca="1">IF(C1031="","",IF($L$11="ROA",[1]!S_STM07_IS(D1031,61,$G$5,$H$13)/[1]!S_STM07_BS(D1031,74,$G$5,$H$13),1-[1]!S_STM07_IS(D1031,61,$G$5,$H$13)/[1]!S_STM07_IS(D1031,55,$G$5,$H$13)))</f>
        <v/>
      </c>
      <c r="M1031" s="249" t="str">
        <f ca="1">IF(C1031="","",IF($M$11="ROE",[1]!S_STM07_IS(D1031,61,$G$5,$H$13)/[1]!S_STM07_BS(D1031,141,$G$5,$H$13),([1]!S_STM07_BS(D1031,25,$G$5,$H$13)-[1]!S_STM07_BS(D1031,93,$G$5,$H$13))/$E$5))</f>
        <v/>
      </c>
      <c r="N1031" s="250" t="str">
        <f ca="1">IF(C1031="","",IF($N$11="EPS",[1]!S_STM07_IS(D1031,61,$G$5,$H$13)/IF([1]!S_SHARE_TOTAL(D1031,$G$5)=0,[1]!S_SHARE_TOTAL(D1031,[1]!s_ipo_listeddate(D1031)),[1]!S_SHARE_TOTAL(D1031,$G$5)),([1]!S_STM07_BS(D1031,75,$G$5,$H$13)+[1]!S_STM07_BS(D1031,88,$G$5,$H$13)+[1]!S_STM07_BS(D1031,94,$G$5,$H$13)+[1]!S_STM07_BS(D1031,95,$G$5,$H$13))/$E$5))</f>
        <v/>
      </c>
      <c r="O1031" s="250" t="str">
        <f ca="1">IF(C1031="","",IF($O$11="BPS",[1]!S_STM07_BS(D1031,141,$G$5,$H$13)/IF([1]!S_SHARE_TOTAL(D1031,$G$5)=0,[1]!S_SHARE_TOTAL(D1031,[1]!s_ipo_listeddate(D1031)),[1]!S_SHARE_TOTAL(D1031,$G$5)),[1]!S_STM07_CS(D1031,49,$G$5,$H$13)/$E$5))</f>
        <v/>
      </c>
      <c r="P1031" s="250" t="str">
        <f ca="1">IF(C1031="","",IF($P$11="CFPS",[1]!S_STM07_CS(D1031,84,$G$5,$H$13)/IF([1]!S_SHARE_TOTAL(D1031,$G$5)=0,[1]!S_SHARE_TOTAL(D1031,[1]!s_ipo_listeddate(D1031)),[1]!S_SHARE_TOTAL(D1031,$G$5)),[1]!S_STM07_CS(D1031,84,$G$5,$H$13)/$E$5))</f>
        <v/>
      </c>
      <c r="Q1031" s="198" t="str">
        <f ca="1">IF(C1031="","",F1031/([1]!S_STM07_IS(D1031,61,$G$5,$H$13)/IF([1]!S_SHARE_TOTAL(D1031,$G$5)=0,[1]!S_SHARE_TOTAL(D1031,[1]!s_ipo_listeddate(D1031)),[1]!S_SHARE_TOTAL(D1031,$G$5))))</f>
        <v/>
      </c>
      <c r="R1031" s="198" t="str">
        <f ca="1">IF(C1031="","",F1031/([1]!S_STM07_BS(D1031,141,$G$5,$H$13)/IF([1]!S_SHARE_TOTAL(D1031,$G$5)=0,[1]!S_SHARE_TOTAL(D1031,[1]!s_ipo_listeddate(D1031)),[1]!S_SHARE_TOTAL(D1031,$G$5))))</f>
        <v/>
      </c>
      <c r="S1031" s="249" t="str">
        <f ca="1">IF(C1031="","",[1]!S_SHARE_TOTAL(D1031,TODAY())/$E$5)</f>
        <v/>
      </c>
      <c r="T1031" s="249" t="str">
        <f t="shared" ca="1" si="103"/>
        <v/>
      </c>
      <c r="U1031" s="172" t="str">
        <f t="shared" ca="1" si="104"/>
        <v/>
      </c>
      <c r="V1031" s="343" t="str">
        <f t="shared" ca="1" si="105"/>
        <v/>
      </c>
      <c r="W1031" s="139"/>
      <c r="Y1031" s="1"/>
    </row>
    <row r="1032" spans="3:25" ht="12" customHeight="1">
      <c r="C1032" s="342" t="str">
        <f t="shared" ca="1" si="100"/>
        <v/>
      </c>
      <c r="D1032" s="153" t="str">
        <f t="shared" ca="1" si="101"/>
        <v/>
      </c>
      <c r="E1032" s="153" t="str">
        <f t="shared" ca="1" si="102"/>
        <v/>
      </c>
      <c r="F1032" s="170" t="str">
        <f ca="1">IF(C1032="","",[1]!S_DQ_CLOSE(D1032,TODAY(),1))</f>
        <v/>
      </c>
      <c r="G1032" s="171" t="str">
        <f ca="1">IF(C1032="","",[1]!s_pq_pctchange(D1032,TODAY()-$G$12,TODAY())/100)</f>
        <v/>
      </c>
      <c r="H1032" s="247" t="str">
        <f ca="1">IF(C1032="","",IF($H$11="收入",[1]!S_STM07_IS(D1032,9,$G$5,$H$13)/$E$5,[1]!S_STM07_IS(D1032,48,$G$5,$H$13)/$E$5))</f>
        <v/>
      </c>
      <c r="I1032" s="247" t="str">
        <f ca="1">IF(C1032="","",IF($I$11="毛利率",([1]!S_STM07_IS(D1032,9,$G$5,$H$13)-[1]!S_STM07_IS(D1032,10,$G$5,$H$13))/[1]!S_STM07_IS(D1032,9,$G$5,$H$13),[1]!S_STM07_IS(D1032,14,$G$5,$H$13)/$E$5))</f>
        <v/>
      </c>
      <c r="J1032" s="247" t="str">
        <f ca="1">IF(C1032="","",IF($J$11="营业利润率",[1]!S_STM07_IS(D1032,48,$G$5,$H$13)/[1]!S_STM07_IS(D1032,9,$G$5,$H$13),([1]!S_STM07_CS(D1032,87,$G$5,$H$13)+[1]!S_STM07_CS(D1032,88,$G$5,$H$13)+[1]!S_STM07_CS(D1032,89,$G$5,$H$13))/$E$5))</f>
        <v/>
      </c>
      <c r="K1032" s="247" t="str">
        <f ca="1">IF(C1032="","",IF($K$11="净利润率",[1]!S_STM07_IS(D1032,61,$G$5,$H$13)/[1]!S_STM07_IS(D1032,9,$G$5,$H$13),[1]!S_STM07_IS(D1032,55,$G$5,$H$13)/$E$5))</f>
        <v/>
      </c>
      <c r="L1032" s="247" t="str">
        <f ca="1">IF(C1032="","",IF($L$11="ROA",[1]!S_STM07_IS(D1032,61,$G$5,$H$13)/[1]!S_STM07_BS(D1032,74,$G$5,$H$13),1-[1]!S_STM07_IS(D1032,61,$G$5,$H$13)/[1]!S_STM07_IS(D1032,55,$G$5,$H$13)))</f>
        <v/>
      </c>
      <c r="M1032" s="247" t="str">
        <f ca="1">IF(C1032="","",IF($M$11="ROE",[1]!S_STM07_IS(D1032,61,$G$5,$H$13)/[1]!S_STM07_BS(D1032,141,$G$5,$H$13),([1]!S_STM07_BS(D1032,25,$G$5,$H$13)-[1]!S_STM07_BS(D1032,93,$G$5,$H$13))/$E$5))</f>
        <v/>
      </c>
      <c r="N1032" s="247" t="str">
        <f ca="1">IF(C1032="","",IF($N$11="EPS",[1]!S_STM07_IS(D1032,61,$G$5,$H$13)/IF([1]!S_SHARE_TOTAL(D1032,$G$5)=0,[1]!S_SHARE_TOTAL(D1032,[1]!s_ipo_listeddate(D1032)),[1]!S_SHARE_TOTAL(D1032,$G$5)),([1]!S_STM07_BS(D1032,75,$G$5,$H$13)+[1]!S_STM07_BS(D1032,88,$G$5,$H$13)+[1]!S_STM07_BS(D1032,94,$G$5,$H$13)+[1]!S_STM07_BS(D1032,95,$G$5,$H$13))/$E$5))</f>
        <v/>
      </c>
      <c r="O1032" s="247" t="str">
        <f ca="1">IF(C1032="","",IF($O$11="BPS",[1]!S_STM07_BS(D1032,141,$G$5,$H$13)/IF([1]!S_SHARE_TOTAL(D1032,$G$5)=0,[1]!S_SHARE_TOTAL(D1032,[1]!s_ipo_listeddate(D1032)),[1]!S_SHARE_TOTAL(D1032,$G$5)),[1]!S_STM07_CS(D1032,49,$G$5,$H$13)/$E$5))</f>
        <v/>
      </c>
      <c r="P1032" s="247" t="str">
        <f ca="1">IF(C1032="","",IF($P$11="CFPS",[1]!S_STM07_CS(D1032,84,$G$5,$H$13)/IF([1]!S_SHARE_TOTAL(D1032,$G$5)=0,[1]!S_SHARE_TOTAL(D1032,[1]!s_ipo_listeddate(D1032)),[1]!S_SHARE_TOTAL(D1032,$G$5)),[1]!S_STM07_CS(D1032,84,$G$5,$H$13)/$E$5))</f>
        <v/>
      </c>
      <c r="Q1032" s="248" t="str">
        <f ca="1">IF(C1032="","",F1032/([1]!S_STM07_IS(D1032,61,$G$5,$H$13)/IF([1]!S_SHARE_TOTAL(D1032,$G$5)=0,[1]!S_SHARE_TOTAL(D1032,[1]!s_ipo_listeddate(D1032)),[1]!S_SHARE_TOTAL(D1032,$G$5))))</f>
        <v/>
      </c>
      <c r="R1032" s="248" t="str">
        <f ca="1">IF(C1032="","",F1032/([1]!S_STM07_BS(D1032,141,$G$5,$H$13)/IF([1]!S_SHARE_TOTAL(D1032,$G$5)=0,[1]!S_SHARE_TOTAL(D1032,[1]!s_ipo_listeddate(D1032)),[1]!S_SHARE_TOTAL(D1032,$G$5))))</f>
        <v/>
      </c>
      <c r="S1032" s="247" t="str">
        <f ca="1">IF(C1032="","",[1]!S_SHARE_TOTAL(D1032,TODAY())/$E$5)</f>
        <v/>
      </c>
      <c r="T1032" s="247" t="str">
        <f t="shared" ca="1" si="103"/>
        <v/>
      </c>
      <c r="U1032" s="218" t="str">
        <f t="shared" ca="1" si="104"/>
        <v/>
      </c>
      <c r="V1032" s="342" t="str">
        <f t="shared" ca="1" si="105"/>
        <v/>
      </c>
      <c r="W1032" s="139"/>
      <c r="Y1032" s="1"/>
    </row>
    <row r="1033" spans="3:25" ht="12" customHeight="1">
      <c r="C1033" s="343" t="str">
        <f t="shared" ca="1" si="100"/>
        <v/>
      </c>
      <c r="D1033" s="124" t="str">
        <f t="shared" ca="1" si="101"/>
        <v/>
      </c>
      <c r="E1033" s="124" t="str">
        <f t="shared" ca="1" si="102"/>
        <v/>
      </c>
      <c r="F1033" s="172" t="str">
        <f ca="1">IF(C1033="","",[1]!S_DQ_CLOSE(D1033,TODAY(),1))</f>
        <v/>
      </c>
      <c r="G1033" s="173" t="str">
        <f ca="1">IF(C1033="","",[1]!s_pq_pctchange(D1033,TODAY()-$G$12,TODAY())/100)</f>
        <v/>
      </c>
      <c r="H1033" s="249" t="str">
        <f ca="1">IF(C1033="","",IF($H$11="收入",[1]!S_STM07_IS(D1033,9,$G$5,$H$13)/$E$5,[1]!S_STM07_IS(D1033,48,$G$5,$H$13)/$E$5))</f>
        <v/>
      </c>
      <c r="I1033" s="249" t="str">
        <f ca="1">IF(C1033="","",IF($I$11="毛利率",([1]!S_STM07_IS(D1033,9,$G$5,$H$13)-[1]!S_STM07_IS(D1033,10,$G$5,$H$13))/[1]!S_STM07_IS(D1033,9,$G$5,$H$13),[1]!S_STM07_IS(D1033,14,$G$5,$H$13)/$E$5))</f>
        <v/>
      </c>
      <c r="J1033" s="249" t="str">
        <f ca="1">IF(C1033="","",IF($J$11="营业利润率",[1]!S_STM07_IS(D1033,48,$G$5,$H$13)/[1]!S_STM07_IS(D1033,9,$G$5,$H$13),([1]!S_STM07_CS(D1033,87,$G$5,$H$13)+[1]!S_STM07_CS(D1033,88,$G$5,$H$13)+[1]!S_STM07_CS(D1033,89,$G$5,$H$13))/$E$5))</f>
        <v/>
      </c>
      <c r="K1033" s="249" t="str">
        <f ca="1">IF(C1033="","",IF($K$11="净利润率",[1]!S_STM07_IS(D1033,61,$G$5,$H$13)/[1]!S_STM07_IS(D1033,9,$G$5,$H$13),[1]!S_STM07_IS(D1033,55,$G$5,$H$13)/$E$5))</f>
        <v/>
      </c>
      <c r="L1033" s="249" t="str">
        <f ca="1">IF(C1033="","",IF($L$11="ROA",[1]!S_STM07_IS(D1033,61,$G$5,$H$13)/[1]!S_STM07_BS(D1033,74,$G$5,$H$13),1-[1]!S_STM07_IS(D1033,61,$G$5,$H$13)/[1]!S_STM07_IS(D1033,55,$G$5,$H$13)))</f>
        <v/>
      </c>
      <c r="M1033" s="249" t="str">
        <f ca="1">IF(C1033="","",IF($M$11="ROE",[1]!S_STM07_IS(D1033,61,$G$5,$H$13)/[1]!S_STM07_BS(D1033,141,$G$5,$H$13),([1]!S_STM07_BS(D1033,25,$G$5,$H$13)-[1]!S_STM07_BS(D1033,93,$G$5,$H$13))/$E$5))</f>
        <v/>
      </c>
      <c r="N1033" s="250" t="str">
        <f ca="1">IF(C1033="","",IF($N$11="EPS",[1]!S_STM07_IS(D1033,61,$G$5,$H$13)/IF([1]!S_SHARE_TOTAL(D1033,$G$5)=0,[1]!S_SHARE_TOTAL(D1033,[1]!s_ipo_listeddate(D1033)),[1]!S_SHARE_TOTAL(D1033,$G$5)),([1]!S_STM07_BS(D1033,75,$G$5,$H$13)+[1]!S_STM07_BS(D1033,88,$G$5,$H$13)+[1]!S_STM07_BS(D1033,94,$G$5,$H$13)+[1]!S_STM07_BS(D1033,95,$G$5,$H$13))/$E$5))</f>
        <v/>
      </c>
      <c r="O1033" s="250" t="str">
        <f ca="1">IF(C1033="","",IF($O$11="BPS",[1]!S_STM07_BS(D1033,141,$G$5,$H$13)/IF([1]!S_SHARE_TOTAL(D1033,$G$5)=0,[1]!S_SHARE_TOTAL(D1033,[1]!s_ipo_listeddate(D1033)),[1]!S_SHARE_TOTAL(D1033,$G$5)),[1]!S_STM07_CS(D1033,49,$G$5,$H$13)/$E$5))</f>
        <v/>
      </c>
      <c r="P1033" s="250" t="str">
        <f ca="1">IF(C1033="","",IF($P$11="CFPS",[1]!S_STM07_CS(D1033,84,$G$5,$H$13)/IF([1]!S_SHARE_TOTAL(D1033,$G$5)=0,[1]!S_SHARE_TOTAL(D1033,[1]!s_ipo_listeddate(D1033)),[1]!S_SHARE_TOTAL(D1033,$G$5)),[1]!S_STM07_CS(D1033,84,$G$5,$H$13)/$E$5))</f>
        <v/>
      </c>
      <c r="Q1033" s="198" t="str">
        <f ca="1">IF(C1033="","",F1033/([1]!S_STM07_IS(D1033,61,$G$5,$H$13)/IF([1]!S_SHARE_TOTAL(D1033,$G$5)=0,[1]!S_SHARE_TOTAL(D1033,[1]!s_ipo_listeddate(D1033)),[1]!S_SHARE_TOTAL(D1033,$G$5))))</f>
        <v/>
      </c>
      <c r="R1033" s="198" t="str">
        <f ca="1">IF(C1033="","",F1033/([1]!S_STM07_BS(D1033,141,$G$5,$H$13)/IF([1]!S_SHARE_TOTAL(D1033,$G$5)=0,[1]!S_SHARE_TOTAL(D1033,[1]!s_ipo_listeddate(D1033)),[1]!S_SHARE_TOTAL(D1033,$G$5))))</f>
        <v/>
      </c>
      <c r="S1033" s="249" t="str">
        <f ca="1">IF(C1033="","",[1]!S_SHARE_TOTAL(D1033,TODAY())/$E$5)</f>
        <v/>
      </c>
      <c r="T1033" s="249" t="str">
        <f t="shared" ca="1" si="103"/>
        <v/>
      </c>
      <c r="U1033" s="172" t="str">
        <f t="shared" ca="1" si="104"/>
        <v/>
      </c>
      <c r="V1033" s="343" t="str">
        <f t="shared" ca="1" si="105"/>
        <v/>
      </c>
      <c r="W1033" s="139"/>
      <c r="Y1033" s="1"/>
    </row>
    <row r="1034" spans="3:25" ht="12" customHeight="1">
      <c r="C1034" s="342" t="str">
        <f t="shared" ca="1" si="100"/>
        <v/>
      </c>
      <c r="D1034" s="153" t="str">
        <f t="shared" ca="1" si="101"/>
        <v/>
      </c>
      <c r="E1034" s="153" t="str">
        <f t="shared" ca="1" si="102"/>
        <v/>
      </c>
      <c r="F1034" s="170" t="str">
        <f ca="1">IF(C1034="","",[1]!S_DQ_CLOSE(D1034,TODAY(),1))</f>
        <v/>
      </c>
      <c r="G1034" s="171" t="str">
        <f ca="1">IF(C1034="","",[1]!s_pq_pctchange(D1034,TODAY()-$G$12,TODAY())/100)</f>
        <v/>
      </c>
      <c r="H1034" s="247" t="str">
        <f ca="1">IF(C1034="","",IF($H$11="收入",[1]!S_STM07_IS(D1034,9,$G$5,$H$13)/$E$5,[1]!S_STM07_IS(D1034,48,$G$5,$H$13)/$E$5))</f>
        <v/>
      </c>
      <c r="I1034" s="247" t="str">
        <f ca="1">IF(C1034="","",IF($I$11="毛利率",([1]!S_STM07_IS(D1034,9,$G$5,$H$13)-[1]!S_STM07_IS(D1034,10,$G$5,$H$13))/[1]!S_STM07_IS(D1034,9,$G$5,$H$13),[1]!S_STM07_IS(D1034,14,$G$5,$H$13)/$E$5))</f>
        <v/>
      </c>
      <c r="J1034" s="247" t="str">
        <f ca="1">IF(C1034="","",IF($J$11="营业利润率",[1]!S_STM07_IS(D1034,48,$G$5,$H$13)/[1]!S_STM07_IS(D1034,9,$G$5,$H$13),([1]!S_STM07_CS(D1034,87,$G$5,$H$13)+[1]!S_STM07_CS(D1034,88,$G$5,$H$13)+[1]!S_STM07_CS(D1034,89,$G$5,$H$13))/$E$5))</f>
        <v/>
      </c>
      <c r="K1034" s="247" t="str">
        <f ca="1">IF(C1034="","",IF($K$11="净利润率",[1]!S_STM07_IS(D1034,61,$G$5,$H$13)/[1]!S_STM07_IS(D1034,9,$G$5,$H$13),[1]!S_STM07_IS(D1034,55,$G$5,$H$13)/$E$5))</f>
        <v/>
      </c>
      <c r="L1034" s="247" t="str">
        <f ca="1">IF(C1034="","",IF($L$11="ROA",[1]!S_STM07_IS(D1034,61,$G$5,$H$13)/[1]!S_STM07_BS(D1034,74,$G$5,$H$13),1-[1]!S_STM07_IS(D1034,61,$G$5,$H$13)/[1]!S_STM07_IS(D1034,55,$G$5,$H$13)))</f>
        <v/>
      </c>
      <c r="M1034" s="247" t="str">
        <f ca="1">IF(C1034="","",IF($M$11="ROE",[1]!S_STM07_IS(D1034,61,$G$5,$H$13)/[1]!S_STM07_BS(D1034,141,$G$5,$H$13),([1]!S_STM07_BS(D1034,25,$G$5,$H$13)-[1]!S_STM07_BS(D1034,93,$G$5,$H$13))/$E$5))</f>
        <v/>
      </c>
      <c r="N1034" s="247" t="str">
        <f ca="1">IF(C1034="","",IF($N$11="EPS",[1]!S_STM07_IS(D1034,61,$G$5,$H$13)/IF([1]!S_SHARE_TOTAL(D1034,$G$5)=0,[1]!S_SHARE_TOTAL(D1034,[1]!s_ipo_listeddate(D1034)),[1]!S_SHARE_TOTAL(D1034,$G$5)),([1]!S_STM07_BS(D1034,75,$G$5,$H$13)+[1]!S_STM07_BS(D1034,88,$G$5,$H$13)+[1]!S_STM07_BS(D1034,94,$G$5,$H$13)+[1]!S_STM07_BS(D1034,95,$G$5,$H$13))/$E$5))</f>
        <v/>
      </c>
      <c r="O1034" s="247" t="str">
        <f ca="1">IF(C1034="","",IF($O$11="BPS",[1]!S_STM07_BS(D1034,141,$G$5,$H$13)/IF([1]!S_SHARE_TOTAL(D1034,$G$5)=0,[1]!S_SHARE_TOTAL(D1034,[1]!s_ipo_listeddate(D1034)),[1]!S_SHARE_TOTAL(D1034,$G$5)),[1]!S_STM07_CS(D1034,49,$G$5,$H$13)/$E$5))</f>
        <v/>
      </c>
      <c r="P1034" s="247" t="str">
        <f ca="1">IF(C1034="","",IF($P$11="CFPS",[1]!S_STM07_CS(D1034,84,$G$5,$H$13)/IF([1]!S_SHARE_TOTAL(D1034,$G$5)=0,[1]!S_SHARE_TOTAL(D1034,[1]!s_ipo_listeddate(D1034)),[1]!S_SHARE_TOTAL(D1034,$G$5)),[1]!S_STM07_CS(D1034,84,$G$5,$H$13)/$E$5))</f>
        <v/>
      </c>
      <c r="Q1034" s="248" t="str">
        <f ca="1">IF(C1034="","",F1034/([1]!S_STM07_IS(D1034,61,$G$5,$H$13)/IF([1]!S_SHARE_TOTAL(D1034,$G$5)=0,[1]!S_SHARE_TOTAL(D1034,[1]!s_ipo_listeddate(D1034)),[1]!S_SHARE_TOTAL(D1034,$G$5))))</f>
        <v/>
      </c>
      <c r="R1034" s="248" t="str">
        <f ca="1">IF(C1034="","",F1034/([1]!S_STM07_BS(D1034,141,$G$5,$H$13)/IF([1]!S_SHARE_TOTAL(D1034,$G$5)=0,[1]!S_SHARE_TOTAL(D1034,[1]!s_ipo_listeddate(D1034)),[1]!S_SHARE_TOTAL(D1034,$G$5))))</f>
        <v/>
      </c>
      <c r="S1034" s="247" t="str">
        <f ca="1">IF(C1034="","",[1]!S_SHARE_TOTAL(D1034,TODAY())/$E$5)</f>
        <v/>
      </c>
      <c r="T1034" s="247" t="str">
        <f t="shared" ca="1" si="103"/>
        <v/>
      </c>
      <c r="U1034" s="218" t="str">
        <f t="shared" ca="1" si="104"/>
        <v/>
      </c>
      <c r="V1034" s="342" t="str">
        <f t="shared" ca="1" si="105"/>
        <v/>
      </c>
      <c r="W1034" s="139"/>
      <c r="Y1034" s="1"/>
    </row>
    <row r="1035" spans="3:25" ht="12" customHeight="1">
      <c r="C1035" s="343" t="str">
        <f t="shared" ca="1" si="100"/>
        <v/>
      </c>
      <c r="D1035" s="124" t="str">
        <f t="shared" ca="1" si="101"/>
        <v/>
      </c>
      <c r="E1035" s="124" t="str">
        <f t="shared" ca="1" si="102"/>
        <v/>
      </c>
      <c r="F1035" s="172" t="str">
        <f ca="1">IF(C1035="","",[1]!S_DQ_CLOSE(D1035,TODAY(),1))</f>
        <v/>
      </c>
      <c r="G1035" s="173" t="str">
        <f ca="1">IF(C1035="","",[1]!s_pq_pctchange(D1035,TODAY()-$G$12,TODAY())/100)</f>
        <v/>
      </c>
      <c r="H1035" s="249" t="str">
        <f ca="1">IF(C1035="","",IF($H$11="收入",[1]!S_STM07_IS(D1035,9,$G$5,$H$13)/$E$5,[1]!S_STM07_IS(D1035,48,$G$5,$H$13)/$E$5))</f>
        <v/>
      </c>
      <c r="I1035" s="249" t="str">
        <f ca="1">IF(C1035="","",IF($I$11="毛利率",([1]!S_STM07_IS(D1035,9,$G$5,$H$13)-[1]!S_STM07_IS(D1035,10,$G$5,$H$13))/[1]!S_STM07_IS(D1035,9,$G$5,$H$13),[1]!S_STM07_IS(D1035,14,$G$5,$H$13)/$E$5))</f>
        <v/>
      </c>
      <c r="J1035" s="249" t="str">
        <f ca="1">IF(C1035="","",IF($J$11="营业利润率",[1]!S_STM07_IS(D1035,48,$G$5,$H$13)/[1]!S_STM07_IS(D1035,9,$G$5,$H$13),([1]!S_STM07_CS(D1035,87,$G$5,$H$13)+[1]!S_STM07_CS(D1035,88,$G$5,$H$13)+[1]!S_STM07_CS(D1035,89,$G$5,$H$13))/$E$5))</f>
        <v/>
      </c>
      <c r="K1035" s="249" t="str">
        <f ca="1">IF(C1035="","",IF($K$11="净利润率",[1]!S_STM07_IS(D1035,61,$G$5,$H$13)/[1]!S_STM07_IS(D1035,9,$G$5,$H$13),[1]!S_STM07_IS(D1035,55,$G$5,$H$13)/$E$5))</f>
        <v/>
      </c>
      <c r="L1035" s="249" t="str">
        <f ca="1">IF(C1035="","",IF($L$11="ROA",[1]!S_STM07_IS(D1035,61,$G$5,$H$13)/[1]!S_STM07_BS(D1035,74,$G$5,$H$13),1-[1]!S_STM07_IS(D1035,61,$G$5,$H$13)/[1]!S_STM07_IS(D1035,55,$G$5,$H$13)))</f>
        <v/>
      </c>
      <c r="M1035" s="249" t="str">
        <f ca="1">IF(C1035="","",IF($M$11="ROE",[1]!S_STM07_IS(D1035,61,$G$5,$H$13)/[1]!S_STM07_BS(D1035,141,$G$5,$H$13),([1]!S_STM07_BS(D1035,25,$G$5,$H$13)-[1]!S_STM07_BS(D1035,93,$G$5,$H$13))/$E$5))</f>
        <v/>
      </c>
      <c r="N1035" s="250" t="str">
        <f ca="1">IF(C1035="","",IF($N$11="EPS",[1]!S_STM07_IS(D1035,61,$G$5,$H$13)/IF([1]!S_SHARE_TOTAL(D1035,$G$5)=0,[1]!S_SHARE_TOTAL(D1035,[1]!s_ipo_listeddate(D1035)),[1]!S_SHARE_TOTAL(D1035,$G$5)),([1]!S_STM07_BS(D1035,75,$G$5,$H$13)+[1]!S_STM07_BS(D1035,88,$G$5,$H$13)+[1]!S_STM07_BS(D1035,94,$G$5,$H$13)+[1]!S_STM07_BS(D1035,95,$G$5,$H$13))/$E$5))</f>
        <v/>
      </c>
      <c r="O1035" s="250" t="str">
        <f ca="1">IF(C1035="","",IF($O$11="BPS",[1]!S_STM07_BS(D1035,141,$G$5,$H$13)/IF([1]!S_SHARE_TOTAL(D1035,$G$5)=0,[1]!S_SHARE_TOTAL(D1035,[1]!s_ipo_listeddate(D1035)),[1]!S_SHARE_TOTAL(D1035,$G$5)),[1]!S_STM07_CS(D1035,49,$G$5,$H$13)/$E$5))</f>
        <v/>
      </c>
      <c r="P1035" s="250" t="str">
        <f ca="1">IF(C1035="","",IF($P$11="CFPS",[1]!S_STM07_CS(D1035,84,$G$5,$H$13)/IF([1]!S_SHARE_TOTAL(D1035,$G$5)=0,[1]!S_SHARE_TOTAL(D1035,[1]!s_ipo_listeddate(D1035)),[1]!S_SHARE_TOTAL(D1035,$G$5)),[1]!S_STM07_CS(D1035,84,$G$5,$H$13)/$E$5))</f>
        <v/>
      </c>
      <c r="Q1035" s="198" t="str">
        <f ca="1">IF(C1035="","",F1035/([1]!S_STM07_IS(D1035,61,$G$5,$H$13)/IF([1]!S_SHARE_TOTAL(D1035,$G$5)=0,[1]!S_SHARE_TOTAL(D1035,[1]!s_ipo_listeddate(D1035)),[1]!S_SHARE_TOTAL(D1035,$G$5))))</f>
        <v/>
      </c>
      <c r="R1035" s="198" t="str">
        <f ca="1">IF(C1035="","",F1035/([1]!S_STM07_BS(D1035,141,$G$5,$H$13)/IF([1]!S_SHARE_TOTAL(D1035,$G$5)=0,[1]!S_SHARE_TOTAL(D1035,[1]!s_ipo_listeddate(D1035)),[1]!S_SHARE_TOTAL(D1035,$G$5))))</f>
        <v/>
      </c>
      <c r="S1035" s="249" t="str">
        <f ca="1">IF(C1035="","",[1]!S_SHARE_TOTAL(D1035,TODAY())/$E$5)</f>
        <v/>
      </c>
      <c r="T1035" s="249" t="str">
        <f t="shared" ca="1" si="103"/>
        <v/>
      </c>
      <c r="U1035" s="172" t="str">
        <f t="shared" ca="1" si="104"/>
        <v/>
      </c>
      <c r="V1035" s="343" t="str">
        <f t="shared" ca="1" si="105"/>
        <v/>
      </c>
      <c r="W1035" s="139"/>
      <c r="Y1035" s="1"/>
    </row>
    <row r="1036" spans="3:25" ht="12" customHeight="1">
      <c r="C1036" s="342" t="str">
        <f t="shared" ca="1" si="100"/>
        <v/>
      </c>
      <c r="D1036" s="153" t="str">
        <f t="shared" ca="1" si="101"/>
        <v/>
      </c>
      <c r="E1036" s="153" t="str">
        <f t="shared" ca="1" si="102"/>
        <v/>
      </c>
      <c r="F1036" s="170" t="str">
        <f ca="1">IF(C1036="","",[1]!S_DQ_CLOSE(D1036,TODAY(),1))</f>
        <v/>
      </c>
      <c r="G1036" s="171" t="str">
        <f ca="1">IF(C1036="","",[1]!s_pq_pctchange(D1036,TODAY()-$G$12,TODAY())/100)</f>
        <v/>
      </c>
      <c r="H1036" s="247" t="str">
        <f ca="1">IF(C1036="","",IF($H$11="收入",[1]!S_STM07_IS(D1036,9,$G$5,$H$13)/$E$5,[1]!S_STM07_IS(D1036,48,$G$5,$H$13)/$E$5))</f>
        <v/>
      </c>
      <c r="I1036" s="247" t="str">
        <f ca="1">IF(C1036="","",IF($I$11="毛利率",([1]!S_STM07_IS(D1036,9,$G$5,$H$13)-[1]!S_STM07_IS(D1036,10,$G$5,$H$13))/[1]!S_STM07_IS(D1036,9,$G$5,$H$13),[1]!S_STM07_IS(D1036,14,$G$5,$H$13)/$E$5))</f>
        <v/>
      </c>
      <c r="J1036" s="247" t="str">
        <f ca="1">IF(C1036="","",IF($J$11="营业利润率",[1]!S_STM07_IS(D1036,48,$G$5,$H$13)/[1]!S_STM07_IS(D1036,9,$G$5,$H$13),([1]!S_STM07_CS(D1036,87,$G$5,$H$13)+[1]!S_STM07_CS(D1036,88,$G$5,$H$13)+[1]!S_STM07_CS(D1036,89,$G$5,$H$13))/$E$5))</f>
        <v/>
      </c>
      <c r="K1036" s="247" t="str">
        <f ca="1">IF(C1036="","",IF($K$11="净利润率",[1]!S_STM07_IS(D1036,61,$G$5,$H$13)/[1]!S_STM07_IS(D1036,9,$G$5,$H$13),[1]!S_STM07_IS(D1036,55,$G$5,$H$13)/$E$5))</f>
        <v/>
      </c>
      <c r="L1036" s="247" t="str">
        <f ca="1">IF(C1036="","",IF($L$11="ROA",[1]!S_STM07_IS(D1036,61,$G$5,$H$13)/[1]!S_STM07_BS(D1036,74,$G$5,$H$13),1-[1]!S_STM07_IS(D1036,61,$G$5,$H$13)/[1]!S_STM07_IS(D1036,55,$G$5,$H$13)))</f>
        <v/>
      </c>
      <c r="M1036" s="247" t="str">
        <f ca="1">IF(C1036="","",IF($M$11="ROE",[1]!S_STM07_IS(D1036,61,$G$5,$H$13)/[1]!S_STM07_BS(D1036,141,$G$5,$H$13),([1]!S_STM07_BS(D1036,25,$G$5,$H$13)-[1]!S_STM07_BS(D1036,93,$G$5,$H$13))/$E$5))</f>
        <v/>
      </c>
      <c r="N1036" s="247" t="str">
        <f ca="1">IF(C1036="","",IF($N$11="EPS",[1]!S_STM07_IS(D1036,61,$G$5,$H$13)/IF([1]!S_SHARE_TOTAL(D1036,$G$5)=0,[1]!S_SHARE_TOTAL(D1036,[1]!s_ipo_listeddate(D1036)),[1]!S_SHARE_TOTAL(D1036,$G$5)),([1]!S_STM07_BS(D1036,75,$G$5,$H$13)+[1]!S_STM07_BS(D1036,88,$G$5,$H$13)+[1]!S_STM07_BS(D1036,94,$G$5,$H$13)+[1]!S_STM07_BS(D1036,95,$G$5,$H$13))/$E$5))</f>
        <v/>
      </c>
      <c r="O1036" s="247" t="str">
        <f ca="1">IF(C1036="","",IF($O$11="BPS",[1]!S_STM07_BS(D1036,141,$G$5,$H$13)/IF([1]!S_SHARE_TOTAL(D1036,$G$5)=0,[1]!S_SHARE_TOTAL(D1036,[1]!s_ipo_listeddate(D1036)),[1]!S_SHARE_TOTAL(D1036,$G$5)),[1]!S_STM07_CS(D1036,49,$G$5,$H$13)/$E$5))</f>
        <v/>
      </c>
      <c r="P1036" s="247" t="str">
        <f ca="1">IF(C1036="","",IF($P$11="CFPS",[1]!S_STM07_CS(D1036,84,$G$5,$H$13)/IF([1]!S_SHARE_TOTAL(D1036,$G$5)=0,[1]!S_SHARE_TOTAL(D1036,[1]!s_ipo_listeddate(D1036)),[1]!S_SHARE_TOTAL(D1036,$G$5)),[1]!S_STM07_CS(D1036,84,$G$5,$H$13)/$E$5))</f>
        <v/>
      </c>
      <c r="Q1036" s="248" t="str">
        <f ca="1">IF(C1036="","",F1036/([1]!S_STM07_IS(D1036,61,$G$5,$H$13)/IF([1]!S_SHARE_TOTAL(D1036,$G$5)=0,[1]!S_SHARE_TOTAL(D1036,[1]!s_ipo_listeddate(D1036)),[1]!S_SHARE_TOTAL(D1036,$G$5))))</f>
        <v/>
      </c>
      <c r="R1036" s="248" t="str">
        <f ca="1">IF(C1036="","",F1036/([1]!S_STM07_BS(D1036,141,$G$5,$H$13)/IF([1]!S_SHARE_TOTAL(D1036,$G$5)=0,[1]!S_SHARE_TOTAL(D1036,[1]!s_ipo_listeddate(D1036)),[1]!S_SHARE_TOTAL(D1036,$G$5))))</f>
        <v/>
      </c>
      <c r="S1036" s="247" t="str">
        <f ca="1">IF(C1036="","",[1]!S_SHARE_TOTAL(D1036,TODAY())/$E$5)</f>
        <v/>
      </c>
      <c r="T1036" s="247" t="str">
        <f t="shared" ca="1" si="103"/>
        <v/>
      </c>
      <c r="U1036" s="218" t="str">
        <f t="shared" ca="1" si="104"/>
        <v/>
      </c>
      <c r="V1036" s="342" t="str">
        <f t="shared" ca="1" si="105"/>
        <v/>
      </c>
      <c r="W1036" s="139"/>
      <c r="Y1036" s="1"/>
    </row>
    <row r="1037" spans="3:25" ht="12" customHeight="1">
      <c r="C1037" s="343" t="str">
        <f t="shared" ca="1" si="100"/>
        <v/>
      </c>
      <c r="D1037" s="124" t="str">
        <f t="shared" ca="1" si="101"/>
        <v/>
      </c>
      <c r="E1037" s="124" t="str">
        <f t="shared" ca="1" si="102"/>
        <v/>
      </c>
      <c r="F1037" s="172" t="str">
        <f ca="1">IF(C1037="","",[1]!S_DQ_CLOSE(D1037,TODAY(),1))</f>
        <v/>
      </c>
      <c r="G1037" s="173" t="str">
        <f ca="1">IF(C1037="","",[1]!s_pq_pctchange(D1037,TODAY()-$G$12,TODAY())/100)</f>
        <v/>
      </c>
      <c r="H1037" s="249" t="str">
        <f ca="1">IF(C1037="","",IF($H$11="收入",[1]!S_STM07_IS(D1037,9,$G$5,$H$13)/$E$5,[1]!S_STM07_IS(D1037,48,$G$5,$H$13)/$E$5))</f>
        <v/>
      </c>
      <c r="I1037" s="249" t="str">
        <f ca="1">IF(C1037="","",IF($I$11="毛利率",([1]!S_STM07_IS(D1037,9,$G$5,$H$13)-[1]!S_STM07_IS(D1037,10,$G$5,$H$13))/[1]!S_STM07_IS(D1037,9,$G$5,$H$13),[1]!S_STM07_IS(D1037,14,$G$5,$H$13)/$E$5))</f>
        <v/>
      </c>
      <c r="J1037" s="249" t="str">
        <f ca="1">IF(C1037="","",IF($J$11="营业利润率",[1]!S_STM07_IS(D1037,48,$G$5,$H$13)/[1]!S_STM07_IS(D1037,9,$G$5,$H$13),([1]!S_STM07_CS(D1037,87,$G$5,$H$13)+[1]!S_STM07_CS(D1037,88,$G$5,$H$13)+[1]!S_STM07_CS(D1037,89,$G$5,$H$13))/$E$5))</f>
        <v/>
      </c>
      <c r="K1037" s="249" t="str">
        <f ca="1">IF(C1037="","",IF($K$11="净利润率",[1]!S_STM07_IS(D1037,61,$G$5,$H$13)/[1]!S_STM07_IS(D1037,9,$G$5,$H$13),[1]!S_STM07_IS(D1037,55,$G$5,$H$13)/$E$5))</f>
        <v/>
      </c>
      <c r="L1037" s="249" t="str">
        <f ca="1">IF(C1037="","",IF($L$11="ROA",[1]!S_STM07_IS(D1037,61,$G$5,$H$13)/[1]!S_STM07_BS(D1037,74,$G$5,$H$13),1-[1]!S_STM07_IS(D1037,61,$G$5,$H$13)/[1]!S_STM07_IS(D1037,55,$G$5,$H$13)))</f>
        <v/>
      </c>
      <c r="M1037" s="249" t="str">
        <f ca="1">IF(C1037="","",IF($M$11="ROE",[1]!S_STM07_IS(D1037,61,$G$5,$H$13)/[1]!S_STM07_BS(D1037,141,$G$5,$H$13),([1]!S_STM07_BS(D1037,25,$G$5,$H$13)-[1]!S_STM07_BS(D1037,93,$G$5,$H$13))/$E$5))</f>
        <v/>
      </c>
      <c r="N1037" s="250" t="str">
        <f ca="1">IF(C1037="","",IF($N$11="EPS",[1]!S_STM07_IS(D1037,61,$G$5,$H$13)/IF([1]!S_SHARE_TOTAL(D1037,$G$5)=0,[1]!S_SHARE_TOTAL(D1037,[1]!s_ipo_listeddate(D1037)),[1]!S_SHARE_TOTAL(D1037,$G$5)),([1]!S_STM07_BS(D1037,75,$G$5,$H$13)+[1]!S_STM07_BS(D1037,88,$G$5,$H$13)+[1]!S_STM07_BS(D1037,94,$G$5,$H$13)+[1]!S_STM07_BS(D1037,95,$G$5,$H$13))/$E$5))</f>
        <v/>
      </c>
      <c r="O1037" s="250" t="str">
        <f ca="1">IF(C1037="","",IF($O$11="BPS",[1]!S_STM07_BS(D1037,141,$G$5,$H$13)/IF([1]!S_SHARE_TOTAL(D1037,$G$5)=0,[1]!S_SHARE_TOTAL(D1037,[1]!s_ipo_listeddate(D1037)),[1]!S_SHARE_TOTAL(D1037,$G$5)),[1]!S_STM07_CS(D1037,49,$G$5,$H$13)/$E$5))</f>
        <v/>
      </c>
      <c r="P1037" s="250" t="str">
        <f ca="1">IF(C1037="","",IF($P$11="CFPS",[1]!S_STM07_CS(D1037,84,$G$5,$H$13)/IF([1]!S_SHARE_TOTAL(D1037,$G$5)=0,[1]!S_SHARE_TOTAL(D1037,[1]!s_ipo_listeddate(D1037)),[1]!S_SHARE_TOTAL(D1037,$G$5)),[1]!S_STM07_CS(D1037,84,$G$5,$H$13)/$E$5))</f>
        <v/>
      </c>
      <c r="Q1037" s="198" t="str">
        <f ca="1">IF(C1037="","",F1037/([1]!S_STM07_IS(D1037,61,$G$5,$H$13)/IF([1]!S_SHARE_TOTAL(D1037,$G$5)=0,[1]!S_SHARE_TOTAL(D1037,[1]!s_ipo_listeddate(D1037)),[1]!S_SHARE_TOTAL(D1037,$G$5))))</f>
        <v/>
      </c>
      <c r="R1037" s="198" t="str">
        <f ca="1">IF(C1037="","",F1037/([1]!S_STM07_BS(D1037,141,$G$5,$H$13)/IF([1]!S_SHARE_TOTAL(D1037,$G$5)=0,[1]!S_SHARE_TOTAL(D1037,[1]!s_ipo_listeddate(D1037)),[1]!S_SHARE_TOTAL(D1037,$G$5))))</f>
        <v/>
      </c>
      <c r="S1037" s="249" t="str">
        <f ca="1">IF(C1037="","",[1]!S_SHARE_TOTAL(D1037,TODAY())/$E$5)</f>
        <v/>
      </c>
      <c r="T1037" s="249" t="str">
        <f t="shared" ca="1" si="103"/>
        <v/>
      </c>
      <c r="U1037" s="172" t="str">
        <f t="shared" ca="1" si="104"/>
        <v/>
      </c>
      <c r="V1037" s="343" t="str">
        <f t="shared" ca="1" si="105"/>
        <v/>
      </c>
      <c r="W1037" s="139"/>
      <c r="Y1037" s="1"/>
    </row>
    <row r="1038" spans="3:25" ht="12" customHeight="1">
      <c r="C1038" s="342" t="str">
        <f t="shared" ref="C1038:C1101" ca="1" si="106">IF(ROW()-13&lt;=MAX(series),ROW()-13,"")</f>
        <v/>
      </c>
      <c r="D1038" s="153" t="str">
        <f t="shared" ca="1" si="101"/>
        <v/>
      </c>
      <c r="E1038" s="153" t="str">
        <f t="shared" ca="1" si="102"/>
        <v/>
      </c>
      <c r="F1038" s="170" t="str">
        <f ca="1">IF(C1038="","",[1]!S_DQ_CLOSE(D1038,TODAY(),1))</f>
        <v/>
      </c>
      <c r="G1038" s="171" t="str">
        <f ca="1">IF(C1038="","",[1]!s_pq_pctchange(D1038,TODAY()-$G$12,TODAY())/100)</f>
        <v/>
      </c>
      <c r="H1038" s="247" t="str">
        <f ca="1">IF(C1038="","",IF($H$11="收入",[1]!S_STM07_IS(D1038,9,$G$5,$H$13)/$E$5,[1]!S_STM07_IS(D1038,48,$G$5,$H$13)/$E$5))</f>
        <v/>
      </c>
      <c r="I1038" s="247" t="str">
        <f ca="1">IF(C1038="","",IF($I$11="毛利率",([1]!S_STM07_IS(D1038,9,$G$5,$H$13)-[1]!S_STM07_IS(D1038,10,$G$5,$H$13))/[1]!S_STM07_IS(D1038,9,$G$5,$H$13),[1]!S_STM07_IS(D1038,14,$G$5,$H$13)/$E$5))</f>
        <v/>
      </c>
      <c r="J1038" s="247" t="str">
        <f ca="1">IF(C1038="","",IF($J$11="营业利润率",[1]!S_STM07_IS(D1038,48,$G$5,$H$13)/[1]!S_STM07_IS(D1038,9,$G$5,$H$13),([1]!S_STM07_CS(D1038,87,$G$5,$H$13)+[1]!S_STM07_CS(D1038,88,$G$5,$H$13)+[1]!S_STM07_CS(D1038,89,$G$5,$H$13))/$E$5))</f>
        <v/>
      </c>
      <c r="K1038" s="247" t="str">
        <f ca="1">IF(C1038="","",IF($K$11="净利润率",[1]!S_STM07_IS(D1038,61,$G$5,$H$13)/[1]!S_STM07_IS(D1038,9,$G$5,$H$13),[1]!S_STM07_IS(D1038,55,$G$5,$H$13)/$E$5))</f>
        <v/>
      </c>
      <c r="L1038" s="247" t="str">
        <f ca="1">IF(C1038="","",IF($L$11="ROA",[1]!S_STM07_IS(D1038,61,$G$5,$H$13)/[1]!S_STM07_BS(D1038,74,$G$5,$H$13),1-[1]!S_STM07_IS(D1038,61,$G$5,$H$13)/[1]!S_STM07_IS(D1038,55,$G$5,$H$13)))</f>
        <v/>
      </c>
      <c r="M1038" s="247" t="str">
        <f ca="1">IF(C1038="","",IF($M$11="ROE",[1]!S_STM07_IS(D1038,61,$G$5,$H$13)/[1]!S_STM07_BS(D1038,141,$G$5,$H$13),([1]!S_STM07_BS(D1038,25,$G$5,$H$13)-[1]!S_STM07_BS(D1038,93,$G$5,$H$13))/$E$5))</f>
        <v/>
      </c>
      <c r="N1038" s="247" t="str">
        <f ca="1">IF(C1038="","",IF($N$11="EPS",[1]!S_STM07_IS(D1038,61,$G$5,$H$13)/IF([1]!S_SHARE_TOTAL(D1038,$G$5)=0,[1]!S_SHARE_TOTAL(D1038,[1]!s_ipo_listeddate(D1038)),[1]!S_SHARE_TOTAL(D1038,$G$5)),([1]!S_STM07_BS(D1038,75,$G$5,$H$13)+[1]!S_STM07_BS(D1038,88,$G$5,$H$13)+[1]!S_STM07_BS(D1038,94,$G$5,$H$13)+[1]!S_STM07_BS(D1038,95,$G$5,$H$13))/$E$5))</f>
        <v/>
      </c>
      <c r="O1038" s="247" t="str">
        <f ca="1">IF(C1038="","",IF($O$11="BPS",[1]!S_STM07_BS(D1038,141,$G$5,$H$13)/IF([1]!S_SHARE_TOTAL(D1038,$G$5)=0,[1]!S_SHARE_TOTAL(D1038,[1]!s_ipo_listeddate(D1038)),[1]!S_SHARE_TOTAL(D1038,$G$5)),[1]!S_STM07_CS(D1038,49,$G$5,$H$13)/$E$5))</f>
        <v/>
      </c>
      <c r="P1038" s="247" t="str">
        <f ca="1">IF(C1038="","",IF($P$11="CFPS",[1]!S_STM07_CS(D1038,84,$G$5,$H$13)/IF([1]!S_SHARE_TOTAL(D1038,$G$5)=0,[1]!S_SHARE_TOTAL(D1038,[1]!s_ipo_listeddate(D1038)),[1]!S_SHARE_TOTAL(D1038,$G$5)),[1]!S_STM07_CS(D1038,84,$G$5,$H$13)/$E$5))</f>
        <v/>
      </c>
      <c r="Q1038" s="248" t="str">
        <f ca="1">IF(C1038="","",F1038/([1]!S_STM07_IS(D1038,61,$G$5,$H$13)/IF([1]!S_SHARE_TOTAL(D1038,$G$5)=0,[1]!S_SHARE_TOTAL(D1038,[1]!s_ipo_listeddate(D1038)),[1]!S_SHARE_TOTAL(D1038,$G$5))))</f>
        <v/>
      </c>
      <c r="R1038" s="248" t="str">
        <f ca="1">IF(C1038="","",F1038/([1]!S_STM07_BS(D1038,141,$G$5,$H$13)/IF([1]!S_SHARE_TOTAL(D1038,$G$5)=0,[1]!S_SHARE_TOTAL(D1038,[1]!s_ipo_listeddate(D1038)),[1]!S_SHARE_TOTAL(D1038,$G$5))))</f>
        <v/>
      </c>
      <c r="S1038" s="247" t="str">
        <f ca="1">IF(C1038="","",[1]!S_SHARE_TOTAL(D1038,TODAY())/$E$5)</f>
        <v/>
      </c>
      <c r="T1038" s="247" t="str">
        <f t="shared" ca="1" si="103"/>
        <v/>
      </c>
      <c r="U1038" s="218" t="str">
        <f t="shared" ca="1" si="104"/>
        <v/>
      </c>
      <c r="V1038" s="342" t="str">
        <f t="shared" ca="1" si="105"/>
        <v/>
      </c>
      <c r="W1038" s="139"/>
      <c r="Y1038" s="1"/>
    </row>
    <row r="1039" spans="3:25" ht="12" customHeight="1">
      <c r="C1039" s="343" t="str">
        <f t="shared" ca="1" si="106"/>
        <v/>
      </c>
      <c r="D1039" s="124" t="str">
        <f t="shared" ca="1" si="101"/>
        <v/>
      </c>
      <c r="E1039" s="124" t="str">
        <f t="shared" ca="1" si="102"/>
        <v/>
      </c>
      <c r="F1039" s="172" t="str">
        <f ca="1">IF(C1039="","",[1]!S_DQ_CLOSE(D1039,TODAY(),1))</f>
        <v/>
      </c>
      <c r="G1039" s="173" t="str">
        <f ca="1">IF(C1039="","",[1]!s_pq_pctchange(D1039,TODAY()-$G$12,TODAY())/100)</f>
        <v/>
      </c>
      <c r="H1039" s="249" t="str">
        <f ca="1">IF(C1039="","",IF($H$11="收入",[1]!S_STM07_IS(D1039,9,$G$5,$H$13)/$E$5,[1]!S_STM07_IS(D1039,48,$G$5,$H$13)/$E$5))</f>
        <v/>
      </c>
      <c r="I1039" s="249" t="str">
        <f ca="1">IF(C1039="","",IF($I$11="毛利率",([1]!S_STM07_IS(D1039,9,$G$5,$H$13)-[1]!S_STM07_IS(D1039,10,$G$5,$H$13))/[1]!S_STM07_IS(D1039,9,$G$5,$H$13),[1]!S_STM07_IS(D1039,14,$G$5,$H$13)/$E$5))</f>
        <v/>
      </c>
      <c r="J1039" s="249" t="str">
        <f ca="1">IF(C1039="","",IF($J$11="营业利润率",[1]!S_STM07_IS(D1039,48,$G$5,$H$13)/[1]!S_STM07_IS(D1039,9,$G$5,$H$13),([1]!S_STM07_CS(D1039,87,$G$5,$H$13)+[1]!S_STM07_CS(D1039,88,$G$5,$H$13)+[1]!S_STM07_CS(D1039,89,$G$5,$H$13))/$E$5))</f>
        <v/>
      </c>
      <c r="K1039" s="249" t="str">
        <f ca="1">IF(C1039="","",IF($K$11="净利润率",[1]!S_STM07_IS(D1039,61,$G$5,$H$13)/[1]!S_STM07_IS(D1039,9,$G$5,$H$13),[1]!S_STM07_IS(D1039,55,$G$5,$H$13)/$E$5))</f>
        <v/>
      </c>
      <c r="L1039" s="249" t="str">
        <f ca="1">IF(C1039="","",IF($L$11="ROA",[1]!S_STM07_IS(D1039,61,$G$5,$H$13)/[1]!S_STM07_BS(D1039,74,$G$5,$H$13),1-[1]!S_STM07_IS(D1039,61,$G$5,$H$13)/[1]!S_STM07_IS(D1039,55,$G$5,$H$13)))</f>
        <v/>
      </c>
      <c r="M1039" s="249" t="str">
        <f ca="1">IF(C1039="","",IF($M$11="ROE",[1]!S_STM07_IS(D1039,61,$G$5,$H$13)/[1]!S_STM07_BS(D1039,141,$G$5,$H$13),([1]!S_STM07_BS(D1039,25,$G$5,$H$13)-[1]!S_STM07_BS(D1039,93,$G$5,$H$13))/$E$5))</f>
        <v/>
      </c>
      <c r="N1039" s="250" t="str">
        <f ca="1">IF(C1039="","",IF($N$11="EPS",[1]!S_STM07_IS(D1039,61,$G$5,$H$13)/IF([1]!S_SHARE_TOTAL(D1039,$G$5)=0,[1]!S_SHARE_TOTAL(D1039,[1]!s_ipo_listeddate(D1039)),[1]!S_SHARE_TOTAL(D1039,$G$5)),([1]!S_STM07_BS(D1039,75,$G$5,$H$13)+[1]!S_STM07_BS(D1039,88,$G$5,$H$13)+[1]!S_STM07_BS(D1039,94,$G$5,$H$13)+[1]!S_STM07_BS(D1039,95,$G$5,$H$13))/$E$5))</f>
        <v/>
      </c>
      <c r="O1039" s="250" t="str">
        <f ca="1">IF(C1039="","",IF($O$11="BPS",[1]!S_STM07_BS(D1039,141,$G$5,$H$13)/IF([1]!S_SHARE_TOTAL(D1039,$G$5)=0,[1]!S_SHARE_TOTAL(D1039,[1]!s_ipo_listeddate(D1039)),[1]!S_SHARE_TOTAL(D1039,$G$5)),[1]!S_STM07_CS(D1039,49,$G$5,$H$13)/$E$5))</f>
        <v/>
      </c>
      <c r="P1039" s="250" t="str">
        <f ca="1">IF(C1039="","",IF($P$11="CFPS",[1]!S_STM07_CS(D1039,84,$G$5,$H$13)/IF([1]!S_SHARE_TOTAL(D1039,$G$5)=0,[1]!S_SHARE_TOTAL(D1039,[1]!s_ipo_listeddate(D1039)),[1]!S_SHARE_TOTAL(D1039,$G$5)),[1]!S_STM07_CS(D1039,84,$G$5,$H$13)/$E$5))</f>
        <v/>
      </c>
      <c r="Q1039" s="198" t="str">
        <f ca="1">IF(C1039="","",F1039/([1]!S_STM07_IS(D1039,61,$G$5,$H$13)/IF([1]!S_SHARE_TOTAL(D1039,$G$5)=0,[1]!S_SHARE_TOTAL(D1039,[1]!s_ipo_listeddate(D1039)),[1]!S_SHARE_TOTAL(D1039,$G$5))))</f>
        <v/>
      </c>
      <c r="R1039" s="198" t="str">
        <f ca="1">IF(C1039="","",F1039/([1]!S_STM07_BS(D1039,141,$G$5,$H$13)/IF([1]!S_SHARE_TOTAL(D1039,$G$5)=0,[1]!S_SHARE_TOTAL(D1039,[1]!s_ipo_listeddate(D1039)),[1]!S_SHARE_TOTAL(D1039,$G$5))))</f>
        <v/>
      </c>
      <c r="S1039" s="249" t="str">
        <f ca="1">IF(C1039="","",[1]!S_SHARE_TOTAL(D1039,TODAY())/$E$5)</f>
        <v/>
      </c>
      <c r="T1039" s="249" t="str">
        <f t="shared" ca="1" si="103"/>
        <v/>
      </c>
      <c r="U1039" s="172" t="str">
        <f t="shared" ca="1" si="104"/>
        <v/>
      </c>
      <c r="V1039" s="343" t="str">
        <f t="shared" ca="1" si="105"/>
        <v/>
      </c>
      <c r="W1039" s="139"/>
      <c r="Y1039" s="1"/>
    </row>
    <row r="1040" spans="3:25" ht="12" customHeight="1">
      <c r="C1040" s="342" t="str">
        <f t="shared" ca="1" si="106"/>
        <v/>
      </c>
      <c r="D1040" s="153" t="str">
        <f t="shared" ca="1" si="101"/>
        <v/>
      </c>
      <c r="E1040" s="153" t="str">
        <f t="shared" ca="1" si="102"/>
        <v/>
      </c>
      <c r="F1040" s="170" t="str">
        <f ca="1">IF(C1040="","",[1]!S_DQ_CLOSE(D1040,TODAY(),1))</f>
        <v/>
      </c>
      <c r="G1040" s="171" t="str">
        <f ca="1">IF(C1040="","",[1]!s_pq_pctchange(D1040,TODAY()-$G$12,TODAY())/100)</f>
        <v/>
      </c>
      <c r="H1040" s="247" t="str">
        <f ca="1">IF(C1040="","",IF($H$11="收入",[1]!S_STM07_IS(D1040,9,$G$5,$H$13)/$E$5,[1]!S_STM07_IS(D1040,48,$G$5,$H$13)/$E$5))</f>
        <v/>
      </c>
      <c r="I1040" s="247" t="str">
        <f ca="1">IF(C1040="","",IF($I$11="毛利率",([1]!S_STM07_IS(D1040,9,$G$5,$H$13)-[1]!S_STM07_IS(D1040,10,$G$5,$H$13))/[1]!S_STM07_IS(D1040,9,$G$5,$H$13),[1]!S_STM07_IS(D1040,14,$G$5,$H$13)/$E$5))</f>
        <v/>
      </c>
      <c r="J1040" s="247" t="str">
        <f ca="1">IF(C1040="","",IF($J$11="营业利润率",[1]!S_STM07_IS(D1040,48,$G$5,$H$13)/[1]!S_STM07_IS(D1040,9,$G$5,$H$13),([1]!S_STM07_CS(D1040,87,$G$5,$H$13)+[1]!S_STM07_CS(D1040,88,$G$5,$H$13)+[1]!S_STM07_CS(D1040,89,$G$5,$H$13))/$E$5))</f>
        <v/>
      </c>
      <c r="K1040" s="247" t="str">
        <f ca="1">IF(C1040="","",IF($K$11="净利润率",[1]!S_STM07_IS(D1040,61,$G$5,$H$13)/[1]!S_STM07_IS(D1040,9,$G$5,$H$13),[1]!S_STM07_IS(D1040,55,$G$5,$H$13)/$E$5))</f>
        <v/>
      </c>
      <c r="L1040" s="247" t="str">
        <f ca="1">IF(C1040="","",IF($L$11="ROA",[1]!S_STM07_IS(D1040,61,$G$5,$H$13)/[1]!S_STM07_BS(D1040,74,$G$5,$H$13),1-[1]!S_STM07_IS(D1040,61,$G$5,$H$13)/[1]!S_STM07_IS(D1040,55,$G$5,$H$13)))</f>
        <v/>
      </c>
      <c r="M1040" s="247" t="str">
        <f ca="1">IF(C1040="","",IF($M$11="ROE",[1]!S_STM07_IS(D1040,61,$G$5,$H$13)/[1]!S_STM07_BS(D1040,141,$G$5,$H$13),([1]!S_STM07_BS(D1040,25,$G$5,$H$13)-[1]!S_STM07_BS(D1040,93,$G$5,$H$13))/$E$5))</f>
        <v/>
      </c>
      <c r="N1040" s="247" t="str">
        <f ca="1">IF(C1040="","",IF($N$11="EPS",[1]!S_STM07_IS(D1040,61,$G$5,$H$13)/IF([1]!S_SHARE_TOTAL(D1040,$G$5)=0,[1]!S_SHARE_TOTAL(D1040,[1]!s_ipo_listeddate(D1040)),[1]!S_SHARE_TOTAL(D1040,$G$5)),([1]!S_STM07_BS(D1040,75,$G$5,$H$13)+[1]!S_STM07_BS(D1040,88,$G$5,$H$13)+[1]!S_STM07_BS(D1040,94,$G$5,$H$13)+[1]!S_STM07_BS(D1040,95,$G$5,$H$13))/$E$5))</f>
        <v/>
      </c>
      <c r="O1040" s="247" t="str">
        <f ca="1">IF(C1040="","",IF($O$11="BPS",[1]!S_STM07_BS(D1040,141,$G$5,$H$13)/IF([1]!S_SHARE_TOTAL(D1040,$G$5)=0,[1]!S_SHARE_TOTAL(D1040,[1]!s_ipo_listeddate(D1040)),[1]!S_SHARE_TOTAL(D1040,$G$5)),[1]!S_STM07_CS(D1040,49,$G$5,$H$13)/$E$5))</f>
        <v/>
      </c>
      <c r="P1040" s="247" t="str">
        <f ca="1">IF(C1040="","",IF($P$11="CFPS",[1]!S_STM07_CS(D1040,84,$G$5,$H$13)/IF([1]!S_SHARE_TOTAL(D1040,$G$5)=0,[1]!S_SHARE_TOTAL(D1040,[1]!s_ipo_listeddate(D1040)),[1]!S_SHARE_TOTAL(D1040,$G$5)),[1]!S_STM07_CS(D1040,84,$G$5,$H$13)/$E$5))</f>
        <v/>
      </c>
      <c r="Q1040" s="248" t="str">
        <f ca="1">IF(C1040="","",F1040/([1]!S_STM07_IS(D1040,61,$G$5,$H$13)/IF([1]!S_SHARE_TOTAL(D1040,$G$5)=0,[1]!S_SHARE_TOTAL(D1040,[1]!s_ipo_listeddate(D1040)),[1]!S_SHARE_TOTAL(D1040,$G$5))))</f>
        <v/>
      </c>
      <c r="R1040" s="248" t="str">
        <f ca="1">IF(C1040="","",F1040/([1]!S_STM07_BS(D1040,141,$G$5,$H$13)/IF([1]!S_SHARE_TOTAL(D1040,$G$5)=0,[1]!S_SHARE_TOTAL(D1040,[1]!s_ipo_listeddate(D1040)),[1]!S_SHARE_TOTAL(D1040,$G$5))))</f>
        <v/>
      </c>
      <c r="S1040" s="247" t="str">
        <f ca="1">IF(C1040="","",[1]!S_SHARE_TOTAL(D1040,TODAY())/$E$5)</f>
        <v/>
      </c>
      <c r="T1040" s="247" t="str">
        <f t="shared" ca="1" si="103"/>
        <v/>
      </c>
      <c r="U1040" s="218" t="str">
        <f t="shared" ca="1" si="104"/>
        <v/>
      </c>
      <c r="V1040" s="342" t="str">
        <f t="shared" ca="1" si="105"/>
        <v/>
      </c>
      <c r="W1040" s="139"/>
      <c r="Y1040" s="1"/>
    </row>
    <row r="1041" spans="3:25" ht="12" customHeight="1">
      <c r="C1041" s="343" t="str">
        <f t="shared" ca="1" si="106"/>
        <v/>
      </c>
      <c r="D1041" s="124" t="str">
        <f t="shared" ca="1" si="101"/>
        <v/>
      </c>
      <c r="E1041" s="124" t="str">
        <f t="shared" ca="1" si="102"/>
        <v/>
      </c>
      <c r="F1041" s="172" t="str">
        <f ca="1">IF(C1041="","",[1]!S_DQ_CLOSE(D1041,TODAY(),1))</f>
        <v/>
      </c>
      <c r="G1041" s="173" t="str">
        <f ca="1">IF(C1041="","",[1]!s_pq_pctchange(D1041,TODAY()-$G$12,TODAY())/100)</f>
        <v/>
      </c>
      <c r="H1041" s="249" t="str">
        <f ca="1">IF(C1041="","",IF($H$11="收入",[1]!S_STM07_IS(D1041,9,$G$5,$H$13)/$E$5,[1]!S_STM07_IS(D1041,48,$G$5,$H$13)/$E$5))</f>
        <v/>
      </c>
      <c r="I1041" s="249" t="str">
        <f ca="1">IF(C1041="","",IF($I$11="毛利率",([1]!S_STM07_IS(D1041,9,$G$5,$H$13)-[1]!S_STM07_IS(D1041,10,$G$5,$H$13))/[1]!S_STM07_IS(D1041,9,$G$5,$H$13),[1]!S_STM07_IS(D1041,14,$G$5,$H$13)/$E$5))</f>
        <v/>
      </c>
      <c r="J1041" s="249" t="str">
        <f ca="1">IF(C1041="","",IF($J$11="营业利润率",[1]!S_STM07_IS(D1041,48,$G$5,$H$13)/[1]!S_STM07_IS(D1041,9,$G$5,$H$13),([1]!S_STM07_CS(D1041,87,$G$5,$H$13)+[1]!S_STM07_CS(D1041,88,$G$5,$H$13)+[1]!S_STM07_CS(D1041,89,$G$5,$H$13))/$E$5))</f>
        <v/>
      </c>
      <c r="K1041" s="249" t="str">
        <f ca="1">IF(C1041="","",IF($K$11="净利润率",[1]!S_STM07_IS(D1041,61,$G$5,$H$13)/[1]!S_STM07_IS(D1041,9,$G$5,$H$13),[1]!S_STM07_IS(D1041,55,$G$5,$H$13)/$E$5))</f>
        <v/>
      </c>
      <c r="L1041" s="249" t="str">
        <f ca="1">IF(C1041="","",IF($L$11="ROA",[1]!S_STM07_IS(D1041,61,$G$5,$H$13)/[1]!S_STM07_BS(D1041,74,$G$5,$H$13),1-[1]!S_STM07_IS(D1041,61,$G$5,$H$13)/[1]!S_STM07_IS(D1041,55,$G$5,$H$13)))</f>
        <v/>
      </c>
      <c r="M1041" s="249" t="str">
        <f ca="1">IF(C1041="","",IF($M$11="ROE",[1]!S_STM07_IS(D1041,61,$G$5,$H$13)/[1]!S_STM07_BS(D1041,141,$G$5,$H$13),([1]!S_STM07_BS(D1041,25,$G$5,$H$13)-[1]!S_STM07_BS(D1041,93,$G$5,$H$13))/$E$5))</f>
        <v/>
      </c>
      <c r="N1041" s="250" t="str">
        <f ca="1">IF(C1041="","",IF($N$11="EPS",[1]!S_STM07_IS(D1041,61,$G$5,$H$13)/IF([1]!S_SHARE_TOTAL(D1041,$G$5)=0,[1]!S_SHARE_TOTAL(D1041,[1]!s_ipo_listeddate(D1041)),[1]!S_SHARE_TOTAL(D1041,$G$5)),([1]!S_STM07_BS(D1041,75,$G$5,$H$13)+[1]!S_STM07_BS(D1041,88,$G$5,$H$13)+[1]!S_STM07_BS(D1041,94,$G$5,$H$13)+[1]!S_STM07_BS(D1041,95,$G$5,$H$13))/$E$5))</f>
        <v/>
      </c>
      <c r="O1041" s="250" t="str">
        <f ca="1">IF(C1041="","",IF($O$11="BPS",[1]!S_STM07_BS(D1041,141,$G$5,$H$13)/IF([1]!S_SHARE_TOTAL(D1041,$G$5)=0,[1]!S_SHARE_TOTAL(D1041,[1]!s_ipo_listeddate(D1041)),[1]!S_SHARE_TOTAL(D1041,$G$5)),[1]!S_STM07_CS(D1041,49,$G$5,$H$13)/$E$5))</f>
        <v/>
      </c>
      <c r="P1041" s="250" t="str">
        <f ca="1">IF(C1041="","",IF($P$11="CFPS",[1]!S_STM07_CS(D1041,84,$G$5,$H$13)/IF([1]!S_SHARE_TOTAL(D1041,$G$5)=0,[1]!S_SHARE_TOTAL(D1041,[1]!s_ipo_listeddate(D1041)),[1]!S_SHARE_TOTAL(D1041,$G$5)),[1]!S_STM07_CS(D1041,84,$G$5,$H$13)/$E$5))</f>
        <v/>
      </c>
      <c r="Q1041" s="198" t="str">
        <f ca="1">IF(C1041="","",F1041/([1]!S_STM07_IS(D1041,61,$G$5,$H$13)/IF([1]!S_SHARE_TOTAL(D1041,$G$5)=0,[1]!S_SHARE_TOTAL(D1041,[1]!s_ipo_listeddate(D1041)),[1]!S_SHARE_TOTAL(D1041,$G$5))))</f>
        <v/>
      </c>
      <c r="R1041" s="198" t="str">
        <f ca="1">IF(C1041="","",F1041/([1]!S_STM07_BS(D1041,141,$G$5,$H$13)/IF([1]!S_SHARE_TOTAL(D1041,$G$5)=0,[1]!S_SHARE_TOTAL(D1041,[1]!s_ipo_listeddate(D1041)),[1]!S_SHARE_TOTAL(D1041,$G$5))))</f>
        <v/>
      </c>
      <c r="S1041" s="249" t="str">
        <f ca="1">IF(C1041="","",[1]!S_SHARE_TOTAL(D1041,TODAY())/$E$5)</f>
        <v/>
      </c>
      <c r="T1041" s="249" t="str">
        <f t="shared" ca="1" si="103"/>
        <v/>
      </c>
      <c r="U1041" s="172" t="str">
        <f t="shared" ca="1" si="104"/>
        <v/>
      </c>
      <c r="V1041" s="343" t="str">
        <f t="shared" ca="1" si="105"/>
        <v/>
      </c>
      <c r="W1041" s="139"/>
      <c r="Y1041" s="1"/>
    </row>
    <row r="1042" spans="3:25" ht="12" customHeight="1">
      <c r="C1042" s="342" t="str">
        <f t="shared" ca="1" si="106"/>
        <v/>
      </c>
      <c r="D1042" s="153" t="str">
        <f t="shared" ca="1" si="101"/>
        <v/>
      </c>
      <c r="E1042" s="153" t="str">
        <f t="shared" ca="1" si="102"/>
        <v/>
      </c>
      <c r="F1042" s="170" t="str">
        <f ca="1">IF(C1042="","",[1]!S_DQ_CLOSE(D1042,TODAY(),1))</f>
        <v/>
      </c>
      <c r="G1042" s="171" t="str">
        <f ca="1">IF(C1042="","",[1]!s_pq_pctchange(D1042,TODAY()-$G$12,TODAY())/100)</f>
        <v/>
      </c>
      <c r="H1042" s="247" t="str">
        <f ca="1">IF(C1042="","",IF($H$11="收入",[1]!S_STM07_IS(D1042,9,$G$5,$H$13)/$E$5,[1]!S_STM07_IS(D1042,48,$G$5,$H$13)/$E$5))</f>
        <v/>
      </c>
      <c r="I1042" s="247" t="str">
        <f ca="1">IF(C1042="","",IF($I$11="毛利率",([1]!S_STM07_IS(D1042,9,$G$5,$H$13)-[1]!S_STM07_IS(D1042,10,$G$5,$H$13))/[1]!S_STM07_IS(D1042,9,$G$5,$H$13),[1]!S_STM07_IS(D1042,14,$G$5,$H$13)/$E$5))</f>
        <v/>
      </c>
      <c r="J1042" s="247" t="str">
        <f ca="1">IF(C1042="","",IF($J$11="营业利润率",[1]!S_STM07_IS(D1042,48,$G$5,$H$13)/[1]!S_STM07_IS(D1042,9,$G$5,$H$13),([1]!S_STM07_CS(D1042,87,$G$5,$H$13)+[1]!S_STM07_CS(D1042,88,$G$5,$H$13)+[1]!S_STM07_CS(D1042,89,$G$5,$H$13))/$E$5))</f>
        <v/>
      </c>
      <c r="K1042" s="247" t="str">
        <f ca="1">IF(C1042="","",IF($K$11="净利润率",[1]!S_STM07_IS(D1042,61,$G$5,$H$13)/[1]!S_STM07_IS(D1042,9,$G$5,$H$13),[1]!S_STM07_IS(D1042,55,$G$5,$H$13)/$E$5))</f>
        <v/>
      </c>
      <c r="L1042" s="247" t="str">
        <f ca="1">IF(C1042="","",IF($L$11="ROA",[1]!S_STM07_IS(D1042,61,$G$5,$H$13)/[1]!S_STM07_BS(D1042,74,$G$5,$H$13),1-[1]!S_STM07_IS(D1042,61,$G$5,$H$13)/[1]!S_STM07_IS(D1042,55,$G$5,$H$13)))</f>
        <v/>
      </c>
      <c r="M1042" s="247" t="str">
        <f ca="1">IF(C1042="","",IF($M$11="ROE",[1]!S_STM07_IS(D1042,61,$G$5,$H$13)/[1]!S_STM07_BS(D1042,141,$G$5,$H$13),([1]!S_STM07_BS(D1042,25,$G$5,$H$13)-[1]!S_STM07_BS(D1042,93,$G$5,$H$13))/$E$5))</f>
        <v/>
      </c>
      <c r="N1042" s="247" t="str">
        <f ca="1">IF(C1042="","",IF($N$11="EPS",[1]!S_STM07_IS(D1042,61,$G$5,$H$13)/IF([1]!S_SHARE_TOTAL(D1042,$G$5)=0,[1]!S_SHARE_TOTAL(D1042,[1]!s_ipo_listeddate(D1042)),[1]!S_SHARE_TOTAL(D1042,$G$5)),([1]!S_STM07_BS(D1042,75,$G$5,$H$13)+[1]!S_STM07_BS(D1042,88,$G$5,$H$13)+[1]!S_STM07_BS(D1042,94,$G$5,$H$13)+[1]!S_STM07_BS(D1042,95,$G$5,$H$13))/$E$5))</f>
        <v/>
      </c>
      <c r="O1042" s="247" t="str">
        <f ca="1">IF(C1042="","",IF($O$11="BPS",[1]!S_STM07_BS(D1042,141,$G$5,$H$13)/IF([1]!S_SHARE_TOTAL(D1042,$G$5)=0,[1]!S_SHARE_TOTAL(D1042,[1]!s_ipo_listeddate(D1042)),[1]!S_SHARE_TOTAL(D1042,$G$5)),[1]!S_STM07_CS(D1042,49,$G$5,$H$13)/$E$5))</f>
        <v/>
      </c>
      <c r="P1042" s="247" t="str">
        <f ca="1">IF(C1042="","",IF($P$11="CFPS",[1]!S_STM07_CS(D1042,84,$G$5,$H$13)/IF([1]!S_SHARE_TOTAL(D1042,$G$5)=0,[1]!S_SHARE_TOTAL(D1042,[1]!s_ipo_listeddate(D1042)),[1]!S_SHARE_TOTAL(D1042,$G$5)),[1]!S_STM07_CS(D1042,84,$G$5,$H$13)/$E$5))</f>
        <v/>
      </c>
      <c r="Q1042" s="248" t="str">
        <f ca="1">IF(C1042="","",F1042/([1]!S_STM07_IS(D1042,61,$G$5,$H$13)/IF([1]!S_SHARE_TOTAL(D1042,$G$5)=0,[1]!S_SHARE_TOTAL(D1042,[1]!s_ipo_listeddate(D1042)),[1]!S_SHARE_TOTAL(D1042,$G$5))))</f>
        <v/>
      </c>
      <c r="R1042" s="248" t="str">
        <f ca="1">IF(C1042="","",F1042/([1]!S_STM07_BS(D1042,141,$G$5,$H$13)/IF([1]!S_SHARE_TOTAL(D1042,$G$5)=0,[1]!S_SHARE_TOTAL(D1042,[1]!s_ipo_listeddate(D1042)),[1]!S_SHARE_TOTAL(D1042,$G$5))))</f>
        <v/>
      </c>
      <c r="S1042" s="247" t="str">
        <f ca="1">IF(C1042="","",[1]!S_SHARE_TOTAL(D1042,TODAY())/$E$5)</f>
        <v/>
      </c>
      <c r="T1042" s="247" t="str">
        <f t="shared" ca="1" si="103"/>
        <v/>
      </c>
      <c r="U1042" s="218" t="str">
        <f t="shared" ca="1" si="104"/>
        <v/>
      </c>
      <c r="V1042" s="342" t="str">
        <f t="shared" ca="1" si="105"/>
        <v/>
      </c>
      <c r="W1042" s="139"/>
      <c r="Y1042" s="1"/>
    </row>
    <row r="1043" spans="3:25" ht="12" customHeight="1">
      <c r="C1043" s="343" t="str">
        <f t="shared" ca="1" si="106"/>
        <v/>
      </c>
      <c r="D1043" s="124" t="str">
        <f t="shared" ca="1" si="101"/>
        <v/>
      </c>
      <c r="E1043" s="124" t="str">
        <f t="shared" ca="1" si="102"/>
        <v/>
      </c>
      <c r="F1043" s="172" t="str">
        <f ca="1">IF(C1043="","",[1]!S_DQ_CLOSE(D1043,TODAY(),1))</f>
        <v/>
      </c>
      <c r="G1043" s="173" t="str">
        <f ca="1">IF(C1043="","",[1]!s_pq_pctchange(D1043,TODAY()-$G$12,TODAY())/100)</f>
        <v/>
      </c>
      <c r="H1043" s="249" t="str">
        <f ca="1">IF(C1043="","",IF($H$11="收入",[1]!S_STM07_IS(D1043,9,$G$5,$H$13)/$E$5,[1]!S_STM07_IS(D1043,48,$G$5,$H$13)/$E$5))</f>
        <v/>
      </c>
      <c r="I1043" s="249" t="str">
        <f ca="1">IF(C1043="","",IF($I$11="毛利率",([1]!S_STM07_IS(D1043,9,$G$5,$H$13)-[1]!S_STM07_IS(D1043,10,$G$5,$H$13))/[1]!S_STM07_IS(D1043,9,$G$5,$H$13),[1]!S_STM07_IS(D1043,14,$G$5,$H$13)/$E$5))</f>
        <v/>
      </c>
      <c r="J1043" s="249" t="str">
        <f ca="1">IF(C1043="","",IF($J$11="营业利润率",[1]!S_STM07_IS(D1043,48,$G$5,$H$13)/[1]!S_STM07_IS(D1043,9,$G$5,$H$13),([1]!S_STM07_CS(D1043,87,$G$5,$H$13)+[1]!S_STM07_CS(D1043,88,$G$5,$H$13)+[1]!S_STM07_CS(D1043,89,$G$5,$H$13))/$E$5))</f>
        <v/>
      </c>
      <c r="K1043" s="249" t="str">
        <f ca="1">IF(C1043="","",IF($K$11="净利润率",[1]!S_STM07_IS(D1043,61,$G$5,$H$13)/[1]!S_STM07_IS(D1043,9,$G$5,$H$13),[1]!S_STM07_IS(D1043,55,$G$5,$H$13)/$E$5))</f>
        <v/>
      </c>
      <c r="L1043" s="249" t="str">
        <f ca="1">IF(C1043="","",IF($L$11="ROA",[1]!S_STM07_IS(D1043,61,$G$5,$H$13)/[1]!S_STM07_BS(D1043,74,$G$5,$H$13),1-[1]!S_STM07_IS(D1043,61,$G$5,$H$13)/[1]!S_STM07_IS(D1043,55,$G$5,$H$13)))</f>
        <v/>
      </c>
      <c r="M1043" s="249" t="str">
        <f ca="1">IF(C1043="","",IF($M$11="ROE",[1]!S_STM07_IS(D1043,61,$G$5,$H$13)/[1]!S_STM07_BS(D1043,141,$G$5,$H$13),([1]!S_STM07_BS(D1043,25,$G$5,$H$13)-[1]!S_STM07_BS(D1043,93,$G$5,$H$13))/$E$5))</f>
        <v/>
      </c>
      <c r="N1043" s="250" t="str">
        <f ca="1">IF(C1043="","",IF($N$11="EPS",[1]!S_STM07_IS(D1043,61,$G$5,$H$13)/IF([1]!S_SHARE_TOTAL(D1043,$G$5)=0,[1]!S_SHARE_TOTAL(D1043,[1]!s_ipo_listeddate(D1043)),[1]!S_SHARE_TOTAL(D1043,$G$5)),([1]!S_STM07_BS(D1043,75,$G$5,$H$13)+[1]!S_STM07_BS(D1043,88,$G$5,$H$13)+[1]!S_STM07_BS(D1043,94,$G$5,$H$13)+[1]!S_STM07_BS(D1043,95,$G$5,$H$13))/$E$5))</f>
        <v/>
      </c>
      <c r="O1043" s="250" t="str">
        <f ca="1">IF(C1043="","",IF($O$11="BPS",[1]!S_STM07_BS(D1043,141,$G$5,$H$13)/IF([1]!S_SHARE_TOTAL(D1043,$G$5)=0,[1]!S_SHARE_TOTAL(D1043,[1]!s_ipo_listeddate(D1043)),[1]!S_SHARE_TOTAL(D1043,$G$5)),[1]!S_STM07_CS(D1043,49,$G$5,$H$13)/$E$5))</f>
        <v/>
      </c>
      <c r="P1043" s="250" t="str">
        <f ca="1">IF(C1043="","",IF($P$11="CFPS",[1]!S_STM07_CS(D1043,84,$G$5,$H$13)/IF([1]!S_SHARE_TOTAL(D1043,$G$5)=0,[1]!S_SHARE_TOTAL(D1043,[1]!s_ipo_listeddate(D1043)),[1]!S_SHARE_TOTAL(D1043,$G$5)),[1]!S_STM07_CS(D1043,84,$G$5,$H$13)/$E$5))</f>
        <v/>
      </c>
      <c r="Q1043" s="198" t="str">
        <f ca="1">IF(C1043="","",F1043/([1]!S_STM07_IS(D1043,61,$G$5,$H$13)/IF([1]!S_SHARE_TOTAL(D1043,$G$5)=0,[1]!S_SHARE_TOTAL(D1043,[1]!s_ipo_listeddate(D1043)),[1]!S_SHARE_TOTAL(D1043,$G$5))))</f>
        <v/>
      </c>
      <c r="R1043" s="198" t="str">
        <f ca="1">IF(C1043="","",F1043/([1]!S_STM07_BS(D1043,141,$G$5,$H$13)/IF([1]!S_SHARE_TOTAL(D1043,$G$5)=0,[1]!S_SHARE_TOTAL(D1043,[1]!s_ipo_listeddate(D1043)),[1]!S_SHARE_TOTAL(D1043,$G$5))))</f>
        <v/>
      </c>
      <c r="S1043" s="249" t="str">
        <f ca="1">IF(C1043="","",[1]!S_SHARE_TOTAL(D1043,TODAY())/$E$5)</f>
        <v/>
      </c>
      <c r="T1043" s="249" t="str">
        <f t="shared" ca="1" si="103"/>
        <v/>
      </c>
      <c r="U1043" s="172" t="str">
        <f t="shared" ca="1" si="104"/>
        <v/>
      </c>
      <c r="V1043" s="343" t="str">
        <f t="shared" ca="1" si="105"/>
        <v/>
      </c>
      <c r="W1043" s="139"/>
      <c r="Y1043" s="1"/>
    </row>
    <row r="1044" spans="3:25" ht="12" customHeight="1">
      <c r="C1044" s="342" t="str">
        <f t="shared" ca="1" si="106"/>
        <v/>
      </c>
      <c r="D1044" s="153" t="str">
        <f t="shared" ca="1" si="101"/>
        <v/>
      </c>
      <c r="E1044" s="153" t="str">
        <f t="shared" ca="1" si="102"/>
        <v/>
      </c>
      <c r="F1044" s="170" t="str">
        <f ca="1">IF(C1044="","",[1]!S_DQ_CLOSE(D1044,TODAY(),1))</f>
        <v/>
      </c>
      <c r="G1044" s="171" t="str">
        <f ca="1">IF(C1044="","",[1]!s_pq_pctchange(D1044,TODAY()-$G$12,TODAY())/100)</f>
        <v/>
      </c>
      <c r="H1044" s="247" t="str">
        <f ca="1">IF(C1044="","",IF($H$11="收入",[1]!S_STM07_IS(D1044,9,$G$5,$H$13)/$E$5,[1]!S_STM07_IS(D1044,48,$G$5,$H$13)/$E$5))</f>
        <v/>
      </c>
      <c r="I1044" s="247" t="str">
        <f ca="1">IF(C1044="","",IF($I$11="毛利率",([1]!S_STM07_IS(D1044,9,$G$5,$H$13)-[1]!S_STM07_IS(D1044,10,$G$5,$H$13))/[1]!S_STM07_IS(D1044,9,$G$5,$H$13),[1]!S_STM07_IS(D1044,14,$G$5,$H$13)/$E$5))</f>
        <v/>
      </c>
      <c r="J1044" s="247" t="str">
        <f ca="1">IF(C1044="","",IF($J$11="营业利润率",[1]!S_STM07_IS(D1044,48,$G$5,$H$13)/[1]!S_STM07_IS(D1044,9,$G$5,$H$13),([1]!S_STM07_CS(D1044,87,$G$5,$H$13)+[1]!S_STM07_CS(D1044,88,$G$5,$H$13)+[1]!S_STM07_CS(D1044,89,$G$5,$H$13))/$E$5))</f>
        <v/>
      </c>
      <c r="K1044" s="247" t="str">
        <f ca="1">IF(C1044="","",IF($K$11="净利润率",[1]!S_STM07_IS(D1044,61,$G$5,$H$13)/[1]!S_STM07_IS(D1044,9,$G$5,$H$13),[1]!S_STM07_IS(D1044,55,$G$5,$H$13)/$E$5))</f>
        <v/>
      </c>
      <c r="L1044" s="247" t="str">
        <f ca="1">IF(C1044="","",IF($L$11="ROA",[1]!S_STM07_IS(D1044,61,$G$5,$H$13)/[1]!S_STM07_BS(D1044,74,$G$5,$H$13),1-[1]!S_STM07_IS(D1044,61,$G$5,$H$13)/[1]!S_STM07_IS(D1044,55,$G$5,$H$13)))</f>
        <v/>
      </c>
      <c r="M1044" s="247" t="str">
        <f ca="1">IF(C1044="","",IF($M$11="ROE",[1]!S_STM07_IS(D1044,61,$G$5,$H$13)/[1]!S_STM07_BS(D1044,141,$G$5,$H$13),([1]!S_STM07_BS(D1044,25,$G$5,$H$13)-[1]!S_STM07_BS(D1044,93,$G$5,$H$13))/$E$5))</f>
        <v/>
      </c>
      <c r="N1044" s="247" t="str">
        <f ca="1">IF(C1044="","",IF($N$11="EPS",[1]!S_STM07_IS(D1044,61,$G$5,$H$13)/IF([1]!S_SHARE_TOTAL(D1044,$G$5)=0,[1]!S_SHARE_TOTAL(D1044,[1]!s_ipo_listeddate(D1044)),[1]!S_SHARE_TOTAL(D1044,$G$5)),([1]!S_STM07_BS(D1044,75,$G$5,$H$13)+[1]!S_STM07_BS(D1044,88,$G$5,$H$13)+[1]!S_STM07_BS(D1044,94,$G$5,$H$13)+[1]!S_STM07_BS(D1044,95,$G$5,$H$13))/$E$5))</f>
        <v/>
      </c>
      <c r="O1044" s="247" t="str">
        <f ca="1">IF(C1044="","",IF($O$11="BPS",[1]!S_STM07_BS(D1044,141,$G$5,$H$13)/IF([1]!S_SHARE_TOTAL(D1044,$G$5)=0,[1]!S_SHARE_TOTAL(D1044,[1]!s_ipo_listeddate(D1044)),[1]!S_SHARE_TOTAL(D1044,$G$5)),[1]!S_STM07_CS(D1044,49,$G$5,$H$13)/$E$5))</f>
        <v/>
      </c>
      <c r="P1044" s="247" t="str">
        <f ca="1">IF(C1044="","",IF($P$11="CFPS",[1]!S_STM07_CS(D1044,84,$G$5,$H$13)/IF([1]!S_SHARE_TOTAL(D1044,$G$5)=0,[1]!S_SHARE_TOTAL(D1044,[1]!s_ipo_listeddate(D1044)),[1]!S_SHARE_TOTAL(D1044,$G$5)),[1]!S_STM07_CS(D1044,84,$G$5,$H$13)/$E$5))</f>
        <v/>
      </c>
      <c r="Q1044" s="248" t="str">
        <f ca="1">IF(C1044="","",F1044/([1]!S_STM07_IS(D1044,61,$G$5,$H$13)/IF([1]!S_SHARE_TOTAL(D1044,$G$5)=0,[1]!S_SHARE_TOTAL(D1044,[1]!s_ipo_listeddate(D1044)),[1]!S_SHARE_TOTAL(D1044,$G$5))))</f>
        <v/>
      </c>
      <c r="R1044" s="248" t="str">
        <f ca="1">IF(C1044="","",F1044/([1]!S_STM07_BS(D1044,141,$G$5,$H$13)/IF([1]!S_SHARE_TOTAL(D1044,$G$5)=0,[1]!S_SHARE_TOTAL(D1044,[1]!s_ipo_listeddate(D1044)),[1]!S_SHARE_TOTAL(D1044,$G$5))))</f>
        <v/>
      </c>
      <c r="S1044" s="247" t="str">
        <f ca="1">IF(C1044="","",[1]!S_SHARE_TOTAL(D1044,TODAY())/$E$5)</f>
        <v/>
      </c>
      <c r="T1044" s="247" t="str">
        <f t="shared" ca="1" si="103"/>
        <v/>
      </c>
      <c r="U1044" s="218" t="str">
        <f t="shared" ca="1" si="104"/>
        <v/>
      </c>
      <c r="V1044" s="342" t="str">
        <f t="shared" ca="1" si="105"/>
        <v/>
      </c>
      <c r="W1044" s="139"/>
      <c r="Y1044" s="1"/>
    </row>
    <row r="1045" spans="3:25" ht="12" customHeight="1">
      <c r="C1045" s="343" t="str">
        <f t="shared" ca="1" si="106"/>
        <v/>
      </c>
      <c r="D1045" s="124" t="str">
        <f t="shared" ca="1" si="101"/>
        <v/>
      </c>
      <c r="E1045" s="124" t="str">
        <f t="shared" ca="1" si="102"/>
        <v/>
      </c>
      <c r="F1045" s="172" t="str">
        <f ca="1">IF(C1045="","",[1]!S_DQ_CLOSE(D1045,TODAY(),1))</f>
        <v/>
      </c>
      <c r="G1045" s="173" t="str">
        <f ca="1">IF(C1045="","",[1]!s_pq_pctchange(D1045,TODAY()-$G$12,TODAY())/100)</f>
        <v/>
      </c>
      <c r="H1045" s="249" t="str">
        <f ca="1">IF(C1045="","",IF($H$11="收入",[1]!S_STM07_IS(D1045,9,$G$5,$H$13)/$E$5,[1]!S_STM07_IS(D1045,48,$G$5,$H$13)/$E$5))</f>
        <v/>
      </c>
      <c r="I1045" s="249" t="str">
        <f ca="1">IF(C1045="","",IF($I$11="毛利率",([1]!S_STM07_IS(D1045,9,$G$5,$H$13)-[1]!S_STM07_IS(D1045,10,$G$5,$H$13))/[1]!S_STM07_IS(D1045,9,$G$5,$H$13),[1]!S_STM07_IS(D1045,14,$G$5,$H$13)/$E$5))</f>
        <v/>
      </c>
      <c r="J1045" s="249" t="str">
        <f ca="1">IF(C1045="","",IF($J$11="营业利润率",[1]!S_STM07_IS(D1045,48,$G$5,$H$13)/[1]!S_STM07_IS(D1045,9,$G$5,$H$13),([1]!S_STM07_CS(D1045,87,$G$5,$H$13)+[1]!S_STM07_CS(D1045,88,$G$5,$H$13)+[1]!S_STM07_CS(D1045,89,$G$5,$H$13))/$E$5))</f>
        <v/>
      </c>
      <c r="K1045" s="249" t="str">
        <f ca="1">IF(C1045="","",IF($K$11="净利润率",[1]!S_STM07_IS(D1045,61,$G$5,$H$13)/[1]!S_STM07_IS(D1045,9,$G$5,$H$13),[1]!S_STM07_IS(D1045,55,$G$5,$H$13)/$E$5))</f>
        <v/>
      </c>
      <c r="L1045" s="249" t="str">
        <f ca="1">IF(C1045="","",IF($L$11="ROA",[1]!S_STM07_IS(D1045,61,$G$5,$H$13)/[1]!S_STM07_BS(D1045,74,$G$5,$H$13),1-[1]!S_STM07_IS(D1045,61,$G$5,$H$13)/[1]!S_STM07_IS(D1045,55,$G$5,$H$13)))</f>
        <v/>
      </c>
      <c r="M1045" s="249" t="str">
        <f ca="1">IF(C1045="","",IF($M$11="ROE",[1]!S_STM07_IS(D1045,61,$G$5,$H$13)/[1]!S_STM07_BS(D1045,141,$G$5,$H$13),([1]!S_STM07_BS(D1045,25,$G$5,$H$13)-[1]!S_STM07_BS(D1045,93,$G$5,$H$13))/$E$5))</f>
        <v/>
      </c>
      <c r="N1045" s="250" t="str">
        <f ca="1">IF(C1045="","",IF($N$11="EPS",[1]!S_STM07_IS(D1045,61,$G$5,$H$13)/IF([1]!S_SHARE_TOTAL(D1045,$G$5)=0,[1]!S_SHARE_TOTAL(D1045,[1]!s_ipo_listeddate(D1045)),[1]!S_SHARE_TOTAL(D1045,$G$5)),([1]!S_STM07_BS(D1045,75,$G$5,$H$13)+[1]!S_STM07_BS(D1045,88,$G$5,$H$13)+[1]!S_STM07_BS(D1045,94,$G$5,$H$13)+[1]!S_STM07_BS(D1045,95,$G$5,$H$13))/$E$5))</f>
        <v/>
      </c>
      <c r="O1045" s="250" t="str">
        <f ca="1">IF(C1045="","",IF($O$11="BPS",[1]!S_STM07_BS(D1045,141,$G$5,$H$13)/IF([1]!S_SHARE_TOTAL(D1045,$G$5)=0,[1]!S_SHARE_TOTAL(D1045,[1]!s_ipo_listeddate(D1045)),[1]!S_SHARE_TOTAL(D1045,$G$5)),[1]!S_STM07_CS(D1045,49,$G$5,$H$13)/$E$5))</f>
        <v/>
      </c>
      <c r="P1045" s="250" t="str">
        <f ca="1">IF(C1045="","",IF($P$11="CFPS",[1]!S_STM07_CS(D1045,84,$G$5,$H$13)/IF([1]!S_SHARE_TOTAL(D1045,$G$5)=0,[1]!S_SHARE_TOTAL(D1045,[1]!s_ipo_listeddate(D1045)),[1]!S_SHARE_TOTAL(D1045,$G$5)),[1]!S_STM07_CS(D1045,84,$G$5,$H$13)/$E$5))</f>
        <v/>
      </c>
      <c r="Q1045" s="198" t="str">
        <f ca="1">IF(C1045="","",F1045/([1]!S_STM07_IS(D1045,61,$G$5,$H$13)/IF([1]!S_SHARE_TOTAL(D1045,$G$5)=0,[1]!S_SHARE_TOTAL(D1045,[1]!s_ipo_listeddate(D1045)),[1]!S_SHARE_TOTAL(D1045,$G$5))))</f>
        <v/>
      </c>
      <c r="R1045" s="198" t="str">
        <f ca="1">IF(C1045="","",F1045/([1]!S_STM07_BS(D1045,141,$G$5,$H$13)/IF([1]!S_SHARE_TOTAL(D1045,$G$5)=0,[1]!S_SHARE_TOTAL(D1045,[1]!s_ipo_listeddate(D1045)),[1]!S_SHARE_TOTAL(D1045,$G$5))))</f>
        <v/>
      </c>
      <c r="S1045" s="249" t="str">
        <f ca="1">IF(C1045="","",[1]!S_SHARE_TOTAL(D1045,TODAY())/$E$5)</f>
        <v/>
      </c>
      <c r="T1045" s="249" t="str">
        <f t="shared" ca="1" si="103"/>
        <v/>
      </c>
      <c r="U1045" s="172" t="str">
        <f t="shared" ca="1" si="104"/>
        <v/>
      </c>
      <c r="V1045" s="343" t="str">
        <f t="shared" ca="1" si="105"/>
        <v/>
      </c>
      <c r="W1045" s="139"/>
      <c r="Y1045" s="1"/>
    </row>
    <row r="1046" spans="3:25" ht="12" customHeight="1">
      <c r="C1046" s="342" t="str">
        <f t="shared" ca="1" si="106"/>
        <v/>
      </c>
      <c r="D1046" s="153" t="str">
        <f t="shared" ca="1" si="101"/>
        <v/>
      </c>
      <c r="E1046" s="153" t="str">
        <f t="shared" ca="1" si="102"/>
        <v/>
      </c>
      <c r="F1046" s="170" t="str">
        <f ca="1">IF(C1046="","",[1]!S_DQ_CLOSE(D1046,TODAY(),1))</f>
        <v/>
      </c>
      <c r="G1046" s="171" t="str">
        <f ca="1">IF(C1046="","",[1]!s_pq_pctchange(D1046,TODAY()-$G$12,TODAY())/100)</f>
        <v/>
      </c>
      <c r="H1046" s="247" t="str">
        <f ca="1">IF(C1046="","",IF($H$11="收入",[1]!S_STM07_IS(D1046,9,$G$5,$H$13)/$E$5,[1]!S_STM07_IS(D1046,48,$G$5,$H$13)/$E$5))</f>
        <v/>
      </c>
      <c r="I1046" s="247" t="str">
        <f ca="1">IF(C1046="","",IF($I$11="毛利率",([1]!S_STM07_IS(D1046,9,$G$5,$H$13)-[1]!S_STM07_IS(D1046,10,$G$5,$H$13))/[1]!S_STM07_IS(D1046,9,$G$5,$H$13),[1]!S_STM07_IS(D1046,14,$G$5,$H$13)/$E$5))</f>
        <v/>
      </c>
      <c r="J1046" s="247" t="str">
        <f ca="1">IF(C1046="","",IF($J$11="营业利润率",[1]!S_STM07_IS(D1046,48,$G$5,$H$13)/[1]!S_STM07_IS(D1046,9,$G$5,$H$13),([1]!S_STM07_CS(D1046,87,$G$5,$H$13)+[1]!S_STM07_CS(D1046,88,$G$5,$H$13)+[1]!S_STM07_CS(D1046,89,$G$5,$H$13))/$E$5))</f>
        <v/>
      </c>
      <c r="K1046" s="247" t="str">
        <f ca="1">IF(C1046="","",IF($K$11="净利润率",[1]!S_STM07_IS(D1046,61,$G$5,$H$13)/[1]!S_STM07_IS(D1046,9,$G$5,$H$13),[1]!S_STM07_IS(D1046,55,$G$5,$H$13)/$E$5))</f>
        <v/>
      </c>
      <c r="L1046" s="247" t="str">
        <f ca="1">IF(C1046="","",IF($L$11="ROA",[1]!S_STM07_IS(D1046,61,$G$5,$H$13)/[1]!S_STM07_BS(D1046,74,$G$5,$H$13),1-[1]!S_STM07_IS(D1046,61,$G$5,$H$13)/[1]!S_STM07_IS(D1046,55,$G$5,$H$13)))</f>
        <v/>
      </c>
      <c r="M1046" s="247" t="str">
        <f ca="1">IF(C1046="","",IF($M$11="ROE",[1]!S_STM07_IS(D1046,61,$G$5,$H$13)/[1]!S_STM07_BS(D1046,141,$G$5,$H$13),([1]!S_STM07_BS(D1046,25,$G$5,$H$13)-[1]!S_STM07_BS(D1046,93,$G$5,$H$13))/$E$5))</f>
        <v/>
      </c>
      <c r="N1046" s="247" t="str">
        <f ca="1">IF(C1046="","",IF($N$11="EPS",[1]!S_STM07_IS(D1046,61,$G$5,$H$13)/IF([1]!S_SHARE_TOTAL(D1046,$G$5)=0,[1]!S_SHARE_TOTAL(D1046,[1]!s_ipo_listeddate(D1046)),[1]!S_SHARE_TOTAL(D1046,$G$5)),([1]!S_STM07_BS(D1046,75,$G$5,$H$13)+[1]!S_STM07_BS(D1046,88,$G$5,$H$13)+[1]!S_STM07_BS(D1046,94,$G$5,$H$13)+[1]!S_STM07_BS(D1046,95,$G$5,$H$13))/$E$5))</f>
        <v/>
      </c>
      <c r="O1046" s="247" t="str">
        <f ca="1">IF(C1046="","",IF($O$11="BPS",[1]!S_STM07_BS(D1046,141,$G$5,$H$13)/IF([1]!S_SHARE_TOTAL(D1046,$G$5)=0,[1]!S_SHARE_TOTAL(D1046,[1]!s_ipo_listeddate(D1046)),[1]!S_SHARE_TOTAL(D1046,$G$5)),[1]!S_STM07_CS(D1046,49,$G$5,$H$13)/$E$5))</f>
        <v/>
      </c>
      <c r="P1046" s="247" t="str">
        <f ca="1">IF(C1046="","",IF($P$11="CFPS",[1]!S_STM07_CS(D1046,84,$G$5,$H$13)/IF([1]!S_SHARE_TOTAL(D1046,$G$5)=0,[1]!S_SHARE_TOTAL(D1046,[1]!s_ipo_listeddate(D1046)),[1]!S_SHARE_TOTAL(D1046,$G$5)),[1]!S_STM07_CS(D1046,84,$G$5,$H$13)/$E$5))</f>
        <v/>
      </c>
      <c r="Q1046" s="248" t="str">
        <f ca="1">IF(C1046="","",F1046/([1]!S_STM07_IS(D1046,61,$G$5,$H$13)/IF([1]!S_SHARE_TOTAL(D1046,$G$5)=0,[1]!S_SHARE_TOTAL(D1046,[1]!s_ipo_listeddate(D1046)),[1]!S_SHARE_TOTAL(D1046,$G$5))))</f>
        <v/>
      </c>
      <c r="R1046" s="248" t="str">
        <f ca="1">IF(C1046="","",F1046/([1]!S_STM07_BS(D1046,141,$G$5,$H$13)/IF([1]!S_SHARE_TOTAL(D1046,$G$5)=0,[1]!S_SHARE_TOTAL(D1046,[1]!s_ipo_listeddate(D1046)),[1]!S_SHARE_TOTAL(D1046,$G$5))))</f>
        <v/>
      </c>
      <c r="S1046" s="247" t="str">
        <f ca="1">IF(C1046="","",[1]!S_SHARE_TOTAL(D1046,TODAY())/$E$5)</f>
        <v/>
      </c>
      <c r="T1046" s="247" t="str">
        <f t="shared" ca="1" si="103"/>
        <v/>
      </c>
      <c r="U1046" s="218" t="str">
        <f t="shared" ca="1" si="104"/>
        <v/>
      </c>
      <c r="V1046" s="342" t="str">
        <f t="shared" ca="1" si="105"/>
        <v/>
      </c>
      <c r="W1046" s="139"/>
      <c r="Y1046" s="1"/>
    </row>
    <row r="1047" spans="3:25" ht="12" customHeight="1">
      <c r="C1047" s="343" t="str">
        <f t="shared" ca="1" si="106"/>
        <v/>
      </c>
      <c r="D1047" s="124" t="str">
        <f t="shared" ca="1" si="101"/>
        <v/>
      </c>
      <c r="E1047" s="124" t="str">
        <f t="shared" ca="1" si="102"/>
        <v/>
      </c>
      <c r="F1047" s="172" t="str">
        <f ca="1">IF(C1047="","",[1]!S_DQ_CLOSE(D1047,TODAY(),1))</f>
        <v/>
      </c>
      <c r="G1047" s="173" t="str">
        <f ca="1">IF(C1047="","",[1]!s_pq_pctchange(D1047,TODAY()-$G$12,TODAY())/100)</f>
        <v/>
      </c>
      <c r="H1047" s="249" t="str">
        <f ca="1">IF(C1047="","",IF($H$11="收入",[1]!S_STM07_IS(D1047,9,$G$5,$H$13)/$E$5,[1]!S_STM07_IS(D1047,48,$G$5,$H$13)/$E$5))</f>
        <v/>
      </c>
      <c r="I1047" s="249" t="str">
        <f ca="1">IF(C1047="","",IF($I$11="毛利率",([1]!S_STM07_IS(D1047,9,$G$5,$H$13)-[1]!S_STM07_IS(D1047,10,$G$5,$H$13))/[1]!S_STM07_IS(D1047,9,$G$5,$H$13),[1]!S_STM07_IS(D1047,14,$G$5,$H$13)/$E$5))</f>
        <v/>
      </c>
      <c r="J1047" s="249" t="str">
        <f ca="1">IF(C1047="","",IF($J$11="营业利润率",[1]!S_STM07_IS(D1047,48,$G$5,$H$13)/[1]!S_STM07_IS(D1047,9,$G$5,$H$13),([1]!S_STM07_CS(D1047,87,$G$5,$H$13)+[1]!S_STM07_CS(D1047,88,$G$5,$H$13)+[1]!S_STM07_CS(D1047,89,$G$5,$H$13))/$E$5))</f>
        <v/>
      </c>
      <c r="K1047" s="249" t="str">
        <f ca="1">IF(C1047="","",IF($K$11="净利润率",[1]!S_STM07_IS(D1047,61,$G$5,$H$13)/[1]!S_STM07_IS(D1047,9,$G$5,$H$13),[1]!S_STM07_IS(D1047,55,$G$5,$H$13)/$E$5))</f>
        <v/>
      </c>
      <c r="L1047" s="249" t="str">
        <f ca="1">IF(C1047="","",IF($L$11="ROA",[1]!S_STM07_IS(D1047,61,$G$5,$H$13)/[1]!S_STM07_BS(D1047,74,$G$5,$H$13),1-[1]!S_STM07_IS(D1047,61,$G$5,$H$13)/[1]!S_STM07_IS(D1047,55,$G$5,$H$13)))</f>
        <v/>
      </c>
      <c r="M1047" s="249" t="str">
        <f ca="1">IF(C1047="","",IF($M$11="ROE",[1]!S_STM07_IS(D1047,61,$G$5,$H$13)/[1]!S_STM07_BS(D1047,141,$G$5,$H$13),([1]!S_STM07_BS(D1047,25,$G$5,$H$13)-[1]!S_STM07_BS(D1047,93,$G$5,$H$13))/$E$5))</f>
        <v/>
      </c>
      <c r="N1047" s="250" t="str">
        <f ca="1">IF(C1047="","",IF($N$11="EPS",[1]!S_STM07_IS(D1047,61,$G$5,$H$13)/IF([1]!S_SHARE_TOTAL(D1047,$G$5)=0,[1]!S_SHARE_TOTAL(D1047,[1]!s_ipo_listeddate(D1047)),[1]!S_SHARE_TOTAL(D1047,$G$5)),([1]!S_STM07_BS(D1047,75,$G$5,$H$13)+[1]!S_STM07_BS(D1047,88,$G$5,$H$13)+[1]!S_STM07_BS(D1047,94,$G$5,$H$13)+[1]!S_STM07_BS(D1047,95,$G$5,$H$13))/$E$5))</f>
        <v/>
      </c>
      <c r="O1047" s="250" t="str">
        <f ca="1">IF(C1047="","",IF($O$11="BPS",[1]!S_STM07_BS(D1047,141,$G$5,$H$13)/IF([1]!S_SHARE_TOTAL(D1047,$G$5)=0,[1]!S_SHARE_TOTAL(D1047,[1]!s_ipo_listeddate(D1047)),[1]!S_SHARE_TOTAL(D1047,$G$5)),[1]!S_STM07_CS(D1047,49,$G$5,$H$13)/$E$5))</f>
        <v/>
      </c>
      <c r="P1047" s="250" t="str">
        <f ca="1">IF(C1047="","",IF($P$11="CFPS",[1]!S_STM07_CS(D1047,84,$G$5,$H$13)/IF([1]!S_SHARE_TOTAL(D1047,$G$5)=0,[1]!S_SHARE_TOTAL(D1047,[1]!s_ipo_listeddate(D1047)),[1]!S_SHARE_TOTAL(D1047,$G$5)),[1]!S_STM07_CS(D1047,84,$G$5,$H$13)/$E$5))</f>
        <v/>
      </c>
      <c r="Q1047" s="198" t="str">
        <f ca="1">IF(C1047="","",F1047/([1]!S_STM07_IS(D1047,61,$G$5,$H$13)/IF([1]!S_SHARE_TOTAL(D1047,$G$5)=0,[1]!S_SHARE_TOTAL(D1047,[1]!s_ipo_listeddate(D1047)),[1]!S_SHARE_TOTAL(D1047,$G$5))))</f>
        <v/>
      </c>
      <c r="R1047" s="198" t="str">
        <f ca="1">IF(C1047="","",F1047/([1]!S_STM07_BS(D1047,141,$G$5,$H$13)/IF([1]!S_SHARE_TOTAL(D1047,$G$5)=0,[1]!S_SHARE_TOTAL(D1047,[1]!s_ipo_listeddate(D1047)),[1]!S_SHARE_TOTAL(D1047,$G$5))))</f>
        <v/>
      </c>
      <c r="S1047" s="249" t="str">
        <f ca="1">IF(C1047="","",[1]!S_SHARE_TOTAL(D1047,TODAY())/$E$5)</f>
        <v/>
      </c>
      <c r="T1047" s="249" t="str">
        <f t="shared" ca="1" si="103"/>
        <v/>
      </c>
      <c r="U1047" s="172" t="str">
        <f t="shared" ca="1" si="104"/>
        <v/>
      </c>
      <c r="V1047" s="343" t="str">
        <f t="shared" ca="1" si="105"/>
        <v/>
      </c>
      <c r="W1047" s="139"/>
      <c r="Y1047" s="1"/>
    </row>
    <row r="1048" spans="3:25" ht="12" customHeight="1">
      <c r="C1048" s="342" t="str">
        <f t="shared" ca="1" si="106"/>
        <v/>
      </c>
      <c r="D1048" s="153" t="str">
        <f t="shared" ca="1" si="101"/>
        <v/>
      </c>
      <c r="E1048" s="153" t="str">
        <f t="shared" ca="1" si="102"/>
        <v/>
      </c>
      <c r="F1048" s="170" t="str">
        <f ca="1">IF(C1048="","",[1]!S_DQ_CLOSE(D1048,TODAY(),1))</f>
        <v/>
      </c>
      <c r="G1048" s="171" t="str">
        <f ca="1">IF(C1048="","",[1]!s_pq_pctchange(D1048,TODAY()-$G$12,TODAY())/100)</f>
        <v/>
      </c>
      <c r="H1048" s="247" t="str">
        <f ca="1">IF(C1048="","",IF($H$11="收入",[1]!S_STM07_IS(D1048,9,$G$5,$H$13)/$E$5,[1]!S_STM07_IS(D1048,48,$G$5,$H$13)/$E$5))</f>
        <v/>
      </c>
      <c r="I1048" s="247" t="str">
        <f ca="1">IF(C1048="","",IF($I$11="毛利率",([1]!S_STM07_IS(D1048,9,$G$5,$H$13)-[1]!S_STM07_IS(D1048,10,$G$5,$H$13))/[1]!S_STM07_IS(D1048,9,$G$5,$H$13),[1]!S_STM07_IS(D1048,14,$G$5,$H$13)/$E$5))</f>
        <v/>
      </c>
      <c r="J1048" s="247" t="str">
        <f ca="1">IF(C1048="","",IF($J$11="营业利润率",[1]!S_STM07_IS(D1048,48,$G$5,$H$13)/[1]!S_STM07_IS(D1048,9,$G$5,$H$13),([1]!S_STM07_CS(D1048,87,$G$5,$H$13)+[1]!S_STM07_CS(D1048,88,$G$5,$H$13)+[1]!S_STM07_CS(D1048,89,$G$5,$H$13))/$E$5))</f>
        <v/>
      </c>
      <c r="K1048" s="247" t="str">
        <f ca="1">IF(C1048="","",IF($K$11="净利润率",[1]!S_STM07_IS(D1048,61,$G$5,$H$13)/[1]!S_STM07_IS(D1048,9,$G$5,$H$13),[1]!S_STM07_IS(D1048,55,$G$5,$H$13)/$E$5))</f>
        <v/>
      </c>
      <c r="L1048" s="247" t="str">
        <f ca="1">IF(C1048="","",IF($L$11="ROA",[1]!S_STM07_IS(D1048,61,$G$5,$H$13)/[1]!S_STM07_BS(D1048,74,$G$5,$H$13),1-[1]!S_STM07_IS(D1048,61,$G$5,$H$13)/[1]!S_STM07_IS(D1048,55,$G$5,$H$13)))</f>
        <v/>
      </c>
      <c r="M1048" s="247" t="str">
        <f ca="1">IF(C1048="","",IF($M$11="ROE",[1]!S_STM07_IS(D1048,61,$G$5,$H$13)/[1]!S_STM07_BS(D1048,141,$G$5,$H$13),([1]!S_STM07_BS(D1048,25,$G$5,$H$13)-[1]!S_STM07_BS(D1048,93,$G$5,$H$13))/$E$5))</f>
        <v/>
      </c>
      <c r="N1048" s="247" t="str">
        <f ca="1">IF(C1048="","",IF($N$11="EPS",[1]!S_STM07_IS(D1048,61,$G$5,$H$13)/IF([1]!S_SHARE_TOTAL(D1048,$G$5)=0,[1]!S_SHARE_TOTAL(D1048,[1]!s_ipo_listeddate(D1048)),[1]!S_SHARE_TOTAL(D1048,$G$5)),([1]!S_STM07_BS(D1048,75,$G$5,$H$13)+[1]!S_STM07_BS(D1048,88,$G$5,$H$13)+[1]!S_STM07_BS(D1048,94,$G$5,$H$13)+[1]!S_STM07_BS(D1048,95,$G$5,$H$13))/$E$5))</f>
        <v/>
      </c>
      <c r="O1048" s="247" t="str">
        <f ca="1">IF(C1048="","",IF($O$11="BPS",[1]!S_STM07_BS(D1048,141,$G$5,$H$13)/IF([1]!S_SHARE_TOTAL(D1048,$G$5)=0,[1]!S_SHARE_TOTAL(D1048,[1]!s_ipo_listeddate(D1048)),[1]!S_SHARE_TOTAL(D1048,$G$5)),[1]!S_STM07_CS(D1048,49,$G$5,$H$13)/$E$5))</f>
        <v/>
      </c>
      <c r="P1048" s="247" t="str">
        <f ca="1">IF(C1048="","",IF($P$11="CFPS",[1]!S_STM07_CS(D1048,84,$G$5,$H$13)/IF([1]!S_SHARE_TOTAL(D1048,$G$5)=0,[1]!S_SHARE_TOTAL(D1048,[1]!s_ipo_listeddate(D1048)),[1]!S_SHARE_TOTAL(D1048,$G$5)),[1]!S_STM07_CS(D1048,84,$G$5,$H$13)/$E$5))</f>
        <v/>
      </c>
      <c r="Q1048" s="248" t="str">
        <f ca="1">IF(C1048="","",F1048/([1]!S_STM07_IS(D1048,61,$G$5,$H$13)/IF([1]!S_SHARE_TOTAL(D1048,$G$5)=0,[1]!S_SHARE_TOTAL(D1048,[1]!s_ipo_listeddate(D1048)),[1]!S_SHARE_TOTAL(D1048,$G$5))))</f>
        <v/>
      </c>
      <c r="R1048" s="248" t="str">
        <f ca="1">IF(C1048="","",F1048/([1]!S_STM07_BS(D1048,141,$G$5,$H$13)/IF([1]!S_SHARE_TOTAL(D1048,$G$5)=0,[1]!S_SHARE_TOTAL(D1048,[1]!s_ipo_listeddate(D1048)),[1]!S_SHARE_TOTAL(D1048,$G$5))))</f>
        <v/>
      </c>
      <c r="S1048" s="247" t="str">
        <f ca="1">IF(C1048="","",[1]!S_SHARE_TOTAL(D1048,TODAY())/$E$5)</f>
        <v/>
      </c>
      <c r="T1048" s="247" t="str">
        <f t="shared" ca="1" si="103"/>
        <v/>
      </c>
      <c r="U1048" s="218" t="str">
        <f t="shared" ca="1" si="104"/>
        <v/>
      </c>
      <c r="V1048" s="342" t="str">
        <f t="shared" ca="1" si="105"/>
        <v/>
      </c>
      <c r="W1048" s="139"/>
      <c r="Y1048" s="1"/>
    </row>
    <row r="1049" spans="3:25" ht="12" customHeight="1">
      <c r="C1049" s="343" t="str">
        <f t="shared" ca="1" si="106"/>
        <v/>
      </c>
      <c r="D1049" s="124" t="str">
        <f t="shared" ref="D1049:D1112" ca="1" si="107">IF(C1049="","",VLOOKUP(C1049,comppool,2,FALSE))</f>
        <v/>
      </c>
      <c r="E1049" s="124" t="str">
        <f t="shared" ref="E1049:E1112" ca="1" si="108">IF(C1049="","",VLOOKUP(C1049,comppool,3,FALSE))</f>
        <v/>
      </c>
      <c r="F1049" s="172" t="str">
        <f ca="1">IF(C1049="","",[1]!S_DQ_CLOSE(D1049,TODAY(),1))</f>
        <v/>
      </c>
      <c r="G1049" s="173" t="str">
        <f ca="1">IF(C1049="","",[1]!s_pq_pctchange(D1049,TODAY()-$G$12,TODAY())/100)</f>
        <v/>
      </c>
      <c r="H1049" s="249" t="str">
        <f ca="1">IF(C1049="","",IF($H$11="收入",[1]!S_STM07_IS(D1049,9,$G$5,$H$13)/$E$5,[1]!S_STM07_IS(D1049,48,$G$5,$H$13)/$E$5))</f>
        <v/>
      </c>
      <c r="I1049" s="249" t="str">
        <f ca="1">IF(C1049="","",IF($I$11="毛利率",([1]!S_STM07_IS(D1049,9,$G$5,$H$13)-[1]!S_STM07_IS(D1049,10,$G$5,$H$13))/[1]!S_STM07_IS(D1049,9,$G$5,$H$13),[1]!S_STM07_IS(D1049,14,$G$5,$H$13)/$E$5))</f>
        <v/>
      </c>
      <c r="J1049" s="249" t="str">
        <f ca="1">IF(C1049="","",IF($J$11="营业利润率",[1]!S_STM07_IS(D1049,48,$G$5,$H$13)/[1]!S_STM07_IS(D1049,9,$G$5,$H$13),([1]!S_STM07_CS(D1049,87,$G$5,$H$13)+[1]!S_STM07_CS(D1049,88,$G$5,$H$13)+[1]!S_STM07_CS(D1049,89,$G$5,$H$13))/$E$5))</f>
        <v/>
      </c>
      <c r="K1049" s="249" t="str">
        <f ca="1">IF(C1049="","",IF($K$11="净利润率",[1]!S_STM07_IS(D1049,61,$G$5,$H$13)/[1]!S_STM07_IS(D1049,9,$G$5,$H$13),[1]!S_STM07_IS(D1049,55,$G$5,$H$13)/$E$5))</f>
        <v/>
      </c>
      <c r="L1049" s="249" t="str">
        <f ca="1">IF(C1049="","",IF($L$11="ROA",[1]!S_STM07_IS(D1049,61,$G$5,$H$13)/[1]!S_STM07_BS(D1049,74,$G$5,$H$13),1-[1]!S_STM07_IS(D1049,61,$G$5,$H$13)/[1]!S_STM07_IS(D1049,55,$G$5,$H$13)))</f>
        <v/>
      </c>
      <c r="M1049" s="249" t="str">
        <f ca="1">IF(C1049="","",IF($M$11="ROE",[1]!S_STM07_IS(D1049,61,$G$5,$H$13)/[1]!S_STM07_BS(D1049,141,$G$5,$H$13),([1]!S_STM07_BS(D1049,25,$G$5,$H$13)-[1]!S_STM07_BS(D1049,93,$G$5,$H$13))/$E$5))</f>
        <v/>
      </c>
      <c r="N1049" s="250" t="str">
        <f ca="1">IF(C1049="","",IF($N$11="EPS",[1]!S_STM07_IS(D1049,61,$G$5,$H$13)/IF([1]!S_SHARE_TOTAL(D1049,$G$5)=0,[1]!S_SHARE_TOTAL(D1049,[1]!s_ipo_listeddate(D1049)),[1]!S_SHARE_TOTAL(D1049,$G$5)),([1]!S_STM07_BS(D1049,75,$G$5,$H$13)+[1]!S_STM07_BS(D1049,88,$G$5,$H$13)+[1]!S_STM07_BS(D1049,94,$G$5,$H$13)+[1]!S_STM07_BS(D1049,95,$G$5,$H$13))/$E$5))</f>
        <v/>
      </c>
      <c r="O1049" s="250" t="str">
        <f ca="1">IF(C1049="","",IF($O$11="BPS",[1]!S_STM07_BS(D1049,141,$G$5,$H$13)/IF([1]!S_SHARE_TOTAL(D1049,$G$5)=0,[1]!S_SHARE_TOTAL(D1049,[1]!s_ipo_listeddate(D1049)),[1]!S_SHARE_TOTAL(D1049,$G$5)),[1]!S_STM07_CS(D1049,49,$G$5,$H$13)/$E$5))</f>
        <v/>
      </c>
      <c r="P1049" s="250" t="str">
        <f ca="1">IF(C1049="","",IF($P$11="CFPS",[1]!S_STM07_CS(D1049,84,$G$5,$H$13)/IF([1]!S_SHARE_TOTAL(D1049,$G$5)=0,[1]!S_SHARE_TOTAL(D1049,[1]!s_ipo_listeddate(D1049)),[1]!S_SHARE_TOTAL(D1049,$G$5)),[1]!S_STM07_CS(D1049,84,$G$5,$H$13)/$E$5))</f>
        <v/>
      </c>
      <c r="Q1049" s="198" t="str">
        <f ca="1">IF(C1049="","",F1049/([1]!S_STM07_IS(D1049,61,$G$5,$H$13)/IF([1]!S_SHARE_TOTAL(D1049,$G$5)=0,[1]!S_SHARE_TOTAL(D1049,[1]!s_ipo_listeddate(D1049)),[1]!S_SHARE_TOTAL(D1049,$G$5))))</f>
        <v/>
      </c>
      <c r="R1049" s="198" t="str">
        <f ca="1">IF(C1049="","",F1049/([1]!S_STM07_BS(D1049,141,$G$5,$H$13)/IF([1]!S_SHARE_TOTAL(D1049,$G$5)=0,[1]!S_SHARE_TOTAL(D1049,[1]!s_ipo_listeddate(D1049)),[1]!S_SHARE_TOTAL(D1049,$G$5))))</f>
        <v/>
      </c>
      <c r="S1049" s="249" t="str">
        <f ca="1">IF(C1049="","",[1]!S_SHARE_TOTAL(D1049,TODAY())/$E$5)</f>
        <v/>
      </c>
      <c r="T1049" s="249" t="str">
        <f t="shared" ref="T1049:T1112" ca="1" si="109">IF(C1049="","",F1049*S1049)</f>
        <v/>
      </c>
      <c r="U1049" s="172" t="str">
        <f t="shared" ref="U1049:U1112" ca="1" si="110">IF(C1049="","",HLOOKUP($V$12,$G$11:$T$20003,ROW()-ROW($G$11)+1,FALSE))</f>
        <v/>
      </c>
      <c r="V1049" s="343" t="str">
        <f t="shared" ref="V1049:V1112" ca="1" si="111">IF(C1049="","",RANK(U1049,U:U,0))</f>
        <v/>
      </c>
      <c r="W1049" s="139"/>
      <c r="Y1049" s="1"/>
    </row>
    <row r="1050" spans="3:25" ht="12" customHeight="1">
      <c r="C1050" s="342" t="str">
        <f t="shared" ca="1" si="106"/>
        <v/>
      </c>
      <c r="D1050" s="153" t="str">
        <f t="shared" ca="1" si="107"/>
        <v/>
      </c>
      <c r="E1050" s="153" t="str">
        <f t="shared" ca="1" si="108"/>
        <v/>
      </c>
      <c r="F1050" s="170" t="str">
        <f ca="1">IF(C1050="","",[1]!S_DQ_CLOSE(D1050,TODAY(),1))</f>
        <v/>
      </c>
      <c r="G1050" s="171" t="str">
        <f ca="1">IF(C1050="","",[1]!s_pq_pctchange(D1050,TODAY()-$G$12,TODAY())/100)</f>
        <v/>
      </c>
      <c r="H1050" s="247" t="str">
        <f ca="1">IF(C1050="","",IF($H$11="收入",[1]!S_STM07_IS(D1050,9,$G$5,$H$13)/$E$5,[1]!S_STM07_IS(D1050,48,$G$5,$H$13)/$E$5))</f>
        <v/>
      </c>
      <c r="I1050" s="247" t="str">
        <f ca="1">IF(C1050="","",IF($I$11="毛利率",([1]!S_STM07_IS(D1050,9,$G$5,$H$13)-[1]!S_STM07_IS(D1050,10,$G$5,$H$13))/[1]!S_STM07_IS(D1050,9,$G$5,$H$13),[1]!S_STM07_IS(D1050,14,$G$5,$H$13)/$E$5))</f>
        <v/>
      </c>
      <c r="J1050" s="247" t="str">
        <f ca="1">IF(C1050="","",IF($J$11="营业利润率",[1]!S_STM07_IS(D1050,48,$G$5,$H$13)/[1]!S_STM07_IS(D1050,9,$G$5,$H$13),([1]!S_STM07_CS(D1050,87,$G$5,$H$13)+[1]!S_STM07_CS(D1050,88,$G$5,$H$13)+[1]!S_STM07_CS(D1050,89,$G$5,$H$13))/$E$5))</f>
        <v/>
      </c>
      <c r="K1050" s="247" t="str">
        <f ca="1">IF(C1050="","",IF($K$11="净利润率",[1]!S_STM07_IS(D1050,61,$G$5,$H$13)/[1]!S_STM07_IS(D1050,9,$G$5,$H$13),[1]!S_STM07_IS(D1050,55,$G$5,$H$13)/$E$5))</f>
        <v/>
      </c>
      <c r="L1050" s="247" t="str">
        <f ca="1">IF(C1050="","",IF($L$11="ROA",[1]!S_STM07_IS(D1050,61,$G$5,$H$13)/[1]!S_STM07_BS(D1050,74,$G$5,$H$13),1-[1]!S_STM07_IS(D1050,61,$G$5,$H$13)/[1]!S_STM07_IS(D1050,55,$G$5,$H$13)))</f>
        <v/>
      </c>
      <c r="M1050" s="247" t="str">
        <f ca="1">IF(C1050="","",IF($M$11="ROE",[1]!S_STM07_IS(D1050,61,$G$5,$H$13)/[1]!S_STM07_BS(D1050,141,$G$5,$H$13),([1]!S_STM07_BS(D1050,25,$G$5,$H$13)-[1]!S_STM07_BS(D1050,93,$G$5,$H$13))/$E$5))</f>
        <v/>
      </c>
      <c r="N1050" s="247" t="str">
        <f ca="1">IF(C1050="","",IF($N$11="EPS",[1]!S_STM07_IS(D1050,61,$G$5,$H$13)/IF([1]!S_SHARE_TOTAL(D1050,$G$5)=0,[1]!S_SHARE_TOTAL(D1050,[1]!s_ipo_listeddate(D1050)),[1]!S_SHARE_TOTAL(D1050,$G$5)),([1]!S_STM07_BS(D1050,75,$G$5,$H$13)+[1]!S_STM07_BS(D1050,88,$G$5,$H$13)+[1]!S_STM07_BS(D1050,94,$G$5,$H$13)+[1]!S_STM07_BS(D1050,95,$G$5,$H$13))/$E$5))</f>
        <v/>
      </c>
      <c r="O1050" s="247" t="str">
        <f ca="1">IF(C1050="","",IF($O$11="BPS",[1]!S_STM07_BS(D1050,141,$G$5,$H$13)/IF([1]!S_SHARE_TOTAL(D1050,$G$5)=0,[1]!S_SHARE_TOTAL(D1050,[1]!s_ipo_listeddate(D1050)),[1]!S_SHARE_TOTAL(D1050,$G$5)),[1]!S_STM07_CS(D1050,49,$G$5,$H$13)/$E$5))</f>
        <v/>
      </c>
      <c r="P1050" s="247" t="str">
        <f ca="1">IF(C1050="","",IF($P$11="CFPS",[1]!S_STM07_CS(D1050,84,$G$5,$H$13)/IF([1]!S_SHARE_TOTAL(D1050,$G$5)=0,[1]!S_SHARE_TOTAL(D1050,[1]!s_ipo_listeddate(D1050)),[1]!S_SHARE_TOTAL(D1050,$G$5)),[1]!S_STM07_CS(D1050,84,$G$5,$H$13)/$E$5))</f>
        <v/>
      </c>
      <c r="Q1050" s="248" t="str">
        <f ca="1">IF(C1050="","",F1050/([1]!S_STM07_IS(D1050,61,$G$5,$H$13)/IF([1]!S_SHARE_TOTAL(D1050,$G$5)=0,[1]!S_SHARE_TOTAL(D1050,[1]!s_ipo_listeddate(D1050)),[1]!S_SHARE_TOTAL(D1050,$G$5))))</f>
        <v/>
      </c>
      <c r="R1050" s="248" t="str">
        <f ca="1">IF(C1050="","",F1050/([1]!S_STM07_BS(D1050,141,$G$5,$H$13)/IF([1]!S_SHARE_TOTAL(D1050,$G$5)=0,[1]!S_SHARE_TOTAL(D1050,[1]!s_ipo_listeddate(D1050)),[1]!S_SHARE_TOTAL(D1050,$G$5))))</f>
        <v/>
      </c>
      <c r="S1050" s="247" t="str">
        <f ca="1">IF(C1050="","",[1]!S_SHARE_TOTAL(D1050,TODAY())/$E$5)</f>
        <v/>
      </c>
      <c r="T1050" s="247" t="str">
        <f t="shared" ca="1" si="109"/>
        <v/>
      </c>
      <c r="U1050" s="218" t="str">
        <f t="shared" ca="1" si="110"/>
        <v/>
      </c>
      <c r="V1050" s="342" t="str">
        <f t="shared" ca="1" si="111"/>
        <v/>
      </c>
      <c r="W1050" s="139"/>
      <c r="Y1050" s="1"/>
    </row>
    <row r="1051" spans="3:25" ht="12" customHeight="1">
      <c r="C1051" s="343" t="str">
        <f t="shared" ca="1" si="106"/>
        <v/>
      </c>
      <c r="D1051" s="124" t="str">
        <f t="shared" ca="1" si="107"/>
        <v/>
      </c>
      <c r="E1051" s="124" t="str">
        <f t="shared" ca="1" si="108"/>
        <v/>
      </c>
      <c r="F1051" s="172" t="str">
        <f ca="1">IF(C1051="","",[1]!S_DQ_CLOSE(D1051,TODAY(),1))</f>
        <v/>
      </c>
      <c r="G1051" s="173" t="str">
        <f ca="1">IF(C1051="","",[1]!s_pq_pctchange(D1051,TODAY()-$G$12,TODAY())/100)</f>
        <v/>
      </c>
      <c r="H1051" s="249" t="str">
        <f ca="1">IF(C1051="","",IF($H$11="收入",[1]!S_STM07_IS(D1051,9,$G$5,$H$13)/$E$5,[1]!S_STM07_IS(D1051,48,$G$5,$H$13)/$E$5))</f>
        <v/>
      </c>
      <c r="I1051" s="249" t="str">
        <f ca="1">IF(C1051="","",IF($I$11="毛利率",([1]!S_STM07_IS(D1051,9,$G$5,$H$13)-[1]!S_STM07_IS(D1051,10,$G$5,$H$13))/[1]!S_STM07_IS(D1051,9,$G$5,$H$13),[1]!S_STM07_IS(D1051,14,$G$5,$H$13)/$E$5))</f>
        <v/>
      </c>
      <c r="J1051" s="249" t="str">
        <f ca="1">IF(C1051="","",IF($J$11="营业利润率",[1]!S_STM07_IS(D1051,48,$G$5,$H$13)/[1]!S_STM07_IS(D1051,9,$G$5,$H$13),([1]!S_STM07_CS(D1051,87,$G$5,$H$13)+[1]!S_STM07_CS(D1051,88,$G$5,$H$13)+[1]!S_STM07_CS(D1051,89,$G$5,$H$13))/$E$5))</f>
        <v/>
      </c>
      <c r="K1051" s="249" t="str">
        <f ca="1">IF(C1051="","",IF($K$11="净利润率",[1]!S_STM07_IS(D1051,61,$G$5,$H$13)/[1]!S_STM07_IS(D1051,9,$G$5,$H$13),[1]!S_STM07_IS(D1051,55,$G$5,$H$13)/$E$5))</f>
        <v/>
      </c>
      <c r="L1051" s="249" t="str">
        <f ca="1">IF(C1051="","",IF($L$11="ROA",[1]!S_STM07_IS(D1051,61,$G$5,$H$13)/[1]!S_STM07_BS(D1051,74,$G$5,$H$13),1-[1]!S_STM07_IS(D1051,61,$G$5,$H$13)/[1]!S_STM07_IS(D1051,55,$G$5,$H$13)))</f>
        <v/>
      </c>
      <c r="M1051" s="249" t="str">
        <f ca="1">IF(C1051="","",IF($M$11="ROE",[1]!S_STM07_IS(D1051,61,$G$5,$H$13)/[1]!S_STM07_BS(D1051,141,$G$5,$H$13),([1]!S_STM07_BS(D1051,25,$G$5,$H$13)-[1]!S_STM07_BS(D1051,93,$G$5,$H$13))/$E$5))</f>
        <v/>
      </c>
      <c r="N1051" s="250" t="str">
        <f ca="1">IF(C1051="","",IF($N$11="EPS",[1]!S_STM07_IS(D1051,61,$G$5,$H$13)/IF([1]!S_SHARE_TOTAL(D1051,$G$5)=0,[1]!S_SHARE_TOTAL(D1051,[1]!s_ipo_listeddate(D1051)),[1]!S_SHARE_TOTAL(D1051,$G$5)),([1]!S_STM07_BS(D1051,75,$G$5,$H$13)+[1]!S_STM07_BS(D1051,88,$G$5,$H$13)+[1]!S_STM07_BS(D1051,94,$G$5,$H$13)+[1]!S_STM07_BS(D1051,95,$G$5,$H$13))/$E$5))</f>
        <v/>
      </c>
      <c r="O1051" s="250" t="str">
        <f ca="1">IF(C1051="","",IF($O$11="BPS",[1]!S_STM07_BS(D1051,141,$G$5,$H$13)/IF([1]!S_SHARE_TOTAL(D1051,$G$5)=0,[1]!S_SHARE_TOTAL(D1051,[1]!s_ipo_listeddate(D1051)),[1]!S_SHARE_TOTAL(D1051,$G$5)),[1]!S_STM07_CS(D1051,49,$G$5,$H$13)/$E$5))</f>
        <v/>
      </c>
      <c r="P1051" s="250" t="str">
        <f ca="1">IF(C1051="","",IF($P$11="CFPS",[1]!S_STM07_CS(D1051,84,$G$5,$H$13)/IF([1]!S_SHARE_TOTAL(D1051,$G$5)=0,[1]!S_SHARE_TOTAL(D1051,[1]!s_ipo_listeddate(D1051)),[1]!S_SHARE_TOTAL(D1051,$G$5)),[1]!S_STM07_CS(D1051,84,$G$5,$H$13)/$E$5))</f>
        <v/>
      </c>
      <c r="Q1051" s="198" t="str">
        <f ca="1">IF(C1051="","",F1051/([1]!S_STM07_IS(D1051,61,$G$5,$H$13)/IF([1]!S_SHARE_TOTAL(D1051,$G$5)=0,[1]!S_SHARE_TOTAL(D1051,[1]!s_ipo_listeddate(D1051)),[1]!S_SHARE_TOTAL(D1051,$G$5))))</f>
        <v/>
      </c>
      <c r="R1051" s="198" t="str">
        <f ca="1">IF(C1051="","",F1051/([1]!S_STM07_BS(D1051,141,$G$5,$H$13)/IF([1]!S_SHARE_TOTAL(D1051,$G$5)=0,[1]!S_SHARE_TOTAL(D1051,[1]!s_ipo_listeddate(D1051)),[1]!S_SHARE_TOTAL(D1051,$G$5))))</f>
        <v/>
      </c>
      <c r="S1051" s="249" t="str">
        <f ca="1">IF(C1051="","",[1]!S_SHARE_TOTAL(D1051,TODAY())/$E$5)</f>
        <v/>
      </c>
      <c r="T1051" s="249" t="str">
        <f t="shared" ca="1" si="109"/>
        <v/>
      </c>
      <c r="U1051" s="172" t="str">
        <f t="shared" ca="1" si="110"/>
        <v/>
      </c>
      <c r="V1051" s="343" t="str">
        <f t="shared" ca="1" si="111"/>
        <v/>
      </c>
      <c r="W1051" s="139"/>
      <c r="Y1051" s="1"/>
    </row>
    <row r="1052" spans="3:25" ht="12" customHeight="1">
      <c r="C1052" s="342" t="str">
        <f t="shared" ca="1" si="106"/>
        <v/>
      </c>
      <c r="D1052" s="153" t="str">
        <f t="shared" ca="1" si="107"/>
        <v/>
      </c>
      <c r="E1052" s="153" t="str">
        <f t="shared" ca="1" si="108"/>
        <v/>
      </c>
      <c r="F1052" s="170" t="str">
        <f ca="1">IF(C1052="","",[1]!S_DQ_CLOSE(D1052,TODAY(),1))</f>
        <v/>
      </c>
      <c r="G1052" s="171" t="str">
        <f ca="1">IF(C1052="","",[1]!s_pq_pctchange(D1052,TODAY()-$G$12,TODAY())/100)</f>
        <v/>
      </c>
      <c r="H1052" s="247" t="str">
        <f ca="1">IF(C1052="","",IF($H$11="收入",[1]!S_STM07_IS(D1052,9,$G$5,$H$13)/$E$5,[1]!S_STM07_IS(D1052,48,$G$5,$H$13)/$E$5))</f>
        <v/>
      </c>
      <c r="I1052" s="247" t="str">
        <f ca="1">IF(C1052="","",IF($I$11="毛利率",([1]!S_STM07_IS(D1052,9,$G$5,$H$13)-[1]!S_STM07_IS(D1052,10,$G$5,$H$13))/[1]!S_STM07_IS(D1052,9,$G$5,$H$13),[1]!S_STM07_IS(D1052,14,$G$5,$H$13)/$E$5))</f>
        <v/>
      </c>
      <c r="J1052" s="247" t="str">
        <f ca="1">IF(C1052="","",IF($J$11="营业利润率",[1]!S_STM07_IS(D1052,48,$G$5,$H$13)/[1]!S_STM07_IS(D1052,9,$G$5,$H$13),([1]!S_STM07_CS(D1052,87,$G$5,$H$13)+[1]!S_STM07_CS(D1052,88,$G$5,$H$13)+[1]!S_STM07_CS(D1052,89,$G$5,$H$13))/$E$5))</f>
        <v/>
      </c>
      <c r="K1052" s="247" t="str">
        <f ca="1">IF(C1052="","",IF($K$11="净利润率",[1]!S_STM07_IS(D1052,61,$G$5,$H$13)/[1]!S_STM07_IS(D1052,9,$G$5,$H$13),[1]!S_STM07_IS(D1052,55,$G$5,$H$13)/$E$5))</f>
        <v/>
      </c>
      <c r="L1052" s="247" t="str">
        <f ca="1">IF(C1052="","",IF($L$11="ROA",[1]!S_STM07_IS(D1052,61,$G$5,$H$13)/[1]!S_STM07_BS(D1052,74,$G$5,$H$13),1-[1]!S_STM07_IS(D1052,61,$G$5,$H$13)/[1]!S_STM07_IS(D1052,55,$G$5,$H$13)))</f>
        <v/>
      </c>
      <c r="M1052" s="247" t="str">
        <f ca="1">IF(C1052="","",IF($M$11="ROE",[1]!S_STM07_IS(D1052,61,$G$5,$H$13)/[1]!S_STM07_BS(D1052,141,$G$5,$H$13),([1]!S_STM07_BS(D1052,25,$G$5,$H$13)-[1]!S_STM07_BS(D1052,93,$G$5,$H$13))/$E$5))</f>
        <v/>
      </c>
      <c r="N1052" s="247" t="str">
        <f ca="1">IF(C1052="","",IF($N$11="EPS",[1]!S_STM07_IS(D1052,61,$G$5,$H$13)/IF([1]!S_SHARE_TOTAL(D1052,$G$5)=0,[1]!S_SHARE_TOTAL(D1052,[1]!s_ipo_listeddate(D1052)),[1]!S_SHARE_TOTAL(D1052,$G$5)),([1]!S_STM07_BS(D1052,75,$G$5,$H$13)+[1]!S_STM07_BS(D1052,88,$G$5,$H$13)+[1]!S_STM07_BS(D1052,94,$G$5,$H$13)+[1]!S_STM07_BS(D1052,95,$G$5,$H$13))/$E$5))</f>
        <v/>
      </c>
      <c r="O1052" s="247" t="str">
        <f ca="1">IF(C1052="","",IF($O$11="BPS",[1]!S_STM07_BS(D1052,141,$G$5,$H$13)/IF([1]!S_SHARE_TOTAL(D1052,$G$5)=0,[1]!S_SHARE_TOTAL(D1052,[1]!s_ipo_listeddate(D1052)),[1]!S_SHARE_TOTAL(D1052,$G$5)),[1]!S_STM07_CS(D1052,49,$G$5,$H$13)/$E$5))</f>
        <v/>
      </c>
      <c r="P1052" s="247" t="str">
        <f ca="1">IF(C1052="","",IF($P$11="CFPS",[1]!S_STM07_CS(D1052,84,$G$5,$H$13)/IF([1]!S_SHARE_TOTAL(D1052,$G$5)=0,[1]!S_SHARE_TOTAL(D1052,[1]!s_ipo_listeddate(D1052)),[1]!S_SHARE_TOTAL(D1052,$G$5)),[1]!S_STM07_CS(D1052,84,$G$5,$H$13)/$E$5))</f>
        <v/>
      </c>
      <c r="Q1052" s="248" t="str">
        <f ca="1">IF(C1052="","",F1052/([1]!S_STM07_IS(D1052,61,$G$5,$H$13)/IF([1]!S_SHARE_TOTAL(D1052,$G$5)=0,[1]!S_SHARE_TOTAL(D1052,[1]!s_ipo_listeddate(D1052)),[1]!S_SHARE_TOTAL(D1052,$G$5))))</f>
        <v/>
      </c>
      <c r="R1052" s="248" t="str">
        <f ca="1">IF(C1052="","",F1052/([1]!S_STM07_BS(D1052,141,$G$5,$H$13)/IF([1]!S_SHARE_TOTAL(D1052,$G$5)=0,[1]!S_SHARE_TOTAL(D1052,[1]!s_ipo_listeddate(D1052)),[1]!S_SHARE_TOTAL(D1052,$G$5))))</f>
        <v/>
      </c>
      <c r="S1052" s="247" t="str">
        <f ca="1">IF(C1052="","",[1]!S_SHARE_TOTAL(D1052,TODAY())/$E$5)</f>
        <v/>
      </c>
      <c r="T1052" s="247" t="str">
        <f t="shared" ca="1" si="109"/>
        <v/>
      </c>
      <c r="U1052" s="218" t="str">
        <f t="shared" ca="1" si="110"/>
        <v/>
      </c>
      <c r="V1052" s="342" t="str">
        <f t="shared" ca="1" si="111"/>
        <v/>
      </c>
      <c r="W1052" s="139"/>
      <c r="Y1052" s="1"/>
    </row>
    <row r="1053" spans="3:25" ht="12" customHeight="1">
      <c r="C1053" s="343" t="str">
        <f t="shared" ca="1" si="106"/>
        <v/>
      </c>
      <c r="D1053" s="124" t="str">
        <f t="shared" ca="1" si="107"/>
        <v/>
      </c>
      <c r="E1053" s="124" t="str">
        <f t="shared" ca="1" si="108"/>
        <v/>
      </c>
      <c r="F1053" s="172" t="str">
        <f ca="1">IF(C1053="","",[1]!S_DQ_CLOSE(D1053,TODAY(),1))</f>
        <v/>
      </c>
      <c r="G1053" s="173" t="str">
        <f ca="1">IF(C1053="","",[1]!s_pq_pctchange(D1053,TODAY()-$G$12,TODAY())/100)</f>
        <v/>
      </c>
      <c r="H1053" s="249" t="str">
        <f ca="1">IF(C1053="","",IF($H$11="收入",[1]!S_STM07_IS(D1053,9,$G$5,$H$13)/$E$5,[1]!S_STM07_IS(D1053,48,$G$5,$H$13)/$E$5))</f>
        <v/>
      </c>
      <c r="I1053" s="249" t="str">
        <f ca="1">IF(C1053="","",IF($I$11="毛利率",([1]!S_STM07_IS(D1053,9,$G$5,$H$13)-[1]!S_STM07_IS(D1053,10,$G$5,$H$13))/[1]!S_STM07_IS(D1053,9,$G$5,$H$13),[1]!S_STM07_IS(D1053,14,$G$5,$H$13)/$E$5))</f>
        <v/>
      </c>
      <c r="J1053" s="249" t="str">
        <f ca="1">IF(C1053="","",IF($J$11="营业利润率",[1]!S_STM07_IS(D1053,48,$G$5,$H$13)/[1]!S_STM07_IS(D1053,9,$G$5,$H$13),([1]!S_STM07_CS(D1053,87,$G$5,$H$13)+[1]!S_STM07_CS(D1053,88,$G$5,$H$13)+[1]!S_STM07_CS(D1053,89,$G$5,$H$13))/$E$5))</f>
        <v/>
      </c>
      <c r="K1053" s="249" t="str">
        <f ca="1">IF(C1053="","",IF($K$11="净利润率",[1]!S_STM07_IS(D1053,61,$G$5,$H$13)/[1]!S_STM07_IS(D1053,9,$G$5,$H$13),[1]!S_STM07_IS(D1053,55,$G$5,$H$13)/$E$5))</f>
        <v/>
      </c>
      <c r="L1053" s="249" t="str">
        <f ca="1">IF(C1053="","",IF($L$11="ROA",[1]!S_STM07_IS(D1053,61,$G$5,$H$13)/[1]!S_STM07_BS(D1053,74,$G$5,$H$13),1-[1]!S_STM07_IS(D1053,61,$G$5,$H$13)/[1]!S_STM07_IS(D1053,55,$G$5,$H$13)))</f>
        <v/>
      </c>
      <c r="M1053" s="249" t="str">
        <f ca="1">IF(C1053="","",IF($M$11="ROE",[1]!S_STM07_IS(D1053,61,$G$5,$H$13)/[1]!S_STM07_BS(D1053,141,$G$5,$H$13),([1]!S_STM07_BS(D1053,25,$G$5,$H$13)-[1]!S_STM07_BS(D1053,93,$G$5,$H$13))/$E$5))</f>
        <v/>
      </c>
      <c r="N1053" s="250" t="str">
        <f ca="1">IF(C1053="","",IF($N$11="EPS",[1]!S_STM07_IS(D1053,61,$G$5,$H$13)/IF([1]!S_SHARE_TOTAL(D1053,$G$5)=0,[1]!S_SHARE_TOTAL(D1053,[1]!s_ipo_listeddate(D1053)),[1]!S_SHARE_TOTAL(D1053,$G$5)),([1]!S_STM07_BS(D1053,75,$G$5,$H$13)+[1]!S_STM07_BS(D1053,88,$G$5,$H$13)+[1]!S_STM07_BS(D1053,94,$G$5,$H$13)+[1]!S_STM07_BS(D1053,95,$G$5,$H$13))/$E$5))</f>
        <v/>
      </c>
      <c r="O1053" s="250" t="str">
        <f ca="1">IF(C1053="","",IF($O$11="BPS",[1]!S_STM07_BS(D1053,141,$G$5,$H$13)/IF([1]!S_SHARE_TOTAL(D1053,$G$5)=0,[1]!S_SHARE_TOTAL(D1053,[1]!s_ipo_listeddate(D1053)),[1]!S_SHARE_TOTAL(D1053,$G$5)),[1]!S_STM07_CS(D1053,49,$G$5,$H$13)/$E$5))</f>
        <v/>
      </c>
      <c r="P1053" s="250" t="str">
        <f ca="1">IF(C1053="","",IF($P$11="CFPS",[1]!S_STM07_CS(D1053,84,$G$5,$H$13)/IF([1]!S_SHARE_TOTAL(D1053,$G$5)=0,[1]!S_SHARE_TOTAL(D1053,[1]!s_ipo_listeddate(D1053)),[1]!S_SHARE_TOTAL(D1053,$G$5)),[1]!S_STM07_CS(D1053,84,$G$5,$H$13)/$E$5))</f>
        <v/>
      </c>
      <c r="Q1053" s="198" t="str">
        <f ca="1">IF(C1053="","",F1053/([1]!S_STM07_IS(D1053,61,$G$5,$H$13)/IF([1]!S_SHARE_TOTAL(D1053,$G$5)=0,[1]!S_SHARE_TOTAL(D1053,[1]!s_ipo_listeddate(D1053)),[1]!S_SHARE_TOTAL(D1053,$G$5))))</f>
        <v/>
      </c>
      <c r="R1053" s="198" t="str">
        <f ca="1">IF(C1053="","",F1053/([1]!S_STM07_BS(D1053,141,$G$5,$H$13)/IF([1]!S_SHARE_TOTAL(D1053,$G$5)=0,[1]!S_SHARE_TOTAL(D1053,[1]!s_ipo_listeddate(D1053)),[1]!S_SHARE_TOTAL(D1053,$G$5))))</f>
        <v/>
      </c>
      <c r="S1053" s="249" t="str">
        <f ca="1">IF(C1053="","",[1]!S_SHARE_TOTAL(D1053,TODAY())/$E$5)</f>
        <v/>
      </c>
      <c r="T1053" s="249" t="str">
        <f t="shared" ca="1" si="109"/>
        <v/>
      </c>
      <c r="U1053" s="172" t="str">
        <f t="shared" ca="1" si="110"/>
        <v/>
      </c>
      <c r="V1053" s="343" t="str">
        <f t="shared" ca="1" si="111"/>
        <v/>
      </c>
      <c r="W1053" s="139"/>
      <c r="Y1053" s="1"/>
    </row>
    <row r="1054" spans="3:25" ht="12" customHeight="1">
      <c r="C1054" s="342" t="str">
        <f t="shared" ca="1" si="106"/>
        <v/>
      </c>
      <c r="D1054" s="153" t="str">
        <f t="shared" ca="1" si="107"/>
        <v/>
      </c>
      <c r="E1054" s="153" t="str">
        <f t="shared" ca="1" si="108"/>
        <v/>
      </c>
      <c r="F1054" s="170" t="str">
        <f ca="1">IF(C1054="","",[1]!S_DQ_CLOSE(D1054,TODAY(),1))</f>
        <v/>
      </c>
      <c r="G1054" s="171" t="str">
        <f ca="1">IF(C1054="","",[1]!s_pq_pctchange(D1054,TODAY()-$G$12,TODAY())/100)</f>
        <v/>
      </c>
      <c r="H1054" s="247" t="str">
        <f ca="1">IF(C1054="","",IF($H$11="收入",[1]!S_STM07_IS(D1054,9,$G$5,$H$13)/$E$5,[1]!S_STM07_IS(D1054,48,$G$5,$H$13)/$E$5))</f>
        <v/>
      </c>
      <c r="I1054" s="247" t="str">
        <f ca="1">IF(C1054="","",IF($I$11="毛利率",([1]!S_STM07_IS(D1054,9,$G$5,$H$13)-[1]!S_STM07_IS(D1054,10,$G$5,$H$13))/[1]!S_STM07_IS(D1054,9,$G$5,$H$13),[1]!S_STM07_IS(D1054,14,$G$5,$H$13)/$E$5))</f>
        <v/>
      </c>
      <c r="J1054" s="247" t="str">
        <f ca="1">IF(C1054="","",IF($J$11="营业利润率",[1]!S_STM07_IS(D1054,48,$G$5,$H$13)/[1]!S_STM07_IS(D1054,9,$G$5,$H$13),([1]!S_STM07_CS(D1054,87,$G$5,$H$13)+[1]!S_STM07_CS(D1054,88,$G$5,$H$13)+[1]!S_STM07_CS(D1054,89,$G$5,$H$13))/$E$5))</f>
        <v/>
      </c>
      <c r="K1054" s="247" t="str">
        <f ca="1">IF(C1054="","",IF($K$11="净利润率",[1]!S_STM07_IS(D1054,61,$G$5,$H$13)/[1]!S_STM07_IS(D1054,9,$G$5,$H$13),[1]!S_STM07_IS(D1054,55,$G$5,$H$13)/$E$5))</f>
        <v/>
      </c>
      <c r="L1054" s="247" t="str">
        <f ca="1">IF(C1054="","",IF($L$11="ROA",[1]!S_STM07_IS(D1054,61,$G$5,$H$13)/[1]!S_STM07_BS(D1054,74,$G$5,$H$13),1-[1]!S_STM07_IS(D1054,61,$G$5,$H$13)/[1]!S_STM07_IS(D1054,55,$G$5,$H$13)))</f>
        <v/>
      </c>
      <c r="M1054" s="247" t="str">
        <f ca="1">IF(C1054="","",IF($M$11="ROE",[1]!S_STM07_IS(D1054,61,$G$5,$H$13)/[1]!S_STM07_BS(D1054,141,$G$5,$H$13),([1]!S_STM07_BS(D1054,25,$G$5,$H$13)-[1]!S_STM07_BS(D1054,93,$G$5,$H$13))/$E$5))</f>
        <v/>
      </c>
      <c r="N1054" s="247" t="str">
        <f ca="1">IF(C1054="","",IF($N$11="EPS",[1]!S_STM07_IS(D1054,61,$G$5,$H$13)/IF([1]!S_SHARE_TOTAL(D1054,$G$5)=0,[1]!S_SHARE_TOTAL(D1054,[1]!s_ipo_listeddate(D1054)),[1]!S_SHARE_TOTAL(D1054,$G$5)),([1]!S_STM07_BS(D1054,75,$G$5,$H$13)+[1]!S_STM07_BS(D1054,88,$G$5,$H$13)+[1]!S_STM07_BS(D1054,94,$G$5,$H$13)+[1]!S_STM07_BS(D1054,95,$G$5,$H$13))/$E$5))</f>
        <v/>
      </c>
      <c r="O1054" s="247" t="str">
        <f ca="1">IF(C1054="","",IF($O$11="BPS",[1]!S_STM07_BS(D1054,141,$G$5,$H$13)/IF([1]!S_SHARE_TOTAL(D1054,$G$5)=0,[1]!S_SHARE_TOTAL(D1054,[1]!s_ipo_listeddate(D1054)),[1]!S_SHARE_TOTAL(D1054,$G$5)),[1]!S_STM07_CS(D1054,49,$G$5,$H$13)/$E$5))</f>
        <v/>
      </c>
      <c r="P1054" s="247" t="str">
        <f ca="1">IF(C1054="","",IF($P$11="CFPS",[1]!S_STM07_CS(D1054,84,$G$5,$H$13)/IF([1]!S_SHARE_TOTAL(D1054,$G$5)=0,[1]!S_SHARE_TOTAL(D1054,[1]!s_ipo_listeddate(D1054)),[1]!S_SHARE_TOTAL(D1054,$G$5)),[1]!S_STM07_CS(D1054,84,$G$5,$H$13)/$E$5))</f>
        <v/>
      </c>
      <c r="Q1054" s="248" t="str">
        <f ca="1">IF(C1054="","",F1054/([1]!S_STM07_IS(D1054,61,$G$5,$H$13)/IF([1]!S_SHARE_TOTAL(D1054,$G$5)=0,[1]!S_SHARE_TOTAL(D1054,[1]!s_ipo_listeddate(D1054)),[1]!S_SHARE_TOTAL(D1054,$G$5))))</f>
        <v/>
      </c>
      <c r="R1054" s="248" t="str">
        <f ca="1">IF(C1054="","",F1054/([1]!S_STM07_BS(D1054,141,$G$5,$H$13)/IF([1]!S_SHARE_TOTAL(D1054,$G$5)=0,[1]!S_SHARE_TOTAL(D1054,[1]!s_ipo_listeddate(D1054)),[1]!S_SHARE_TOTAL(D1054,$G$5))))</f>
        <v/>
      </c>
      <c r="S1054" s="247" t="str">
        <f ca="1">IF(C1054="","",[1]!S_SHARE_TOTAL(D1054,TODAY())/$E$5)</f>
        <v/>
      </c>
      <c r="T1054" s="247" t="str">
        <f t="shared" ca="1" si="109"/>
        <v/>
      </c>
      <c r="U1054" s="218" t="str">
        <f t="shared" ca="1" si="110"/>
        <v/>
      </c>
      <c r="V1054" s="342" t="str">
        <f t="shared" ca="1" si="111"/>
        <v/>
      </c>
      <c r="W1054" s="139"/>
      <c r="Y1054" s="1"/>
    </row>
    <row r="1055" spans="3:25" ht="12" customHeight="1">
      <c r="C1055" s="343" t="str">
        <f t="shared" ca="1" si="106"/>
        <v/>
      </c>
      <c r="D1055" s="124" t="str">
        <f t="shared" ca="1" si="107"/>
        <v/>
      </c>
      <c r="E1055" s="124" t="str">
        <f t="shared" ca="1" si="108"/>
        <v/>
      </c>
      <c r="F1055" s="172" t="str">
        <f ca="1">IF(C1055="","",[1]!S_DQ_CLOSE(D1055,TODAY(),1))</f>
        <v/>
      </c>
      <c r="G1055" s="173" t="str">
        <f ca="1">IF(C1055="","",[1]!s_pq_pctchange(D1055,TODAY()-$G$12,TODAY())/100)</f>
        <v/>
      </c>
      <c r="H1055" s="249" t="str">
        <f ca="1">IF(C1055="","",IF($H$11="收入",[1]!S_STM07_IS(D1055,9,$G$5,$H$13)/$E$5,[1]!S_STM07_IS(D1055,48,$G$5,$H$13)/$E$5))</f>
        <v/>
      </c>
      <c r="I1055" s="249" t="str">
        <f ca="1">IF(C1055="","",IF($I$11="毛利率",([1]!S_STM07_IS(D1055,9,$G$5,$H$13)-[1]!S_STM07_IS(D1055,10,$G$5,$H$13))/[1]!S_STM07_IS(D1055,9,$G$5,$H$13),[1]!S_STM07_IS(D1055,14,$G$5,$H$13)/$E$5))</f>
        <v/>
      </c>
      <c r="J1055" s="249" t="str">
        <f ca="1">IF(C1055="","",IF($J$11="营业利润率",[1]!S_STM07_IS(D1055,48,$G$5,$H$13)/[1]!S_STM07_IS(D1055,9,$G$5,$H$13),([1]!S_STM07_CS(D1055,87,$G$5,$H$13)+[1]!S_STM07_CS(D1055,88,$G$5,$H$13)+[1]!S_STM07_CS(D1055,89,$G$5,$H$13))/$E$5))</f>
        <v/>
      </c>
      <c r="K1055" s="249" t="str">
        <f ca="1">IF(C1055="","",IF($K$11="净利润率",[1]!S_STM07_IS(D1055,61,$G$5,$H$13)/[1]!S_STM07_IS(D1055,9,$G$5,$H$13),[1]!S_STM07_IS(D1055,55,$G$5,$H$13)/$E$5))</f>
        <v/>
      </c>
      <c r="L1055" s="249" t="str">
        <f ca="1">IF(C1055="","",IF($L$11="ROA",[1]!S_STM07_IS(D1055,61,$G$5,$H$13)/[1]!S_STM07_BS(D1055,74,$G$5,$H$13),1-[1]!S_STM07_IS(D1055,61,$G$5,$H$13)/[1]!S_STM07_IS(D1055,55,$G$5,$H$13)))</f>
        <v/>
      </c>
      <c r="M1055" s="249" t="str">
        <f ca="1">IF(C1055="","",IF($M$11="ROE",[1]!S_STM07_IS(D1055,61,$G$5,$H$13)/[1]!S_STM07_BS(D1055,141,$G$5,$H$13),([1]!S_STM07_BS(D1055,25,$G$5,$H$13)-[1]!S_STM07_BS(D1055,93,$G$5,$H$13))/$E$5))</f>
        <v/>
      </c>
      <c r="N1055" s="250" t="str">
        <f ca="1">IF(C1055="","",IF($N$11="EPS",[1]!S_STM07_IS(D1055,61,$G$5,$H$13)/IF([1]!S_SHARE_TOTAL(D1055,$G$5)=0,[1]!S_SHARE_TOTAL(D1055,[1]!s_ipo_listeddate(D1055)),[1]!S_SHARE_TOTAL(D1055,$G$5)),([1]!S_STM07_BS(D1055,75,$G$5,$H$13)+[1]!S_STM07_BS(D1055,88,$G$5,$H$13)+[1]!S_STM07_BS(D1055,94,$G$5,$H$13)+[1]!S_STM07_BS(D1055,95,$G$5,$H$13))/$E$5))</f>
        <v/>
      </c>
      <c r="O1055" s="250" t="str">
        <f ca="1">IF(C1055="","",IF($O$11="BPS",[1]!S_STM07_BS(D1055,141,$G$5,$H$13)/IF([1]!S_SHARE_TOTAL(D1055,$G$5)=0,[1]!S_SHARE_TOTAL(D1055,[1]!s_ipo_listeddate(D1055)),[1]!S_SHARE_TOTAL(D1055,$G$5)),[1]!S_STM07_CS(D1055,49,$G$5,$H$13)/$E$5))</f>
        <v/>
      </c>
      <c r="P1055" s="250" t="str">
        <f ca="1">IF(C1055="","",IF($P$11="CFPS",[1]!S_STM07_CS(D1055,84,$G$5,$H$13)/IF([1]!S_SHARE_TOTAL(D1055,$G$5)=0,[1]!S_SHARE_TOTAL(D1055,[1]!s_ipo_listeddate(D1055)),[1]!S_SHARE_TOTAL(D1055,$G$5)),[1]!S_STM07_CS(D1055,84,$G$5,$H$13)/$E$5))</f>
        <v/>
      </c>
      <c r="Q1055" s="198" t="str">
        <f ca="1">IF(C1055="","",F1055/([1]!S_STM07_IS(D1055,61,$G$5,$H$13)/IF([1]!S_SHARE_TOTAL(D1055,$G$5)=0,[1]!S_SHARE_TOTAL(D1055,[1]!s_ipo_listeddate(D1055)),[1]!S_SHARE_TOTAL(D1055,$G$5))))</f>
        <v/>
      </c>
      <c r="R1055" s="198" t="str">
        <f ca="1">IF(C1055="","",F1055/([1]!S_STM07_BS(D1055,141,$G$5,$H$13)/IF([1]!S_SHARE_TOTAL(D1055,$G$5)=0,[1]!S_SHARE_TOTAL(D1055,[1]!s_ipo_listeddate(D1055)),[1]!S_SHARE_TOTAL(D1055,$G$5))))</f>
        <v/>
      </c>
      <c r="S1055" s="249" t="str">
        <f ca="1">IF(C1055="","",[1]!S_SHARE_TOTAL(D1055,TODAY())/$E$5)</f>
        <v/>
      </c>
      <c r="T1055" s="249" t="str">
        <f t="shared" ca="1" si="109"/>
        <v/>
      </c>
      <c r="U1055" s="172" t="str">
        <f t="shared" ca="1" si="110"/>
        <v/>
      </c>
      <c r="V1055" s="343" t="str">
        <f t="shared" ca="1" si="111"/>
        <v/>
      </c>
      <c r="W1055" s="139"/>
      <c r="Y1055" s="1"/>
    </row>
    <row r="1056" spans="3:25" ht="12" customHeight="1">
      <c r="C1056" s="342" t="str">
        <f t="shared" ca="1" si="106"/>
        <v/>
      </c>
      <c r="D1056" s="153" t="str">
        <f t="shared" ca="1" si="107"/>
        <v/>
      </c>
      <c r="E1056" s="153" t="str">
        <f t="shared" ca="1" si="108"/>
        <v/>
      </c>
      <c r="F1056" s="170" t="str">
        <f ca="1">IF(C1056="","",[1]!S_DQ_CLOSE(D1056,TODAY(),1))</f>
        <v/>
      </c>
      <c r="G1056" s="171" t="str">
        <f ca="1">IF(C1056="","",[1]!s_pq_pctchange(D1056,TODAY()-$G$12,TODAY())/100)</f>
        <v/>
      </c>
      <c r="H1056" s="247" t="str">
        <f ca="1">IF(C1056="","",IF($H$11="收入",[1]!S_STM07_IS(D1056,9,$G$5,$H$13)/$E$5,[1]!S_STM07_IS(D1056,48,$G$5,$H$13)/$E$5))</f>
        <v/>
      </c>
      <c r="I1056" s="247" t="str">
        <f ca="1">IF(C1056="","",IF($I$11="毛利率",([1]!S_STM07_IS(D1056,9,$G$5,$H$13)-[1]!S_STM07_IS(D1056,10,$G$5,$H$13))/[1]!S_STM07_IS(D1056,9,$G$5,$H$13),[1]!S_STM07_IS(D1056,14,$G$5,$H$13)/$E$5))</f>
        <v/>
      </c>
      <c r="J1056" s="247" t="str">
        <f ca="1">IF(C1056="","",IF($J$11="营业利润率",[1]!S_STM07_IS(D1056,48,$G$5,$H$13)/[1]!S_STM07_IS(D1056,9,$G$5,$H$13),([1]!S_STM07_CS(D1056,87,$G$5,$H$13)+[1]!S_STM07_CS(D1056,88,$G$5,$H$13)+[1]!S_STM07_CS(D1056,89,$G$5,$H$13))/$E$5))</f>
        <v/>
      </c>
      <c r="K1056" s="247" t="str">
        <f ca="1">IF(C1056="","",IF($K$11="净利润率",[1]!S_STM07_IS(D1056,61,$G$5,$H$13)/[1]!S_STM07_IS(D1056,9,$G$5,$H$13),[1]!S_STM07_IS(D1056,55,$G$5,$H$13)/$E$5))</f>
        <v/>
      </c>
      <c r="L1056" s="247" t="str">
        <f ca="1">IF(C1056="","",IF($L$11="ROA",[1]!S_STM07_IS(D1056,61,$G$5,$H$13)/[1]!S_STM07_BS(D1056,74,$G$5,$H$13),1-[1]!S_STM07_IS(D1056,61,$G$5,$H$13)/[1]!S_STM07_IS(D1056,55,$G$5,$H$13)))</f>
        <v/>
      </c>
      <c r="M1056" s="247" t="str">
        <f ca="1">IF(C1056="","",IF($M$11="ROE",[1]!S_STM07_IS(D1056,61,$G$5,$H$13)/[1]!S_STM07_BS(D1056,141,$G$5,$H$13),([1]!S_STM07_BS(D1056,25,$G$5,$H$13)-[1]!S_STM07_BS(D1056,93,$G$5,$H$13))/$E$5))</f>
        <v/>
      </c>
      <c r="N1056" s="247" t="str">
        <f ca="1">IF(C1056="","",IF($N$11="EPS",[1]!S_STM07_IS(D1056,61,$G$5,$H$13)/IF([1]!S_SHARE_TOTAL(D1056,$G$5)=0,[1]!S_SHARE_TOTAL(D1056,[1]!s_ipo_listeddate(D1056)),[1]!S_SHARE_TOTAL(D1056,$G$5)),([1]!S_STM07_BS(D1056,75,$G$5,$H$13)+[1]!S_STM07_BS(D1056,88,$G$5,$H$13)+[1]!S_STM07_BS(D1056,94,$G$5,$H$13)+[1]!S_STM07_BS(D1056,95,$G$5,$H$13))/$E$5))</f>
        <v/>
      </c>
      <c r="O1056" s="247" t="str">
        <f ca="1">IF(C1056="","",IF($O$11="BPS",[1]!S_STM07_BS(D1056,141,$G$5,$H$13)/IF([1]!S_SHARE_TOTAL(D1056,$G$5)=0,[1]!S_SHARE_TOTAL(D1056,[1]!s_ipo_listeddate(D1056)),[1]!S_SHARE_TOTAL(D1056,$G$5)),[1]!S_STM07_CS(D1056,49,$G$5,$H$13)/$E$5))</f>
        <v/>
      </c>
      <c r="P1056" s="247" t="str">
        <f ca="1">IF(C1056="","",IF($P$11="CFPS",[1]!S_STM07_CS(D1056,84,$G$5,$H$13)/IF([1]!S_SHARE_TOTAL(D1056,$G$5)=0,[1]!S_SHARE_TOTAL(D1056,[1]!s_ipo_listeddate(D1056)),[1]!S_SHARE_TOTAL(D1056,$G$5)),[1]!S_STM07_CS(D1056,84,$G$5,$H$13)/$E$5))</f>
        <v/>
      </c>
      <c r="Q1056" s="248" t="str">
        <f ca="1">IF(C1056="","",F1056/([1]!S_STM07_IS(D1056,61,$G$5,$H$13)/IF([1]!S_SHARE_TOTAL(D1056,$G$5)=0,[1]!S_SHARE_TOTAL(D1056,[1]!s_ipo_listeddate(D1056)),[1]!S_SHARE_TOTAL(D1056,$G$5))))</f>
        <v/>
      </c>
      <c r="R1056" s="248" t="str">
        <f ca="1">IF(C1056="","",F1056/([1]!S_STM07_BS(D1056,141,$G$5,$H$13)/IF([1]!S_SHARE_TOTAL(D1056,$G$5)=0,[1]!S_SHARE_TOTAL(D1056,[1]!s_ipo_listeddate(D1056)),[1]!S_SHARE_TOTAL(D1056,$G$5))))</f>
        <v/>
      </c>
      <c r="S1056" s="247" t="str">
        <f ca="1">IF(C1056="","",[1]!S_SHARE_TOTAL(D1056,TODAY())/$E$5)</f>
        <v/>
      </c>
      <c r="T1056" s="247" t="str">
        <f t="shared" ca="1" si="109"/>
        <v/>
      </c>
      <c r="U1056" s="218" t="str">
        <f t="shared" ca="1" si="110"/>
        <v/>
      </c>
      <c r="V1056" s="342" t="str">
        <f t="shared" ca="1" si="111"/>
        <v/>
      </c>
      <c r="W1056" s="139"/>
      <c r="Y1056" s="1"/>
    </row>
    <row r="1057" spans="3:25" ht="12" customHeight="1">
      <c r="C1057" s="343" t="str">
        <f t="shared" ca="1" si="106"/>
        <v/>
      </c>
      <c r="D1057" s="124" t="str">
        <f t="shared" ca="1" si="107"/>
        <v/>
      </c>
      <c r="E1057" s="124" t="str">
        <f t="shared" ca="1" si="108"/>
        <v/>
      </c>
      <c r="F1057" s="172" t="str">
        <f ca="1">IF(C1057="","",[1]!S_DQ_CLOSE(D1057,TODAY(),1))</f>
        <v/>
      </c>
      <c r="G1057" s="173" t="str">
        <f ca="1">IF(C1057="","",[1]!s_pq_pctchange(D1057,TODAY()-$G$12,TODAY())/100)</f>
        <v/>
      </c>
      <c r="H1057" s="249" t="str">
        <f ca="1">IF(C1057="","",IF($H$11="收入",[1]!S_STM07_IS(D1057,9,$G$5,$H$13)/$E$5,[1]!S_STM07_IS(D1057,48,$G$5,$H$13)/$E$5))</f>
        <v/>
      </c>
      <c r="I1057" s="249" t="str">
        <f ca="1">IF(C1057="","",IF($I$11="毛利率",([1]!S_STM07_IS(D1057,9,$G$5,$H$13)-[1]!S_STM07_IS(D1057,10,$G$5,$H$13))/[1]!S_STM07_IS(D1057,9,$G$5,$H$13),[1]!S_STM07_IS(D1057,14,$G$5,$H$13)/$E$5))</f>
        <v/>
      </c>
      <c r="J1057" s="249" t="str">
        <f ca="1">IF(C1057="","",IF($J$11="营业利润率",[1]!S_STM07_IS(D1057,48,$G$5,$H$13)/[1]!S_STM07_IS(D1057,9,$G$5,$H$13),([1]!S_STM07_CS(D1057,87,$G$5,$H$13)+[1]!S_STM07_CS(D1057,88,$G$5,$H$13)+[1]!S_STM07_CS(D1057,89,$G$5,$H$13))/$E$5))</f>
        <v/>
      </c>
      <c r="K1057" s="249" t="str">
        <f ca="1">IF(C1057="","",IF($K$11="净利润率",[1]!S_STM07_IS(D1057,61,$G$5,$H$13)/[1]!S_STM07_IS(D1057,9,$G$5,$H$13),[1]!S_STM07_IS(D1057,55,$G$5,$H$13)/$E$5))</f>
        <v/>
      </c>
      <c r="L1057" s="249" t="str">
        <f ca="1">IF(C1057="","",IF($L$11="ROA",[1]!S_STM07_IS(D1057,61,$G$5,$H$13)/[1]!S_STM07_BS(D1057,74,$G$5,$H$13),1-[1]!S_STM07_IS(D1057,61,$G$5,$H$13)/[1]!S_STM07_IS(D1057,55,$G$5,$H$13)))</f>
        <v/>
      </c>
      <c r="M1057" s="249" t="str">
        <f ca="1">IF(C1057="","",IF($M$11="ROE",[1]!S_STM07_IS(D1057,61,$G$5,$H$13)/[1]!S_STM07_BS(D1057,141,$G$5,$H$13),([1]!S_STM07_BS(D1057,25,$G$5,$H$13)-[1]!S_STM07_BS(D1057,93,$G$5,$H$13))/$E$5))</f>
        <v/>
      </c>
      <c r="N1057" s="250" t="str">
        <f ca="1">IF(C1057="","",IF($N$11="EPS",[1]!S_STM07_IS(D1057,61,$G$5,$H$13)/IF([1]!S_SHARE_TOTAL(D1057,$G$5)=0,[1]!S_SHARE_TOTAL(D1057,[1]!s_ipo_listeddate(D1057)),[1]!S_SHARE_TOTAL(D1057,$G$5)),([1]!S_STM07_BS(D1057,75,$G$5,$H$13)+[1]!S_STM07_BS(D1057,88,$G$5,$H$13)+[1]!S_STM07_BS(D1057,94,$G$5,$H$13)+[1]!S_STM07_BS(D1057,95,$G$5,$H$13))/$E$5))</f>
        <v/>
      </c>
      <c r="O1057" s="250" t="str">
        <f ca="1">IF(C1057="","",IF($O$11="BPS",[1]!S_STM07_BS(D1057,141,$G$5,$H$13)/IF([1]!S_SHARE_TOTAL(D1057,$G$5)=0,[1]!S_SHARE_TOTAL(D1057,[1]!s_ipo_listeddate(D1057)),[1]!S_SHARE_TOTAL(D1057,$G$5)),[1]!S_STM07_CS(D1057,49,$G$5,$H$13)/$E$5))</f>
        <v/>
      </c>
      <c r="P1057" s="250" t="str">
        <f ca="1">IF(C1057="","",IF($P$11="CFPS",[1]!S_STM07_CS(D1057,84,$G$5,$H$13)/IF([1]!S_SHARE_TOTAL(D1057,$G$5)=0,[1]!S_SHARE_TOTAL(D1057,[1]!s_ipo_listeddate(D1057)),[1]!S_SHARE_TOTAL(D1057,$G$5)),[1]!S_STM07_CS(D1057,84,$G$5,$H$13)/$E$5))</f>
        <v/>
      </c>
      <c r="Q1057" s="198" t="str">
        <f ca="1">IF(C1057="","",F1057/([1]!S_STM07_IS(D1057,61,$G$5,$H$13)/IF([1]!S_SHARE_TOTAL(D1057,$G$5)=0,[1]!S_SHARE_TOTAL(D1057,[1]!s_ipo_listeddate(D1057)),[1]!S_SHARE_TOTAL(D1057,$G$5))))</f>
        <v/>
      </c>
      <c r="R1057" s="198" t="str">
        <f ca="1">IF(C1057="","",F1057/([1]!S_STM07_BS(D1057,141,$G$5,$H$13)/IF([1]!S_SHARE_TOTAL(D1057,$G$5)=0,[1]!S_SHARE_TOTAL(D1057,[1]!s_ipo_listeddate(D1057)),[1]!S_SHARE_TOTAL(D1057,$G$5))))</f>
        <v/>
      </c>
      <c r="S1057" s="249" t="str">
        <f ca="1">IF(C1057="","",[1]!S_SHARE_TOTAL(D1057,TODAY())/$E$5)</f>
        <v/>
      </c>
      <c r="T1057" s="249" t="str">
        <f t="shared" ca="1" si="109"/>
        <v/>
      </c>
      <c r="U1057" s="172" t="str">
        <f t="shared" ca="1" si="110"/>
        <v/>
      </c>
      <c r="V1057" s="343" t="str">
        <f t="shared" ca="1" si="111"/>
        <v/>
      </c>
      <c r="W1057" s="139"/>
      <c r="Y1057" s="1"/>
    </row>
    <row r="1058" spans="3:25" ht="12" customHeight="1">
      <c r="C1058" s="342" t="str">
        <f t="shared" ca="1" si="106"/>
        <v/>
      </c>
      <c r="D1058" s="153" t="str">
        <f t="shared" ca="1" si="107"/>
        <v/>
      </c>
      <c r="E1058" s="153" t="str">
        <f t="shared" ca="1" si="108"/>
        <v/>
      </c>
      <c r="F1058" s="170" t="str">
        <f ca="1">IF(C1058="","",[1]!S_DQ_CLOSE(D1058,TODAY(),1))</f>
        <v/>
      </c>
      <c r="G1058" s="171" t="str">
        <f ca="1">IF(C1058="","",[1]!s_pq_pctchange(D1058,TODAY()-$G$12,TODAY())/100)</f>
        <v/>
      </c>
      <c r="H1058" s="247" t="str">
        <f ca="1">IF(C1058="","",IF($H$11="收入",[1]!S_STM07_IS(D1058,9,$G$5,$H$13)/$E$5,[1]!S_STM07_IS(D1058,48,$G$5,$H$13)/$E$5))</f>
        <v/>
      </c>
      <c r="I1058" s="247" t="str">
        <f ca="1">IF(C1058="","",IF($I$11="毛利率",([1]!S_STM07_IS(D1058,9,$G$5,$H$13)-[1]!S_STM07_IS(D1058,10,$G$5,$H$13))/[1]!S_STM07_IS(D1058,9,$G$5,$H$13),[1]!S_STM07_IS(D1058,14,$G$5,$H$13)/$E$5))</f>
        <v/>
      </c>
      <c r="J1058" s="247" t="str">
        <f ca="1">IF(C1058="","",IF($J$11="营业利润率",[1]!S_STM07_IS(D1058,48,$G$5,$H$13)/[1]!S_STM07_IS(D1058,9,$G$5,$H$13),([1]!S_STM07_CS(D1058,87,$G$5,$H$13)+[1]!S_STM07_CS(D1058,88,$G$5,$H$13)+[1]!S_STM07_CS(D1058,89,$G$5,$H$13))/$E$5))</f>
        <v/>
      </c>
      <c r="K1058" s="247" t="str">
        <f ca="1">IF(C1058="","",IF($K$11="净利润率",[1]!S_STM07_IS(D1058,61,$G$5,$H$13)/[1]!S_STM07_IS(D1058,9,$G$5,$H$13),[1]!S_STM07_IS(D1058,55,$G$5,$H$13)/$E$5))</f>
        <v/>
      </c>
      <c r="L1058" s="247" t="str">
        <f ca="1">IF(C1058="","",IF($L$11="ROA",[1]!S_STM07_IS(D1058,61,$G$5,$H$13)/[1]!S_STM07_BS(D1058,74,$G$5,$H$13),1-[1]!S_STM07_IS(D1058,61,$G$5,$H$13)/[1]!S_STM07_IS(D1058,55,$G$5,$H$13)))</f>
        <v/>
      </c>
      <c r="M1058" s="247" t="str">
        <f ca="1">IF(C1058="","",IF($M$11="ROE",[1]!S_STM07_IS(D1058,61,$G$5,$H$13)/[1]!S_STM07_BS(D1058,141,$G$5,$H$13),([1]!S_STM07_BS(D1058,25,$G$5,$H$13)-[1]!S_STM07_BS(D1058,93,$G$5,$H$13))/$E$5))</f>
        <v/>
      </c>
      <c r="N1058" s="247" t="str">
        <f ca="1">IF(C1058="","",IF($N$11="EPS",[1]!S_STM07_IS(D1058,61,$G$5,$H$13)/IF([1]!S_SHARE_TOTAL(D1058,$G$5)=0,[1]!S_SHARE_TOTAL(D1058,[1]!s_ipo_listeddate(D1058)),[1]!S_SHARE_TOTAL(D1058,$G$5)),([1]!S_STM07_BS(D1058,75,$G$5,$H$13)+[1]!S_STM07_BS(D1058,88,$G$5,$H$13)+[1]!S_STM07_BS(D1058,94,$G$5,$H$13)+[1]!S_STM07_BS(D1058,95,$G$5,$H$13))/$E$5))</f>
        <v/>
      </c>
      <c r="O1058" s="247" t="str">
        <f ca="1">IF(C1058="","",IF($O$11="BPS",[1]!S_STM07_BS(D1058,141,$G$5,$H$13)/IF([1]!S_SHARE_TOTAL(D1058,$G$5)=0,[1]!S_SHARE_TOTAL(D1058,[1]!s_ipo_listeddate(D1058)),[1]!S_SHARE_TOTAL(D1058,$G$5)),[1]!S_STM07_CS(D1058,49,$G$5,$H$13)/$E$5))</f>
        <v/>
      </c>
      <c r="P1058" s="247" t="str">
        <f ca="1">IF(C1058="","",IF($P$11="CFPS",[1]!S_STM07_CS(D1058,84,$G$5,$H$13)/IF([1]!S_SHARE_TOTAL(D1058,$G$5)=0,[1]!S_SHARE_TOTAL(D1058,[1]!s_ipo_listeddate(D1058)),[1]!S_SHARE_TOTAL(D1058,$G$5)),[1]!S_STM07_CS(D1058,84,$G$5,$H$13)/$E$5))</f>
        <v/>
      </c>
      <c r="Q1058" s="248" t="str">
        <f ca="1">IF(C1058="","",F1058/([1]!S_STM07_IS(D1058,61,$G$5,$H$13)/IF([1]!S_SHARE_TOTAL(D1058,$G$5)=0,[1]!S_SHARE_TOTAL(D1058,[1]!s_ipo_listeddate(D1058)),[1]!S_SHARE_TOTAL(D1058,$G$5))))</f>
        <v/>
      </c>
      <c r="R1058" s="248" t="str">
        <f ca="1">IF(C1058="","",F1058/([1]!S_STM07_BS(D1058,141,$G$5,$H$13)/IF([1]!S_SHARE_TOTAL(D1058,$G$5)=0,[1]!S_SHARE_TOTAL(D1058,[1]!s_ipo_listeddate(D1058)),[1]!S_SHARE_TOTAL(D1058,$G$5))))</f>
        <v/>
      </c>
      <c r="S1058" s="247" t="str">
        <f ca="1">IF(C1058="","",[1]!S_SHARE_TOTAL(D1058,TODAY())/$E$5)</f>
        <v/>
      </c>
      <c r="T1058" s="247" t="str">
        <f t="shared" ca="1" si="109"/>
        <v/>
      </c>
      <c r="U1058" s="218" t="str">
        <f t="shared" ca="1" si="110"/>
        <v/>
      </c>
      <c r="V1058" s="342" t="str">
        <f t="shared" ca="1" si="111"/>
        <v/>
      </c>
      <c r="W1058" s="139"/>
      <c r="Y1058" s="1"/>
    </row>
    <row r="1059" spans="3:25" ht="12" customHeight="1">
      <c r="C1059" s="343" t="str">
        <f t="shared" ca="1" si="106"/>
        <v/>
      </c>
      <c r="D1059" s="124" t="str">
        <f t="shared" ca="1" si="107"/>
        <v/>
      </c>
      <c r="E1059" s="124" t="str">
        <f t="shared" ca="1" si="108"/>
        <v/>
      </c>
      <c r="F1059" s="172" t="str">
        <f ca="1">IF(C1059="","",[1]!S_DQ_CLOSE(D1059,TODAY(),1))</f>
        <v/>
      </c>
      <c r="G1059" s="173" t="str">
        <f ca="1">IF(C1059="","",[1]!s_pq_pctchange(D1059,TODAY()-$G$12,TODAY())/100)</f>
        <v/>
      </c>
      <c r="H1059" s="249" t="str">
        <f ca="1">IF(C1059="","",IF($H$11="收入",[1]!S_STM07_IS(D1059,9,$G$5,$H$13)/$E$5,[1]!S_STM07_IS(D1059,48,$G$5,$H$13)/$E$5))</f>
        <v/>
      </c>
      <c r="I1059" s="249" t="str">
        <f ca="1">IF(C1059="","",IF($I$11="毛利率",([1]!S_STM07_IS(D1059,9,$G$5,$H$13)-[1]!S_STM07_IS(D1059,10,$G$5,$H$13))/[1]!S_STM07_IS(D1059,9,$G$5,$H$13),[1]!S_STM07_IS(D1059,14,$G$5,$H$13)/$E$5))</f>
        <v/>
      </c>
      <c r="J1059" s="249" t="str">
        <f ca="1">IF(C1059="","",IF($J$11="营业利润率",[1]!S_STM07_IS(D1059,48,$G$5,$H$13)/[1]!S_STM07_IS(D1059,9,$G$5,$H$13),([1]!S_STM07_CS(D1059,87,$G$5,$H$13)+[1]!S_STM07_CS(D1059,88,$G$5,$H$13)+[1]!S_STM07_CS(D1059,89,$G$5,$H$13))/$E$5))</f>
        <v/>
      </c>
      <c r="K1059" s="249" t="str">
        <f ca="1">IF(C1059="","",IF($K$11="净利润率",[1]!S_STM07_IS(D1059,61,$G$5,$H$13)/[1]!S_STM07_IS(D1059,9,$G$5,$H$13),[1]!S_STM07_IS(D1059,55,$G$5,$H$13)/$E$5))</f>
        <v/>
      </c>
      <c r="L1059" s="249" t="str">
        <f ca="1">IF(C1059="","",IF($L$11="ROA",[1]!S_STM07_IS(D1059,61,$G$5,$H$13)/[1]!S_STM07_BS(D1059,74,$G$5,$H$13),1-[1]!S_STM07_IS(D1059,61,$G$5,$H$13)/[1]!S_STM07_IS(D1059,55,$G$5,$H$13)))</f>
        <v/>
      </c>
      <c r="M1059" s="249" t="str">
        <f ca="1">IF(C1059="","",IF($M$11="ROE",[1]!S_STM07_IS(D1059,61,$G$5,$H$13)/[1]!S_STM07_BS(D1059,141,$G$5,$H$13),([1]!S_STM07_BS(D1059,25,$G$5,$H$13)-[1]!S_STM07_BS(D1059,93,$G$5,$H$13))/$E$5))</f>
        <v/>
      </c>
      <c r="N1059" s="250" t="str">
        <f ca="1">IF(C1059="","",IF($N$11="EPS",[1]!S_STM07_IS(D1059,61,$G$5,$H$13)/IF([1]!S_SHARE_TOTAL(D1059,$G$5)=0,[1]!S_SHARE_TOTAL(D1059,[1]!s_ipo_listeddate(D1059)),[1]!S_SHARE_TOTAL(D1059,$G$5)),([1]!S_STM07_BS(D1059,75,$G$5,$H$13)+[1]!S_STM07_BS(D1059,88,$G$5,$H$13)+[1]!S_STM07_BS(D1059,94,$G$5,$H$13)+[1]!S_STM07_BS(D1059,95,$G$5,$H$13))/$E$5))</f>
        <v/>
      </c>
      <c r="O1059" s="250" t="str">
        <f ca="1">IF(C1059="","",IF($O$11="BPS",[1]!S_STM07_BS(D1059,141,$G$5,$H$13)/IF([1]!S_SHARE_TOTAL(D1059,$G$5)=0,[1]!S_SHARE_TOTAL(D1059,[1]!s_ipo_listeddate(D1059)),[1]!S_SHARE_TOTAL(D1059,$G$5)),[1]!S_STM07_CS(D1059,49,$G$5,$H$13)/$E$5))</f>
        <v/>
      </c>
      <c r="P1059" s="250" t="str">
        <f ca="1">IF(C1059="","",IF($P$11="CFPS",[1]!S_STM07_CS(D1059,84,$G$5,$H$13)/IF([1]!S_SHARE_TOTAL(D1059,$G$5)=0,[1]!S_SHARE_TOTAL(D1059,[1]!s_ipo_listeddate(D1059)),[1]!S_SHARE_TOTAL(D1059,$G$5)),[1]!S_STM07_CS(D1059,84,$G$5,$H$13)/$E$5))</f>
        <v/>
      </c>
      <c r="Q1059" s="198" t="str">
        <f ca="1">IF(C1059="","",F1059/([1]!S_STM07_IS(D1059,61,$G$5,$H$13)/IF([1]!S_SHARE_TOTAL(D1059,$G$5)=0,[1]!S_SHARE_TOTAL(D1059,[1]!s_ipo_listeddate(D1059)),[1]!S_SHARE_TOTAL(D1059,$G$5))))</f>
        <v/>
      </c>
      <c r="R1059" s="198" t="str">
        <f ca="1">IF(C1059="","",F1059/([1]!S_STM07_BS(D1059,141,$G$5,$H$13)/IF([1]!S_SHARE_TOTAL(D1059,$G$5)=0,[1]!S_SHARE_TOTAL(D1059,[1]!s_ipo_listeddate(D1059)),[1]!S_SHARE_TOTAL(D1059,$G$5))))</f>
        <v/>
      </c>
      <c r="S1059" s="249" t="str">
        <f ca="1">IF(C1059="","",[1]!S_SHARE_TOTAL(D1059,TODAY())/$E$5)</f>
        <v/>
      </c>
      <c r="T1059" s="249" t="str">
        <f t="shared" ca="1" si="109"/>
        <v/>
      </c>
      <c r="U1059" s="172" t="str">
        <f t="shared" ca="1" si="110"/>
        <v/>
      </c>
      <c r="V1059" s="343" t="str">
        <f t="shared" ca="1" si="111"/>
        <v/>
      </c>
      <c r="W1059" s="139"/>
      <c r="Y1059" s="1"/>
    </row>
    <row r="1060" spans="3:25" ht="12" customHeight="1">
      <c r="C1060" s="342" t="str">
        <f t="shared" ca="1" si="106"/>
        <v/>
      </c>
      <c r="D1060" s="153" t="str">
        <f t="shared" ca="1" si="107"/>
        <v/>
      </c>
      <c r="E1060" s="153" t="str">
        <f t="shared" ca="1" si="108"/>
        <v/>
      </c>
      <c r="F1060" s="170" t="str">
        <f ca="1">IF(C1060="","",[1]!S_DQ_CLOSE(D1060,TODAY(),1))</f>
        <v/>
      </c>
      <c r="G1060" s="171" t="str">
        <f ca="1">IF(C1060="","",[1]!s_pq_pctchange(D1060,TODAY()-$G$12,TODAY())/100)</f>
        <v/>
      </c>
      <c r="H1060" s="247" t="str">
        <f ca="1">IF(C1060="","",IF($H$11="收入",[1]!S_STM07_IS(D1060,9,$G$5,$H$13)/$E$5,[1]!S_STM07_IS(D1060,48,$G$5,$H$13)/$E$5))</f>
        <v/>
      </c>
      <c r="I1060" s="247" t="str">
        <f ca="1">IF(C1060="","",IF($I$11="毛利率",([1]!S_STM07_IS(D1060,9,$G$5,$H$13)-[1]!S_STM07_IS(D1060,10,$G$5,$H$13))/[1]!S_STM07_IS(D1060,9,$G$5,$H$13),[1]!S_STM07_IS(D1060,14,$G$5,$H$13)/$E$5))</f>
        <v/>
      </c>
      <c r="J1060" s="247" t="str">
        <f ca="1">IF(C1060="","",IF($J$11="营业利润率",[1]!S_STM07_IS(D1060,48,$G$5,$H$13)/[1]!S_STM07_IS(D1060,9,$G$5,$H$13),([1]!S_STM07_CS(D1060,87,$G$5,$H$13)+[1]!S_STM07_CS(D1060,88,$G$5,$H$13)+[1]!S_STM07_CS(D1060,89,$G$5,$H$13))/$E$5))</f>
        <v/>
      </c>
      <c r="K1060" s="247" t="str">
        <f ca="1">IF(C1060="","",IF($K$11="净利润率",[1]!S_STM07_IS(D1060,61,$G$5,$H$13)/[1]!S_STM07_IS(D1060,9,$G$5,$H$13),[1]!S_STM07_IS(D1060,55,$G$5,$H$13)/$E$5))</f>
        <v/>
      </c>
      <c r="L1060" s="247" t="str">
        <f ca="1">IF(C1060="","",IF($L$11="ROA",[1]!S_STM07_IS(D1060,61,$G$5,$H$13)/[1]!S_STM07_BS(D1060,74,$G$5,$H$13),1-[1]!S_STM07_IS(D1060,61,$G$5,$H$13)/[1]!S_STM07_IS(D1060,55,$G$5,$H$13)))</f>
        <v/>
      </c>
      <c r="M1060" s="247" t="str">
        <f ca="1">IF(C1060="","",IF($M$11="ROE",[1]!S_STM07_IS(D1060,61,$G$5,$H$13)/[1]!S_STM07_BS(D1060,141,$G$5,$H$13),([1]!S_STM07_BS(D1060,25,$G$5,$H$13)-[1]!S_STM07_BS(D1060,93,$G$5,$H$13))/$E$5))</f>
        <v/>
      </c>
      <c r="N1060" s="247" t="str">
        <f ca="1">IF(C1060="","",IF($N$11="EPS",[1]!S_STM07_IS(D1060,61,$G$5,$H$13)/IF([1]!S_SHARE_TOTAL(D1060,$G$5)=0,[1]!S_SHARE_TOTAL(D1060,[1]!s_ipo_listeddate(D1060)),[1]!S_SHARE_TOTAL(D1060,$G$5)),([1]!S_STM07_BS(D1060,75,$G$5,$H$13)+[1]!S_STM07_BS(D1060,88,$G$5,$H$13)+[1]!S_STM07_BS(D1060,94,$G$5,$H$13)+[1]!S_STM07_BS(D1060,95,$G$5,$H$13))/$E$5))</f>
        <v/>
      </c>
      <c r="O1060" s="247" t="str">
        <f ca="1">IF(C1060="","",IF($O$11="BPS",[1]!S_STM07_BS(D1060,141,$G$5,$H$13)/IF([1]!S_SHARE_TOTAL(D1060,$G$5)=0,[1]!S_SHARE_TOTAL(D1060,[1]!s_ipo_listeddate(D1060)),[1]!S_SHARE_TOTAL(D1060,$G$5)),[1]!S_STM07_CS(D1060,49,$G$5,$H$13)/$E$5))</f>
        <v/>
      </c>
      <c r="P1060" s="247" t="str">
        <f ca="1">IF(C1060="","",IF($P$11="CFPS",[1]!S_STM07_CS(D1060,84,$G$5,$H$13)/IF([1]!S_SHARE_TOTAL(D1060,$G$5)=0,[1]!S_SHARE_TOTAL(D1060,[1]!s_ipo_listeddate(D1060)),[1]!S_SHARE_TOTAL(D1060,$G$5)),[1]!S_STM07_CS(D1060,84,$G$5,$H$13)/$E$5))</f>
        <v/>
      </c>
      <c r="Q1060" s="248" t="str">
        <f ca="1">IF(C1060="","",F1060/([1]!S_STM07_IS(D1060,61,$G$5,$H$13)/IF([1]!S_SHARE_TOTAL(D1060,$G$5)=0,[1]!S_SHARE_TOTAL(D1060,[1]!s_ipo_listeddate(D1060)),[1]!S_SHARE_TOTAL(D1060,$G$5))))</f>
        <v/>
      </c>
      <c r="R1060" s="248" t="str">
        <f ca="1">IF(C1060="","",F1060/([1]!S_STM07_BS(D1060,141,$G$5,$H$13)/IF([1]!S_SHARE_TOTAL(D1060,$G$5)=0,[1]!S_SHARE_TOTAL(D1060,[1]!s_ipo_listeddate(D1060)),[1]!S_SHARE_TOTAL(D1060,$G$5))))</f>
        <v/>
      </c>
      <c r="S1060" s="247" t="str">
        <f ca="1">IF(C1060="","",[1]!S_SHARE_TOTAL(D1060,TODAY())/$E$5)</f>
        <v/>
      </c>
      <c r="T1060" s="247" t="str">
        <f t="shared" ca="1" si="109"/>
        <v/>
      </c>
      <c r="U1060" s="218" t="str">
        <f t="shared" ca="1" si="110"/>
        <v/>
      </c>
      <c r="V1060" s="342" t="str">
        <f t="shared" ca="1" si="111"/>
        <v/>
      </c>
      <c r="W1060" s="139"/>
      <c r="Y1060" s="1"/>
    </row>
    <row r="1061" spans="3:25" ht="12" customHeight="1">
      <c r="C1061" s="343" t="str">
        <f t="shared" ca="1" si="106"/>
        <v/>
      </c>
      <c r="D1061" s="124" t="str">
        <f t="shared" ca="1" si="107"/>
        <v/>
      </c>
      <c r="E1061" s="124" t="str">
        <f t="shared" ca="1" si="108"/>
        <v/>
      </c>
      <c r="F1061" s="172" t="str">
        <f ca="1">IF(C1061="","",[1]!S_DQ_CLOSE(D1061,TODAY(),1))</f>
        <v/>
      </c>
      <c r="G1061" s="173" t="str">
        <f ca="1">IF(C1061="","",[1]!s_pq_pctchange(D1061,TODAY()-$G$12,TODAY())/100)</f>
        <v/>
      </c>
      <c r="H1061" s="249" t="str">
        <f ca="1">IF(C1061="","",IF($H$11="收入",[1]!S_STM07_IS(D1061,9,$G$5,$H$13)/$E$5,[1]!S_STM07_IS(D1061,48,$G$5,$H$13)/$E$5))</f>
        <v/>
      </c>
      <c r="I1061" s="249" t="str">
        <f ca="1">IF(C1061="","",IF($I$11="毛利率",([1]!S_STM07_IS(D1061,9,$G$5,$H$13)-[1]!S_STM07_IS(D1061,10,$G$5,$H$13))/[1]!S_STM07_IS(D1061,9,$G$5,$H$13),[1]!S_STM07_IS(D1061,14,$G$5,$H$13)/$E$5))</f>
        <v/>
      </c>
      <c r="J1061" s="249" t="str">
        <f ca="1">IF(C1061="","",IF($J$11="营业利润率",[1]!S_STM07_IS(D1061,48,$G$5,$H$13)/[1]!S_STM07_IS(D1061,9,$G$5,$H$13),([1]!S_STM07_CS(D1061,87,$G$5,$H$13)+[1]!S_STM07_CS(D1061,88,$G$5,$H$13)+[1]!S_STM07_CS(D1061,89,$G$5,$H$13))/$E$5))</f>
        <v/>
      </c>
      <c r="K1061" s="249" t="str">
        <f ca="1">IF(C1061="","",IF($K$11="净利润率",[1]!S_STM07_IS(D1061,61,$G$5,$H$13)/[1]!S_STM07_IS(D1061,9,$G$5,$H$13),[1]!S_STM07_IS(D1061,55,$G$5,$H$13)/$E$5))</f>
        <v/>
      </c>
      <c r="L1061" s="249" t="str">
        <f ca="1">IF(C1061="","",IF($L$11="ROA",[1]!S_STM07_IS(D1061,61,$G$5,$H$13)/[1]!S_STM07_BS(D1061,74,$G$5,$H$13),1-[1]!S_STM07_IS(D1061,61,$G$5,$H$13)/[1]!S_STM07_IS(D1061,55,$G$5,$H$13)))</f>
        <v/>
      </c>
      <c r="M1061" s="249" t="str">
        <f ca="1">IF(C1061="","",IF($M$11="ROE",[1]!S_STM07_IS(D1061,61,$G$5,$H$13)/[1]!S_STM07_BS(D1061,141,$G$5,$H$13),([1]!S_STM07_BS(D1061,25,$G$5,$H$13)-[1]!S_STM07_BS(D1061,93,$G$5,$H$13))/$E$5))</f>
        <v/>
      </c>
      <c r="N1061" s="250" t="str">
        <f ca="1">IF(C1061="","",IF($N$11="EPS",[1]!S_STM07_IS(D1061,61,$G$5,$H$13)/IF([1]!S_SHARE_TOTAL(D1061,$G$5)=0,[1]!S_SHARE_TOTAL(D1061,[1]!s_ipo_listeddate(D1061)),[1]!S_SHARE_TOTAL(D1061,$G$5)),([1]!S_STM07_BS(D1061,75,$G$5,$H$13)+[1]!S_STM07_BS(D1061,88,$G$5,$H$13)+[1]!S_STM07_BS(D1061,94,$G$5,$H$13)+[1]!S_STM07_BS(D1061,95,$G$5,$H$13))/$E$5))</f>
        <v/>
      </c>
      <c r="O1061" s="250" t="str">
        <f ca="1">IF(C1061="","",IF($O$11="BPS",[1]!S_STM07_BS(D1061,141,$G$5,$H$13)/IF([1]!S_SHARE_TOTAL(D1061,$G$5)=0,[1]!S_SHARE_TOTAL(D1061,[1]!s_ipo_listeddate(D1061)),[1]!S_SHARE_TOTAL(D1061,$G$5)),[1]!S_STM07_CS(D1061,49,$G$5,$H$13)/$E$5))</f>
        <v/>
      </c>
      <c r="P1061" s="250" t="str">
        <f ca="1">IF(C1061="","",IF($P$11="CFPS",[1]!S_STM07_CS(D1061,84,$G$5,$H$13)/IF([1]!S_SHARE_TOTAL(D1061,$G$5)=0,[1]!S_SHARE_TOTAL(D1061,[1]!s_ipo_listeddate(D1061)),[1]!S_SHARE_TOTAL(D1061,$G$5)),[1]!S_STM07_CS(D1061,84,$G$5,$H$13)/$E$5))</f>
        <v/>
      </c>
      <c r="Q1061" s="198" t="str">
        <f ca="1">IF(C1061="","",F1061/([1]!S_STM07_IS(D1061,61,$G$5,$H$13)/IF([1]!S_SHARE_TOTAL(D1061,$G$5)=0,[1]!S_SHARE_TOTAL(D1061,[1]!s_ipo_listeddate(D1061)),[1]!S_SHARE_TOTAL(D1061,$G$5))))</f>
        <v/>
      </c>
      <c r="R1061" s="198" t="str">
        <f ca="1">IF(C1061="","",F1061/([1]!S_STM07_BS(D1061,141,$G$5,$H$13)/IF([1]!S_SHARE_TOTAL(D1061,$G$5)=0,[1]!S_SHARE_TOTAL(D1061,[1]!s_ipo_listeddate(D1061)),[1]!S_SHARE_TOTAL(D1061,$G$5))))</f>
        <v/>
      </c>
      <c r="S1061" s="249" t="str">
        <f ca="1">IF(C1061="","",[1]!S_SHARE_TOTAL(D1061,TODAY())/$E$5)</f>
        <v/>
      </c>
      <c r="T1061" s="249" t="str">
        <f t="shared" ca="1" si="109"/>
        <v/>
      </c>
      <c r="U1061" s="172" t="str">
        <f t="shared" ca="1" si="110"/>
        <v/>
      </c>
      <c r="V1061" s="343" t="str">
        <f t="shared" ca="1" si="111"/>
        <v/>
      </c>
      <c r="W1061" s="139"/>
      <c r="Y1061" s="1"/>
    </row>
    <row r="1062" spans="3:25" ht="12" customHeight="1">
      <c r="C1062" s="342" t="str">
        <f t="shared" ca="1" si="106"/>
        <v/>
      </c>
      <c r="D1062" s="153" t="str">
        <f t="shared" ca="1" si="107"/>
        <v/>
      </c>
      <c r="E1062" s="153" t="str">
        <f t="shared" ca="1" si="108"/>
        <v/>
      </c>
      <c r="F1062" s="170" t="str">
        <f ca="1">IF(C1062="","",[1]!S_DQ_CLOSE(D1062,TODAY(),1))</f>
        <v/>
      </c>
      <c r="G1062" s="171" t="str">
        <f ca="1">IF(C1062="","",[1]!s_pq_pctchange(D1062,TODAY()-$G$12,TODAY())/100)</f>
        <v/>
      </c>
      <c r="H1062" s="247" t="str">
        <f ca="1">IF(C1062="","",IF($H$11="收入",[1]!S_STM07_IS(D1062,9,$G$5,$H$13)/$E$5,[1]!S_STM07_IS(D1062,48,$G$5,$H$13)/$E$5))</f>
        <v/>
      </c>
      <c r="I1062" s="247" t="str">
        <f ca="1">IF(C1062="","",IF($I$11="毛利率",([1]!S_STM07_IS(D1062,9,$G$5,$H$13)-[1]!S_STM07_IS(D1062,10,$G$5,$H$13))/[1]!S_STM07_IS(D1062,9,$G$5,$H$13),[1]!S_STM07_IS(D1062,14,$G$5,$H$13)/$E$5))</f>
        <v/>
      </c>
      <c r="J1062" s="247" t="str">
        <f ca="1">IF(C1062="","",IF($J$11="营业利润率",[1]!S_STM07_IS(D1062,48,$G$5,$H$13)/[1]!S_STM07_IS(D1062,9,$G$5,$H$13),([1]!S_STM07_CS(D1062,87,$G$5,$H$13)+[1]!S_STM07_CS(D1062,88,$G$5,$H$13)+[1]!S_STM07_CS(D1062,89,$G$5,$H$13))/$E$5))</f>
        <v/>
      </c>
      <c r="K1062" s="247" t="str">
        <f ca="1">IF(C1062="","",IF($K$11="净利润率",[1]!S_STM07_IS(D1062,61,$G$5,$H$13)/[1]!S_STM07_IS(D1062,9,$G$5,$H$13),[1]!S_STM07_IS(D1062,55,$G$5,$H$13)/$E$5))</f>
        <v/>
      </c>
      <c r="L1062" s="247" t="str">
        <f ca="1">IF(C1062="","",IF($L$11="ROA",[1]!S_STM07_IS(D1062,61,$G$5,$H$13)/[1]!S_STM07_BS(D1062,74,$G$5,$H$13),1-[1]!S_STM07_IS(D1062,61,$G$5,$H$13)/[1]!S_STM07_IS(D1062,55,$G$5,$H$13)))</f>
        <v/>
      </c>
      <c r="M1062" s="247" t="str">
        <f ca="1">IF(C1062="","",IF($M$11="ROE",[1]!S_STM07_IS(D1062,61,$G$5,$H$13)/[1]!S_STM07_BS(D1062,141,$G$5,$H$13),([1]!S_STM07_BS(D1062,25,$G$5,$H$13)-[1]!S_STM07_BS(D1062,93,$G$5,$H$13))/$E$5))</f>
        <v/>
      </c>
      <c r="N1062" s="247" t="str">
        <f ca="1">IF(C1062="","",IF($N$11="EPS",[1]!S_STM07_IS(D1062,61,$G$5,$H$13)/IF([1]!S_SHARE_TOTAL(D1062,$G$5)=0,[1]!S_SHARE_TOTAL(D1062,[1]!s_ipo_listeddate(D1062)),[1]!S_SHARE_TOTAL(D1062,$G$5)),([1]!S_STM07_BS(D1062,75,$G$5,$H$13)+[1]!S_STM07_BS(D1062,88,$G$5,$H$13)+[1]!S_STM07_BS(D1062,94,$G$5,$H$13)+[1]!S_STM07_BS(D1062,95,$G$5,$H$13))/$E$5))</f>
        <v/>
      </c>
      <c r="O1062" s="247" t="str">
        <f ca="1">IF(C1062="","",IF($O$11="BPS",[1]!S_STM07_BS(D1062,141,$G$5,$H$13)/IF([1]!S_SHARE_TOTAL(D1062,$G$5)=0,[1]!S_SHARE_TOTAL(D1062,[1]!s_ipo_listeddate(D1062)),[1]!S_SHARE_TOTAL(D1062,$G$5)),[1]!S_STM07_CS(D1062,49,$G$5,$H$13)/$E$5))</f>
        <v/>
      </c>
      <c r="P1062" s="247" t="str">
        <f ca="1">IF(C1062="","",IF($P$11="CFPS",[1]!S_STM07_CS(D1062,84,$G$5,$H$13)/IF([1]!S_SHARE_TOTAL(D1062,$G$5)=0,[1]!S_SHARE_TOTAL(D1062,[1]!s_ipo_listeddate(D1062)),[1]!S_SHARE_TOTAL(D1062,$G$5)),[1]!S_STM07_CS(D1062,84,$G$5,$H$13)/$E$5))</f>
        <v/>
      </c>
      <c r="Q1062" s="248" t="str">
        <f ca="1">IF(C1062="","",F1062/([1]!S_STM07_IS(D1062,61,$G$5,$H$13)/IF([1]!S_SHARE_TOTAL(D1062,$G$5)=0,[1]!S_SHARE_TOTAL(D1062,[1]!s_ipo_listeddate(D1062)),[1]!S_SHARE_TOTAL(D1062,$G$5))))</f>
        <v/>
      </c>
      <c r="R1062" s="248" t="str">
        <f ca="1">IF(C1062="","",F1062/([1]!S_STM07_BS(D1062,141,$G$5,$H$13)/IF([1]!S_SHARE_TOTAL(D1062,$G$5)=0,[1]!S_SHARE_TOTAL(D1062,[1]!s_ipo_listeddate(D1062)),[1]!S_SHARE_TOTAL(D1062,$G$5))))</f>
        <v/>
      </c>
      <c r="S1062" s="247" t="str">
        <f ca="1">IF(C1062="","",[1]!S_SHARE_TOTAL(D1062,TODAY())/$E$5)</f>
        <v/>
      </c>
      <c r="T1062" s="247" t="str">
        <f t="shared" ca="1" si="109"/>
        <v/>
      </c>
      <c r="U1062" s="218" t="str">
        <f t="shared" ca="1" si="110"/>
        <v/>
      </c>
      <c r="V1062" s="342" t="str">
        <f t="shared" ca="1" si="111"/>
        <v/>
      </c>
      <c r="W1062" s="139"/>
      <c r="Y1062" s="1"/>
    </row>
    <row r="1063" spans="3:25" ht="12" customHeight="1">
      <c r="C1063" s="343" t="str">
        <f t="shared" ca="1" si="106"/>
        <v/>
      </c>
      <c r="D1063" s="124" t="str">
        <f t="shared" ca="1" si="107"/>
        <v/>
      </c>
      <c r="E1063" s="124" t="str">
        <f t="shared" ca="1" si="108"/>
        <v/>
      </c>
      <c r="F1063" s="172" t="str">
        <f ca="1">IF(C1063="","",[1]!S_DQ_CLOSE(D1063,TODAY(),1))</f>
        <v/>
      </c>
      <c r="G1063" s="173" t="str">
        <f ca="1">IF(C1063="","",[1]!s_pq_pctchange(D1063,TODAY()-$G$12,TODAY())/100)</f>
        <v/>
      </c>
      <c r="H1063" s="249" t="str">
        <f ca="1">IF(C1063="","",IF($H$11="收入",[1]!S_STM07_IS(D1063,9,$G$5,$H$13)/$E$5,[1]!S_STM07_IS(D1063,48,$G$5,$H$13)/$E$5))</f>
        <v/>
      </c>
      <c r="I1063" s="249" t="str">
        <f ca="1">IF(C1063="","",IF($I$11="毛利率",([1]!S_STM07_IS(D1063,9,$G$5,$H$13)-[1]!S_STM07_IS(D1063,10,$G$5,$H$13))/[1]!S_STM07_IS(D1063,9,$G$5,$H$13),[1]!S_STM07_IS(D1063,14,$G$5,$H$13)/$E$5))</f>
        <v/>
      </c>
      <c r="J1063" s="249" t="str">
        <f ca="1">IF(C1063="","",IF($J$11="营业利润率",[1]!S_STM07_IS(D1063,48,$G$5,$H$13)/[1]!S_STM07_IS(D1063,9,$G$5,$H$13),([1]!S_STM07_CS(D1063,87,$G$5,$H$13)+[1]!S_STM07_CS(D1063,88,$G$5,$H$13)+[1]!S_STM07_CS(D1063,89,$G$5,$H$13))/$E$5))</f>
        <v/>
      </c>
      <c r="K1063" s="249" t="str">
        <f ca="1">IF(C1063="","",IF($K$11="净利润率",[1]!S_STM07_IS(D1063,61,$G$5,$H$13)/[1]!S_STM07_IS(D1063,9,$G$5,$H$13),[1]!S_STM07_IS(D1063,55,$G$5,$H$13)/$E$5))</f>
        <v/>
      </c>
      <c r="L1063" s="249" t="str">
        <f ca="1">IF(C1063="","",IF($L$11="ROA",[1]!S_STM07_IS(D1063,61,$G$5,$H$13)/[1]!S_STM07_BS(D1063,74,$G$5,$H$13),1-[1]!S_STM07_IS(D1063,61,$G$5,$H$13)/[1]!S_STM07_IS(D1063,55,$G$5,$H$13)))</f>
        <v/>
      </c>
      <c r="M1063" s="249" t="str">
        <f ca="1">IF(C1063="","",IF($M$11="ROE",[1]!S_STM07_IS(D1063,61,$G$5,$H$13)/[1]!S_STM07_BS(D1063,141,$G$5,$H$13),([1]!S_STM07_BS(D1063,25,$G$5,$H$13)-[1]!S_STM07_BS(D1063,93,$G$5,$H$13))/$E$5))</f>
        <v/>
      </c>
      <c r="N1063" s="250" t="str">
        <f ca="1">IF(C1063="","",IF($N$11="EPS",[1]!S_STM07_IS(D1063,61,$G$5,$H$13)/IF([1]!S_SHARE_TOTAL(D1063,$G$5)=0,[1]!S_SHARE_TOTAL(D1063,[1]!s_ipo_listeddate(D1063)),[1]!S_SHARE_TOTAL(D1063,$G$5)),([1]!S_STM07_BS(D1063,75,$G$5,$H$13)+[1]!S_STM07_BS(D1063,88,$G$5,$H$13)+[1]!S_STM07_BS(D1063,94,$G$5,$H$13)+[1]!S_STM07_BS(D1063,95,$G$5,$H$13))/$E$5))</f>
        <v/>
      </c>
      <c r="O1063" s="250" t="str">
        <f ca="1">IF(C1063="","",IF($O$11="BPS",[1]!S_STM07_BS(D1063,141,$G$5,$H$13)/IF([1]!S_SHARE_TOTAL(D1063,$G$5)=0,[1]!S_SHARE_TOTAL(D1063,[1]!s_ipo_listeddate(D1063)),[1]!S_SHARE_TOTAL(D1063,$G$5)),[1]!S_STM07_CS(D1063,49,$G$5,$H$13)/$E$5))</f>
        <v/>
      </c>
      <c r="P1063" s="250" t="str">
        <f ca="1">IF(C1063="","",IF($P$11="CFPS",[1]!S_STM07_CS(D1063,84,$G$5,$H$13)/IF([1]!S_SHARE_TOTAL(D1063,$G$5)=0,[1]!S_SHARE_TOTAL(D1063,[1]!s_ipo_listeddate(D1063)),[1]!S_SHARE_TOTAL(D1063,$G$5)),[1]!S_STM07_CS(D1063,84,$G$5,$H$13)/$E$5))</f>
        <v/>
      </c>
      <c r="Q1063" s="198" t="str">
        <f ca="1">IF(C1063="","",F1063/([1]!S_STM07_IS(D1063,61,$G$5,$H$13)/IF([1]!S_SHARE_TOTAL(D1063,$G$5)=0,[1]!S_SHARE_TOTAL(D1063,[1]!s_ipo_listeddate(D1063)),[1]!S_SHARE_TOTAL(D1063,$G$5))))</f>
        <v/>
      </c>
      <c r="R1063" s="198" t="str">
        <f ca="1">IF(C1063="","",F1063/([1]!S_STM07_BS(D1063,141,$G$5,$H$13)/IF([1]!S_SHARE_TOTAL(D1063,$G$5)=0,[1]!S_SHARE_TOTAL(D1063,[1]!s_ipo_listeddate(D1063)),[1]!S_SHARE_TOTAL(D1063,$G$5))))</f>
        <v/>
      </c>
      <c r="S1063" s="249" t="str">
        <f ca="1">IF(C1063="","",[1]!S_SHARE_TOTAL(D1063,TODAY())/$E$5)</f>
        <v/>
      </c>
      <c r="T1063" s="249" t="str">
        <f t="shared" ca="1" si="109"/>
        <v/>
      </c>
      <c r="U1063" s="172" t="str">
        <f t="shared" ca="1" si="110"/>
        <v/>
      </c>
      <c r="V1063" s="343" t="str">
        <f t="shared" ca="1" si="111"/>
        <v/>
      </c>
      <c r="W1063" s="139"/>
      <c r="Y1063" s="1"/>
    </row>
    <row r="1064" spans="3:25" ht="12" customHeight="1">
      <c r="C1064" s="342" t="str">
        <f t="shared" ca="1" si="106"/>
        <v/>
      </c>
      <c r="D1064" s="153" t="str">
        <f t="shared" ca="1" si="107"/>
        <v/>
      </c>
      <c r="E1064" s="153" t="str">
        <f t="shared" ca="1" si="108"/>
        <v/>
      </c>
      <c r="F1064" s="170" t="str">
        <f ca="1">IF(C1064="","",[1]!S_DQ_CLOSE(D1064,TODAY(),1))</f>
        <v/>
      </c>
      <c r="G1064" s="171" t="str">
        <f ca="1">IF(C1064="","",[1]!s_pq_pctchange(D1064,TODAY()-$G$12,TODAY())/100)</f>
        <v/>
      </c>
      <c r="H1064" s="247" t="str">
        <f ca="1">IF(C1064="","",IF($H$11="收入",[1]!S_STM07_IS(D1064,9,$G$5,$H$13)/$E$5,[1]!S_STM07_IS(D1064,48,$G$5,$H$13)/$E$5))</f>
        <v/>
      </c>
      <c r="I1064" s="247" t="str">
        <f ca="1">IF(C1064="","",IF($I$11="毛利率",([1]!S_STM07_IS(D1064,9,$G$5,$H$13)-[1]!S_STM07_IS(D1064,10,$G$5,$H$13))/[1]!S_STM07_IS(D1064,9,$G$5,$H$13),[1]!S_STM07_IS(D1064,14,$G$5,$H$13)/$E$5))</f>
        <v/>
      </c>
      <c r="J1064" s="247" t="str">
        <f ca="1">IF(C1064="","",IF($J$11="营业利润率",[1]!S_STM07_IS(D1064,48,$G$5,$H$13)/[1]!S_STM07_IS(D1064,9,$G$5,$H$13),([1]!S_STM07_CS(D1064,87,$G$5,$H$13)+[1]!S_STM07_CS(D1064,88,$G$5,$H$13)+[1]!S_STM07_CS(D1064,89,$G$5,$H$13))/$E$5))</f>
        <v/>
      </c>
      <c r="K1064" s="247" t="str">
        <f ca="1">IF(C1064="","",IF($K$11="净利润率",[1]!S_STM07_IS(D1064,61,$G$5,$H$13)/[1]!S_STM07_IS(D1064,9,$G$5,$H$13),[1]!S_STM07_IS(D1064,55,$G$5,$H$13)/$E$5))</f>
        <v/>
      </c>
      <c r="L1064" s="247" t="str">
        <f ca="1">IF(C1064="","",IF($L$11="ROA",[1]!S_STM07_IS(D1064,61,$G$5,$H$13)/[1]!S_STM07_BS(D1064,74,$G$5,$H$13),1-[1]!S_STM07_IS(D1064,61,$G$5,$H$13)/[1]!S_STM07_IS(D1064,55,$G$5,$H$13)))</f>
        <v/>
      </c>
      <c r="M1064" s="247" t="str">
        <f ca="1">IF(C1064="","",IF($M$11="ROE",[1]!S_STM07_IS(D1064,61,$G$5,$H$13)/[1]!S_STM07_BS(D1064,141,$G$5,$H$13),([1]!S_STM07_BS(D1064,25,$G$5,$H$13)-[1]!S_STM07_BS(D1064,93,$G$5,$H$13))/$E$5))</f>
        <v/>
      </c>
      <c r="N1064" s="247" t="str">
        <f ca="1">IF(C1064="","",IF($N$11="EPS",[1]!S_STM07_IS(D1064,61,$G$5,$H$13)/IF([1]!S_SHARE_TOTAL(D1064,$G$5)=0,[1]!S_SHARE_TOTAL(D1064,[1]!s_ipo_listeddate(D1064)),[1]!S_SHARE_TOTAL(D1064,$G$5)),([1]!S_STM07_BS(D1064,75,$G$5,$H$13)+[1]!S_STM07_BS(D1064,88,$G$5,$H$13)+[1]!S_STM07_BS(D1064,94,$G$5,$H$13)+[1]!S_STM07_BS(D1064,95,$G$5,$H$13))/$E$5))</f>
        <v/>
      </c>
      <c r="O1064" s="247" t="str">
        <f ca="1">IF(C1064="","",IF($O$11="BPS",[1]!S_STM07_BS(D1064,141,$G$5,$H$13)/IF([1]!S_SHARE_TOTAL(D1064,$G$5)=0,[1]!S_SHARE_TOTAL(D1064,[1]!s_ipo_listeddate(D1064)),[1]!S_SHARE_TOTAL(D1064,$G$5)),[1]!S_STM07_CS(D1064,49,$G$5,$H$13)/$E$5))</f>
        <v/>
      </c>
      <c r="P1064" s="247" t="str">
        <f ca="1">IF(C1064="","",IF($P$11="CFPS",[1]!S_STM07_CS(D1064,84,$G$5,$H$13)/IF([1]!S_SHARE_TOTAL(D1064,$G$5)=0,[1]!S_SHARE_TOTAL(D1064,[1]!s_ipo_listeddate(D1064)),[1]!S_SHARE_TOTAL(D1064,$G$5)),[1]!S_STM07_CS(D1064,84,$G$5,$H$13)/$E$5))</f>
        <v/>
      </c>
      <c r="Q1064" s="248" t="str">
        <f ca="1">IF(C1064="","",F1064/([1]!S_STM07_IS(D1064,61,$G$5,$H$13)/IF([1]!S_SHARE_TOTAL(D1064,$G$5)=0,[1]!S_SHARE_TOTAL(D1064,[1]!s_ipo_listeddate(D1064)),[1]!S_SHARE_TOTAL(D1064,$G$5))))</f>
        <v/>
      </c>
      <c r="R1064" s="248" t="str">
        <f ca="1">IF(C1064="","",F1064/([1]!S_STM07_BS(D1064,141,$G$5,$H$13)/IF([1]!S_SHARE_TOTAL(D1064,$G$5)=0,[1]!S_SHARE_TOTAL(D1064,[1]!s_ipo_listeddate(D1064)),[1]!S_SHARE_TOTAL(D1064,$G$5))))</f>
        <v/>
      </c>
      <c r="S1064" s="247" t="str">
        <f ca="1">IF(C1064="","",[1]!S_SHARE_TOTAL(D1064,TODAY())/$E$5)</f>
        <v/>
      </c>
      <c r="T1064" s="247" t="str">
        <f t="shared" ca="1" si="109"/>
        <v/>
      </c>
      <c r="U1064" s="218" t="str">
        <f t="shared" ca="1" si="110"/>
        <v/>
      </c>
      <c r="V1064" s="342" t="str">
        <f t="shared" ca="1" si="111"/>
        <v/>
      </c>
      <c r="W1064" s="139"/>
      <c r="Y1064" s="1"/>
    </row>
    <row r="1065" spans="3:25" ht="12" customHeight="1">
      <c r="C1065" s="343" t="str">
        <f t="shared" ca="1" si="106"/>
        <v/>
      </c>
      <c r="D1065" s="124" t="str">
        <f t="shared" ca="1" si="107"/>
        <v/>
      </c>
      <c r="E1065" s="124" t="str">
        <f t="shared" ca="1" si="108"/>
        <v/>
      </c>
      <c r="F1065" s="172" t="str">
        <f ca="1">IF(C1065="","",[1]!S_DQ_CLOSE(D1065,TODAY(),1))</f>
        <v/>
      </c>
      <c r="G1065" s="173" t="str">
        <f ca="1">IF(C1065="","",[1]!s_pq_pctchange(D1065,TODAY()-$G$12,TODAY())/100)</f>
        <v/>
      </c>
      <c r="H1065" s="249" t="str">
        <f ca="1">IF(C1065="","",IF($H$11="收入",[1]!S_STM07_IS(D1065,9,$G$5,$H$13)/$E$5,[1]!S_STM07_IS(D1065,48,$G$5,$H$13)/$E$5))</f>
        <v/>
      </c>
      <c r="I1065" s="249" t="str">
        <f ca="1">IF(C1065="","",IF($I$11="毛利率",([1]!S_STM07_IS(D1065,9,$G$5,$H$13)-[1]!S_STM07_IS(D1065,10,$G$5,$H$13))/[1]!S_STM07_IS(D1065,9,$G$5,$H$13),[1]!S_STM07_IS(D1065,14,$G$5,$H$13)/$E$5))</f>
        <v/>
      </c>
      <c r="J1065" s="249" t="str">
        <f ca="1">IF(C1065="","",IF($J$11="营业利润率",[1]!S_STM07_IS(D1065,48,$G$5,$H$13)/[1]!S_STM07_IS(D1065,9,$G$5,$H$13),([1]!S_STM07_CS(D1065,87,$G$5,$H$13)+[1]!S_STM07_CS(D1065,88,$G$5,$H$13)+[1]!S_STM07_CS(D1065,89,$G$5,$H$13))/$E$5))</f>
        <v/>
      </c>
      <c r="K1065" s="249" t="str">
        <f ca="1">IF(C1065="","",IF($K$11="净利润率",[1]!S_STM07_IS(D1065,61,$G$5,$H$13)/[1]!S_STM07_IS(D1065,9,$G$5,$H$13),[1]!S_STM07_IS(D1065,55,$G$5,$H$13)/$E$5))</f>
        <v/>
      </c>
      <c r="L1065" s="249" t="str">
        <f ca="1">IF(C1065="","",IF($L$11="ROA",[1]!S_STM07_IS(D1065,61,$G$5,$H$13)/[1]!S_STM07_BS(D1065,74,$G$5,$H$13),1-[1]!S_STM07_IS(D1065,61,$G$5,$H$13)/[1]!S_STM07_IS(D1065,55,$G$5,$H$13)))</f>
        <v/>
      </c>
      <c r="M1065" s="249" t="str">
        <f ca="1">IF(C1065="","",IF($M$11="ROE",[1]!S_STM07_IS(D1065,61,$G$5,$H$13)/[1]!S_STM07_BS(D1065,141,$G$5,$H$13),([1]!S_STM07_BS(D1065,25,$G$5,$H$13)-[1]!S_STM07_BS(D1065,93,$G$5,$H$13))/$E$5))</f>
        <v/>
      </c>
      <c r="N1065" s="250" t="str">
        <f ca="1">IF(C1065="","",IF($N$11="EPS",[1]!S_STM07_IS(D1065,61,$G$5,$H$13)/IF([1]!S_SHARE_TOTAL(D1065,$G$5)=0,[1]!S_SHARE_TOTAL(D1065,[1]!s_ipo_listeddate(D1065)),[1]!S_SHARE_TOTAL(D1065,$G$5)),([1]!S_STM07_BS(D1065,75,$G$5,$H$13)+[1]!S_STM07_BS(D1065,88,$G$5,$H$13)+[1]!S_STM07_BS(D1065,94,$G$5,$H$13)+[1]!S_STM07_BS(D1065,95,$G$5,$H$13))/$E$5))</f>
        <v/>
      </c>
      <c r="O1065" s="250" t="str">
        <f ca="1">IF(C1065="","",IF($O$11="BPS",[1]!S_STM07_BS(D1065,141,$G$5,$H$13)/IF([1]!S_SHARE_TOTAL(D1065,$G$5)=0,[1]!S_SHARE_TOTAL(D1065,[1]!s_ipo_listeddate(D1065)),[1]!S_SHARE_TOTAL(D1065,$G$5)),[1]!S_STM07_CS(D1065,49,$G$5,$H$13)/$E$5))</f>
        <v/>
      </c>
      <c r="P1065" s="250" t="str">
        <f ca="1">IF(C1065="","",IF($P$11="CFPS",[1]!S_STM07_CS(D1065,84,$G$5,$H$13)/IF([1]!S_SHARE_TOTAL(D1065,$G$5)=0,[1]!S_SHARE_TOTAL(D1065,[1]!s_ipo_listeddate(D1065)),[1]!S_SHARE_TOTAL(D1065,$G$5)),[1]!S_STM07_CS(D1065,84,$G$5,$H$13)/$E$5))</f>
        <v/>
      </c>
      <c r="Q1065" s="198" t="str">
        <f ca="1">IF(C1065="","",F1065/([1]!S_STM07_IS(D1065,61,$G$5,$H$13)/IF([1]!S_SHARE_TOTAL(D1065,$G$5)=0,[1]!S_SHARE_TOTAL(D1065,[1]!s_ipo_listeddate(D1065)),[1]!S_SHARE_TOTAL(D1065,$G$5))))</f>
        <v/>
      </c>
      <c r="R1065" s="198" t="str">
        <f ca="1">IF(C1065="","",F1065/([1]!S_STM07_BS(D1065,141,$G$5,$H$13)/IF([1]!S_SHARE_TOTAL(D1065,$G$5)=0,[1]!S_SHARE_TOTAL(D1065,[1]!s_ipo_listeddate(D1065)),[1]!S_SHARE_TOTAL(D1065,$G$5))))</f>
        <v/>
      </c>
      <c r="S1065" s="249" t="str">
        <f ca="1">IF(C1065="","",[1]!S_SHARE_TOTAL(D1065,TODAY())/$E$5)</f>
        <v/>
      </c>
      <c r="T1065" s="249" t="str">
        <f t="shared" ca="1" si="109"/>
        <v/>
      </c>
      <c r="U1065" s="172" t="str">
        <f t="shared" ca="1" si="110"/>
        <v/>
      </c>
      <c r="V1065" s="343" t="str">
        <f t="shared" ca="1" si="111"/>
        <v/>
      </c>
      <c r="W1065" s="139"/>
      <c r="Y1065" s="1"/>
    </row>
    <row r="1066" spans="3:25" ht="12" customHeight="1">
      <c r="C1066" s="342" t="str">
        <f t="shared" ca="1" si="106"/>
        <v/>
      </c>
      <c r="D1066" s="153" t="str">
        <f t="shared" ca="1" si="107"/>
        <v/>
      </c>
      <c r="E1066" s="153" t="str">
        <f t="shared" ca="1" si="108"/>
        <v/>
      </c>
      <c r="F1066" s="170" t="str">
        <f ca="1">IF(C1066="","",[1]!S_DQ_CLOSE(D1066,TODAY(),1))</f>
        <v/>
      </c>
      <c r="G1066" s="171" t="str">
        <f ca="1">IF(C1066="","",[1]!s_pq_pctchange(D1066,TODAY()-$G$12,TODAY())/100)</f>
        <v/>
      </c>
      <c r="H1066" s="247" t="str">
        <f ca="1">IF(C1066="","",IF($H$11="收入",[1]!S_STM07_IS(D1066,9,$G$5,$H$13)/$E$5,[1]!S_STM07_IS(D1066,48,$G$5,$H$13)/$E$5))</f>
        <v/>
      </c>
      <c r="I1066" s="247" t="str">
        <f ca="1">IF(C1066="","",IF($I$11="毛利率",([1]!S_STM07_IS(D1066,9,$G$5,$H$13)-[1]!S_STM07_IS(D1066,10,$G$5,$H$13))/[1]!S_STM07_IS(D1066,9,$G$5,$H$13),[1]!S_STM07_IS(D1066,14,$G$5,$H$13)/$E$5))</f>
        <v/>
      </c>
      <c r="J1066" s="247" t="str">
        <f ca="1">IF(C1066="","",IF($J$11="营业利润率",[1]!S_STM07_IS(D1066,48,$G$5,$H$13)/[1]!S_STM07_IS(D1066,9,$G$5,$H$13),([1]!S_STM07_CS(D1066,87,$G$5,$H$13)+[1]!S_STM07_CS(D1066,88,$G$5,$H$13)+[1]!S_STM07_CS(D1066,89,$G$5,$H$13))/$E$5))</f>
        <v/>
      </c>
      <c r="K1066" s="247" t="str">
        <f ca="1">IF(C1066="","",IF($K$11="净利润率",[1]!S_STM07_IS(D1066,61,$G$5,$H$13)/[1]!S_STM07_IS(D1066,9,$G$5,$H$13),[1]!S_STM07_IS(D1066,55,$G$5,$H$13)/$E$5))</f>
        <v/>
      </c>
      <c r="L1066" s="247" t="str">
        <f ca="1">IF(C1066="","",IF($L$11="ROA",[1]!S_STM07_IS(D1066,61,$G$5,$H$13)/[1]!S_STM07_BS(D1066,74,$G$5,$H$13),1-[1]!S_STM07_IS(D1066,61,$G$5,$H$13)/[1]!S_STM07_IS(D1066,55,$G$5,$H$13)))</f>
        <v/>
      </c>
      <c r="M1066" s="247" t="str">
        <f ca="1">IF(C1066="","",IF($M$11="ROE",[1]!S_STM07_IS(D1066,61,$G$5,$H$13)/[1]!S_STM07_BS(D1066,141,$G$5,$H$13),([1]!S_STM07_BS(D1066,25,$G$5,$H$13)-[1]!S_STM07_BS(D1066,93,$G$5,$H$13))/$E$5))</f>
        <v/>
      </c>
      <c r="N1066" s="247" t="str">
        <f ca="1">IF(C1066="","",IF($N$11="EPS",[1]!S_STM07_IS(D1066,61,$G$5,$H$13)/IF([1]!S_SHARE_TOTAL(D1066,$G$5)=0,[1]!S_SHARE_TOTAL(D1066,[1]!s_ipo_listeddate(D1066)),[1]!S_SHARE_TOTAL(D1066,$G$5)),([1]!S_STM07_BS(D1066,75,$G$5,$H$13)+[1]!S_STM07_BS(D1066,88,$G$5,$H$13)+[1]!S_STM07_BS(D1066,94,$G$5,$H$13)+[1]!S_STM07_BS(D1066,95,$G$5,$H$13))/$E$5))</f>
        <v/>
      </c>
      <c r="O1066" s="247" t="str">
        <f ca="1">IF(C1066="","",IF($O$11="BPS",[1]!S_STM07_BS(D1066,141,$G$5,$H$13)/IF([1]!S_SHARE_TOTAL(D1066,$G$5)=0,[1]!S_SHARE_TOTAL(D1066,[1]!s_ipo_listeddate(D1066)),[1]!S_SHARE_TOTAL(D1066,$G$5)),[1]!S_STM07_CS(D1066,49,$G$5,$H$13)/$E$5))</f>
        <v/>
      </c>
      <c r="P1066" s="247" t="str">
        <f ca="1">IF(C1066="","",IF($P$11="CFPS",[1]!S_STM07_CS(D1066,84,$G$5,$H$13)/IF([1]!S_SHARE_TOTAL(D1066,$G$5)=0,[1]!S_SHARE_TOTAL(D1066,[1]!s_ipo_listeddate(D1066)),[1]!S_SHARE_TOTAL(D1066,$G$5)),[1]!S_STM07_CS(D1066,84,$G$5,$H$13)/$E$5))</f>
        <v/>
      </c>
      <c r="Q1066" s="248" t="str">
        <f ca="1">IF(C1066="","",F1066/([1]!S_STM07_IS(D1066,61,$G$5,$H$13)/IF([1]!S_SHARE_TOTAL(D1066,$G$5)=0,[1]!S_SHARE_TOTAL(D1066,[1]!s_ipo_listeddate(D1066)),[1]!S_SHARE_TOTAL(D1066,$G$5))))</f>
        <v/>
      </c>
      <c r="R1066" s="248" t="str">
        <f ca="1">IF(C1066="","",F1066/([1]!S_STM07_BS(D1066,141,$G$5,$H$13)/IF([1]!S_SHARE_TOTAL(D1066,$G$5)=0,[1]!S_SHARE_TOTAL(D1066,[1]!s_ipo_listeddate(D1066)),[1]!S_SHARE_TOTAL(D1066,$G$5))))</f>
        <v/>
      </c>
      <c r="S1066" s="247" t="str">
        <f ca="1">IF(C1066="","",[1]!S_SHARE_TOTAL(D1066,TODAY())/$E$5)</f>
        <v/>
      </c>
      <c r="T1066" s="247" t="str">
        <f t="shared" ca="1" si="109"/>
        <v/>
      </c>
      <c r="U1066" s="218" t="str">
        <f t="shared" ca="1" si="110"/>
        <v/>
      </c>
      <c r="V1066" s="342" t="str">
        <f t="shared" ca="1" si="111"/>
        <v/>
      </c>
      <c r="W1066" s="139"/>
      <c r="Y1066" s="1"/>
    </row>
    <row r="1067" spans="3:25" ht="12" customHeight="1">
      <c r="C1067" s="343" t="str">
        <f t="shared" ca="1" si="106"/>
        <v/>
      </c>
      <c r="D1067" s="124" t="str">
        <f t="shared" ca="1" si="107"/>
        <v/>
      </c>
      <c r="E1067" s="124" t="str">
        <f t="shared" ca="1" si="108"/>
        <v/>
      </c>
      <c r="F1067" s="172" t="str">
        <f ca="1">IF(C1067="","",[1]!S_DQ_CLOSE(D1067,TODAY(),1))</f>
        <v/>
      </c>
      <c r="G1067" s="173" t="str">
        <f ca="1">IF(C1067="","",[1]!s_pq_pctchange(D1067,TODAY()-$G$12,TODAY())/100)</f>
        <v/>
      </c>
      <c r="H1067" s="249" t="str">
        <f ca="1">IF(C1067="","",IF($H$11="收入",[1]!S_STM07_IS(D1067,9,$G$5,$H$13)/$E$5,[1]!S_STM07_IS(D1067,48,$G$5,$H$13)/$E$5))</f>
        <v/>
      </c>
      <c r="I1067" s="249" t="str">
        <f ca="1">IF(C1067="","",IF($I$11="毛利率",([1]!S_STM07_IS(D1067,9,$G$5,$H$13)-[1]!S_STM07_IS(D1067,10,$G$5,$H$13))/[1]!S_STM07_IS(D1067,9,$G$5,$H$13),[1]!S_STM07_IS(D1067,14,$G$5,$H$13)/$E$5))</f>
        <v/>
      </c>
      <c r="J1067" s="249" t="str">
        <f ca="1">IF(C1067="","",IF($J$11="营业利润率",[1]!S_STM07_IS(D1067,48,$G$5,$H$13)/[1]!S_STM07_IS(D1067,9,$G$5,$H$13),([1]!S_STM07_CS(D1067,87,$G$5,$H$13)+[1]!S_STM07_CS(D1067,88,$G$5,$H$13)+[1]!S_STM07_CS(D1067,89,$G$5,$H$13))/$E$5))</f>
        <v/>
      </c>
      <c r="K1067" s="249" t="str">
        <f ca="1">IF(C1067="","",IF($K$11="净利润率",[1]!S_STM07_IS(D1067,61,$G$5,$H$13)/[1]!S_STM07_IS(D1067,9,$G$5,$H$13),[1]!S_STM07_IS(D1067,55,$G$5,$H$13)/$E$5))</f>
        <v/>
      </c>
      <c r="L1067" s="249" t="str">
        <f ca="1">IF(C1067="","",IF($L$11="ROA",[1]!S_STM07_IS(D1067,61,$G$5,$H$13)/[1]!S_STM07_BS(D1067,74,$G$5,$H$13),1-[1]!S_STM07_IS(D1067,61,$G$5,$H$13)/[1]!S_STM07_IS(D1067,55,$G$5,$H$13)))</f>
        <v/>
      </c>
      <c r="M1067" s="249" t="str">
        <f ca="1">IF(C1067="","",IF($M$11="ROE",[1]!S_STM07_IS(D1067,61,$G$5,$H$13)/[1]!S_STM07_BS(D1067,141,$G$5,$H$13),([1]!S_STM07_BS(D1067,25,$G$5,$H$13)-[1]!S_STM07_BS(D1067,93,$G$5,$H$13))/$E$5))</f>
        <v/>
      </c>
      <c r="N1067" s="250" t="str">
        <f ca="1">IF(C1067="","",IF($N$11="EPS",[1]!S_STM07_IS(D1067,61,$G$5,$H$13)/IF([1]!S_SHARE_TOTAL(D1067,$G$5)=0,[1]!S_SHARE_TOTAL(D1067,[1]!s_ipo_listeddate(D1067)),[1]!S_SHARE_TOTAL(D1067,$G$5)),([1]!S_STM07_BS(D1067,75,$G$5,$H$13)+[1]!S_STM07_BS(D1067,88,$G$5,$H$13)+[1]!S_STM07_BS(D1067,94,$G$5,$H$13)+[1]!S_STM07_BS(D1067,95,$G$5,$H$13))/$E$5))</f>
        <v/>
      </c>
      <c r="O1067" s="250" t="str">
        <f ca="1">IF(C1067="","",IF($O$11="BPS",[1]!S_STM07_BS(D1067,141,$G$5,$H$13)/IF([1]!S_SHARE_TOTAL(D1067,$G$5)=0,[1]!S_SHARE_TOTAL(D1067,[1]!s_ipo_listeddate(D1067)),[1]!S_SHARE_TOTAL(D1067,$G$5)),[1]!S_STM07_CS(D1067,49,$G$5,$H$13)/$E$5))</f>
        <v/>
      </c>
      <c r="P1067" s="250" t="str">
        <f ca="1">IF(C1067="","",IF($P$11="CFPS",[1]!S_STM07_CS(D1067,84,$G$5,$H$13)/IF([1]!S_SHARE_TOTAL(D1067,$G$5)=0,[1]!S_SHARE_TOTAL(D1067,[1]!s_ipo_listeddate(D1067)),[1]!S_SHARE_TOTAL(D1067,$G$5)),[1]!S_STM07_CS(D1067,84,$G$5,$H$13)/$E$5))</f>
        <v/>
      </c>
      <c r="Q1067" s="198" t="str">
        <f ca="1">IF(C1067="","",F1067/([1]!S_STM07_IS(D1067,61,$G$5,$H$13)/IF([1]!S_SHARE_TOTAL(D1067,$G$5)=0,[1]!S_SHARE_TOTAL(D1067,[1]!s_ipo_listeddate(D1067)),[1]!S_SHARE_TOTAL(D1067,$G$5))))</f>
        <v/>
      </c>
      <c r="R1067" s="198" t="str">
        <f ca="1">IF(C1067="","",F1067/([1]!S_STM07_BS(D1067,141,$G$5,$H$13)/IF([1]!S_SHARE_TOTAL(D1067,$G$5)=0,[1]!S_SHARE_TOTAL(D1067,[1]!s_ipo_listeddate(D1067)),[1]!S_SHARE_TOTAL(D1067,$G$5))))</f>
        <v/>
      </c>
      <c r="S1067" s="249" t="str">
        <f ca="1">IF(C1067="","",[1]!S_SHARE_TOTAL(D1067,TODAY())/$E$5)</f>
        <v/>
      </c>
      <c r="T1067" s="249" t="str">
        <f t="shared" ca="1" si="109"/>
        <v/>
      </c>
      <c r="U1067" s="172" t="str">
        <f t="shared" ca="1" si="110"/>
        <v/>
      </c>
      <c r="V1067" s="343" t="str">
        <f t="shared" ca="1" si="111"/>
        <v/>
      </c>
      <c r="W1067" s="139"/>
      <c r="Y1067" s="1"/>
    </row>
    <row r="1068" spans="3:25" ht="12" customHeight="1">
      <c r="C1068" s="342" t="str">
        <f t="shared" ca="1" si="106"/>
        <v/>
      </c>
      <c r="D1068" s="153" t="str">
        <f t="shared" ca="1" si="107"/>
        <v/>
      </c>
      <c r="E1068" s="153" t="str">
        <f t="shared" ca="1" si="108"/>
        <v/>
      </c>
      <c r="F1068" s="170" t="str">
        <f ca="1">IF(C1068="","",[1]!S_DQ_CLOSE(D1068,TODAY(),1))</f>
        <v/>
      </c>
      <c r="G1068" s="171" t="str">
        <f ca="1">IF(C1068="","",[1]!s_pq_pctchange(D1068,TODAY()-$G$12,TODAY())/100)</f>
        <v/>
      </c>
      <c r="H1068" s="247" t="str">
        <f ca="1">IF(C1068="","",IF($H$11="收入",[1]!S_STM07_IS(D1068,9,$G$5,$H$13)/$E$5,[1]!S_STM07_IS(D1068,48,$G$5,$H$13)/$E$5))</f>
        <v/>
      </c>
      <c r="I1068" s="247" t="str">
        <f ca="1">IF(C1068="","",IF($I$11="毛利率",([1]!S_STM07_IS(D1068,9,$G$5,$H$13)-[1]!S_STM07_IS(D1068,10,$G$5,$H$13))/[1]!S_STM07_IS(D1068,9,$G$5,$H$13),[1]!S_STM07_IS(D1068,14,$G$5,$H$13)/$E$5))</f>
        <v/>
      </c>
      <c r="J1068" s="247" t="str">
        <f ca="1">IF(C1068="","",IF($J$11="营业利润率",[1]!S_STM07_IS(D1068,48,$G$5,$H$13)/[1]!S_STM07_IS(D1068,9,$G$5,$H$13),([1]!S_STM07_CS(D1068,87,$G$5,$H$13)+[1]!S_STM07_CS(D1068,88,$G$5,$H$13)+[1]!S_STM07_CS(D1068,89,$G$5,$H$13))/$E$5))</f>
        <v/>
      </c>
      <c r="K1068" s="247" t="str">
        <f ca="1">IF(C1068="","",IF($K$11="净利润率",[1]!S_STM07_IS(D1068,61,$G$5,$H$13)/[1]!S_STM07_IS(D1068,9,$G$5,$H$13),[1]!S_STM07_IS(D1068,55,$G$5,$H$13)/$E$5))</f>
        <v/>
      </c>
      <c r="L1068" s="247" t="str">
        <f ca="1">IF(C1068="","",IF($L$11="ROA",[1]!S_STM07_IS(D1068,61,$G$5,$H$13)/[1]!S_STM07_BS(D1068,74,$G$5,$H$13),1-[1]!S_STM07_IS(D1068,61,$G$5,$H$13)/[1]!S_STM07_IS(D1068,55,$G$5,$H$13)))</f>
        <v/>
      </c>
      <c r="M1068" s="247" t="str">
        <f ca="1">IF(C1068="","",IF($M$11="ROE",[1]!S_STM07_IS(D1068,61,$G$5,$H$13)/[1]!S_STM07_BS(D1068,141,$G$5,$H$13),([1]!S_STM07_BS(D1068,25,$G$5,$H$13)-[1]!S_STM07_BS(D1068,93,$G$5,$H$13))/$E$5))</f>
        <v/>
      </c>
      <c r="N1068" s="247" t="str">
        <f ca="1">IF(C1068="","",IF($N$11="EPS",[1]!S_STM07_IS(D1068,61,$G$5,$H$13)/IF([1]!S_SHARE_TOTAL(D1068,$G$5)=0,[1]!S_SHARE_TOTAL(D1068,[1]!s_ipo_listeddate(D1068)),[1]!S_SHARE_TOTAL(D1068,$G$5)),([1]!S_STM07_BS(D1068,75,$G$5,$H$13)+[1]!S_STM07_BS(D1068,88,$G$5,$H$13)+[1]!S_STM07_BS(D1068,94,$G$5,$H$13)+[1]!S_STM07_BS(D1068,95,$G$5,$H$13))/$E$5))</f>
        <v/>
      </c>
      <c r="O1068" s="247" t="str">
        <f ca="1">IF(C1068="","",IF($O$11="BPS",[1]!S_STM07_BS(D1068,141,$G$5,$H$13)/IF([1]!S_SHARE_TOTAL(D1068,$G$5)=0,[1]!S_SHARE_TOTAL(D1068,[1]!s_ipo_listeddate(D1068)),[1]!S_SHARE_TOTAL(D1068,$G$5)),[1]!S_STM07_CS(D1068,49,$G$5,$H$13)/$E$5))</f>
        <v/>
      </c>
      <c r="P1068" s="247" t="str">
        <f ca="1">IF(C1068="","",IF($P$11="CFPS",[1]!S_STM07_CS(D1068,84,$G$5,$H$13)/IF([1]!S_SHARE_TOTAL(D1068,$G$5)=0,[1]!S_SHARE_TOTAL(D1068,[1]!s_ipo_listeddate(D1068)),[1]!S_SHARE_TOTAL(D1068,$G$5)),[1]!S_STM07_CS(D1068,84,$G$5,$H$13)/$E$5))</f>
        <v/>
      </c>
      <c r="Q1068" s="248" t="str">
        <f ca="1">IF(C1068="","",F1068/([1]!S_STM07_IS(D1068,61,$G$5,$H$13)/IF([1]!S_SHARE_TOTAL(D1068,$G$5)=0,[1]!S_SHARE_TOTAL(D1068,[1]!s_ipo_listeddate(D1068)),[1]!S_SHARE_TOTAL(D1068,$G$5))))</f>
        <v/>
      </c>
      <c r="R1068" s="248" t="str">
        <f ca="1">IF(C1068="","",F1068/([1]!S_STM07_BS(D1068,141,$G$5,$H$13)/IF([1]!S_SHARE_TOTAL(D1068,$G$5)=0,[1]!S_SHARE_TOTAL(D1068,[1]!s_ipo_listeddate(D1068)),[1]!S_SHARE_TOTAL(D1068,$G$5))))</f>
        <v/>
      </c>
      <c r="S1068" s="247" t="str">
        <f ca="1">IF(C1068="","",[1]!S_SHARE_TOTAL(D1068,TODAY())/$E$5)</f>
        <v/>
      </c>
      <c r="T1068" s="247" t="str">
        <f t="shared" ca="1" si="109"/>
        <v/>
      </c>
      <c r="U1068" s="218" t="str">
        <f t="shared" ca="1" si="110"/>
        <v/>
      </c>
      <c r="V1068" s="342" t="str">
        <f t="shared" ca="1" si="111"/>
        <v/>
      </c>
      <c r="W1068" s="139"/>
      <c r="Y1068" s="1"/>
    </row>
    <row r="1069" spans="3:25" ht="12" customHeight="1">
      <c r="C1069" s="343" t="str">
        <f t="shared" ca="1" si="106"/>
        <v/>
      </c>
      <c r="D1069" s="124" t="str">
        <f t="shared" ca="1" si="107"/>
        <v/>
      </c>
      <c r="E1069" s="124" t="str">
        <f t="shared" ca="1" si="108"/>
        <v/>
      </c>
      <c r="F1069" s="172" t="str">
        <f ca="1">IF(C1069="","",[1]!S_DQ_CLOSE(D1069,TODAY(),1))</f>
        <v/>
      </c>
      <c r="G1069" s="173" t="str">
        <f ca="1">IF(C1069="","",[1]!s_pq_pctchange(D1069,TODAY()-$G$12,TODAY())/100)</f>
        <v/>
      </c>
      <c r="H1069" s="249" t="str">
        <f ca="1">IF(C1069="","",IF($H$11="收入",[1]!S_STM07_IS(D1069,9,$G$5,$H$13)/$E$5,[1]!S_STM07_IS(D1069,48,$G$5,$H$13)/$E$5))</f>
        <v/>
      </c>
      <c r="I1069" s="249" t="str">
        <f ca="1">IF(C1069="","",IF($I$11="毛利率",([1]!S_STM07_IS(D1069,9,$G$5,$H$13)-[1]!S_STM07_IS(D1069,10,$G$5,$H$13))/[1]!S_STM07_IS(D1069,9,$G$5,$H$13),[1]!S_STM07_IS(D1069,14,$G$5,$H$13)/$E$5))</f>
        <v/>
      </c>
      <c r="J1069" s="249" t="str">
        <f ca="1">IF(C1069="","",IF($J$11="营业利润率",[1]!S_STM07_IS(D1069,48,$G$5,$H$13)/[1]!S_STM07_IS(D1069,9,$G$5,$H$13),([1]!S_STM07_CS(D1069,87,$G$5,$H$13)+[1]!S_STM07_CS(D1069,88,$G$5,$H$13)+[1]!S_STM07_CS(D1069,89,$G$5,$H$13))/$E$5))</f>
        <v/>
      </c>
      <c r="K1069" s="249" t="str">
        <f ca="1">IF(C1069="","",IF($K$11="净利润率",[1]!S_STM07_IS(D1069,61,$G$5,$H$13)/[1]!S_STM07_IS(D1069,9,$G$5,$H$13),[1]!S_STM07_IS(D1069,55,$G$5,$H$13)/$E$5))</f>
        <v/>
      </c>
      <c r="L1069" s="249" t="str">
        <f ca="1">IF(C1069="","",IF($L$11="ROA",[1]!S_STM07_IS(D1069,61,$G$5,$H$13)/[1]!S_STM07_BS(D1069,74,$G$5,$H$13),1-[1]!S_STM07_IS(D1069,61,$G$5,$H$13)/[1]!S_STM07_IS(D1069,55,$G$5,$H$13)))</f>
        <v/>
      </c>
      <c r="M1069" s="249" t="str">
        <f ca="1">IF(C1069="","",IF($M$11="ROE",[1]!S_STM07_IS(D1069,61,$G$5,$H$13)/[1]!S_STM07_BS(D1069,141,$G$5,$H$13),([1]!S_STM07_BS(D1069,25,$G$5,$H$13)-[1]!S_STM07_BS(D1069,93,$G$5,$H$13))/$E$5))</f>
        <v/>
      </c>
      <c r="N1069" s="250" t="str">
        <f ca="1">IF(C1069="","",IF($N$11="EPS",[1]!S_STM07_IS(D1069,61,$G$5,$H$13)/IF([1]!S_SHARE_TOTAL(D1069,$G$5)=0,[1]!S_SHARE_TOTAL(D1069,[1]!s_ipo_listeddate(D1069)),[1]!S_SHARE_TOTAL(D1069,$G$5)),([1]!S_STM07_BS(D1069,75,$G$5,$H$13)+[1]!S_STM07_BS(D1069,88,$G$5,$H$13)+[1]!S_STM07_BS(D1069,94,$G$5,$H$13)+[1]!S_STM07_BS(D1069,95,$G$5,$H$13))/$E$5))</f>
        <v/>
      </c>
      <c r="O1069" s="250" t="str">
        <f ca="1">IF(C1069="","",IF($O$11="BPS",[1]!S_STM07_BS(D1069,141,$G$5,$H$13)/IF([1]!S_SHARE_TOTAL(D1069,$G$5)=0,[1]!S_SHARE_TOTAL(D1069,[1]!s_ipo_listeddate(D1069)),[1]!S_SHARE_TOTAL(D1069,$G$5)),[1]!S_STM07_CS(D1069,49,$G$5,$H$13)/$E$5))</f>
        <v/>
      </c>
      <c r="P1069" s="250" t="str">
        <f ca="1">IF(C1069="","",IF($P$11="CFPS",[1]!S_STM07_CS(D1069,84,$G$5,$H$13)/IF([1]!S_SHARE_TOTAL(D1069,$G$5)=0,[1]!S_SHARE_TOTAL(D1069,[1]!s_ipo_listeddate(D1069)),[1]!S_SHARE_TOTAL(D1069,$G$5)),[1]!S_STM07_CS(D1069,84,$G$5,$H$13)/$E$5))</f>
        <v/>
      </c>
      <c r="Q1069" s="198" t="str">
        <f ca="1">IF(C1069="","",F1069/([1]!S_STM07_IS(D1069,61,$G$5,$H$13)/IF([1]!S_SHARE_TOTAL(D1069,$G$5)=0,[1]!S_SHARE_TOTAL(D1069,[1]!s_ipo_listeddate(D1069)),[1]!S_SHARE_TOTAL(D1069,$G$5))))</f>
        <v/>
      </c>
      <c r="R1069" s="198" t="str">
        <f ca="1">IF(C1069="","",F1069/([1]!S_STM07_BS(D1069,141,$G$5,$H$13)/IF([1]!S_SHARE_TOTAL(D1069,$G$5)=0,[1]!S_SHARE_TOTAL(D1069,[1]!s_ipo_listeddate(D1069)),[1]!S_SHARE_TOTAL(D1069,$G$5))))</f>
        <v/>
      </c>
      <c r="S1069" s="249" t="str">
        <f ca="1">IF(C1069="","",[1]!S_SHARE_TOTAL(D1069,TODAY())/$E$5)</f>
        <v/>
      </c>
      <c r="T1069" s="249" t="str">
        <f t="shared" ca="1" si="109"/>
        <v/>
      </c>
      <c r="U1069" s="172" t="str">
        <f t="shared" ca="1" si="110"/>
        <v/>
      </c>
      <c r="V1069" s="343" t="str">
        <f t="shared" ca="1" si="111"/>
        <v/>
      </c>
      <c r="W1069" s="139"/>
      <c r="Y1069" s="1"/>
    </row>
    <row r="1070" spans="3:25" ht="12" customHeight="1">
      <c r="C1070" s="342" t="str">
        <f t="shared" ca="1" si="106"/>
        <v/>
      </c>
      <c r="D1070" s="153" t="str">
        <f t="shared" ca="1" si="107"/>
        <v/>
      </c>
      <c r="E1070" s="153" t="str">
        <f t="shared" ca="1" si="108"/>
        <v/>
      </c>
      <c r="F1070" s="170" t="str">
        <f ca="1">IF(C1070="","",[1]!S_DQ_CLOSE(D1070,TODAY(),1))</f>
        <v/>
      </c>
      <c r="G1070" s="171" t="str">
        <f ca="1">IF(C1070="","",[1]!s_pq_pctchange(D1070,TODAY()-$G$12,TODAY())/100)</f>
        <v/>
      </c>
      <c r="H1070" s="247" t="str">
        <f ca="1">IF(C1070="","",IF($H$11="收入",[1]!S_STM07_IS(D1070,9,$G$5,$H$13)/$E$5,[1]!S_STM07_IS(D1070,48,$G$5,$H$13)/$E$5))</f>
        <v/>
      </c>
      <c r="I1070" s="247" t="str">
        <f ca="1">IF(C1070="","",IF($I$11="毛利率",([1]!S_STM07_IS(D1070,9,$G$5,$H$13)-[1]!S_STM07_IS(D1070,10,$G$5,$H$13))/[1]!S_STM07_IS(D1070,9,$G$5,$H$13),[1]!S_STM07_IS(D1070,14,$G$5,$H$13)/$E$5))</f>
        <v/>
      </c>
      <c r="J1070" s="247" t="str">
        <f ca="1">IF(C1070="","",IF($J$11="营业利润率",[1]!S_STM07_IS(D1070,48,$G$5,$H$13)/[1]!S_STM07_IS(D1070,9,$G$5,$H$13),([1]!S_STM07_CS(D1070,87,$G$5,$H$13)+[1]!S_STM07_CS(D1070,88,$G$5,$H$13)+[1]!S_STM07_CS(D1070,89,$G$5,$H$13))/$E$5))</f>
        <v/>
      </c>
      <c r="K1070" s="247" t="str">
        <f ca="1">IF(C1070="","",IF($K$11="净利润率",[1]!S_STM07_IS(D1070,61,$G$5,$H$13)/[1]!S_STM07_IS(D1070,9,$G$5,$H$13),[1]!S_STM07_IS(D1070,55,$G$5,$H$13)/$E$5))</f>
        <v/>
      </c>
      <c r="L1070" s="247" t="str">
        <f ca="1">IF(C1070="","",IF($L$11="ROA",[1]!S_STM07_IS(D1070,61,$G$5,$H$13)/[1]!S_STM07_BS(D1070,74,$G$5,$H$13),1-[1]!S_STM07_IS(D1070,61,$G$5,$H$13)/[1]!S_STM07_IS(D1070,55,$G$5,$H$13)))</f>
        <v/>
      </c>
      <c r="M1070" s="247" t="str">
        <f ca="1">IF(C1070="","",IF($M$11="ROE",[1]!S_STM07_IS(D1070,61,$G$5,$H$13)/[1]!S_STM07_BS(D1070,141,$G$5,$H$13),([1]!S_STM07_BS(D1070,25,$G$5,$H$13)-[1]!S_STM07_BS(D1070,93,$G$5,$H$13))/$E$5))</f>
        <v/>
      </c>
      <c r="N1070" s="247" t="str">
        <f ca="1">IF(C1070="","",IF($N$11="EPS",[1]!S_STM07_IS(D1070,61,$G$5,$H$13)/IF([1]!S_SHARE_TOTAL(D1070,$G$5)=0,[1]!S_SHARE_TOTAL(D1070,[1]!s_ipo_listeddate(D1070)),[1]!S_SHARE_TOTAL(D1070,$G$5)),([1]!S_STM07_BS(D1070,75,$G$5,$H$13)+[1]!S_STM07_BS(D1070,88,$G$5,$H$13)+[1]!S_STM07_BS(D1070,94,$G$5,$H$13)+[1]!S_STM07_BS(D1070,95,$G$5,$H$13))/$E$5))</f>
        <v/>
      </c>
      <c r="O1070" s="247" t="str">
        <f ca="1">IF(C1070="","",IF($O$11="BPS",[1]!S_STM07_BS(D1070,141,$G$5,$H$13)/IF([1]!S_SHARE_TOTAL(D1070,$G$5)=0,[1]!S_SHARE_TOTAL(D1070,[1]!s_ipo_listeddate(D1070)),[1]!S_SHARE_TOTAL(D1070,$G$5)),[1]!S_STM07_CS(D1070,49,$G$5,$H$13)/$E$5))</f>
        <v/>
      </c>
      <c r="P1070" s="247" t="str">
        <f ca="1">IF(C1070="","",IF($P$11="CFPS",[1]!S_STM07_CS(D1070,84,$G$5,$H$13)/IF([1]!S_SHARE_TOTAL(D1070,$G$5)=0,[1]!S_SHARE_TOTAL(D1070,[1]!s_ipo_listeddate(D1070)),[1]!S_SHARE_TOTAL(D1070,$G$5)),[1]!S_STM07_CS(D1070,84,$G$5,$H$13)/$E$5))</f>
        <v/>
      </c>
      <c r="Q1070" s="248" t="str">
        <f ca="1">IF(C1070="","",F1070/([1]!S_STM07_IS(D1070,61,$G$5,$H$13)/IF([1]!S_SHARE_TOTAL(D1070,$G$5)=0,[1]!S_SHARE_TOTAL(D1070,[1]!s_ipo_listeddate(D1070)),[1]!S_SHARE_TOTAL(D1070,$G$5))))</f>
        <v/>
      </c>
      <c r="R1070" s="248" t="str">
        <f ca="1">IF(C1070="","",F1070/([1]!S_STM07_BS(D1070,141,$G$5,$H$13)/IF([1]!S_SHARE_TOTAL(D1070,$G$5)=0,[1]!S_SHARE_TOTAL(D1070,[1]!s_ipo_listeddate(D1070)),[1]!S_SHARE_TOTAL(D1070,$G$5))))</f>
        <v/>
      </c>
      <c r="S1070" s="247" t="str">
        <f ca="1">IF(C1070="","",[1]!S_SHARE_TOTAL(D1070,TODAY())/$E$5)</f>
        <v/>
      </c>
      <c r="T1070" s="247" t="str">
        <f t="shared" ca="1" si="109"/>
        <v/>
      </c>
      <c r="U1070" s="218" t="str">
        <f t="shared" ca="1" si="110"/>
        <v/>
      </c>
      <c r="V1070" s="342" t="str">
        <f t="shared" ca="1" si="111"/>
        <v/>
      </c>
      <c r="W1070" s="139"/>
      <c r="Y1070" s="1"/>
    </row>
    <row r="1071" spans="3:25" ht="12" customHeight="1">
      <c r="C1071" s="343" t="str">
        <f t="shared" ca="1" si="106"/>
        <v/>
      </c>
      <c r="D1071" s="124" t="str">
        <f t="shared" ca="1" si="107"/>
        <v/>
      </c>
      <c r="E1071" s="124" t="str">
        <f t="shared" ca="1" si="108"/>
        <v/>
      </c>
      <c r="F1071" s="172" t="str">
        <f ca="1">IF(C1071="","",[1]!S_DQ_CLOSE(D1071,TODAY(),1))</f>
        <v/>
      </c>
      <c r="G1071" s="173" t="str">
        <f ca="1">IF(C1071="","",[1]!s_pq_pctchange(D1071,TODAY()-$G$12,TODAY())/100)</f>
        <v/>
      </c>
      <c r="H1071" s="249" t="str">
        <f ca="1">IF(C1071="","",IF($H$11="收入",[1]!S_STM07_IS(D1071,9,$G$5,$H$13)/$E$5,[1]!S_STM07_IS(D1071,48,$G$5,$H$13)/$E$5))</f>
        <v/>
      </c>
      <c r="I1071" s="249" t="str">
        <f ca="1">IF(C1071="","",IF($I$11="毛利率",([1]!S_STM07_IS(D1071,9,$G$5,$H$13)-[1]!S_STM07_IS(D1071,10,$G$5,$H$13))/[1]!S_STM07_IS(D1071,9,$G$5,$H$13),[1]!S_STM07_IS(D1071,14,$G$5,$H$13)/$E$5))</f>
        <v/>
      </c>
      <c r="J1071" s="249" t="str">
        <f ca="1">IF(C1071="","",IF($J$11="营业利润率",[1]!S_STM07_IS(D1071,48,$G$5,$H$13)/[1]!S_STM07_IS(D1071,9,$G$5,$H$13),([1]!S_STM07_CS(D1071,87,$G$5,$H$13)+[1]!S_STM07_CS(D1071,88,$G$5,$H$13)+[1]!S_STM07_CS(D1071,89,$G$5,$H$13))/$E$5))</f>
        <v/>
      </c>
      <c r="K1071" s="249" t="str">
        <f ca="1">IF(C1071="","",IF($K$11="净利润率",[1]!S_STM07_IS(D1071,61,$G$5,$H$13)/[1]!S_STM07_IS(D1071,9,$G$5,$H$13),[1]!S_STM07_IS(D1071,55,$G$5,$H$13)/$E$5))</f>
        <v/>
      </c>
      <c r="L1071" s="249" t="str">
        <f ca="1">IF(C1071="","",IF($L$11="ROA",[1]!S_STM07_IS(D1071,61,$G$5,$H$13)/[1]!S_STM07_BS(D1071,74,$G$5,$H$13),1-[1]!S_STM07_IS(D1071,61,$G$5,$H$13)/[1]!S_STM07_IS(D1071,55,$G$5,$H$13)))</f>
        <v/>
      </c>
      <c r="M1071" s="249" t="str">
        <f ca="1">IF(C1071="","",IF($M$11="ROE",[1]!S_STM07_IS(D1071,61,$G$5,$H$13)/[1]!S_STM07_BS(D1071,141,$G$5,$H$13),([1]!S_STM07_BS(D1071,25,$G$5,$H$13)-[1]!S_STM07_BS(D1071,93,$G$5,$H$13))/$E$5))</f>
        <v/>
      </c>
      <c r="N1071" s="250" t="str">
        <f ca="1">IF(C1071="","",IF($N$11="EPS",[1]!S_STM07_IS(D1071,61,$G$5,$H$13)/IF([1]!S_SHARE_TOTAL(D1071,$G$5)=0,[1]!S_SHARE_TOTAL(D1071,[1]!s_ipo_listeddate(D1071)),[1]!S_SHARE_TOTAL(D1071,$G$5)),([1]!S_STM07_BS(D1071,75,$G$5,$H$13)+[1]!S_STM07_BS(D1071,88,$G$5,$H$13)+[1]!S_STM07_BS(D1071,94,$G$5,$H$13)+[1]!S_STM07_BS(D1071,95,$G$5,$H$13))/$E$5))</f>
        <v/>
      </c>
      <c r="O1071" s="250" t="str">
        <f ca="1">IF(C1071="","",IF($O$11="BPS",[1]!S_STM07_BS(D1071,141,$G$5,$H$13)/IF([1]!S_SHARE_TOTAL(D1071,$G$5)=0,[1]!S_SHARE_TOTAL(D1071,[1]!s_ipo_listeddate(D1071)),[1]!S_SHARE_TOTAL(D1071,$G$5)),[1]!S_STM07_CS(D1071,49,$G$5,$H$13)/$E$5))</f>
        <v/>
      </c>
      <c r="P1071" s="250" t="str">
        <f ca="1">IF(C1071="","",IF($P$11="CFPS",[1]!S_STM07_CS(D1071,84,$G$5,$H$13)/IF([1]!S_SHARE_TOTAL(D1071,$G$5)=0,[1]!S_SHARE_TOTAL(D1071,[1]!s_ipo_listeddate(D1071)),[1]!S_SHARE_TOTAL(D1071,$G$5)),[1]!S_STM07_CS(D1071,84,$G$5,$H$13)/$E$5))</f>
        <v/>
      </c>
      <c r="Q1071" s="198" t="str">
        <f ca="1">IF(C1071="","",F1071/([1]!S_STM07_IS(D1071,61,$G$5,$H$13)/IF([1]!S_SHARE_TOTAL(D1071,$G$5)=0,[1]!S_SHARE_TOTAL(D1071,[1]!s_ipo_listeddate(D1071)),[1]!S_SHARE_TOTAL(D1071,$G$5))))</f>
        <v/>
      </c>
      <c r="R1071" s="198" t="str">
        <f ca="1">IF(C1071="","",F1071/([1]!S_STM07_BS(D1071,141,$G$5,$H$13)/IF([1]!S_SHARE_TOTAL(D1071,$G$5)=0,[1]!S_SHARE_TOTAL(D1071,[1]!s_ipo_listeddate(D1071)),[1]!S_SHARE_TOTAL(D1071,$G$5))))</f>
        <v/>
      </c>
      <c r="S1071" s="249" t="str">
        <f ca="1">IF(C1071="","",[1]!S_SHARE_TOTAL(D1071,TODAY())/$E$5)</f>
        <v/>
      </c>
      <c r="T1071" s="249" t="str">
        <f t="shared" ca="1" si="109"/>
        <v/>
      </c>
      <c r="U1071" s="172" t="str">
        <f t="shared" ca="1" si="110"/>
        <v/>
      </c>
      <c r="V1071" s="343" t="str">
        <f t="shared" ca="1" si="111"/>
        <v/>
      </c>
      <c r="W1071" s="139"/>
      <c r="Y1071" s="1"/>
    </row>
    <row r="1072" spans="3:25" ht="12" customHeight="1">
      <c r="C1072" s="342" t="str">
        <f t="shared" ca="1" si="106"/>
        <v/>
      </c>
      <c r="D1072" s="153" t="str">
        <f t="shared" ca="1" si="107"/>
        <v/>
      </c>
      <c r="E1072" s="153" t="str">
        <f t="shared" ca="1" si="108"/>
        <v/>
      </c>
      <c r="F1072" s="170" t="str">
        <f ca="1">IF(C1072="","",[1]!S_DQ_CLOSE(D1072,TODAY(),1))</f>
        <v/>
      </c>
      <c r="G1072" s="171" t="str">
        <f ca="1">IF(C1072="","",[1]!s_pq_pctchange(D1072,TODAY()-$G$12,TODAY())/100)</f>
        <v/>
      </c>
      <c r="H1072" s="247" t="str">
        <f ca="1">IF(C1072="","",IF($H$11="收入",[1]!S_STM07_IS(D1072,9,$G$5,$H$13)/$E$5,[1]!S_STM07_IS(D1072,48,$G$5,$H$13)/$E$5))</f>
        <v/>
      </c>
      <c r="I1072" s="247" t="str">
        <f ca="1">IF(C1072="","",IF($I$11="毛利率",([1]!S_STM07_IS(D1072,9,$G$5,$H$13)-[1]!S_STM07_IS(D1072,10,$G$5,$H$13))/[1]!S_STM07_IS(D1072,9,$G$5,$H$13),[1]!S_STM07_IS(D1072,14,$G$5,$H$13)/$E$5))</f>
        <v/>
      </c>
      <c r="J1072" s="247" t="str">
        <f ca="1">IF(C1072="","",IF($J$11="营业利润率",[1]!S_STM07_IS(D1072,48,$G$5,$H$13)/[1]!S_STM07_IS(D1072,9,$G$5,$H$13),([1]!S_STM07_CS(D1072,87,$G$5,$H$13)+[1]!S_STM07_CS(D1072,88,$G$5,$H$13)+[1]!S_STM07_CS(D1072,89,$G$5,$H$13))/$E$5))</f>
        <v/>
      </c>
      <c r="K1072" s="247" t="str">
        <f ca="1">IF(C1072="","",IF($K$11="净利润率",[1]!S_STM07_IS(D1072,61,$G$5,$H$13)/[1]!S_STM07_IS(D1072,9,$G$5,$H$13),[1]!S_STM07_IS(D1072,55,$G$5,$H$13)/$E$5))</f>
        <v/>
      </c>
      <c r="L1072" s="247" t="str">
        <f ca="1">IF(C1072="","",IF($L$11="ROA",[1]!S_STM07_IS(D1072,61,$G$5,$H$13)/[1]!S_STM07_BS(D1072,74,$G$5,$H$13),1-[1]!S_STM07_IS(D1072,61,$G$5,$H$13)/[1]!S_STM07_IS(D1072,55,$G$5,$H$13)))</f>
        <v/>
      </c>
      <c r="M1072" s="247" t="str">
        <f ca="1">IF(C1072="","",IF($M$11="ROE",[1]!S_STM07_IS(D1072,61,$G$5,$H$13)/[1]!S_STM07_BS(D1072,141,$G$5,$H$13),([1]!S_STM07_BS(D1072,25,$G$5,$H$13)-[1]!S_STM07_BS(D1072,93,$G$5,$H$13))/$E$5))</f>
        <v/>
      </c>
      <c r="N1072" s="247" t="str">
        <f ca="1">IF(C1072="","",IF($N$11="EPS",[1]!S_STM07_IS(D1072,61,$G$5,$H$13)/IF([1]!S_SHARE_TOTAL(D1072,$G$5)=0,[1]!S_SHARE_TOTAL(D1072,[1]!s_ipo_listeddate(D1072)),[1]!S_SHARE_TOTAL(D1072,$G$5)),([1]!S_STM07_BS(D1072,75,$G$5,$H$13)+[1]!S_STM07_BS(D1072,88,$G$5,$H$13)+[1]!S_STM07_BS(D1072,94,$G$5,$H$13)+[1]!S_STM07_BS(D1072,95,$G$5,$H$13))/$E$5))</f>
        <v/>
      </c>
      <c r="O1072" s="247" t="str">
        <f ca="1">IF(C1072="","",IF($O$11="BPS",[1]!S_STM07_BS(D1072,141,$G$5,$H$13)/IF([1]!S_SHARE_TOTAL(D1072,$G$5)=0,[1]!S_SHARE_TOTAL(D1072,[1]!s_ipo_listeddate(D1072)),[1]!S_SHARE_TOTAL(D1072,$G$5)),[1]!S_STM07_CS(D1072,49,$G$5,$H$13)/$E$5))</f>
        <v/>
      </c>
      <c r="P1072" s="247" t="str">
        <f ca="1">IF(C1072="","",IF($P$11="CFPS",[1]!S_STM07_CS(D1072,84,$G$5,$H$13)/IF([1]!S_SHARE_TOTAL(D1072,$G$5)=0,[1]!S_SHARE_TOTAL(D1072,[1]!s_ipo_listeddate(D1072)),[1]!S_SHARE_TOTAL(D1072,$G$5)),[1]!S_STM07_CS(D1072,84,$G$5,$H$13)/$E$5))</f>
        <v/>
      </c>
      <c r="Q1072" s="248" t="str">
        <f ca="1">IF(C1072="","",F1072/([1]!S_STM07_IS(D1072,61,$G$5,$H$13)/IF([1]!S_SHARE_TOTAL(D1072,$G$5)=0,[1]!S_SHARE_TOTAL(D1072,[1]!s_ipo_listeddate(D1072)),[1]!S_SHARE_TOTAL(D1072,$G$5))))</f>
        <v/>
      </c>
      <c r="R1072" s="248" t="str">
        <f ca="1">IF(C1072="","",F1072/([1]!S_STM07_BS(D1072,141,$G$5,$H$13)/IF([1]!S_SHARE_TOTAL(D1072,$G$5)=0,[1]!S_SHARE_TOTAL(D1072,[1]!s_ipo_listeddate(D1072)),[1]!S_SHARE_TOTAL(D1072,$G$5))))</f>
        <v/>
      </c>
      <c r="S1072" s="247" t="str">
        <f ca="1">IF(C1072="","",[1]!S_SHARE_TOTAL(D1072,TODAY())/$E$5)</f>
        <v/>
      </c>
      <c r="T1072" s="247" t="str">
        <f t="shared" ca="1" si="109"/>
        <v/>
      </c>
      <c r="U1072" s="218" t="str">
        <f t="shared" ca="1" si="110"/>
        <v/>
      </c>
      <c r="V1072" s="342" t="str">
        <f t="shared" ca="1" si="111"/>
        <v/>
      </c>
      <c r="W1072" s="139"/>
      <c r="Y1072" s="1"/>
    </row>
    <row r="1073" spans="3:25" ht="12" customHeight="1">
      <c r="C1073" s="343" t="str">
        <f t="shared" ca="1" si="106"/>
        <v/>
      </c>
      <c r="D1073" s="124" t="str">
        <f t="shared" ca="1" si="107"/>
        <v/>
      </c>
      <c r="E1073" s="124" t="str">
        <f t="shared" ca="1" si="108"/>
        <v/>
      </c>
      <c r="F1073" s="172" t="str">
        <f ca="1">IF(C1073="","",[1]!S_DQ_CLOSE(D1073,TODAY(),1))</f>
        <v/>
      </c>
      <c r="G1073" s="173" t="str">
        <f ca="1">IF(C1073="","",[1]!s_pq_pctchange(D1073,TODAY()-$G$12,TODAY())/100)</f>
        <v/>
      </c>
      <c r="H1073" s="249" t="str">
        <f ca="1">IF(C1073="","",IF($H$11="收入",[1]!S_STM07_IS(D1073,9,$G$5,$H$13)/$E$5,[1]!S_STM07_IS(D1073,48,$G$5,$H$13)/$E$5))</f>
        <v/>
      </c>
      <c r="I1073" s="249" t="str">
        <f ca="1">IF(C1073="","",IF($I$11="毛利率",([1]!S_STM07_IS(D1073,9,$G$5,$H$13)-[1]!S_STM07_IS(D1073,10,$G$5,$H$13))/[1]!S_STM07_IS(D1073,9,$G$5,$H$13),[1]!S_STM07_IS(D1073,14,$G$5,$H$13)/$E$5))</f>
        <v/>
      </c>
      <c r="J1073" s="249" t="str">
        <f ca="1">IF(C1073="","",IF($J$11="营业利润率",[1]!S_STM07_IS(D1073,48,$G$5,$H$13)/[1]!S_STM07_IS(D1073,9,$G$5,$H$13),([1]!S_STM07_CS(D1073,87,$G$5,$H$13)+[1]!S_STM07_CS(D1073,88,$G$5,$H$13)+[1]!S_STM07_CS(D1073,89,$G$5,$H$13))/$E$5))</f>
        <v/>
      </c>
      <c r="K1073" s="249" t="str">
        <f ca="1">IF(C1073="","",IF($K$11="净利润率",[1]!S_STM07_IS(D1073,61,$G$5,$H$13)/[1]!S_STM07_IS(D1073,9,$G$5,$H$13),[1]!S_STM07_IS(D1073,55,$G$5,$H$13)/$E$5))</f>
        <v/>
      </c>
      <c r="L1073" s="249" t="str">
        <f ca="1">IF(C1073="","",IF($L$11="ROA",[1]!S_STM07_IS(D1073,61,$G$5,$H$13)/[1]!S_STM07_BS(D1073,74,$G$5,$H$13),1-[1]!S_STM07_IS(D1073,61,$G$5,$H$13)/[1]!S_STM07_IS(D1073,55,$G$5,$H$13)))</f>
        <v/>
      </c>
      <c r="M1073" s="249" t="str">
        <f ca="1">IF(C1073="","",IF($M$11="ROE",[1]!S_STM07_IS(D1073,61,$G$5,$H$13)/[1]!S_STM07_BS(D1073,141,$G$5,$H$13),([1]!S_STM07_BS(D1073,25,$G$5,$H$13)-[1]!S_STM07_BS(D1073,93,$G$5,$H$13))/$E$5))</f>
        <v/>
      </c>
      <c r="N1073" s="250" t="str">
        <f ca="1">IF(C1073="","",IF($N$11="EPS",[1]!S_STM07_IS(D1073,61,$G$5,$H$13)/IF([1]!S_SHARE_TOTAL(D1073,$G$5)=0,[1]!S_SHARE_TOTAL(D1073,[1]!s_ipo_listeddate(D1073)),[1]!S_SHARE_TOTAL(D1073,$G$5)),([1]!S_STM07_BS(D1073,75,$G$5,$H$13)+[1]!S_STM07_BS(D1073,88,$G$5,$H$13)+[1]!S_STM07_BS(D1073,94,$G$5,$H$13)+[1]!S_STM07_BS(D1073,95,$G$5,$H$13))/$E$5))</f>
        <v/>
      </c>
      <c r="O1073" s="250" t="str">
        <f ca="1">IF(C1073="","",IF($O$11="BPS",[1]!S_STM07_BS(D1073,141,$G$5,$H$13)/IF([1]!S_SHARE_TOTAL(D1073,$G$5)=0,[1]!S_SHARE_TOTAL(D1073,[1]!s_ipo_listeddate(D1073)),[1]!S_SHARE_TOTAL(D1073,$G$5)),[1]!S_STM07_CS(D1073,49,$G$5,$H$13)/$E$5))</f>
        <v/>
      </c>
      <c r="P1073" s="250" t="str">
        <f ca="1">IF(C1073="","",IF($P$11="CFPS",[1]!S_STM07_CS(D1073,84,$G$5,$H$13)/IF([1]!S_SHARE_TOTAL(D1073,$G$5)=0,[1]!S_SHARE_TOTAL(D1073,[1]!s_ipo_listeddate(D1073)),[1]!S_SHARE_TOTAL(D1073,$G$5)),[1]!S_STM07_CS(D1073,84,$G$5,$H$13)/$E$5))</f>
        <v/>
      </c>
      <c r="Q1073" s="198" t="str">
        <f ca="1">IF(C1073="","",F1073/([1]!S_STM07_IS(D1073,61,$G$5,$H$13)/IF([1]!S_SHARE_TOTAL(D1073,$G$5)=0,[1]!S_SHARE_TOTAL(D1073,[1]!s_ipo_listeddate(D1073)),[1]!S_SHARE_TOTAL(D1073,$G$5))))</f>
        <v/>
      </c>
      <c r="R1073" s="198" t="str">
        <f ca="1">IF(C1073="","",F1073/([1]!S_STM07_BS(D1073,141,$G$5,$H$13)/IF([1]!S_SHARE_TOTAL(D1073,$G$5)=0,[1]!S_SHARE_TOTAL(D1073,[1]!s_ipo_listeddate(D1073)),[1]!S_SHARE_TOTAL(D1073,$G$5))))</f>
        <v/>
      </c>
      <c r="S1073" s="249" t="str">
        <f ca="1">IF(C1073="","",[1]!S_SHARE_TOTAL(D1073,TODAY())/$E$5)</f>
        <v/>
      </c>
      <c r="T1073" s="249" t="str">
        <f t="shared" ca="1" si="109"/>
        <v/>
      </c>
      <c r="U1073" s="172" t="str">
        <f t="shared" ca="1" si="110"/>
        <v/>
      </c>
      <c r="V1073" s="343" t="str">
        <f t="shared" ca="1" si="111"/>
        <v/>
      </c>
      <c r="W1073" s="139"/>
      <c r="Y1073" s="1"/>
    </row>
    <row r="1074" spans="3:25" ht="12" customHeight="1">
      <c r="C1074" s="342" t="str">
        <f t="shared" ca="1" si="106"/>
        <v/>
      </c>
      <c r="D1074" s="153" t="str">
        <f t="shared" ca="1" si="107"/>
        <v/>
      </c>
      <c r="E1074" s="153" t="str">
        <f t="shared" ca="1" si="108"/>
        <v/>
      </c>
      <c r="F1074" s="170" t="str">
        <f ca="1">IF(C1074="","",[1]!S_DQ_CLOSE(D1074,TODAY(),1))</f>
        <v/>
      </c>
      <c r="G1074" s="171" t="str">
        <f ca="1">IF(C1074="","",[1]!s_pq_pctchange(D1074,TODAY()-$G$12,TODAY())/100)</f>
        <v/>
      </c>
      <c r="H1074" s="247" t="str">
        <f ca="1">IF(C1074="","",IF($H$11="收入",[1]!S_STM07_IS(D1074,9,$G$5,$H$13)/$E$5,[1]!S_STM07_IS(D1074,48,$G$5,$H$13)/$E$5))</f>
        <v/>
      </c>
      <c r="I1074" s="247" t="str">
        <f ca="1">IF(C1074="","",IF($I$11="毛利率",([1]!S_STM07_IS(D1074,9,$G$5,$H$13)-[1]!S_STM07_IS(D1074,10,$G$5,$H$13))/[1]!S_STM07_IS(D1074,9,$G$5,$H$13),[1]!S_STM07_IS(D1074,14,$G$5,$H$13)/$E$5))</f>
        <v/>
      </c>
      <c r="J1074" s="247" t="str">
        <f ca="1">IF(C1074="","",IF($J$11="营业利润率",[1]!S_STM07_IS(D1074,48,$G$5,$H$13)/[1]!S_STM07_IS(D1074,9,$G$5,$H$13),([1]!S_STM07_CS(D1074,87,$G$5,$H$13)+[1]!S_STM07_CS(D1074,88,$G$5,$H$13)+[1]!S_STM07_CS(D1074,89,$G$5,$H$13))/$E$5))</f>
        <v/>
      </c>
      <c r="K1074" s="247" t="str">
        <f ca="1">IF(C1074="","",IF($K$11="净利润率",[1]!S_STM07_IS(D1074,61,$G$5,$H$13)/[1]!S_STM07_IS(D1074,9,$G$5,$H$13),[1]!S_STM07_IS(D1074,55,$G$5,$H$13)/$E$5))</f>
        <v/>
      </c>
      <c r="L1074" s="247" t="str">
        <f ca="1">IF(C1074="","",IF($L$11="ROA",[1]!S_STM07_IS(D1074,61,$G$5,$H$13)/[1]!S_STM07_BS(D1074,74,$G$5,$H$13),1-[1]!S_STM07_IS(D1074,61,$G$5,$H$13)/[1]!S_STM07_IS(D1074,55,$G$5,$H$13)))</f>
        <v/>
      </c>
      <c r="M1074" s="247" t="str">
        <f ca="1">IF(C1074="","",IF($M$11="ROE",[1]!S_STM07_IS(D1074,61,$G$5,$H$13)/[1]!S_STM07_BS(D1074,141,$G$5,$H$13),([1]!S_STM07_BS(D1074,25,$G$5,$H$13)-[1]!S_STM07_BS(D1074,93,$G$5,$H$13))/$E$5))</f>
        <v/>
      </c>
      <c r="N1074" s="247" t="str">
        <f ca="1">IF(C1074="","",IF($N$11="EPS",[1]!S_STM07_IS(D1074,61,$G$5,$H$13)/IF([1]!S_SHARE_TOTAL(D1074,$G$5)=0,[1]!S_SHARE_TOTAL(D1074,[1]!s_ipo_listeddate(D1074)),[1]!S_SHARE_TOTAL(D1074,$G$5)),([1]!S_STM07_BS(D1074,75,$G$5,$H$13)+[1]!S_STM07_BS(D1074,88,$G$5,$H$13)+[1]!S_STM07_BS(D1074,94,$G$5,$H$13)+[1]!S_STM07_BS(D1074,95,$G$5,$H$13))/$E$5))</f>
        <v/>
      </c>
      <c r="O1074" s="247" t="str">
        <f ca="1">IF(C1074="","",IF($O$11="BPS",[1]!S_STM07_BS(D1074,141,$G$5,$H$13)/IF([1]!S_SHARE_TOTAL(D1074,$G$5)=0,[1]!S_SHARE_TOTAL(D1074,[1]!s_ipo_listeddate(D1074)),[1]!S_SHARE_TOTAL(D1074,$G$5)),[1]!S_STM07_CS(D1074,49,$G$5,$H$13)/$E$5))</f>
        <v/>
      </c>
      <c r="P1074" s="247" t="str">
        <f ca="1">IF(C1074="","",IF($P$11="CFPS",[1]!S_STM07_CS(D1074,84,$G$5,$H$13)/IF([1]!S_SHARE_TOTAL(D1074,$G$5)=0,[1]!S_SHARE_TOTAL(D1074,[1]!s_ipo_listeddate(D1074)),[1]!S_SHARE_TOTAL(D1074,$G$5)),[1]!S_STM07_CS(D1074,84,$G$5,$H$13)/$E$5))</f>
        <v/>
      </c>
      <c r="Q1074" s="248" t="str">
        <f ca="1">IF(C1074="","",F1074/([1]!S_STM07_IS(D1074,61,$G$5,$H$13)/IF([1]!S_SHARE_TOTAL(D1074,$G$5)=0,[1]!S_SHARE_TOTAL(D1074,[1]!s_ipo_listeddate(D1074)),[1]!S_SHARE_TOTAL(D1074,$G$5))))</f>
        <v/>
      </c>
      <c r="R1074" s="248" t="str">
        <f ca="1">IF(C1074="","",F1074/([1]!S_STM07_BS(D1074,141,$G$5,$H$13)/IF([1]!S_SHARE_TOTAL(D1074,$G$5)=0,[1]!S_SHARE_TOTAL(D1074,[1]!s_ipo_listeddate(D1074)),[1]!S_SHARE_TOTAL(D1074,$G$5))))</f>
        <v/>
      </c>
      <c r="S1074" s="247" t="str">
        <f ca="1">IF(C1074="","",[1]!S_SHARE_TOTAL(D1074,TODAY())/$E$5)</f>
        <v/>
      </c>
      <c r="T1074" s="247" t="str">
        <f t="shared" ca="1" si="109"/>
        <v/>
      </c>
      <c r="U1074" s="218" t="str">
        <f t="shared" ca="1" si="110"/>
        <v/>
      </c>
      <c r="V1074" s="342" t="str">
        <f t="shared" ca="1" si="111"/>
        <v/>
      </c>
      <c r="W1074" s="139"/>
      <c r="Y1074" s="1"/>
    </row>
    <row r="1075" spans="3:25" ht="12" customHeight="1">
      <c r="C1075" s="343" t="str">
        <f t="shared" ca="1" si="106"/>
        <v/>
      </c>
      <c r="D1075" s="124" t="str">
        <f t="shared" ca="1" si="107"/>
        <v/>
      </c>
      <c r="E1075" s="124" t="str">
        <f t="shared" ca="1" si="108"/>
        <v/>
      </c>
      <c r="F1075" s="172" t="str">
        <f ca="1">IF(C1075="","",[1]!S_DQ_CLOSE(D1075,TODAY(),1))</f>
        <v/>
      </c>
      <c r="G1075" s="173" t="str">
        <f ca="1">IF(C1075="","",[1]!s_pq_pctchange(D1075,TODAY()-$G$12,TODAY())/100)</f>
        <v/>
      </c>
      <c r="H1075" s="249" t="str">
        <f ca="1">IF(C1075="","",IF($H$11="收入",[1]!S_STM07_IS(D1075,9,$G$5,$H$13)/$E$5,[1]!S_STM07_IS(D1075,48,$G$5,$H$13)/$E$5))</f>
        <v/>
      </c>
      <c r="I1075" s="249" t="str">
        <f ca="1">IF(C1075="","",IF($I$11="毛利率",([1]!S_STM07_IS(D1075,9,$G$5,$H$13)-[1]!S_STM07_IS(D1075,10,$G$5,$H$13))/[1]!S_STM07_IS(D1075,9,$G$5,$H$13),[1]!S_STM07_IS(D1075,14,$G$5,$H$13)/$E$5))</f>
        <v/>
      </c>
      <c r="J1075" s="249" t="str">
        <f ca="1">IF(C1075="","",IF($J$11="营业利润率",[1]!S_STM07_IS(D1075,48,$G$5,$H$13)/[1]!S_STM07_IS(D1075,9,$G$5,$H$13),([1]!S_STM07_CS(D1075,87,$G$5,$H$13)+[1]!S_STM07_CS(D1075,88,$G$5,$H$13)+[1]!S_STM07_CS(D1075,89,$G$5,$H$13))/$E$5))</f>
        <v/>
      </c>
      <c r="K1075" s="249" t="str">
        <f ca="1">IF(C1075="","",IF($K$11="净利润率",[1]!S_STM07_IS(D1075,61,$G$5,$H$13)/[1]!S_STM07_IS(D1075,9,$G$5,$H$13),[1]!S_STM07_IS(D1075,55,$G$5,$H$13)/$E$5))</f>
        <v/>
      </c>
      <c r="L1075" s="249" t="str">
        <f ca="1">IF(C1075="","",IF($L$11="ROA",[1]!S_STM07_IS(D1075,61,$G$5,$H$13)/[1]!S_STM07_BS(D1075,74,$G$5,$H$13),1-[1]!S_STM07_IS(D1075,61,$G$5,$H$13)/[1]!S_STM07_IS(D1075,55,$G$5,$H$13)))</f>
        <v/>
      </c>
      <c r="M1075" s="249" t="str">
        <f ca="1">IF(C1075="","",IF($M$11="ROE",[1]!S_STM07_IS(D1075,61,$G$5,$H$13)/[1]!S_STM07_BS(D1075,141,$G$5,$H$13),([1]!S_STM07_BS(D1075,25,$G$5,$H$13)-[1]!S_STM07_BS(D1075,93,$G$5,$H$13))/$E$5))</f>
        <v/>
      </c>
      <c r="N1075" s="250" t="str">
        <f ca="1">IF(C1075="","",IF($N$11="EPS",[1]!S_STM07_IS(D1075,61,$G$5,$H$13)/IF([1]!S_SHARE_TOTAL(D1075,$G$5)=0,[1]!S_SHARE_TOTAL(D1075,[1]!s_ipo_listeddate(D1075)),[1]!S_SHARE_TOTAL(D1075,$G$5)),([1]!S_STM07_BS(D1075,75,$G$5,$H$13)+[1]!S_STM07_BS(D1075,88,$G$5,$H$13)+[1]!S_STM07_BS(D1075,94,$G$5,$H$13)+[1]!S_STM07_BS(D1075,95,$G$5,$H$13))/$E$5))</f>
        <v/>
      </c>
      <c r="O1075" s="250" t="str">
        <f ca="1">IF(C1075="","",IF($O$11="BPS",[1]!S_STM07_BS(D1075,141,$G$5,$H$13)/IF([1]!S_SHARE_TOTAL(D1075,$G$5)=0,[1]!S_SHARE_TOTAL(D1075,[1]!s_ipo_listeddate(D1075)),[1]!S_SHARE_TOTAL(D1075,$G$5)),[1]!S_STM07_CS(D1075,49,$G$5,$H$13)/$E$5))</f>
        <v/>
      </c>
      <c r="P1075" s="250" t="str">
        <f ca="1">IF(C1075="","",IF($P$11="CFPS",[1]!S_STM07_CS(D1075,84,$G$5,$H$13)/IF([1]!S_SHARE_TOTAL(D1075,$G$5)=0,[1]!S_SHARE_TOTAL(D1075,[1]!s_ipo_listeddate(D1075)),[1]!S_SHARE_TOTAL(D1075,$G$5)),[1]!S_STM07_CS(D1075,84,$G$5,$H$13)/$E$5))</f>
        <v/>
      </c>
      <c r="Q1075" s="198" t="str">
        <f ca="1">IF(C1075="","",F1075/([1]!S_STM07_IS(D1075,61,$G$5,$H$13)/IF([1]!S_SHARE_TOTAL(D1075,$G$5)=0,[1]!S_SHARE_TOTAL(D1075,[1]!s_ipo_listeddate(D1075)),[1]!S_SHARE_TOTAL(D1075,$G$5))))</f>
        <v/>
      </c>
      <c r="R1075" s="198" t="str">
        <f ca="1">IF(C1075="","",F1075/([1]!S_STM07_BS(D1075,141,$G$5,$H$13)/IF([1]!S_SHARE_TOTAL(D1075,$G$5)=0,[1]!S_SHARE_TOTAL(D1075,[1]!s_ipo_listeddate(D1075)),[1]!S_SHARE_TOTAL(D1075,$G$5))))</f>
        <v/>
      </c>
      <c r="S1075" s="249" t="str">
        <f ca="1">IF(C1075="","",[1]!S_SHARE_TOTAL(D1075,TODAY())/$E$5)</f>
        <v/>
      </c>
      <c r="T1075" s="249" t="str">
        <f t="shared" ca="1" si="109"/>
        <v/>
      </c>
      <c r="U1075" s="172" t="str">
        <f t="shared" ca="1" si="110"/>
        <v/>
      </c>
      <c r="V1075" s="343" t="str">
        <f t="shared" ca="1" si="111"/>
        <v/>
      </c>
      <c r="W1075" s="139"/>
      <c r="Y1075" s="1"/>
    </row>
    <row r="1076" spans="3:25" ht="12" customHeight="1">
      <c r="C1076" s="342" t="str">
        <f t="shared" ca="1" si="106"/>
        <v/>
      </c>
      <c r="D1076" s="153" t="str">
        <f t="shared" ca="1" si="107"/>
        <v/>
      </c>
      <c r="E1076" s="153" t="str">
        <f t="shared" ca="1" si="108"/>
        <v/>
      </c>
      <c r="F1076" s="170" t="str">
        <f ca="1">IF(C1076="","",[1]!S_DQ_CLOSE(D1076,TODAY(),1))</f>
        <v/>
      </c>
      <c r="G1076" s="171" t="str">
        <f ca="1">IF(C1076="","",[1]!s_pq_pctchange(D1076,TODAY()-$G$12,TODAY())/100)</f>
        <v/>
      </c>
      <c r="H1076" s="247" t="str">
        <f ca="1">IF(C1076="","",IF($H$11="收入",[1]!S_STM07_IS(D1076,9,$G$5,$H$13)/$E$5,[1]!S_STM07_IS(D1076,48,$G$5,$H$13)/$E$5))</f>
        <v/>
      </c>
      <c r="I1076" s="247" t="str">
        <f ca="1">IF(C1076="","",IF($I$11="毛利率",([1]!S_STM07_IS(D1076,9,$G$5,$H$13)-[1]!S_STM07_IS(D1076,10,$G$5,$H$13))/[1]!S_STM07_IS(D1076,9,$G$5,$H$13),[1]!S_STM07_IS(D1076,14,$G$5,$H$13)/$E$5))</f>
        <v/>
      </c>
      <c r="J1076" s="247" t="str">
        <f ca="1">IF(C1076="","",IF($J$11="营业利润率",[1]!S_STM07_IS(D1076,48,$G$5,$H$13)/[1]!S_STM07_IS(D1076,9,$G$5,$H$13),([1]!S_STM07_CS(D1076,87,$G$5,$H$13)+[1]!S_STM07_CS(D1076,88,$G$5,$H$13)+[1]!S_STM07_CS(D1076,89,$G$5,$H$13))/$E$5))</f>
        <v/>
      </c>
      <c r="K1076" s="247" t="str">
        <f ca="1">IF(C1076="","",IF($K$11="净利润率",[1]!S_STM07_IS(D1076,61,$G$5,$H$13)/[1]!S_STM07_IS(D1076,9,$G$5,$H$13),[1]!S_STM07_IS(D1076,55,$G$5,$H$13)/$E$5))</f>
        <v/>
      </c>
      <c r="L1076" s="247" t="str">
        <f ca="1">IF(C1076="","",IF($L$11="ROA",[1]!S_STM07_IS(D1076,61,$G$5,$H$13)/[1]!S_STM07_BS(D1076,74,$G$5,$H$13),1-[1]!S_STM07_IS(D1076,61,$G$5,$H$13)/[1]!S_STM07_IS(D1076,55,$G$5,$H$13)))</f>
        <v/>
      </c>
      <c r="M1076" s="247" t="str">
        <f ca="1">IF(C1076="","",IF($M$11="ROE",[1]!S_STM07_IS(D1076,61,$G$5,$H$13)/[1]!S_STM07_BS(D1076,141,$G$5,$H$13),([1]!S_STM07_BS(D1076,25,$G$5,$H$13)-[1]!S_STM07_BS(D1076,93,$G$5,$H$13))/$E$5))</f>
        <v/>
      </c>
      <c r="N1076" s="247" t="str">
        <f ca="1">IF(C1076="","",IF($N$11="EPS",[1]!S_STM07_IS(D1076,61,$G$5,$H$13)/IF([1]!S_SHARE_TOTAL(D1076,$G$5)=0,[1]!S_SHARE_TOTAL(D1076,[1]!s_ipo_listeddate(D1076)),[1]!S_SHARE_TOTAL(D1076,$G$5)),([1]!S_STM07_BS(D1076,75,$G$5,$H$13)+[1]!S_STM07_BS(D1076,88,$G$5,$H$13)+[1]!S_STM07_BS(D1076,94,$G$5,$H$13)+[1]!S_STM07_BS(D1076,95,$G$5,$H$13))/$E$5))</f>
        <v/>
      </c>
      <c r="O1076" s="247" t="str">
        <f ca="1">IF(C1076="","",IF($O$11="BPS",[1]!S_STM07_BS(D1076,141,$G$5,$H$13)/IF([1]!S_SHARE_TOTAL(D1076,$G$5)=0,[1]!S_SHARE_TOTAL(D1076,[1]!s_ipo_listeddate(D1076)),[1]!S_SHARE_TOTAL(D1076,$G$5)),[1]!S_STM07_CS(D1076,49,$G$5,$H$13)/$E$5))</f>
        <v/>
      </c>
      <c r="P1076" s="247" t="str">
        <f ca="1">IF(C1076="","",IF($P$11="CFPS",[1]!S_STM07_CS(D1076,84,$G$5,$H$13)/IF([1]!S_SHARE_TOTAL(D1076,$G$5)=0,[1]!S_SHARE_TOTAL(D1076,[1]!s_ipo_listeddate(D1076)),[1]!S_SHARE_TOTAL(D1076,$G$5)),[1]!S_STM07_CS(D1076,84,$G$5,$H$13)/$E$5))</f>
        <v/>
      </c>
      <c r="Q1076" s="248" t="str">
        <f ca="1">IF(C1076="","",F1076/([1]!S_STM07_IS(D1076,61,$G$5,$H$13)/IF([1]!S_SHARE_TOTAL(D1076,$G$5)=0,[1]!S_SHARE_TOTAL(D1076,[1]!s_ipo_listeddate(D1076)),[1]!S_SHARE_TOTAL(D1076,$G$5))))</f>
        <v/>
      </c>
      <c r="R1076" s="248" t="str">
        <f ca="1">IF(C1076="","",F1076/([1]!S_STM07_BS(D1076,141,$G$5,$H$13)/IF([1]!S_SHARE_TOTAL(D1076,$G$5)=0,[1]!S_SHARE_TOTAL(D1076,[1]!s_ipo_listeddate(D1076)),[1]!S_SHARE_TOTAL(D1076,$G$5))))</f>
        <v/>
      </c>
      <c r="S1076" s="247" t="str">
        <f ca="1">IF(C1076="","",[1]!S_SHARE_TOTAL(D1076,TODAY())/$E$5)</f>
        <v/>
      </c>
      <c r="T1076" s="247" t="str">
        <f t="shared" ca="1" si="109"/>
        <v/>
      </c>
      <c r="U1076" s="218" t="str">
        <f t="shared" ca="1" si="110"/>
        <v/>
      </c>
      <c r="V1076" s="342" t="str">
        <f t="shared" ca="1" si="111"/>
        <v/>
      </c>
      <c r="W1076" s="139"/>
      <c r="Y1076" s="1"/>
    </row>
    <row r="1077" spans="3:25" ht="12" customHeight="1">
      <c r="C1077" s="343" t="str">
        <f t="shared" ca="1" si="106"/>
        <v/>
      </c>
      <c r="D1077" s="124" t="str">
        <f t="shared" ca="1" si="107"/>
        <v/>
      </c>
      <c r="E1077" s="124" t="str">
        <f t="shared" ca="1" si="108"/>
        <v/>
      </c>
      <c r="F1077" s="172" t="str">
        <f ca="1">IF(C1077="","",[1]!S_DQ_CLOSE(D1077,TODAY(),1))</f>
        <v/>
      </c>
      <c r="G1077" s="173" t="str">
        <f ca="1">IF(C1077="","",[1]!s_pq_pctchange(D1077,TODAY()-$G$12,TODAY())/100)</f>
        <v/>
      </c>
      <c r="H1077" s="249" t="str">
        <f ca="1">IF(C1077="","",IF($H$11="收入",[1]!S_STM07_IS(D1077,9,$G$5,$H$13)/$E$5,[1]!S_STM07_IS(D1077,48,$G$5,$H$13)/$E$5))</f>
        <v/>
      </c>
      <c r="I1077" s="249" t="str">
        <f ca="1">IF(C1077="","",IF($I$11="毛利率",([1]!S_STM07_IS(D1077,9,$G$5,$H$13)-[1]!S_STM07_IS(D1077,10,$G$5,$H$13))/[1]!S_STM07_IS(D1077,9,$G$5,$H$13),[1]!S_STM07_IS(D1077,14,$G$5,$H$13)/$E$5))</f>
        <v/>
      </c>
      <c r="J1077" s="249" t="str">
        <f ca="1">IF(C1077="","",IF($J$11="营业利润率",[1]!S_STM07_IS(D1077,48,$G$5,$H$13)/[1]!S_STM07_IS(D1077,9,$G$5,$H$13),([1]!S_STM07_CS(D1077,87,$G$5,$H$13)+[1]!S_STM07_CS(D1077,88,$G$5,$H$13)+[1]!S_STM07_CS(D1077,89,$G$5,$H$13))/$E$5))</f>
        <v/>
      </c>
      <c r="K1077" s="249" t="str">
        <f ca="1">IF(C1077="","",IF($K$11="净利润率",[1]!S_STM07_IS(D1077,61,$G$5,$H$13)/[1]!S_STM07_IS(D1077,9,$G$5,$H$13),[1]!S_STM07_IS(D1077,55,$G$5,$H$13)/$E$5))</f>
        <v/>
      </c>
      <c r="L1077" s="249" t="str">
        <f ca="1">IF(C1077="","",IF($L$11="ROA",[1]!S_STM07_IS(D1077,61,$G$5,$H$13)/[1]!S_STM07_BS(D1077,74,$G$5,$H$13),1-[1]!S_STM07_IS(D1077,61,$G$5,$H$13)/[1]!S_STM07_IS(D1077,55,$G$5,$H$13)))</f>
        <v/>
      </c>
      <c r="M1077" s="249" t="str">
        <f ca="1">IF(C1077="","",IF($M$11="ROE",[1]!S_STM07_IS(D1077,61,$G$5,$H$13)/[1]!S_STM07_BS(D1077,141,$G$5,$H$13),([1]!S_STM07_BS(D1077,25,$G$5,$H$13)-[1]!S_STM07_BS(D1077,93,$G$5,$H$13))/$E$5))</f>
        <v/>
      </c>
      <c r="N1077" s="250" t="str">
        <f ca="1">IF(C1077="","",IF($N$11="EPS",[1]!S_STM07_IS(D1077,61,$G$5,$H$13)/IF([1]!S_SHARE_TOTAL(D1077,$G$5)=0,[1]!S_SHARE_TOTAL(D1077,[1]!s_ipo_listeddate(D1077)),[1]!S_SHARE_TOTAL(D1077,$G$5)),([1]!S_STM07_BS(D1077,75,$G$5,$H$13)+[1]!S_STM07_BS(D1077,88,$G$5,$H$13)+[1]!S_STM07_BS(D1077,94,$G$5,$H$13)+[1]!S_STM07_BS(D1077,95,$G$5,$H$13))/$E$5))</f>
        <v/>
      </c>
      <c r="O1077" s="250" t="str">
        <f ca="1">IF(C1077="","",IF($O$11="BPS",[1]!S_STM07_BS(D1077,141,$G$5,$H$13)/IF([1]!S_SHARE_TOTAL(D1077,$G$5)=0,[1]!S_SHARE_TOTAL(D1077,[1]!s_ipo_listeddate(D1077)),[1]!S_SHARE_TOTAL(D1077,$G$5)),[1]!S_STM07_CS(D1077,49,$G$5,$H$13)/$E$5))</f>
        <v/>
      </c>
      <c r="P1077" s="250" t="str">
        <f ca="1">IF(C1077="","",IF($P$11="CFPS",[1]!S_STM07_CS(D1077,84,$G$5,$H$13)/IF([1]!S_SHARE_TOTAL(D1077,$G$5)=0,[1]!S_SHARE_TOTAL(D1077,[1]!s_ipo_listeddate(D1077)),[1]!S_SHARE_TOTAL(D1077,$G$5)),[1]!S_STM07_CS(D1077,84,$G$5,$H$13)/$E$5))</f>
        <v/>
      </c>
      <c r="Q1077" s="198" t="str">
        <f ca="1">IF(C1077="","",F1077/([1]!S_STM07_IS(D1077,61,$G$5,$H$13)/IF([1]!S_SHARE_TOTAL(D1077,$G$5)=0,[1]!S_SHARE_TOTAL(D1077,[1]!s_ipo_listeddate(D1077)),[1]!S_SHARE_TOTAL(D1077,$G$5))))</f>
        <v/>
      </c>
      <c r="R1077" s="198" t="str">
        <f ca="1">IF(C1077="","",F1077/([1]!S_STM07_BS(D1077,141,$G$5,$H$13)/IF([1]!S_SHARE_TOTAL(D1077,$G$5)=0,[1]!S_SHARE_TOTAL(D1077,[1]!s_ipo_listeddate(D1077)),[1]!S_SHARE_TOTAL(D1077,$G$5))))</f>
        <v/>
      </c>
      <c r="S1077" s="249" t="str">
        <f ca="1">IF(C1077="","",[1]!S_SHARE_TOTAL(D1077,TODAY())/$E$5)</f>
        <v/>
      </c>
      <c r="T1077" s="249" t="str">
        <f t="shared" ca="1" si="109"/>
        <v/>
      </c>
      <c r="U1077" s="172" t="str">
        <f t="shared" ca="1" si="110"/>
        <v/>
      </c>
      <c r="V1077" s="343" t="str">
        <f t="shared" ca="1" si="111"/>
        <v/>
      </c>
      <c r="W1077" s="139"/>
      <c r="Y1077" s="1"/>
    </row>
    <row r="1078" spans="3:25" ht="12" customHeight="1">
      <c r="C1078" s="342" t="str">
        <f t="shared" ca="1" si="106"/>
        <v/>
      </c>
      <c r="D1078" s="153" t="str">
        <f t="shared" ca="1" si="107"/>
        <v/>
      </c>
      <c r="E1078" s="153" t="str">
        <f t="shared" ca="1" si="108"/>
        <v/>
      </c>
      <c r="F1078" s="170" t="str">
        <f ca="1">IF(C1078="","",[1]!S_DQ_CLOSE(D1078,TODAY(),1))</f>
        <v/>
      </c>
      <c r="G1078" s="171" t="str">
        <f ca="1">IF(C1078="","",[1]!s_pq_pctchange(D1078,TODAY()-$G$12,TODAY())/100)</f>
        <v/>
      </c>
      <c r="H1078" s="247" t="str">
        <f ca="1">IF(C1078="","",IF($H$11="收入",[1]!S_STM07_IS(D1078,9,$G$5,$H$13)/$E$5,[1]!S_STM07_IS(D1078,48,$G$5,$H$13)/$E$5))</f>
        <v/>
      </c>
      <c r="I1078" s="247" t="str">
        <f ca="1">IF(C1078="","",IF($I$11="毛利率",([1]!S_STM07_IS(D1078,9,$G$5,$H$13)-[1]!S_STM07_IS(D1078,10,$G$5,$H$13))/[1]!S_STM07_IS(D1078,9,$G$5,$H$13),[1]!S_STM07_IS(D1078,14,$G$5,$H$13)/$E$5))</f>
        <v/>
      </c>
      <c r="J1078" s="247" t="str">
        <f ca="1">IF(C1078="","",IF($J$11="营业利润率",[1]!S_STM07_IS(D1078,48,$G$5,$H$13)/[1]!S_STM07_IS(D1078,9,$G$5,$H$13),([1]!S_STM07_CS(D1078,87,$G$5,$H$13)+[1]!S_STM07_CS(D1078,88,$G$5,$H$13)+[1]!S_STM07_CS(D1078,89,$G$5,$H$13))/$E$5))</f>
        <v/>
      </c>
      <c r="K1078" s="247" t="str">
        <f ca="1">IF(C1078="","",IF($K$11="净利润率",[1]!S_STM07_IS(D1078,61,$G$5,$H$13)/[1]!S_STM07_IS(D1078,9,$G$5,$H$13),[1]!S_STM07_IS(D1078,55,$G$5,$H$13)/$E$5))</f>
        <v/>
      </c>
      <c r="L1078" s="247" t="str">
        <f ca="1">IF(C1078="","",IF($L$11="ROA",[1]!S_STM07_IS(D1078,61,$G$5,$H$13)/[1]!S_STM07_BS(D1078,74,$G$5,$H$13),1-[1]!S_STM07_IS(D1078,61,$G$5,$H$13)/[1]!S_STM07_IS(D1078,55,$G$5,$H$13)))</f>
        <v/>
      </c>
      <c r="M1078" s="247" t="str">
        <f ca="1">IF(C1078="","",IF($M$11="ROE",[1]!S_STM07_IS(D1078,61,$G$5,$H$13)/[1]!S_STM07_BS(D1078,141,$G$5,$H$13),([1]!S_STM07_BS(D1078,25,$G$5,$H$13)-[1]!S_STM07_BS(D1078,93,$G$5,$H$13))/$E$5))</f>
        <v/>
      </c>
      <c r="N1078" s="247" t="str">
        <f ca="1">IF(C1078="","",IF($N$11="EPS",[1]!S_STM07_IS(D1078,61,$G$5,$H$13)/IF([1]!S_SHARE_TOTAL(D1078,$G$5)=0,[1]!S_SHARE_TOTAL(D1078,[1]!s_ipo_listeddate(D1078)),[1]!S_SHARE_TOTAL(D1078,$G$5)),([1]!S_STM07_BS(D1078,75,$G$5,$H$13)+[1]!S_STM07_BS(D1078,88,$G$5,$H$13)+[1]!S_STM07_BS(D1078,94,$G$5,$H$13)+[1]!S_STM07_BS(D1078,95,$G$5,$H$13))/$E$5))</f>
        <v/>
      </c>
      <c r="O1078" s="247" t="str">
        <f ca="1">IF(C1078="","",IF($O$11="BPS",[1]!S_STM07_BS(D1078,141,$G$5,$H$13)/IF([1]!S_SHARE_TOTAL(D1078,$G$5)=0,[1]!S_SHARE_TOTAL(D1078,[1]!s_ipo_listeddate(D1078)),[1]!S_SHARE_TOTAL(D1078,$G$5)),[1]!S_STM07_CS(D1078,49,$G$5,$H$13)/$E$5))</f>
        <v/>
      </c>
      <c r="P1078" s="247" t="str">
        <f ca="1">IF(C1078="","",IF($P$11="CFPS",[1]!S_STM07_CS(D1078,84,$G$5,$H$13)/IF([1]!S_SHARE_TOTAL(D1078,$G$5)=0,[1]!S_SHARE_TOTAL(D1078,[1]!s_ipo_listeddate(D1078)),[1]!S_SHARE_TOTAL(D1078,$G$5)),[1]!S_STM07_CS(D1078,84,$G$5,$H$13)/$E$5))</f>
        <v/>
      </c>
      <c r="Q1078" s="248" t="str">
        <f ca="1">IF(C1078="","",F1078/([1]!S_STM07_IS(D1078,61,$G$5,$H$13)/IF([1]!S_SHARE_TOTAL(D1078,$G$5)=0,[1]!S_SHARE_TOTAL(D1078,[1]!s_ipo_listeddate(D1078)),[1]!S_SHARE_TOTAL(D1078,$G$5))))</f>
        <v/>
      </c>
      <c r="R1078" s="248" t="str">
        <f ca="1">IF(C1078="","",F1078/([1]!S_STM07_BS(D1078,141,$G$5,$H$13)/IF([1]!S_SHARE_TOTAL(D1078,$G$5)=0,[1]!S_SHARE_TOTAL(D1078,[1]!s_ipo_listeddate(D1078)),[1]!S_SHARE_TOTAL(D1078,$G$5))))</f>
        <v/>
      </c>
      <c r="S1078" s="247" t="str">
        <f ca="1">IF(C1078="","",[1]!S_SHARE_TOTAL(D1078,TODAY())/$E$5)</f>
        <v/>
      </c>
      <c r="T1078" s="247" t="str">
        <f t="shared" ca="1" si="109"/>
        <v/>
      </c>
      <c r="U1078" s="218" t="str">
        <f t="shared" ca="1" si="110"/>
        <v/>
      </c>
      <c r="V1078" s="342" t="str">
        <f t="shared" ca="1" si="111"/>
        <v/>
      </c>
      <c r="W1078" s="139"/>
      <c r="Y1078" s="1"/>
    </row>
    <row r="1079" spans="3:25" ht="12" customHeight="1">
      <c r="C1079" s="343" t="str">
        <f t="shared" ca="1" si="106"/>
        <v/>
      </c>
      <c r="D1079" s="124" t="str">
        <f t="shared" ca="1" si="107"/>
        <v/>
      </c>
      <c r="E1079" s="124" t="str">
        <f t="shared" ca="1" si="108"/>
        <v/>
      </c>
      <c r="F1079" s="172" t="str">
        <f ca="1">IF(C1079="","",[1]!S_DQ_CLOSE(D1079,TODAY(),1))</f>
        <v/>
      </c>
      <c r="G1079" s="173" t="str">
        <f ca="1">IF(C1079="","",[1]!s_pq_pctchange(D1079,TODAY()-$G$12,TODAY())/100)</f>
        <v/>
      </c>
      <c r="H1079" s="249" t="str">
        <f ca="1">IF(C1079="","",IF($H$11="收入",[1]!S_STM07_IS(D1079,9,$G$5,$H$13)/$E$5,[1]!S_STM07_IS(D1079,48,$G$5,$H$13)/$E$5))</f>
        <v/>
      </c>
      <c r="I1079" s="249" t="str">
        <f ca="1">IF(C1079="","",IF($I$11="毛利率",([1]!S_STM07_IS(D1079,9,$G$5,$H$13)-[1]!S_STM07_IS(D1079,10,$G$5,$H$13))/[1]!S_STM07_IS(D1079,9,$G$5,$H$13),[1]!S_STM07_IS(D1079,14,$G$5,$H$13)/$E$5))</f>
        <v/>
      </c>
      <c r="J1079" s="249" t="str">
        <f ca="1">IF(C1079="","",IF($J$11="营业利润率",[1]!S_STM07_IS(D1079,48,$G$5,$H$13)/[1]!S_STM07_IS(D1079,9,$G$5,$H$13),([1]!S_STM07_CS(D1079,87,$G$5,$H$13)+[1]!S_STM07_CS(D1079,88,$G$5,$H$13)+[1]!S_STM07_CS(D1079,89,$G$5,$H$13))/$E$5))</f>
        <v/>
      </c>
      <c r="K1079" s="249" t="str">
        <f ca="1">IF(C1079="","",IF($K$11="净利润率",[1]!S_STM07_IS(D1079,61,$G$5,$H$13)/[1]!S_STM07_IS(D1079,9,$G$5,$H$13),[1]!S_STM07_IS(D1079,55,$G$5,$H$13)/$E$5))</f>
        <v/>
      </c>
      <c r="L1079" s="249" t="str">
        <f ca="1">IF(C1079="","",IF($L$11="ROA",[1]!S_STM07_IS(D1079,61,$G$5,$H$13)/[1]!S_STM07_BS(D1079,74,$G$5,$H$13),1-[1]!S_STM07_IS(D1079,61,$G$5,$H$13)/[1]!S_STM07_IS(D1079,55,$G$5,$H$13)))</f>
        <v/>
      </c>
      <c r="M1079" s="249" t="str">
        <f ca="1">IF(C1079="","",IF($M$11="ROE",[1]!S_STM07_IS(D1079,61,$G$5,$H$13)/[1]!S_STM07_BS(D1079,141,$G$5,$H$13),([1]!S_STM07_BS(D1079,25,$G$5,$H$13)-[1]!S_STM07_BS(D1079,93,$G$5,$H$13))/$E$5))</f>
        <v/>
      </c>
      <c r="N1079" s="250" t="str">
        <f ca="1">IF(C1079="","",IF($N$11="EPS",[1]!S_STM07_IS(D1079,61,$G$5,$H$13)/IF([1]!S_SHARE_TOTAL(D1079,$G$5)=0,[1]!S_SHARE_TOTAL(D1079,[1]!s_ipo_listeddate(D1079)),[1]!S_SHARE_TOTAL(D1079,$G$5)),([1]!S_STM07_BS(D1079,75,$G$5,$H$13)+[1]!S_STM07_BS(D1079,88,$G$5,$H$13)+[1]!S_STM07_BS(D1079,94,$G$5,$H$13)+[1]!S_STM07_BS(D1079,95,$G$5,$H$13))/$E$5))</f>
        <v/>
      </c>
      <c r="O1079" s="250" t="str">
        <f ca="1">IF(C1079="","",IF($O$11="BPS",[1]!S_STM07_BS(D1079,141,$G$5,$H$13)/IF([1]!S_SHARE_TOTAL(D1079,$G$5)=0,[1]!S_SHARE_TOTAL(D1079,[1]!s_ipo_listeddate(D1079)),[1]!S_SHARE_TOTAL(D1079,$G$5)),[1]!S_STM07_CS(D1079,49,$G$5,$H$13)/$E$5))</f>
        <v/>
      </c>
      <c r="P1079" s="250" t="str">
        <f ca="1">IF(C1079="","",IF($P$11="CFPS",[1]!S_STM07_CS(D1079,84,$G$5,$H$13)/IF([1]!S_SHARE_TOTAL(D1079,$G$5)=0,[1]!S_SHARE_TOTAL(D1079,[1]!s_ipo_listeddate(D1079)),[1]!S_SHARE_TOTAL(D1079,$G$5)),[1]!S_STM07_CS(D1079,84,$G$5,$H$13)/$E$5))</f>
        <v/>
      </c>
      <c r="Q1079" s="198" t="str">
        <f ca="1">IF(C1079="","",F1079/([1]!S_STM07_IS(D1079,61,$G$5,$H$13)/IF([1]!S_SHARE_TOTAL(D1079,$G$5)=0,[1]!S_SHARE_TOTAL(D1079,[1]!s_ipo_listeddate(D1079)),[1]!S_SHARE_TOTAL(D1079,$G$5))))</f>
        <v/>
      </c>
      <c r="R1079" s="198" t="str">
        <f ca="1">IF(C1079="","",F1079/([1]!S_STM07_BS(D1079,141,$G$5,$H$13)/IF([1]!S_SHARE_TOTAL(D1079,$G$5)=0,[1]!S_SHARE_TOTAL(D1079,[1]!s_ipo_listeddate(D1079)),[1]!S_SHARE_TOTAL(D1079,$G$5))))</f>
        <v/>
      </c>
      <c r="S1079" s="249" t="str">
        <f ca="1">IF(C1079="","",[1]!S_SHARE_TOTAL(D1079,TODAY())/$E$5)</f>
        <v/>
      </c>
      <c r="T1079" s="249" t="str">
        <f t="shared" ca="1" si="109"/>
        <v/>
      </c>
      <c r="U1079" s="172" t="str">
        <f t="shared" ca="1" si="110"/>
        <v/>
      </c>
      <c r="V1079" s="343" t="str">
        <f t="shared" ca="1" si="111"/>
        <v/>
      </c>
      <c r="W1079" s="139"/>
      <c r="Y1079" s="1"/>
    </row>
    <row r="1080" spans="3:25" ht="12" customHeight="1">
      <c r="C1080" s="342" t="str">
        <f t="shared" ca="1" si="106"/>
        <v/>
      </c>
      <c r="D1080" s="153" t="str">
        <f t="shared" ca="1" si="107"/>
        <v/>
      </c>
      <c r="E1080" s="153" t="str">
        <f t="shared" ca="1" si="108"/>
        <v/>
      </c>
      <c r="F1080" s="170" t="str">
        <f ca="1">IF(C1080="","",[1]!S_DQ_CLOSE(D1080,TODAY(),1))</f>
        <v/>
      </c>
      <c r="G1080" s="171" t="str">
        <f ca="1">IF(C1080="","",[1]!s_pq_pctchange(D1080,TODAY()-$G$12,TODAY())/100)</f>
        <v/>
      </c>
      <c r="H1080" s="247" t="str">
        <f ca="1">IF(C1080="","",IF($H$11="收入",[1]!S_STM07_IS(D1080,9,$G$5,$H$13)/$E$5,[1]!S_STM07_IS(D1080,48,$G$5,$H$13)/$E$5))</f>
        <v/>
      </c>
      <c r="I1080" s="247" t="str">
        <f ca="1">IF(C1080="","",IF($I$11="毛利率",([1]!S_STM07_IS(D1080,9,$G$5,$H$13)-[1]!S_STM07_IS(D1080,10,$G$5,$H$13))/[1]!S_STM07_IS(D1080,9,$G$5,$H$13),[1]!S_STM07_IS(D1080,14,$G$5,$H$13)/$E$5))</f>
        <v/>
      </c>
      <c r="J1080" s="247" t="str">
        <f ca="1">IF(C1080="","",IF($J$11="营业利润率",[1]!S_STM07_IS(D1080,48,$G$5,$H$13)/[1]!S_STM07_IS(D1080,9,$G$5,$H$13),([1]!S_STM07_CS(D1080,87,$G$5,$H$13)+[1]!S_STM07_CS(D1080,88,$G$5,$H$13)+[1]!S_STM07_CS(D1080,89,$G$5,$H$13))/$E$5))</f>
        <v/>
      </c>
      <c r="K1080" s="247" t="str">
        <f ca="1">IF(C1080="","",IF($K$11="净利润率",[1]!S_STM07_IS(D1080,61,$G$5,$H$13)/[1]!S_STM07_IS(D1080,9,$G$5,$H$13),[1]!S_STM07_IS(D1080,55,$G$5,$H$13)/$E$5))</f>
        <v/>
      </c>
      <c r="L1080" s="247" t="str">
        <f ca="1">IF(C1080="","",IF($L$11="ROA",[1]!S_STM07_IS(D1080,61,$G$5,$H$13)/[1]!S_STM07_BS(D1080,74,$G$5,$H$13),1-[1]!S_STM07_IS(D1080,61,$G$5,$H$13)/[1]!S_STM07_IS(D1080,55,$G$5,$H$13)))</f>
        <v/>
      </c>
      <c r="M1080" s="247" t="str">
        <f ca="1">IF(C1080="","",IF($M$11="ROE",[1]!S_STM07_IS(D1080,61,$G$5,$H$13)/[1]!S_STM07_BS(D1080,141,$G$5,$H$13),([1]!S_STM07_BS(D1080,25,$G$5,$H$13)-[1]!S_STM07_BS(D1080,93,$G$5,$H$13))/$E$5))</f>
        <v/>
      </c>
      <c r="N1080" s="247" t="str">
        <f ca="1">IF(C1080="","",IF($N$11="EPS",[1]!S_STM07_IS(D1080,61,$G$5,$H$13)/IF([1]!S_SHARE_TOTAL(D1080,$G$5)=0,[1]!S_SHARE_TOTAL(D1080,[1]!s_ipo_listeddate(D1080)),[1]!S_SHARE_TOTAL(D1080,$G$5)),([1]!S_STM07_BS(D1080,75,$G$5,$H$13)+[1]!S_STM07_BS(D1080,88,$G$5,$H$13)+[1]!S_STM07_BS(D1080,94,$G$5,$H$13)+[1]!S_STM07_BS(D1080,95,$G$5,$H$13))/$E$5))</f>
        <v/>
      </c>
      <c r="O1080" s="247" t="str">
        <f ca="1">IF(C1080="","",IF($O$11="BPS",[1]!S_STM07_BS(D1080,141,$G$5,$H$13)/IF([1]!S_SHARE_TOTAL(D1080,$G$5)=0,[1]!S_SHARE_TOTAL(D1080,[1]!s_ipo_listeddate(D1080)),[1]!S_SHARE_TOTAL(D1080,$G$5)),[1]!S_STM07_CS(D1080,49,$G$5,$H$13)/$E$5))</f>
        <v/>
      </c>
      <c r="P1080" s="247" t="str">
        <f ca="1">IF(C1080="","",IF($P$11="CFPS",[1]!S_STM07_CS(D1080,84,$G$5,$H$13)/IF([1]!S_SHARE_TOTAL(D1080,$G$5)=0,[1]!S_SHARE_TOTAL(D1080,[1]!s_ipo_listeddate(D1080)),[1]!S_SHARE_TOTAL(D1080,$G$5)),[1]!S_STM07_CS(D1080,84,$G$5,$H$13)/$E$5))</f>
        <v/>
      </c>
      <c r="Q1080" s="248" t="str">
        <f ca="1">IF(C1080="","",F1080/([1]!S_STM07_IS(D1080,61,$G$5,$H$13)/IF([1]!S_SHARE_TOTAL(D1080,$G$5)=0,[1]!S_SHARE_TOTAL(D1080,[1]!s_ipo_listeddate(D1080)),[1]!S_SHARE_TOTAL(D1080,$G$5))))</f>
        <v/>
      </c>
      <c r="R1080" s="248" t="str">
        <f ca="1">IF(C1080="","",F1080/([1]!S_STM07_BS(D1080,141,$G$5,$H$13)/IF([1]!S_SHARE_TOTAL(D1080,$G$5)=0,[1]!S_SHARE_TOTAL(D1080,[1]!s_ipo_listeddate(D1080)),[1]!S_SHARE_TOTAL(D1080,$G$5))))</f>
        <v/>
      </c>
      <c r="S1080" s="247" t="str">
        <f ca="1">IF(C1080="","",[1]!S_SHARE_TOTAL(D1080,TODAY())/$E$5)</f>
        <v/>
      </c>
      <c r="T1080" s="247" t="str">
        <f t="shared" ca="1" si="109"/>
        <v/>
      </c>
      <c r="U1080" s="218" t="str">
        <f t="shared" ca="1" si="110"/>
        <v/>
      </c>
      <c r="V1080" s="342" t="str">
        <f t="shared" ca="1" si="111"/>
        <v/>
      </c>
      <c r="W1080" s="139"/>
      <c r="Y1080" s="1"/>
    </row>
    <row r="1081" spans="3:25" ht="12" customHeight="1">
      <c r="C1081" s="343" t="str">
        <f t="shared" ca="1" si="106"/>
        <v/>
      </c>
      <c r="D1081" s="124" t="str">
        <f t="shared" ca="1" si="107"/>
        <v/>
      </c>
      <c r="E1081" s="124" t="str">
        <f t="shared" ca="1" si="108"/>
        <v/>
      </c>
      <c r="F1081" s="172" t="str">
        <f ca="1">IF(C1081="","",[1]!S_DQ_CLOSE(D1081,TODAY(),1))</f>
        <v/>
      </c>
      <c r="G1081" s="173" t="str">
        <f ca="1">IF(C1081="","",[1]!s_pq_pctchange(D1081,TODAY()-$G$12,TODAY())/100)</f>
        <v/>
      </c>
      <c r="H1081" s="249" t="str">
        <f ca="1">IF(C1081="","",IF($H$11="收入",[1]!S_STM07_IS(D1081,9,$G$5,$H$13)/$E$5,[1]!S_STM07_IS(D1081,48,$G$5,$H$13)/$E$5))</f>
        <v/>
      </c>
      <c r="I1081" s="249" t="str">
        <f ca="1">IF(C1081="","",IF($I$11="毛利率",([1]!S_STM07_IS(D1081,9,$G$5,$H$13)-[1]!S_STM07_IS(D1081,10,$G$5,$H$13))/[1]!S_STM07_IS(D1081,9,$G$5,$H$13),[1]!S_STM07_IS(D1081,14,$G$5,$H$13)/$E$5))</f>
        <v/>
      </c>
      <c r="J1081" s="249" t="str">
        <f ca="1">IF(C1081="","",IF($J$11="营业利润率",[1]!S_STM07_IS(D1081,48,$G$5,$H$13)/[1]!S_STM07_IS(D1081,9,$G$5,$H$13),([1]!S_STM07_CS(D1081,87,$G$5,$H$13)+[1]!S_STM07_CS(D1081,88,$G$5,$H$13)+[1]!S_STM07_CS(D1081,89,$G$5,$H$13))/$E$5))</f>
        <v/>
      </c>
      <c r="K1081" s="249" t="str">
        <f ca="1">IF(C1081="","",IF($K$11="净利润率",[1]!S_STM07_IS(D1081,61,$G$5,$H$13)/[1]!S_STM07_IS(D1081,9,$G$5,$H$13),[1]!S_STM07_IS(D1081,55,$G$5,$H$13)/$E$5))</f>
        <v/>
      </c>
      <c r="L1081" s="249" t="str">
        <f ca="1">IF(C1081="","",IF($L$11="ROA",[1]!S_STM07_IS(D1081,61,$G$5,$H$13)/[1]!S_STM07_BS(D1081,74,$G$5,$H$13),1-[1]!S_STM07_IS(D1081,61,$G$5,$H$13)/[1]!S_STM07_IS(D1081,55,$G$5,$H$13)))</f>
        <v/>
      </c>
      <c r="M1081" s="249" t="str">
        <f ca="1">IF(C1081="","",IF($M$11="ROE",[1]!S_STM07_IS(D1081,61,$G$5,$H$13)/[1]!S_STM07_BS(D1081,141,$G$5,$H$13),([1]!S_STM07_BS(D1081,25,$G$5,$H$13)-[1]!S_STM07_BS(D1081,93,$G$5,$H$13))/$E$5))</f>
        <v/>
      </c>
      <c r="N1081" s="250" t="str">
        <f ca="1">IF(C1081="","",IF($N$11="EPS",[1]!S_STM07_IS(D1081,61,$G$5,$H$13)/IF([1]!S_SHARE_TOTAL(D1081,$G$5)=0,[1]!S_SHARE_TOTAL(D1081,[1]!s_ipo_listeddate(D1081)),[1]!S_SHARE_TOTAL(D1081,$G$5)),([1]!S_STM07_BS(D1081,75,$G$5,$H$13)+[1]!S_STM07_BS(D1081,88,$G$5,$H$13)+[1]!S_STM07_BS(D1081,94,$G$5,$H$13)+[1]!S_STM07_BS(D1081,95,$G$5,$H$13))/$E$5))</f>
        <v/>
      </c>
      <c r="O1081" s="250" t="str">
        <f ca="1">IF(C1081="","",IF($O$11="BPS",[1]!S_STM07_BS(D1081,141,$G$5,$H$13)/IF([1]!S_SHARE_TOTAL(D1081,$G$5)=0,[1]!S_SHARE_TOTAL(D1081,[1]!s_ipo_listeddate(D1081)),[1]!S_SHARE_TOTAL(D1081,$G$5)),[1]!S_STM07_CS(D1081,49,$G$5,$H$13)/$E$5))</f>
        <v/>
      </c>
      <c r="P1081" s="250" t="str">
        <f ca="1">IF(C1081="","",IF($P$11="CFPS",[1]!S_STM07_CS(D1081,84,$G$5,$H$13)/IF([1]!S_SHARE_TOTAL(D1081,$G$5)=0,[1]!S_SHARE_TOTAL(D1081,[1]!s_ipo_listeddate(D1081)),[1]!S_SHARE_TOTAL(D1081,$G$5)),[1]!S_STM07_CS(D1081,84,$G$5,$H$13)/$E$5))</f>
        <v/>
      </c>
      <c r="Q1081" s="198" t="str">
        <f ca="1">IF(C1081="","",F1081/([1]!S_STM07_IS(D1081,61,$G$5,$H$13)/IF([1]!S_SHARE_TOTAL(D1081,$G$5)=0,[1]!S_SHARE_TOTAL(D1081,[1]!s_ipo_listeddate(D1081)),[1]!S_SHARE_TOTAL(D1081,$G$5))))</f>
        <v/>
      </c>
      <c r="R1081" s="198" t="str">
        <f ca="1">IF(C1081="","",F1081/([1]!S_STM07_BS(D1081,141,$G$5,$H$13)/IF([1]!S_SHARE_TOTAL(D1081,$G$5)=0,[1]!S_SHARE_TOTAL(D1081,[1]!s_ipo_listeddate(D1081)),[1]!S_SHARE_TOTAL(D1081,$G$5))))</f>
        <v/>
      </c>
      <c r="S1081" s="249" t="str">
        <f ca="1">IF(C1081="","",[1]!S_SHARE_TOTAL(D1081,TODAY())/$E$5)</f>
        <v/>
      </c>
      <c r="T1081" s="249" t="str">
        <f t="shared" ca="1" si="109"/>
        <v/>
      </c>
      <c r="U1081" s="172" t="str">
        <f t="shared" ca="1" si="110"/>
        <v/>
      </c>
      <c r="V1081" s="343" t="str">
        <f t="shared" ca="1" si="111"/>
        <v/>
      </c>
      <c r="W1081" s="139"/>
      <c r="Y1081" s="1"/>
    </row>
    <row r="1082" spans="3:25" ht="12" customHeight="1">
      <c r="C1082" s="342" t="str">
        <f t="shared" ca="1" si="106"/>
        <v/>
      </c>
      <c r="D1082" s="153" t="str">
        <f t="shared" ca="1" si="107"/>
        <v/>
      </c>
      <c r="E1082" s="153" t="str">
        <f t="shared" ca="1" si="108"/>
        <v/>
      </c>
      <c r="F1082" s="170" t="str">
        <f ca="1">IF(C1082="","",[1]!S_DQ_CLOSE(D1082,TODAY(),1))</f>
        <v/>
      </c>
      <c r="G1082" s="171" t="str">
        <f ca="1">IF(C1082="","",[1]!s_pq_pctchange(D1082,TODAY()-$G$12,TODAY())/100)</f>
        <v/>
      </c>
      <c r="H1082" s="247" t="str">
        <f ca="1">IF(C1082="","",IF($H$11="收入",[1]!S_STM07_IS(D1082,9,$G$5,$H$13)/$E$5,[1]!S_STM07_IS(D1082,48,$G$5,$H$13)/$E$5))</f>
        <v/>
      </c>
      <c r="I1082" s="247" t="str">
        <f ca="1">IF(C1082="","",IF($I$11="毛利率",([1]!S_STM07_IS(D1082,9,$G$5,$H$13)-[1]!S_STM07_IS(D1082,10,$G$5,$H$13))/[1]!S_STM07_IS(D1082,9,$G$5,$H$13),[1]!S_STM07_IS(D1082,14,$G$5,$H$13)/$E$5))</f>
        <v/>
      </c>
      <c r="J1082" s="247" t="str">
        <f ca="1">IF(C1082="","",IF($J$11="营业利润率",[1]!S_STM07_IS(D1082,48,$G$5,$H$13)/[1]!S_STM07_IS(D1082,9,$G$5,$H$13),([1]!S_STM07_CS(D1082,87,$G$5,$H$13)+[1]!S_STM07_CS(D1082,88,$G$5,$H$13)+[1]!S_STM07_CS(D1082,89,$G$5,$H$13))/$E$5))</f>
        <v/>
      </c>
      <c r="K1082" s="247" t="str">
        <f ca="1">IF(C1082="","",IF($K$11="净利润率",[1]!S_STM07_IS(D1082,61,$G$5,$H$13)/[1]!S_STM07_IS(D1082,9,$G$5,$H$13),[1]!S_STM07_IS(D1082,55,$G$5,$H$13)/$E$5))</f>
        <v/>
      </c>
      <c r="L1082" s="247" t="str">
        <f ca="1">IF(C1082="","",IF($L$11="ROA",[1]!S_STM07_IS(D1082,61,$G$5,$H$13)/[1]!S_STM07_BS(D1082,74,$G$5,$H$13),1-[1]!S_STM07_IS(D1082,61,$G$5,$H$13)/[1]!S_STM07_IS(D1082,55,$G$5,$H$13)))</f>
        <v/>
      </c>
      <c r="M1082" s="247" t="str">
        <f ca="1">IF(C1082="","",IF($M$11="ROE",[1]!S_STM07_IS(D1082,61,$G$5,$H$13)/[1]!S_STM07_BS(D1082,141,$G$5,$H$13),([1]!S_STM07_BS(D1082,25,$G$5,$H$13)-[1]!S_STM07_BS(D1082,93,$G$5,$H$13))/$E$5))</f>
        <v/>
      </c>
      <c r="N1082" s="247" t="str">
        <f ca="1">IF(C1082="","",IF($N$11="EPS",[1]!S_STM07_IS(D1082,61,$G$5,$H$13)/IF([1]!S_SHARE_TOTAL(D1082,$G$5)=0,[1]!S_SHARE_TOTAL(D1082,[1]!s_ipo_listeddate(D1082)),[1]!S_SHARE_TOTAL(D1082,$G$5)),([1]!S_STM07_BS(D1082,75,$G$5,$H$13)+[1]!S_STM07_BS(D1082,88,$G$5,$H$13)+[1]!S_STM07_BS(D1082,94,$G$5,$H$13)+[1]!S_STM07_BS(D1082,95,$G$5,$H$13))/$E$5))</f>
        <v/>
      </c>
      <c r="O1082" s="247" t="str">
        <f ca="1">IF(C1082="","",IF($O$11="BPS",[1]!S_STM07_BS(D1082,141,$G$5,$H$13)/IF([1]!S_SHARE_TOTAL(D1082,$G$5)=0,[1]!S_SHARE_TOTAL(D1082,[1]!s_ipo_listeddate(D1082)),[1]!S_SHARE_TOTAL(D1082,$G$5)),[1]!S_STM07_CS(D1082,49,$G$5,$H$13)/$E$5))</f>
        <v/>
      </c>
      <c r="P1082" s="247" t="str">
        <f ca="1">IF(C1082="","",IF($P$11="CFPS",[1]!S_STM07_CS(D1082,84,$G$5,$H$13)/IF([1]!S_SHARE_TOTAL(D1082,$G$5)=0,[1]!S_SHARE_TOTAL(D1082,[1]!s_ipo_listeddate(D1082)),[1]!S_SHARE_TOTAL(D1082,$G$5)),[1]!S_STM07_CS(D1082,84,$G$5,$H$13)/$E$5))</f>
        <v/>
      </c>
      <c r="Q1082" s="248" t="str">
        <f ca="1">IF(C1082="","",F1082/([1]!S_STM07_IS(D1082,61,$G$5,$H$13)/IF([1]!S_SHARE_TOTAL(D1082,$G$5)=0,[1]!S_SHARE_TOTAL(D1082,[1]!s_ipo_listeddate(D1082)),[1]!S_SHARE_TOTAL(D1082,$G$5))))</f>
        <v/>
      </c>
      <c r="R1082" s="248" t="str">
        <f ca="1">IF(C1082="","",F1082/([1]!S_STM07_BS(D1082,141,$G$5,$H$13)/IF([1]!S_SHARE_TOTAL(D1082,$G$5)=0,[1]!S_SHARE_TOTAL(D1082,[1]!s_ipo_listeddate(D1082)),[1]!S_SHARE_TOTAL(D1082,$G$5))))</f>
        <v/>
      </c>
      <c r="S1082" s="247" t="str">
        <f ca="1">IF(C1082="","",[1]!S_SHARE_TOTAL(D1082,TODAY())/$E$5)</f>
        <v/>
      </c>
      <c r="T1082" s="247" t="str">
        <f t="shared" ca="1" si="109"/>
        <v/>
      </c>
      <c r="U1082" s="218" t="str">
        <f t="shared" ca="1" si="110"/>
        <v/>
      </c>
      <c r="V1082" s="342" t="str">
        <f t="shared" ca="1" si="111"/>
        <v/>
      </c>
      <c r="W1082" s="139"/>
      <c r="Y1082" s="1"/>
    </row>
    <row r="1083" spans="3:25" ht="12" customHeight="1">
      <c r="C1083" s="343" t="str">
        <f t="shared" ca="1" si="106"/>
        <v/>
      </c>
      <c r="D1083" s="124" t="str">
        <f t="shared" ca="1" si="107"/>
        <v/>
      </c>
      <c r="E1083" s="124" t="str">
        <f t="shared" ca="1" si="108"/>
        <v/>
      </c>
      <c r="F1083" s="172" t="str">
        <f ca="1">IF(C1083="","",[1]!S_DQ_CLOSE(D1083,TODAY(),1))</f>
        <v/>
      </c>
      <c r="G1083" s="173" t="str">
        <f ca="1">IF(C1083="","",[1]!s_pq_pctchange(D1083,TODAY()-$G$12,TODAY())/100)</f>
        <v/>
      </c>
      <c r="H1083" s="249" t="str">
        <f ca="1">IF(C1083="","",IF($H$11="收入",[1]!S_STM07_IS(D1083,9,$G$5,$H$13)/$E$5,[1]!S_STM07_IS(D1083,48,$G$5,$H$13)/$E$5))</f>
        <v/>
      </c>
      <c r="I1083" s="249" t="str">
        <f ca="1">IF(C1083="","",IF($I$11="毛利率",([1]!S_STM07_IS(D1083,9,$G$5,$H$13)-[1]!S_STM07_IS(D1083,10,$G$5,$H$13))/[1]!S_STM07_IS(D1083,9,$G$5,$H$13),[1]!S_STM07_IS(D1083,14,$G$5,$H$13)/$E$5))</f>
        <v/>
      </c>
      <c r="J1083" s="249" t="str">
        <f ca="1">IF(C1083="","",IF($J$11="营业利润率",[1]!S_STM07_IS(D1083,48,$G$5,$H$13)/[1]!S_STM07_IS(D1083,9,$G$5,$H$13),([1]!S_STM07_CS(D1083,87,$G$5,$H$13)+[1]!S_STM07_CS(D1083,88,$G$5,$H$13)+[1]!S_STM07_CS(D1083,89,$G$5,$H$13))/$E$5))</f>
        <v/>
      </c>
      <c r="K1083" s="249" t="str">
        <f ca="1">IF(C1083="","",IF($K$11="净利润率",[1]!S_STM07_IS(D1083,61,$G$5,$H$13)/[1]!S_STM07_IS(D1083,9,$G$5,$H$13),[1]!S_STM07_IS(D1083,55,$G$5,$H$13)/$E$5))</f>
        <v/>
      </c>
      <c r="L1083" s="249" t="str">
        <f ca="1">IF(C1083="","",IF($L$11="ROA",[1]!S_STM07_IS(D1083,61,$G$5,$H$13)/[1]!S_STM07_BS(D1083,74,$G$5,$H$13),1-[1]!S_STM07_IS(D1083,61,$G$5,$H$13)/[1]!S_STM07_IS(D1083,55,$G$5,$H$13)))</f>
        <v/>
      </c>
      <c r="M1083" s="249" t="str">
        <f ca="1">IF(C1083="","",IF($M$11="ROE",[1]!S_STM07_IS(D1083,61,$G$5,$H$13)/[1]!S_STM07_BS(D1083,141,$G$5,$H$13),([1]!S_STM07_BS(D1083,25,$G$5,$H$13)-[1]!S_STM07_BS(D1083,93,$G$5,$H$13))/$E$5))</f>
        <v/>
      </c>
      <c r="N1083" s="250" t="str">
        <f ca="1">IF(C1083="","",IF($N$11="EPS",[1]!S_STM07_IS(D1083,61,$G$5,$H$13)/IF([1]!S_SHARE_TOTAL(D1083,$G$5)=0,[1]!S_SHARE_TOTAL(D1083,[1]!s_ipo_listeddate(D1083)),[1]!S_SHARE_TOTAL(D1083,$G$5)),([1]!S_STM07_BS(D1083,75,$G$5,$H$13)+[1]!S_STM07_BS(D1083,88,$G$5,$H$13)+[1]!S_STM07_BS(D1083,94,$G$5,$H$13)+[1]!S_STM07_BS(D1083,95,$G$5,$H$13))/$E$5))</f>
        <v/>
      </c>
      <c r="O1083" s="250" t="str">
        <f ca="1">IF(C1083="","",IF($O$11="BPS",[1]!S_STM07_BS(D1083,141,$G$5,$H$13)/IF([1]!S_SHARE_TOTAL(D1083,$G$5)=0,[1]!S_SHARE_TOTAL(D1083,[1]!s_ipo_listeddate(D1083)),[1]!S_SHARE_TOTAL(D1083,$G$5)),[1]!S_STM07_CS(D1083,49,$G$5,$H$13)/$E$5))</f>
        <v/>
      </c>
      <c r="P1083" s="250" t="str">
        <f ca="1">IF(C1083="","",IF($P$11="CFPS",[1]!S_STM07_CS(D1083,84,$G$5,$H$13)/IF([1]!S_SHARE_TOTAL(D1083,$G$5)=0,[1]!S_SHARE_TOTAL(D1083,[1]!s_ipo_listeddate(D1083)),[1]!S_SHARE_TOTAL(D1083,$G$5)),[1]!S_STM07_CS(D1083,84,$G$5,$H$13)/$E$5))</f>
        <v/>
      </c>
      <c r="Q1083" s="198" t="str">
        <f ca="1">IF(C1083="","",F1083/([1]!S_STM07_IS(D1083,61,$G$5,$H$13)/IF([1]!S_SHARE_TOTAL(D1083,$G$5)=0,[1]!S_SHARE_TOTAL(D1083,[1]!s_ipo_listeddate(D1083)),[1]!S_SHARE_TOTAL(D1083,$G$5))))</f>
        <v/>
      </c>
      <c r="R1083" s="198" t="str">
        <f ca="1">IF(C1083="","",F1083/([1]!S_STM07_BS(D1083,141,$G$5,$H$13)/IF([1]!S_SHARE_TOTAL(D1083,$G$5)=0,[1]!S_SHARE_TOTAL(D1083,[1]!s_ipo_listeddate(D1083)),[1]!S_SHARE_TOTAL(D1083,$G$5))))</f>
        <v/>
      </c>
      <c r="S1083" s="249" t="str">
        <f ca="1">IF(C1083="","",[1]!S_SHARE_TOTAL(D1083,TODAY())/$E$5)</f>
        <v/>
      </c>
      <c r="T1083" s="249" t="str">
        <f t="shared" ca="1" si="109"/>
        <v/>
      </c>
      <c r="U1083" s="172" t="str">
        <f t="shared" ca="1" si="110"/>
        <v/>
      </c>
      <c r="V1083" s="343" t="str">
        <f t="shared" ca="1" si="111"/>
        <v/>
      </c>
      <c r="W1083" s="139"/>
      <c r="Y1083" s="1"/>
    </row>
    <row r="1084" spans="3:25" ht="12" customHeight="1">
      <c r="C1084" s="342" t="str">
        <f t="shared" ca="1" si="106"/>
        <v/>
      </c>
      <c r="D1084" s="153" t="str">
        <f t="shared" ca="1" si="107"/>
        <v/>
      </c>
      <c r="E1084" s="153" t="str">
        <f t="shared" ca="1" si="108"/>
        <v/>
      </c>
      <c r="F1084" s="170" t="str">
        <f ca="1">IF(C1084="","",[1]!S_DQ_CLOSE(D1084,TODAY(),1))</f>
        <v/>
      </c>
      <c r="G1084" s="171" t="str">
        <f ca="1">IF(C1084="","",[1]!s_pq_pctchange(D1084,TODAY()-$G$12,TODAY())/100)</f>
        <v/>
      </c>
      <c r="H1084" s="247" t="str">
        <f ca="1">IF(C1084="","",IF($H$11="收入",[1]!S_STM07_IS(D1084,9,$G$5,$H$13)/$E$5,[1]!S_STM07_IS(D1084,48,$G$5,$H$13)/$E$5))</f>
        <v/>
      </c>
      <c r="I1084" s="247" t="str">
        <f ca="1">IF(C1084="","",IF($I$11="毛利率",([1]!S_STM07_IS(D1084,9,$G$5,$H$13)-[1]!S_STM07_IS(D1084,10,$G$5,$H$13))/[1]!S_STM07_IS(D1084,9,$G$5,$H$13),[1]!S_STM07_IS(D1084,14,$G$5,$H$13)/$E$5))</f>
        <v/>
      </c>
      <c r="J1084" s="247" t="str">
        <f ca="1">IF(C1084="","",IF($J$11="营业利润率",[1]!S_STM07_IS(D1084,48,$G$5,$H$13)/[1]!S_STM07_IS(D1084,9,$G$5,$H$13),([1]!S_STM07_CS(D1084,87,$G$5,$H$13)+[1]!S_STM07_CS(D1084,88,$G$5,$H$13)+[1]!S_STM07_CS(D1084,89,$G$5,$H$13))/$E$5))</f>
        <v/>
      </c>
      <c r="K1084" s="247" t="str">
        <f ca="1">IF(C1084="","",IF($K$11="净利润率",[1]!S_STM07_IS(D1084,61,$G$5,$H$13)/[1]!S_STM07_IS(D1084,9,$G$5,$H$13),[1]!S_STM07_IS(D1084,55,$G$5,$H$13)/$E$5))</f>
        <v/>
      </c>
      <c r="L1084" s="247" t="str">
        <f ca="1">IF(C1084="","",IF($L$11="ROA",[1]!S_STM07_IS(D1084,61,$G$5,$H$13)/[1]!S_STM07_BS(D1084,74,$G$5,$H$13),1-[1]!S_STM07_IS(D1084,61,$G$5,$H$13)/[1]!S_STM07_IS(D1084,55,$G$5,$H$13)))</f>
        <v/>
      </c>
      <c r="M1084" s="247" t="str">
        <f ca="1">IF(C1084="","",IF($M$11="ROE",[1]!S_STM07_IS(D1084,61,$G$5,$H$13)/[1]!S_STM07_BS(D1084,141,$G$5,$H$13),([1]!S_STM07_BS(D1084,25,$G$5,$H$13)-[1]!S_STM07_BS(D1084,93,$G$5,$H$13))/$E$5))</f>
        <v/>
      </c>
      <c r="N1084" s="247" t="str">
        <f ca="1">IF(C1084="","",IF($N$11="EPS",[1]!S_STM07_IS(D1084,61,$G$5,$H$13)/IF([1]!S_SHARE_TOTAL(D1084,$G$5)=0,[1]!S_SHARE_TOTAL(D1084,[1]!s_ipo_listeddate(D1084)),[1]!S_SHARE_TOTAL(D1084,$G$5)),([1]!S_STM07_BS(D1084,75,$G$5,$H$13)+[1]!S_STM07_BS(D1084,88,$G$5,$H$13)+[1]!S_STM07_BS(D1084,94,$G$5,$H$13)+[1]!S_STM07_BS(D1084,95,$G$5,$H$13))/$E$5))</f>
        <v/>
      </c>
      <c r="O1084" s="247" t="str">
        <f ca="1">IF(C1084="","",IF($O$11="BPS",[1]!S_STM07_BS(D1084,141,$G$5,$H$13)/IF([1]!S_SHARE_TOTAL(D1084,$G$5)=0,[1]!S_SHARE_TOTAL(D1084,[1]!s_ipo_listeddate(D1084)),[1]!S_SHARE_TOTAL(D1084,$G$5)),[1]!S_STM07_CS(D1084,49,$G$5,$H$13)/$E$5))</f>
        <v/>
      </c>
      <c r="P1084" s="247" t="str">
        <f ca="1">IF(C1084="","",IF($P$11="CFPS",[1]!S_STM07_CS(D1084,84,$G$5,$H$13)/IF([1]!S_SHARE_TOTAL(D1084,$G$5)=0,[1]!S_SHARE_TOTAL(D1084,[1]!s_ipo_listeddate(D1084)),[1]!S_SHARE_TOTAL(D1084,$G$5)),[1]!S_STM07_CS(D1084,84,$G$5,$H$13)/$E$5))</f>
        <v/>
      </c>
      <c r="Q1084" s="248" t="str">
        <f ca="1">IF(C1084="","",F1084/([1]!S_STM07_IS(D1084,61,$G$5,$H$13)/IF([1]!S_SHARE_TOTAL(D1084,$G$5)=0,[1]!S_SHARE_TOTAL(D1084,[1]!s_ipo_listeddate(D1084)),[1]!S_SHARE_TOTAL(D1084,$G$5))))</f>
        <v/>
      </c>
      <c r="R1084" s="248" t="str">
        <f ca="1">IF(C1084="","",F1084/([1]!S_STM07_BS(D1084,141,$G$5,$H$13)/IF([1]!S_SHARE_TOTAL(D1084,$G$5)=0,[1]!S_SHARE_TOTAL(D1084,[1]!s_ipo_listeddate(D1084)),[1]!S_SHARE_TOTAL(D1084,$G$5))))</f>
        <v/>
      </c>
      <c r="S1084" s="247" t="str">
        <f ca="1">IF(C1084="","",[1]!S_SHARE_TOTAL(D1084,TODAY())/$E$5)</f>
        <v/>
      </c>
      <c r="T1084" s="247" t="str">
        <f t="shared" ca="1" si="109"/>
        <v/>
      </c>
      <c r="U1084" s="218" t="str">
        <f t="shared" ca="1" si="110"/>
        <v/>
      </c>
      <c r="V1084" s="342" t="str">
        <f t="shared" ca="1" si="111"/>
        <v/>
      </c>
      <c r="W1084" s="139"/>
      <c r="Y1084" s="1"/>
    </row>
    <row r="1085" spans="3:25" ht="12" customHeight="1">
      <c r="C1085" s="343" t="str">
        <f t="shared" ca="1" si="106"/>
        <v/>
      </c>
      <c r="D1085" s="124" t="str">
        <f t="shared" ca="1" si="107"/>
        <v/>
      </c>
      <c r="E1085" s="124" t="str">
        <f t="shared" ca="1" si="108"/>
        <v/>
      </c>
      <c r="F1085" s="172" t="str">
        <f ca="1">IF(C1085="","",[1]!S_DQ_CLOSE(D1085,TODAY(),1))</f>
        <v/>
      </c>
      <c r="G1085" s="173" t="str">
        <f ca="1">IF(C1085="","",[1]!s_pq_pctchange(D1085,TODAY()-$G$12,TODAY())/100)</f>
        <v/>
      </c>
      <c r="H1085" s="249" t="str">
        <f ca="1">IF(C1085="","",IF($H$11="收入",[1]!S_STM07_IS(D1085,9,$G$5,$H$13)/$E$5,[1]!S_STM07_IS(D1085,48,$G$5,$H$13)/$E$5))</f>
        <v/>
      </c>
      <c r="I1085" s="249" t="str">
        <f ca="1">IF(C1085="","",IF($I$11="毛利率",([1]!S_STM07_IS(D1085,9,$G$5,$H$13)-[1]!S_STM07_IS(D1085,10,$G$5,$H$13))/[1]!S_STM07_IS(D1085,9,$G$5,$H$13),[1]!S_STM07_IS(D1085,14,$G$5,$H$13)/$E$5))</f>
        <v/>
      </c>
      <c r="J1085" s="249" t="str">
        <f ca="1">IF(C1085="","",IF($J$11="营业利润率",[1]!S_STM07_IS(D1085,48,$G$5,$H$13)/[1]!S_STM07_IS(D1085,9,$G$5,$H$13),([1]!S_STM07_CS(D1085,87,$G$5,$H$13)+[1]!S_STM07_CS(D1085,88,$G$5,$H$13)+[1]!S_STM07_CS(D1085,89,$G$5,$H$13))/$E$5))</f>
        <v/>
      </c>
      <c r="K1085" s="249" t="str">
        <f ca="1">IF(C1085="","",IF($K$11="净利润率",[1]!S_STM07_IS(D1085,61,$G$5,$H$13)/[1]!S_STM07_IS(D1085,9,$G$5,$H$13),[1]!S_STM07_IS(D1085,55,$G$5,$H$13)/$E$5))</f>
        <v/>
      </c>
      <c r="L1085" s="249" t="str">
        <f ca="1">IF(C1085="","",IF($L$11="ROA",[1]!S_STM07_IS(D1085,61,$G$5,$H$13)/[1]!S_STM07_BS(D1085,74,$G$5,$H$13),1-[1]!S_STM07_IS(D1085,61,$G$5,$H$13)/[1]!S_STM07_IS(D1085,55,$G$5,$H$13)))</f>
        <v/>
      </c>
      <c r="M1085" s="249" t="str">
        <f ca="1">IF(C1085="","",IF($M$11="ROE",[1]!S_STM07_IS(D1085,61,$G$5,$H$13)/[1]!S_STM07_BS(D1085,141,$G$5,$H$13),([1]!S_STM07_BS(D1085,25,$G$5,$H$13)-[1]!S_STM07_BS(D1085,93,$G$5,$H$13))/$E$5))</f>
        <v/>
      </c>
      <c r="N1085" s="250" t="str">
        <f ca="1">IF(C1085="","",IF($N$11="EPS",[1]!S_STM07_IS(D1085,61,$G$5,$H$13)/IF([1]!S_SHARE_TOTAL(D1085,$G$5)=0,[1]!S_SHARE_TOTAL(D1085,[1]!s_ipo_listeddate(D1085)),[1]!S_SHARE_TOTAL(D1085,$G$5)),([1]!S_STM07_BS(D1085,75,$G$5,$H$13)+[1]!S_STM07_BS(D1085,88,$G$5,$H$13)+[1]!S_STM07_BS(D1085,94,$G$5,$H$13)+[1]!S_STM07_BS(D1085,95,$G$5,$H$13))/$E$5))</f>
        <v/>
      </c>
      <c r="O1085" s="250" t="str">
        <f ca="1">IF(C1085="","",IF($O$11="BPS",[1]!S_STM07_BS(D1085,141,$G$5,$H$13)/IF([1]!S_SHARE_TOTAL(D1085,$G$5)=0,[1]!S_SHARE_TOTAL(D1085,[1]!s_ipo_listeddate(D1085)),[1]!S_SHARE_TOTAL(D1085,$G$5)),[1]!S_STM07_CS(D1085,49,$G$5,$H$13)/$E$5))</f>
        <v/>
      </c>
      <c r="P1085" s="250" t="str">
        <f ca="1">IF(C1085="","",IF($P$11="CFPS",[1]!S_STM07_CS(D1085,84,$G$5,$H$13)/IF([1]!S_SHARE_TOTAL(D1085,$G$5)=0,[1]!S_SHARE_TOTAL(D1085,[1]!s_ipo_listeddate(D1085)),[1]!S_SHARE_TOTAL(D1085,$G$5)),[1]!S_STM07_CS(D1085,84,$G$5,$H$13)/$E$5))</f>
        <v/>
      </c>
      <c r="Q1085" s="198" t="str">
        <f ca="1">IF(C1085="","",F1085/([1]!S_STM07_IS(D1085,61,$G$5,$H$13)/IF([1]!S_SHARE_TOTAL(D1085,$G$5)=0,[1]!S_SHARE_TOTAL(D1085,[1]!s_ipo_listeddate(D1085)),[1]!S_SHARE_TOTAL(D1085,$G$5))))</f>
        <v/>
      </c>
      <c r="R1085" s="198" t="str">
        <f ca="1">IF(C1085="","",F1085/([1]!S_STM07_BS(D1085,141,$G$5,$H$13)/IF([1]!S_SHARE_TOTAL(D1085,$G$5)=0,[1]!S_SHARE_TOTAL(D1085,[1]!s_ipo_listeddate(D1085)),[1]!S_SHARE_TOTAL(D1085,$G$5))))</f>
        <v/>
      </c>
      <c r="S1085" s="249" t="str">
        <f ca="1">IF(C1085="","",[1]!S_SHARE_TOTAL(D1085,TODAY())/$E$5)</f>
        <v/>
      </c>
      <c r="T1085" s="249" t="str">
        <f t="shared" ca="1" si="109"/>
        <v/>
      </c>
      <c r="U1085" s="172" t="str">
        <f t="shared" ca="1" si="110"/>
        <v/>
      </c>
      <c r="V1085" s="343" t="str">
        <f t="shared" ca="1" si="111"/>
        <v/>
      </c>
      <c r="W1085" s="139"/>
      <c r="Y1085" s="1"/>
    </row>
    <row r="1086" spans="3:25" ht="12" customHeight="1">
      <c r="C1086" s="342" t="str">
        <f t="shared" ca="1" si="106"/>
        <v/>
      </c>
      <c r="D1086" s="153" t="str">
        <f t="shared" ca="1" si="107"/>
        <v/>
      </c>
      <c r="E1086" s="153" t="str">
        <f t="shared" ca="1" si="108"/>
        <v/>
      </c>
      <c r="F1086" s="170" t="str">
        <f ca="1">IF(C1086="","",[1]!S_DQ_CLOSE(D1086,TODAY(),1))</f>
        <v/>
      </c>
      <c r="G1086" s="171" t="str">
        <f ca="1">IF(C1086="","",[1]!s_pq_pctchange(D1086,TODAY()-$G$12,TODAY())/100)</f>
        <v/>
      </c>
      <c r="H1086" s="247" t="str">
        <f ca="1">IF(C1086="","",IF($H$11="收入",[1]!S_STM07_IS(D1086,9,$G$5,$H$13)/$E$5,[1]!S_STM07_IS(D1086,48,$G$5,$H$13)/$E$5))</f>
        <v/>
      </c>
      <c r="I1086" s="247" t="str">
        <f ca="1">IF(C1086="","",IF($I$11="毛利率",([1]!S_STM07_IS(D1086,9,$G$5,$H$13)-[1]!S_STM07_IS(D1086,10,$G$5,$H$13))/[1]!S_STM07_IS(D1086,9,$G$5,$H$13),[1]!S_STM07_IS(D1086,14,$G$5,$H$13)/$E$5))</f>
        <v/>
      </c>
      <c r="J1086" s="247" t="str">
        <f ca="1">IF(C1086="","",IF($J$11="营业利润率",[1]!S_STM07_IS(D1086,48,$G$5,$H$13)/[1]!S_STM07_IS(D1086,9,$G$5,$H$13),([1]!S_STM07_CS(D1086,87,$G$5,$H$13)+[1]!S_STM07_CS(D1086,88,$G$5,$H$13)+[1]!S_STM07_CS(D1086,89,$G$5,$H$13))/$E$5))</f>
        <v/>
      </c>
      <c r="K1086" s="247" t="str">
        <f ca="1">IF(C1086="","",IF($K$11="净利润率",[1]!S_STM07_IS(D1086,61,$G$5,$H$13)/[1]!S_STM07_IS(D1086,9,$G$5,$H$13),[1]!S_STM07_IS(D1086,55,$G$5,$H$13)/$E$5))</f>
        <v/>
      </c>
      <c r="L1086" s="247" t="str">
        <f ca="1">IF(C1086="","",IF($L$11="ROA",[1]!S_STM07_IS(D1086,61,$G$5,$H$13)/[1]!S_STM07_BS(D1086,74,$G$5,$H$13),1-[1]!S_STM07_IS(D1086,61,$G$5,$H$13)/[1]!S_STM07_IS(D1086,55,$G$5,$H$13)))</f>
        <v/>
      </c>
      <c r="M1086" s="247" t="str">
        <f ca="1">IF(C1086="","",IF($M$11="ROE",[1]!S_STM07_IS(D1086,61,$G$5,$H$13)/[1]!S_STM07_BS(D1086,141,$G$5,$H$13),([1]!S_STM07_BS(D1086,25,$G$5,$H$13)-[1]!S_STM07_BS(D1086,93,$G$5,$H$13))/$E$5))</f>
        <v/>
      </c>
      <c r="N1086" s="247" t="str">
        <f ca="1">IF(C1086="","",IF($N$11="EPS",[1]!S_STM07_IS(D1086,61,$G$5,$H$13)/IF([1]!S_SHARE_TOTAL(D1086,$G$5)=0,[1]!S_SHARE_TOTAL(D1086,[1]!s_ipo_listeddate(D1086)),[1]!S_SHARE_TOTAL(D1086,$G$5)),([1]!S_STM07_BS(D1086,75,$G$5,$H$13)+[1]!S_STM07_BS(D1086,88,$G$5,$H$13)+[1]!S_STM07_BS(D1086,94,$G$5,$H$13)+[1]!S_STM07_BS(D1086,95,$G$5,$H$13))/$E$5))</f>
        <v/>
      </c>
      <c r="O1086" s="247" t="str">
        <f ca="1">IF(C1086="","",IF($O$11="BPS",[1]!S_STM07_BS(D1086,141,$G$5,$H$13)/IF([1]!S_SHARE_TOTAL(D1086,$G$5)=0,[1]!S_SHARE_TOTAL(D1086,[1]!s_ipo_listeddate(D1086)),[1]!S_SHARE_TOTAL(D1086,$G$5)),[1]!S_STM07_CS(D1086,49,$G$5,$H$13)/$E$5))</f>
        <v/>
      </c>
      <c r="P1086" s="247" t="str">
        <f ca="1">IF(C1086="","",IF($P$11="CFPS",[1]!S_STM07_CS(D1086,84,$G$5,$H$13)/IF([1]!S_SHARE_TOTAL(D1086,$G$5)=0,[1]!S_SHARE_TOTAL(D1086,[1]!s_ipo_listeddate(D1086)),[1]!S_SHARE_TOTAL(D1086,$G$5)),[1]!S_STM07_CS(D1086,84,$G$5,$H$13)/$E$5))</f>
        <v/>
      </c>
      <c r="Q1086" s="248" t="str">
        <f ca="1">IF(C1086="","",F1086/([1]!S_STM07_IS(D1086,61,$G$5,$H$13)/IF([1]!S_SHARE_TOTAL(D1086,$G$5)=0,[1]!S_SHARE_TOTAL(D1086,[1]!s_ipo_listeddate(D1086)),[1]!S_SHARE_TOTAL(D1086,$G$5))))</f>
        <v/>
      </c>
      <c r="R1086" s="248" t="str">
        <f ca="1">IF(C1086="","",F1086/([1]!S_STM07_BS(D1086,141,$G$5,$H$13)/IF([1]!S_SHARE_TOTAL(D1086,$G$5)=0,[1]!S_SHARE_TOTAL(D1086,[1]!s_ipo_listeddate(D1086)),[1]!S_SHARE_TOTAL(D1086,$G$5))))</f>
        <v/>
      </c>
      <c r="S1086" s="247" t="str">
        <f ca="1">IF(C1086="","",[1]!S_SHARE_TOTAL(D1086,TODAY())/$E$5)</f>
        <v/>
      </c>
      <c r="T1086" s="247" t="str">
        <f t="shared" ca="1" si="109"/>
        <v/>
      </c>
      <c r="U1086" s="218" t="str">
        <f t="shared" ca="1" si="110"/>
        <v/>
      </c>
      <c r="V1086" s="342" t="str">
        <f t="shared" ca="1" si="111"/>
        <v/>
      </c>
      <c r="W1086" s="139"/>
      <c r="Y1086" s="1"/>
    </row>
    <row r="1087" spans="3:25" ht="12" customHeight="1">
      <c r="C1087" s="343" t="str">
        <f t="shared" ca="1" si="106"/>
        <v/>
      </c>
      <c r="D1087" s="124" t="str">
        <f t="shared" ca="1" si="107"/>
        <v/>
      </c>
      <c r="E1087" s="124" t="str">
        <f t="shared" ca="1" si="108"/>
        <v/>
      </c>
      <c r="F1087" s="172" t="str">
        <f ca="1">IF(C1087="","",[1]!S_DQ_CLOSE(D1087,TODAY(),1))</f>
        <v/>
      </c>
      <c r="G1087" s="173" t="str">
        <f ca="1">IF(C1087="","",[1]!s_pq_pctchange(D1087,TODAY()-$G$12,TODAY())/100)</f>
        <v/>
      </c>
      <c r="H1087" s="249" t="str">
        <f ca="1">IF(C1087="","",IF($H$11="收入",[1]!S_STM07_IS(D1087,9,$G$5,$H$13)/$E$5,[1]!S_STM07_IS(D1087,48,$G$5,$H$13)/$E$5))</f>
        <v/>
      </c>
      <c r="I1087" s="249" t="str">
        <f ca="1">IF(C1087="","",IF($I$11="毛利率",([1]!S_STM07_IS(D1087,9,$G$5,$H$13)-[1]!S_STM07_IS(D1087,10,$G$5,$H$13))/[1]!S_STM07_IS(D1087,9,$G$5,$H$13),[1]!S_STM07_IS(D1087,14,$G$5,$H$13)/$E$5))</f>
        <v/>
      </c>
      <c r="J1087" s="249" t="str">
        <f ca="1">IF(C1087="","",IF($J$11="营业利润率",[1]!S_STM07_IS(D1087,48,$G$5,$H$13)/[1]!S_STM07_IS(D1087,9,$G$5,$H$13),([1]!S_STM07_CS(D1087,87,$G$5,$H$13)+[1]!S_STM07_CS(D1087,88,$G$5,$H$13)+[1]!S_STM07_CS(D1087,89,$G$5,$H$13))/$E$5))</f>
        <v/>
      </c>
      <c r="K1087" s="249" t="str">
        <f ca="1">IF(C1087="","",IF($K$11="净利润率",[1]!S_STM07_IS(D1087,61,$G$5,$H$13)/[1]!S_STM07_IS(D1087,9,$G$5,$H$13),[1]!S_STM07_IS(D1087,55,$G$5,$H$13)/$E$5))</f>
        <v/>
      </c>
      <c r="L1087" s="249" t="str">
        <f ca="1">IF(C1087="","",IF($L$11="ROA",[1]!S_STM07_IS(D1087,61,$G$5,$H$13)/[1]!S_STM07_BS(D1087,74,$G$5,$H$13),1-[1]!S_STM07_IS(D1087,61,$G$5,$H$13)/[1]!S_STM07_IS(D1087,55,$G$5,$H$13)))</f>
        <v/>
      </c>
      <c r="M1087" s="249" t="str">
        <f ca="1">IF(C1087="","",IF($M$11="ROE",[1]!S_STM07_IS(D1087,61,$G$5,$H$13)/[1]!S_STM07_BS(D1087,141,$G$5,$H$13),([1]!S_STM07_BS(D1087,25,$G$5,$H$13)-[1]!S_STM07_BS(D1087,93,$G$5,$H$13))/$E$5))</f>
        <v/>
      </c>
      <c r="N1087" s="250" t="str">
        <f ca="1">IF(C1087="","",IF($N$11="EPS",[1]!S_STM07_IS(D1087,61,$G$5,$H$13)/IF([1]!S_SHARE_TOTAL(D1087,$G$5)=0,[1]!S_SHARE_TOTAL(D1087,[1]!s_ipo_listeddate(D1087)),[1]!S_SHARE_TOTAL(D1087,$G$5)),([1]!S_STM07_BS(D1087,75,$G$5,$H$13)+[1]!S_STM07_BS(D1087,88,$G$5,$H$13)+[1]!S_STM07_BS(D1087,94,$G$5,$H$13)+[1]!S_STM07_BS(D1087,95,$G$5,$H$13))/$E$5))</f>
        <v/>
      </c>
      <c r="O1087" s="250" t="str">
        <f ca="1">IF(C1087="","",IF($O$11="BPS",[1]!S_STM07_BS(D1087,141,$G$5,$H$13)/IF([1]!S_SHARE_TOTAL(D1087,$G$5)=0,[1]!S_SHARE_TOTAL(D1087,[1]!s_ipo_listeddate(D1087)),[1]!S_SHARE_TOTAL(D1087,$G$5)),[1]!S_STM07_CS(D1087,49,$G$5,$H$13)/$E$5))</f>
        <v/>
      </c>
      <c r="P1087" s="250" t="str">
        <f ca="1">IF(C1087="","",IF($P$11="CFPS",[1]!S_STM07_CS(D1087,84,$G$5,$H$13)/IF([1]!S_SHARE_TOTAL(D1087,$G$5)=0,[1]!S_SHARE_TOTAL(D1087,[1]!s_ipo_listeddate(D1087)),[1]!S_SHARE_TOTAL(D1087,$G$5)),[1]!S_STM07_CS(D1087,84,$G$5,$H$13)/$E$5))</f>
        <v/>
      </c>
      <c r="Q1087" s="198" t="str">
        <f ca="1">IF(C1087="","",F1087/([1]!S_STM07_IS(D1087,61,$G$5,$H$13)/IF([1]!S_SHARE_TOTAL(D1087,$G$5)=0,[1]!S_SHARE_TOTAL(D1087,[1]!s_ipo_listeddate(D1087)),[1]!S_SHARE_TOTAL(D1087,$G$5))))</f>
        <v/>
      </c>
      <c r="R1087" s="198" t="str">
        <f ca="1">IF(C1087="","",F1087/([1]!S_STM07_BS(D1087,141,$G$5,$H$13)/IF([1]!S_SHARE_TOTAL(D1087,$G$5)=0,[1]!S_SHARE_TOTAL(D1087,[1]!s_ipo_listeddate(D1087)),[1]!S_SHARE_TOTAL(D1087,$G$5))))</f>
        <v/>
      </c>
      <c r="S1087" s="249" t="str">
        <f ca="1">IF(C1087="","",[1]!S_SHARE_TOTAL(D1087,TODAY())/$E$5)</f>
        <v/>
      </c>
      <c r="T1087" s="249" t="str">
        <f t="shared" ca="1" si="109"/>
        <v/>
      </c>
      <c r="U1087" s="172" t="str">
        <f t="shared" ca="1" si="110"/>
        <v/>
      </c>
      <c r="V1087" s="343" t="str">
        <f t="shared" ca="1" si="111"/>
        <v/>
      </c>
      <c r="W1087" s="139"/>
      <c r="Y1087" s="1"/>
    </row>
    <row r="1088" spans="3:25" ht="12" customHeight="1">
      <c r="C1088" s="342" t="str">
        <f t="shared" ca="1" si="106"/>
        <v/>
      </c>
      <c r="D1088" s="153" t="str">
        <f t="shared" ca="1" si="107"/>
        <v/>
      </c>
      <c r="E1088" s="153" t="str">
        <f t="shared" ca="1" si="108"/>
        <v/>
      </c>
      <c r="F1088" s="170" t="str">
        <f ca="1">IF(C1088="","",[1]!S_DQ_CLOSE(D1088,TODAY(),1))</f>
        <v/>
      </c>
      <c r="G1088" s="171" t="str">
        <f ca="1">IF(C1088="","",[1]!s_pq_pctchange(D1088,TODAY()-$G$12,TODAY())/100)</f>
        <v/>
      </c>
      <c r="H1088" s="247" t="str">
        <f ca="1">IF(C1088="","",IF($H$11="收入",[1]!S_STM07_IS(D1088,9,$G$5,$H$13)/$E$5,[1]!S_STM07_IS(D1088,48,$G$5,$H$13)/$E$5))</f>
        <v/>
      </c>
      <c r="I1088" s="247" t="str">
        <f ca="1">IF(C1088="","",IF($I$11="毛利率",([1]!S_STM07_IS(D1088,9,$G$5,$H$13)-[1]!S_STM07_IS(D1088,10,$G$5,$H$13))/[1]!S_STM07_IS(D1088,9,$G$5,$H$13),[1]!S_STM07_IS(D1088,14,$G$5,$H$13)/$E$5))</f>
        <v/>
      </c>
      <c r="J1088" s="247" t="str">
        <f ca="1">IF(C1088="","",IF($J$11="营业利润率",[1]!S_STM07_IS(D1088,48,$G$5,$H$13)/[1]!S_STM07_IS(D1088,9,$G$5,$H$13),([1]!S_STM07_CS(D1088,87,$G$5,$H$13)+[1]!S_STM07_CS(D1088,88,$G$5,$H$13)+[1]!S_STM07_CS(D1088,89,$G$5,$H$13))/$E$5))</f>
        <v/>
      </c>
      <c r="K1088" s="247" t="str">
        <f ca="1">IF(C1088="","",IF($K$11="净利润率",[1]!S_STM07_IS(D1088,61,$G$5,$H$13)/[1]!S_STM07_IS(D1088,9,$G$5,$H$13),[1]!S_STM07_IS(D1088,55,$G$5,$H$13)/$E$5))</f>
        <v/>
      </c>
      <c r="L1088" s="247" t="str">
        <f ca="1">IF(C1088="","",IF($L$11="ROA",[1]!S_STM07_IS(D1088,61,$G$5,$H$13)/[1]!S_STM07_BS(D1088,74,$G$5,$H$13),1-[1]!S_STM07_IS(D1088,61,$G$5,$H$13)/[1]!S_STM07_IS(D1088,55,$G$5,$H$13)))</f>
        <v/>
      </c>
      <c r="M1088" s="247" t="str">
        <f ca="1">IF(C1088="","",IF($M$11="ROE",[1]!S_STM07_IS(D1088,61,$G$5,$H$13)/[1]!S_STM07_BS(D1088,141,$G$5,$H$13),([1]!S_STM07_BS(D1088,25,$G$5,$H$13)-[1]!S_STM07_BS(D1088,93,$G$5,$H$13))/$E$5))</f>
        <v/>
      </c>
      <c r="N1088" s="247" t="str">
        <f ca="1">IF(C1088="","",IF($N$11="EPS",[1]!S_STM07_IS(D1088,61,$G$5,$H$13)/IF([1]!S_SHARE_TOTAL(D1088,$G$5)=0,[1]!S_SHARE_TOTAL(D1088,[1]!s_ipo_listeddate(D1088)),[1]!S_SHARE_TOTAL(D1088,$G$5)),([1]!S_STM07_BS(D1088,75,$G$5,$H$13)+[1]!S_STM07_BS(D1088,88,$G$5,$H$13)+[1]!S_STM07_BS(D1088,94,$G$5,$H$13)+[1]!S_STM07_BS(D1088,95,$G$5,$H$13))/$E$5))</f>
        <v/>
      </c>
      <c r="O1088" s="247" t="str">
        <f ca="1">IF(C1088="","",IF($O$11="BPS",[1]!S_STM07_BS(D1088,141,$G$5,$H$13)/IF([1]!S_SHARE_TOTAL(D1088,$G$5)=0,[1]!S_SHARE_TOTAL(D1088,[1]!s_ipo_listeddate(D1088)),[1]!S_SHARE_TOTAL(D1088,$G$5)),[1]!S_STM07_CS(D1088,49,$G$5,$H$13)/$E$5))</f>
        <v/>
      </c>
      <c r="P1088" s="247" t="str">
        <f ca="1">IF(C1088="","",IF($P$11="CFPS",[1]!S_STM07_CS(D1088,84,$G$5,$H$13)/IF([1]!S_SHARE_TOTAL(D1088,$G$5)=0,[1]!S_SHARE_TOTAL(D1088,[1]!s_ipo_listeddate(D1088)),[1]!S_SHARE_TOTAL(D1088,$G$5)),[1]!S_STM07_CS(D1088,84,$G$5,$H$13)/$E$5))</f>
        <v/>
      </c>
      <c r="Q1088" s="248" t="str">
        <f ca="1">IF(C1088="","",F1088/([1]!S_STM07_IS(D1088,61,$G$5,$H$13)/IF([1]!S_SHARE_TOTAL(D1088,$G$5)=0,[1]!S_SHARE_TOTAL(D1088,[1]!s_ipo_listeddate(D1088)),[1]!S_SHARE_TOTAL(D1088,$G$5))))</f>
        <v/>
      </c>
      <c r="R1088" s="248" t="str">
        <f ca="1">IF(C1088="","",F1088/([1]!S_STM07_BS(D1088,141,$G$5,$H$13)/IF([1]!S_SHARE_TOTAL(D1088,$G$5)=0,[1]!S_SHARE_TOTAL(D1088,[1]!s_ipo_listeddate(D1088)),[1]!S_SHARE_TOTAL(D1088,$G$5))))</f>
        <v/>
      </c>
      <c r="S1088" s="247" t="str">
        <f ca="1">IF(C1088="","",[1]!S_SHARE_TOTAL(D1088,TODAY())/$E$5)</f>
        <v/>
      </c>
      <c r="T1088" s="247" t="str">
        <f t="shared" ca="1" si="109"/>
        <v/>
      </c>
      <c r="U1088" s="218" t="str">
        <f t="shared" ca="1" si="110"/>
        <v/>
      </c>
      <c r="V1088" s="342" t="str">
        <f t="shared" ca="1" si="111"/>
        <v/>
      </c>
      <c r="W1088" s="139"/>
      <c r="Y1088" s="1"/>
    </row>
    <row r="1089" spans="3:25" ht="12" customHeight="1">
      <c r="C1089" s="343" t="str">
        <f t="shared" ca="1" si="106"/>
        <v/>
      </c>
      <c r="D1089" s="124" t="str">
        <f t="shared" ca="1" si="107"/>
        <v/>
      </c>
      <c r="E1089" s="124" t="str">
        <f t="shared" ca="1" si="108"/>
        <v/>
      </c>
      <c r="F1089" s="172" t="str">
        <f ca="1">IF(C1089="","",[1]!S_DQ_CLOSE(D1089,TODAY(),1))</f>
        <v/>
      </c>
      <c r="G1089" s="173" t="str">
        <f ca="1">IF(C1089="","",[1]!s_pq_pctchange(D1089,TODAY()-$G$12,TODAY())/100)</f>
        <v/>
      </c>
      <c r="H1089" s="249" t="str">
        <f ca="1">IF(C1089="","",IF($H$11="收入",[1]!S_STM07_IS(D1089,9,$G$5,$H$13)/$E$5,[1]!S_STM07_IS(D1089,48,$G$5,$H$13)/$E$5))</f>
        <v/>
      </c>
      <c r="I1089" s="249" t="str">
        <f ca="1">IF(C1089="","",IF($I$11="毛利率",([1]!S_STM07_IS(D1089,9,$G$5,$H$13)-[1]!S_STM07_IS(D1089,10,$G$5,$H$13))/[1]!S_STM07_IS(D1089,9,$G$5,$H$13),[1]!S_STM07_IS(D1089,14,$G$5,$H$13)/$E$5))</f>
        <v/>
      </c>
      <c r="J1089" s="249" t="str">
        <f ca="1">IF(C1089="","",IF($J$11="营业利润率",[1]!S_STM07_IS(D1089,48,$G$5,$H$13)/[1]!S_STM07_IS(D1089,9,$G$5,$H$13),([1]!S_STM07_CS(D1089,87,$G$5,$H$13)+[1]!S_STM07_CS(D1089,88,$G$5,$H$13)+[1]!S_STM07_CS(D1089,89,$G$5,$H$13))/$E$5))</f>
        <v/>
      </c>
      <c r="K1089" s="249" t="str">
        <f ca="1">IF(C1089="","",IF($K$11="净利润率",[1]!S_STM07_IS(D1089,61,$G$5,$H$13)/[1]!S_STM07_IS(D1089,9,$G$5,$H$13),[1]!S_STM07_IS(D1089,55,$G$5,$H$13)/$E$5))</f>
        <v/>
      </c>
      <c r="L1089" s="249" t="str">
        <f ca="1">IF(C1089="","",IF($L$11="ROA",[1]!S_STM07_IS(D1089,61,$G$5,$H$13)/[1]!S_STM07_BS(D1089,74,$G$5,$H$13),1-[1]!S_STM07_IS(D1089,61,$G$5,$H$13)/[1]!S_STM07_IS(D1089,55,$G$5,$H$13)))</f>
        <v/>
      </c>
      <c r="M1089" s="249" t="str">
        <f ca="1">IF(C1089="","",IF($M$11="ROE",[1]!S_STM07_IS(D1089,61,$G$5,$H$13)/[1]!S_STM07_BS(D1089,141,$G$5,$H$13),([1]!S_STM07_BS(D1089,25,$G$5,$H$13)-[1]!S_STM07_BS(D1089,93,$G$5,$H$13))/$E$5))</f>
        <v/>
      </c>
      <c r="N1089" s="250" t="str">
        <f ca="1">IF(C1089="","",IF($N$11="EPS",[1]!S_STM07_IS(D1089,61,$G$5,$H$13)/IF([1]!S_SHARE_TOTAL(D1089,$G$5)=0,[1]!S_SHARE_TOTAL(D1089,[1]!s_ipo_listeddate(D1089)),[1]!S_SHARE_TOTAL(D1089,$G$5)),([1]!S_STM07_BS(D1089,75,$G$5,$H$13)+[1]!S_STM07_BS(D1089,88,$G$5,$H$13)+[1]!S_STM07_BS(D1089,94,$G$5,$H$13)+[1]!S_STM07_BS(D1089,95,$G$5,$H$13))/$E$5))</f>
        <v/>
      </c>
      <c r="O1089" s="250" t="str">
        <f ca="1">IF(C1089="","",IF($O$11="BPS",[1]!S_STM07_BS(D1089,141,$G$5,$H$13)/IF([1]!S_SHARE_TOTAL(D1089,$G$5)=0,[1]!S_SHARE_TOTAL(D1089,[1]!s_ipo_listeddate(D1089)),[1]!S_SHARE_TOTAL(D1089,$G$5)),[1]!S_STM07_CS(D1089,49,$G$5,$H$13)/$E$5))</f>
        <v/>
      </c>
      <c r="P1089" s="250" t="str">
        <f ca="1">IF(C1089="","",IF($P$11="CFPS",[1]!S_STM07_CS(D1089,84,$G$5,$H$13)/IF([1]!S_SHARE_TOTAL(D1089,$G$5)=0,[1]!S_SHARE_TOTAL(D1089,[1]!s_ipo_listeddate(D1089)),[1]!S_SHARE_TOTAL(D1089,$G$5)),[1]!S_STM07_CS(D1089,84,$G$5,$H$13)/$E$5))</f>
        <v/>
      </c>
      <c r="Q1089" s="198" t="str">
        <f ca="1">IF(C1089="","",F1089/([1]!S_STM07_IS(D1089,61,$G$5,$H$13)/IF([1]!S_SHARE_TOTAL(D1089,$G$5)=0,[1]!S_SHARE_TOTAL(D1089,[1]!s_ipo_listeddate(D1089)),[1]!S_SHARE_TOTAL(D1089,$G$5))))</f>
        <v/>
      </c>
      <c r="R1089" s="198" t="str">
        <f ca="1">IF(C1089="","",F1089/([1]!S_STM07_BS(D1089,141,$G$5,$H$13)/IF([1]!S_SHARE_TOTAL(D1089,$G$5)=0,[1]!S_SHARE_TOTAL(D1089,[1]!s_ipo_listeddate(D1089)),[1]!S_SHARE_TOTAL(D1089,$G$5))))</f>
        <v/>
      </c>
      <c r="S1089" s="249" t="str">
        <f ca="1">IF(C1089="","",[1]!S_SHARE_TOTAL(D1089,TODAY())/$E$5)</f>
        <v/>
      </c>
      <c r="T1089" s="249" t="str">
        <f t="shared" ca="1" si="109"/>
        <v/>
      </c>
      <c r="U1089" s="172" t="str">
        <f t="shared" ca="1" si="110"/>
        <v/>
      </c>
      <c r="V1089" s="343" t="str">
        <f t="shared" ca="1" si="111"/>
        <v/>
      </c>
      <c r="W1089" s="139"/>
      <c r="Y1089" s="1"/>
    </row>
    <row r="1090" spans="3:25" ht="12" customHeight="1">
      <c r="C1090" s="342" t="str">
        <f t="shared" ca="1" si="106"/>
        <v/>
      </c>
      <c r="D1090" s="153" t="str">
        <f t="shared" ca="1" si="107"/>
        <v/>
      </c>
      <c r="E1090" s="153" t="str">
        <f t="shared" ca="1" si="108"/>
        <v/>
      </c>
      <c r="F1090" s="170" t="str">
        <f ca="1">IF(C1090="","",[1]!S_DQ_CLOSE(D1090,TODAY(),1))</f>
        <v/>
      </c>
      <c r="G1090" s="171" t="str">
        <f ca="1">IF(C1090="","",[1]!s_pq_pctchange(D1090,TODAY()-$G$12,TODAY())/100)</f>
        <v/>
      </c>
      <c r="H1090" s="247" t="str">
        <f ca="1">IF(C1090="","",IF($H$11="收入",[1]!S_STM07_IS(D1090,9,$G$5,$H$13)/$E$5,[1]!S_STM07_IS(D1090,48,$G$5,$H$13)/$E$5))</f>
        <v/>
      </c>
      <c r="I1090" s="247" t="str">
        <f ca="1">IF(C1090="","",IF($I$11="毛利率",([1]!S_STM07_IS(D1090,9,$G$5,$H$13)-[1]!S_STM07_IS(D1090,10,$G$5,$H$13))/[1]!S_STM07_IS(D1090,9,$G$5,$H$13),[1]!S_STM07_IS(D1090,14,$G$5,$H$13)/$E$5))</f>
        <v/>
      </c>
      <c r="J1090" s="247" t="str">
        <f ca="1">IF(C1090="","",IF($J$11="营业利润率",[1]!S_STM07_IS(D1090,48,$G$5,$H$13)/[1]!S_STM07_IS(D1090,9,$G$5,$H$13),([1]!S_STM07_CS(D1090,87,$G$5,$H$13)+[1]!S_STM07_CS(D1090,88,$G$5,$H$13)+[1]!S_STM07_CS(D1090,89,$G$5,$H$13))/$E$5))</f>
        <v/>
      </c>
      <c r="K1090" s="247" t="str">
        <f ca="1">IF(C1090="","",IF($K$11="净利润率",[1]!S_STM07_IS(D1090,61,$G$5,$H$13)/[1]!S_STM07_IS(D1090,9,$G$5,$H$13),[1]!S_STM07_IS(D1090,55,$G$5,$H$13)/$E$5))</f>
        <v/>
      </c>
      <c r="L1090" s="247" t="str">
        <f ca="1">IF(C1090="","",IF($L$11="ROA",[1]!S_STM07_IS(D1090,61,$G$5,$H$13)/[1]!S_STM07_BS(D1090,74,$G$5,$H$13),1-[1]!S_STM07_IS(D1090,61,$G$5,$H$13)/[1]!S_STM07_IS(D1090,55,$G$5,$H$13)))</f>
        <v/>
      </c>
      <c r="M1090" s="247" t="str">
        <f ca="1">IF(C1090="","",IF($M$11="ROE",[1]!S_STM07_IS(D1090,61,$G$5,$H$13)/[1]!S_STM07_BS(D1090,141,$G$5,$H$13),([1]!S_STM07_BS(D1090,25,$G$5,$H$13)-[1]!S_STM07_BS(D1090,93,$G$5,$H$13))/$E$5))</f>
        <v/>
      </c>
      <c r="N1090" s="247" t="str">
        <f ca="1">IF(C1090="","",IF($N$11="EPS",[1]!S_STM07_IS(D1090,61,$G$5,$H$13)/IF([1]!S_SHARE_TOTAL(D1090,$G$5)=0,[1]!S_SHARE_TOTAL(D1090,[1]!s_ipo_listeddate(D1090)),[1]!S_SHARE_TOTAL(D1090,$G$5)),([1]!S_STM07_BS(D1090,75,$G$5,$H$13)+[1]!S_STM07_BS(D1090,88,$G$5,$H$13)+[1]!S_STM07_BS(D1090,94,$G$5,$H$13)+[1]!S_STM07_BS(D1090,95,$G$5,$H$13))/$E$5))</f>
        <v/>
      </c>
      <c r="O1090" s="247" t="str">
        <f ca="1">IF(C1090="","",IF($O$11="BPS",[1]!S_STM07_BS(D1090,141,$G$5,$H$13)/IF([1]!S_SHARE_TOTAL(D1090,$G$5)=0,[1]!S_SHARE_TOTAL(D1090,[1]!s_ipo_listeddate(D1090)),[1]!S_SHARE_TOTAL(D1090,$G$5)),[1]!S_STM07_CS(D1090,49,$G$5,$H$13)/$E$5))</f>
        <v/>
      </c>
      <c r="P1090" s="247" t="str">
        <f ca="1">IF(C1090="","",IF($P$11="CFPS",[1]!S_STM07_CS(D1090,84,$G$5,$H$13)/IF([1]!S_SHARE_TOTAL(D1090,$G$5)=0,[1]!S_SHARE_TOTAL(D1090,[1]!s_ipo_listeddate(D1090)),[1]!S_SHARE_TOTAL(D1090,$G$5)),[1]!S_STM07_CS(D1090,84,$G$5,$H$13)/$E$5))</f>
        <v/>
      </c>
      <c r="Q1090" s="248" t="str">
        <f ca="1">IF(C1090="","",F1090/([1]!S_STM07_IS(D1090,61,$G$5,$H$13)/IF([1]!S_SHARE_TOTAL(D1090,$G$5)=0,[1]!S_SHARE_TOTAL(D1090,[1]!s_ipo_listeddate(D1090)),[1]!S_SHARE_TOTAL(D1090,$G$5))))</f>
        <v/>
      </c>
      <c r="R1090" s="248" t="str">
        <f ca="1">IF(C1090="","",F1090/([1]!S_STM07_BS(D1090,141,$G$5,$H$13)/IF([1]!S_SHARE_TOTAL(D1090,$G$5)=0,[1]!S_SHARE_TOTAL(D1090,[1]!s_ipo_listeddate(D1090)),[1]!S_SHARE_TOTAL(D1090,$G$5))))</f>
        <v/>
      </c>
      <c r="S1090" s="247" t="str">
        <f ca="1">IF(C1090="","",[1]!S_SHARE_TOTAL(D1090,TODAY())/$E$5)</f>
        <v/>
      </c>
      <c r="T1090" s="247" t="str">
        <f t="shared" ca="1" si="109"/>
        <v/>
      </c>
      <c r="U1090" s="218" t="str">
        <f t="shared" ca="1" si="110"/>
        <v/>
      </c>
      <c r="V1090" s="342" t="str">
        <f t="shared" ca="1" si="111"/>
        <v/>
      </c>
      <c r="W1090" s="139"/>
      <c r="Y1090" s="1"/>
    </row>
    <row r="1091" spans="3:25" ht="12" customHeight="1">
      <c r="C1091" s="343" t="str">
        <f t="shared" ca="1" si="106"/>
        <v/>
      </c>
      <c r="D1091" s="124" t="str">
        <f t="shared" ca="1" si="107"/>
        <v/>
      </c>
      <c r="E1091" s="124" t="str">
        <f t="shared" ca="1" si="108"/>
        <v/>
      </c>
      <c r="F1091" s="172" t="str">
        <f ca="1">IF(C1091="","",[1]!S_DQ_CLOSE(D1091,TODAY(),1))</f>
        <v/>
      </c>
      <c r="G1091" s="173" t="str">
        <f ca="1">IF(C1091="","",[1]!s_pq_pctchange(D1091,TODAY()-$G$12,TODAY())/100)</f>
        <v/>
      </c>
      <c r="H1091" s="249" t="str">
        <f ca="1">IF(C1091="","",IF($H$11="收入",[1]!S_STM07_IS(D1091,9,$G$5,$H$13)/$E$5,[1]!S_STM07_IS(D1091,48,$G$5,$H$13)/$E$5))</f>
        <v/>
      </c>
      <c r="I1091" s="249" t="str">
        <f ca="1">IF(C1091="","",IF($I$11="毛利率",([1]!S_STM07_IS(D1091,9,$G$5,$H$13)-[1]!S_STM07_IS(D1091,10,$G$5,$H$13))/[1]!S_STM07_IS(D1091,9,$G$5,$H$13),[1]!S_STM07_IS(D1091,14,$G$5,$H$13)/$E$5))</f>
        <v/>
      </c>
      <c r="J1091" s="249" t="str">
        <f ca="1">IF(C1091="","",IF($J$11="营业利润率",[1]!S_STM07_IS(D1091,48,$G$5,$H$13)/[1]!S_STM07_IS(D1091,9,$G$5,$H$13),([1]!S_STM07_CS(D1091,87,$G$5,$H$13)+[1]!S_STM07_CS(D1091,88,$G$5,$H$13)+[1]!S_STM07_CS(D1091,89,$G$5,$H$13))/$E$5))</f>
        <v/>
      </c>
      <c r="K1091" s="249" t="str">
        <f ca="1">IF(C1091="","",IF($K$11="净利润率",[1]!S_STM07_IS(D1091,61,$G$5,$H$13)/[1]!S_STM07_IS(D1091,9,$G$5,$H$13),[1]!S_STM07_IS(D1091,55,$G$5,$H$13)/$E$5))</f>
        <v/>
      </c>
      <c r="L1091" s="249" t="str">
        <f ca="1">IF(C1091="","",IF($L$11="ROA",[1]!S_STM07_IS(D1091,61,$G$5,$H$13)/[1]!S_STM07_BS(D1091,74,$G$5,$H$13),1-[1]!S_STM07_IS(D1091,61,$G$5,$H$13)/[1]!S_STM07_IS(D1091,55,$G$5,$H$13)))</f>
        <v/>
      </c>
      <c r="M1091" s="249" t="str">
        <f ca="1">IF(C1091="","",IF($M$11="ROE",[1]!S_STM07_IS(D1091,61,$G$5,$H$13)/[1]!S_STM07_BS(D1091,141,$G$5,$H$13),([1]!S_STM07_BS(D1091,25,$G$5,$H$13)-[1]!S_STM07_BS(D1091,93,$G$5,$H$13))/$E$5))</f>
        <v/>
      </c>
      <c r="N1091" s="250" t="str">
        <f ca="1">IF(C1091="","",IF($N$11="EPS",[1]!S_STM07_IS(D1091,61,$G$5,$H$13)/IF([1]!S_SHARE_TOTAL(D1091,$G$5)=0,[1]!S_SHARE_TOTAL(D1091,[1]!s_ipo_listeddate(D1091)),[1]!S_SHARE_TOTAL(D1091,$G$5)),([1]!S_STM07_BS(D1091,75,$G$5,$H$13)+[1]!S_STM07_BS(D1091,88,$G$5,$H$13)+[1]!S_STM07_BS(D1091,94,$G$5,$H$13)+[1]!S_STM07_BS(D1091,95,$G$5,$H$13))/$E$5))</f>
        <v/>
      </c>
      <c r="O1091" s="250" t="str">
        <f ca="1">IF(C1091="","",IF($O$11="BPS",[1]!S_STM07_BS(D1091,141,$G$5,$H$13)/IF([1]!S_SHARE_TOTAL(D1091,$G$5)=0,[1]!S_SHARE_TOTAL(D1091,[1]!s_ipo_listeddate(D1091)),[1]!S_SHARE_TOTAL(D1091,$G$5)),[1]!S_STM07_CS(D1091,49,$G$5,$H$13)/$E$5))</f>
        <v/>
      </c>
      <c r="P1091" s="250" t="str">
        <f ca="1">IF(C1091="","",IF($P$11="CFPS",[1]!S_STM07_CS(D1091,84,$G$5,$H$13)/IF([1]!S_SHARE_TOTAL(D1091,$G$5)=0,[1]!S_SHARE_TOTAL(D1091,[1]!s_ipo_listeddate(D1091)),[1]!S_SHARE_TOTAL(D1091,$G$5)),[1]!S_STM07_CS(D1091,84,$G$5,$H$13)/$E$5))</f>
        <v/>
      </c>
      <c r="Q1091" s="198" t="str">
        <f ca="1">IF(C1091="","",F1091/([1]!S_STM07_IS(D1091,61,$G$5,$H$13)/IF([1]!S_SHARE_TOTAL(D1091,$G$5)=0,[1]!S_SHARE_TOTAL(D1091,[1]!s_ipo_listeddate(D1091)),[1]!S_SHARE_TOTAL(D1091,$G$5))))</f>
        <v/>
      </c>
      <c r="R1091" s="198" t="str">
        <f ca="1">IF(C1091="","",F1091/([1]!S_STM07_BS(D1091,141,$G$5,$H$13)/IF([1]!S_SHARE_TOTAL(D1091,$G$5)=0,[1]!S_SHARE_TOTAL(D1091,[1]!s_ipo_listeddate(D1091)),[1]!S_SHARE_TOTAL(D1091,$G$5))))</f>
        <v/>
      </c>
      <c r="S1091" s="249" t="str">
        <f ca="1">IF(C1091="","",[1]!S_SHARE_TOTAL(D1091,TODAY())/$E$5)</f>
        <v/>
      </c>
      <c r="T1091" s="249" t="str">
        <f t="shared" ca="1" si="109"/>
        <v/>
      </c>
      <c r="U1091" s="172" t="str">
        <f t="shared" ca="1" si="110"/>
        <v/>
      </c>
      <c r="V1091" s="343" t="str">
        <f t="shared" ca="1" si="111"/>
        <v/>
      </c>
      <c r="W1091" s="139"/>
      <c r="Y1091" s="1"/>
    </row>
    <row r="1092" spans="3:25" ht="12" customHeight="1">
      <c r="C1092" s="342" t="str">
        <f t="shared" ca="1" si="106"/>
        <v/>
      </c>
      <c r="D1092" s="153" t="str">
        <f t="shared" ca="1" si="107"/>
        <v/>
      </c>
      <c r="E1092" s="153" t="str">
        <f t="shared" ca="1" si="108"/>
        <v/>
      </c>
      <c r="F1092" s="170" t="str">
        <f ca="1">IF(C1092="","",[1]!S_DQ_CLOSE(D1092,TODAY(),1))</f>
        <v/>
      </c>
      <c r="G1092" s="171" t="str">
        <f ca="1">IF(C1092="","",[1]!s_pq_pctchange(D1092,TODAY()-$G$12,TODAY())/100)</f>
        <v/>
      </c>
      <c r="H1092" s="247" t="str">
        <f ca="1">IF(C1092="","",IF($H$11="收入",[1]!S_STM07_IS(D1092,9,$G$5,$H$13)/$E$5,[1]!S_STM07_IS(D1092,48,$G$5,$H$13)/$E$5))</f>
        <v/>
      </c>
      <c r="I1092" s="247" t="str">
        <f ca="1">IF(C1092="","",IF($I$11="毛利率",([1]!S_STM07_IS(D1092,9,$G$5,$H$13)-[1]!S_STM07_IS(D1092,10,$G$5,$H$13))/[1]!S_STM07_IS(D1092,9,$G$5,$H$13),[1]!S_STM07_IS(D1092,14,$G$5,$H$13)/$E$5))</f>
        <v/>
      </c>
      <c r="J1092" s="247" t="str">
        <f ca="1">IF(C1092="","",IF($J$11="营业利润率",[1]!S_STM07_IS(D1092,48,$G$5,$H$13)/[1]!S_STM07_IS(D1092,9,$G$5,$H$13),([1]!S_STM07_CS(D1092,87,$G$5,$H$13)+[1]!S_STM07_CS(D1092,88,$G$5,$H$13)+[1]!S_STM07_CS(D1092,89,$G$5,$H$13))/$E$5))</f>
        <v/>
      </c>
      <c r="K1092" s="247" t="str">
        <f ca="1">IF(C1092="","",IF($K$11="净利润率",[1]!S_STM07_IS(D1092,61,$G$5,$H$13)/[1]!S_STM07_IS(D1092,9,$G$5,$H$13),[1]!S_STM07_IS(D1092,55,$G$5,$H$13)/$E$5))</f>
        <v/>
      </c>
      <c r="L1092" s="247" t="str">
        <f ca="1">IF(C1092="","",IF($L$11="ROA",[1]!S_STM07_IS(D1092,61,$G$5,$H$13)/[1]!S_STM07_BS(D1092,74,$G$5,$H$13),1-[1]!S_STM07_IS(D1092,61,$G$5,$H$13)/[1]!S_STM07_IS(D1092,55,$G$5,$H$13)))</f>
        <v/>
      </c>
      <c r="M1092" s="247" t="str">
        <f ca="1">IF(C1092="","",IF($M$11="ROE",[1]!S_STM07_IS(D1092,61,$G$5,$H$13)/[1]!S_STM07_BS(D1092,141,$G$5,$H$13),([1]!S_STM07_BS(D1092,25,$G$5,$H$13)-[1]!S_STM07_BS(D1092,93,$G$5,$H$13))/$E$5))</f>
        <v/>
      </c>
      <c r="N1092" s="247" t="str">
        <f ca="1">IF(C1092="","",IF($N$11="EPS",[1]!S_STM07_IS(D1092,61,$G$5,$H$13)/IF([1]!S_SHARE_TOTAL(D1092,$G$5)=0,[1]!S_SHARE_TOTAL(D1092,[1]!s_ipo_listeddate(D1092)),[1]!S_SHARE_TOTAL(D1092,$G$5)),([1]!S_STM07_BS(D1092,75,$G$5,$H$13)+[1]!S_STM07_BS(D1092,88,$G$5,$H$13)+[1]!S_STM07_BS(D1092,94,$G$5,$H$13)+[1]!S_STM07_BS(D1092,95,$G$5,$H$13))/$E$5))</f>
        <v/>
      </c>
      <c r="O1092" s="247" t="str">
        <f ca="1">IF(C1092="","",IF($O$11="BPS",[1]!S_STM07_BS(D1092,141,$G$5,$H$13)/IF([1]!S_SHARE_TOTAL(D1092,$G$5)=0,[1]!S_SHARE_TOTAL(D1092,[1]!s_ipo_listeddate(D1092)),[1]!S_SHARE_TOTAL(D1092,$G$5)),[1]!S_STM07_CS(D1092,49,$G$5,$H$13)/$E$5))</f>
        <v/>
      </c>
      <c r="P1092" s="247" t="str">
        <f ca="1">IF(C1092="","",IF($P$11="CFPS",[1]!S_STM07_CS(D1092,84,$G$5,$H$13)/IF([1]!S_SHARE_TOTAL(D1092,$G$5)=0,[1]!S_SHARE_TOTAL(D1092,[1]!s_ipo_listeddate(D1092)),[1]!S_SHARE_TOTAL(D1092,$G$5)),[1]!S_STM07_CS(D1092,84,$G$5,$H$13)/$E$5))</f>
        <v/>
      </c>
      <c r="Q1092" s="248" t="str">
        <f ca="1">IF(C1092="","",F1092/([1]!S_STM07_IS(D1092,61,$G$5,$H$13)/IF([1]!S_SHARE_TOTAL(D1092,$G$5)=0,[1]!S_SHARE_TOTAL(D1092,[1]!s_ipo_listeddate(D1092)),[1]!S_SHARE_TOTAL(D1092,$G$5))))</f>
        <v/>
      </c>
      <c r="R1092" s="248" t="str">
        <f ca="1">IF(C1092="","",F1092/([1]!S_STM07_BS(D1092,141,$G$5,$H$13)/IF([1]!S_SHARE_TOTAL(D1092,$G$5)=0,[1]!S_SHARE_TOTAL(D1092,[1]!s_ipo_listeddate(D1092)),[1]!S_SHARE_TOTAL(D1092,$G$5))))</f>
        <v/>
      </c>
      <c r="S1092" s="247" t="str">
        <f ca="1">IF(C1092="","",[1]!S_SHARE_TOTAL(D1092,TODAY())/$E$5)</f>
        <v/>
      </c>
      <c r="T1092" s="247" t="str">
        <f t="shared" ca="1" si="109"/>
        <v/>
      </c>
      <c r="U1092" s="218" t="str">
        <f t="shared" ca="1" si="110"/>
        <v/>
      </c>
      <c r="V1092" s="342" t="str">
        <f t="shared" ca="1" si="111"/>
        <v/>
      </c>
      <c r="W1092" s="139"/>
      <c r="Y1092" s="1"/>
    </row>
    <row r="1093" spans="3:25" ht="12" customHeight="1">
      <c r="C1093" s="343" t="str">
        <f t="shared" ca="1" si="106"/>
        <v/>
      </c>
      <c r="D1093" s="124" t="str">
        <f t="shared" ca="1" si="107"/>
        <v/>
      </c>
      <c r="E1093" s="124" t="str">
        <f t="shared" ca="1" si="108"/>
        <v/>
      </c>
      <c r="F1093" s="172" t="str">
        <f ca="1">IF(C1093="","",[1]!S_DQ_CLOSE(D1093,TODAY(),1))</f>
        <v/>
      </c>
      <c r="G1093" s="173" t="str">
        <f ca="1">IF(C1093="","",[1]!s_pq_pctchange(D1093,TODAY()-$G$12,TODAY())/100)</f>
        <v/>
      </c>
      <c r="H1093" s="249" t="str">
        <f ca="1">IF(C1093="","",IF($H$11="收入",[1]!S_STM07_IS(D1093,9,$G$5,$H$13)/$E$5,[1]!S_STM07_IS(D1093,48,$G$5,$H$13)/$E$5))</f>
        <v/>
      </c>
      <c r="I1093" s="249" t="str">
        <f ca="1">IF(C1093="","",IF($I$11="毛利率",([1]!S_STM07_IS(D1093,9,$G$5,$H$13)-[1]!S_STM07_IS(D1093,10,$G$5,$H$13))/[1]!S_STM07_IS(D1093,9,$G$5,$H$13),[1]!S_STM07_IS(D1093,14,$G$5,$H$13)/$E$5))</f>
        <v/>
      </c>
      <c r="J1093" s="249" t="str">
        <f ca="1">IF(C1093="","",IF($J$11="营业利润率",[1]!S_STM07_IS(D1093,48,$G$5,$H$13)/[1]!S_STM07_IS(D1093,9,$G$5,$H$13),([1]!S_STM07_CS(D1093,87,$G$5,$H$13)+[1]!S_STM07_CS(D1093,88,$G$5,$H$13)+[1]!S_STM07_CS(D1093,89,$G$5,$H$13))/$E$5))</f>
        <v/>
      </c>
      <c r="K1093" s="249" t="str">
        <f ca="1">IF(C1093="","",IF($K$11="净利润率",[1]!S_STM07_IS(D1093,61,$G$5,$H$13)/[1]!S_STM07_IS(D1093,9,$G$5,$H$13),[1]!S_STM07_IS(D1093,55,$G$5,$H$13)/$E$5))</f>
        <v/>
      </c>
      <c r="L1093" s="249" t="str">
        <f ca="1">IF(C1093="","",IF($L$11="ROA",[1]!S_STM07_IS(D1093,61,$G$5,$H$13)/[1]!S_STM07_BS(D1093,74,$G$5,$H$13),1-[1]!S_STM07_IS(D1093,61,$G$5,$H$13)/[1]!S_STM07_IS(D1093,55,$G$5,$H$13)))</f>
        <v/>
      </c>
      <c r="M1093" s="249" t="str">
        <f ca="1">IF(C1093="","",IF($M$11="ROE",[1]!S_STM07_IS(D1093,61,$G$5,$H$13)/[1]!S_STM07_BS(D1093,141,$G$5,$H$13),([1]!S_STM07_BS(D1093,25,$G$5,$H$13)-[1]!S_STM07_BS(D1093,93,$G$5,$H$13))/$E$5))</f>
        <v/>
      </c>
      <c r="N1093" s="250" t="str">
        <f ca="1">IF(C1093="","",IF($N$11="EPS",[1]!S_STM07_IS(D1093,61,$G$5,$H$13)/IF([1]!S_SHARE_TOTAL(D1093,$G$5)=0,[1]!S_SHARE_TOTAL(D1093,[1]!s_ipo_listeddate(D1093)),[1]!S_SHARE_TOTAL(D1093,$G$5)),([1]!S_STM07_BS(D1093,75,$G$5,$H$13)+[1]!S_STM07_BS(D1093,88,$G$5,$H$13)+[1]!S_STM07_BS(D1093,94,$G$5,$H$13)+[1]!S_STM07_BS(D1093,95,$G$5,$H$13))/$E$5))</f>
        <v/>
      </c>
      <c r="O1093" s="250" t="str">
        <f ca="1">IF(C1093="","",IF($O$11="BPS",[1]!S_STM07_BS(D1093,141,$G$5,$H$13)/IF([1]!S_SHARE_TOTAL(D1093,$G$5)=0,[1]!S_SHARE_TOTAL(D1093,[1]!s_ipo_listeddate(D1093)),[1]!S_SHARE_TOTAL(D1093,$G$5)),[1]!S_STM07_CS(D1093,49,$G$5,$H$13)/$E$5))</f>
        <v/>
      </c>
      <c r="P1093" s="250" t="str">
        <f ca="1">IF(C1093="","",IF($P$11="CFPS",[1]!S_STM07_CS(D1093,84,$G$5,$H$13)/IF([1]!S_SHARE_TOTAL(D1093,$G$5)=0,[1]!S_SHARE_TOTAL(D1093,[1]!s_ipo_listeddate(D1093)),[1]!S_SHARE_TOTAL(D1093,$G$5)),[1]!S_STM07_CS(D1093,84,$G$5,$H$13)/$E$5))</f>
        <v/>
      </c>
      <c r="Q1093" s="198" t="str">
        <f ca="1">IF(C1093="","",F1093/([1]!S_STM07_IS(D1093,61,$G$5,$H$13)/IF([1]!S_SHARE_TOTAL(D1093,$G$5)=0,[1]!S_SHARE_TOTAL(D1093,[1]!s_ipo_listeddate(D1093)),[1]!S_SHARE_TOTAL(D1093,$G$5))))</f>
        <v/>
      </c>
      <c r="R1093" s="198" t="str">
        <f ca="1">IF(C1093="","",F1093/([1]!S_STM07_BS(D1093,141,$G$5,$H$13)/IF([1]!S_SHARE_TOTAL(D1093,$G$5)=0,[1]!S_SHARE_TOTAL(D1093,[1]!s_ipo_listeddate(D1093)),[1]!S_SHARE_TOTAL(D1093,$G$5))))</f>
        <v/>
      </c>
      <c r="S1093" s="249" t="str">
        <f ca="1">IF(C1093="","",[1]!S_SHARE_TOTAL(D1093,TODAY())/$E$5)</f>
        <v/>
      </c>
      <c r="T1093" s="249" t="str">
        <f t="shared" ca="1" si="109"/>
        <v/>
      </c>
      <c r="U1093" s="172" t="str">
        <f t="shared" ca="1" si="110"/>
        <v/>
      </c>
      <c r="V1093" s="343" t="str">
        <f t="shared" ca="1" si="111"/>
        <v/>
      </c>
      <c r="W1093" s="139"/>
      <c r="Y1093" s="1"/>
    </row>
    <row r="1094" spans="3:25" ht="12" customHeight="1">
      <c r="C1094" s="342" t="str">
        <f t="shared" ca="1" si="106"/>
        <v/>
      </c>
      <c r="D1094" s="153" t="str">
        <f t="shared" ca="1" si="107"/>
        <v/>
      </c>
      <c r="E1094" s="153" t="str">
        <f t="shared" ca="1" si="108"/>
        <v/>
      </c>
      <c r="F1094" s="170" t="str">
        <f ca="1">IF(C1094="","",[1]!S_DQ_CLOSE(D1094,TODAY(),1))</f>
        <v/>
      </c>
      <c r="G1094" s="171" t="str">
        <f ca="1">IF(C1094="","",[1]!s_pq_pctchange(D1094,TODAY()-$G$12,TODAY())/100)</f>
        <v/>
      </c>
      <c r="H1094" s="247" t="str">
        <f ca="1">IF(C1094="","",IF($H$11="收入",[1]!S_STM07_IS(D1094,9,$G$5,$H$13)/$E$5,[1]!S_STM07_IS(D1094,48,$G$5,$H$13)/$E$5))</f>
        <v/>
      </c>
      <c r="I1094" s="247" t="str">
        <f ca="1">IF(C1094="","",IF($I$11="毛利率",([1]!S_STM07_IS(D1094,9,$G$5,$H$13)-[1]!S_STM07_IS(D1094,10,$G$5,$H$13))/[1]!S_STM07_IS(D1094,9,$G$5,$H$13),[1]!S_STM07_IS(D1094,14,$G$5,$H$13)/$E$5))</f>
        <v/>
      </c>
      <c r="J1094" s="247" t="str">
        <f ca="1">IF(C1094="","",IF($J$11="营业利润率",[1]!S_STM07_IS(D1094,48,$G$5,$H$13)/[1]!S_STM07_IS(D1094,9,$G$5,$H$13),([1]!S_STM07_CS(D1094,87,$G$5,$H$13)+[1]!S_STM07_CS(D1094,88,$G$5,$H$13)+[1]!S_STM07_CS(D1094,89,$G$5,$H$13))/$E$5))</f>
        <v/>
      </c>
      <c r="K1094" s="247" t="str">
        <f ca="1">IF(C1094="","",IF($K$11="净利润率",[1]!S_STM07_IS(D1094,61,$G$5,$H$13)/[1]!S_STM07_IS(D1094,9,$G$5,$H$13),[1]!S_STM07_IS(D1094,55,$G$5,$H$13)/$E$5))</f>
        <v/>
      </c>
      <c r="L1094" s="247" t="str">
        <f ca="1">IF(C1094="","",IF($L$11="ROA",[1]!S_STM07_IS(D1094,61,$G$5,$H$13)/[1]!S_STM07_BS(D1094,74,$G$5,$H$13),1-[1]!S_STM07_IS(D1094,61,$G$5,$H$13)/[1]!S_STM07_IS(D1094,55,$G$5,$H$13)))</f>
        <v/>
      </c>
      <c r="M1094" s="247" t="str">
        <f ca="1">IF(C1094="","",IF($M$11="ROE",[1]!S_STM07_IS(D1094,61,$G$5,$H$13)/[1]!S_STM07_BS(D1094,141,$G$5,$H$13),([1]!S_STM07_BS(D1094,25,$G$5,$H$13)-[1]!S_STM07_BS(D1094,93,$G$5,$H$13))/$E$5))</f>
        <v/>
      </c>
      <c r="N1094" s="247" t="str">
        <f ca="1">IF(C1094="","",IF($N$11="EPS",[1]!S_STM07_IS(D1094,61,$G$5,$H$13)/IF([1]!S_SHARE_TOTAL(D1094,$G$5)=0,[1]!S_SHARE_TOTAL(D1094,[1]!s_ipo_listeddate(D1094)),[1]!S_SHARE_TOTAL(D1094,$G$5)),([1]!S_STM07_BS(D1094,75,$G$5,$H$13)+[1]!S_STM07_BS(D1094,88,$G$5,$H$13)+[1]!S_STM07_BS(D1094,94,$G$5,$H$13)+[1]!S_STM07_BS(D1094,95,$G$5,$H$13))/$E$5))</f>
        <v/>
      </c>
      <c r="O1094" s="247" t="str">
        <f ca="1">IF(C1094="","",IF($O$11="BPS",[1]!S_STM07_BS(D1094,141,$G$5,$H$13)/IF([1]!S_SHARE_TOTAL(D1094,$G$5)=0,[1]!S_SHARE_TOTAL(D1094,[1]!s_ipo_listeddate(D1094)),[1]!S_SHARE_TOTAL(D1094,$G$5)),[1]!S_STM07_CS(D1094,49,$G$5,$H$13)/$E$5))</f>
        <v/>
      </c>
      <c r="P1094" s="247" t="str">
        <f ca="1">IF(C1094="","",IF($P$11="CFPS",[1]!S_STM07_CS(D1094,84,$G$5,$H$13)/IF([1]!S_SHARE_TOTAL(D1094,$G$5)=0,[1]!S_SHARE_TOTAL(D1094,[1]!s_ipo_listeddate(D1094)),[1]!S_SHARE_TOTAL(D1094,$G$5)),[1]!S_STM07_CS(D1094,84,$G$5,$H$13)/$E$5))</f>
        <v/>
      </c>
      <c r="Q1094" s="248" t="str">
        <f ca="1">IF(C1094="","",F1094/([1]!S_STM07_IS(D1094,61,$G$5,$H$13)/IF([1]!S_SHARE_TOTAL(D1094,$G$5)=0,[1]!S_SHARE_TOTAL(D1094,[1]!s_ipo_listeddate(D1094)),[1]!S_SHARE_TOTAL(D1094,$G$5))))</f>
        <v/>
      </c>
      <c r="R1094" s="248" t="str">
        <f ca="1">IF(C1094="","",F1094/([1]!S_STM07_BS(D1094,141,$G$5,$H$13)/IF([1]!S_SHARE_TOTAL(D1094,$G$5)=0,[1]!S_SHARE_TOTAL(D1094,[1]!s_ipo_listeddate(D1094)),[1]!S_SHARE_TOTAL(D1094,$G$5))))</f>
        <v/>
      </c>
      <c r="S1094" s="247" t="str">
        <f ca="1">IF(C1094="","",[1]!S_SHARE_TOTAL(D1094,TODAY())/$E$5)</f>
        <v/>
      </c>
      <c r="T1094" s="247" t="str">
        <f t="shared" ca="1" si="109"/>
        <v/>
      </c>
      <c r="U1094" s="218" t="str">
        <f t="shared" ca="1" si="110"/>
        <v/>
      </c>
      <c r="V1094" s="342" t="str">
        <f t="shared" ca="1" si="111"/>
        <v/>
      </c>
      <c r="W1094" s="139"/>
      <c r="Y1094" s="1"/>
    </row>
    <row r="1095" spans="3:25" ht="12" customHeight="1">
      <c r="C1095" s="343" t="str">
        <f t="shared" ca="1" si="106"/>
        <v/>
      </c>
      <c r="D1095" s="124" t="str">
        <f t="shared" ca="1" si="107"/>
        <v/>
      </c>
      <c r="E1095" s="124" t="str">
        <f t="shared" ca="1" si="108"/>
        <v/>
      </c>
      <c r="F1095" s="172" t="str">
        <f ca="1">IF(C1095="","",[1]!S_DQ_CLOSE(D1095,TODAY(),1))</f>
        <v/>
      </c>
      <c r="G1095" s="173" t="str">
        <f ca="1">IF(C1095="","",[1]!s_pq_pctchange(D1095,TODAY()-$G$12,TODAY())/100)</f>
        <v/>
      </c>
      <c r="H1095" s="249" t="str">
        <f ca="1">IF(C1095="","",IF($H$11="收入",[1]!S_STM07_IS(D1095,9,$G$5,$H$13)/$E$5,[1]!S_STM07_IS(D1095,48,$G$5,$H$13)/$E$5))</f>
        <v/>
      </c>
      <c r="I1095" s="249" t="str">
        <f ca="1">IF(C1095="","",IF($I$11="毛利率",([1]!S_STM07_IS(D1095,9,$G$5,$H$13)-[1]!S_STM07_IS(D1095,10,$G$5,$H$13))/[1]!S_STM07_IS(D1095,9,$G$5,$H$13),[1]!S_STM07_IS(D1095,14,$G$5,$H$13)/$E$5))</f>
        <v/>
      </c>
      <c r="J1095" s="249" t="str">
        <f ca="1">IF(C1095="","",IF($J$11="营业利润率",[1]!S_STM07_IS(D1095,48,$G$5,$H$13)/[1]!S_STM07_IS(D1095,9,$G$5,$H$13),([1]!S_STM07_CS(D1095,87,$G$5,$H$13)+[1]!S_STM07_CS(D1095,88,$G$5,$H$13)+[1]!S_STM07_CS(D1095,89,$G$5,$H$13))/$E$5))</f>
        <v/>
      </c>
      <c r="K1095" s="249" t="str">
        <f ca="1">IF(C1095="","",IF($K$11="净利润率",[1]!S_STM07_IS(D1095,61,$G$5,$H$13)/[1]!S_STM07_IS(D1095,9,$G$5,$H$13),[1]!S_STM07_IS(D1095,55,$G$5,$H$13)/$E$5))</f>
        <v/>
      </c>
      <c r="L1095" s="249" t="str">
        <f ca="1">IF(C1095="","",IF($L$11="ROA",[1]!S_STM07_IS(D1095,61,$G$5,$H$13)/[1]!S_STM07_BS(D1095,74,$G$5,$H$13),1-[1]!S_STM07_IS(D1095,61,$G$5,$H$13)/[1]!S_STM07_IS(D1095,55,$G$5,$H$13)))</f>
        <v/>
      </c>
      <c r="M1095" s="249" t="str">
        <f ca="1">IF(C1095="","",IF($M$11="ROE",[1]!S_STM07_IS(D1095,61,$G$5,$H$13)/[1]!S_STM07_BS(D1095,141,$G$5,$H$13),([1]!S_STM07_BS(D1095,25,$G$5,$H$13)-[1]!S_STM07_BS(D1095,93,$G$5,$H$13))/$E$5))</f>
        <v/>
      </c>
      <c r="N1095" s="250" t="str">
        <f ca="1">IF(C1095="","",IF($N$11="EPS",[1]!S_STM07_IS(D1095,61,$G$5,$H$13)/IF([1]!S_SHARE_TOTAL(D1095,$G$5)=0,[1]!S_SHARE_TOTAL(D1095,[1]!s_ipo_listeddate(D1095)),[1]!S_SHARE_TOTAL(D1095,$G$5)),([1]!S_STM07_BS(D1095,75,$G$5,$H$13)+[1]!S_STM07_BS(D1095,88,$G$5,$H$13)+[1]!S_STM07_BS(D1095,94,$G$5,$H$13)+[1]!S_STM07_BS(D1095,95,$G$5,$H$13))/$E$5))</f>
        <v/>
      </c>
      <c r="O1095" s="250" t="str">
        <f ca="1">IF(C1095="","",IF($O$11="BPS",[1]!S_STM07_BS(D1095,141,$G$5,$H$13)/IF([1]!S_SHARE_TOTAL(D1095,$G$5)=0,[1]!S_SHARE_TOTAL(D1095,[1]!s_ipo_listeddate(D1095)),[1]!S_SHARE_TOTAL(D1095,$G$5)),[1]!S_STM07_CS(D1095,49,$G$5,$H$13)/$E$5))</f>
        <v/>
      </c>
      <c r="P1095" s="250" t="str">
        <f ca="1">IF(C1095="","",IF($P$11="CFPS",[1]!S_STM07_CS(D1095,84,$G$5,$H$13)/IF([1]!S_SHARE_TOTAL(D1095,$G$5)=0,[1]!S_SHARE_TOTAL(D1095,[1]!s_ipo_listeddate(D1095)),[1]!S_SHARE_TOTAL(D1095,$G$5)),[1]!S_STM07_CS(D1095,84,$G$5,$H$13)/$E$5))</f>
        <v/>
      </c>
      <c r="Q1095" s="198" t="str">
        <f ca="1">IF(C1095="","",F1095/([1]!S_STM07_IS(D1095,61,$G$5,$H$13)/IF([1]!S_SHARE_TOTAL(D1095,$G$5)=0,[1]!S_SHARE_TOTAL(D1095,[1]!s_ipo_listeddate(D1095)),[1]!S_SHARE_TOTAL(D1095,$G$5))))</f>
        <v/>
      </c>
      <c r="R1095" s="198" t="str">
        <f ca="1">IF(C1095="","",F1095/([1]!S_STM07_BS(D1095,141,$G$5,$H$13)/IF([1]!S_SHARE_TOTAL(D1095,$G$5)=0,[1]!S_SHARE_TOTAL(D1095,[1]!s_ipo_listeddate(D1095)),[1]!S_SHARE_TOTAL(D1095,$G$5))))</f>
        <v/>
      </c>
      <c r="S1095" s="249" t="str">
        <f ca="1">IF(C1095="","",[1]!S_SHARE_TOTAL(D1095,TODAY())/$E$5)</f>
        <v/>
      </c>
      <c r="T1095" s="249" t="str">
        <f t="shared" ca="1" si="109"/>
        <v/>
      </c>
      <c r="U1095" s="172" t="str">
        <f t="shared" ca="1" si="110"/>
        <v/>
      </c>
      <c r="V1095" s="343" t="str">
        <f t="shared" ca="1" si="111"/>
        <v/>
      </c>
      <c r="W1095" s="139"/>
      <c r="Y1095" s="1"/>
    </row>
    <row r="1096" spans="3:25" ht="12" customHeight="1">
      <c r="C1096" s="342" t="str">
        <f t="shared" ca="1" si="106"/>
        <v/>
      </c>
      <c r="D1096" s="153" t="str">
        <f t="shared" ca="1" si="107"/>
        <v/>
      </c>
      <c r="E1096" s="153" t="str">
        <f t="shared" ca="1" si="108"/>
        <v/>
      </c>
      <c r="F1096" s="170" t="str">
        <f ca="1">IF(C1096="","",[1]!S_DQ_CLOSE(D1096,TODAY(),1))</f>
        <v/>
      </c>
      <c r="G1096" s="171" t="str">
        <f ca="1">IF(C1096="","",[1]!s_pq_pctchange(D1096,TODAY()-$G$12,TODAY())/100)</f>
        <v/>
      </c>
      <c r="H1096" s="247" t="str">
        <f ca="1">IF(C1096="","",IF($H$11="收入",[1]!S_STM07_IS(D1096,9,$G$5,$H$13)/$E$5,[1]!S_STM07_IS(D1096,48,$G$5,$H$13)/$E$5))</f>
        <v/>
      </c>
      <c r="I1096" s="247" t="str">
        <f ca="1">IF(C1096="","",IF($I$11="毛利率",([1]!S_STM07_IS(D1096,9,$G$5,$H$13)-[1]!S_STM07_IS(D1096,10,$G$5,$H$13))/[1]!S_STM07_IS(D1096,9,$G$5,$H$13),[1]!S_STM07_IS(D1096,14,$G$5,$H$13)/$E$5))</f>
        <v/>
      </c>
      <c r="J1096" s="247" t="str">
        <f ca="1">IF(C1096="","",IF($J$11="营业利润率",[1]!S_STM07_IS(D1096,48,$G$5,$H$13)/[1]!S_STM07_IS(D1096,9,$G$5,$H$13),([1]!S_STM07_CS(D1096,87,$G$5,$H$13)+[1]!S_STM07_CS(D1096,88,$G$5,$H$13)+[1]!S_STM07_CS(D1096,89,$G$5,$H$13))/$E$5))</f>
        <v/>
      </c>
      <c r="K1096" s="247" t="str">
        <f ca="1">IF(C1096="","",IF($K$11="净利润率",[1]!S_STM07_IS(D1096,61,$G$5,$H$13)/[1]!S_STM07_IS(D1096,9,$G$5,$H$13),[1]!S_STM07_IS(D1096,55,$G$5,$H$13)/$E$5))</f>
        <v/>
      </c>
      <c r="L1096" s="247" t="str">
        <f ca="1">IF(C1096="","",IF($L$11="ROA",[1]!S_STM07_IS(D1096,61,$G$5,$H$13)/[1]!S_STM07_BS(D1096,74,$G$5,$H$13),1-[1]!S_STM07_IS(D1096,61,$G$5,$H$13)/[1]!S_STM07_IS(D1096,55,$G$5,$H$13)))</f>
        <v/>
      </c>
      <c r="M1096" s="247" t="str">
        <f ca="1">IF(C1096="","",IF($M$11="ROE",[1]!S_STM07_IS(D1096,61,$G$5,$H$13)/[1]!S_STM07_BS(D1096,141,$G$5,$H$13),([1]!S_STM07_BS(D1096,25,$G$5,$H$13)-[1]!S_STM07_BS(D1096,93,$G$5,$H$13))/$E$5))</f>
        <v/>
      </c>
      <c r="N1096" s="247" t="str">
        <f ca="1">IF(C1096="","",IF($N$11="EPS",[1]!S_STM07_IS(D1096,61,$G$5,$H$13)/IF([1]!S_SHARE_TOTAL(D1096,$G$5)=0,[1]!S_SHARE_TOTAL(D1096,[1]!s_ipo_listeddate(D1096)),[1]!S_SHARE_TOTAL(D1096,$G$5)),([1]!S_STM07_BS(D1096,75,$G$5,$H$13)+[1]!S_STM07_BS(D1096,88,$G$5,$H$13)+[1]!S_STM07_BS(D1096,94,$G$5,$H$13)+[1]!S_STM07_BS(D1096,95,$G$5,$H$13))/$E$5))</f>
        <v/>
      </c>
      <c r="O1096" s="247" t="str">
        <f ca="1">IF(C1096="","",IF($O$11="BPS",[1]!S_STM07_BS(D1096,141,$G$5,$H$13)/IF([1]!S_SHARE_TOTAL(D1096,$G$5)=0,[1]!S_SHARE_TOTAL(D1096,[1]!s_ipo_listeddate(D1096)),[1]!S_SHARE_TOTAL(D1096,$G$5)),[1]!S_STM07_CS(D1096,49,$G$5,$H$13)/$E$5))</f>
        <v/>
      </c>
      <c r="P1096" s="247" t="str">
        <f ca="1">IF(C1096="","",IF($P$11="CFPS",[1]!S_STM07_CS(D1096,84,$G$5,$H$13)/IF([1]!S_SHARE_TOTAL(D1096,$G$5)=0,[1]!S_SHARE_TOTAL(D1096,[1]!s_ipo_listeddate(D1096)),[1]!S_SHARE_TOTAL(D1096,$G$5)),[1]!S_STM07_CS(D1096,84,$G$5,$H$13)/$E$5))</f>
        <v/>
      </c>
      <c r="Q1096" s="248" t="str">
        <f ca="1">IF(C1096="","",F1096/([1]!S_STM07_IS(D1096,61,$G$5,$H$13)/IF([1]!S_SHARE_TOTAL(D1096,$G$5)=0,[1]!S_SHARE_TOTAL(D1096,[1]!s_ipo_listeddate(D1096)),[1]!S_SHARE_TOTAL(D1096,$G$5))))</f>
        <v/>
      </c>
      <c r="R1096" s="248" t="str">
        <f ca="1">IF(C1096="","",F1096/([1]!S_STM07_BS(D1096,141,$G$5,$H$13)/IF([1]!S_SHARE_TOTAL(D1096,$G$5)=0,[1]!S_SHARE_TOTAL(D1096,[1]!s_ipo_listeddate(D1096)),[1]!S_SHARE_TOTAL(D1096,$G$5))))</f>
        <v/>
      </c>
      <c r="S1096" s="247" t="str">
        <f ca="1">IF(C1096="","",[1]!S_SHARE_TOTAL(D1096,TODAY())/$E$5)</f>
        <v/>
      </c>
      <c r="T1096" s="247" t="str">
        <f t="shared" ca="1" si="109"/>
        <v/>
      </c>
      <c r="U1096" s="218" t="str">
        <f t="shared" ca="1" si="110"/>
        <v/>
      </c>
      <c r="V1096" s="342" t="str">
        <f t="shared" ca="1" si="111"/>
        <v/>
      </c>
      <c r="W1096" s="139"/>
      <c r="Y1096" s="1"/>
    </row>
    <row r="1097" spans="3:25" ht="12" customHeight="1">
      <c r="C1097" s="343" t="str">
        <f t="shared" ca="1" si="106"/>
        <v/>
      </c>
      <c r="D1097" s="124" t="str">
        <f t="shared" ca="1" si="107"/>
        <v/>
      </c>
      <c r="E1097" s="124" t="str">
        <f t="shared" ca="1" si="108"/>
        <v/>
      </c>
      <c r="F1097" s="172" t="str">
        <f ca="1">IF(C1097="","",[1]!S_DQ_CLOSE(D1097,TODAY(),1))</f>
        <v/>
      </c>
      <c r="G1097" s="173" t="str">
        <f ca="1">IF(C1097="","",[1]!s_pq_pctchange(D1097,TODAY()-$G$12,TODAY())/100)</f>
        <v/>
      </c>
      <c r="H1097" s="249" t="str">
        <f ca="1">IF(C1097="","",IF($H$11="收入",[1]!S_STM07_IS(D1097,9,$G$5,$H$13)/$E$5,[1]!S_STM07_IS(D1097,48,$G$5,$H$13)/$E$5))</f>
        <v/>
      </c>
      <c r="I1097" s="249" t="str">
        <f ca="1">IF(C1097="","",IF($I$11="毛利率",([1]!S_STM07_IS(D1097,9,$G$5,$H$13)-[1]!S_STM07_IS(D1097,10,$G$5,$H$13))/[1]!S_STM07_IS(D1097,9,$G$5,$H$13),[1]!S_STM07_IS(D1097,14,$G$5,$H$13)/$E$5))</f>
        <v/>
      </c>
      <c r="J1097" s="249" t="str">
        <f ca="1">IF(C1097="","",IF($J$11="营业利润率",[1]!S_STM07_IS(D1097,48,$G$5,$H$13)/[1]!S_STM07_IS(D1097,9,$G$5,$H$13),([1]!S_STM07_CS(D1097,87,$G$5,$H$13)+[1]!S_STM07_CS(D1097,88,$G$5,$H$13)+[1]!S_STM07_CS(D1097,89,$G$5,$H$13))/$E$5))</f>
        <v/>
      </c>
      <c r="K1097" s="249" t="str">
        <f ca="1">IF(C1097="","",IF($K$11="净利润率",[1]!S_STM07_IS(D1097,61,$G$5,$H$13)/[1]!S_STM07_IS(D1097,9,$G$5,$H$13),[1]!S_STM07_IS(D1097,55,$G$5,$H$13)/$E$5))</f>
        <v/>
      </c>
      <c r="L1097" s="249" t="str">
        <f ca="1">IF(C1097="","",IF($L$11="ROA",[1]!S_STM07_IS(D1097,61,$G$5,$H$13)/[1]!S_STM07_BS(D1097,74,$G$5,$H$13),1-[1]!S_STM07_IS(D1097,61,$G$5,$H$13)/[1]!S_STM07_IS(D1097,55,$G$5,$H$13)))</f>
        <v/>
      </c>
      <c r="M1097" s="249" t="str">
        <f ca="1">IF(C1097="","",IF($M$11="ROE",[1]!S_STM07_IS(D1097,61,$G$5,$H$13)/[1]!S_STM07_BS(D1097,141,$G$5,$H$13),([1]!S_STM07_BS(D1097,25,$G$5,$H$13)-[1]!S_STM07_BS(D1097,93,$G$5,$H$13))/$E$5))</f>
        <v/>
      </c>
      <c r="N1097" s="250" t="str">
        <f ca="1">IF(C1097="","",IF($N$11="EPS",[1]!S_STM07_IS(D1097,61,$G$5,$H$13)/IF([1]!S_SHARE_TOTAL(D1097,$G$5)=0,[1]!S_SHARE_TOTAL(D1097,[1]!s_ipo_listeddate(D1097)),[1]!S_SHARE_TOTAL(D1097,$G$5)),([1]!S_STM07_BS(D1097,75,$G$5,$H$13)+[1]!S_STM07_BS(D1097,88,$G$5,$H$13)+[1]!S_STM07_BS(D1097,94,$G$5,$H$13)+[1]!S_STM07_BS(D1097,95,$G$5,$H$13))/$E$5))</f>
        <v/>
      </c>
      <c r="O1097" s="250" t="str">
        <f ca="1">IF(C1097="","",IF($O$11="BPS",[1]!S_STM07_BS(D1097,141,$G$5,$H$13)/IF([1]!S_SHARE_TOTAL(D1097,$G$5)=0,[1]!S_SHARE_TOTAL(D1097,[1]!s_ipo_listeddate(D1097)),[1]!S_SHARE_TOTAL(D1097,$G$5)),[1]!S_STM07_CS(D1097,49,$G$5,$H$13)/$E$5))</f>
        <v/>
      </c>
      <c r="P1097" s="250" t="str">
        <f ca="1">IF(C1097="","",IF($P$11="CFPS",[1]!S_STM07_CS(D1097,84,$G$5,$H$13)/IF([1]!S_SHARE_TOTAL(D1097,$G$5)=0,[1]!S_SHARE_TOTAL(D1097,[1]!s_ipo_listeddate(D1097)),[1]!S_SHARE_TOTAL(D1097,$G$5)),[1]!S_STM07_CS(D1097,84,$G$5,$H$13)/$E$5))</f>
        <v/>
      </c>
      <c r="Q1097" s="198" t="str">
        <f ca="1">IF(C1097="","",F1097/([1]!S_STM07_IS(D1097,61,$G$5,$H$13)/IF([1]!S_SHARE_TOTAL(D1097,$G$5)=0,[1]!S_SHARE_TOTAL(D1097,[1]!s_ipo_listeddate(D1097)),[1]!S_SHARE_TOTAL(D1097,$G$5))))</f>
        <v/>
      </c>
      <c r="R1097" s="198" t="str">
        <f ca="1">IF(C1097="","",F1097/([1]!S_STM07_BS(D1097,141,$G$5,$H$13)/IF([1]!S_SHARE_TOTAL(D1097,$G$5)=0,[1]!S_SHARE_TOTAL(D1097,[1]!s_ipo_listeddate(D1097)),[1]!S_SHARE_TOTAL(D1097,$G$5))))</f>
        <v/>
      </c>
      <c r="S1097" s="249" t="str">
        <f ca="1">IF(C1097="","",[1]!S_SHARE_TOTAL(D1097,TODAY())/$E$5)</f>
        <v/>
      </c>
      <c r="T1097" s="249" t="str">
        <f t="shared" ca="1" si="109"/>
        <v/>
      </c>
      <c r="U1097" s="172" t="str">
        <f t="shared" ca="1" si="110"/>
        <v/>
      </c>
      <c r="V1097" s="343" t="str">
        <f t="shared" ca="1" si="111"/>
        <v/>
      </c>
      <c r="W1097" s="139"/>
      <c r="Y1097" s="1"/>
    </row>
    <row r="1098" spans="3:25" ht="12" customHeight="1">
      <c r="C1098" s="342" t="str">
        <f t="shared" ca="1" si="106"/>
        <v/>
      </c>
      <c r="D1098" s="153" t="str">
        <f t="shared" ca="1" si="107"/>
        <v/>
      </c>
      <c r="E1098" s="153" t="str">
        <f t="shared" ca="1" si="108"/>
        <v/>
      </c>
      <c r="F1098" s="170" t="str">
        <f ca="1">IF(C1098="","",[1]!S_DQ_CLOSE(D1098,TODAY(),1))</f>
        <v/>
      </c>
      <c r="G1098" s="171" t="str">
        <f ca="1">IF(C1098="","",[1]!s_pq_pctchange(D1098,TODAY()-$G$12,TODAY())/100)</f>
        <v/>
      </c>
      <c r="H1098" s="247" t="str">
        <f ca="1">IF(C1098="","",IF($H$11="收入",[1]!S_STM07_IS(D1098,9,$G$5,$H$13)/$E$5,[1]!S_STM07_IS(D1098,48,$G$5,$H$13)/$E$5))</f>
        <v/>
      </c>
      <c r="I1098" s="247" t="str">
        <f ca="1">IF(C1098="","",IF($I$11="毛利率",([1]!S_STM07_IS(D1098,9,$G$5,$H$13)-[1]!S_STM07_IS(D1098,10,$G$5,$H$13))/[1]!S_STM07_IS(D1098,9,$G$5,$H$13),[1]!S_STM07_IS(D1098,14,$G$5,$H$13)/$E$5))</f>
        <v/>
      </c>
      <c r="J1098" s="247" t="str">
        <f ca="1">IF(C1098="","",IF($J$11="营业利润率",[1]!S_STM07_IS(D1098,48,$G$5,$H$13)/[1]!S_STM07_IS(D1098,9,$G$5,$H$13),([1]!S_STM07_CS(D1098,87,$G$5,$H$13)+[1]!S_STM07_CS(D1098,88,$G$5,$H$13)+[1]!S_STM07_CS(D1098,89,$G$5,$H$13))/$E$5))</f>
        <v/>
      </c>
      <c r="K1098" s="247" t="str">
        <f ca="1">IF(C1098="","",IF($K$11="净利润率",[1]!S_STM07_IS(D1098,61,$G$5,$H$13)/[1]!S_STM07_IS(D1098,9,$G$5,$H$13),[1]!S_STM07_IS(D1098,55,$G$5,$H$13)/$E$5))</f>
        <v/>
      </c>
      <c r="L1098" s="247" t="str">
        <f ca="1">IF(C1098="","",IF($L$11="ROA",[1]!S_STM07_IS(D1098,61,$G$5,$H$13)/[1]!S_STM07_BS(D1098,74,$G$5,$H$13),1-[1]!S_STM07_IS(D1098,61,$G$5,$H$13)/[1]!S_STM07_IS(D1098,55,$G$5,$H$13)))</f>
        <v/>
      </c>
      <c r="M1098" s="247" t="str">
        <f ca="1">IF(C1098="","",IF($M$11="ROE",[1]!S_STM07_IS(D1098,61,$G$5,$H$13)/[1]!S_STM07_BS(D1098,141,$G$5,$H$13),([1]!S_STM07_BS(D1098,25,$G$5,$H$13)-[1]!S_STM07_BS(D1098,93,$G$5,$H$13))/$E$5))</f>
        <v/>
      </c>
      <c r="N1098" s="247" t="str">
        <f ca="1">IF(C1098="","",IF($N$11="EPS",[1]!S_STM07_IS(D1098,61,$G$5,$H$13)/IF([1]!S_SHARE_TOTAL(D1098,$G$5)=0,[1]!S_SHARE_TOTAL(D1098,[1]!s_ipo_listeddate(D1098)),[1]!S_SHARE_TOTAL(D1098,$G$5)),([1]!S_STM07_BS(D1098,75,$G$5,$H$13)+[1]!S_STM07_BS(D1098,88,$G$5,$H$13)+[1]!S_STM07_BS(D1098,94,$G$5,$H$13)+[1]!S_STM07_BS(D1098,95,$G$5,$H$13))/$E$5))</f>
        <v/>
      </c>
      <c r="O1098" s="247" t="str">
        <f ca="1">IF(C1098="","",IF($O$11="BPS",[1]!S_STM07_BS(D1098,141,$G$5,$H$13)/IF([1]!S_SHARE_TOTAL(D1098,$G$5)=0,[1]!S_SHARE_TOTAL(D1098,[1]!s_ipo_listeddate(D1098)),[1]!S_SHARE_TOTAL(D1098,$G$5)),[1]!S_STM07_CS(D1098,49,$G$5,$H$13)/$E$5))</f>
        <v/>
      </c>
      <c r="P1098" s="247" t="str">
        <f ca="1">IF(C1098="","",IF($P$11="CFPS",[1]!S_STM07_CS(D1098,84,$G$5,$H$13)/IF([1]!S_SHARE_TOTAL(D1098,$G$5)=0,[1]!S_SHARE_TOTAL(D1098,[1]!s_ipo_listeddate(D1098)),[1]!S_SHARE_TOTAL(D1098,$G$5)),[1]!S_STM07_CS(D1098,84,$G$5,$H$13)/$E$5))</f>
        <v/>
      </c>
      <c r="Q1098" s="248" t="str">
        <f ca="1">IF(C1098="","",F1098/([1]!S_STM07_IS(D1098,61,$G$5,$H$13)/IF([1]!S_SHARE_TOTAL(D1098,$G$5)=0,[1]!S_SHARE_TOTAL(D1098,[1]!s_ipo_listeddate(D1098)),[1]!S_SHARE_TOTAL(D1098,$G$5))))</f>
        <v/>
      </c>
      <c r="R1098" s="248" t="str">
        <f ca="1">IF(C1098="","",F1098/([1]!S_STM07_BS(D1098,141,$G$5,$H$13)/IF([1]!S_SHARE_TOTAL(D1098,$G$5)=0,[1]!S_SHARE_TOTAL(D1098,[1]!s_ipo_listeddate(D1098)),[1]!S_SHARE_TOTAL(D1098,$G$5))))</f>
        <v/>
      </c>
      <c r="S1098" s="247" t="str">
        <f ca="1">IF(C1098="","",[1]!S_SHARE_TOTAL(D1098,TODAY())/$E$5)</f>
        <v/>
      </c>
      <c r="T1098" s="247" t="str">
        <f t="shared" ca="1" si="109"/>
        <v/>
      </c>
      <c r="U1098" s="218" t="str">
        <f t="shared" ca="1" si="110"/>
        <v/>
      </c>
      <c r="V1098" s="342" t="str">
        <f t="shared" ca="1" si="111"/>
        <v/>
      </c>
      <c r="W1098" s="139"/>
      <c r="Y1098" s="1"/>
    </row>
    <row r="1099" spans="3:25" ht="12" customHeight="1">
      <c r="C1099" s="343" t="str">
        <f t="shared" ca="1" si="106"/>
        <v/>
      </c>
      <c r="D1099" s="124" t="str">
        <f t="shared" ca="1" si="107"/>
        <v/>
      </c>
      <c r="E1099" s="124" t="str">
        <f t="shared" ca="1" si="108"/>
        <v/>
      </c>
      <c r="F1099" s="172" t="str">
        <f ca="1">IF(C1099="","",[1]!S_DQ_CLOSE(D1099,TODAY(),1))</f>
        <v/>
      </c>
      <c r="G1099" s="173" t="str">
        <f ca="1">IF(C1099="","",[1]!s_pq_pctchange(D1099,TODAY()-$G$12,TODAY())/100)</f>
        <v/>
      </c>
      <c r="H1099" s="249" t="str">
        <f ca="1">IF(C1099="","",IF($H$11="收入",[1]!S_STM07_IS(D1099,9,$G$5,$H$13)/$E$5,[1]!S_STM07_IS(D1099,48,$G$5,$H$13)/$E$5))</f>
        <v/>
      </c>
      <c r="I1099" s="249" t="str">
        <f ca="1">IF(C1099="","",IF($I$11="毛利率",([1]!S_STM07_IS(D1099,9,$G$5,$H$13)-[1]!S_STM07_IS(D1099,10,$G$5,$H$13))/[1]!S_STM07_IS(D1099,9,$G$5,$H$13),[1]!S_STM07_IS(D1099,14,$G$5,$H$13)/$E$5))</f>
        <v/>
      </c>
      <c r="J1099" s="249" t="str">
        <f ca="1">IF(C1099="","",IF($J$11="营业利润率",[1]!S_STM07_IS(D1099,48,$G$5,$H$13)/[1]!S_STM07_IS(D1099,9,$G$5,$H$13),([1]!S_STM07_CS(D1099,87,$G$5,$H$13)+[1]!S_STM07_CS(D1099,88,$G$5,$H$13)+[1]!S_STM07_CS(D1099,89,$G$5,$H$13))/$E$5))</f>
        <v/>
      </c>
      <c r="K1099" s="249" t="str">
        <f ca="1">IF(C1099="","",IF($K$11="净利润率",[1]!S_STM07_IS(D1099,61,$G$5,$H$13)/[1]!S_STM07_IS(D1099,9,$G$5,$H$13),[1]!S_STM07_IS(D1099,55,$G$5,$H$13)/$E$5))</f>
        <v/>
      </c>
      <c r="L1099" s="249" t="str">
        <f ca="1">IF(C1099="","",IF($L$11="ROA",[1]!S_STM07_IS(D1099,61,$G$5,$H$13)/[1]!S_STM07_BS(D1099,74,$G$5,$H$13),1-[1]!S_STM07_IS(D1099,61,$G$5,$H$13)/[1]!S_STM07_IS(D1099,55,$G$5,$H$13)))</f>
        <v/>
      </c>
      <c r="M1099" s="249" t="str">
        <f ca="1">IF(C1099="","",IF($M$11="ROE",[1]!S_STM07_IS(D1099,61,$G$5,$H$13)/[1]!S_STM07_BS(D1099,141,$G$5,$H$13),([1]!S_STM07_BS(D1099,25,$G$5,$H$13)-[1]!S_STM07_BS(D1099,93,$G$5,$H$13))/$E$5))</f>
        <v/>
      </c>
      <c r="N1099" s="250" t="str">
        <f ca="1">IF(C1099="","",IF($N$11="EPS",[1]!S_STM07_IS(D1099,61,$G$5,$H$13)/IF([1]!S_SHARE_TOTAL(D1099,$G$5)=0,[1]!S_SHARE_TOTAL(D1099,[1]!s_ipo_listeddate(D1099)),[1]!S_SHARE_TOTAL(D1099,$G$5)),([1]!S_STM07_BS(D1099,75,$G$5,$H$13)+[1]!S_STM07_BS(D1099,88,$G$5,$H$13)+[1]!S_STM07_BS(D1099,94,$G$5,$H$13)+[1]!S_STM07_BS(D1099,95,$G$5,$H$13))/$E$5))</f>
        <v/>
      </c>
      <c r="O1099" s="250" t="str">
        <f ca="1">IF(C1099="","",IF($O$11="BPS",[1]!S_STM07_BS(D1099,141,$G$5,$H$13)/IF([1]!S_SHARE_TOTAL(D1099,$G$5)=0,[1]!S_SHARE_TOTAL(D1099,[1]!s_ipo_listeddate(D1099)),[1]!S_SHARE_TOTAL(D1099,$G$5)),[1]!S_STM07_CS(D1099,49,$G$5,$H$13)/$E$5))</f>
        <v/>
      </c>
      <c r="P1099" s="250" t="str">
        <f ca="1">IF(C1099="","",IF($P$11="CFPS",[1]!S_STM07_CS(D1099,84,$G$5,$H$13)/IF([1]!S_SHARE_TOTAL(D1099,$G$5)=0,[1]!S_SHARE_TOTAL(D1099,[1]!s_ipo_listeddate(D1099)),[1]!S_SHARE_TOTAL(D1099,$G$5)),[1]!S_STM07_CS(D1099,84,$G$5,$H$13)/$E$5))</f>
        <v/>
      </c>
      <c r="Q1099" s="198" t="str">
        <f ca="1">IF(C1099="","",F1099/([1]!S_STM07_IS(D1099,61,$G$5,$H$13)/IF([1]!S_SHARE_TOTAL(D1099,$G$5)=0,[1]!S_SHARE_TOTAL(D1099,[1]!s_ipo_listeddate(D1099)),[1]!S_SHARE_TOTAL(D1099,$G$5))))</f>
        <v/>
      </c>
      <c r="R1099" s="198" t="str">
        <f ca="1">IF(C1099="","",F1099/([1]!S_STM07_BS(D1099,141,$G$5,$H$13)/IF([1]!S_SHARE_TOTAL(D1099,$G$5)=0,[1]!S_SHARE_TOTAL(D1099,[1]!s_ipo_listeddate(D1099)),[1]!S_SHARE_TOTAL(D1099,$G$5))))</f>
        <v/>
      </c>
      <c r="S1099" s="249" t="str">
        <f ca="1">IF(C1099="","",[1]!S_SHARE_TOTAL(D1099,TODAY())/$E$5)</f>
        <v/>
      </c>
      <c r="T1099" s="249" t="str">
        <f t="shared" ca="1" si="109"/>
        <v/>
      </c>
      <c r="U1099" s="172" t="str">
        <f t="shared" ca="1" si="110"/>
        <v/>
      </c>
      <c r="V1099" s="343" t="str">
        <f t="shared" ca="1" si="111"/>
        <v/>
      </c>
      <c r="W1099" s="139"/>
      <c r="Y1099" s="1"/>
    </row>
    <row r="1100" spans="3:25" ht="12" customHeight="1">
      <c r="C1100" s="342" t="str">
        <f t="shared" ca="1" si="106"/>
        <v/>
      </c>
      <c r="D1100" s="153" t="str">
        <f t="shared" ca="1" si="107"/>
        <v/>
      </c>
      <c r="E1100" s="153" t="str">
        <f t="shared" ca="1" si="108"/>
        <v/>
      </c>
      <c r="F1100" s="170" t="str">
        <f ca="1">IF(C1100="","",[1]!S_DQ_CLOSE(D1100,TODAY(),1))</f>
        <v/>
      </c>
      <c r="G1100" s="171" t="str">
        <f ca="1">IF(C1100="","",[1]!s_pq_pctchange(D1100,TODAY()-$G$12,TODAY())/100)</f>
        <v/>
      </c>
      <c r="H1100" s="247" t="str">
        <f ca="1">IF(C1100="","",IF($H$11="收入",[1]!S_STM07_IS(D1100,9,$G$5,$H$13)/$E$5,[1]!S_STM07_IS(D1100,48,$G$5,$H$13)/$E$5))</f>
        <v/>
      </c>
      <c r="I1100" s="247" t="str">
        <f ca="1">IF(C1100="","",IF($I$11="毛利率",([1]!S_STM07_IS(D1100,9,$G$5,$H$13)-[1]!S_STM07_IS(D1100,10,$G$5,$H$13))/[1]!S_STM07_IS(D1100,9,$G$5,$H$13),[1]!S_STM07_IS(D1100,14,$G$5,$H$13)/$E$5))</f>
        <v/>
      </c>
      <c r="J1100" s="247" t="str">
        <f ca="1">IF(C1100="","",IF($J$11="营业利润率",[1]!S_STM07_IS(D1100,48,$G$5,$H$13)/[1]!S_STM07_IS(D1100,9,$G$5,$H$13),([1]!S_STM07_CS(D1100,87,$G$5,$H$13)+[1]!S_STM07_CS(D1100,88,$G$5,$H$13)+[1]!S_STM07_CS(D1100,89,$G$5,$H$13))/$E$5))</f>
        <v/>
      </c>
      <c r="K1100" s="247" t="str">
        <f ca="1">IF(C1100="","",IF($K$11="净利润率",[1]!S_STM07_IS(D1100,61,$G$5,$H$13)/[1]!S_STM07_IS(D1100,9,$G$5,$H$13),[1]!S_STM07_IS(D1100,55,$G$5,$H$13)/$E$5))</f>
        <v/>
      </c>
      <c r="L1100" s="247" t="str">
        <f ca="1">IF(C1100="","",IF($L$11="ROA",[1]!S_STM07_IS(D1100,61,$G$5,$H$13)/[1]!S_STM07_BS(D1100,74,$G$5,$H$13),1-[1]!S_STM07_IS(D1100,61,$G$5,$H$13)/[1]!S_STM07_IS(D1100,55,$G$5,$H$13)))</f>
        <v/>
      </c>
      <c r="M1100" s="247" t="str">
        <f ca="1">IF(C1100="","",IF($M$11="ROE",[1]!S_STM07_IS(D1100,61,$G$5,$H$13)/[1]!S_STM07_BS(D1100,141,$G$5,$H$13),([1]!S_STM07_BS(D1100,25,$G$5,$H$13)-[1]!S_STM07_BS(D1100,93,$G$5,$H$13))/$E$5))</f>
        <v/>
      </c>
      <c r="N1100" s="247" t="str">
        <f ca="1">IF(C1100="","",IF($N$11="EPS",[1]!S_STM07_IS(D1100,61,$G$5,$H$13)/IF([1]!S_SHARE_TOTAL(D1100,$G$5)=0,[1]!S_SHARE_TOTAL(D1100,[1]!s_ipo_listeddate(D1100)),[1]!S_SHARE_TOTAL(D1100,$G$5)),([1]!S_STM07_BS(D1100,75,$G$5,$H$13)+[1]!S_STM07_BS(D1100,88,$G$5,$H$13)+[1]!S_STM07_BS(D1100,94,$G$5,$H$13)+[1]!S_STM07_BS(D1100,95,$G$5,$H$13))/$E$5))</f>
        <v/>
      </c>
      <c r="O1100" s="247" t="str">
        <f ca="1">IF(C1100="","",IF($O$11="BPS",[1]!S_STM07_BS(D1100,141,$G$5,$H$13)/IF([1]!S_SHARE_TOTAL(D1100,$G$5)=0,[1]!S_SHARE_TOTAL(D1100,[1]!s_ipo_listeddate(D1100)),[1]!S_SHARE_TOTAL(D1100,$G$5)),[1]!S_STM07_CS(D1100,49,$G$5,$H$13)/$E$5))</f>
        <v/>
      </c>
      <c r="P1100" s="247" t="str">
        <f ca="1">IF(C1100="","",IF($P$11="CFPS",[1]!S_STM07_CS(D1100,84,$G$5,$H$13)/IF([1]!S_SHARE_TOTAL(D1100,$G$5)=0,[1]!S_SHARE_TOTAL(D1100,[1]!s_ipo_listeddate(D1100)),[1]!S_SHARE_TOTAL(D1100,$G$5)),[1]!S_STM07_CS(D1100,84,$G$5,$H$13)/$E$5))</f>
        <v/>
      </c>
      <c r="Q1100" s="248" t="str">
        <f ca="1">IF(C1100="","",F1100/([1]!S_STM07_IS(D1100,61,$G$5,$H$13)/IF([1]!S_SHARE_TOTAL(D1100,$G$5)=0,[1]!S_SHARE_TOTAL(D1100,[1]!s_ipo_listeddate(D1100)),[1]!S_SHARE_TOTAL(D1100,$G$5))))</f>
        <v/>
      </c>
      <c r="R1100" s="248" t="str">
        <f ca="1">IF(C1100="","",F1100/([1]!S_STM07_BS(D1100,141,$G$5,$H$13)/IF([1]!S_SHARE_TOTAL(D1100,$G$5)=0,[1]!S_SHARE_TOTAL(D1100,[1]!s_ipo_listeddate(D1100)),[1]!S_SHARE_TOTAL(D1100,$G$5))))</f>
        <v/>
      </c>
      <c r="S1100" s="247" t="str">
        <f ca="1">IF(C1100="","",[1]!S_SHARE_TOTAL(D1100,TODAY())/$E$5)</f>
        <v/>
      </c>
      <c r="T1100" s="247" t="str">
        <f t="shared" ca="1" si="109"/>
        <v/>
      </c>
      <c r="U1100" s="218" t="str">
        <f t="shared" ca="1" si="110"/>
        <v/>
      </c>
      <c r="V1100" s="342" t="str">
        <f t="shared" ca="1" si="111"/>
        <v/>
      </c>
      <c r="W1100" s="139"/>
      <c r="Y1100" s="1"/>
    </row>
    <row r="1101" spans="3:25" ht="12" customHeight="1">
      <c r="C1101" s="343" t="str">
        <f t="shared" ca="1" si="106"/>
        <v/>
      </c>
      <c r="D1101" s="124" t="str">
        <f t="shared" ca="1" si="107"/>
        <v/>
      </c>
      <c r="E1101" s="124" t="str">
        <f t="shared" ca="1" si="108"/>
        <v/>
      </c>
      <c r="F1101" s="172" t="str">
        <f ca="1">IF(C1101="","",[1]!S_DQ_CLOSE(D1101,TODAY(),1))</f>
        <v/>
      </c>
      <c r="G1101" s="173" t="str">
        <f ca="1">IF(C1101="","",[1]!s_pq_pctchange(D1101,TODAY()-$G$12,TODAY())/100)</f>
        <v/>
      </c>
      <c r="H1101" s="249" t="str">
        <f ca="1">IF(C1101="","",IF($H$11="收入",[1]!S_STM07_IS(D1101,9,$G$5,$H$13)/$E$5,[1]!S_STM07_IS(D1101,48,$G$5,$H$13)/$E$5))</f>
        <v/>
      </c>
      <c r="I1101" s="249" t="str">
        <f ca="1">IF(C1101="","",IF($I$11="毛利率",([1]!S_STM07_IS(D1101,9,$G$5,$H$13)-[1]!S_STM07_IS(D1101,10,$G$5,$H$13))/[1]!S_STM07_IS(D1101,9,$G$5,$H$13),[1]!S_STM07_IS(D1101,14,$G$5,$H$13)/$E$5))</f>
        <v/>
      </c>
      <c r="J1101" s="249" t="str">
        <f ca="1">IF(C1101="","",IF($J$11="营业利润率",[1]!S_STM07_IS(D1101,48,$G$5,$H$13)/[1]!S_STM07_IS(D1101,9,$G$5,$H$13),([1]!S_STM07_CS(D1101,87,$G$5,$H$13)+[1]!S_STM07_CS(D1101,88,$G$5,$H$13)+[1]!S_STM07_CS(D1101,89,$G$5,$H$13))/$E$5))</f>
        <v/>
      </c>
      <c r="K1101" s="249" t="str">
        <f ca="1">IF(C1101="","",IF($K$11="净利润率",[1]!S_STM07_IS(D1101,61,$G$5,$H$13)/[1]!S_STM07_IS(D1101,9,$G$5,$H$13),[1]!S_STM07_IS(D1101,55,$G$5,$H$13)/$E$5))</f>
        <v/>
      </c>
      <c r="L1101" s="249" t="str">
        <f ca="1">IF(C1101="","",IF($L$11="ROA",[1]!S_STM07_IS(D1101,61,$G$5,$H$13)/[1]!S_STM07_BS(D1101,74,$G$5,$H$13),1-[1]!S_STM07_IS(D1101,61,$G$5,$H$13)/[1]!S_STM07_IS(D1101,55,$G$5,$H$13)))</f>
        <v/>
      </c>
      <c r="M1101" s="249" t="str">
        <f ca="1">IF(C1101="","",IF($M$11="ROE",[1]!S_STM07_IS(D1101,61,$G$5,$H$13)/[1]!S_STM07_BS(D1101,141,$G$5,$H$13),([1]!S_STM07_BS(D1101,25,$G$5,$H$13)-[1]!S_STM07_BS(D1101,93,$G$5,$H$13))/$E$5))</f>
        <v/>
      </c>
      <c r="N1101" s="250" t="str">
        <f ca="1">IF(C1101="","",IF($N$11="EPS",[1]!S_STM07_IS(D1101,61,$G$5,$H$13)/IF([1]!S_SHARE_TOTAL(D1101,$G$5)=0,[1]!S_SHARE_TOTAL(D1101,[1]!s_ipo_listeddate(D1101)),[1]!S_SHARE_TOTAL(D1101,$G$5)),([1]!S_STM07_BS(D1101,75,$G$5,$H$13)+[1]!S_STM07_BS(D1101,88,$G$5,$H$13)+[1]!S_STM07_BS(D1101,94,$G$5,$H$13)+[1]!S_STM07_BS(D1101,95,$G$5,$H$13))/$E$5))</f>
        <v/>
      </c>
      <c r="O1101" s="250" t="str">
        <f ca="1">IF(C1101="","",IF($O$11="BPS",[1]!S_STM07_BS(D1101,141,$G$5,$H$13)/IF([1]!S_SHARE_TOTAL(D1101,$G$5)=0,[1]!S_SHARE_TOTAL(D1101,[1]!s_ipo_listeddate(D1101)),[1]!S_SHARE_TOTAL(D1101,$G$5)),[1]!S_STM07_CS(D1101,49,$G$5,$H$13)/$E$5))</f>
        <v/>
      </c>
      <c r="P1101" s="250" t="str">
        <f ca="1">IF(C1101="","",IF($P$11="CFPS",[1]!S_STM07_CS(D1101,84,$G$5,$H$13)/IF([1]!S_SHARE_TOTAL(D1101,$G$5)=0,[1]!S_SHARE_TOTAL(D1101,[1]!s_ipo_listeddate(D1101)),[1]!S_SHARE_TOTAL(D1101,$G$5)),[1]!S_STM07_CS(D1101,84,$G$5,$H$13)/$E$5))</f>
        <v/>
      </c>
      <c r="Q1101" s="198" t="str">
        <f ca="1">IF(C1101="","",F1101/([1]!S_STM07_IS(D1101,61,$G$5,$H$13)/IF([1]!S_SHARE_TOTAL(D1101,$G$5)=0,[1]!S_SHARE_TOTAL(D1101,[1]!s_ipo_listeddate(D1101)),[1]!S_SHARE_TOTAL(D1101,$G$5))))</f>
        <v/>
      </c>
      <c r="R1101" s="198" t="str">
        <f ca="1">IF(C1101="","",F1101/([1]!S_STM07_BS(D1101,141,$G$5,$H$13)/IF([1]!S_SHARE_TOTAL(D1101,$G$5)=0,[1]!S_SHARE_TOTAL(D1101,[1]!s_ipo_listeddate(D1101)),[1]!S_SHARE_TOTAL(D1101,$G$5))))</f>
        <v/>
      </c>
      <c r="S1101" s="249" t="str">
        <f ca="1">IF(C1101="","",[1]!S_SHARE_TOTAL(D1101,TODAY())/$E$5)</f>
        <v/>
      </c>
      <c r="T1101" s="249" t="str">
        <f t="shared" ca="1" si="109"/>
        <v/>
      </c>
      <c r="U1101" s="172" t="str">
        <f t="shared" ca="1" si="110"/>
        <v/>
      </c>
      <c r="V1101" s="343" t="str">
        <f t="shared" ca="1" si="111"/>
        <v/>
      </c>
      <c r="W1101" s="139"/>
      <c r="Y1101" s="1"/>
    </row>
    <row r="1102" spans="3:25" ht="12" customHeight="1">
      <c r="C1102" s="342" t="str">
        <f t="shared" ref="C1102:C1165" ca="1" si="112">IF(ROW()-13&lt;=MAX(series),ROW()-13,"")</f>
        <v/>
      </c>
      <c r="D1102" s="153" t="str">
        <f t="shared" ca="1" si="107"/>
        <v/>
      </c>
      <c r="E1102" s="153" t="str">
        <f t="shared" ca="1" si="108"/>
        <v/>
      </c>
      <c r="F1102" s="170" t="str">
        <f ca="1">IF(C1102="","",[1]!S_DQ_CLOSE(D1102,TODAY(),1))</f>
        <v/>
      </c>
      <c r="G1102" s="171" t="str">
        <f ca="1">IF(C1102="","",[1]!s_pq_pctchange(D1102,TODAY()-$G$12,TODAY())/100)</f>
        <v/>
      </c>
      <c r="H1102" s="247" t="str">
        <f ca="1">IF(C1102="","",IF($H$11="收入",[1]!S_STM07_IS(D1102,9,$G$5,$H$13)/$E$5,[1]!S_STM07_IS(D1102,48,$G$5,$H$13)/$E$5))</f>
        <v/>
      </c>
      <c r="I1102" s="247" t="str">
        <f ca="1">IF(C1102="","",IF($I$11="毛利率",([1]!S_STM07_IS(D1102,9,$G$5,$H$13)-[1]!S_STM07_IS(D1102,10,$G$5,$H$13))/[1]!S_STM07_IS(D1102,9,$G$5,$H$13),[1]!S_STM07_IS(D1102,14,$G$5,$H$13)/$E$5))</f>
        <v/>
      </c>
      <c r="J1102" s="247" t="str">
        <f ca="1">IF(C1102="","",IF($J$11="营业利润率",[1]!S_STM07_IS(D1102,48,$G$5,$H$13)/[1]!S_STM07_IS(D1102,9,$G$5,$H$13),([1]!S_STM07_CS(D1102,87,$G$5,$H$13)+[1]!S_STM07_CS(D1102,88,$G$5,$H$13)+[1]!S_STM07_CS(D1102,89,$G$5,$H$13))/$E$5))</f>
        <v/>
      </c>
      <c r="K1102" s="247" t="str">
        <f ca="1">IF(C1102="","",IF($K$11="净利润率",[1]!S_STM07_IS(D1102,61,$G$5,$H$13)/[1]!S_STM07_IS(D1102,9,$G$5,$H$13),[1]!S_STM07_IS(D1102,55,$G$5,$H$13)/$E$5))</f>
        <v/>
      </c>
      <c r="L1102" s="247" t="str">
        <f ca="1">IF(C1102="","",IF($L$11="ROA",[1]!S_STM07_IS(D1102,61,$G$5,$H$13)/[1]!S_STM07_BS(D1102,74,$G$5,$H$13),1-[1]!S_STM07_IS(D1102,61,$G$5,$H$13)/[1]!S_STM07_IS(D1102,55,$G$5,$H$13)))</f>
        <v/>
      </c>
      <c r="M1102" s="247" t="str">
        <f ca="1">IF(C1102="","",IF($M$11="ROE",[1]!S_STM07_IS(D1102,61,$G$5,$H$13)/[1]!S_STM07_BS(D1102,141,$G$5,$H$13),([1]!S_STM07_BS(D1102,25,$G$5,$H$13)-[1]!S_STM07_BS(D1102,93,$G$5,$H$13))/$E$5))</f>
        <v/>
      </c>
      <c r="N1102" s="247" t="str">
        <f ca="1">IF(C1102="","",IF($N$11="EPS",[1]!S_STM07_IS(D1102,61,$G$5,$H$13)/IF([1]!S_SHARE_TOTAL(D1102,$G$5)=0,[1]!S_SHARE_TOTAL(D1102,[1]!s_ipo_listeddate(D1102)),[1]!S_SHARE_TOTAL(D1102,$G$5)),([1]!S_STM07_BS(D1102,75,$G$5,$H$13)+[1]!S_STM07_BS(D1102,88,$G$5,$H$13)+[1]!S_STM07_BS(D1102,94,$G$5,$H$13)+[1]!S_STM07_BS(D1102,95,$G$5,$H$13))/$E$5))</f>
        <v/>
      </c>
      <c r="O1102" s="247" t="str">
        <f ca="1">IF(C1102="","",IF($O$11="BPS",[1]!S_STM07_BS(D1102,141,$G$5,$H$13)/IF([1]!S_SHARE_TOTAL(D1102,$G$5)=0,[1]!S_SHARE_TOTAL(D1102,[1]!s_ipo_listeddate(D1102)),[1]!S_SHARE_TOTAL(D1102,$G$5)),[1]!S_STM07_CS(D1102,49,$G$5,$H$13)/$E$5))</f>
        <v/>
      </c>
      <c r="P1102" s="247" t="str">
        <f ca="1">IF(C1102="","",IF($P$11="CFPS",[1]!S_STM07_CS(D1102,84,$G$5,$H$13)/IF([1]!S_SHARE_TOTAL(D1102,$G$5)=0,[1]!S_SHARE_TOTAL(D1102,[1]!s_ipo_listeddate(D1102)),[1]!S_SHARE_TOTAL(D1102,$G$5)),[1]!S_STM07_CS(D1102,84,$G$5,$H$13)/$E$5))</f>
        <v/>
      </c>
      <c r="Q1102" s="248" t="str">
        <f ca="1">IF(C1102="","",F1102/([1]!S_STM07_IS(D1102,61,$G$5,$H$13)/IF([1]!S_SHARE_TOTAL(D1102,$G$5)=0,[1]!S_SHARE_TOTAL(D1102,[1]!s_ipo_listeddate(D1102)),[1]!S_SHARE_TOTAL(D1102,$G$5))))</f>
        <v/>
      </c>
      <c r="R1102" s="248" t="str">
        <f ca="1">IF(C1102="","",F1102/([1]!S_STM07_BS(D1102,141,$G$5,$H$13)/IF([1]!S_SHARE_TOTAL(D1102,$G$5)=0,[1]!S_SHARE_TOTAL(D1102,[1]!s_ipo_listeddate(D1102)),[1]!S_SHARE_TOTAL(D1102,$G$5))))</f>
        <v/>
      </c>
      <c r="S1102" s="247" t="str">
        <f ca="1">IF(C1102="","",[1]!S_SHARE_TOTAL(D1102,TODAY())/$E$5)</f>
        <v/>
      </c>
      <c r="T1102" s="247" t="str">
        <f t="shared" ca="1" si="109"/>
        <v/>
      </c>
      <c r="U1102" s="218" t="str">
        <f t="shared" ca="1" si="110"/>
        <v/>
      </c>
      <c r="V1102" s="342" t="str">
        <f t="shared" ca="1" si="111"/>
        <v/>
      </c>
      <c r="W1102" s="139"/>
      <c r="Y1102" s="1"/>
    </row>
    <row r="1103" spans="3:25" ht="12" customHeight="1">
      <c r="C1103" s="343" t="str">
        <f t="shared" ca="1" si="112"/>
        <v/>
      </c>
      <c r="D1103" s="124" t="str">
        <f t="shared" ca="1" si="107"/>
        <v/>
      </c>
      <c r="E1103" s="124" t="str">
        <f t="shared" ca="1" si="108"/>
        <v/>
      </c>
      <c r="F1103" s="172" t="str">
        <f ca="1">IF(C1103="","",[1]!S_DQ_CLOSE(D1103,TODAY(),1))</f>
        <v/>
      </c>
      <c r="G1103" s="173" t="str">
        <f ca="1">IF(C1103="","",[1]!s_pq_pctchange(D1103,TODAY()-$G$12,TODAY())/100)</f>
        <v/>
      </c>
      <c r="H1103" s="249" t="str">
        <f ca="1">IF(C1103="","",IF($H$11="收入",[1]!S_STM07_IS(D1103,9,$G$5,$H$13)/$E$5,[1]!S_STM07_IS(D1103,48,$G$5,$H$13)/$E$5))</f>
        <v/>
      </c>
      <c r="I1103" s="249" t="str">
        <f ca="1">IF(C1103="","",IF($I$11="毛利率",([1]!S_STM07_IS(D1103,9,$G$5,$H$13)-[1]!S_STM07_IS(D1103,10,$G$5,$H$13))/[1]!S_STM07_IS(D1103,9,$G$5,$H$13),[1]!S_STM07_IS(D1103,14,$G$5,$H$13)/$E$5))</f>
        <v/>
      </c>
      <c r="J1103" s="249" t="str">
        <f ca="1">IF(C1103="","",IF($J$11="营业利润率",[1]!S_STM07_IS(D1103,48,$G$5,$H$13)/[1]!S_STM07_IS(D1103,9,$G$5,$H$13),([1]!S_STM07_CS(D1103,87,$G$5,$H$13)+[1]!S_STM07_CS(D1103,88,$G$5,$H$13)+[1]!S_STM07_CS(D1103,89,$G$5,$H$13))/$E$5))</f>
        <v/>
      </c>
      <c r="K1103" s="249" t="str">
        <f ca="1">IF(C1103="","",IF($K$11="净利润率",[1]!S_STM07_IS(D1103,61,$G$5,$H$13)/[1]!S_STM07_IS(D1103,9,$G$5,$H$13),[1]!S_STM07_IS(D1103,55,$G$5,$H$13)/$E$5))</f>
        <v/>
      </c>
      <c r="L1103" s="249" t="str">
        <f ca="1">IF(C1103="","",IF($L$11="ROA",[1]!S_STM07_IS(D1103,61,$G$5,$H$13)/[1]!S_STM07_BS(D1103,74,$G$5,$H$13),1-[1]!S_STM07_IS(D1103,61,$G$5,$H$13)/[1]!S_STM07_IS(D1103,55,$G$5,$H$13)))</f>
        <v/>
      </c>
      <c r="M1103" s="249" t="str">
        <f ca="1">IF(C1103="","",IF($M$11="ROE",[1]!S_STM07_IS(D1103,61,$G$5,$H$13)/[1]!S_STM07_BS(D1103,141,$G$5,$H$13),([1]!S_STM07_BS(D1103,25,$G$5,$H$13)-[1]!S_STM07_BS(D1103,93,$G$5,$H$13))/$E$5))</f>
        <v/>
      </c>
      <c r="N1103" s="250" t="str">
        <f ca="1">IF(C1103="","",IF($N$11="EPS",[1]!S_STM07_IS(D1103,61,$G$5,$H$13)/IF([1]!S_SHARE_TOTAL(D1103,$G$5)=0,[1]!S_SHARE_TOTAL(D1103,[1]!s_ipo_listeddate(D1103)),[1]!S_SHARE_TOTAL(D1103,$G$5)),([1]!S_STM07_BS(D1103,75,$G$5,$H$13)+[1]!S_STM07_BS(D1103,88,$G$5,$H$13)+[1]!S_STM07_BS(D1103,94,$G$5,$H$13)+[1]!S_STM07_BS(D1103,95,$G$5,$H$13))/$E$5))</f>
        <v/>
      </c>
      <c r="O1103" s="250" t="str">
        <f ca="1">IF(C1103="","",IF($O$11="BPS",[1]!S_STM07_BS(D1103,141,$G$5,$H$13)/IF([1]!S_SHARE_TOTAL(D1103,$G$5)=0,[1]!S_SHARE_TOTAL(D1103,[1]!s_ipo_listeddate(D1103)),[1]!S_SHARE_TOTAL(D1103,$G$5)),[1]!S_STM07_CS(D1103,49,$G$5,$H$13)/$E$5))</f>
        <v/>
      </c>
      <c r="P1103" s="250" t="str">
        <f ca="1">IF(C1103="","",IF($P$11="CFPS",[1]!S_STM07_CS(D1103,84,$G$5,$H$13)/IF([1]!S_SHARE_TOTAL(D1103,$G$5)=0,[1]!S_SHARE_TOTAL(D1103,[1]!s_ipo_listeddate(D1103)),[1]!S_SHARE_TOTAL(D1103,$G$5)),[1]!S_STM07_CS(D1103,84,$G$5,$H$13)/$E$5))</f>
        <v/>
      </c>
      <c r="Q1103" s="198" t="str">
        <f ca="1">IF(C1103="","",F1103/([1]!S_STM07_IS(D1103,61,$G$5,$H$13)/IF([1]!S_SHARE_TOTAL(D1103,$G$5)=0,[1]!S_SHARE_TOTAL(D1103,[1]!s_ipo_listeddate(D1103)),[1]!S_SHARE_TOTAL(D1103,$G$5))))</f>
        <v/>
      </c>
      <c r="R1103" s="198" t="str">
        <f ca="1">IF(C1103="","",F1103/([1]!S_STM07_BS(D1103,141,$G$5,$H$13)/IF([1]!S_SHARE_TOTAL(D1103,$G$5)=0,[1]!S_SHARE_TOTAL(D1103,[1]!s_ipo_listeddate(D1103)),[1]!S_SHARE_TOTAL(D1103,$G$5))))</f>
        <v/>
      </c>
      <c r="S1103" s="249" t="str">
        <f ca="1">IF(C1103="","",[1]!S_SHARE_TOTAL(D1103,TODAY())/$E$5)</f>
        <v/>
      </c>
      <c r="T1103" s="249" t="str">
        <f t="shared" ca="1" si="109"/>
        <v/>
      </c>
      <c r="U1103" s="172" t="str">
        <f t="shared" ca="1" si="110"/>
        <v/>
      </c>
      <c r="V1103" s="343" t="str">
        <f t="shared" ca="1" si="111"/>
        <v/>
      </c>
      <c r="W1103" s="139"/>
      <c r="Y1103" s="1"/>
    </row>
    <row r="1104" spans="3:25" ht="12" customHeight="1">
      <c r="C1104" s="342" t="str">
        <f t="shared" ca="1" si="112"/>
        <v/>
      </c>
      <c r="D1104" s="153" t="str">
        <f t="shared" ca="1" si="107"/>
        <v/>
      </c>
      <c r="E1104" s="153" t="str">
        <f t="shared" ca="1" si="108"/>
        <v/>
      </c>
      <c r="F1104" s="170" t="str">
        <f ca="1">IF(C1104="","",[1]!S_DQ_CLOSE(D1104,TODAY(),1))</f>
        <v/>
      </c>
      <c r="G1104" s="171" t="str">
        <f ca="1">IF(C1104="","",[1]!s_pq_pctchange(D1104,TODAY()-$G$12,TODAY())/100)</f>
        <v/>
      </c>
      <c r="H1104" s="247" t="str">
        <f ca="1">IF(C1104="","",IF($H$11="收入",[1]!S_STM07_IS(D1104,9,$G$5,$H$13)/$E$5,[1]!S_STM07_IS(D1104,48,$G$5,$H$13)/$E$5))</f>
        <v/>
      </c>
      <c r="I1104" s="247" t="str">
        <f ca="1">IF(C1104="","",IF($I$11="毛利率",([1]!S_STM07_IS(D1104,9,$G$5,$H$13)-[1]!S_STM07_IS(D1104,10,$G$5,$H$13))/[1]!S_STM07_IS(D1104,9,$G$5,$H$13),[1]!S_STM07_IS(D1104,14,$G$5,$H$13)/$E$5))</f>
        <v/>
      </c>
      <c r="J1104" s="247" t="str">
        <f ca="1">IF(C1104="","",IF($J$11="营业利润率",[1]!S_STM07_IS(D1104,48,$G$5,$H$13)/[1]!S_STM07_IS(D1104,9,$G$5,$H$13),([1]!S_STM07_CS(D1104,87,$G$5,$H$13)+[1]!S_STM07_CS(D1104,88,$G$5,$H$13)+[1]!S_STM07_CS(D1104,89,$G$5,$H$13))/$E$5))</f>
        <v/>
      </c>
      <c r="K1104" s="247" t="str">
        <f ca="1">IF(C1104="","",IF($K$11="净利润率",[1]!S_STM07_IS(D1104,61,$G$5,$H$13)/[1]!S_STM07_IS(D1104,9,$G$5,$H$13),[1]!S_STM07_IS(D1104,55,$G$5,$H$13)/$E$5))</f>
        <v/>
      </c>
      <c r="L1104" s="247" t="str">
        <f ca="1">IF(C1104="","",IF($L$11="ROA",[1]!S_STM07_IS(D1104,61,$G$5,$H$13)/[1]!S_STM07_BS(D1104,74,$G$5,$H$13),1-[1]!S_STM07_IS(D1104,61,$G$5,$H$13)/[1]!S_STM07_IS(D1104,55,$G$5,$H$13)))</f>
        <v/>
      </c>
      <c r="M1104" s="247" t="str">
        <f ca="1">IF(C1104="","",IF($M$11="ROE",[1]!S_STM07_IS(D1104,61,$G$5,$H$13)/[1]!S_STM07_BS(D1104,141,$G$5,$H$13),([1]!S_STM07_BS(D1104,25,$G$5,$H$13)-[1]!S_STM07_BS(D1104,93,$G$5,$H$13))/$E$5))</f>
        <v/>
      </c>
      <c r="N1104" s="247" t="str">
        <f ca="1">IF(C1104="","",IF($N$11="EPS",[1]!S_STM07_IS(D1104,61,$G$5,$H$13)/IF([1]!S_SHARE_TOTAL(D1104,$G$5)=0,[1]!S_SHARE_TOTAL(D1104,[1]!s_ipo_listeddate(D1104)),[1]!S_SHARE_TOTAL(D1104,$G$5)),([1]!S_STM07_BS(D1104,75,$G$5,$H$13)+[1]!S_STM07_BS(D1104,88,$G$5,$H$13)+[1]!S_STM07_BS(D1104,94,$G$5,$H$13)+[1]!S_STM07_BS(D1104,95,$G$5,$H$13))/$E$5))</f>
        <v/>
      </c>
      <c r="O1104" s="247" t="str">
        <f ca="1">IF(C1104="","",IF($O$11="BPS",[1]!S_STM07_BS(D1104,141,$G$5,$H$13)/IF([1]!S_SHARE_TOTAL(D1104,$G$5)=0,[1]!S_SHARE_TOTAL(D1104,[1]!s_ipo_listeddate(D1104)),[1]!S_SHARE_TOTAL(D1104,$G$5)),[1]!S_STM07_CS(D1104,49,$G$5,$H$13)/$E$5))</f>
        <v/>
      </c>
      <c r="P1104" s="247" t="str">
        <f ca="1">IF(C1104="","",IF($P$11="CFPS",[1]!S_STM07_CS(D1104,84,$G$5,$H$13)/IF([1]!S_SHARE_TOTAL(D1104,$G$5)=0,[1]!S_SHARE_TOTAL(D1104,[1]!s_ipo_listeddate(D1104)),[1]!S_SHARE_TOTAL(D1104,$G$5)),[1]!S_STM07_CS(D1104,84,$G$5,$H$13)/$E$5))</f>
        <v/>
      </c>
      <c r="Q1104" s="248" t="str">
        <f ca="1">IF(C1104="","",F1104/([1]!S_STM07_IS(D1104,61,$G$5,$H$13)/IF([1]!S_SHARE_TOTAL(D1104,$G$5)=0,[1]!S_SHARE_TOTAL(D1104,[1]!s_ipo_listeddate(D1104)),[1]!S_SHARE_TOTAL(D1104,$G$5))))</f>
        <v/>
      </c>
      <c r="R1104" s="248" t="str">
        <f ca="1">IF(C1104="","",F1104/([1]!S_STM07_BS(D1104,141,$G$5,$H$13)/IF([1]!S_SHARE_TOTAL(D1104,$G$5)=0,[1]!S_SHARE_TOTAL(D1104,[1]!s_ipo_listeddate(D1104)),[1]!S_SHARE_TOTAL(D1104,$G$5))))</f>
        <v/>
      </c>
      <c r="S1104" s="247" t="str">
        <f ca="1">IF(C1104="","",[1]!S_SHARE_TOTAL(D1104,TODAY())/$E$5)</f>
        <v/>
      </c>
      <c r="T1104" s="247" t="str">
        <f t="shared" ca="1" si="109"/>
        <v/>
      </c>
      <c r="U1104" s="218" t="str">
        <f t="shared" ca="1" si="110"/>
        <v/>
      </c>
      <c r="V1104" s="342" t="str">
        <f t="shared" ca="1" si="111"/>
        <v/>
      </c>
      <c r="W1104" s="139"/>
      <c r="Y1104" s="1"/>
    </row>
    <row r="1105" spans="3:25" ht="12" customHeight="1">
      <c r="C1105" s="343" t="str">
        <f t="shared" ca="1" si="112"/>
        <v/>
      </c>
      <c r="D1105" s="124" t="str">
        <f t="shared" ca="1" si="107"/>
        <v/>
      </c>
      <c r="E1105" s="124" t="str">
        <f t="shared" ca="1" si="108"/>
        <v/>
      </c>
      <c r="F1105" s="172" t="str">
        <f ca="1">IF(C1105="","",[1]!S_DQ_CLOSE(D1105,TODAY(),1))</f>
        <v/>
      </c>
      <c r="G1105" s="173" t="str">
        <f ca="1">IF(C1105="","",[1]!s_pq_pctchange(D1105,TODAY()-$G$12,TODAY())/100)</f>
        <v/>
      </c>
      <c r="H1105" s="249" t="str">
        <f ca="1">IF(C1105="","",IF($H$11="收入",[1]!S_STM07_IS(D1105,9,$G$5,$H$13)/$E$5,[1]!S_STM07_IS(D1105,48,$G$5,$H$13)/$E$5))</f>
        <v/>
      </c>
      <c r="I1105" s="249" t="str">
        <f ca="1">IF(C1105="","",IF($I$11="毛利率",([1]!S_STM07_IS(D1105,9,$G$5,$H$13)-[1]!S_STM07_IS(D1105,10,$G$5,$H$13))/[1]!S_STM07_IS(D1105,9,$G$5,$H$13),[1]!S_STM07_IS(D1105,14,$G$5,$H$13)/$E$5))</f>
        <v/>
      </c>
      <c r="J1105" s="249" t="str">
        <f ca="1">IF(C1105="","",IF($J$11="营业利润率",[1]!S_STM07_IS(D1105,48,$G$5,$H$13)/[1]!S_STM07_IS(D1105,9,$G$5,$H$13),([1]!S_STM07_CS(D1105,87,$G$5,$H$13)+[1]!S_STM07_CS(D1105,88,$G$5,$H$13)+[1]!S_STM07_CS(D1105,89,$G$5,$H$13))/$E$5))</f>
        <v/>
      </c>
      <c r="K1105" s="249" t="str">
        <f ca="1">IF(C1105="","",IF($K$11="净利润率",[1]!S_STM07_IS(D1105,61,$G$5,$H$13)/[1]!S_STM07_IS(D1105,9,$G$5,$H$13),[1]!S_STM07_IS(D1105,55,$G$5,$H$13)/$E$5))</f>
        <v/>
      </c>
      <c r="L1105" s="249" t="str">
        <f ca="1">IF(C1105="","",IF($L$11="ROA",[1]!S_STM07_IS(D1105,61,$G$5,$H$13)/[1]!S_STM07_BS(D1105,74,$G$5,$H$13),1-[1]!S_STM07_IS(D1105,61,$G$5,$H$13)/[1]!S_STM07_IS(D1105,55,$G$5,$H$13)))</f>
        <v/>
      </c>
      <c r="M1105" s="249" t="str">
        <f ca="1">IF(C1105="","",IF($M$11="ROE",[1]!S_STM07_IS(D1105,61,$G$5,$H$13)/[1]!S_STM07_BS(D1105,141,$G$5,$H$13),([1]!S_STM07_BS(D1105,25,$G$5,$H$13)-[1]!S_STM07_BS(D1105,93,$G$5,$H$13))/$E$5))</f>
        <v/>
      </c>
      <c r="N1105" s="250" t="str">
        <f ca="1">IF(C1105="","",IF($N$11="EPS",[1]!S_STM07_IS(D1105,61,$G$5,$H$13)/IF([1]!S_SHARE_TOTAL(D1105,$G$5)=0,[1]!S_SHARE_TOTAL(D1105,[1]!s_ipo_listeddate(D1105)),[1]!S_SHARE_TOTAL(D1105,$G$5)),([1]!S_STM07_BS(D1105,75,$G$5,$H$13)+[1]!S_STM07_BS(D1105,88,$G$5,$H$13)+[1]!S_STM07_BS(D1105,94,$G$5,$H$13)+[1]!S_STM07_BS(D1105,95,$G$5,$H$13))/$E$5))</f>
        <v/>
      </c>
      <c r="O1105" s="250" t="str">
        <f ca="1">IF(C1105="","",IF($O$11="BPS",[1]!S_STM07_BS(D1105,141,$G$5,$H$13)/IF([1]!S_SHARE_TOTAL(D1105,$G$5)=0,[1]!S_SHARE_TOTAL(D1105,[1]!s_ipo_listeddate(D1105)),[1]!S_SHARE_TOTAL(D1105,$G$5)),[1]!S_STM07_CS(D1105,49,$G$5,$H$13)/$E$5))</f>
        <v/>
      </c>
      <c r="P1105" s="250" t="str">
        <f ca="1">IF(C1105="","",IF($P$11="CFPS",[1]!S_STM07_CS(D1105,84,$G$5,$H$13)/IF([1]!S_SHARE_TOTAL(D1105,$G$5)=0,[1]!S_SHARE_TOTAL(D1105,[1]!s_ipo_listeddate(D1105)),[1]!S_SHARE_TOTAL(D1105,$G$5)),[1]!S_STM07_CS(D1105,84,$G$5,$H$13)/$E$5))</f>
        <v/>
      </c>
      <c r="Q1105" s="198" t="str">
        <f ca="1">IF(C1105="","",F1105/([1]!S_STM07_IS(D1105,61,$G$5,$H$13)/IF([1]!S_SHARE_TOTAL(D1105,$G$5)=0,[1]!S_SHARE_TOTAL(D1105,[1]!s_ipo_listeddate(D1105)),[1]!S_SHARE_TOTAL(D1105,$G$5))))</f>
        <v/>
      </c>
      <c r="R1105" s="198" t="str">
        <f ca="1">IF(C1105="","",F1105/([1]!S_STM07_BS(D1105,141,$G$5,$H$13)/IF([1]!S_SHARE_TOTAL(D1105,$G$5)=0,[1]!S_SHARE_TOTAL(D1105,[1]!s_ipo_listeddate(D1105)),[1]!S_SHARE_TOTAL(D1105,$G$5))))</f>
        <v/>
      </c>
      <c r="S1105" s="249" t="str">
        <f ca="1">IF(C1105="","",[1]!S_SHARE_TOTAL(D1105,TODAY())/$E$5)</f>
        <v/>
      </c>
      <c r="T1105" s="249" t="str">
        <f t="shared" ca="1" si="109"/>
        <v/>
      </c>
      <c r="U1105" s="172" t="str">
        <f t="shared" ca="1" si="110"/>
        <v/>
      </c>
      <c r="V1105" s="343" t="str">
        <f t="shared" ca="1" si="111"/>
        <v/>
      </c>
      <c r="W1105" s="139"/>
      <c r="Y1105" s="1"/>
    </row>
    <row r="1106" spans="3:25" ht="12" customHeight="1">
      <c r="C1106" s="342" t="str">
        <f t="shared" ca="1" si="112"/>
        <v/>
      </c>
      <c r="D1106" s="153" t="str">
        <f t="shared" ca="1" si="107"/>
        <v/>
      </c>
      <c r="E1106" s="153" t="str">
        <f t="shared" ca="1" si="108"/>
        <v/>
      </c>
      <c r="F1106" s="170" t="str">
        <f ca="1">IF(C1106="","",[1]!S_DQ_CLOSE(D1106,TODAY(),1))</f>
        <v/>
      </c>
      <c r="G1106" s="171" t="str">
        <f ca="1">IF(C1106="","",[1]!s_pq_pctchange(D1106,TODAY()-$G$12,TODAY())/100)</f>
        <v/>
      </c>
      <c r="H1106" s="247" t="str">
        <f ca="1">IF(C1106="","",IF($H$11="收入",[1]!S_STM07_IS(D1106,9,$G$5,$H$13)/$E$5,[1]!S_STM07_IS(D1106,48,$G$5,$H$13)/$E$5))</f>
        <v/>
      </c>
      <c r="I1106" s="247" t="str">
        <f ca="1">IF(C1106="","",IF($I$11="毛利率",([1]!S_STM07_IS(D1106,9,$G$5,$H$13)-[1]!S_STM07_IS(D1106,10,$G$5,$H$13))/[1]!S_STM07_IS(D1106,9,$G$5,$H$13),[1]!S_STM07_IS(D1106,14,$G$5,$H$13)/$E$5))</f>
        <v/>
      </c>
      <c r="J1106" s="247" t="str">
        <f ca="1">IF(C1106="","",IF($J$11="营业利润率",[1]!S_STM07_IS(D1106,48,$G$5,$H$13)/[1]!S_STM07_IS(D1106,9,$G$5,$H$13),([1]!S_STM07_CS(D1106,87,$G$5,$H$13)+[1]!S_STM07_CS(D1106,88,$G$5,$H$13)+[1]!S_STM07_CS(D1106,89,$G$5,$H$13))/$E$5))</f>
        <v/>
      </c>
      <c r="K1106" s="247" t="str">
        <f ca="1">IF(C1106="","",IF($K$11="净利润率",[1]!S_STM07_IS(D1106,61,$G$5,$H$13)/[1]!S_STM07_IS(D1106,9,$G$5,$H$13),[1]!S_STM07_IS(D1106,55,$G$5,$H$13)/$E$5))</f>
        <v/>
      </c>
      <c r="L1106" s="247" t="str">
        <f ca="1">IF(C1106="","",IF($L$11="ROA",[1]!S_STM07_IS(D1106,61,$G$5,$H$13)/[1]!S_STM07_BS(D1106,74,$G$5,$H$13),1-[1]!S_STM07_IS(D1106,61,$G$5,$H$13)/[1]!S_STM07_IS(D1106,55,$G$5,$H$13)))</f>
        <v/>
      </c>
      <c r="M1106" s="247" t="str">
        <f ca="1">IF(C1106="","",IF($M$11="ROE",[1]!S_STM07_IS(D1106,61,$G$5,$H$13)/[1]!S_STM07_BS(D1106,141,$G$5,$H$13),([1]!S_STM07_BS(D1106,25,$G$5,$H$13)-[1]!S_STM07_BS(D1106,93,$G$5,$H$13))/$E$5))</f>
        <v/>
      </c>
      <c r="N1106" s="247" t="str">
        <f ca="1">IF(C1106="","",IF($N$11="EPS",[1]!S_STM07_IS(D1106,61,$G$5,$H$13)/IF([1]!S_SHARE_TOTAL(D1106,$G$5)=0,[1]!S_SHARE_TOTAL(D1106,[1]!s_ipo_listeddate(D1106)),[1]!S_SHARE_TOTAL(D1106,$G$5)),([1]!S_STM07_BS(D1106,75,$G$5,$H$13)+[1]!S_STM07_BS(D1106,88,$G$5,$H$13)+[1]!S_STM07_BS(D1106,94,$G$5,$H$13)+[1]!S_STM07_BS(D1106,95,$G$5,$H$13))/$E$5))</f>
        <v/>
      </c>
      <c r="O1106" s="247" t="str">
        <f ca="1">IF(C1106="","",IF($O$11="BPS",[1]!S_STM07_BS(D1106,141,$G$5,$H$13)/IF([1]!S_SHARE_TOTAL(D1106,$G$5)=0,[1]!S_SHARE_TOTAL(D1106,[1]!s_ipo_listeddate(D1106)),[1]!S_SHARE_TOTAL(D1106,$G$5)),[1]!S_STM07_CS(D1106,49,$G$5,$H$13)/$E$5))</f>
        <v/>
      </c>
      <c r="P1106" s="247" t="str">
        <f ca="1">IF(C1106="","",IF($P$11="CFPS",[1]!S_STM07_CS(D1106,84,$G$5,$H$13)/IF([1]!S_SHARE_TOTAL(D1106,$G$5)=0,[1]!S_SHARE_TOTAL(D1106,[1]!s_ipo_listeddate(D1106)),[1]!S_SHARE_TOTAL(D1106,$G$5)),[1]!S_STM07_CS(D1106,84,$G$5,$H$13)/$E$5))</f>
        <v/>
      </c>
      <c r="Q1106" s="248" t="str">
        <f ca="1">IF(C1106="","",F1106/([1]!S_STM07_IS(D1106,61,$G$5,$H$13)/IF([1]!S_SHARE_TOTAL(D1106,$G$5)=0,[1]!S_SHARE_TOTAL(D1106,[1]!s_ipo_listeddate(D1106)),[1]!S_SHARE_TOTAL(D1106,$G$5))))</f>
        <v/>
      </c>
      <c r="R1106" s="248" t="str">
        <f ca="1">IF(C1106="","",F1106/([1]!S_STM07_BS(D1106,141,$G$5,$H$13)/IF([1]!S_SHARE_TOTAL(D1106,$G$5)=0,[1]!S_SHARE_TOTAL(D1106,[1]!s_ipo_listeddate(D1106)),[1]!S_SHARE_TOTAL(D1106,$G$5))))</f>
        <v/>
      </c>
      <c r="S1106" s="247" t="str">
        <f ca="1">IF(C1106="","",[1]!S_SHARE_TOTAL(D1106,TODAY())/$E$5)</f>
        <v/>
      </c>
      <c r="T1106" s="247" t="str">
        <f t="shared" ca="1" si="109"/>
        <v/>
      </c>
      <c r="U1106" s="218" t="str">
        <f t="shared" ca="1" si="110"/>
        <v/>
      </c>
      <c r="V1106" s="342" t="str">
        <f t="shared" ca="1" si="111"/>
        <v/>
      </c>
      <c r="W1106" s="139"/>
      <c r="Y1106" s="1"/>
    </row>
    <row r="1107" spans="3:25" ht="12" customHeight="1">
      <c r="C1107" s="343" t="str">
        <f t="shared" ca="1" si="112"/>
        <v/>
      </c>
      <c r="D1107" s="124" t="str">
        <f t="shared" ca="1" si="107"/>
        <v/>
      </c>
      <c r="E1107" s="124" t="str">
        <f t="shared" ca="1" si="108"/>
        <v/>
      </c>
      <c r="F1107" s="172" t="str">
        <f ca="1">IF(C1107="","",[1]!S_DQ_CLOSE(D1107,TODAY(),1))</f>
        <v/>
      </c>
      <c r="G1107" s="173" t="str">
        <f ca="1">IF(C1107="","",[1]!s_pq_pctchange(D1107,TODAY()-$G$12,TODAY())/100)</f>
        <v/>
      </c>
      <c r="H1107" s="249" t="str">
        <f ca="1">IF(C1107="","",IF($H$11="收入",[1]!S_STM07_IS(D1107,9,$G$5,$H$13)/$E$5,[1]!S_STM07_IS(D1107,48,$G$5,$H$13)/$E$5))</f>
        <v/>
      </c>
      <c r="I1107" s="249" t="str">
        <f ca="1">IF(C1107="","",IF($I$11="毛利率",([1]!S_STM07_IS(D1107,9,$G$5,$H$13)-[1]!S_STM07_IS(D1107,10,$G$5,$H$13))/[1]!S_STM07_IS(D1107,9,$G$5,$H$13),[1]!S_STM07_IS(D1107,14,$G$5,$H$13)/$E$5))</f>
        <v/>
      </c>
      <c r="J1107" s="249" t="str">
        <f ca="1">IF(C1107="","",IF($J$11="营业利润率",[1]!S_STM07_IS(D1107,48,$G$5,$H$13)/[1]!S_STM07_IS(D1107,9,$G$5,$H$13),([1]!S_STM07_CS(D1107,87,$G$5,$H$13)+[1]!S_STM07_CS(D1107,88,$G$5,$H$13)+[1]!S_STM07_CS(D1107,89,$G$5,$H$13))/$E$5))</f>
        <v/>
      </c>
      <c r="K1107" s="249" t="str">
        <f ca="1">IF(C1107="","",IF($K$11="净利润率",[1]!S_STM07_IS(D1107,61,$G$5,$H$13)/[1]!S_STM07_IS(D1107,9,$G$5,$H$13),[1]!S_STM07_IS(D1107,55,$G$5,$H$13)/$E$5))</f>
        <v/>
      </c>
      <c r="L1107" s="249" t="str">
        <f ca="1">IF(C1107="","",IF($L$11="ROA",[1]!S_STM07_IS(D1107,61,$G$5,$H$13)/[1]!S_STM07_BS(D1107,74,$G$5,$H$13),1-[1]!S_STM07_IS(D1107,61,$G$5,$H$13)/[1]!S_STM07_IS(D1107,55,$G$5,$H$13)))</f>
        <v/>
      </c>
      <c r="M1107" s="249" t="str">
        <f ca="1">IF(C1107="","",IF($M$11="ROE",[1]!S_STM07_IS(D1107,61,$G$5,$H$13)/[1]!S_STM07_BS(D1107,141,$G$5,$H$13),([1]!S_STM07_BS(D1107,25,$G$5,$H$13)-[1]!S_STM07_BS(D1107,93,$G$5,$H$13))/$E$5))</f>
        <v/>
      </c>
      <c r="N1107" s="250" t="str">
        <f ca="1">IF(C1107="","",IF($N$11="EPS",[1]!S_STM07_IS(D1107,61,$G$5,$H$13)/IF([1]!S_SHARE_TOTAL(D1107,$G$5)=0,[1]!S_SHARE_TOTAL(D1107,[1]!s_ipo_listeddate(D1107)),[1]!S_SHARE_TOTAL(D1107,$G$5)),([1]!S_STM07_BS(D1107,75,$G$5,$H$13)+[1]!S_STM07_BS(D1107,88,$G$5,$H$13)+[1]!S_STM07_BS(D1107,94,$G$5,$H$13)+[1]!S_STM07_BS(D1107,95,$G$5,$H$13))/$E$5))</f>
        <v/>
      </c>
      <c r="O1107" s="250" t="str">
        <f ca="1">IF(C1107="","",IF($O$11="BPS",[1]!S_STM07_BS(D1107,141,$G$5,$H$13)/IF([1]!S_SHARE_TOTAL(D1107,$G$5)=0,[1]!S_SHARE_TOTAL(D1107,[1]!s_ipo_listeddate(D1107)),[1]!S_SHARE_TOTAL(D1107,$G$5)),[1]!S_STM07_CS(D1107,49,$G$5,$H$13)/$E$5))</f>
        <v/>
      </c>
      <c r="P1107" s="250" t="str">
        <f ca="1">IF(C1107="","",IF($P$11="CFPS",[1]!S_STM07_CS(D1107,84,$G$5,$H$13)/IF([1]!S_SHARE_TOTAL(D1107,$G$5)=0,[1]!S_SHARE_TOTAL(D1107,[1]!s_ipo_listeddate(D1107)),[1]!S_SHARE_TOTAL(D1107,$G$5)),[1]!S_STM07_CS(D1107,84,$G$5,$H$13)/$E$5))</f>
        <v/>
      </c>
      <c r="Q1107" s="198" t="str">
        <f ca="1">IF(C1107="","",F1107/([1]!S_STM07_IS(D1107,61,$G$5,$H$13)/IF([1]!S_SHARE_TOTAL(D1107,$G$5)=0,[1]!S_SHARE_TOTAL(D1107,[1]!s_ipo_listeddate(D1107)),[1]!S_SHARE_TOTAL(D1107,$G$5))))</f>
        <v/>
      </c>
      <c r="R1107" s="198" t="str">
        <f ca="1">IF(C1107="","",F1107/([1]!S_STM07_BS(D1107,141,$G$5,$H$13)/IF([1]!S_SHARE_TOTAL(D1107,$G$5)=0,[1]!S_SHARE_TOTAL(D1107,[1]!s_ipo_listeddate(D1107)),[1]!S_SHARE_TOTAL(D1107,$G$5))))</f>
        <v/>
      </c>
      <c r="S1107" s="249" t="str">
        <f ca="1">IF(C1107="","",[1]!S_SHARE_TOTAL(D1107,TODAY())/$E$5)</f>
        <v/>
      </c>
      <c r="T1107" s="249" t="str">
        <f t="shared" ca="1" si="109"/>
        <v/>
      </c>
      <c r="U1107" s="172" t="str">
        <f t="shared" ca="1" si="110"/>
        <v/>
      </c>
      <c r="V1107" s="343" t="str">
        <f t="shared" ca="1" si="111"/>
        <v/>
      </c>
      <c r="W1107" s="139"/>
      <c r="Y1107" s="1"/>
    </row>
    <row r="1108" spans="3:25" ht="12" customHeight="1">
      <c r="C1108" s="342" t="str">
        <f t="shared" ca="1" si="112"/>
        <v/>
      </c>
      <c r="D1108" s="153" t="str">
        <f t="shared" ca="1" si="107"/>
        <v/>
      </c>
      <c r="E1108" s="153" t="str">
        <f t="shared" ca="1" si="108"/>
        <v/>
      </c>
      <c r="F1108" s="170" t="str">
        <f ca="1">IF(C1108="","",[1]!S_DQ_CLOSE(D1108,TODAY(),1))</f>
        <v/>
      </c>
      <c r="G1108" s="171" t="str">
        <f ca="1">IF(C1108="","",[1]!s_pq_pctchange(D1108,TODAY()-$G$12,TODAY())/100)</f>
        <v/>
      </c>
      <c r="H1108" s="247" t="str">
        <f ca="1">IF(C1108="","",IF($H$11="收入",[1]!S_STM07_IS(D1108,9,$G$5,$H$13)/$E$5,[1]!S_STM07_IS(D1108,48,$G$5,$H$13)/$E$5))</f>
        <v/>
      </c>
      <c r="I1108" s="247" t="str">
        <f ca="1">IF(C1108="","",IF($I$11="毛利率",([1]!S_STM07_IS(D1108,9,$G$5,$H$13)-[1]!S_STM07_IS(D1108,10,$G$5,$H$13))/[1]!S_STM07_IS(D1108,9,$G$5,$H$13),[1]!S_STM07_IS(D1108,14,$G$5,$H$13)/$E$5))</f>
        <v/>
      </c>
      <c r="J1108" s="247" t="str">
        <f ca="1">IF(C1108="","",IF($J$11="营业利润率",[1]!S_STM07_IS(D1108,48,$G$5,$H$13)/[1]!S_STM07_IS(D1108,9,$G$5,$H$13),([1]!S_STM07_CS(D1108,87,$G$5,$H$13)+[1]!S_STM07_CS(D1108,88,$G$5,$H$13)+[1]!S_STM07_CS(D1108,89,$G$5,$H$13))/$E$5))</f>
        <v/>
      </c>
      <c r="K1108" s="247" t="str">
        <f ca="1">IF(C1108="","",IF($K$11="净利润率",[1]!S_STM07_IS(D1108,61,$G$5,$H$13)/[1]!S_STM07_IS(D1108,9,$G$5,$H$13),[1]!S_STM07_IS(D1108,55,$G$5,$H$13)/$E$5))</f>
        <v/>
      </c>
      <c r="L1108" s="247" t="str">
        <f ca="1">IF(C1108="","",IF($L$11="ROA",[1]!S_STM07_IS(D1108,61,$G$5,$H$13)/[1]!S_STM07_BS(D1108,74,$G$5,$H$13),1-[1]!S_STM07_IS(D1108,61,$G$5,$H$13)/[1]!S_STM07_IS(D1108,55,$G$5,$H$13)))</f>
        <v/>
      </c>
      <c r="M1108" s="247" t="str">
        <f ca="1">IF(C1108="","",IF($M$11="ROE",[1]!S_STM07_IS(D1108,61,$G$5,$H$13)/[1]!S_STM07_BS(D1108,141,$G$5,$H$13),([1]!S_STM07_BS(D1108,25,$G$5,$H$13)-[1]!S_STM07_BS(D1108,93,$G$5,$H$13))/$E$5))</f>
        <v/>
      </c>
      <c r="N1108" s="247" t="str">
        <f ca="1">IF(C1108="","",IF($N$11="EPS",[1]!S_STM07_IS(D1108,61,$G$5,$H$13)/IF([1]!S_SHARE_TOTAL(D1108,$G$5)=0,[1]!S_SHARE_TOTAL(D1108,[1]!s_ipo_listeddate(D1108)),[1]!S_SHARE_TOTAL(D1108,$G$5)),([1]!S_STM07_BS(D1108,75,$G$5,$H$13)+[1]!S_STM07_BS(D1108,88,$G$5,$H$13)+[1]!S_STM07_BS(D1108,94,$G$5,$H$13)+[1]!S_STM07_BS(D1108,95,$G$5,$H$13))/$E$5))</f>
        <v/>
      </c>
      <c r="O1108" s="247" t="str">
        <f ca="1">IF(C1108="","",IF($O$11="BPS",[1]!S_STM07_BS(D1108,141,$G$5,$H$13)/IF([1]!S_SHARE_TOTAL(D1108,$G$5)=0,[1]!S_SHARE_TOTAL(D1108,[1]!s_ipo_listeddate(D1108)),[1]!S_SHARE_TOTAL(D1108,$G$5)),[1]!S_STM07_CS(D1108,49,$G$5,$H$13)/$E$5))</f>
        <v/>
      </c>
      <c r="P1108" s="247" t="str">
        <f ca="1">IF(C1108="","",IF($P$11="CFPS",[1]!S_STM07_CS(D1108,84,$G$5,$H$13)/IF([1]!S_SHARE_TOTAL(D1108,$G$5)=0,[1]!S_SHARE_TOTAL(D1108,[1]!s_ipo_listeddate(D1108)),[1]!S_SHARE_TOTAL(D1108,$G$5)),[1]!S_STM07_CS(D1108,84,$G$5,$H$13)/$E$5))</f>
        <v/>
      </c>
      <c r="Q1108" s="248" t="str">
        <f ca="1">IF(C1108="","",F1108/([1]!S_STM07_IS(D1108,61,$G$5,$H$13)/IF([1]!S_SHARE_TOTAL(D1108,$G$5)=0,[1]!S_SHARE_TOTAL(D1108,[1]!s_ipo_listeddate(D1108)),[1]!S_SHARE_TOTAL(D1108,$G$5))))</f>
        <v/>
      </c>
      <c r="R1108" s="248" t="str">
        <f ca="1">IF(C1108="","",F1108/([1]!S_STM07_BS(D1108,141,$G$5,$H$13)/IF([1]!S_SHARE_TOTAL(D1108,$G$5)=0,[1]!S_SHARE_TOTAL(D1108,[1]!s_ipo_listeddate(D1108)),[1]!S_SHARE_TOTAL(D1108,$G$5))))</f>
        <v/>
      </c>
      <c r="S1108" s="247" t="str">
        <f ca="1">IF(C1108="","",[1]!S_SHARE_TOTAL(D1108,TODAY())/$E$5)</f>
        <v/>
      </c>
      <c r="T1108" s="247" t="str">
        <f t="shared" ca="1" si="109"/>
        <v/>
      </c>
      <c r="U1108" s="218" t="str">
        <f t="shared" ca="1" si="110"/>
        <v/>
      </c>
      <c r="V1108" s="342" t="str">
        <f t="shared" ca="1" si="111"/>
        <v/>
      </c>
      <c r="W1108" s="139"/>
      <c r="Y1108" s="1"/>
    </row>
    <row r="1109" spans="3:25" ht="12" customHeight="1">
      <c r="C1109" s="343" t="str">
        <f t="shared" ca="1" si="112"/>
        <v/>
      </c>
      <c r="D1109" s="124" t="str">
        <f t="shared" ca="1" si="107"/>
        <v/>
      </c>
      <c r="E1109" s="124" t="str">
        <f t="shared" ca="1" si="108"/>
        <v/>
      </c>
      <c r="F1109" s="172" t="str">
        <f ca="1">IF(C1109="","",[1]!S_DQ_CLOSE(D1109,TODAY(),1))</f>
        <v/>
      </c>
      <c r="G1109" s="173" t="str">
        <f ca="1">IF(C1109="","",[1]!s_pq_pctchange(D1109,TODAY()-$G$12,TODAY())/100)</f>
        <v/>
      </c>
      <c r="H1109" s="249" t="str">
        <f ca="1">IF(C1109="","",IF($H$11="收入",[1]!S_STM07_IS(D1109,9,$G$5,$H$13)/$E$5,[1]!S_STM07_IS(D1109,48,$G$5,$H$13)/$E$5))</f>
        <v/>
      </c>
      <c r="I1109" s="249" t="str">
        <f ca="1">IF(C1109="","",IF($I$11="毛利率",([1]!S_STM07_IS(D1109,9,$G$5,$H$13)-[1]!S_STM07_IS(D1109,10,$G$5,$H$13))/[1]!S_STM07_IS(D1109,9,$G$5,$H$13),[1]!S_STM07_IS(D1109,14,$G$5,$H$13)/$E$5))</f>
        <v/>
      </c>
      <c r="J1109" s="249" t="str">
        <f ca="1">IF(C1109="","",IF($J$11="营业利润率",[1]!S_STM07_IS(D1109,48,$G$5,$H$13)/[1]!S_STM07_IS(D1109,9,$G$5,$H$13),([1]!S_STM07_CS(D1109,87,$G$5,$H$13)+[1]!S_STM07_CS(D1109,88,$G$5,$H$13)+[1]!S_STM07_CS(D1109,89,$G$5,$H$13))/$E$5))</f>
        <v/>
      </c>
      <c r="K1109" s="249" t="str">
        <f ca="1">IF(C1109="","",IF($K$11="净利润率",[1]!S_STM07_IS(D1109,61,$G$5,$H$13)/[1]!S_STM07_IS(D1109,9,$G$5,$H$13),[1]!S_STM07_IS(D1109,55,$G$5,$H$13)/$E$5))</f>
        <v/>
      </c>
      <c r="L1109" s="249" t="str">
        <f ca="1">IF(C1109="","",IF($L$11="ROA",[1]!S_STM07_IS(D1109,61,$G$5,$H$13)/[1]!S_STM07_BS(D1109,74,$G$5,$H$13),1-[1]!S_STM07_IS(D1109,61,$G$5,$H$13)/[1]!S_STM07_IS(D1109,55,$G$5,$H$13)))</f>
        <v/>
      </c>
      <c r="M1109" s="249" t="str">
        <f ca="1">IF(C1109="","",IF($M$11="ROE",[1]!S_STM07_IS(D1109,61,$G$5,$H$13)/[1]!S_STM07_BS(D1109,141,$G$5,$H$13),([1]!S_STM07_BS(D1109,25,$G$5,$H$13)-[1]!S_STM07_BS(D1109,93,$G$5,$H$13))/$E$5))</f>
        <v/>
      </c>
      <c r="N1109" s="250" t="str">
        <f ca="1">IF(C1109="","",IF($N$11="EPS",[1]!S_STM07_IS(D1109,61,$G$5,$H$13)/IF([1]!S_SHARE_TOTAL(D1109,$G$5)=0,[1]!S_SHARE_TOTAL(D1109,[1]!s_ipo_listeddate(D1109)),[1]!S_SHARE_TOTAL(D1109,$G$5)),([1]!S_STM07_BS(D1109,75,$G$5,$H$13)+[1]!S_STM07_BS(D1109,88,$G$5,$H$13)+[1]!S_STM07_BS(D1109,94,$G$5,$H$13)+[1]!S_STM07_BS(D1109,95,$G$5,$H$13))/$E$5))</f>
        <v/>
      </c>
      <c r="O1109" s="250" t="str">
        <f ca="1">IF(C1109="","",IF($O$11="BPS",[1]!S_STM07_BS(D1109,141,$G$5,$H$13)/IF([1]!S_SHARE_TOTAL(D1109,$G$5)=0,[1]!S_SHARE_TOTAL(D1109,[1]!s_ipo_listeddate(D1109)),[1]!S_SHARE_TOTAL(D1109,$G$5)),[1]!S_STM07_CS(D1109,49,$G$5,$H$13)/$E$5))</f>
        <v/>
      </c>
      <c r="P1109" s="250" t="str">
        <f ca="1">IF(C1109="","",IF($P$11="CFPS",[1]!S_STM07_CS(D1109,84,$G$5,$H$13)/IF([1]!S_SHARE_TOTAL(D1109,$G$5)=0,[1]!S_SHARE_TOTAL(D1109,[1]!s_ipo_listeddate(D1109)),[1]!S_SHARE_TOTAL(D1109,$G$5)),[1]!S_STM07_CS(D1109,84,$G$5,$H$13)/$E$5))</f>
        <v/>
      </c>
      <c r="Q1109" s="198" t="str">
        <f ca="1">IF(C1109="","",F1109/([1]!S_STM07_IS(D1109,61,$G$5,$H$13)/IF([1]!S_SHARE_TOTAL(D1109,$G$5)=0,[1]!S_SHARE_TOTAL(D1109,[1]!s_ipo_listeddate(D1109)),[1]!S_SHARE_TOTAL(D1109,$G$5))))</f>
        <v/>
      </c>
      <c r="R1109" s="198" t="str">
        <f ca="1">IF(C1109="","",F1109/([1]!S_STM07_BS(D1109,141,$G$5,$H$13)/IF([1]!S_SHARE_TOTAL(D1109,$G$5)=0,[1]!S_SHARE_TOTAL(D1109,[1]!s_ipo_listeddate(D1109)),[1]!S_SHARE_TOTAL(D1109,$G$5))))</f>
        <v/>
      </c>
      <c r="S1109" s="249" t="str">
        <f ca="1">IF(C1109="","",[1]!S_SHARE_TOTAL(D1109,TODAY())/$E$5)</f>
        <v/>
      </c>
      <c r="T1109" s="249" t="str">
        <f t="shared" ca="1" si="109"/>
        <v/>
      </c>
      <c r="U1109" s="172" t="str">
        <f t="shared" ca="1" si="110"/>
        <v/>
      </c>
      <c r="V1109" s="343" t="str">
        <f t="shared" ca="1" si="111"/>
        <v/>
      </c>
      <c r="W1109" s="139"/>
      <c r="Y1109" s="1"/>
    </row>
    <row r="1110" spans="3:25" ht="12" customHeight="1">
      <c r="C1110" s="342" t="str">
        <f t="shared" ca="1" si="112"/>
        <v/>
      </c>
      <c r="D1110" s="153" t="str">
        <f t="shared" ca="1" si="107"/>
        <v/>
      </c>
      <c r="E1110" s="153" t="str">
        <f t="shared" ca="1" si="108"/>
        <v/>
      </c>
      <c r="F1110" s="170" t="str">
        <f ca="1">IF(C1110="","",[1]!S_DQ_CLOSE(D1110,TODAY(),1))</f>
        <v/>
      </c>
      <c r="G1110" s="171" t="str">
        <f ca="1">IF(C1110="","",[1]!s_pq_pctchange(D1110,TODAY()-$G$12,TODAY())/100)</f>
        <v/>
      </c>
      <c r="H1110" s="247" t="str">
        <f ca="1">IF(C1110="","",IF($H$11="收入",[1]!S_STM07_IS(D1110,9,$G$5,$H$13)/$E$5,[1]!S_STM07_IS(D1110,48,$G$5,$H$13)/$E$5))</f>
        <v/>
      </c>
      <c r="I1110" s="247" t="str">
        <f ca="1">IF(C1110="","",IF($I$11="毛利率",([1]!S_STM07_IS(D1110,9,$G$5,$H$13)-[1]!S_STM07_IS(D1110,10,$G$5,$H$13))/[1]!S_STM07_IS(D1110,9,$G$5,$H$13),[1]!S_STM07_IS(D1110,14,$G$5,$H$13)/$E$5))</f>
        <v/>
      </c>
      <c r="J1110" s="247" t="str">
        <f ca="1">IF(C1110="","",IF($J$11="营业利润率",[1]!S_STM07_IS(D1110,48,$G$5,$H$13)/[1]!S_STM07_IS(D1110,9,$G$5,$H$13),([1]!S_STM07_CS(D1110,87,$G$5,$H$13)+[1]!S_STM07_CS(D1110,88,$G$5,$H$13)+[1]!S_STM07_CS(D1110,89,$G$5,$H$13))/$E$5))</f>
        <v/>
      </c>
      <c r="K1110" s="247" t="str">
        <f ca="1">IF(C1110="","",IF($K$11="净利润率",[1]!S_STM07_IS(D1110,61,$G$5,$H$13)/[1]!S_STM07_IS(D1110,9,$G$5,$H$13),[1]!S_STM07_IS(D1110,55,$G$5,$H$13)/$E$5))</f>
        <v/>
      </c>
      <c r="L1110" s="247" t="str">
        <f ca="1">IF(C1110="","",IF($L$11="ROA",[1]!S_STM07_IS(D1110,61,$G$5,$H$13)/[1]!S_STM07_BS(D1110,74,$G$5,$H$13),1-[1]!S_STM07_IS(D1110,61,$G$5,$H$13)/[1]!S_STM07_IS(D1110,55,$G$5,$H$13)))</f>
        <v/>
      </c>
      <c r="M1110" s="247" t="str">
        <f ca="1">IF(C1110="","",IF($M$11="ROE",[1]!S_STM07_IS(D1110,61,$G$5,$H$13)/[1]!S_STM07_BS(D1110,141,$G$5,$H$13),([1]!S_STM07_BS(D1110,25,$G$5,$H$13)-[1]!S_STM07_BS(D1110,93,$G$5,$H$13))/$E$5))</f>
        <v/>
      </c>
      <c r="N1110" s="247" t="str">
        <f ca="1">IF(C1110="","",IF($N$11="EPS",[1]!S_STM07_IS(D1110,61,$G$5,$H$13)/IF([1]!S_SHARE_TOTAL(D1110,$G$5)=0,[1]!S_SHARE_TOTAL(D1110,[1]!s_ipo_listeddate(D1110)),[1]!S_SHARE_TOTAL(D1110,$G$5)),([1]!S_STM07_BS(D1110,75,$G$5,$H$13)+[1]!S_STM07_BS(D1110,88,$G$5,$H$13)+[1]!S_STM07_BS(D1110,94,$G$5,$H$13)+[1]!S_STM07_BS(D1110,95,$G$5,$H$13))/$E$5))</f>
        <v/>
      </c>
      <c r="O1110" s="247" t="str">
        <f ca="1">IF(C1110="","",IF($O$11="BPS",[1]!S_STM07_BS(D1110,141,$G$5,$H$13)/IF([1]!S_SHARE_TOTAL(D1110,$G$5)=0,[1]!S_SHARE_TOTAL(D1110,[1]!s_ipo_listeddate(D1110)),[1]!S_SHARE_TOTAL(D1110,$G$5)),[1]!S_STM07_CS(D1110,49,$G$5,$H$13)/$E$5))</f>
        <v/>
      </c>
      <c r="P1110" s="247" t="str">
        <f ca="1">IF(C1110="","",IF($P$11="CFPS",[1]!S_STM07_CS(D1110,84,$G$5,$H$13)/IF([1]!S_SHARE_TOTAL(D1110,$G$5)=0,[1]!S_SHARE_TOTAL(D1110,[1]!s_ipo_listeddate(D1110)),[1]!S_SHARE_TOTAL(D1110,$G$5)),[1]!S_STM07_CS(D1110,84,$G$5,$H$13)/$E$5))</f>
        <v/>
      </c>
      <c r="Q1110" s="248" t="str">
        <f ca="1">IF(C1110="","",F1110/([1]!S_STM07_IS(D1110,61,$G$5,$H$13)/IF([1]!S_SHARE_TOTAL(D1110,$G$5)=0,[1]!S_SHARE_TOTAL(D1110,[1]!s_ipo_listeddate(D1110)),[1]!S_SHARE_TOTAL(D1110,$G$5))))</f>
        <v/>
      </c>
      <c r="R1110" s="248" t="str">
        <f ca="1">IF(C1110="","",F1110/([1]!S_STM07_BS(D1110,141,$G$5,$H$13)/IF([1]!S_SHARE_TOTAL(D1110,$G$5)=0,[1]!S_SHARE_TOTAL(D1110,[1]!s_ipo_listeddate(D1110)),[1]!S_SHARE_TOTAL(D1110,$G$5))))</f>
        <v/>
      </c>
      <c r="S1110" s="247" t="str">
        <f ca="1">IF(C1110="","",[1]!S_SHARE_TOTAL(D1110,TODAY())/$E$5)</f>
        <v/>
      </c>
      <c r="T1110" s="247" t="str">
        <f t="shared" ca="1" si="109"/>
        <v/>
      </c>
      <c r="U1110" s="218" t="str">
        <f t="shared" ca="1" si="110"/>
        <v/>
      </c>
      <c r="V1110" s="342" t="str">
        <f t="shared" ca="1" si="111"/>
        <v/>
      </c>
      <c r="W1110" s="139"/>
      <c r="Y1110" s="1"/>
    </row>
    <row r="1111" spans="3:25" ht="12" customHeight="1">
      <c r="C1111" s="343" t="str">
        <f t="shared" ca="1" si="112"/>
        <v/>
      </c>
      <c r="D1111" s="124" t="str">
        <f t="shared" ca="1" si="107"/>
        <v/>
      </c>
      <c r="E1111" s="124" t="str">
        <f t="shared" ca="1" si="108"/>
        <v/>
      </c>
      <c r="F1111" s="172" t="str">
        <f ca="1">IF(C1111="","",[1]!S_DQ_CLOSE(D1111,TODAY(),1))</f>
        <v/>
      </c>
      <c r="G1111" s="173" t="str">
        <f ca="1">IF(C1111="","",[1]!s_pq_pctchange(D1111,TODAY()-$G$12,TODAY())/100)</f>
        <v/>
      </c>
      <c r="H1111" s="249" t="str">
        <f ca="1">IF(C1111="","",IF($H$11="收入",[1]!S_STM07_IS(D1111,9,$G$5,$H$13)/$E$5,[1]!S_STM07_IS(D1111,48,$G$5,$H$13)/$E$5))</f>
        <v/>
      </c>
      <c r="I1111" s="249" t="str">
        <f ca="1">IF(C1111="","",IF($I$11="毛利率",([1]!S_STM07_IS(D1111,9,$G$5,$H$13)-[1]!S_STM07_IS(D1111,10,$G$5,$H$13))/[1]!S_STM07_IS(D1111,9,$G$5,$H$13),[1]!S_STM07_IS(D1111,14,$G$5,$H$13)/$E$5))</f>
        <v/>
      </c>
      <c r="J1111" s="249" t="str">
        <f ca="1">IF(C1111="","",IF($J$11="营业利润率",[1]!S_STM07_IS(D1111,48,$G$5,$H$13)/[1]!S_STM07_IS(D1111,9,$G$5,$H$13),([1]!S_STM07_CS(D1111,87,$G$5,$H$13)+[1]!S_STM07_CS(D1111,88,$G$5,$H$13)+[1]!S_STM07_CS(D1111,89,$G$5,$H$13))/$E$5))</f>
        <v/>
      </c>
      <c r="K1111" s="249" t="str">
        <f ca="1">IF(C1111="","",IF($K$11="净利润率",[1]!S_STM07_IS(D1111,61,$G$5,$H$13)/[1]!S_STM07_IS(D1111,9,$G$5,$H$13),[1]!S_STM07_IS(D1111,55,$G$5,$H$13)/$E$5))</f>
        <v/>
      </c>
      <c r="L1111" s="249" t="str">
        <f ca="1">IF(C1111="","",IF($L$11="ROA",[1]!S_STM07_IS(D1111,61,$G$5,$H$13)/[1]!S_STM07_BS(D1111,74,$G$5,$H$13),1-[1]!S_STM07_IS(D1111,61,$G$5,$H$13)/[1]!S_STM07_IS(D1111,55,$G$5,$H$13)))</f>
        <v/>
      </c>
      <c r="M1111" s="249" t="str">
        <f ca="1">IF(C1111="","",IF($M$11="ROE",[1]!S_STM07_IS(D1111,61,$G$5,$H$13)/[1]!S_STM07_BS(D1111,141,$G$5,$H$13),([1]!S_STM07_BS(D1111,25,$G$5,$H$13)-[1]!S_STM07_BS(D1111,93,$G$5,$H$13))/$E$5))</f>
        <v/>
      </c>
      <c r="N1111" s="250" t="str">
        <f ca="1">IF(C1111="","",IF($N$11="EPS",[1]!S_STM07_IS(D1111,61,$G$5,$H$13)/IF([1]!S_SHARE_TOTAL(D1111,$G$5)=0,[1]!S_SHARE_TOTAL(D1111,[1]!s_ipo_listeddate(D1111)),[1]!S_SHARE_TOTAL(D1111,$G$5)),([1]!S_STM07_BS(D1111,75,$G$5,$H$13)+[1]!S_STM07_BS(D1111,88,$G$5,$H$13)+[1]!S_STM07_BS(D1111,94,$G$5,$H$13)+[1]!S_STM07_BS(D1111,95,$G$5,$H$13))/$E$5))</f>
        <v/>
      </c>
      <c r="O1111" s="250" t="str">
        <f ca="1">IF(C1111="","",IF($O$11="BPS",[1]!S_STM07_BS(D1111,141,$G$5,$H$13)/IF([1]!S_SHARE_TOTAL(D1111,$G$5)=0,[1]!S_SHARE_TOTAL(D1111,[1]!s_ipo_listeddate(D1111)),[1]!S_SHARE_TOTAL(D1111,$G$5)),[1]!S_STM07_CS(D1111,49,$G$5,$H$13)/$E$5))</f>
        <v/>
      </c>
      <c r="P1111" s="250" t="str">
        <f ca="1">IF(C1111="","",IF($P$11="CFPS",[1]!S_STM07_CS(D1111,84,$G$5,$H$13)/IF([1]!S_SHARE_TOTAL(D1111,$G$5)=0,[1]!S_SHARE_TOTAL(D1111,[1]!s_ipo_listeddate(D1111)),[1]!S_SHARE_TOTAL(D1111,$G$5)),[1]!S_STM07_CS(D1111,84,$G$5,$H$13)/$E$5))</f>
        <v/>
      </c>
      <c r="Q1111" s="198" t="str">
        <f ca="1">IF(C1111="","",F1111/([1]!S_STM07_IS(D1111,61,$G$5,$H$13)/IF([1]!S_SHARE_TOTAL(D1111,$G$5)=0,[1]!S_SHARE_TOTAL(D1111,[1]!s_ipo_listeddate(D1111)),[1]!S_SHARE_TOTAL(D1111,$G$5))))</f>
        <v/>
      </c>
      <c r="R1111" s="198" t="str">
        <f ca="1">IF(C1111="","",F1111/([1]!S_STM07_BS(D1111,141,$G$5,$H$13)/IF([1]!S_SHARE_TOTAL(D1111,$G$5)=0,[1]!S_SHARE_TOTAL(D1111,[1]!s_ipo_listeddate(D1111)),[1]!S_SHARE_TOTAL(D1111,$G$5))))</f>
        <v/>
      </c>
      <c r="S1111" s="249" t="str">
        <f ca="1">IF(C1111="","",[1]!S_SHARE_TOTAL(D1111,TODAY())/$E$5)</f>
        <v/>
      </c>
      <c r="T1111" s="249" t="str">
        <f t="shared" ca="1" si="109"/>
        <v/>
      </c>
      <c r="U1111" s="172" t="str">
        <f t="shared" ca="1" si="110"/>
        <v/>
      </c>
      <c r="V1111" s="343" t="str">
        <f t="shared" ca="1" si="111"/>
        <v/>
      </c>
      <c r="W1111" s="139"/>
      <c r="Y1111" s="1"/>
    </row>
    <row r="1112" spans="3:25" ht="12" customHeight="1">
      <c r="C1112" s="342" t="str">
        <f t="shared" ca="1" si="112"/>
        <v/>
      </c>
      <c r="D1112" s="153" t="str">
        <f t="shared" ca="1" si="107"/>
        <v/>
      </c>
      <c r="E1112" s="153" t="str">
        <f t="shared" ca="1" si="108"/>
        <v/>
      </c>
      <c r="F1112" s="170" t="str">
        <f ca="1">IF(C1112="","",[1]!S_DQ_CLOSE(D1112,TODAY(),1))</f>
        <v/>
      </c>
      <c r="G1112" s="171" t="str">
        <f ca="1">IF(C1112="","",[1]!s_pq_pctchange(D1112,TODAY()-$G$12,TODAY())/100)</f>
        <v/>
      </c>
      <c r="H1112" s="247" t="str">
        <f ca="1">IF(C1112="","",IF($H$11="收入",[1]!S_STM07_IS(D1112,9,$G$5,$H$13)/$E$5,[1]!S_STM07_IS(D1112,48,$G$5,$H$13)/$E$5))</f>
        <v/>
      </c>
      <c r="I1112" s="247" t="str">
        <f ca="1">IF(C1112="","",IF($I$11="毛利率",([1]!S_STM07_IS(D1112,9,$G$5,$H$13)-[1]!S_STM07_IS(D1112,10,$G$5,$H$13))/[1]!S_STM07_IS(D1112,9,$G$5,$H$13),[1]!S_STM07_IS(D1112,14,$G$5,$H$13)/$E$5))</f>
        <v/>
      </c>
      <c r="J1112" s="247" t="str">
        <f ca="1">IF(C1112="","",IF($J$11="营业利润率",[1]!S_STM07_IS(D1112,48,$G$5,$H$13)/[1]!S_STM07_IS(D1112,9,$G$5,$H$13),([1]!S_STM07_CS(D1112,87,$G$5,$H$13)+[1]!S_STM07_CS(D1112,88,$G$5,$H$13)+[1]!S_STM07_CS(D1112,89,$G$5,$H$13))/$E$5))</f>
        <v/>
      </c>
      <c r="K1112" s="247" t="str">
        <f ca="1">IF(C1112="","",IF($K$11="净利润率",[1]!S_STM07_IS(D1112,61,$G$5,$H$13)/[1]!S_STM07_IS(D1112,9,$G$5,$H$13),[1]!S_STM07_IS(D1112,55,$G$5,$H$13)/$E$5))</f>
        <v/>
      </c>
      <c r="L1112" s="247" t="str">
        <f ca="1">IF(C1112="","",IF($L$11="ROA",[1]!S_STM07_IS(D1112,61,$G$5,$H$13)/[1]!S_STM07_BS(D1112,74,$G$5,$H$13),1-[1]!S_STM07_IS(D1112,61,$G$5,$H$13)/[1]!S_STM07_IS(D1112,55,$G$5,$H$13)))</f>
        <v/>
      </c>
      <c r="M1112" s="247" t="str">
        <f ca="1">IF(C1112="","",IF($M$11="ROE",[1]!S_STM07_IS(D1112,61,$G$5,$H$13)/[1]!S_STM07_BS(D1112,141,$G$5,$H$13),([1]!S_STM07_BS(D1112,25,$G$5,$H$13)-[1]!S_STM07_BS(D1112,93,$G$5,$H$13))/$E$5))</f>
        <v/>
      </c>
      <c r="N1112" s="247" t="str">
        <f ca="1">IF(C1112="","",IF($N$11="EPS",[1]!S_STM07_IS(D1112,61,$G$5,$H$13)/IF([1]!S_SHARE_TOTAL(D1112,$G$5)=0,[1]!S_SHARE_TOTAL(D1112,[1]!s_ipo_listeddate(D1112)),[1]!S_SHARE_TOTAL(D1112,$G$5)),([1]!S_STM07_BS(D1112,75,$G$5,$H$13)+[1]!S_STM07_BS(D1112,88,$G$5,$H$13)+[1]!S_STM07_BS(D1112,94,$G$5,$H$13)+[1]!S_STM07_BS(D1112,95,$G$5,$H$13))/$E$5))</f>
        <v/>
      </c>
      <c r="O1112" s="247" t="str">
        <f ca="1">IF(C1112="","",IF($O$11="BPS",[1]!S_STM07_BS(D1112,141,$G$5,$H$13)/IF([1]!S_SHARE_TOTAL(D1112,$G$5)=0,[1]!S_SHARE_TOTAL(D1112,[1]!s_ipo_listeddate(D1112)),[1]!S_SHARE_TOTAL(D1112,$G$5)),[1]!S_STM07_CS(D1112,49,$G$5,$H$13)/$E$5))</f>
        <v/>
      </c>
      <c r="P1112" s="247" t="str">
        <f ca="1">IF(C1112="","",IF($P$11="CFPS",[1]!S_STM07_CS(D1112,84,$G$5,$H$13)/IF([1]!S_SHARE_TOTAL(D1112,$G$5)=0,[1]!S_SHARE_TOTAL(D1112,[1]!s_ipo_listeddate(D1112)),[1]!S_SHARE_TOTAL(D1112,$G$5)),[1]!S_STM07_CS(D1112,84,$G$5,$H$13)/$E$5))</f>
        <v/>
      </c>
      <c r="Q1112" s="248" t="str">
        <f ca="1">IF(C1112="","",F1112/([1]!S_STM07_IS(D1112,61,$G$5,$H$13)/IF([1]!S_SHARE_TOTAL(D1112,$G$5)=0,[1]!S_SHARE_TOTAL(D1112,[1]!s_ipo_listeddate(D1112)),[1]!S_SHARE_TOTAL(D1112,$G$5))))</f>
        <v/>
      </c>
      <c r="R1112" s="248" t="str">
        <f ca="1">IF(C1112="","",F1112/([1]!S_STM07_BS(D1112,141,$G$5,$H$13)/IF([1]!S_SHARE_TOTAL(D1112,$G$5)=0,[1]!S_SHARE_TOTAL(D1112,[1]!s_ipo_listeddate(D1112)),[1]!S_SHARE_TOTAL(D1112,$G$5))))</f>
        <v/>
      </c>
      <c r="S1112" s="247" t="str">
        <f ca="1">IF(C1112="","",[1]!S_SHARE_TOTAL(D1112,TODAY())/$E$5)</f>
        <v/>
      </c>
      <c r="T1112" s="247" t="str">
        <f t="shared" ca="1" si="109"/>
        <v/>
      </c>
      <c r="U1112" s="218" t="str">
        <f t="shared" ca="1" si="110"/>
        <v/>
      </c>
      <c r="V1112" s="342" t="str">
        <f t="shared" ca="1" si="111"/>
        <v/>
      </c>
      <c r="W1112" s="139"/>
      <c r="Y1112" s="1"/>
    </row>
    <row r="1113" spans="3:25" ht="12" customHeight="1">
      <c r="C1113" s="343" t="str">
        <f t="shared" ca="1" si="112"/>
        <v/>
      </c>
      <c r="D1113" s="124" t="str">
        <f t="shared" ref="D1113:D1176" ca="1" si="113">IF(C1113="","",VLOOKUP(C1113,comppool,2,FALSE))</f>
        <v/>
      </c>
      <c r="E1113" s="124" t="str">
        <f t="shared" ref="E1113:E1176" ca="1" si="114">IF(C1113="","",VLOOKUP(C1113,comppool,3,FALSE))</f>
        <v/>
      </c>
      <c r="F1113" s="172" t="str">
        <f ca="1">IF(C1113="","",[1]!S_DQ_CLOSE(D1113,TODAY(),1))</f>
        <v/>
      </c>
      <c r="G1113" s="173" t="str">
        <f ca="1">IF(C1113="","",[1]!s_pq_pctchange(D1113,TODAY()-$G$12,TODAY())/100)</f>
        <v/>
      </c>
      <c r="H1113" s="249" t="str">
        <f ca="1">IF(C1113="","",IF($H$11="收入",[1]!S_STM07_IS(D1113,9,$G$5,$H$13)/$E$5,[1]!S_STM07_IS(D1113,48,$G$5,$H$13)/$E$5))</f>
        <v/>
      </c>
      <c r="I1113" s="249" t="str">
        <f ca="1">IF(C1113="","",IF($I$11="毛利率",([1]!S_STM07_IS(D1113,9,$G$5,$H$13)-[1]!S_STM07_IS(D1113,10,$G$5,$H$13))/[1]!S_STM07_IS(D1113,9,$G$5,$H$13),[1]!S_STM07_IS(D1113,14,$G$5,$H$13)/$E$5))</f>
        <v/>
      </c>
      <c r="J1113" s="249" t="str">
        <f ca="1">IF(C1113="","",IF($J$11="营业利润率",[1]!S_STM07_IS(D1113,48,$G$5,$H$13)/[1]!S_STM07_IS(D1113,9,$G$5,$H$13),([1]!S_STM07_CS(D1113,87,$G$5,$H$13)+[1]!S_STM07_CS(D1113,88,$G$5,$H$13)+[1]!S_STM07_CS(D1113,89,$G$5,$H$13))/$E$5))</f>
        <v/>
      </c>
      <c r="K1113" s="249" t="str">
        <f ca="1">IF(C1113="","",IF($K$11="净利润率",[1]!S_STM07_IS(D1113,61,$G$5,$H$13)/[1]!S_STM07_IS(D1113,9,$G$5,$H$13),[1]!S_STM07_IS(D1113,55,$G$5,$H$13)/$E$5))</f>
        <v/>
      </c>
      <c r="L1113" s="249" t="str">
        <f ca="1">IF(C1113="","",IF($L$11="ROA",[1]!S_STM07_IS(D1113,61,$G$5,$H$13)/[1]!S_STM07_BS(D1113,74,$G$5,$H$13),1-[1]!S_STM07_IS(D1113,61,$G$5,$H$13)/[1]!S_STM07_IS(D1113,55,$G$5,$H$13)))</f>
        <v/>
      </c>
      <c r="M1113" s="249" t="str">
        <f ca="1">IF(C1113="","",IF($M$11="ROE",[1]!S_STM07_IS(D1113,61,$G$5,$H$13)/[1]!S_STM07_BS(D1113,141,$G$5,$H$13),([1]!S_STM07_BS(D1113,25,$G$5,$H$13)-[1]!S_STM07_BS(D1113,93,$G$5,$H$13))/$E$5))</f>
        <v/>
      </c>
      <c r="N1113" s="250" t="str">
        <f ca="1">IF(C1113="","",IF($N$11="EPS",[1]!S_STM07_IS(D1113,61,$G$5,$H$13)/IF([1]!S_SHARE_TOTAL(D1113,$G$5)=0,[1]!S_SHARE_TOTAL(D1113,[1]!s_ipo_listeddate(D1113)),[1]!S_SHARE_TOTAL(D1113,$G$5)),([1]!S_STM07_BS(D1113,75,$G$5,$H$13)+[1]!S_STM07_BS(D1113,88,$G$5,$H$13)+[1]!S_STM07_BS(D1113,94,$G$5,$H$13)+[1]!S_STM07_BS(D1113,95,$G$5,$H$13))/$E$5))</f>
        <v/>
      </c>
      <c r="O1113" s="250" t="str">
        <f ca="1">IF(C1113="","",IF($O$11="BPS",[1]!S_STM07_BS(D1113,141,$G$5,$H$13)/IF([1]!S_SHARE_TOTAL(D1113,$G$5)=0,[1]!S_SHARE_TOTAL(D1113,[1]!s_ipo_listeddate(D1113)),[1]!S_SHARE_TOTAL(D1113,$G$5)),[1]!S_STM07_CS(D1113,49,$G$5,$H$13)/$E$5))</f>
        <v/>
      </c>
      <c r="P1113" s="250" t="str">
        <f ca="1">IF(C1113="","",IF($P$11="CFPS",[1]!S_STM07_CS(D1113,84,$G$5,$H$13)/IF([1]!S_SHARE_TOTAL(D1113,$G$5)=0,[1]!S_SHARE_TOTAL(D1113,[1]!s_ipo_listeddate(D1113)),[1]!S_SHARE_TOTAL(D1113,$G$5)),[1]!S_STM07_CS(D1113,84,$G$5,$H$13)/$E$5))</f>
        <v/>
      </c>
      <c r="Q1113" s="198" t="str">
        <f ca="1">IF(C1113="","",F1113/([1]!S_STM07_IS(D1113,61,$G$5,$H$13)/IF([1]!S_SHARE_TOTAL(D1113,$G$5)=0,[1]!S_SHARE_TOTAL(D1113,[1]!s_ipo_listeddate(D1113)),[1]!S_SHARE_TOTAL(D1113,$G$5))))</f>
        <v/>
      </c>
      <c r="R1113" s="198" t="str">
        <f ca="1">IF(C1113="","",F1113/([1]!S_STM07_BS(D1113,141,$G$5,$H$13)/IF([1]!S_SHARE_TOTAL(D1113,$G$5)=0,[1]!S_SHARE_TOTAL(D1113,[1]!s_ipo_listeddate(D1113)),[1]!S_SHARE_TOTAL(D1113,$G$5))))</f>
        <v/>
      </c>
      <c r="S1113" s="249" t="str">
        <f ca="1">IF(C1113="","",[1]!S_SHARE_TOTAL(D1113,TODAY())/$E$5)</f>
        <v/>
      </c>
      <c r="T1113" s="249" t="str">
        <f t="shared" ref="T1113:T1176" ca="1" si="115">IF(C1113="","",F1113*S1113)</f>
        <v/>
      </c>
      <c r="U1113" s="172" t="str">
        <f t="shared" ref="U1113:U1176" ca="1" si="116">IF(C1113="","",HLOOKUP($V$12,$G$11:$T$20003,ROW()-ROW($G$11)+1,FALSE))</f>
        <v/>
      </c>
      <c r="V1113" s="343" t="str">
        <f t="shared" ref="V1113:V1176" ca="1" si="117">IF(C1113="","",RANK(U1113,U:U,0))</f>
        <v/>
      </c>
      <c r="W1113" s="139"/>
      <c r="Y1113" s="1"/>
    </row>
    <row r="1114" spans="3:25" ht="12" customHeight="1">
      <c r="C1114" s="342" t="str">
        <f t="shared" ca="1" si="112"/>
        <v/>
      </c>
      <c r="D1114" s="153" t="str">
        <f t="shared" ca="1" si="113"/>
        <v/>
      </c>
      <c r="E1114" s="153" t="str">
        <f t="shared" ca="1" si="114"/>
        <v/>
      </c>
      <c r="F1114" s="170" t="str">
        <f ca="1">IF(C1114="","",[1]!S_DQ_CLOSE(D1114,TODAY(),1))</f>
        <v/>
      </c>
      <c r="G1114" s="171" t="str">
        <f ca="1">IF(C1114="","",[1]!s_pq_pctchange(D1114,TODAY()-$G$12,TODAY())/100)</f>
        <v/>
      </c>
      <c r="H1114" s="247" t="str">
        <f ca="1">IF(C1114="","",IF($H$11="收入",[1]!S_STM07_IS(D1114,9,$G$5,$H$13)/$E$5,[1]!S_STM07_IS(D1114,48,$G$5,$H$13)/$E$5))</f>
        <v/>
      </c>
      <c r="I1114" s="247" t="str">
        <f ca="1">IF(C1114="","",IF($I$11="毛利率",([1]!S_STM07_IS(D1114,9,$G$5,$H$13)-[1]!S_STM07_IS(D1114,10,$G$5,$H$13))/[1]!S_STM07_IS(D1114,9,$G$5,$H$13),[1]!S_STM07_IS(D1114,14,$G$5,$H$13)/$E$5))</f>
        <v/>
      </c>
      <c r="J1114" s="247" t="str">
        <f ca="1">IF(C1114="","",IF($J$11="营业利润率",[1]!S_STM07_IS(D1114,48,$G$5,$H$13)/[1]!S_STM07_IS(D1114,9,$G$5,$H$13),([1]!S_STM07_CS(D1114,87,$G$5,$H$13)+[1]!S_STM07_CS(D1114,88,$G$5,$H$13)+[1]!S_STM07_CS(D1114,89,$G$5,$H$13))/$E$5))</f>
        <v/>
      </c>
      <c r="K1114" s="247" t="str">
        <f ca="1">IF(C1114="","",IF($K$11="净利润率",[1]!S_STM07_IS(D1114,61,$G$5,$H$13)/[1]!S_STM07_IS(D1114,9,$G$5,$H$13),[1]!S_STM07_IS(D1114,55,$G$5,$H$13)/$E$5))</f>
        <v/>
      </c>
      <c r="L1114" s="247" t="str">
        <f ca="1">IF(C1114="","",IF($L$11="ROA",[1]!S_STM07_IS(D1114,61,$G$5,$H$13)/[1]!S_STM07_BS(D1114,74,$G$5,$H$13),1-[1]!S_STM07_IS(D1114,61,$G$5,$H$13)/[1]!S_STM07_IS(D1114,55,$G$5,$H$13)))</f>
        <v/>
      </c>
      <c r="M1114" s="247" t="str">
        <f ca="1">IF(C1114="","",IF($M$11="ROE",[1]!S_STM07_IS(D1114,61,$G$5,$H$13)/[1]!S_STM07_BS(D1114,141,$G$5,$H$13),([1]!S_STM07_BS(D1114,25,$G$5,$H$13)-[1]!S_STM07_BS(D1114,93,$G$5,$H$13))/$E$5))</f>
        <v/>
      </c>
      <c r="N1114" s="247" t="str">
        <f ca="1">IF(C1114="","",IF($N$11="EPS",[1]!S_STM07_IS(D1114,61,$G$5,$H$13)/IF([1]!S_SHARE_TOTAL(D1114,$G$5)=0,[1]!S_SHARE_TOTAL(D1114,[1]!s_ipo_listeddate(D1114)),[1]!S_SHARE_TOTAL(D1114,$G$5)),([1]!S_STM07_BS(D1114,75,$G$5,$H$13)+[1]!S_STM07_BS(D1114,88,$G$5,$H$13)+[1]!S_STM07_BS(D1114,94,$G$5,$H$13)+[1]!S_STM07_BS(D1114,95,$G$5,$H$13))/$E$5))</f>
        <v/>
      </c>
      <c r="O1114" s="247" t="str">
        <f ca="1">IF(C1114="","",IF($O$11="BPS",[1]!S_STM07_BS(D1114,141,$G$5,$H$13)/IF([1]!S_SHARE_TOTAL(D1114,$G$5)=0,[1]!S_SHARE_TOTAL(D1114,[1]!s_ipo_listeddate(D1114)),[1]!S_SHARE_TOTAL(D1114,$G$5)),[1]!S_STM07_CS(D1114,49,$G$5,$H$13)/$E$5))</f>
        <v/>
      </c>
      <c r="P1114" s="247" t="str">
        <f ca="1">IF(C1114="","",IF($P$11="CFPS",[1]!S_STM07_CS(D1114,84,$G$5,$H$13)/IF([1]!S_SHARE_TOTAL(D1114,$G$5)=0,[1]!S_SHARE_TOTAL(D1114,[1]!s_ipo_listeddate(D1114)),[1]!S_SHARE_TOTAL(D1114,$G$5)),[1]!S_STM07_CS(D1114,84,$G$5,$H$13)/$E$5))</f>
        <v/>
      </c>
      <c r="Q1114" s="248" t="str">
        <f ca="1">IF(C1114="","",F1114/([1]!S_STM07_IS(D1114,61,$G$5,$H$13)/IF([1]!S_SHARE_TOTAL(D1114,$G$5)=0,[1]!S_SHARE_TOTAL(D1114,[1]!s_ipo_listeddate(D1114)),[1]!S_SHARE_TOTAL(D1114,$G$5))))</f>
        <v/>
      </c>
      <c r="R1114" s="248" t="str">
        <f ca="1">IF(C1114="","",F1114/([1]!S_STM07_BS(D1114,141,$G$5,$H$13)/IF([1]!S_SHARE_TOTAL(D1114,$G$5)=0,[1]!S_SHARE_TOTAL(D1114,[1]!s_ipo_listeddate(D1114)),[1]!S_SHARE_TOTAL(D1114,$G$5))))</f>
        <v/>
      </c>
      <c r="S1114" s="247" t="str">
        <f ca="1">IF(C1114="","",[1]!S_SHARE_TOTAL(D1114,TODAY())/$E$5)</f>
        <v/>
      </c>
      <c r="T1114" s="247" t="str">
        <f t="shared" ca="1" si="115"/>
        <v/>
      </c>
      <c r="U1114" s="218" t="str">
        <f t="shared" ca="1" si="116"/>
        <v/>
      </c>
      <c r="V1114" s="342" t="str">
        <f t="shared" ca="1" si="117"/>
        <v/>
      </c>
      <c r="W1114" s="139"/>
      <c r="Y1114" s="1"/>
    </row>
    <row r="1115" spans="3:25" ht="12" customHeight="1">
      <c r="C1115" s="343" t="str">
        <f t="shared" ca="1" si="112"/>
        <v/>
      </c>
      <c r="D1115" s="124" t="str">
        <f t="shared" ca="1" si="113"/>
        <v/>
      </c>
      <c r="E1115" s="124" t="str">
        <f t="shared" ca="1" si="114"/>
        <v/>
      </c>
      <c r="F1115" s="172" t="str">
        <f ca="1">IF(C1115="","",[1]!S_DQ_CLOSE(D1115,TODAY(),1))</f>
        <v/>
      </c>
      <c r="G1115" s="173" t="str">
        <f ca="1">IF(C1115="","",[1]!s_pq_pctchange(D1115,TODAY()-$G$12,TODAY())/100)</f>
        <v/>
      </c>
      <c r="H1115" s="249" t="str">
        <f ca="1">IF(C1115="","",IF($H$11="收入",[1]!S_STM07_IS(D1115,9,$G$5,$H$13)/$E$5,[1]!S_STM07_IS(D1115,48,$G$5,$H$13)/$E$5))</f>
        <v/>
      </c>
      <c r="I1115" s="249" t="str">
        <f ca="1">IF(C1115="","",IF($I$11="毛利率",([1]!S_STM07_IS(D1115,9,$G$5,$H$13)-[1]!S_STM07_IS(D1115,10,$G$5,$H$13))/[1]!S_STM07_IS(D1115,9,$G$5,$H$13),[1]!S_STM07_IS(D1115,14,$G$5,$H$13)/$E$5))</f>
        <v/>
      </c>
      <c r="J1115" s="249" t="str">
        <f ca="1">IF(C1115="","",IF($J$11="营业利润率",[1]!S_STM07_IS(D1115,48,$G$5,$H$13)/[1]!S_STM07_IS(D1115,9,$G$5,$H$13),([1]!S_STM07_CS(D1115,87,$G$5,$H$13)+[1]!S_STM07_CS(D1115,88,$G$5,$H$13)+[1]!S_STM07_CS(D1115,89,$G$5,$H$13))/$E$5))</f>
        <v/>
      </c>
      <c r="K1115" s="249" t="str">
        <f ca="1">IF(C1115="","",IF($K$11="净利润率",[1]!S_STM07_IS(D1115,61,$G$5,$H$13)/[1]!S_STM07_IS(D1115,9,$G$5,$H$13),[1]!S_STM07_IS(D1115,55,$G$5,$H$13)/$E$5))</f>
        <v/>
      </c>
      <c r="L1115" s="249" t="str">
        <f ca="1">IF(C1115="","",IF($L$11="ROA",[1]!S_STM07_IS(D1115,61,$G$5,$H$13)/[1]!S_STM07_BS(D1115,74,$G$5,$H$13),1-[1]!S_STM07_IS(D1115,61,$G$5,$H$13)/[1]!S_STM07_IS(D1115,55,$G$5,$H$13)))</f>
        <v/>
      </c>
      <c r="M1115" s="249" t="str">
        <f ca="1">IF(C1115="","",IF($M$11="ROE",[1]!S_STM07_IS(D1115,61,$G$5,$H$13)/[1]!S_STM07_BS(D1115,141,$G$5,$H$13),([1]!S_STM07_BS(D1115,25,$G$5,$H$13)-[1]!S_STM07_BS(D1115,93,$G$5,$H$13))/$E$5))</f>
        <v/>
      </c>
      <c r="N1115" s="250" t="str">
        <f ca="1">IF(C1115="","",IF($N$11="EPS",[1]!S_STM07_IS(D1115,61,$G$5,$H$13)/IF([1]!S_SHARE_TOTAL(D1115,$G$5)=0,[1]!S_SHARE_TOTAL(D1115,[1]!s_ipo_listeddate(D1115)),[1]!S_SHARE_TOTAL(D1115,$G$5)),([1]!S_STM07_BS(D1115,75,$G$5,$H$13)+[1]!S_STM07_BS(D1115,88,$G$5,$H$13)+[1]!S_STM07_BS(D1115,94,$G$5,$H$13)+[1]!S_STM07_BS(D1115,95,$G$5,$H$13))/$E$5))</f>
        <v/>
      </c>
      <c r="O1115" s="250" t="str">
        <f ca="1">IF(C1115="","",IF($O$11="BPS",[1]!S_STM07_BS(D1115,141,$G$5,$H$13)/IF([1]!S_SHARE_TOTAL(D1115,$G$5)=0,[1]!S_SHARE_TOTAL(D1115,[1]!s_ipo_listeddate(D1115)),[1]!S_SHARE_TOTAL(D1115,$G$5)),[1]!S_STM07_CS(D1115,49,$G$5,$H$13)/$E$5))</f>
        <v/>
      </c>
      <c r="P1115" s="250" t="str">
        <f ca="1">IF(C1115="","",IF($P$11="CFPS",[1]!S_STM07_CS(D1115,84,$G$5,$H$13)/IF([1]!S_SHARE_TOTAL(D1115,$G$5)=0,[1]!S_SHARE_TOTAL(D1115,[1]!s_ipo_listeddate(D1115)),[1]!S_SHARE_TOTAL(D1115,$G$5)),[1]!S_STM07_CS(D1115,84,$G$5,$H$13)/$E$5))</f>
        <v/>
      </c>
      <c r="Q1115" s="198" t="str">
        <f ca="1">IF(C1115="","",F1115/([1]!S_STM07_IS(D1115,61,$G$5,$H$13)/IF([1]!S_SHARE_TOTAL(D1115,$G$5)=0,[1]!S_SHARE_TOTAL(D1115,[1]!s_ipo_listeddate(D1115)),[1]!S_SHARE_TOTAL(D1115,$G$5))))</f>
        <v/>
      </c>
      <c r="R1115" s="198" t="str">
        <f ca="1">IF(C1115="","",F1115/([1]!S_STM07_BS(D1115,141,$G$5,$H$13)/IF([1]!S_SHARE_TOTAL(D1115,$G$5)=0,[1]!S_SHARE_TOTAL(D1115,[1]!s_ipo_listeddate(D1115)),[1]!S_SHARE_TOTAL(D1115,$G$5))))</f>
        <v/>
      </c>
      <c r="S1115" s="249" t="str">
        <f ca="1">IF(C1115="","",[1]!S_SHARE_TOTAL(D1115,TODAY())/$E$5)</f>
        <v/>
      </c>
      <c r="T1115" s="249" t="str">
        <f t="shared" ca="1" si="115"/>
        <v/>
      </c>
      <c r="U1115" s="172" t="str">
        <f t="shared" ca="1" si="116"/>
        <v/>
      </c>
      <c r="V1115" s="343" t="str">
        <f t="shared" ca="1" si="117"/>
        <v/>
      </c>
      <c r="W1115" s="139"/>
      <c r="Y1115" s="1"/>
    </row>
    <row r="1116" spans="3:25" ht="12" customHeight="1">
      <c r="C1116" s="342" t="str">
        <f t="shared" ca="1" si="112"/>
        <v/>
      </c>
      <c r="D1116" s="153" t="str">
        <f t="shared" ca="1" si="113"/>
        <v/>
      </c>
      <c r="E1116" s="153" t="str">
        <f t="shared" ca="1" si="114"/>
        <v/>
      </c>
      <c r="F1116" s="170" t="str">
        <f ca="1">IF(C1116="","",[1]!S_DQ_CLOSE(D1116,TODAY(),1))</f>
        <v/>
      </c>
      <c r="G1116" s="171" t="str">
        <f ca="1">IF(C1116="","",[1]!s_pq_pctchange(D1116,TODAY()-$G$12,TODAY())/100)</f>
        <v/>
      </c>
      <c r="H1116" s="247" t="str">
        <f ca="1">IF(C1116="","",IF($H$11="收入",[1]!S_STM07_IS(D1116,9,$G$5,$H$13)/$E$5,[1]!S_STM07_IS(D1116,48,$G$5,$H$13)/$E$5))</f>
        <v/>
      </c>
      <c r="I1116" s="247" t="str">
        <f ca="1">IF(C1116="","",IF($I$11="毛利率",([1]!S_STM07_IS(D1116,9,$G$5,$H$13)-[1]!S_STM07_IS(D1116,10,$G$5,$H$13))/[1]!S_STM07_IS(D1116,9,$G$5,$H$13),[1]!S_STM07_IS(D1116,14,$G$5,$H$13)/$E$5))</f>
        <v/>
      </c>
      <c r="J1116" s="247" t="str">
        <f ca="1">IF(C1116="","",IF($J$11="营业利润率",[1]!S_STM07_IS(D1116,48,$G$5,$H$13)/[1]!S_STM07_IS(D1116,9,$G$5,$H$13),([1]!S_STM07_CS(D1116,87,$G$5,$H$13)+[1]!S_STM07_CS(D1116,88,$G$5,$H$13)+[1]!S_STM07_CS(D1116,89,$G$5,$H$13))/$E$5))</f>
        <v/>
      </c>
      <c r="K1116" s="247" t="str">
        <f ca="1">IF(C1116="","",IF($K$11="净利润率",[1]!S_STM07_IS(D1116,61,$G$5,$H$13)/[1]!S_STM07_IS(D1116,9,$G$5,$H$13),[1]!S_STM07_IS(D1116,55,$G$5,$H$13)/$E$5))</f>
        <v/>
      </c>
      <c r="L1116" s="247" t="str">
        <f ca="1">IF(C1116="","",IF($L$11="ROA",[1]!S_STM07_IS(D1116,61,$G$5,$H$13)/[1]!S_STM07_BS(D1116,74,$G$5,$H$13),1-[1]!S_STM07_IS(D1116,61,$G$5,$H$13)/[1]!S_STM07_IS(D1116,55,$G$5,$H$13)))</f>
        <v/>
      </c>
      <c r="M1116" s="247" t="str">
        <f ca="1">IF(C1116="","",IF($M$11="ROE",[1]!S_STM07_IS(D1116,61,$G$5,$H$13)/[1]!S_STM07_BS(D1116,141,$G$5,$H$13),([1]!S_STM07_BS(D1116,25,$G$5,$H$13)-[1]!S_STM07_BS(D1116,93,$G$5,$H$13))/$E$5))</f>
        <v/>
      </c>
      <c r="N1116" s="247" t="str">
        <f ca="1">IF(C1116="","",IF($N$11="EPS",[1]!S_STM07_IS(D1116,61,$G$5,$H$13)/IF([1]!S_SHARE_TOTAL(D1116,$G$5)=0,[1]!S_SHARE_TOTAL(D1116,[1]!s_ipo_listeddate(D1116)),[1]!S_SHARE_TOTAL(D1116,$G$5)),([1]!S_STM07_BS(D1116,75,$G$5,$H$13)+[1]!S_STM07_BS(D1116,88,$G$5,$H$13)+[1]!S_STM07_BS(D1116,94,$G$5,$H$13)+[1]!S_STM07_BS(D1116,95,$G$5,$H$13))/$E$5))</f>
        <v/>
      </c>
      <c r="O1116" s="247" t="str">
        <f ca="1">IF(C1116="","",IF($O$11="BPS",[1]!S_STM07_BS(D1116,141,$G$5,$H$13)/IF([1]!S_SHARE_TOTAL(D1116,$G$5)=0,[1]!S_SHARE_TOTAL(D1116,[1]!s_ipo_listeddate(D1116)),[1]!S_SHARE_TOTAL(D1116,$G$5)),[1]!S_STM07_CS(D1116,49,$G$5,$H$13)/$E$5))</f>
        <v/>
      </c>
      <c r="P1116" s="247" t="str">
        <f ca="1">IF(C1116="","",IF($P$11="CFPS",[1]!S_STM07_CS(D1116,84,$G$5,$H$13)/IF([1]!S_SHARE_TOTAL(D1116,$G$5)=0,[1]!S_SHARE_TOTAL(D1116,[1]!s_ipo_listeddate(D1116)),[1]!S_SHARE_TOTAL(D1116,$G$5)),[1]!S_STM07_CS(D1116,84,$G$5,$H$13)/$E$5))</f>
        <v/>
      </c>
      <c r="Q1116" s="248" t="str">
        <f ca="1">IF(C1116="","",F1116/([1]!S_STM07_IS(D1116,61,$G$5,$H$13)/IF([1]!S_SHARE_TOTAL(D1116,$G$5)=0,[1]!S_SHARE_TOTAL(D1116,[1]!s_ipo_listeddate(D1116)),[1]!S_SHARE_TOTAL(D1116,$G$5))))</f>
        <v/>
      </c>
      <c r="R1116" s="248" t="str">
        <f ca="1">IF(C1116="","",F1116/([1]!S_STM07_BS(D1116,141,$G$5,$H$13)/IF([1]!S_SHARE_TOTAL(D1116,$G$5)=0,[1]!S_SHARE_TOTAL(D1116,[1]!s_ipo_listeddate(D1116)),[1]!S_SHARE_TOTAL(D1116,$G$5))))</f>
        <v/>
      </c>
      <c r="S1116" s="247" t="str">
        <f ca="1">IF(C1116="","",[1]!S_SHARE_TOTAL(D1116,TODAY())/$E$5)</f>
        <v/>
      </c>
      <c r="T1116" s="247" t="str">
        <f t="shared" ca="1" si="115"/>
        <v/>
      </c>
      <c r="U1116" s="218" t="str">
        <f t="shared" ca="1" si="116"/>
        <v/>
      </c>
      <c r="V1116" s="342" t="str">
        <f t="shared" ca="1" si="117"/>
        <v/>
      </c>
      <c r="W1116" s="139"/>
      <c r="Y1116" s="1"/>
    </row>
    <row r="1117" spans="3:25" ht="12" customHeight="1">
      <c r="C1117" s="343" t="str">
        <f t="shared" ca="1" si="112"/>
        <v/>
      </c>
      <c r="D1117" s="124" t="str">
        <f t="shared" ca="1" si="113"/>
        <v/>
      </c>
      <c r="E1117" s="124" t="str">
        <f t="shared" ca="1" si="114"/>
        <v/>
      </c>
      <c r="F1117" s="172" t="str">
        <f ca="1">IF(C1117="","",[1]!S_DQ_CLOSE(D1117,TODAY(),1))</f>
        <v/>
      </c>
      <c r="G1117" s="173" t="str">
        <f ca="1">IF(C1117="","",[1]!s_pq_pctchange(D1117,TODAY()-$G$12,TODAY())/100)</f>
        <v/>
      </c>
      <c r="H1117" s="249" t="str">
        <f ca="1">IF(C1117="","",IF($H$11="收入",[1]!S_STM07_IS(D1117,9,$G$5,$H$13)/$E$5,[1]!S_STM07_IS(D1117,48,$G$5,$H$13)/$E$5))</f>
        <v/>
      </c>
      <c r="I1117" s="249" t="str">
        <f ca="1">IF(C1117="","",IF($I$11="毛利率",([1]!S_STM07_IS(D1117,9,$G$5,$H$13)-[1]!S_STM07_IS(D1117,10,$G$5,$H$13))/[1]!S_STM07_IS(D1117,9,$G$5,$H$13),[1]!S_STM07_IS(D1117,14,$G$5,$H$13)/$E$5))</f>
        <v/>
      </c>
      <c r="J1117" s="249" t="str">
        <f ca="1">IF(C1117="","",IF($J$11="营业利润率",[1]!S_STM07_IS(D1117,48,$G$5,$H$13)/[1]!S_STM07_IS(D1117,9,$G$5,$H$13),([1]!S_STM07_CS(D1117,87,$G$5,$H$13)+[1]!S_STM07_CS(D1117,88,$G$5,$H$13)+[1]!S_STM07_CS(D1117,89,$G$5,$H$13))/$E$5))</f>
        <v/>
      </c>
      <c r="K1117" s="249" t="str">
        <f ca="1">IF(C1117="","",IF($K$11="净利润率",[1]!S_STM07_IS(D1117,61,$G$5,$H$13)/[1]!S_STM07_IS(D1117,9,$G$5,$H$13),[1]!S_STM07_IS(D1117,55,$G$5,$H$13)/$E$5))</f>
        <v/>
      </c>
      <c r="L1117" s="249" t="str">
        <f ca="1">IF(C1117="","",IF($L$11="ROA",[1]!S_STM07_IS(D1117,61,$G$5,$H$13)/[1]!S_STM07_BS(D1117,74,$G$5,$H$13),1-[1]!S_STM07_IS(D1117,61,$G$5,$H$13)/[1]!S_STM07_IS(D1117,55,$G$5,$H$13)))</f>
        <v/>
      </c>
      <c r="M1117" s="249" t="str">
        <f ca="1">IF(C1117="","",IF($M$11="ROE",[1]!S_STM07_IS(D1117,61,$G$5,$H$13)/[1]!S_STM07_BS(D1117,141,$G$5,$H$13),([1]!S_STM07_BS(D1117,25,$G$5,$H$13)-[1]!S_STM07_BS(D1117,93,$G$5,$H$13))/$E$5))</f>
        <v/>
      </c>
      <c r="N1117" s="250" t="str">
        <f ca="1">IF(C1117="","",IF($N$11="EPS",[1]!S_STM07_IS(D1117,61,$G$5,$H$13)/IF([1]!S_SHARE_TOTAL(D1117,$G$5)=0,[1]!S_SHARE_TOTAL(D1117,[1]!s_ipo_listeddate(D1117)),[1]!S_SHARE_TOTAL(D1117,$G$5)),([1]!S_STM07_BS(D1117,75,$G$5,$H$13)+[1]!S_STM07_BS(D1117,88,$G$5,$H$13)+[1]!S_STM07_BS(D1117,94,$G$5,$H$13)+[1]!S_STM07_BS(D1117,95,$G$5,$H$13))/$E$5))</f>
        <v/>
      </c>
      <c r="O1117" s="250" t="str">
        <f ca="1">IF(C1117="","",IF($O$11="BPS",[1]!S_STM07_BS(D1117,141,$G$5,$H$13)/IF([1]!S_SHARE_TOTAL(D1117,$G$5)=0,[1]!S_SHARE_TOTAL(D1117,[1]!s_ipo_listeddate(D1117)),[1]!S_SHARE_TOTAL(D1117,$G$5)),[1]!S_STM07_CS(D1117,49,$G$5,$H$13)/$E$5))</f>
        <v/>
      </c>
      <c r="P1117" s="250" t="str">
        <f ca="1">IF(C1117="","",IF($P$11="CFPS",[1]!S_STM07_CS(D1117,84,$G$5,$H$13)/IF([1]!S_SHARE_TOTAL(D1117,$G$5)=0,[1]!S_SHARE_TOTAL(D1117,[1]!s_ipo_listeddate(D1117)),[1]!S_SHARE_TOTAL(D1117,$G$5)),[1]!S_STM07_CS(D1117,84,$G$5,$H$13)/$E$5))</f>
        <v/>
      </c>
      <c r="Q1117" s="198" t="str">
        <f ca="1">IF(C1117="","",F1117/([1]!S_STM07_IS(D1117,61,$G$5,$H$13)/IF([1]!S_SHARE_TOTAL(D1117,$G$5)=0,[1]!S_SHARE_TOTAL(D1117,[1]!s_ipo_listeddate(D1117)),[1]!S_SHARE_TOTAL(D1117,$G$5))))</f>
        <v/>
      </c>
      <c r="R1117" s="198" t="str">
        <f ca="1">IF(C1117="","",F1117/([1]!S_STM07_BS(D1117,141,$G$5,$H$13)/IF([1]!S_SHARE_TOTAL(D1117,$G$5)=0,[1]!S_SHARE_TOTAL(D1117,[1]!s_ipo_listeddate(D1117)),[1]!S_SHARE_TOTAL(D1117,$G$5))))</f>
        <v/>
      </c>
      <c r="S1117" s="249" t="str">
        <f ca="1">IF(C1117="","",[1]!S_SHARE_TOTAL(D1117,TODAY())/$E$5)</f>
        <v/>
      </c>
      <c r="T1117" s="249" t="str">
        <f t="shared" ca="1" si="115"/>
        <v/>
      </c>
      <c r="U1117" s="172" t="str">
        <f t="shared" ca="1" si="116"/>
        <v/>
      </c>
      <c r="V1117" s="343" t="str">
        <f t="shared" ca="1" si="117"/>
        <v/>
      </c>
      <c r="W1117" s="139"/>
      <c r="Y1117" s="1"/>
    </row>
    <row r="1118" spans="3:25" ht="12" customHeight="1">
      <c r="C1118" s="342" t="str">
        <f t="shared" ca="1" si="112"/>
        <v/>
      </c>
      <c r="D1118" s="153" t="str">
        <f t="shared" ca="1" si="113"/>
        <v/>
      </c>
      <c r="E1118" s="153" t="str">
        <f t="shared" ca="1" si="114"/>
        <v/>
      </c>
      <c r="F1118" s="170" t="str">
        <f ca="1">IF(C1118="","",[1]!S_DQ_CLOSE(D1118,TODAY(),1))</f>
        <v/>
      </c>
      <c r="G1118" s="171" t="str">
        <f ca="1">IF(C1118="","",[1]!s_pq_pctchange(D1118,TODAY()-$G$12,TODAY())/100)</f>
        <v/>
      </c>
      <c r="H1118" s="247" t="str">
        <f ca="1">IF(C1118="","",IF($H$11="收入",[1]!S_STM07_IS(D1118,9,$G$5,$H$13)/$E$5,[1]!S_STM07_IS(D1118,48,$G$5,$H$13)/$E$5))</f>
        <v/>
      </c>
      <c r="I1118" s="247" t="str">
        <f ca="1">IF(C1118="","",IF($I$11="毛利率",([1]!S_STM07_IS(D1118,9,$G$5,$H$13)-[1]!S_STM07_IS(D1118,10,$G$5,$H$13))/[1]!S_STM07_IS(D1118,9,$G$5,$H$13),[1]!S_STM07_IS(D1118,14,$G$5,$H$13)/$E$5))</f>
        <v/>
      </c>
      <c r="J1118" s="247" t="str">
        <f ca="1">IF(C1118="","",IF($J$11="营业利润率",[1]!S_STM07_IS(D1118,48,$G$5,$H$13)/[1]!S_STM07_IS(D1118,9,$G$5,$H$13),([1]!S_STM07_CS(D1118,87,$G$5,$H$13)+[1]!S_STM07_CS(D1118,88,$G$5,$H$13)+[1]!S_STM07_CS(D1118,89,$G$5,$H$13))/$E$5))</f>
        <v/>
      </c>
      <c r="K1118" s="247" t="str">
        <f ca="1">IF(C1118="","",IF($K$11="净利润率",[1]!S_STM07_IS(D1118,61,$G$5,$H$13)/[1]!S_STM07_IS(D1118,9,$G$5,$H$13),[1]!S_STM07_IS(D1118,55,$G$5,$H$13)/$E$5))</f>
        <v/>
      </c>
      <c r="L1118" s="247" t="str">
        <f ca="1">IF(C1118="","",IF($L$11="ROA",[1]!S_STM07_IS(D1118,61,$G$5,$H$13)/[1]!S_STM07_BS(D1118,74,$G$5,$H$13),1-[1]!S_STM07_IS(D1118,61,$G$5,$H$13)/[1]!S_STM07_IS(D1118,55,$G$5,$H$13)))</f>
        <v/>
      </c>
      <c r="M1118" s="247" t="str">
        <f ca="1">IF(C1118="","",IF($M$11="ROE",[1]!S_STM07_IS(D1118,61,$G$5,$H$13)/[1]!S_STM07_BS(D1118,141,$G$5,$H$13),([1]!S_STM07_BS(D1118,25,$G$5,$H$13)-[1]!S_STM07_BS(D1118,93,$G$5,$H$13))/$E$5))</f>
        <v/>
      </c>
      <c r="N1118" s="247" t="str">
        <f ca="1">IF(C1118="","",IF($N$11="EPS",[1]!S_STM07_IS(D1118,61,$G$5,$H$13)/IF([1]!S_SHARE_TOTAL(D1118,$G$5)=0,[1]!S_SHARE_TOTAL(D1118,[1]!s_ipo_listeddate(D1118)),[1]!S_SHARE_TOTAL(D1118,$G$5)),([1]!S_STM07_BS(D1118,75,$G$5,$H$13)+[1]!S_STM07_BS(D1118,88,$G$5,$H$13)+[1]!S_STM07_BS(D1118,94,$G$5,$H$13)+[1]!S_STM07_BS(D1118,95,$G$5,$H$13))/$E$5))</f>
        <v/>
      </c>
      <c r="O1118" s="247" t="str">
        <f ca="1">IF(C1118="","",IF($O$11="BPS",[1]!S_STM07_BS(D1118,141,$G$5,$H$13)/IF([1]!S_SHARE_TOTAL(D1118,$G$5)=0,[1]!S_SHARE_TOTAL(D1118,[1]!s_ipo_listeddate(D1118)),[1]!S_SHARE_TOTAL(D1118,$G$5)),[1]!S_STM07_CS(D1118,49,$G$5,$H$13)/$E$5))</f>
        <v/>
      </c>
      <c r="P1118" s="247" t="str">
        <f ca="1">IF(C1118="","",IF($P$11="CFPS",[1]!S_STM07_CS(D1118,84,$G$5,$H$13)/IF([1]!S_SHARE_TOTAL(D1118,$G$5)=0,[1]!S_SHARE_TOTAL(D1118,[1]!s_ipo_listeddate(D1118)),[1]!S_SHARE_TOTAL(D1118,$G$5)),[1]!S_STM07_CS(D1118,84,$G$5,$H$13)/$E$5))</f>
        <v/>
      </c>
      <c r="Q1118" s="248" t="str">
        <f ca="1">IF(C1118="","",F1118/([1]!S_STM07_IS(D1118,61,$G$5,$H$13)/IF([1]!S_SHARE_TOTAL(D1118,$G$5)=0,[1]!S_SHARE_TOTAL(D1118,[1]!s_ipo_listeddate(D1118)),[1]!S_SHARE_TOTAL(D1118,$G$5))))</f>
        <v/>
      </c>
      <c r="R1118" s="248" t="str">
        <f ca="1">IF(C1118="","",F1118/([1]!S_STM07_BS(D1118,141,$G$5,$H$13)/IF([1]!S_SHARE_TOTAL(D1118,$G$5)=0,[1]!S_SHARE_TOTAL(D1118,[1]!s_ipo_listeddate(D1118)),[1]!S_SHARE_TOTAL(D1118,$G$5))))</f>
        <v/>
      </c>
      <c r="S1118" s="247" t="str">
        <f ca="1">IF(C1118="","",[1]!S_SHARE_TOTAL(D1118,TODAY())/$E$5)</f>
        <v/>
      </c>
      <c r="T1118" s="247" t="str">
        <f t="shared" ca="1" si="115"/>
        <v/>
      </c>
      <c r="U1118" s="218" t="str">
        <f t="shared" ca="1" si="116"/>
        <v/>
      </c>
      <c r="V1118" s="342" t="str">
        <f t="shared" ca="1" si="117"/>
        <v/>
      </c>
      <c r="W1118" s="139"/>
      <c r="Y1118" s="1"/>
    </row>
    <row r="1119" spans="3:25" ht="12" customHeight="1">
      <c r="C1119" s="343" t="str">
        <f t="shared" ca="1" si="112"/>
        <v/>
      </c>
      <c r="D1119" s="124" t="str">
        <f t="shared" ca="1" si="113"/>
        <v/>
      </c>
      <c r="E1119" s="124" t="str">
        <f t="shared" ca="1" si="114"/>
        <v/>
      </c>
      <c r="F1119" s="172" t="str">
        <f ca="1">IF(C1119="","",[1]!S_DQ_CLOSE(D1119,TODAY(),1))</f>
        <v/>
      </c>
      <c r="G1119" s="173" t="str">
        <f ca="1">IF(C1119="","",[1]!s_pq_pctchange(D1119,TODAY()-$G$12,TODAY())/100)</f>
        <v/>
      </c>
      <c r="H1119" s="249" t="str">
        <f ca="1">IF(C1119="","",IF($H$11="收入",[1]!S_STM07_IS(D1119,9,$G$5,$H$13)/$E$5,[1]!S_STM07_IS(D1119,48,$G$5,$H$13)/$E$5))</f>
        <v/>
      </c>
      <c r="I1119" s="249" t="str">
        <f ca="1">IF(C1119="","",IF($I$11="毛利率",([1]!S_STM07_IS(D1119,9,$G$5,$H$13)-[1]!S_STM07_IS(D1119,10,$G$5,$H$13))/[1]!S_STM07_IS(D1119,9,$G$5,$H$13),[1]!S_STM07_IS(D1119,14,$G$5,$H$13)/$E$5))</f>
        <v/>
      </c>
      <c r="J1119" s="249" t="str">
        <f ca="1">IF(C1119="","",IF($J$11="营业利润率",[1]!S_STM07_IS(D1119,48,$G$5,$H$13)/[1]!S_STM07_IS(D1119,9,$G$5,$H$13),([1]!S_STM07_CS(D1119,87,$G$5,$H$13)+[1]!S_STM07_CS(D1119,88,$G$5,$H$13)+[1]!S_STM07_CS(D1119,89,$G$5,$H$13))/$E$5))</f>
        <v/>
      </c>
      <c r="K1119" s="249" t="str">
        <f ca="1">IF(C1119="","",IF($K$11="净利润率",[1]!S_STM07_IS(D1119,61,$G$5,$H$13)/[1]!S_STM07_IS(D1119,9,$G$5,$H$13),[1]!S_STM07_IS(D1119,55,$G$5,$H$13)/$E$5))</f>
        <v/>
      </c>
      <c r="L1119" s="249" t="str">
        <f ca="1">IF(C1119="","",IF($L$11="ROA",[1]!S_STM07_IS(D1119,61,$G$5,$H$13)/[1]!S_STM07_BS(D1119,74,$G$5,$H$13),1-[1]!S_STM07_IS(D1119,61,$G$5,$H$13)/[1]!S_STM07_IS(D1119,55,$G$5,$H$13)))</f>
        <v/>
      </c>
      <c r="M1119" s="249" t="str">
        <f ca="1">IF(C1119="","",IF($M$11="ROE",[1]!S_STM07_IS(D1119,61,$G$5,$H$13)/[1]!S_STM07_BS(D1119,141,$G$5,$H$13),([1]!S_STM07_BS(D1119,25,$G$5,$H$13)-[1]!S_STM07_BS(D1119,93,$G$5,$H$13))/$E$5))</f>
        <v/>
      </c>
      <c r="N1119" s="250" t="str">
        <f ca="1">IF(C1119="","",IF($N$11="EPS",[1]!S_STM07_IS(D1119,61,$G$5,$H$13)/IF([1]!S_SHARE_TOTAL(D1119,$G$5)=0,[1]!S_SHARE_TOTAL(D1119,[1]!s_ipo_listeddate(D1119)),[1]!S_SHARE_TOTAL(D1119,$G$5)),([1]!S_STM07_BS(D1119,75,$G$5,$H$13)+[1]!S_STM07_BS(D1119,88,$G$5,$H$13)+[1]!S_STM07_BS(D1119,94,$G$5,$H$13)+[1]!S_STM07_BS(D1119,95,$G$5,$H$13))/$E$5))</f>
        <v/>
      </c>
      <c r="O1119" s="250" t="str">
        <f ca="1">IF(C1119="","",IF($O$11="BPS",[1]!S_STM07_BS(D1119,141,$G$5,$H$13)/IF([1]!S_SHARE_TOTAL(D1119,$G$5)=0,[1]!S_SHARE_TOTAL(D1119,[1]!s_ipo_listeddate(D1119)),[1]!S_SHARE_TOTAL(D1119,$G$5)),[1]!S_STM07_CS(D1119,49,$G$5,$H$13)/$E$5))</f>
        <v/>
      </c>
      <c r="P1119" s="250" t="str">
        <f ca="1">IF(C1119="","",IF($P$11="CFPS",[1]!S_STM07_CS(D1119,84,$G$5,$H$13)/IF([1]!S_SHARE_TOTAL(D1119,$G$5)=0,[1]!S_SHARE_TOTAL(D1119,[1]!s_ipo_listeddate(D1119)),[1]!S_SHARE_TOTAL(D1119,$G$5)),[1]!S_STM07_CS(D1119,84,$G$5,$H$13)/$E$5))</f>
        <v/>
      </c>
      <c r="Q1119" s="198" t="str">
        <f ca="1">IF(C1119="","",F1119/([1]!S_STM07_IS(D1119,61,$G$5,$H$13)/IF([1]!S_SHARE_TOTAL(D1119,$G$5)=0,[1]!S_SHARE_TOTAL(D1119,[1]!s_ipo_listeddate(D1119)),[1]!S_SHARE_TOTAL(D1119,$G$5))))</f>
        <v/>
      </c>
      <c r="R1119" s="198" t="str">
        <f ca="1">IF(C1119="","",F1119/([1]!S_STM07_BS(D1119,141,$G$5,$H$13)/IF([1]!S_SHARE_TOTAL(D1119,$G$5)=0,[1]!S_SHARE_TOTAL(D1119,[1]!s_ipo_listeddate(D1119)),[1]!S_SHARE_TOTAL(D1119,$G$5))))</f>
        <v/>
      </c>
      <c r="S1119" s="249" t="str">
        <f ca="1">IF(C1119="","",[1]!S_SHARE_TOTAL(D1119,TODAY())/$E$5)</f>
        <v/>
      </c>
      <c r="T1119" s="249" t="str">
        <f t="shared" ca="1" si="115"/>
        <v/>
      </c>
      <c r="U1119" s="172" t="str">
        <f t="shared" ca="1" si="116"/>
        <v/>
      </c>
      <c r="V1119" s="343" t="str">
        <f t="shared" ca="1" si="117"/>
        <v/>
      </c>
      <c r="W1119" s="139"/>
      <c r="Y1119" s="1"/>
    </row>
    <row r="1120" spans="3:25" ht="12" customHeight="1">
      <c r="C1120" s="342" t="str">
        <f t="shared" ca="1" si="112"/>
        <v/>
      </c>
      <c r="D1120" s="153" t="str">
        <f t="shared" ca="1" si="113"/>
        <v/>
      </c>
      <c r="E1120" s="153" t="str">
        <f t="shared" ca="1" si="114"/>
        <v/>
      </c>
      <c r="F1120" s="170" t="str">
        <f ca="1">IF(C1120="","",[1]!S_DQ_CLOSE(D1120,TODAY(),1))</f>
        <v/>
      </c>
      <c r="G1120" s="171" t="str">
        <f ca="1">IF(C1120="","",[1]!s_pq_pctchange(D1120,TODAY()-$G$12,TODAY())/100)</f>
        <v/>
      </c>
      <c r="H1120" s="247" t="str">
        <f ca="1">IF(C1120="","",IF($H$11="收入",[1]!S_STM07_IS(D1120,9,$G$5,$H$13)/$E$5,[1]!S_STM07_IS(D1120,48,$G$5,$H$13)/$E$5))</f>
        <v/>
      </c>
      <c r="I1120" s="247" t="str">
        <f ca="1">IF(C1120="","",IF($I$11="毛利率",([1]!S_STM07_IS(D1120,9,$G$5,$H$13)-[1]!S_STM07_IS(D1120,10,$G$5,$H$13))/[1]!S_STM07_IS(D1120,9,$G$5,$H$13),[1]!S_STM07_IS(D1120,14,$G$5,$H$13)/$E$5))</f>
        <v/>
      </c>
      <c r="J1120" s="247" t="str">
        <f ca="1">IF(C1120="","",IF($J$11="营业利润率",[1]!S_STM07_IS(D1120,48,$G$5,$H$13)/[1]!S_STM07_IS(D1120,9,$G$5,$H$13),([1]!S_STM07_CS(D1120,87,$G$5,$H$13)+[1]!S_STM07_CS(D1120,88,$G$5,$H$13)+[1]!S_STM07_CS(D1120,89,$G$5,$H$13))/$E$5))</f>
        <v/>
      </c>
      <c r="K1120" s="247" t="str">
        <f ca="1">IF(C1120="","",IF($K$11="净利润率",[1]!S_STM07_IS(D1120,61,$G$5,$H$13)/[1]!S_STM07_IS(D1120,9,$G$5,$H$13),[1]!S_STM07_IS(D1120,55,$G$5,$H$13)/$E$5))</f>
        <v/>
      </c>
      <c r="L1120" s="247" t="str">
        <f ca="1">IF(C1120="","",IF($L$11="ROA",[1]!S_STM07_IS(D1120,61,$G$5,$H$13)/[1]!S_STM07_BS(D1120,74,$G$5,$H$13),1-[1]!S_STM07_IS(D1120,61,$G$5,$H$13)/[1]!S_STM07_IS(D1120,55,$G$5,$H$13)))</f>
        <v/>
      </c>
      <c r="M1120" s="247" t="str">
        <f ca="1">IF(C1120="","",IF($M$11="ROE",[1]!S_STM07_IS(D1120,61,$G$5,$H$13)/[1]!S_STM07_BS(D1120,141,$G$5,$H$13),([1]!S_STM07_BS(D1120,25,$G$5,$H$13)-[1]!S_STM07_BS(D1120,93,$G$5,$H$13))/$E$5))</f>
        <v/>
      </c>
      <c r="N1120" s="247" t="str">
        <f ca="1">IF(C1120="","",IF($N$11="EPS",[1]!S_STM07_IS(D1120,61,$G$5,$H$13)/IF([1]!S_SHARE_TOTAL(D1120,$G$5)=0,[1]!S_SHARE_TOTAL(D1120,[1]!s_ipo_listeddate(D1120)),[1]!S_SHARE_TOTAL(D1120,$G$5)),([1]!S_STM07_BS(D1120,75,$G$5,$H$13)+[1]!S_STM07_BS(D1120,88,$G$5,$H$13)+[1]!S_STM07_BS(D1120,94,$G$5,$H$13)+[1]!S_STM07_BS(D1120,95,$G$5,$H$13))/$E$5))</f>
        <v/>
      </c>
      <c r="O1120" s="247" t="str">
        <f ca="1">IF(C1120="","",IF($O$11="BPS",[1]!S_STM07_BS(D1120,141,$G$5,$H$13)/IF([1]!S_SHARE_TOTAL(D1120,$G$5)=0,[1]!S_SHARE_TOTAL(D1120,[1]!s_ipo_listeddate(D1120)),[1]!S_SHARE_TOTAL(D1120,$G$5)),[1]!S_STM07_CS(D1120,49,$G$5,$H$13)/$E$5))</f>
        <v/>
      </c>
      <c r="P1120" s="247" t="str">
        <f ca="1">IF(C1120="","",IF($P$11="CFPS",[1]!S_STM07_CS(D1120,84,$G$5,$H$13)/IF([1]!S_SHARE_TOTAL(D1120,$G$5)=0,[1]!S_SHARE_TOTAL(D1120,[1]!s_ipo_listeddate(D1120)),[1]!S_SHARE_TOTAL(D1120,$G$5)),[1]!S_STM07_CS(D1120,84,$G$5,$H$13)/$E$5))</f>
        <v/>
      </c>
      <c r="Q1120" s="248" t="str">
        <f ca="1">IF(C1120="","",F1120/([1]!S_STM07_IS(D1120,61,$G$5,$H$13)/IF([1]!S_SHARE_TOTAL(D1120,$G$5)=0,[1]!S_SHARE_TOTAL(D1120,[1]!s_ipo_listeddate(D1120)),[1]!S_SHARE_TOTAL(D1120,$G$5))))</f>
        <v/>
      </c>
      <c r="R1120" s="248" t="str">
        <f ca="1">IF(C1120="","",F1120/([1]!S_STM07_BS(D1120,141,$G$5,$H$13)/IF([1]!S_SHARE_TOTAL(D1120,$G$5)=0,[1]!S_SHARE_TOTAL(D1120,[1]!s_ipo_listeddate(D1120)),[1]!S_SHARE_TOTAL(D1120,$G$5))))</f>
        <v/>
      </c>
      <c r="S1120" s="247" t="str">
        <f ca="1">IF(C1120="","",[1]!S_SHARE_TOTAL(D1120,TODAY())/$E$5)</f>
        <v/>
      </c>
      <c r="T1120" s="247" t="str">
        <f t="shared" ca="1" si="115"/>
        <v/>
      </c>
      <c r="U1120" s="218" t="str">
        <f t="shared" ca="1" si="116"/>
        <v/>
      </c>
      <c r="V1120" s="342" t="str">
        <f t="shared" ca="1" si="117"/>
        <v/>
      </c>
      <c r="W1120" s="139"/>
      <c r="Y1120" s="1"/>
    </row>
    <row r="1121" spans="3:25" ht="12" customHeight="1">
      <c r="C1121" s="343" t="str">
        <f t="shared" ca="1" si="112"/>
        <v/>
      </c>
      <c r="D1121" s="124" t="str">
        <f t="shared" ca="1" si="113"/>
        <v/>
      </c>
      <c r="E1121" s="124" t="str">
        <f t="shared" ca="1" si="114"/>
        <v/>
      </c>
      <c r="F1121" s="172" t="str">
        <f ca="1">IF(C1121="","",[1]!S_DQ_CLOSE(D1121,TODAY(),1))</f>
        <v/>
      </c>
      <c r="G1121" s="173" t="str">
        <f ca="1">IF(C1121="","",[1]!s_pq_pctchange(D1121,TODAY()-$G$12,TODAY())/100)</f>
        <v/>
      </c>
      <c r="H1121" s="249" t="str">
        <f ca="1">IF(C1121="","",IF($H$11="收入",[1]!S_STM07_IS(D1121,9,$G$5,$H$13)/$E$5,[1]!S_STM07_IS(D1121,48,$G$5,$H$13)/$E$5))</f>
        <v/>
      </c>
      <c r="I1121" s="249" t="str">
        <f ca="1">IF(C1121="","",IF($I$11="毛利率",([1]!S_STM07_IS(D1121,9,$G$5,$H$13)-[1]!S_STM07_IS(D1121,10,$G$5,$H$13))/[1]!S_STM07_IS(D1121,9,$G$5,$H$13),[1]!S_STM07_IS(D1121,14,$G$5,$H$13)/$E$5))</f>
        <v/>
      </c>
      <c r="J1121" s="249" t="str">
        <f ca="1">IF(C1121="","",IF($J$11="营业利润率",[1]!S_STM07_IS(D1121,48,$G$5,$H$13)/[1]!S_STM07_IS(D1121,9,$G$5,$H$13),([1]!S_STM07_CS(D1121,87,$G$5,$H$13)+[1]!S_STM07_CS(D1121,88,$G$5,$H$13)+[1]!S_STM07_CS(D1121,89,$G$5,$H$13))/$E$5))</f>
        <v/>
      </c>
      <c r="K1121" s="249" t="str">
        <f ca="1">IF(C1121="","",IF($K$11="净利润率",[1]!S_STM07_IS(D1121,61,$G$5,$H$13)/[1]!S_STM07_IS(D1121,9,$G$5,$H$13),[1]!S_STM07_IS(D1121,55,$G$5,$H$13)/$E$5))</f>
        <v/>
      </c>
      <c r="L1121" s="249" t="str">
        <f ca="1">IF(C1121="","",IF($L$11="ROA",[1]!S_STM07_IS(D1121,61,$G$5,$H$13)/[1]!S_STM07_BS(D1121,74,$G$5,$H$13),1-[1]!S_STM07_IS(D1121,61,$G$5,$H$13)/[1]!S_STM07_IS(D1121,55,$G$5,$H$13)))</f>
        <v/>
      </c>
      <c r="M1121" s="249" t="str">
        <f ca="1">IF(C1121="","",IF($M$11="ROE",[1]!S_STM07_IS(D1121,61,$G$5,$H$13)/[1]!S_STM07_BS(D1121,141,$G$5,$H$13),([1]!S_STM07_BS(D1121,25,$G$5,$H$13)-[1]!S_STM07_BS(D1121,93,$G$5,$H$13))/$E$5))</f>
        <v/>
      </c>
      <c r="N1121" s="250" t="str">
        <f ca="1">IF(C1121="","",IF($N$11="EPS",[1]!S_STM07_IS(D1121,61,$G$5,$H$13)/IF([1]!S_SHARE_TOTAL(D1121,$G$5)=0,[1]!S_SHARE_TOTAL(D1121,[1]!s_ipo_listeddate(D1121)),[1]!S_SHARE_TOTAL(D1121,$G$5)),([1]!S_STM07_BS(D1121,75,$G$5,$H$13)+[1]!S_STM07_BS(D1121,88,$G$5,$H$13)+[1]!S_STM07_BS(D1121,94,$G$5,$H$13)+[1]!S_STM07_BS(D1121,95,$G$5,$H$13))/$E$5))</f>
        <v/>
      </c>
      <c r="O1121" s="250" t="str">
        <f ca="1">IF(C1121="","",IF($O$11="BPS",[1]!S_STM07_BS(D1121,141,$G$5,$H$13)/IF([1]!S_SHARE_TOTAL(D1121,$G$5)=0,[1]!S_SHARE_TOTAL(D1121,[1]!s_ipo_listeddate(D1121)),[1]!S_SHARE_TOTAL(D1121,$G$5)),[1]!S_STM07_CS(D1121,49,$G$5,$H$13)/$E$5))</f>
        <v/>
      </c>
      <c r="P1121" s="250" t="str">
        <f ca="1">IF(C1121="","",IF($P$11="CFPS",[1]!S_STM07_CS(D1121,84,$G$5,$H$13)/IF([1]!S_SHARE_TOTAL(D1121,$G$5)=0,[1]!S_SHARE_TOTAL(D1121,[1]!s_ipo_listeddate(D1121)),[1]!S_SHARE_TOTAL(D1121,$G$5)),[1]!S_STM07_CS(D1121,84,$G$5,$H$13)/$E$5))</f>
        <v/>
      </c>
      <c r="Q1121" s="198" t="str">
        <f ca="1">IF(C1121="","",F1121/([1]!S_STM07_IS(D1121,61,$G$5,$H$13)/IF([1]!S_SHARE_TOTAL(D1121,$G$5)=0,[1]!S_SHARE_TOTAL(D1121,[1]!s_ipo_listeddate(D1121)),[1]!S_SHARE_TOTAL(D1121,$G$5))))</f>
        <v/>
      </c>
      <c r="R1121" s="198" t="str">
        <f ca="1">IF(C1121="","",F1121/([1]!S_STM07_BS(D1121,141,$G$5,$H$13)/IF([1]!S_SHARE_TOTAL(D1121,$G$5)=0,[1]!S_SHARE_TOTAL(D1121,[1]!s_ipo_listeddate(D1121)),[1]!S_SHARE_TOTAL(D1121,$G$5))))</f>
        <v/>
      </c>
      <c r="S1121" s="249" t="str">
        <f ca="1">IF(C1121="","",[1]!S_SHARE_TOTAL(D1121,TODAY())/$E$5)</f>
        <v/>
      </c>
      <c r="T1121" s="249" t="str">
        <f t="shared" ca="1" si="115"/>
        <v/>
      </c>
      <c r="U1121" s="172" t="str">
        <f t="shared" ca="1" si="116"/>
        <v/>
      </c>
      <c r="V1121" s="343" t="str">
        <f t="shared" ca="1" si="117"/>
        <v/>
      </c>
      <c r="W1121" s="139"/>
      <c r="Y1121" s="1"/>
    </row>
    <row r="1122" spans="3:25" ht="12" customHeight="1">
      <c r="C1122" s="342" t="str">
        <f t="shared" ca="1" si="112"/>
        <v/>
      </c>
      <c r="D1122" s="153" t="str">
        <f t="shared" ca="1" si="113"/>
        <v/>
      </c>
      <c r="E1122" s="153" t="str">
        <f t="shared" ca="1" si="114"/>
        <v/>
      </c>
      <c r="F1122" s="170" t="str">
        <f ca="1">IF(C1122="","",[1]!S_DQ_CLOSE(D1122,TODAY(),1))</f>
        <v/>
      </c>
      <c r="G1122" s="171" t="str">
        <f ca="1">IF(C1122="","",[1]!s_pq_pctchange(D1122,TODAY()-$G$12,TODAY())/100)</f>
        <v/>
      </c>
      <c r="H1122" s="247" t="str">
        <f ca="1">IF(C1122="","",IF($H$11="收入",[1]!S_STM07_IS(D1122,9,$G$5,$H$13)/$E$5,[1]!S_STM07_IS(D1122,48,$G$5,$H$13)/$E$5))</f>
        <v/>
      </c>
      <c r="I1122" s="247" t="str">
        <f ca="1">IF(C1122="","",IF($I$11="毛利率",([1]!S_STM07_IS(D1122,9,$G$5,$H$13)-[1]!S_STM07_IS(D1122,10,$G$5,$H$13))/[1]!S_STM07_IS(D1122,9,$G$5,$H$13),[1]!S_STM07_IS(D1122,14,$G$5,$H$13)/$E$5))</f>
        <v/>
      </c>
      <c r="J1122" s="247" t="str">
        <f ca="1">IF(C1122="","",IF($J$11="营业利润率",[1]!S_STM07_IS(D1122,48,$G$5,$H$13)/[1]!S_STM07_IS(D1122,9,$G$5,$H$13),([1]!S_STM07_CS(D1122,87,$G$5,$H$13)+[1]!S_STM07_CS(D1122,88,$G$5,$H$13)+[1]!S_STM07_CS(D1122,89,$G$5,$H$13))/$E$5))</f>
        <v/>
      </c>
      <c r="K1122" s="247" t="str">
        <f ca="1">IF(C1122="","",IF($K$11="净利润率",[1]!S_STM07_IS(D1122,61,$G$5,$H$13)/[1]!S_STM07_IS(D1122,9,$G$5,$H$13),[1]!S_STM07_IS(D1122,55,$G$5,$H$13)/$E$5))</f>
        <v/>
      </c>
      <c r="L1122" s="247" t="str">
        <f ca="1">IF(C1122="","",IF($L$11="ROA",[1]!S_STM07_IS(D1122,61,$G$5,$H$13)/[1]!S_STM07_BS(D1122,74,$G$5,$H$13),1-[1]!S_STM07_IS(D1122,61,$G$5,$H$13)/[1]!S_STM07_IS(D1122,55,$G$5,$H$13)))</f>
        <v/>
      </c>
      <c r="M1122" s="247" t="str">
        <f ca="1">IF(C1122="","",IF($M$11="ROE",[1]!S_STM07_IS(D1122,61,$G$5,$H$13)/[1]!S_STM07_BS(D1122,141,$G$5,$H$13),([1]!S_STM07_BS(D1122,25,$G$5,$H$13)-[1]!S_STM07_BS(D1122,93,$G$5,$H$13))/$E$5))</f>
        <v/>
      </c>
      <c r="N1122" s="247" t="str">
        <f ca="1">IF(C1122="","",IF($N$11="EPS",[1]!S_STM07_IS(D1122,61,$G$5,$H$13)/IF([1]!S_SHARE_TOTAL(D1122,$G$5)=0,[1]!S_SHARE_TOTAL(D1122,[1]!s_ipo_listeddate(D1122)),[1]!S_SHARE_TOTAL(D1122,$G$5)),([1]!S_STM07_BS(D1122,75,$G$5,$H$13)+[1]!S_STM07_BS(D1122,88,$G$5,$H$13)+[1]!S_STM07_BS(D1122,94,$G$5,$H$13)+[1]!S_STM07_BS(D1122,95,$G$5,$H$13))/$E$5))</f>
        <v/>
      </c>
      <c r="O1122" s="247" t="str">
        <f ca="1">IF(C1122="","",IF($O$11="BPS",[1]!S_STM07_BS(D1122,141,$G$5,$H$13)/IF([1]!S_SHARE_TOTAL(D1122,$G$5)=0,[1]!S_SHARE_TOTAL(D1122,[1]!s_ipo_listeddate(D1122)),[1]!S_SHARE_TOTAL(D1122,$G$5)),[1]!S_STM07_CS(D1122,49,$G$5,$H$13)/$E$5))</f>
        <v/>
      </c>
      <c r="P1122" s="247" t="str">
        <f ca="1">IF(C1122="","",IF($P$11="CFPS",[1]!S_STM07_CS(D1122,84,$G$5,$H$13)/IF([1]!S_SHARE_TOTAL(D1122,$G$5)=0,[1]!S_SHARE_TOTAL(D1122,[1]!s_ipo_listeddate(D1122)),[1]!S_SHARE_TOTAL(D1122,$G$5)),[1]!S_STM07_CS(D1122,84,$G$5,$H$13)/$E$5))</f>
        <v/>
      </c>
      <c r="Q1122" s="248" t="str">
        <f ca="1">IF(C1122="","",F1122/([1]!S_STM07_IS(D1122,61,$G$5,$H$13)/IF([1]!S_SHARE_TOTAL(D1122,$G$5)=0,[1]!S_SHARE_TOTAL(D1122,[1]!s_ipo_listeddate(D1122)),[1]!S_SHARE_TOTAL(D1122,$G$5))))</f>
        <v/>
      </c>
      <c r="R1122" s="248" t="str">
        <f ca="1">IF(C1122="","",F1122/([1]!S_STM07_BS(D1122,141,$G$5,$H$13)/IF([1]!S_SHARE_TOTAL(D1122,$G$5)=0,[1]!S_SHARE_TOTAL(D1122,[1]!s_ipo_listeddate(D1122)),[1]!S_SHARE_TOTAL(D1122,$G$5))))</f>
        <v/>
      </c>
      <c r="S1122" s="247" t="str">
        <f ca="1">IF(C1122="","",[1]!S_SHARE_TOTAL(D1122,TODAY())/$E$5)</f>
        <v/>
      </c>
      <c r="T1122" s="247" t="str">
        <f t="shared" ca="1" si="115"/>
        <v/>
      </c>
      <c r="U1122" s="218" t="str">
        <f t="shared" ca="1" si="116"/>
        <v/>
      </c>
      <c r="V1122" s="342" t="str">
        <f t="shared" ca="1" si="117"/>
        <v/>
      </c>
      <c r="W1122" s="139"/>
      <c r="Y1122" s="1"/>
    </row>
    <row r="1123" spans="3:25" ht="12" customHeight="1">
      <c r="C1123" s="343" t="str">
        <f t="shared" ca="1" si="112"/>
        <v/>
      </c>
      <c r="D1123" s="124" t="str">
        <f t="shared" ca="1" si="113"/>
        <v/>
      </c>
      <c r="E1123" s="124" t="str">
        <f t="shared" ca="1" si="114"/>
        <v/>
      </c>
      <c r="F1123" s="172" t="str">
        <f ca="1">IF(C1123="","",[1]!S_DQ_CLOSE(D1123,TODAY(),1))</f>
        <v/>
      </c>
      <c r="G1123" s="173" t="str">
        <f ca="1">IF(C1123="","",[1]!s_pq_pctchange(D1123,TODAY()-$G$12,TODAY())/100)</f>
        <v/>
      </c>
      <c r="H1123" s="249" t="str">
        <f ca="1">IF(C1123="","",IF($H$11="收入",[1]!S_STM07_IS(D1123,9,$G$5,$H$13)/$E$5,[1]!S_STM07_IS(D1123,48,$G$5,$H$13)/$E$5))</f>
        <v/>
      </c>
      <c r="I1123" s="249" t="str">
        <f ca="1">IF(C1123="","",IF($I$11="毛利率",([1]!S_STM07_IS(D1123,9,$G$5,$H$13)-[1]!S_STM07_IS(D1123,10,$G$5,$H$13))/[1]!S_STM07_IS(D1123,9,$G$5,$H$13),[1]!S_STM07_IS(D1123,14,$G$5,$H$13)/$E$5))</f>
        <v/>
      </c>
      <c r="J1123" s="249" t="str">
        <f ca="1">IF(C1123="","",IF($J$11="营业利润率",[1]!S_STM07_IS(D1123,48,$G$5,$H$13)/[1]!S_STM07_IS(D1123,9,$G$5,$H$13),([1]!S_STM07_CS(D1123,87,$G$5,$H$13)+[1]!S_STM07_CS(D1123,88,$G$5,$H$13)+[1]!S_STM07_CS(D1123,89,$G$5,$H$13))/$E$5))</f>
        <v/>
      </c>
      <c r="K1123" s="249" t="str">
        <f ca="1">IF(C1123="","",IF($K$11="净利润率",[1]!S_STM07_IS(D1123,61,$G$5,$H$13)/[1]!S_STM07_IS(D1123,9,$G$5,$H$13),[1]!S_STM07_IS(D1123,55,$G$5,$H$13)/$E$5))</f>
        <v/>
      </c>
      <c r="L1123" s="249" t="str">
        <f ca="1">IF(C1123="","",IF($L$11="ROA",[1]!S_STM07_IS(D1123,61,$G$5,$H$13)/[1]!S_STM07_BS(D1123,74,$G$5,$H$13),1-[1]!S_STM07_IS(D1123,61,$G$5,$H$13)/[1]!S_STM07_IS(D1123,55,$G$5,$H$13)))</f>
        <v/>
      </c>
      <c r="M1123" s="249" t="str">
        <f ca="1">IF(C1123="","",IF($M$11="ROE",[1]!S_STM07_IS(D1123,61,$G$5,$H$13)/[1]!S_STM07_BS(D1123,141,$G$5,$H$13),([1]!S_STM07_BS(D1123,25,$G$5,$H$13)-[1]!S_STM07_BS(D1123,93,$G$5,$H$13))/$E$5))</f>
        <v/>
      </c>
      <c r="N1123" s="250" t="str">
        <f ca="1">IF(C1123="","",IF($N$11="EPS",[1]!S_STM07_IS(D1123,61,$G$5,$H$13)/IF([1]!S_SHARE_TOTAL(D1123,$G$5)=0,[1]!S_SHARE_TOTAL(D1123,[1]!s_ipo_listeddate(D1123)),[1]!S_SHARE_TOTAL(D1123,$G$5)),([1]!S_STM07_BS(D1123,75,$G$5,$H$13)+[1]!S_STM07_BS(D1123,88,$G$5,$H$13)+[1]!S_STM07_BS(D1123,94,$G$5,$H$13)+[1]!S_STM07_BS(D1123,95,$G$5,$H$13))/$E$5))</f>
        <v/>
      </c>
      <c r="O1123" s="250" t="str">
        <f ca="1">IF(C1123="","",IF($O$11="BPS",[1]!S_STM07_BS(D1123,141,$G$5,$H$13)/IF([1]!S_SHARE_TOTAL(D1123,$G$5)=0,[1]!S_SHARE_TOTAL(D1123,[1]!s_ipo_listeddate(D1123)),[1]!S_SHARE_TOTAL(D1123,$G$5)),[1]!S_STM07_CS(D1123,49,$G$5,$H$13)/$E$5))</f>
        <v/>
      </c>
      <c r="P1123" s="250" t="str">
        <f ca="1">IF(C1123="","",IF($P$11="CFPS",[1]!S_STM07_CS(D1123,84,$G$5,$H$13)/IF([1]!S_SHARE_TOTAL(D1123,$G$5)=0,[1]!S_SHARE_TOTAL(D1123,[1]!s_ipo_listeddate(D1123)),[1]!S_SHARE_TOTAL(D1123,$G$5)),[1]!S_STM07_CS(D1123,84,$G$5,$H$13)/$E$5))</f>
        <v/>
      </c>
      <c r="Q1123" s="198" t="str">
        <f ca="1">IF(C1123="","",F1123/([1]!S_STM07_IS(D1123,61,$G$5,$H$13)/IF([1]!S_SHARE_TOTAL(D1123,$G$5)=0,[1]!S_SHARE_TOTAL(D1123,[1]!s_ipo_listeddate(D1123)),[1]!S_SHARE_TOTAL(D1123,$G$5))))</f>
        <v/>
      </c>
      <c r="R1123" s="198" t="str">
        <f ca="1">IF(C1123="","",F1123/([1]!S_STM07_BS(D1123,141,$G$5,$H$13)/IF([1]!S_SHARE_TOTAL(D1123,$G$5)=0,[1]!S_SHARE_TOTAL(D1123,[1]!s_ipo_listeddate(D1123)),[1]!S_SHARE_TOTAL(D1123,$G$5))))</f>
        <v/>
      </c>
      <c r="S1123" s="249" t="str">
        <f ca="1">IF(C1123="","",[1]!S_SHARE_TOTAL(D1123,TODAY())/$E$5)</f>
        <v/>
      </c>
      <c r="T1123" s="249" t="str">
        <f t="shared" ca="1" si="115"/>
        <v/>
      </c>
      <c r="U1123" s="172" t="str">
        <f t="shared" ca="1" si="116"/>
        <v/>
      </c>
      <c r="V1123" s="343" t="str">
        <f t="shared" ca="1" si="117"/>
        <v/>
      </c>
      <c r="W1123" s="139"/>
      <c r="Y1123" s="1"/>
    </row>
    <row r="1124" spans="3:25" ht="12" customHeight="1">
      <c r="C1124" s="342" t="str">
        <f t="shared" ca="1" si="112"/>
        <v/>
      </c>
      <c r="D1124" s="153" t="str">
        <f t="shared" ca="1" si="113"/>
        <v/>
      </c>
      <c r="E1124" s="153" t="str">
        <f t="shared" ca="1" si="114"/>
        <v/>
      </c>
      <c r="F1124" s="170" t="str">
        <f ca="1">IF(C1124="","",[1]!S_DQ_CLOSE(D1124,TODAY(),1))</f>
        <v/>
      </c>
      <c r="G1124" s="171" t="str">
        <f ca="1">IF(C1124="","",[1]!s_pq_pctchange(D1124,TODAY()-$G$12,TODAY())/100)</f>
        <v/>
      </c>
      <c r="H1124" s="247" t="str">
        <f ca="1">IF(C1124="","",IF($H$11="收入",[1]!S_STM07_IS(D1124,9,$G$5,$H$13)/$E$5,[1]!S_STM07_IS(D1124,48,$G$5,$H$13)/$E$5))</f>
        <v/>
      </c>
      <c r="I1124" s="247" t="str">
        <f ca="1">IF(C1124="","",IF($I$11="毛利率",([1]!S_STM07_IS(D1124,9,$G$5,$H$13)-[1]!S_STM07_IS(D1124,10,$G$5,$H$13))/[1]!S_STM07_IS(D1124,9,$G$5,$H$13),[1]!S_STM07_IS(D1124,14,$G$5,$H$13)/$E$5))</f>
        <v/>
      </c>
      <c r="J1124" s="247" t="str">
        <f ca="1">IF(C1124="","",IF($J$11="营业利润率",[1]!S_STM07_IS(D1124,48,$G$5,$H$13)/[1]!S_STM07_IS(D1124,9,$G$5,$H$13),([1]!S_STM07_CS(D1124,87,$G$5,$H$13)+[1]!S_STM07_CS(D1124,88,$G$5,$H$13)+[1]!S_STM07_CS(D1124,89,$G$5,$H$13))/$E$5))</f>
        <v/>
      </c>
      <c r="K1124" s="247" t="str">
        <f ca="1">IF(C1124="","",IF($K$11="净利润率",[1]!S_STM07_IS(D1124,61,$G$5,$H$13)/[1]!S_STM07_IS(D1124,9,$G$5,$H$13),[1]!S_STM07_IS(D1124,55,$G$5,$H$13)/$E$5))</f>
        <v/>
      </c>
      <c r="L1124" s="247" t="str">
        <f ca="1">IF(C1124="","",IF($L$11="ROA",[1]!S_STM07_IS(D1124,61,$G$5,$H$13)/[1]!S_STM07_BS(D1124,74,$G$5,$H$13),1-[1]!S_STM07_IS(D1124,61,$G$5,$H$13)/[1]!S_STM07_IS(D1124,55,$G$5,$H$13)))</f>
        <v/>
      </c>
      <c r="M1124" s="247" t="str">
        <f ca="1">IF(C1124="","",IF($M$11="ROE",[1]!S_STM07_IS(D1124,61,$G$5,$H$13)/[1]!S_STM07_BS(D1124,141,$G$5,$H$13),([1]!S_STM07_BS(D1124,25,$G$5,$H$13)-[1]!S_STM07_BS(D1124,93,$G$5,$H$13))/$E$5))</f>
        <v/>
      </c>
      <c r="N1124" s="247" t="str">
        <f ca="1">IF(C1124="","",IF($N$11="EPS",[1]!S_STM07_IS(D1124,61,$G$5,$H$13)/IF([1]!S_SHARE_TOTAL(D1124,$G$5)=0,[1]!S_SHARE_TOTAL(D1124,[1]!s_ipo_listeddate(D1124)),[1]!S_SHARE_TOTAL(D1124,$G$5)),([1]!S_STM07_BS(D1124,75,$G$5,$H$13)+[1]!S_STM07_BS(D1124,88,$G$5,$H$13)+[1]!S_STM07_BS(D1124,94,$G$5,$H$13)+[1]!S_STM07_BS(D1124,95,$G$5,$H$13))/$E$5))</f>
        <v/>
      </c>
      <c r="O1124" s="247" t="str">
        <f ca="1">IF(C1124="","",IF($O$11="BPS",[1]!S_STM07_BS(D1124,141,$G$5,$H$13)/IF([1]!S_SHARE_TOTAL(D1124,$G$5)=0,[1]!S_SHARE_TOTAL(D1124,[1]!s_ipo_listeddate(D1124)),[1]!S_SHARE_TOTAL(D1124,$G$5)),[1]!S_STM07_CS(D1124,49,$G$5,$H$13)/$E$5))</f>
        <v/>
      </c>
      <c r="P1124" s="247" t="str">
        <f ca="1">IF(C1124="","",IF($P$11="CFPS",[1]!S_STM07_CS(D1124,84,$G$5,$H$13)/IF([1]!S_SHARE_TOTAL(D1124,$G$5)=0,[1]!S_SHARE_TOTAL(D1124,[1]!s_ipo_listeddate(D1124)),[1]!S_SHARE_TOTAL(D1124,$G$5)),[1]!S_STM07_CS(D1124,84,$G$5,$H$13)/$E$5))</f>
        <v/>
      </c>
      <c r="Q1124" s="248" t="str">
        <f ca="1">IF(C1124="","",F1124/([1]!S_STM07_IS(D1124,61,$G$5,$H$13)/IF([1]!S_SHARE_TOTAL(D1124,$G$5)=0,[1]!S_SHARE_TOTAL(D1124,[1]!s_ipo_listeddate(D1124)),[1]!S_SHARE_TOTAL(D1124,$G$5))))</f>
        <v/>
      </c>
      <c r="R1124" s="248" t="str">
        <f ca="1">IF(C1124="","",F1124/([1]!S_STM07_BS(D1124,141,$G$5,$H$13)/IF([1]!S_SHARE_TOTAL(D1124,$G$5)=0,[1]!S_SHARE_TOTAL(D1124,[1]!s_ipo_listeddate(D1124)),[1]!S_SHARE_TOTAL(D1124,$G$5))))</f>
        <v/>
      </c>
      <c r="S1124" s="247" t="str">
        <f ca="1">IF(C1124="","",[1]!S_SHARE_TOTAL(D1124,TODAY())/$E$5)</f>
        <v/>
      </c>
      <c r="T1124" s="247" t="str">
        <f t="shared" ca="1" si="115"/>
        <v/>
      </c>
      <c r="U1124" s="218" t="str">
        <f t="shared" ca="1" si="116"/>
        <v/>
      </c>
      <c r="V1124" s="342" t="str">
        <f t="shared" ca="1" si="117"/>
        <v/>
      </c>
      <c r="W1124" s="139"/>
      <c r="Y1124" s="1"/>
    </row>
    <row r="1125" spans="3:25" ht="12" customHeight="1">
      <c r="C1125" s="343" t="str">
        <f t="shared" ca="1" si="112"/>
        <v/>
      </c>
      <c r="D1125" s="124" t="str">
        <f t="shared" ca="1" si="113"/>
        <v/>
      </c>
      <c r="E1125" s="124" t="str">
        <f t="shared" ca="1" si="114"/>
        <v/>
      </c>
      <c r="F1125" s="172" t="str">
        <f ca="1">IF(C1125="","",[1]!S_DQ_CLOSE(D1125,TODAY(),1))</f>
        <v/>
      </c>
      <c r="G1125" s="173" t="str">
        <f ca="1">IF(C1125="","",[1]!s_pq_pctchange(D1125,TODAY()-$G$12,TODAY())/100)</f>
        <v/>
      </c>
      <c r="H1125" s="249" t="str">
        <f ca="1">IF(C1125="","",IF($H$11="收入",[1]!S_STM07_IS(D1125,9,$G$5,$H$13)/$E$5,[1]!S_STM07_IS(D1125,48,$G$5,$H$13)/$E$5))</f>
        <v/>
      </c>
      <c r="I1125" s="249" t="str">
        <f ca="1">IF(C1125="","",IF($I$11="毛利率",([1]!S_STM07_IS(D1125,9,$G$5,$H$13)-[1]!S_STM07_IS(D1125,10,$G$5,$H$13))/[1]!S_STM07_IS(D1125,9,$G$5,$H$13),[1]!S_STM07_IS(D1125,14,$G$5,$H$13)/$E$5))</f>
        <v/>
      </c>
      <c r="J1125" s="249" t="str">
        <f ca="1">IF(C1125="","",IF($J$11="营业利润率",[1]!S_STM07_IS(D1125,48,$G$5,$H$13)/[1]!S_STM07_IS(D1125,9,$G$5,$H$13),([1]!S_STM07_CS(D1125,87,$G$5,$H$13)+[1]!S_STM07_CS(D1125,88,$G$5,$H$13)+[1]!S_STM07_CS(D1125,89,$G$5,$H$13))/$E$5))</f>
        <v/>
      </c>
      <c r="K1125" s="249" t="str">
        <f ca="1">IF(C1125="","",IF($K$11="净利润率",[1]!S_STM07_IS(D1125,61,$G$5,$H$13)/[1]!S_STM07_IS(D1125,9,$G$5,$H$13),[1]!S_STM07_IS(D1125,55,$G$5,$H$13)/$E$5))</f>
        <v/>
      </c>
      <c r="L1125" s="249" t="str">
        <f ca="1">IF(C1125="","",IF($L$11="ROA",[1]!S_STM07_IS(D1125,61,$G$5,$H$13)/[1]!S_STM07_BS(D1125,74,$G$5,$H$13),1-[1]!S_STM07_IS(D1125,61,$G$5,$H$13)/[1]!S_STM07_IS(D1125,55,$G$5,$H$13)))</f>
        <v/>
      </c>
      <c r="M1125" s="249" t="str">
        <f ca="1">IF(C1125="","",IF($M$11="ROE",[1]!S_STM07_IS(D1125,61,$G$5,$H$13)/[1]!S_STM07_BS(D1125,141,$G$5,$H$13),([1]!S_STM07_BS(D1125,25,$G$5,$H$13)-[1]!S_STM07_BS(D1125,93,$G$5,$H$13))/$E$5))</f>
        <v/>
      </c>
      <c r="N1125" s="250" t="str">
        <f ca="1">IF(C1125="","",IF($N$11="EPS",[1]!S_STM07_IS(D1125,61,$G$5,$H$13)/IF([1]!S_SHARE_TOTAL(D1125,$G$5)=0,[1]!S_SHARE_TOTAL(D1125,[1]!s_ipo_listeddate(D1125)),[1]!S_SHARE_TOTAL(D1125,$G$5)),([1]!S_STM07_BS(D1125,75,$G$5,$H$13)+[1]!S_STM07_BS(D1125,88,$G$5,$H$13)+[1]!S_STM07_BS(D1125,94,$G$5,$H$13)+[1]!S_STM07_BS(D1125,95,$G$5,$H$13))/$E$5))</f>
        <v/>
      </c>
      <c r="O1125" s="250" t="str">
        <f ca="1">IF(C1125="","",IF($O$11="BPS",[1]!S_STM07_BS(D1125,141,$G$5,$H$13)/IF([1]!S_SHARE_TOTAL(D1125,$G$5)=0,[1]!S_SHARE_TOTAL(D1125,[1]!s_ipo_listeddate(D1125)),[1]!S_SHARE_TOTAL(D1125,$G$5)),[1]!S_STM07_CS(D1125,49,$G$5,$H$13)/$E$5))</f>
        <v/>
      </c>
      <c r="P1125" s="250" t="str">
        <f ca="1">IF(C1125="","",IF($P$11="CFPS",[1]!S_STM07_CS(D1125,84,$G$5,$H$13)/IF([1]!S_SHARE_TOTAL(D1125,$G$5)=0,[1]!S_SHARE_TOTAL(D1125,[1]!s_ipo_listeddate(D1125)),[1]!S_SHARE_TOTAL(D1125,$G$5)),[1]!S_STM07_CS(D1125,84,$G$5,$H$13)/$E$5))</f>
        <v/>
      </c>
      <c r="Q1125" s="198" t="str">
        <f ca="1">IF(C1125="","",F1125/([1]!S_STM07_IS(D1125,61,$G$5,$H$13)/IF([1]!S_SHARE_TOTAL(D1125,$G$5)=0,[1]!S_SHARE_TOTAL(D1125,[1]!s_ipo_listeddate(D1125)),[1]!S_SHARE_TOTAL(D1125,$G$5))))</f>
        <v/>
      </c>
      <c r="R1125" s="198" t="str">
        <f ca="1">IF(C1125="","",F1125/([1]!S_STM07_BS(D1125,141,$G$5,$H$13)/IF([1]!S_SHARE_TOTAL(D1125,$G$5)=0,[1]!S_SHARE_TOTAL(D1125,[1]!s_ipo_listeddate(D1125)),[1]!S_SHARE_TOTAL(D1125,$G$5))))</f>
        <v/>
      </c>
      <c r="S1125" s="249" t="str">
        <f ca="1">IF(C1125="","",[1]!S_SHARE_TOTAL(D1125,TODAY())/$E$5)</f>
        <v/>
      </c>
      <c r="T1125" s="249" t="str">
        <f t="shared" ca="1" si="115"/>
        <v/>
      </c>
      <c r="U1125" s="172" t="str">
        <f t="shared" ca="1" si="116"/>
        <v/>
      </c>
      <c r="V1125" s="343" t="str">
        <f t="shared" ca="1" si="117"/>
        <v/>
      </c>
      <c r="W1125" s="139"/>
      <c r="Y1125" s="1"/>
    </row>
    <row r="1126" spans="3:25" ht="12" customHeight="1">
      <c r="C1126" s="342" t="str">
        <f t="shared" ca="1" si="112"/>
        <v/>
      </c>
      <c r="D1126" s="153" t="str">
        <f t="shared" ca="1" si="113"/>
        <v/>
      </c>
      <c r="E1126" s="153" t="str">
        <f t="shared" ca="1" si="114"/>
        <v/>
      </c>
      <c r="F1126" s="170" t="str">
        <f ca="1">IF(C1126="","",[1]!S_DQ_CLOSE(D1126,TODAY(),1))</f>
        <v/>
      </c>
      <c r="G1126" s="171" t="str">
        <f ca="1">IF(C1126="","",[1]!s_pq_pctchange(D1126,TODAY()-$G$12,TODAY())/100)</f>
        <v/>
      </c>
      <c r="H1126" s="247" t="str">
        <f ca="1">IF(C1126="","",IF($H$11="收入",[1]!S_STM07_IS(D1126,9,$G$5,$H$13)/$E$5,[1]!S_STM07_IS(D1126,48,$G$5,$H$13)/$E$5))</f>
        <v/>
      </c>
      <c r="I1126" s="247" t="str">
        <f ca="1">IF(C1126="","",IF($I$11="毛利率",([1]!S_STM07_IS(D1126,9,$G$5,$H$13)-[1]!S_STM07_IS(D1126,10,$G$5,$H$13))/[1]!S_STM07_IS(D1126,9,$G$5,$H$13),[1]!S_STM07_IS(D1126,14,$G$5,$H$13)/$E$5))</f>
        <v/>
      </c>
      <c r="J1126" s="247" t="str">
        <f ca="1">IF(C1126="","",IF($J$11="营业利润率",[1]!S_STM07_IS(D1126,48,$G$5,$H$13)/[1]!S_STM07_IS(D1126,9,$G$5,$H$13),([1]!S_STM07_CS(D1126,87,$G$5,$H$13)+[1]!S_STM07_CS(D1126,88,$G$5,$H$13)+[1]!S_STM07_CS(D1126,89,$G$5,$H$13))/$E$5))</f>
        <v/>
      </c>
      <c r="K1126" s="247" t="str">
        <f ca="1">IF(C1126="","",IF($K$11="净利润率",[1]!S_STM07_IS(D1126,61,$G$5,$H$13)/[1]!S_STM07_IS(D1126,9,$G$5,$H$13),[1]!S_STM07_IS(D1126,55,$G$5,$H$13)/$E$5))</f>
        <v/>
      </c>
      <c r="L1126" s="247" t="str">
        <f ca="1">IF(C1126="","",IF($L$11="ROA",[1]!S_STM07_IS(D1126,61,$G$5,$H$13)/[1]!S_STM07_BS(D1126,74,$G$5,$H$13),1-[1]!S_STM07_IS(D1126,61,$G$5,$H$13)/[1]!S_STM07_IS(D1126,55,$G$5,$H$13)))</f>
        <v/>
      </c>
      <c r="M1126" s="247" t="str">
        <f ca="1">IF(C1126="","",IF($M$11="ROE",[1]!S_STM07_IS(D1126,61,$G$5,$H$13)/[1]!S_STM07_BS(D1126,141,$G$5,$H$13),([1]!S_STM07_BS(D1126,25,$G$5,$H$13)-[1]!S_STM07_BS(D1126,93,$G$5,$H$13))/$E$5))</f>
        <v/>
      </c>
      <c r="N1126" s="247" t="str">
        <f ca="1">IF(C1126="","",IF($N$11="EPS",[1]!S_STM07_IS(D1126,61,$G$5,$H$13)/IF([1]!S_SHARE_TOTAL(D1126,$G$5)=0,[1]!S_SHARE_TOTAL(D1126,[1]!s_ipo_listeddate(D1126)),[1]!S_SHARE_TOTAL(D1126,$G$5)),([1]!S_STM07_BS(D1126,75,$G$5,$H$13)+[1]!S_STM07_BS(D1126,88,$G$5,$H$13)+[1]!S_STM07_BS(D1126,94,$G$5,$H$13)+[1]!S_STM07_BS(D1126,95,$G$5,$H$13))/$E$5))</f>
        <v/>
      </c>
      <c r="O1126" s="247" t="str">
        <f ca="1">IF(C1126="","",IF($O$11="BPS",[1]!S_STM07_BS(D1126,141,$G$5,$H$13)/IF([1]!S_SHARE_TOTAL(D1126,$G$5)=0,[1]!S_SHARE_TOTAL(D1126,[1]!s_ipo_listeddate(D1126)),[1]!S_SHARE_TOTAL(D1126,$G$5)),[1]!S_STM07_CS(D1126,49,$G$5,$H$13)/$E$5))</f>
        <v/>
      </c>
      <c r="P1126" s="247" t="str">
        <f ca="1">IF(C1126="","",IF($P$11="CFPS",[1]!S_STM07_CS(D1126,84,$G$5,$H$13)/IF([1]!S_SHARE_TOTAL(D1126,$G$5)=0,[1]!S_SHARE_TOTAL(D1126,[1]!s_ipo_listeddate(D1126)),[1]!S_SHARE_TOTAL(D1126,$G$5)),[1]!S_STM07_CS(D1126,84,$G$5,$H$13)/$E$5))</f>
        <v/>
      </c>
      <c r="Q1126" s="248" t="str">
        <f ca="1">IF(C1126="","",F1126/([1]!S_STM07_IS(D1126,61,$G$5,$H$13)/IF([1]!S_SHARE_TOTAL(D1126,$G$5)=0,[1]!S_SHARE_TOTAL(D1126,[1]!s_ipo_listeddate(D1126)),[1]!S_SHARE_TOTAL(D1126,$G$5))))</f>
        <v/>
      </c>
      <c r="R1126" s="248" t="str">
        <f ca="1">IF(C1126="","",F1126/([1]!S_STM07_BS(D1126,141,$G$5,$H$13)/IF([1]!S_SHARE_TOTAL(D1126,$G$5)=0,[1]!S_SHARE_TOTAL(D1126,[1]!s_ipo_listeddate(D1126)),[1]!S_SHARE_TOTAL(D1126,$G$5))))</f>
        <v/>
      </c>
      <c r="S1126" s="247" t="str">
        <f ca="1">IF(C1126="","",[1]!S_SHARE_TOTAL(D1126,TODAY())/$E$5)</f>
        <v/>
      </c>
      <c r="T1126" s="247" t="str">
        <f t="shared" ca="1" si="115"/>
        <v/>
      </c>
      <c r="U1126" s="218" t="str">
        <f t="shared" ca="1" si="116"/>
        <v/>
      </c>
      <c r="V1126" s="342" t="str">
        <f t="shared" ca="1" si="117"/>
        <v/>
      </c>
      <c r="W1126" s="139"/>
      <c r="Y1126" s="1"/>
    </row>
    <row r="1127" spans="3:25" ht="12" customHeight="1">
      <c r="C1127" s="343" t="str">
        <f t="shared" ca="1" si="112"/>
        <v/>
      </c>
      <c r="D1127" s="124" t="str">
        <f t="shared" ca="1" si="113"/>
        <v/>
      </c>
      <c r="E1127" s="124" t="str">
        <f t="shared" ca="1" si="114"/>
        <v/>
      </c>
      <c r="F1127" s="172" t="str">
        <f ca="1">IF(C1127="","",[1]!S_DQ_CLOSE(D1127,TODAY(),1))</f>
        <v/>
      </c>
      <c r="G1127" s="173" t="str">
        <f ca="1">IF(C1127="","",[1]!s_pq_pctchange(D1127,TODAY()-$G$12,TODAY())/100)</f>
        <v/>
      </c>
      <c r="H1127" s="249" t="str">
        <f ca="1">IF(C1127="","",IF($H$11="收入",[1]!S_STM07_IS(D1127,9,$G$5,$H$13)/$E$5,[1]!S_STM07_IS(D1127,48,$G$5,$H$13)/$E$5))</f>
        <v/>
      </c>
      <c r="I1127" s="249" t="str">
        <f ca="1">IF(C1127="","",IF($I$11="毛利率",([1]!S_STM07_IS(D1127,9,$G$5,$H$13)-[1]!S_STM07_IS(D1127,10,$G$5,$H$13))/[1]!S_STM07_IS(D1127,9,$G$5,$H$13),[1]!S_STM07_IS(D1127,14,$G$5,$H$13)/$E$5))</f>
        <v/>
      </c>
      <c r="J1127" s="249" t="str">
        <f ca="1">IF(C1127="","",IF($J$11="营业利润率",[1]!S_STM07_IS(D1127,48,$G$5,$H$13)/[1]!S_STM07_IS(D1127,9,$G$5,$H$13),([1]!S_STM07_CS(D1127,87,$G$5,$H$13)+[1]!S_STM07_CS(D1127,88,$G$5,$H$13)+[1]!S_STM07_CS(D1127,89,$G$5,$H$13))/$E$5))</f>
        <v/>
      </c>
      <c r="K1127" s="249" t="str">
        <f ca="1">IF(C1127="","",IF($K$11="净利润率",[1]!S_STM07_IS(D1127,61,$G$5,$H$13)/[1]!S_STM07_IS(D1127,9,$G$5,$H$13),[1]!S_STM07_IS(D1127,55,$G$5,$H$13)/$E$5))</f>
        <v/>
      </c>
      <c r="L1127" s="249" t="str">
        <f ca="1">IF(C1127="","",IF($L$11="ROA",[1]!S_STM07_IS(D1127,61,$G$5,$H$13)/[1]!S_STM07_BS(D1127,74,$G$5,$H$13),1-[1]!S_STM07_IS(D1127,61,$G$5,$H$13)/[1]!S_STM07_IS(D1127,55,$G$5,$H$13)))</f>
        <v/>
      </c>
      <c r="M1127" s="249" t="str">
        <f ca="1">IF(C1127="","",IF($M$11="ROE",[1]!S_STM07_IS(D1127,61,$G$5,$H$13)/[1]!S_STM07_BS(D1127,141,$G$5,$H$13),([1]!S_STM07_BS(D1127,25,$G$5,$H$13)-[1]!S_STM07_BS(D1127,93,$G$5,$H$13))/$E$5))</f>
        <v/>
      </c>
      <c r="N1127" s="250" t="str">
        <f ca="1">IF(C1127="","",IF($N$11="EPS",[1]!S_STM07_IS(D1127,61,$G$5,$H$13)/IF([1]!S_SHARE_TOTAL(D1127,$G$5)=0,[1]!S_SHARE_TOTAL(D1127,[1]!s_ipo_listeddate(D1127)),[1]!S_SHARE_TOTAL(D1127,$G$5)),([1]!S_STM07_BS(D1127,75,$G$5,$H$13)+[1]!S_STM07_BS(D1127,88,$G$5,$H$13)+[1]!S_STM07_BS(D1127,94,$G$5,$H$13)+[1]!S_STM07_BS(D1127,95,$G$5,$H$13))/$E$5))</f>
        <v/>
      </c>
      <c r="O1127" s="250" t="str">
        <f ca="1">IF(C1127="","",IF($O$11="BPS",[1]!S_STM07_BS(D1127,141,$G$5,$H$13)/IF([1]!S_SHARE_TOTAL(D1127,$G$5)=0,[1]!S_SHARE_TOTAL(D1127,[1]!s_ipo_listeddate(D1127)),[1]!S_SHARE_TOTAL(D1127,$G$5)),[1]!S_STM07_CS(D1127,49,$G$5,$H$13)/$E$5))</f>
        <v/>
      </c>
      <c r="P1127" s="250" t="str">
        <f ca="1">IF(C1127="","",IF($P$11="CFPS",[1]!S_STM07_CS(D1127,84,$G$5,$H$13)/IF([1]!S_SHARE_TOTAL(D1127,$G$5)=0,[1]!S_SHARE_TOTAL(D1127,[1]!s_ipo_listeddate(D1127)),[1]!S_SHARE_TOTAL(D1127,$G$5)),[1]!S_STM07_CS(D1127,84,$G$5,$H$13)/$E$5))</f>
        <v/>
      </c>
      <c r="Q1127" s="198" t="str">
        <f ca="1">IF(C1127="","",F1127/([1]!S_STM07_IS(D1127,61,$G$5,$H$13)/IF([1]!S_SHARE_TOTAL(D1127,$G$5)=0,[1]!S_SHARE_TOTAL(D1127,[1]!s_ipo_listeddate(D1127)),[1]!S_SHARE_TOTAL(D1127,$G$5))))</f>
        <v/>
      </c>
      <c r="R1127" s="198" t="str">
        <f ca="1">IF(C1127="","",F1127/([1]!S_STM07_BS(D1127,141,$G$5,$H$13)/IF([1]!S_SHARE_TOTAL(D1127,$G$5)=0,[1]!S_SHARE_TOTAL(D1127,[1]!s_ipo_listeddate(D1127)),[1]!S_SHARE_TOTAL(D1127,$G$5))))</f>
        <v/>
      </c>
      <c r="S1127" s="249" t="str">
        <f ca="1">IF(C1127="","",[1]!S_SHARE_TOTAL(D1127,TODAY())/$E$5)</f>
        <v/>
      </c>
      <c r="T1127" s="249" t="str">
        <f t="shared" ca="1" si="115"/>
        <v/>
      </c>
      <c r="U1127" s="172" t="str">
        <f t="shared" ca="1" si="116"/>
        <v/>
      </c>
      <c r="V1127" s="343" t="str">
        <f t="shared" ca="1" si="117"/>
        <v/>
      </c>
      <c r="W1127" s="139"/>
      <c r="Y1127" s="1"/>
    </row>
    <row r="1128" spans="3:25" ht="12" customHeight="1">
      <c r="C1128" s="342" t="str">
        <f t="shared" ca="1" si="112"/>
        <v/>
      </c>
      <c r="D1128" s="153" t="str">
        <f t="shared" ca="1" si="113"/>
        <v/>
      </c>
      <c r="E1128" s="153" t="str">
        <f t="shared" ca="1" si="114"/>
        <v/>
      </c>
      <c r="F1128" s="170" t="str">
        <f ca="1">IF(C1128="","",[1]!S_DQ_CLOSE(D1128,TODAY(),1))</f>
        <v/>
      </c>
      <c r="G1128" s="171" t="str">
        <f ca="1">IF(C1128="","",[1]!s_pq_pctchange(D1128,TODAY()-$G$12,TODAY())/100)</f>
        <v/>
      </c>
      <c r="H1128" s="247" t="str">
        <f ca="1">IF(C1128="","",IF($H$11="收入",[1]!S_STM07_IS(D1128,9,$G$5,$H$13)/$E$5,[1]!S_STM07_IS(D1128,48,$G$5,$H$13)/$E$5))</f>
        <v/>
      </c>
      <c r="I1128" s="247" t="str">
        <f ca="1">IF(C1128="","",IF($I$11="毛利率",([1]!S_STM07_IS(D1128,9,$G$5,$H$13)-[1]!S_STM07_IS(D1128,10,$G$5,$H$13))/[1]!S_STM07_IS(D1128,9,$G$5,$H$13),[1]!S_STM07_IS(D1128,14,$G$5,$H$13)/$E$5))</f>
        <v/>
      </c>
      <c r="J1128" s="247" t="str">
        <f ca="1">IF(C1128="","",IF($J$11="营业利润率",[1]!S_STM07_IS(D1128,48,$G$5,$H$13)/[1]!S_STM07_IS(D1128,9,$G$5,$H$13),([1]!S_STM07_CS(D1128,87,$G$5,$H$13)+[1]!S_STM07_CS(D1128,88,$G$5,$H$13)+[1]!S_STM07_CS(D1128,89,$G$5,$H$13))/$E$5))</f>
        <v/>
      </c>
      <c r="K1128" s="247" t="str">
        <f ca="1">IF(C1128="","",IF($K$11="净利润率",[1]!S_STM07_IS(D1128,61,$G$5,$H$13)/[1]!S_STM07_IS(D1128,9,$G$5,$H$13),[1]!S_STM07_IS(D1128,55,$G$5,$H$13)/$E$5))</f>
        <v/>
      </c>
      <c r="L1128" s="247" t="str">
        <f ca="1">IF(C1128="","",IF($L$11="ROA",[1]!S_STM07_IS(D1128,61,$G$5,$H$13)/[1]!S_STM07_BS(D1128,74,$G$5,$H$13),1-[1]!S_STM07_IS(D1128,61,$G$5,$H$13)/[1]!S_STM07_IS(D1128,55,$G$5,$H$13)))</f>
        <v/>
      </c>
      <c r="M1128" s="247" t="str">
        <f ca="1">IF(C1128="","",IF($M$11="ROE",[1]!S_STM07_IS(D1128,61,$G$5,$H$13)/[1]!S_STM07_BS(D1128,141,$G$5,$H$13),([1]!S_STM07_BS(D1128,25,$G$5,$H$13)-[1]!S_STM07_BS(D1128,93,$G$5,$H$13))/$E$5))</f>
        <v/>
      </c>
      <c r="N1128" s="247" t="str">
        <f ca="1">IF(C1128="","",IF($N$11="EPS",[1]!S_STM07_IS(D1128,61,$G$5,$H$13)/IF([1]!S_SHARE_TOTAL(D1128,$G$5)=0,[1]!S_SHARE_TOTAL(D1128,[1]!s_ipo_listeddate(D1128)),[1]!S_SHARE_TOTAL(D1128,$G$5)),([1]!S_STM07_BS(D1128,75,$G$5,$H$13)+[1]!S_STM07_BS(D1128,88,$G$5,$H$13)+[1]!S_STM07_BS(D1128,94,$G$5,$H$13)+[1]!S_STM07_BS(D1128,95,$G$5,$H$13))/$E$5))</f>
        <v/>
      </c>
      <c r="O1128" s="247" t="str">
        <f ca="1">IF(C1128="","",IF($O$11="BPS",[1]!S_STM07_BS(D1128,141,$G$5,$H$13)/IF([1]!S_SHARE_TOTAL(D1128,$G$5)=0,[1]!S_SHARE_TOTAL(D1128,[1]!s_ipo_listeddate(D1128)),[1]!S_SHARE_TOTAL(D1128,$G$5)),[1]!S_STM07_CS(D1128,49,$G$5,$H$13)/$E$5))</f>
        <v/>
      </c>
      <c r="P1128" s="247" t="str">
        <f ca="1">IF(C1128="","",IF($P$11="CFPS",[1]!S_STM07_CS(D1128,84,$G$5,$H$13)/IF([1]!S_SHARE_TOTAL(D1128,$G$5)=0,[1]!S_SHARE_TOTAL(D1128,[1]!s_ipo_listeddate(D1128)),[1]!S_SHARE_TOTAL(D1128,$G$5)),[1]!S_STM07_CS(D1128,84,$G$5,$H$13)/$E$5))</f>
        <v/>
      </c>
      <c r="Q1128" s="248" t="str">
        <f ca="1">IF(C1128="","",F1128/([1]!S_STM07_IS(D1128,61,$G$5,$H$13)/IF([1]!S_SHARE_TOTAL(D1128,$G$5)=0,[1]!S_SHARE_TOTAL(D1128,[1]!s_ipo_listeddate(D1128)),[1]!S_SHARE_TOTAL(D1128,$G$5))))</f>
        <v/>
      </c>
      <c r="R1128" s="248" t="str">
        <f ca="1">IF(C1128="","",F1128/([1]!S_STM07_BS(D1128,141,$G$5,$H$13)/IF([1]!S_SHARE_TOTAL(D1128,$G$5)=0,[1]!S_SHARE_TOTAL(D1128,[1]!s_ipo_listeddate(D1128)),[1]!S_SHARE_TOTAL(D1128,$G$5))))</f>
        <v/>
      </c>
      <c r="S1128" s="247" t="str">
        <f ca="1">IF(C1128="","",[1]!S_SHARE_TOTAL(D1128,TODAY())/$E$5)</f>
        <v/>
      </c>
      <c r="T1128" s="247" t="str">
        <f t="shared" ca="1" si="115"/>
        <v/>
      </c>
      <c r="U1128" s="218" t="str">
        <f t="shared" ca="1" si="116"/>
        <v/>
      </c>
      <c r="V1128" s="342" t="str">
        <f t="shared" ca="1" si="117"/>
        <v/>
      </c>
      <c r="W1128" s="139"/>
      <c r="Y1128" s="1"/>
    </row>
    <row r="1129" spans="3:25" ht="12" customHeight="1">
      <c r="C1129" s="343" t="str">
        <f t="shared" ca="1" si="112"/>
        <v/>
      </c>
      <c r="D1129" s="124" t="str">
        <f t="shared" ca="1" si="113"/>
        <v/>
      </c>
      <c r="E1129" s="124" t="str">
        <f t="shared" ca="1" si="114"/>
        <v/>
      </c>
      <c r="F1129" s="172" t="str">
        <f ca="1">IF(C1129="","",[1]!S_DQ_CLOSE(D1129,TODAY(),1))</f>
        <v/>
      </c>
      <c r="G1129" s="173" t="str">
        <f ca="1">IF(C1129="","",[1]!s_pq_pctchange(D1129,TODAY()-$G$12,TODAY())/100)</f>
        <v/>
      </c>
      <c r="H1129" s="249" t="str">
        <f ca="1">IF(C1129="","",IF($H$11="收入",[1]!S_STM07_IS(D1129,9,$G$5,$H$13)/$E$5,[1]!S_STM07_IS(D1129,48,$G$5,$H$13)/$E$5))</f>
        <v/>
      </c>
      <c r="I1129" s="249" t="str">
        <f ca="1">IF(C1129="","",IF($I$11="毛利率",([1]!S_STM07_IS(D1129,9,$G$5,$H$13)-[1]!S_STM07_IS(D1129,10,$G$5,$H$13))/[1]!S_STM07_IS(D1129,9,$G$5,$H$13),[1]!S_STM07_IS(D1129,14,$G$5,$H$13)/$E$5))</f>
        <v/>
      </c>
      <c r="J1129" s="249" t="str">
        <f ca="1">IF(C1129="","",IF($J$11="营业利润率",[1]!S_STM07_IS(D1129,48,$G$5,$H$13)/[1]!S_STM07_IS(D1129,9,$G$5,$H$13),([1]!S_STM07_CS(D1129,87,$G$5,$H$13)+[1]!S_STM07_CS(D1129,88,$G$5,$H$13)+[1]!S_STM07_CS(D1129,89,$G$5,$H$13))/$E$5))</f>
        <v/>
      </c>
      <c r="K1129" s="249" t="str">
        <f ca="1">IF(C1129="","",IF($K$11="净利润率",[1]!S_STM07_IS(D1129,61,$G$5,$H$13)/[1]!S_STM07_IS(D1129,9,$G$5,$H$13),[1]!S_STM07_IS(D1129,55,$G$5,$H$13)/$E$5))</f>
        <v/>
      </c>
      <c r="L1129" s="249" t="str">
        <f ca="1">IF(C1129="","",IF($L$11="ROA",[1]!S_STM07_IS(D1129,61,$G$5,$H$13)/[1]!S_STM07_BS(D1129,74,$G$5,$H$13),1-[1]!S_STM07_IS(D1129,61,$G$5,$H$13)/[1]!S_STM07_IS(D1129,55,$G$5,$H$13)))</f>
        <v/>
      </c>
      <c r="M1129" s="249" t="str">
        <f ca="1">IF(C1129="","",IF($M$11="ROE",[1]!S_STM07_IS(D1129,61,$G$5,$H$13)/[1]!S_STM07_BS(D1129,141,$G$5,$H$13),([1]!S_STM07_BS(D1129,25,$G$5,$H$13)-[1]!S_STM07_BS(D1129,93,$G$5,$H$13))/$E$5))</f>
        <v/>
      </c>
      <c r="N1129" s="250" t="str">
        <f ca="1">IF(C1129="","",IF($N$11="EPS",[1]!S_STM07_IS(D1129,61,$G$5,$H$13)/IF([1]!S_SHARE_TOTAL(D1129,$G$5)=0,[1]!S_SHARE_TOTAL(D1129,[1]!s_ipo_listeddate(D1129)),[1]!S_SHARE_TOTAL(D1129,$G$5)),([1]!S_STM07_BS(D1129,75,$G$5,$H$13)+[1]!S_STM07_BS(D1129,88,$G$5,$H$13)+[1]!S_STM07_BS(D1129,94,$G$5,$H$13)+[1]!S_STM07_BS(D1129,95,$G$5,$H$13))/$E$5))</f>
        <v/>
      </c>
      <c r="O1129" s="250" t="str">
        <f ca="1">IF(C1129="","",IF($O$11="BPS",[1]!S_STM07_BS(D1129,141,$G$5,$H$13)/IF([1]!S_SHARE_TOTAL(D1129,$G$5)=0,[1]!S_SHARE_TOTAL(D1129,[1]!s_ipo_listeddate(D1129)),[1]!S_SHARE_TOTAL(D1129,$G$5)),[1]!S_STM07_CS(D1129,49,$G$5,$H$13)/$E$5))</f>
        <v/>
      </c>
      <c r="P1129" s="250" t="str">
        <f ca="1">IF(C1129="","",IF($P$11="CFPS",[1]!S_STM07_CS(D1129,84,$G$5,$H$13)/IF([1]!S_SHARE_TOTAL(D1129,$G$5)=0,[1]!S_SHARE_TOTAL(D1129,[1]!s_ipo_listeddate(D1129)),[1]!S_SHARE_TOTAL(D1129,$G$5)),[1]!S_STM07_CS(D1129,84,$G$5,$H$13)/$E$5))</f>
        <v/>
      </c>
      <c r="Q1129" s="198" t="str">
        <f ca="1">IF(C1129="","",F1129/([1]!S_STM07_IS(D1129,61,$G$5,$H$13)/IF([1]!S_SHARE_TOTAL(D1129,$G$5)=0,[1]!S_SHARE_TOTAL(D1129,[1]!s_ipo_listeddate(D1129)),[1]!S_SHARE_TOTAL(D1129,$G$5))))</f>
        <v/>
      </c>
      <c r="R1129" s="198" t="str">
        <f ca="1">IF(C1129="","",F1129/([1]!S_STM07_BS(D1129,141,$G$5,$H$13)/IF([1]!S_SHARE_TOTAL(D1129,$G$5)=0,[1]!S_SHARE_TOTAL(D1129,[1]!s_ipo_listeddate(D1129)),[1]!S_SHARE_TOTAL(D1129,$G$5))))</f>
        <v/>
      </c>
      <c r="S1129" s="249" t="str">
        <f ca="1">IF(C1129="","",[1]!S_SHARE_TOTAL(D1129,TODAY())/$E$5)</f>
        <v/>
      </c>
      <c r="T1129" s="249" t="str">
        <f t="shared" ca="1" si="115"/>
        <v/>
      </c>
      <c r="U1129" s="172" t="str">
        <f t="shared" ca="1" si="116"/>
        <v/>
      </c>
      <c r="V1129" s="343" t="str">
        <f t="shared" ca="1" si="117"/>
        <v/>
      </c>
      <c r="W1129" s="139"/>
      <c r="Y1129" s="1"/>
    </row>
    <row r="1130" spans="3:25" ht="12" customHeight="1">
      <c r="C1130" s="342" t="str">
        <f t="shared" ca="1" si="112"/>
        <v/>
      </c>
      <c r="D1130" s="153" t="str">
        <f t="shared" ca="1" si="113"/>
        <v/>
      </c>
      <c r="E1130" s="153" t="str">
        <f t="shared" ca="1" si="114"/>
        <v/>
      </c>
      <c r="F1130" s="170" t="str">
        <f ca="1">IF(C1130="","",[1]!S_DQ_CLOSE(D1130,TODAY(),1))</f>
        <v/>
      </c>
      <c r="G1130" s="171" t="str">
        <f ca="1">IF(C1130="","",[1]!s_pq_pctchange(D1130,TODAY()-$G$12,TODAY())/100)</f>
        <v/>
      </c>
      <c r="H1130" s="247" t="str">
        <f ca="1">IF(C1130="","",IF($H$11="收入",[1]!S_STM07_IS(D1130,9,$G$5,$H$13)/$E$5,[1]!S_STM07_IS(D1130,48,$G$5,$H$13)/$E$5))</f>
        <v/>
      </c>
      <c r="I1130" s="247" t="str">
        <f ca="1">IF(C1130="","",IF($I$11="毛利率",([1]!S_STM07_IS(D1130,9,$G$5,$H$13)-[1]!S_STM07_IS(D1130,10,$G$5,$H$13))/[1]!S_STM07_IS(D1130,9,$G$5,$H$13),[1]!S_STM07_IS(D1130,14,$G$5,$H$13)/$E$5))</f>
        <v/>
      </c>
      <c r="J1130" s="247" t="str">
        <f ca="1">IF(C1130="","",IF($J$11="营业利润率",[1]!S_STM07_IS(D1130,48,$G$5,$H$13)/[1]!S_STM07_IS(D1130,9,$G$5,$H$13),([1]!S_STM07_CS(D1130,87,$G$5,$H$13)+[1]!S_STM07_CS(D1130,88,$G$5,$H$13)+[1]!S_STM07_CS(D1130,89,$G$5,$H$13))/$E$5))</f>
        <v/>
      </c>
      <c r="K1130" s="247" t="str">
        <f ca="1">IF(C1130="","",IF($K$11="净利润率",[1]!S_STM07_IS(D1130,61,$G$5,$H$13)/[1]!S_STM07_IS(D1130,9,$G$5,$H$13),[1]!S_STM07_IS(D1130,55,$G$5,$H$13)/$E$5))</f>
        <v/>
      </c>
      <c r="L1130" s="247" t="str">
        <f ca="1">IF(C1130="","",IF($L$11="ROA",[1]!S_STM07_IS(D1130,61,$G$5,$H$13)/[1]!S_STM07_BS(D1130,74,$G$5,$H$13),1-[1]!S_STM07_IS(D1130,61,$G$5,$H$13)/[1]!S_STM07_IS(D1130,55,$G$5,$H$13)))</f>
        <v/>
      </c>
      <c r="M1130" s="247" t="str">
        <f ca="1">IF(C1130="","",IF($M$11="ROE",[1]!S_STM07_IS(D1130,61,$G$5,$H$13)/[1]!S_STM07_BS(D1130,141,$G$5,$H$13),([1]!S_STM07_BS(D1130,25,$G$5,$H$13)-[1]!S_STM07_BS(D1130,93,$G$5,$H$13))/$E$5))</f>
        <v/>
      </c>
      <c r="N1130" s="247" t="str">
        <f ca="1">IF(C1130="","",IF($N$11="EPS",[1]!S_STM07_IS(D1130,61,$G$5,$H$13)/IF([1]!S_SHARE_TOTAL(D1130,$G$5)=0,[1]!S_SHARE_TOTAL(D1130,[1]!s_ipo_listeddate(D1130)),[1]!S_SHARE_TOTAL(D1130,$G$5)),([1]!S_STM07_BS(D1130,75,$G$5,$H$13)+[1]!S_STM07_BS(D1130,88,$G$5,$H$13)+[1]!S_STM07_BS(D1130,94,$G$5,$H$13)+[1]!S_STM07_BS(D1130,95,$G$5,$H$13))/$E$5))</f>
        <v/>
      </c>
      <c r="O1130" s="247" t="str">
        <f ca="1">IF(C1130="","",IF($O$11="BPS",[1]!S_STM07_BS(D1130,141,$G$5,$H$13)/IF([1]!S_SHARE_TOTAL(D1130,$G$5)=0,[1]!S_SHARE_TOTAL(D1130,[1]!s_ipo_listeddate(D1130)),[1]!S_SHARE_TOTAL(D1130,$G$5)),[1]!S_STM07_CS(D1130,49,$G$5,$H$13)/$E$5))</f>
        <v/>
      </c>
      <c r="P1130" s="247" t="str">
        <f ca="1">IF(C1130="","",IF($P$11="CFPS",[1]!S_STM07_CS(D1130,84,$G$5,$H$13)/IF([1]!S_SHARE_TOTAL(D1130,$G$5)=0,[1]!S_SHARE_TOTAL(D1130,[1]!s_ipo_listeddate(D1130)),[1]!S_SHARE_TOTAL(D1130,$G$5)),[1]!S_STM07_CS(D1130,84,$G$5,$H$13)/$E$5))</f>
        <v/>
      </c>
      <c r="Q1130" s="248" t="str">
        <f ca="1">IF(C1130="","",F1130/([1]!S_STM07_IS(D1130,61,$G$5,$H$13)/IF([1]!S_SHARE_TOTAL(D1130,$G$5)=0,[1]!S_SHARE_TOTAL(D1130,[1]!s_ipo_listeddate(D1130)),[1]!S_SHARE_TOTAL(D1130,$G$5))))</f>
        <v/>
      </c>
      <c r="R1130" s="248" t="str">
        <f ca="1">IF(C1130="","",F1130/([1]!S_STM07_BS(D1130,141,$G$5,$H$13)/IF([1]!S_SHARE_TOTAL(D1130,$G$5)=0,[1]!S_SHARE_TOTAL(D1130,[1]!s_ipo_listeddate(D1130)),[1]!S_SHARE_TOTAL(D1130,$G$5))))</f>
        <v/>
      </c>
      <c r="S1130" s="247" t="str">
        <f ca="1">IF(C1130="","",[1]!S_SHARE_TOTAL(D1130,TODAY())/$E$5)</f>
        <v/>
      </c>
      <c r="T1130" s="247" t="str">
        <f t="shared" ca="1" si="115"/>
        <v/>
      </c>
      <c r="U1130" s="218" t="str">
        <f t="shared" ca="1" si="116"/>
        <v/>
      </c>
      <c r="V1130" s="342" t="str">
        <f t="shared" ca="1" si="117"/>
        <v/>
      </c>
      <c r="W1130" s="139"/>
      <c r="Y1130" s="1"/>
    </row>
    <row r="1131" spans="3:25" ht="12" customHeight="1">
      <c r="C1131" s="343" t="str">
        <f t="shared" ca="1" si="112"/>
        <v/>
      </c>
      <c r="D1131" s="124" t="str">
        <f t="shared" ca="1" si="113"/>
        <v/>
      </c>
      <c r="E1131" s="124" t="str">
        <f t="shared" ca="1" si="114"/>
        <v/>
      </c>
      <c r="F1131" s="172" t="str">
        <f ca="1">IF(C1131="","",[1]!S_DQ_CLOSE(D1131,TODAY(),1))</f>
        <v/>
      </c>
      <c r="G1131" s="173" t="str">
        <f ca="1">IF(C1131="","",[1]!s_pq_pctchange(D1131,TODAY()-$G$12,TODAY())/100)</f>
        <v/>
      </c>
      <c r="H1131" s="249" t="str">
        <f ca="1">IF(C1131="","",IF($H$11="收入",[1]!S_STM07_IS(D1131,9,$G$5,$H$13)/$E$5,[1]!S_STM07_IS(D1131,48,$G$5,$H$13)/$E$5))</f>
        <v/>
      </c>
      <c r="I1131" s="249" t="str">
        <f ca="1">IF(C1131="","",IF($I$11="毛利率",([1]!S_STM07_IS(D1131,9,$G$5,$H$13)-[1]!S_STM07_IS(D1131,10,$G$5,$H$13))/[1]!S_STM07_IS(D1131,9,$G$5,$H$13),[1]!S_STM07_IS(D1131,14,$G$5,$H$13)/$E$5))</f>
        <v/>
      </c>
      <c r="J1131" s="249" t="str">
        <f ca="1">IF(C1131="","",IF($J$11="营业利润率",[1]!S_STM07_IS(D1131,48,$G$5,$H$13)/[1]!S_STM07_IS(D1131,9,$G$5,$H$13),([1]!S_STM07_CS(D1131,87,$G$5,$H$13)+[1]!S_STM07_CS(D1131,88,$G$5,$H$13)+[1]!S_STM07_CS(D1131,89,$G$5,$H$13))/$E$5))</f>
        <v/>
      </c>
      <c r="K1131" s="249" t="str">
        <f ca="1">IF(C1131="","",IF($K$11="净利润率",[1]!S_STM07_IS(D1131,61,$G$5,$H$13)/[1]!S_STM07_IS(D1131,9,$G$5,$H$13),[1]!S_STM07_IS(D1131,55,$G$5,$H$13)/$E$5))</f>
        <v/>
      </c>
      <c r="L1131" s="249" t="str">
        <f ca="1">IF(C1131="","",IF($L$11="ROA",[1]!S_STM07_IS(D1131,61,$G$5,$H$13)/[1]!S_STM07_BS(D1131,74,$G$5,$H$13),1-[1]!S_STM07_IS(D1131,61,$G$5,$H$13)/[1]!S_STM07_IS(D1131,55,$G$5,$H$13)))</f>
        <v/>
      </c>
      <c r="M1131" s="249" t="str">
        <f ca="1">IF(C1131="","",IF($M$11="ROE",[1]!S_STM07_IS(D1131,61,$G$5,$H$13)/[1]!S_STM07_BS(D1131,141,$G$5,$H$13),([1]!S_STM07_BS(D1131,25,$G$5,$H$13)-[1]!S_STM07_BS(D1131,93,$G$5,$H$13))/$E$5))</f>
        <v/>
      </c>
      <c r="N1131" s="250" t="str">
        <f ca="1">IF(C1131="","",IF($N$11="EPS",[1]!S_STM07_IS(D1131,61,$G$5,$H$13)/IF([1]!S_SHARE_TOTAL(D1131,$G$5)=0,[1]!S_SHARE_TOTAL(D1131,[1]!s_ipo_listeddate(D1131)),[1]!S_SHARE_TOTAL(D1131,$G$5)),([1]!S_STM07_BS(D1131,75,$G$5,$H$13)+[1]!S_STM07_BS(D1131,88,$G$5,$H$13)+[1]!S_STM07_BS(D1131,94,$G$5,$H$13)+[1]!S_STM07_BS(D1131,95,$G$5,$H$13))/$E$5))</f>
        <v/>
      </c>
      <c r="O1131" s="250" t="str">
        <f ca="1">IF(C1131="","",IF($O$11="BPS",[1]!S_STM07_BS(D1131,141,$G$5,$H$13)/IF([1]!S_SHARE_TOTAL(D1131,$G$5)=0,[1]!S_SHARE_TOTAL(D1131,[1]!s_ipo_listeddate(D1131)),[1]!S_SHARE_TOTAL(D1131,$G$5)),[1]!S_STM07_CS(D1131,49,$G$5,$H$13)/$E$5))</f>
        <v/>
      </c>
      <c r="P1131" s="250" t="str">
        <f ca="1">IF(C1131="","",IF($P$11="CFPS",[1]!S_STM07_CS(D1131,84,$G$5,$H$13)/IF([1]!S_SHARE_TOTAL(D1131,$G$5)=0,[1]!S_SHARE_TOTAL(D1131,[1]!s_ipo_listeddate(D1131)),[1]!S_SHARE_TOTAL(D1131,$G$5)),[1]!S_STM07_CS(D1131,84,$G$5,$H$13)/$E$5))</f>
        <v/>
      </c>
      <c r="Q1131" s="198" t="str">
        <f ca="1">IF(C1131="","",F1131/([1]!S_STM07_IS(D1131,61,$G$5,$H$13)/IF([1]!S_SHARE_TOTAL(D1131,$G$5)=0,[1]!S_SHARE_TOTAL(D1131,[1]!s_ipo_listeddate(D1131)),[1]!S_SHARE_TOTAL(D1131,$G$5))))</f>
        <v/>
      </c>
      <c r="R1131" s="198" t="str">
        <f ca="1">IF(C1131="","",F1131/([1]!S_STM07_BS(D1131,141,$G$5,$H$13)/IF([1]!S_SHARE_TOTAL(D1131,$G$5)=0,[1]!S_SHARE_TOTAL(D1131,[1]!s_ipo_listeddate(D1131)),[1]!S_SHARE_TOTAL(D1131,$G$5))))</f>
        <v/>
      </c>
      <c r="S1131" s="249" t="str">
        <f ca="1">IF(C1131="","",[1]!S_SHARE_TOTAL(D1131,TODAY())/$E$5)</f>
        <v/>
      </c>
      <c r="T1131" s="249" t="str">
        <f t="shared" ca="1" si="115"/>
        <v/>
      </c>
      <c r="U1131" s="172" t="str">
        <f t="shared" ca="1" si="116"/>
        <v/>
      </c>
      <c r="V1131" s="343" t="str">
        <f t="shared" ca="1" si="117"/>
        <v/>
      </c>
      <c r="W1131" s="139"/>
      <c r="Y1131" s="1"/>
    </row>
    <row r="1132" spans="3:25" ht="12" customHeight="1">
      <c r="C1132" s="342" t="str">
        <f t="shared" ca="1" si="112"/>
        <v/>
      </c>
      <c r="D1132" s="153" t="str">
        <f t="shared" ca="1" si="113"/>
        <v/>
      </c>
      <c r="E1132" s="153" t="str">
        <f t="shared" ca="1" si="114"/>
        <v/>
      </c>
      <c r="F1132" s="170" t="str">
        <f ca="1">IF(C1132="","",[1]!S_DQ_CLOSE(D1132,TODAY(),1))</f>
        <v/>
      </c>
      <c r="G1132" s="171" t="str">
        <f ca="1">IF(C1132="","",[1]!s_pq_pctchange(D1132,TODAY()-$G$12,TODAY())/100)</f>
        <v/>
      </c>
      <c r="H1132" s="247" t="str">
        <f ca="1">IF(C1132="","",IF($H$11="收入",[1]!S_STM07_IS(D1132,9,$G$5,$H$13)/$E$5,[1]!S_STM07_IS(D1132,48,$G$5,$H$13)/$E$5))</f>
        <v/>
      </c>
      <c r="I1132" s="247" t="str">
        <f ca="1">IF(C1132="","",IF($I$11="毛利率",([1]!S_STM07_IS(D1132,9,$G$5,$H$13)-[1]!S_STM07_IS(D1132,10,$G$5,$H$13))/[1]!S_STM07_IS(D1132,9,$G$5,$H$13),[1]!S_STM07_IS(D1132,14,$G$5,$H$13)/$E$5))</f>
        <v/>
      </c>
      <c r="J1132" s="247" t="str">
        <f ca="1">IF(C1132="","",IF($J$11="营业利润率",[1]!S_STM07_IS(D1132,48,$G$5,$H$13)/[1]!S_STM07_IS(D1132,9,$G$5,$H$13),([1]!S_STM07_CS(D1132,87,$G$5,$H$13)+[1]!S_STM07_CS(D1132,88,$G$5,$H$13)+[1]!S_STM07_CS(D1132,89,$G$5,$H$13))/$E$5))</f>
        <v/>
      </c>
      <c r="K1132" s="247" t="str">
        <f ca="1">IF(C1132="","",IF($K$11="净利润率",[1]!S_STM07_IS(D1132,61,$G$5,$H$13)/[1]!S_STM07_IS(D1132,9,$G$5,$H$13),[1]!S_STM07_IS(D1132,55,$G$5,$H$13)/$E$5))</f>
        <v/>
      </c>
      <c r="L1132" s="247" t="str">
        <f ca="1">IF(C1132="","",IF($L$11="ROA",[1]!S_STM07_IS(D1132,61,$G$5,$H$13)/[1]!S_STM07_BS(D1132,74,$G$5,$H$13),1-[1]!S_STM07_IS(D1132,61,$G$5,$H$13)/[1]!S_STM07_IS(D1132,55,$G$5,$H$13)))</f>
        <v/>
      </c>
      <c r="M1132" s="247" t="str">
        <f ca="1">IF(C1132="","",IF($M$11="ROE",[1]!S_STM07_IS(D1132,61,$G$5,$H$13)/[1]!S_STM07_BS(D1132,141,$G$5,$H$13),([1]!S_STM07_BS(D1132,25,$G$5,$H$13)-[1]!S_STM07_BS(D1132,93,$G$5,$H$13))/$E$5))</f>
        <v/>
      </c>
      <c r="N1132" s="247" t="str">
        <f ca="1">IF(C1132="","",IF($N$11="EPS",[1]!S_STM07_IS(D1132,61,$G$5,$H$13)/IF([1]!S_SHARE_TOTAL(D1132,$G$5)=0,[1]!S_SHARE_TOTAL(D1132,[1]!s_ipo_listeddate(D1132)),[1]!S_SHARE_TOTAL(D1132,$G$5)),([1]!S_STM07_BS(D1132,75,$G$5,$H$13)+[1]!S_STM07_BS(D1132,88,$G$5,$H$13)+[1]!S_STM07_BS(D1132,94,$G$5,$H$13)+[1]!S_STM07_BS(D1132,95,$G$5,$H$13))/$E$5))</f>
        <v/>
      </c>
      <c r="O1132" s="247" t="str">
        <f ca="1">IF(C1132="","",IF($O$11="BPS",[1]!S_STM07_BS(D1132,141,$G$5,$H$13)/IF([1]!S_SHARE_TOTAL(D1132,$G$5)=0,[1]!S_SHARE_TOTAL(D1132,[1]!s_ipo_listeddate(D1132)),[1]!S_SHARE_TOTAL(D1132,$G$5)),[1]!S_STM07_CS(D1132,49,$G$5,$H$13)/$E$5))</f>
        <v/>
      </c>
      <c r="P1132" s="247" t="str">
        <f ca="1">IF(C1132="","",IF($P$11="CFPS",[1]!S_STM07_CS(D1132,84,$G$5,$H$13)/IF([1]!S_SHARE_TOTAL(D1132,$G$5)=0,[1]!S_SHARE_TOTAL(D1132,[1]!s_ipo_listeddate(D1132)),[1]!S_SHARE_TOTAL(D1132,$G$5)),[1]!S_STM07_CS(D1132,84,$G$5,$H$13)/$E$5))</f>
        <v/>
      </c>
      <c r="Q1132" s="248" t="str">
        <f ca="1">IF(C1132="","",F1132/([1]!S_STM07_IS(D1132,61,$G$5,$H$13)/IF([1]!S_SHARE_TOTAL(D1132,$G$5)=0,[1]!S_SHARE_TOTAL(D1132,[1]!s_ipo_listeddate(D1132)),[1]!S_SHARE_TOTAL(D1132,$G$5))))</f>
        <v/>
      </c>
      <c r="R1132" s="248" t="str">
        <f ca="1">IF(C1132="","",F1132/([1]!S_STM07_BS(D1132,141,$G$5,$H$13)/IF([1]!S_SHARE_TOTAL(D1132,$G$5)=0,[1]!S_SHARE_TOTAL(D1132,[1]!s_ipo_listeddate(D1132)),[1]!S_SHARE_TOTAL(D1132,$G$5))))</f>
        <v/>
      </c>
      <c r="S1132" s="247" t="str">
        <f ca="1">IF(C1132="","",[1]!S_SHARE_TOTAL(D1132,TODAY())/$E$5)</f>
        <v/>
      </c>
      <c r="T1132" s="247" t="str">
        <f t="shared" ca="1" si="115"/>
        <v/>
      </c>
      <c r="U1132" s="218" t="str">
        <f t="shared" ca="1" si="116"/>
        <v/>
      </c>
      <c r="V1132" s="342" t="str">
        <f t="shared" ca="1" si="117"/>
        <v/>
      </c>
      <c r="W1132" s="139"/>
      <c r="Y1132" s="1"/>
    </row>
    <row r="1133" spans="3:25" ht="12" customHeight="1">
      <c r="C1133" s="343" t="str">
        <f t="shared" ca="1" si="112"/>
        <v/>
      </c>
      <c r="D1133" s="124" t="str">
        <f t="shared" ca="1" si="113"/>
        <v/>
      </c>
      <c r="E1133" s="124" t="str">
        <f t="shared" ca="1" si="114"/>
        <v/>
      </c>
      <c r="F1133" s="172" t="str">
        <f ca="1">IF(C1133="","",[1]!S_DQ_CLOSE(D1133,TODAY(),1))</f>
        <v/>
      </c>
      <c r="G1133" s="173" t="str">
        <f ca="1">IF(C1133="","",[1]!s_pq_pctchange(D1133,TODAY()-$G$12,TODAY())/100)</f>
        <v/>
      </c>
      <c r="H1133" s="249" t="str">
        <f ca="1">IF(C1133="","",IF($H$11="收入",[1]!S_STM07_IS(D1133,9,$G$5,$H$13)/$E$5,[1]!S_STM07_IS(D1133,48,$G$5,$H$13)/$E$5))</f>
        <v/>
      </c>
      <c r="I1133" s="249" t="str">
        <f ca="1">IF(C1133="","",IF($I$11="毛利率",([1]!S_STM07_IS(D1133,9,$G$5,$H$13)-[1]!S_STM07_IS(D1133,10,$G$5,$H$13))/[1]!S_STM07_IS(D1133,9,$G$5,$H$13),[1]!S_STM07_IS(D1133,14,$G$5,$H$13)/$E$5))</f>
        <v/>
      </c>
      <c r="J1133" s="249" t="str">
        <f ca="1">IF(C1133="","",IF($J$11="营业利润率",[1]!S_STM07_IS(D1133,48,$G$5,$H$13)/[1]!S_STM07_IS(D1133,9,$G$5,$H$13),([1]!S_STM07_CS(D1133,87,$G$5,$H$13)+[1]!S_STM07_CS(D1133,88,$G$5,$H$13)+[1]!S_STM07_CS(D1133,89,$G$5,$H$13))/$E$5))</f>
        <v/>
      </c>
      <c r="K1133" s="249" t="str">
        <f ca="1">IF(C1133="","",IF($K$11="净利润率",[1]!S_STM07_IS(D1133,61,$G$5,$H$13)/[1]!S_STM07_IS(D1133,9,$G$5,$H$13),[1]!S_STM07_IS(D1133,55,$G$5,$H$13)/$E$5))</f>
        <v/>
      </c>
      <c r="L1133" s="249" t="str">
        <f ca="1">IF(C1133="","",IF($L$11="ROA",[1]!S_STM07_IS(D1133,61,$G$5,$H$13)/[1]!S_STM07_BS(D1133,74,$G$5,$H$13),1-[1]!S_STM07_IS(D1133,61,$G$5,$H$13)/[1]!S_STM07_IS(D1133,55,$G$5,$H$13)))</f>
        <v/>
      </c>
      <c r="M1133" s="249" t="str">
        <f ca="1">IF(C1133="","",IF($M$11="ROE",[1]!S_STM07_IS(D1133,61,$G$5,$H$13)/[1]!S_STM07_BS(D1133,141,$G$5,$H$13),([1]!S_STM07_BS(D1133,25,$G$5,$H$13)-[1]!S_STM07_BS(D1133,93,$G$5,$H$13))/$E$5))</f>
        <v/>
      </c>
      <c r="N1133" s="250" t="str">
        <f ca="1">IF(C1133="","",IF($N$11="EPS",[1]!S_STM07_IS(D1133,61,$G$5,$H$13)/IF([1]!S_SHARE_TOTAL(D1133,$G$5)=0,[1]!S_SHARE_TOTAL(D1133,[1]!s_ipo_listeddate(D1133)),[1]!S_SHARE_TOTAL(D1133,$G$5)),([1]!S_STM07_BS(D1133,75,$G$5,$H$13)+[1]!S_STM07_BS(D1133,88,$G$5,$H$13)+[1]!S_STM07_BS(D1133,94,$G$5,$H$13)+[1]!S_STM07_BS(D1133,95,$G$5,$H$13))/$E$5))</f>
        <v/>
      </c>
      <c r="O1133" s="250" t="str">
        <f ca="1">IF(C1133="","",IF($O$11="BPS",[1]!S_STM07_BS(D1133,141,$G$5,$H$13)/IF([1]!S_SHARE_TOTAL(D1133,$G$5)=0,[1]!S_SHARE_TOTAL(D1133,[1]!s_ipo_listeddate(D1133)),[1]!S_SHARE_TOTAL(D1133,$G$5)),[1]!S_STM07_CS(D1133,49,$G$5,$H$13)/$E$5))</f>
        <v/>
      </c>
      <c r="P1133" s="250" t="str">
        <f ca="1">IF(C1133="","",IF($P$11="CFPS",[1]!S_STM07_CS(D1133,84,$G$5,$H$13)/IF([1]!S_SHARE_TOTAL(D1133,$G$5)=0,[1]!S_SHARE_TOTAL(D1133,[1]!s_ipo_listeddate(D1133)),[1]!S_SHARE_TOTAL(D1133,$G$5)),[1]!S_STM07_CS(D1133,84,$G$5,$H$13)/$E$5))</f>
        <v/>
      </c>
      <c r="Q1133" s="198" t="str">
        <f ca="1">IF(C1133="","",F1133/([1]!S_STM07_IS(D1133,61,$G$5,$H$13)/IF([1]!S_SHARE_TOTAL(D1133,$G$5)=0,[1]!S_SHARE_TOTAL(D1133,[1]!s_ipo_listeddate(D1133)),[1]!S_SHARE_TOTAL(D1133,$G$5))))</f>
        <v/>
      </c>
      <c r="R1133" s="198" t="str">
        <f ca="1">IF(C1133="","",F1133/([1]!S_STM07_BS(D1133,141,$G$5,$H$13)/IF([1]!S_SHARE_TOTAL(D1133,$G$5)=0,[1]!S_SHARE_TOTAL(D1133,[1]!s_ipo_listeddate(D1133)),[1]!S_SHARE_TOTAL(D1133,$G$5))))</f>
        <v/>
      </c>
      <c r="S1133" s="249" t="str">
        <f ca="1">IF(C1133="","",[1]!S_SHARE_TOTAL(D1133,TODAY())/$E$5)</f>
        <v/>
      </c>
      <c r="T1133" s="249" t="str">
        <f t="shared" ca="1" si="115"/>
        <v/>
      </c>
      <c r="U1133" s="172" t="str">
        <f t="shared" ca="1" si="116"/>
        <v/>
      </c>
      <c r="V1133" s="343" t="str">
        <f t="shared" ca="1" si="117"/>
        <v/>
      </c>
      <c r="W1133" s="139"/>
      <c r="Y1133" s="1"/>
    </row>
    <row r="1134" spans="3:25" ht="12" customHeight="1">
      <c r="C1134" s="342" t="str">
        <f t="shared" ca="1" si="112"/>
        <v/>
      </c>
      <c r="D1134" s="153" t="str">
        <f t="shared" ca="1" si="113"/>
        <v/>
      </c>
      <c r="E1134" s="153" t="str">
        <f t="shared" ca="1" si="114"/>
        <v/>
      </c>
      <c r="F1134" s="170" t="str">
        <f ca="1">IF(C1134="","",[1]!S_DQ_CLOSE(D1134,TODAY(),1))</f>
        <v/>
      </c>
      <c r="G1134" s="171" t="str">
        <f ca="1">IF(C1134="","",[1]!s_pq_pctchange(D1134,TODAY()-$G$12,TODAY())/100)</f>
        <v/>
      </c>
      <c r="H1134" s="247" t="str">
        <f ca="1">IF(C1134="","",IF($H$11="收入",[1]!S_STM07_IS(D1134,9,$G$5,$H$13)/$E$5,[1]!S_STM07_IS(D1134,48,$G$5,$H$13)/$E$5))</f>
        <v/>
      </c>
      <c r="I1134" s="247" t="str">
        <f ca="1">IF(C1134="","",IF($I$11="毛利率",([1]!S_STM07_IS(D1134,9,$G$5,$H$13)-[1]!S_STM07_IS(D1134,10,$G$5,$H$13))/[1]!S_STM07_IS(D1134,9,$G$5,$H$13),[1]!S_STM07_IS(D1134,14,$G$5,$H$13)/$E$5))</f>
        <v/>
      </c>
      <c r="J1134" s="247" t="str">
        <f ca="1">IF(C1134="","",IF($J$11="营业利润率",[1]!S_STM07_IS(D1134,48,$G$5,$H$13)/[1]!S_STM07_IS(D1134,9,$G$5,$H$13),([1]!S_STM07_CS(D1134,87,$G$5,$H$13)+[1]!S_STM07_CS(D1134,88,$G$5,$H$13)+[1]!S_STM07_CS(D1134,89,$G$5,$H$13))/$E$5))</f>
        <v/>
      </c>
      <c r="K1134" s="247" t="str">
        <f ca="1">IF(C1134="","",IF($K$11="净利润率",[1]!S_STM07_IS(D1134,61,$G$5,$H$13)/[1]!S_STM07_IS(D1134,9,$G$5,$H$13),[1]!S_STM07_IS(D1134,55,$G$5,$H$13)/$E$5))</f>
        <v/>
      </c>
      <c r="L1134" s="247" t="str">
        <f ca="1">IF(C1134="","",IF($L$11="ROA",[1]!S_STM07_IS(D1134,61,$G$5,$H$13)/[1]!S_STM07_BS(D1134,74,$G$5,$H$13),1-[1]!S_STM07_IS(D1134,61,$G$5,$H$13)/[1]!S_STM07_IS(D1134,55,$G$5,$H$13)))</f>
        <v/>
      </c>
      <c r="M1134" s="247" t="str">
        <f ca="1">IF(C1134="","",IF($M$11="ROE",[1]!S_STM07_IS(D1134,61,$G$5,$H$13)/[1]!S_STM07_BS(D1134,141,$G$5,$H$13),([1]!S_STM07_BS(D1134,25,$G$5,$H$13)-[1]!S_STM07_BS(D1134,93,$G$5,$H$13))/$E$5))</f>
        <v/>
      </c>
      <c r="N1134" s="247" t="str">
        <f ca="1">IF(C1134="","",IF($N$11="EPS",[1]!S_STM07_IS(D1134,61,$G$5,$H$13)/IF([1]!S_SHARE_TOTAL(D1134,$G$5)=0,[1]!S_SHARE_TOTAL(D1134,[1]!s_ipo_listeddate(D1134)),[1]!S_SHARE_TOTAL(D1134,$G$5)),([1]!S_STM07_BS(D1134,75,$G$5,$H$13)+[1]!S_STM07_BS(D1134,88,$G$5,$H$13)+[1]!S_STM07_BS(D1134,94,$G$5,$H$13)+[1]!S_STM07_BS(D1134,95,$G$5,$H$13))/$E$5))</f>
        <v/>
      </c>
      <c r="O1134" s="247" t="str">
        <f ca="1">IF(C1134="","",IF($O$11="BPS",[1]!S_STM07_BS(D1134,141,$G$5,$H$13)/IF([1]!S_SHARE_TOTAL(D1134,$G$5)=0,[1]!S_SHARE_TOTAL(D1134,[1]!s_ipo_listeddate(D1134)),[1]!S_SHARE_TOTAL(D1134,$G$5)),[1]!S_STM07_CS(D1134,49,$G$5,$H$13)/$E$5))</f>
        <v/>
      </c>
      <c r="P1134" s="247" t="str">
        <f ca="1">IF(C1134="","",IF($P$11="CFPS",[1]!S_STM07_CS(D1134,84,$G$5,$H$13)/IF([1]!S_SHARE_TOTAL(D1134,$G$5)=0,[1]!S_SHARE_TOTAL(D1134,[1]!s_ipo_listeddate(D1134)),[1]!S_SHARE_TOTAL(D1134,$G$5)),[1]!S_STM07_CS(D1134,84,$G$5,$H$13)/$E$5))</f>
        <v/>
      </c>
      <c r="Q1134" s="248" t="str">
        <f ca="1">IF(C1134="","",F1134/([1]!S_STM07_IS(D1134,61,$G$5,$H$13)/IF([1]!S_SHARE_TOTAL(D1134,$G$5)=0,[1]!S_SHARE_TOTAL(D1134,[1]!s_ipo_listeddate(D1134)),[1]!S_SHARE_TOTAL(D1134,$G$5))))</f>
        <v/>
      </c>
      <c r="R1134" s="248" t="str">
        <f ca="1">IF(C1134="","",F1134/([1]!S_STM07_BS(D1134,141,$G$5,$H$13)/IF([1]!S_SHARE_TOTAL(D1134,$G$5)=0,[1]!S_SHARE_TOTAL(D1134,[1]!s_ipo_listeddate(D1134)),[1]!S_SHARE_TOTAL(D1134,$G$5))))</f>
        <v/>
      </c>
      <c r="S1134" s="247" t="str">
        <f ca="1">IF(C1134="","",[1]!S_SHARE_TOTAL(D1134,TODAY())/$E$5)</f>
        <v/>
      </c>
      <c r="T1134" s="247" t="str">
        <f t="shared" ca="1" si="115"/>
        <v/>
      </c>
      <c r="U1134" s="218" t="str">
        <f t="shared" ca="1" si="116"/>
        <v/>
      </c>
      <c r="V1134" s="342" t="str">
        <f t="shared" ca="1" si="117"/>
        <v/>
      </c>
      <c r="W1134" s="139"/>
      <c r="Y1134" s="1"/>
    </row>
    <row r="1135" spans="3:25" ht="12" customHeight="1">
      <c r="C1135" s="343" t="str">
        <f t="shared" ca="1" si="112"/>
        <v/>
      </c>
      <c r="D1135" s="124" t="str">
        <f t="shared" ca="1" si="113"/>
        <v/>
      </c>
      <c r="E1135" s="124" t="str">
        <f t="shared" ca="1" si="114"/>
        <v/>
      </c>
      <c r="F1135" s="172" t="str">
        <f ca="1">IF(C1135="","",[1]!S_DQ_CLOSE(D1135,TODAY(),1))</f>
        <v/>
      </c>
      <c r="G1135" s="173" t="str">
        <f ca="1">IF(C1135="","",[1]!s_pq_pctchange(D1135,TODAY()-$G$12,TODAY())/100)</f>
        <v/>
      </c>
      <c r="H1135" s="249" t="str">
        <f ca="1">IF(C1135="","",IF($H$11="收入",[1]!S_STM07_IS(D1135,9,$G$5,$H$13)/$E$5,[1]!S_STM07_IS(D1135,48,$G$5,$H$13)/$E$5))</f>
        <v/>
      </c>
      <c r="I1135" s="249" t="str">
        <f ca="1">IF(C1135="","",IF($I$11="毛利率",([1]!S_STM07_IS(D1135,9,$G$5,$H$13)-[1]!S_STM07_IS(D1135,10,$G$5,$H$13))/[1]!S_STM07_IS(D1135,9,$G$5,$H$13),[1]!S_STM07_IS(D1135,14,$G$5,$H$13)/$E$5))</f>
        <v/>
      </c>
      <c r="J1135" s="249" t="str">
        <f ca="1">IF(C1135="","",IF($J$11="营业利润率",[1]!S_STM07_IS(D1135,48,$G$5,$H$13)/[1]!S_STM07_IS(D1135,9,$G$5,$H$13),([1]!S_STM07_CS(D1135,87,$G$5,$H$13)+[1]!S_STM07_CS(D1135,88,$G$5,$H$13)+[1]!S_STM07_CS(D1135,89,$G$5,$H$13))/$E$5))</f>
        <v/>
      </c>
      <c r="K1135" s="249" t="str">
        <f ca="1">IF(C1135="","",IF($K$11="净利润率",[1]!S_STM07_IS(D1135,61,$G$5,$H$13)/[1]!S_STM07_IS(D1135,9,$G$5,$H$13),[1]!S_STM07_IS(D1135,55,$G$5,$H$13)/$E$5))</f>
        <v/>
      </c>
      <c r="L1135" s="249" t="str">
        <f ca="1">IF(C1135="","",IF($L$11="ROA",[1]!S_STM07_IS(D1135,61,$G$5,$H$13)/[1]!S_STM07_BS(D1135,74,$G$5,$H$13),1-[1]!S_STM07_IS(D1135,61,$G$5,$H$13)/[1]!S_STM07_IS(D1135,55,$G$5,$H$13)))</f>
        <v/>
      </c>
      <c r="M1135" s="249" t="str">
        <f ca="1">IF(C1135="","",IF($M$11="ROE",[1]!S_STM07_IS(D1135,61,$G$5,$H$13)/[1]!S_STM07_BS(D1135,141,$G$5,$H$13),([1]!S_STM07_BS(D1135,25,$G$5,$H$13)-[1]!S_STM07_BS(D1135,93,$G$5,$H$13))/$E$5))</f>
        <v/>
      </c>
      <c r="N1135" s="250" t="str">
        <f ca="1">IF(C1135="","",IF($N$11="EPS",[1]!S_STM07_IS(D1135,61,$G$5,$H$13)/IF([1]!S_SHARE_TOTAL(D1135,$G$5)=0,[1]!S_SHARE_TOTAL(D1135,[1]!s_ipo_listeddate(D1135)),[1]!S_SHARE_TOTAL(D1135,$G$5)),([1]!S_STM07_BS(D1135,75,$G$5,$H$13)+[1]!S_STM07_BS(D1135,88,$G$5,$H$13)+[1]!S_STM07_BS(D1135,94,$G$5,$H$13)+[1]!S_STM07_BS(D1135,95,$G$5,$H$13))/$E$5))</f>
        <v/>
      </c>
      <c r="O1135" s="250" t="str">
        <f ca="1">IF(C1135="","",IF($O$11="BPS",[1]!S_STM07_BS(D1135,141,$G$5,$H$13)/IF([1]!S_SHARE_TOTAL(D1135,$G$5)=0,[1]!S_SHARE_TOTAL(D1135,[1]!s_ipo_listeddate(D1135)),[1]!S_SHARE_TOTAL(D1135,$G$5)),[1]!S_STM07_CS(D1135,49,$G$5,$H$13)/$E$5))</f>
        <v/>
      </c>
      <c r="P1135" s="250" t="str">
        <f ca="1">IF(C1135="","",IF($P$11="CFPS",[1]!S_STM07_CS(D1135,84,$G$5,$H$13)/IF([1]!S_SHARE_TOTAL(D1135,$G$5)=0,[1]!S_SHARE_TOTAL(D1135,[1]!s_ipo_listeddate(D1135)),[1]!S_SHARE_TOTAL(D1135,$G$5)),[1]!S_STM07_CS(D1135,84,$G$5,$H$13)/$E$5))</f>
        <v/>
      </c>
      <c r="Q1135" s="198" t="str">
        <f ca="1">IF(C1135="","",F1135/([1]!S_STM07_IS(D1135,61,$G$5,$H$13)/IF([1]!S_SHARE_TOTAL(D1135,$G$5)=0,[1]!S_SHARE_TOTAL(D1135,[1]!s_ipo_listeddate(D1135)),[1]!S_SHARE_TOTAL(D1135,$G$5))))</f>
        <v/>
      </c>
      <c r="R1135" s="198" t="str">
        <f ca="1">IF(C1135="","",F1135/([1]!S_STM07_BS(D1135,141,$G$5,$H$13)/IF([1]!S_SHARE_TOTAL(D1135,$G$5)=0,[1]!S_SHARE_TOTAL(D1135,[1]!s_ipo_listeddate(D1135)),[1]!S_SHARE_TOTAL(D1135,$G$5))))</f>
        <v/>
      </c>
      <c r="S1135" s="249" t="str">
        <f ca="1">IF(C1135="","",[1]!S_SHARE_TOTAL(D1135,TODAY())/$E$5)</f>
        <v/>
      </c>
      <c r="T1135" s="249" t="str">
        <f t="shared" ca="1" si="115"/>
        <v/>
      </c>
      <c r="U1135" s="172" t="str">
        <f t="shared" ca="1" si="116"/>
        <v/>
      </c>
      <c r="V1135" s="343" t="str">
        <f t="shared" ca="1" si="117"/>
        <v/>
      </c>
      <c r="W1135" s="139"/>
      <c r="Y1135" s="1"/>
    </row>
    <row r="1136" spans="3:25" ht="12" customHeight="1">
      <c r="C1136" s="342" t="str">
        <f t="shared" ca="1" si="112"/>
        <v/>
      </c>
      <c r="D1136" s="153" t="str">
        <f t="shared" ca="1" si="113"/>
        <v/>
      </c>
      <c r="E1136" s="153" t="str">
        <f t="shared" ca="1" si="114"/>
        <v/>
      </c>
      <c r="F1136" s="170" t="str">
        <f ca="1">IF(C1136="","",[1]!S_DQ_CLOSE(D1136,TODAY(),1))</f>
        <v/>
      </c>
      <c r="G1136" s="171" t="str">
        <f ca="1">IF(C1136="","",[1]!s_pq_pctchange(D1136,TODAY()-$G$12,TODAY())/100)</f>
        <v/>
      </c>
      <c r="H1136" s="247" t="str">
        <f ca="1">IF(C1136="","",IF($H$11="收入",[1]!S_STM07_IS(D1136,9,$G$5,$H$13)/$E$5,[1]!S_STM07_IS(D1136,48,$G$5,$H$13)/$E$5))</f>
        <v/>
      </c>
      <c r="I1136" s="247" t="str">
        <f ca="1">IF(C1136="","",IF($I$11="毛利率",([1]!S_STM07_IS(D1136,9,$G$5,$H$13)-[1]!S_STM07_IS(D1136,10,$G$5,$H$13))/[1]!S_STM07_IS(D1136,9,$G$5,$H$13),[1]!S_STM07_IS(D1136,14,$G$5,$H$13)/$E$5))</f>
        <v/>
      </c>
      <c r="J1136" s="247" t="str">
        <f ca="1">IF(C1136="","",IF($J$11="营业利润率",[1]!S_STM07_IS(D1136,48,$G$5,$H$13)/[1]!S_STM07_IS(D1136,9,$G$5,$H$13),([1]!S_STM07_CS(D1136,87,$G$5,$H$13)+[1]!S_STM07_CS(D1136,88,$G$5,$H$13)+[1]!S_STM07_CS(D1136,89,$G$5,$H$13))/$E$5))</f>
        <v/>
      </c>
      <c r="K1136" s="247" t="str">
        <f ca="1">IF(C1136="","",IF($K$11="净利润率",[1]!S_STM07_IS(D1136,61,$G$5,$H$13)/[1]!S_STM07_IS(D1136,9,$G$5,$H$13),[1]!S_STM07_IS(D1136,55,$G$5,$H$13)/$E$5))</f>
        <v/>
      </c>
      <c r="L1136" s="247" t="str">
        <f ca="1">IF(C1136="","",IF($L$11="ROA",[1]!S_STM07_IS(D1136,61,$G$5,$H$13)/[1]!S_STM07_BS(D1136,74,$G$5,$H$13),1-[1]!S_STM07_IS(D1136,61,$G$5,$H$13)/[1]!S_STM07_IS(D1136,55,$G$5,$H$13)))</f>
        <v/>
      </c>
      <c r="M1136" s="247" t="str">
        <f ca="1">IF(C1136="","",IF($M$11="ROE",[1]!S_STM07_IS(D1136,61,$G$5,$H$13)/[1]!S_STM07_BS(D1136,141,$G$5,$H$13),([1]!S_STM07_BS(D1136,25,$G$5,$H$13)-[1]!S_STM07_BS(D1136,93,$G$5,$H$13))/$E$5))</f>
        <v/>
      </c>
      <c r="N1136" s="247" t="str">
        <f ca="1">IF(C1136="","",IF($N$11="EPS",[1]!S_STM07_IS(D1136,61,$G$5,$H$13)/IF([1]!S_SHARE_TOTAL(D1136,$G$5)=0,[1]!S_SHARE_TOTAL(D1136,[1]!s_ipo_listeddate(D1136)),[1]!S_SHARE_TOTAL(D1136,$G$5)),([1]!S_STM07_BS(D1136,75,$G$5,$H$13)+[1]!S_STM07_BS(D1136,88,$G$5,$H$13)+[1]!S_STM07_BS(D1136,94,$G$5,$H$13)+[1]!S_STM07_BS(D1136,95,$G$5,$H$13))/$E$5))</f>
        <v/>
      </c>
      <c r="O1136" s="247" t="str">
        <f ca="1">IF(C1136="","",IF($O$11="BPS",[1]!S_STM07_BS(D1136,141,$G$5,$H$13)/IF([1]!S_SHARE_TOTAL(D1136,$G$5)=0,[1]!S_SHARE_TOTAL(D1136,[1]!s_ipo_listeddate(D1136)),[1]!S_SHARE_TOTAL(D1136,$G$5)),[1]!S_STM07_CS(D1136,49,$G$5,$H$13)/$E$5))</f>
        <v/>
      </c>
      <c r="P1136" s="247" t="str">
        <f ca="1">IF(C1136="","",IF($P$11="CFPS",[1]!S_STM07_CS(D1136,84,$G$5,$H$13)/IF([1]!S_SHARE_TOTAL(D1136,$G$5)=0,[1]!S_SHARE_TOTAL(D1136,[1]!s_ipo_listeddate(D1136)),[1]!S_SHARE_TOTAL(D1136,$G$5)),[1]!S_STM07_CS(D1136,84,$G$5,$H$13)/$E$5))</f>
        <v/>
      </c>
      <c r="Q1136" s="248" t="str">
        <f ca="1">IF(C1136="","",F1136/([1]!S_STM07_IS(D1136,61,$G$5,$H$13)/IF([1]!S_SHARE_TOTAL(D1136,$G$5)=0,[1]!S_SHARE_TOTAL(D1136,[1]!s_ipo_listeddate(D1136)),[1]!S_SHARE_TOTAL(D1136,$G$5))))</f>
        <v/>
      </c>
      <c r="R1136" s="248" t="str">
        <f ca="1">IF(C1136="","",F1136/([1]!S_STM07_BS(D1136,141,$G$5,$H$13)/IF([1]!S_SHARE_TOTAL(D1136,$G$5)=0,[1]!S_SHARE_TOTAL(D1136,[1]!s_ipo_listeddate(D1136)),[1]!S_SHARE_TOTAL(D1136,$G$5))))</f>
        <v/>
      </c>
      <c r="S1136" s="247" t="str">
        <f ca="1">IF(C1136="","",[1]!S_SHARE_TOTAL(D1136,TODAY())/$E$5)</f>
        <v/>
      </c>
      <c r="T1136" s="247" t="str">
        <f t="shared" ca="1" si="115"/>
        <v/>
      </c>
      <c r="U1136" s="218" t="str">
        <f t="shared" ca="1" si="116"/>
        <v/>
      </c>
      <c r="V1136" s="342" t="str">
        <f t="shared" ca="1" si="117"/>
        <v/>
      </c>
      <c r="W1136" s="139"/>
      <c r="Y1136" s="1"/>
    </row>
    <row r="1137" spans="3:25" ht="12" customHeight="1">
      <c r="C1137" s="343" t="str">
        <f t="shared" ca="1" si="112"/>
        <v/>
      </c>
      <c r="D1137" s="124" t="str">
        <f t="shared" ca="1" si="113"/>
        <v/>
      </c>
      <c r="E1137" s="124" t="str">
        <f t="shared" ca="1" si="114"/>
        <v/>
      </c>
      <c r="F1137" s="172" t="str">
        <f ca="1">IF(C1137="","",[1]!S_DQ_CLOSE(D1137,TODAY(),1))</f>
        <v/>
      </c>
      <c r="G1137" s="173" t="str">
        <f ca="1">IF(C1137="","",[1]!s_pq_pctchange(D1137,TODAY()-$G$12,TODAY())/100)</f>
        <v/>
      </c>
      <c r="H1137" s="249" t="str">
        <f ca="1">IF(C1137="","",IF($H$11="收入",[1]!S_STM07_IS(D1137,9,$G$5,$H$13)/$E$5,[1]!S_STM07_IS(D1137,48,$G$5,$H$13)/$E$5))</f>
        <v/>
      </c>
      <c r="I1137" s="249" t="str">
        <f ca="1">IF(C1137="","",IF($I$11="毛利率",([1]!S_STM07_IS(D1137,9,$G$5,$H$13)-[1]!S_STM07_IS(D1137,10,$G$5,$H$13))/[1]!S_STM07_IS(D1137,9,$G$5,$H$13),[1]!S_STM07_IS(D1137,14,$G$5,$H$13)/$E$5))</f>
        <v/>
      </c>
      <c r="J1137" s="249" t="str">
        <f ca="1">IF(C1137="","",IF($J$11="营业利润率",[1]!S_STM07_IS(D1137,48,$G$5,$H$13)/[1]!S_STM07_IS(D1137,9,$G$5,$H$13),([1]!S_STM07_CS(D1137,87,$G$5,$H$13)+[1]!S_STM07_CS(D1137,88,$G$5,$H$13)+[1]!S_STM07_CS(D1137,89,$G$5,$H$13))/$E$5))</f>
        <v/>
      </c>
      <c r="K1137" s="249" t="str">
        <f ca="1">IF(C1137="","",IF($K$11="净利润率",[1]!S_STM07_IS(D1137,61,$G$5,$H$13)/[1]!S_STM07_IS(D1137,9,$G$5,$H$13),[1]!S_STM07_IS(D1137,55,$G$5,$H$13)/$E$5))</f>
        <v/>
      </c>
      <c r="L1137" s="249" t="str">
        <f ca="1">IF(C1137="","",IF($L$11="ROA",[1]!S_STM07_IS(D1137,61,$G$5,$H$13)/[1]!S_STM07_BS(D1137,74,$G$5,$H$13),1-[1]!S_STM07_IS(D1137,61,$G$5,$H$13)/[1]!S_STM07_IS(D1137,55,$G$5,$H$13)))</f>
        <v/>
      </c>
      <c r="M1137" s="249" t="str">
        <f ca="1">IF(C1137="","",IF($M$11="ROE",[1]!S_STM07_IS(D1137,61,$G$5,$H$13)/[1]!S_STM07_BS(D1137,141,$G$5,$H$13),([1]!S_STM07_BS(D1137,25,$G$5,$H$13)-[1]!S_STM07_BS(D1137,93,$G$5,$H$13))/$E$5))</f>
        <v/>
      </c>
      <c r="N1137" s="250" t="str">
        <f ca="1">IF(C1137="","",IF($N$11="EPS",[1]!S_STM07_IS(D1137,61,$G$5,$H$13)/IF([1]!S_SHARE_TOTAL(D1137,$G$5)=0,[1]!S_SHARE_TOTAL(D1137,[1]!s_ipo_listeddate(D1137)),[1]!S_SHARE_TOTAL(D1137,$G$5)),([1]!S_STM07_BS(D1137,75,$G$5,$H$13)+[1]!S_STM07_BS(D1137,88,$G$5,$H$13)+[1]!S_STM07_BS(D1137,94,$G$5,$H$13)+[1]!S_STM07_BS(D1137,95,$G$5,$H$13))/$E$5))</f>
        <v/>
      </c>
      <c r="O1137" s="250" t="str">
        <f ca="1">IF(C1137="","",IF($O$11="BPS",[1]!S_STM07_BS(D1137,141,$G$5,$H$13)/IF([1]!S_SHARE_TOTAL(D1137,$G$5)=0,[1]!S_SHARE_TOTAL(D1137,[1]!s_ipo_listeddate(D1137)),[1]!S_SHARE_TOTAL(D1137,$G$5)),[1]!S_STM07_CS(D1137,49,$G$5,$H$13)/$E$5))</f>
        <v/>
      </c>
      <c r="P1137" s="250" t="str">
        <f ca="1">IF(C1137="","",IF($P$11="CFPS",[1]!S_STM07_CS(D1137,84,$G$5,$H$13)/IF([1]!S_SHARE_TOTAL(D1137,$G$5)=0,[1]!S_SHARE_TOTAL(D1137,[1]!s_ipo_listeddate(D1137)),[1]!S_SHARE_TOTAL(D1137,$G$5)),[1]!S_STM07_CS(D1137,84,$G$5,$H$13)/$E$5))</f>
        <v/>
      </c>
      <c r="Q1137" s="198" t="str">
        <f ca="1">IF(C1137="","",F1137/([1]!S_STM07_IS(D1137,61,$G$5,$H$13)/IF([1]!S_SHARE_TOTAL(D1137,$G$5)=0,[1]!S_SHARE_TOTAL(D1137,[1]!s_ipo_listeddate(D1137)),[1]!S_SHARE_TOTAL(D1137,$G$5))))</f>
        <v/>
      </c>
      <c r="R1137" s="198" t="str">
        <f ca="1">IF(C1137="","",F1137/([1]!S_STM07_BS(D1137,141,$G$5,$H$13)/IF([1]!S_SHARE_TOTAL(D1137,$G$5)=0,[1]!S_SHARE_TOTAL(D1137,[1]!s_ipo_listeddate(D1137)),[1]!S_SHARE_TOTAL(D1137,$G$5))))</f>
        <v/>
      </c>
      <c r="S1137" s="249" t="str">
        <f ca="1">IF(C1137="","",[1]!S_SHARE_TOTAL(D1137,TODAY())/$E$5)</f>
        <v/>
      </c>
      <c r="T1137" s="249" t="str">
        <f t="shared" ca="1" si="115"/>
        <v/>
      </c>
      <c r="U1137" s="172" t="str">
        <f t="shared" ca="1" si="116"/>
        <v/>
      </c>
      <c r="V1137" s="343" t="str">
        <f t="shared" ca="1" si="117"/>
        <v/>
      </c>
      <c r="W1137" s="139"/>
      <c r="Y1137" s="1"/>
    </row>
    <row r="1138" spans="3:25" ht="12" customHeight="1">
      <c r="C1138" s="342" t="str">
        <f t="shared" ca="1" si="112"/>
        <v/>
      </c>
      <c r="D1138" s="153" t="str">
        <f t="shared" ca="1" si="113"/>
        <v/>
      </c>
      <c r="E1138" s="153" t="str">
        <f t="shared" ca="1" si="114"/>
        <v/>
      </c>
      <c r="F1138" s="170" t="str">
        <f ca="1">IF(C1138="","",[1]!S_DQ_CLOSE(D1138,TODAY(),1))</f>
        <v/>
      </c>
      <c r="G1138" s="171" t="str">
        <f ca="1">IF(C1138="","",[1]!s_pq_pctchange(D1138,TODAY()-$G$12,TODAY())/100)</f>
        <v/>
      </c>
      <c r="H1138" s="247" t="str">
        <f ca="1">IF(C1138="","",IF($H$11="收入",[1]!S_STM07_IS(D1138,9,$G$5,$H$13)/$E$5,[1]!S_STM07_IS(D1138,48,$G$5,$H$13)/$E$5))</f>
        <v/>
      </c>
      <c r="I1138" s="247" t="str">
        <f ca="1">IF(C1138="","",IF($I$11="毛利率",([1]!S_STM07_IS(D1138,9,$G$5,$H$13)-[1]!S_STM07_IS(D1138,10,$G$5,$H$13))/[1]!S_STM07_IS(D1138,9,$G$5,$H$13),[1]!S_STM07_IS(D1138,14,$G$5,$H$13)/$E$5))</f>
        <v/>
      </c>
      <c r="J1138" s="247" t="str">
        <f ca="1">IF(C1138="","",IF($J$11="营业利润率",[1]!S_STM07_IS(D1138,48,$G$5,$H$13)/[1]!S_STM07_IS(D1138,9,$G$5,$H$13),([1]!S_STM07_CS(D1138,87,$G$5,$H$13)+[1]!S_STM07_CS(D1138,88,$G$5,$H$13)+[1]!S_STM07_CS(D1138,89,$G$5,$H$13))/$E$5))</f>
        <v/>
      </c>
      <c r="K1138" s="247" t="str">
        <f ca="1">IF(C1138="","",IF($K$11="净利润率",[1]!S_STM07_IS(D1138,61,$G$5,$H$13)/[1]!S_STM07_IS(D1138,9,$G$5,$H$13),[1]!S_STM07_IS(D1138,55,$G$5,$H$13)/$E$5))</f>
        <v/>
      </c>
      <c r="L1138" s="247" t="str">
        <f ca="1">IF(C1138="","",IF($L$11="ROA",[1]!S_STM07_IS(D1138,61,$G$5,$H$13)/[1]!S_STM07_BS(D1138,74,$G$5,$H$13),1-[1]!S_STM07_IS(D1138,61,$G$5,$H$13)/[1]!S_STM07_IS(D1138,55,$G$5,$H$13)))</f>
        <v/>
      </c>
      <c r="M1138" s="247" t="str">
        <f ca="1">IF(C1138="","",IF($M$11="ROE",[1]!S_STM07_IS(D1138,61,$G$5,$H$13)/[1]!S_STM07_BS(D1138,141,$G$5,$H$13),([1]!S_STM07_BS(D1138,25,$G$5,$H$13)-[1]!S_STM07_BS(D1138,93,$G$5,$H$13))/$E$5))</f>
        <v/>
      </c>
      <c r="N1138" s="247" t="str">
        <f ca="1">IF(C1138="","",IF($N$11="EPS",[1]!S_STM07_IS(D1138,61,$G$5,$H$13)/IF([1]!S_SHARE_TOTAL(D1138,$G$5)=0,[1]!S_SHARE_TOTAL(D1138,[1]!s_ipo_listeddate(D1138)),[1]!S_SHARE_TOTAL(D1138,$G$5)),([1]!S_STM07_BS(D1138,75,$G$5,$H$13)+[1]!S_STM07_BS(D1138,88,$G$5,$H$13)+[1]!S_STM07_BS(D1138,94,$G$5,$H$13)+[1]!S_STM07_BS(D1138,95,$G$5,$H$13))/$E$5))</f>
        <v/>
      </c>
      <c r="O1138" s="247" t="str">
        <f ca="1">IF(C1138="","",IF($O$11="BPS",[1]!S_STM07_BS(D1138,141,$G$5,$H$13)/IF([1]!S_SHARE_TOTAL(D1138,$G$5)=0,[1]!S_SHARE_TOTAL(D1138,[1]!s_ipo_listeddate(D1138)),[1]!S_SHARE_TOTAL(D1138,$G$5)),[1]!S_STM07_CS(D1138,49,$G$5,$H$13)/$E$5))</f>
        <v/>
      </c>
      <c r="P1138" s="247" t="str">
        <f ca="1">IF(C1138="","",IF($P$11="CFPS",[1]!S_STM07_CS(D1138,84,$G$5,$H$13)/IF([1]!S_SHARE_TOTAL(D1138,$G$5)=0,[1]!S_SHARE_TOTAL(D1138,[1]!s_ipo_listeddate(D1138)),[1]!S_SHARE_TOTAL(D1138,$G$5)),[1]!S_STM07_CS(D1138,84,$G$5,$H$13)/$E$5))</f>
        <v/>
      </c>
      <c r="Q1138" s="248" t="str">
        <f ca="1">IF(C1138="","",F1138/([1]!S_STM07_IS(D1138,61,$G$5,$H$13)/IF([1]!S_SHARE_TOTAL(D1138,$G$5)=0,[1]!S_SHARE_TOTAL(D1138,[1]!s_ipo_listeddate(D1138)),[1]!S_SHARE_TOTAL(D1138,$G$5))))</f>
        <v/>
      </c>
      <c r="R1138" s="248" t="str">
        <f ca="1">IF(C1138="","",F1138/([1]!S_STM07_BS(D1138,141,$G$5,$H$13)/IF([1]!S_SHARE_TOTAL(D1138,$G$5)=0,[1]!S_SHARE_TOTAL(D1138,[1]!s_ipo_listeddate(D1138)),[1]!S_SHARE_TOTAL(D1138,$G$5))))</f>
        <v/>
      </c>
      <c r="S1138" s="247" t="str">
        <f ca="1">IF(C1138="","",[1]!S_SHARE_TOTAL(D1138,TODAY())/$E$5)</f>
        <v/>
      </c>
      <c r="T1138" s="247" t="str">
        <f t="shared" ca="1" si="115"/>
        <v/>
      </c>
      <c r="U1138" s="218" t="str">
        <f t="shared" ca="1" si="116"/>
        <v/>
      </c>
      <c r="V1138" s="342" t="str">
        <f t="shared" ca="1" si="117"/>
        <v/>
      </c>
      <c r="W1138" s="139"/>
      <c r="Y1138" s="1"/>
    </row>
    <row r="1139" spans="3:25" ht="12" customHeight="1">
      <c r="C1139" s="343" t="str">
        <f t="shared" ca="1" si="112"/>
        <v/>
      </c>
      <c r="D1139" s="124" t="str">
        <f t="shared" ca="1" si="113"/>
        <v/>
      </c>
      <c r="E1139" s="124" t="str">
        <f t="shared" ca="1" si="114"/>
        <v/>
      </c>
      <c r="F1139" s="172" t="str">
        <f ca="1">IF(C1139="","",[1]!S_DQ_CLOSE(D1139,TODAY(),1))</f>
        <v/>
      </c>
      <c r="G1139" s="173" t="str">
        <f ca="1">IF(C1139="","",[1]!s_pq_pctchange(D1139,TODAY()-$G$12,TODAY())/100)</f>
        <v/>
      </c>
      <c r="H1139" s="249" t="str">
        <f ca="1">IF(C1139="","",IF($H$11="收入",[1]!S_STM07_IS(D1139,9,$G$5,$H$13)/$E$5,[1]!S_STM07_IS(D1139,48,$G$5,$H$13)/$E$5))</f>
        <v/>
      </c>
      <c r="I1139" s="249" t="str">
        <f ca="1">IF(C1139="","",IF($I$11="毛利率",([1]!S_STM07_IS(D1139,9,$G$5,$H$13)-[1]!S_STM07_IS(D1139,10,$G$5,$H$13))/[1]!S_STM07_IS(D1139,9,$G$5,$H$13),[1]!S_STM07_IS(D1139,14,$G$5,$H$13)/$E$5))</f>
        <v/>
      </c>
      <c r="J1139" s="249" t="str">
        <f ca="1">IF(C1139="","",IF($J$11="营业利润率",[1]!S_STM07_IS(D1139,48,$G$5,$H$13)/[1]!S_STM07_IS(D1139,9,$G$5,$H$13),([1]!S_STM07_CS(D1139,87,$G$5,$H$13)+[1]!S_STM07_CS(D1139,88,$G$5,$H$13)+[1]!S_STM07_CS(D1139,89,$G$5,$H$13))/$E$5))</f>
        <v/>
      </c>
      <c r="K1139" s="249" t="str">
        <f ca="1">IF(C1139="","",IF($K$11="净利润率",[1]!S_STM07_IS(D1139,61,$G$5,$H$13)/[1]!S_STM07_IS(D1139,9,$G$5,$H$13),[1]!S_STM07_IS(D1139,55,$G$5,$H$13)/$E$5))</f>
        <v/>
      </c>
      <c r="L1139" s="249" t="str">
        <f ca="1">IF(C1139="","",IF($L$11="ROA",[1]!S_STM07_IS(D1139,61,$G$5,$H$13)/[1]!S_STM07_BS(D1139,74,$G$5,$H$13),1-[1]!S_STM07_IS(D1139,61,$G$5,$H$13)/[1]!S_STM07_IS(D1139,55,$G$5,$H$13)))</f>
        <v/>
      </c>
      <c r="M1139" s="249" t="str">
        <f ca="1">IF(C1139="","",IF($M$11="ROE",[1]!S_STM07_IS(D1139,61,$G$5,$H$13)/[1]!S_STM07_BS(D1139,141,$G$5,$H$13),([1]!S_STM07_BS(D1139,25,$G$5,$H$13)-[1]!S_STM07_BS(D1139,93,$G$5,$H$13))/$E$5))</f>
        <v/>
      </c>
      <c r="N1139" s="250" t="str">
        <f ca="1">IF(C1139="","",IF($N$11="EPS",[1]!S_STM07_IS(D1139,61,$G$5,$H$13)/IF([1]!S_SHARE_TOTAL(D1139,$G$5)=0,[1]!S_SHARE_TOTAL(D1139,[1]!s_ipo_listeddate(D1139)),[1]!S_SHARE_TOTAL(D1139,$G$5)),([1]!S_STM07_BS(D1139,75,$G$5,$H$13)+[1]!S_STM07_BS(D1139,88,$G$5,$H$13)+[1]!S_STM07_BS(D1139,94,$G$5,$H$13)+[1]!S_STM07_BS(D1139,95,$G$5,$H$13))/$E$5))</f>
        <v/>
      </c>
      <c r="O1139" s="250" t="str">
        <f ca="1">IF(C1139="","",IF($O$11="BPS",[1]!S_STM07_BS(D1139,141,$G$5,$H$13)/IF([1]!S_SHARE_TOTAL(D1139,$G$5)=0,[1]!S_SHARE_TOTAL(D1139,[1]!s_ipo_listeddate(D1139)),[1]!S_SHARE_TOTAL(D1139,$G$5)),[1]!S_STM07_CS(D1139,49,$G$5,$H$13)/$E$5))</f>
        <v/>
      </c>
      <c r="P1139" s="250" t="str">
        <f ca="1">IF(C1139="","",IF($P$11="CFPS",[1]!S_STM07_CS(D1139,84,$G$5,$H$13)/IF([1]!S_SHARE_TOTAL(D1139,$G$5)=0,[1]!S_SHARE_TOTAL(D1139,[1]!s_ipo_listeddate(D1139)),[1]!S_SHARE_TOTAL(D1139,$G$5)),[1]!S_STM07_CS(D1139,84,$G$5,$H$13)/$E$5))</f>
        <v/>
      </c>
      <c r="Q1139" s="198" t="str">
        <f ca="1">IF(C1139="","",F1139/([1]!S_STM07_IS(D1139,61,$G$5,$H$13)/IF([1]!S_SHARE_TOTAL(D1139,$G$5)=0,[1]!S_SHARE_TOTAL(D1139,[1]!s_ipo_listeddate(D1139)),[1]!S_SHARE_TOTAL(D1139,$G$5))))</f>
        <v/>
      </c>
      <c r="R1139" s="198" t="str">
        <f ca="1">IF(C1139="","",F1139/([1]!S_STM07_BS(D1139,141,$G$5,$H$13)/IF([1]!S_SHARE_TOTAL(D1139,$G$5)=0,[1]!S_SHARE_TOTAL(D1139,[1]!s_ipo_listeddate(D1139)),[1]!S_SHARE_TOTAL(D1139,$G$5))))</f>
        <v/>
      </c>
      <c r="S1139" s="249" t="str">
        <f ca="1">IF(C1139="","",[1]!S_SHARE_TOTAL(D1139,TODAY())/$E$5)</f>
        <v/>
      </c>
      <c r="T1139" s="249" t="str">
        <f t="shared" ca="1" si="115"/>
        <v/>
      </c>
      <c r="U1139" s="172" t="str">
        <f t="shared" ca="1" si="116"/>
        <v/>
      </c>
      <c r="V1139" s="343" t="str">
        <f t="shared" ca="1" si="117"/>
        <v/>
      </c>
      <c r="W1139" s="139"/>
      <c r="Y1139" s="1"/>
    </row>
    <row r="1140" spans="3:25" ht="12" customHeight="1">
      <c r="C1140" s="342" t="str">
        <f t="shared" ca="1" si="112"/>
        <v/>
      </c>
      <c r="D1140" s="153" t="str">
        <f t="shared" ca="1" si="113"/>
        <v/>
      </c>
      <c r="E1140" s="153" t="str">
        <f t="shared" ca="1" si="114"/>
        <v/>
      </c>
      <c r="F1140" s="170" t="str">
        <f ca="1">IF(C1140="","",[1]!S_DQ_CLOSE(D1140,TODAY(),1))</f>
        <v/>
      </c>
      <c r="G1140" s="171" t="str">
        <f ca="1">IF(C1140="","",[1]!s_pq_pctchange(D1140,TODAY()-$G$12,TODAY())/100)</f>
        <v/>
      </c>
      <c r="H1140" s="247" t="str">
        <f ca="1">IF(C1140="","",IF($H$11="收入",[1]!S_STM07_IS(D1140,9,$G$5,$H$13)/$E$5,[1]!S_STM07_IS(D1140,48,$G$5,$H$13)/$E$5))</f>
        <v/>
      </c>
      <c r="I1140" s="247" t="str">
        <f ca="1">IF(C1140="","",IF($I$11="毛利率",([1]!S_STM07_IS(D1140,9,$G$5,$H$13)-[1]!S_STM07_IS(D1140,10,$G$5,$H$13))/[1]!S_STM07_IS(D1140,9,$G$5,$H$13),[1]!S_STM07_IS(D1140,14,$G$5,$H$13)/$E$5))</f>
        <v/>
      </c>
      <c r="J1140" s="247" t="str">
        <f ca="1">IF(C1140="","",IF($J$11="营业利润率",[1]!S_STM07_IS(D1140,48,$G$5,$H$13)/[1]!S_STM07_IS(D1140,9,$G$5,$H$13),([1]!S_STM07_CS(D1140,87,$G$5,$H$13)+[1]!S_STM07_CS(D1140,88,$G$5,$H$13)+[1]!S_STM07_CS(D1140,89,$G$5,$H$13))/$E$5))</f>
        <v/>
      </c>
      <c r="K1140" s="247" t="str">
        <f ca="1">IF(C1140="","",IF($K$11="净利润率",[1]!S_STM07_IS(D1140,61,$G$5,$H$13)/[1]!S_STM07_IS(D1140,9,$G$5,$H$13),[1]!S_STM07_IS(D1140,55,$G$5,$H$13)/$E$5))</f>
        <v/>
      </c>
      <c r="L1140" s="247" t="str">
        <f ca="1">IF(C1140="","",IF($L$11="ROA",[1]!S_STM07_IS(D1140,61,$G$5,$H$13)/[1]!S_STM07_BS(D1140,74,$G$5,$H$13),1-[1]!S_STM07_IS(D1140,61,$G$5,$H$13)/[1]!S_STM07_IS(D1140,55,$G$5,$H$13)))</f>
        <v/>
      </c>
      <c r="M1140" s="247" t="str">
        <f ca="1">IF(C1140="","",IF($M$11="ROE",[1]!S_STM07_IS(D1140,61,$G$5,$H$13)/[1]!S_STM07_BS(D1140,141,$G$5,$H$13),([1]!S_STM07_BS(D1140,25,$G$5,$H$13)-[1]!S_STM07_BS(D1140,93,$G$5,$H$13))/$E$5))</f>
        <v/>
      </c>
      <c r="N1140" s="247" t="str">
        <f ca="1">IF(C1140="","",IF($N$11="EPS",[1]!S_STM07_IS(D1140,61,$G$5,$H$13)/IF([1]!S_SHARE_TOTAL(D1140,$G$5)=0,[1]!S_SHARE_TOTAL(D1140,[1]!s_ipo_listeddate(D1140)),[1]!S_SHARE_TOTAL(D1140,$G$5)),([1]!S_STM07_BS(D1140,75,$G$5,$H$13)+[1]!S_STM07_BS(D1140,88,$G$5,$H$13)+[1]!S_STM07_BS(D1140,94,$G$5,$H$13)+[1]!S_STM07_BS(D1140,95,$G$5,$H$13))/$E$5))</f>
        <v/>
      </c>
      <c r="O1140" s="247" t="str">
        <f ca="1">IF(C1140="","",IF($O$11="BPS",[1]!S_STM07_BS(D1140,141,$G$5,$H$13)/IF([1]!S_SHARE_TOTAL(D1140,$G$5)=0,[1]!S_SHARE_TOTAL(D1140,[1]!s_ipo_listeddate(D1140)),[1]!S_SHARE_TOTAL(D1140,$G$5)),[1]!S_STM07_CS(D1140,49,$G$5,$H$13)/$E$5))</f>
        <v/>
      </c>
      <c r="P1140" s="247" t="str">
        <f ca="1">IF(C1140="","",IF($P$11="CFPS",[1]!S_STM07_CS(D1140,84,$G$5,$H$13)/IF([1]!S_SHARE_TOTAL(D1140,$G$5)=0,[1]!S_SHARE_TOTAL(D1140,[1]!s_ipo_listeddate(D1140)),[1]!S_SHARE_TOTAL(D1140,$G$5)),[1]!S_STM07_CS(D1140,84,$G$5,$H$13)/$E$5))</f>
        <v/>
      </c>
      <c r="Q1140" s="248" t="str">
        <f ca="1">IF(C1140="","",F1140/([1]!S_STM07_IS(D1140,61,$G$5,$H$13)/IF([1]!S_SHARE_TOTAL(D1140,$G$5)=0,[1]!S_SHARE_TOTAL(D1140,[1]!s_ipo_listeddate(D1140)),[1]!S_SHARE_TOTAL(D1140,$G$5))))</f>
        <v/>
      </c>
      <c r="R1140" s="248" t="str">
        <f ca="1">IF(C1140="","",F1140/([1]!S_STM07_BS(D1140,141,$G$5,$H$13)/IF([1]!S_SHARE_TOTAL(D1140,$G$5)=0,[1]!S_SHARE_TOTAL(D1140,[1]!s_ipo_listeddate(D1140)),[1]!S_SHARE_TOTAL(D1140,$G$5))))</f>
        <v/>
      </c>
      <c r="S1140" s="247" t="str">
        <f ca="1">IF(C1140="","",[1]!S_SHARE_TOTAL(D1140,TODAY())/$E$5)</f>
        <v/>
      </c>
      <c r="T1140" s="247" t="str">
        <f t="shared" ca="1" si="115"/>
        <v/>
      </c>
      <c r="U1140" s="218" t="str">
        <f t="shared" ca="1" si="116"/>
        <v/>
      </c>
      <c r="V1140" s="342" t="str">
        <f t="shared" ca="1" si="117"/>
        <v/>
      </c>
      <c r="W1140" s="139"/>
      <c r="Y1140" s="1"/>
    </row>
    <row r="1141" spans="3:25" ht="12" customHeight="1">
      <c r="C1141" s="343" t="str">
        <f t="shared" ca="1" si="112"/>
        <v/>
      </c>
      <c r="D1141" s="124" t="str">
        <f t="shared" ca="1" si="113"/>
        <v/>
      </c>
      <c r="E1141" s="124" t="str">
        <f t="shared" ca="1" si="114"/>
        <v/>
      </c>
      <c r="F1141" s="172" t="str">
        <f ca="1">IF(C1141="","",[1]!S_DQ_CLOSE(D1141,TODAY(),1))</f>
        <v/>
      </c>
      <c r="G1141" s="173" t="str">
        <f ca="1">IF(C1141="","",[1]!s_pq_pctchange(D1141,TODAY()-$G$12,TODAY())/100)</f>
        <v/>
      </c>
      <c r="H1141" s="249" t="str">
        <f ca="1">IF(C1141="","",IF($H$11="收入",[1]!S_STM07_IS(D1141,9,$G$5,$H$13)/$E$5,[1]!S_STM07_IS(D1141,48,$G$5,$H$13)/$E$5))</f>
        <v/>
      </c>
      <c r="I1141" s="249" t="str">
        <f ca="1">IF(C1141="","",IF($I$11="毛利率",([1]!S_STM07_IS(D1141,9,$G$5,$H$13)-[1]!S_STM07_IS(D1141,10,$G$5,$H$13))/[1]!S_STM07_IS(D1141,9,$G$5,$H$13),[1]!S_STM07_IS(D1141,14,$G$5,$H$13)/$E$5))</f>
        <v/>
      </c>
      <c r="J1141" s="249" t="str">
        <f ca="1">IF(C1141="","",IF($J$11="营业利润率",[1]!S_STM07_IS(D1141,48,$G$5,$H$13)/[1]!S_STM07_IS(D1141,9,$G$5,$H$13),([1]!S_STM07_CS(D1141,87,$G$5,$H$13)+[1]!S_STM07_CS(D1141,88,$G$5,$H$13)+[1]!S_STM07_CS(D1141,89,$G$5,$H$13))/$E$5))</f>
        <v/>
      </c>
      <c r="K1141" s="249" t="str">
        <f ca="1">IF(C1141="","",IF($K$11="净利润率",[1]!S_STM07_IS(D1141,61,$G$5,$H$13)/[1]!S_STM07_IS(D1141,9,$G$5,$H$13),[1]!S_STM07_IS(D1141,55,$G$5,$H$13)/$E$5))</f>
        <v/>
      </c>
      <c r="L1141" s="249" t="str">
        <f ca="1">IF(C1141="","",IF($L$11="ROA",[1]!S_STM07_IS(D1141,61,$G$5,$H$13)/[1]!S_STM07_BS(D1141,74,$G$5,$H$13),1-[1]!S_STM07_IS(D1141,61,$G$5,$H$13)/[1]!S_STM07_IS(D1141,55,$G$5,$H$13)))</f>
        <v/>
      </c>
      <c r="M1141" s="249" t="str">
        <f ca="1">IF(C1141="","",IF($M$11="ROE",[1]!S_STM07_IS(D1141,61,$G$5,$H$13)/[1]!S_STM07_BS(D1141,141,$G$5,$H$13),([1]!S_STM07_BS(D1141,25,$G$5,$H$13)-[1]!S_STM07_BS(D1141,93,$G$5,$H$13))/$E$5))</f>
        <v/>
      </c>
      <c r="N1141" s="250" t="str">
        <f ca="1">IF(C1141="","",IF($N$11="EPS",[1]!S_STM07_IS(D1141,61,$G$5,$H$13)/IF([1]!S_SHARE_TOTAL(D1141,$G$5)=0,[1]!S_SHARE_TOTAL(D1141,[1]!s_ipo_listeddate(D1141)),[1]!S_SHARE_TOTAL(D1141,$G$5)),([1]!S_STM07_BS(D1141,75,$G$5,$H$13)+[1]!S_STM07_BS(D1141,88,$G$5,$H$13)+[1]!S_STM07_BS(D1141,94,$G$5,$H$13)+[1]!S_STM07_BS(D1141,95,$G$5,$H$13))/$E$5))</f>
        <v/>
      </c>
      <c r="O1141" s="250" t="str">
        <f ca="1">IF(C1141="","",IF($O$11="BPS",[1]!S_STM07_BS(D1141,141,$G$5,$H$13)/IF([1]!S_SHARE_TOTAL(D1141,$G$5)=0,[1]!S_SHARE_TOTAL(D1141,[1]!s_ipo_listeddate(D1141)),[1]!S_SHARE_TOTAL(D1141,$G$5)),[1]!S_STM07_CS(D1141,49,$G$5,$H$13)/$E$5))</f>
        <v/>
      </c>
      <c r="P1141" s="250" t="str">
        <f ca="1">IF(C1141="","",IF($P$11="CFPS",[1]!S_STM07_CS(D1141,84,$G$5,$H$13)/IF([1]!S_SHARE_TOTAL(D1141,$G$5)=0,[1]!S_SHARE_TOTAL(D1141,[1]!s_ipo_listeddate(D1141)),[1]!S_SHARE_TOTAL(D1141,$G$5)),[1]!S_STM07_CS(D1141,84,$G$5,$H$13)/$E$5))</f>
        <v/>
      </c>
      <c r="Q1141" s="198" t="str">
        <f ca="1">IF(C1141="","",F1141/([1]!S_STM07_IS(D1141,61,$G$5,$H$13)/IF([1]!S_SHARE_TOTAL(D1141,$G$5)=0,[1]!S_SHARE_TOTAL(D1141,[1]!s_ipo_listeddate(D1141)),[1]!S_SHARE_TOTAL(D1141,$G$5))))</f>
        <v/>
      </c>
      <c r="R1141" s="198" t="str">
        <f ca="1">IF(C1141="","",F1141/([1]!S_STM07_BS(D1141,141,$G$5,$H$13)/IF([1]!S_SHARE_TOTAL(D1141,$G$5)=0,[1]!S_SHARE_TOTAL(D1141,[1]!s_ipo_listeddate(D1141)),[1]!S_SHARE_TOTAL(D1141,$G$5))))</f>
        <v/>
      </c>
      <c r="S1141" s="249" t="str">
        <f ca="1">IF(C1141="","",[1]!S_SHARE_TOTAL(D1141,TODAY())/$E$5)</f>
        <v/>
      </c>
      <c r="T1141" s="249" t="str">
        <f t="shared" ca="1" si="115"/>
        <v/>
      </c>
      <c r="U1141" s="172" t="str">
        <f t="shared" ca="1" si="116"/>
        <v/>
      </c>
      <c r="V1141" s="343" t="str">
        <f t="shared" ca="1" si="117"/>
        <v/>
      </c>
      <c r="W1141" s="139"/>
      <c r="Y1141" s="1"/>
    </row>
    <row r="1142" spans="3:25" ht="12" customHeight="1">
      <c r="C1142" s="342" t="str">
        <f t="shared" ca="1" si="112"/>
        <v/>
      </c>
      <c r="D1142" s="153" t="str">
        <f t="shared" ca="1" si="113"/>
        <v/>
      </c>
      <c r="E1142" s="153" t="str">
        <f t="shared" ca="1" si="114"/>
        <v/>
      </c>
      <c r="F1142" s="170" t="str">
        <f ca="1">IF(C1142="","",[1]!S_DQ_CLOSE(D1142,TODAY(),1))</f>
        <v/>
      </c>
      <c r="G1142" s="171" t="str">
        <f ca="1">IF(C1142="","",[1]!s_pq_pctchange(D1142,TODAY()-$G$12,TODAY())/100)</f>
        <v/>
      </c>
      <c r="H1142" s="247" t="str">
        <f ca="1">IF(C1142="","",IF($H$11="收入",[1]!S_STM07_IS(D1142,9,$G$5,$H$13)/$E$5,[1]!S_STM07_IS(D1142,48,$G$5,$H$13)/$E$5))</f>
        <v/>
      </c>
      <c r="I1142" s="247" t="str">
        <f ca="1">IF(C1142="","",IF($I$11="毛利率",([1]!S_STM07_IS(D1142,9,$G$5,$H$13)-[1]!S_STM07_IS(D1142,10,$G$5,$H$13))/[1]!S_STM07_IS(D1142,9,$G$5,$H$13),[1]!S_STM07_IS(D1142,14,$G$5,$H$13)/$E$5))</f>
        <v/>
      </c>
      <c r="J1142" s="247" t="str">
        <f ca="1">IF(C1142="","",IF($J$11="营业利润率",[1]!S_STM07_IS(D1142,48,$G$5,$H$13)/[1]!S_STM07_IS(D1142,9,$G$5,$H$13),([1]!S_STM07_CS(D1142,87,$G$5,$H$13)+[1]!S_STM07_CS(D1142,88,$G$5,$H$13)+[1]!S_STM07_CS(D1142,89,$G$5,$H$13))/$E$5))</f>
        <v/>
      </c>
      <c r="K1142" s="247" t="str">
        <f ca="1">IF(C1142="","",IF($K$11="净利润率",[1]!S_STM07_IS(D1142,61,$G$5,$H$13)/[1]!S_STM07_IS(D1142,9,$G$5,$H$13),[1]!S_STM07_IS(D1142,55,$G$5,$H$13)/$E$5))</f>
        <v/>
      </c>
      <c r="L1142" s="247" t="str">
        <f ca="1">IF(C1142="","",IF($L$11="ROA",[1]!S_STM07_IS(D1142,61,$G$5,$H$13)/[1]!S_STM07_BS(D1142,74,$G$5,$H$13),1-[1]!S_STM07_IS(D1142,61,$G$5,$H$13)/[1]!S_STM07_IS(D1142,55,$G$5,$H$13)))</f>
        <v/>
      </c>
      <c r="M1142" s="247" t="str">
        <f ca="1">IF(C1142="","",IF($M$11="ROE",[1]!S_STM07_IS(D1142,61,$G$5,$H$13)/[1]!S_STM07_BS(D1142,141,$G$5,$H$13),([1]!S_STM07_BS(D1142,25,$G$5,$H$13)-[1]!S_STM07_BS(D1142,93,$G$5,$H$13))/$E$5))</f>
        <v/>
      </c>
      <c r="N1142" s="247" t="str">
        <f ca="1">IF(C1142="","",IF($N$11="EPS",[1]!S_STM07_IS(D1142,61,$G$5,$H$13)/IF([1]!S_SHARE_TOTAL(D1142,$G$5)=0,[1]!S_SHARE_TOTAL(D1142,[1]!s_ipo_listeddate(D1142)),[1]!S_SHARE_TOTAL(D1142,$G$5)),([1]!S_STM07_BS(D1142,75,$G$5,$H$13)+[1]!S_STM07_BS(D1142,88,$G$5,$H$13)+[1]!S_STM07_BS(D1142,94,$G$5,$H$13)+[1]!S_STM07_BS(D1142,95,$G$5,$H$13))/$E$5))</f>
        <v/>
      </c>
      <c r="O1142" s="247" t="str">
        <f ca="1">IF(C1142="","",IF($O$11="BPS",[1]!S_STM07_BS(D1142,141,$G$5,$H$13)/IF([1]!S_SHARE_TOTAL(D1142,$G$5)=0,[1]!S_SHARE_TOTAL(D1142,[1]!s_ipo_listeddate(D1142)),[1]!S_SHARE_TOTAL(D1142,$G$5)),[1]!S_STM07_CS(D1142,49,$G$5,$H$13)/$E$5))</f>
        <v/>
      </c>
      <c r="P1142" s="247" t="str">
        <f ca="1">IF(C1142="","",IF($P$11="CFPS",[1]!S_STM07_CS(D1142,84,$G$5,$H$13)/IF([1]!S_SHARE_TOTAL(D1142,$G$5)=0,[1]!S_SHARE_TOTAL(D1142,[1]!s_ipo_listeddate(D1142)),[1]!S_SHARE_TOTAL(D1142,$G$5)),[1]!S_STM07_CS(D1142,84,$G$5,$H$13)/$E$5))</f>
        <v/>
      </c>
      <c r="Q1142" s="248" t="str">
        <f ca="1">IF(C1142="","",F1142/([1]!S_STM07_IS(D1142,61,$G$5,$H$13)/IF([1]!S_SHARE_TOTAL(D1142,$G$5)=0,[1]!S_SHARE_TOTAL(D1142,[1]!s_ipo_listeddate(D1142)),[1]!S_SHARE_TOTAL(D1142,$G$5))))</f>
        <v/>
      </c>
      <c r="R1142" s="248" t="str">
        <f ca="1">IF(C1142="","",F1142/([1]!S_STM07_BS(D1142,141,$G$5,$H$13)/IF([1]!S_SHARE_TOTAL(D1142,$G$5)=0,[1]!S_SHARE_TOTAL(D1142,[1]!s_ipo_listeddate(D1142)),[1]!S_SHARE_TOTAL(D1142,$G$5))))</f>
        <v/>
      </c>
      <c r="S1142" s="247" t="str">
        <f ca="1">IF(C1142="","",[1]!S_SHARE_TOTAL(D1142,TODAY())/$E$5)</f>
        <v/>
      </c>
      <c r="T1142" s="247" t="str">
        <f t="shared" ca="1" si="115"/>
        <v/>
      </c>
      <c r="U1142" s="218" t="str">
        <f t="shared" ca="1" si="116"/>
        <v/>
      </c>
      <c r="V1142" s="342" t="str">
        <f t="shared" ca="1" si="117"/>
        <v/>
      </c>
      <c r="W1142" s="139"/>
      <c r="Y1142" s="1"/>
    </row>
    <row r="1143" spans="3:25" ht="12" customHeight="1">
      <c r="C1143" s="343" t="str">
        <f t="shared" ca="1" si="112"/>
        <v/>
      </c>
      <c r="D1143" s="124" t="str">
        <f t="shared" ca="1" si="113"/>
        <v/>
      </c>
      <c r="E1143" s="124" t="str">
        <f t="shared" ca="1" si="114"/>
        <v/>
      </c>
      <c r="F1143" s="172" t="str">
        <f ca="1">IF(C1143="","",[1]!S_DQ_CLOSE(D1143,TODAY(),1))</f>
        <v/>
      </c>
      <c r="G1143" s="173" t="str">
        <f ca="1">IF(C1143="","",[1]!s_pq_pctchange(D1143,TODAY()-$G$12,TODAY())/100)</f>
        <v/>
      </c>
      <c r="H1143" s="249" t="str">
        <f ca="1">IF(C1143="","",IF($H$11="收入",[1]!S_STM07_IS(D1143,9,$G$5,$H$13)/$E$5,[1]!S_STM07_IS(D1143,48,$G$5,$H$13)/$E$5))</f>
        <v/>
      </c>
      <c r="I1143" s="249" t="str">
        <f ca="1">IF(C1143="","",IF($I$11="毛利率",([1]!S_STM07_IS(D1143,9,$G$5,$H$13)-[1]!S_STM07_IS(D1143,10,$G$5,$H$13))/[1]!S_STM07_IS(D1143,9,$G$5,$H$13),[1]!S_STM07_IS(D1143,14,$G$5,$H$13)/$E$5))</f>
        <v/>
      </c>
      <c r="J1143" s="249" t="str">
        <f ca="1">IF(C1143="","",IF($J$11="营业利润率",[1]!S_STM07_IS(D1143,48,$G$5,$H$13)/[1]!S_STM07_IS(D1143,9,$G$5,$H$13),([1]!S_STM07_CS(D1143,87,$G$5,$H$13)+[1]!S_STM07_CS(D1143,88,$G$5,$H$13)+[1]!S_STM07_CS(D1143,89,$G$5,$H$13))/$E$5))</f>
        <v/>
      </c>
      <c r="K1143" s="249" t="str">
        <f ca="1">IF(C1143="","",IF($K$11="净利润率",[1]!S_STM07_IS(D1143,61,$G$5,$H$13)/[1]!S_STM07_IS(D1143,9,$G$5,$H$13),[1]!S_STM07_IS(D1143,55,$G$5,$H$13)/$E$5))</f>
        <v/>
      </c>
      <c r="L1143" s="249" t="str">
        <f ca="1">IF(C1143="","",IF($L$11="ROA",[1]!S_STM07_IS(D1143,61,$G$5,$H$13)/[1]!S_STM07_BS(D1143,74,$G$5,$H$13),1-[1]!S_STM07_IS(D1143,61,$G$5,$H$13)/[1]!S_STM07_IS(D1143,55,$G$5,$H$13)))</f>
        <v/>
      </c>
      <c r="M1143" s="249" t="str">
        <f ca="1">IF(C1143="","",IF($M$11="ROE",[1]!S_STM07_IS(D1143,61,$G$5,$H$13)/[1]!S_STM07_BS(D1143,141,$G$5,$H$13),([1]!S_STM07_BS(D1143,25,$G$5,$H$13)-[1]!S_STM07_BS(D1143,93,$G$5,$H$13))/$E$5))</f>
        <v/>
      </c>
      <c r="N1143" s="250" t="str">
        <f ca="1">IF(C1143="","",IF($N$11="EPS",[1]!S_STM07_IS(D1143,61,$G$5,$H$13)/IF([1]!S_SHARE_TOTAL(D1143,$G$5)=0,[1]!S_SHARE_TOTAL(D1143,[1]!s_ipo_listeddate(D1143)),[1]!S_SHARE_TOTAL(D1143,$G$5)),([1]!S_STM07_BS(D1143,75,$G$5,$H$13)+[1]!S_STM07_BS(D1143,88,$G$5,$H$13)+[1]!S_STM07_BS(D1143,94,$G$5,$H$13)+[1]!S_STM07_BS(D1143,95,$G$5,$H$13))/$E$5))</f>
        <v/>
      </c>
      <c r="O1143" s="250" t="str">
        <f ca="1">IF(C1143="","",IF($O$11="BPS",[1]!S_STM07_BS(D1143,141,$G$5,$H$13)/IF([1]!S_SHARE_TOTAL(D1143,$G$5)=0,[1]!S_SHARE_TOTAL(D1143,[1]!s_ipo_listeddate(D1143)),[1]!S_SHARE_TOTAL(D1143,$G$5)),[1]!S_STM07_CS(D1143,49,$G$5,$H$13)/$E$5))</f>
        <v/>
      </c>
      <c r="P1143" s="250" t="str">
        <f ca="1">IF(C1143="","",IF($P$11="CFPS",[1]!S_STM07_CS(D1143,84,$G$5,$H$13)/IF([1]!S_SHARE_TOTAL(D1143,$G$5)=0,[1]!S_SHARE_TOTAL(D1143,[1]!s_ipo_listeddate(D1143)),[1]!S_SHARE_TOTAL(D1143,$G$5)),[1]!S_STM07_CS(D1143,84,$G$5,$H$13)/$E$5))</f>
        <v/>
      </c>
      <c r="Q1143" s="198" t="str">
        <f ca="1">IF(C1143="","",F1143/([1]!S_STM07_IS(D1143,61,$G$5,$H$13)/IF([1]!S_SHARE_TOTAL(D1143,$G$5)=0,[1]!S_SHARE_TOTAL(D1143,[1]!s_ipo_listeddate(D1143)),[1]!S_SHARE_TOTAL(D1143,$G$5))))</f>
        <v/>
      </c>
      <c r="R1143" s="198" t="str">
        <f ca="1">IF(C1143="","",F1143/([1]!S_STM07_BS(D1143,141,$G$5,$H$13)/IF([1]!S_SHARE_TOTAL(D1143,$G$5)=0,[1]!S_SHARE_TOTAL(D1143,[1]!s_ipo_listeddate(D1143)),[1]!S_SHARE_TOTAL(D1143,$G$5))))</f>
        <v/>
      </c>
      <c r="S1143" s="249" t="str">
        <f ca="1">IF(C1143="","",[1]!S_SHARE_TOTAL(D1143,TODAY())/$E$5)</f>
        <v/>
      </c>
      <c r="T1143" s="249" t="str">
        <f t="shared" ca="1" si="115"/>
        <v/>
      </c>
      <c r="U1143" s="172" t="str">
        <f t="shared" ca="1" si="116"/>
        <v/>
      </c>
      <c r="V1143" s="343" t="str">
        <f t="shared" ca="1" si="117"/>
        <v/>
      </c>
      <c r="W1143" s="139"/>
      <c r="Y1143" s="1"/>
    </row>
    <row r="1144" spans="3:25" ht="12" customHeight="1">
      <c r="C1144" s="342" t="str">
        <f t="shared" ca="1" si="112"/>
        <v/>
      </c>
      <c r="D1144" s="153" t="str">
        <f t="shared" ca="1" si="113"/>
        <v/>
      </c>
      <c r="E1144" s="153" t="str">
        <f t="shared" ca="1" si="114"/>
        <v/>
      </c>
      <c r="F1144" s="170" t="str">
        <f ca="1">IF(C1144="","",[1]!S_DQ_CLOSE(D1144,TODAY(),1))</f>
        <v/>
      </c>
      <c r="G1144" s="171" t="str">
        <f ca="1">IF(C1144="","",[1]!s_pq_pctchange(D1144,TODAY()-$G$12,TODAY())/100)</f>
        <v/>
      </c>
      <c r="H1144" s="247" t="str">
        <f ca="1">IF(C1144="","",IF($H$11="收入",[1]!S_STM07_IS(D1144,9,$G$5,$H$13)/$E$5,[1]!S_STM07_IS(D1144,48,$G$5,$H$13)/$E$5))</f>
        <v/>
      </c>
      <c r="I1144" s="247" t="str">
        <f ca="1">IF(C1144="","",IF($I$11="毛利率",([1]!S_STM07_IS(D1144,9,$G$5,$H$13)-[1]!S_STM07_IS(D1144,10,$G$5,$H$13))/[1]!S_STM07_IS(D1144,9,$G$5,$H$13),[1]!S_STM07_IS(D1144,14,$G$5,$H$13)/$E$5))</f>
        <v/>
      </c>
      <c r="J1144" s="247" t="str">
        <f ca="1">IF(C1144="","",IF($J$11="营业利润率",[1]!S_STM07_IS(D1144,48,$G$5,$H$13)/[1]!S_STM07_IS(D1144,9,$G$5,$H$13),([1]!S_STM07_CS(D1144,87,$G$5,$H$13)+[1]!S_STM07_CS(D1144,88,$G$5,$H$13)+[1]!S_STM07_CS(D1144,89,$G$5,$H$13))/$E$5))</f>
        <v/>
      </c>
      <c r="K1144" s="247" t="str">
        <f ca="1">IF(C1144="","",IF($K$11="净利润率",[1]!S_STM07_IS(D1144,61,$G$5,$H$13)/[1]!S_STM07_IS(D1144,9,$G$5,$H$13),[1]!S_STM07_IS(D1144,55,$G$5,$H$13)/$E$5))</f>
        <v/>
      </c>
      <c r="L1144" s="247" t="str">
        <f ca="1">IF(C1144="","",IF($L$11="ROA",[1]!S_STM07_IS(D1144,61,$G$5,$H$13)/[1]!S_STM07_BS(D1144,74,$G$5,$H$13),1-[1]!S_STM07_IS(D1144,61,$G$5,$H$13)/[1]!S_STM07_IS(D1144,55,$G$5,$H$13)))</f>
        <v/>
      </c>
      <c r="M1144" s="247" t="str">
        <f ca="1">IF(C1144="","",IF($M$11="ROE",[1]!S_STM07_IS(D1144,61,$G$5,$H$13)/[1]!S_STM07_BS(D1144,141,$G$5,$H$13),([1]!S_STM07_BS(D1144,25,$G$5,$H$13)-[1]!S_STM07_BS(D1144,93,$G$5,$H$13))/$E$5))</f>
        <v/>
      </c>
      <c r="N1144" s="247" t="str">
        <f ca="1">IF(C1144="","",IF($N$11="EPS",[1]!S_STM07_IS(D1144,61,$G$5,$H$13)/IF([1]!S_SHARE_TOTAL(D1144,$G$5)=0,[1]!S_SHARE_TOTAL(D1144,[1]!s_ipo_listeddate(D1144)),[1]!S_SHARE_TOTAL(D1144,$G$5)),([1]!S_STM07_BS(D1144,75,$G$5,$H$13)+[1]!S_STM07_BS(D1144,88,$G$5,$H$13)+[1]!S_STM07_BS(D1144,94,$G$5,$H$13)+[1]!S_STM07_BS(D1144,95,$G$5,$H$13))/$E$5))</f>
        <v/>
      </c>
      <c r="O1144" s="247" t="str">
        <f ca="1">IF(C1144="","",IF($O$11="BPS",[1]!S_STM07_BS(D1144,141,$G$5,$H$13)/IF([1]!S_SHARE_TOTAL(D1144,$G$5)=0,[1]!S_SHARE_TOTAL(D1144,[1]!s_ipo_listeddate(D1144)),[1]!S_SHARE_TOTAL(D1144,$G$5)),[1]!S_STM07_CS(D1144,49,$G$5,$H$13)/$E$5))</f>
        <v/>
      </c>
      <c r="P1144" s="247" t="str">
        <f ca="1">IF(C1144="","",IF($P$11="CFPS",[1]!S_STM07_CS(D1144,84,$G$5,$H$13)/IF([1]!S_SHARE_TOTAL(D1144,$G$5)=0,[1]!S_SHARE_TOTAL(D1144,[1]!s_ipo_listeddate(D1144)),[1]!S_SHARE_TOTAL(D1144,$G$5)),[1]!S_STM07_CS(D1144,84,$G$5,$H$13)/$E$5))</f>
        <v/>
      </c>
      <c r="Q1144" s="248" t="str">
        <f ca="1">IF(C1144="","",F1144/([1]!S_STM07_IS(D1144,61,$G$5,$H$13)/IF([1]!S_SHARE_TOTAL(D1144,$G$5)=0,[1]!S_SHARE_TOTAL(D1144,[1]!s_ipo_listeddate(D1144)),[1]!S_SHARE_TOTAL(D1144,$G$5))))</f>
        <v/>
      </c>
      <c r="R1144" s="248" t="str">
        <f ca="1">IF(C1144="","",F1144/([1]!S_STM07_BS(D1144,141,$G$5,$H$13)/IF([1]!S_SHARE_TOTAL(D1144,$G$5)=0,[1]!S_SHARE_TOTAL(D1144,[1]!s_ipo_listeddate(D1144)),[1]!S_SHARE_TOTAL(D1144,$G$5))))</f>
        <v/>
      </c>
      <c r="S1144" s="247" t="str">
        <f ca="1">IF(C1144="","",[1]!S_SHARE_TOTAL(D1144,TODAY())/$E$5)</f>
        <v/>
      </c>
      <c r="T1144" s="247" t="str">
        <f t="shared" ca="1" si="115"/>
        <v/>
      </c>
      <c r="U1144" s="218" t="str">
        <f t="shared" ca="1" si="116"/>
        <v/>
      </c>
      <c r="V1144" s="342" t="str">
        <f t="shared" ca="1" si="117"/>
        <v/>
      </c>
      <c r="W1144" s="139"/>
      <c r="Y1144" s="1"/>
    </row>
    <row r="1145" spans="3:25" ht="12" customHeight="1">
      <c r="C1145" s="343" t="str">
        <f t="shared" ca="1" si="112"/>
        <v/>
      </c>
      <c r="D1145" s="124" t="str">
        <f t="shared" ca="1" si="113"/>
        <v/>
      </c>
      <c r="E1145" s="124" t="str">
        <f t="shared" ca="1" si="114"/>
        <v/>
      </c>
      <c r="F1145" s="172" t="str">
        <f ca="1">IF(C1145="","",[1]!S_DQ_CLOSE(D1145,TODAY(),1))</f>
        <v/>
      </c>
      <c r="G1145" s="173" t="str">
        <f ca="1">IF(C1145="","",[1]!s_pq_pctchange(D1145,TODAY()-$G$12,TODAY())/100)</f>
        <v/>
      </c>
      <c r="H1145" s="249" t="str">
        <f ca="1">IF(C1145="","",IF($H$11="收入",[1]!S_STM07_IS(D1145,9,$G$5,$H$13)/$E$5,[1]!S_STM07_IS(D1145,48,$G$5,$H$13)/$E$5))</f>
        <v/>
      </c>
      <c r="I1145" s="249" t="str">
        <f ca="1">IF(C1145="","",IF($I$11="毛利率",([1]!S_STM07_IS(D1145,9,$G$5,$H$13)-[1]!S_STM07_IS(D1145,10,$G$5,$H$13))/[1]!S_STM07_IS(D1145,9,$G$5,$H$13),[1]!S_STM07_IS(D1145,14,$G$5,$H$13)/$E$5))</f>
        <v/>
      </c>
      <c r="J1145" s="249" t="str">
        <f ca="1">IF(C1145="","",IF($J$11="营业利润率",[1]!S_STM07_IS(D1145,48,$G$5,$H$13)/[1]!S_STM07_IS(D1145,9,$G$5,$H$13),([1]!S_STM07_CS(D1145,87,$G$5,$H$13)+[1]!S_STM07_CS(D1145,88,$G$5,$H$13)+[1]!S_STM07_CS(D1145,89,$G$5,$H$13))/$E$5))</f>
        <v/>
      </c>
      <c r="K1145" s="249" t="str">
        <f ca="1">IF(C1145="","",IF($K$11="净利润率",[1]!S_STM07_IS(D1145,61,$G$5,$H$13)/[1]!S_STM07_IS(D1145,9,$G$5,$H$13),[1]!S_STM07_IS(D1145,55,$G$5,$H$13)/$E$5))</f>
        <v/>
      </c>
      <c r="L1145" s="249" t="str">
        <f ca="1">IF(C1145="","",IF($L$11="ROA",[1]!S_STM07_IS(D1145,61,$G$5,$H$13)/[1]!S_STM07_BS(D1145,74,$G$5,$H$13),1-[1]!S_STM07_IS(D1145,61,$G$5,$H$13)/[1]!S_STM07_IS(D1145,55,$G$5,$H$13)))</f>
        <v/>
      </c>
      <c r="M1145" s="249" t="str">
        <f ca="1">IF(C1145="","",IF($M$11="ROE",[1]!S_STM07_IS(D1145,61,$G$5,$H$13)/[1]!S_STM07_BS(D1145,141,$G$5,$H$13),([1]!S_STM07_BS(D1145,25,$G$5,$H$13)-[1]!S_STM07_BS(D1145,93,$G$5,$H$13))/$E$5))</f>
        <v/>
      </c>
      <c r="N1145" s="250" t="str">
        <f ca="1">IF(C1145="","",IF($N$11="EPS",[1]!S_STM07_IS(D1145,61,$G$5,$H$13)/IF([1]!S_SHARE_TOTAL(D1145,$G$5)=0,[1]!S_SHARE_TOTAL(D1145,[1]!s_ipo_listeddate(D1145)),[1]!S_SHARE_TOTAL(D1145,$G$5)),([1]!S_STM07_BS(D1145,75,$G$5,$H$13)+[1]!S_STM07_BS(D1145,88,$G$5,$H$13)+[1]!S_STM07_BS(D1145,94,$G$5,$H$13)+[1]!S_STM07_BS(D1145,95,$G$5,$H$13))/$E$5))</f>
        <v/>
      </c>
      <c r="O1145" s="250" t="str">
        <f ca="1">IF(C1145="","",IF($O$11="BPS",[1]!S_STM07_BS(D1145,141,$G$5,$H$13)/IF([1]!S_SHARE_TOTAL(D1145,$G$5)=0,[1]!S_SHARE_TOTAL(D1145,[1]!s_ipo_listeddate(D1145)),[1]!S_SHARE_TOTAL(D1145,$G$5)),[1]!S_STM07_CS(D1145,49,$G$5,$H$13)/$E$5))</f>
        <v/>
      </c>
      <c r="P1145" s="250" t="str">
        <f ca="1">IF(C1145="","",IF($P$11="CFPS",[1]!S_STM07_CS(D1145,84,$G$5,$H$13)/IF([1]!S_SHARE_TOTAL(D1145,$G$5)=0,[1]!S_SHARE_TOTAL(D1145,[1]!s_ipo_listeddate(D1145)),[1]!S_SHARE_TOTAL(D1145,$G$5)),[1]!S_STM07_CS(D1145,84,$G$5,$H$13)/$E$5))</f>
        <v/>
      </c>
      <c r="Q1145" s="198" t="str">
        <f ca="1">IF(C1145="","",F1145/([1]!S_STM07_IS(D1145,61,$G$5,$H$13)/IF([1]!S_SHARE_TOTAL(D1145,$G$5)=0,[1]!S_SHARE_TOTAL(D1145,[1]!s_ipo_listeddate(D1145)),[1]!S_SHARE_TOTAL(D1145,$G$5))))</f>
        <v/>
      </c>
      <c r="R1145" s="198" t="str">
        <f ca="1">IF(C1145="","",F1145/([1]!S_STM07_BS(D1145,141,$G$5,$H$13)/IF([1]!S_SHARE_TOTAL(D1145,$G$5)=0,[1]!S_SHARE_TOTAL(D1145,[1]!s_ipo_listeddate(D1145)),[1]!S_SHARE_TOTAL(D1145,$G$5))))</f>
        <v/>
      </c>
      <c r="S1145" s="249" t="str">
        <f ca="1">IF(C1145="","",[1]!S_SHARE_TOTAL(D1145,TODAY())/$E$5)</f>
        <v/>
      </c>
      <c r="T1145" s="249" t="str">
        <f t="shared" ca="1" si="115"/>
        <v/>
      </c>
      <c r="U1145" s="172" t="str">
        <f t="shared" ca="1" si="116"/>
        <v/>
      </c>
      <c r="V1145" s="343" t="str">
        <f t="shared" ca="1" si="117"/>
        <v/>
      </c>
      <c r="W1145" s="139"/>
      <c r="Y1145" s="1"/>
    </row>
    <row r="1146" spans="3:25" ht="12" customHeight="1">
      <c r="C1146" s="342" t="str">
        <f t="shared" ca="1" si="112"/>
        <v/>
      </c>
      <c r="D1146" s="153" t="str">
        <f t="shared" ca="1" si="113"/>
        <v/>
      </c>
      <c r="E1146" s="153" t="str">
        <f t="shared" ca="1" si="114"/>
        <v/>
      </c>
      <c r="F1146" s="170" t="str">
        <f ca="1">IF(C1146="","",[1]!S_DQ_CLOSE(D1146,TODAY(),1))</f>
        <v/>
      </c>
      <c r="G1146" s="171" t="str">
        <f ca="1">IF(C1146="","",[1]!s_pq_pctchange(D1146,TODAY()-$G$12,TODAY())/100)</f>
        <v/>
      </c>
      <c r="H1146" s="247" t="str">
        <f ca="1">IF(C1146="","",IF($H$11="收入",[1]!S_STM07_IS(D1146,9,$G$5,$H$13)/$E$5,[1]!S_STM07_IS(D1146,48,$G$5,$H$13)/$E$5))</f>
        <v/>
      </c>
      <c r="I1146" s="247" t="str">
        <f ca="1">IF(C1146="","",IF($I$11="毛利率",([1]!S_STM07_IS(D1146,9,$G$5,$H$13)-[1]!S_STM07_IS(D1146,10,$G$5,$H$13))/[1]!S_STM07_IS(D1146,9,$G$5,$H$13),[1]!S_STM07_IS(D1146,14,$G$5,$H$13)/$E$5))</f>
        <v/>
      </c>
      <c r="J1146" s="247" t="str">
        <f ca="1">IF(C1146="","",IF($J$11="营业利润率",[1]!S_STM07_IS(D1146,48,$G$5,$H$13)/[1]!S_STM07_IS(D1146,9,$G$5,$H$13),([1]!S_STM07_CS(D1146,87,$G$5,$H$13)+[1]!S_STM07_CS(D1146,88,$G$5,$H$13)+[1]!S_STM07_CS(D1146,89,$G$5,$H$13))/$E$5))</f>
        <v/>
      </c>
      <c r="K1146" s="247" t="str">
        <f ca="1">IF(C1146="","",IF($K$11="净利润率",[1]!S_STM07_IS(D1146,61,$G$5,$H$13)/[1]!S_STM07_IS(D1146,9,$G$5,$H$13),[1]!S_STM07_IS(D1146,55,$G$5,$H$13)/$E$5))</f>
        <v/>
      </c>
      <c r="L1146" s="247" t="str">
        <f ca="1">IF(C1146="","",IF($L$11="ROA",[1]!S_STM07_IS(D1146,61,$G$5,$H$13)/[1]!S_STM07_BS(D1146,74,$G$5,$H$13),1-[1]!S_STM07_IS(D1146,61,$G$5,$H$13)/[1]!S_STM07_IS(D1146,55,$G$5,$H$13)))</f>
        <v/>
      </c>
      <c r="M1146" s="247" t="str">
        <f ca="1">IF(C1146="","",IF($M$11="ROE",[1]!S_STM07_IS(D1146,61,$G$5,$H$13)/[1]!S_STM07_BS(D1146,141,$G$5,$H$13),([1]!S_STM07_BS(D1146,25,$G$5,$H$13)-[1]!S_STM07_BS(D1146,93,$G$5,$H$13))/$E$5))</f>
        <v/>
      </c>
      <c r="N1146" s="247" t="str">
        <f ca="1">IF(C1146="","",IF($N$11="EPS",[1]!S_STM07_IS(D1146,61,$G$5,$H$13)/IF([1]!S_SHARE_TOTAL(D1146,$G$5)=0,[1]!S_SHARE_TOTAL(D1146,[1]!s_ipo_listeddate(D1146)),[1]!S_SHARE_TOTAL(D1146,$G$5)),([1]!S_STM07_BS(D1146,75,$G$5,$H$13)+[1]!S_STM07_BS(D1146,88,$G$5,$H$13)+[1]!S_STM07_BS(D1146,94,$G$5,$H$13)+[1]!S_STM07_BS(D1146,95,$G$5,$H$13))/$E$5))</f>
        <v/>
      </c>
      <c r="O1146" s="247" t="str">
        <f ca="1">IF(C1146="","",IF($O$11="BPS",[1]!S_STM07_BS(D1146,141,$G$5,$H$13)/IF([1]!S_SHARE_TOTAL(D1146,$G$5)=0,[1]!S_SHARE_TOTAL(D1146,[1]!s_ipo_listeddate(D1146)),[1]!S_SHARE_TOTAL(D1146,$G$5)),[1]!S_STM07_CS(D1146,49,$G$5,$H$13)/$E$5))</f>
        <v/>
      </c>
      <c r="P1146" s="247" t="str">
        <f ca="1">IF(C1146="","",IF($P$11="CFPS",[1]!S_STM07_CS(D1146,84,$G$5,$H$13)/IF([1]!S_SHARE_TOTAL(D1146,$G$5)=0,[1]!S_SHARE_TOTAL(D1146,[1]!s_ipo_listeddate(D1146)),[1]!S_SHARE_TOTAL(D1146,$G$5)),[1]!S_STM07_CS(D1146,84,$G$5,$H$13)/$E$5))</f>
        <v/>
      </c>
      <c r="Q1146" s="248" t="str">
        <f ca="1">IF(C1146="","",F1146/([1]!S_STM07_IS(D1146,61,$G$5,$H$13)/IF([1]!S_SHARE_TOTAL(D1146,$G$5)=0,[1]!S_SHARE_TOTAL(D1146,[1]!s_ipo_listeddate(D1146)),[1]!S_SHARE_TOTAL(D1146,$G$5))))</f>
        <v/>
      </c>
      <c r="R1146" s="248" t="str">
        <f ca="1">IF(C1146="","",F1146/([1]!S_STM07_BS(D1146,141,$G$5,$H$13)/IF([1]!S_SHARE_TOTAL(D1146,$G$5)=0,[1]!S_SHARE_TOTAL(D1146,[1]!s_ipo_listeddate(D1146)),[1]!S_SHARE_TOTAL(D1146,$G$5))))</f>
        <v/>
      </c>
      <c r="S1146" s="247" t="str">
        <f ca="1">IF(C1146="","",[1]!S_SHARE_TOTAL(D1146,TODAY())/$E$5)</f>
        <v/>
      </c>
      <c r="T1146" s="247" t="str">
        <f t="shared" ca="1" si="115"/>
        <v/>
      </c>
      <c r="U1146" s="218" t="str">
        <f t="shared" ca="1" si="116"/>
        <v/>
      </c>
      <c r="V1146" s="342" t="str">
        <f t="shared" ca="1" si="117"/>
        <v/>
      </c>
      <c r="W1146" s="139"/>
      <c r="Y1146" s="1"/>
    </row>
    <row r="1147" spans="3:25" ht="12" customHeight="1">
      <c r="C1147" s="343" t="str">
        <f t="shared" ca="1" si="112"/>
        <v/>
      </c>
      <c r="D1147" s="124" t="str">
        <f t="shared" ca="1" si="113"/>
        <v/>
      </c>
      <c r="E1147" s="124" t="str">
        <f t="shared" ca="1" si="114"/>
        <v/>
      </c>
      <c r="F1147" s="172" t="str">
        <f ca="1">IF(C1147="","",[1]!S_DQ_CLOSE(D1147,TODAY(),1))</f>
        <v/>
      </c>
      <c r="G1147" s="173" t="str">
        <f ca="1">IF(C1147="","",[1]!s_pq_pctchange(D1147,TODAY()-$G$12,TODAY())/100)</f>
        <v/>
      </c>
      <c r="H1147" s="249" t="str">
        <f ca="1">IF(C1147="","",IF($H$11="收入",[1]!S_STM07_IS(D1147,9,$G$5,$H$13)/$E$5,[1]!S_STM07_IS(D1147,48,$G$5,$H$13)/$E$5))</f>
        <v/>
      </c>
      <c r="I1147" s="249" t="str">
        <f ca="1">IF(C1147="","",IF($I$11="毛利率",([1]!S_STM07_IS(D1147,9,$G$5,$H$13)-[1]!S_STM07_IS(D1147,10,$G$5,$H$13))/[1]!S_STM07_IS(D1147,9,$G$5,$H$13),[1]!S_STM07_IS(D1147,14,$G$5,$H$13)/$E$5))</f>
        <v/>
      </c>
      <c r="J1147" s="249" t="str">
        <f ca="1">IF(C1147="","",IF($J$11="营业利润率",[1]!S_STM07_IS(D1147,48,$G$5,$H$13)/[1]!S_STM07_IS(D1147,9,$G$5,$H$13),([1]!S_STM07_CS(D1147,87,$G$5,$H$13)+[1]!S_STM07_CS(D1147,88,$G$5,$H$13)+[1]!S_STM07_CS(D1147,89,$G$5,$H$13))/$E$5))</f>
        <v/>
      </c>
      <c r="K1147" s="249" t="str">
        <f ca="1">IF(C1147="","",IF($K$11="净利润率",[1]!S_STM07_IS(D1147,61,$G$5,$H$13)/[1]!S_STM07_IS(D1147,9,$G$5,$H$13),[1]!S_STM07_IS(D1147,55,$G$5,$H$13)/$E$5))</f>
        <v/>
      </c>
      <c r="L1147" s="249" t="str">
        <f ca="1">IF(C1147="","",IF($L$11="ROA",[1]!S_STM07_IS(D1147,61,$G$5,$H$13)/[1]!S_STM07_BS(D1147,74,$G$5,$H$13),1-[1]!S_STM07_IS(D1147,61,$G$5,$H$13)/[1]!S_STM07_IS(D1147,55,$G$5,$H$13)))</f>
        <v/>
      </c>
      <c r="M1147" s="249" t="str">
        <f ca="1">IF(C1147="","",IF($M$11="ROE",[1]!S_STM07_IS(D1147,61,$G$5,$H$13)/[1]!S_STM07_BS(D1147,141,$G$5,$H$13),([1]!S_STM07_BS(D1147,25,$G$5,$H$13)-[1]!S_STM07_BS(D1147,93,$G$5,$H$13))/$E$5))</f>
        <v/>
      </c>
      <c r="N1147" s="250" t="str">
        <f ca="1">IF(C1147="","",IF($N$11="EPS",[1]!S_STM07_IS(D1147,61,$G$5,$H$13)/IF([1]!S_SHARE_TOTAL(D1147,$G$5)=0,[1]!S_SHARE_TOTAL(D1147,[1]!s_ipo_listeddate(D1147)),[1]!S_SHARE_TOTAL(D1147,$G$5)),([1]!S_STM07_BS(D1147,75,$G$5,$H$13)+[1]!S_STM07_BS(D1147,88,$G$5,$H$13)+[1]!S_STM07_BS(D1147,94,$G$5,$H$13)+[1]!S_STM07_BS(D1147,95,$G$5,$H$13))/$E$5))</f>
        <v/>
      </c>
      <c r="O1147" s="250" t="str">
        <f ca="1">IF(C1147="","",IF($O$11="BPS",[1]!S_STM07_BS(D1147,141,$G$5,$H$13)/IF([1]!S_SHARE_TOTAL(D1147,$G$5)=0,[1]!S_SHARE_TOTAL(D1147,[1]!s_ipo_listeddate(D1147)),[1]!S_SHARE_TOTAL(D1147,$G$5)),[1]!S_STM07_CS(D1147,49,$G$5,$H$13)/$E$5))</f>
        <v/>
      </c>
      <c r="P1147" s="250" t="str">
        <f ca="1">IF(C1147="","",IF($P$11="CFPS",[1]!S_STM07_CS(D1147,84,$G$5,$H$13)/IF([1]!S_SHARE_TOTAL(D1147,$G$5)=0,[1]!S_SHARE_TOTAL(D1147,[1]!s_ipo_listeddate(D1147)),[1]!S_SHARE_TOTAL(D1147,$G$5)),[1]!S_STM07_CS(D1147,84,$G$5,$H$13)/$E$5))</f>
        <v/>
      </c>
      <c r="Q1147" s="198" t="str">
        <f ca="1">IF(C1147="","",F1147/([1]!S_STM07_IS(D1147,61,$G$5,$H$13)/IF([1]!S_SHARE_TOTAL(D1147,$G$5)=0,[1]!S_SHARE_TOTAL(D1147,[1]!s_ipo_listeddate(D1147)),[1]!S_SHARE_TOTAL(D1147,$G$5))))</f>
        <v/>
      </c>
      <c r="R1147" s="198" t="str">
        <f ca="1">IF(C1147="","",F1147/([1]!S_STM07_BS(D1147,141,$G$5,$H$13)/IF([1]!S_SHARE_TOTAL(D1147,$G$5)=0,[1]!S_SHARE_TOTAL(D1147,[1]!s_ipo_listeddate(D1147)),[1]!S_SHARE_TOTAL(D1147,$G$5))))</f>
        <v/>
      </c>
      <c r="S1147" s="249" t="str">
        <f ca="1">IF(C1147="","",[1]!S_SHARE_TOTAL(D1147,TODAY())/$E$5)</f>
        <v/>
      </c>
      <c r="T1147" s="249" t="str">
        <f t="shared" ca="1" si="115"/>
        <v/>
      </c>
      <c r="U1147" s="172" t="str">
        <f t="shared" ca="1" si="116"/>
        <v/>
      </c>
      <c r="V1147" s="343" t="str">
        <f t="shared" ca="1" si="117"/>
        <v/>
      </c>
      <c r="W1147" s="139"/>
      <c r="Y1147" s="1"/>
    </row>
    <row r="1148" spans="3:25" ht="12" customHeight="1">
      <c r="C1148" s="342" t="str">
        <f t="shared" ca="1" si="112"/>
        <v/>
      </c>
      <c r="D1148" s="153" t="str">
        <f t="shared" ca="1" si="113"/>
        <v/>
      </c>
      <c r="E1148" s="153" t="str">
        <f t="shared" ca="1" si="114"/>
        <v/>
      </c>
      <c r="F1148" s="170" t="str">
        <f ca="1">IF(C1148="","",[1]!S_DQ_CLOSE(D1148,TODAY(),1))</f>
        <v/>
      </c>
      <c r="G1148" s="171" t="str">
        <f ca="1">IF(C1148="","",[1]!s_pq_pctchange(D1148,TODAY()-$G$12,TODAY())/100)</f>
        <v/>
      </c>
      <c r="H1148" s="247" t="str">
        <f ca="1">IF(C1148="","",IF($H$11="收入",[1]!S_STM07_IS(D1148,9,$G$5,$H$13)/$E$5,[1]!S_STM07_IS(D1148,48,$G$5,$H$13)/$E$5))</f>
        <v/>
      </c>
      <c r="I1148" s="247" t="str">
        <f ca="1">IF(C1148="","",IF($I$11="毛利率",([1]!S_STM07_IS(D1148,9,$G$5,$H$13)-[1]!S_STM07_IS(D1148,10,$G$5,$H$13))/[1]!S_STM07_IS(D1148,9,$G$5,$H$13),[1]!S_STM07_IS(D1148,14,$G$5,$H$13)/$E$5))</f>
        <v/>
      </c>
      <c r="J1148" s="247" t="str">
        <f ca="1">IF(C1148="","",IF($J$11="营业利润率",[1]!S_STM07_IS(D1148,48,$G$5,$H$13)/[1]!S_STM07_IS(D1148,9,$G$5,$H$13),([1]!S_STM07_CS(D1148,87,$G$5,$H$13)+[1]!S_STM07_CS(D1148,88,$G$5,$H$13)+[1]!S_STM07_CS(D1148,89,$G$5,$H$13))/$E$5))</f>
        <v/>
      </c>
      <c r="K1148" s="247" t="str">
        <f ca="1">IF(C1148="","",IF($K$11="净利润率",[1]!S_STM07_IS(D1148,61,$G$5,$H$13)/[1]!S_STM07_IS(D1148,9,$G$5,$H$13),[1]!S_STM07_IS(D1148,55,$G$5,$H$13)/$E$5))</f>
        <v/>
      </c>
      <c r="L1148" s="247" t="str">
        <f ca="1">IF(C1148="","",IF($L$11="ROA",[1]!S_STM07_IS(D1148,61,$G$5,$H$13)/[1]!S_STM07_BS(D1148,74,$G$5,$H$13),1-[1]!S_STM07_IS(D1148,61,$G$5,$H$13)/[1]!S_STM07_IS(D1148,55,$G$5,$H$13)))</f>
        <v/>
      </c>
      <c r="M1148" s="247" t="str">
        <f ca="1">IF(C1148="","",IF($M$11="ROE",[1]!S_STM07_IS(D1148,61,$G$5,$H$13)/[1]!S_STM07_BS(D1148,141,$G$5,$H$13),([1]!S_STM07_BS(D1148,25,$G$5,$H$13)-[1]!S_STM07_BS(D1148,93,$G$5,$H$13))/$E$5))</f>
        <v/>
      </c>
      <c r="N1148" s="247" t="str">
        <f ca="1">IF(C1148="","",IF($N$11="EPS",[1]!S_STM07_IS(D1148,61,$G$5,$H$13)/IF([1]!S_SHARE_TOTAL(D1148,$G$5)=0,[1]!S_SHARE_TOTAL(D1148,[1]!s_ipo_listeddate(D1148)),[1]!S_SHARE_TOTAL(D1148,$G$5)),([1]!S_STM07_BS(D1148,75,$G$5,$H$13)+[1]!S_STM07_BS(D1148,88,$G$5,$H$13)+[1]!S_STM07_BS(D1148,94,$G$5,$H$13)+[1]!S_STM07_BS(D1148,95,$G$5,$H$13))/$E$5))</f>
        <v/>
      </c>
      <c r="O1148" s="247" t="str">
        <f ca="1">IF(C1148="","",IF($O$11="BPS",[1]!S_STM07_BS(D1148,141,$G$5,$H$13)/IF([1]!S_SHARE_TOTAL(D1148,$G$5)=0,[1]!S_SHARE_TOTAL(D1148,[1]!s_ipo_listeddate(D1148)),[1]!S_SHARE_TOTAL(D1148,$G$5)),[1]!S_STM07_CS(D1148,49,$G$5,$H$13)/$E$5))</f>
        <v/>
      </c>
      <c r="P1148" s="247" t="str">
        <f ca="1">IF(C1148="","",IF($P$11="CFPS",[1]!S_STM07_CS(D1148,84,$G$5,$H$13)/IF([1]!S_SHARE_TOTAL(D1148,$G$5)=0,[1]!S_SHARE_TOTAL(D1148,[1]!s_ipo_listeddate(D1148)),[1]!S_SHARE_TOTAL(D1148,$G$5)),[1]!S_STM07_CS(D1148,84,$G$5,$H$13)/$E$5))</f>
        <v/>
      </c>
      <c r="Q1148" s="248" t="str">
        <f ca="1">IF(C1148="","",F1148/([1]!S_STM07_IS(D1148,61,$G$5,$H$13)/IF([1]!S_SHARE_TOTAL(D1148,$G$5)=0,[1]!S_SHARE_TOTAL(D1148,[1]!s_ipo_listeddate(D1148)),[1]!S_SHARE_TOTAL(D1148,$G$5))))</f>
        <v/>
      </c>
      <c r="R1148" s="248" t="str">
        <f ca="1">IF(C1148="","",F1148/([1]!S_STM07_BS(D1148,141,$G$5,$H$13)/IF([1]!S_SHARE_TOTAL(D1148,$G$5)=0,[1]!S_SHARE_TOTAL(D1148,[1]!s_ipo_listeddate(D1148)),[1]!S_SHARE_TOTAL(D1148,$G$5))))</f>
        <v/>
      </c>
      <c r="S1148" s="247" t="str">
        <f ca="1">IF(C1148="","",[1]!S_SHARE_TOTAL(D1148,TODAY())/$E$5)</f>
        <v/>
      </c>
      <c r="T1148" s="247" t="str">
        <f t="shared" ca="1" si="115"/>
        <v/>
      </c>
      <c r="U1148" s="218" t="str">
        <f t="shared" ca="1" si="116"/>
        <v/>
      </c>
      <c r="V1148" s="342" t="str">
        <f t="shared" ca="1" si="117"/>
        <v/>
      </c>
      <c r="W1148" s="139"/>
      <c r="Y1148" s="1"/>
    </row>
    <row r="1149" spans="3:25" ht="12" customHeight="1">
      <c r="C1149" s="343" t="str">
        <f t="shared" ca="1" si="112"/>
        <v/>
      </c>
      <c r="D1149" s="124" t="str">
        <f t="shared" ca="1" si="113"/>
        <v/>
      </c>
      <c r="E1149" s="124" t="str">
        <f t="shared" ca="1" si="114"/>
        <v/>
      </c>
      <c r="F1149" s="172" t="str">
        <f ca="1">IF(C1149="","",[1]!S_DQ_CLOSE(D1149,TODAY(),1))</f>
        <v/>
      </c>
      <c r="G1149" s="173" t="str">
        <f ca="1">IF(C1149="","",[1]!s_pq_pctchange(D1149,TODAY()-$G$12,TODAY())/100)</f>
        <v/>
      </c>
      <c r="H1149" s="249" t="str">
        <f ca="1">IF(C1149="","",IF($H$11="收入",[1]!S_STM07_IS(D1149,9,$G$5,$H$13)/$E$5,[1]!S_STM07_IS(D1149,48,$G$5,$H$13)/$E$5))</f>
        <v/>
      </c>
      <c r="I1149" s="249" t="str">
        <f ca="1">IF(C1149="","",IF($I$11="毛利率",([1]!S_STM07_IS(D1149,9,$G$5,$H$13)-[1]!S_STM07_IS(D1149,10,$G$5,$H$13))/[1]!S_STM07_IS(D1149,9,$G$5,$H$13),[1]!S_STM07_IS(D1149,14,$G$5,$H$13)/$E$5))</f>
        <v/>
      </c>
      <c r="J1149" s="249" t="str">
        <f ca="1">IF(C1149="","",IF($J$11="营业利润率",[1]!S_STM07_IS(D1149,48,$G$5,$H$13)/[1]!S_STM07_IS(D1149,9,$G$5,$H$13),([1]!S_STM07_CS(D1149,87,$G$5,$H$13)+[1]!S_STM07_CS(D1149,88,$G$5,$H$13)+[1]!S_STM07_CS(D1149,89,$G$5,$H$13))/$E$5))</f>
        <v/>
      </c>
      <c r="K1149" s="249" t="str">
        <f ca="1">IF(C1149="","",IF($K$11="净利润率",[1]!S_STM07_IS(D1149,61,$G$5,$H$13)/[1]!S_STM07_IS(D1149,9,$G$5,$H$13),[1]!S_STM07_IS(D1149,55,$G$5,$H$13)/$E$5))</f>
        <v/>
      </c>
      <c r="L1149" s="249" t="str">
        <f ca="1">IF(C1149="","",IF($L$11="ROA",[1]!S_STM07_IS(D1149,61,$G$5,$H$13)/[1]!S_STM07_BS(D1149,74,$G$5,$H$13),1-[1]!S_STM07_IS(D1149,61,$G$5,$H$13)/[1]!S_STM07_IS(D1149,55,$G$5,$H$13)))</f>
        <v/>
      </c>
      <c r="M1149" s="249" t="str">
        <f ca="1">IF(C1149="","",IF($M$11="ROE",[1]!S_STM07_IS(D1149,61,$G$5,$H$13)/[1]!S_STM07_BS(D1149,141,$G$5,$H$13),([1]!S_STM07_BS(D1149,25,$G$5,$H$13)-[1]!S_STM07_BS(D1149,93,$G$5,$H$13))/$E$5))</f>
        <v/>
      </c>
      <c r="N1149" s="250" t="str">
        <f ca="1">IF(C1149="","",IF($N$11="EPS",[1]!S_STM07_IS(D1149,61,$G$5,$H$13)/IF([1]!S_SHARE_TOTAL(D1149,$G$5)=0,[1]!S_SHARE_TOTAL(D1149,[1]!s_ipo_listeddate(D1149)),[1]!S_SHARE_TOTAL(D1149,$G$5)),([1]!S_STM07_BS(D1149,75,$G$5,$H$13)+[1]!S_STM07_BS(D1149,88,$G$5,$H$13)+[1]!S_STM07_BS(D1149,94,$G$5,$H$13)+[1]!S_STM07_BS(D1149,95,$G$5,$H$13))/$E$5))</f>
        <v/>
      </c>
      <c r="O1149" s="250" t="str">
        <f ca="1">IF(C1149="","",IF($O$11="BPS",[1]!S_STM07_BS(D1149,141,$G$5,$H$13)/IF([1]!S_SHARE_TOTAL(D1149,$G$5)=0,[1]!S_SHARE_TOTAL(D1149,[1]!s_ipo_listeddate(D1149)),[1]!S_SHARE_TOTAL(D1149,$G$5)),[1]!S_STM07_CS(D1149,49,$G$5,$H$13)/$E$5))</f>
        <v/>
      </c>
      <c r="P1149" s="250" t="str">
        <f ca="1">IF(C1149="","",IF($P$11="CFPS",[1]!S_STM07_CS(D1149,84,$G$5,$H$13)/IF([1]!S_SHARE_TOTAL(D1149,$G$5)=0,[1]!S_SHARE_TOTAL(D1149,[1]!s_ipo_listeddate(D1149)),[1]!S_SHARE_TOTAL(D1149,$G$5)),[1]!S_STM07_CS(D1149,84,$G$5,$H$13)/$E$5))</f>
        <v/>
      </c>
      <c r="Q1149" s="198" t="str">
        <f ca="1">IF(C1149="","",F1149/([1]!S_STM07_IS(D1149,61,$G$5,$H$13)/IF([1]!S_SHARE_TOTAL(D1149,$G$5)=0,[1]!S_SHARE_TOTAL(D1149,[1]!s_ipo_listeddate(D1149)),[1]!S_SHARE_TOTAL(D1149,$G$5))))</f>
        <v/>
      </c>
      <c r="R1149" s="198" t="str">
        <f ca="1">IF(C1149="","",F1149/([1]!S_STM07_BS(D1149,141,$G$5,$H$13)/IF([1]!S_SHARE_TOTAL(D1149,$G$5)=0,[1]!S_SHARE_TOTAL(D1149,[1]!s_ipo_listeddate(D1149)),[1]!S_SHARE_TOTAL(D1149,$G$5))))</f>
        <v/>
      </c>
      <c r="S1149" s="249" t="str">
        <f ca="1">IF(C1149="","",[1]!S_SHARE_TOTAL(D1149,TODAY())/$E$5)</f>
        <v/>
      </c>
      <c r="T1149" s="249" t="str">
        <f t="shared" ca="1" si="115"/>
        <v/>
      </c>
      <c r="U1149" s="172" t="str">
        <f t="shared" ca="1" si="116"/>
        <v/>
      </c>
      <c r="V1149" s="343" t="str">
        <f t="shared" ca="1" si="117"/>
        <v/>
      </c>
      <c r="W1149" s="139"/>
      <c r="Y1149" s="1"/>
    </row>
    <row r="1150" spans="3:25" ht="12" customHeight="1">
      <c r="C1150" s="342" t="str">
        <f t="shared" ca="1" si="112"/>
        <v/>
      </c>
      <c r="D1150" s="153" t="str">
        <f t="shared" ca="1" si="113"/>
        <v/>
      </c>
      <c r="E1150" s="153" t="str">
        <f t="shared" ca="1" si="114"/>
        <v/>
      </c>
      <c r="F1150" s="170" t="str">
        <f ca="1">IF(C1150="","",[1]!S_DQ_CLOSE(D1150,TODAY(),1))</f>
        <v/>
      </c>
      <c r="G1150" s="171" t="str">
        <f ca="1">IF(C1150="","",[1]!s_pq_pctchange(D1150,TODAY()-$G$12,TODAY())/100)</f>
        <v/>
      </c>
      <c r="H1150" s="247" t="str">
        <f ca="1">IF(C1150="","",IF($H$11="收入",[1]!S_STM07_IS(D1150,9,$G$5,$H$13)/$E$5,[1]!S_STM07_IS(D1150,48,$G$5,$H$13)/$E$5))</f>
        <v/>
      </c>
      <c r="I1150" s="247" t="str">
        <f ca="1">IF(C1150="","",IF($I$11="毛利率",([1]!S_STM07_IS(D1150,9,$G$5,$H$13)-[1]!S_STM07_IS(D1150,10,$G$5,$H$13))/[1]!S_STM07_IS(D1150,9,$G$5,$H$13),[1]!S_STM07_IS(D1150,14,$G$5,$H$13)/$E$5))</f>
        <v/>
      </c>
      <c r="J1150" s="247" t="str">
        <f ca="1">IF(C1150="","",IF($J$11="营业利润率",[1]!S_STM07_IS(D1150,48,$G$5,$H$13)/[1]!S_STM07_IS(D1150,9,$G$5,$H$13),([1]!S_STM07_CS(D1150,87,$G$5,$H$13)+[1]!S_STM07_CS(D1150,88,$G$5,$H$13)+[1]!S_STM07_CS(D1150,89,$G$5,$H$13))/$E$5))</f>
        <v/>
      </c>
      <c r="K1150" s="247" t="str">
        <f ca="1">IF(C1150="","",IF($K$11="净利润率",[1]!S_STM07_IS(D1150,61,$G$5,$H$13)/[1]!S_STM07_IS(D1150,9,$G$5,$H$13),[1]!S_STM07_IS(D1150,55,$G$5,$H$13)/$E$5))</f>
        <v/>
      </c>
      <c r="L1150" s="247" t="str">
        <f ca="1">IF(C1150="","",IF($L$11="ROA",[1]!S_STM07_IS(D1150,61,$G$5,$H$13)/[1]!S_STM07_BS(D1150,74,$G$5,$H$13),1-[1]!S_STM07_IS(D1150,61,$G$5,$H$13)/[1]!S_STM07_IS(D1150,55,$G$5,$H$13)))</f>
        <v/>
      </c>
      <c r="M1150" s="247" t="str">
        <f ca="1">IF(C1150="","",IF($M$11="ROE",[1]!S_STM07_IS(D1150,61,$G$5,$H$13)/[1]!S_STM07_BS(D1150,141,$G$5,$H$13),([1]!S_STM07_BS(D1150,25,$G$5,$H$13)-[1]!S_STM07_BS(D1150,93,$G$5,$H$13))/$E$5))</f>
        <v/>
      </c>
      <c r="N1150" s="247" t="str">
        <f ca="1">IF(C1150="","",IF($N$11="EPS",[1]!S_STM07_IS(D1150,61,$G$5,$H$13)/IF([1]!S_SHARE_TOTAL(D1150,$G$5)=0,[1]!S_SHARE_TOTAL(D1150,[1]!s_ipo_listeddate(D1150)),[1]!S_SHARE_TOTAL(D1150,$G$5)),([1]!S_STM07_BS(D1150,75,$G$5,$H$13)+[1]!S_STM07_BS(D1150,88,$G$5,$H$13)+[1]!S_STM07_BS(D1150,94,$G$5,$H$13)+[1]!S_STM07_BS(D1150,95,$G$5,$H$13))/$E$5))</f>
        <v/>
      </c>
      <c r="O1150" s="247" t="str">
        <f ca="1">IF(C1150="","",IF($O$11="BPS",[1]!S_STM07_BS(D1150,141,$G$5,$H$13)/IF([1]!S_SHARE_TOTAL(D1150,$G$5)=0,[1]!S_SHARE_TOTAL(D1150,[1]!s_ipo_listeddate(D1150)),[1]!S_SHARE_TOTAL(D1150,$G$5)),[1]!S_STM07_CS(D1150,49,$G$5,$H$13)/$E$5))</f>
        <v/>
      </c>
      <c r="P1150" s="247" t="str">
        <f ca="1">IF(C1150="","",IF($P$11="CFPS",[1]!S_STM07_CS(D1150,84,$G$5,$H$13)/IF([1]!S_SHARE_TOTAL(D1150,$G$5)=0,[1]!S_SHARE_TOTAL(D1150,[1]!s_ipo_listeddate(D1150)),[1]!S_SHARE_TOTAL(D1150,$G$5)),[1]!S_STM07_CS(D1150,84,$G$5,$H$13)/$E$5))</f>
        <v/>
      </c>
      <c r="Q1150" s="248" t="str">
        <f ca="1">IF(C1150="","",F1150/([1]!S_STM07_IS(D1150,61,$G$5,$H$13)/IF([1]!S_SHARE_TOTAL(D1150,$G$5)=0,[1]!S_SHARE_TOTAL(D1150,[1]!s_ipo_listeddate(D1150)),[1]!S_SHARE_TOTAL(D1150,$G$5))))</f>
        <v/>
      </c>
      <c r="R1150" s="248" t="str">
        <f ca="1">IF(C1150="","",F1150/([1]!S_STM07_BS(D1150,141,$G$5,$H$13)/IF([1]!S_SHARE_TOTAL(D1150,$G$5)=0,[1]!S_SHARE_TOTAL(D1150,[1]!s_ipo_listeddate(D1150)),[1]!S_SHARE_TOTAL(D1150,$G$5))))</f>
        <v/>
      </c>
      <c r="S1150" s="247" t="str">
        <f ca="1">IF(C1150="","",[1]!S_SHARE_TOTAL(D1150,TODAY())/$E$5)</f>
        <v/>
      </c>
      <c r="T1150" s="247" t="str">
        <f t="shared" ca="1" si="115"/>
        <v/>
      </c>
      <c r="U1150" s="218" t="str">
        <f t="shared" ca="1" si="116"/>
        <v/>
      </c>
      <c r="V1150" s="342" t="str">
        <f t="shared" ca="1" si="117"/>
        <v/>
      </c>
      <c r="W1150" s="139"/>
      <c r="Y1150" s="1"/>
    </row>
    <row r="1151" spans="3:25" ht="12" customHeight="1">
      <c r="C1151" s="343" t="str">
        <f t="shared" ca="1" si="112"/>
        <v/>
      </c>
      <c r="D1151" s="124" t="str">
        <f t="shared" ca="1" si="113"/>
        <v/>
      </c>
      <c r="E1151" s="124" t="str">
        <f t="shared" ca="1" si="114"/>
        <v/>
      </c>
      <c r="F1151" s="172" t="str">
        <f ca="1">IF(C1151="","",[1]!S_DQ_CLOSE(D1151,TODAY(),1))</f>
        <v/>
      </c>
      <c r="G1151" s="173" t="str">
        <f ca="1">IF(C1151="","",[1]!s_pq_pctchange(D1151,TODAY()-$G$12,TODAY())/100)</f>
        <v/>
      </c>
      <c r="H1151" s="249" t="str">
        <f ca="1">IF(C1151="","",IF($H$11="收入",[1]!S_STM07_IS(D1151,9,$G$5,$H$13)/$E$5,[1]!S_STM07_IS(D1151,48,$G$5,$H$13)/$E$5))</f>
        <v/>
      </c>
      <c r="I1151" s="249" t="str">
        <f ca="1">IF(C1151="","",IF($I$11="毛利率",([1]!S_STM07_IS(D1151,9,$G$5,$H$13)-[1]!S_STM07_IS(D1151,10,$G$5,$H$13))/[1]!S_STM07_IS(D1151,9,$G$5,$H$13),[1]!S_STM07_IS(D1151,14,$G$5,$H$13)/$E$5))</f>
        <v/>
      </c>
      <c r="J1151" s="249" t="str">
        <f ca="1">IF(C1151="","",IF($J$11="营业利润率",[1]!S_STM07_IS(D1151,48,$G$5,$H$13)/[1]!S_STM07_IS(D1151,9,$G$5,$H$13),([1]!S_STM07_CS(D1151,87,$G$5,$H$13)+[1]!S_STM07_CS(D1151,88,$G$5,$H$13)+[1]!S_STM07_CS(D1151,89,$G$5,$H$13))/$E$5))</f>
        <v/>
      </c>
      <c r="K1151" s="249" t="str">
        <f ca="1">IF(C1151="","",IF($K$11="净利润率",[1]!S_STM07_IS(D1151,61,$G$5,$H$13)/[1]!S_STM07_IS(D1151,9,$G$5,$H$13),[1]!S_STM07_IS(D1151,55,$G$5,$H$13)/$E$5))</f>
        <v/>
      </c>
      <c r="L1151" s="249" t="str">
        <f ca="1">IF(C1151="","",IF($L$11="ROA",[1]!S_STM07_IS(D1151,61,$G$5,$H$13)/[1]!S_STM07_BS(D1151,74,$G$5,$H$13),1-[1]!S_STM07_IS(D1151,61,$G$5,$H$13)/[1]!S_STM07_IS(D1151,55,$G$5,$H$13)))</f>
        <v/>
      </c>
      <c r="M1151" s="249" t="str">
        <f ca="1">IF(C1151="","",IF($M$11="ROE",[1]!S_STM07_IS(D1151,61,$G$5,$H$13)/[1]!S_STM07_BS(D1151,141,$G$5,$H$13),([1]!S_STM07_BS(D1151,25,$G$5,$H$13)-[1]!S_STM07_BS(D1151,93,$G$5,$H$13))/$E$5))</f>
        <v/>
      </c>
      <c r="N1151" s="250" t="str">
        <f ca="1">IF(C1151="","",IF($N$11="EPS",[1]!S_STM07_IS(D1151,61,$G$5,$H$13)/IF([1]!S_SHARE_TOTAL(D1151,$G$5)=0,[1]!S_SHARE_TOTAL(D1151,[1]!s_ipo_listeddate(D1151)),[1]!S_SHARE_TOTAL(D1151,$G$5)),([1]!S_STM07_BS(D1151,75,$G$5,$H$13)+[1]!S_STM07_BS(D1151,88,$G$5,$H$13)+[1]!S_STM07_BS(D1151,94,$G$5,$H$13)+[1]!S_STM07_BS(D1151,95,$G$5,$H$13))/$E$5))</f>
        <v/>
      </c>
      <c r="O1151" s="250" t="str">
        <f ca="1">IF(C1151="","",IF($O$11="BPS",[1]!S_STM07_BS(D1151,141,$G$5,$H$13)/IF([1]!S_SHARE_TOTAL(D1151,$G$5)=0,[1]!S_SHARE_TOTAL(D1151,[1]!s_ipo_listeddate(D1151)),[1]!S_SHARE_TOTAL(D1151,$G$5)),[1]!S_STM07_CS(D1151,49,$G$5,$H$13)/$E$5))</f>
        <v/>
      </c>
      <c r="P1151" s="250" t="str">
        <f ca="1">IF(C1151="","",IF($P$11="CFPS",[1]!S_STM07_CS(D1151,84,$G$5,$H$13)/IF([1]!S_SHARE_TOTAL(D1151,$G$5)=0,[1]!S_SHARE_TOTAL(D1151,[1]!s_ipo_listeddate(D1151)),[1]!S_SHARE_TOTAL(D1151,$G$5)),[1]!S_STM07_CS(D1151,84,$G$5,$H$13)/$E$5))</f>
        <v/>
      </c>
      <c r="Q1151" s="198" t="str">
        <f ca="1">IF(C1151="","",F1151/([1]!S_STM07_IS(D1151,61,$G$5,$H$13)/IF([1]!S_SHARE_TOTAL(D1151,$G$5)=0,[1]!S_SHARE_TOTAL(D1151,[1]!s_ipo_listeddate(D1151)),[1]!S_SHARE_TOTAL(D1151,$G$5))))</f>
        <v/>
      </c>
      <c r="R1151" s="198" t="str">
        <f ca="1">IF(C1151="","",F1151/([1]!S_STM07_BS(D1151,141,$G$5,$H$13)/IF([1]!S_SHARE_TOTAL(D1151,$G$5)=0,[1]!S_SHARE_TOTAL(D1151,[1]!s_ipo_listeddate(D1151)),[1]!S_SHARE_TOTAL(D1151,$G$5))))</f>
        <v/>
      </c>
      <c r="S1151" s="249" t="str">
        <f ca="1">IF(C1151="","",[1]!S_SHARE_TOTAL(D1151,TODAY())/$E$5)</f>
        <v/>
      </c>
      <c r="T1151" s="249" t="str">
        <f t="shared" ca="1" si="115"/>
        <v/>
      </c>
      <c r="U1151" s="172" t="str">
        <f t="shared" ca="1" si="116"/>
        <v/>
      </c>
      <c r="V1151" s="343" t="str">
        <f t="shared" ca="1" si="117"/>
        <v/>
      </c>
      <c r="W1151" s="139"/>
      <c r="Y1151" s="1"/>
    </row>
    <row r="1152" spans="3:25" ht="12" customHeight="1">
      <c r="C1152" s="342" t="str">
        <f t="shared" ca="1" si="112"/>
        <v/>
      </c>
      <c r="D1152" s="153" t="str">
        <f t="shared" ca="1" si="113"/>
        <v/>
      </c>
      <c r="E1152" s="153" t="str">
        <f t="shared" ca="1" si="114"/>
        <v/>
      </c>
      <c r="F1152" s="170" t="str">
        <f ca="1">IF(C1152="","",[1]!S_DQ_CLOSE(D1152,TODAY(),1))</f>
        <v/>
      </c>
      <c r="G1152" s="171" t="str">
        <f ca="1">IF(C1152="","",[1]!s_pq_pctchange(D1152,TODAY()-$G$12,TODAY())/100)</f>
        <v/>
      </c>
      <c r="H1152" s="247" t="str">
        <f ca="1">IF(C1152="","",IF($H$11="收入",[1]!S_STM07_IS(D1152,9,$G$5,$H$13)/$E$5,[1]!S_STM07_IS(D1152,48,$G$5,$H$13)/$E$5))</f>
        <v/>
      </c>
      <c r="I1152" s="247" t="str">
        <f ca="1">IF(C1152="","",IF($I$11="毛利率",([1]!S_STM07_IS(D1152,9,$G$5,$H$13)-[1]!S_STM07_IS(D1152,10,$G$5,$H$13))/[1]!S_STM07_IS(D1152,9,$G$5,$H$13),[1]!S_STM07_IS(D1152,14,$G$5,$H$13)/$E$5))</f>
        <v/>
      </c>
      <c r="J1152" s="247" t="str">
        <f ca="1">IF(C1152="","",IF($J$11="营业利润率",[1]!S_STM07_IS(D1152,48,$G$5,$H$13)/[1]!S_STM07_IS(D1152,9,$G$5,$H$13),([1]!S_STM07_CS(D1152,87,$G$5,$H$13)+[1]!S_STM07_CS(D1152,88,$G$5,$H$13)+[1]!S_STM07_CS(D1152,89,$G$5,$H$13))/$E$5))</f>
        <v/>
      </c>
      <c r="K1152" s="247" t="str">
        <f ca="1">IF(C1152="","",IF($K$11="净利润率",[1]!S_STM07_IS(D1152,61,$G$5,$H$13)/[1]!S_STM07_IS(D1152,9,$G$5,$H$13),[1]!S_STM07_IS(D1152,55,$G$5,$H$13)/$E$5))</f>
        <v/>
      </c>
      <c r="L1152" s="247" t="str">
        <f ca="1">IF(C1152="","",IF($L$11="ROA",[1]!S_STM07_IS(D1152,61,$G$5,$H$13)/[1]!S_STM07_BS(D1152,74,$G$5,$H$13),1-[1]!S_STM07_IS(D1152,61,$G$5,$H$13)/[1]!S_STM07_IS(D1152,55,$G$5,$H$13)))</f>
        <v/>
      </c>
      <c r="M1152" s="247" t="str">
        <f ca="1">IF(C1152="","",IF($M$11="ROE",[1]!S_STM07_IS(D1152,61,$G$5,$H$13)/[1]!S_STM07_BS(D1152,141,$G$5,$H$13),([1]!S_STM07_BS(D1152,25,$G$5,$H$13)-[1]!S_STM07_BS(D1152,93,$G$5,$H$13))/$E$5))</f>
        <v/>
      </c>
      <c r="N1152" s="247" t="str">
        <f ca="1">IF(C1152="","",IF($N$11="EPS",[1]!S_STM07_IS(D1152,61,$G$5,$H$13)/IF([1]!S_SHARE_TOTAL(D1152,$G$5)=0,[1]!S_SHARE_TOTAL(D1152,[1]!s_ipo_listeddate(D1152)),[1]!S_SHARE_TOTAL(D1152,$G$5)),([1]!S_STM07_BS(D1152,75,$G$5,$H$13)+[1]!S_STM07_BS(D1152,88,$G$5,$H$13)+[1]!S_STM07_BS(D1152,94,$G$5,$H$13)+[1]!S_STM07_BS(D1152,95,$G$5,$H$13))/$E$5))</f>
        <v/>
      </c>
      <c r="O1152" s="247" t="str">
        <f ca="1">IF(C1152="","",IF($O$11="BPS",[1]!S_STM07_BS(D1152,141,$G$5,$H$13)/IF([1]!S_SHARE_TOTAL(D1152,$G$5)=0,[1]!S_SHARE_TOTAL(D1152,[1]!s_ipo_listeddate(D1152)),[1]!S_SHARE_TOTAL(D1152,$G$5)),[1]!S_STM07_CS(D1152,49,$G$5,$H$13)/$E$5))</f>
        <v/>
      </c>
      <c r="P1152" s="247" t="str">
        <f ca="1">IF(C1152="","",IF($P$11="CFPS",[1]!S_STM07_CS(D1152,84,$G$5,$H$13)/IF([1]!S_SHARE_TOTAL(D1152,$G$5)=0,[1]!S_SHARE_TOTAL(D1152,[1]!s_ipo_listeddate(D1152)),[1]!S_SHARE_TOTAL(D1152,$G$5)),[1]!S_STM07_CS(D1152,84,$G$5,$H$13)/$E$5))</f>
        <v/>
      </c>
      <c r="Q1152" s="248" t="str">
        <f ca="1">IF(C1152="","",F1152/([1]!S_STM07_IS(D1152,61,$G$5,$H$13)/IF([1]!S_SHARE_TOTAL(D1152,$G$5)=0,[1]!S_SHARE_TOTAL(D1152,[1]!s_ipo_listeddate(D1152)),[1]!S_SHARE_TOTAL(D1152,$G$5))))</f>
        <v/>
      </c>
      <c r="R1152" s="248" t="str">
        <f ca="1">IF(C1152="","",F1152/([1]!S_STM07_BS(D1152,141,$G$5,$H$13)/IF([1]!S_SHARE_TOTAL(D1152,$G$5)=0,[1]!S_SHARE_TOTAL(D1152,[1]!s_ipo_listeddate(D1152)),[1]!S_SHARE_TOTAL(D1152,$G$5))))</f>
        <v/>
      </c>
      <c r="S1152" s="247" t="str">
        <f ca="1">IF(C1152="","",[1]!S_SHARE_TOTAL(D1152,TODAY())/$E$5)</f>
        <v/>
      </c>
      <c r="T1152" s="247" t="str">
        <f t="shared" ca="1" si="115"/>
        <v/>
      </c>
      <c r="U1152" s="218" t="str">
        <f t="shared" ca="1" si="116"/>
        <v/>
      </c>
      <c r="V1152" s="342" t="str">
        <f t="shared" ca="1" si="117"/>
        <v/>
      </c>
      <c r="W1152" s="139"/>
      <c r="Y1152" s="1"/>
    </row>
    <row r="1153" spans="3:25" ht="12" customHeight="1">
      <c r="C1153" s="343" t="str">
        <f t="shared" ca="1" si="112"/>
        <v/>
      </c>
      <c r="D1153" s="124" t="str">
        <f t="shared" ca="1" si="113"/>
        <v/>
      </c>
      <c r="E1153" s="124" t="str">
        <f t="shared" ca="1" si="114"/>
        <v/>
      </c>
      <c r="F1153" s="172" t="str">
        <f ca="1">IF(C1153="","",[1]!S_DQ_CLOSE(D1153,TODAY(),1))</f>
        <v/>
      </c>
      <c r="G1153" s="173" t="str">
        <f ca="1">IF(C1153="","",[1]!s_pq_pctchange(D1153,TODAY()-$G$12,TODAY())/100)</f>
        <v/>
      </c>
      <c r="H1153" s="249" t="str">
        <f ca="1">IF(C1153="","",IF($H$11="收入",[1]!S_STM07_IS(D1153,9,$G$5,$H$13)/$E$5,[1]!S_STM07_IS(D1153,48,$G$5,$H$13)/$E$5))</f>
        <v/>
      </c>
      <c r="I1153" s="249" t="str">
        <f ca="1">IF(C1153="","",IF($I$11="毛利率",([1]!S_STM07_IS(D1153,9,$G$5,$H$13)-[1]!S_STM07_IS(D1153,10,$G$5,$H$13))/[1]!S_STM07_IS(D1153,9,$G$5,$H$13),[1]!S_STM07_IS(D1153,14,$G$5,$H$13)/$E$5))</f>
        <v/>
      </c>
      <c r="J1153" s="249" t="str">
        <f ca="1">IF(C1153="","",IF($J$11="营业利润率",[1]!S_STM07_IS(D1153,48,$G$5,$H$13)/[1]!S_STM07_IS(D1153,9,$G$5,$H$13),([1]!S_STM07_CS(D1153,87,$G$5,$H$13)+[1]!S_STM07_CS(D1153,88,$G$5,$H$13)+[1]!S_STM07_CS(D1153,89,$G$5,$H$13))/$E$5))</f>
        <v/>
      </c>
      <c r="K1153" s="249" t="str">
        <f ca="1">IF(C1153="","",IF($K$11="净利润率",[1]!S_STM07_IS(D1153,61,$G$5,$H$13)/[1]!S_STM07_IS(D1153,9,$G$5,$H$13),[1]!S_STM07_IS(D1153,55,$G$5,$H$13)/$E$5))</f>
        <v/>
      </c>
      <c r="L1153" s="249" t="str">
        <f ca="1">IF(C1153="","",IF($L$11="ROA",[1]!S_STM07_IS(D1153,61,$G$5,$H$13)/[1]!S_STM07_BS(D1153,74,$G$5,$H$13),1-[1]!S_STM07_IS(D1153,61,$G$5,$H$13)/[1]!S_STM07_IS(D1153,55,$G$5,$H$13)))</f>
        <v/>
      </c>
      <c r="M1153" s="249" t="str">
        <f ca="1">IF(C1153="","",IF($M$11="ROE",[1]!S_STM07_IS(D1153,61,$G$5,$H$13)/[1]!S_STM07_BS(D1153,141,$G$5,$H$13),([1]!S_STM07_BS(D1153,25,$G$5,$H$13)-[1]!S_STM07_BS(D1153,93,$G$5,$H$13))/$E$5))</f>
        <v/>
      </c>
      <c r="N1153" s="250" t="str">
        <f ca="1">IF(C1153="","",IF($N$11="EPS",[1]!S_STM07_IS(D1153,61,$G$5,$H$13)/IF([1]!S_SHARE_TOTAL(D1153,$G$5)=0,[1]!S_SHARE_TOTAL(D1153,[1]!s_ipo_listeddate(D1153)),[1]!S_SHARE_TOTAL(D1153,$G$5)),([1]!S_STM07_BS(D1153,75,$G$5,$H$13)+[1]!S_STM07_BS(D1153,88,$G$5,$H$13)+[1]!S_STM07_BS(D1153,94,$G$5,$H$13)+[1]!S_STM07_BS(D1153,95,$G$5,$H$13))/$E$5))</f>
        <v/>
      </c>
      <c r="O1153" s="250" t="str">
        <f ca="1">IF(C1153="","",IF($O$11="BPS",[1]!S_STM07_BS(D1153,141,$G$5,$H$13)/IF([1]!S_SHARE_TOTAL(D1153,$G$5)=0,[1]!S_SHARE_TOTAL(D1153,[1]!s_ipo_listeddate(D1153)),[1]!S_SHARE_TOTAL(D1153,$G$5)),[1]!S_STM07_CS(D1153,49,$G$5,$H$13)/$E$5))</f>
        <v/>
      </c>
      <c r="P1153" s="250" t="str">
        <f ca="1">IF(C1153="","",IF($P$11="CFPS",[1]!S_STM07_CS(D1153,84,$G$5,$H$13)/IF([1]!S_SHARE_TOTAL(D1153,$G$5)=0,[1]!S_SHARE_TOTAL(D1153,[1]!s_ipo_listeddate(D1153)),[1]!S_SHARE_TOTAL(D1153,$G$5)),[1]!S_STM07_CS(D1153,84,$G$5,$H$13)/$E$5))</f>
        <v/>
      </c>
      <c r="Q1153" s="198" t="str">
        <f ca="1">IF(C1153="","",F1153/([1]!S_STM07_IS(D1153,61,$G$5,$H$13)/IF([1]!S_SHARE_TOTAL(D1153,$G$5)=0,[1]!S_SHARE_TOTAL(D1153,[1]!s_ipo_listeddate(D1153)),[1]!S_SHARE_TOTAL(D1153,$G$5))))</f>
        <v/>
      </c>
      <c r="R1153" s="198" t="str">
        <f ca="1">IF(C1153="","",F1153/([1]!S_STM07_BS(D1153,141,$G$5,$H$13)/IF([1]!S_SHARE_TOTAL(D1153,$G$5)=0,[1]!S_SHARE_TOTAL(D1153,[1]!s_ipo_listeddate(D1153)),[1]!S_SHARE_TOTAL(D1153,$G$5))))</f>
        <v/>
      </c>
      <c r="S1153" s="249" t="str">
        <f ca="1">IF(C1153="","",[1]!S_SHARE_TOTAL(D1153,TODAY())/$E$5)</f>
        <v/>
      </c>
      <c r="T1153" s="249" t="str">
        <f t="shared" ca="1" si="115"/>
        <v/>
      </c>
      <c r="U1153" s="172" t="str">
        <f t="shared" ca="1" si="116"/>
        <v/>
      </c>
      <c r="V1153" s="343" t="str">
        <f t="shared" ca="1" si="117"/>
        <v/>
      </c>
      <c r="W1153" s="139"/>
      <c r="Y1153" s="1"/>
    </row>
    <row r="1154" spans="3:25" ht="12" customHeight="1">
      <c r="C1154" s="342" t="str">
        <f t="shared" ca="1" si="112"/>
        <v/>
      </c>
      <c r="D1154" s="153" t="str">
        <f t="shared" ca="1" si="113"/>
        <v/>
      </c>
      <c r="E1154" s="153" t="str">
        <f t="shared" ca="1" si="114"/>
        <v/>
      </c>
      <c r="F1154" s="170" t="str">
        <f ca="1">IF(C1154="","",[1]!S_DQ_CLOSE(D1154,TODAY(),1))</f>
        <v/>
      </c>
      <c r="G1154" s="171" t="str">
        <f ca="1">IF(C1154="","",[1]!s_pq_pctchange(D1154,TODAY()-$G$12,TODAY())/100)</f>
        <v/>
      </c>
      <c r="H1154" s="247" t="str">
        <f ca="1">IF(C1154="","",IF($H$11="收入",[1]!S_STM07_IS(D1154,9,$G$5,$H$13)/$E$5,[1]!S_STM07_IS(D1154,48,$G$5,$H$13)/$E$5))</f>
        <v/>
      </c>
      <c r="I1154" s="247" t="str">
        <f ca="1">IF(C1154="","",IF($I$11="毛利率",([1]!S_STM07_IS(D1154,9,$G$5,$H$13)-[1]!S_STM07_IS(D1154,10,$G$5,$H$13))/[1]!S_STM07_IS(D1154,9,$G$5,$H$13),[1]!S_STM07_IS(D1154,14,$G$5,$H$13)/$E$5))</f>
        <v/>
      </c>
      <c r="J1154" s="247" t="str">
        <f ca="1">IF(C1154="","",IF($J$11="营业利润率",[1]!S_STM07_IS(D1154,48,$G$5,$H$13)/[1]!S_STM07_IS(D1154,9,$G$5,$H$13),([1]!S_STM07_CS(D1154,87,$G$5,$H$13)+[1]!S_STM07_CS(D1154,88,$G$5,$H$13)+[1]!S_STM07_CS(D1154,89,$G$5,$H$13))/$E$5))</f>
        <v/>
      </c>
      <c r="K1154" s="247" t="str">
        <f ca="1">IF(C1154="","",IF($K$11="净利润率",[1]!S_STM07_IS(D1154,61,$G$5,$H$13)/[1]!S_STM07_IS(D1154,9,$G$5,$H$13),[1]!S_STM07_IS(D1154,55,$G$5,$H$13)/$E$5))</f>
        <v/>
      </c>
      <c r="L1154" s="247" t="str">
        <f ca="1">IF(C1154="","",IF($L$11="ROA",[1]!S_STM07_IS(D1154,61,$G$5,$H$13)/[1]!S_STM07_BS(D1154,74,$G$5,$H$13),1-[1]!S_STM07_IS(D1154,61,$G$5,$H$13)/[1]!S_STM07_IS(D1154,55,$G$5,$H$13)))</f>
        <v/>
      </c>
      <c r="M1154" s="247" t="str">
        <f ca="1">IF(C1154="","",IF($M$11="ROE",[1]!S_STM07_IS(D1154,61,$G$5,$H$13)/[1]!S_STM07_BS(D1154,141,$G$5,$H$13),([1]!S_STM07_BS(D1154,25,$G$5,$H$13)-[1]!S_STM07_BS(D1154,93,$G$5,$H$13))/$E$5))</f>
        <v/>
      </c>
      <c r="N1154" s="247" t="str">
        <f ca="1">IF(C1154="","",IF($N$11="EPS",[1]!S_STM07_IS(D1154,61,$G$5,$H$13)/IF([1]!S_SHARE_TOTAL(D1154,$G$5)=0,[1]!S_SHARE_TOTAL(D1154,[1]!s_ipo_listeddate(D1154)),[1]!S_SHARE_TOTAL(D1154,$G$5)),([1]!S_STM07_BS(D1154,75,$G$5,$H$13)+[1]!S_STM07_BS(D1154,88,$G$5,$H$13)+[1]!S_STM07_BS(D1154,94,$G$5,$H$13)+[1]!S_STM07_BS(D1154,95,$G$5,$H$13))/$E$5))</f>
        <v/>
      </c>
      <c r="O1154" s="247" t="str">
        <f ca="1">IF(C1154="","",IF($O$11="BPS",[1]!S_STM07_BS(D1154,141,$G$5,$H$13)/IF([1]!S_SHARE_TOTAL(D1154,$G$5)=0,[1]!S_SHARE_TOTAL(D1154,[1]!s_ipo_listeddate(D1154)),[1]!S_SHARE_TOTAL(D1154,$G$5)),[1]!S_STM07_CS(D1154,49,$G$5,$H$13)/$E$5))</f>
        <v/>
      </c>
      <c r="P1154" s="247" t="str">
        <f ca="1">IF(C1154="","",IF($P$11="CFPS",[1]!S_STM07_CS(D1154,84,$G$5,$H$13)/IF([1]!S_SHARE_TOTAL(D1154,$G$5)=0,[1]!S_SHARE_TOTAL(D1154,[1]!s_ipo_listeddate(D1154)),[1]!S_SHARE_TOTAL(D1154,$G$5)),[1]!S_STM07_CS(D1154,84,$G$5,$H$13)/$E$5))</f>
        <v/>
      </c>
      <c r="Q1154" s="248" t="str">
        <f ca="1">IF(C1154="","",F1154/([1]!S_STM07_IS(D1154,61,$G$5,$H$13)/IF([1]!S_SHARE_TOTAL(D1154,$G$5)=0,[1]!S_SHARE_TOTAL(D1154,[1]!s_ipo_listeddate(D1154)),[1]!S_SHARE_TOTAL(D1154,$G$5))))</f>
        <v/>
      </c>
      <c r="R1154" s="248" t="str">
        <f ca="1">IF(C1154="","",F1154/([1]!S_STM07_BS(D1154,141,$G$5,$H$13)/IF([1]!S_SHARE_TOTAL(D1154,$G$5)=0,[1]!S_SHARE_TOTAL(D1154,[1]!s_ipo_listeddate(D1154)),[1]!S_SHARE_TOTAL(D1154,$G$5))))</f>
        <v/>
      </c>
      <c r="S1154" s="247" t="str">
        <f ca="1">IF(C1154="","",[1]!S_SHARE_TOTAL(D1154,TODAY())/$E$5)</f>
        <v/>
      </c>
      <c r="T1154" s="247" t="str">
        <f t="shared" ca="1" si="115"/>
        <v/>
      </c>
      <c r="U1154" s="218" t="str">
        <f t="shared" ca="1" si="116"/>
        <v/>
      </c>
      <c r="V1154" s="342" t="str">
        <f t="shared" ca="1" si="117"/>
        <v/>
      </c>
      <c r="W1154" s="139"/>
      <c r="Y1154" s="1"/>
    </row>
    <row r="1155" spans="3:25" ht="12" customHeight="1">
      <c r="C1155" s="343" t="str">
        <f t="shared" ca="1" si="112"/>
        <v/>
      </c>
      <c r="D1155" s="124" t="str">
        <f t="shared" ca="1" si="113"/>
        <v/>
      </c>
      <c r="E1155" s="124" t="str">
        <f t="shared" ca="1" si="114"/>
        <v/>
      </c>
      <c r="F1155" s="172" t="str">
        <f ca="1">IF(C1155="","",[1]!S_DQ_CLOSE(D1155,TODAY(),1))</f>
        <v/>
      </c>
      <c r="G1155" s="173" t="str">
        <f ca="1">IF(C1155="","",[1]!s_pq_pctchange(D1155,TODAY()-$G$12,TODAY())/100)</f>
        <v/>
      </c>
      <c r="H1155" s="249" t="str">
        <f ca="1">IF(C1155="","",IF($H$11="收入",[1]!S_STM07_IS(D1155,9,$G$5,$H$13)/$E$5,[1]!S_STM07_IS(D1155,48,$G$5,$H$13)/$E$5))</f>
        <v/>
      </c>
      <c r="I1155" s="249" t="str">
        <f ca="1">IF(C1155="","",IF($I$11="毛利率",([1]!S_STM07_IS(D1155,9,$G$5,$H$13)-[1]!S_STM07_IS(D1155,10,$G$5,$H$13))/[1]!S_STM07_IS(D1155,9,$G$5,$H$13),[1]!S_STM07_IS(D1155,14,$G$5,$H$13)/$E$5))</f>
        <v/>
      </c>
      <c r="J1155" s="249" t="str">
        <f ca="1">IF(C1155="","",IF($J$11="营业利润率",[1]!S_STM07_IS(D1155,48,$G$5,$H$13)/[1]!S_STM07_IS(D1155,9,$G$5,$H$13),([1]!S_STM07_CS(D1155,87,$G$5,$H$13)+[1]!S_STM07_CS(D1155,88,$G$5,$H$13)+[1]!S_STM07_CS(D1155,89,$G$5,$H$13))/$E$5))</f>
        <v/>
      </c>
      <c r="K1155" s="249" t="str">
        <f ca="1">IF(C1155="","",IF($K$11="净利润率",[1]!S_STM07_IS(D1155,61,$G$5,$H$13)/[1]!S_STM07_IS(D1155,9,$G$5,$H$13),[1]!S_STM07_IS(D1155,55,$G$5,$H$13)/$E$5))</f>
        <v/>
      </c>
      <c r="L1155" s="249" t="str">
        <f ca="1">IF(C1155="","",IF($L$11="ROA",[1]!S_STM07_IS(D1155,61,$G$5,$H$13)/[1]!S_STM07_BS(D1155,74,$G$5,$H$13),1-[1]!S_STM07_IS(D1155,61,$G$5,$H$13)/[1]!S_STM07_IS(D1155,55,$G$5,$H$13)))</f>
        <v/>
      </c>
      <c r="M1155" s="249" t="str">
        <f ca="1">IF(C1155="","",IF($M$11="ROE",[1]!S_STM07_IS(D1155,61,$G$5,$H$13)/[1]!S_STM07_BS(D1155,141,$G$5,$H$13),([1]!S_STM07_BS(D1155,25,$G$5,$H$13)-[1]!S_STM07_BS(D1155,93,$G$5,$H$13))/$E$5))</f>
        <v/>
      </c>
      <c r="N1155" s="250" t="str">
        <f ca="1">IF(C1155="","",IF($N$11="EPS",[1]!S_STM07_IS(D1155,61,$G$5,$H$13)/IF([1]!S_SHARE_TOTAL(D1155,$G$5)=0,[1]!S_SHARE_TOTAL(D1155,[1]!s_ipo_listeddate(D1155)),[1]!S_SHARE_TOTAL(D1155,$G$5)),([1]!S_STM07_BS(D1155,75,$G$5,$H$13)+[1]!S_STM07_BS(D1155,88,$G$5,$H$13)+[1]!S_STM07_BS(D1155,94,$G$5,$H$13)+[1]!S_STM07_BS(D1155,95,$G$5,$H$13))/$E$5))</f>
        <v/>
      </c>
      <c r="O1155" s="250" t="str">
        <f ca="1">IF(C1155="","",IF($O$11="BPS",[1]!S_STM07_BS(D1155,141,$G$5,$H$13)/IF([1]!S_SHARE_TOTAL(D1155,$G$5)=0,[1]!S_SHARE_TOTAL(D1155,[1]!s_ipo_listeddate(D1155)),[1]!S_SHARE_TOTAL(D1155,$G$5)),[1]!S_STM07_CS(D1155,49,$G$5,$H$13)/$E$5))</f>
        <v/>
      </c>
      <c r="P1155" s="250" t="str">
        <f ca="1">IF(C1155="","",IF($P$11="CFPS",[1]!S_STM07_CS(D1155,84,$G$5,$H$13)/IF([1]!S_SHARE_TOTAL(D1155,$G$5)=0,[1]!S_SHARE_TOTAL(D1155,[1]!s_ipo_listeddate(D1155)),[1]!S_SHARE_TOTAL(D1155,$G$5)),[1]!S_STM07_CS(D1155,84,$G$5,$H$13)/$E$5))</f>
        <v/>
      </c>
      <c r="Q1155" s="198" t="str">
        <f ca="1">IF(C1155="","",F1155/([1]!S_STM07_IS(D1155,61,$G$5,$H$13)/IF([1]!S_SHARE_TOTAL(D1155,$G$5)=0,[1]!S_SHARE_TOTAL(D1155,[1]!s_ipo_listeddate(D1155)),[1]!S_SHARE_TOTAL(D1155,$G$5))))</f>
        <v/>
      </c>
      <c r="R1155" s="198" t="str">
        <f ca="1">IF(C1155="","",F1155/([1]!S_STM07_BS(D1155,141,$G$5,$H$13)/IF([1]!S_SHARE_TOTAL(D1155,$G$5)=0,[1]!S_SHARE_TOTAL(D1155,[1]!s_ipo_listeddate(D1155)),[1]!S_SHARE_TOTAL(D1155,$G$5))))</f>
        <v/>
      </c>
      <c r="S1155" s="249" t="str">
        <f ca="1">IF(C1155="","",[1]!S_SHARE_TOTAL(D1155,TODAY())/$E$5)</f>
        <v/>
      </c>
      <c r="T1155" s="249" t="str">
        <f t="shared" ca="1" si="115"/>
        <v/>
      </c>
      <c r="U1155" s="172" t="str">
        <f t="shared" ca="1" si="116"/>
        <v/>
      </c>
      <c r="V1155" s="343" t="str">
        <f t="shared" ca="1" si="117"/>
        <v/>
      </c>
      <c r="W1155" s="139"/>
      <c r="Y1155" s="1"/>
    </row>
    <row r="1156" spans="3:25" ht="12" customHeight="1">
      <c r="C1156" s="342" t="str">
        <f t="shared" ca="1" si="112"/>
        <v/>
      </c>
      <c r="D1156" s="153" t="str">
        <f t="shared" ca="1" si="113"/>
        <v/>
      </c>
      <c r="E1156" s="153" t="str">
        <f t="shared" ca="1" si="114"/>
        <v/>
      </c>
      <c r="F1156" s="170" t="str">
        <f ca="1">IF(C1156="","",[1]!S_DQ_CLOSE(D1156,TODAY(),1))</f>
        <v/>
      </c>
      <c r="G1156" s="171" t="str">
        <f ca="1">IF(C1156="","",[1]!s_pq_pctchange(D1156,TODAY()-$G$12,TODAY())/100)</f>
        <v/>
      </c>
      <c r="H1156" s="247" t="str">
        <f ca="1">IF(C1156="","",IF($H$11="收入",[1]!S_STM07_IS(D1156,9,$G$5,$H$13)/$E$5,[1]!S_STM07_IS(D1156,48,$G$5,$H$13)/$E$5))</f>
        <v/>
      </c>
      <c r="I1156" s="247" t="str">
        <f ca="1">IF(C1156="","",IF($I$11="毛利率",([1]!S_STM07_IS(D1156,9,$G$5,$H$13)-[1]!S_STM07_IS(D1156,10,$G$5,$H$13))/[1]!S_STM07_IS(D1156,9,$G$5,$H$13),[1]!S_STM07_IS(D1156,14,$G$5,$H$13)/$E$5))</f>
        <v/>
      </c>
      <c r="J1156" s="247" t="str">
        <f ca="1">IF(C1156="","",IF($J$11="营业利润率",[1]!S_STM07_IS(D1156,48,$G$5,$H$13)/[1]!S_STM07_IS(D1156,9,$G$5,$H$13),([1]!S_STM07_CS(D1156,87,$G$5,$H$13)+[1]!S_STM07_CS(D1156,88,$G$5,$H$13)+[1]!S_STM07_CS(D1156,89,$G$5,$H$13))/$E$5))</f>
        <v/>
      </c>
      <c r="K1156" s="247" t="str">
        <f ca="1">IF(C1156="","",IF($K$11="净利润率",[1]!S_STM07_IS(D1156,61,$G$5,$H$13)/[1]!S_STM07_IS(D1156,9,$G$5,$H$13),[1]!S_STM07_IS(D1156,55,$G$5,$H$13)/$E$5))</f>
        <v/>
      </c>
      <c r="L1156" s="247" t="str">
        <f ca="1">IF(C1156="","",IF($L$11="ROA",[1]!S_STM07_IS(D1156,61,$G$5,$H$13)/[1]!S_STM07_BS(D1156,74,$G$5,$H$13),1-[1]!S_STM07_IS(D1156,61,$G$5,$H$13)/[1]!S_STM07_IS(D1156,55,$G$5,$H$13)))</f>
        <v/>
      </c>
      <c r="M1156" s="247" t="str">
        <f ca="1">IF(C1156="","",IF($M$11="ROE",[1]!S_STM07_IS(D1156,61,$G$5,$H$13)/[1]!S_STM07_BS(D1156,141,$G$5,$H$13),([1]!S_STM07_BS(D1156,25,$G$5,$H$13)-[1]!S_STM07_BS(D1156,93,$G$5,$H$13))/$E$5))</f>
        <v/>
      </c>
      <c r="N1156" s="247" t="str">
        <f ca="1">IF(C1156="","",IF($N$11="EPS",[1]!S_STM07_IS(D1156,61,$G$5,$H$13)/IF([1]!S_SHARE_TOTAL(D1156,$G$5)=0,[1]!S_SHARE_TOTAL(D1156,[1]!s_ipo_listeddate(D1156)),[1]!S_SHARE_TOTAL(D1156,$G$5)),([1]!S_STM07_BS(D1156,75,$G$5,$H$13)+[1]!S_STM07_BS(D1156,88,$G$5,$H$13)+[1]!S_STM07_BS(D1156,94,$G$5,$H$13)+[1]!S_STM07_BS(D1156,95,$G$5,$H$13))/$E$5))</f>
        <v/>
      </c>
      <c r="O1156" s="247" t="str">
        <f ca="1">IF(C1156="","",IF($O$11="BPS",[1]!S_STM07_BS(D1156,141,$G$5,$H$13)/IF([1]!S_SHARE_TOTAL(D1156,$G$5)=0,[1]!S_SHARE_TOTAL(D1156,[1]!s_ipo_listeddate(D1156)),[1]!S_SHARE_TOTAL(D1156,$G$5)),[1]!S_STM07_CS(D1156,49,$G$5,$H$13)/$E$5))</f>
        <v/>
      </c>
      <c r="P1156" s="247" t="str">
        <f ca="1">IF(C1156="","",IF($P$11="CFPS",[1]!S_STM07_CS(D1156,84,$G$5,$H$13)/IF([1]!S_SHARE_TOTAL(D1156,$G$5)=0,[1]!S_SHARE_TOTAL(D1156,[1]!s_ipo_listeddate(D1156)),[1]!S_SHARE_TOTAL(D1156,$G$5)),[1]!S_STM07_CS(D1156,84,$G$5,$H$13)/$E$5))</f>
        <v/>
      </c>
      <c r="Q1156" s="248" t="str">
        <f ca="1">IF(C1156="","",F1156/([1]!S_STM07_IS(D1156,61,$G$5,$H$13)/IF([1]!S_SHARE_TOTAL(D1156,$G$5)=0,[1]!S_SHARE_TOTAL(D1156,[1]!s_ipo_listeddate(D1156)),[1]!S_SHARE_TOTAL(D1156,$G$5))))</f>
        <v/>
      </c>
      <c r="R1156" s="248" t="str">
        <f ca="1">IF(C1156="","",F1156/([1]!S_STM07_BS(D1156,141,$G$5,$H$13)/IF([1]!S_SHARE_TOTAL(D1156,$G$5)=0,[1]!S_SHARE_TOTAL(D1156,[1]!s_ipo_listeddate(D1156)),[1]!S_SHARE_TOTAL(D1156,$G$5))))</f>
        <v/>
      </c>
      <c r="S1156" s="247" t="str">
        <f ca="1">IF(C1156="","",[1]!S_SHARE_TOTAL(D1156,TODAY())/$E$5)</f>
        <v/>
      </c>
      <c r="T1156" s="247" t="str">
        <f t="shared" ca="1" si="115"/>
        <v/>
      </c>
      <c r="U1156" s="218" t="str">
        <f t="shared" ca="1" si="116"/>
        <v/>
      </c>
      <c r="V1156" s="342" t="str">
        <f t="shared" ca="1" si="117"/>
        <v/>
      </c>
      <c r="W1156" s="139"/>
      <c r="Y1156" s="1"/>
    </row>
    <row r="1157" spans="3:25" ht="12" customHeight="1">
      <c r="C1157" s="343" t="str">
        <f t="shared" ca="1" si="112"/>
        <v/>
      </c>
      <c r="D1157" s="124" t="str">
        <f t="shared" ca="1" si="113"/>
        <v/>
      </c>
      <c r="E1157" s="124" t="str">
        <f t="shared" ca="1" si="114"/>
        <v/>
      </c>
      <c r="F1157" s="172" t="str">
        <f ca="1">IF(C1157="","",[1]!S_DQ_CLOSE(D1157,TODAY(),1))</f>
        <v/>
      </c>
      <c r="G1157" s="173" t="str">
        <f ca="1">IF(C1157="","",[1]!s_pq_pctchange(D1157,TODAY()-$G$12,TODAY())/100)</f>
        <v/>
      </c>
      <c r="H1157" s="249" t="str">
        <f ca="1">IF(C1157="","",IF($H$11="收入",[1]!S_STM07_IS(D1157,9,$G$5,$H$13)/$E$5,[1]!S_STM07_IS(D1157,48,$G$5,$H$13)/$E$5))</f>
        <v/>
      </c>
      <c r="I1157" s="249" t="str">
        <f ca="1">IF(C1157="","",IF($I$11="毛利率",([1]!S_STM07_IS(D1157,9,$G$5,$H$13)-[1]!S_STM07_IS(D1157,10,$G$5,$H$13))/[1]!S_STM07_IS(D1157,9,$G$5,$H$13),[1]!S_STM07_IS(D1157,14,$G$5,$H$13)/$E$5))</f>
        <v/>
      </c>
      <c r="J1157" s="249" t="str">
        <f ca="1">IF(C1157="","",IF($J$11="营业利润率",[1]!S_STM07_IS(D1157,48,$G$5,$H$13)/[1]!S_STM07_IS(D1157,9,$G$5,$H$13),([1]!S_STM07_CS(D1157,87,$G$5,$H$13)+[1]!S_STM07_CS(D1157,88,$G$5,$H$13)+[1]!S_STM07_CS(D1157,89,$G$5,$H$13))/$E$5))</f>
        <v/>
      </c>
      <c r="K1157" s="249" t="str">
        <f ca="1">IF(C1157="","",IF($K$11="净利润率",[1]!S_STM07_IS(D1157,61,$G$5,$H$13)/[1]!S_STM07_IS(D1157,9,$G$5,$H$13),[1]!S_STM07_IS(D1157,55,$G$5,$H$13)/$E$5))</f>
        <v/>
      </c>
      <c r="L1157" s="249" t="str">
        <f ca="1">IF(C1157="","",IF($L$11="ROA",[1]!S_STM07_IS(D1157,61,$G$5,$H$13)/[1]!S_STM07_BS(D1157,74,$G$5,$H$13),1-[1]!S_STM07_IS(D1157,61,$G$5,$H$13)/[1]!S_STM07_IS(D1157,55,$G$5,$H$13)))</f>
        <v/>
      </c>
      <c r="M1157" s="249" t="str">
        <f ca="1">IF(C1157="","",IF($M$11="ROE",[1]!S_STM07_IS(D1157,61,$G$5,$H$13)/[1]!S_STM07_BS(D1157,141,$G$5,$H$13),([1]!S_STM07_BS(D1157,25,$G$5,$H$13)-[1]!S_STM07_BS(D1157,93,$G$5,$H$13))/$E$5))</f>
        <v/>
      </c>
      <c r="N1157" s="250" t="str">
        <f ca="1">IF(C1157="","",IF($N$11="EPS",[1]!S_STM07_IS(D1157,61,$G$5,$H$13)/IF([1]!S_SHARE_TOTAL(D1157,$G$5)=0,[1]!S_SHARE_TOTAL(D1157,[1]!s_ipo_listeddate(D1157)),[1]!S_SHARE_TOTAL(D1157,$G$5)),([1]!S_STM07_BS(D1157,75,$G$5,$H$13)+[1]!S_STM07_BS(D1157,88,$G$5,$H$13)+[1]!S_STM07_BS(D1157,94,$G$5,$H$13)+[1]!S_STM07_BS(D1157,95,$G$5,$H$13))/$E$5))</f>
        <v/>
      </c>
      <c r="O1157" s="250" t="str">
        <f ca="1">IF(C1157="","",IF($O$11="BPS",[1]!S_STM07_BS(D1157,141,$G$5,$H$13)/IF([1]!S_SHARE_TOTAL(D1157,$G$5)=0,[1]!S_SHARE_TOTAL(D1157,[1]!s_ipo_listeddate(D1157)),[1]!S_SHARE_TOTAL(D1157,$G$5)),[1]!S_STM07_CS(D1157,49,$G$5,$H$13)/$E$5))</f>
        <v/>
      </c>
      <c r="P1157" s="250" t="str">
        <f ca="1">IF(C1157="","",IF($P$11="CFPS",[1]!S_STM07_CS(D1157,84,$G$5,$H$13)/IF([1]!S_SHARE_TOTAL(D1157,$G$5)=0,[1]!S_SHARE_TOTAL(D1157,[1]!s_ipo_listeddate(D1157)),[1]!S_SHARE_TOTAL(D1157,$G$5)),[1]!S_STM07_CS(D1157,84,$G$5,$H$13)/$E$5))</f>
        <v/>
      </c>
      <c r="Q1157" s="198" t="str">
        <f ca="1">IF(C1157="","",F1157/([1]!S_STM07_IS(D1157,61,$G$5,$H$13)/IF([1]!S_SHARE_TOTAL(D1157,$G$5)=0,[1]!S_SHARE_TOTAL(D1157,[1]!s_ipo_listeddate(D1157)),[1]!S_SHARE_TOTAL(D1157,$G$5))))</f>
        <v/>
      </c>
      <c r="R1157" s="198" t="str">
        <f ca="1">IF(C1157="","",F1157/([1]!S_STM07_BS(D1157,141,$G$5,$H$13)/IF([1]!S_SHARE_TOTAL(D1157,$G$5)=0,[1]!S_SHARE_TOTAL(D1157,[1]!s_ipo_listeddate(D1157)),[1]!S_SHARE_TOTAL(D1157,$G$5))))</f>
        <v/>
      </c>
      <c r="S1157" s="249" t="str">
        <f ca="1">IF(C1157="","",[1]!S_SHARE_TOTAL(D1157,TODAY())/$E$5)</f>
        <v/>
      </c>
      <c r="T1157" s="249" t="str">
        <f t="shared" ca="1" si="115"/>
        <v/>
      </c>
      <c r="U1157" s="172" t="str">
        <f t="shared" ca="1" si="116"/>
        <v/>
      </c>
      <c r="V1157" s="343" t="str">
        <f t="shared" ca="1" si="117"/>
        <v/>
      </c>
      <c r="W1157" s="139"/>
      <c r="Y1157" s="1"/>
    </row>
    <row r="1158" spans="3:25" ht="12" customHeight="1">
      <c r="C1158" s="342" t="str">
        <f t="shared" ca="1" si="112"/>
        <v/>
      </c>
      <c r="D1158" s="153" t="str">
        <f t="shared" ca="1" si="113"/>
        <v/>
      </c>
      <c r="E1158" s="153" t="str">
        <f t="shared" ca="1" si="114"/>
        <v/>
      </c>
      <c r="F1158" s="170" t="str">
        <f ca="1">IF(C1158="","",[1]!S_DQ_CLOSE(D1158,TODAY(),1))</f>
        <v/>
      </c>
      <c r="G1158" s="171" t="str">
        <f ca="1">IF(C1158="","",[1]!s_pq_pctchange(D1158,TODAY()-$G$12,TODAY())/100)</f>
        <v/>
      </c>
      <c r="H1158" s="247" t="str">
        <f ca="1">IF(C1158="","",IF($H$11="收入",[1]!S_STM07_IS(D1158,9,$G$5,$H$13)/$E$5,[1]!S_STM07_IS(D1158,48,$G$5,$H$13)/$E$5))</f>
        <v/>
      </c>
      <c r="I1158" s="247" t="str">
        <f ca="1">IF(C1158="","",IF($I$11="毛利率",([1]!S_STM07_IS(D1158,9,$G$5,$H$13)-[1]!S_STM07_IS(D1158,10,$G$5,$H$13))/[1]!S_STM07_IS(D1158,9,$G$5,$H$13),[1]!S_STM07_IS(D1158,14,$G$5,$H$13)/$E$5))</f>
        <v/>
      </c>
      <c r="J1158" s="247" t="str">
        <f ca="1">IF(C1158="","",IF($J$11="营业利润率",[1]!S_STM07_IS(D1158,48,$G$5,$H$13)/[1]!S_STM07_IS(D1158,9,$G$5,$H$13),([1]!S_STM07_CS(D1158,87,$G$5,$H$13)+[1]!S_STM07_CS(D1158,88,$G$5,$H$13)+[1]!S_STM07_CS(D1158,89,$G$5,$H$13))/$E$5))</f>
        <v/>
      </c>
      <c r="K1158" s="247" t="str">
        <f ca="1">IF(C1158="","",IF($K$11="净利润率",[1]!S_STM07_IS(D1158,61,$G$5,$H$13)/[1]!S_STM07_IS(D1158,9,$G$5,$H$13),[1]!S_STM07_IS(D1158,55,$G$5,$H$13)/$E$5))</f>
        <v/>
      </c>
      <c r="L1158" s="247" t="str">
        <f ca="1">IF(C1158="","",IF($L$11="ROA",[1]!S_STM07_IS(D1158,61,$G$5,$H$13)/[1]!S_STM07_BS(D1158,74,$G$5,$H$13),1-[1]!S_STM07_IS(D1158,61,$G$5,$H$13)/[1]!S_STM07_IS(D1158,55,$G$5,$H$13)))</f>
        <v/>
      </c>
      <c r="M1158" s="247" t="str">
        <f ca="1">IF(C1158="","",IF($M$11="ROE",[1]!S_STM07_IS(D1158,61,$G$5,$H$13)/[1]!S_STM07_BS(D1158,141,$G$5,$H$13),([1]!S_STM07_BS(D1158,25,$G$5,$H$13)-[1]!S_STM07_BS(D1158,93,$G$5,$H$13))/$E$5))</f>
        <v/>
      </c>
      <c r="N1158" s="247" t="str">
        <f ca="1">IF(C1158="","",IF($N$11="EPS",[1]!S_STM07_IS(D1158,61,$G$5,$H$13)/IF([1]!S_SHARE_TOTAL(D1158,$G$5)=0,[1]!S_SHARE_TOTAL(D1158,[1]!s_ipo_listeddate(D1158)),[1]!S_SHARE_TOTAL(D1158,$G$5)),([1]!S_STM07_BS(D1158,75,$G$5,$H$13)+[1]!S_STM07_BS(D1158,88,$G$5,$H$13)+[1]!S_STM07_BS(D1158,94,$G$5,$H$13)+[1]!S_STM07_BS(D1158,95,$G$5,$H$13))/$E$5))</f>
        <v/>
      </c>
      <c r="O1158" s="247" t="str">
        <f ca="1">IF(C1158="","",IF($O$11="BPS",[1]!S_STM07_BS(D1158,141,$G$5,$H$13)/IF([1]!S_SHARE_TOTAL(D1158,$G$5)=0,[1]!S_SHARE_TOTAL(D1158,[1]!s_ipo_listeddate(D1158)),[1]!S_SHARE_TOTAL(D1158,$G$5)),[1]!S_STM07_CS(D1158,49,$G$5,$H$13)/$E$5))</f>
        <v/>
      </c>
      <c r="P1158" s="247" t="str">
        <f ca="1">IF(C1158="","",IF($P$11="CFPS",[1]!S_STM07_CS(D1158,84,$G$5,$H$13)/IF([1]!S_SHARE_TOTAL(D1158,$G$5)=0,[1]!S_SHARE_TOTAL(D1158,[1]!s_ipo_listeddate(D1158)),[1]!S_SHARE_TOTAL(D1158,$G$5)),[1]!S_STM07_CS(D1158,84,$G$5,$H$13)/$E$5))</f>
        <v/>
      </c>
      <c r="Q1158" s="248" t="str">
        <f ca="1">IF(C1158="","",F1158/([1]!S_STM07_IS(D1158,61,$G$5,$H$13)/IF([1]!S_SHARE_TOTAL(D1158,$G$5)=0,[1]!S_SHARE_TOTAL(D1158,[1]!s_ipo_listeddate(D1158)),[1]!S_SHARE_TOTAL(D1158,$G$5))))</f>
        <v/>
      </c>
      <c r="R1158" s="248" t="str">
        <f ca="1">IF(C1158="","",F1158/([1]!S_STM07_BS(D1158,141,$G$5,$H$13)/IF([1]!S_SHARE_TOTAL(D1158,$G$5)=0,[1]!S_SHARE_TOTAL(D1158,[1]!s_ipo_listeddate(D1158)),[1]!S_SHARE_TOTAL(D1158,$G$5))))</f>
        <v/>
      </c>
      <c r="S1158" s="247" t="str">
        <f ca="1">IF(C1158="","",[1]!S_SHARE_TOTAL(D1158,TODAY())/$E$5)</f>
        <v/>
      </c>
      <c r="T1158" s="247" t="str">
        <f t="shared" ca="1" si="115"/>
        <v/>
      </c>
      <c r="U1158" s="218" t="str">
        <f t="shared" ca="1" si="116"/>
        <v/>
      </c>
      <c r="V1158" s="342" t="str">
        <f t="shared" ca="1" si="117"/>
        <v/>
      </c>
      <c r="W1158" s="139"/>
      <c r="Y1158" s="1"/>
    </row>
    <row r="1159" spans="3:25" ht="12" customHeight="1">
      <c r="C1159" s="343" t="str">
        <f t="shared" ca="1" si="112"/>
        <v/>
      </c>
      <c r="D1159" s="124" t="str">
        <f t="shared" ca="1" si="113"/>
        <v/>
      </c>
      <c r="E1159" s="124" t="str">
        <f t="shared" ca="1" si="114"/>
        <v/>
      </c>
      <c r="F1159" s="172" t="str">
        <f ca="1">IF(C1159="","",[1]!S_DQ_CLOSE(D1159,TODAY(),1))</f>
        <v/>
      </c>
      <c r="G1159" s="173" t="str">
        <f ca="1">IF(C1159="","",[1]!s_pq_pctchange(D1159,TODAY()-$G$12,TODAY())/100)</f>
        <v/>
      </c>
      <c r="H1159" s="249" t="str">
        <f ca="1">IF(C1159="","",IF($H$11="收入",[1]!S_STM07_IS(D1159,9,$G$5,$H$13)/$E$5,[1]!S_STM07_IS(D1159,48,$G$5,$H$13)/$E$5))</f>
        <v/>
      </c>
      <c r="I1159" s="249" t="str">
        <f ca="1">IF(C1159="","",IF($I$11="毛利率",([1]!S_STM07_IS(D1159,9,$G$5,$H$13)-[1]!S_STM07_IS(D1159,10,$G$5,$H$13))/[1]!S_STM07_IS(D1159,9,$G$5,$H$13),[1]!S_STM07_IS(D1159,14,$G$5,$H$13)/$E$5))</f>
        <v/>
      </c>
      <c r="J1159" s="249" t="str">
        <f ca="1">IF(C1159="","",IF($J$11="营业利润率",[1]!S_STM07_IS(D1159,48,$G$5,$H$13)/[1]!S_STM07_IS(D1159,9,$G$5,$H$13),([1]!S_STM07_CS(D1159,87,$G$5,$H$13)+[1]!S_STM07_CS(D1159,88,$G$5,$H$13)+[1]!S_STM07_CS(D1159,89,$G$5,$H$13))/$E$5))</f>
        <v/>
      </c>
      <c r="K1159" s="249" t="str">
        <f ca="1">IF(C1159="","",IF($K$11="净利润率",[1]!S_STM07_IS(D1159,61,$G$5,$H$13)/[1]!S_STM07_IS(D1159,9,$G$5,$H$13),[1]!S_STM07_IS(D1159,55,$G$5,$H$13)/$E$5))</f>
        <v/>
      </c>
      <c r="L1159" s="249" t="str">
        <f ca="1">IF(C1159="","",IF($L$11="ROA",[1]!S_STM07_IS(D1159,61,$G$5,$H$13)/[1]!S_STM07_BS(D1159,74,$G$5,$H$13),1-[1]!S_STM07_IS(D1159,61,$G$5,$H$13)/[1]!S_STM07_IS(D1159,55,$G$5,$H$13)))</f>
        <v/>
      </c>
      <c r="M1159" s="249" t="str">
        <f ca="1">IF(C1159="","",IF($M$11="ROE",[1]!S_STM07_IS(D1159,61,$G$5,$H$13)/[1]!S_STM07_BS(D1159,141,$G$5,$H$13),([1]!S_STM07_BS(D1159,25,$G$5,$H$13)-[1]!S_STM07_BS(D1159,93,$G$5,$H$13))/$E$5))</f>
        <v/>
      </c>
      <c r="N1159" s="250" t="str">
        <f ca="1">IF(C1159="","",IF($N$11="EPS",[1]!S_STM07_IS(D1159,61,$G$5,$H$13)/IF([1]!S_SHARE_TOTAL(D1159,$G$5)=0,[1]!S_SHARE_TOTAL(D1159,[1]!s_ipo_listeddate(D1159)),[1]!S_SHARE_TOTAL(D1159,$G$5)),([1]!S_STM07_BS(D1159,75,$G$5,$H$13)+[1]!S_STM07_BS(D1159,88,$G$5,$H$13)+[1]!S_STM07_BS(D1159,94,$G$5,$H$13)+[1]!S_STM07_BS(D1159,95,$G$5,$H$13))/$E$5))</f>
        <v/>
      </c>
      <c r="O1159" s="250" t="str">
        <f ca="1">IF(C1159="","",IF($O$11="BPS",[1]!S_STM07_BS(D1159,141,$G$5,$H$13)/IF([1]!S_SHARE_TOTAL(D1159,$G$5)=0,[1]!S_SHARE_TOTAL(D1159,[1]!s_ipo_listeddate(D1159)),[1]!S_SHARE_TOTAL(D1159,$G$5)),[1]!S_STM07_CS(D1159,49,$G$5,$H$13)/$E$5))</f>
        <v/>
      </c>
      <c r="P1159" s="250" t="str">
        <f ca="1">IF(C1159="","",IF($P$11="CFPS",[1]!S_STM07_CS(D1159,84,$G$5,$H$13)/IF([1]!S_SHARE_TOTAL(D1159,$G$5)=0,[1]!S_SHARE_TOTAL(D1159,[1]!s_ipo_listeddate(D1159)),[1]!S_SHARE_TOTAL(D1159,$G$5)),[1]!S_STM07_CS(D1159,84,$G$5,$H$13)/$E$5))</f>
        <v/>
      </c>
      <c r="Q1159" s="198" t="str">
        <f ca="1">IF(C1159="","",F1159/([1]!S_STM07_IS(D1159,61,$G$5,$H$13)/IF([1]!S_SHARE_TOTAL(D1159,$G$5)=0,[1]!S_SHARE_TOTAL(D1159,[1]!s_ipo_listeddate(D1159)),[1]!S_SHARE_TOTAL(D1159,$G$5))))</f>
        <v/>
      </c>
      <c r="R1159" s="198" t="str">
        <f ca="1">IF(C1159="","",F1159/([1]!S_STM07_BS(D1159,141,$G$5,$H$13)/IF([1]!S_SHARE_TOTAL(D1159,$G$5)=0,[1]!S_SHARE_TOTAL(D1159,[1]!s_ipo_listeddate(D1159)),[1]!S_SHARE_TOTAL(D1159,$G$5))))</f>
        <v/>
      </c>
      <c r="S1159" s="249" t="str">
        <f ca="1">IF(C1159="","",[1]!S_SHARE_TOTAL(D1159,TODAY())/$E$5)</f>
        <v/>
      </c>
      <c r="T1159" s="249" t="str">
        <f t="shared" ca="1" si="115"/>
        <v/>
      </c>
      <c r="U1159" s="172" t="str">
        <f t="shared" ca="1" si="116"/>
        <v/>
      </c>
      <c r="V1159" s="343" t="str">
        <f t="shared" ca="1" si="117"/>
        <v/>
      </c>
      <c r="W1159" s="139"/>
      <c r="Y1159" s="1"/>
    </row>
    <row r="1160" spans="3:25" ht="12" customHeight="1">
      <c r="C1160" s="342" t="str">
        <f t="shared" ca="1" si="112"/>
        <v/>
      </c>
      <c r="D1160" s="153" t="str">
        <f t="shared" ca="1" si="113"/>
        <v/>
      </c>
      <c r="E1160" s="153" t="str">
        <f t="shared" ca="1" si="114"/>
        <v/>
      </c>
      <c r="F1160" s="170" t="str">
        <f ca="1">IF(C1160="","",[1]!S_DQ_CLOSE(D1160,TODAY(),1))</f>
        <v/>
      </c>
      <c r="G1160" s="171" t="str">
        <f ca="1">IF(C1160="","",[1]!s_pq_pctchange(D1160,TODAY()-$G$12,TODAY())/100)</f>
        <v/>
      </c>
      <c r="H1160" s="247" t="str">
        <f ca="1">IF(C1160="","",IF($H$11="收入",[1]!S_STM07_IS(D1160,9,$G$5,$H$13)/$E$5,[1]!S_STM07_IS(D1160,48,$G$5,$H$13)/$E$5))</f>
        <v/>
      </c>
      <c r="I1160" s="247" t="str">
        <f ca="1">IF(C1160="","",IF($I$11="毛利率",([1]!S_STM07_IS(D1160,9,$G$5,$H$13)-[1]!S_STM07_IS(D1160,10,$G$5,$H$13))/[1]!S_STM07_IS(D1160,9,$G$5,$H$13),[1]!S_STM07_IS(D1160,14,$G$5,$H$13)/$E$5))</f>
        <v/>
      </c>
      <c r="J1160" s="247" t="str">
        <f ca="1">IF(C1160="","",IF($J$11="营业利润率",[1]!S_STM07_IS(D1160,48,$G$5,$H$13)/[1]!S_STM07_IS(D1160,9,$G$5,$H$13),([1]!S_STM07_CS(D1160,87,$G$5,$H$13)+[1]!S_STM07_CS(D1160,88,$G$5,$H$13)+[1]!S_STM07_CS(D1160,89,$G$5,$H$13))/$E$5))</f>
        <v/>
      </c>
      <c r="K1160" s="247" t="str">
        <f ca="1">IF(C1160="","",IF($K$11="净利润率",[1]!S_STM07_IS(D1160,61,$G$5,$H$13)/[1]!S_STM07_IS(D1160,9,$G$5,$H$13),[1]!S_STM07_IS(D1160,55,$G$5,$H$13)/$E$5))</f>
        <v/>
      </c>
      <c r="L1160" s="247" t="str">
        <f ca="1">IF(C1160="","",IF($L$11="ROA",[1]!S_STM07_IS(D1160,61,$G$5,$H$13)/[1]!S_STM07_BS(D1160,74,$G$5,$H$13),1-[1]!S_STM07_IS(D1160,61,$G$5,$H$13)/[1]!S_STM07_IS(D1160,55,$G$5,$H$13)))</f>
        <v/>
      </c>
      <c r="M1160" s="247" t="str">
        <f ca="1">IF(C1160="","",IF($M$11="ROE",[1]!S_STM07_IS(D1160,61,$G$5,$H$13)/[1]!S_STM07_BS(D1160,141,$G$5,$H$13),([1]!S_STM07_BS(D1160,25,$G$5,$H$13)-[1]!S_STM07_BS(D1160,93,$G$5,$H$13))/$E$5))</f>
        <v/>
      </c>
      <c r="N1160" s="247" t="str">
        <f ca="1">IF(C1160="","",IF($N$11="EPS",[1]!S_STM07_IS(D1160,61,$G$5,$H$13)/IF([1]!S_SHARE_TOTAL(D1160,$G$5)=0,[1]!S_SHARE_TOTAL(D1160,[1]!s_ipo_listeddate(D1160)),[1]!S_SHARE_TOTAL(D1160,$G$5)),([1]!S_STM07_BS(D1160,75,$G$5,$H$13)+[1]!S_STM07_BS(D1160,88,$G$5,$H$13)+[1]!S_STM07_BS(D1160,94,$G$5,$H$13)+[1]!S_STM07_BS(D1160,95,$G$5,$H$13))/$E$5))</f>
        <v/>
      </c>
      <c r="O1160" s="247" t="str">
        <f ca="1">IF(C1160="","",IF($O$11="BPS",[1]!S_STM07_BS(D1160,141,$G$5,$H$13)/IF([1]!S_SHARE_TOTAL(D1160,$G$5)=0,[1]!S_SHARE_TOTAL(D1160,[1]!s_ipo_listeddate(D1160)),[1]!S_SHARE_TOTAL(D1160,$G$5)),[1]!S_STM07_CS(D1160,49,$G$5,$H$13)/$E$5))</f>
        <v/>
      </c>
      <c r="P1160" s="247" t="str">
        <f ca="1">IF(C1160="","",IF($P$11="CFPS",[1]!S_STM07_CS(D1160,84,$G$5,$H$13)/IF([1]!S_SHARE_TOTAL(D1160,$G$5)=0,[1]!S_SHARE_TOTAL(D1160,[1]!s_ipo_listeddate(D1160)),[1]!S_SHARE_TOTAL(D1160,$G$5)),[1]!S_STM07_CS(D1160,84,$G$5,$H$13)/$E$5))</f>
        <v/>
      </c>
      <c r="Q1160" s="248" t="str">
        <f ca="1">IF(C1160="","",F1160/([1]!S_STM07_IS(D1160,61,$G$5,$H$13)/IF([1]!S_SHARE_TOTAL(D1160,$G$5)=0,[1]!S_SHARE_TOTAL(D1160,[1]!s_ipo_listeddate(D1160)),[1]!S_SHARE_TOTAL(D1160,$G$5))))</f>
        <v/>
      </c>
      <c r="R1160" s="248" t="str">
        <f ca="1">IF(C1160="","",F1160/([1]!S_STM07_BS(D1160,141,$G$5,$H$13)/IF([1]!S_SHARE_TOTAL(D1160,$G$5)=0,[1]!S_SHARE_TOTAL(D1160,[1]!s_ipo_listeddate(D1160)),[1]!S_SHARE_TOTAL(D1160,$G$5))))</f>
        <v/>
      </c>
      <c r="S1160" s="247" t="str">
        <f ca="1">IF(C1160="","",[1]!S_SHARE_TOTAL(D1160,TODAY())/$E$5)</f>
        <v/>
      </c>
      <c r="T1160" s="247" t="str">
        <f t="shared" ca="1" si="115"/>
        <v/>
      </c>
      <c r="U1160" s="218" t="str">
        <f t="shared" ca="1" si="116"/>
        <v/>
      </c>
      <c r="V1160" s="342" t="str">
        <f t="shared" ca="1" si="117"/>
        <v/>
      </c>
      <c r="W1160" s="139"/>
      <c r="Y1160" s="1"/>
    </row>
    <row r="1161" spans="3:25" ht="12" customHeight="1">
      <c r="C1161" s="343" t="str">
        <f t="shared" ca="1" si="112"/>
        <v/>
      </c>
      <c r="D1161" s="124" t="str">
        <f t="shared" ca="1" si="113"/>
        <v/>
      </c>
      <c r="E1161" s="124" t="str">
        <f t="shared" ca="1" si="114"/>
        <v/>
      </c>
      <c r="F1161" s="172" t="str">
        <f ca="1">IF(C1161="","",[1]!S_DQ_CLOSE(D1161,TODAY(),1))</f>
        <v/>
      </c>
      <c r="G1161" s="173" t="str">
        <f ca="1">IF(C1161="","",[1]!s_pq_pctchange(D1161,TODAY()-$G$12,TODAY())/100)</f>
        <v/>
      </c>
      <c r="H1161" s="249" t="str">
        <f ca="1">IF(C1161="","",IF($H$11="收入",[1]!S_STM07_IS(D1161,9,$G$5,$H$13)/$E$5,[1]!S_STM07_IS(D1161,48,$G$5,$H$13)/$E$5))</f>
        <v/>
      </c>
      <c r="I1161" s="249" t="str">
        <f ca="1">IF(C1161="","",IF($I$11="毛利率",([1]!S_STM07_IS(D1161,9,$G$5,$H$13)-[1]!S_STM07_IS(D1161,10,$G$5,$H$13))/[1]!S_STM07_IS(D1161,9,$G$5,$H$13),[1]!S_STM07_IS(D1161,14,$G$5,$H$13)/$E$5))</f>
        <v/>
      </c>
      <c r="J1161" s="249" t="str">
        <f ca="1">IF(C1161="","",IF($J$11="营业利润率",[1]!S_STM07_IS(D1161,48,$G$5,$H$13)/[1]!S_STM07_IS(D1161,9,$G$5,$H$13),([1]!S_STM07_CS(D1161,87,$G$5,$H$13)+[1]!S_STM07_CS(D1161,88,$G$5,$H$13)+[1]!S_STM07_CS(D1161,89,$G$5,$H$13))/$E$5))</f>
        <v/>
      </c>
      <c r="K1161" s="249" t="str">
        <f ca="1">IF(C1161="","",IF($K$11="净利润率",[1]!S_STM07_IS(D1161,61,$G$5,$H$13)/[1]!S_STM07_IS(D1161,9,$G$5,$H$13),[1]!S_STM07_IS(D1161,55,$G$5,$H$13)/$E$5))</f>
        <v/>
      </c>
      <c r="L1161" s="249" t="str">
        <f ca="1">IF(C1161="","",IF($L$11="ROA",[1]!S_STM07_IS(D1161,61,$G$5,$H$13)/[1]!S_STM07_BS(D1161,74,$G$5,$H$13),1-[1]!S_STM07_IS(D1161,61,$G$5,$H$13)/[1]!S_STM07_IS(D1161,55,$G$5,$H$13)))</f>
        <v/>
      </c>
      <c r="M1161" s="249" t="str">
        <f ca="1">IF(C1161="","",IF($M$11="ROE",[1]!S_STM07_IS(D1161,61,$G$5,$H$13)/[1]!S_STM07_BS(D1161,141,$G$5,$H$13),([1]!S_STM07_BS(D1161,25,$G$5,$H$13)-[1]!S_STM07_BS(D1161,93,$G$5,$H$13))/$E$5))</f>
        <v/>
      </c>
      <c r="N1161" s="250" t="str">
        <f ca="1">IF(C1161="","",IF($N$11="EPS",[1]!S_STM07_IS(D1161,61,$G$5,$H$13)/IF([1]!S_SHARE_TOTAL(D1161,$G$5)=0,[1]!S_SHARE_TOTAL(D1161,[1]!s_ipo_listeddate(D1161)),[1]!S_SHARE_TOTAL(D1161,$G$5)),([1]!S_STM07_BS(D1161,75,$G$5,$H$13)+[1]!S_STM07_BS(D1161,88,$G$5,$H$13)+[1]!S_STM07_BS(D1161,94,$G$5,$H$13)+[1]!S_STM07_BS(D1161,95,$G$5,$H$13))/$E$5))</f>
        <v/>
      </c>
      <c r="O1161" s="250" t="str">
        <f ca="1">IF(C1161="","",IF($O$11="BPS",[1]!S_STM07_BS(D1161,141,$G$5,$H$13)/IF([1]!S_SHARE_TOTAL(D1161,$G$5)=0,[1]!S_SHARE_TOTAL(D1161,[1]!s_ipo_listeddate(D1161)),[1]!S_SHARE_TOTAL(D1161,$G$5)),[1]!S_STM07_CS(D1161,49,$G$5,$H$13)/$E$5))</f>
        <v/>
      </c>
      <c r="P1161" s="250" t="str">
        <f ca="1">IF(C1161="","",IF($P$11="CFPS",[1]!S_STM07_CS(D1161,84,$G$5,$H$13)/IF([1]!S_SHARE_TOTAL(D1161,$G$5)=0,[1]!S_SHARE_TOTAL(D1161,[1]!s_ipo_listeddate(D1161)),[1]!S_SHARE_TOTAL(D1161,$G$5)),[1]!S_STM07_CS(D1161,84,$G$5,$H$13)/$E$5))</f>
        <v/>
      </c>
      <c r="Q1161" s="198" t="str">
        <f ca="1">IF(C1161="","",F1161/([1]!S_STM07_IS(D1161,61,$G$5,$H$13)/IF([1]!S_SHARE_TOTAL(D1161,$G$5)=0,[1]!S_SHARE_TOTAL(D1161,[1]!s_ipo_listeddate(D1161)),[1]!S_SHARE_TOTAL(D1161,$G$5))))</f>
        <v/>
      </c>
      <c r="R1161" s="198" t="str">
        <f ca="1">IF(C1161="","",F1161/([1]!S_STM07_BS(D1161,141,$G$5,$H$13)/IF([1]!S_SHARE_TOTAL(D1161,$G$5)=0,[1]!S_SHARE_TOTAL(D1161,[1]!s_ipo_listeddate(D1161)),[1]!S_SHARE_TOTAL(D1161,$G$5))))</f>
        <v/>
      </c>
      <c r="S1161" s="249" t="str">
        <f ca="1">IF(C1161="","",[1]!S_SHARE_TOTAL(D1161,TODAY())/$E$5)</f>
        <v/>
      </c>
      <c r="T1161" s="249" t="str">
        <f t="shared" ca="1" si="115"/>
        <v/>
      </c>
      <c r="U1161" s="172" t="str">
        <f t="shared" ca="1" si="116"/>
        <v/>
      </c>
      <c r="V1161" s="343" t="str">
        <f t="shared" ca="1" si="117"/>
        <v/>
      </c>
      <c r="W1161" s="139"/>
      <c r="Y1161" s="1"/>
    </row>
    <row r="1162" spans="3:25" ht="12" customHeight="1">
      <c r="C1162" s="342" t="str">
        <f t="shared" ca="1" si="112"/>
        <v/>
      </c>
      <c r="D1162" s="153" t="str">
        <f t="shared" ca="1" si="113"/>
        <v/>
      </c>
      <c r="E1162" s="153" t="str">
        <f t="shared" ca="1" si="114"/>
        <v/>
      </c>
      <c r="F1162" s="170" t="str">
        <f ca="1">IF(C1162="","",[1]!S_DQ_CLOSE(D1162,TODAY(),1))</f>
        <v/>
      </c>
      <c r="G1162" s="171" t="str">
        <f ca="1">IF(C1162="","",[1]!s_pq_pctchange(D1162,TODAY()-$G$12,TODAY())/100)</f>
        <v/>
      </c>
      <c r="H1162" s="247" t="str">
        <f ca="1">IF(C1162="","",IF($H$11="收入",[1]!S_STM07_IS(D1162,9,$G$5,$H$13)/$E$5,[1]!S_STM07_IS(D1162,48,$G$5,$H$13)/$E$5))</f>
        <v/>
      </c>
      <c r="I1162" s="247" t="str">
        <f ca="1">IF(C1162="","",IF($I$11="毛利率",([1]!S_STM07_IS(D1162,9,$G$5,$H$13)-[1]!S_STM07_IS(D1162,10,$G$5,$H$13))/[1]!S_STM07_IS(D1162,9,$G$5,$H$13),[1]!S_STM07_IS(D1162,14,$G$5,$H$13)/$E$5))</f>
        <v/>
      </c>
      <c r="J1162" s="247" t="str">
        <f ca="1">IF(C1162="","",IF($J$11="营业利润率",[1]!S_STM07_IS(D1162,48,$G$5,$H$13)/[1]!S_STM07_IS(D1162,9,$G$5,$H$13),([1]!S_STM07_CS(D1162,87,$G$5,$H$13)+[1]!S_STM07_CS(D1162,88,$G$5,$H$13)+[1]!S_STM07_CS(D1162,89,$G$5,$H$13))/$E$5))</f>
        <v/>
      </c>
      <c r="K1162" s="247" t="str">
        <f ca="1">IF(C1162="","",IF($K$11="净利润率",[1]!S_STM07_IS(D1162,61,$G$5,$H$13)/[1]!S_STM07_IS(D1162,9,$G$5,$H$13),[1]!S_STM07_IS(D1162,55,$G$5,$H$13)/$E$5))</f>
        <v/>
      </c>
      <c r="L1162" s="247" t="str">
        <f ca="1">IF(C1162="","",IF($L$11="ROA",[1]!S_STM07_IS(D1162,61,$G$5,$H$13)/[1]!S_STM07_BS(D1162,74,$G$5,$H$13),1-[1]!S_STM07_IS(D1162,61,$G$5,$H$13)/[1]!S_STM07_IS(D1162,55,$G$5,$H$13)))</f>
        <v/>
      </c>
      <c r="M1162" s="247" t="str">
        <f ca="1">IF(C1162="","",IF($M$11="ROE",[1]!S_STM07_IS(D1162,61,$G$5,$H$13)/[1]!S_STM07_BS(D1162,141,$G$5,$H$13),([1]!S_STM07_BS(D1162,25,$G$5,$H$13)-[1]!S_STM07_BS(D1162,93,$G$5,$H$13))/$E$5))</f>
        <v/>
      </c>
      <c r="N1162" s="247" t="str">
        <f ca="1">IF(C1162="","",IF($N$11="EPS",[1]!S_STM07_IS(D1162,61,$G$5,$H$13)/IF([1]!S_SHARE_TOTAL(D1162,$G$5)=0,[1]!S_SHARE_TOTAL(D1162,[1]!s_ipo_listeddate(D1162)),[1]!S_SHARE_TOTAL(D1162,$G$5)),([1]!S_STM07_BS(D1162,75,$G$5,$H$13)+[1]!S_STM07_BS(D1162,88,$G$5,$H$13)+[1]!S_STM07_BS(D1162,94,$G$5,$H$13)+[1]!S_STM07_BS(D1162,95,$G$5,$H$13))/$E$5))</f>
        <v/>
      </c>
      <c r="O1162" s="247" t="str">
        <f ca="1">IF(C1162="","",IF($O$11="BPS",[1]!S_STM07_BS(D1162,141,$G$5,$H$13)/IF([1]!S_SHARE_TOTAL(D1162,$G$5)=0,[1]!S_SHARE_TOTAL(D1162,[1]!s_ipo_listeddate(D1162)),[1]!S_SHARE_TOTAL(D1162,$G$5)),[1]!S_STM07_CS(D1162,49,$G$5,$H$13)/$E$5))</f>
        <v/>
      </c>
      <c r="P1162" s="247" t="str">
        <f ca="1">IF(C1162="","",IF($P$11="CFPS",[1]!S_STM07_CS(D1162,84,$G$5,$H$13)/IF([1]!S_SHARE_TOTAL(D1162,$G$5)=0,[1]!S_SHARE_TOTAL(D1162,[1]!s_ipo_listeddate(D1162)),[1]!S_SHARE_TOTAL(D1162,$G$5)),[1]!S_STM07_CS(D1162,84,$G$5,$H$13)/$E$5))</f>
        <v/>
      </c>
      <c r="Q1162" s="248" t="str">
        <f ca="1">IF(C1162="","",F1162/([1]!S_STM07_IS(D1162,61,$G$5,$H$13)/IF([1]!S_SHARE_TOTAL(D1162,$G$5)=0,[1]!S_SHARE_TOTAL(D1162,[1]!s_ipo_listeddate(D1162)),[1]!S_SHARE_TOTAL(D1162,$G$5))))</f>
        <v/>
      </c>
      <c r="R1162" s="248" t="str">
        <f ca="1">IF(C1162="","",F1162/([1]!S_STM07_BS(D1162,141,$G$5,$H$13)/IF([1]!S_SHARE_TOTAL(D1162,$G$5)=0,[1]!S_SHARE_TOTAL(D1162,[1]!s_ipo_listeddate(D1162)),[1]!S_SHARE_TOTAL(D1162,$G$5))))</f>
        <v/>
      </c>
      <c r="S1162" s="247" t="str">
        <f ca="1">IF(C1162="","",[1]!S_SHARE_TOTAL(D1162,TODAY())/$E$5)</f>
        <v/>
      </c>
      <c r="T1162" s="247" t="str">
        <f t="shared" ca="1" si="115"/>
        <v/>
      </c>
      <c r="U1162" s="218" t="str">
        <f t="shared" ca="1" si="116"/>
        <v/>
      </c>
      <c r="V1162" s="342" t="str">
        <f t="shared" ca="1" si="117"/>
        <v/>
      </c>
      <c r="W1162" s="139"/>
      <c r="Y1162" s="1"/>
    </row>
    <row r="1163" spans="3:25" ht="12" customHeight="1">
      <c r="C1163" s="343" t="str">
        <f t="shared" ca="1" si="112"/>
        <v/>
      </c>
      <c r="D1163" s="124" t="str">
        <f t="shared" ca="1" si="113"/>
        <v/>
      </c>
      <c r="E1163" s="124" t="str">
        <f t="shared" ca="1" si="114"/>
        <v/>
      </c>
      <c r="F1163" s="172" t="str">
        <f ca="1">IF(C1163="","",[1]!S_DQ_CLOSE(D1163,TODAY(),1))</f>
        <v/>
      </c>
      <c r="G1163" s="173" t="str">
        <f ca="1">IF(C1163="","",[1]!s_pq_pctchange(D1163,TODAY()-$G$12,TODAY())/100)</f>
        <v/>
      </c>
      <c r="H1163" s="249" t="str">
        <f ca="1">IF(C1163="","",IF($H$11="收入",[1]!S_STM07_IS(D1163,9,$G$5,$H$13)/$E$5,[1]!S_STM07_IS(D1163,48,$G$5,$H$13)/$E$5))</f>
        <v/>
      </c>
      <c r="I1163" s="249" t="str">
        <f ca="1">IF(C1163="","",IF($I$11="毛利率",([1]!S_STM07_IS(D1163,9,$G$5,$H$13)-[1]!S_STM07_IS(D1163,10,$G$5,$H$13))/[1]!S_STM07_IS(D1163,9,$G$5,$H$13),[1]!S_STM07_IS(D1163,14,$G$5,$H$13)/$E$5))</f>
        <v/>
      </c>
      <c r="J1163" s="249" t="str">
        <f ca="1">IF(C1163="","",IF($J$11="营业利润率",[1]!S_STM07_IS(D1163,48,$G$5,$H$13)/[1]!S_STM07_IS(D1163,9,$G$5,$H$13),([1]!S_STM07_CS(D1163,87,$G$5,$H$13)+[1]!S_STM07_CS(D1163,88,$G$5,$H$13)+[1]!S_STM07_CS(D1163,89,$G$5,$H$13))/$E$5))</f>
        <v/>
      </c>
      <c r="K1163" s="249" t="str">
        <f ca="1">IF(C1163="","",IF($K$11="净利润率",[1]!S_STM07_IS(D1163,61,$G$5,$H$13)/[1]!S_STM07_IS(D1163,9,$G$5,$H$13),[1]!S_STM07_IS(D1163,55,$G$5,$H$13)/$E$5))</f>
        <v/>
      </c>
      <c r="L1163" s="249" t="str">
        <f ca="1">IF(C1163="","",IF($L$11="ROA",[1]!S_STM07_IS(D1163,61,$G$5,$H$13)/[1]!S_STM07_BS(D1163,74,$G$5,$H$13),1-[1]!S_STM07_IS(D1163,61,$G$5,$H$13)/[1]!S_STM07_IS(D1163,55,$G$5,$H$13)))</f>
        <v/>
      </c>
      <c r="M1163" s="249" t="str">
        <f ca="1">IF(C1163="","",IF($M$11="ROE",[1]!S_STM07_IS(D1163,61,$G$5,$H$13)/[1]!S_STM07_BS(D1163,141,$G$5,$H$13),([1]!S_STM07_BS(D1163,25,$G$5,$H$13)-[1]!S_STM07_BS(D1163,93,$G$5,$H$13))/$E$5))</f>
        <v/>
      </c>
      <c r="N1163" s="250" t="str">
        <f ca="1">IF(C1163="","",IF($N$11="EPS",[1]!S_STM07_IS(D1163,61,$G$5,$H$13)/IF([1]!S_SHARE_TOTAL(D1163,$G$5)=0,[1]!S_SHARE_TOTAL(D1163,[1]!s_ipo_listeddate(D1163)),[1]!S_SHARE_TOTAL(D1163,$G$5)),([1]!S_STM07_BS(D1163,75,$G$5,$H$13)+[1]!S_STM07_BS(D1163,88,$G$5,$H$13)+[1]!S_STM07_BS(D1163,94,$G$5,$H$13)+[1]!S_STM07_BS(D1163,95,$G$5,$H$13))/$E$5))</f>
        <v/>
      </c>
      <c r="O1163" s="250" t="str">
        <f ca="1">IF(C1163="","",IF($O$11="BPS",[1]!S_STM07_BS(D1163,141,$G$5,$H$13)/IF([1]!S_SHARE_TOTAL(D1163,$G$5)=0,[1]!S_SHARE_TOTAL(D1163,[1]!s_ipo_listeddate(D1163)),[1]!S_SHARE_TOTAL(D1163,$G$5)),[1]!S_STM07_CS(D1163,49,$G$5,$H$13)/$E$5))</f>
        <v/>
      </c>
      <c r="P1163" s="250" t="str">
        <f ca="1">IF(C1163="","",IF($P$11="CFPS",[1]!S_STM07_CS(D1163,84,$G$5,$H$13)/IF([1]!S_SHARE_TOTAL(D1163,$G$5)=0,[1]!S_SHARE_TOTAL(D1163,[1]!s_ipo_listeddate(D1163)),[1]!S_SHARE_TOTAL(D1163,$G$5)),[1]!S_STM07_CS(D1163,84,$G$5,$H$13)/$E$5))</f>
        <v/>
      </c>
      <c r="Q1163" s="198" t="str">
        <f ca="1">IF(C1163="","",F1163/([1]!S_STM07_IS(D1163,61,$G$5,$H$13)/IF([1]!S_SHARE_TOTAL(D1163,$G$5)=0,[1]!S_SHARE_TOTAL(D1163,[1]!s_ipo_listeddate(D1163)),[1]!S_SHARE_TOTAL(D1163,$G$5))))</f>
        <v/>
      </c>
      <c r="R1163" s="198" t="str">
        <f ca="1">IF(C1163="","",F1163/([1]!S_STM07_BS(D1163,141,$G$5,$H$13)/IF([1]!S_SHARE_TOTAL(D1163,$G$5)=0,[1]!S_SHARE_TOTAL(D1163,[1]!s_ipo_listeddate(D1163)),[1]!S_SHARE_TOTAL(D1163,$G$5))))</f>
        <v/>
      </c>
      <c r="S1163" s="249" t="str">
        <f ca="1">IF(C1163="","",[1]!S_SHARE_TOTAL(D1163,TODAY())/$E$5)</f>
        <v/>
      </c>
      <c r="T1163" s="249" t="str">
        <f t="shared" ca="1" si="115"/>
        <v/>
      </c>
      <c r="U1163" s="172" t="str">
        <f t="shared" ca="1" si="116"/>
        <v/>
      </c>
      <c r="V1163" s="343" t="str">
        <f t="shared" ca="1" si="117"/>
        <v/>
      </c>
      <c r="W1163" s="139"/>
      <c r="Y1163" s="1"/>
    </row>
    <row r="1164" spans="3:25" ht="12" customHeight="1">
      <c r="C1164" s="342" t="str">
        <f t="shared" ca="1" si="112"/>
        <v/>
      </c>
      <c r="D1164" s="153" t="str">
        <f t="shared" ca="1" si="113"/>
        <v/>
      </c>
      <c r="E1164" s="153" t="str">
        <f t="shared" ca="1" si="114"/>
        <v/>
      </c>
      <c r="F1164" s="170" t="str">
        <f ca="1">IF(C1164="","",[1]!S_DQ_CLOSE(D1164,TODAY(),1))</f>
        <v/>
      </c>
      <c r="G1164" s="171" t="str">
        <f ca="1">IF(C1164="","",[1]!s_pq_pctchange(D1164,TODAY()-$G$12,TODAY())/100)</f>
        <v/>
      </c>
      <c r="H1164" s="247" t="str">
        <f ca="1">IF(C1164="","",IF($H$11="收入",[1]!S_STM07_IS(D1164,9,$G$5,$H$13)/$E$5,[1]!S_STM07_IS(D1164,48,$G$5,$H$13)/$E$5))</f>
        <v/>
      </c>
      <c r="I1164" s="247" t="str">
        <f ca="1">IF(C1164="","",IF($I$11="毛利率",([1]!S_STM07_IS(D1164,9,$G$5,$H$13)-[1]!S_STM07_IS(D1164,10,$G$5,$H$13))/[1]!S_STM07_IS(D1164,9,$G$5,$H$13),[1]!S_STM07_IS(D1164,14,$G$5,$H$13)/$E$5))</f>
        <v/>
      </c>
      <c r="J1164" s="247" t="str">
        <f ca="1">IF(C1164="","",IF($J$11="营业利润率",[1]!S_STM07_IS(D1164,48,$G$5,$H$13)/[1]!S_STM07_IS(D1164,9,$G$5,$H$13),([1]!S_STM07_CS(D1164,87,$G$5,$H$13)+[1]!S_STM07_CS(D1164,88,$G$5,$H$13)+[1]!S_STM07_CS(D1164,89,$G$5,$H$13))/$E$5))</f>
        <v/>
      </c>
      <c r="K1164" s="247" t="str">
        <f ca="1">IF(C1164="","",IF($K$11="净利润率",[1]!S_STM07_IS(D1164,61,$G$5,$H$13)/[1]!S_STM07_IS(D1164,9,$G$5,$H$13),[1]!S_STM07_IS(D1164,55,$G$5,$H$13)/$E$5))</f>
        <v/>
      </c>
      <c r="L1164" s="247" t="str">
        <f ca="1">IF(C1164="","",IF($L$11="ROA",[1]!S_STM07_IS(D1164,61,$G$5,$H$13)/[1]!S_STM07_BS(D1164,74,$G$5,$H$13),1-[1]!S_STM07_IS(D1164,61,$G$5,$H$13)/[1]!S_STM07_IS(D1164,55,$G$5,$H$13)))</f>
        <v/>
      </c>
      <c r="M1164" s="247" t="str">
        <f ca="1">IF(C1164="","",IF($M$11="ROE",[1]!S_STM07_IS(D1164,61,$G$5,$H$13)/[1]!S_STM07_BS(D1164,141,$G$5,$H$13),([1]!S_STM07_BS(D1164,25,$G$5,$H$13)-[1]!S_STM07_BS(D1164,93,$G$5,$H$13))/$E$5))</f>
        <v/>
      </c>
      <c r="N1164" s="247" t="str">
        <f ca="1">IF(C1164="","",IF($N$11="EPS",[1]!S_STM07_IS(D1164,61,$G$5,$H$13)/IF([1]!S_SHARE_TOTAL(D1164,$G$5)=0,[1]!S_SHARE_TOTAL(D1164,[1]!s_ipo_listeddate(D1164)),[1]!S_SHARE_TOTAL(D1164,$G$5)),([1]!S_STM07_BS(D1164,75,$G$5,$H$13)+[1]!S_STM07_BS(D1164,88,$G$5,$H$13)+[1]!S_STM07_BS(D1164,94,$G$5,$H$13)+[1]!S_STM07_BS(D1164,95,$G$5,$H$13))/$E$5))</f>
        <v/>
      </c>
      <c r="O1164" s="247" t="str">
        <f ca="1">IF(C1164="","",IF($O$11="BPS",[1]!S_STM07_BS(D1164,141,$G$5,$H$13)/IF([1]!S_SHARE_TOTAL(D1164,$G$5)=0,[1]!S_SHARE_TOTAL(D1164,[1]!s_ipo_listeddate(D1164)),[1]!S_SHARE_TOTAL(D1164,$G$5)),[1]!S_STM07_CS(D1164,49,$G$5,$H$13)/$E$5))</f>
        <v/>
      </c>
      <c r="P1164" s="247" t="str">
        <f ca="1">IF(C1164="","",IF($P$11="CFPS",[1]!S_STM07_CS(D1164,84,$G$5,$H$13)/IF([1]!S_SHARE_TOTAL(D1164,$G$5)=0,[1]!S_SHARE_TOTAL(D1164,[1]!s_ipo_listeddate(D1164)),[1]!S_SHARE_TOTAL(D1164,$G$5)),[1]!S_STM07_CS(D1164,84,$G$5,$H$13)/$E$5))</f>
        <v/>
      </c>
      <c r="Q1164" s="248" t="str">
        <f ca="1">IF(C1164="","",F1164/([1]!S_STM07_IS(D1164,61,$G$5,$H$13)/IF([1]!S_SHARE_TOTAL(D1164,$G$5)=0,[1]!S_SHARE_TOTAL(D1164,[1]!s_ipo_listeddate(D1164)),[1]!S_SHARE_TOTAL(D1164,$G$5))))</f>
        <v/>
      </c>
      <c r="R1164" s="248" t="str">
        <f ca="1">IF(C1164="","",F1164/([1]!S_STM07_BS(D1164,141,$G$5,$H$13)/IF([1]!S_SHARE_TOTAL(D1164,$G$5)=0,[1]!S_SHARE_TOTAL(D1164,[1]!s_ipo_listeddate(D1164)),[1]!S_SHARE_TOTAL(D1164,$G$5))))</f>
        <v/>
      </c>
      <c r="S1164" s="247" t="str">
        <f ca="1">IF(C1164="","",[1]!S_SHARE_TOTAL(D1164,TODAY())/$E$5)</f>
        <v/>
      </c>
      <c r="T1164" s="247" t="str">
        <f t="shared" ca="1" si="115"/>
        <v/>
      </c>
      <c r="U1164" s="218" t="str">
        <f t="shared" ca="1" si="116"/>
        <v/>
      </c>
      <c r="V1164" s="342" t="str">
        <f t="shared" ca="1" si="117"/>
        <v/>
      </c>
      <c r="W1164" s="139"/>
      <c r="Y1164" s="1"/>
    </row>
    <row r="1165" spans="3:25" ht="12" customHeight="1">
      <c r="C1165" s="343" t="str">
        <f t="shared" ca="1" si="112"/>
        <v/>
      </c>
      <c r="D1165" s="124" t="str">
        <f t="shared" ca="1" si="113"/>
        <v/>
      </c>
      <c r="E1165" s="124" t="str">
        <f t="shared" ca="1" si="114"/>
        <v/>
      </c>
      <c r="F1165" s="172" t="str">
        <f ca="1">IF(C1165="","",[1]!S_DQ_CLOSE(D1165,TODAY(),1))</f>
        <v/>
      </c>
      <c r="G1165" s="173" t="str">
        <f ca="1">IF(C1165="","",[1]!s_pq_pctchange(D1165,TODAY()-$G$12,TODAY())/100)</f>
        <v/>
      </c>
      <c r="H1165" s="249" t="str">
        <f ca="1">IF(C1165="","",IF($H$11="收入",[1]!S_STM07_IS(D1165,9,$G$5,$H$13)/$E$5,[1]!S_STM07_IS(D1165,48,$G$5,$H$13)/$E$5))</f>
        <v/>
      </c>
      <c r="I1165" s="249" t="str">
        <f ca="1">IF(C1165="","",IF($I$11="毛利率",([1]!S_STM07_IS(D1165,9,$G$5,$H$13)-[1]!S_STM07_IS(D1165,10,$G$5,$H$13))/[1]!S_STM07_IS(D1165,9,$G$5,$H$13),[1]!S_STM07_IS(D1165,14,$G$5,$H$13)/$E$5))</f>
        <v/>
      </c>
      <c r="J1165" s="249" t="str">
        <f ca="1">IF(C1165="","",IF($J$11="营业利润率",[1]!S_STM07_IS(D1165,48,$G$5,$H$13)/[1]!S_STM07_IS(D1165,9,$G$5,$H$13),([1]!S_STM07_CS(D1165,87,$G$5,$H$13)+[1]!S_STM07_CS(D1165,88,$G$5,$H$13)+[1]!S_STM07_CS(D1165,89,$G$5,$H$13))/$E$5))</f>
        <v/>
      </c>
      <c r="K1165" s="249" t="str">
        <f ca="1">IF(C1165="","",IF($K$11="净利润率",[1]!S_STM07_IS(D1165,61,$G$5,$H$13)/[1]!S_STM07_IS(D1165,9,$G$5,$H$13),[1]!S_STM07_IS(D1165,55,$G$5,$H$13)/$E$5))</f>
        <v/>
      </c>
      <c r="L1165" s="249" t="str">
        <f ca="1">IF(C1165="","",IF($L$11="ROA",[1]!S_STM07_IS(D1165,61,$G$5,$H$13)/[1]!S_STM07_BS(D1165,74,$G$5,$H$13),1-[1]!S_STM07_IS(D1165,61,$G$5,$H$13)/[1]!S_STM07_IS(D1165,55,$G$5,$H$13)))</f>
        <v/>
      </c>
      <c r="M1165" s="249" t="str">
        <f ca="1">IF(C1165="","",IF($M$11="ROE",[1]!S_STM07_IS(D1165,61,$G$5,$H$13)/[1]!S_STM07_BS(D1165,141,$G$5,$H$13),([1]!S_STM07_BS(D1165,25,$G$5,$H$13)-[1]!S_STM07_BS(D1165,93,$G$5,$H$13))/$E$5))</f>
        <v/>
      </c>
      <c r="N1165" s="250" t="str">
        <f ca="1">IF(C1165="","",IF($N$11="EPS",[1]!S_STM07_IS(D1165,61,$G$5,$H$13)/IF([1]!S_SHARE_TOTAL(D1165,$G$5)=0,[1]!S_SHARE_TOTAL(D1165,[1]!s_ipo_listeddate(D1165)),[1]!S_SHARE_TOTAL(D1165,$G$5)),([1]!S_STM07_BS(D1165,75,$G$5,$H$13)+[1]!S_STM07_BS(D1165,88,$G$5,$H$13)+[1]!S_STM07_BS(D1165,94,$G$5,$H$13)+[1]!S_STM07_BS(D1165,95,$G$5,$H$13))/$E$5))</f>
        <v/>
      </c>
      <c r="O1165" s="250" t="str">
        <f ca="1">IF(C1165="","",IF($O$11="BPS",[1]!S_STM07_BS(D1165,141,$G$5,$H$13)/IF([1]!S_SHARE_TOTAL(D1165,$G$5)=0,[1]!S_SHARE_TOTAL(D1165,[1]!s_ipo_listeddate(D1165)),[1]!S_SHARE_TOTAL(D1165,$G$5)),[1]!S_STM07_CS(D1165,49,$G$5,$H$13)/$E$5))</f>
        <v/>
      </c>
      <c r="P1165" s="250" t="str">
        <f ca="1">IF(C1165="","",IF($P$11="CFPS",[1]!S_STM07_CS(D1165,84,$G$5,$H$13)/IF([1]!S_SHARE_TOTAL(D1165,$G$5)=0,[1]!S_SHARE_TOTAL(D1165,[1]!s_ipo_listeddate(D1165)),[1]!S_SHARE_TOTAL(D1165,$G$5)),[1]!S_STM07_CS(D1165,84,$G$5,$H$13)/$E$5))</f>
        <v/>
      </c>
      <c r="Q1165" s="198" t="str">
        <f ca="1">IF(C1165="","",F1165/([1]!S_STM07_IS(D1165,61,$G$5,$H$13)/IF([1]!S_SHARE_TOTAL(D1165,$G$5)=0,[1]!S_SHARE_TOTAL(D1165,[1]!s_ipo_listeddate(D1165)),[1]!S_SHARE_TOTAL(D1165,$G$5))))</f>
        <v/>
      </c>
      <c r="R1165" s="198" t="str">
        <f ca="1">IF(C1165="","",F1165/([1]!S_STM07_BS(D1165,141,$G$5,$H$13)/IF([1]!S_SHARE_TOTAL(D1165,$G$5)=0,[1]!S_SHARE_TOTAL(D1165,[1]!s_ipo_listeddate(D1165)),[1]!S_SHARE_TOTAL(D1165,$G$5))))</f>
        <v/>
      </c>
      <c r="S1165" s="249" t="str">
        <f ca="1">IF(C1165="","",[1]!S_SHARE_TOTAL(D1165,TODAY())/$E$5)</f>
        <v/>
      </c>
      <c r="T1165" s="249" t="str">
        <f t="shared" ca="1" si="115"/>
        <v/>
      </c>
      <c r="U1165" s="172" t="str">
        <f t="shared" ca="1" si="116"/>
        <v/>
      </c>
      <c r="V1165" s="343" t="str">
        <f t="shared" ca="1" si="117"/>
        <v/>
      </c>
      <c r="W1165" s="139"/>
      <c r="Y1165" s="1"/>
    </row>
    <row r="1166" spans="3:25" ht="12" customHeight="1">
      <c r="C1166" s="342" t="str">
        <f t="shared" ref="C1166:C1229" ca="1" si="118">IF(ROW()-13&lt;=MAX(series),ROW()-13,"")</f>
        <v/>
      </c>
      <c r="D1166" s="153" t="str">
        <f t="shared" ca="1" si="113"/>
        <v/>
      </c>
      <c r="E1166" s="153" t="str">
        <f t="shared" ca="1" si="114"/>
        <v/>
      </c>
      <c r="F1166" s="170" t="str">
        <f ca="1">IF(C1166="","",[1]!S_DQ_CLOSE(D1166,TODAY(),1))</f>
        <v/>
      </c>
      <c r="G1166" s="171" t="str">
        <f ca="1">IF(C1166="","",[1]!s_pq_pctchange(D1166,TODAY()-$G$12,TODAY())/100)</f>
        <v/>
      </c>
      <c r="H1166" s="247" t="str">
        <f ca="1">IF(C1166="","",IF($H$11="收入",[1]!S_STM07_IS(D1166,9,$G$5,$H$13)/$E$5,[1]!S_STM07_IS(D1166,48,$G$5,$H$13)/$E$5))</f>
        <v/>
      </c>
      <c r="I1166" s="247" t="str">
        <f ca="1">IF(C1166="","",IF($I$11="毛利率",([1]!S_STM07_IS(D1166,9,$G$5,$H$13)-[1]!S_STM07_IS(D1166,10,$G$5,$H$13))/[1]!S_STM07_IS(D1166,9,$G$5,$H$13),[1]!S_STM07_IS(D1166,14,$G$5,$H$13)/$E$5))</f>
        <v/>
      </c>
      <c r="J1166" s="247" t="str">
        <f ca="1">IF(C1166="","",IF($J$11="营业利润率",[1]!S_STM07_IS(D1166,48,$G$5,$H$13)/[1]!S_STM07_IS(D1166,9,$G$5,$H$13),([1]!S_STM07_CS(D1166,87,$G$5,$H$13)+[1]!S_STM07_CS(D1166,88,$G$5,$H$13)+[1]!S_STM07_CS(D1166,89,$G$5,$H$13))/$E$5))</f>
        <v/>
      </c>
      <c r="K1166" s="247" t="str">
        <f ca="1">IF(C1166="","",IF($K$11="净利润率",[1]!S_STM07_IS(D1166,61,$G$5,$H$13)/[1]!S_STM07_IS(D1166,9,$G$5,$H$13),[1]!S_STM07_IS(D1166,55,$G$5,$H$13)/$E$5))</f>
        <v/>
      </c>
      <c r="L1166" s="247" t="str">
        <f ca="1">IF(C1166="","",IF($L$11="ROA",[1]!S_STM07_IS(D1166,61,$G$5,$H$13)/[1]!S_STM07_BS(D1166,74,$G$5,$H$13),1-[1]!S_STM07_IS(D1166,61,$G$5,$H$13)/[1]!S_STM07_IS(D1166,55,$G$5,$H$13)))</f>
        <v/>
      </c>
      <c r="M1166" s="247" t="str">
        <f ca="1">IF(C1166="","",IF($M$11="ROE",[1]!S_STM07_IS(D1166,61,$G$5,$H$13)/[1]!S_STM07_BS(D1166,141,$G$5,$H$13),([1]!S_STM07_BS(D1166,25,$G$5,$H$13)-[1]!S_STM07_BS(D1166,93,$G$5,$H$13))/$E$5))</f>
        <v/>
      </c>
      <c r="N1166" s="247" t="str">
        <f ca="1">IF(C1166="","",IF($N$11="EPS",[1]!S_STM07_IS(D1166,61,$G$5,$H$13)/IF([1]!S_SHARE_TOTAL(D1166,$G$5)=0,[1]!S_SHARE_TOTAL(D1166,[1]!s_ipo_listeddate(D1166)),[1]!S_SHARE_TOTAL(D1166,$G$5)),([1]!S_STM07_BS(D1166,75,$G$5,$H$13)+[1]!S_STM07_BS(D1166,88,$G$5,$H$13)+[1]!S_STM07_BS(D1166,94,$G$5,$H$13)+[1]!S_STM07_BS(D1166,95,$G$5,$H$13))/$E$5))</f>
        <v/>
      </c>
      <c r="O1166" s="247" t="str">
        <f ca="1">IF(C1166="","",IF($O$11="BPS",[1]!S_STM07_BS(D1166,141,$G$5,$H$13)/IF([1]!S_SHARE_TOTAL(D1166,$G$5)=0,[1]!S_SHARE_TOTAL(D1166,[1]!s_ipo_listeddate(D1166)),[1]!S_SHARE_TOTAL(D1166,$G$5)),[1]!S_STM07_CS(D1166,49,$G$5,$H$13)/$E$5))</f>
        <v/>
      </c>
      <c r="P1166" s="247" t="str">
        <f ca="1">IF(C1166="","",IF($P$11="CFPS",[1]!S_STM07_CS(D1166,84,$G$5,$H$13)/IF([1]!S_SHARE_TOTAL(D1166,$G$5)=0,[1]!S_SHARE_TOTAL(D1166,[1]!s_ipo_listeddate(D1166)),[1]!S_SHARE_TOTAL(D1166,$G$5)),[1]!S_STM07_CS(D1166,84,$G$5,$H$13)/$E$5))</f>
        <v/>
      </c>
      <c r="Q1166" s="248" t="str">
        <f ca="1">IF(C1166="","",F1166/([1]!S_STM07_IS(D1166,61,$G$5,$H$13)/IF([1]!S_SHARE_TOTAL(D1166,$G$5)=0,[1]!S_SHARE_TOTAL(D1166,[1]!s_ipo_listeddate(D1166)),[1]!S_SHARE_TOTAL(D1166,$G$5))))</f>
        <v/>
      </c>
      <c r="R1166" s="248" t="str">
        <f ca="1">IF(C1166="","",F1166/([1]!S_STM07_BS(D1166,141,$G$5,$H$13)/IF([1]!S_SHARE_TOTAL(D1166,$G$5)=0,[1]!S_SHARE_TOTAL(D1166,[1]!s_ipo_listeddate(D1166)),[1]!S_SHARE_TOTAL(D1166,$G$5))))</f>
        <v/>
      </c>
      <c r="S1166" s="247" t="str">
        <f ca="1">IF(C1166="","",[1]!S_SHARE_TOTAL(D1166,TODAY())/$E$5)</f>
        <v/>
      </c>
      <c r="T1166" s="247" t="str">
        <f t="shared" ca="1" si="115"/>
        <v/>
      </c>
      <c r="U1166" s="218" t="str">
        <f t="shared" ca="1" si="116"/>
        <v/>
      </c>
      <c r="V1166" s="342" t="str">
        <f t="shared" ca="1" si="117"/>
        <v/>
      </c>
      <c r="W1166" s="139"/>
      <c r="Y1166" s="1"/>
    </row>
    <row r="1167" spans="3:25" ht="12" customHeight="1">
      <c r="C1167" s="343" t="str">
        <f t="shared" ca="1" si="118"/>
        <v/>
      </c>
      <c r="D1167" s="124" t="str">
        <f t="shared" ca="1" si="113"/>
        <v/>
      </c>
      <c r="E1167" s="124" t="str">
        <f t="shared" ca="1" si="114"/>
        <v/>
      </c>
      <c r="F1167" s="172" t="str">
        <f ca="1">IF(C1167="","",[1]!S_DQ_CLOSE(D1167,TODAY(),1))</f>
        <v/>
      </c>
      <c r="G1167" s="173" t="str">
        <f ca="1">IF(C1167="","",[1]!s_pq_pctchange(D1167,TODAY()-$G$12,TODAY())/100)</f>
        <v/>
      </c>
      <c r="H1167" s="249" t="str">
        <f ca="1">IF(C1167="","",IF($H$11="收入",[1]!S_STM07_IS(D1167,9,$G$5,$H$13)/$E$5,[1]!S_STM07_IS(D1167,48,$G$5,$H$13)/$E$5))</f>
        <v/>
      </c>
      <c r="I1167" s="249" t="str">
        <f ca="1">IF(C1167="","",IF($I$11="毛利率",([1]!S_STM07_IS(D1167,9,$G$5,$H$13)-[1]!S_STM07_IS(D1167,10,$G$5,$H$13))/[1]!S_STM07_IS(D1167,9,$G$5,$H$13),[1]!S_STM07_IS(D1167,14,$G$5,$H$13)/$E$5))</f>
        <v/>
      </c>
      <c r="J1167" s="249" t="str">
        <f ca="1">IF(C1167="","",IF($J$11="营业利润率",[1]!S_STM07_IS(D1167,48,$G$5,$H$13)/[1]!S_STM07_IS(D1167,9,$G$5,$H$13),([1]!S_STM07_CS(D1167,87,$G$5,$H$13)+[1]!S_STM07_CS(D1167,88,$G$5,$H$13)+[1]!S_STM07_CS(D1167,89,$G$5,$H$13))/$E$5))</f>
        <v/>
      </c>
      <c r="K1167" s="249" t="str">
        <f ca="1">IF(C1167="","",IF($K$11="净利润率",[1]!S_STM07_IS(D1167,61,$G$5,$H$13)/[1]!S_STM07_IS(D1167,9,$G$5,$H$13),[1]!S_STM07_IS(D1167,55,$G$5,$H$13)/$E$5))</f>
        <v/>
      </c>
      <c r="L1167" s="249" t="str">
        <f ca="1">IF(C1167="","",IF($L$11="ROA",[1]!S_STM07_IS(D1167,61,$G$5,$H$13)/[1]!S_STM07_BS(D1167,74,$G$5,$H$13),1-[1]!S_STM07_IS(D1167,61,$G$5,$H$13)/[1]!S_STM07_IS(D1167,55,$G$5,$H$13)))</f>
        <v/>
      </c>
      <c r="M1167" s="249" t="str">
        <f ca="1">IF(C1167="","",IF($M$11="ROE",[1]!S_STM07_IS(D1167,61,$G$5,$H$13)/[1]!S_STM07_BS(D1167,141,$G$5,$H$13),([1]!S_STM07_BS(D1167,25,$G$5,$H$13)-[1]!S_STM07_BS(D1167,93,$G$5,$H$13))/$E$5))</f>
        <v/>
      </c>
      <c r="N1167" s="250" t="str">
        <f ca="1">IF(C1167="","",IF($N$11="EPS",[1]!S_STM07_IS(D1167,61,$G$5,$H$13)/IF([1]!S_SHARE_TOTAL(D1167,$G$5)=0,[1]!S_SHARE_TOTAL(D1167,[1]!s_ipo_listeddate(D1167)),[1]!S_SHARE_TOTAL(D1167,$G$5)),([1]!S_STM07_BS(D1167,75,$G$5,$H$13)+[1]!S_STM07_BS(D1167,88,$G$5,$H$13)+[1]!S_STM07_BS(D1167,94,$G$5,$H$13)+[1]!S_STM07_BS(D1167,95,$G$5,$H$13))/$E$5))</f>
        <v/>
      </c>
      <c r="O1167" s="250" t="str">
        <f ca="1">IF(C1167="","",IF($O$11="BPS",[1]!S_STM07_BS(D1167,141,$G$5,$H$13)/IF([1]!S_SHARE_TOTAL(D1167,$G$5)=0,[1]!S_SHARE_TOTAL(D1167,[1]!s_ipo_listeddate(D1167)),[1]!S_SHARE_TOTAL(D1167,$G$5)),[1]!S_STM07_CS(D1167,49,$G$5,$H$13)/$E$5))</f>
        <v/>
      </c>
      <c r="P1167" s="250" t="str">
        <f ca="1">IF(C1167="","",IF($P$11="CFPS",[1]!S_STM07_CS(D1167,84,$G$5,$H$13)/IF([1]!S_SHARE_TOTAL(D1167,$G$5)=0,[1]!S_SHARE_TOTAL(D1167,[1]!s_ipo_listeddate(D1167)),[1]!S_SHARE_TOTAL(D1167,$G$5)),[1]!S_STM07_CS(D1167,84,$G$5,$H$13)/$E$5))</f>
        <v/>
      </c>
      <c r="Q1167" s="198" t="str">
        <f ca="1">IF(C1167="","",F1167/([1]!S_STM07_IS(D1167,61,$G$5,$H$13)/IF([1]!S_SHARE_TOTAL(D1167,$G$5)=0,[1]!S_SHARE_TOTAL(D1167,[1]!s_ipo_listeddate(D1167)),[1]!S_SHARE_TOTAL(D1167,$G$5))))</f>
        <v/>
      </c>
      <c r="R1167" s="198" t="str">
        <f ca="1">IF(C1167="","",F1167/([1]!S_STM07_BS(D1167,141,$G$5,$H$13)/IF([1]!S_SHARE_TOTAL(D1167,$G$5)=0,[1]!S_SHARE_TOTAL(D1167,[1]!s_ipo_listeddate(D1167)),[1]!S_SHARE_TOTAL(D1167,$G$5))))</f>
        <v/>
      </c>
      <c r="S1167" s="249" t="str">
        <f ca="1">IF(C1167="","",[1]!S_SHARE_TOTAL(D1167,TODAY())/$E$5)</f>
        <v/>
      </c>
      <c r="T1167" s="249" t="str">
        <f t="shared" ca="1" si="115"/>
        <v/>
      </c>
      <c r="U1167" s="172" t="str">
        <f t="shared" ca="1" si="116"/>
        <v/>
      </c>
      <c r="V1167" s="343" t="str">
        <f t="shared" ca="1" si="117"/>
        <v/>
      </c>
      <c r="W1167" s="139"/>
      <c r="Y1167" s="1"/>
    </row>
    <row r="1168" spans="3:25" ht="12" customHeight="1">
      <c r="C1168" s="342" t="str">
        <f t="shared" ca="1" si="118"/>
        <v/>
      </c>
      <c r="D1168" s="153" t="str">
        <f t="shared" ca="1" si="113"/>
        <v/>
      </c>
      <c r="E1168" s="153" t="str">
        <f t="shared" ca="1" si="114"/>
        <v/>
      </c>
      <c r="F1168" s="170" t="str">
        <f ca="1">IF(C1168="","",[1]!S_DQ_CLOSE(D1168,TODAY(),1))</f>
        <v/>
      </c>
      <c r="G1168" s="171" t="str">
        <f ca="1">IF(C1168="","",[1]!s_pq_pctchange(D1168,TODAY()-$G$12,TODAY())/100)</f>
        <v/>
      </c>
      <c r="H1168" s="247" t="str">
        <f ca="1">IF(C1168="","",IF($H$11="收入",[1]!S_STM07_IS(D1168,9,$G$5,$H$13)/$E$5,[1]!S_STM07_IS(D1168,48,$G$5,$H$13)/$E$5))</f>
        <v/>
      </c>
      <c r="I1168" s="247" t="str">
        <f ca="1">IF(C1168="","",IF($I$11="毛利率",([1]!S_STM07_IS(D1168,9,$G$5,$H$13)-[1]!S_STM07_IS(D1168,10,$G$5,$H$13))/[1]!S_STM07_IS(D1168,9,$G$5,$H$13),[1]!S_STM07_IS(D1168,14,$G$5,$H$13)/$E$5))</f>
        <v/>
      </c>
      <c r="J1168" s="247" t="str">
        <f ca="1">IF(C1168="","",IF($J$11="营业利润率",[1]!S_STM07_IS(D1168,48,$G$5,$H$13)/[1]!S_STM07_IS(D1168,9,$G$5,$H$13),([1]!S_STM07_CS(D1168,87,$G$5,$H$13)+[1]!S_STM07_CS(D1168,88,$G$5,$H$13)+[1]!S_STM07_CS(D1168,89,$G$5,$H$13))/$E$5))</f>
        <v/>
      </c>
      <c r="K1168" s="247" t="str">
        <f ca="1">IF(C1168="","",IF($K$11="净利润率",[1]!S_STM07_IS(D1168,61,$G$5,$H$13)/[1]!S_STM07_IS(D1168,9,$G$5,$H$13),[1]!S_STM07_IS(D1168,55,$G$5,$H$13)/$E$5))</f>
        <v/>
      </c>
      <c r="L1168" s="247" t="str">
        <f ca="1">IF(C1168="","",IF($L$11="ROA",[1]!S_STM07_IS(D1168,61,$G$5,$H$13)/[1]!S_STM07_BS(D1168,74,$G$5,$H$13),1-[1]!S_STM07_IS(D1168,61,$G$5,$H$13)/[1]!S_STM07_IS(D1168,55,$G$5,$H$13)))</f>
        <v/>
      </c>
      <c r="M1168" s="247" t="str">
        <f ca="1">IF(C1168="","",IF($M$11="ROE",[1]!S_STM07_IS(D1168,61,$G$5,$H$13)/[1]!S_STM07_BS(D1168,141,$G$5,$H$13),([1]!S_STM07_BS(D1168,25,$G$5,$H$13)-[1]!S_STM07_BS(D1168,93,$G$5,$H$13))/$E$5))</f>
        <v/>
      </c>
      <c r="N1168" s="247" t="str">
        <f ca="1">IF(C1168="","",IF($N$11="EPS",[1]!S_STM07_IS(D1168,61,$G$5,$H$13)/IF([1]!S_SHARE_TOTAL(D1168,$G$5)=0,[1]!S_SHARE_TOTAL(D1168,[1]!s_ipo_listeddate(D1168)),[1]!S_SHARE_TOTAL(D1168,$G$5)),([1]!S_STM07_BS(D1168,75,$G$5,$H$13)+[1]!S_STM07_BS(D1168,88,$G$5,$H$13)+[1]!S_STM07_BS(D1168,94,$G$5,$H$13)+[1]!S_STM07_BS(D1168,95,$G$5,$H$13))/$E$5))</f>
        <v/>
      </c>
      <c r="O1168" s="247" t="str">
        <f ca="1">IF(C1168="","",IF($O$11="BPS",[1]!S_STM07_BS(D1168,141,$G$5,$H$13)/IF([1]!S_SHARE_TOTAL(D1168,$G$5)=0,[1]!S_SHARE_TOTAL(D1168,[1]!s_ipo_listeddate(D1168)),[1]!S_SHARE_TOTAL(D1168,$G$5)),[1]!S_STM07_CS(D1168,49,$G$5,$H$13)/$E$5))</f>
        <v/>
      </c>
      <c r="P1168" s="247" t="str">
        <f ca="1">IF(C1168="","",IF($P$11="CFPS",[1]!S_STM07_CS(D1168,84,$G$5,$H$13)/IF([1]!S_SHARE_TOTAL(D1168,$G$5)=0,[1]!S_SHARE_TOTAL(D1168,[1]!s_ipo_listeddate(D1168)),[1]!S_SHARE_TOTAL(D1168,$G$5)),[1]!S_STM07_CS(D1168,84,$G$5,$H$13)/$E$5))</f>
        <v/>
      </c>
      <c r="Q1168" s="248" t="str">
        <f ca="1">IF(C1168="","",F1168/([1]!S_STM07_IS(D1168,61,$G$5,$H$13)/IF([1]!S_SHARE_TOTAL(D1168,$G$5)=0,[1]!S_SHARE_TOTAL(D1168,[1]!s_ipo_listeddate(D1168)),[1]!S_SHARE_TOTAL(D1168,$G$5))))</f>
        <v/>
      </c>
      <c r="R1168" s="248" t="str">
        <f ca="1">IF(C1168="","",F1168/([1]!S_STM07_BS(D1168,141,$G$5,$H$13)/IF([1]!S_SHARE_TOTAL(D1168,$G$5)=0,[1]!S_SHARE_TOTAL(D1168,[1]!s_ipo_listeddate(D1168)),[1]!S_SHARE_TOTAL(D1168,$G$5))))</f>
        <v/>
      </c>
      <c r="S1168" s="247" t="str">
        <f ca="1">IF(C1168="","",[1]!S_SHARE_TOTAL(D1168,TODAY())/$E$5)</f>
        <v/>
      </c>
      <c r="T1168" s="247" t="str">
        <f t="shared" ca="1" si="115"/>
        <v/>
      </c>
      <c r="U1168" s="218" t="str">
        <f t="shared" ca="1" si="116"/>
        <v/>
      </c>
      <c r="V1168" s="342" t="str">
        <f t="shared" ca="1" si="117"/>
        <v/>
      </c>
      <c r="W1168" s="139"/>
      <c r="Y1168" s="1"/>
    </row>
    <row r="1169" spans="3:25" ht="12" customHeight="1">
      <c r="C1169" s="343" t="str">
        <f t="shared" ca="1" si="118"/>
        <v/>
      </c>
      <c r="D1169" s="124" t="str">
        <f t="shared" ca="1" si="113"/>
        <v/>
      </c>
      <c r="E1169" s="124" t="str">
        <f t="shared" ca="1" si="114"/>
        <v/>
      </c>
      <c r="F1169" s="172" t="str">
        <f ca="1">IF(C1169="","",[1]!S_DQ_CLOSE(D1169,TODAY(),1))</f>
        <v/>
      </c>
      <c r="G1169" s="173" t="str">
        <f ca="1">IF(C1169="","",[1]!s_pq_pctchange(D1169,TODAY()-$G$12,TODAY())/100)</f>
        <v/>
      </c>
      <c r="H1169" s="249" t="str">
        <f ca="1">IF(C1169="","",IF($H$11="收入",[1]!S_STM07_IS(D1169,9,$G$5,$H$13)/$E$5,[1]!S_STM07_IS(D1169,48,$G$5,$H$13)/$E$5))</f>
        <v/>
      </c>
      <c r="I1169" s="249" t="str">
        <f ca="1">IF(C1169="","",IF($I$11="毛利率",([1]!S_STM07_IS(D1169,9,$G$5,$H$13)-[1]!S_STM07_IS(D1169,10,$G$5,$H$13))/[1]!S_STM07_IS(D1169,9,$G$5,$H$13),[1]!S_STM07_IS(D1169,14,$G$5,$H$13)/$E$5))</f>
        <v/>
      </c>
      <c r="J1169" s="249" t="str">
        <f ca="1">IF(C1169="","",IF($J$11="营业利润率",[1]!S_STM07_IS(D1169,48,$G$5,$H$13)/[1]!S_STM07_IS(D1169,9,$G$5,$H$13),([1]!S_STM07_CS(D1169,87,$G$5,$H$13)+[1]!S_STM07_CS(D1169,88,$G$5,$H$13)+[1]!S_STM07_CS(D1169,89,$G$5,$H$13))/$E$5))</f>
        <v/>
      </c>
      <c r="K1169" s="249" t="str">
        <f ca="1">IF(C1169="","",IF($K$11="净利润率",[1]!S_STM07_IS(D1169,61,$G$5,$H$13)/[1]!S_STM07_IS(D1169,9,$G$5,$H$13),[1]!S_STM07_IS(D1169,55,$G$5,$H$13)/$E$5))</f>
        <v/>
      </c>
      <c r="L1169" s="249" t="str">
        <f ca="1">IF(C1169="","",IF($L$11="ROA",[1]!S_STM07_IS(D1169,61,$G$5,$H$13)/[1]!S_STM07_BS(D1169,74,$G$5,$H$13),1-[1]!S_STM07_IS(D1169,61,$G$5,$H$13)/[1]!S_STM07_IS(D1169,55,$G$5,$H$13)))</f>
        <v/>
      </c>
      <c r="M1169" s="249" t="str">
        <f ca="1">IF(C1169="","",IF($M$11="ROE",[1]!S_STM07_IS(D1169,61,$G$5,$H$13)/[1]!S_STM07_BS(D1169,141,$G$5,$H$13),([1]!S_STM07_BS(D1169,25,$G$5,$H$13)-[1]!S_STM07_BS(D1169,93,$G$5,$H$13))/$E$5))</f>
        <v/>
      </c>
      <c r="N1169" s="250" t="str">
        <f ca="1">IF(C1169="","",IF($N$11="EPS",[1]!S_STM07_IS(D1169,61,$G$5,$H$13)/IF([1]!S_SHARE_TOTAL(D1169,$G$5)=0,[1]!S_SHARE_TOTAL(D1169,[1]!s_ipo_listeddate(D1169)),[1]!S_SHARE_TOTAL(D1169,$G$5)),([1]!S_STM07_BS(D1169,75,$G$5,$H$13)+[1]!S_STM07_BS(D1169,88,$G$5,$H$13)+[1]!S_STM07_BS(D1169,94,$G$5,$H$13)+[1]!S_STM07_BS(D1169,95,$G$5,$H$13))/$E$5))</f>
        <v/>
      </c>
      <c r="O1169" s="250" t="str">
        <f ca="1">IF(C1169="","",IF($O$11="BPS",[1]!S_STM07_BS(D1169,141,$G$5,$H$13)/IF([1]!S_SHARE_TOTAL(D1169,$G$5)=0,[1]!S_SHARE_TOTAL(D1169,[1]!s_ipo_listeddate(D1169)),[1]!S_SHARE_TOTAL(D1169,$G$5)),[1]!S_STM07_CS(D1169,49,$G$5,$H$13)/$E$5))</f>
        <v/>
      </c>
      <c r="P1169" s="250" t="str">
        <f ca="1">IF(C1169="","",IF($P$11="CFPS",[1]!S_STM07_CS(D1169,84,$G$5,$H$13)/IF([1]!S_SHARE_TOTAL(D1169,$G$5)=0,[1]!S_SHARE_TOTAL(D1169,[1]!s_ipo_listeddate(D1169)),[1]!S_SHARE_TOTAL(D1169,$G$5)),[1]!S_STM07_CS(D1169,84,$G$5,$H$13)/$E$5))</f>
        <v/>
      </c>
      <c r="Q1169" s="198" t="str">
        <f ca="1">IF(C1169="","",F1169/([1]!S_STM07_IS(D1169,61,$G$5,$H$13)/IF([1]!S_SHARE_TOTAL(D1169,$G$5)=0,[1]!S_SHARE_TOTAL(D1169,[1]!s_ipo_listeddate(D1169)),[1]!S_SHARE_TOTAL(D1169,$G$5))))</f>
        <v/>
      </c>
      <c r="R1169" s="198" t="str">
        <f ca="1">IF(C1169="","",F1169/([1]!S_STM07_BS(D1169,141,$G$5,$H$13)/IF([1]!S_SHARE_TOTAL(D1169,$G$5)=0,[1]!S_SHARE_TOTAL(D1169,[1]!s_ipo_listeddate(D1169)),[1]!S_SHARE_TOTAL(D1169,$G$5))))</f>
        <v/>
      </c>
      <c r="S1169" s="249" t="str">
        <f ca="1">IF(C1169="","",[1]!S_SHARE_TOTAL(D1169,TODAY())/$E$5)</f>
        <v/>
      </c>
      <c r="T1169" s="249" t="str">
        <f t="shared" ca="1" si="115"/>
        <v/>
      </c>
      <c r="U1169" s="172" t="str">
        <f t="shared" ca="1" si="116"/>
        <v/>
      </c>
      <c r="V1169" s="343" t="str">
        <f t="shared" ca="1" si="117"/>
        <v/>
      </c>
      <c r="W1169" s="139"/>
      <c r="Y1169" s="1"/>
    </row>
    <row r="1170" spans="3:25" ht="12" customHeight="1">
      <c r="C1170" s="342" t="str">
        <f t="shared" ca="1" si="118"/>
        <v/>
      </c>
      <c r="D1170" s="153" t="str">
        <f t="shared" ca="1" si="113"/>
        <v/>
      </c>
      <c r="E1170" s="153" t="str">
        <f t="shared" ca="1" si="114"/>
        <v/>
      </c>
      <c r="F1170" s="170" t="str">
        <f ca="1">IF(C1170="","",[1]!S_DQ_CLOSE(D1170,TODAY(),1))</f>
        <v/>
      </c>
      <c r="G1170" s="171" t="str">
        <f ca="1">IF(C1170="","",[1]!s_pq_pctchange(D1170,TODAY()-$G$12,TODAY())/100)</f>
        <v/>
      </c>
      <c r="H1170" s="247" t="str">
        <f ca="1">IF(C1170="","",IF($H$11="收入",[1]!S_STM07_IS(D1170,9,$G$5,$H$13)/$E$5,[1]!S_STM07_IS(D1170,48,$G$5,$H$13)/$E$5))</f>
        <v/>
      </c>
      <c r="I1170" s="247" t="str">
        <f ca="1">IF(C1170="","",IF($I$11="毛利率",([1]!S_STM07_IS(D1170,9,$G$5,$H$13)-[1]!S_STM07_IS(D1170,10,$G$5,$H$13))/[1]!S_STM07_IS(D1170,9,$G$5,$H$13),[1]!S_STM07_IS(D1170,14,$G$5,$H$13)/$E$5))</f>
        <v/>
      </c>
      <c r="J1170" s="247" t="str">
        <f ca="1">IF(C1170="","",IF($J$11="营业利润率",[1]!S_STM07_IS(D1170,48,$G$5,$H$13)/[1]!S_STM07_IS(D1170,9,$G$5,$H$13),([1]!S_STM07_CS(D1170,87,$G$5,$H$13)+[1]!S_STM07_CS(D1170,88,$G$5,$H$13)+[1]!S_STM07_CS(D1170,89,$G$5,$H$13))/$E$5))</f>
        <v/>
      </c>
      <c r="K1170" s="247" t="str">
        <f ca="1">IF(C1170="","",IF($K$11="净利润率",[1]!S_STM07_IS(D1170,61,$G$5,$H$13)/[1]!S_STM07_IS(D1170,9,$G$5,$H$13),[1]!S_STM07_IS(D1170,55,$G$5,$H$13)/$E$5))</f>
        <v/>
      </c>
      <c r="L1170" s="247" t="str">
        <f ca="1">IF(C1170="","",IF($L$11="ROA",[1]!S_STM07_IS(D1170,61,$G$5,$H$13)/[1]!S_STM07_BS(D1170,74,$G$5,$H$13),1-[1]!S_STM07_IS(D1170,61,$G$5,$H$13)/[1]!S_STM07_IS(D1170,55,$G$5,$H$13)))</f>
        <v/>
      </c>
      <c r="M1170" s="247" t="str">
        <f ca="1">IF(C1170="","",IF($M$11="ROE",[1]!S_STM07_IS(D1170,61,$G$5,$H$13)/[1]!S_STM07_BS(D1170,141,$G$5,$H$13),([1]!S_STM07_BS(D1170,25,$G$5,$H$13)-[1]!S_STM07_BS(D1170,93,$G$5,$H$13))/$E$5))</f>
        <v/>
      </c>
      <c r="N1170" s="247" t="str">
        <f ca="1">IF(C1170="","",IF($N$11="EPS",[1]!S_STM07_IS(D1170,61,$G$5,$H$13)/IF([1]!S_SHARE_TOTAL(D1170,$G$5)=0,[1]!S_SHARE_TOTAL(D1170,[1]!s_ipo_listeddate(D1170)),[1]!S_SHARE_TOTAL(D1170,$G$5)),([1]!S_STM07_BS(D1170,75,$G$5,$H$13)+[1]!S_STM07_BS(D1170,88,$G$5,$H$13)+[1]!S_STM07_BS(D1170,94,$G$5,$H$13)+[1]!S_STM07_BS(D1170,95,$G$5,$H$13))/$E$5))</f>
        <v/>
      </c>
      <c r="O1170" s="247" t="str">
        <f ca="1">IF(C1170="","",IF($O$11="BPS",[1]!S_STM07_BS(D1170,141,$G$5,$H$13)/IF([1]!S_SHARE_TOTAL(D1170,$G$5)=0,[1]!S_SHARE_TOTAL(D1170,[1]!s_ipo_listeddate(D1170)),[1]!S_SHARE_TOTAL(D1170,$G$5)),[1]!S_STM07_CS(D1170,49,$G$5,$H$13)/$E$5))</f>
        <v/>
      </c>
      <c r="P1170" s="247" t="str">
        <f ca="1">IF(C1170="","",IF($P$11="CFPS",[1]!S_STM07_CS(D1170,84,$G$5,$H$13)/IF([1]!S_SHARE_TOTAL(D1170,$G$5)=0,[1]!S_SHARE_TOTAL(D1170,[1]!s_ipo_listeddate(D1170)),[1]!S_SHARE_TOTAL(D1170,$G$5)),[1]!S_STM07_CS(D1170,84,$G$5,$H$13)/$E$5))</f>
        <v/>
      </c>
      <c r="Q1170" s="248" t="str">
        <f ca="1">IF(C1170="","",F1170/([1]!S_STM07_IS(D1170,61,$G$5,$H$13)/IF([1]!S_SHARE_TOTAL(D1170,$G$5)=0,[1]!S_SHARE_TOTAL(D1170,[1]!s_ipo_listeddate(D1170)),[1]!S_SHARE_TOTAL(D1170,$G$5))))</f>
        <v/>
      </c>
      <c r="R1170" s="248" t="str">
        <f ca="1">IF(C1170="","",F1170/([1]!S_STM07_BS(D1170,141,$G$5,$H$13)/IF([1]!S_SHARE_TOTAL(D1170,$G$5)=0,[1]!S_SHARE_TOTAL(D1170,[1]!s_ipo_listeddate(D1170)),[1]!S_SHARE_TOTAL(D1170,$G$5))))</f>
        <v/>
      </c>
      <c r="S1170" s="247" t="str">
        <f ca="1">IF(C1170="","",[1]!S_SHARE_TOTAL(D1170,TODAY())/$E$5)</f>
        <v/>
      </c>
      <c r="T1170" s="247" t="str">
        <f t="shared" ca="1" si="115"/>
        <v/>
      </c>
      <c r="U1170" s="218" t="str">
        <f t="shared" ca="1" si="116"/>
        <v/>
      </c>
      <c r="V1170" s="342" t="str">
        <f t="shared" ca="1" si="117"/>
        <v/>
      </c>
      <c r="W1170" s="139"/>
      <c r="Y1170" s="1"/>
    </row>
    <row r="1171" spans="3:25" ht="12" customHeight="1">
      <c r="C1171" s="343" t="str">
        <f t="shared" ca="1" si="118"/>
        <v/>
      </c>
      <c r="D1171" s="124" t="str">
        <f t="shared" ca="1" si="113"/>
        <v/>
      </c>
      <c r="E1171" s="124" t="str">
        <f t="shared" ca="1" si="114"/>
        <v/>
      </c>
      <c r="F1171" s="172" t="str">
        <f ca="1">IF(C1171="","",[1]!S_DQ_CLOSE(D1171,TODAY(),1))</f>
        <v/>
      </c>
      <c r="G1171" s="173" t="str">
        <f ca="1">IF(C1171="","",[1]!s_pq_pctchange(D1171,TODAY()-$G$12,TODAY())/100)</f>
        <v/>
      </c>
      <c r="H1171" s="249" t="str">
        <f ca="1">IF(C1171="","",IF($H$11="收入",[1]!S_STM07_IS(D1171,9,$G$5,$H$13)/$E$5,[1]!S_STM07_IS(D1171,48,$G$5,$H$13)/$E$5))</f>
        <v/>
      </c>
      <c r="I1171" s="249" t="str">
        <f ca="1">IF(C1171="","",IF($I$11="毛利率",([1]!S_STM07_IS(D1171,9,$G$5,$H$13)-[1]!S_STM07_IS(D1171,10,$G$5,$H$13))/[1]!S_STM07_IS(D1171,9,$G$5,$H$13),[1]!S_STM07_IS(D1171,14,$G$5,$H$13)/$E$5))</f>
        <v/>
      </c>
      <c r="J1171" s="249" t="str">
        <f ca="1">IF(C1171="","",IF($J$11="营业利润率",[1]!S_STM07_IS(D1171,48,$G$5,$H$13)/[1]!S_STM07_IS(D1171,9,$G$5,$H$13),([1]!S_STM07_CS(D1171,87,$G$5,$H$13)+[1]!S_STM07_CS(D1171,88,$G$5,$H$13)+[1]!S_STM07_CS(D1171,89,$G$5,$H$13))/$E$5))</f>
        <v/>
      </c>
      <c r="K1171" s="249" t="str">
        <f ca="1">IF(C1171="","",IF($K$11="净利润率",[1]!S_STM07_IS(D1171,61,$G$5,$H$13)/[1]!S_STM07_IS(D1171,9,$G$5,$H$13),[1]!S_STM07_IS(D1171,55,$G$5,$H$13)/$E$5))</f>
        <v/>
      </c>
      <c r="L1171" s="249" t="str">
        <f ca="1">IF(C1171="","",IF($L$11="ROA",[1]!S_STM07_IS(D1171,61,$G$5,$H$13)/[1]!S_STM07_BS(D1171,74,$G$5,$H$13),1-[1]!S_STM07_IS(D1171,61,$G$5,$H$13)/[1]!S_STM07_IS(D1171,55,$G$5,$H$13)))</f>
        <v/>
      </c>
      <c r="M1171" s="249" t="str">
        <f ca="1">IF(C1171="","",IF($M$11="ROE",[1]!S_STM07_IS(D1171,61,$G$5,$H$13)/[1]!S_STM07_BS(D1171,141,$G$5,$H$13),([1]!S_STM07_BS(D1171,25,$G$5,$H$13)-[1]!S_STM07_BS(D1171,93,$G$5,$H$13))/$E$5))</f>
        <v/>
      </c>
      <c r="N1171" s="250" t="str">
        <f ca="1">IF(C1171="","",IF($N$11="EPS",[1]!S_STM07_IS(D1171,61,$G$5,$H$13)/IF([1]!S_SHARE_TOTAL(D1171,$G$5)=0,[1]!S_SHARE_TOTAL(D1171,[1]!s_ipo_listeddate(D1171)),[1]!S_SHARE_TOTAL(D1171,$G$5)),([1]!S_STM07_BS(D1171,75,$G$5,$H$13)+[1]!S_STM07_BS(D1171,88,$G$5,$H$13)+[1]!S_STM07_BS(D1171,94,$G$5,$H$13)+[1]!S_STM07_BS(D1171,95,$G$5,$H$13))/$E$5))</f>
        <v/>
      </c>
      <c r="O1171" s="250" t="str">
        <f ca="1">IF(C1171="","",IF($O$11="BPS",[1]!S_STM07_BS(D1171,141,$G$5,$H$13)/IF([1]!S_SHARE_TOTAL(D1171,$G$5)=0,[1]!S_SHARE_TOTAL(D1171,[1]!s_ipo_listeddate(D1171)),[1]!S_SHARE_TOTAL(D1171,$G$5)),[1]!S_STM07_CS(D1171,49,$G$5,$H$13)/$E$5))</f>
        <v/>
      </c>
      <c r="P1171" s="250" t="str">
        <f ca="1">IF(C1171="","",IF($P$11="CFPS",[1]!S_STM07_CS(D1171,84,$G$5,$H$13)/IF([1]!S_SHARE_TOTAL(D1171,$G$5)=0,[1]!S_SHARE_TOTAL(D1171,[1]!s_ipo_listeddate(D1171)),[1]!S_SHARE_TOTAL(D1171,$G$5)),[1]!S_STM07_CS(D1171,84,$G$5,$H$13)/$E$5))</f>
        <v/>
      </c>
      <c r="Q1171" s="198" t="str">
        <f ca="1">IF(C1171="","",F1171/([1]!S_STM07_IS(D1171,61,$G$5,$H$13)/IF([1]!S_SHARE_TOTAL(D1171,$G$5)=0,[1]!S_SHARE_TOTAL(D1171,[1]!s_ipo_listeddate(D1171)),[1]!S_SHARE_TOTAL(D1171,$G$5))))</f>
        <v/>
      </c>
      <c r="R1171" s="198" t="str">
        <f ca="1">IF(C1171="","",F1171/([1]!S_STM07_BS(D1171,141,$G$5,$H$13)/IF([1]!S_SHARE_TOTAL(D1171,$G$5)=0,[1]!S_SHARE_TOTAL(D1171,[1]!s_ipo_listeddate(D1171)),[1]!S_SHARE_TOTAL(D1171,$G$5))))</f>
        <v/>
      </c>
      <c r="S1171" s="249" t="str">
        <f ca="1">IF(C1171="","",[1]!S_SHARE_TOTAL(D1171,TODAY())/$E$5)</f>
        <v/>
      </c>
      <c r="T1171" s="249" t="str">
        <f t="shared" ca="1" si="115"/>
        <v/>
      </c>
      <c r="U1171" s="172" t="str">
        <f t="shared" ca="1" si="116"/>
        <v/>
      </c>
      <c r="V1171" s="343" t="str">
        <f t="shared" ca="1" si="117"/>
        <v/>
      </c>
      <c r="W1171" s="139"/>
      <c r="Y1171" s="1"/>
    </row>
    <row r="1172" spans="3:25" ht="12" customHeight="1">
      <c r="C1172" s="342" t="str">
        <f t="shared" ca="1" si="118"/>
        <v/>
      </c>
      <c r="D1172" s="153" t="str">
        <f t="shared" ca="1" si="113"/>
        <v/>
      </c>
      <c r="E1172" s="153" t="str">
        <f t="shared" ca="1" si="114"/>
        <v/>
      </c>
      <c r="F1172" s="170" t="str">
        <f ca="1">IF(C1172="","",[1]!S_DQ_CLOSE(D1172,TODAY(),1))</f>
        <v/>
      </c>
      <c r="G1172" s="171" t="str">
        <f ca="1">IF(C1172="","",[1]!s_pq_pctchange(D1172,TODAY()-$G$12,TODAY())/100)</f>
        <v/>
      </c>
      <c r="H1172" s="247" t="str">
        <f ca="1">IF(C1172="","",IF($H$11="收入",[1]!S_STM07_IS(D1172,9,$G$5,$H$13)/$E$5,[1]!S_STM07_IS(D1172,48,$G$5,$H$13)/$E$5))</f>
        <v/>
      </c>
      <c r="I1172" s="247" t="str">
        <f ca="1">IF(C1172="","",IF($I$11="毛利率",([1]!S_STM07_IS(D1172,9,$G$5,$H$13)-[1]!S_STM07_IS(D1172,10,$G$5,$H$13))/[1]!S_STM07_IS(D1172,9,$G$5,$H$13),[1]!S_STM07_IS(D1172,14,$G$5,$H$13)/$E$5))</f>
        <v/>
      </c>
      <c r="J1172" s="247" t="str">
        <f ca="1">IF(C1172="","",IF($J$11="营业利润率",[1]!S_STM07_IS(D1172,48,$G$5,$H$13)/[1]!S_STM07_IS(D1172,9,$G$5,$H$13),([1]!S_STM07_CS(D1172,87,$G$5,$H$13)+[1]!S_STM07_CS(D1172,88,$G$5,$H$13)+[1]!S_STM07_CS(D1172,89,$G$5,$H$13))/$E$5))</f>
        <v/>
      </c>
      <c r="K1172" s="247" t="str">
        <f ca="1">IF(C1172="","",IF($K$11="净利润率",[1]!S_STM07_IS(D1172,61,$G$5,$H$13)/[1]!S_STM07_IS(D1172,9,$G$5,$H$13),[1]!S_STM07_IS(D1172,55,$G$5,$H$13)/$E$5))</f>
        <v/>
      </c>
      <c r="L1172" s="247" t="str">
        <f ca="1">IF(C1172="","",IF($L$11="ROA",[1]!S_STM07_IS(D1172,61,$G$5,$H$13)/[1]!S_STM07_BS(D1172,74,$G$5,$H$13),1-[1]!S_STM07_IS(D1172,61,$G$5,$H$13)/[1]!S_STM07_IS(D1172,55,$G$5,$H$13)))</f>
        <v/>
      </c>
      <c r="M1172" s="247" t="str">
        <f ca="1">IF(C1172="","",IF($M$11="ROE",[1]!S_STM07_IS(D1172,61,$G$5,$H$13)/[1]!S_STM07_BS(D1172,141,$G$5,$H$13),([1]!S_STM07_BS(D1172,25,$G$5,$H$13)-[1]!S_STM07_BS(D1172,93,$G$5,$H$13))/$E$5))</f>
        <v/>
      </c>
      <c r="N1172" s="247" t="str">
        <f ca="1">IF(C1172="","",IF($N$11="EPS",[1]!S_STM07_IS(D1172,61,$G$5,$H$13)/IF([1]!S_SHARE_TOTAL(D1172,$G$5)=0,[1]!S_SHARE_TOTAL(D1172,[1]!s_ipo_listeddate(D1172)),[1]!S_SHARE_TOTAL(D1172,$G$5)),([1]!S_STM07_BS(D1172,75,$G$5,$H$13)+[1]!S_STM07_BS(D1172,88,$G$5,$H$13)+[1]!S_STM07_BS(D1172,94,$G$5,$H$13)+[1]!S_STM07_BS(D1172,95,$G$5,$H$13))/$E$5))</f>
        <v/>
      </c>
      <c r="O1172" s="247" t="str">
        <f ca="1">IF(C1172="","",IF($O$11="BPS",[1]!S_STM07_BS(D1172,141,$G$5,$H$13)/IF([1]!S_SHARE_TOTAL(D1172,$G$5)=0,[1]!S_SHARE_TOTAL(D1172,[1]!s_ipo_listeddate(D1172)),[1]!S_SHARE_TOTAL(D1172,$G$5)),[1]!S_STM07_CS(D1172,49,$G$5,$H$13)/$E$5))</f>
        <v/>
      </c>
      <c r="P1172" s="247" t="str">
        <f ca="1">IF(C1172="","",IF($P$11="CFPS",[1]!S_STM07_CS(D1172,84,$G$5,$H$13)/IF([1]!S_SHARE_TOTAL(D1172,$G$5)=0,[1]!S_SHARE_TOTAL(D1172,[1]!s_ipo_listeddate(D1172)),[1]!S_SHARE_TOTAL(D1172,$G$5)),[1]!S_STM07_CS(D1172,84,$G$5,$H$13)/$E$5))</f>
        <v/>
      </c>
      <c r="Q1172" s="248" t="str">
        <f ca="1">IF(C1172="","",F1172/([1]!S_STM07_IS(D1172,61,$G$5,$H$13)/IF([1]!S_SHARE_TOTAL(D1172,$G$5)=0,[1]!S_SHARE_TOTAL(D1172,[1]!s_ipo_listeddate(D1172)),[1]!S_SHARE_TOTAL(D1172,$G$5))))</f>
        <v/>
      </c>
      <c r="R1172" s="248" t="str">
        <f ca="1">IF(C1172="","",F1172/([1]!S_STM07_BS(D1172,141,$G$5,$H$13)/IF([1]!S_SHARE_TOTAL(D1172,$G$5)=0,[1]!S_SHARE_TOTAL(D1172,[1]!s_ipo_listeddate(D1172)),[1]!S_SHARE_TOTAL(D1172,$G$5))))</f>
        <v/>
      </c>
      <c r="S1172" s="247" t="str">
        <f ca="1">IF(C1172="","",[1]!S_SHARE_TOTAL(D1172,TODAY())/$E$5)</f>
        <v/>
      </c>
      <c r="T1172" s="247" t="str">
        <f t="shared" ca="1" si="115"/>
        <v/>
      </c>
      <c r="U1172" s="218" t="str">
        <f t="shared" ca="1" si="116"/>
        <v/>
      </c>
      <c r="V1172" s="342" t="str">
        <f t="shared" ca="1" si="117"/>
        <v/>
      </c>
      <c r="W1172" s="139"/>
      <c r="Y1172" s="1"/>
    </row>
    <row r="1173" spans="3:25" ht="12" customHeight="1">
      <c r="C1173" s="343" t="str">
        <f t="shared" ca="1" si="118"/>
        <v/>
      </c>
      <c r="D1173" s="124" t="str">
        <f t="shared" ca="1" si="113"/>
        <v/>
      </c>
      <c r="E1173" s="124" t="str">
        <f t="shared" ca="1" si="114"/>
        <v/>
      </c>
      <c r="F1173" s="172" t="str">
        <f ca="1">IF(C1173="","",[1]!S_DQ_CLOSE(D1173,TODAY(),1))</f>
        <v/>
      </c>
      <c r="G1173" s="173" t="str">
        <f ca="1">IF(C1173="","",[1]!s_pq_pctchange(D1173,TODAY()-$G$12,TODAY())/100)</f>
        <v/>
      </c>
      <c r="H1173" s="249" t="str">
        <f ca="1">IF(C1173="","",IF($H$11="收入",[1]!S_STM07_IS(D1173,9,$G$5,$H$13)/$E$5,[1]!S_STM07_IS(D1173,48,$G$5,$H$13)/$E$5))</f>
        <v/>
      </c>
      <c r="I1173" s="249" t="str">
        <f ca="1">IF(C1173="","",IF($I$11="毛利率",([1]!S_STM07_IS(D1173,9,$G$5,$H$13)-[1]!S_STM07_IS(D1173,10,$G$5,$H$13))/[1]!S_STM07_IS(D1173,9,$G$5,$H$13),[1]!S_STM07_IS(D1173,14,$G$5,$H$13)/$E$5))</f>
        <v/>
      </c>
      <c r="J1173" s="249" t="str">
        <f ca="1">IF(C1173="","",IF($J$11="营业利润率",[1]!S_STM07_IS(D1173,48,$G$5,$H$13)/[1]!S_STM07_IS(D1173,9,$G$5,$H$13),([1]!S_STM07_CS(D1173,87,$G$5,$H$13)+[1]!S_STM07_CS(D1173,88,$G$5,$H$13)+[1]!S_STM07_CS(D1173,89,$G$5,$H$13))/$E$5))</f>
        <v/>
      </c>
      <c r="K1173" s="249" t="str">
        <f ca="1">IF(C1173="","",IF($K$11="净利润率",[1]!S_STM07_IS(D1173,61,$G$5,$H$13)/[1]!S_STM07_IS(D1173,9,$G$5,$H$13),[1]!S_STM07_IS(D1173,55,$G$5,$H$13)/$E$5))</f>
        <v/>
      </c>
      <c r="L1173" s="249" t="str">
        <f ca="1">IF(C1173="","",IF($L$11="ROA",[1]!S_STM07_IS(D1173,61,$G$5,$H$13)/[1]!S_STM07_BS(D1173,74,$G$5,$H$13),1-[1]!S_STM07_IS(D1173,61,$G$5,$H$13)/[1]!S_STM07_IS(D1173,55,$G$5,$H$13)))</f>
        <v/>
      </c>
      <c r="M1173" s="249" t="str">
        <f ca="1">IF(C1173="","",IF($M$11="ROE",[1]!S_STM07_IS(D1173,61,$G$5,$H$13)/[1]!S_STM07_BS(D1173,141,$G$5,$H$13),([1]!S_STM07_BS(D1173,25,$G$5,$H$13)-[1]!S_STM07_BS(D1173,93,$G$5,$H$13))/$E$5))</f>
        <v/>
      </c>
      <c r="N1173" s="250" t="str">
        <f ca="1">IF(C1173="","",IF($N$11="EPS",[1]!S_STM07_IS(D1173,61,$G$5,$H$13)/IF([1]!S_SHARE_TOTAL(D1173,$G$5)=0,[1]!S_SHARE_TOTAL(D1173,[1]!s_ipo_listeddate(D1173)),[1]!S_SHARE_TOTAL(D1173,$G$5)),([1]!S_STM07_BS(D1173,75,$G$5,$H$13)+[1]!S_STM07_BS(D1173,88,$G$5,$H$13)+[1]!S_STM07_BS(D1173,94,$G$5,$H$13)+[1]!S_STM07_BS(D1173,95,$G$5,$H$13))/$E$5))</f>
        <v/>
      </c>
      <c r="O1173" s="250" t="str">
        <f ca="1">IF(C1173="","",IF($O$11="BPS",[1]!S_STM07_BS(D1173,141,$G$5,$H$13)/IF([1]!S_SHARE_TOTAL(D1173,$G$5)=0,[1]!S_SHARE_TOTAL(D1173,[1]!s_ipo_listeddate(D1173)),[1]!S_SHARE_TOTAL(D1173,$G$5)),[1]!S_STM07_CS(D1173,49,$G$5,$H$13)/$E$5))</f>
        <v/>
      </c>
      <c r="P1173" s="250" t="str">
        <f ca="1">IF(C1173="","",IF($P$11="CFPS",[1]!S_STM07_CS(D1173,84,$G$5,$H$13)/IF([1]!S_SHARE_TOTAL(D1173,$G$5)=0,[1]!S_SHARE_TOTAL(D1173,[1]!s_ipo_listeddate(D1173)),[1]!S_SHARE_TOTAL(D1173,$G$5)),[1]!S_STM07_CS(D1173,84,$G$5,$H$13)/$E$5))</f>
        <v/>
      </c>
      <c r="Q1173" s="198" t="str">
        <f ca="1">IF(C1173="","",F1173/([1]!S_STM07_IS(D1173,61,$G$5,$H$13)/IF([1]!S_SHARE_TOTAL(D1173,$G$5)=0,[1]!S_SHARE_TOTAL(D1173,[1]!s_ipo_listeddate(D1173)),[1]!S_SHARE_TOTAL(D1173,$G$5))))</f>
        <v/>
      </c>
      <c r="R1173" s="198" t="str">
        <f ca="1">IF(C1173="","",F1173/([1]!S_STM07_BS(D1173,141,$G$5,$H$13)/IF([1]!S_SHARE_TOTAL(D1173,$G$5)=0,[1]!S_SHARE_TOTAL(D1173,[1]!s_ipo_listeddate(D1173)),[1]!S_SHARE_TOTAL(D1173,$G$5))))</f>
        <v/>
      </c>
      <c r="S1173" s="249" t="str">
        <f ca="1">IF(C1173="","",[1]!S_SHARE_TOTAL(D1173,TODAY())/$E$5)</f>
        <v/>
      </c>
      <c r="T1173" s="249" t="str">
        <f t="shared" ca="1" si="115"/>
        <v/>
      </c>
      <c r="U1173" s="172" t="str">
        <f t="shared" ca="1" si="116"/>
        <v/>
      </c>
      <c r="V1173" s="343" t="str">
        <f t="shared" ca="1" si="117"/>
        <v/>
      </c>
      <c r="W1173" s="139"/>
      <c r="Y1173" s="1"/>
    </row>
    <row r="1174" spans="3:25" ht="12" customHeight="1">
      <c r="C1174" s="342" t="str">
        <f t="shared" ca="1" si="118"/>
        <v/>
      </c>
      <c r="D1174" s="153" t="str">
        <f t="shared" ca="1" si="113"/>
        <v/>
      </c>
      <c r="E1174" s="153" t="str">
        <f t="shared" ca="1" si="114"/>
        <v/>
      </c>
      <c r="F1174" s="170" t="str">
        <f ca="1">IF(C1174="","",[1]!S_DQ_CLOSE(D1174,TODAY(),1))</f>
        <v/>
      </c>
      <c r="G1174" s="171" t="str">
        <f ca="1">IF(C1174="","",[1]!s_pq_pctchange(D1174,TODAY()-$G$12,TODAY())/100)</f>
        <v/>
      </c>
      <c r="H1174" s="247" t="str">
        <f ca="1">IF(C1174="","",IF($H$11="收入",[1]!S_STM07_IS(D1174,9,$G$5,$H$13)/$E$5,[1]!S_STM07_IS(D1174,48,$G$5,$H$13)/$E$5))</f>
        <v/>
      </c>
      <c r="I1174" s="247" t="str">
        <f ca="1">IF(C1174="","",IF($I$11="毛利率",([1]!S_STM07_IS(D1174,9,$G$5,$H$13)-[1]!S_STM07_IS(D1174,10,$G$5,$H$13))/[1]!S_STM07_IS(D1174,9,$G$5,$H$13),[1]!S_STM07_IS(D1174,14,$G$5,$H$13)/$E$5))</f>
        <v/>
      </c>
      <c r="J1174" s="247" t="str">
        <f ca="1">IF(C1174="","",IF($J$11="营业利润率",[1]!S_STM07_IS(D1174,48,$G$5,$H$13)/[1]!S_STM07_IS(D1174,9,$G$5,$H$13),([1]!S_STM07_CS(D1174,87,$G$5,$H$13)+[1]!S_STM07_CS(D1174,88,$G$5,$H$13)+[1]!S_STM07_CS(D1174,89,$G$5,$H$13))/$E$5))</f>
        <v/>
      </c>
      <c r="K1174" s="247" t="str">
        <f ca="1">IF(C1174="","",IF($K$11="净利润率",[1]!S_STM07_IS(D1174,61,$G$5,$H$13)/[1]!S_STM07_IS(D1174,9,$G$5,$H$13),[1]!S_STM07_IS(D1174,55,$G$5,$H$13)/$E$5))</f>
        <v/>
      </c>
      <c r="L1174" s="247" t="str">
        <f ca="1">IF(C1174="","",IF($L$11="ROA",[1]!S_STM07_IS(D1174,61,$G$5,$H$13)/[1]!S_STM07_BS(D1174,74,$G$5,$H$13),1-[1]!S_STM07_IS(D1174,61,$G$5,$H$13)/[1]!S_STM07_IS(D1174,55,$G$5,$H$13)))</f>
        <v/>
      </c>
      <c r="M1174" s="247" t="str">
        <f ca="1">IF(C1174="","",IF($M$11="ROE",[1]!S_STM07_IS(D1174,61,$G$5,$H$13)/[1]!S_STM07_BS(D1174,141,$G$5,$H$13),([1]!S_STM07_BS(D1174,25,$G$5,$H$13)-[1]!S_STM07_BS(D1174,93,$G$5,$H$13))/$E$5))</f>
        <v/>
      </c>
      <c r="N1174" s="247" t="str">
        <f ca="1">IF(C1174="","",IF($N$11="EPS",[1]!S_STM07_IS(D1174,61,$G$5,$H$13)/IF([1]!S_SHARE_TOTAL(D1174,$G$5)=0,[1]!S_SHARE_TOTAL(D1174,[1]!s_ipo_listeddate(D1174)),[1]!S_SHARE_TOTAL(D1174,$G$5)),([1]!S_STM07_BS(D1174,75,$G$5,$H$13)+[1]!S_STM07_BS(D1174,88,$G$5,$H$13)+[1]!S_STM07_BS(D1174,94,$G$5,$H$13)+[1]!S_STM07_BS(D1174,95,$G$5,$H$13))/$E$5))</f>
        <v/>
      </c>
      <c r="O1174" s="247" t="str">
        <f ca="1">IF(C1174="","",IF($O$11="BPS",[1]!S_STM07_BS(D1174,141,$G$5,$H$13)/IF([1]!S_SHARE_TOTAL(D1174,$G$5)=0,[1]!S_SHARE_TOTAL(D1174,[1]!s_ipo_listeddate(D1174)),[1]!S_SHARE_TOTAL(D1174,$G$5)),[1]!S_STM07_CS(D1174,49,$G$5,$H$13)/$E$5))</f>
        <v/>
      </c>
      <c r="P1174" s="247" t="str">
        <f ca="1">IF(C1174="","",IF($P$11="CFPS",[1]!S_STM07_CS(D1174,84,$G$5,$H$13)/IF([1]!S_SHARE_TOTAL(D1174,$G$5)=0,[1]!S_SHARE_TOTAL(D1174,[1]!s_ipo_listeddate(D1174)),[1]!S_SHARE_TOTAL(D1174,$G$5)),[1]!S_STM07_CS(D1174,84,$G$5,$H$13)/$E$5))</f>
        <v/>
      </c>
      <c r="Q1174" s="248" t="str">
        <f ca="1">IF(C1174="","",F1174/([1]!S_STM07_IS(D1174,61,$G$5,$H$13)/IF([1]!S_SHARE_TOTAL(D1174,$G$5)=0,[1]!S_SHARE_TOTAL(D1174,[1]!s_ipo_listeddate(D1174)),[1]!S_SHARE_TOTAL(D1174,$G$5))))</f>
        <v/>
      </c>
      <c r="R1174" s="248" t="str">
        <f ca="1">IF(C1174="","",F1174/([1]!S_STM07_BS(D1174,141,$G$5,$H$13)/IF([1]!S_SHARE_TOTAL(D1174,$G$5)=0,[1]!S_SHARE_TOTAL(D1174,[1]!s_ipo_listeddate(D1174)),[1]!S_SHARE_TOTAL(D1174,$G$5))))</f>
        <v/>
      </c>
      <c r="S1174" s="247" t="str">
        <f ca="1">IF(C1174="","",[1]!S_SHARE_TOTAL(D1174,TODAY())/$E$5)</f>
        <v/>
      </c>
      <c r="T1174" s="247" t="str">
        <f t="shared" ca="1" si="115"/>
        <v/>
      </c>
      <c r="U1174" s="218" t="str">
        <f t="shared" ca="1" si="116"/>
        <v/>
      </c>
      <c r="V1174" s="342" t="str">
        <f t="shared" ca="1" si="117"/>
        <v/>
      </c>
      <c r="W1174" s="139"/>
      <c r="Y1174" s="1"/>
    </row>
    <row r="1175" spans="3:25" ht="12" customHeight="1">
      <c r="C1175" s="343" t="str">
        <f t="shared" ca="1" si="118"/>
        <v/>
      </c>
      <c r="D1175" s="124" t="str">
        <f t="shared" ca="1" si="113"/>
        <v/>
      </c>
      <c r="E1175" s="124" t="str">
        <f t="shared" ca="1" si="114"/>
        <v/>
      </c>
      <c r="F1175" s="172" t="str">
        <f ca="1">IF(C1175="","",[1]!S_DQ_CLOSE(D1175,TODAY(),1))</f>
        <v/>
      </c>
      <c r="G1175" s="173" t="str">
        <f ca="1">IF(C1175="","",[1]!s_pq_pctchange(D1175,TODAY()-$G$12,TODAY())/100)</f>
        <v/>
      </c>
      <c r="H1175" s="249" t="str">
        <f ca="1">IF(C1175="","",IF($H$11="收入",[1]!S_STM07_IS(D1175,9,$G$5,$H$13)/$E$5,[1]!S_STM07_IS(D1175,48,$G$5,$H$13)/$E$5))</f>
        <v/>
      </c>
      <c r="I1175" s="249" t="str">
        <f ca="1">IF(C1175="","",IF($I$11="毛利率",([1]!S_STM07_IS(D1175,9,$G$5,$H$13)-[1]!S_STM07_IS(D1175,10,$G$5,$H$13))/[1]!S_STM07_IS(D1175,9,$G$5,$H$13),[1]!S_STM07_IS(D1175,14,$G$5,$H$13)/$E$5))</f>
        <v/>
      </c>
      <c r="J1175" s="249" t="str">
        <f ca="1">IF(C1175="","",IF($J$11="营业利润率",[1]!S_STM07_IS(D1175,48,$G$5,$H$13)/[1]!S_STM07_IS(D1175,9,$G$5,$H$13),([1]!S_STM07_CS(D1175,87,$G$5,$H$13)+[1]!S_STM07_CS(D1175,88,$G$5,$H$13)+[1]!S_STM07_CS(D1175,89,$G$5,$H$13))/$E$5))</f>
        <v/>
      </c>
      <c r="K1175" s="249" t="str">
        <f ca="1">IF(C1175="","",IF($K$11="净利润率",[1]!S_STM07_IS(D1175,61,$G$5,$H$13)/[1]!S_STM07_IS(D1175,9,$G$5,$H$13),[1]!S_STM07_IS(D1175,55,$G$5,$H$13)/$E$5))</f>
        <v/>
      </c>
      <c r="L1175" s="249" t="str">
        <f ca="1">IF(C1175="","",IF($L$11="ROA",[1]!S_STM07_IS(D1175,61,$G$5,$H$13)/[1]!S_STM07_BS(D1175,74,$G$5,$H$13),1-[1]!S_STM07_IS(D1175,61,$G$5,$H$13)/[1]!S_STM07_IS(D1175,55,$G$5,$H$13)))</f>
        <v/>
      </c>
      <c r="M1175" s="249" t="str">
        <f ca="1">IF(C1175="","",IF($M$11="ROE",[1]!S_STM07_IS(D1175,61,$G$5,$H$13)/[1]!S_STM07_BS(D1175,141,$G$5,$H$13),([1]!S_STM07_BS(D1175,25,$G$5,$H$13)-[1]!S_STM07_BS(D1175,93,$G$5,$H$13))/$E$5))</f>
        <v/>
      </c>
      <c r="N1175" s="250" t="str">
        <f ca="1">IF(C1175="","",IF($N$11="EPS",[1]!S_STM07_IS(D1175,61,$G$5,$H$13)/IF([1]!S_SHARE_TOTAL(D1175,$G$5)=0,[1]!S_SHARE_TOTAL(D1175,[1]!s_ipo_listeddate(D1175)),[1]!S_SHARE_TOTAL(D1175,$G$5)),([1]!S_STM07_BS(D1175,75,$G$5,$H$13)+[1]!S_STM07_BS(D1175,88,$G$5,$H$13)+[1]!S_STM07_BS(D1175,94,$G$5,$H$13)+[1]!S_STM07_BS(D1175,95,$G$5,$H$13))/$E$5))</f>
        <v/>
      </c>
      <c r="O1175" s="250" t="str">
        <f ca="1">IF(C1175="","",IF($O$11="BPS",[1]!S_STM07_BS(D1175,141,$G$5,$H$13)/IF([1]!S_SHARE_TOTAL(D1175,$G$5)=0,[1]!S_SHARE_TOTAL(D1175,[1]!s_ipo_listeddate(D1175)),[1]!S_SHARE_TOTAL(D1175,$G$5)),[1]!S_STM07_CS(D1175,49,$G$5,$H$13)/$E$5))</f>
        <v/>
      </c>
      <c r="P1175" s="250" t="str">
        <f ca="1">IF(C1175="","",IF($P$11="CFPS",[1]!S_STM07_CS(D1175,84,$G$5,$H$13)/IF([1]!S_SHARE_TOTAL(D1175,$G$5)=0,[1]!S_SHARE_TOTAL(D1175,[1]!s_ipo_listeddate(D1175)),[1]!S_SHARE_TOTAL(D1175,$G$5)),[1]!S_STM07_CS(D1175,84,$G$5,$H$13)/$E$5))</f>
        <v/>
      </c>
      <c r="Q1175" s="198" t="str">
        <f ca="1">IF(C1175="","",F1175/([1]!S_STM07_IS(D1175,61,$G$5,$H$13)/IF([1]!S_SHARE_TOTAL(D1175,$G$5)=0,[1]!S_SHARE_TOTAL(D1175,[1]!s_ipo_listeddate(D1175)),[1]!S_SHARE_TOTAL(D1175,$G$5))))</f>
        <v/>
      </c>
      <c r="R1175" s="198" t="str">
        <f ca="1">IF(C1175="","",F1175/([1]!S_STM07_BS(D1175,141,$G$5,$H$13)/IF([1]!S_SHARE_TOTAL(D1175,$G$5)=0,[1]!S_SHARE_TOTAL(D1175,[1]!s_ipo_listeddate(D1175)),[1]!S_SHARE_TOTAL(D1175,$G$5))))</f>
        <v/>
      </c>
      <c r="S1175" s="249" t="str">
        <f ca="1">IF(C1175="","",[1]!S_SHARE_TOTAL(D1175,TODAY())/$E$5)</f>
        <v/>
      </c>
      <c r="T1175" s="249" t="str">
        <f t="shared" ca="1" si="115"/>
        <v/>
      </c>
      <c r="U1175" s="172" t="str">
        <f t="shared" ca="1" si="116"/>
        <v/>
      </c>
      <c r="V1175" s="343" t="str">
        <f t="shared" ca="1" si="117"/>
        <v/>
      </c>
      <c r="W1175" s="139"/>
      <c r="Y1175" s="1"/>
    </row>
    <row r="1176" spans="3:25" ht="12" customHeight="1">
      <c r="C1176" s="342" t="str">
        <f t="shared" ca="1" si="118"/>
        <v/>
      </c>
      <c r="D1176" s="153" t="str">
        <f t="shared" ca="1" si="113"/>
        <v/>
      </c>
      <c r="E1176" s="153" t="str">
        <f t="shared" ca="1" si="114"/>
        <v/>
      </c>
      <c r="F1176" s="170" t="str">
        <f ca="1">IF(C1176="","",[1]!S_DQ_CLOSE(D1176,TODAY(),1))</f>
        <v/>
      </c>
      <c r="G1176" s="171" t="str">
        <f ca="1">IF(C1176="","",[1]!s_pq_pctchange(D1176,TODAY()-$G$12,TODAY())/100)</f>
        <v/>
      </c>
      <c r="H1176" s="247" t="str">
        <f ca="1">IF(C1176="","",IF($H$11="收入",[1]!S_STM07_IS(D1176,9,$G$5,$H$13)/$E$5,[1]!S_STM07_IS(D1176,48,$G$5,$H$13)/$E$5))</f>
        <v/>
      </c>
      <c r="I1176" s="247" t="str">
        <f ca="1">IF(C1176="","",IF($I$11="毛利率",([1]!S_STM07_IS(D1176,9,$G$5,$H$13)-[1]!S_STM07_IS(D1176,10,$G$5,$H$13))/[1]!S_STM07_IS(D1176,9,$G$5,$H$13),[1]!S_STM07_IS(D1176,14,$G$5,$H$13)/$E$5))</f>
        <v/>
      </c>
      <c r="J1176" s="247" t="str">
        <f ca="1">IF(C1176="","",IF($J$11="营业利润率",[1]!S_STM07_IS(D1176,48,$G$5,$H$13)/[1]!S_STM07_IS(D1176,9,$G$5,$H$13),([1]!S_STM07_CS(D1176,87,$G$5,$H$13)+[1]!S_STM07_CS(D1176,88,$G$5,$H$13)+[1]!S_STM07_CS(D1176,89,$G$5,$H$13))/$E$5))</f>
        <v/>
      </c>
      <c r="K1176" s="247" t="str">
        <f ca="1">IF(C1176="","",IF($K$11="净利润率",[1]!S_STM07_IS(D1176,61,$G$5,$H$13)/[1]!S_STM07_IS(D1176,9,$G$5,$H$13),[1]!S_STM07_IS(D1176,55,$G$5,$H$13)/$E$5))</f>
        <v/>
      </c>
      <c r="L1176" s="247" t="str">
        <f ca="1">IF(C1176="","",IF($L$11="ROA",[1]!S_STM07_IS(D1176,61,$G$5,$H$13)/[1]!S_STM07_BS(D1176,74,$G$5,$H$13),1-[1]!S_STM07_IS(D1176,61,$G$5,$H$13)/[1]!S_STM07_IS(D1176,55,$G$5,$H$13)))</f>
        <v/>
      </c>
      <c r="M1176" s="247" t="str">
        <f ca="1">IF(C1176="","",IF($M$11="ROE",[1]!S_STM07_IS(D1176,61,$G$5,$H$13)/[1]!S_STM07_BS(D1176,141,$G$5,$H$13),([1]!S_STM07_BS(D1176,25,$G$5,$H$13)-[1]!S_STM07_BS(D1176,93,$G$5,$H$13))/$E$5))</f>
        <v/>
      </c>
      <c r="N1176" s="247" t="str">
        <f ca="1">IF(C1176="","",IF($N$11="EPS",[1]!S_STM07_IS(D1176,61,$G$5,$H$13)/IF([1]!S_SHARE_TOTAL(D1176,$G$5)=0,[1]!S_SHARE_TOTAL(D1176,[1]!s_ipo_listeddate(D1176)),[1]!S_SHARE_TOTAL(D1176,$G$5)),([1]!S_STM07_BS(D1176,75,$G$5,$H$13)+[1]!S_STM07_BS(D1176,88,$G$5,$H$13)+[1]!S_STM07_BS(D1176,94,$G$5,$H$13)+[1]!S_STM07_BS(D1176,95,$G$5,$H$13))/$E$5))</f>
        <v/>
      </c>
      <c r="O1176" s="247" t="str">
        <f ca="1">IF(C1176="","",IF($O$11="BPS",[1]!S_STM07_BS(D1176,141,$G$5,$H$13)/IF([1]!S_SHARE_TOTAL(D1176,$G$5)=0,[1]!S_SHARE_TOTAL(D1176,[1]!s_ipo_listeddate(D1176)),[1]!S_SHARE_TOTAL(D1176,$G$5)),[1]!S_STM07_CS(D1176,49,$G$5,$H$13)/$E$5))</f>
        <v/>
      </c>
      <c r="P1176" s="247" t="str">
        <f ca="1">IF(C1176="","",IF($P$11="CFPS",[1]!S_STM07_CS(D1176,84,$G$5,$H$13)/IF([1]!S_SHARE_TOTAL(D1176,$G$5)=0,[1]!S_SHARE_TOTAL(D1176,[1]!s_ipo_listeddate(D1176)),[1]!S_SHARE_TOTAL(D1176,$G$5)),[1]!S_STM07_CS(D1176,84,$G$5,$H$13)/$E$5))</f>
        <v/>
      </c>
      <c r="Q1176" s="248" t="str">
        <f ca="1">IF(C1176="","",F1176/([1]!S_STM07_IS(D1176,61,$G$5,$H$13)/IF([1]!S_SHARE_TOTAL(D1176,$G$5)=0,[1]!S_SHARE_TOTAL(D1176,[1]!s_ipo_listeddate(D1176)),[1]!S_SHARE_TOTAL(D1176,$G$5))))</f>
        <v/>
      </c>
      <c r="R1176" s="248" t="str">
        <f ca="1">IF(C1176="","",F1176/([1]!S_STM07_BS(D1176,141,$G$5,$H$13)/IF([1]!S_SHARE_TOTAL(D1176,$G$5)=0,[1]!S_SHARE_TOTAL(D1176,[1]!s_ipo_listeddate(D1176)),[1]!S_SHARE_TOTAL(D1176,$G$5))))</f>
        <v/>
      </c>
      <c r="S1176" s="247" t="str">
        <f ca="1">IF(C1176="","",[1]!S_SHARE_TOTAL(D1176,TODAY())/$E$5)</f>
        <v/>
      </c>
      <c r="T1176" s="247" t="str">
        <f t="shared" ca="1" si="115"/>
        <v/>
      </c>
      <c r="U1176" s="218" t="str">
        <f t="shared" ca="1" si="116"/>
        <v/>
      </c>
      <c r="V1176" s="342" t="str">
        <f t="shared" ca="1" si="117"/>
        <v/>
      </c>
      <c r="W1176" s="139"/>
      <c r="Y1176" s="1"/>
    </row>
    <row r="1177" spans="3:25" ht="12" customHeight="1">
      <c r="C1177" s="343" t="str">
        <f t="shared" ca="1" si="118"/>
        <v/>
      </c>
      <c r="D1177" s="124" t="str">
        <f t="shared" ref="D1177:D1240" ca="1" si="119">IF(C1177="","",VLOOKUP(C1177,comppool,2,FALSE))</f>
        <v/>
      </c>
      <c r="E1177" s="124" t="str">
        <f t="shared" ref="E1177:E1240" ca="1" si="120">IF(C1177="","",VLOOKUP(C1177,comppool,3,FALSE))</f>
        <v/>
      </c>
      <c r="F1177" s="172" t="str">
        <f ca="1">IF(C1177="","",[1]!S_DQ_CLOSE(D1177,TODAY(),1))</f>
        <v/>
      </c>
      <c r="G1177" s="173" t="str">
        <f ca="1">IF(C1177="","",[1]!s_pq_pctchange(D1177,TODAY()-$G$12,TODAY())/100)</f>
        <v/>
      </c>
      <c r="H1177" s="249" t="str">
        <f ca="1">IF(C1177="","",IF($H$11="收入",[1]!S_STM07_IS(D1177,9,$G$5,$H$13)/$E$5,[1]!S_STM07_IS(D1177,48,$G$5,$H$13)/$E$5))</f>
        <v/>
      </c>
      <c r="I1177" s="249" t="str">
        <f ca="1">IF(C1177="","",IF($I$11="毛利率",([1]!S_STM07_IS(D1177,9,$G$5,$H$13)-[1]!S_STM07_IS(D1177,10,$G$5,$H$13))/[1]!S_STM07_IS(D1177,9,$G$5,$H$13),[1]!S_STM07_IS(D1177,14,$G$5,$H$13)/$E$5))</f>
        <v/>
      </c>
      <c r="J1177" s="249" t="str">
        <f ca="1">IF(C1177="","",IF($J$11="营业利润率",[1]!S_STM07_IS(D1177,48,$G$5,$H$13)/[1]!S_STM07_IS(D1177,9,$G$5,$H$13),([1]!S_STM07_CS(D1177,87,$G$5,$H$13)+[1]!S_STM07_CS(D1177,88,$G$5,$H$13)+[1]!S_STM07_CS(D1177,89,$G$5,$H$13))/$E$5))</f>
        <v/>
      </c>
      <c r="K1177" s="249" t="str">
        <f ca="1">IF(C1177="","",IF($K$11="净利润率",[1]!S_STM07_IS(D1177,61,$G$5,$H$13)/[1]!S_STM07_IS(D1177,9,$G$5,$H$13),[1]!S_STM07_IS(D1177,55,$G$5,$H$13)/$E$5))</f>
        <v/>
      </c>
      <c r="L1177" s="249" t="str">
        <f ca="1">IF(C1177="","",IF($L$11="ROA",[1]!S_STM07_IS(D1177,61,$G$5,$H$13)/[1]!S_STM07_BS(D1177,74,$G$5,$H$13),1-[1]!S_STM07_IS(D1177,61,$G$5,$H$13)/[1]!S_STM07_IS(D1177,55,$G$5,$H$13)))</f>
        <v/>
      </c>
      <c r="M1177" s="249" t="str">
        <f ca="1">IF(C1177="","",IF($M$11="ROE",[1]!S_STM07_IS(D1177,61,$G$5,$H$13)/[1]!S_STM07_BS(D1177,141,$G$5,$H$13),([1]!S_STM07_BS(D1177,25,$G$5,$H$13)-[1]!S_STM07_BS(D1177,93,$G$5,$H$13))/$E$5))</f>
        <v/>
      </c>
      <c r="N1177" s="250" t="str">
        <f ca="1">IF(C1177="","",IF($N$11="EPS",[1]!S_STM07_IS(D1177,61,$G$5,$H$13)/IF([1]!S_SHARE_TOTAL(D1177,$G$5)=0,[1]!S_SHARE_TOTAL(D1177,[1]!s_ipo_listeddate(D1177)),[1]!S_SHARE_TOTAL(D1177,$G$5)),([1]!S_STM07_BS(D1177,75,$G$5,$H$13)+[1]!S_STM07_BS(D1177,88,$G$5,$H$13)+[1]!S_STM07_BS(D1177,94,$G$5,$H$13)+[1]!S_STM07_BS(D1177,95,$G$5,$H$13))/$E$5))</f>
        <v/>
      </c>
      <c r="O1177" s="250" t="str">
        <f ca="1">IF(C1177="","",IF($O$11="BPS",[1]!S_STM07_BS(D1177,141,$G$5,$H$13)/IF([1]!S_SHARE_TOTAL(D1177,$G$5)=0,[1]!S_SHARE_TOTAL(D1177,[1]!s_ipo_listeddate(D1177)),[1]!S_SHARE_TOTAL(D1177,$G$5)),[1]!S_STM07_CS(D1177,49,$G$5,$H$13)/$E$5))</f>
        <v/>
      </c>
      <c r="P1177" s="250" t="str">
        <f ca="1">IF(C1177="","",IF($P$11="CFPS",[1]!S_STM07_CS(D1177,84,$G$5,$H$13)/IF([1]!S_SHARE_TOTAL(D1177,$G$5)=0,[1]!S_SHARE_TOTAL(D1177,[1]!s_ipo_listeddate(D1177)),[1]!S_SHARE_TOTAL(D1177,$G$5)),[1]!S_STM07_CS(D1177,84,$G$5,$H$13)/$E$5))</f>
        <v/>
      </c>
      <c r="Q1177" s="198" t="str">
        <f ca="1">IF(C1177="","",F1177/([1]!S_STM07_IS(D1177,61,$G$5,$H$13)/IF([1]!S_SHARE_TOTAL(D1177,$G$5)=0,[1]!S_SHARE_TOTAL(D1177,[1]!s_ipo_listeddate(D1177)),[1]!S_SHARE_TOTAL(D1177,$G$5))))</f>
        <v/>
      </c>
      <c r="R1177" s="198" t="str">
        <f ca="1">IF(C1177="","",F1177/([1]!S_STM07_BS(D1177,141,$G$5,$H$13)/IF([1]!S_SHARE_TOTAL(D1177,$G$5)=0,[1]!S_SHARE_TOTAL(D1177,[1]!s_ipo_listeddate(D1177)),[1]!S_SHARE_TOTAL(D1177,$G$5))))</f>
        <v/>
      </c>
      <c r="S1177" s="249" t="str">
        <f ca="1">IF(C1177="","",[1]!S_SHARE_TOTAL(D1177,TODAY())/$E$5)</f>
        <v/>
      </c>
      <c r="T1177" s="249" t="str">
        <f t="shared" ref="T1177:T1240" ca="1" si="121">IF(C1177="","",F1177*S1177)</f>
        <v/>
      </c>
      <c r="U1177" s="172" t="str">
        <f t="shared" ref="U1177:U1240" ca="1" si="122">IF(C1177="","",HLOOKUP($V$12,$G$11:$T$20003,ROW()-ROW($G$11)+1,FALSE))</f>
        <v/>
      </c>
      <c r="V1177" s="343" t="str">
        <f t="shared" ref="V1177:V1240" ca="1" si="123">IF(C1177="","",RANK(U1177,U:U,0))</f>
        <v/>
      </c>
      <c r="W1177" s="139"/>
      <c r="Y1177" s="1"/>
    </row>
    <row r="1178" spans="3:25" ht="12" customHeight="1">
      <c r="C1178" s="342" t="str">
        <f t="shared" ca="1" si="118"/>
        <v/>
      </c>
      <c r="D1178" s="153" t="str">
        <f t="shared" ca="1" si="119"/>
        <v/>
      </c>
      <c r="E1178" s="153" t="str">
        <f t="shared" ca="1" si="120"/>
        <v/>
      </c>
      <c r="F1178" s="170" t="str">
        <f ca="1">IF(C1178="","",[1]!S_DQ_CLOSE(D1178,TODAY(),1))</f>
        <v/>
      </c>
      <c r="G1178" s="171" t="str">
        <f ca="1">IF(C1178="","",[1]!s_pq_pctchange(D1178,TODAY()-$G$12,TODAY())/100)</f>
        <v/>
      </c>
      <c r="H1178" s="247" t="str">
        <f ca="1">IF(C1178="","",IF($H$11="收入",[1]!S_STM07_IS(D1178,9,$G$5,$H$13)/$E$5,[1]!S_STM07_IS(D1178,48,$G$5,$H$13)/$E$5))</f>
        <v/>
      </c>
      <c r="I1178" s="247" t="str">
        <f ca="1">IF(C1178="","",IF($I$11="毛利率",([1]!S_STM07_IS(D1178,9,$G$5,$H$13)-[1]!S_STM07_IS(D1178,10,$G$5,$H$13))/[1]!S_STM07_IS(D1178,9,$G$5,$H$13),[1]!S_STM07_IS(D1178,14,$G$5,$H$13)/$E$5))</f>
        <v/>
      </c>
      <c r="J1178" s="247" t="str">
        <f ca="1">IF(C1178="","",IF($J$11="营业利润率",[1]!S_STM07_IS(D1178,48,$G$5,$H$13)/[1]!S_STM07_IS(D1178,9,$G$5,$H$13),([1]!S_STM07_CS(D1178,87,$G$5,$H$13)+[1]!S_STM07_CS(D1178,88,$G$5,$H$13)+[1]!S_STM07_CS(D1178,89,$G$5,$H$13))/$E$5))</f>
        <v/>
      </c>
      <c r="K1178" s="247" t="str">
        <f ca="1">IF(C1178="","",IF($K$11="净利润率",[1]!S_STM07_IS(D1178,61,$G$5,$H$13)/[1]!S_STM07_IS(D1178,9,$G$5,$H$13),[1]!S_STM07_IS(D1178,55,$G$5,$H$13)/$E$5))</f>
        <v/>
      </c>
      <c r="L1178" s="247" t="str">
        <f ca="1">IF(C1178="","",IF($L$11="ROA",[1]!S_STM07_IS(D1178,61,$G$5,$H$13)/[1]!S_STM07_BS(D1178,74,$G$5,$H$13),1-[1]!S_STM07_IS(D1178,61,$G$5,$H$13)/[1]!S_STM07_IS(D1178,55,$G$5,$H$13)))</f>
        <v/>
      </c>
      <c r="M1178" s="247" t="str">
        <f ca="1">IF(C1178="","",IF($M$11="ROE",[1]!S_STM07_IS(D1178,61,$G$5,$H$13)/[1]!S_STM07_BS(D1178,141,$G$5,$H$13),([1]!S_STM07_BS(D1178,25,$G$5,$H$13)-[1]!S_STM07_BS(D1178,93,$G$5,$H$13))/$E$5))</f>
        <v/>
      </c>
      <c r="N1178" s="247" t="str">
        <f ca="1">IF(C1178="","",IF($N$11="EPS",[1]!S_STM07_IS(D1178,61,$G$5,$H$13)/IF([1]!S_SHARE_TOTAL(D1178,$G$5)=0,[1]!S_SHARE_TOTAL(D1178,[1]!s_ipo_listeddate(D1178)),[1]!S_SHARE_TOTAL(D1178,$G$5)),([1]!S_STM07_BS(D1178,75,$G$5,$H$13)+[1]!S_STM07_BS(D1178,88,$G$5,$H$13)+[1]!S_STM07_BS(D1178,94,$G$5,$H$13)+[1]!S_STM07_BS(D1178,95,$G$5,$H$13))/$E$5))</f>
        <v/>
      </c>
      <c r="O1178" s="247" t="str">
        <f ca="1">IF(C1178="","",IF($O$11="BPS",[1]!S_STM07_BS(D1178,141,$G$5,$H$13)/IF([1]!S_SHARE_TOTAL(D1178,$G$5)=0,[1]!S_SHARE_TOTAL(D1178,[1]!s_ipo_listeddate(D1178)),[1]!S_SHARE_TOTAL(D1178,$G$5)),[1]!S_STM07_CS(D1178,49,$G$5,$H$13)/$E$5))</f>
        <v/>
      </c>
      <c r="P1178" s="247" t="str">
        <f ca="1">IF(C1178="","",IF($P$11="CFPS",[1]!S_STM07_CS(D1178,84,$G$5,$H$13)/IF([1]!S_SHARE_TOTAL(D1178,$G$5)=0,[1]!S_SHARE_TOTAL(D1178,[1]!s_ipo_listeddate(D1178)),[1]!S_SHARE_TOTAL(D1178,$G$5)),[1]!S_STM07_CS(D1178,84,$G$5,$H$13)/$E$5))</f>
        <v/>
      </c>
      <c r="Q1178" s="248" t="str">
        <f ca="1">IF(C1178="","",F1178/([1]!S_STM07_IS(D1178,61,$G$5,$H$13)/IF([1]!S_SHARE_TOTAL(D1178,$G$5)=0,[1]!S_SHARE_TOTAL(D1178,[1]!s_ipo_listeddate(D1178)),[1]!S_SHARE_TOTAL(D1178,$G$5))))</f>
        <v/>
      </c>
      <c r="R1178" s="248" t="str">
        <f ca="1">IF(C1178="","",F1178/([1]!S_STM07_BS(D1178,141,$G$5,$H$13)/IF([1]!S_SHARE_TOTAL(D1178,$G$5)=0,[1]!S_SHARE_TOTAL(D1178,[1]!s_ipo_listeddate(D1178)),[1]!S_SHARE_TOTAL(D1178,$G$5))))</f>
        <v/>
      </c>
      <c r="S1178" s="247" t="str">
        <f ca="1">IF(C1178="","",[1]!S_SHARE_TOTAL(D1178,TODAY())/$E$5)</f>
        <v/>
      </c>
      <c r="T1178" s="247" t="str">
        <f t="shared" ca="1" si="121"/>
        <v/>
      </c>
      <c r="U1178" s="218" t="str">
        <f t="shared" ca="1" si="122"/>
        <v/>
      </c>
      <c r="V1178" s="342" t="str">
        <f t="shared" ca="1" si="123"/>
        <v/>
      </c>
      <c r="W1178" s="139"/>
      <c r="Y1178" s="1"/>
    </row>
    <row r="1179" spans="3:25" ht="12" customHeight="1">
      <c r="C1179" s="343" t="str">
        <f t="shared" ca="1" si="118"/>
        <v/>
      </c>
      <c r="D1179" s="124" t="str">
        <f t="shared" ca="1" si="119"/>
        <v/>
      </c>
      <c r="E1179" s="124" t="str">
        <f t="shared" ca="1" si="120"/>
        <v/>
      </c>
      <c r="F1179" s="172" t="str">
        <f ca="1">IF(C1179="","",[1]!S_DQ_CLOSE(D1179,TODAY(),1))</f>
        <v/>
      </c>
      <c r="G1179" s="173" t="str">
        <f ca="1">IF(C1179="","",[1]!s_pq_pctchange(D1179,TODAY()-$G$12,TODAY())/100)</f>
        <v/>
      </c>
      <c r="H1179" s="249" t="str">
        <f ca="1">IF(C1179="","",IF($H$11="收入",[1]!S_STM07_IS(D1179,9,$G$5,$H$13)/$E$5,[1]!S_STM07_IS(D1179,48,$G$5,$H$13)/$E$5))</f>
        <v/>
      </c>
      <c r="I1179" s="249" t="str">
        <f ca="1">IF(C1179="","",IF($I$11="毛利率",([1]!S_STM07_IS(D1179,9,$G$5,$H$13)-[1]!S_STM07_IS(D1179,10,$G$5,$H$13))/[1]!S_STM07_IS(D1179,9,$G$5,$H$13),[1]!S_STM07_IS(D1179,14,$G$5,$H$13)/$E$5))</f>
        <v/>
      </c>
      <c r="J1179" s="249" t="str">
        <f ca="1">IF(C1179="","",IF($J$11="营业利润率",[1]!S_STM07_IS(D1179,48,$G$5,$H$13)/[1]!S_STM07_IS(D1179,9,$G$5,$H$13),([1]!S_STM07_CS(D1179,87,$G$5,$H$13)+[1]!S_STM07_CS(D1179,88,$G$5,$H$13)+[1]!S_STM07_CS(D1179,89,$G$5,$H$13))/$E$5))</f>
        <v/>
      </c>
      <c r="K1179" s="249" t="str">
        <f ca="1">IF(C1179="","",IF($K$11="净利润率",[1]!S_STM07_IS(D1179,61,$G$5,$H$13)/[1]!S_STM07_IS(D1179,9,$G$5,$H$13),[1]!S_STM07_IS(D1179,55,$G$5,$H$13)/$E$5))</f>
        <v/>
      </c>
      <c r="L1179" s="249" t="str">
        <f ca="1">IF(C1179="","",IF($L$11="ROA",[1]!S_STM07_IS(D1179,61,$G$5,$H$13)/[1]!S_STM07_BS(D1179,74,$G$5,$H$13),1-[1]!S_STM07_IS(D1179,61,$G$5,$H$13)/[1]!S_STM07_IS(D1179,55,$G$5,$H$13)))</f>
        <v/>
      </c>
      <c r="M1179" s="249" t="str">
        <f ca="1">IF(C1179="","",IF($M$11="ROE",[1]!S_STM07_IS(D1179,61,$G$5,$H$13)/[1]!S_STM07_BS(D1179,141,$G$5,$H$13),([1]!S_STM07_BS(D1179,25,$G$5,$H$13)-[1]!S_STM07_BS(D1179,93,$G$5,$H$13))/$E$5))</f>
        <v/>
      </c>
      <c r="N1179" s="250" t="str">
        <f ca="1">IF(C1179="","",IF($N$11="EPS",[1]!S_STM07_IS(D1179,61,$G$5,$H$13)/IF([1]!S_SHARE_TOTAL(D1179,$G$5)=0,[1]!S_SHARE_TOTAL(D1179,[1]!s_ipo_listeddate(D1179)),[1]!S_SHARE_TOTAL(D1179,$G$5)),([1]!S_STM07_BS(D1179,75,$G$5,$H$13)+[1]!S_STM07_BS(D1179,88,$G$5,$H$13)+[1]!S_STM07_BS(D1179,94,$G$5,$H$13)+[1]!S_STM07_BS(D1179,95,$G$5,$H$13))/$E$5))</f>
        <v/>
      </c>
      <c r="O1179" s="250" t="str">
        <f ca="1">IF(C1179="","",IF($O$11="BPS",[1]!S_STM07_BS(D1179,141,$G$5,$H$13)/IF([1]!S_SHARE_TOTAL(D1179,$G$5)=0,[1]!S_SHARE_TOTAL(D1179,[1]!s_ipo_listeddate(D1179)),[1]!S_SHARE_TOTAL(D1179,$G$5)),[1]!S_STM07_CS(D1179,49,$G$5,$H$13)/$E$5))</f>
        <v/>
      </c>
      <c r="P1179" s="250" t="str">
        <f ca="1">IF(C1179="","",IF($P$11="CFPS",[1]!S_STM07_CS(D1179,84,$G$5,$H$13)/IF([1]!S_SHARE_TOTAL(D1179,$G$5)=0,[1]!S_SHARE_TOTAL(D1179,[1]!s_ipo_listeddate(D1179)),[1]!S_SHARE_TOTAL(D1179,$G$5)),[1]!S_STM07_CS(D1179,84,$G$5,$H$13)/$E$5))</f>
        <v/>
      </c>
      <c r="Q1179" s="198" t="str">
        <f ca="1">IF(C1179="","",F1179/([1]!S_STM07_IS(D1179,61,$G$5,$H$13)/IF([1]!S_SHARE_TOTAL(D1179,$G$5)=0,[1]!S_SHARE_TOTAL(D1179,[1]!s_ipo_listeddate(D1179)),[1]!S_SHARE_TOTAL(D1179,$G$5))))</f>
        <v/>
      </c>
      <c r="R1179" s="198" t="str">
        <f ca="1">IF(C1179="","",F1179/([1]!S_STM07_BS(D1179,141,$G$5,$H$13)/IF([1]!S_SHARE_TOTAL(D1179,$G$5)=0,[1]!S_SHARE_TOTAL(D1179,[1]!s_ipo_listeddate(D1179)),[1]!S_SHARE_TOTAL(D1179,$G$5))))</f>
        <v/>
      </c>
      <c r="S1179" s="249" t="str">
        <f ca="1">IF(C1179="","",[1]!S_SHARE_TOTAL(D1179,TODAY())/$E$5)</f>
        <v/>
      </c>
      <c r="T1179" s="249" t="str">
        <f t="shared" ca="1" si="121"/>
        <v/>
      </c>
      <c r="U1179" s="172" t="str">
        <f t="shared" ca="1" si="122"/>
        <v/>
      </c>
      <c r="V1179" s="343" t="str">
        <f t="shared" ca="1" si="123"/>
        <v/>
      </c>
      <c r="W1179" s="139"/>
      <c r="Y1179" s="1"/>
    </row>
    <row r="1180" spans="3:25" ht="12" customHeight="1">
      <c r="C1180" s="342" t="str">
        <f t="shared" ca="1" si="118"/>
        <v/>
      </c>
      <c r="D1180" s="153" t="str">
        <f t="shared" ca="1" si="119"/>
        <v/>
      </c>
      <c r="E1180" s="153" t="str">
        <f t="shared" ca="1" si="120"/>
        <v/>
      </c>
      <c r="F1180" s="170" t="str">
        <f ca="1">IF(C1180="","",[1]!S_DQ_CLOSE(D1180,TODAY(),1))</f>
        <v/>
      </c>
      <c r="G1180" s="171" t="str">
        <f ca="1">IF(C1180="","",[1]!s_pq_pctchange(D1180,TODAY()-$G$12,TODAY())/100)</f>
        <v/>
      </c>
      <c r="H1180" s="247" t="str">
        <f ca="1">IF(C1180="","",IF($H$11="收入",[1]!S_STM07_IS(D1180,9,$G$5,$H$13)/$E$5,[1]!S_STM07_IS(D1180,48,$G$5,$H$13)/$E$5))</f>
        <v/>
      </c>
      <c r="I1180" s="247" t="str">
        <f ca="1">IF(C1180="","",IF($I$11="毛利率",([1]!S_STM07_IS(D1180,9,$G$5,$H$13)-[1]!S_STM07_IS(D1180,10,$G$5,$H$13))/[1]!S_STM07_IS(D1180,9,$G$5,$H$13),[1]!S_STM07_IS(D1180,14,$G$5,$H$13)/$E$5))</f>
        <v/>
      </c>
      <c r="J1180" s="247" t="str">
        <f ca="1">IF(C1180="","",IF($J$11="营业利润率",[1]!S_STM07_IS(D1180,48,$G$5,$H$13)/[1]!S_STM07_IS(D1180,9,$G$5,$H$13),([1]!S_STM07_CS(D1180,87,$G$5,$H$13)+[1]!S_STM07_CS(D1180,88,$G$5,$H$13)+[1]!S_STM07_CS(D1180,89,$G$5,$H$13))/$E$5))</f>
        <v/>
      </c>
      <c r="K1180" s="247" t="str">
        <f ca="1">IF(C1180="","",IF($K$11="净利润率",[1]!S_STM07_IS(D1180,61,$G$5,$H$13)/[1]!S_STM07_IS(D1180,9,$G$5,$H$13),[1]!S_STM07_IS(D1180,55,$G$5,$H$13)/$E$5))</f>
        <v/>
      </c>
      <c r="L1180" s="247" t="str">
        <f ca="1">IF(C1180="","",IF($L$11="ROA",[1]!S_STM07_IS(D1180,61,$G$5,$H$13)/[1]!S_STM07_BS(D1180,74,$G$5,$H$13),1-[1]!S_STM07_IS(D1180,61,$G$5,$H$13)/[1]!S_STM07_IS(D1180,55,$G$5,$H$13)))</f>
        <v/>
      </c>
      <c r="M1180" s="247" t="str">
        <f ca="1">IF(C1180="","",IF($M$11="ROE",[1]!S_STM07_IS(D1180,61,$G$5,$H$13)/[1]!S_STM07_BS(D1180,141,$G$5,$H$13),([1]!S_STM07_BS(D1180,25,$G$5,$H$13)-[1]!S_STM07_BS(D1180,93,$G$5,$H$13))/$E$5))</f>
        <v/>
      </c>
      <c r="N1180" s="247" t="str">
        <f ca="1">IF(C1180="","",IF($N$11="EPS",[1]!S_STM07_IS(D1180,61,$G$5,$H$13)/IF([1]!S_SHARE_TOTAL(D1180,$G$5)=0,[1]!S_SHARE_TOTAL(D1180,[1]!s_ipo_listeddate(D1180)),[1]!S_SHARE_TOTAL(D1180,$G$5)),([1]!S_STM07_BS(D1180,75,$G$5,$H$13)+[1]!S_STM07_BS(D1180,88,$G$5,$H$13)+[1]!S_STM07_BS(D1180,94,$G$5,$H$13)+[1]!S_STM07_BS(D1180,95,$G$5,$H$13))/$E$5))</f>
        <v/>
      </c>
      <c r="O1180" s="247" t="str">
        <f ca="1">IF(C1180="","",IF($O$11="BPS",[1]!S_STM07_BS(D1180,141,$G$5,$H$13)/IF([1]!S_SHARE_TOTAL(D1180,$G$5)=0,[1]!S_SHARE_TOTAL(D1180,[1]!s_ipo_listeddate(D1180)),[1]!S_SHARE_TOTAL(D1180,$G$5)),[1]!S_STM07_CS(D1180,49,$G$5,$H$13)/$E$5))</f>
        <v/>
      </c>
      <c r="P1180" s="247" t="str">
        <f ca="1">IF(C1180="","",IF($P$11="CFPS",[1]!S_STM07_CS(D1180,84,$G$5,$H$13)/IF([1]!S_SHARE_TOTAL(D1180,$G$5)=0,[1]!S_SHARE_TOTAL(D1180,[1]!s_ipo_listeddate(D1180)),[1]!S_SHARE_TOTAL(D1180,$G$5)),[1]!S_STM07_CS(D1180,84,$G$5,$H$13)/$E$5))</f>
        <v/>
      </c>
      <c r="Q1180" s="248" t="str">
        <f ca="1">IF(C1180="","",F1180/([1]!S_STM07_IS(D1180,61,$G$5,$H$13)/IF([1]!S_SHARE_TOTAL(D1180,$G$5)=0,[1]!S_SHARE_TOTAL(D1180,[1]!s_ipo_listeddate(D1180)),[1]!S_SHARE_TOTAL(D1180,$G$5))))</f>
        <v/>
      </c>
      <c r="R1180" s="248" t="str">
        <f ca="1">IF(C1180="","",F1180/([1]!S_STM07_BS(D1180,141,$G$5,$H$13)/IF([1]!S_SHARE_TOTAL(D1180,$G$5)=0,[1]!S_SHARE_TOTAL(D1180,[1]!s_ipo_listeddate(D1180)),[1]!S_SHARE_TOTAL(D1180,$G$5))))</f>
        <v/>
      </c>
      <c r="S1180" s="247" t="str">
        <f ca="1">IF(C1180="","",[1]!S_SHARE_TOTAL(D1180,TODAY())/$E$5)</f>
        <v/>
      </c>
      <c r="T1180" s="247" t="str">
        <f t="shared" ca="1" si="121"/>
        <v/>
      </c>
      <c r="U1180" s="218" t="str">
        <f t="shared" ca="1" si="122"/>
        <v/>
      </c>
      <c r="V1180" s="342" t="str">
        <f t="shared" ca="1" si="123"/>
        <v/>
      </c>
      <c r="W1180" s="139"/>
      <c r="Y1180" s="1"/>
    </row>
    <row r="1181" spans="3:25" ht="12" customHeight="1">
      <c r="C1181" s="343" t="str">
        <f t="shared" ca="1" si="118"/>
        <v/>
      </c>
      <c r="D1181" s="124" t="str">
        <f t="shared" ca="1" si="119"/>
        <v/>
      </c>
      <c r="E1181" s="124" t="str">
        <f t="shared" ca="1" si="120"/>
        <v/>
      </c>
      <c r="F1181" s="172" t="str">
        <f ca="1">IF(C1181="","",[1]!S_DQ_CLOSE(D1181,TODAY(),1))</f>
        <v/>
      </c>
      <c r="G1181" s="173" t="str">
        <f ca="1">IF(C1181="","",[1]!s_pq_pctchange(D1181,TODAY()-$G$12,TODAY())/100)</f>
        <v/>
      </c>
      <c r="H1181" s="249" t="str">
        <f ca="1">IF(C1181="","",IF($H$11="收入",[1]!S_STM07_IS(D1181,9,$G$5,$H$13)/$E$5,[1]!S_STM07_IS(D1181,48,$G$5,$H$13)/$E$5))</f>
        <v/>
      </c>
      <c r="I1181" s="249" t="str">
        <f ca="1">IF(C1181="","",IF($I$11="毛利率",([1]!S_STM07_IS(D1181,9,$G$5,$H$13)-[1]!S_STM07_IS(D1181,10,$G$5,$H$13))/[1]!S_STM07_IS(D1181,9,$G$5,$H$13),[1]!S_STM07_IS(D1181,14,$G$5,$H$13)/$E$5))</f>
        <v/>
      </c>
      <c r="J1181" s="249" t="str">
        <f ca="1">IF(C1181="","",IF($J$11="营业利润率",[1]!S_STM07_IS(D1181,48,$G$5,$H$13)/[1]!S_STM07_IS(D1181,9,$G$5,$H$13),([1]!S_STM07_CS(D1181,87,$G$5,$H$13)+[1]!S_STM07_CS(D1181,88,$G$5,$H$13)+[1]!S_STM07_CS(D1181,89,$G$5,$H$13))/$E$5))</f>
        <v/>
      </c>
      <c r="K1181" s="249" t="str">
        <f ca="1">IF(C1181="","",IF($K$11="净利润率",[1]!S_STM07_IS(D1181,61,$G$5,$H$13)/[1]!S_STM07_IS(D1181,9,$G$5,$H$13),[1]!S_STM07_IS(D1181,55,$G$5,$H$13)/$E$5))</f>
        <v/>
      </c>
      <c r="L1181" s="249" t="str">
        <f ca="1">IF(C1181="","",IF($L$11="ROA",[1]!S_STM07_IS(D1181,61,$G$5,$H$13)/[1]!S_STM07_BS(D1181,74,$G$5,$H$13),1-[1]!S_STM07_IS(D1181,61,$G$5,$H$13)/[1]!S_STM07_IS(D1181,55,$G$5,$H$13)))</f>
        <v/>
      </c>
      <c r="M1181" s="249" t="str">
        <f ca="1">IF(C1181="","",IF($M$11="ROE",[1]!S_STM07_IS(D1181,61,$G$5,$H$13)/[1]!S_STM07_BS(D1181,141,$G$5,$H$13),([1]!S_STM07_BS(D1181,25,$G$5,$H$13)-[1]!S_STM07_BS(D1181,93,$G$5,$H$13))/$E$5))</f>
        <v/>
      </c>
      <c r="N1181" s="250" t="str">
        <f ca="1">IF(C1181="","",IF($N$11="EPS",[1]!S_STM07_IS(D1181,61,$G$5,$H$13)/IF([1]!S_SHARE_TOTAL(D1181,$G$5)=0,[1]!S_SHARE_TOTAL(D1181,[1]!s_ipo_listeddate(D1181)),[1]!S_SHARE_TOTAL(D1181,$G$5)),([1]!S_STM07_BS(D1181,75,$G$5,$H$13)+[1]!S_STM07_BS(D1181,88,$G$5,$H$13)+[1]!S_STM07_BS(D1181,94,$G$5,$H$13)+[1]!S_STM07_BS(D1181,95,$G$5,$H$13))/$E$5))</f>
        <v/>
      </c>
      <c r="O1181" s="250" t="str">
        <f ca="1">IF(C1181="","",IF($O$11="BPS",[1]!S_STM07_BS(D1181,141,$G$5,$H$13)/IF([1]!S_SHARE_TOTAL(D1181,$G$5)=0,[1]!S_SHARE_TOTAL(D1181,[1]!s_ipo_listeddate(D1181)),[1]!S_SHARE_TOTAL(D1181,$G$5)),[1]!S_STM07_CS(D1181,49,$G$5,$H$13)/$E$5))</f>
        <v/>
      </c>
      <c r="P1181" s="250" t="str">
        <f ca="1">IF(C1181="","",IF($P$11="CFPS",[1]!S_STM07_CS(D1181,84,$G$5,$H$13)/IF([1]!S_SHARE_TOTAL(D1181,$G$5)=0,[1]!S_SHARE_TOTAL(D1181,[1]!s_ipo_listeddate(D1181)),[1]!S_SHARE_TOTAL(D1181,$G$5)),[1]!S_STM07_CS(D1181,84,$G$5,$H$13)/$E$5))</f>
        <v/>
      </c>
      <c r="Q1181" s="198" t="str">
        <f ca="1">IF(C1181="","",F1181/([1]!S_STM07_IS(D1181,61,$G$5,$H$13)/IF([1]!S_SHARE_TOTAL(D1181,$G$5)=0,[1]!S_SHARE_TOTAL(D1181,[1]!s_ipo_listeddate(D1181)),[1]!S_SHARE_TOTAL(D1181,$G$5))))</f>
        <v/>
      </c>
      <c r="R1181" s="198" t="str">
        <f ca="1">IF(C1181="","",F1181/([1]!S_STM07_BS(D1181,141,$G$5,$H$13)/IF([1]!S_SHARE_TOTAL(D1181,$G$5)=0,[1]!S_SHARE_TOTAL(D1181,[1]!s_ipo_listeddate(D1181)),[1]!S_SHARE_TOTAL(D1181,$G$5))))</f>
        <v/>
      </c>
      <c r="S1181" s="249" t="str">
        <f ca="1">IF(C1181="","",[1]!S_SHARE_TOTAL(D1181,TODAY())/$E$5)</f>
        <v/>
      </c>
      <c r="T1181" s="249" t="str">
        <f t="shared" ca="1" si="121"/>
        <v/>
      </c>
      <c r="U1181" s="172" t="str">
        <f t="shared" ca="1" si="122"/>
        <v/>
      </c>
      <c r="V1181" s="343" t="str">
        <f t="shared" ca="1" si="123"/>
        <v/>
      </c>
      <c r="W1181" s="139"/>
      <c r="Y1181" s="1"/>
    </row>
    <row r="1182" spans="3:25" ht="12" customHeight="1">
      <c r="C1182" s="342" t="str">
        <f t="shared" ca="1" si="118"/>
        <v/>
      </c>
      <c r="D1182" s="153" t="str">
        <f t="shared" ca="1" si="119"/>
        <v/>
      </c>
      <c r="E1182" s="153" t="str">
        <f t="shared" ca="1" si="120"/>
        <v/>
      </c>
      <c r="F1182" s="170" t="str">
        <f ca="1">IF(C1182="","",[1]!S_DQ_CLOSE(D1182,TODAY(),1))</f>
        <v/>
      </c>
      <c r="G1182" s="171" t="str">
        <f ca="1">IF(C1182="","",[1]!s_pq_pctchange(D1182,TODAY()-$G$12,TODAY())/100)</f>
        <v/>
      </c>
      <c r="H1182" s="247" t="str">
        <f ca="1">IF(C1182="","",IF($H$11="收入",[1]!S_STM07_IS(D1182,9,$G$5,$H$13)/$E$5,[1]!S_STM07_IS(D1182,48,$G$5,$H$13)/$E$5))</f>
        <v/>
      </c>
      <c r="I1182" s="247" t="str">
        <f ca="1">IF(C1182="","",IF($I$11="毛利率",([1]!S_STM07_IS(D1182,9,$G$5,$H$13)-[1]!S_STM07_IS(D1182,10,$G$5,$H$13))/[1]!S_STM07_IS(D1182,9,$G$5,$H$13),[1]!S_STM07_IS(D1182,14,$G$5,$H$13)/$E$5))</f>
        <v/>
      </c>
      <c r="J1182" s="247" t="str">
        <f ca="1">IF(C1182="","",IF($J$11="营业利润率",[1]!S_STM07_IS(D1182,48,$G$5,$H$13)/[1]!S_STM07_IS(D1182,9,$G$5,$H$13),([1]!S_STM07_CS(D1182,87,$G$5,$H$13)+[1]!S_STM07_CS(D1182,88,$G$5,$H$13)+[1]!S_STM07_CS(D1182,89,$G$5,$H$13))/$E$5))</f>
        <v/>
      </c>
      <c r="K1182" s="247" t="str">
        <f ca="1">IF(C1182="","",IF($K$11="净利润率",[1]!S_STM07_IS(D1182,61,$G$5,$H$13)/[1]!S_STM07_IS(D1182,9,$G$5,$H$13),[1]!S_STM07_IS(D1182,55,$G$5,$H$13)/$E$5))</f>
        <v/>
      </c>
      <c r="L1182" s="247" t="str">
        <f ca="1">IF(C1182="","",IF($L$11="ROA",[1]!S_STM07_IS(D1182,61,$G$5,$H$13)/[1]!S_STM07_BS(D1182,74,$G$5,$H$13),1-[1]!S_STM07_IS(D1182,61,$G$5,$H$13)/[1]!S_STM07_IS(D1182,55,$G$5,$H$13)))</f>
        <v/>
      </c>
      <c r="M1182" s="247" t="str">
        <f ca="1">IF(C1182="","",IF($M$11="ROE",[1]!S_STM07_IS(D1182,61,$G$5,$H$13)/[1]!S_STM07_BS(D1182,141,$G$5,$H$13),([1]!S_STM07_BS(D1182,25,$G$5,$H$13)-[1]!S_STM07_BS(D1182,93,$G$5,$H$13))/$E$5))</f>
        <v/>
      </c>
      <c r="N1182" s="247" t="str">
        <f ca="1">IF(C1182="","",IF($N$11="EPS",[1]!S_STM07_IS(D1182,61,$G$5,$H$13)/IF([1]!S_SHARE_TOTAL(D1182,$G$5)=0,[1]!S_SHARE_TOTAL(D1182,[1]!s_ipo_listeddate(D1182)),[1]!S_SHARE_TOTAL(D1182,$G$5)),([1]!S_STM07_BS(D1182,75,$G$5,$H$13)+[1]!S_STM07_BS(D1182,88,$G$5,$H$13)+[1]!S_STM07_BS(D1182,94,$G$5,$H$13)+[1]!S_STM07_BS(D1182,95,$G$5,$H$13))/$E$5))</f>
        <v/>
      </c>
      <c r="O1182" s="247" t="str">
        <f ca="1">IF(C1182="","",IF($O$11="BPS",[1]!S_STM07_BS(D1182,141,$G$5,$H$13)/IF([1]!S_SHARE_TOTAL(D1182,$G$5)=0,[1]!S_SHARE_TOTAL(D1182,[1]!s_ipo_listeddate(D1182)),[1]!S_SHARE_TOTAL(D1182,$G$5)),[1]!S_STM07_CS(D1182,49,$G$5,$H$13)/$E$5))</f>
        <v/>
      </c>
      <c r="P1182" s="247" t="str">
        <f ca="1">IF(C1182="","",IF($P$11="CFPS",[1]!S_STM07_CS(D1182,84,$G$5,$H$13)/IF([1]!S_SHARE_TOTAL(D1182,$G$5)=0,[1]!S_SHARE_TOTAL(D1182,[1]!s_ipo_listeddate(D1182)),[1]!S_SHARE_TOTAL(D1182,$G$5)),[1]!S_STM07_CS(D1182,84,$G$5,$H$13)/$E$5))</f>
        <v/>
      </c>
      <c r="Q1182" s="248" t="str">
        <f ca="1">IF(C1182="","",F1182/([1]!S_STM07_IS(D1182,61,$G$5,$H$13)/IF([1]!S_SHARE_TOTAL(D1182,$G$5)=0,[1]!S_SHARE_TOTAL(D1182,[1]!s_ipo_listeddate(D1182)),[1]!S_SHARE_TOTAL(D1182,$G$5))))</f>
        <v/>
      </c>
      <c r="R1182" s="248" t="str">
        <f ca="1">IF(C1182="","",F1182/([1]!S_STM07_BS(D1182,141,$G$5,$H$13)/IF([1]!S_SHARE_TOTAL(D1182,$G$5)=0,[1]!S_SHARE_TOTAL(D1182,[1]!s_ipo_listeddate(D1182)),[1]!S_SHARE_TOTAL(D1182,$G$5))))</f>
        <v/>
      </c>
      <c r="S1182" s="247" t="str">
        <f ca="1">IF(C1182="","",[1]!S_SHARE_TOTAL(D1182,TODAY())/$E$5)</f>
        <v/>
      </c>
      <c r="T1182" s="247" t="str">
        <f t="shared" ca="1" si="121"/>
        <v/>
      </c>
      <c r="U1182" s="218" t="str">
        <f t="shared" ca="1" si="122"/>
        <v/>
      </c>
      <c r="V1182" s="342" t="str">
        <f t="shared" ca="1" si="123"/>
        <v/>
      </c>
      <c r="W1182" s="139"/>
      <c r="Y1182" s="1"/>
    </row>
    <row r="1183" spans="3:25" ht="12" customHeight="1">
      <c r="C1183" s="343" t="str">
        <f t="shared" ca="1" si="118"/>
        <v/>
      </c>
      <c r="D1183" s="124" t="str">
        <f t="shared" ca="1" si="119"/>
        <v/>
      </c>
      <c r="E1183" s="124" t="str">
        <f t="shared" ca="1" si="120"/>
        <v/>
      </c>
      <c r="F1183" s="172" t="str">
        <f ca="1">IF(C1183="","",[1]!S_DQ_CLOSE(D1183,TODAY(),1))</f>
        <v/>
      </c>
      <c r="G1183" s="173" t="str">
        <f ca="1">IF(C1183="","",[1]!s_pq_pctchange(D1183,TODAY()-$G$12,TODAY())/100)</f>
        <v/>
      </c>
      <c r="H1183" s="249" t="str">
        <f ca="1">IF(C1183="","",IF($H$11="收入",[1]!S_STM07_IS(D1183,9,$G$5,$H$13)/$E$5,[1]!S_STM07_IS(D1183,48,$G$5,$H$13)/$E$5))</f>
        <v/>
      </c>
      <c r="I1183" s="249" t="str">
        <f ca="1">IF(C1183="","",IF($I$11="毛利率",([1]!S_STM07_IS(D1183,9,$G$5,$H$13)-[1]!S_STM07_IS(D1183,10,$G$5,$H$13))/[1]!S_STM07_IS(D1183,9,$G$5,$H$13),[1]!S_STM07_IS(D1183,14,$G$5,$H$13)/$E$5))</f>
        <v/>
      </c>
      <c r="J1183" s="249" t="str">
        <f ca="1">IF(C1183="","",IF($J$11="营业利润率",[1]!S_STM07_IS(D1183,48,$G$5,$H$13)/[1]!S_STM07_IS(D1183,9,$G$5,$H$13),([1]!S_STM07_CS(D1183,87,$G$5,$H$13)+[1]!S_STM07_CS(D1183,88,$G$5,$H$13)+[1]!S_STM07_CS(D1183,89,$G$5,$H$13))/$E$5))</f>
        <v/>
      </c>
      <c r="K1183" s="249" t="str">
        <f ca="1">IF(C1183="","",IF($K$11="净利润率",[1]!S_STM07_IS(D1183,61,$G$5,$H$13)/[1]!S_STM07_IS(D1183,9,$G$5,$H$13),[1]!S_STM07_IS(D1183,55,$G$5,$H$13)/$E$5))</f>
        <v/>
      </c>
      <c r="L1183" s="249" t="str">
        <f ca="1">IF(C1183="","",IF($L$11="ROA",[1]!S_STM07_IS(D1183,61,$G$5,$H$13)/[1]!S_STM07_BS(D1183,74,$G$5,$H$13),1-[1]!S_STM07_IS(D1183,61,$G$5,$H$13)/[1]!S_STM07_IS(D1183,55,$G$5,$H$13)))</f>
        <v/>
      </c>
      <c r="M1183" s="249" t="str">
        <f ca="1">IF(C1183="","",IF($M$11="ROE",[1]!S_STM07_IS(D1183,61,$G$5,$H$13)/[1]!S_STM07_BS(D1183,141,$G$5,$H$13),([1]!S_STM07_BS(D1183,25,$G$5,$H$13)-[1]!S_STM07_BS(D1183,93,$G$5,$H$13))/$E$5))</f>
        <v/>
      </c>
      <c r="N1183" s="250" t="str">
        <f ca="1">IF(C1183="","",IF($N$11="EPS",[1]!S_STM07_IS(D1183,61,$G$5,$H$13)/IF([1]!S_SHARE_TOTAL(D1183,$G$5)=0,[1]!S_SHARE_TOTAL(D1183,[1]!s_ipo_listeddate(D1183)),[1]!S_SHARE_TOTAL(D1183,$G$5)),([1]!S_STM07_BS(D1183,75,$G$5,$H$13)+[1]!S_STM07_BS(D1183,88,$G$5,$H$13)+[1]!S_STM07_BS(D1183,94,$G$5,$H$13)+[1]!S_STM07_BS(D1183,95,$G$5,$H$13))/$E$5))</f>
        <v/>
      </c>
      <c r="O1183" s="250" t="str">
        <f ca="1">IF(C1183="","",IF($O$11="BPS",[1]!S_STM07_BS(D1183,141,$G$5,$H$13)/IF([1]!S_SHARE_TOTAL(D1183,$G$5)=0,[1]!S_SHARE_TOTAL(D1183,[1]!s_ipo_listeddate(D1183)),[1]!S_SHARE_TOTAL(D1183,$G$5)),[1]!S_STM07_CS(D1183,49,$G$5,$H$13)/$E$5))</f>
        <v/>
      </c>
      <c r="P1183" s="250" t="str">
        <f ca="1">IF(C1183="","",IF($P$11="CFPS",[1]!S_STM07_CS(D1183,84,$G$5,$H$13)/IF([1]!S_SHARE_TOTAL(D1183,$G$5)=0,[1]!S_SHARE_TOTAL(D1183,[1]!s_ipo_listeddate(D1183)),[1]!S_SHARE_TOTAL(D1183,$G$5)),[1]!S_STM07_CS(D1183,84,$G$5,$H$13)/$E$5))</f>
        <v/>
      </c>
      <c r="Q1183" s="198" t="str">
        <f ca="1">IF(C1183="","",F1183/([1]!S_STM07_IS(D1183,61,$G$5,$H$13)/IF([1]!S_SHARE_TOTAL(D1183,$G$5)=0,[1]!S_SHARE_TOTAL(D1183,[1]!s_ipo_listeddate(D1183)),[1]!S_SHARE_TOTAL(D1183,$G$5))))</f>
        <v/>
      </c>
      <c r="R1183" s="198" t="str">
        <f ca="1">IF(C1183="","",F1183/([1]!S_STM07_BS(D1183,141,$G$5,$H$13)/IF([1]!S_SHARE_TOTAL(D1183,$G$5)=0,[1]!S_SHARE_TOTAL(D1183,[1]!s_ipo_listeddate(D1183)),[1]!S_SHARE_TOTAL(D1183,$G$5))))</f>
        <v/>
      </c>
      <c r="S1183" s="249" t="str">
        <f ca="1">IF(C1183="","",[1]!S_SHARE_TOTAL(D1183,TODAY())/$E$5)</f>
        <v/>
      </c>
      <c r="T1183" s="249" t="str">
        <f t="shared" ca="1" si="121"/>
        <v/>
      </c>
      <c r="U1183" s="172" t="str">
        <f t="shared" ca="1" si="122"/>
        <v/>
      </c>
      <c r="V1183" s="343" t="str">
        <f t="shared" ca="1" si="123"/>
        <v/>
      </c>
      <c r="W1183" s="139"/>
      <c r="Y1183" s="1"/>
    </row>
    <row r="1184" spans="3:25" ht="12" customHeight="1">
      <c r="C1184" s="342" t="str">
        <f t="shared" ca="1" si="118"/>
        <v/>
      </c>
      <c r="D1184" s="153" t="str">
        <f t="shared" ca="1" si="119"/>
        <v/>
      </c>
      <c r="E1184" s="153" t="str">
        <f t="shared" ca="1" si="120"/>
        <v/>
      </c>
      <c r="F1184" s="170" t="str">
        <f ca="1">IF(C1184="","",[1]!S_DQ_CLOSE(D1184,TODAY(),1))</f>
        <v/>
      </c>
      <c r="G1184" s="171" t="str">
        <f ca="1">IF(C1184="","",[1]!s_pq_pctchange(D1184,TODAY()-$G$12,TODAY())/100)</f>
        <v/>
      </c>
      <c r="H1184" s="247" t="str">
        <f ca="1">IF(C1184="","",IF($H$11="收入",[1]!S_STM07_IS(D1184,9,$G$5,$H$13)/$E$5,[1]!S_STM07_IS(D1184,48,$G$5,$H$13)/$E$5))</f>
        <v/>
      </c>
      <c r="I1184" s="247" t="str">
        <f ca="1">IF(C1184="","",IF($I$11="毛利率",([1]!S_STM07_IS(D1184,9,$G$5,$H$13)-[1]!S_STM07_IS(D1184,10,$G$5,$H$13))/[1]!S_STM07_IS(D1184,9,$G$5,$H$13),[1]!S_STM07_IS(D1184,14,$G$5,$H$13)/$E$5))</f>
        <v/>
      </c>
      <c r="J1184" s="247" t="str">
        <f ca="1">IF(C1184="","",IF($J$11="营业利润率",[1]!S_STM07_IS(D1184,48,$G$5,$H$13)/[1]!S_STM07_IS(D1184,9,$G$5,$H$13),([1]!S_STM07_CS(D1184,87,$G$5,$H$13)+[1]!S_STM07_CS(D1184,88,$G$5,$H$13)+[1]!S_STM07_CS(D1184,89,$G$5,$H$13))/$E$5))</f>
        <v/>
      </c>
      <c r="K1184" s="247" t="str">
        <f ca="1">IF(C1184="","",IF($K$11="净利润率",[1]!S_STM07_IS(D1184,61,$G$5,$H$13)/[1]!S_STM07_IS(D1184,9,$G$5,$H$13),[1]!S_STM07_IS(D1184,55,$G$5,$H$13)/$E$5))</f>
        <v/>
      </c>
      <c r="L1184" s="247" t="str">
        <f ca="1">IF(C1184="","",IF($L$11="ROA",[1]!S_STM07_IS(D1184,61,$G$5,$H$13)/[1]!S_STM07_BS(D1184,74,$G$5,$H$13),1-[1]!S_STM07_IS(D1184,61,$G$5,$H$13)/[1]!S_STM07_IS(D1184,55,$G$5,$H$13)))</f>
        <v/>
      </c>
      <c r="M1184" s="247" t="str">
        <f ca="1">IF(C1184="","",IF($M$11="ROE",[1]!S_STM07_IS(D1184,61,$G$5,$H$13)/[1]!S_STM07_BS(D1184,141,$G$5,$H$13),([1]!S_STM07_BS(D1184,25,$G$5,$H$13)-[1]!S_STM07_BS(D1184,93,$G$5,$H$13))/$E$5))</f>
        <v/>
      </c>
      <c r="N1184" s="247" t="str">
        <f ca="1">IF(C1184="","",IF($N$11="EPS",[1]!S_STM07_IS(D1184,61,$G$5,$H$13)/IF([1]!S_SHARE_TOTAL(D1184,$G$5)=0,[1]!S_SHARE_TOTAL(D1184,[1]!s_ipo_listeddate(D1184)),[1]!S_SHARE_TOTAL(D1184,$G$5)),([1]!S_STM07_BS(D1184,75,$G$5,$H$13)+[1]!S_STM07_BS(D1184,88,$G$5,$H$13)+[1]!S_STM07_BS(D1184,94,$G$5,$H$13)+[1]!S_STM07_BS(D1184,95,$G$5,$H$13))/$E$5))</f>
        <v/>
      </c>
      <c r="O1184" s="247" t="str">
        <f ca="1">IF(C1184="","",IF($O$11="BPS",[1]!S_STM07_BS(D1184,141,$G$5,$H$13)/IF([1]!S_SHARE_TOTAL(D1184,$G$5)=0,[1]!S_SHARE_TOTAL(D1184,[1]!s_ipo_listeddate(D1184)),[1]!S_SHARE_TOTAL(D1184,$G$5)),[1]!S_STM07_CS(D1184,49,$G$5,$H$13)/$E$5))</f>
        <v/>
      </c>
      <c r="P1184" s="247" t="str">
        <f ca="1">IF(C1184="","",IF($P$11="CFPS",[1]!S_STM07_CS(D1184,84,$G$5,$H$13)/IF([1]!S_SHARE_TOTAL(D1184,$G$5)=0,[1]!S_SHARE_TOTAL(D1184,[1]!s_ipo_listeddate(D1184)),[1]!S_SHARE_TOTAL(D1184,$G$5)),[1]!S_STM07_CS(D1184,84,$G$5,$H$13)/$E$5))</f>
        <v/>
      </c>
      <c r="Q1184" s="248" t="str">
        <f ca="1">IF(C1184="","",F1184/([1]!S_STM07_IS(D1184,61,$G$5,$H$13)/IF([1]!S_SHARE_TOTAL(D1184,$G$5)=0,[1]!S_SHARE_TOTAL(D1184,[1]!s_ipo_listeddate(D1184)),[1]!S_SHARE_TOTAL(D1184,$G$5))))</f>
        <v/>
      </c>
      <c r="R1184" s="248" t="str">
        <f ca="1">IF(C1184="","",F1184/([1]!S_STM07_BS(D1184,141,$G$5,$H$13)/IF([1]!S_SHARE_TOTAL(D1184,$G$5)=0,[1]!S_SHARE_TOTAL(D1184,[1]!s_ipo_listeddate(D1184)),[1]!S_SHARE_TOTAL(D1184,$G$5))))</f>
        <v/>
      </c>
      <c r="S1184" s="247" t="str">
        <f ca="1">IF(C1184="","",[1]!S_SHARE_TOTAL(D1184,TODAY())/$E$5)</f>
        <v/>
      </c>
      <c r="T1184" s="247" t="str">
        <f t="shared" ca="1" si="121"/>
        <v/>
      </c>
      <c r="U1184" s="218" t="str">
        <f t="shared" ca="1" si="122"/>
        <v/>
      </c>
      <c r="V1184" s="342" t="str">
        <f t="shared" ca="1" si="123"/>
        <v/>
      </c>
      <c r="W1184" s="139"/>
      <c r="Y1184" s="1"/>
    </row>
    <row r="1185" spans="3:25" ht="12" customHeight="1">
      <c r="C1185" s="343" t="str">
        <f t="shared" ca="1" si="118"/>
        <v/>
      </c>
      <c r="D1185" s="124" t="str">
        <f t="shared" ca="1" si="119"/>
        <v/>
      </c>
      <c r="E1185" s="124" t="str">
        <f t="shared" ca="1" si="120"/>
        <v/>
      </c>
      <c r="F1185" s="172" t="str">
        <f ca="1">IF(C1185="","",[1]!S_DQ_CLOSE(D1185,TODAY(),1))</f>
        <v/>
      </c>
      <c r="G1185" s="173" t="str">
        <f ca="1">IF(C1185="","",[1]!s_pq_pctchange(D1185,TODAY()-$G$12,TODAY())/100)</f>
        <v/>
      </c>
      <c r="H1185" s="249" t="str">
        <f ca="1">IF(C1185="","",IF($H$11="收入",[1]!S_STM07_IS(D1185,9,$G$5,$H$13)/$E$5,[1]!S_STM07_IS(D1185,48,$G$5,$H$13)/$E$5))</f>
        <v/>
      </c>
      <c r="I1185" s="249" t="str">
        <f ca="1">IF(C1185="","",IF($I$11="毛利率",([1]!S_STM07_IS(D1185,9,$G$5,$H$13)-[1]!S_STM07_IS(D1185,10,$G$5,$H$13))/[1]!S_STM07_IS(D1185,9,$G$5,$H$13),[1]!S_STM07_IS(D1185,14,$G$5,$H$13)/$E$5))</f>
        <v/>
      </c>
      <c r="J1185" s="249" t="str">
        <f ca="1">IF(C1185="","",IF($J$11="营业利润率",[1]!S_STM07_IS(D1185,48,$G$5,$H$13)/[1]!S_STM07_IS(D1185,9,$G$5,$H$13),([1]!S_STM07_CS(D1185,87,$G$5,$H$13)+[1]!S_STM07_CS(D1185,88,$G$5,$H$13)+[1]!S_STM07_CS(D1185,89,$G$5,$H$13))/$E$5))</f>
        <v/>
      </c>
      <c r="K1185" s="249" t="str">
        <f ca="1">IF(C1185="","",IF($K$11="净利润率",[1]!S_STM07_IS(D1185,61,$G$5,$H$13)/[1]!S_STM07_IS(D1185,9,$G$5,$H$13),[1]!S_STM07_IS(D1185,55,$G$5,$H$13)/$E$5))</f>
        <v/>
      </c>
      <c r="L1185" s="249" t="str">
        <f ca="1">IF(C1185="","",IF($L$11="ROA",[1]!S_STM07_IS(D1185,61,$G$5,$H$13)/[1]!S_STM07_BS(D1185,74,$G$5,$H$13),1-[1]!S_STM07_IS(D1185,61,$G$5,$H$13)/[1]!S_STM07_IS(D1185,55,$G$5,$H$13)))</f>
        <v/>
      </c>
      <c r="M1185" s="249" t="str">
        <f ca="1">IF(C1185="","",IF($M$11="ROE",[1]!S_STM07_IS(D1185,61,$G$5,$H$13)/[1]!S_STM07_BS(D1185,141,$G$5,$H$13),([1]!S_STM07_BS(D1185,25,$G$5,$H$13)-[1]!S_STM07_BS(D1185,93,$G$5,$H$13))/$E$5))</f>
        <v/>
      </c>
      <c r="N1185" s="250" t="str">
        <f ca="1">IF(C1185="","",IF($N$11="EPS",[1]!S_STM07_IS(D1185,61,$G$5,$H$13)/IF([1]!S_SHARE_TOTAL(D1185,$G$5)=0,[1]!S_SHARE_TOTAL(D1185,[1]!s_ipo_listeddate(D1185)),[1]!S_SHARE_TOTAL(D1185,$G$5)),([1]!S_STM07_BS(D1185,75,$G$5,$H$13)+[1]!S_STM07_BS(D1185,88,$G$5,$H$13)+[1]!S_STM07_BS(D1185,94,$G$5,$H$13)+[1]!S_STM07_BS(D1185,95,$G$5,$H$13))/$E$5))</f>
        <v/>
      </c>
      <c r="O1185" s="250" t="str">
        <f ca="1">IF(C1185="","",IF($O$11="BPS",[1]!S_STM07_BS(D1185,141,$G$5,$H$13)/IF([1]!S_SHARE_TOTAL(D1185,$G$5)=0,[1]!S_SHARE_TOTAL(D1185,[1]!s_ipo_listeddate(D1185)),[1]!S_SHARE_TOTAL(D1185,$G$5)),[1]!S_STM07_CS(D1185,49,$G$5,$H$13)/$E$5))</f>
        <v/>
      </c>
      <c r="P1185" s="250" t="str">
        <f ca="1">IF(C1185="","",IF($P$11="CFPS",[1]!S_STM07_CS(D1185,84,$G$5,$H$13)/IF([1]!S_SHARE_TOTAL(D1185,$G$5)=0,[1]!S_SHARE_TOTAL(D1185,[1]!s_ipo_listeddate(D1185)),[1]!S_SHARE_TOTAL(D1185,$G$5)),[1]!S_STM07_CS(D1185,84,$G$5,$H$13)/$E$5))</f>
        <v/>
      </c>
      <c r="Q1185" s="198" t="str">
        <f ca="1">IF(C1185="","",F1185/([1]!S_STM07_IS(D1185,61,$G$5,$H$13)/IF([1]!S_SHARE_TOTAL(D1185,$G$5)=0,[1]!S_SHARE_TOTAL(D1185,[1]!s_ipo_listeddate(D1185)),[1]!S_SHARE_TOTAL(D1185,$G$5))))</f>
        <v/>
      </c>
      <c r="R1185" s="198" t="str">
        <f ca="1">IF(C1185="","",F1185/([1]!S_STM07_BS(D1185,141,$G$5,$H$13)/IF([1]!S_SHARE_TOTAL(D1185,$G$5)=0,[1]!S_SHARE_TOTAL(D1185,[1]!s_ipo_listeddate(D1185)),[1]!S_SHARE_TOTAL(D1185,$G$5))))</f>
        <v/>
      </c>
      <c r="S1185" s="249" t="str">
        <f ca="1">IF(C1185="","",[1]!S_SHARE_TOTAL(D1185,TODAY())/$E$5)</f>
        <v/>
      </c>
      <c r="T1185" s="249" t="str">
        <f t="shared" ca="1" si="121"/>
        <v/>
      </c>
      <c r="U1185" s="172" t="str">
        <f t="shared" ca="1" si="122"/>
        <v/>
      </c>
      <c r="V1185" s="343" t="str">
        <f t="shared" ca="1" si="123"/>
        <v/>
      </c>
      <c r="W1185" s="139"/>
      <c r="Y1185" s="1"/>
    </row>
    <row r="1186" spans="3:25" ht="12" customHeight="1">
      <c r="C1186" s="342" t="str">
        <f t="shared" ca="1" si="118"/>
        <v/>
      </c>
      <c r="D1186" s="153" t="str">
        <f t="shared" ca="1" si="119"/>
        <v/>
      </c>
      <c r="E1186" s="153" t="str">
        <f t="shared" ca="1" si="120"/>
        <v/>
      </c>
      <c r="F1186" s="170" t="str">
        <f ca="1">IF(C1186="","",[1]!S_DQ_CLOSE(D1186,TODAY(),1))</f>
        <v/>
      </c>
      <c r="G1186" s="171" t="str">
        <f ca="1">IF(C1186="","",[1]!s_pq_pctchange(D1186,TODAY()-$G$12,TODAY())/100)</f>
        <v/>
      </c>
      <c r="H1186" s="247" t="str">
        <f ca="1">IF(C1186="","",IF($H$11="收入",[1]!S_STM07_IS(D1186,9,$G$5,$H$13)/$E$5,[1]!S_STM07_IS(D1186,48,$G$5,$H$13)/$E$5))</f>
        <v/>
      </c>
      <c r="I1186" s="247" t="str">
        <f ca="1">IF(C1186="","",IF($I$11="毛利率",([1]!S_STM07_IS(D1186,9,$G$5,$H$13)-[1]!S_STM07_IS(D1186,10,$G$5,$H$13))/[1]!S_STM07_IS(D1186,9,$G$5,$H$13),[1]!S_STM07_IS(D1186,14,$G$5,$H$13)/$E$5))</f>
        <v/>
      </c>
      <c r="J1186" s="247" t="str">
        <f ca="1">IF(C1186="","",IF($J$11="营业利润率",[1]!S_STM07_IS(D1186,48,$G$5,$H$13)/[1]!S_STM07_IS(D1186,9,$G$5,$H$13),([1]!S_STM07_CS(D1186,87,$G$5,$H$13)+[1]!S_STM07_CS(D1186,88,$G$5,$H$13)+[1]!S_STM07_CS(D1186,89,$G$5,$H$13))/$E$5))</f>
        <v/>
      </c>
      <c r="K1186" s="247" t="str">
        <f ca="1">IF(C1186="","",IF($K$11="净利润率",[1]!S_STM07_IS(D1186,61,$G$5,$H$13)/[1]!S_STM07_IS(D1186,9,$G$5,$H$13),[1]!S_STM07_IS(D1186,55,$G$5,$H$13)/$E$5))</f>
        <v/>
      </c>
      <c r="L1186" s="247" t="str">
        <f ca="1">IF(C1186="","",IF($L$11="ROA",[1]!S_STM07_IS(D1186,61,$G$5,$H$13)/[1]!S_STM07_BS(D1186,74,$G$5,$H$13),1-[1]!S_STM07_IS(D1186,61,$G$5,$H$13)/[1]!S_STM07_IS(D1186,55,$G$5,$H$13)))</f>
        <v/>
      </c>
      <c r="M1186" s="247" t="str">
        <f ca="1">IF(C1186="","",IF($M$11="ROE",[1]!S_STM07_IS(D1186,61,$G$5,$H$13)/[1]!S_STM07_BS(D1186,141,$G$5,$H$13),([1]!S_STM07_BS(D1186,25,$G$5,$H$13)-[1]!S_STM07_BS(D1186,93,$G$5,$H$13))/$E$5))</f>
        <v/>
      </c>
      <c r="N1186" s="247" t="str">
        <f ca="1">IF(C1186="","",IF($N$11="EPS",[1]!S_STM07_IS(D1186,61,$G$5,$H$13)/IF([1]!S_SHARE_TOTAL(D1186,$G$5)=0,[1]!S_SHARE_TOTAL(D1186,[1]!s_ipo_listeddate(D1186)),[1]!S_SHARE_TOTAL(D1186,$G$5)),([1]!S_STM07_BS(D1186,75,$G$5,$H$13)+[1]!S_STM07_BS(D1186,88,$G$5,$H$13)+[1]!S_STM07_BS(D1186,94,$G$5,$H$13)+[1]!S_STM07_BS(D1186,95,$G$5,$H$13))/$E$5))</f>
        <v/>
      </c>
      <c r="O1186" s="247" t="str">
        <f ca="1">IF(C1186="","",IF($O$11="BPS",[1]!S_STM07_BS(D1186,141,$G$5,$H$13)/IF([1]!S_SHARE_TOTAL(D1186,$G$5)=0,[1]!S_SHARE_TOTAL(D1186,[1]!s_ipo_listeddate(D1186)),[1]!S_SHARE_TOTAL(D1186,$G$5)),[1]!S_STM07_CS(D1186,49,$G$5,$H$13)/$E$5))</f>
        <v/>
      </c>
      <c r="P1186" s="247" t="str">
        <f ca="1">IF(C1186="","",IF($P$11="CFPS",[1]!S_STM07_CS(D1186,84,$G$5,$H$13)/IF([1]!S_SHARE_TOTAL(D1186,$G$5)=0,[1]!S_SHARE_TOTAL(D1186,[1]!s_ipo_listeddate(D1186)),[1]!S_SHARE_TOTAL(D1186,$G$5)),[1]!S_STM07_CS(D1186,84,$G$5,$H$13)/$E$5))</f>
        <v/>
      </c>
      <c r="Q1186" s="248" t="str">
        <f ca="1">IF(C1186="","",F1186/([1]!S_STM07_IS(D1186,61,$G$5,$H$13)/IF([1]!S_SHARE_TOTAL(D1186,$G$5)=0,[1]!S_SHARE_TOTAL(D1186,[1]!s_ipo_listeddate(D1186)),[1]!S_SHARE_TOTAL(D1186,$G$5))))</f>
        <v/>
      </c>
      <c r="R1186" s="248" t="str">
        <f ca="1">IF(C1186="","",F1186/([1]!S_STM07_BS(D1186,141,$G$5,$H$13)/IF([1]!S_SHARE_TOTAL(D1186,$G$5)=0,[1]!S_SHARE_TOTAL(D1186,[1]!s_ipo_listeddate(D1186)),[1]!S_SHARE_TOTAL(D1186,$G$5))))</f>
        <v/>
      </c>
      <c r="S1186" s="247" t="str">
        <f ca="1">IF(C1186="","",[1]!S_SHARE_TOTAL(D1186,TODAY())/$E$5)</f>
        <v/>
      </c>
      <c r="T1186" s="247" t="str">
        <f t="shared" ca="1" si="121"/>
        <v/>
      </c>
      <c r="U1186" s="218" t="str">
        <f t="shared" ca="1" si="122"/>
        <v/>
      </c>
      <c r="V1186" s="342" t="str">
        <f t="shared" ca="1" si="123"/>
        <v/>
      </c>
      <c r="W1186" s="139"/>
      <c r="Y1186" s="1"/>
    </row>
    <row r="1187" spans="3:25" ht="12" customHeight="1">
      <c r="C1187" s="343" t="str">
        <f t="shared" ca="1" si="118"/>
        <v/>
      </c>
      <c r="D1187" s="124" t="str">
        <f t="shared" ca="1" si="119"/>
        <v/>
      </c>
      <c r="E1187" s="124" t="str">
        <f t="shared" ca="1" si="120"/>
        <v/>
      </c>
      <c r="F1187" s="172" t="str">
        <f ca="1">IF(C1187="","",[1]!S_DQ_CLOSE(D1187,TODAY(),1))</f>
        <v/>
      </c>
      <c r="G1187" s="173" t="str">
        <f ca="1">IF(C1187="","",[1]!s_pq_pctchange(D1187,TODAY()-$G$12,TODAY())/100)</f>
        <v/>
      </c>
      <c r="H1187" s="249" t="str">
        <f ca="1">IF(C1187="","",IF($H$11="收入",[1]!S_STM07_IS(D1187,9,$G$5,$H$13)/$E$5,[1]!S_STM07_IS(D1187,48,$G$5,$H$13)/$E$5))</f>
        <v/>
      </c>
      <c r="I1187" s="249" t="str">
        <f ca="1">IF(C1187="","",IF($I$11="毛利率",([1]!S_STM07_IS(D1187,9,$G$5,$H$13)-[1]!S_STM07_IS(D1187,10,$G$5,$H$13))/[1]!S_STM07_IS(D1187,9,$G$5,$H$13),[1]!S_STM07_IS(D1187,14,$G$5,$H$13)/$E$5))</f>
        <v/>
      </c>
      <c r="J1187" s="249" t="str">
        <f ca="1">IF(C1187="","",IF($J$11="营业利润率",[1]!S_STM07_IS(D1187,48,$G$5,$H$13)/[1]!S_STM07_IS(D1187,9,$G$5,$H$13),([1]!S_STM07_CS(D1187,87,$G$5,$H$13)+[1]!S_STM07_CS(D1187,88,$G$5,$H$13)+[1]!S_STM07_CS(D1187,89,$G$5,$H$13))/$E$5))</f>
        <v/>
      </c>
      <c r="K1187" s="249" t="str">
        <f ca="1">IF(C1187="","",IF($K$11="净利润率",[1]!S_STM07_IS(D1187,61,$G$5,$H$13)/[1]!S_STM07_IS(D1187,9,$G$5,$H$13),[1]!S_STM07_IS(D1187,55,$G$5,$H$13)/$E$5))</f>
        <v/>
      </c>
      <c r="L1187" s="249" t="str">
        <f ca="1">IF(C1187="","",IF($L$11="ROA",[1]!S_STM07_IS(D1187,61,$G$5,$H$13)/[1]!S_STM07_BS(D1187,74,$G$5,$H$13),1-[1]!S_STM07_IS(D1187,61,$G$5,$H$13)/[1]!S_STM07_IS(D1187,55,$G$5,$H$13)))</f>
        <v/>
      </c>
      <c r="M1187" s="249" t="str">
        <f ca="1">IF(C1187="","",IF($M$11="ROE",[1]!S_STM07_IS(D1187,61,$G$5,$H$13)/[1]!S_STM07_BS(D1187,141,$G$5,$H$13),([1]!S_STM07_BS(D1187,25,$G$5,$H$13)-[1]!S_STM07_BS(D1187,93,$G$5,$H$13))/$E$5))</f>
        <v/>
      </c>
      <c r="N1187" s="250" t="str">
        <f ca="1">IF(C1187="","",IF($N$11="EPS",[1]!S_STM07_IS(D1187,61,$G$5,$H$13)/IF([1]!S_SHARE_TOTAL(D1187,$G$5)=0,[1]!S_SHARE_TOTAL(D1187,[1]!s_ipo_listeddate(D1187)),[1]!S_SHARE_TOTAL(D1187,$G$5)),([1]!S_STM07_BS(D1187,75,$G$5,$H$13)+[1]!S_STM07_BS(D1187,88,$G$5,$H$13)+[1]!S_STM07_BS(D1187,94,$G$5,$H$13)+[1]!S_STM07_BS(D1187,95,$G$5,$H$13))/$E$5))</f>
        <v/>
      </c>
      <c r="O1187" s="250" t="str">
        <f ca="1">IF(C1187="","",IF($O$11="BPS",[1]!S_STM07_BS(D1187,141,$G$5,$H$13)/IF([1]!S_SHARE_TOTAL(D1187,$G$5)=0,[1]!S_SHARE_TOTAL(D1187,[1]!s_ipo_listeddate(D1187)),[1]!S_SHARE_TOTAL(D1187,$G$5)),[1]!S_STM07_CS(D1187,49,$G$5,$H$13)/$E$5))</f>
        <v/>
      </c>
      <c r="P1187" s="250" t="str">
        <f ca="1">IF(C1187="","",IF($P$11="CFPS",[1]!S_STM07_CS(D1187,84,$G$5,$H$13)/IF([1]!S_SHARE_TOTAL(D1187,$G$5)=0,[1]!S_SHARE_TOTAL(D1187,[1]!s_ipo_listeddate(D1187)),[1]!S_SHARE_TOTAL(D1187,$G$5)),[1]!S_STM07_CS(D1187,84,$G$5,$H$13)/$E$5))</f>
        <v/>
      </c>
      <c r="Q1187" s="198" t="str">
        <f ca="1">IF(C1187="","",F1187/([1]!S_STM07_IS(D1187,61,$G$5,$H$13)/IF([1]!S_SHARE_TOTAL(D1187,$G$5)=0,[1]!S_SHARE_TOTAL(D1187,[1]!s_ipo_listeddate(D1187)),[1]!S_SHARE_TOTAL(D1187,$G$5))))</f>
        <v/>
      </c>
      <c r="R1187" s="198" t="str">
        <f ca="1">IF(C1187="","",F1187/([1]!S_STM07_BS(D1187,141,$G$5,$H$13)/IF([1]!S_SHARE_TOTAL(D1187,$G$5)=0,[1]!S_SHARE_TOTAL(D1187,[1]!s_ipo_listeddate(D1187)),[1]!S_SHARE_TOTAL(D1187,$G$5))))</f>
        <v/>
      </c>
      <c r="S1187" s="249" t="str">
        <f ca="1">IF(C1187="","",[1]!S_SHARE_TOTAL(D1187,TODAY())/$E$5)</f>
        <v/>
      </c>
      <c r="T1187" s="249" t="str">
        <f t="shared" ca="1" si="121"/>
        <v/>
      </c>
      <c r="U1187" s="172" t="str">
        <f t="shared" ca="1" si="122"/>
        <v/>
      </c>
      <c r="V1187" s="343" t="str">
        <f t="shared" ca="1" si="123"/>
        <v/>
      </c>
      <c r="W1187" s="139"/>
      <c r="Y1187" s="1"/>
    </row>
    <row r="1188" spans="3:25" ht="12" customHeight="1">
      <c r="C1188" s="342" t="str">
        <f t="shared" ca="1" si="118"/>
        <v/>
      </c>
      <c r="D1188" s="153" t="str">
        <f t="shared" ca="1" si="119"/>
        <v/>
      </c>
      <c r="E1188" s="153" t="str">
        <f t="shared" ca="1" si="120"/>
        <v/>
      </c>
      <c r="F1188" s="170" t="str">
        <f ca="1">IF(C1188="","",[1]!S_DQ_CLOSE(D1188,TODAY(),1))</f>
        <v/>
      </c>
      <c r="G1188" s="171" t="str">
        <f ca="1">IF(C1188="","",[1]!s_pq_pctchange(D1188,TODAY()-$G$12,TODAY())/100)</f>
        <v/>
      </c>
      <c r="H1188" s="247" t="str">
        <f ca="1">IF(C1188="","",IF($H$11="收入",[1]!S_STM07_IS(D1188,9,$G$5,$H$13)/$E$5,[1]!S_STM07_IS(D1188,48,$G$5,$H$13)/$E$5))</f>
        <v/>
      </c>
      <c r="I1188" s="247" t="str">
        <f ca="1">IF(C1188="","",IF($I$11="毛利率",([1]!S_STM07_IS(D1188,9,$G$5,$H$13)-[1]!S_STM07_IS(D1188,10,$G$5,$H$13))/[1]!S_STM07_IS(D1188,9,$G$5,$H$13),[1]!S_STM07_IS(D1188,14,$G$5,$H$13)/$E$5))</f>
        <v/>
      </c>
      <c r="J1188" s="247" t="str">
        <f ca="1">IF(C1188="","",IF($J$11="营业利润率",[1]!S_STM07_IS(D1188,48,$G$5,$H$13)/[1]!S_STM07_IS(D1188,9,$G$5,$H$13),([1]!S_STM07_CS(D1188,87,$G$5,$H$13)+[1]!S_STM07_CS(D1188,88,$G$5,$H$13)+[1]!S_STM07_CS(D1188,89,$G$5,$H$13))/$E$5))</f>
        <v/>
      </c>
      <c r="K1188" s="247" t="str">
        <f ca="1">IF(C1188="","",IF($K$11="净利润率",[1]!S_STM07_IS(D1188,61,$G$5,$H$13)/[1]!S_STM07_IS(D1188,9,$G$5,$H$13),[1]!S_STM07_IS(D1188,55,$G$5,$H$13)/$E$5))</f>
        <v/>
      </c>
      <c r="L1188" s="247" t="str">
        <f ca="1">IF(C1188="","",IF($L$11="ROA",[1]!S_STM07_IS(D1188,61,$G$5,$H$13)/[1]!S_STM07_BS(D1188,74,$G$5,$H$13),1-[1]!S_STM07_IS(D1188,61,$G$5,$H$13)/[1]!S_STM07_IS(D1188,55,$G$5,$H$13)))</f>
        <v/>
      </c>
      <c r="M1188" s="247" t="str">
        <f ca="1">IF(C1188="","",IF($M$11="ROE",[1]!S_STM07_IS(D1188,61,$G$5,$H$13)/[1]!S_STM07_BS(D1188,141,$G$5,$H$13),([1]!S_STM07_BS(D1188,25,$G$5,$H$13)-[1]!S_STM07_BS(D1188,93,$G$5,$H$13))/$E$5))</f>
        <v/>
      </c>
      <c r="N1188" s="247" t="str">
        <f ca="1">IF(C1188="","",IF($N$11="EPS",[1]!S_STM07_IS(D1188,61,$G$5,$H$13)/IF([1]!S_SHARE_TOTAL(D1188,$G$5)=0,[1]!S_SHARE_TOTAL(D1188,[1]!s_ipo_listeddate(D1188)),[1]!S_SHARE_TOTAL(D1188,$G$5)),([1]!S_STM07_BS(D1188,75,$G$5,$H$13)+[1]!S_STM07_BS(D1188,88,$G$5,$H$13)+[1]!S_STM07_BS(D1188,94,$G$5,$H$13)+[1]!S_STM07_BS(D1188,95,$G$5,$H$13))/$E$5))</f>
        <v/>
      </c>
      <c r="O1188" s="247" t="str">
        <f ca="1">IF(C1188="","",IF($O$11="BPS",[1]!S_STM07_BS(D1188,141,$G$5,$H$13)/IF([1]!S_SHARE_TOTAL(D1188,$G$5)=0,[1]!S_SHARE_TOTAL(D1188,[1]!s_ipo_listeddate(D1188)),[1]!S_SHARE_TOTAL(D1188,$G$5)),[1]!S_STM07_CS(D1188,49,$G$5,$H$13)/$E$5))</f>
        <v/>
      </c>
      <c r="P1188" s="247" t="str">
        <f ca="1">IF(C1188="","",IF($P$11="CFPS",[1]!S_STM07_CS(D1188,84,$G$5,$H$13)/IF([1]!S_SHARE_TOTAL(D1188,$G$5)=0,[1]!S_SHARE_TOTAL(D1188,[1]!s_ipo_listeddate(D1188)),[1]!S_SHARE_TOTAL(D1188,$G$5)),[1]!S_STM07_CS(D1188,84,$G$5,$H$13)/$E$5))</f>
        <v/>
      </c>
      <c r="Q1188" s="248" t="str">
        <f ca="1">IF(C1188="","",F1188/([1]!S_STM07_IS(D1188,61,$G$5,$H$13)/IF([1]!S_SHARE_TOTAL(D1188,$G$5)=0,[1]!S_SHARE_TOTAL(D1188,[1]!s_ipo_listeddate(D1188)),[1]!S_SHARE_TOTAL(D1188,$G$5))))</f>
        <v/>
      </c>
      <c r="R1188" s="248" t="str">
        <f ca="1">IF(C1188="","",F1188/([1]!S_STM07_BS(D1188,141,$G$5,$H$13)/IF([1]!S_SHARE_TOTAL(D1188,$G$5)=0,[1]!S_SHARE_TOTAL(D1188,[1]!s_ipo_listeddate(D1188)),[1]!S_SHARE_TOTAL(D1188,$G$5))))</f>
        <v/>
      </c>
      <c r="S1188" s="247" t="str">
        <f ca="1">IF(C1188="","",[1]!S_SHARE_TOTAL(D1188,TODAY())/$E$5)</f>
        <v/>
      </c>
      <c r="T1188" s="247" t="str">
        <f t="shared" ca="1" si="121"/>
        <v/>
      </c>
      <c r="U1188" s="218" t="str">
        <f t="shared" ca="1" si="122"/>
        <v/>
      </c>
      <c r="V1188" s="342" t="str">
        <f t="shared" ca="1" si="123"/>
        <v/>
      </c>
      <c r="W1188" s="139"/>
      <c r="Y1188" s="1"/>
    </row>
    <row r="1189" spans="3:25" ht="12" customHeight="1">
      <c r="C1189" s="343" t="str">
        <f t="shared" ca="1" si="118"/>
        <v/>
      </c>
      <c r="D1189" s="124" t="str">
        <f t="shared" ca="1" si="119"/>
        <v/>
      </c>
      <c r="E1189" s="124" t="str">
        <f t="shared" ca="1" si="120"/>
        <v/>
      </c>
      <c r="F1189" s="172" t="str">
        <f ca="1">IF(C1189="","",[1]!S_DQ_CLOSE(D1189,TODAY(),1))</f>
        <v/>
      </c>
      <c r="G1189" s="173" t="str">
        <f ca="1">IF(C1189="","",[1]!s_pq_pctchange(D1189,TODAY()-$G$12,TODAY())/100)</f>
        <v/>
      </c>
      <c r="H1189" s="249" t="str">
        <f ca="1">IF(C1189="","",IF($H$11="收入",[1]!S_STM07_IS(D1189,9,$G$5,$H$13)/$E$5,[1]!S_STM07_IS(D1189,48,$G$5,$H$13)/$E$5))</f>
        <v/>
      </c>
      <c r="I1189" s="249" t="str">
        <f ca="1">IF(C1189="","",IF($I$11="毛利率",([1]!S_STM07_IS(D1189,9,$G$5,$H$13)-[1]!S_STM07_IS(D1189,10,$G$5,$H$13))/[1]!S_STM07_IS(D1189,9,$G$5,$H$13),[1]!S_STM07_IS(D1189,14,$G$5,$H$13)/$E$5))</f>
        <v/>
      </c>
      <c r="J1189" s="249" t="str">
        <f ca="1">IF(C1189="","",IF($J$11="营业利润率",[1]!S_STM07_IS(D1189,48,$G$5,$H$13)/[1]!S_STM07_IS(D1189,9,$G$5,$H$13),([1]!S_STM07_CS(D1189,87,$G$5,$H$13)+[1]!S_STM07_CS(D1189,88,$G$5,$H$13)+[1]!S_STM07_CS(D1189,89,$G$5,$H$13))/$E$5))</f>
        <v/>
      </c>
      <c r="K1189" s="249" t="str">
        <f ca="1">IF(C1189="","",IF($K$11="净利润率",[1]!S_STM07_IS(D1189,61,$G$5,$H$13)/[1]!S_STM07_IS(D1189,9,$G$5,$H$13),[1]!S_STM07_IS(D1189,55,$G$5,$H$13)/$E$5))</f>
        <v/>
      </c>
      <c r="L1189" s="249" t="str">
        <f ca="1">IF(C1189="","",IF($L$11="ROA",[1]!S_STM07_IS(D1189,61,$G$5,$H$13)/[1]!S_STM07_BS(D1189,74,$G$5,$H$13),1-[1]!S_STM07_IS(D1189,61,$G$5,$H$13)/[1]!S_STM07_IS(D1189,55,$G$5,$H$13)))</f>
        <v/>
      </c>
      <c r="M1189" s="249" t="str">
        <f ca="1">IF(C1189="","",IF($M$11="ROE",[1]!S_STM07_IS(D1189,61,$G$5,$H$13)/[1]!S_STM07_BS(D1189,141,$G$5,$H$13),([1]!S_STM07_BS(D1189,25,$G$5,$H$13)-[1]!S_STM07_BS(D1189,93,$G$5,$H$13))/$E$5))</f>
        <v/>
      </c>
      <c r="N1189" s="250" t="str">
        <f ca="1">IF(C1189="","",IF($N$11="EPS",[1]!S_STM07_IS(D1189,61,$G$5,$H$13)/IF([1]!S_SHARE_TOTAL(D1189,$G$5)=0,[1]!S_SHARE_TOTAL(D1189,[1]!s_ipo_listeddate(D1189)),[1]!S_SHARE_TOTAL(D1189,$G$5)),([1]!S_STM07_BS(D1189,75,$G$5,$H$13)+[1]!S_STM07_BS(D1189,88,$G$5,$H$13)+[1]!S_STM07_BS(D1189,94,$G$5,$H$13)+[1]!S_STM07_BS(D1189,95,$G$5,$H$13))/$E$5))</f>
        <v/>
      </c>
      <c r="O1189" s="250" t="str">
        <f ca="1">IF(C1189="","",IF($O$11="BPS",[1]!S_STM07_BS(D1189,141,$G$5,$H$13)/IF([1]!S_SHARE_TOTAL(D1189,$G$5)=0,[1]!S_SHARE_TOTAL(D1189,[1]!s_ipo_listeddate(D1189)),[1]!S_SHARE_TOTAL(D1189,$G$5)),[1]!S_STM07_CS(D1189,49,$G$5,$H$13)/$E$5))</f>
        <v/>
      </c>
      <c r="P1189" s="250" t="str">
        <f ca="1">IF(C1189="","",IF($P$11="CFPS",[1]!S_STM07_CS(D1189,84,$G$5,$H$13)/IF([1]!S_SHARE_TOTAL(D1189,$G$5)=0,[1]!S_SHARE_TOTAL(D1189,[1]!s_ipo_listeddate(D1189)),[1]!S_SHARE_TOTAL(D1189,$G$5)),[1]!S_STM07_CS(D1189,84,$G$5,$H$13)/$E$5))</f>
        <v/>
      </c>
      <c r="Q1189" s="198" t="str">
        <f ca="1">IF(C1189="","",F1189/([1]!S_STM07_IS(D1189,61,$G$5,$H$13)/IF([1]!S_SHARE_TOTAL(D1189,$G$5)=0,[1]!S_SHARE_TOTAL(D1189,[1]!s_ipo_listeddate(D1189)),[1]!S_SHARE_TOTAL(D1189,$G$5))))</f>
        <v/>
      </c>
      <c r="R1189" s="198" t="str">
        <f ca="1">IF(C1189="","",F1189/([1]!S_STM07_BS(D1189,141,$G$5,$H$13)/IF([1]!S_SHARE_TOTAL(D1189,$G$5)=0,[1]!S_SHARE_TOTAL(D1189,[1]!s_ipo_listeddate(D1189)),[1]!S_SHARE_TOTAL(D1189,$G$5))))</f>
        <v/>
      </c>
      <c r="S1189" s="249" t="str">
        <f ca="1">IF(C1189="","",[1]!S_SHARE_TOTAL(D1189,TODAY())/$E$5)</f>
        <v/>
      </c>
      <c r="T1189" s="249" t="str">
        <f t="shared" ca="1" si="121"/>
        <v/>
      </c>
      <c r="U1189" s="172" t="str">
        <f t="shared" ca="1" si="122"/>
        <v/>
      </c>
      <c r="V1189" s="343" t="str">
        <f t="shared" ca="1" si="123"/>
        <v/>
      </c>
      <c r="W1189" s="139"/>
      <c r="Y1189" s="1"/>
    </row>
    <row r="1190" spans="3:25" ht="12" customHeight="1">
      <c r="C1190" s="342" t="str">
        <f t="shared" ca="1" si="118"/>
        <v/>
      </c>
      <c r="D1190" s="153" t="str">
        <f t="shared" ca="1" si="119"/>
        <v/>
      </c>
      <c r="E1190" s="153" t="str">
        <f t="shared" ca="1" si="120"/>
        <v/>
      </c>
      <c r="F1190" s="170" t="str">
        <f ca="1">IF(C1190="","",[1]!S_DQ_CLOSE(D1190,TODAY(),1))</f>
        <v/>
      </c>
      <c r="G1190" s="171" t="str">
        <f ca="1">IF(C1190="","",[1]!s_pq_pctchange(D1190,TODAY()-$G$12,TODAY())/100)</f>
        <v/>
      </c>
      <c r="H1190" s="247" t="str">
        <f ca="1">IF(C1190="","",IF($H$11="收入",[1]!S_STM07_IS(D1190,9,$G$5,$H$13)/$E$5,[1]!S_STM07_IS(D1190,48,$G$5,$H$13)/$E$5))</f>
        <v/>
      </c>
      <c r="I1190" s="247" t="str">
        <f ca="1">IF(C1190="","",IF($I$11="毛利率",([1]!S_STM07_IS(D1190,9,$G$5,$H$13)-[1]!S_STM07_IS(D1190,10,$G$5,$H$13))/[1]!S_STM07_IS(D1190,9,$G$5,$H$13),[1]!S_STM07_IS(D1190,14,$G$5,$H$13)/$E$5))</f>
        <v/>
      </c>
      <c r="J1190" s="247" t="str">
        <f ca="1">IF(C1190="","",IF($J$11="营业利润率",[1]!S_STM07_IS(D1190,48,$G$5,$H$13)/[1]!S_STM07_IS(D1190,9,$G$5,$H$13),([1]!S_STM07_CS(D1190,87,$G$5,$H$13)+[1]!S_STM07_CS(D1190,88,$G$5,$H$13)+[1]!S_STM07_CS(D1190,89,$G$5,$H$13))/$E$5))</f>
        <v/>
      </c>
      <c r="K1190" s="247" t="str">
        <f ca="1">IF(C1190="","",IF($K$11="净利润率",[1]!S_STM07_IS(D1190,61,$G$5,$H$13)/[1]!S_STM07_IS(D1190,9,$G$5,$H$13),[1]!S_STM07_IS(D1190,55,$G$5,$H$13)/$E$5))</f>
        <v/>
      </c>
      <c r="L1190" s="247" t="str">
        <f ca="1">IF(C1190="","",IF($L$11="ROA",[1]!S_STM07_IS(D1190,61,$G$5,$H$13)/[1]!S_STM07_BS(D1190,74,$G$5,$H$13),1-[1]!S_STM07_IS(D1190,61,$G$5,$H$13)/[1]!S_STM07_IS(D1190,55,$G$5,$H$13)))</f>
        <v/>
      </c>
      <c r="M1190" s="247" t="str">
        <f ca="1">IF(C1190="","",IF($M$11="ROE",[1]!S_STM07_IS(D1190,61,$G$5,$H$13)/[1]!S_STM07_BS(D1190,141,$G$5,$H$13),([1]!S_STM07_BS(D1190,25,$G$5,$H$13)-[1]!S_STM07_BS(D1190,93,$G$5,$H$13))/$E$5))</f>
        <v/>
      </c>
      <c r="N1190" s="247" t="str">
        <f ca="1">IF(C1190="","",IF($N$11="EPS",[1]!S_STM07_IS(D1190,61,$G$5,$H$13)/IF([1]!S_SHARE_TOTAL(D1190,$G$5)=0,[1]!S_SHARE_TOTAL(D1190,[1]!s_ipo_listeddate(D1190)),[1]!S_SHARE_TOTAL(D1190,$G$5)),([1]!S_STM07_BS(D1190,75,$G$5,$H$13)+[1]!S_STM07_BS(D1190,88,$G$5,$H$13)+[1]!S_STM07_BS(D1190,94,$G$5,$H$13)+[1]!S_STM07_BS(D1190,95,$G$5,$H$13))/$E$5))</f>
        <v/>
      </c>
      <c r="O1190" s="247" t="str">
        <f ca="1">IF(C1190="","",IF($O$11="BPS",[1]!S_STM07_BS(D1190,141,$G$5,$H$13)/IF([1]!S_SHARE_TOTAL(D1190,$G$5)=0,[1]!S_SHARE_TOTAL(D1190,[1]!s_ipo_listeddate(D1190)),[1]!S_SHARE_TOTAL(D1190,$G$5)),[1]!S_STM07_CS(D1190,49,$G$5,$H$13)/$E$5))</f>
        <v/>
      </c>
      <c r="P1190" s="247" t="str">
        <f ca="1">IF(C1190="","",IF($P$11="CFPS",[1]!S_STM07_CS(D1190,84,$G$5,$H$13)/IF([1]!S_SHARE_TOTAL(D1190,$G$5)=0,[1]!S_SHARE_TOTAL(D1190,[1]!s_ipo_listeddate(D1190)),[1]!S_SHARE_TOTAL(D1190,$G$5)),[1]!S_STM07_CS(D1190,84,$G$5,$H$13)/$E$5))</f>
        <v/>
      </c>
      <c r="Q1190" s="248" t="str">
        <f ca="1">IF(C1190="","",F1190/([1]!S_STM07_IS(D1190,61,$G$5,$H$13)/IF([1]!S_SHARE_TOTAL(D1190,$G$5)=0,[1]!S_SHARE_TOTAL(D1190,[1]!s_ipo_listeddate(D1190)),[1]!S_SHARE_TOTAL(D1190,$G$5))))</f>
        <v/>
      </c>
      <c r="R1190" s="248" t="str">
        <f ca="1">IF(C1190="","",F1190/([1]!S_STM07_BS(D1190,141,$G$5,$H$13)/IF([1]!S_SHARE_TOTAL(D1190,$G$5)=0,[1]!S_SHARE_TOTAL(D1190,[1]!s_ipo_listeddate(D1190)),[1]!S_SHARE_TOTAL(D1190,$G$5))))</f>
        <v/>
      </c>
      <c r="S1190" s="247" t="str">
        <f ca="1">IF(C1190="","",[1]!S_SHARE_TOTAL(D1190,TODAY())/$E$5)</f>
        <v/>
      </c>
      <c r="T1190" s="247" t="str">
        <f t="shared" ca="1" si="121"/>
        <v/>
      </c>
      <c r="U1190" s="218" t="str">
        <f t="shared" ca="1" si="122"/>
        <v/>
      </c>
      <c r="V1190" s="342" t="str">
        <f t="shared" ca="1" si="123"/>
        <v/>
      </c>
      <c r="W1190" s="139"/>
      <c r="Y1190" s="1"/>
    </row>
    <row r="1191" spans="3:25" ht="12" customHeight="1">
      <c r="C1191" s="343" t="str">
        <f t="shared" ca="1" si="118"/>
        <v/>
      </c>
      <c r="D1191" s="124" t="str">
        <f t="shared" ca="1" si="119"/>
        <v/>
      </c>
      <c r="E1191" s="124" t="str">
        <f t="shared" ca="1" si="120"/>
        <v/>
      </c>
      <c r="F1191" s="172" t="str">
        <f ca="1">IF(C1191="","",[1]!S_DQ_CLOSE(D1191,TODAY(),1))</f>
        <v/>
      </c>
      <c r="G1191" s="173" t="str">
        <f ca="1">IF(C1191="","",[1]!s_pq_pctchange(D1191,TODAY()-$G$12,TODAY())/100)</f>
        <v/>
      </c>
      <c r="H1191" s="249" t="str">
        <f ca="1">IF(C1191="","",IF($H$11="收入",[1]!S_STM07_IS(D1191,9,$G$5,$H$13)/$E$5,[1]!S_STM07_IS(D1191,48,$G$5,$H$13)/$E$5))</f>
        <v/>
      </c>
      <c r="I1191" s="249" t="str">
        <f ca="1">IF(C1191="","",IF($I$11="毛利率",([1]!S_STM07_IS(D1191,9,$G$5,$H$13)-[1]!S_STM07_IS(D1191,10,$G$5,$H$13))/[1]!S_STM07_IS(D1191,9,$G$5,$H$13),[1]!S_STM07_IS(D1191,14,$G$5,$H$13)/$E$5))</f>
        <v/>
      </c>
      <c r="J1191" s="249" t="str">
        <f ca="1">IF(C1191="","",IF($J$11="营业利润率",[1]!S_STM07_IS(D1191,48,$G$5,$H$13)/[1]!S_STM07_IS(D1191,9,$G$5,$H$13),([1]!S_STM07_CS(D1191,87,$G$5,$H$13)+[1]!S_STM07_CS(D1191,88,$G$5,$H$13)+[1]!S_STM07_CS(D1191,89,$G$5,$H$13))/$E$5))</f>
        <v/>
      </c>
      <c r="K1191" s="249" t="str">
        <f ca="1">IF(C1191="","",IF($K$11="净利润率",[1]!S_STM07_IS(D1191,61,$G$5,$H$13)/[1]!S_STM07_IS(D1191,9,$G$5,$H$13),[1]!S_STM07_IS(D1191,55,$G$5,$H$13)/$E$5))</f>
        <v/>
      </c>
      <c r="L1191" s="249" t="str">
        <f ca="1">IF(C1191="","",IF($L$11="ROA",[1]!S_STM07_IS(D1191,61,$G$5,$H$13)/[1]!S_STM07_BS(D1191,74,$G$5,$H$13),1-[1]!S_STM07_IS(D1191,61,$G$5,$H$13)/[1]!S_STM07_IS(D1191,55,$G$5,$H$13)))</f>
        <v/>
      </c>
      <c r="M1191" s="249" t="str">
        <f ca="1">IF(C1191="","",IF($M$11="ROE",[1]!S_STM07_IS(D1191,61,$G$5,$H$13)/[1]!S_STM07_BS(D1191,141,$G$5,$H$13),([1]!S_STM07_BS(D1191,25,$G$5,$H$13)-[1]!S_STM07_BS(D1191,93,$G$5,$H$13))/$E$5))</f>
        <v/>
      </c>
      <c r="N1191" s="250" t="str">
        <f ca="1">IF(C1191="","",IF($N$11="EPS",[1]!S_STM07_IS(D1191,61,$G$5,$H$13)/IF([1]!S_SHARE_TOTAL(D1191,$G$5)=0,[1]!S_SHARE_TOTAL(D1191,[1]!s_ipo_listeddate(D1191)),[1]!S_SHARE_TOTAL(D1191,$G$5)),([1]!S_STM07_BS(D1191,75,$G$5,$H$13)+[1]!S_STM07_BS(D1191,88,$G$5,$H$13)+[1]!S_STM07_BS(D1191,94,$G$5,$H$13)+[1]!S_STM07_BS(D1191,95,$G$5,$H$13))/$E$5))</f>
        <v/>
      </c>
      <c r="O1191" s="250" t="str">
        <f ca="1">IF(C1191="","",IF($O$11="BPS",[1]!S_STM07_BS(D1191,141,$G$5,$H$13)/IF([1]!S_SHARE_TOTAL(D1191,$G$5)=0,[1]!S_SHARE_TOTAL(D1191,[1]!s_ipo_listeddate(D1191)),[1]!S_SHARE_TOTAL(D1191,$G$5)),[1]!S_STM07_CS(D1191,49,$G$5,$H$13)/$E$5))</f>
        <v/>
      </c>
      <c r="P1191" s="250" t="str">
        <f ca="1">IF(C1191="","",IF($P$11="CFPS",[1]!S_STM07_CS(D1191,84,$G$5,$H$13)/IF([1]!S_SHARE_TOTAL(D1191,$G$5)=0,[1]!S_SHARE_TOTAL(D1191,[1]!s_ipo_listeddate(D1191)),[1]!S_SHARE_TOTAL(D1191,$G$5)),[1]!S_STM07_CS(D1191,84,$G$5,$H$13)/$E$5))</f>
        <v/>
      </c>
      <c r="Q1191" s="198" t="str">
        <f ca="1">IF(C1191="","",F1191/([1]!S_STM07_IS(D1191,61,$G$5,$H$13)/IF([1]!S_SHARE_TOTAL(D1191,$G$5)=0,[1]!S_SHARE_TOTAL(D1191,[1]!s_ipo_listeddate(D1191)),[1]!S_SHARE_TOTAL(D1191,$G$5))))</f>
        <v/>
      </c>
      <c r="R1191" s="198" t="str">
        <f ca="1">IF(C1191="","",F1191/([1]!S_STM07_BS(D1191,141,$G$5,$H$13)/IF([1]!S_SHARE_TOTAL(D1191,$G$5)=0,[1]!S_SHARE_TOTAL(D1191,[1]!s_ipo_listeddate(D1191)),[1]!S_SHARE_TOTAL(D1191,$G$5))))</f>
        <v/>
      </c>
      <c r="S1191" s="249" t="str">
        <f ca="1">IF(C1191="","",[1]!S_SHARE_TOTAL(D1191,TODAY())/$E$5)</f>
        <v/>
      </c>
      <c r="T1191" s="249" t="str">
        <f t="shared" ca="1" si="121"/>
        <v/>
      </c>
      <c r="U1191" s="172" t="str">
        <f t="shared" ca="1" si="122"/>
        <v/>
      </c>
      <c r="V1191" s="343" t="str">
        <f t="shared" ca="1" si="123"/>
        <v/>
      </c>
      <c r="W1191" s="139"/>
      <c r="Y1191" s="1"/>
    </row>
    <row r="1192" spans="3:25" ht="12" customHeight="1">
      <c r="C1192" s="342" t="str">
        <f t="shared" ca="1" si="118"/>
        <v/>
      </c>
      <c r="D1192" s="153" t="str">
        <f t="shared" ca="1" si="119"/>
        <v/>
      </c>
      <c r="E1192" s="153" t="str">
        <f t="shared" ca="1" si="120"/>
        <v/>
      </c>
      <c r="F1192" s="170" t="str">
        <f ca="1">IF(C1192="","",[1]!S_DQ_CLOSE(D1192,TODAY(),1))</f>
        <v/>
      </c>
      <c r="G1192" s="171" t="str">
        <f ca="1">IF(C1192="","",[1]!s_pq_pctchange(D1192,TODAY()-$G$12,TODAY())/100)</f>
        <v/>
      </c>
      <c r="H1192" s="247" t="str">
        <f ca="1">IF(C1192="","",IF($H$11="收入",[1]!S_STM07_IS(D1192,9,$G$5,$H$13)/$E$5,[1]!S_STM07_IS(D1192,48,$G$5,$H$13)/$E$5))</f>
        <v/>
      </c>
      <c r="I1192" s="247" t="str">
        <f ca="1">IF(C1192="","",IF($I$11="毛利率",([1]!S_STM07_IS(D1192,9,$G$5,$H$13)-[1]!S_STM07_IS(D1192,10,$G$5,$H$13))/[1]!S_STM07_IS(D1192,9,$G$5,$H$13),[1]!S_STM07_IS(D1192,14,$G$5,$H$13)/$E$5))</f>
        <v/>
      </c>
      <c r="J1192" s="247" t="str">
        <f ca="1">IF(C1192="","",IF($J$11="营业利润率",[1]!S_STM07_IS(D1192,48,$G$5,$H$13)/[1]!S_STM07_IS(D1192,9,$G$5,$H$13),([1]!S_STM07_CS(D1192,87,$G$5,$H$13)+[1]!S_STM07_CS(D1192,88,$G$5,$H$13)+[1]!S_STM07_CS(D1192,89,$G$5,$H$13))/$E$5))</f>
        <v/>
      </c>
      <c r="K1192" s="247" t="str">
        <f ca="1">IF(C1192="","",IF($K$11="净利润率",[1]!S_STM07_IS(D1192,61,$G$5,$H$13)/[1]!S_STM07_IS(D1192,9,$G$5,$H$13),[1]!S_STM07_IS(D1192,55,$G$5,$H$13)/$E$5))</f>
        <v/>
      </c>
      <c r="L1192" s="247" t="str">
        <f ca="1">IF(C1192="","",IF($L$11="ROA",[1]!S_STM07_IS(D1192,61,$G$5,$H$13)/[1]!S_STM07_BS(D1192,74,$G$5,$H$13),1-[1]!S_STM07_IS(D1192,61,$G$5,$H$13)/[1]!S_STM07_IS(D1192,55,$G$5,$H$13)))</f>
        <v/>
      </c>
      <c r="M1192" s="247" t="str">
        <f ca="1">IF(C1192="","",IF($M$11="ROE",[1]!S_STM07_IS(D1192,61,$G$5,$H$13)/[1]!S_STM07_BS(D1192,141,$G$5,$H$13),([1]!S_STM07_BS(D1192,25,$G$5,$H$13)-[1]!S_STM07_BS(D1192,93,$G$5,$H$13))/$E$5))</f>
        <v/>
      </c>
      <c r="N1192" s="247" t="str">
        <f ca="1">IF(C1192="","",IF($N$11="EPS",[1]!S_STM07_IS(D1192,61,$G$5,$H$13)/IF([1]!S_SHARE_TOTAL(D1192,$G$5)=0,[1]!S_SHARE_TOTAL(D1192,[1]!s_ipo_listeddate(D1192)),[1]!S_SHARE_TOTAL(D1192,$G$5)),([1]!S_STM07_BS(D1192,75,$G$5,$H$13)+[1]!S_STM07_BS(D1192,88,$G$5,$H$13)+[1]!S_STM07_BS(D1192,94,$G$5,$H$13)+[1]!S_STM07_BS(D1192,95,$G$5,$H$13))/$E$5))</f>
        <v/>
      </c>
      <c r="O1192" s="247" t="str">
        <f ca="1">IF(C1192="","",IF($O$11="BPS",[1]!S_STM07_BS(D1192,141,$G$5,$H$13)/IF([1]!S_SHARE_TOTAL(D1192,$G$5)=0,[1]!S_SHARE_TOTAL(D1192,[1]!s_ipo_listeddate(D1192)),[1]!S_SHARE_TOTAL(D1192,$G$5)),[1]!S_STM07_CS(D1192,49,$G$5,$H$13)/$E$5))</f>
        <v/>
      </c>
      <c r="P1192" s="247" t="str">
        <f ca="1">IF(C1192="","",IF($P$11="CFPS",[1]!S_STM07_CS(D1192,84,$G$5,$H$13)/IF([1]!S_SHARE_TOTAL(D1192,$G$5)=0,[1]!S_SHARE_TOTAL(D1192,[1]!s_ipo_listeddate(D1192)),[1]!S_SHARE_TOTAL(D1192,$G$5)),[1]!S_STM07_CS(D1192,84,$G$5,$H$13)/$E$5))</f>
        <v/>
      </c>
      <c r="Q1192" s="248" t="str">
        <f ca="1">IF(C1192="","",F1192/([1]!S_STM07_IS(D1192,61,$G$5,$H$13)/IF([1]!S_SHARE_TOTAL(D1192,$G$5)=0,[1]!S_SHARE_TOTAL(D1192,[1]!s_ipo_listeddate(D1192)),[1]!S_SHARE_TOTAL(D1192,$G$5))))</f>
        <v/>
      </c>
      <c r="R1192" s="248" t="str">
        <f ca="1">IF(C1192="","",F1192/([1]!S_STM07_BS(D1192,141,$G$5,$H$13)/IF([1]!S_SHARE_TOTAL(D1192,$G$5)=0,[1]!S_SHARE_TOTAL(D1192,[1]!s_ipo_listeddate(D1192)),[1]!S_SHARE_TOTAL(D1192,$G$5))))</f>
        <v/>
      </c>
      <c r="S1192" s="247" t="str">
        <f ca="1">IF(C1192="","",[1]!S_SHARE_TOTAL(D1192,TODAY())/$E$5)</f>
        <v/>
      </c>
      <c r="T1192" s="247" t="str">
        <f t="shared" ca="1" si="121"/>
        <v/>
      </c>
      <c r="U1192" s="218" t="str">
        <f t="shared" ca="1" si="122"/>
        <v/>
      </c>
      <c r="V1192" s="342" t="str">
        <f t="shared" ca="1" si="123"/>
        <v/>
      </c>
      <c r="W1192" s="139"/>
      <c r="Y1192" s="1"/>
    </row>
    <row r="1193" spans="3:25" ht="12" customHeight="1">
      <c r="C1193" s="343" t="str">
        <f t="shared" ca="1" si="118"/>
        <v/>
      </c>
      <c r="D1193" s="124" t="str">
        <f t="shared" ca="1" si="119"/>
        <v/>
      </c>
      <c r="E1193" s="124" t="str">
        <f t="shared" ca="1" si="120"/>
        <v/>
      </c>
      <c r="F1193" s="172" t="str">
        <f ca="1">IF(C1193="","",[1]!S_DQ_CLOSE(D1193,TODAY(),1))</f>
        <v/>
      </c>
      <c r="G1193" s="173" t="str">
        <f ca="1">IF(C1193="","",[1]!s_pq_pctchange(D1193,TODAY()-$G$12,TODAY())/100)</f>
        <v/>
      </c>
      <c r="H1193" s="249" t="str">
        <f ca="1">IF(C1193="","",IF($H$11="收入",[1]!S_STM07_IS(D1193,9,$G$5,$H$13)/$E$5,[1]!S_STM07_IS(D1193,48,$G$5,$H$13)/$E$5))</f>
        <v/>
      </c>
      <c r="I1193" s="249" t="str">
        <f ca="1">IF(C1193="","",IF($I$11="毛利率",([1]!S_STM07_IS(D1193,9,$G$5,$H$13)-[1]!S_STM07_IS(D1193,10,$G$5,$H$13))/[1]!S_STM07_IS(D1193,9,$G$5,$H$13),[1]!S_STM07_IS(D1193,14,$G$5,$H$13)/$E$5))</f>
        <v/>
      </c>
      <c r="J1193" s="249" t="str">
        <f ca="1">IF(C1193="","",IF($J$11="营业利润率",[1]!S_STM07_IS(D1193,48,$G$5,$H$13)/[1]!S_STM07_IS(D1193,9,$G$5,$H$13),([1]!S_STM07_CS(D1193,87,$G$5,$H$13)+[1]!S_STM07_CS(D1193,88,$G$5,$H$13)+[1]!S_STM07_CS(D1193,89,$G$5,$H$13))/$E$5))</f>
        <v/>
      </c>
      <c r="K1193" s="249" t="str">
        <f ca="1">IF(C1193="","",IF($K$11="净利润率",[1]!S_STM07_IS(D1193,61,$G$5,$H$13)/[1]!S_STM07_IS(D1193,9,$G$5,$H$13),[1]!S_STM07_IS(D1193,55,$G$5,$H$13)/$E$5))</f>
        <v/>
      </c>
      <c r="L1193" s="249" t="str">
        <f ca="1">IF(C1193="","",IF($L$11="ROA",[1]!S_STM07_IS(D1193,61,$G$5,$H$13)/[1]!S_STM07_BS(D1193,74,$G$5,$H$13),1-[1]!S_STM07_IS(D1193,61,$G$5,$H$13)/[1]!S_STM07_IS(D1193,55,$G$5,$H$13)))</f>
        <v/>
      </c>
      <c r="M1193" s="249" t="str">
        <f ca="1">IF(C1193="","",IF($M$11="ROE",[1]!S_STM07_IS(D1193,61,$G$5,$H$13)/[1]!S_STM07_BS(D1193,141,$G$5,$H$13),([1]!S_STM07_BS(D1193,25,$G$5,$H$13)-[1]!S_STM07_BS(D1193,93,$G$5,$H$13))/$E$5))</f>
        <v/>
      </c>
      <c r="N1193" s="250" t="str">
        <f ca="1">IF(C1193="","",IF($N$11="EPS",[1]!S_STM07_IS(D1193,61,$G$5,$H$13)/IF([1]!S_SHARE_TOTAL(D1193,$G$5)=0,[1]!S_SHARE_TOTAL(D1193,[1]!s_ipo_listeddate(D1193)),[1]!S_SHARE_TOTAL(D1193,$G$5)),([1]!S_STM07_BS(D1193,75,$G$5,$H$13)+[1]!S_STM07_BS(D1193,88,$G$5,$H$13)+[1]!S_STM07_BS(D1193,94,$G$5,$H$13)+[1]!S_STM07_BS(D1193,95,$G$5,$H$13))/$E$5))</f>
        <v/>
      </c>
      <c r="O1193" s="250" t="str">
        <f ca="1">IF(C1193="","",IF($O$11="BPS",[1]!S_STM07_BS(D1193,141,$G$5,$H$13)/IF([1]!S_SHARE_TOTAL(D1193,$G$5)=0,[1]!S_SHARE_TOTAL(D1193,[1]!s_ipo_listeddate(D1193)),[1]!S_SHARE_TOTAL(D1193,$G$5)),[1]!S_STM07_CS(D1193,49,$G$5,$H$13)/$E$5))</f>
        <v/>
      </c>
      <c r="P1193" s="250" t="str">
        <f ca="1">IF(C1193="","",IF($P$11="CFPS",[1]!S_STM07_CS(D1193,84,$G$5,$H$13)/IF([1]!S_SHARE_TOTAL(D1193,$G$5)=0,[1]!S_SHARE_TOTAL(D1193,[1]!s_ipo_listeddate(D1193)),[1]!S_SHARE_TOTAL(D1193,$G$5)),[1]!S_STM07_CS(D1193,84,$G$5,$H$13)/$E$5))</f>
        <v/>
      </c>
      <c r="Q1193" s="198" t="str">
        <f ca="1">IF(C1193="","",F1193/([1]!S_STM07_IS(D1193,61,$G$5,$H$13)/IF([1]!S_SHARE_TOTAL(D1193,$G$5)=0,[1]!S_SHARE_TOTAL(D1193,[1]!s_ipo_listeddate(D1193)),[1]!S_SHARE_TOTAL(D1193,$G$5))))</f>
        <v/>
      </c>
      <c r="R1193" s="198" t="str">
        <f ca="1">IF(C1193="","",F1193/([1]!S_STM07_BS(D1193,141,$G$5,$H$13)/IF([1]!S_SHARE_TOTAL(D1193,$G$5)=0,[1]!S_SHARE_TOTAL(D1193,[1]!s_ipo_listeddate(D1193)),[1]!S_SHARE_TOTAL(D1193,$G$5))))</f>
        <v/>
      </c>
      <c r="S1193" s="249" t="str">
        <f ca="1">IF(C1193="","",[1]!S_SHARE_TOTAL(D1193,TODAY())/$E$5)</f>
        <v/>
      </c>
      <c r="T1193" s="249" t="str">
        <f t="shared" ca="1" si="121"/>
        <v/>
      </c>
      <c r="U1193" s="172" t="str">
        <f t="shared" ca="1" si="122"/>
        <v/>
      </c>
      <c r="V1193" s="343" t="str">
        <f t="shared" ca="1" si="123"/>
        <v/>
      </c>
      <c r="W1193" s="139"/>
      <c r="Y1193" s="1"/>
    </row>
    <row r="1194" spans="3:25" ht="12" customHeight="1">
      <c r="C1194" s="342" t="str">
        <f t="shared" ca="1" si="118"/>
        <v/>
      </c>
      <c r="D1194" s="153" t="str">
        <f t="shared" ca="1" si="119"/>
        <v/>
      </c>
      <c r="E1194" s="153" t="str">
        <f t="shared" ca="1" si="120"/>
        <v/>
      </c>
      <c r="F1194" s="170" t="str">
        <f ca="1">IF(C1194="","",[1]!S_DQ_CLOSE(D1194,TODAY(),1))</f>
        <v/>
      </c>
      <c r="G1194" s="171" t="str">
        <f ca="1">IF(C1194="","",[1]!s_pq_pctchange(D1194,TODAY()-$G$12,TODAY())/100)</f>
        <v/>
      </c>
      <c r="H1194" s="247" t="str">
        <f ca="1">IF(C1194="","",IF($H$11="收入",[1]!S_STM07_IS(D1194,9,$G$5,$H$13)/$E$5,[1]!S_STM07_IS(D1194,48,$G$5,$H$13)/$E$5))</f>
        <v/>
      </c>
      <c r="I1194" s="247" t="str">
        <f ca="1">IF(C1194="","",IF($I$11="毛利率",([1]!S_STM07_IS(D1194,9,$G$5,$H$13)-[1]!S_STM07_IS(D1194,10,$G$5,$H$13))/[1]!S_STM07_IS(D1194,9,$G$5,$H$13),[1]!S_STM07_IS(D1194,14,$G$5,$H$13)/$E$5))</f>
        <v/>
      </c>
      <c r="J1194" s="247" t="str">
        <f ca="1">IF(C1194="","",IF($J$11="营业利润率",[1]!S_STM07_IS(D1194,48,$G$5,$H$13)/[1]!S_STM07_IS(D1194,9,$G$5,$H$13),([1]!S_STM07_CS(D1194,87,$G$5,$H$13)+[1]!S_STM07_CS(D1194,88,$G$5,$H$13)+[1]!S_STM07_CS(D1194,89,$G$5,$H$13))/$E$5))</f>
        <v/>
      </c>
      <c r="K1194" s="247" t="str">
        <f ca="1">IF(C1194="","",IF($K$11="净利润率",[1]!S_STM07_IS(D1194,61,$G$5,$H$13)/[1]!S_STM07_IS(D1194,9,$G$5,$H$13),[1]!S_STM07_IS(D1194,55,$G$5,$H$13)/$E$5))</f>
        <v/>
      </c>
      <c r="L1194" s="247" t="str">
        <f ca="1">IF(C1194="","",IF($L$11="ROA",[1]!S_STM07_IS(D1194,61,$G$5,$H$13)/[1]!S_STM07_BS(D1194,74,$G$5,$H$13),1-[1]!S_STM07_IS(D1194,61,$G$5,$H$13)/[1]!S_STM07_IS(D1194,55,$G$5,$H$13)))</f>
        <v/>
      </c>
      <c r="M1194" s="247" t="str">
        <f ca="1">IF(C1194="","",IF($M$11="ROE",[1]!S_STM07_IS(D1194,61,$G$5,$H$13)/[1]!S_STM07_BS(D1194,141,$G$5,$H$13),([1]!S_STM07_BS(D1194,25,$G$5,$H$13)-[1]!S_STM07_BS(D1194,93,$G$5,$H$13))/$E$5))</f>
        <v/>
      </c>
      <c r="N1194" s="247" t="str">
        <f ca="1">IF(C1194="","",IF($N$11="EPS",[1]!S_STM07_IS(D1194,61,$G$5,$H$13)/IF([1]!S_SHARE_TOTAL(D1194,$G$5)=0,[1]!S_SHARE_TOTAL(D1194,[1]!s_ipo_listeddate(D1194)),[1]!S_SHARE_TOTAL(D1194,$G$5)),([1]!S_STM07_BS(D1194,75,$G$5,$H$13)+[1]!S_STM07_BS(D1194,88,$G$5,$H$13)+[1]!S_STM07_BS(D1194,94,$G$5,$H$13)+[1]!S_STM07_BS(D1194,95,$G$5,$H$13))/$E$5))</f>
        <v/>
      </c>
      <c r="O1194" s="247" t="str">
        <f ca="1">IF(C1194="","",IF($O$11="BPS",[1]!S_STM07_BS(D1194,141,$G$5,$H$13)/IF([1]!S_SHARE_TOTAL(D1194,$G$5)=0,[1]!S_SHARE_TOTAL(D1194,[1]!s_ipo_listeddate(D1194)),[1]!S_SHARE_TOTAL(D1194,$G$5)),[1]!S_STM07_CS(D1194,49,$G$5,$H$13)/$E$5))</f>
        <v/>
      </c>
      <c r="P1194" s="247" t="str">
        <f ca="1">IF(C1194="","",IF($P$11="CFPS",[1]!S_STM07_CS(D1194,84,$G$5,$H$13)/IF([1]!S_SHARE_TOTAL(D1194,$G$5)=0,[1]!S_SHARE_TOTAL(D1194,[1]!s_ipo_listeddate(D1194)),[1]!S_SHARE_TOTAL(D1194,$G$5)),[1]!S_STM07_CS(D1194,84,$G$5,$H$13)/$E$5))</f>
        <v/>
      </c>
      <c r="Q1194" s="248" t="str">
        <f ca="1">IF(C1194="","",F1194/([1]!S_STM07_IS(D1194,61,$G$5,$H$13)/IF([1]!S_SHARE_TOTAL(D1194,$G$5)=0,[1]!S_SHARE_TOTAL(D1194,[1]!s_ipo_listeddate(D1194)),[1]!S_SHARE_TOTAL(D1194,$G$5))))</f>
        <v/>
      </c>
      <c r="R1194" s="248" t="str">
        <f ca="1">IF(C1194="","",F1194/([1]!S_STM07_BS(D1194,141,$G$5,$H$13)/IF([1]!S_SHARE_TOTAL(D1194,$G$5)=0,[1]!S_SHARE_TOTAL(D1194,[1]!s_ipo_listeddate(D1194)),[1]!S_SHARE_TOTAL(D1194,$G$5))))</f>
        <v/>
      </c>
      <c r="S1194" s="247" t="str">
        <f ca="1">IF(C1194="","",[1]!S_SHARE_TOTAL(D1194,TODAY())/$E$5)</f>
        <v/>
      </c>
      <c r="T1194" s="247" t="str">
        <f t="shared" ca="1" si="121"/>
        <v/>
      </c>
      <c r="U1194" s="218" t="str">
        <f t="shared" ca="1" si="122"/>
        <v/>
      </c>
      <c r="V1194" s="342" t="str">
        <f t="shared" ca="1" si="123"/>
        <v/>
      </c>
      <c r="W1194" s="139"/>
      <c r="Y1194" s="1"/>
    </row>
    <row r="1195" spans="3:25" ht="12" customHeight="1">
      <c r="C1195" s="343" t="str">
        <f t="shared" ca="1" si="118"/>
        <v/>
      </c>
      <c r="D1195" s="124" t="str">
        <f t="shared" ca="1" si="119"/>
        <v/>
      </c>
      <c r="E1195" s="124" t="str">
        <f t="shared" ca="1" si="120"/>
        <v/>
      </c>
      <c r="F1195" s="172" t="str">
        <f ca="1">IF(C1195="","",[1]!S_DQ_CLOSE(D1195,TODAY(),1))</f>
        <v/>
      </c>
      <c r="G1195" s="173" t="str">
        <f ca="1">IF(C1195="","",[1]!s_pq_pctchange(D1195,TODAY()-$G$12,TODAY())/100)</f>
        <v/>
      </c>
      <c r="H1195" s="249" t="str">
        <f ca="1">IF(C1195="","",IF($H$11="收入",[1]!S_STM07_IS(D1195,9,$G$5,$H$13)/$E$5,[1]!S_STM07_IS(D1195,48,$G$5,$H$13)/$E$5))</f>
        <v/>
      </c>
      <c r="I1195" s="249" t="str">
        <f ca="1">IF(C1195="","",IF($I$11="毛利率",([1]!S_STM07_IS(D1195,9,$G$5,$H$13)-[1]!S_STM07_IS(D1195,10,$G$5,$H$13))/[1]!S_STM07_IS(D1195,9,$G$5,$H$13),[1]!S_STM07_IS(D1195,14,$G$5,$H$13)/$E$5))</f>
        <v/>
      </c>
      <c r="J1195" s="249" t="str">
        <f ca="1">IF(C1195="","",IF($J$11="营业利润率",[1]!S_STM07_IS(D1195,48,$G$5,$H$13)/[1]!S_STM07_IS(D1195,9,$G$5,$H$13),([1]!S_STM07_CS(D1195,87,$G$5,$H$13)+[1]!S_STM07_CS(D1195,88,$G$5,$H$13)+[1]!S_STM07_CS(D1195,89,$G$5,$H$13))/$E$5))</f>
        <v/>
      </c>
      <c r="K1195" s="249" t="str">
        <f ca="1">IF(C1195="","",IF($K$11="净利润率",[1]!S_STM07_IS(D1195,61,$G$5,$H$13)/[1]!S_STM07_IS(D1195,9,$G$5,$H$13),[1]!S_STM07_IS(D1195,55,$G$5,$H$13)/$E$5))</f>
        <v/>
      </c>
      <c r="L1195" s="249" t="str">
        <f ca="1">IF(C1195="","",IF($L$11="ROA",[1]!S_STM07_IS(D1195,61,$G$5,$H$13)/[1]!S_STM07_BS(D1195,74,$G$5,$H$13),1-[1]!S_STM07_IS(D1195,61,$G$5,$H$13)/[1]!S_STM07_IS(D1195,55,$G$5,$H$13)))</f>
        <v/>
      </c>
      <c r="M1195" s="249" t="str">
        <f ca="1">IF(C1195="","",IF($M$11="ROE",[1]!S_STM07_IS(D1195,61,$G$5,$H$13)/[1]!S_STM07_BS(D1195,141,$G$5,$H$13),([1]!S_STM07_BS(D1195,25,$G$5,$H$13)-[1]!S_STM07_BS(D1195,93,$G$5,$H$13))/$E$5))</f>
        <v/>
      </c>
      <c r="N1195" s="250" t="str">
        <f ca="1">IF(C1195="","",IF($N$11="EPS",[1]!S_STM07_IS(D1195,61,$G$5,$H$13)/IF([1]!S_SHARE_TOTAL(D1195,$G$5)=0,[1]!S_SHARE_TOTAL(D1195,[1]!s_ipo_listeddate(D1195)),[1]!S_SHARE_TOTAL(D1195,$G$5)),([1]!S_STM07_BS(D1195,75,$G$5,$H$13)+[1]!S_STM07_BS(D1195,88,$G$5,$H$13)+[1]!S_STM07_BS(D1195,94,$G$5,$H$13)+[1]!S_STM07_BS(D1195,95,$G$5,$H$13))/$E$5))</f>
        <v/>
      </c>
      <c r="O1195" s="250" t="str">
        <f ca="1">IF(C1195="","",IF($O$11="BPS",[1]!S_STM07_BS(D1195,141,$G$5,$H$13)/IF([1]!S_SHARE_TOTAL(D1195,$G$5)=0,[1]!S_SHARE_TOTAL(D1195,[1]!s_ipo_listeddate(D1195)),[1]!S_SHARE_TOTAL(D1195,$G$5)),[1]!S_STM07_CS(D1195,49,$G$5,$H$13)/$E$5))</f>
        <v/>
      </c>
      <c r="P1195" s="250" t="str">
        <f ca="1">IF(C1195="","",IF($P$11="CFPS",[1]!S_STM07_CS(D1195,84,$G$5,$H$13)/IF([1]!S_SHARE_TOTAL(D1195,$G$5)=0,[1]!S_SHARE_TOTAL(D1195,[1]!s_ipo_listeddate(D1195)),[1]!S_SHARE_TOTAL(D1195,$G$5)),[1]!S_STM07_CS(D1195,84,$G$5,$H$13)/$E$5))</f>
        <v/>
      </c>
      <c r="Q1195" s="198" t="str">
        <f ca="1">IF(C1195="","",F1195/([1]!S_STM07_IS(D1195,61,$G$5,$H$13)/IF([1]!S_SHARE_TOTAL(D1195,$G$5)=0,[1]!S_SHARE_TOTAL(D1195,[1]!s_ipo_listeddate(D1195)),[1]!S_SHARE_TOTAL(D1195,$G$5))))</f>
        <v/>
      </c>
      <c r="R1195" s="198" t="str">
        <f ca="1">IF(C1195="","",F1195/([1]!S_STM07_BS(D1195,141,$G$5,$H$13)/IF([1]!S_SHARE_TOTAL(D1195,$G$5)=0,[1]!S_SHARE_TOTAL(D1195,[1]!s_ipo_listeddate(D1195)),[1]!S_SHARE_TOTAL(D1195,$G$5))))</f>
        <v/>
      </c>
      <c r="S1195" s="249" t="str">
        <f ca="1">IF(C1195="","",[1]!S_SHARE_TOTAL(D1195,TODAY())/$E$5)</f>
        <v/>
      </c>
      <c r="T1195" s="249" t="str">
        <f t="shared" ca="1" si="121"/>
        <v/>
      </c>
      <c r="U1195" s="172" t="str">
        <f t="shared" ca="1" si="122"/>
        <v/>
      </c>
      <c r="V1195" s="343" t="str">
        <f t="shared" ca="1" si="123"/>
        <v/>
      </c>
      <c r="W1195" s="139"/>
      <c r="Y1195" s="1"/>
    </row>
    <row r="1196" spans="3:25" ht="12" customHeight="1">
      <c r="C1196" s="342" t="str">
        <f t="shared" ca="1" si="118"/>
        <v/>
      </c>
      <c r="D1196" s="153" t="str">
        <f t="shared" ca="1" si="119"/>
        <v/>
      </c>
      <c r="E1196" s="153" t="str">
        <f t="shared" ca="1" si="120"/>
        <v/>
      </c>
      <c r="F1196" s="170" t="str">
        <f ca="1">IF(C1196="","",[1]!S_DQ_CLOSE(D1196,TODAY(),1))</f>
        <v/>
      </c>
      <c r="G1196" s="171" t="str">
        <f ca="1">IF(C1196="","",[1]!s_pq_pctchange(D1196,TODAY()-$G$12,TODAY())/100)</f>
        <v/>
      </c>
      <c r="H1196" s="247" t="str">
        <f ca="1">IF(C1196="","",IF($H$11="收入",[1]!S_STM07_IS(D1196,9,$G$5,$H$13)/$E$5,[1]!S_STM07_IS(D1196,48,$G$5,$H$13)/$E$5))</f>
        <v/>
      </c>
      <c r="I1196" s="247" t="str">
        <f ca="1">IF(C1196="","",IF($I$11="毛利率",([1]!S_STM07_IS(D1196,9,$G$5,$H$13)-[1]!S_STM07_IS(D1196,10,$G$5,$H$13))/[1]!S_STM07_IS(D1196,9,$G$5,$H$13),[1]!S_STM07_IS(D1196,14,$G$5,$H$13)/$E$5))</f>
        <v/>
      </c>
      <c r="J1196" s="247" t="str">
        <f ca="1">IF(C1196="","",IF($J$11="营业利润率",[1]!S_STM07_IS(D1196,48,$G$5,$H$13)/[1]!S_STM07_IS(D1196,9,$G$5,$H$13),([1]!S_STM07_CS(D1196,87,$G$5,$H$13)+[1]!S_STM07_CS(D1196,88,$G$5,$H$13)+[1]!S_STM07_CS(D1196,89,$G$5,$H$13))/$E$5))</f>
        <v/>
      </c>
      <c r="K1196" s="247" t="str">
        <f ca="1">IF(C1196="","",IF($K$11="净利润率",[1]!S_STM07_IS(D1196,61,$G$5,$H$13)/[1]!S_STM07_IS(D1196,9,$G$5,$H$13),[1]!S_STM07_IS(D1196,55,$G$5,$H$13)/$E$5))</f>
        <v/>
      </c>
      <c r="L1196" s="247" t="str">
        <f ca="1">IF(C1196="","",IF($L$11="ROA",[1]!S_STM07_IS(D1196,61,$G$5,$H$13)/[1]!S_STM07_BS(D1196,74,$G$5,$H$13),1-[1]!S_STM07_IS(D1196,61,$G$5,$H$13)/[1]!S_STM07_IS(D1196,55,$G$5,$H$13)))</f>
        <v/>
      </c>
      <c r="M1196" s="247" t="str">
        <f ca="1">IF(C1196="","",IF($M$11="ROE",[1]!S_STM07_IS(D1196,61,$G$5,$H$13)/[1]!S_STM07_BS(D1196,141,$G$5,$H$13),([1]!S_STM07_BS(D1196,25,$G$5,$H$13)-[1]!S_STM07_BS(D1196,93,$G$5,$H$13))/$E$5))</f>
        <v/>
      </c>
      <c r="N1196" s="247" t="str">
        <f ca="1">IF(C1196="","",IF($N$11="EPS",[1]!S_STM07_IS(D1196,61,$G$5,$H$13)/IF([1]!S_SHARE_TOTAL(D1196,$G$5)=0,[1]!S_SHARE_TOTAL(D1196,[1]!s_ipo_listeddate(D1196)),[1]!S_SHARE_TOTAL(D1196,$G$5)),([1]!S_STM07_BS(D1196,75,$G$5,$H$13)+[1]!S_STM07_BS(D1196,88,$G$5,$H$13)+[1]!S_STM07_BS(D1196,94,$G$5,$H$13)+[1]!S_STM07_BS(D1196,95,$G$5,$H$13))/$E$5))</f>
        <v/>
      </c>
      <c r="O1196" s="247" t="str">
        <f ca="1">IF(C1196="","",IF($O$11="BPS",[1]!S_STM07_BS(D1196,141,$G$5,$H$13)/IF([1]!S_SHARE_TOTAL(D1196,$G$5)=0,[1]!S_SHARE_TOTAL(D1196,[1]!s_ipo_listeddate(D1196)),[1]!S_SHARE_TOTAL(D1196,$G$5)),[1]!S_STM07_CS(D1196,49,$G$5,$H$13)/$E$5))</f>
        <v/>
      </c>
      <c r="P1196" s="247" t="str">
        <f ca="1">IF(C1196="","",IF($P$11="CFPS",[1]!S_STM07_CS(D1196,84,$G$5,$H$13)/IF([1]!S_SHARE_TOTAL(D1196,$G$5)=0,[1]!S_SHARE_TOTAL(D1196,[1]!s_ipo_listeddate(D1196)),[1]!S_SHARE_TOTAL(D1196,$G$5)),[1]!S_STM07_CS(D1196,84,$G$5,$H$13)/$E$5))</f>
        <v/>
      </c>
      <c r="Q1196" s="248" t="str">
        <f ca="1">IF(C1196="","",F1196/([1]!S_STM07_IS(D1196,61,$G$5,$H$13)/IF([1]!S_SHARE_TOTAL(D1196,$G$5)=0,[1]!S_SHARE_TOTAL(D1196,[1]!s_ipo_listeddate(D1196)),[1]!S_SHARE_TOTAL(D1196,$G$5))))</f>
        <v/>
      </c>
      <c r="R1196" s="248" t="str">
        <f ca="1">IF(C1196="","",F1196/([1]!S_STM07_BS(D1196,141,$G$5,$H$13)/IF([1]!S_SHARE_TOTAL(D1196,$G$5)=0,[1]!S_SHARE_TOTAL(D1196,[1]!s_ipo_listeddate(D1196)),[1]!S_SHARE_TOTAL(D1196,$G$5))))</f>
        <v/>
      </c>
      <c r="S1196" s="247" t="str">
        <f ca="1">IF(C1196="","",[1]!S_SHARE_TOTAL(D1196,TODAY())/$E$5)</f>
        <v/>
      </c>
      <c r="T1196" s="247" t="str">
        <f t="shared" ca="1" si="121"/>
        <v/>
      </c>
      <c r="U1196" s="218" t="str">
        <f t="shared" ca="1" si="122"/>
        <v/>
      </c>
      <c r="V1196" s="342" t="str">
        <f t="shared" ca="1" si="123"/>
        <v/>
      </c>
      <c r="W1196" s="139"/>
      <c r="Y1196" s="1"/>
    </row>
    <row r="1197" spans="3:25" ht="12" customHeight="1">
      <c r="C1197" s="343" t="str">
        <f t="shared" ca="1" si="118"/>
        <v/>
      </c>
      <c r="D1197" s="124" t="str">
        <f t="shared" ca="1" si="119"/>
        <v/>
      </c>
      <c r="E1197" s="124" t="str">
        <f t="shared" ca="1" si="120"/>
        <v/>
      </c>
      <c r="F1197" s="172" t="str">
        <f ca="1">IF(C1197="","",[1]!S_DQ_CLOSE(D1197,TODAY(),1))</f>
        <v/>
      </c>
      <c r="G1197" s="173" t="str">
        <f ca="1">IF(C1197="","",[1]!s_pq_pctchange(D1197,TODAY()-$G$12,TODAY())/100)</f>
        <v/>
      </c>
      <c r="H1197" s="249" t="str">
        <f ca="1">IF(C1197="","",IF($H$11="收入",[1]!S_STM07_IS(D1197,9,$G$5,$H$13)/$E$5,[1]!S_STM07_IS(D1197,48,$G$5,$H$13)/$E$5))</f>
        <v/>
      </c>
      <c r="I1197" s="249" t="str">
        <f ca="1">IF(C1197="","",IF($I$11="毛利率",([1]!S_STM07_IS(D1197,9,$G$5,$H$13)-[1]!S_STM07_IS(D1197,10,$G$5,$H$13))/[1]!S_STM07_IS(D1197,9,$G$5,$H$13),[1]!S_STM07_IS(D1197,14,$G$5,$H$13)/$E$5))</f>
        <v/>
      </c>
      <c r="J1197" s="249" t="str">
        <f ca="1">IF(C1197="","",IF($J$11="营业利润率",[1]!S_STM07_IS(D1197,48,$G$5,$H$13)/[1]!S_STM07_IS(D1197,9,$G$5,$H$13),([1]!S_STM07_CS(D1197,87,$G$5,$H$13)+[1]!S_STM07_CS(D1197,88,$G$5,$H$13)+[1]!S_STM07_CS(D1197,89,$G$5,$H$13))/$E$5))</f>
        <v/>
      </c>
      <c r="K1197" s="249" t="str">
        <f ca="1">IF(C1197="","",IF($K$11="净利润率",[1]!S_STM07_IS(D1197,61,$G$5,$H$13)/[1]!S_STM07_IS(D1197,9,$G$5,$H$13),[1]!S_STM07_IS(D1197,55,$G$5,$H$13)/$E$5))</f>
        <v/>
      </c>
      <c r="L1197" s="249" t="str">
        <f ca="1">IF(C1197="","",IF($L$11="ROA",[1]!S_STM07_IS(D1197,61,$G$5,$H$13)/[1]!S_STM07_BS(D1197,74,$G$5,$H$13),1-[1]!S_STM07_IS(D1197,61,$G$5,$H$13)/[1]!S_STM07_IS(D1197,55,$G$5,$H$13)))</f>
        <v/>
      </c>
      <c r="M1197" s="249" t="str">
        <f ca="1">IF(C1197="","",IF($M$11="ROE",[1]!S_STM07_IS(D1197,61,$G$5,$H$13)/[1]!S_STM07_BS(D1197,141,$G$5,$H$13),([1]!S_STM07_BS(D1197,25,$G$5,$H$13)-[1]!S_STM07_BS(D1197,93,$G$5,$H$13))/$E$5))</f>
        <v/>
      </c>
      <c r="N1197" s="250" t="str">
        <f ca="1">IF(C1197="","",IF($N$11="EPS",[1]!S_STM07_IS(D1197,61,$G$5,$H$13)/IF([1]!S_SHARE_TOTAL(D1197,$G$5)=0,[1]!S_SHARE_TOTAL(D1197,[1]!s_ipo_listeddate(D1197)),[1]!S_SHARE_TOTAL(D1197,$G$5)),([1]!S_STM07_BS(D1197,75,$G$5,$H$13)+[1]!S_STM07_BS(D1197,88,$G$5,$H$13)+[1]!S_STM07_BS(D1197,94,$G$5,$H$13)+[1]!S_STM07_BS(D1197,95,$G$5,$H$13))/$E$5))</f>
        <v/>
      </c>
      <c r="O1197" s="250" t="str">
        <f ca="1">IF(C1197="","",IF($O$11="BPS",[1]!S_STM07_BS(D1197,141,$G$5,$H$13)/IF([1]!S_SHARE_TOTAL(D1197,$G$5)=0,[1]!S_SHARE_TOTAL(D1197,[1]!s_ipo_listeddate(D1197)),[1]!S_SHARE_TOTAL(D1197,$G$5)),[1]!S_STM07_CS(D1197,49,$G$5,$H$13)/$E$5))</f>
        <v/>
      </c>
      <c r="P1197" s="250" t="str">
        <f ca="1">IF(C1197="","",IF($P$11="CFPS",[1]!S_STM07_CS(D1197,84,$G$5,$H$13)/IF([1]!S_SHARE_TOTAL(D1197,$G$5)=0,[1]!S_SHARE_TOTAL(D1197,[1]!s_ipo_listeddate(D1197)),[1]!S_SHARE_TOTAL(D1197,$G$5)),[1]!S_STM07_CS(D1197,84,$G$5,$H$13)/$E$5))</f>
        <v/>
      </c>
      <c r="Q1197" s="198" t="str">
        <f ca="1">IF(C1197="","",F1197/([1]!S_STM07_IS(D1197,61,$G$5,$H$13)/IF([1]!S_SHARE_TOTAL(D1197,$G$5)=0,[1]!S_SHARE_TOTAL(D1197,[1]!s_ipo_listeddate(D1197)),[1]!S_SHARE_TOTAL(D1197,$G$5))))</f>
        <v/>
      </c>
      <c r="R1197" s="198" t="str">
        <f ca="1">IF(C1197="","",F1197/([1]!S_STM07_BS(D1197,141,$G$5,$H$13)/IF([1]!S_SHARE_TOTAL(D1197,$G$5)=0,[1]!S_SHARE_TOTAL(D1197,[1]!s_ipo_listeddate(D1197)),[1]!S_SHARE_TOTAL(D1197,$G$5))))</f>
        <v/>
      </c>
      <c r="S1197" s="249" t="str">
        <f ca="1">IF(C1197="","",[1]!S_SHARE_TOTAL(D1197,TODAY())/$E$5)</f>
        <v/>
      </c>
      <c r="T1197" s="249" t="str">
        <f t="shared" ca="1" si="121"/>
        <v/>
      </c>
      <c r="U1197" s="172" t="str">
        <f t="shared" ca="1" si="122"/>
        <v/>
      </c>
      <c r="V1197" s="343" t="str">
        <f t="shared" ca="1" si="123"/>
        <v/>
      </c>
      <c r="W1197" s="139"/>
      <c r="Y1197" s="1"/>
    </row>
    <row r="1198" spans="3:25" ht="12" customHeight="1">
      <c r="C1198" s="342" t="str">
        <f t="shared" ca="1" si="118"/>
        <v/>
      </c>
      <c r="D1198" s="153" t="str">
        <f t="shared" ca="1" si="119"/>
        <v/>
      </c>
      <c r="E1198" s="153" t="str">
        <f t="shared" ca="1" si="120"/>
        <v/>
      </c>
      <c r="F1198" s="170" t="str">
        <f ca="1">IF(C1198="","",[1]!S_DQ_CLOSE(D1198,TODAY(),1))</f>
        <v/>
      </c>
      <c r="G1198" s="171" t="str">
        <f ca="1">IF(C1198="","",[1]!s_pq_pctchange(D1198,TODAY()-$G$12,TODAY())/100)</f>
        <v/>
      </c>
      <c r="H1198" s="247" t="str">
        <f ca="1">IF(C1198="","",IF($H$11="收入",[1]!S_STM07_IS(D1198,9,$G$5,$H$13)/$E$5,[1]!S_STM07_IS(D1198,48,$G$5,$H$13)/$E$5))</f>
        <v/>
      </c>
      <c r="I1198" s="247" t="str">
        <f ca="1">IF(C1198="","",IF($I$11="毛利率",([1]!S_STM07_IS(D1198,9,$G$5,$H$13)-[1]!S_STM07_IS(D1198,10,$G$5,$H$13))/[1]!S_STM07_IS(D1198,9,$G$5,$H$13),[1]!S_STM07_IS(D1198,14,$G$5,$H$13)/$E$5))</f>
        <v/>
      </c>
      <c r="J1198" s="247" t="str">
        <f ca="1">IF(C1198="","",IF($J$11="营业利润率",[1]!S_STM07_IS(D1198,48,$G$5,$H$13)/[1]!S_STM07_IS(D1198,9,$G$5,$H$13),([1]!S_STM07_CS(D1198,87,$G$5,$H$13)+[1]!S_STM07_CS(D1198,88,$G$5,$H$13)+[1]!S_STM07_CS(D1198,89,$G$5,$H$13))/$E$5))</f>
        <v/>
      </c>
      <c r="K1198" s="247" t="str">
        <f ca="1">IF(C1198="","",IF($K$11="净利润率",[1]!S_STM07_IS(D1198,61,$G$5,$H$13)/[1]!S_STM07_IS(D1198,9,$G$5,$H$13),[1]!S_STM07_IS(D1198,55,$G$5,$H$13)/$E$5))</f>
        <v/>
      </c>
      <c r="L1198" s="247" t="str">
        <f ca="1">IF(C1198="","",IF($L$11="ROA",[1]!S_STM07_IS(D1198,61,$G$5,$H$13)/[1]!S_STM07_BS(D1198,74,$G$5,$H$13),1-[1]!S_STM07_IS(D1198,61,$G$5,$H$13)/[1]!S_STM07_IS(D1198,55,$G$5,$H$13)))</f>
        <v/>
      </c>
      <c r="M1198" s="247" t="str">
        <f ca="1">IF(C1198="","",IF($M$11="ROE",[1]!S_STM07_IS(D1198,61,$G$5,$H$13)/[1]!S_STM07_BS(D1198,141,$G$5,$H$13),([1]!S_STM07_BS(D1198,25,$G$5,$H$13)-[1]!S_STM07_BS(D1198,93,$G$5,$H$13))/$E$5))</f>
        <v/>
      </c>
      <c r="N1198" s="247" t="str">
        <f ca="1">IF(C1198="","",IF($N$11="EPS",[1]!S_STM07_IS(D1198,61,$G$5,$H$13)/IF([1]!S_SHARE_TOTAL(D1198,$G$5)=0,[1]!S_SHARE_TOTAL(D1198,[1]!s_ipo_listeddate(D1198)),[1]!S_SHARE_TOTAL(D1198,$G$5)),([1]!S_STM07_BS(D1198,75,$G$5,$H$13)+[1]!S_STM07_BS(D1198,88,$G$5,$H$13)+[1]!S_STM07_BS(D1198,94,$G$5,$H$13)+[1]!S_STM07_BS(D1198,95,$G$5,$H$13))/$E$5))</f>
        <v/>
      </c>
      <c r="O1198" s="247" t="str">
        <f ca="1">IF(C1198="","",IF($O$11="BPS",[1]!S_STM07_BS(D1198,141,$G$5,$H$13)/IF([1]!S_SHARE_TOTAL(D1198,$G$5)=0,[1]!S_SHARE_TOTAL(D1198,[1]!s_ipo_listeddate(D1198)),[1]!S_SHARE_TOTAL(D1198,$G$5)),[1]!S_STM07_CS(D1198,49,$G$5,$H$13)/$E$5))</f>
        <v/>
      </c>
      <c r="P1198" s="247" t="str">
        <f ca="1">IF(C1198="","",IF($P$11="CFPS",[1]!S_STM07_CS(D1198,84,$G$5,$H$13)/IF([1]!S_SHARE_TOTAL(D1198,$G$5)=0,[1]!S_SHARE_TOTAL(D1198,[1]!s_ipo_listeddate(D1198)),[1]!S_SHARE_TOTAL(D1198,$G$5)),[1]!S_STM07_CS(D1198,84,$G$5,$H$13)/$E$5))</f>
        <v/>
      </c>
      <c r="Q1198" s="248" t="str">
        <f ca="1">IF(C1198="","",F1198/([1]!S_STM07_IS(D1198,61,$G$5,$H$13)/IF([1]!S_SHARE_TOTAL(D1198,$G$5)=0,[1]!S_SHARE_TOTAL(D1198,[1]!s_ipo_listeddate(D1198)),[1]!S_SHARE_TOTAL(D1198,$G$5))))</f>
        <v/>
      </c>
      <c r="R1198" s="248" t="str">
        <f ca="1">IF(C1198="","",F1198/([1]!S_STM07_BS(D1198,141,$G$5,$H$13)/IF([1]!S_SHARE_TOTAL(D1198,$G$5)=0,[1]!S_SHARE_TOTAL(D1198,[1]!s_ipo_listeddate(D1198)),[1]!S_SHARE_TOTAL(D1198,$G$5))))</f>
        <v/>
      </c>
      <c r="S1198" s="247" t="str">
        <f ca="1">IF(C1198="","",[1]!S_SHARE_TOTAL(D1198,TODAY())/$E$5)</f>
        <v/>
      </c>
      <c r="T1198" s="247" t="str">
        <f t="shared" ca="1" si="121"/>
        <v/>
      </c>
      <c r="U1198" s="218" t="str">
        <f t="shared" ca="1" si="122"/>
        <v/>
      </c>
      <c r="V1198" s="342" t="str">
        <f t="shared" ca="1" si="123"/>
        <v/>
      </c>
      <c r="W1198" s="139"/>
      <c r="Y1198" s="1"/>
    </row>
    <row r="1199" spans="3:25" ht="12" customHeight="1">
      <c r="C1199" s="343" t="str">
        <f t="shared" ca="1" si="118"/>
        <v/>
      </c>
      <c r="D1199" s="124" t="str">
        <f t="shared" ca="1" si="119"/>
        <v/>
      </c>
      <c r="E1199" s="124" t="str">
        <f t="shared" ca="1" si="120"/>
        <v/>
      </c>
      <c r="F1199" s="172" t="str">
        <f ca="1">IF(C1199="","",[1]!S_DQ_CLOSE(D1199,TODAY(),1))</f>
        <v/>
      </c>
      <c r="G1199" s="173" t="str">
        <f ca="1">IF(C1199="","",[1]!s_pq_pctchange(D1199,TODAY()-$G$12,TODAY())/100)</f>
        <v/>
      </c>
      <c r="H1199" s="249" t="str">
        <f ca="1">IF(C1199="","",IF($H$11="收入",[1]!S_STM07_IS(D1199,9,$G$5,$H$13)/$E$5,[1]!S_STM07_IS(D1199,48,$G$5,$H$13)/$E$5))</f>
        <v/>
      </c>
      <c r="I1199" s="249" t="str">
        <f ca="1">IF(C1199="","",IF($I$11="毛利率",([1]!S_STM07_IS(D1199,9,$G$5,$H$13)-[1]!S_STM07_IS(D1199,10,$G$5,$H$13))/[1]!S_STM07_IS(D1199,9,$G$5,$H$13),[1]!S_STM07_IS(D1199,14,$G$5,$H$13)/$E$5))</f>
        <v/>
      </c>
      <c r="J1199" s="249" t="str">
        <f ca="1">IF(C1199="","",IF($J$11="营业利润率",[1]!S_STM07_IS(D1199,48,$G$5,$H$13)/[1]!S_STM07_IS(D1199,9,$G$5,$H$13),([1]!S_STM07_CS(D1199,87,$G$5,$H$13)+[1]!S_STM07_CS(D1199,88,$G$5,$H$13)+[1]!S_STM07_CS(D1199,89,$G$5,$H$13))/$E$5))</f>
        <v/>
      </c>
      <c r="K1199" s="249" t="str">
        <f ca="1">IF(C1199="","",IF($K$11="净利润率",[1]!S_STM07_IS(D1199,61,$G$5,$H$13)/[1]!S_STM07_IS(D1199,9,$G$5,$H$13),[1]!S_STM07_IS(D1199,55,$G$5,$H$13)/$E$5))</f>
        <v/>
      </c>
      <c r="L1199" s="249" t="str">
        <f ca="1">IF(C1199="","",IF($L$11="ROA",[1]!S_STM07_IS(D1199,61,$G$5,$H$13)/[1]!S_STM07_BS(D1199,74,$G$5,$H$13),1-[1]!S_STM07_IS(D1199,61,$G$5,$H$13)/[1]!S_STM07_IS(D1199,55,$G$5,$H$13)))</f>
        <v/>
      </c>
      <c r="M1199" s="249" t="str">
        <f ca="1">IF(C1199="","",IF($M$11="ROE",[1]!S_STM07_IS(D1199,61,$G$5,$H$13)/[1]!S_STM07_BS(D1199,141,$G$5,$H$13),([1]!S_STM07_BS(D1199,25,$G$5,$H$13)-[1]!S_STM07_BS(D1199,93,$G$5,$H$13))/$E$5))</f>
        <v/>
      </c>
      <c r="N1199" s="250" t="str">
        <f ca="1">IF(C1199="","",IF($N$11="EPS",[1]!S_STM07_IS(D1199,61,$G$5,$H$13)/IF([1]!S_SHARE_TOTAL(D1199,$G$5)=0,[1]!S_SHARE_TOTAL(D1199,[1]!s_ipo_listeddate(D1199)),[1]!S_SHARE_TOTAL(D1199,$G$5)),([1]!S_STM07_BS(D1199,75,$G$5,$H$13)+[1]!S_STM07_BS(D1199,88,$G$5,$H$13)+[1]!S_STM07_BS(D1199,94,$G$5,$H$13)+[1]!S_STM07_BS(D1199,95,$G$5,$H$13))/$E$5))</f>
        <v/>
      </c>
      <c r="O1199" s="250" t="str">
        <f ca="1">IF(C1199="","",IF($O$11="BPS",[1]!S_STM07_BS(D1199,141,$G$5,$H$13)/IF([1]!S_SHARE_TOTAL(D1199,$G$5)=0,[1]!S_SHARE_TOTAL(D1199,[1]!s_ipo_listeddate(D1199)),[1]!S_SHARE_TOTAL(D1199,$G$5)),[1]!S_STM07_CS(D1199,49,$G$5,$H$13)/$E$5))</f>
        <v/>
      </c>
      <c r="P1199" s="250" t="str">
        <f ca="1">IF(C1199="","",IF($P$11="CFPS",[1]!S_STM07_CS(D1199,84,$G$5,$H$13)/IF([1]!S_SHARE_TOTAL(D1199,$G$5)=0,[1]!S_SHARE_TOTAL(D1199,[1]!s_ipo_listeddate(D1199)),[1]!S_SHARE_TOTAL(D1199,$G$5)),[1]!S_STM07_CS(D1199,84,$G$5,$H$13)/$E$5))</f>
        <v/>
      </c>
      <c r="Q1199" s="198" t="str">
        <f ca="1">IF(C1199="","",F1199/([1]!S_STM07_IS(D1199,61,$G$5,$H$13)/IF([1]!S_SHARE_TOTAL(D1199,$G$5)=0,[1]!S_SHARE_TOTAL(D1199,[1]!s_ipo_listeddate(D1199)),[1]!S_SHARE_TOTAL(D1199,$G$5))))</f>
        <v/>
      </c>
      <c r="R1199" s="198" t="str">
        <f ca="1">IF(C1199="","",F1199/([1]!S_STM07_BS(D1199,141,$G$5,$H$13)/IF([1]!S_SHARE_TOTAL(D1199,$G$5)=0,[1]!S_SHARE_TOTAL(D1199,[1]!s_ipo_listeddate(D1199)),[1]!S_SHARE_TOTAL(D1199,$G$5))))</f>
        <v/>
      </c>
      <c r="S1199" s="249" t="str">
        <f ca="1">IF(C1199="","",[1]!S_SHARE_TOTAL(D1199,TODAY())/$E$5)</f>
        <v/>
      </c>
      <c r="T1199" s="249" t="str">
        <f t="shared" ca="1" si="121"/>
        <v/>
      </c>
      <c r="U1199" s="172" t="str">
        <f t="shared" ca="1" si="122"/>
        <v/>
      </c>
      <c r="V1199" s="343" t="str">
        <f t="shared" ca="1" si="123"/>
        <v/>
      </c>
      <c r="W1199" s="139"/>
      <c r="Y1199" s="1"/>
    </row>
    <row r="1200" spans="3:25" ht="12" customHeight="1">
      <c r="C1200" s="342" t="str">
        <f t="shared" ca="1" si="118"/>
        <v/>
      </c>
      <c r="D1200" s="153" t="str">
        <f t="shared" ca="1" si="119"/>
        <v/>
      </c>
      <c r="E1200" s="153" t="str">
        <f t="shared" ca="1" si="120"/>
        <v/>
      </c>
      <c r="F1200" s="170" t="str">
        <f ca="1">IF(C1200="","",[1]!S_DQ_CLOSE(D1200,TODAY(),1))</f>
        <v/>
      </c>
      <c r="G1200" s="171" t="str">
        <f ca="1">IF(C1200="","",[1]!s_pq_pctchange(D1200,TODAY()-$G$12,TODAY())/100)</f>
        <v/>
      </c>
      <c r="H1200" s="247" t="str">
        <f ca="1">IF(C1200="","",IF($H$11="收入",[1]!S_STM07_IS(D1200,9,$G$5,$H$13)/$E$5,[1]!S_STM07_IS(D1200,48,$G$5,$H$13)/$E$5))</f>
        <v/>
      </c>
      <c r="I1200" s="247" t="str">
        <f ca="1">IF(C1200="","",IF($I$11="毛利率",([1]!S_STM07_IS(D1200,9,$G$5,$H$13)-[1]!S_STM07_IS(D1200,10,$G$5,$H$13))/[1]!S_STM07_IS(D1200,9,$G$5,$H$13),[1]!S_STM07_IS(D1200,14,$G$5,$H$13)/$E$5))</f>
        <v/>
      </c>
      <c r="J1200" s="247" t="str">
        <f ca="1">IF(C1200="","",IF($J$11="营业利润率",[1]!S_STM07_IS(D1200,48,$G$5,$H$13)/[1]!S_STM07_IS(D1200,9,$G$5,$H$13),([1]!S_STM07_CS(D1200,87,$G$5,$H$13)+[1]!S_STM07_CS(D1200,88,$G$5,$H$13)+[1]!S_STM07_CS(D1200,89,$G$5,$H$13))/$E$5))</f>
        <v/>
      </c>
      <c r="K1200" s="247" t="str">
        <f ca="1">IF(C1200="","",IF($K$11="净利润率",[1]!S_STM07_IS(D1200,61,$G$5,$H$13)/[1]!S_STM07_IS(D1200,9,$G$5,$H$13),[1]!S_STM07_IS(D1200,55,$G$5,$H$13)/$E$5))</f>
        <v/>
      </c>
      <c r="L1200" s="247" t="str">
        <f ca="1">IF(C1200="","",IF($L$11="ROA",[1]!S_STM07_IS(D1200,61,$G$5,$H$13)/[1]!S_STM07_BS(D1200,74,$G$5,$H$13),1-[1]!S_STM07_IS(D1200,61,$G$5,$H$13)/[1]!S_STM07_IS(D1200,55,$G$5,$H$13)))</f>
        <v/>
      </c>
      <c r="M1200" s="247" t="str">
        <f ca="1">IF(C1200="","",IF($M$11="ROE",[1]!S_STM07_IS(D1200,61,$G$5,$H$13)/[1]!S_STM07_BS(D1200,141,$G$5,$H$13),([1]!S_STM07_BS(D1200,25,$G$5,$H$13)-[1]!S_STM07_BS(D1200,93,$G$5,$H$13))/$E$5))</f>
        <v/>
      </c>
      <c r="N1200" s="247" t="str">
        <f ca="1">IF(C1200="","",IF($N$11="EPS",[1]!S_STM07_IS(D1200,61,$G$5,$H$13)/IF([1]!S_SHARE_TOTAL(D1200,$G$5)=0,[1]!S_SHARE_TOTAL(D1200,[1]!s_ipo_listeddate(D1200)),[1]!S_SHARE_TOTAL(D1200,$G$5)),([1]!S_STM07_BS(D1200,75,$G$5,$H$13)+[1]!S_STM07_BS(D1200,88,$G$5,$H$13)+[1]!S_STM07_BS(D1200,94,$G$5,$H$13)+[1]!S_STM07_BS(D1200,95,$G$5,$H$13))/$E$5))</f>
        <v/>
      </c>
      <c r="O1200" s="247" t="str">
        <f ca="1">IF(C1200="","",IF($O$11="BPS",[1]!S_STM07_BS(D1200,141,$G$5,$H$13)/IF([1]!S_SHARE_TOTAL(D1200,$G$5)=0,[1]!S_SHARE_TOTAL(D1200,[1]!s_ipo_listeddate(D1200)),[1]!S_SHARE_TOTAL(D1200,$G$5)),[1]!S_STM07_CS(D1200,49,$G$5,$H$13)/$E$5))</f>
        <v/>
      </c>
      <c r="P1200" s="247" t="str">
        <f ca="1">IF(C1200="","",IF($P$11="CFPS",[1]!S_STM07_CS(D1200,84,$G$5,$H$13)/IF([1]!S_SHARE_TOTAL(D1200,$G$5)=0,[1]!S_SHARE_TOTAL(D1200,[1]!s_ipo_listeddate(D1200)),[1]!S_SHARE_TOTAL(D1200,$G$5)),[1]!S_STM07_CS(D1200,84,$G$5,$H$13)/$E$5))</f>
        <v/>
      </c>
      <c r="Q1200" s="248" t="str">
        <f ca="1">IF(C1200="","",F1200/([1]!S_STM07_IS(D1200,61,$G$5,$H$13)/IF([1]!S_SHARE_TOTAL(D1200,$G$5)=0,[1]!S_SHARE_TOTAL(D1200,[1]!s_ipo_listeddate(D1200)),[1]!S_SHARE_TOTAL(D1200,$G$5))))</f>
        <v/>
      </c>
      <c r="R1200" s="248" t="str">
        <f ca="1">IF(C1200="","",F1200/([1]!S_STM07_BS(D1200,141,$G$5,$H$13)/IF([1]!S_SHARE_TOTAL(D1200,$G$5)=0,[1]!S_SHARE_TOTAL(D1200,[1]!s_ipo_listeddate(D1200)),[1]!S_SHARE_TOTAL(D1200,$G$5))))</f>
        <v/>
      </c>
      <c r="S1200" s="247" t="str">
        <f ca="1">IF(C1200="","",[1]!S_SHARE_TOTAL(D1200,TODAY())/$E$5)</f>
        <v/>
      </c>
      <c r="T1200" s="247" t="str">
        <f t="shared" ca="1" si="121"/>
        <v/>
      </c>
      <c r="U1200" s="218" t="str">
        <f t="shared" ca="1" si="122"/>
        <v/>
      </c>
      <c r="V1200" s="342" t="str">
        <f t="shared" ca="1" si="123"/>
        <v/>
      </c>
      <c r="W1200" s="139"/>
      <c r="Y1200" s="1"/>
    </row>
    <row r="1201" spans="3:25" ht="12" customHeight="1">
      <c r="C1201" s="343" t="str">
        <f t="shared" ca="1" si="118"/>
        <v/>
      </c>
      <c r="D1201" s="124" t="str">
        <f t="shared" ca="1" si="119"/>
        <v/>
      </c>
      <c r="E1201" s="124" t="str">
        <f t="shared" ca="1" si="120"/>
        <v/>
      </c>
      <c r="F1201" s="172" t="str">
        <f ca="1">IF(C1201="","",[1]!S_DQ_CLOSE(D1201,TODAY(),1))</f>
        <v/>
      </c>
      <c r="G1201" s="173" t="str">
        <f ca="1">IF(C1201="","",[1]!s_pq_pctchange(D1201,TODAY()-$G$12,TODAY())/100)</f>
        <v/>
      </c>
      <c r="H1201" s="249" t="str">
        <f ca="1">IF(C1201="","",IF($H$11="收入",[1]!S_STM07_IS(D1201,9,$G$5,$H$13)/$E$5,[1]!S_STM07_IS(D1201,48,$G$5,$H$13)/$E$5))</f>
        <v/>
      </c>
      <c r="I1201" s="249" t="str">
        <f ca="1">IF(C1201="","",IF($I$11="毛利率",([1]!S_STM07_IS(D1201,9,$G$5,$H$13)-[1]!S_STM07_IS(D1201,10,$G$5,$H$13))/[1]!S_STM07_IS(D1201,9,$G$5,$H$13),[1]!S_STM07_IS(D1201,14,$G$5,$H$13)/$E$5))</f>
        <v/>
      </c>
      <c r="J1201" s="249" t="str">
        <f ca="1">IF(C1201="","",IF($J$11="营业利润率",[1]!S_STM07_IS(D1201,48,$G$5,$H$13)/[1]!S_STM07_IS(D1201,9,$G$5,$H$13),([1]!S_STM07_CS(D1201,87,$G$5,$H$13)+[1]!S_STM07_CS(D1201,88,$G$5,$H$13)+[1]!S_STM07_CS(D1201,89,$G$5,$H$13))/$E$5))</f>
        <v/>
      </c>
      <c r="K1201" s="249" t="str">
        <f ca="1">IF(C1201="","",IF($K$11="净利润率",[1]!S_STM07_IS(D1201,61,$G$5,$H$13)/[1]!S_STM07_IS(D1201,9,$G$5,$H$13),[1]!S_STM07_IS(D1201,55,$G$5,$H$13)/$E$5))</f>
        <v/>
      </c>
      <c r="L1201" s="249" t="str">
        <f ca="1">IF(C1201="","",IF($L$11="ROA",[1]!S_STM07_IS(D1201,61,$G$5,$H$13)/[1]!S_STM07_BS(D1201,74,$G$5,$H$13),1-[1]!S_STM07_IS(D1201,61,$G$5,$H$13)/[1]!S_STM07_IS(D1201,55,$G$5,$H$13)))</f>
        <v/>
      </c>
      <c r="M1201" s="249" t="str">
        <f ca="1">IF(C1201="","",IF($M$11="ROE",[1]!S_STM07_IS(D1201,61,$G$5,$H$13)/[1]!S_STM07_BS(D1201,141,$G$5,$H$13),([1]!S_STM07_BS(D1201,25,$G$5,$H$13)-[1]!S_STM07_BS(D1201,93,$G$5,$H$13))/$E$5))</f>
        <v/>
      </c>
      <c r="N1201" s="250" t="str">
        <f ca="1">IF(C1201="","",IF($N$11="EPS",[1]!S_STM07_IS(D1201,61,$G$5,$H$13)/IF([1]!S_SHARE_TOTAL(D1201,$G$5)=0,[1]!S_SHARE_TOTAL(D1201,[1]!s_ipo_listeddate(D1201)),[1]!S_SHARE_TOTAL(D1201,$G$5)),([1]!S_STM07_BS(D1201,75,$G$5,$H$13)+[1]!S_STM07_BS(D1201,88,$G$5,$H$13)+[1]!S_STM07_BS(D1201,94,$G$5,$H$13)+[1]!S_STM07_BS(D1201,95,$G$5,$H$13))/$E$5))</f>
        <v/>
      </c>
      <c r="O1201" s="250" t="str">
        <f ca="1">IF(C1201="","",IF($O$11="BPS",[1]!S_STM07_BS(D1201,141,$G$5,$H$13)/IF([1]!S_SHARE_TOTAL(D1201,$G$5)=0,[1]!S_SHARE_TOTAL(D1201,[1]!s_ipo_listeddate(D1201)),[1]!S_SHARE_TOTAL(D1201,$G$5)),[1]!S_STM07_CS(D1201,49,$G$5,$H$13)/$E$5))</f>
        <v/>
      </c>
      <c r="P1201" s="250" t="str">
        <f ca="1">IF(C1201="","",IF($P$11="CFPS",[1]!S_STM07_CS(D1201,84,$G$5,$H$13)/IF([1]!S_SHARE_TOTAL(D1201,$G$5)=0,[1]!S_SHARE_TOTAL(D1201,[1]!s_ipo_listeddate(D1201)),[1]!S_SHARE_TOTAL(D1201,$G$5)),[1]!S_STM07_CS(D1201,84,$G$5,$H$13)/$E$5))</f>
        <v/>
      </c>
      <c r="Q1201" s="198" t="str">
        <f ca="1">IF(C1201="","",F1201/([1]!S_STM07_IS(D1201,61,$G$5,$H$13)/IF([1]!S_SHARE_TOTAL(D1201,$G$5)=0,[1]!S_SHARE_TOTAL(D1201,[1]!s_ipo_listeddate(D1201)),[1]!S_SHARE_TOTAL(D1201,$G$5))))</f>
        <v/>
      </c>
      <c r="R1201" s="198" t="str">
        <f ca="1">IF(C1201="","",F1201/([1]!S_STM07_BS(D1201,141,$G$5,$H$13)/IF([1]!S_SHARE_TOTAL(D1201,$G$5)=0,[1]!S_SHARE_TOTAL(D1201,[1]!s_ipo_listeddate(D1201)),[1]!S_SHARE_TOTAL(D1201,$G$5))))</f>
        <v/>
      </c>
      <c r="S1201" s="249" t="str">
        <f ca="1">IF(C1201="","",[1]!S_SHARE_TOTAL(D1201,TODAY())/$E$5)</f>
        <v/>
      </c>
      <c r="T1201" s="249" t="str">
        <f t="shared" ca="1" si="121"/>
        <v/>
      </c>
      <c r="U1201" s="172" t="str">
        <f t="shared" ca="1" si="122"/>
        <v/>
      </c>
      <c r="V1201" s="343" t="str">
        <f t="shared" ca="1" si="123"/>
        <v/>
      </c>
      <c r="W1201" s="139"/>
      <c r="Y1201" s="1"/>
    </row>
    <row r="1202" spans="3:25" ht="12" customHeight="1">
      <c r="C1202" s="342" t="str">
        <f t="shared" ca="1" si="118"/>
        <v/>
      </c>
      <c r="D1202" s="153" t="str">
        <f t="shared" ca="1" si="119"/>
        <v/>
      </c>
      <c r="E1202" s="153" t="str">
        <f t="shared" ca="1" si="120"/>
        <v/>
      </c>
      <c r="F1202" s="170" t="str">
        <f ca="1">IF(C1202="","",[1]!S_DQ_CLOSE(D1202,TODAY(),1))</f>
        <v/>
      </c>
      <c r="G1202" s="171" t="str">
        <f ca="1">IF(C1202="","",[1]!s_pq_pctchange(D1202,TODAY()-$G$12,TODAY())/100)</f>
        <v/>
      </c>
      <c r="H1202" s="247" t="str">
        <f ca="1">IF(C1202="","",IF($H$11="收入",[1]!S_STM07_IS(D1202,9,$G$5,$H$13)/$E$5,[1]!S_STM07_IS(D1202,48,$G$5,$H$13)/$E$5))</f>
        <v/>
      </c>
      <c r="I1202" s="247" t="str">
        <f ca="1">IF(C1202="","",IF($I$11="毛利率",([1]!S_STM07_IS(D1202,9,$G$5,$H$13)-[1]!S_STM07_IS(D1202,10,$G$5,$H$13))/[1]!S_STM07_IS(D1202,9,$G$5,$H$13),[1]!S_STM07_IS(D1202,14,$G$5,$H$13)/$E$5))</f>
        <v/>
      </c>
      <c r="J1202" s="247" t="str">
        <f ca="1">IF(C1202="","",IF($J$11="营业利润率",[1]!S_STM07_IS(D1202,48,$G$5,$H$13)/[1]!S_STM07_IS(D1202,9,$G$5,$H$13),([1]!S_STM07_CS(D1202,87,$G$5,$H$13)+[1]!S_STM07_CS(D1202,88,$G$5,$H$13)+[1]!S_STM07_CS(D1202,89,$G$5,$H$13))/$E$5))</f>
        <v/>
      </c>
      <c r="K1202" s="247" t="str">
        <f ca="1">IF(C1202="","",IF($K$11="净利润率",[1]!S_STM07_IS(D1202,61,$G$5,$H$13)/[1]!S_STM07_IS(D1202,9,$G$5,$H$13),[1]!S_STM07_IS(D1202,55,$G$5,$H$13)/$E$5))</f>
        <v/>
      </c>
      <c r="L1202" s="247" t="str">
        <f ca="1">IF(C1202="","",IF($L$11="ROA",[1]!S_STM07_IS(D1202,61,$G$5,$H$13)/[1]!S_STM07_BS(D1202,74,$G$5,$H$13),1-[1]!S_STM07_IS(D1202,61,$G$5,$H$13)/[1]!S_STM07_IS(D1202,55,$G$5,$H$13)))</f>
        <v/>
      </c>
      <c r="M1202" s="247" t="str">
        <f ca="1">IF(C1202="","",IF($M$11="ROE",[1]!S_STM07_IS(D1202,61,$G$5,$H$13)/[1]!S_STM07_BS(D1202,141,$G$5,$H$13),([1]!S_STM07_BS(D1202,25,$G$5,$H$13)-[1]!S_STM07_BS(D1202,93,$G$5,$H$13))/$E$5))</f>
        <v/>
      </c>
      <c r="N1202" s="247" t="str">
        <f ca="1">IF(C1202="","",IF($N$11="EPS",[1]!S_STM07_IS(D1202,61,$G$5,$H$13)/IF([1]!S_SHARE_TOTAL(D1202,$G$5)=0,[1]!S_SHARE_TOTAL(D1202,[1]!s_ipo_listeddate(D1202)),[1]!S_SHARE_TOTAL(D1202,$G$5)),([1]!S_STM07_BS(D1202,75,$G$5,$H$13)+[1]!S_STM07_BS(D1202,88,$G$5,$H$13)+[1]!S_STM07_BS(D1202,94,$G$5,$H$13)+[1]!S_STM07_BS(D1202,95,$G$5,$H$13))/$E$5))</f>
        <v/>
      </c>
      <c r="O1202" s="247" t="str">
        <f ca="1">IF(C1202="","",IF($O$11="BPS",[1]!S_STM07_BS(D1202,141,$G$5,$H$13)/IF([1]!S_SHARE_TOTAL(D1202,$G$5)=0,[1]!S_SHARE_TOTAL(D1202,[1]!s_ipo_listeddate(D1202)),[1]!S_SHARE_TOTAL(D1202,$G$5)),[1]!S_STM07_CS(D1202,49,$G$5,$H$13)/$E$5))</f>
        <v/>
      </c>
      <c r="P1202" s="247" t="str">
        <f ca="1">IF(C1202="","",IF($P$11="CFPS",[1]!S_STM07_CS(D1202,84,$G$5,$H$13)/IF([1]!S_SHARE_TOTAL(D1202,$G$5)=0,[1]!S_SHARE_TOTAL(D1202,[1]!s_ipo_listeddate(D1202)),[1]!S_SHARE_TOTAL(D1202,$G$5)),[1]!S_STM07_CS(D1202,84,$G$5,$H$13)/$E$5))</f>
        <v/>
      </c>
      <c r="Q1202" s="248" t="str">
        <f ca="1">IF(C1202="","",F1202/([1]!S_STM07_IS(D1202,61,$G$5,$H$13)/IF([1]!S_SHARE_TOTAL(D1202,$G$5)=0,[1]!S_SHARE_TOTAL(D1202,[1]!s_ipo_listeddate(D1202)),[1]!S_SHARE_TOTAL(D1202,$G$5))))</f>
        <v/>
      </c>
      <c r="R1202" s="248" t="str">
        <f ca="1">IF(C1202="","",F1202/([1]!S_STM07_BS(D1202,141,$G$5,$H$13)/IF([1]!S_SHARE_TOTAL(D1202,$G$5)=0,[1]!S_SHARE_TOTAL(D1202,[1]!s_ipo_listeddate(D1202)),[1]!S_SHARE_TOTAL(D1202,$G$5))))</f>
        <v/>
      </c>
      <c r="S1202" s="247" t="str">
        <f ca="1">IF(C1202="","",[1]!S_SHARE_TOTAL(D1202,TODAY())/$E$5)</f>
        <v/>
      </c>
      <c r="T1202" s="247" t="str">
        <f t="shared" ca="1" si="121"/>
        <v/>
      </c>
      <c r="U1202" s="218" t="str">
        <f t="shared" ca="1" si="122"/>
        <v/>
      </c>
      <c r="V1202" s="342" t="str">
        <f t="shared" ca="1" si="123"/>
        <v/>
      </c>
      <c r="W1202" s="139"/>
      <c r="Y1202" s="1"/>
    </row>
    <row r="1203" spans="3:25" ht="12" customHeight="1">
      <c r="C1203" s="343" t="str">
        <f t="shared" ca="1" si="118"/>
        <v/>
      </c>
      <c r="D1203" s="124" t="str">
        <f t="shared" ca="1" si="119"/>
        <v/>
      </c>
      <c r="E1203" s="124" t="str">
        <f t="shared" ca="1" si="120"/>
        <v/>
      </c>
      <c r="F1203" s="172" t="str">
        <f ca="1">IF(C1203="","",[1]!S_DQ_CLOSE(D1203,TODAY(),1))</f>
        <v/>
      </c>
      <c r="G1203" s="173" t="str">
        <f ca="1">IF(C1203="","",[1]!s_pq_pctchange(D1203,TODAY()-$G$12,TODAY())/100)</f>
        <v/>
      </c>
      <c r="H1203" s="249" t="str">
        <f ca="1">IF(C1203="","",IF($H$11="收入",[1]!S_STM07_IS(D1203,9,$G$5,$H$13)/$E$5,[1]!S_STM07_IS(D1203,48,$G$5,$H$13)/$E$5))</f>
        <v/>
      </c>
      <c r="I1203" s="249" t="str">
        <f ca="1">IF(C1203="","",IF($I$11="毛利率",([1]!S_STM07_IS(D1203,9,$G$5,$H$13)-[1]!S_STM07_IS(D1203,10,$G$5,$H$13))/[1]!S_STM07_IS(D1203,9,$G$5,$H$13),[1]!S_STM07_IS(D1203,14,$G$5,$H$13)/$E$5))</f>
        <v/>
      </c>
      <c r="J1203" s="249" t="str">
        <f ca="1">IF(C1203="","",IF($J$11="营业利润率",[1]!S_STM07_IS(D1203,48,$G$5,$H$13)/[1]!S_STM07_IS(D1203,9,$G$5,$H$13),([1]!S_STM07_CS(D1203,87,$G$5,$H$13)+[1]!S_STM07_CS(D1203,88,$G$5,$H$13)+[1]!S_STM07_CS(D1203,89,$G$5,$H$13))/$E$5))</f>
        <v/>
      </c>
      <c r="K1203" s="249" t="str">
        <f ca="1">IF(C1203="","",IF($K$11="净利润率",[1]!S_STM07_IS(D1203,61,$G$5,$H$13)/[1]!S_STM07_IS(D1203,9,$G$5,$H$13),[1]!S_STM07_IS(D1203,55,$G$5,$H$13)/$E$5))</f>
        <v/>
      </c>
      <c r="L1203" s="249" t="str">
        <f ca="1">IF(C1203="","",IF($L$11="ROA",[1]!S_STM07_IS(D1203,61,$G$5,$H$13)/[1]!S_STM07_BS(D1203,74,$G$5,$H$13),1-[1]!S_STM07_IS(D1203,61,$G$5,$H$13)/[1]!S_STM07_IS(D1203,55,$G$5,$H$13)))</f>
        <v/>
      </c>
      <c r="M1203" s="249" t="str">
        <f ca="1">IF(C1203="","",IF($M$11="ROE",[1]!S_STM07_IS(D1203,61,$G$5,$H$13)/[1]!S_STM07_BS(D1203,141,$G$5,$H$13),([1]!S_STM07_BS(D1203,25,$G$5,$H$13)-[1]!S_STM07_BS(D1203,93,$G$5,$H$13))/$E$5))</f>
        <v/>
      </c>
      <c r="N1203" s="250" t="str">
        <f ca="1">IF(C1203="","",IF($N$11="EPS",[1]!S_STM07_IS(D1203,61,$G$5,$H$13)/IF([1]!S_SHARE_TOTAL(D1203,$G$5)=0,[1]!S_SHARE_TOTAL(D1203,[1]!s_ipo_listeddate(D1203)),[1]!S_SHARE_TOTAL(D1203,$G$5)),([1]!S_STM07_BS(D1203,75,$G$5,$H$13)+[1]!S_STM07_BS(D1203,88,$G$5,$H$13)+[1]!S_STM07_BS(D1203,94,$G$5,$H$13)+[1]!S_STM07_BS(D1203,95,$G$5,$H$13))/$E$5))</f>
        <v/>
      </c>
      <c r="O1203" s="250" t="str">
        <f ca="1">IF(C1203="","",IF($O$11="BPS",[1]!S_STM07_BS(D1203,141,$G$5,$H$13)/IF([1]!S_SHARE_TOTAL(D1203,$G$5)=0,[1]!S_SHARE_TOTAL(D1203,[1]!s_ipo_listeddate(D1203)),[1]!S_SHARE_TOTAL(D1203,$G$5)),[1]!S_STM07_CS(D1203,49,$G$5,$H$13)/$E$5))</f>
        <v/>
      </c>
      <c r="P1203" s="250" t="str">
        <f ca="1">IF(C1203="","",IF($P$11="CFPS",[1]!S_STM07_CS(D1203,84,$G$5,$H$13)/IF([1]!S_SHARE_TOTAL(D1203,$G$5)=0,[1]!S_SHARE_TOTAL(D1203,[1]!s_ipo_listeddate(D1203)),[1]!S_SHARE_TOTAL(D1203,$G$5)),[1]!S_STM07_CS(D1203,84,$G$5,$H$13)/$E$5))</f>
        <v/>
      </c>
      <c r="Q1203" s="198" t="str">
        <f ca="1">IF(C1203="","",F1203/([1]!S_STM07_IS(D1203,61,$G$5,$H$13)/IF([1]!S_SHARE_TOTAL(D1203,$G$5)=0,[1]!S_SHARE_TOTAL(D1203,[1]!s_ipo_listeddate(D1203)),[1]!S_SHARE_TOTAL(D1203,$G$5))))</f>
        <v/>
      </c>
      <c r="R1203" s="198" t="str">
        <f ca="1">IF(C1203="","",F1203/([1]!S_STM07_BS(D1203,141,$G$5,$H$13)/IF([1]!S_SHARE_TOTAL(D1203,$G$5)=0,[1]!S_SHARE_TOTAL(D1203,[1]!s_ipo_listeddate(D1203)),[1]!S_SHARE_TOTAL(D1203,$G$5))))</f>
        <v/>
      </c>
      <c r="S1203" s="249" t="str">
        <f ca="1">IF(C1203="","",[1]!S_SHARE_TOTAL(D1203,TODAY())/$E$5)</f>
        <v/>
      </c>
      <c r="T1203" s="249" t="str">
        <f t="shared" ca="1" si="121"/>
        <v/>
      </c>
      <c r="U1203" s="172" t="str">
        <f t="shared" ca="1" si="122"/>
        <v/>
      </c>
      <c r="V1203" s="343" t="str">
        <f t="shared" ca="1" si="123"/>
        <v/>
      </c>
      <c r="W1203" s="139"/>
      <c r="Y1203" s="1"/>
    </row>
    <row r="1204" spans="3:25" ht="12" customHeight="1">
      <c r="C1204" s="342" t="str">
        <f t="shared" ca="1" si="118"/>
        <v/>
      </c>
      <c r="D1204" s="153" t="str">
        <f t="shared" ca="1" si="119"/>
        <v/>
      </c>
      <c r="E1204" s="153" t="str">
        <f t="shared" ca="1" si="120"/>
        <v/>
      </c>
      <c r="F1204" s="170" t="str">
        <f ca="1">IF(C1204="","",[1]!S_DQ_CLOSE(D1204,TODAY(),1))</f>
        <v/>
      </c>
      <c r="G1204" s="171" t="str">
        <f ca="1">IF(C1204="","",[1]!s_pq_pctchange(D1204,TODAY()-$G$12,TODAY())/100)</f>
        <v/>
      </c>
      <c r="H1204" s="247" t="str">
        <f ca="1">IF(C1204="","",IF($H$11="收入",[1]!S_STM07_IS(D1204,9,$G$5,$H$13)/$E$5,[1]!S_STM07_IS(D1204,48,$G$5,$H$13)/$E$5))</f>
        <v/>
      </c>
      <c r="I1204" s="247" t="str">
        <f ca="1">IF(C1204="","",IF($I$11="毛利率",([1]!S_STM07_IS(D1204,9,$G$5,$H$13)-[1]!S_STM07_IS(D1204,10,$G$5,$H$13))/[1]!S_STM07_IS(D1204,9,$G$5,$H$13),[1]!S_STM07_IS(D1204,14,$G$5,$H$13)/$E$5))</f>
        <v/>
      </c>
      <c r="J1204" s="247" t="str">
        <f ca="1">IF(C1204="","",IF($J$11="营业利润率",[1]!S_STM07_IS(D1204,48,$G$5,$H$13)/[1]!S_STM07_IS(D1204,9,$G$5,$H$13),([1]!S_STM07_CS(D1204,87,$G$5,$H$13)+[1]!S_STM07_CS(D1204,88,$G$5,$H$13)+[1]!S_STM07_CS(D1204,89,$G$5,$H$13))/$E$5))</f>
        <v/>
      </c>
      <c r="K1204" s="247" t="str">
        <f ca="1">IF(C1204="","",IF($K$11="净利润率",[1]!S_STM07_IS(D1204,61,$G$5,$H$13)/[1]!S_STM07_IS(D1204,9,$G$5,$H$13),[1]!S_STM07_IS(D1204,55,$G$5,$H$13)/$E$5))</f>
        <v/>
      </c>
      <c r="L1204" s="247" t="str">
        <f ca="1">IF(C1204="","",IF($L$11="ROA",[1]!S_STM07_IS(D1204,61,$G$5,$H$13)/[1]!S_STM07_BS(D1204,74,$G$5,$H$13),1-[1]!S_STM07_IS(D1204,61,$G$5,$H$13)/[1]!S_STM07_IS(D1204,55,$G$5,$H$13)))</f>
        <v/>
      </c>
      <c r="M1204" s="247" t="str">
        <f ca="1">IF(C1204="","",IF($M$11="ROE",[1]!S_STM07_IS(D1204,61,$G$5,$H$13)/[1]!S_STM07_BS(D1204,141,$G$5,$H$13),([1]!S_STM07_BS(D1204,25,$G$5,$H$13)-[1]!S_STM07_BS(D1204,93,$G$5,$H$13))/$E$5))</f>
        <v/>
      </c>
      <c r="N1204" s="247" t="str">
        <f ca="1">IF(C1204="","",IF($N$11="EPS",[1]!S_STM07_IS(D1204,61,$G$5,$H$13)/IF([1]!S_SHARE_TOTAL(D1204,$G$5)=0,[1]!S_SHARE_TOTAL(D1204,[1]!s_ipo_listeddate(D1204)),[1]!S_SHARE_TOTAL(D1204,$G$5)),([1]!S_STM07_BS(D1204,75,$G$5,$H$13)+[1]!S_STM07_BS(D1204,88,$G$5,$H$13)+[1]!S_STM07_BS(D1204,94,$G$5,$H$13)+[1]!S_STM07_BS(D1204,95,$G$5,$H$13))/$E$5))</f>
        <v/>
      </c>
      <c r="O1204" s="247" t="str">
        <f ca="1">IF(C1204="","",IF($O$11="BPS",[1]!S_STM07_BS(D1204,141,$G$5,$H$13)/IF([1]!S_SHARE_TOTAL(D1204,$G$5)=0,[1]!S_SHARE_TOTAL(D1204,[1]!s_ipo_listeddate(D1204)),[1]!S_SHARE_TOTAL(D1204,$G$5)),[1]!S_STM07_CS(D1204,49,$G$5,$H$13)/$E$5))</f>
        <v/>
      </c>
      <c r="P1204" s="247" t="str">
        <f ca="1">IF(C1204="","",IF($P$11="CFPS",[1]!S_STM07_CS(D1204,84,$G$5,$H$13)/IF([1]!S_SHARE_TOTAL(D1204,$G$5)=0,[1]!S_SHARE_TOTAL(D1204,[1]!s_ipo_listeddate(D1204)),[1]!S_SHARE_TOTAL(D1204,$G$5)),[1]!S_STM07_CS(D1204,84,$G$5,$H$13)/$E$5))</f>
        <v/>
      </c>
      <c r="Q1204" s="248" t="str">
        <f ca="1">IF(C1204="","",F1204/([1]!S_STM07_IS(D1204,61,$G$5,$H$13)/IF([1]!S_SHARE_TOTAL(D1204,$G$5)=0,[1]!S_SHARE_TOTAL(D1204,[1]!s_ipo_listeddate(D1204)),[1]!S_SHARE_TOTAL(D1204,$G$5))))</f>
        <v/>
      </c>
      <c r="R1204" s="248" t="str">
        <f ca="1">IF(C1204="","",F1204/([1]!S_STM07_BS(D1204,141,$G$5,$H$13)/IF([1]!S_SHARE_TOTAL(D1204,$G$5)=0,[1]!S_SHARE_TOTAL(D1204,[1]!s_ipo_listeddate(D1204)),[1]!S_SHARE_TOTAL(D1204,$G$5))))</f>
        <v/>
      </c>
      <c r="S1204" s="247" t="str">
        <f ca="1">IF(C1204="","",[1]!S_SHARE_TOTAL(D1204,TODAY())/$E$5)</f>
        <v/>
      </c>
      <c r="T1204" s="247" t="str">
        <f t="shared" ca="1" si="121"/>
        <v/>
      </c>
      <c r="U1204" s="218" t="str">
        <f t="shared" ca="1" si="122"/>
        <v/>
      </c>
      <c r="V1204" s="342" t="str">
        <f t="shared" ca="1" si="123"/>
        <v/>
      </c>
      <c r="W1204" s="139"/>
      <c r="Y1204" s="1"/>
    </row>
    <row r="1205" spans="3:25" ht="12" customHeight="1">
      <c r="C1205" s="343" t="str">
        <f t="shared" ca="1" si="118"/>
        <v/>
      </c>
      <c r="D1205" s="124" t="str">
        <f t="shared" ca="1" si="119"/>
        <v/>
      </c>
      <c r="E1205" s="124" t="str">
        <f t="shared" ca="1" si="120"/>
        <v/>
      </c>
      <c r="F1205" s="172" t="str">
        <f ca="1">IF(C1205="","",[1]!S_DQ_CLOSE(D1205,TODAY(),1))</f>
        <v/>
      </c>
      <c r="G1205" s="173" t="str">
        <f ca="1">IF(C1205="","",[1]!s_pq_pctchange(D1205,TODAY()-$G$12,TODAY())/100)</f>
        <v/>
      </c>
      <c r="H1205" s="249" t="str">
        <f ca="1">IF(C1205="","",IF($H$11="收入",[1]!S_STM07_IS(D1205,9,$G$5,$H$13)/$E$5,[1]!S_STM07_IS(D1205,48,$G$5,$H$13)/$E$5))</f>
        <v/>
      </c>
      <c r="I1205" s="249" t="str">
        <f ca="1">IF(C1205="","",IF($I$11="毛利率",([1]!S_STM07_IS(D1205,9,$G$5,$H$13)-[1]!S_STM07_IS(D1205,10,$G$5,$H$13))/[1]!S_STM07_IS(D1205,9,$G$5,$H$13),[1]!S_STM07_IS(D1205,14,$G$5,$H$13)/$E$5))</f>
        <v/>
      </c>
      <c r="J1205" s="249" t="str">
        <f ca="1">IF(C1205="","",IF($J$11="营业利润率",[1]!S_STM07_IS(D1205,48,$G$5,$H$13)/[1]!S_STM07_IS(D1205,9,$G$5,$H$13),([1]!S_STM07_CS(D1205,87,$G$5,$H$13)+[1]!S_STM07_CS(D1205,88,$G$5,$H$13)+[1]!S_STM07_CS(D1205,89,$G$5,$H$13))/$E$5))</f>
        <v/>
      </c>
      <c r="K1205" s="249" t="str">
        <f ca="1">IF(C1205="","",IF($K$11="净利润率",[1]!S_STM07_IS(D1205,61,$G$5,$H$13)/[1]!S_STM07_IS(D1205,9,$G$5,$H$13),[1]!S_STM07_IS(D1205,55,$G$5,$H$13)/$E$5))</f>
        <v/>
      </c>
      <c r="L1205" s="249" t="str">
        <f ca="1">IF(C1205="","",IF($L$11="ROA",[1]!S_STM07_IS(D1205,61,$G$5,$H$13)/[1]!S_STM07_BS(D1205,74,$G$5,$H$13),1-[1]!S_STM07_IS(D1205,61,$G$5,$H$13)/[1]!S_STM07_IS(D1205,55,$G$5,$H$13)))</f>
        <v/>
      </c>
      <c r="M1205" s="249" t="str">
        <f ca="1">IF(C1205="","",IF($M$11="ROE",[1]!S_STM07_IS(D1205,61,$G$5,$H$13)/[1]!S_STM07_BS(D1205,141,$G$5,$H$13),([1]!S_STM07_BS(D1205,25,$G$5,$H$13)-[1]!S_STM07_BS(D1205,93,$G$5,$H$13))/$E$5))</f>
        <v/>
      </c>
      <c r="N1205" s="250" t="str">
        <f ca="1">IF(C1205="","",IF($N$11="EPS",[1]!S_STM07_IS(D1205,61,$G$5,$H$13)/IF([1]!S_SHARE_TOTAL(D1205,$G$5)=0,[1]!S_SHARE_TOTAL(D1205,[1]!s_ipo_listeddate(D1205)),[1]!S_SHARE_TOTAL(D1205,$G$5)),([1]!S_STM07_BS(D1205,75,$G$5,$H$13)+[1]!S_STM07_BS(D1205,88,$G$5,$H$13)+[1]!S_STM07_BS(D1205,94,$G$5,$H$13)+[1]!S_STM07_BS(D1205,95,$G$5,$H$13))/$E$5))</f>
        <v/>
      </c>
      <c r="O1205" s="250" t="str">
        <f ca="1">IF(C1205="","",IF($O$11="BPS",[1]!S_STM07_BS(D1205,141,$G$5,$H$13)/IF([1]!S_SHARE_TOTAL(D1205,$G$5)=0,[1]!S_SHARE_TOTAL(D1205,[1]!s_ipo_listeddate(D1205)),[1]!S_SHARE_TOTAL(D1205,$G$5)),[1]!S_STM07_CS(D1205,49,$G$5,$H$13)/$E$5))</f>
        <v/>
      </c>
      <c r="P1205" s="250" t="str">
        <f ca="1">IF(C1205="","",IF($P$11="CFPS",[1]!S_STM07_CS(D1205,84,$G$5,$H$13)/IF([1]!S_SHARE_TOTAL(D1205,$G$5)=0,[1]!S_SHARE_TOTAL(D1205,[1]!s_ipo_listeddate(D1205)),[1]!S_SHARE_TOTAL(D1205,$G$5)),[1]!S_STM07_CS(D1205,84,$G$5,$H$13)/$E$5))</f>
        <v/>
      </c>
      <c r="Q1205" s="198" t="str">
        <f ca="1">IF(C1205="","",F1205/([1]!S_STM07_IS(D1205,61,$G$5,$H$13)/IF([1]!S_SHARE_TOTAL(D1205,$G$5)=0,[1]!S_SHARE_TOTAL(D1205,[1]!s_ipo_listeddate(D1205)),[1]!S_SHARE_TOTAL(D1205,$G$5))))</f>
        <v/>
      </c>
      <c r="R1205" s="198" t="str">
        <f ca="1">IF(C1205="","",F1205/([1]!S_STM07_BS(D1205,141,$G$5,$H$13)/IF([1]!S_SHARE_TOTAL(D1205,$G$5)=0,[1]!S_SHARE_TOTAL(D1205,[1]!s_ipo_listeddate(D1205)),[1]!S_SHARE_TOTAL(D1205,$G$5))))</f>
        <v/>
      </c>
      <c r="S1205" s="249" t="str">
        <f ca="1">IF(C1205="","",[1]!S_SHARE_TOTAL(D1205,TODAY())/$E$5)</f>
        <v/>
      </c>
      <c r="T1205" s="249" t="str">
        <f t="shared" ca="1" si="121"/>
        <v/>
      </c>
      <c r="U1205" s="172" t="str">
        <f t="shared" ca="1" si="122"/>
        <v/>
      </c>
      <c r="V1205" s="343" t="str">
        <f t="shared" ca="1" si="123"/>
        <v/>
      </c>
      <c r="W1205" s="139"/>
      <c r="Y1205" s="1"/>
    </row>
    <row r="1206" spans="3:25" ht="12" customHeight="1">
      <c r="C1206" s="342" t="str">
        <f t="shared" ca="1" si="118"/>
        <v/>
      </c>
      <c r="D1206" s="153" t="str">
        <f t="shared" ca="1" si="119"/>
        <v/>
      </c>
      <c r="E1206" s="153" t="str">
        <f t="shared" ca="1" si="120"/>
        <v/>
      </c>
      <c r="F1206" s="170" t="str">
        <f ca="1">IF(C1206="","",[1]!S_DQ_CLOSE(D1206,TODAY(),1))</f>
        <v/>
      </c>
      <c r="G1206" s="171" t="str">
        <f ca="1">IF(C1206="","",[1]!s_pq_pctchange(D1206,TODAY()-$G$12,TODAY())/100)</f>
        <v/>
      </c>
      <c r="H1206" s="247" t="str">
        <f ca="1">IF(C1206="","",IF($H$11="收入",[1]!S_STM07_IS(D1206,9,$G$5,$H$13)/$E$5,[1]!S_STM07_IS(D1206,48,$G$5,$H$13)/$E$5))</f>
        <v/>
      </c>
      <c r="I1206" s="247" t="str">
        <f ca="1">IF(C1206="","",IF($I$11="毛利率",([1]!S_STM07_IS(D1206,9,$G$5,$H$13)-[1]!S_STM07_IS(D1206,10,$G$5,$H$13))/[1]!S_STM07_IS(D1206,9,$G$5,$H$13),[1]!S_STM07_IS(D1206,14,$G$5,$H$13)/$E$5))</f>
        <v/>
      </c>
      <c r="J1206" s="247" t="str">
        <f ca="1">IF(C1206="","",IF($J$11="营业利润率",[1]!S_STM07_IS(D1206,48,$G$5,$H$13)/[1]!S_STM07_IS(D1206,9,$G$5,$H$13),([1]!S_STM07_CS(D1206,87,$G$5,$H$13)+[1]!S_STM07_CS(D1206,88,$G$5,$H$13)+[1]!S_STM07_CS(D1206,89,$G$5,$H$13))/$E$5))</f>
        <v/>
      </c>
      <c r="K1206" s="247" t="str">
        <f ca="1">IF(C1206="","",IF($K$11="净利润率",[1]!S_STM07_IS(D1206,61,$G$5,$H$13)/[1]!S_STM07_IS(D1206,9,$G$5,$H$13),[1]!S_STM07_IS(D1206,55,$G$5,$H$13)/$E$5))</f>
        <v/>
      </c>
      <c r="L1206" s="247" t="str">
        <f ca="1">IF(C1206="","",IF($L$11="ROA",[1]!S_STM07_IS(D1206,61,$G$5,$H$13)/[1]!S_STM07_BS(D1206,74,$G$5,$H$13),1-[1]!S_STM07_IS(D1206,61,$G$5,$H$13)/[1]!S_STM07_IS(D1206,55,$G$5,$H$13)))</f>
        <v/>
      </c>
      <c r="M1206" s="247" t="str">
        <f ca="1">IF(C1206="","",IF($M$11="ROE",[1]!S_STM07_IS(D1206,61,$G$5,$H$13)/[1]!S_STM07_BS(D1206,141,$G$5,$H$13),([1]!S_STM07_BS(D1206,25,$G$5,$H$13)-[1]!S_STM07_BS(D1206,93,$G$5,$H$13))/$E$5))</f>
        <v/>
      </c>
      <c r="N1206" s="247" t="str">
        <f ca="1">IF(C1206="","",IF($N$11="EPS",[1]!S_STM07_IS(D1206,61,$G$5,$H$13)/IF([1]!S_SHARE_TOTAL(D1206,$G$5)=0,[1]!S_SHARE_TOTAL(D1206,[1]!s_ipo_listeddate(D1206)),[1]!S_SHARE_TOTAL(D1206,$G$5)),([1]!S_STM07_BS(D1206,75,$G$5,$H$13)+[1]!S_STM07_BS(D1206,88,$G$5,$H$13)+[1]!S_STM07_BS(D1206,94,$G$5,$H$13)+[1]!S_STM07_BS(D1206,95,$G$5,$H$13))/$E$5))</f>
        <v/>
      </c>
      <c r="O1206" s="247" t="str">
        <f ca="1">IF(C1206="","",IF($O$11="BPS",[1]!S_STM07_BS(D1206,141,$G$5,$H$13)/IF([1]!S_SHARE_TOTAL(D1206,$G$5)=0,[1]!S_SHARE_TOTAL(D1206,[1]!s_ipo_listeddate(D1206)),[1]!S_SHARE_TOTAL(D1206,$G$5)),[1]!S_STM07_CS(D1206,49,$G$5,$H$13)/$E$5))</f>
        <v/>
      </c>
      <c r="P1206" s="247" t="str">
        <f ca="1">IF(C1206="","",IF($P$11="CFPS",[1]!S_STM07_CS(D1206,84,$G$5,$H$13)/IF([1]!S_SHARE_TOTAL(D1206,$G$5)=0,[1]!S_SHARE_TOTAL(D1206,[1]!s_ipo_listeddate(D1206)),[1]!S_SHARE_TOTAL(D1206,$G$5)),[1]!S_STM07_CS(D1206,84,$G$5,$H$13)/$E$5))</f>
        <v/>
      </c>
      <c r="Q1206" s="248" t="str">
        <f ca="1">IF(C1206="","",F1206/([1]!S_STM07_IS(D1206,61,$G$5,$H$13)/IF([1]!S_SHARE_TOTAL(D1206,$G$5)=0,[1]!S_SHARE_TOTAL(D1206,[1]!s_ipo_listeddate(D1206)),[1]!S_SHARE_TOTAL(D1206,$G$5))))</f>
        <v/>
      </c>
      <c r="R1206" s="248" t="str">
        <f ca="1">IF(C1206="","",F1206/([1]!S_STM07_BS(D1206,141,$G$5,$H$13)/IF([1]!S_SHARE_TOTAL(D1206,$G$5)=0,[1]!S_SHARE_TOTAL(D1206,[1]!s_ipo_listeddate(D1206)),[1]!S_SHARE_TOTAL(D1206,$G$5))))</f>
        <v/>
      </c>
      <c r="S1206" s="247" t="str">
        <f ca="1">IF(C1206="","",[1]!S_SHARE_TOTAL(D1206,TODAY())/$E$5)</f>
        <v/>
      </c>
      <c r="T1206" s="247" t="str">
        <f t="shared" ca="1" si="121"/>
        <v/>
      </c>
      <c r="U1206" s="218" t="str">
        <f t="shared" ca="1" si="122"/>
        <v/>
      </c>
      <c r="V1206" s="342" t="str">
        <f t="shared" ca="1" si="123"/>
        <v/>
      </c>
      <c r="W1206" s="139"/>
      <c r="Y1206" s="1"/>
    </row>
    <row r="1207" spans="3:25" ht="12" customHeight="1">
      <c r="C1207" s="343" t="str">
        <f t="shared" ca="1" si="118"/>
        <v/>
      </c>
      <c r="D1207" s="124" t="str">
        <f t="shared" ca="1" si="119"/>
        <v/>
      </c>
      <c r="E1207" s="124" t="str">
        <f t="shared" ca="1" si="120"/>
        <v/>
      </c>
      <c r="F1207" s="172" t="str">
        <f ca="1">IF(C1207="","",[1]!S_DQ_CLOSE(D1207,TODAY(),1))</f>
        <v/>
      </c>
      <c r="G1207" s="173" t="str">
        <f ca="1">IF(C1207="","",[1]!s_pq_pctchange(D1207,TODAY()-$G$12,TODAY())/100)</f>
        <v/>
      </c>
      <c r="H1207" s="249" t="str">
        <f ca="1">IF(C1207="","",IF($H$11="收入",[1]!S_STM07_IS(D1207,9,$G$5,$H$13)/$E$5,[1]!S_STM07_IS(D1207,48,$G$5,$H$13)/$E$5))</f>
        <v/>
      </c>
      <c r="I1207" s="249" t="str">
        <f ca="1">IF(C1207="","",IF($I$11="毛利率",([1]!S_STM07_IS(D1207,9,$G$5,$H$13)-[1]!S_STM07_IS(D1207,10,$G$5,$H$13))/[1]!S_STM07_IS(D1207,9,$G$5,$H$13),[1]!S_STM07_IS(D1207,14,$G$5,$H$13)/$E$5))</f>
        <v/>
      </c>
      <c r="J1207" s="249" t="str">
        <f ca="1">IF(C1207="","",IF($J$11="营业利润率",[1]!S_STM07_IS(D1207,48,$G$5,$H$13)/[1]!S_STM07_IS(D1207,9,$G$5,$H$13),([1]!S_STM07_CS(D1207,87,$G$5,$H$13)+[1]!S_STM07_CS(D1207,88,$G$5,$H$13)+[1]!S_STM07_CS(D1207,89,$G$5,$H$13))/$E$5))</f>
        <v/>
      </c>
      <c r="K1207" s="249" t="str">
        <f ca="1">IF(C1207="","",IF($K$11="净利润率",[1]!S_STM07_IS(D1207,61,$G$5,$H$13)/[1]!S_STM07_IS(D1207,9,$G$5,$H$13),[1]!S_STM07_IS(D1207,55,$G$5,$H$13)/$E$5))</f>
        <v/>
      </c>
      <c r="L1207" s="249" t="str">
        <f ca="1">IF(C1207="","",IF($L$11="ROA",[1]!S_STM07_IS(D1207,61,$G$5,$H$13)/[1]!S_STM07_BS(D1207,74,$G$5,$H$13),1-[1]!S_STM07_IS(D1207,61,$G$5,$H$13)/[1]!S_STM07_IS(D1207,55,$G$5,$H$13)))</f>
        <v/>
      </c>
      <c r="M1207" s="249" t="str">
        <f ca="1">IF(C1207="","",IF($M$11="ROE",[1]!S_STM07_IS(D1207,61,$G$5,$H$13)/[1]!S_STM07_BS(D1207,141,$G$5,$H$13),([1]!S_STM07_BS(D1207,25,$G$5,$H$13)-[1]!S_STM07_BS(D1207,93,$G$5,$H$13))/$E$5))</f>
        <v/>
      </c>
      <c r="N1207" s="250" t="str">
        <f ca="1">IF(C1207="","",IF($N$11="EPS",[1]!S_STM07_IS(D1207,61,$G$5,$H$13)/IF([1]!S_SHARE_TOTAL(D1207,$G$5)=0,[1]!S_SHARE_TOTAL(D1207,[1]!s_ipo_listeddate(D1207)),[1]!S_SHARE_TOTAL(D1207,$G$5)),([1]!S_STM07_BS(D1207,75,$G$5,$H$13)+[1]!S_STM07_BS(D1207,88,$G$5,$H$13)+[1]!S_STM07_BS(D1207,94,$G$5,$H$13)+[1]!S_STM07_BS(D1207,95,$G$5,$H$13))/$E$5))</f>
        <v/>
      </c>
      <c r="O1207" s="250" t="str">
        <f ca="1">IF(C1207="","",IF($O$11="BPS",[1]!S_STM07_BS(D1207,141,$G$5,$H$13)/IF([1]!S_SHARE_TOTAL(D1207,$G$5)=0,[1]!S_SHARE_TOTAL(D1207,[1]!s_ipo_listeddate(D1207)),[1]!S_SHARE_TOTAL(D1207,$G$5)),[1]!S_STM07_CS(D1207,49,$G$5,$H$13)/$E$5))</f>
        <v/>
      </c>
      <c r="P1207" s="250" t="str">
        <f ca="1">IF(C1207="","",IF($P$11="CFPS",[1]!S_STM07_CS(D1207,84,$G$5,$H$13)/IF([1]!S_SHARE_TOTAL(D1207,$G$5)=0,[1]!S_SHARE_TOTAL(D1207,[1]!s_ipo_listeddate(D1207)),[1]!S_SHARE_TOTAL(D1207,$G$5)),[1]!S_STM07_CS(D1207,84,$G$5,$H$13)/$E$5))</f>
        <v/>
      </c>
      <c r="Q1207" s="198" t="str">
        <f ca="1">IF(C1207="","",F1207/([1]!S_STM07_IS(D1207,61,$G$5,$H$13)/IF([1]!S_SHARE_TOTAL(D1207,$G$5)=0,[1]!S_SHARE_TOTAL(D1207,[1]!s_ipo_listeddate(D1207)),[1]!S_SHARE_TOTAL(D1207,$G$5))))</f>
        <v/>
      </c>
      <c r="R1207" s="198" t="str">
        <f ca="1">IF(C1207="","",F1207/([1]!S_STM07_BS(D1207,141,$G$5,$H$13)/IF([1]!S_SHARE_TOTAL(D1207,$G$5)=0,[1]!S_SHARE_TOTAL(D1207,[1]!s_ipo_listeddate(D1207)),[1]!S_SHARE_TOTAL(D1207,$G$5))))</f>
        <v/>
      </c>
      <c r="S1207" s="249" t="str">
        <f ca="1">IF(C1207="","",[1]!S_SHARE_TOTAL(D1207,TODAY())/$E$5)</f>
        <v/>
      </c>
      <c r="T1207" s="249" t="str">
        <f t="shared" ca="1" si="121"/>
        <v/>
      </c>
      <c r="U1207" s="172" t="str">
        <f t="shared" ca="1" si="122"/>
        <v/>
      </c>
      <c r="V1207" s="343" t="str">
        <f t="shared" ca="1" si="123"/>
        <v/>
      </c>
      <c r="W1207" s="139"/>
      <c r="Y1207" s="1"/>
    </row>
    <row r="1208" spans="3:25" ht="12" customHeight="1">
      <c r="C1208" s="342" t="str">
        <f t="shared" ca="1" si="118"/>
        <v/>
      </c>
      <c r="D1208" s="153" t="str">
        <f t="shared" ca="1" si="119"/>
        <v/>
      </c>
      <c r="E1208" s="153" t="str">
        <f t="shared" ca="1" si="120"/>
        <v/>
      </c>
      <c r="F1208" s="170" t="str">
        <f ca="1">IF(C1208="","",[1]!S_DQ_CLOSE(D1208,TODAY(),1))</f>
        <v/>
      </c>
      <c r="G1208" s="171" t="str">
        <f ca="1">IF(C1208="","",[1]!s_pq_pctchange(D1208,TODAY()-$G$12,TODAY())/100)</f>
        <v/>
      </c>
      <c r="H1208" s="247" t="str">
        <f ca="1">IF(C1208="","",IF($H$11="收入",[1]!S_STM07_IS(D1208,9,$G$5,$H$13)/$E$5,[1]!S_STM07_IS(D1208,48,$G$5,$H$13)/$E$5))</f>
        <v/>
      </c>
      <c r="I1208" s="247" t="str">
        <f ca="1">IF(C1208="","",IF($I$11="毛利率",([1]!S_STM07_IS(D1208,9,$G$5,$H$13)-[1]!S_STM07_IS(D1208,10,$G$5,$H$13))/[1]!S_STM07_IS(D1208,9,$G$5,$H$13),[1]!S_STM07_IS(D1208,14,$G$5,$H$13)/$E$5))</f>
        <v/>
      </c>
      <c r="J1208" s="247" t="str">
        <f ca="1">IF(C1208="","",IF($J$11="营业利润率",[1]!S_STM07_IS(D1208,48,$G$5,$H$13)/[1]!S_STM07_IS(D1208,9,$G$5,$H$13),([1]!S_STM07_CS(D1208,87,$G$5,$H$13)+[1]!S_STM07_CS(D1208,88,$G$5,$H$13)+[1]!S_STM07_CS(D1208,89,$G$5,$H$13))/$E$5))</f>
        <v/>
      </c>
      <c r="K1208" s="247" t="str">
        <f ca="1">IF(C1208="","",IF($K$11="净利润率",[1]!S_STM07_IS(D1208,61,$G$5,$H$13)/[1]!S_STM07_IS(D1208,9,$G$5,$H$13),[1]!S_STM07_IS(D1208,55,$G$5,$H$13)/$E$5))</f>
        <v/>
      </c>
      <c r="L1208" s="247" t="str">
        <f ca="1">IF(C1208="","",IF($L$11="ROA",[1]!S_STM07_IS(D1208,61,$G$5,$H$13)/[1]!S_STM07_BS(D1208,74,$G$5,$H$13),1-[1]!S_STM07_IS(D1208,61,$G$5,$H$13)/[1]!S_STM07_IS(D1208,55,$G$5,$H$13)))</f>
        <v/>
      </c>
      <c r="M1208" s="247" t="str">
        <f ca="1">IF(C1208="","",IF($M$11="ROE",[1]!S_STM07_IS(D1208,61,$G$5,$H$13)/[1]!S_STM07_BS(D1208,141,$G$5,$H$13),([1]!S_STM07_BS(D1208,25,$G$5,$H$13)-[1]!S_STM07_BS(D1208,93,$G$5,$H$13))/$E$5))</f>
        <v/>
      </c>
      <c r="N1208" s="247" t="str">
        <f ca="1">IF(C1208="","",IF($N$11="EPS",[1]!S_STM07_IS(D1208,61,$G$5,$H$13)/IF([1]!S_SHARE_TOTAL(D1208,$G$5)=0,[1]!S_SHARE_TOTAL(D1208,[1]!s_ipo_listeddate(D1208)),[1]!S_SHARE_TOTAL(D1208,$G$5)),([1]!S_STM07_BS(D1208,75,$G$5,$H$13)+[1]!S_STM07_BS(D1208,88,$G$5,$H$13)+[1]!S_STM07_BS(D1208,94,$G$5,$H$13)+[1]!S_STM07_BS(D1208,95,$G$5,$H$13))/$E$5))</f>
        <v/>
      </c>
      <c r="O1208" s="247" t="str">
        <f ca="1">IF(C1208="","",IF($O$11="BPS",[1]!S_STM07_BS(D1208,141,$G$5,$H$13)/IF([1]!S_SHARE_TOTAL(D1208,$G$5)=0,[1]!S_SHARE_TOTAL(D1208,[1]!s_ipo_listeddate(D1208)),[1]!S_SHARE_TOTAL(D1208,$G$5)),[1]!S_STM07_CS(D1208,49,$G$5,$H$13)/$E$5))</f>
        <v/>
      </c>
      <c r="P1208" s="247" t="str">
        <f ca="1">IF(C1208="","",IF($P$11="CFPS",[1]!S_STM07_CS(D1208,84,$G$5,$H$13)/IF([1]!S_SHARE_TOTAL(D1208,$G$5)=0,[1]!S_SHARE_TOTAL(D1208,[1]!s_ipo_listeddate(D1208)),[1]!S_SHARE_TOTAL(D1208,$G$5)),[1]!S_STM07_CS(D1208,84,$G$5,$H$13)/$E$5))</f>
        <v/>
      </c>
      <c r="Q1208" s="248" t="str">
        <f ca="1">IF(C1208="","",F1208/([1]!S_STM07_IS(D1208,61,$G$5,$H$13)/IF([1]!S_SHARE_TOTAL(D1208,$G$5)=0,[1]!S_SHARE_TOTAL(D1208,[1]!s_ipo_listeddate(D1208)),[1]!S_SHARE_TOTAL(D1208,$G$5))))</f>
        <v/>
      </c>
      <c r="R1208" s="248" t="str">
        <f ca="1">IF(C1208="","",F1208/([1]!S_STM07_BS(D1208,141,$G$5,$H$13)/IF([1]!S_SHARE_TOTAL(D1208,$G$5)=0,[1]!S_SHARE_TOTAL(D1208,[1]!s_ipo_listeddate(D1208)),[1]!S_SHARE_TOTAL(D1208,$G$5))))</f>
        <v/>
      </c>
      <c r="S1208" s="247" t="str">
        <f ca="1">IF(C1208="","",[1]!S_SHARE_TOTAL(D1208,TODAY())/$E$5)</f>
        <v/>
      </c>
      <c r="T1208" s="247" t="str">
        <f t="shared" ca="1" si="121"/>
        <v/>
      </c>
      <c r="U1208" s="218" t="str">
        <f t="shared" ca="1" si="122"/>
        <v/>
      </c>
      <c r="V1208" s="342" t="str">
        <f t="shared" ca="1" si="123"/>
        <v/>
      </c>
      <c r="W1208" s="139"/>
      <c r="Y1208" s="1"/>
    </row>
    <row r="1209" spans="3:25" ht="12" customHeight="1">
      <c r="C1209" s="343" t="str">
        <f t="shared" ca="1" si="118"/>
        <v/>
      </c>
      <c r="D1209" s="124" t="str">
        <f t="shared" ca="1" si="119"/>
        <v/>
      </c>
      <c r="E1209" s="124" t="str">
        <f t="shared" ca="1" si="120"/>
        <v/>
      </c>
      <c r="F1209" s="172" t="str">
        <f ca="1">IF(C1209="","",[1]!S_DQ_CLOSE(D1209,TODAY(),1))</f>
        <v/>
      </c>
      <c r="G1209" s="173" t="str">
        <f ca="1">IF(C1209="","",[1]!s_pq_pctchange(D1209,TODAY()-$G$12,TODAY())/100)</f>
        <v/>
      </c>
      <c r="H1209" s="249" t="str">
        <f ca="1">IF(C1209="","",IF($H$11="收入",[1]!S_STM07_IS(D1209,9,$G$5,$H$13)/$E$5,[1]!S_STM07_IS(D1209,48,$G$5,$H$13)/$E$5))</f>
        <v/>
      </c>
      <c r="I1209" s="249" t="str">
        <f ca="1">IF(C1209="","",IF($I$11="毛利率",([1]!S_STM07_IS(D1209,9,$G$5,$H$13)-[1]!S_STM07_IS(D1209,10,$G$5,$H$13))/[1]!S_STM07_IS(D1209,9,$G$5,$H$13),[1]!S_STM07_IS(D1209,14,$G$5,$H$13)/$E$5))</f>
        <v/>
      </c>
      <c r="J1209" s="249" t="str">
        <f ca="1">IF(C1209="","",IF($J$11="营业利润率",[1]!S_STM07_IS(D1209,48,$G$5,$H$13)/[1]!S_STM07_IS(D1209,9,$G$5,$H$13),([1]!S_STM07_CS(D1209,87,$G$5,$H$13)+[1]!S_STM07_CS(D1209,88,$G$5,$H$13)+[1]!S_STM07_CS(D1209,89,$G$5,$H$13))/$E$5))</f>
        <v/>
      </c>
      <c r="K1209" s="249" t="str">
        <f ca="1">IF(C1209="","",IF($K$11="净利润率",[1]!S_STM07_IS(D1209,61,$G$5,$H$13)/[1]!S_STM07_IS(D1209,9,$G$5,$H$13),[1]!S_STM07_IS(D1209,55,$G$5,$H$13)/$E$5))</f>
        <v/>
      </c>
      <c r="L1209" s="249" t="str">
        <f ca="1">IF(C1209="","",IF($L$11="ROA",[1]!S_STM07_IS(D1209,61,$G$5,$H$13)/[1]!S_STM07_BS(D1209,74,$G$5,$H$13),1-[1]!S_STM07_IS(D1209,61,$G$5,$H$13)/[1]!S_STM07_IS(D1209,55,$G$5,$H$13)))</f>
        <v/>
      </c>
      <c r="M1209" s="249" t="str">
        <f ca="1">IF(C1209="","",IF($M$11="ROE",[1]!S_STM07_IS(D1209,61,$G$5,$H$13)/[1]!S_STM07_BS(D1209,141,$G$5,$H$13),([1]!S_STM07_BS(D1209,25,$G$5,$H$13)-[1]!S_STM07_BS(D1209,93,$G$5,$H$13))/$E$5))</f>
        <v/>
      </c>
      <c r="N1209" s="250" t="str">
        <f ca="1">IF(C1209="","",IF($N$11="EPS",[1]!S_STM07_IS(D1209,61,$G$5,$H$13)/IF([1]!S_SHARE_TOTAL(D1209,$G$5)=0,[1]!S_SHARE_TOTAL(D1209,[1]!s_ipo_listeddate(D1209)),[1]!S_SHARE_TOTAL(D1209,$G$5)),([1]!S_STM07_BS(D1209,75,$G$5,$H$13)+[1]!S_STM07_BS(D1209,88,$G$5,$H$13)+[1]!S_STM07_BS(D1209,94,$G$5,$H$13)+[1]!S_STM07_BS(D1209,95,$G$5,$H$13))/$E$5))</f>
        <v/>
      </c>
      <c r="O1209" s="250" t="str">
        <f ca="1">IF(C1209="","",IF($O$11="BPS",[1]!S_STM07_BS(D1209,141,$G$5,$H$13)/IF([1]!S_SHARE_TOTAL(D1209,$G$5)=0,[1]!S_SHARE_TOTAL(D1209,[1]!s_ipo_listeddate(D1209)),[1]!S_SHARE_TOTAL(D1209,$G$5)),[1]!S_STM07_CS(D1209,49,$G$5,$H$13)/$E$5))</f>
        <v/>
      </c>
      <c r="P1209" s="250" t="str">
        <f ca="1">IF(C1209="","",IF($P$11="CFPS",[1]!S_STM07_CS(D1209,84,$G$5,$H$13)/IF([1]!S_SHARE_TOTAL(D1209,$G$5)=0,[1]!S_SHARE_TOTAL(D1209,[1]!s_ipo_listeddate(D1209)),[1]!S_SHARE_TOTAL(D1209,$G$5)),[1]!S_STM07_CS(D1209,84,$G$5,$H$13)/$E$5))</f>
        <v/>
      </c>
      <c r="Q1209" s="198" t="str">
        <f ca="1">IF(C1209="","",F1209/([1]!S_STM07_IS(D1209,61,$G$5,$H$13)/IF([1]!S_SHARE_TOTAL(D1209,$G$5)=0,[1]!S_SHARE_TOTAL(D1209,[1]!s_ipo_listeddate(D1209)),[1]!S_SHARE_TOTAL(D1209,$G$5))))</f>
        <v/>
      </c>
      <c r="R1209" s="198" t="str">
        <f ca="1">IF(C1209="","",F1209/([1]!S_STM07_BS(D1209,141,$G$5,$H$13)/IF([1]!S_SHARE_TOTAL(D1209,$G$5)=0,[1]!S_SHARE_TOTAL(D1209,[1]!s_ipo_listeddate(D1209)),[1]!S_SHARE_TOTAL(D1209,$G$5))))</f>
        <v/>
      </c>
      <c r="S1209" s="249" t="str">
        <f ca="1">IF(C1209="","",[1]!S_SHARE_TOTAL(D1209,TODAY())/$E$5)</f>
        <v/>
      </c>
      <c r="T1209" s="249" t="str">
        <f t="shared" ca="1" si="121"/>
        <v/>
      </c>
      <c r="U1209" s="172" t="str">
        <f t="shared" ca="1" si="122"/>
        <v/>
      </c>
      <c r="V1209" s="343" t="str">
        <f t="shared" ca="1" si="123"/>
        <v/>
      </c>
      <c r="W1209" s="139"/>
      <c r="Y1209" s="1"/>
    </row>
    <row r="1210" spans="3:25" ht="12" customHeight="1">
      <c r="C1210" s="342" t="str">
        <f t="shared" ca="1" si="118"/>
        <v/>
      </c>
      <c r="D1210" s="153" t="str">
        <f t="shared" ca="1" si="119"/>
        <v/>
      </c>
      <c r="E1210" s="153" t="str">
        <f t="shared" ca="1" si="120"/>
        <v/>
      </c>
      <c r="F1210" s="170" t="str">
        <f ca="1">IF(C1210="","",[1]!S_DQ_CLOSE(D1210,TODAY(),1))</f>
        <v/>
      </c>
      <c r="G1210" s="171" t="str">
        <f ca="1">IF(C1210="","",[1]!s_pq_pctchange(D1210,TODAY()-$G$12,TODAY())/100)</f>
        <v/>
      </c>
      <c r="H1210" s="247" t="str">
        <f ca="1">IF(C1210="","",IF($H$11="收入",[1]!S_STM07_IS(D1210,9,$G$5,$H$13)/$E$5,[1]!S_STM07_IS(D1210,48,$G$5,$H$13)/$E$5))</f>
        <v/>
      </c>
      <c r="I1210" s="247" t="str">
        <f ca="1">IF(C1210="","",IF($I$11="毛利率",([1]!S_STM07_IS(D1210,9,$G$5,$H$13)-[1]!S_STM07_IS(D1210,10,$G$5,$H$13))/[1]!S_STM07_IS(D1210,9,$G$5,$H$13),[1]!S_STM07_IS(D1210,14,$G$5,$H$13)/$E$5))</f>
        <v/>
      </c>
      <c r="J1210" s="247" t="str">
        <f ca="1">IF(C1210="","",IF($J$11="营业利润率",[1]!S_STM07_IS(D1210,48,$G$5,$H$13)/[1]!S_STM07_IS(D1210,9,$G$5,$H$13),([1]!S_STM07_CS(D1210,87,$G$5,$H$13)+[1]!S_STM07_CS(D1210,88,$G$5,$H$13)+[1]!S_STM07_CS(D1210,89,$G$5,$H$13))/$E$5))</f>
        <v/>
      </c>
      <c r="K1210" s="247" t="str">
        <f ca="1">IF(C1210="","",IF($K$11="净利润率",[1]!S_STM07_IS(D1210,61,$G$5,$H$13)/[1]!S_STM07_IS(D1210,9,$G$5,$H$13),[1]!S_STM07_IS(D1210,55,$G$5,$H$13)/$E$5))</f>
        <v/>
      </c>
      <c r="L1210" s="247" t="str">
        <f ca="1">IF(C1210="","",IF($L$11="ROA",[1]!S_STM07_IS(D1210,61,$G$5,$H$13)/[1]!S_STM07_BS(D1210,74,$G$5,$H$13),1-[1]!S_STM07_IS(D1210,61,$G$5,$H$13)/[1]!S_STM07_IS(D1210,55,$G$5,$H$13)))</f>
        <v/>
      </c>
      <c r="M1210" s="247" t="str">
        <f ca="1">IF(C1210="","",IF($M$11="ROE",[1]!S_STM07_IS(D1210,61,$G$5,$H$13)/[1]!S_STM07_BS(D1210,141,$G$5,$H$13),([1]!S_STM07_BS(D1210,25,$G$5,$H$13)-[1]!S_STM07_BS(D1210,93,$G$5,$H$13))/$E$5))</f>
        <v/>
      </c>
      <c r="N1210" s="247" t="str">
        <f ca="1">IF(C1210="","",IF($N$11="EPS",[1]!S_STM07_IS(D1210,61,$G$5,$H$13)/IF([1]!S_SHARE_TOTAL(D1210,$G$5)=0,[1]!S_SHARE_TOTAL(D1210,[1]!s_ipo_listeddate(D1210)),[1]!S_SHARE_TOTAL(D1210,$G$5)),([1]!S_STM07_BS(D1210,75,$G$5,$H$13)+[1]!S_STM07_BS(D1210,88,$G$5,$H$13)+[1]!S_STM07_BS(D1210,94,$G$5,$H$13)+[1]!S_STM07_BS(D1210,95,$G$5,$H$13))/$E$5))</f>
        <v/>
      </c>
      <c r="O1210" s="247" t="str">
        <f ca="1">IF(C1210="","",IF($O$11="BPS",[1]!S_STM07_BS(D1210,141,$G$5,$H$13)/IF([1]!S_SHARE_TOTAL(D1210,$G$5)=0,[1]!S_SHARE_TOTAL(D1210,[1]!s_ipo_listeddate(D1210)),[1]!S_SHARE_TOTAL(D1210,$G$5)),[1]!S_STM07_CS(D1210,49,$G$5,$H$13)/$E$5))</f>
        <v/>
      </c>
      <c r="P1210" s="247" t="str">
        <f ca="1">IF(C1210="","",IF($P$11="CFPS",[1]!S_STM07_CS(D1210,84,$G$5,$H$13)/IF([1]!S_SHARE_TOTAL(D1210,$G$5)=0,[1]!S_SHARE_TOTAL(D1210,[1]!s_ipo_listeddate(D1210)),[1]!S_SHARE_TOTAL(D1210,$G$5)),[1]!S_STM07_CS(D1210,84,$G$5,$H$13)/$E$5))</f>
        <v/>
      </c>
      <c r="Q1210" s="248" t="str">
        <f ca="1">IF(C1210="","",F1210/([1]!S_STM07_IS(D1210,61,$G$5,$H$13)/IF([1]!S_SHARE_TOTAL(D1210,$G$5)=0,[1]!S_SHARE_TOTAL(D1210,[1]!s_ipo_listeddate(D1210)),[1]!S_SHARE_TOTAL(D1210,$G$5))))</f>
        <v/>
      </c>
      <c r="R1210" s="248" t="str">
        <f ca="1">IF(C1210="","",F1210/([1]!S_STM07_BS(D1210,141,$G$5,$H$13)/IF([1]!S_SHARE_TOTAL(D1210,$G$5)=0,[1]!S_SHARE_TOTAL(D1210,[1]!s_ipo_listeddate(D1210)),[1]!S_SHARE_TOTAL(D1210,$G$5))))</f>
        <v/>
      </c>
      <c r="S1210" s="247" t="str">
        <f ca="1">IF(C1210="","",[1]!S_SHARE_TOTAL(D1210,TODAY())/$E$5)</f>
        <v/>
      </c>
      <c r="T1210" s="247" t="str">
        <f t="shared" ca="1" si="121"/>
        <v/>
      </c>
      <c r="U1210" s="218" t="str">
        <f t="shared" ca="1" si="122"/>
        <v/>
      </c>
      <c r="V1210" s="342" t="str">
        <f t="shared" ca="1" si="123"/>
        <v/>
      </c>
      <c r="W1210" s="139"/>
      <c r="Y1210" s="1"/>
    </row>
    <row r="1211" spans="3:25" ht="12" customHeight="1">
      <c r="C1211" s="343" t="str">
        <f t="shared" ca="1" si="118"/>
        <v/>
      </c>
      <c r="D1211" s="124" t="str">
        <f t="shared" ca="1" si="119"/>
        <v/>
      </c>
      <c r="E1211" s="124" t="str">
        <f t="shared" ca="1" si="120"/>
        <v/>
      </c>
      <c r="F1211" s="172" t="str">
        <f ca="1">IF(C1211="","",[1]!S_DQ_CLOSE(D1211,TODAY(),1))</f>
        <v/>
      </c>
      <c r="G1211" s="173" t="str">
        <f ca="1">IF(C1211="","",[1]!s_pq_pctchange(D1211,TODAY()-$G$12,TODAY())/100)</f>
        <v/>
      </c>
      <c r="H1211" s="249" t="str">
        <f ca="1">IF(C1211="","",IF($H$11="收入",[1]!S_STM07_IS(D1211,9,$G$5,$H$13)/$E$5,[1]!S_STM07_IS(D1211,48,$G$5,$H$13)/$E$5))</f>
        <v/>
      </c>
      <c r="I1211" s="249" t="str">
        <f ca="1">IF(C1211="","",IF($I$11="毛利率",([1]!S_STM07_IS(D1211,9,$G$5,$H$13)-[1]!S_STM07_IS(D1211,10,$G$5,$H$13))/[1]!S_STM07_IS(D1211,9,$G$5,$H$13),[1]!S_STM07_IS(D1211,14,$G$5,$H$13)/$E$5))</f>
        <v/>
      </c>
      <c r="J1211" s="249" t="str">
        <f ca="1">IF(C1211="","",IF($J$11="营业利润率",[1]!S_STM07_IS(D1211,48,$G$5,$H$13)/[1]!S_STM07_IS(D1211,9,$G$5,$H$13),([1]!S_STM07_CS(D1211,87,$G$5,$H$13)+[1]!S_STM07_CS(D1211,88,$G$5,$H$13)+[1]!S_STM07_CS(D1211,89,$G$5,$H$13))/$E$5))</f>
        <v/>
      </c>
      <c r="K1211" s="249" t="str">
        <f ca="1">IF(C1211="","",IF($K$11="净利润率",[1]!S_STM07_IS(D1211,61,$G$5,$H$13)/[1]!S_STM07_IS(D1211,9,$G$5,$H$13),[1]!S_STM07_IS(D1211,55,$G$5,$H$13)/$E$5))</f>
        <v/>
      </c>
      <c r="L1211" s="249" t="str">
        <f ca="1">IF(C1211="","",IF($L$11="ROA",[1]!S_STM07_IS(D1211,61,$G$5,$H$13)/[1]!S_STM07_BS(D1211,74,$G$5,$H$13),1-[1]!S_STM07_IS(D1211,61,$G$5,$H$13)/[1]!S_STM07_IS(D1211,55,$G$5,$H$13)))</f>
        <v/>
      </c>
      <c r="M1211" s="249" t="str">
        <f ca="1">IF(C1211="","",IF($M$11="ROE",[1]!S_STM07_IS(D1211,61,$G$5,$H$13)/[1]!S_STM07_BS(D1211,141,$G$5,$H$13),([1]!S_STM07_BS(D1211,25,$G$5,$H$13)-[1]!S_STM07_BS(D1211,93,$G$5,$H$13))/$E$5))</f>
        <v/>
      </c>
      <c r="N1211" s="250" t="str">
        <f ca="1">IF(C1211="","",IF($N$11="EPS",[1]!S_STM07_IS(D1211,61,$G$5,$H$13)/IF([1]!S_SHARE_TOTAL(D1211,$G$5)=0,[1]!S_SHARE_TOTAL(D1211,[1]!s_ipo_listeddate(D1211)),[1]!S_SHARE_TOTAL(D1211,$G$5)),([1]!S_STM07_BS(D1211,75,$G$5,$H$13)+[1]!S_STM07_BS(D1211,88,$G$5,$H$13)+[1]!S_STM07_BS(D1211,94,$G$5,$H$13)+[1]!S_STM07_BS(D1211,95,$G$5,$H$13))/$E$5))</f>
        <v/>
      </c>
      <c r="O1211" s="250" t="str">
        <f ca="1">IF(C1211="","",IF($O$11="BPS",[1]!S_STM07_BS(D1211,141,$G$5,$H$13)/IF([1]!S_SHARE_TOTAL(D1211,$G$5)=0,[1]!S_SHARE_TOTAL(D1211,[1]!s_ipo_listeddate(D1211)),[1]!S_SHARE_TOTAL(D1211,$G$5)),[1]!S_STM07_CS(D1211,49,$G$5,$H$13)/$E$5))</f>
        <v/>
      </c>
      <c r="P1211" s="250" t="str">
        <f ca="1">IF(C1211="","",IF($P$11="CFPS",[1]!S_STM07_CS(D1211,84,$G$5,$H$13)/IF([1]!S_SHARE_TOTAL(D1211,$G$5)=0,[1]!S_SHARE_TOTAL(D1211,[1]!s_ipo_listeddate(D1211)),[1]!S_SHARE_TOTAL(D1211,$G$5)),[1]!S_STM07_CS(D1211,84,$G$5,$H$13)/$E$5))</f>
        <v/>
      </c>
      <c r="Q1211" s="198" t="str">
        <f ca="1">IF(C1211="","",F1211/([1]!S_STM07_IS(D1211,61,$G$5,$H$13)/IF([1]!S_SHARE_TOTAL(D1211,$G$5)=0,[1]!S_SHARE_TOTAL(D1211,[1]!s_ipo_listeddate(D1211)),[1]!S_SHARE_TOTAL(D1211,$G$5))))</f>
        <v/>
      </c>
      <c r="R1211" s="198" t="str">
        <f ca="1">IF(C1211="","",F1211/([1]!S_STM07_BS(D1211,141,$G$5,$H$13)/IF([1]!S_SHARE_TOTAL(D1211,$G$5)=0,[1]!S_SHARE_TOTAL(D1211,[1]!s_ipo_listeddate(D1211)),[1]!S_SHARE_TOTAL(D1211,$G$5))))</f>
        <v/>
      </c>
      <c r="S1211" s="249" t="str">
        <f ca="1">IF(C1211="","",[1]!S_SHARE_TOTAL(D1211,TODAY())/$E$5)</f>
        <v/>
      </c>
      <c r="T1211" s="249" t="str">
        <f t="shared" ca="1" si="121"/>
        <v/>
      </c>
      <c r="U1211" s="172" t="str">
        <f t="shared" ca="1" si="122"/>
        <v/>
      </c>
      <c r="V1211" s="343" t="str">
        <f t="shared" ca="1" si="123"/>
        <v/>
      </c>
      <c r="W1211" s="139"/>
      <c r="Y1211" s="1"/>
    </row>
    <row r="1212" spans="3:25" ht="12" customHeight="1">
      <c r="C1212" s="342" t="str">
        <f t="shared" ca="1" si="118"/>
        <v/>
      </c>
      <c r="D1212" s="153" t="str">
        <f t="shared" ca="1" si="119"/>
        <v/>
      </c>
      <c r="E1212" s="153" t="str">
        <f t="shared" ca="1" si="120"/>
        <v/>
      </c>
      <c r="F1212" s="170" t="str">
        <f ca="1">IF(C1212="","",[1]!S_DQ_CLOSE(D1212,TODAY(),1))</f>
        <v/>
      </c>
      <c r="G1212" s="171" t="str">
        <f ca="1">IF(C1212="","",[1]!s_pq_pctchange(D1212,TODAY()-$G$12,TODAY())/100)</f>
        <v/>
      </c>
      <c r="H1212" s="247" t="str">
        <f ca="1">IF(C1212="","",IF($H$11="收入",[1]!S_STM07_IS(D1212,9,$G$5,$H$13)/$E$5,[1]!S_STM07_IS(D1212,48,$G$5,$H$13)/$E$5))</f>
        <v/>
      </c>
      <c r="I1212" s="247" t="str">
        <f ca="1">IF(C1212="","",IF($I$11="毛利率",([1]!S_STM07_IS(D1212,9,$G$5,$H$13)-[1]!S_STM07_IS(D1212,10,$G$5,$H$13))/[1]!S_STM07_IS(D1212,9,$G$5,$H$13),[1]!S_STM07_IS(D1212,14,$G$5,$H$13)/$E$5))</f>
        <v/>
      </c>
      <c r="J1212" s="247" t="str">
        <f ca="1">IF(C1212="","",IF($J$11="营业利润率",[1]!S_STM07_IS(D1212,48,$G$5,$H$13)/[1]!S_STM07_IS(D1212,9,$G$5,$H$13),([1]!S_STM07_CS(D1212,87,$G$5,$H$13)+[1]!S_STM07_CS(D1212,88,$G$5,$H$13)+[1]!S_STM07_CS(D1212,89,$G$5,$H$13))/$E$5))</f>
        <v/>
      </c>
      <c r="K1212" s="247" t="str">
        <f ca="1">IF(C1212="","",IF($K$11="净利润率",[1]!S_STM07_IS(D1212,61,$G$5,$H$13)/[1]!S_STM07_IS(D1212,9,$G$5,$H$13),[1]!S_STM07_IS(D1212,55,$G$5,$H$13)/$E$5))</f>
        <v/>
      </c>
      <c r="L1212" s="247" t="str">
        <f ca="1">IF(C1212="","",IF($L$11="ROA",[1]!S_STM07_IS(D1212,61,$G$5,$H$13)/[1]!S_STM07_BS(D1212,74,$G$5,$H$13),1-[1]!S_STM07_IS(D1212,61,$G$5,$H$13)/[1]!S_STM07_IS(D1212,55,$G$5,$H$13)))</f>
        <v/>
      </c>
      <c r="M1212" s="247" t="str">
        <f ca="1">IF(C1212="","",IF($M$11="ROE",[1]!S_STM07_IS(D1212,61,$G$5,$H$13)/[1]!S_STM07_BS(D1212,141,$G$5,$H$13),([1]!S_STM07_BS(D1212,25,$G$5,$H$13)-[1]!S_STM07_BS(D1212,93,$G$5,$H$13))/$E$5))</f>
        <v/>
      </c>
      <c r="N1212" s="247" t="str">
        <f ca="1">IF(C1212="","",IF($N$11="EPS",[1]!S_STM07_IS(D1212,61,$G$5,$H$13)/IF([1]!S_SHARE_TOTAL(D1212,$G$5)=0,[1]!S_SHARE_TOTAL(D1212,[1]!s_ipo_listeddate(D1212)),[1]!S_SHARE_TOTAL(D1212,$G$5)),([1]!S_STM07_BS(D1212,75,$G$5,$H$13)+[1]!S_STM07_BS(D1212,88,$G$5,$H$13)+[1]!S_STM07_BS(D1212,94,$G$5,$H$13)+[1]!S_STM07_BS(D1212,95,$G$5,$H$13))/$E$5))</f>
        <v/>
      </c>
      <c r="O1212" s="247" t="str">
        <f ca="1">IF(C1212="","",IF($O$11="BPS",[1]!S_STM07_BS(D1212,141,$G$5,$H$13)/IF([1]!S_SHARE_TOTAL(D1212,$G$5)=0,[1]!S_SHARE_TOTAL(D1212,[1]!s_ipo_listeddate(D1212)),[1]!S_SHARE_TOTAL(D1212,$G$5)),[1]!S_STM07_CS(D1212,49,$G$5,$H$13)/$E$5))</f>
        <v/>
      </c>
      <c r="P1212" s="247" t="str">
        <f ca="1">IF(C1212="","",IF($P$11="CFPS",[1]!S_STM07_CS(D1212,84,$G$5,$H$13)/IF([1]!S_SHARE_TOTAL(D1212,$G$5)=0,[1]!S_SHARE_TOTAL(D1212,[1]!s_ipo_listeddate(D1212)),[1]!S_SHARE_TOTAL(D1212,$G$5)),[1]!S_STM07_CS(D1212,84,$G$5,$H$13)/$E$5))</f>
        <v/>
      </c>
      <c r="Q1212" s="248" t="str">
        <f ca="1">IF(C1212="","",F1212/([1]!S_STM07_IS(D1212,61,$G$5,$H$13)/IF([1]!S_SHARE_TOTAL(D1212,$G$5)=0,[1]!S_SHARE_TOTAL(D1212,[1]!s_ipo_listeddate(D1212)),[1]!S_SHARE_TOTAL(D1212,$G$5))))</f>
        <v/>
      </c>
      <c r="R1212" s="248" t="str">
        <f ca="1">IF(C1212="","",F1212/([1]!S_STM07_BS(D1212,141,$G$5,$H$13)/IF([1]!S_SHARE_TOTAL(D1212,$G$5)=0,[1]!S_SHARE_TOTAL(D1212,[1]!s_ipo_listeddate(D1212)),[1]!S_SHARE_TOTAL(D1212,$G$5))))</f>
        <v/>
      </c>
      <c r="S1212" s="247" t="str">
        <f ca="1">IF(C1212="","",[1]!S_SHARE_TOTAL(D1212,TODAY())/$E$5)</f>
        <v/>
      </c>
      <c r="T1212" s="247" t="str">
        <f t="shared" ca="1" si="121"/>
        <v/>
      </c>
      <c r="U1212" s="218" t="str">
        <f t="shared" ca="1" si="122"/>
        <v/>
      </c>
      <c r="V1212" s="342" t="str">
        <f t="shared" ca="1" si="123"/>
        <v/>
      </c>
      <c r="W1212" s="139"/>
      <c r="Y1212" s="1"/>
    </row>
    <row r="1213" spans="3:25" ht="12" customHeight="1">
      <c r="C1213" s="343" t="str">
        <f t="shared" ca="1" si="118"/>
        <v/>
      </c>
      <c r="D1213" s="124" t="str">
        <f t="shared" ca="1" si="119"/>
        <v/>
      </c>
      <c r="E1213" s="124" t="str">
        <f t="shared" ca="1" si="120"/>
        <v/>
      </c>
      <c r="F1213" s="172" t="str">
        <f ca="1">IF(C1213="","",[1]!S_DQ_CLOSE(D1213,TODAY(),1))</f>
        <v/>
      </c>
      <c r="G1213" s="173" t="str">
        <f ca="1">IF(C1213="","",[1]!s_pq_pctchange(D1213,TODAY()-$G$12,TODAY())/100)</f>
        <v/>
      </c>
      <c r="H1213" s="249" t="str">
        <f ca="1">IF(C1213="","",IF($H$11="收入",[1]!S_STM07_IS(D1213,9,$G$5,$H$13)/$E$5,[1]!S_STM07_IS(D1213,48,$G$5,$H$13)/$E$5))</f>
        <v/>
      </c>
      <c r="I1213" s="249" t="str">
        <f ca="1">IF(C1213="","",IF($I$11="毛利率",([1]!S_STM07_IS(D1213,9,$G$5,$H$13)-[1]!S_STM07_IS(D1213,10,$G$5,$H$13))/[1]!S_STM07_IS(D1213,9,$G$5,$H$13),[1]!S_STM07_IS(D1213,14,$G$5,$H$13)/$E$5))</f>
        <v/>
      </c>
      <c r="J1213" s="249" t="str">
        <f ca="1">IF(C1213="","",IF($J$11="营业利润率",[1]!S_STM07_IS(D1213,48,$G$5,$H$13)/[1]!S_STM07_IS(D1213,9,$G$5,$H$13),([1]!S_STM07_CS(D1213,87,$G$5,$H$13)+[1]!S_STM07_CS(D1213,88,$G$5,$H$13)+[1]!S_STM07_CS(D1213,89,$G$5,$H$13))/$E$5))</f>
        <v/>
      </c>
      <c r="K1213" s="249" t="str">
        <f ca="1">IF(C1213="","",IF($K$11="净利润率",[1]!S_STM07_IS(D1213,61,$G$5,$H$13)/[1]!S_STM07_IS(D1213,9,$G$5,$H$13),[1]!S_STM07_IS(D1213,55,$G$5,$H$13)/$E$5))</f>
        <v/>
      </c>
      <c r="L1213" s="249" t="str">
        <f ca="1">IF(C1213="","",IF($L$11="ROA",[1]!S_STM07_IS(D1213,61,$G$5,$H$13)/[1]!S_STM07_BS(D1213,74,$G$5,$H$13),1-[1]!S_STM07_IS(D1213,61,$G$5,$H$13)/[1]!S_STM07_IS(D1213,55,$G$5,$H$13)))</f>
        <v/>
      </c>
      <c r="M1213" s="249" t="str">
        <f ca="1">IF(C1213="","",IF($M$11="ROE",[1]!S_STM07_IS(D1213,61,$G$5,$H$13)/[1]!S_STM07_BS(D1213,141,$G$5,$H$13),([1]!S_STM07_BS(D1213,25,$G$5,$H$13)-[1]!S_STM07_BS(D1213,93,$G$5,$H$13))/$E$5))</f>
        <v/>
      </c>
      <c r="N1213" s="250" t="str">
        <f ca="1">IF(C1213="","",IF($N$11="EPS",[1]!S_STM07_IS(D1213,61,$G$5,$H$13)/IF([1]!S_SHARE_TOTAL(D1213,$G$5)=0,[1]!S_SHARE_TOTAL(D1213,[1]!s_ipo_listeddate(D1213)),[1]!S_SHARE_TOTAL(D1213,$G$5)),([1]!S_STM07_BS(D1213,75,$G$5,$H$13)+[1]!S_STM07_BS(D1213,88,$G$5,$H$13)+[1]!S_STM07_BS(D1213,94,$G$5,$H$13)+[1]!S_STM07_BS(D1213,95,$G$5,$H$13))/$E$5))</f>
        <v/>
      </c>
      <c r="O1213" s="250" t="str">
        <f ca="1">IF(C1213="","",IF($O$11="BPS",[1]!S_STM07_BS(D1213,141,$G$5,$H$13)/IF([1]!S_SHARE_TOTAL(D1213,$G$5)=0,[1]!S_SHARE_TOTAL(D1213,[1]!s_ipo_listeddate(D1213)),[1]!S_SHARE_TOTAL(D1213,$G$5)),[1]!S_STM07_CS(D1213,49,$G$5,$H$13)/$E$5))</f>
        <v/>
      </c>
      <c r="P1213" s="250" t="str">
        <f ca="1">IF(C1213="","",IF($P$11="CFPS",[1]!S_STM07_CS(D1213,84,$G$5,$H$13)/IF([1]!S_SHARE_TOTAL(D1213,$G$5)=0,[1]!S_SHARE_TOTAL(D1213,[1]!s_ipo_listeddate(D1213)),[1]!S_SHARE_TOTAL(D1213,$G$5)),[1]!S_STM07_CS(D1213,84,$G$5,$H$13)/$E$5))</f>
        <v/>
      </c>
      <c r="Q1213" s="198" t="str">
        <f ca="1">IF(C1213="","",F1213/([1]!S_STM07_IS(D1213,61,$G$5,$H$13)/IF([1]!S_SHARE_TOTAL(D1213,$G$5)=0,[1]!S_SHARE_TOTAL(D1213,[1]!s_ipo_listeddate(D1213)),[1]!S_SHARE_TOTAL(D1213,$G$5))))</f>
        <v/>
      </c>
      <c r="R1213" s="198" t="str">
        <f ca="1">IF(C1213="","",F1213/([1]!S_STM07_BS(D1213,141,$G$5,$H$13)/IF([1]!S_SHARE_TOTAL(D1213,$G$5)=0,[1]!S_SHARE_TOTAL(D1213,[1]!s_ipo_listeddate(D1213)),[1]!S_SHARE_TOTAL(D1213,$G$5))))</f>
        <v/>
      </c>
      <c r="S1213" s="249" t="str">
        <f ca="1">IF(C1213="","",[1]!S_SHARE_TOTAL(D1213,TODAY())/$E$5)</f>
        <v/>
      </c>
      <c r="T1213" s="249" t="str">
        <f t="shared" ca="1" si="121"/>
        <v/>
      </c>
      <c r="U1213" s="172" t="str">
        <f t="shared" ca="1" si="122"/>
        <v/>
      </c>
      <c r="V1213" s="343" t="str">
        <f t="shared" ca="1" si="123"/>
        <v/>
      </c>
      <c r="W1213" s="139"/>
      <c r="Y1213" s="1"/>
    </row>
    <row r="1214" spans="3:25" ht="12" customHeight="1">
      <c r="C1214" s="342" t="str">
        <f t="shared" ca="1" si="118"/>
        <v/>
      </c>
      <c r="D1214" s="153" t="str">
        <f t="shared" ca="1" si="119"/>
        <v/>
      </c>
      <c r="E1214" s="153" t="str">
        <f t="shared" ca="1" si="120"/>
        <v/>
      </c>
      <c r="F1214" s="170" t="str">
        <f ca="1">IF(C1214="","",[1]!S_DQ_CLOSE(D1214,TODAY(),1))</f>
        <v/>
      </c>
      <c r="G1214" s="171" t="str">
        <f ca="1">IF(C1214="","",[1]!s_pq_pctchange(D1214,TODAY()-$G$12,TODAY())/100)</f>
        <v/>
      </c>
      <c r="H1214" s="247" t="str">
        <f ca="1">IF(C1214="","",IF($H$11="收入",[1]!S_STM07_IS(D1214,9,$G$5,$H$13)/$E$5,[1]!S_STM07_IS(D1214,48,$G$5,$H$13)/$E$5))</f>
        <v/>
      </c>
      <c r="I1214" s="247" t="str">
        <f ca="1">IF(C1214="","",IF($I$11="毛利率",([1]!S_STM07_IS(D1214,9,$G$5,$H$13)-[1]!S_STM07_IS(D1214,10,$G$5,$H$13))/[1]!S_STM07_IS(D1214,9,$G$5,$H$13),[1]!S_STM07_IS(D1214,14,$G$5,$H$13)/$E$5))</f>
        <v/>
      </c>
      <c r="J1214" s="247" t="str">
        <f ca="1">IF(C1214="","",IF($J$11="营业利润率",[1]!S_STM07_IS(D1214,48,$G$5,$H$13)/[1]!S_STM07_IS(D1214,9,$G$5,$H$13),([1]!S_STM07_CS(D1214,87,$G$5,$H$13)+[1]!S_STM07_CS(D1214,88,$G$5,$H$13)+[1]!S_STM07_CS(D1214,89,$G$5,$H$13))/$E$5))</f>
        <v/>
      </c>
      <c r="K1214" s="247" t="str">
        <f ca="1">IF(C1214="","",IF($K$11="净利润率",[1]!S_STM07_IS(D1214,61,$G$5,$H$13)/[1]!S_STM07_IS(D1214,9,$G$5,$H$13),[1]!S_STM07_IS(D1214,55,$G$5,$H$13)/$E$5))</f>
        <v/>
      </c>
      <c r="L1214" s="247" t="str">
        <f ca="1">IF(C1214="","",IF($L$11="ROA",[1]!S_STM07_IS(D1214,61,$G$5,$H$13)/[1]!S_STM07_BS(D1214,74,$G$5,$H$13),1-[1]!S_STM07_IS(D1214,61,$G$5,$H$13)/[1]!S_STM07_IS(D1214,55,$G$5,$H$13)))</f>
        <v/>
      </c>
      <c r="M1214" s="247" t="str">
        <f ca="1">IF(C1214="","",IF($M$11="ROE",[1]!S_STM07_IS(D1214,61,$G$5,$H$13)/[1]!S_STM07_BS(D1214,141,$G$5,$H$13),([1]!S_STM07_BS(D1214,25,$G$5,$H$13)-[1]!S_STM07_BS(D1214,93,$G$5,$H$13))/$E$5))</f>
        <v/>
      </c>
      <c r="N1214" s="247" t="str">
        <f ca="1">IF(C1214="","",IF($N$11="EPS",[1]!S_STM07_IS(D1214,61,$G$5,$H$13)/IF([1]!S_SHARE_TOTAL(D1214,$G$5)=0,[1]!S_SHARE_TOTAL(D1214,[1]!s_ipo_listeddate(D1214)),[1]!S_SHARE_TOTAL(D1214,$G$5)),([1]!S_STM07_BS(D1214,75,$G$5,$H$13)+[1]!S_STM07_BS(D1214,88,$G$5,$H$13)+[1]!S_STM07_BS(D1214,94,$G$5,$H$13)+[1]!S_STM07_BS(D1214,95,$G$5,$H$13))/$E$5))</f>
        <v/>
      </c>
      <c r="O1214" s="247" t="str">
        <f ca="1">IF(C1214="","",IF($O$11="BPS",[1]!S_STM07_BS(D1214,141,$G$5,$H$13)/IF([1]!S_SHARE_TOTAL(D1214,$G$5)=0,[1]!S_SHARE_TOTAL(D1214,[1]!s_ipo_listeddate(D1214)),[1]!S_SHARE_TOTAL(D1214,$G$5)),[1]!S_STM07_CS(D1214,49,$G$5,$H$13)/$E$5))</f>
        <v/>
      </c>
      <c r="P1214" s="247" t="str">
        <f ca="1">IF(C1214="","",IF($P$11="CFPS",[1]!S_STM07_CS(D1214,84,$G$5,$H$13)/IF([1]!S_SHARE_TOTAL(D1214,$G$5)=0,[1]!S_SHARE_TOTAL(D1214,[1]!s_ipo_listeddate(D1214)),[1]!S_SHARE_TOTAL(D1214,$G$5)),[1]!S_STM07_CS(D1214,84,$G$5,$H$13)/$E$5))</f>
        <v/>
      </c>
      <c r="Q1214" s="248" t="str">
        <f ca="1">IF(C1214="","",F1214/([1]!S_STM07_IS(D1214,61,$G$5,$H$13)/IF([1]!S_SHARE_TOTAL(D1214,$G$5)=0,[1]!S_SHARE_TOTAL(D1214,[1]!s_ipo_listeddate(D1214)),[1]!S_SHARE_TOTAL(D1214,$G$5))))</f>
        <v/>
      </c>
      <c r="R1214" s="248" t="str">
        <f ca="1">IF(C1214="","",F1214/([1]!S_STM07_BS(D1214,141,$G$5,$H$13)/IF([1]!S_SHARE_TOTAL(D1214,$G$5)=0,[1]!S_SHARE_TOTAL(D1214,[1]!s_ipo_listeddate(D1214)),[1]!S_SHARE_TOTAL(D1214,$G$5))))</f>
        <v/>
      </c>
      <c r="S1214" s="247" t="str">
        <f ca="1">IF(C1214="","",[1]!S_SHARE_TOTAL(D1214,TODAY())/$E$5)</f>
        <v/>
      </c>
      <c r="T1214" s="247" t="str">
        <f t="shared" ca="1" si="121"/>
        <v/>
      </c>
      <c r="U1214" s="218" t="str">
        <f t="shared" ca="1" si="122"/>
        <v/>
      </c>
      <c r="V1214" s="342" t="str">
        <f t="shared" ca="1" si="123"/>
        <v/>
      </c>
      <c r="W1214" s="139"/>
      <c r="Y1214" s="1"/>
    </row>
    <row r="1215" spans="3:25" ht="12" customHeight="1">
      <c r="C1215" s="343" t="str">
        <f t="shared" ca="1" si="118"/>
        <v/>
      </c>
      <c r="D1215" s="124" t="str">
        <f t="shared" ca="1" si="119"/>
        <v/>
      </c>
      <c r="E1215" s="124" t="str">
        <f t="shared" ca="1" si="120"/>
        <v/>
      </c>
      <c r="F1215" s="172" t="str">
        <f ca="1">IF(C1215="","",[1]!S_DQ_CLOSE(D1215,TODAY(),1))</f>
        <v/>
      </c>
      <c r="G1215" s="173" t="str">
        <f ca="1">IF(C1215="","",[1]!s_pq_pctchange(D1215,TODAY()-$G$12,TODAY())/100)</f>
        <v/>
      </c>
      <c r="H1215" s="249" t="str">
        <f ca="1">IF(C1215="","",IF($H$11="收入",[1]!S_STM07_IS(D1215,9,$G$5,$H$13)/$E$5,[1]!S_STM07_IS(D1215,48,$G$5,$H$13)/$E$5))</f>
        <v/>
      </c>
      <c r="I1215" s="249" t="str">
        <f ca="1">IF(C1215="","",IF($I$11="毛利率",([1]!S_STM07_IS(D1215,9,$G$5,$H$13)-[1]!S_STM07_IS(D1215,10,$G$5,$H$13))/[1]!S_STM07_IS(D1215,9,$G$5,$H$13),[1]!S_STM07_IS(D1215,14,$G$5,$H$13)/$E$5))</f>
        <v/>
      </c>
      <c r="J1215" s="249" t="str">
        <f ca="1">IF(C1215="","",IF($J$11="营业利润率",[1]!S_STM07_IS(D1215,48,$G$5,$H$13)/[1]!S_STM07_IS(D1215,9,$G$5,$H$13),([1]!S_STM07_CS(D1215,87,$G$5,$H$13)+[1]!S_STM07_CS(D1215,88,$G$5,$H$13)+[1]!S_STM07_CS(D1215,89,$G$5,$H$13))/$E$5))</f>
        <v/>
      </c>
      <c r="K1215" s="249" t="str">
        <f ca="1">IF(C1215="","",IF($K$11="净利润率",[1]!S_STM07_IS(D1215,61,$G$5,$H$13)/[1]!S_STM07_IS(D1215,9,$G$5,$H$13),[1]!S_STM07_IS(D1215,55,$G$5,$H$13)/$E$5))</f>
        <v/>
      </c>
      <c r="L1215" s="249" t="str">
        <f ca="1">IF(C1215="","",IF($L$11="ROA",[1]!S_STM07_IS(D1215,61,$G$5,$H$13)/[1]!S_STM07_BS(D1215,74,$G$5,$H$13),1-[1]!S_STM07_IS(D1215,61,$G$5,$H$13)/[1]!S_STM07_IS(D1215,55,$G$5,$H$13)))</f>
        <v/>
      </c>
      <c r="M1215" s="249" t="str">
        <f ca="1">IF(C1215="","",IF($M$11="ROE",[1]!S_STM07_IS(D1215,61,$G$5,$H$13)/[1]!S_STM07_BS(D1215,141,$G$5,$H$13),([1]!S_STM07_BS(D1215,25,$G$5,$H$13)-[1]!S_STM07_BS(D1215,93,$G$5,$H$13))/$E$5))</f>
        <v/>
      </c>
      <c r="N1215" s="250" t="str">
        <f ca="1">IF(C1215="","",IF($N$11="EPS",[1]!S_STM07_IS(D1215,61,$G$5,$H$13)/IF([1]!S_SHARE_TOTAL(D1215,$G$5)=0,[1]!S_SHARE_TOTAL(D1215,[1]!s_ipo_listeddate(D1215)),[1]!S_SHARE_TOTAL(D1215,$G$5)),([1]!S_STM07_BS(D1215,75,$G$5,$H$13)+[1]!S_STM07_BS(D1215,88,$G$5,$H$13)+[1]!S_STM07_BS(D1215,94,$G$5,$H$13)+[1]!S_STM07_BS(D1215,95,$G$5,$H$13))/$E$5))</f>
        <v/>
      </c>
      <c r="O1215" s="250" t="str">
        <f ca="1">IF(C1215="","",IF($O$11="BPS",[1]!S_STM07_BS(D1215,141,$G$5,$H$13)/IF([1]!S_SHARE_TOTAL(D1215,$G$5)=0,[1]!S_SHARE_TOTAL(D1215,[1]!s_ipo_listeddate(D1215)),[1]!S_SHARE_TOTAL(D1215,$G$5)),[1]!S_STM07_CS(D1215,49,$G$5,$H$13)/$E$5))</f>
        <v/>
      </c>
      <c r="P1215" s="250" t="str">
        <f ca="1">IF(C1215="","",IF($P$11="CFPS",[1]!S_STM07_CS(D1215,84,$G$5,$H$13)/IF([1]!S_SHARE_TOTAL(D1215,$G$5)=0,[1]!S_SHARE_TOTAL(D1215,[1]!s_ipo_listeddate(D1215)),[1]!S_SHARE_TOTAL(D1215,$G$5)),[1]!S_STM07_CS(D1215,84,$G$5,$H$13)/$E$5))</f>
        <v/>
      </c>
      <c r="Q1215" s="198" t="str">
        <f ca="1">IF(C1215="","",F1215/([1]!S_STM07_IS(D1215,61,$G$5,$H$13)/IF([1]!S_SHARE_TOTAL(D1215,$G$5)=0,[1]!S_SHARE_TOTAL(D1215,[1]!s_ipo_listeddate(D1215)),[1]!S_SHARE_TOTAL(D1215,$G$5))))</f>
        <v/>
      </c>
      <c r="R1215" s="198" t="str">
        <f ca="1">IF(C1215="","",F1215/([1]!S_STM07_BS(D1215,141,$G$5,$H$13)/IF([1]!S_SHARE_TOTAL(D1215,$G$5)=0,[1]!S_SHARE_TOTAL(D1215,[1]!s_ipo_listeddate(D1215)),[1]!S_SHARE_TOTAL(D1215,$G$5))))</f>
        <v/>
      </c>
      <c r="S1215" s="249" t="str">
        <f ca="1">IF(C1215="","",[1]!S_SHARE_TOTAL(D1215,TODAY())/$E$5)</f>
        <v/>
      </c>
      <c r="T1215" s="249" t="str">
        <f t="shared" ca="1" si="121"/>
        <v/>
      </c>
      <c r="U1215" s="172" t="str">
        <f t="shared" ca="1" si="122"/>
        <v/>
      </c>
      <c r="V1215" s="343" t="str">
        <f t="shared" ca="1" si="123"/>
        <v/>
      </c>
      <c r="W1215" s="139"/>
      <c r="Y1215" s="1"/>
    </row>
    <row r="1216" spans="3:25" ht="12" customHeight="1">
      <c r="C1216" s="342" t="str">
        <f t="shared" ca="1" si="118"/>
        <v/>
      </c>
      <c r="D1216" s="153" t="str">
        <f t="shared" ca="1" si="119"/>
        <v/>
      </c>
      <c r="E1216" s="153" t="str">
        <f t="shared" ca="1" si="120"/>
        <v/>
      </c>
      <c r="F1216" s="170" t="str">
        <f ca="1">IF(C1216="","",[1]!S_DQ_CLOSE(D1216,TODAY(),1))</f>
        <v/>
      </c>
      <c r="G1216" s="171" t="str">
        <f ca="1">IF(C1216="","",[1]!s_pq_pctchange(D1216,TODAY()-$G$12,TODAY())/100)</f>
        <v/>
      </c>
      <c r="H1216" s="247" t="str">
        <f ca="1">IF(C1216="","",IF($H$11="收入",[1]!S_STM07_IS(D1216,9,$G$5,$H$13)/$E$5,[1]!S_STM07_IS(D1216,48,$G$5,$H$13)/$E$5))</f>
        <v/>
      </c>
      <c r="I1216" s="247" t="str">
        <f ca="1">IF(C1216="","",IF($I$11="毛利率",([1]!S_STM07_IS(D1216,9,$G$5,$H$13)-[1]!S_STM07_IS(D1216,10,$G$5,$H$13))/[1]!S_STM07_IS(D1216,9,$G$5,$H$13),[1]!S_STM07_IS(D1216,14,$G$5,$H$13)/$E$5))</f>
        <v/>
      </c>
      <c r="J1216" s="247" t="str">
        <f ca="1">IF(C1216="","",IF($J$11="营业利润率",[1]!S_STM07_IS(D1216,48,$G$5,$H$13)/[1]!S_STM07_IS(D1216,9,$G$5,$H$13),([1]!S_STM07_CS(D1216,87,$G$5,$H$13)+[1]!S_STM07_CS(D1216,88,$G$5,$H$13)+[1]!S_STM07_CS(D1216,89,$G$5,$H$13))/$E$5))</f>
        <v/>
      </c>
      <c r="K1216" s="247" t="str">
        <f ca="1">IF(C1216="","",IF($K$11="净利润率",[1]!S_STM07_IS(D1216,61,$G$5,$H$13)/[1]!S_STM07_IS(D1216,9,$G$5,$H$13),[1]!S_STM07_IS(D1216,55,$G$5,$H$13)/$E$5))</f>
        <v/>
      </c>
      <c r="L1216" s="247" t="str">
        <f ca="1">IF(C1216="","",IF($L$11="ROA",[1]!S_STM07_IS(D1216,61,$G$5,$H$13)/[1]!S_STM07_BS(D1216,74,$G$5,$H$13),1-[1]!S_STM07_IS(D1216,61,$G$5,$H$13)/[1]!S_STM07_IS(D1216,55,$G$5,$H$13)))</f>
        <v/>
      </c>
      <c r="M1216" s="247" t="str">
        <f ca="1">IF(C1216="","",IF($M$11="ROE",[1]!S_STM07_IS(D1216,61,$G$5,$H$13)/[1]!S_STM07_BS(D1216,141,$G$5,$H$13),([1]!S_STM07_BS(D1216,25,$G$5,$H$13)-[1]!S_STM07_BS(D1216,93,$G$5,$H$13))/$E$5))</f>
        <v/>
      </c>
      <c r="N1216" s="247" t="str">
        <f ca="1">IF(C1216="","",IF($N$11="EPS",[1]!S_STM07_IS(D1216,61,$G$5,$H$13)/IF([1]!S_SHARE_TOTAL(D1216,$G$5)=0,[1]!S_SHARE_TOTAL(D1216,[1]!s_ipo_listeddate(D1216)),[1]!S_SHARE_TOTAL(D1216,$G$5)),([1]!S_STM07_BS(D1216,75,$G$5,$H$13)+[1]!S_STM07_BS(D1216,88,$G$5,$H$13)+[1]!S_STM07_BS(D1216,94,$G$5,$H$13)+[1]!S_STM07_BS(D1216,95,$G$5,$H$13))/$E$5))</f>
        <v/>
      </c>
      <c r="O1216" s="247" t="str">
        <f ca="1">IF(C1216="","",IF($O$11="BPS",[1]!S_STM07_BS(D1216,141,$G$5,$H$13)/IF([1]!S_SHARE_TOTAL(D1216,$G$5)=0,[1]!S_SHARE_TOTAL(D1216,[1]!s_ipo_listeddate(D1216)),[1]!S_SHARE_TOTAL(D1216,$G$5)),[1]!S_STM07_CS(D1216,49,$G$5,$H$13)/$E$5))</f>
        <v/>
      </c>
      <c r="P1216" s="247" t="str">
        <f ca="1">IF(C1216="","",IF($P$11="CFPS",[1]!S_STM07_CS(D1216,84,$G$5,$H$13)/IF([1]!S_SHARE_TOTAL(D1216,$G$5)=0,[1]!S_SHARE_TOTAL(D1216,[1]!s_ipo_listeddate(D1216)),[1]!S_SHARE_TOTAL(D1216,$G$5)),[1]!S_STM07_CS(D1216,84,$G$5,$H$13)/$E$5))</f>
        <v/>
      </c>
      <c r="Q1216" s="248" t="str">
        <f ca="1">IF(C1216="","",F1216/([1]!S_STM07_IS(D1216,61,$G$5,$H$13)/IF([1]!S_SHARE_TOTAL(D1216,$G$5)=0,[1]!S_SHARE_TOTAL(D1216,[1]!s_ipo_listeddate(D1216)),[1]!S_SHARE_TOTAL(D1216,$G$5))))</f>
        <v/>
      </c>
      <c r="R1216" s="248" t="str">
        <f ca="1">IF(C1216="","",F1216/([1]!S_STM07_BS(D1216,141,$G$5,$H$13)/IF([1]!S_SHARE_TOTAL(D1216,$G$5)=0,[1]!S_SHARE_TOTAL(D1216,[1]!s_ipo_listeddate(D1216)),[1]!S_SHARE_TOTAL(D1216,$G$5))))</f>
        <v/>
      </c>
      <c r="S1216" s="247" t="str">
        <f ca="1">IF(C1216="","",[1]!S_SHARE_TOTAL(D1216,TODAY())/$E$5)</f>
        <v/>
      </c>
      <c r="T1216" s="247" t="str">
        <f t="shared" ca="1" si="121"/>
        <v/>
      </c>
      <c r="U1216" s="218" t="str">
        <f t="shared" ca="1" si="122"/>
        <v/>
      </c>
      <c r="V1216" s="342" t="str">
        <f t="shared" ca="1" si="123"/>
        <v/>
      </c>
      <c r="W1216" s="139"/>
      <c r="Y1216" s="1"/>
    </row>
    <row r="1217" spans="3:25" ht="12" customHeight="1">
      <c r="C1217" s="343" t="str">
        <f t="shared" ca="1" si="118"/>
        <v/>
      </c>
      <c r="D1217" s="124" t="str">
        <f t="shared" ca="1" si="119"/>
        <v/>
      </c>
      <c r="E1217" s="124" t="str">
        <f t="shared" ca="1" si="120"/>
        <v/>
      </c>
      <c r="F1217" s="172" t="str">
        <f ca="1">IF(C1217="","",[1]!S_DQ_CLOSE(D1217,TODAY(),1))</f>
        <v/>
      </c>
      <c r="G1217" s="173" t="str">
        <f ca="1">IF(C1217="","",[1]!s_pq_pctchange(D1217,TODAY()-$G$12,TODAY())/100)</f>
        <v/>
      </c>
      <c r="H1217" s="249" t="str">
        <f ca="1">IF(C1217="","",IF($H$11="收入",[1]!S_STM07_IS(D1217,9,$G$5,$H$13)/$E$5,[1]!S_STM07_IS(D1217,48,$G$5,$H$13)/$E$5))</f>
        <v/>
      </c>
      <c r="I1217" s="249" t="str">
        <f ca="1">IF(C1217="","",IF($I$11="毛利率",([1]!S_STM07_IS(D1217,9,$G$5,$H$13)-[1]!S_STM07_IS(D1217,10,$G$5,$H$13))/[1]!S_STM07_IS(D1217,9,$G$5,$H$13),[1]!S_STM07_IS(D1217,14,$G$5,$H$13)/$E$5))</f>
        <v/>
      </c>
      <c r="J1217" s="249" t="str">
        <f ca="1">IF(C1217="","",IF($J$11="营业利润率",[1]!S_STM07_IS(D1217,48,$G$5,$H$13)/[1]!S_STM07_IS(D1217,9,$G$5,$H$13),([1]!S_STM07_CS(D1217,87,$G$5,$H$13)+[1]!S_STM07_CS(D1217,88,$G$5,$H$13)+[1]!S_STM07_CS(D1217,89,$G$5,$H$13))/$E$5))</f>
        <v/>
      </c>
      <c r="K1217" s="249" t="str">
        <f ca="1">IF(C1217="","",IF($K$11="净利润率",[1]!S_STM07_IS(D1217,61,$G$5,$H$13)/[1]!S_STM07_IS(D1217,9,$G$5,$H$13),[1]!S_STM07_IS(D1217,55,$G$5,$H$13)/$E$5))</f>
        <v/>
      </c>
      <c r="L1217" s="249" t="str">
        <f ca="1">IF(C1217="","",IF($L$11="ROA",[1]!S_STM07_IS(D1217,61,$G$5,$H$13)/[1]!S_STM07_BS(D1217,74,$G$5,$H$13),1-[1]!S_STM07_IS(D1217,61,$G$5,$H$13)/[1]!S_STM07_IS(D1217,55,$G$5,$H$13)))</f>
        <v/>
      </c>
      <c r="M1217" s="249" t="str">
        <f ca="1">IF(C1217="","",IF($M$11="ROE",[1]!S_STM07_IS(D1217,61,$G$5,$H$13)/[1]!S_STM07_BS(D1217,141,$G$5,$H$13),([1]!S_STM07_BS(D1217,25,$G$5,$H$13)-[1]!S_STM07_BS(D1217,93,$G$5,$H$13))/$E$5))</f>
        <v/>
      </c>
      <c r="N1217" s="250" t="str">
        <f ca="1">IF(C1217="","",IF($N$11="EPS",[1]!S_STM07_IS(D1217,61,$G$5,$H$13)/IF([1]!S_SHARE_TOTAL(D1217,$G$5)=0,[1]!S_SHARE_TOTAL(D1217,[1]!s_ipo_listeddate(D1217)),[1]!S_SHARE_TOTAL(D1217,$G$5)),([1]!S_STM07_BS(D1217,75,$G$5,$H$13)+[1]!S_STM07_BS(D1217,88,$G$5,$H$13)+[1]!S_STM07_BS(D1217,94,$G$5,$H$13)+[1]!S_STM07_BS(D1217,95,$G$5,$H$13))/$E$5))</f>
        <v/>
      </c>
      <c r="O1217" s="250" t="str">
        <f ca="1">IF(C1217="","",IF($O$11="BPS",[1]!S_STM07_BS(D1217,141,$G$5,$H$13)/IF([1]!S_SHARE_TOTAL(D1217,$G$5)=0,[1]!S_SHARE_TOTAL(D1217,[1]!s_ipo_listeddate(D1217)),[1]!S_SHARE_TOTAL(D1217,$G$5)),[1]!S_STM07_CS(D1217,49,$G$5,$H$13)/$E$5))</f>
        <v/>
      </c>
      <c r="P1217" s="250" t="str">
        <f ca="1">IF(C1217="","",IF($P$11="CFPS",[1]!S_STM07_CS(D1217,84,$G$5,$H$13)/IF([1]!S_SHARE_TOTAL(D1217,$G$5)=0,[1]!S_SHARE_TOTAL(D1217,[1]!s_ipo_listeddate(D1217)),[1]!S_SHARE_TOTAL(D1217,$G$5)),[1]!S_STM07_CS(D1217,84,$G$5,$H$13)/$E$5))</f>
        <v/>
      </c>
      <c r="Q1217" s="198" t="str">
        <f ca="1">IF(C1217="","",F1217/([1]!S_STM07_IS(D1217,61,$G$5,$H$13)/IF([1]!S_SHARE_TOTAL(D1217,$G$5)=0,[1]!S_SHARE_TOTAL(D1217,[1]!s_ipo_listeddate(D1217)),[1]!S_SHARE_TOTAL(D1217,$G$5))))</f>
        <v/>
      </c>
      <c r="R1217" s="198" t="str">
        <f ca="1">IF(C1217="","",F1217/([1]!S_STM07_BS(D1217,141,$G$5,$H$13)/IF([1]!S_SHARE_TOTAL(D1217,$G$5)=0,[1]!S_SHARE_TOTAL(D1217,[1]!s_ipo_listeddate(D1217)),[1]!S_SHARE_TOTAL(D1217,$G$5))))</f>
        <v/>
      </c>
      <c r="S1217" s="249" t="str">
        <f ca="1">IF(C1217="","",[1]!S_SHARE_TOTAL(D1217,TODAY())/$E$5)</f>
        <v/>
      </c>
      <c r="T1217" s="249" t="str">
        <f t="shared" ca="1" si="121"/>
        <v/>
      </c>
      <c r="U1217" s="172" t="str">
        <f t="shared" ca="1" si="122"/>
        <v/>
      </c>
      <c r="V1217" s="343" t="str">
        <f t="shared" ca="1" si="123"/>
        <v/>
      </c>
      <c r="W1217" s="139"/>
      <c r="Y1217" s="1"/>
    </row>
    <row r="1218" spans="3:25" ht="12" customHeight="1">
      <c r="C1218" s="342" t="str">
        <f t="shared" ca="1" si="118"/>
        <v/>
      </c>
      <c r="D1218" s="153" t="str">
        <f t="shared" ca="1" si="119"/>
        <v/>
      </c>
      <c r="E1218" s="153" t="str">
        <f t="shared" ca="1" si="120"/>
        <v/>
      </c>
      <c r="F1218" s="170" t="str">
        <f ca="1">IF(C1218="","",[1]!S_DQ_CLOSE(D1218,TODAY(),1))</f>
        <v/>
      </c>
      <c r="G1218" s="171" t="str">
        <f ca="1">IF(C1218="","",[1]!s_pq_pctchange(D1218,TODAY()-$G$12,TODAY())/100)</f>
        <v/>
      </c>
      <c r="H1218" s="247" t="str">
        <f ca="1">IF(C1218="","",IF($H$11="收入",[1]!S_STM07_IS(D1218,9,$G$5,$H$13)/$E$5,[1]!S_STM07_IS(D1218,48,$G$5,$H$13)/$E$5))</f>
        <v/>
      </c>
      <c r="I1218" s="247" t="str">
        <f ca="1">IF(C1218="","",IF($I$11="毛利率",([1]!S_STM07_IS(D1218,9,$G$5,$H$13)-[1]!S_STM07_IS(D1218,10,$G$5,$H$13))/[1]!S_STM07_IS(D1218,9,$G$5,$H$13),[1]!S_STM07_IS(D1218,14,$G$5,$H$13)/$E$5))</f>
        <v/>
      </c>
      <c r="J1218" s="247" t="str">
        <f ca="1">IF(C1218="","",IF($J$11="营业利润率",[1]!S_STM07_IS(D1218,48,$G$5,$H$13)/[1]!S_STM07_IS(D1218,9,$G$5,$H$13),([1]!S_STM07_CS(D1218,87,$G$5,$H$13)+[1]!S_STM07_CS(D1218,88,$G$5,$H$13)+[1]!S_STM07_CS(D1218,89,$G$5,$H$13))/$E$5))</f>
        <v/>
      </c>
      <c r="K1218" s="247" t="str">
        <f ca="1">IF(C1218="","",IF($K$11="净利润率",[1]!S_STM07_IS(D1218,61,$G$5,$H$13)/[1]!S_STM07_IS(D1218,9,$G$5,$H$13),[1]!S_STM07_IS(D1218,55,$G$5,$H$13)/$E$5))</f>
        <v/>
      </c>
      <c r="L1218" s="247" t="str">
        <f ca="1">IF(C1218="","",IF($L$11="ROA",[1]!S_STM07_IS(D1218,61,$G$5,$H$13)/[1]!S_STM07_BS(D1218,74,$G$5,$H$13),1-[1]!S_STM07_IS(D1218,61,$G$5,$H$13)/[1]!S_STM07_IS(D1218,55,$G$5,$H$13)))</f>
        <v/>
      </c>
      <c r="M1218" s="247" t="str">
        <f ca="1">IF(C1218="","",IF($M$11="ROE",[1]!S_STM07_IS(D1218,61,$G$5,$H$13)/[1]!S_STM07_BS(D1218,141,$G$5,$H$13),([1]!S_STM07_BS(D1218,25,$G$5,$H$13)-[1]!S_STM07_BS(D1218,93,$G$5,$H$13))/$E$5))</f>
        <v/>
      </c>
      <c r="N1218" s="247" t="str">
        <f ca="1">IF(C1218="","",IF($N$11="EPS",[1]!S_STM07_IS(D1218,61,$G$5,$H$13)/IF([1]!S_SHARE_TOTAL(D1218,$G$5)=0,[1]!S_SHARE_TOTAL(D1218,[1]!s_ipo_listeddate(D1218)),[1]!S_SHARE_TOTAL(D1218,$G$5)),([1]!S_STM07_BS(D1218,75,$G$5,$H$13)+[1]!S_STM07_BS(D1218,88,$G$5,$H$13)+[1]!S_STM07_BS(D1218,94,$G$5,$H$13)+[1]!S_STM07_BS(D1218,95,$G$5,$H$13))/$E$5))</f>
        <v/>
      </c>
      <c r="O1218" s="247" t="str">
        <f ca="1">IF(C1218="","",IF($O$11="BPS",[1]!S_STM07_BS(D1218,141,$G$5,$H$13)/IF([1]!S_SHARE_TOTAL(D1218,$G$5)=0,[1]!S_SHARE_TOTAL(D1218,[1]!s_ipo_listeddate(D1218)),[1]!S_SHARE_TOTAL(D1218,$G$5)),[1]!S_STM07_CS(D1218,49,$G$5,$H$13)/$E$5))</f>
        <v/>
      </c>
      <c r="P1218" s="247" t="str">
        <f ca="1">IF(C1218="","",IF($P$11="CFPS",[1]!S_STM07_CS(D1218,84,$G$5,$H$13)/IF([1]!S_SHARE_TOTAL(D1218,$G$5)=0,[1]!S_SHARE_TOTAL(D1218,[1]!s_ipo_listeddate(D1218)),[1]!S_SHARE_TOTAL(D1218,$G$5)),[1]!S_STM07_CS(D1218,84,$G$5,$H$13)/$E$5))</f>
        <v/>
      </c>
      <c r="Q1218" s="248" t="str">
        <f ca="1">IF(C1218="","",F1218/([1]!S_STM07_IS(D1218,61,$G$5,$H$13)/IF([1]!S_SHARE_TOTAL(D1218,$G$5)=0,[1]!S_SHARE_TOTAL(D1218,[1]!s_ipo_listeddate(D1218)),[1]!S_SHARE_TOTAL(D1218,$G$5))))</f>
        <v/>
      </c>
      <c r="R1218" s="248" t="str">
        <f ca="1">IF(C1218="","",F1218/([1]!S_STM07_BS(D1218,141,$G$5,$H$13)/IF([1]!S_SHARE_TOTAL(D1218,$G$5)=0,[1]!S_SHARE_TOTAL(D1218,[1]!s_ipo_listeddate(D1218)),[1]!S_SHARE_TOTAL(D1218,$G$5))))</f>
        <v/>
      </c>
      <c r="S1218" s="247" t="str">
        <f ca="1">IF(C1218="","",[1]!S_SHARE_TOTAL(D1218,TODAY())/$E$5)</f>
        <v/>
      </c>
      <c r="T1218" s="247" t="str">
        <f t="shared" ca="1" si="121"/>
        <v/>
      </c>
      <c r="U1218" s="218" t="str">
        <f t="shared" ca="1" si="122"/>
        <v/>
      </c>
      <c r="V1218" s="342" t="str">
        <f t="shared" ca="1" si="123"/>
        <v/>
      </c>
      <c r="W1218" s="139"/>
      <c r="Y1218" s="1"/>
    </row>
    <row r="1219" spans="3:25" ht="12" customHeight="1">
      <c r="C1219" s="343" t="str">
        <f t="shared" ca="1" si="118"/>
        <v/>
      </c>
      <c r="D1219" s="124" t="str">
        <f t="shared" ca="1" si="119"/>
        <v/>
      </c>
      <c r="E1219" s="124" t="str">
        <f t="shared" ca="1" si="120"/>
        <v/>
      </c>
      <c r="F1219" s="172" t="str">
        <f ca="1">IF(C1219="","",[1]!S_DQ_CLOSE(D1219,TODAY(),1))</f>
        <v/>
      </c>
      <c r="G1219" s="173" t="str">
        <f ca="1">IF(C1219="","",[1]!s_pq_pctchange(D1219,TODAY()-$G$12,TODAY())/100)</f>
        <v/>
      </c>
      <c r="H1219" s="249" t="str">
        <f ca="1">IF(C1219="","",IF($H$11="收入",[1]!S_STM07_IS(D1219,9,$G$5,$H$13)/$E$5,[1]!S_STM07_IS(D1219,48,$G$5,$H$13)/$E$5))</f>
        <v/>
      </c>
      <c r="I1219" s="249" t="str">
        <f ca="1">IF(C1219="","",IF($I$11="毛利率",([1]!S_STM07_IS(D1219,9,$G$5,$H$13)-[1]!S_STM07_IS(D1219,10,$G$5,$H$13))/[1]!S_STM07_IS(D1219,9,$G$5,$H$13),[1]!S_STM07_IS(D1219,14,$G$5,$H$13)/$E$5))</f>
        <v/>
      </c>
      <c r="J1219" s="249" t="str">
        <f ca="1">IF(C1219="","",IF($J$11="营业利润率",[1]!S_STM07_IS(D1219,48,$G$5,$H$13)/[1]!S_STM07_IS(D1219,9,$G$5,$H$13),([1]!S_STM07_CS(D1219,87,$G$5,$H$13)+[1]!S_STM07_CS(D1219,88,$G$5,$H$13)+[1]!S_STM07_CS(D1219,89,$G$5,$H$13))/$E$5))</f>
        <v/>
      </c>
      <c r="K1219" s="249" t="str">
        <f ca="1">IF(C1219="","",IF($K$11="净利润率",[1]!S_STM07_IS(D1219,61,$G$5,$H$13)/[1]!S_STM07_IS(D1219,9,$G$5,$H$13),[1]!S_STM07_IS(D1219,55,$G$5,$H$13)/$E$5))</f>
        <v/>
      </c>
      <c r="L1219" s="249" t="str">
        <f ca="1">IF(C1219="","",IF($L$11="ROA",[1]!S_STM07_IS(D1219,61,$G$5,$H$13)/[1]!S_STM07_BS(D1219,74,$G$5,$H$13),1-[1]!S_STM07_IS(D1219,61,$G$5,$H$13)/[1]!S_STM07_IS(D1219,55,$G$5,$H$13)))</f>
        <v/>
      </c>
      <c r="M1219" s="249" t="str">
        <f ca="1">IF(C1219="","",IF($M$11="ROE",[1]!S_STM07_IS(D1219,61,$G$5,$H$13)/[1]!S_STM07_BS(D1219,141,$G$5,$H$13),([1]!S_STM07_BS(D1219,25,$G$5,$H$13)-[1]!S_STM07_BS(D1219,93,$G$5,$H$13))/$E$5))</f>
        <v/>
      </c>
      <c r="N1219" s="250" t="str">
        <f ca="1">IF(C1219="","",IF($N$11="EPS",[1]!S_STM07_IS(D1219,61,$G$5,$H$13)/IF([1]!S_SHARE_TOTAL(D1219,$G$5)=0,[1]!S_SHARE_TOTAL(D1219,[1]!s_ipo_listeddate(D1219)),[1]!S_SHARE_TOTAL(D1219,$G$5)),([1]!S_STM07_BS(D1219,75,$G$5,$H$13)+[1]!S_STM07_BS(D1219,88,$G$5,$H$13)+[1]!S_STM07_BS(D1219,94,$G$5,$H$13)+[1]!S_STM07_BS(D1219,95,$G$5,$H$13))/$E$5))</f>
        <v/>
      </c>
      <c r="O1219" s="250" t="str">
        <f ca="1">IF(C1219="","",IF($O$11="BPS",[1]!S_STM07_BS(D1219,141,$G$5,$H$13)/IF([1]!S_SHARE_TOTAL(D1219,$G$5)=0,[1]!S_SHARE_TOTAL(D1219,[1]!s_ipo_listeddate(D1219)),[1]!S_SHARE_TOTAL(D1219,$G$5)),[1]!S_STM07_CS(D1219,49,$G$5,$H$13)/$E$5))</f>
        <v/>
      </c>
      <c r="P1219" s="250" t="str">
        <f ca="1">IF(C1219="","",IF($P$11="CFPS",[1]!S_STM07_CS(D1219,84,$G$5,$H$13)/IF([1]!S_SHARE_TOTAL(D1219,$G$5)=0,[1]!S_SHARE_TOTAL(D1219,[1]!s_ipo_listeddate(D1219)),[1]!S_SHARE_TOTAL(D1219,$G$5)),[1]!S_STM07_CS(D1219,84,$G$5,$H$13)/$E$5))</f>
        <v/>
      </c>
      <c r="Q1219" s="198" t="str">
        <f ca="1">IF(C1219="","",F1219/([1]!S_STM07_IS(D1219,61,$G$5,$H$13)/IF([1]!S_SHARE_TOTAL(D1219,$G$5)=0,[1]!S_SHARE_TOTAL(D1219,[1]!s_ipo_listeddate(D1219)),[1]!S_SHARE_TOTAL(D1219,$G$5))))</f>
        <v/>
      </c>
      <c r="R1219" s="198" t="str">
        <f ca="1">IF(C1219="","",F1219/([1]!S_STM07_BS(D1219,141,$G$5,$H$13)/IF([1]!S_SHARE_TOTAL(D1219,$G$5)=0,[1]!S_SHARE_TOTAL(D1219,[1]!s_ipo_listeddate(D1219)),[1]!S_SHARE_TOTAL(D1219,$G$5))))</f>
        <v/>
      </c>
      <c r="S1219" s="249" t="str">
        <f ca="1">IF(C1219="","",[1]!S_SHARE_TOTAL(D1219,TODAY())/$E$5)</f>
        <v/>
      </c>
      <c r="T1219" s="249" t="str">
        <f t="shared" ca="1" si="121"/>
        <v/>
      </c>
      <c r="U1219" s="172" t="str">
        <f t="shared" ca="1" si="122"/>
        <v/>
      </c>
      <c r="V1219" s="343" t="str">
        <f t="shared" ca="1" si="123"/>
        <v/>
      </c>
      <c r="W1219" s="139"/>
      <c r="Y1219" s="1"/>
    </row>
    <row r="1220" spans="3:25" ht="12" customHeight="1">
      <c r="C1220" s="342" t="str">
        <f t="shared" ca="1" si="118"/>
        <v/>
      </c>
      <c r="D1220" s="153" t="str">
        <f t="shared" ca="1" si="119"/>
        <v/>
      </c>
      <c r="E1220" s="153" t="str">
        <f t="shared" ca="1" si="120"/>
        <v/>
      </c>
      <c r="F1220" s="170" t="str">
        <f ca="1">IF(C1220="","",[1]!S_DQ_CLOSE(D1220,TODAY(),1))</f>
        <v/>
      </c>
      <c r="G1220" s="171" t="str">
        <f ca="1">IF(C1220="","",[1]!s_pq_pctchange(D1220,TODAY()-$G$12,TODAY())/100)</f>
        <v/>
      </c>
      <c r="H1220" s="247" t="str">
        <f ca="1">IF(C1220="","",IF($H$11="收入",[1]!S_STM07_IS(D1220,9,$G$5,$H$13)/$E$5,[1]!S_STM07_IS(D1220,48,$G$5,$H$13)/$E$5))</f>
        <v/>
      </c>
      <c r="I1220" s="247" t="str">
        <f ca="1">IF(C1220="","",IF($I$11="毛利率",([1]!S_STM07_IS(D1220,9,$G$5,$H$13)-[1]!S_STM07_IS(D1220,10,$G$5,$H$13))/[1]!S_STM07_IS(D1220,9,$G$5,$H$13),[1]!S_STM07_IS(D1220,14,$G$5,$H$13)/$E$5))</f>
        <v/>
      </c>
      <c r="J1220" s="247" t="str">
        <f ca="1">IF(C1220="","",IF($J$11="营业利润率",[1]!S_STM07_IS(D1220,48,$G$5,$H$13)/[1]!S_STM07_IS(D1220,9,$G$5,$H$13),([1]!S_STM07_CS(D1220,87,$G$5,$H$13)+[1]!S_STM07_CS(D1220,88,$G$5,$H$13)+[1]!S_STM07_CS(D1220,89,$G$5,$H$13))/$E$5))</f>
        <v/>
      </c>
      <c r="K1220" s="247" t="str">
        <f ca="1">IF(C1220="","",IF($K$11="净利润率",[1]!S_STM07_IS(D1220,61,$G$5,$H$13)/[1]!S_STM07_IS(D1220,9,$G$5,$H$13),[1]!S_STM07_IS(D1220,55,$G$5,$H$13)/$E$5))</f>
        <v/>
      </c>
      <c r="L1220" s="247" t="str">
        <f ca="1">IF(C1220="","",IF($L$11="ROA",[1]!S_STM07_IS(D1220,61,$G$5,$H$13)/[1]!S_STM07_BS(D1220,74,$G$5,$H$13),1-[1]!S_STM07_IS(D1220,61,$G$5,$H$13)/[1]!S_STM07_IS(D1220,55,$G$5,$H$13)))</f>
        <v/>
      </c>
      <c r="M1220" s="247" t="str">
        <f ca="1">IF(C1220="","",IF($M$11="ROE",[1]!S_STM07_IS(D1220,61,$G$5,$H$13)/[1]!S_STM07_BS(D1220,141,$G$5,$H$13),([1]!S_STM07_BS(D1220,25,$G$5,$H$13)-[1]!S_STM07_BS(D1220,93,$G$5,$H$13))/$E$5))</f>
        <v/>
      </c>
      <c r="N1220" s="247" t="str">
        <f ca="1">IF(C1220="","",IF($N$11="EPS",[1]!S_STM07_IS(D1220,61,$G$5,$H$13)/IF([1]!S_SHARE_TOTAL(D1220,$G$5)=0,[1]!S_SHARE_TOTAL(D1220,[1]!s_ipo_listeddate(D1220)),[1]!S_SHARE_TOTAL(D1220,$G$5)),([1]!S_STM07_BS(D1220,75,$G$5,$H$13)+[1]!S_STM07_BS(D1220,88,$G$5,$H$13)+[1]!S_STM07_BS(D1220,94,$G$5,$H$13)+[1]!S_STM07_BS(D1220,95,$G$5,$H$13))/$E$5))</f>
        <v/>
      </c>
      <c r="O1220" s="247" t="str">
        <f ca="1">IF(C1220="","",IF($O$11="BPS",[1]!S_STM07_BS(D1220,141,$G$5,$H$13)/IF([1]!S_SHARE_TOTAL(D1220,$G$5)=0,[1]!S_SHARE_TOTAL(D1220,[1]!s_ipo_listeddate(D1220)),[1]!S_SHARE_TOTAL(D1220,$G$5)),[1]!S_STM07_CS(D1220,49,$G$5,$H$13)/$E$5))</f>
        <v/>
      </c>
      <c r="P1220" s="247" t="str">
        <f ca="1">IF(C1220="","",IF($P$11="CFPS",[1]!S_STM07_CS(D1220,84,$G$5,$H$13)/IF([1]!S_SHARE_TOTAL(D1220,$G$5)=0,[1]!S_SHARE_TOTAL(D1220,[1]!s_ipo_listeddate(D1220)),[1]!S_SHARE_TOTAL(D1220,$G$5)),[1]!S_STM07_CS(D1220,84,$G$5,$H$13)/$E$5))</f>
        <v/>
      </c>
      <c r="Q1220" s="248" t="str">
        <f ca="1">IF(C1220="","",F1220/([1]!S_STM07_IS(D1220,61,$G$5,$H$13)/IF([1]!S_SHARE_TOTAL(D1220,$G$5)=0,[1]!S_SHARE_TOTAL(D1220,[1]!s_ipo_listeddate(D1220)),[1]!S_SHARE_TOTAL(D1220,$G$5))))</f>
        <v/>
      </c>
      <c r="R1220" s="248" t="str">
        <f ca="1">IF(C1220="","",F1220/([1]!S_STM07_BS(D1220,141,$G$5,$H$13)/IF([1]!S_SHARE_TOTAL(D1220,$G$5)=0,[1]!S_SHARE_TOTAL(D1220,[1]!s_ipo_listeddate(D1220)),[1]!S_SHARE_TOTAL(D1220,$G$5))))</f>
        <v/>
      </c>
      <c r="S1220" s="247" t="str">
        <f ca="1">IF(C1220="","",[1]!S_SHARE_TOTAL(D1220,TODAY())/$E$5)</f>
        <v/>
      </c>
      <c r="T1220" s="247" t="str">
        <f t="shared" ca="1" si="121"/>
        <v/>
      </c>
      <c r="U1220" s="218" t="str">
        <f t="shared" ca="1" si="122"/>
        <v/>
      </c>
      <c r="V1220" s="342" t="str">
        <f t="shared" ca="1" si="123"/>
        <v/>
      </c>
      <c r="W1220" s="139"/>
      <c r="Y1220" s="1"/>
    </row>
    <row r="1221" spans="3:25" ht="12" customHeight="1">
      <c r="C1221" s="343" t="str">
        <f t="shared" ca="1" si="118"/>
        <v/>
      </c>
      <c r="D1221" s="124" t="str">
        <f t="shared" ca="1" si="119"/>
        <v/>
      </c>
      <c r="E1221" s="124" t="str">
        <f t="shared" ca="1" si="120"/>
        <v/>
      </c>
      <c r="F1221" s="172" t="str">
        <f ca="1">IF(C1221="","",[1]!S_DQ_CLOSE(D1221,TODAY(),1))</f>
        <v/>
      </c>
      <c r="G1221" s="173" t="str">
        <f ca="1">IF(C1221="","",[1]!s_pq_pctchange(D1221,TODAY()-$G$12,TODAY())/100)</f>
        <v/>
      </c>
      <c r="H1221" s="249" t="str">
        <f ca="1">IF(C1221="","",IF($H$11="收入",[1]!S_STM07_IS(D1221,9,$G$5,$H$13)/$E$5,[1]!S_STM07_IS(D1221,48,$G$5,$H$13)/$E$5))</f>
        <v/>
      </c>
      <c r="I1221" s="249" t="str">
        <f ca="1">IF(C1221="","",IF($I$11="毛利率",([1]!S_STM07_IS(D1221,9,$G$5,$H$13)-[1]!S_STM07_IS(D1221,10,$G$5,$H$13))/[1]!S_STM07_IS(D1221,9,$G$5,$H$13),[1]!S_STM07_IS(D1221,14,$G$5,$H$13)/$E$5))</f>
        <v/>
      </c>
      <c r="J1221" s="249" t="str">
        <f ca="1">IF(C1221="","",IF($J$11="营业利润率",[1]!S_STM07_IS(D1221,48,$G$5,$H$13)/[1]!S_STM07_IS(D1221,9,$G$5,$H$13),([1]!S_STM07_CS(D1221,87,$G$5,$H$13)+[1]!S_STM07_CS(D1221,88,$G$5,$H$13)+[1]!S_STM07_CS(D1221,89,$G$5,$H$13))/$E$5))</f>
        <v/>
      </c>
      <c r="K1221" s="249" t="str">
        <f ca="1">IF(C1221="","",IF($K$11="净利润率",[1]!S_STM07_IS(D1221,61,$G$5,$H$13)/[1]!S_STM07_IS(D1221,9,$G$5,$H$13),[1]!S_STM07_IS(D1221,55,$G$5,$H$13)/$E$5))</f>
        <v/>
      </c>
      <c r="L1221" s="249" t="str">
        <f ca="1">IF(C1221="","",IF($L$11="ROA",[1]!S_STM07_IS(D1221,61,$G$5,$H$13)/[1]!S_STM07_BS(D1221,74,$G$5,$H$13),1-[1]!S_STM07_IS(D1221,61,$G$5,$H$13)/[1]!S_STM07_IS(D1221,55,$G$5,$H$13)))</f>
        <v/>
      </c>
      <c r="M1221" s="249" t="str">
        <f ca="1">IF(C1221="","",IF($M$11="ROE",[1]!S_STM07_IS(D1221,61,$G$5,$H$13)/[1]!S_STM07_BS(D1221,141,$G$5,$H$13),([1]!S_STM07_BS(D1221,25,$G$5,$H$13)-[1]!S_STM07_BS(D1221,93,$G$5,$H$13))/$E$5))</f>
        <v/>
      </c>
      <c r="N1221" s="250" t="str">
        <f ca="1">IF(C1221="","",IF($N$11="EPS",[1]!S_STM07_IS(D1221,61,$G$5,$H$13)/IF([1]!S_SHARE_TOTAL(D1221,$G$5)=0,[1]!S_SHARE_TOTAL(D1221,[1]!s_ipo_listeddate(D1221)),[1]!S_SHARE_TOTAL(D1221,$G$5)),([1]!S_STM07_BS(D1221,75,$G$5,$H$13)+[1]!S_STM07_BS(D1221,88,$G$5,$H$13)+[1]!S_STM07_BS(D1221,94,$G$5,$H$13)+[1]!S_STM07_BS(D1221,95,$G$5,$H$13))/$E$5))</f>
        <v/>
      </c>
      <c r="O1221" s="250" t="str">
        <f ca="1">IF(C1221="","",IF($O$11="BPS",[1]!S_STM07_BS(D1221,141,$G$5,$H$13)/IF([1]!S_SHARE_TOTAL(D1221,$G$5)=0,[1]!S_SHARE_TOTAL(D1221,[1]!s_ipo_listeddate(D1221)),[1]!S_SHARE_TOTAL(D1221,$G$5)),[1]!S_STM07_CS(D1221,49,$G$5,$H$13)/$E$5))</f>
        <v/>
      </c>
      <c r="P1221" s="250" t="str">
        <f ca="1">IF(C1221="","",IF($P$11="CFPS",[1]!S_STM07_CS(D1221,84,$G$5,$H$13)/IF([1]!S_SHARE_TOTAL(D1221,$G$5)=0,[1]!S_SHARE_TOTAL(D1221,[1]!s_ipo_listeddate(D1221)),[1]!S_SHARE_TOTAL(D1221,$G$5)),[1]!S_STM07_CS(D1221,84,$G$5,$H$13)/$E$5))</f>
        <v/>
      </c>
      <c r="Q1221" s="198" t="str">
        <f ca="1">IF(C1221="","",F1221/([1]!S_STM07_IS(D1221,61,$G$5,$H$13)/IF([1]!S_SHARE_TOTAL(D1221,$G$5)=0,[1]!S_SHARE_TOTAL(D1221,[1]!s_ipo_listeddate(D1221)),[1]!S_SHARE_TOTAL(D1221,$G$5))))</f>
        <v/>
      </c>
      <c r="R1221" s="198" t="str">
        <f ca="1">IF(C1221="","",F1221/([1]!S_STM07_BS(D1221,141,$G$5,$H$13)/IF([1]!S_SHARE_TOTAL(D1221,$G$5)=0,[1]!S_SHARE_TOTAL(D1221,[1]!s_ipo_listeddate(D1221)),[1]!S_SHARE_TOTAL(D1221,$G$5))))</f>
        <v/>
      </c>
      <c r="S1221" s="249" t="str">
        <f ca="1">IF(C1221="","",[1]!S_SHARE_TOTAL(D1221,TODAY())/$E$5)</f>
        <v/>
      </c>
      <c r="T1221" s="249" t="str">
        <f t="shared" ca="1" si="121"/>
        <v/>
      </c>
      <c r="U1221" s="172" t="str">
        <f t="shared" ca="1" si="122"/>
        <v/>
      </c>
      <c r="V1221" s="343" t="str">
        <f t="shared" ca="1" si="123"/>
        <v/>
      </c>
      <c r="W1221" s="139"/>
      <c r="Y1221" s="1"/>
    </row>
    <row r="1222" spans="3:25" ht="12" customHeight="1">
      <c r="C1222" s="342" t="str">
        <f t="shared" ca="1" si="118"/>
        <v/>
      </c>
      <c r="D1222" s="153" t="str">
        <f t="shared" ca="1" si="119"/>
        <v/>
      </c>
      <c r="E1222" s="153" t="str">
        <f t="shared" ca="1" si="120"/>
        <v/>
      </c>
      <c r="F1222" s="170" t="str">
        <f ca="1">IF(C1222="","",[1]!S_DQ_CLOSE(D1222,TODAY(),1))</f>
        <v/>
      </c>
      <c r="G1222" s="171" t="str">
        <f ca="1">IF(C1222="","",[1]!s_pq_pctchange(D1222,TODAY()-$G$12,TODAY())/100)</f>
        <v/>
      </c>
      <c r="H1222" s="247" t="str">
        <f ca="1">IF(C1222="","",IF($H$11="收入",[1]!S_STM07_IS(D1222,9,$G$5,$H$13)/$E$5,[1]!S_STM07_IS(D1222,48,$G$5,$H$13)/$E$5))</f>
        <v/>
      </c>
      <c r="I1222" s="247" t="str">
        <f ca="1">IF(C1222="","",IF($I$11="毛利率",([1]!S_STM07_IS(D1222,9,$G$5,$H$13)-[1]!S_STM07_IS(D1222,10,$G$5,$H$13))/[1]!S_STM07_IS(D1222,9,$G$5,$H$13),[1]!S_STM07_IS(D1222,14,$G$5,$H$13)/$E$5))</f>
        <v/>
      </c>
      <c r="J1222" s="247" t="str">
        <f ca="1">IF(C1222="","",IF($J$11="营业利润率",[1]!S_STM07_IS(D1222,48,$G$5,$H$13)/[1]!S_STM07_IS(D1222,9,$G$5,$H$13),([1]!S_STM07_CS(D1222,87,$G$5,$H$13)+[1]!S_STM07_CS(D1222,88,$G$5,$H$13)+[1]!S_STM07_CS(D1222,89,$G$5,$H$13))/$E$5))</f>
        <v/>
      </c>
      <c r="K1222" s="247" t="str">
        <f ca="1">IF(C1222="","",IF($K$11="净利润率",[1]!S_STM07_IS(D1222,61,$G$5,$H$13)/[1]!S_STM07_IS(D1222,9,$G$5,$H$13),[1]!S_STM07_IS(D1222,55,$G$5,$H$13)/$E$5))</f>
        <v/>
      </c>
      <c r="L1222" s="247" t="str">
        <f ca="1">IF(C1222="","",IF($L$11="ROA",[1]!S_STM07_IS(D1222,61,$G$5,$H$13)/[1]!S_STM07_BS(D1222,74,$G$5,$H$13),1-[1]!S_STM07_IS(D1222,61,$G$5,$H$13)/[1]!S_STM07_IS(D1222,55,$G$5,$H$13)))</f>
        <v/>
      </c>
      <c r="M1222" s="247" t="str">
        <f ca="1">IF(C1222="","",IF($M$11="ROE",[1]!S_STM07_IS(D1222,61,$G$5,$H$13)/[1]!S_STM07_BS(D1222,141,$G$5,$H$13),([1]!S_STM07_BS(D1222,25,$G$5,$H$13)-[1]!S_STM07_BS(D1222,93,$G$5,$H$13))/$E$5))</f>
        <v/>
      </c>
      <c r="N1222" s="247" t="str">
        <f ca="1">IF(C1222="","",IF($N$11="EPS",[1]!S_STM07_IS(D1222,61,$G$5,$H$13)/IF([1]!S_SHARE_TOTAL(D1222,$G$5)=0,[1]!S_SHARE_TOTAL(D1222,[1]!s_ipo_listeddate(D1222)),[1]!S_SHARE_TOTAL(D1222,$G$5)),([1]!S_STM07_BS(D1222,75,$G$5,$H$13)+[1]!S_STM07_BS(D1222,88,$G$5,$H$13)+[1]!S_STM07_BS(D1222,94,$G$5,$H$13)+[1]!S_STM07_BS(D1222,95,$G$5,$H$13))/$E$5))</f>
        <v/>
      </c>
      <c r="O1222" s="247" t="str">
        <f ca="1">IF(C1222="","",IF($O$11="BPS",[1]!S_STM07_BS(D1222,141,$G$5,$H$13)/IF([1]!S_SHARE_TOTAL(D1222,$G$5)=0,[1]!S_SHARE_TOTAL(D1222,[1]!s_ipo_listeddate(D1222)),[1]!S_SHARE_TOTAL(D1222,$G$5)),[1]!S_STM07_CS(D1222,49,$G$5,$H$13)/$E$5))</f>
        <v/>
      </c>
      <c r="P1222" s="247" t="str">
        <f ca="1">IF(C1222="","",IF($P$11="CFPS",[1]!S_STM07_CS(D1222,84,$G$5,$H$13)/IF([1]!S_SHARE_TOTAL(D1222,$G$5)=0,[1]!S_SHARE_TOTAL(D1222,[1]!s_ipo_listeddate(D1222)),[1]!S_SHARE_TOTAL(D1222,$G$5)),[1]!S_STM07_CS(D1222,84,$G$5,$H$13)/$E$5))</f>
        <v/>
      </c>
      <c r="Q1222" s="248" t="str">
        <f ca="1">IF(C1222="","",F1222/([1]!S_STM07_IS(D1222,61,$G$5,$H$13)/IF([1]!S_SHARE_TOTAL(D1222,$G$5)=0,[1]!S_SHARE_TOTAL(D1222,[1]!s_ipo_listeddate(D1222)),[1]!S_SHARE_TOTAL(D1222,$G$5))))</f>
        <v/>
      </c>
      <c r="R1222" s="248" t="str">
        <f ca="1">IF(C1222="","",F1222/([1]!S_STM07_BS(D1222,141,$G$5,$H$13)/IF([1]!S_SHARE_TOTAL(D1222,$G$5)=0,[1]!S_SHARE_TOTAL(D1222,[1]!s_ipo_listeddate(D1222)),[1]!S_SHARE_TOTAL(D1222,$G$5))))</f>
        <v/>
      </c>
      <c r="S1222" s="247" t="str">
        <f ca="1">IF(C1222="","",[1]!S_SHARE_TOTAL(D1222,TODAY())/$E$5)</f>
        <v/>
      </c>
      <c r="T1222" s="247" t="str">
        <f t="shared" ca="1" si="121"/>
        <v/>
      </c>
      <c r="U1222" s="218" t="str">
        <f t="shared" ca="1" si="122"/>
        <v/>
      </c>
      <c r="V1222" s="342" t="str">
        <f t="shared" ca="1" si="123"/>
        <v/>
      </c>
      <c r="W1222" s="139"/>
      <c r="Y1222" s="1"/>
    </row>
    <row r="1223" spans="3:25" ht="12" customHeight="1">
      <c r="C1223" s="343" t="str">
        <f t="shared" ca="1" si="118"/>
        <v/>
      </c>
      <c r="D1223" s="124" t="str">
        <f t="shared" ca="1" si="119"/>
        <v/>
      </c>
      <c r="E1223" s="124" t="str">
        <f t="shared" ca="1" si="120"/>
        <v/>
      </c>
      <c r="F1223" s="172" t="str">
        <f ca="1">IF(C1223="","",[1]!S_DQ_CLOSE(D1223,TODAY(),1))</f>
        <v/>
      </c>
      <c r="G1223" s="173" t="str">
        <f ca="1">IF(C1223="","",[1]!s_pq_pctchange(D1223,TODAY()-$G$12,TODAY())/100)</f>
        <v/>
      </c>
      <c r="H1223" s="249" t="str">
        <f ca="1">IF(C1223="","",IF($H$11="收入",[1]!S_STM07_IS(D1223,9,$G$5,$H$13)/$E$5,[1]!S_STM07_IS(D1223,48,$G$5,$H$13)/$E$5))</f>
        <v/>
      </c>
      <c r="I1223" s="249" t="str">
        <f ca="1">IF(C1223="","",IF($I$11="毛利率",([1]!S_STM07_IS(D1223,9,$G$5,$H$13)-[1]!S_STM07_IS(D1223,10,$G$5,$H$13))/[1]!S_STM07_IS(D1223,9,$G$5,$H$13),[1]!S_STM07_IS(D1223,14,$G$5,$H$13)/$E$5))</f>
        <v/>
      </c>
      <c r="J1223" s="249" t="str">
        <f ca="1">IF(C1223="","",IF($J$11="营业利润率",[1]!S_STM07_IS(D1223,48,$G$5,$H$13)/[1]!S_STM07_IS(D1223,9,$G$5,$H$13),([1]!S_STM07_CS(D1223,87,$G$5,$H$13)+[1]!S_STM07_CS(D1223,88,$G$5,$H$13)+[1]!S_STM07_CS(D1223,89,$G$5,$H$13))/$E$5))</f>
        <v/>
      </c>
      <c r="K1223" s="249" t="str">
        <f ca="1">IF(C1223="","",IF($K$11="净利润率",[1]!S_STM07_IS(D1223,61,$G$5,$H$13)/[1]!S_STM07_IS(D1223,9,$G$5,$H$13),[1]!S_STM07_IS(D1223,55,$G$5,$H$13)/$E$5))</f>
        <v/>
      </c>
      <c r="L1223" s="249" t="str">
        <f ca="1">IF(C1223="","",IF($L$11="ROA",[1]!S_STM07_IS(D1223,61,$G$5,$H$13)/[1]!S_STM07_BS(D1223,74,$G$5,$H$13),1-[1]!S_STM07_IS(D1223,61,$G$5,$H$13)/[1]!S_STM07_IS(D1223,55,$G$5,$H$13)))</f>
        <v/>
      </c>
      <c r="M1223" s="249" t="str">
        <f ca="1">IF(C1223="","",IF($M$11="ROE",[1]!S_STM07_IS(D1223,61,$G$5,$H$13)/[1]!S_STM07_BS(D1223,141,$G$5,$H$13),([1]!S_STM07_BS(D1223,25,$G$5,$H$13)-[1]!S_STM07_BS(D1223,93,$G$5,$H$13))/$E$5))</f>
        <v/>
      </c>
      <c r="N1223" s="250" t="str">
        <f ca="1">IF(C1223="","",IF($N$11="EPS",[1]!S_STM07_IS(D1223,61,$G$5,$H$13)/IF([1]!S_SHARE_TOTAL(D1223,$G$5)=0,[1]!S_SHARE_TOTAL(D1223,[1]!s_ipo_listeddate(D1223)),[1]!S_SHARE_TOTAL(D1223,$G$5)),([1]!S_STM07_BS(D1223,75,$G$5,$H$13)+[1]!S_STM07_BS(D1223,88,$G$5,$H$13)+[1]!S_STM07_BS(D1223,94,$G$5,$H$13)+[1]!S_STM07_BS(D1223,95,$G$5,$H$13))/$E$5))</f>
        <v/>
      </c>
      <c r="O1223" s="250" t="str">
        <f ca="1">IF(C1223="","",IF($O$11="BPS",[1]!S_STM07_BS(D1223,141,$G$5,$H$13)/IF([1]!S_SHARE_TOTAL(D1223,$G$5)=0,[1]!S_SHARE_TOTAL(D1223,[1]!s_ipo_listeddate(D1223)),[1]!S_SHARE_TOTAL(D1223,$G$5)),[1]!S_STM07_CS(D1223,49,$G$5,$H$13)/$E$5))</f>
        <v/>
      </c>
      <c r="P1223" s="250" t="str">
        <f ca="1">IF(C1223="","",IF($P$11="CFPS",[1]!S_STM07_CS(D1223,84,$G$5,$H$13)/IF([1]!S_SHARE_TOTAL(D1223,$G$5)=0,[1]!S_SHARE_TOTAL(D1223,[1]!s_ipo_listeddate(D1223)),[1]!S_SHARE_TOTAL(D1223,$G$5)),[1]!S_STM07_CS(D1223,84,$G$5,$H$13)/$E$5))</f>
        <v/>
      </c>
      <c r="Q1223" s="198" t="str">
        <f ca="1">IF(C1223="","",F1223/([1]!S_STM07_IS(D1223,61,$G$5,$H$13)/IF([1]!S_SHARE_TOTAL(D1223,$G$5)=0,[1]!S_SHARE_TOTAL(D1223,[1]!s_ipo_listeddate(D1223)),[1]!S_SHARE_TOTAL(D1223,$G$5))))</f>
        <v/>
      </c>
      <c r="R1223" s="198" t="str">
        <f ca="1">IF(C1223="","",F1223/([1]!S_STM07_BS(D1223,141,$G$5,$H$13)/IF([1]!S_SHARE_TOTAL(D1223,$G$5)=0,[1]!S_SHARE_TOTAL(D1223,[1]!s_ipo_listeddate(D1223)),[1]!S_SHARE_TOTAL(D1223,$G$5))))</f>
        <v/>
      </c>
      <c r="S1223" s="249" t="str">
        <f ca="1">IF(C1223="","",[1]!S_SHARE_TOTAL(D1223,TODAY())/$E$5)</f>
        <v/>
      </c>
      <c r="T1223" s="249" t="str">
        <f t="shared" ca="1" si="121"/>
        <v/>
      </c>
      <c r="U1223" s="172" t="str">
        <f t="shared" ca="1" si="122"/>
        <v/>
      </c>
      <c r="V1223" s="343" t="str">
        <f t="shared" ca="1" si="123"/>
        <v/>
      </c>
      <c r="W1223" s="139"/>
      <c r="Y1223" s="1"/>
    </row>
    <row r="1224" spans="3:25" ht="12" customHeight="1">
      <c r="C1224" s="342" t="str">
        <f t="shared" ca="1" si="118"/>
        <v/>
      </c>
      <c r="D1224" s="153" t="str">
        <f t="shared" ca="1" si="119"/>
        <v/>
      </c>
      <c r="E1224" s="153" t="str">
        <f t="shared" ca="1" si="120"/>
        <v/>
      </c>
      <c r="F1224" s="170" t="str">
        <f ca="1">IF(C1224="","",[1]!S_DQ_CLOSE(D1224,TODAY(),1))</f>
        <v/>
      </c>
      <c r="G1224" s="171" t="str">
        <f ca="1">IF(C1224="","",[1]!s_pq_pctchange(D1224,TODAY()-$G$12,TODAY())/100)</f>
        <v/>
      </c>
      <c r="H1224" s="247" t="str">
        <f ca="1">IF(C1224="","",IF($H$11="收入",[1]!S_STM07_IS(D1224,9,$G$5,$H$13)/$E$5,[1]!S_STM07_IS(D1224,48,$G$5,$H$13)/$E$5))</f>
        <v/>
      </c>
      <c r="I1224" s="247" t="str">
        <f ca="1">IF(C1224="","",IF($I$11="毛利率",([1]!S_STM07_IS(D1224,9,$G$5,$H$13)-[1]!S_STM07_IS(D1224,10,$G$5,$H$13))/[1]!S_STM07_IS(D1224,9,$G$5,$H$13),[1]!S_STM07_IS(D1224,14,$G$5,$H$13)/$E$5))</f>
        <v/>
      </c>
      <c r="J1224" s="247" t="str">
        <f ca="1">IF(C1224="","",IF($J$11="营业利润率",[1]!S_STM07_IS(D1224,48,$G$5,$H$13)/[1]!S_STM07_IS(D1224,9,$G$5,$H$13),([1]!S_STM07_CS(D1224,87,$G$5,$H$13)+[1]!S_STM07_CS(D1224,88,$G$5,$H$13)+[1]!S_STM07_CS(D1224,89,$G$5,$H$13))/$E$5))</f>
        <v/>
      </c>
      <c r="K1224" s="247" t="str">
        <f ca="1">IF(C1224="","",IF($K$11="净利润率",[1]!S_STM07_IS(D1224,61,$G$5,$H$13)/[1]!S_STM07_IS(D1224,9,$G$5,$H$13),[1]!S_STM07_IS(D1224,55,$G$5,$H$13)/$E$5))</f>
        <v/>
      </c>
      <c r="L1224" s="247" t="str">
        <f ca="1">IF(C1224="","",IF($L$11="ROA",[1]!S_STM07_IS(D1224,61,$G$5,$H$13)/[1]!S_STM07_BS(D1224,74,$G$5,$H$13),1-[1]!S_STM07_IS(D1224,61,$G$5,$H$13)/[1]!S_STM07_IS(D1224,55,$G$5,$H$13)))</f>
        <v/>
      </c>
      <c r="M1224" s="247" t="str">
        <f ca="1">IF(C1224="","",IF($M$11="ROE",[1]!S_STM07_IS(D1224,61,$G$5,$H$13)/[1]!S_STM07_BS(D1224,141,$G$5,$H$13),([1]!S_STM07_BS(D1224,25,$G$5,$H$13)-[1]!S_STM07_BS(D1224,93,$G$5,$H$13))/$E$5))</f>
        <v/>
      </c>
      <c r="N1224" s="247" t="str">
        <f ca="1">IF(C1224="","",IF($N$11="EPS",[1]!S_STM07_IS(D1224,61,$G$5,$H$13)/IF([1]!S_SHARE_TOTAL(D1224,$G$5)=0,[1]!S_SHARE_TOTAL(D1224,[1]!s_ipo_listeddate(D1224)),[1]!S_SHARE_TOTAL(D1224,$G$5)),([1]!S_STM07_BS(D1224,75,$G$5,$H$13)+[1]!S_STM07_BS(D1224,88,$G$5,$H$13)+[1]!S_STM07_BS(D1224,94,$G$5,$H$13)+[1]!S_STM07_BS(D1224,95,$G$5,$H$13))/$E$5))</f>
        <v/>
      </c>
      <c r="O1224" s="247" t="str">
        <f ca="1">IF(C1224="","",IF($O$11="BPS",[1]!S_STM07_BS(D1224,141,$G$5,$H$13)/IF([1]!S_SHARE_TOTAL(D1224,$G$5)=0,[1]!S_SHARE_TOTAL(D1224,[1]!s_ipo_listeddate(D1224)),[1]!S_SHARE_TOTAL(D1224,$G$5)),[1]!S_STM07_CS(D1224,49,$G$5,$H$13)/$E$5))</f>
        <v/>
      </c>
      <c r="P1224" s="247" t="str">
        <f ca="1">IF(C1224="","",IF($P$11="CFPS",[1]!S_STM07_CS(D1224,84,$G$5,$H$13)/IF([1]!S_SHARE_TOTAL(D1224,$G$5)=0,[1]!S_SHARE_TOTAL(D1224,[1]!s_ipo_listeddate(D1224)),[1]!S_SHARE_TOTAL(D1224,$G$5)),[1]!S_STM07_CS(D1224,84,$G$5,$H$13)/$E$5))</f>
        <v/>
      </c>
      <c r="Q1224" s="248" t="str">
        <f ca="1">IF(C1224="","",F1224/([1]!S_STM07_IS(D1224,61,$G$5,$H$13)/IF([1]!S_SHARE_TOTAL(D1224,$G$5)=0,[1]!S_SHARE_TOTAL(D1224,[1]!s_ipo_listeddate(D1224)),[1]!S_SHARE_TOTAL(D1224,$G$5))))</f>
        <v/>
      </c>
      <c r="R1224" s="248" t="str">
        <f ca="1">IF(C1224="","",F1224/([1]!S_STM07_BS(D1224,141,$G$5,$H$13)/IF([1]!S_SHARE_TOTAL(D1224,$G$5)=0,[1]!S_SHARE_TOTAL(D1224,[1]!s_ipo_listeddate(D1224)),[1]!S_SHARE_TOTAL(D1224,$G$5))))</f>
        <v/>
      </c>
      <c r="S1224" s="247" t="str">
        <f ca="1">IF(C1224="","",[1]!S_SHARE_TOTAL(D1224,TODAY())/$E$5)</f>
        <v/>
      </c>
      <c r="T1224" s="247" t="str">
        <f t="shared" ca="1" si="121"/>
        <v/>
      </c>
      <c r="U1224" s="218" t="str">
        <f t="shared" ca="1" si="122"/>
        <v/>
      </c>
      <c r="V1224" s="342" t="str">
        <f t="shared" ca="1" si="123"/>
        <v/>
      </c>
      <c r="W1224" s="139"/>
      <c r="Y1224" s="1"/>
    </row>
    <row r="1225" spans="3:25" ht="12" customHeight="1">
      <c r="C1225" s="343" t="str">
        <f t="shared" ca="1" si="118"/>
        <v/>
      </c>
      <c r="D1225" s="124" t="str">
        <f t="shared" ca="1" si="119"/>
        <v/>
      </c>
      <c r="E1225" s="124" t="str">
        <f t="shared" ca="1" si="120"/>
        <v/>
      </c>
      <c r="F1225" s="172" t="str">
        <f ca="1">IF(C1225="","",[1]!S_DQ_CLOSE(D1225,TODAY(),1))</f>
        <v/>
      </c>
      <c r="G1225" s="173" t="str">
        <f ca="1">IF(C1225="","",[1]!s_pq_pctchange(D1225,TODAY()-$G$12,TODAY())/100)</f>
        <v/>
      </c>
      <c r="H1225" s="249" t="str">
        <f ca="1">IF(C1225="","",IF($H$11="收入",[1]!S_STM07_IS(D1225,9,$G$5,$H$13)/$E$5,[1]!S_STM07_IS(D1225,48,$G$5,$H$13)/$E$5))</f>
        <v/>
      </c>
      <c r="I1225" s="249" t="str">
        <f ca="1">IF(C1225="","",IF($I$11="毛利率",([1]!S_STM07_IS(D1225,9,$G$5,$H$13)-[1]!S_STM07_IS(D1225,10,$G$5,$H$13))/[1]!S_STM07_IS(D1225,9,$G$5,$H$13),[1]!S_STM07_IS(D1225,14,$G$5,$H$13)/$E$5))</f>
        <v/>
      </c>
      <c r="J1225" s="249" t="str">
        <f ca="1">IF(C1225="","",IF($J$11="营业利润率",[1]!S_STM07_IS(D1225,48,$G$5,$H$13)/[1]!S_STM07_IS(D1225,9,$G$5,$H$13),([1]!S_STM07_CS(D1225,87,$G$5,$H$13)+[1]!S_STM07_CS(D1225,88,$G$5,$H$13)+[1]!S_STM07_CS(D1225,89,$G$5,$H$13))/$E$5))</f>
        <v/>
      </c>
      <c r="K1225" s="249" t="str">
        <f ca="1">IF(C1225="","",IF($K$11="净利润率",[1]!S_STM07_IS(D1225,61,$G$5,$H$13)/[1]!S_STM07_IS(D1225,9,$G$5,$H$13),[1]!S_STM07_IS(D1225,55,$G$5,$H$13)/$E$5))</f>
        <v/>
      </c>
      <c r="L1225" s="249" t="str">
        <f ca="1">IF(C1225="","",IF($L$11="ROA",[1]!S_STM07_IS(D1225,61,$G$5,$H$13)/[1]!S_STM07_BS(D1225,74,$G$5,$H$13),1-[1]!S_STM07_IS(D1225,61,$G$5,$H$13)/[1]!S_STM07_IS(D1225,55,$G$5,$H$13)))</f>
        <v/>
      </c>
      <c r="M1225" s="249" t="str">
        <f ca="1">IF(C1225="","",IF($M$11="ROE",[1]!S_STM07_IS(D1225,61,$G$5,$H$13)/[1]!S_STM07_BS(D1225,141,$G$5,$H$13),([1]!S_STM07_BS(D1225,25,$G$5,$H$13)-[1]!S_STM07_BS(D1225,93,$G$5,$H$13))/$E$5))</f>
        <v/>
      </c>
      <c r="N1225" s="250" t="str">
        <f ca="1">IF(C1225="","",IF($N$11="EPS",[1]!S_STM07_IS(D1225,61,$G$5,$H$13)/IF([1]!S_SHARE_TOTAL(D1225,$G$5)=0,[1]!S_SHARE_TOTAL(D1225,[1]!s_ipo_listeddate(D1225)),[1]!S_SHARE_TOTAL(D1225,$G$5)),([1]!S_STM07_BS(D1225,75,$G$5,$H$13)+[1]!S_STM07_BS(D1225,88,$G$5,$H$13)+[1]!S_STM07_BS(D1225,94,$G$5,$H$13)+[1]!S_STM07_BS(D1225,95,$G$5,$H$13))/$E$5))</f>
        <v/>
      </c>
      <c r="O1225" s="250" t="str">
        <f ca="1">IF(C1225="","",IF($O$11="BPS",[1]!S_STM07_BS(D1225,141,$G$5,$H$13)/IF([1]!S_SHARE_TOTAL(D1225,$G$5)=0,[1]!S_SHARE_TOTAL(D1225,[1]!s_ipo_listeddate(D1225)),[1]!S_SHARE_TOTAL(D1225,$G$5)),[1]!S_STM07_CS(D1225,49,$G$5,$H$13)/$E$5))</f>
        <v/>
      </c>
      <c r="P1225" s="250" t="str">
        <f ca="1">IF(C1225="","",IF($P$11="CFPS",[1]!S_STM07_CS(D1225,84,$G$5,$H$13)/IF([1]!S_SHARE_TOTAL(D1225,$G$5)=0,[1]!S_SHARE_TOTAL(D1225,[1]!s_ipo_listeddate(D1225)),[1]!S_SHARE_TOTAL(D1225,$G$5)),[1]!S_STM07_CS(D1225,84,$G$5,$H$13)/$E$5))</f>
        <v/>
      </c>
      <c r="Q1225" s="198" t="str">
        <f ca="1">IF(C1225="","",F1225/([1]!S_STM07_IS(D1225,61,$G$5,$H$13)/IF([1]!S_SHARE_TOTAL(D1225,$G$5)=0,[1]!S_SHARE_TOTAL(D1225,[1]!s_ipo_listeddate(D1225)),[1]!S_SHARE_TOTAL(D1225,$G$5))))</f>
        <v/>
      </c>
      <c r="R1225" s="198" t="str">
        <f ca="1">IF(C1225="","",F1225/([1]!S_STM07_BS(D1225,141,$G$5,$H$13)/IF([1]!S_SHARE_TOTAL(D1225,$G$5)=0,[1]!S_SHARE_TOTAL(D1225,[1]!s_ipo_listeddate(D1225)),[1]!S_SHARE_TOTAL(D1225,$G$5))))</f>
        <v/>
      </c>
      <c r="S1225" s="249" t="str">
        <f ca="1">IF(C1225="","",[1]!S_SHARE_TOTAL(D1225,TODAY())/$E$5)</f>
        <v/>
      </c>
      <c r="T1225" s="249" t="str">
        <f t="shared" ca="1" si="121"/>
        <v/>
      </c>
      <c r="U1225" s="172" t="str">
        <f t="shared" ca="1" si="122"/>
        <v/>
      </c>
      <c r="V1225" s="343" t="str">
        <f t="shared" ca="1" si="123"/>
        <v/>
      </c>
      <c r="W1225" s="139"/>
      <c r="Y1225" s="1"/>
    </row>
    <row r="1226" spans="3:25" ht="12" customHeight="1">
      <c r="C1226" s="342" t="str">
        <f t="shared" ca="1" si="118"/>
        <v/>
      </c>
      <c r="D1226" s="153" t="str">
        <f t="shared" ca="1" si="119"/>
        <v/>
      </c>
      <c r="E1226" s="153" t="str">
        <f t="shared" ca="1" si="120"/>
        <v/>
      </c>
      <c r="F1226" s="170" t="str">
        <f ca="1">IF(C1226="","",[1]!S_DQ_CLOSE(D1226,TODAY(),1))</f>
        <v/>
      </c>
      <c r="G1226" s="171" t="str">
        <f ca="1">IF(C1226="","",[1]!s_pq_pctchange(D1226,TODAY()-$G$12,TODAY())/100)</f>
        <v/>
      </c>
      <c r="H1226" s="247" t="str">
        <f ca="1">IF(C1226="","",IF($H$11="收入",[1]!S_STM07_IS(D1226,9,$G$5,$H$13)/$E$5,[1]!S_STM07_IS(D1226,48,$G$5,$H$13)/$E$5))</f>
        <v/>
      </c>
      <c r="I1226" s="247" t="str">
        <f ca="1">IF(C1226="","",IF($I$11="毛利率",([1]!S_STM07_IS(D1226,9,$G$5,$H$13)-[1]!S_STM07_IS(D1226,10,$G$5,$H$13))/[1]!S_STM07_IS(D1226,9,$G$5,$H$13),[1]!S_STM07_IS(D1226,14,$G$5,$H$13)/$E$5))</f>
        <v/>
      </c>
      <c r="J1226" s="247" t="str">
        <f ca="1">IF(C1226="","",IF($J$11="营业利润率",[1]!S_STM07_IS(D1226,48,$G$5,$H$13)/[1]!S_STM07_IS(D1226,9,$G$5,$H$13),([1]!S_STM07_CS(D1226,87,$G$5,$H$13)+[1]!S_STM07_CS(D1226,88,$G$5,$H$13)+[1]!S_STM07_CS(D1226,89,$G$5,$H$13))/$E$5))</f>
        <v/>
      </c>
      <c r="K1226" s="247" t="str">
        <f ca="1">IF(C1226="","",IF($K$11="净利润率",[1]!S_STM07_IS(D1226,61,$G$5,$H$13)/[1]!S_STM07_IS(D1226,9,$G$5,$H$13),[1]!S_STM07_IS(D1226,55,$G$5,$H$13)/$E$5))</f>
        <v/>
      </c>
      <c r="L1226" s="247" t="str">
        <f ca="1">IF(C1226="","",IF($L$11="ROA",[1]!S_STM07_IS(D1226,61,$G$5,$H$13)/[1]!S_STM07_BS(D1226,74,$G$5,$H$13),1-[1]!S_STM07_IS(D1226,61,$G$5,$H$13)/[1]!S_STM07_IS(D1226,55,$G$5,$H$13)))</f>
        <v/>
      </c>
      <c r="M1226" s="247" t="str">
        <f ca="1">IF(C1226="","",IF($M$11="ROE",[1]!S_STM07_IS(D1226,61,$G$5,$H$13)/[1]!S_STM07_BS(D1226,141,$G$5,$H$13),([1]!S_STM07_BS(D1226,25,$G$5,$H$13)-[1]!S_STM07_BS(D1226,93,$G$5,$H$13))/$E$5))</f>
        <v/>
      </c>
      <c r="N1226" s="247" t="str">
        <f ca="1">IF(C1226="","",IF($N$11="EPS",[1]!S_STM07_IS(D1226,61,$G$5,$H$13)/IF([1]!S_SHARE_TOTAL(D1226,$G$5)=0,[1]!S_SHARE_TOTAL(D1226,[1]!s_ipo_listeddate(D1226)),[1]!S_SHARE_TOTAL(D1226,$G$5)),([1]!S_STM07_BS(D1226,75,$G$5,$H$13)+[1]!S_STM07_BS(D1226,88,$G$5,$H$13)+[1]!S_STM07_BS(D1226,94,$G$5,$H$13)+[1]!S_STM07_BS(D1226,95,$G$5,$H$13))/$E$5))</f>
        <v/>
      </c>
      <c r="O1226" s="247" t="str">
        <f ca="1">IF(C1226="","",IF($O$11="BPS",[1]!S_STM07_BS(D1226,141,$G$5,$H$13)/IF([1]!S_SHARE_TOTAL(D1226,$G$5)=0,[1]!S_SHARE_TOTAL(D1226,[1]!s_ipo_listeddate(D1226)),[1]!S_SHARE_TOTAL(D1226,$G$5)),[1]!S_STM07_CS(D1226,49,$G$5,$H$13)/$E$5))</f>
        <v/>
      </c>
      <c r="P1226" s="247" t="str">
        <f ca="1">IF(C1226="","",IF($P$11="CFPS",[1]!S_STM07_CS(D1226,84,$G$5,$H$13)/IF([1]!S_SHARE_TOTAL(D1226,$G$5)=0,[1]!S_SHARE_TOTAL(D1226,[1]!s_ipo_listeddate(D1226)),[1]!S_SHARE_TOTAL(D1226,$G$5)),[1]!S_STM07_CS(D1226,84,$G$5,$H$13)/$E$5))</f>
        <v/>
      </c>
      <c r="Q1226" s="248" t="str">
        <f ca="1">IF(C1226="","",F1226/([1]!S_STM07_IS(D1226,61,$G$5,$H$13)/IF([1]!S_SHARE_TOTAL(D1226,$G$5)=0,[1]!S_SHARE_TOTAL(D1226,[1]!s_ipo_listeddate(D1226)),[1]!S_SHARE_TOTAL(D1226,$G$5))))</f>
        <v/>
      </c>
      <c r="R1226" s="248" t="str">
        <f ca="1">IF(C1226="","",F1226/([1]!S_STM07_BS(D1226,141,$G$5,$H$13)/IF([1]!S_SHARE_TOTAL(D1226,$G$5)=0,[1]!S_SHARE_TOTAL(D1226,[1]!s_ipo_listeddate(D1226)),[1]!S_SHARE_TOTAL(D1226,$G$5))))</f>
        <v/>
      </c>
      <c r="S1226" s="247" t="str">
        <f ca="1">IF(C1226="","",[1]!S_SHARE_TOTAL(D1226,TODAY())/$E$5)</f>
        <v/>
      </c>
      <c r="T1226" s="247" t="str">
        <f t="shared" ca="1" si="121"/>
        <v/>
      </c>
      <c r="U1226" s="218" t="str">
        <f t="shared" ca="1" si="122"/>
        <v/>
      </c>
      <c r="V1226" s="342" t="str">
        <f t="shared" ca="1" si="123"/>
        <v/>
      </c>
      <c r="W1226" s="139"/>
      <c r="Y1226" s="1"/>
    </row>
    <row r="1227" spans="3:25" ht="12" customHeight="1">
      <c r="C1227" s="343" t="str">
        <f t="shared" ca="1" si="118"/>
        <v/>
      </c>
      <c r="D1227" s="124" t="str">
        <f t="shared" ca="1" si="119"/>
        <v/>
      </c>
      <c r="E1227" s="124" t="str">
        <f t="shared" ca="1" si="120"/>
        <v/>
      </c>
      <c r="F1227" s="172" t="str">
        <f ca="1">IF(C1227="","",[1]!S_DQ_CLOSE(D1227,TODAY(),1))</f>
        <v/>
      </c>
      <c r="G1227" s="173" t="str">
        <f ca="1">IF(C1227="","",[1]!s_pq_pctchange(D1227,TODAY()-$G$12,TODAY())/100)</f>
        <v/>
      </c>
      <c r="H1227" s="249" t="str">
        <f ca="1">IF(C1227="","",IF($H$11="收入",[1]!S_STM07_IS(D1227,9,$G$5,$H$13)/$E$5,[1]!S_STM07_IS(D1227,48,$G$5,$H$13)/$E$5))</f>
        <v/>
      </c>
      <c r="I1227" s="249" t="str">
        <f ca="1">IF(C1227="","",IF($I$11="毛利率",([1]!S_STM07_IS(D1227,9,$G$5,$H$13)-[1]!S_STM07_IS(D1227,10,$G$5,$H$13))/[1]!S_STM07_IS(D1227,9,$G$5,$H$13),[1]!S_STM07_IS(D1227,14,$G$5,$H$13)/$E$5))</f>
        <v/>
      </c>
      <c r="J1227" s="249" t="str">
        <f ca="1">IF(C1227="","",IF($J$11="营业利润率",[1]!S_STM07_IS(D1227,48,$G$5,$H$13)/[1]!S_STM07_IS(D1227,9,$G$5,$H$13),([1]!S_STM07_CS(D1227,87,$G$5,$H$13)+[1]!S_STM07_CS(D1227,88,$G$5,$H$13)+[1]!S_STM07_CS(D1227,89,$G$5,$H$13))/$E$5))</f>
        <v/>
      </c>
      <c r="K1227" s="249" t="str">
        <f ca="1">IF(C1227="","",IF($K$11="净利润率",[1]!S_STM07_IS(D1227,61,$G$5,$H$13)/[1]!S_STM07_IS(D1227,9,$G$5,$H$13),[1]!S_STM07_IS(D1227,55,$G$5,$H$13)/$E$5))</f>
        <v/>
      </c>
      <c r="L1227" s="249" t="str">
        <f ca="1">IF(C1227="","",IF($L$11="ROA",[1]!S_STM07_IS(D1227,61,$G$5,$H$13)/[1]!S_STM07_BS(D1227,74,$G$5,$H$13),1-[1]!S_STM07_IS(D1227,61,$G$5,$H$13)/[1]!S_STM07_IS(D1227,55,$G$5,$H$13)))</f>
        <v/>
      </c>
      <c r="M1227" s="249" t="str">
        <f ca="1">IF(C1227="","",IF($M$11="ROE",[1]!S_STM07_IS(D1227,61,$G$5,$H$13)/[1]!S_STM07_BS(D1227,141,$G$5,$H$13),([1]!S_STM07_BS(D1227,25,$G$5,$H$13)-[1]!S_STM07_BS(D1227,93,$G$5,$H$13))/$E$5))</f>
        <v/>
      </c>
      <c r="N1227" s="250" t="str">
        <f ca="1">IF(C1227="","",IF($N$11="EPS",[1]!S_STM07_IS(D1227,61,$G$5,$H$13)/IF([1]!S_SHARE_TOTAL(D1227,$G$5)=0,[1]!S_SHARE_TOTAL(D1227,[1]!s_ipo_listeddate(D1227)),[1]!S_SHARE_TOTAL(D1227,$G$5)),([1]!S_STM07_BS(D1227,75,$G$5,$H$13)+[1]!S_STM07_BS(D1227,88,$G$5,$H$13)+[1]!S_STM07_BS(D1227,94,$G$5,$H$13)+[1]!S_STM07_BS(D1227,95,$G$5,$H$13))/$E$5))</f>
        <v/>
      </c>
      <c r="O1227" s="250" t="str">
        <f ca="1">IF(C1227="","",IF($O$11="BPS",[1]!S_STM07_BS(D1227,141,$G$5,$H$13)/IF([1]!S_SHARE_TOTAL(D1227,$G$5)=0,[1]!S_SHARE_TOTAL(D1227,[1]!s_ipo_listeddate(D1227)),[1]!S_SHARE_TOTAL(D1227,$G$5)),[1]!S_STM07_CS(D1227,49,$G$5,$H$13)/$E$5))</f>
        <v/>
      </c>
      <c r="P1227" s="250" t="str">
        <f ca="1">IF(C1227="","",IF($P$11="CFPS",[1]!S_STM07_CS(D1227,84,$G$5,$H$13)/IF([1]!S_SHARE_TOTAL(D1227,$G$5)=0,[1]!S_SHARE_TOTAL(D1227,[1]!s_ipo_listeddate(D1227)),[1]!S_SHARE_TOTAL(D1227,$G$5)),[1]!S_STM07_CS(D1227,84,$G$5,$H$13)/$E$5))</f>
        <v/>
      </c>
      <c r="Q1227" s="198" t="str">
        <f ca="1">IF(C1227="","",F1227/([1]!S_STM07_IS(D1227,61,$G$5,$H$13)/IF([1]!S_SHARE_TOTAL(D1227,$G$5)=0,[1]!S_SHARE_TOTAL(D1227,[1]!s_ipo_listeddate(D1227)),[1]!S_SHARE_TOTAL(D1227,$G$5))))</f>
        <v/>
      </c>
      <c r="R1227" s="198" t="str">
        <f ca="1">IF(C1227="","",F1227/([1]!S_STM07_BS(D1227,141,$G$5,$H$13)/IF([1]!S_SHARE_TOTAL(D1227,$G$5)=0,[1]!S_SHARE_TOTAL(D1227,[1]!s_ipo_listeddate(D1227)),[1]!S_SHARE_TOTAL(D1227,$G$5))))</f>
        <v/>
      </c>
      <c r="S1227" s="249" t="str">
        <f ca="1">IF(C1227="","",[1]!S_SHARE_TOTAL(D1227,TODAY())/$E$5)</f>
        <v/>
      </c>
      <c r="T1227" s="249" t="str">
        <f t="shared" ca="1" si="121"/>
        <v/>
      </c>
      <c r="U1227" s="172" t="str">
        <f t="shared" ca="1" si="122"/>
        <v/>
      </c>
      <c r="V1227" s="343" t="str">
        <f t="shared" ca="1" si="123"/>
        <v/>
      </c>
      <c r="W1227" s="139"/>
      <c r="Y1227" s="1"/>
    </row>
    <row r="1228" spans="3:25" ht="12" customHeight="1">
      <c r="C1228" s="342" t="str">
        <f t="shared" ca="1" si="118"/>
        <v/>
      </c>
      <c r="D1228" s="153" t="str">
        <f t="shared" ca="1" si="119"/>
        <v/>
      </c>
      <c r="E1228" s="153" t="str">
        <f t="shared" ca="1" si="120"/>
        <v/>
      </c>
      <c r="F1228" s="170" t="str">
        <f ca="1">IF(C1228="","",[1]!S_DQ_CLOSE(D1228,TODAY(),1))</f>
        <v/>
      </c>
      <c r="G1228" s="171" t="str">
        <f ca="1">IF(C1228="","",[1]!s_pq_pctchange(D1228,TODAY()-$G$12,TODAY())/100)</f>
        <v/>
      </c>
      <c r="H1228" s="247" t="str">
        <f ca="1">IF(C1228="","",IF($H$11="收入",[1]!S_STM07_IS(D1228,9,$G$5,$H$13)/$E$5,[1]!S_STM07_IS(D1228,48,$G$5,$H$13)/$E$5))</f>
        <v/>
      </c>
      <c r="I1228" s="247" t="str">
        <f ca="1">IF(C1228="","",IF($I$11="毛利率",([1]!S_STM07_IS(D1228,9,$G$5,$H$13)-[1]!S_STM07_IS(D1228,10,$G$5,$H$13))/[1]!S_STM07_IS(D1228,9,$G$5,$H$13),[1]!S_STM07_IS(D1228,14,$G$5,$H$13)/$E$5))</f>
        <v/>
      </c>
      <c r="J1228" s="247" t="str">
        <f ca="1">IF(C1228="","",IF($J$11="营业利润率",[1]!S_STM07_IS(D1228,48,$G$5,$H$13)/[1]!S_STM07_IS(D1228,9,$G$5,$H$13),([1]!S_STM07_CS(D1228,87,$G$5,$H$13)+[1]!S_STM07_CS(D1228,88,$G$5,$H$13)+[1]!S_STM07_CS(D1228,89,$G$5,$H$13))/$E$5))</f>
        <v/>
      </c>
      <c r="K1228" s="247" t="str">
        <f ca="1">IF(C1228="","",IF($K$11="净利润率",[1]!S_STM07_IS(D1228,61,$G$5,$H$13)/[1]!S_STM07_IS(D1228,9,$G$5,$H$13),[1]!S_STM07_IS(D1228,55,$G$5,$H$13)/$E$5))</f>
        <v/>
      </c>
      <c r="L1228" s="247" t="str">
        <f ca="1">IF(C1228="","",IF($L$11="ROA",[1]!S_STM07_IS(D1228,61,$G$5,$H$13)/[1]!S_STM07_BS(D1228,74,$G$5,$H$13),1-[1]!S_STM07_IS(D1228,61,$G$5,$H$13)/[1]!S_STM07_IS(D1228,55,$G$5,$H$13)))</f>
        <v/>
      </c>
      <c r="M1228" s="247" t="str">
        <f ca="1">IF(C1228="","",IF($M$11="ROE",[1]!S_STM07_IS(D1228,61,$G$5,$H$13)/[1]!S_STM07_BS(D1228,141,$G$5,$H$13),([1]!S_STM07_BS(D1228,25,$G$5,$H$13)-[1]!S_STM07_BS(D1228,93,$G$5,$H$13))/$E$5))</f>
        <v/>
      </c>
      <c r="N1228" s="247" t="str">
        <f ca="1">IF(C1228="","",IF($N$11="EPS",[1]!S_STM07_IS(D1228,61,$G$5,$H$13)/IF([1]!S_SHARE_TOTAL(D1228,$G$5)=0,[1]!S_SHARE_TOTAL(D1228,[1]!s_ipo_listeddate(D1228)),[1]!S_SHARE_TOTAL(D1228,$G$5)),([1]!S_STM07_BS(D1228,75,$G$5,$H$13)+[1]!S_STM07_BS(D1228,88,$G$5,$H$13)+[1]!S_STM07_BS(D1228,94,$G$5,$H$13)+[1]!S_STM07_BS(D1228,95,$G$5,$H$13))/$E$5))</f>
        <v/>
      </c>
      <c r="O1228" s="247" t="str">
        <f ca="1">IF(C1228="","",IF($O$11="BPS",[1]!S_STM07_BS(D1228,141,$G$5,$H$13)/IF([1]!S_SHARE_TOTAL(D1228,$G$5)=0,[1]!S_SHARE_TOTAL(D1228,[1]!s_ipo_listeddate(D1228)),[1]!S_SHARE_TOTAL(D1228,$G$5)),[1]!S_STM07_CS(D1228,49,$G$5,$H$13)/$E$5))</f>
        <v/>
      </c>
      <c r="P1228" s="247" t="str">
        <f ca="1">IF(C1228="","",IF($P$11="CFPS",[1]!S_STM07_CS(D1228,84,$G$5,$H$13)/IF([1]!S_SHARE_TOTAL(D1228,$G$5)=0,[1]!S_SHARE_TOTAL(D1228,[1]!s_ipo_listeddate(D1228)),[1]!S_SHARE_TOTAL(D1228,$G$5)),[1]!S_STM07_CS(D1228,84,$G$5,$H$13)/$E$5))</f>
        <v/>
      </c>
      <c r="Q1228" s="248" t="str">
        <f ca="1">IF(C1228="","",F1228/([1]!S_STM07_IS(D1228,61,$G$5,$H$13)/IF([1]!S_SHARE_TOTAL(D1228,$G$5)=0,[1]!S_SHARE_TOTAL(D1228,[1]!s_ipo_listeddate(D1228)),[1]!S_SHARE_TOTAL(D1228,$G$5))))</f>
        <v/>
      </c>
      <c r="R1228" s="248" t="str">
        <f ca="1">IF(C1228="","",F1228/([1]!S_STM07_BS(D1228,141,$G$5,$H$13)/IF([1]!S_SHARE_TOTAL(D1228,$G$5)=0,[1]!S_SHARE_TOTAL(D1228,[1]!s_ipo_listeddate(D1228)),[1]!S_SHARE_TOTAL(D1228,$G$5))))</f>
        <v/>
      </c>
      <c r="S1228" s="247" t="str">
        <f ca="1">IF(C1228="","",[1]!S_SHARE_TOTAL(D1228,TODAY())/$E$5)</f>
        <v/>
      </c>
      <c r="T1228" s="247" t="str">
        <f t="shared" ca="1" si="121"/>
        <v/>
      </c>
      <c r="U1228" s="218" t="str">
        <f t="shared" ca="1" si="122"/>
        <v/>
      </c>
      <c r="V1228" s="342" t="str">
        <f t="shared" ca="1" si="123"/>
        <v/>
      </c>
      <c r="W1228" s="139"/>
      <c r="Y1228" s="1"/>
    </row>
    <row r="1229" spans="3:25" ht="12" customHeight="1">
      <c r="C1229" s="343" t="str">
        <f t="shared" ca="1" si="118"/>
        <v/>
      </c>
      <c r="D1229" s="124" t="str">
        <f t="shared" ca="1" si="119"/>
        <v/>
      </c>
      <c r="E1229" s="124" t="str">
        <f t="shared" ca="1" si="120"/>
        <v/>
      </c>
      <c r="F1229" s="172" t="str">
        <f ca="1">IF(C1229="","",[1]!S_DQ_CLOSE(D1229,TODAY(),1))</f>
        <v/>
      </c>
      <c r="G1229" s="173" t="str">
        <f ca="1">IF(C1229="","",[1]!s_pq_pctchange(D1229,TODAY()-$G$12,TODAY())/100)</f>
        <v/>
      </c>
      <c r="H1229" s="249" t="str">
        <f ca="1">IF(C1229="","",IF($H$11="收入",[1]!S_STM07_IS(D1229,9,$G$5,$H$13)/$E$5,[1]!S_STM07_IS(D1229,48,$G$5,$H$13)/$E$5))</f>
        <v/>
      </c>
      <c r="I1229" s="249" t="str">
        <f ca="1">IF(C1229="","",IF($I$11="毛利率",([1]!S_STM07_IS(D1229,9,$G$5,$H$13)-[1]!S_STM07_IS(D1229,10,$G$5,$H$13))/[1]!S_STM07_IS(D1229,9,$G$5,$H$13),[1]!S_STM07_IS(D1229,14,$G$5,$H$13)/$E$5))</f>
        <v/>
      </c>
      <c r="J1229" s="249" t="str">
        <f ca="1">IF(C1229="","",IF($J$11="营业利润率",[1]!S_STM07_IS(D1229,48,$G$5,$H$13)/[1]!S_STM07_IS(D1229,9,$G$5,$H$13),([1]!S_STM07_CS(D1229,87,$G$5,$H$13)+[1]!S_STM07_CS(D1229,88,$G$5,$H$13)+[1]!S_STM07_CS(D1229,89,$G$5,$H$13))/$E$5))</f>
        <v/>
      </c>
      <c r="K1229" s="249" t="str">
        <f ca="1">IF(C1229="","",IF($K$11="净利润率",[1]!S_STM07_IS(D1229,61,$G$5,$H$13)/[1]!S_STM07_IS(D1229,9,$G$5,$H$13),[1]!S_STM07_IS(D1229,55,$G$5,$H$13)/$E$5))</f>
        <v/>
      </c>
      <c r="L1229" s="249" t="str">
        <f ca="1">IF(C1229="","",IF($L$11="ROA",[1]!S_STM07_IS(D1229,61,$G$5,$H$13)/[1]!S_STM07_BS(D1229,74,$G$5,$H$13),1-[1]!S_STM07_IS(D1229,61,$G$5,$H$13)/[1]!S_STM07_IS(D1229,55,$G$5,$H$13)))</f>
        <v/>
      </c>
      <c r="M1229" s="249" t="str">
        <f ca="1">IF(C1229="","",IF($M$11="ROE",[1]!S_STM07_IS(D1229,61,$G$5,$H$13)/[1]!S_STM07_BS(D1229,141,$G$5,$H$13),([1]!S_STM07_BS(D1229,25,$G$5,$H$13)-[1]!S_STM07_BS(D1229,93,$G$5,$H$13))/$E$5))</f>
        <v/>
      </c>
      <c r="N1229" s="250" t="str">
        <f ca="1">IF(C1229="","",IF($N$11="EPS",[1]!S_STM07_IS(D1229,61,$G$5,$H$13)/IF([1]!S_SHARE_TOTAL(D1229,$G$5)=0,[1]!S_SHARE_TOTAL(D1229,[1]!s_ipo_listeddate(D1229)),[1]!S_SHARE_TOTAL(D1229,$G$5)),([1]!S_STM07_BS(D1229,75,$G$5,$H$13)+[1]!S_STM07_BS(D1229,88,$G$5,$H$13)+[1]!S_STM07_BS(D1229,94,$G$5,$H$13)+[1]!S_STM07_BS(D1229,95,$G$5,$H$13))/$E$5))</f>
        <v/>
      </c>
      <c r="O1229" s="250" t="str">
        <f ca="1">IF(C1229="","",IF($O$11="BPS",[1]!S_STM07_BS(D1229,141,$G$5,$H$13)/IF([1]!S_SHARE_TOTAL(D1229,$G$5)=0,[1]!S_SHARE_TOTAL(D1229,[1]!s_ipo_listeddate(D1229)),[1]!S_SHARE_TOTAL(D1229,$G$5)),[1]!S_STM07_CS(D1229,49,$G$5,$H$13)/$E$5))</f>
        <v/>
      </c>
      <c r="P1229" s="250" t="str">
        <f ca="1">IF(C1229="","",IF($P$11="CFPS",[1]!S_STM07_CS(D1229,84,$G$5,$H$13)/IF([1]!S_SHARE_TOTAL(D1229,$G$5)=0,[1]!S_SHARE_TOTAL(D1229,[1]!s_ipo_listeddate(D1229)),[1]!S_SHARE_TOTAL(D1229,$G$5)),[1]!S_STM07_CS(D1229,84,$G$5,$H$13)/$E$5))</f>
        <v/>
      </c>
      <c r="Q1229" s="198" t="str">
        <f ca="1">IF(C1229="","",F1229/([1]!S_STM07_IS(D1229,61,$G$5,$H$13)/IF([1]!S_SHARE_TOTAL(D1229,$G$5)=0,[1]!S_SHARE_TOTAL(D1229,[1]!s_ipo_listeddate(D1229)),[1]!S_SHARE_TOTAL(D1229,$G$5))))</f>
        <v/>
      </c>
      <c r="R1229" s="198" t="str">
        <f ca="1">IF(C1229="","",F1229/([1]!S_STM07_BS(D1229,141,$G$5,$H$13)/IF([1]!S_SHARE_TOTAL(D1229,$G$5)=0,[1]!S_SHARE_TOTAL(D1229,[1]!s_ipo_listeddate(D1229)),[1]!S_SHARE_TOTAL(D1229,$G$5))))</f>
        <v/>
      </c>
      <c r="S1229" s="249" t="str">
        <f ca="1">IF(C1229="","",[1]!S_SHARE_TOTAL(D1229,TODAY())/$E$5)</f>
        <v/>
      </c>
      <c r="T1229" s="249" t="str">
        <f t="shared" ca="1" si="121"/>
        <v/>
      </c>
      <c r="U1229" s="172" t="str">
        <f t="shared" ca="1" si="122"/>
        <v/>
      </c>
      <c r="V1229" s="343" t="str">
        <f t="shared" ca="1" si="123"/>
        <v/>
      </c>
      <c r="W1229" s="139"/>
      <c r="Y1229" s="1"/>
    </row>
    <row r="1230" spans="3:25" ht="12" customHeight="1">
      <c r="C1230" s="342" t="str">
        <f t="shared" ref="C1230:C1293" ca="1" si="124">IF(ROW()-13&lt;=MAX(series),ROW()-13,"")</f>
        <v/>
      </c>
      <c r="D1230" s="153" t="str">
        <f t="shared" ca="1" si="119"/>
        <v/>
      </c>
      <c r="E1230" s="153" t="str">
        <f t="shared" ca="1" si="120"/>
        <v/>
      </c>
      <c r="F1230" s="170" t="str">
        <f ca="1">IF(C1230="","",[1]!S_DQ_CLOSE(D1230,TODAY(),1))</f>
        <v/>
      </c>
      <c r="G1230" s="171" t="str">
        <f ca="1">IF(C1230="","",[1]!s_pq_pctchange(D1230,TODAY()-$G$12,TODAY())/100)</f>
        <v/>
      </c>
      <c r="H1230" s="247" t="str">
        <f ca="1">IF(C1230="","",IF($H$11="收入",[1]!S_STM07_IS(D1230,9,$G$5,$H$13)/$E$5,[1]!S_STM07_IS(D1230,48,$G$5,$H$13)/$E$5))</f>
        <v/>
      </c>
      <c r="I1230" s="247" t="str">
        <f ca="1">IF(C1230="","",IF($I$11="毛利率",([1]!S_STM07_IS(D1230,9,$G$5,$H$13)-[1]!S_STM07_IS(D1230,10,$G$5,$H$13))/[1]!S_STM07_IS(D1230,9,$G$5,$H$13),[1]!S_STM07_IS(D1230,14,$G$5,$H$13)/$E$5))</f>
        <v/>
      </c>
      <c r="J1230" s="247" t="str">
        <f ca="1">IF(C1230="","",IF($J$11="营业利润率",[1]!S_STM07_IS(D1230,48,$G$5,$H$13)/[1]!S_STM07_IS(D1230,9,$G$5,$H$13),([1]!S_STM07_CS(D1230,87,$G$5,$H$13)+[1]!S_STM07_CS(D1230,88,$G$5,$H$13)+[1]!S_STM07_CS(D1230,89,$G$5,$H$13))/$E$5))</f>
        <v/>
      </c>
      <c r="K1230" s="247" t="str">
        <f ca="1">IF(C1230="","",IF($K$11="净利润率",[1]!S_STM07_IS(D1230,61,$G$5,$H$13)/[1]!S_STM07_IS(D1230,9,$G$5,$H$13),[1]!S_STM07_IS(D1230,55,$G$5,$H$13)/$E$5))</f>
        <v/>
      </c>
      <c r="L1230" s="247" t="str">
        <f ca="1">IF(C1230="","",IF($L$11="ROA",[1]!S_STM07_IS(D1230,61,$G$5,$H$13)/[1]!S_STM07_BS(D1230,74,$G$5,$H$13),1-[1]!S_STM07_IS(D1230,61,$G$5,$H$13)/[1]!S_STM07_IS(D1230,55,$G$5,$H$13)))</f>
        <v/>
      </c>
      <c r="M1230" s="247" t="str">
        <f ca="1">IF(C1230="","",IF($M$11="ROE",[1]!S_STM07_IS(D1230,61,$G$5,$H$13)/[1]!S_STM07_BS(D1230,141,$G$5,$H$13),([1]!S_STM07_BS(D1230,25,$G$5,$H$13)-[1]!S_STM07_BS(D1230,93,$G$5,$H$13))/$E$5))</f>
        <v/>
      </c>
      <c r="N1230" s="247" t="str">
        <f ca="1">IF(C1230="","",IF($N$11="EPS",[1]!S_STM07_IS(D1230,61,$G$5,$H$13)/IF([1]!S_SHARE_TOTAL(D1230,$G$5)=0,[1]!S_SHARE_TOTAL(D1230,[1]!s_ipo_listeddate(D1230)),[1]!S_SHARE_TOTAL(D1230,$G$5)),([1]!S_STM07_BS(D1230,75,$G$5,$H$13)+[1]!S_STM07_BS(D1230,88,$G$5,$H$13)+[1]!S_STM07_BS(D1230,94,$G$5,$H$13)+[1]!S_STM07_BS(D1230,95,$G$5,$H$13))/$E$5))</f>
        <v/>
      </c>
      <c r="O1230" s="247" t="str">
        <f ca="1">IF(C1230="","",IF($O$11="BPS",[1]!S_STM07_BS(D1230,141,$G$5,$H$13)/IF([1]!S_SHARE_TOTAL(D1230,$G$5)=0,[1]!S_SHARE_TOTAL(D1230,[1]!s_ipo_listeddate(D1230)),[1]!S_SHARE_TOTAL(D1230,$G$5)),[1]!S_STM07_CS(D1230,49,$G$5,$H$13)/$E$5))</f>
        <v/>
      </c>
      <c r="P1230" s="247" t="str">
        <f ca="1">IF(C1230="","",IF($P$11="CFPS",[1]!S_STM07_CS(D1230,84,$G$5,$H$13)/IF([1]!S_SHARE_TOTAL(D1230,$G$5)=0,[1]!S_SHARE_TOTAL(D1230,[1]!s_ipo_listeddate(D1230)),[1]!S_SHARE_TOTAL(D1230,$G$5)),[1]!S_STM07_CS(D1230,84,$G$5,$H$13)/$E$5))</f>
        <v/>
      </c>
      <c r="Q1230" s="248" t="str">
        <f ca="1">IF(C1230="","",F1230/([1]!S_STM07_IS(D1230,61,$G$5,$H$13)/IF([1]!S_SHARE_TOTAL(D1230,$G$5)=0,[1]!S_SHARE_TOTAL(D1230,[1]!s_ipo_listeddate(D1230)),[1]!S_SHARE_TOTAL(D1230,$G$5))))</f>
        <v/>
      </c>
      <c r="R1230" s="248" t="str">
        <f ca="1">IF(C1230="","",F1230/([1]!S_STM07_BS(D1230,141,$G$5,$H$13)/IF([1]!S_SHARE_TOTAL(D1230,$G$5)=0,[1]!S_SHARE_TOTAL(D1230,[1]!s_ipo_listeddate(D1230)),[1]!S_SHARE_TOTAL(D1230,$G$5))))</f>
        <v/>
      </c>
      <c r="S1230" s="247" t="str">
        <f ca="1">IF(C1230="","",[1]!S_SHARE_TOTAL(D1230,TODAY())/$E$5)</f>
        <v/>
      </c>
      <c r="T1230" s="247" t="str">
        <f t="shared" ca="1" si="121"/>
        <v/>
      </c>
      <c r="U1230" s="218" t="str">
        <f t="shared" ca="1" si="122"/>
        <v/>
      </c>
      <c r="V1230" s="342" t="str">
        <f t="shared" ca="1" si="123"/>
        <v/>
      </c>
      <c r="W1230" s="139"/>
      <c r="Y1230" s="1"/>
    </row>
    <row r="1231" spans="3:25" ht="12" customHeight="1">
      <c r="C1231" s="343" t="str">
        <f t="shared" ca="1" si="124"/>
        <v/>
      </c>
      <c r="D1231" s="124" t="str">
        <f t="shared" ca="1" si="119"/>
        <v/>
      </c>
      <c r="E1231" s="124" t="str">
        <f t="shared" ca="1" si="120"/>
        <v/>
      </c>
      <c r="F1231" s="172" t="str">
        <f ca="1">IF(C1231="","",[1]!S_DQ_CLOSE(D1231,TODAY(),1))</f>
        <v/>
      </c>
      <c r="G1231" s="173" t="str">
        <f ca="1">IF(C1231="","",[1]!s_pq_pctchange(D1231,TODAY()-$G$12,TODAY())/100)</f>
        <v/>
      </c>
      <c r="H1231" s="249" t="str">
        <f ca="1">IF(C1231="","",IF($H$11="收入",[1]!S_STM07_IS(D1231,9,$G$5,$H$13)/$E$5,[1]!S_STM07_IS(D1231,48,$G$5,$H$13)/$E$5))</f>
        <v/>
      </c>
      <c r="I1231" s="249" t="str">
        <f ca="1">IF(C1231="","",IF($I$11="毛利率",([1]!S_STM07_IS(D1231,9,$G$5,$H$13)-[1]!S_STM07_IS(D1231,10,$G$5,$H$13))/[1]!S_STM07_IS(D1231,9,$G$5,$H$13),[1]!S_STM07_IS(D1231,14,$G$5,$H$13)/$E$5))</f>
        <v/>
      </c>
      <c r="J1231" s="249" t="str">
        <f ca="1">IF(C1231="","",IF($J$11="营业利润率",[1]!S_STM07_IS(D1231,48,$G$5,$H$13)/[1]!S_STM07_IS(D1231,9,$G$5,$H$13),([1]!S_STM07_CS(D1231,87,$G$5,$H$13)+[1]!S_STM07_CS(D1231,88,$G$5,$H$13)+[1]!S_STM07_CS(D1231,89,$G$5,$H$13))/$E$5))</f>
        <v/>
      </c>
      <c r="K1231" s="249" t="str">
        <f ca="1">IF(C1231="","",IF($K$11="净利润率",[1]!S_STM07_IS(D1231,61,$G$5,$H$13)/[1]!S_STM07_IS(D1231,9,$G$5,$H$13),[1]!S_STM07_IS(D1231,55,$G$5,$H$13)/$E$5))</f>
        <v/>
      </c>
      <c r="L1231" s="249" t="str">
        <f ca="1">IF(C1231="","",IF($L$11="ROA",[1]!S_STM07_IS(D1231,61,$G$5,$H$13)/[1]!S_STM07_BS(D1231,74,$G$5,$H$13),1-[1]!S_STM07_IS(D1231,61,$G$5,$H$13)/[1]!S_STM07_IS(D1231,55,$G$5,$H$13)))</f>
        <v/>
      </c>
      <c r="M1231" s="249" t="str">
        <f ca="1">IF(C1231="","",IF($M$11="ROE",[1]!S_STM07_IS(D1231,61,$G$5,$H$13)/[1]!S_STM07_BS(D1231,141,$G$5,$H$13),([1]!S_STM07_BS(D1231,25,$G$5,$H$13)-[1]!S_STM07_BS(D1231,93,$G$5,$H$13))/$E$5))</f>
        <v/>
      </c>
      <c r="N1231" s="250" t="str">
        <f ca="1">IF(C1231="","",IF($N$11="EPS",[1]!S_STM07_IS(D1231,61,$G$5,$H$13)/IF([1]!S_SHARE_TOTAL(D1231,$G$5)=0,[1]!S_SHARE_TOTAL(D1231,[1]!s_ipo_listeddate(D1231)),[1]!S_SHARE_TOTAL(D1231,$G$5)),([1]!S_STM07_BS(D1231,75,$G$5,$H$13)+[1]!S_STM07_BS(D1231,88,$G$5,$H$13)+[1]!S_STM07_BS(D1231,94,$G$5,$H$13)+[1]!S_STM07_BS(D1231,95,$G$5,$H$13))/$E$5))</f>
        <v/>
      </c>
      <c r="O1231" s="250" t="str">
        <f ca="1">IF(C1231="","",IF($O$11="BPS",[1]!S_STM07_BS(D1231,141,$G$5,$H$13)/IF([1]!S_SHARE_TOTAL(D1231,$G$5)=0,[1]!S_SHARE_TOTAL(D1231,[1]!s_ipo_listeddate(D1231)),[1]!S_SHARE_TOTAL(D1231,$G$5)),[1]!S_STM07_CS(D1231,49,$G$5,$H$13)/$E$5))</f>
        <v/>
      </c>
      <c r="P1231" s="250" t="str">
        <f ca="1">IF(C1231="","",IF($P$11="CFPS",[1]!S_STM07_CS(D1231,84,$G$5,$H$13)/IF([1]!S_SHARE_TOTAL(D1231,$G$5)=0,[1]!S_SHARE_TOTAL(D1231,[1]!s_ipo_listeddate(D1231)),[1]!S_SHARE_TOTAL(D1231,$G$5)),[1]!S_STM07_CS(D1231,84,$G$5,$H$13)/$E$5))</f>
        <v/>
      </c>
      <c r="Q1231" s="198" t="str">
        <f ca="1">IF(C1231="","",F1231/([1]!S_STM07_IS(D1231,61,$G$5,$H$13)/IF([1]!S_SHARE_TOTAL(D1231,$G$5)=0,[1]!S_SHARE_TOTAL(D1231,[1]!s_ipo_listeddate(D1231)),[1]!S_SHARE_TOTAL(D1231,$G$5))))</f>
        <v/>
      </c>
      <c r="R1231" s="198" t="str">
        <f ca="1">IF(C1231="","",F1231/([1]!S_STM07_BS(D1231,141,$G$5,$H$13)/IF([1]!S_SHARE_TOTAL(D1231,$G$5)=0,[1]!S_SHARE_TOTAL(D1231,[1]!s_ipo_listeddate(D1231)),[1]!S_SHARE_TOTAL(D1231,$G$5))))</f>
        <v/>
      </c>
      <c r="S1231" s="249" t="str">
        <f ca="1">IF(C1231="","",[1]!S_SHARE_TOTAL(D1231,TODAY())/$E$5)</f>
        <v/>
      </c>
      <c r="T1231" s="249" t="str">
        <f t="shared" ca="1" si="121"/>
        <v/>
      </c>
      <c r="U1231" s="172" t="str">
        <f t="shared" ca="1" si="122"/>
        <v/>
      </c>
      <c r="V1231" s="343" t="str">
        <f t="shared" ca="1" si="123"/>
        <v/>
      </c>
      <c r="W1231" s="139"/>
      <c r="Y1231" s="1"/>
    </row>
    <row r="1232" spans="3:25" ht="12" customHeight="1">
      <c r="C1232" s="342" t="str">
        <f t="shared" ca="1" si="124"/>
        <v/>
      </c>
      <c r="D1232" s="153" t="str">
        <f t="shared" ca="1" si="119"/>
        <v/>
      </c>
      <c r="E1232" s="153" t="str">
        <f t="shared" ca="1" si="120"/>
        <v/>
      </c>
      <c r="F1232" s="170" t="str">
        <f ca="1">IF(C1232="","",[1]!S_DQ_CLOSE(D1232,TODAY(),1))</f>
        <v/>
      </c>
      <c r="G1232" s="171" t="str">
        <f ca="1">IF(C1232="","",[1]!s_pq_pctchange(D1232,TODAY()-$G$12,TODAY())/100)</f>
        <v/>
      </c>
      <c r="H1232" s="247" t="str">
        <f ca="1">IF(C1232="","",IF($H$11="收入",[1]!S_STM07_IS(D1232,9,$G$5,$H$13)/$E$5,[1]!S_STM07_IS(D1232,48,$G$5,$H$13)/$E$5))</f>
        <v/>
      </c>
      <c r="I1232" s="247" t="str">
        <f ca="1">IF(C1232="","",IF($I$11="毛利率",([1]!S_STM07_IS(D1232,9,$G$5,$H$13)-[1]!S_STM07_IS(D1232,10,$G$5,$H$13))/[1]!S_STM07_IS(D1232,9,$G$5,$H$13),[1]!S_STM07_IS(D1232,14,$G$5,$H$13)/$E$5))</f>
        <v/>
      </c>
      <c r="J1232" s="247" t="str">
        <f ca="1">IF(C1232="","",IF($J$11="营业利润率",[1]!S_STM07_IS(D1232,48,$G$5,$H$13)/[1]!S_STM07_IS(D1232,9,$G$5,$H$13),([1]!S_STM07_CS(D1232,87,$G$5,$H$13)+[1]!S_STM07_CS(D1232,88,$G$5,$H$13)+[1]!S_STM07_CS(D1232,89,$G$5,$H$13))/$E$5))</f>
        <v/>
      </c>
      <c r="K1232" s="247" t="str">
        <f ca="1">IF(C1232="","",IF($K$11="净利润率",[1]!S_STM07_IS(D1232,61,$G$5,$H$13)/[1]!S_STM07_IS(D1232,9,$G$5,$H$13),[1]!S_STM07_IS(D1232,55,$G$5,$H$13)/$E$5))</f>
        <v/>
      </c>
      <c r="L1232" s="247" t="str">
        <f ca="1">IF(C1232="","",IF($L$11="ROA",[1]!S_STM07_IS(D1232,61,$G$5,$H$13)/[1]!S_STM07_BS(D1232,74,$G$5,$H$13),1-[1]!S_STM07_IS(D1232,61,$G$5,$H$13)/[1]!S_STM07_IS(D1232,55,$G$5,$H$13)))</f>
        <v/>
      </c>
      <c r="M1232" s="247" t="str">
        <f ca="1">IF(C1232="","",IF($M$11="ROE",[1]!S_STM07_IS(D1232,61,$G$5,$H$13)/[1]!S_STM07_BS(D1232,141,$G$5,$H$13),([1]!S_STM07_BS(D1232,25,$G$5,$H$13)-[1]!S_STM07_BS(D1232,93,$G$5,$H$13))/$E$5))</f>
        <v/>
      </c>
      <c r="N1232" s="247" t="str">
        <f ca="1">IF(C1232="","",IF($N$11="EPS",[1]!S_STM07_IS(D1232,61,$G$5,$H$13)/IF([1]!S_SHARE_TOTAL(D1232,$G$5)=0,[1]!S_SHARE_TOTAL(D1232,[1]!s_ipo_listeddate(D1232)),[1]!S_SHARE_TOTAL(D1232,$G$5)),([1]!S_STM07_BS(D1232,75,$G$5,$H$13)+[1]!S_STM07_BS(D1232,88,$G$5,$H$13)+[1]!S_STM07_BS(D1232,94,$G$5,$H$13)+[1]!S_STM07_BS(D1232,95,$G$5,$H$13))/$E$5))</f>
        <v/>
      </c>
      <c r="O1232" s="247" t="str">
        <f ca="1">IF(C1232="","",IF($O$11="BPS",[1]!S_STM07_BS(D1232,141,$G$5,$H$13)/IF([1]!S_SHARE_TOTAL(D1232,$G$5)=0,[1]!S_SHARE_TOTAL(D1232,[1]!s_ipo_listeddate(D1232)),[1]!S_SHARE_TOTAL(D1232,$G$5)),[1]!S_STM07_CS(D1232,49,$G$5,$H$13)/$E$5))</f>
        <v/>
      </c>
      <c r="P1232" s="247" t="str">
        <f ca="1">IF(C1232="","",IF($P$11="CFPS",[1]!S_STM07_CS(D1232,84,$G$5,$H$13)/IF([1]!S_SHARE_TOTAL(D1232,$G$5)=0,[1]!S_SHARE_TOTAL(D1232,[1]!s_ipo_listeddate(D1232)),[1]!S_SHARE_TOTAL(D1232,$G$5)),[1]!S_STM07_CS(D1232,84,$G$5,$H$13)/$E$5))</f>
        <v/>
      </c>
      <c r="Q1232" s="248" t="str">
        <f ca="1">IF(C1232="","",F1232/([1]!S_STM07_IS(D1232,61,$G$5,$H$13)/IF([1]!S_SHARE_TOTAL(D1232,$G$5)=0,[1]!S_SHARE_TOTAL(D1232,[1]!s_ipo_listeddate(D1232)),[1]!S_SHARE_TOTAL(D1232,$G$5))))</f>
        <v/>
      </c>
      <c r="R1232" s="248" t="str">
        <f ca="1">IF(C1232="","",F1232/([1]!S_STM07_BS(D1232,141,$G$5,$H$13)/IF([1]!S_SHARE_TOTAL(D1232,$G$5)=0,[1]!S_SHARE_TOTAL(D1232,[1]!s_ipo_listeddate(D1232)),[1]!S_SHARE_TOTAL(D1232,$G$5))))</f>
        <v/>
      </c>
      <c r="S1232" s="247" t="str">
        <f ca="1">IF(C1232="","",[1]!S_SHARE_TOTAL(D1232,TODAY())/$E$5)</f>
        <v/>
      </c>
      <c r="T1232" s="247" t="str">
        <f t="shared" ca="1" si="121"/>
        <v/>
      </c>
      <c r="U1232" s="218" t="str">
        <f t="shared" ca="1" si="122"/>
        <v/>
      </c>
      <c r="V1232" s="342" t="str">
        <f t="shared" ca="1" si="123"/>
        <v/>
      </c>
      <c r="W1232" s="139"/>
      <c r="Y1232" s="1"/>
    </row>
    <row r="1233" spans="3:25" ht="12" customHeight="1">
      <c r="C1233" s="343" t="str">
        <f t="shared" ca="1" si="124"/>
        <v/>
      </c>
      <c r="D1233" s="124" t="str">
        <f t="shared" ca="1" si="119"/>
        <v/>
      </c>
      <c r="E1233" s="124" t="str">
        <f t="shared" ca="1" si="120"/>
        <v/>
      </c>
      <c r="F1233" s="172" t="str">
        <f ca="1">IF(C1233="","",[1]!S_DQ_CLOSE(D1233,TODAY(),1))</f>
        <v/>
      </c>
      <c r="G1233" s="173" t="str">
        <f ca="1">IF(C1233="","",[1]!s_pq_pctchange(D1233,TODAY()-$G$12,TODAY())/100)</f>
        <v/>
      </c>
      <c r="H1233" s="249" t="str">
        <f ca="1">IF(C1233="","",IF($H$11="收入",[1]!S_STM07_IS(D1233,9,$G$5,$H$13)/$E$5,[1]!S_STM07_IS(D1233,48,$G$5,$H$13)/$E$5))</f>
        <v/>
      </c>
      <c r="I1233" s="249" t="str">
        <f ca="1">IF(C1233="","",IF($I$11="毛利率",([1]!S_STM07_IS(D1233,9,$G$5,$H$13)-[1]!S_STM07_IS(D1233,10,$G$5,$H$13))/[1]!S_STM07_IS(D1233,9,$G$5,$H$13),[1]!S_STM07_IS(D1233,14,$G$5,$H$13)/$E$5))</f>
        <v/>
      </c>
      <c r="J1233" s="249" t="str">
        <f ca="1">IF(C1233="","",IF($J$11="营业利润率",[1]!S_STM07_IS(D1233,48,$G$5,$H$13)/[1]!S_STM07_IS(D1233,9,$G$5,$H$13),([1]!S_STM07_CS(D1233,87,$G$5,$H$13)+[1]!S_STM07_CS(D1233,88,$G$5,$H$13)+[1]!S_STM07_CS(D1233,89,$G$5,$H$13))/$E$5))</f>
        <v/>
      </c>
      <c r="K1233" s="249" t="str">
        <f ca="1">IF(C1233="","",IF($K$11="净利润率",[1]!S_STM07_IS(D1233,61,$G$5,$H$13)/[1]!S_STM07_IS(D1233,9,$G$5,$H$13),[1]!S_STM07_IS(D1233,55,$G$5,$H$13)/$E$5))</f>
        <v/>
      </c>
      <c r="L1233" s="249" t="str">
        <f ca="1">IF(C1233="","",IF($L$11="ROA",[1]!S_STM07_IS(D1233,61,$G$5,$H$13)/[1]!S_STM07_BS(D1233,74,$G$5,$H$13),1-[1]!S_STM07_IS(D1233,61,$G$5,$H$13)/[1]!S_STM07_IS(D1233,55,$G$5,$H$13)))</f>
        <v/>
      </c>
      <c r="M1233" s="249" t="str">
        <f ca="1">IF(C1233="","",IF($M$11="ROE",[1]!S_STM07_IS(D1233,61,$G$5,$H$13)/[1]!S_STM07_BS(D1233,141,$G$5,$H$13),([1]!S_STM07_BS(D1233,25,$G$5,$H$13)-[1]!S_STM07_BS(D1233,93,$G$5,$H$13))/$E$5))</f>
        <v/>
      </c>
      <c r="N1233" s="250" t="str">
        <f ca="1">IF(C1233="","",IF($N$11="EPS",[1]!S_STM07_IS(D1233,61,$G$5,$H$13)/IF([1]!S_SHARE_TOTAL(D1233,$G$5)=0,[1]!S_SHARE_TOTAL(D1233,[1]!s_ipo_listeddate(D1233)),[1]!S_SHARE_TOTAL(D1233,$G$5)),([1]!S_STM07_BS(D1233,75,$G$5,$H$13)+[1]!S_STM07_BS(D1233,88,$G$5,$H$13)+[1]!S_STM07_BS(D1233,94,$G$5,$H$13)+[1]!S_STM07_BS(D1233,95,$G$5,$H$13))/$E$5))</f>
        <v/>
      </c>
      <c r="O1233" s="250" t="str">
        <f ca="1">IF(C1233="","",IF($O$11="BPS",[1]!S_STM07_BS(D1233,141,$G$5,$H$13)/IF([1]!S_SHARE_TOTAL(D1233,$G$5)=0,[1]!S_SHARE_TOTAL(D1233,[1]!s_ipo_listeddate(D1233)),[1]!S_SHARE_TOTAL(D1233,$G$5)),[1]!S_STM07_CS(D1233,49,$G$5,$H$13)/$E$5))</f>
        <v/>
      </c>
      <c r="P1233" s="250" t="str">
        <f ca="1">IF(C1233="","",IF($P$11="CFPS",[1]!S_STM07_CS(D1233,84,$G$5,$H$13)/IF([1]!S_SHARE_TOTAL(D1233,$G$5)=0,[1]!S_SHARE_TOTAL(D1233,[1]!s_ipo_listeddate(D1233)),[1]!S_SHARE_TOTAL(D1233,$G$5)),[1]!S_STM07_CS(D1233,84,$G$5,$H$13)/$E$5))</f>
        <v/>
      </c>
      <c r="Q1233" s="198" t="str">
        <f ca="1">IF(C1233="","",F1233/([1]!S_STM07_IS(D1233,61,$G$5,$H$13)/IF([1]!S_SHARE_TOTAL(D1233,$G$5)=0,[1]!S_SHARE_TOTAL(D1233,[1]!s_ipo_listeddate(D1233)),[1]!S_SHARE_TOTAL(D1233,$G$5))))</f>
        <v/>
      </c>
      <c r="R1233" s="198" t="str">
        <f ca="1">IF(C1233="","",F1233/([1]!S_STM07_BS(D1233,141,$G$5,$H$13)/IF([1]!S_SHARE_TOTAL(D1233,$G$5)=0,[1]!S_SHARE_TOTAL(D1233,[1]!s_ipo_listeddate(D1233)),[1]!S_SHARE_TOTAL(D1233,$G$5))))</f>
        <v/>
      </c>
      <c r="S1233" s="249" t="str">
        <f ca="1">IF(C1233="","",[1]!S_SHARE_TOTAL(D1233,TODAY())/$E$5)</f>
        <v/>
      </c>
      <c r="T1233" s="249" t="str">
        <f t="shared" ca="1" si="121"/>
        <v/>
      </c>
      <c r="U1233" s="172" t="str">
        <f t="shared" ca="1" si="122"/>
        <v/>
      </c>
      <c r="V1233" s="343" t="str">
        <f t="shared" ca="1" si="123"/>
        <v/>
      </c>
      <c r="W1233" s="139"/>
      <c r="Y1233" s="1"/>
    </row>
    <row r="1234" spans="3:25" ht="12" customHeight="1">
      <c r="C1234" s="342" t="str">
        <f t="shared" ca="1" si="124"/>
        <v/>
      </c>
      <c r="D1234" s="153" t="str">
        <f t="shared" ca="1" si="119"/>
        <v/>
      </c>
      <c r="E1234" s="153" t="str">
        <f t="shared" ca="1" si="120"/>
        <v/>
      </c>
      <c r="F1234" s="170" t="str">
        <f ca="1">IF(C1234="","",[1]!S_DQ_CLOSE(D1234,TODAY(),1))</f>
        <v/>
      </c>
      <c r="G1234" s="171" t="str">
        <f ca="1">IF(C1234="","",[1]!s_pq_pctchange(D1234,TODAY()-$G$12,TODAY())/100)</f>
        <v/>
      </c>
      <c r="H1234" s="247" t="str">
        <f ca="1">IF(C1234="","",IF($H$11="收入",[1]!S_STM07_IS(D1234,9,$G$5,$H$13)/$E$5,[1]!S_STM07_IS(D1234,48,$G$5,$H$13)/$E$5))</f>
        <v/>
      </c>
      <c r="I1234" s="247" t="str">
        <f ca="1">IF(C1234="","",IF($I$11="毛利率",([1]!S_STM07_IS(D1234,9,$G$5,$H$13)-[1]!S_STM07_IS(D1234,10,$G$5,$H$13))/[1]!S_STM07_IS(D1234,9,$G$5,$H$13),[1]!S_STM07_IS(D1234,14,$G$5,$H$13)/$E$5))</f>
        <v/>
      </c>
      <c r="J1234" s="247" t="str">
        <f ca="1">IF(C1234="","",IF($J$11="营业利润率",[1]!S_STM07_IS(D1234,48,$G$5,$H$13)/[1]!S_STM07_IS(D1234,9,$G$5,$H$13),([1]!S_STM07_CS(D1234,87,$G$5,$H$13)+[1]!S_STM07_CS(D1234,88,$G$5,$H$13)+[1]!S_STM07_CS(D1234,89,$G$5,$H$13))/$E$5))</f>
        <v/>
      </c>
      <c r="K1234" s="247" t="str">
        <f ca="1">IF(C1234="","",IF($K$11="净利润率",[1]!S_STM07_IS(D1234,61,$G$5,$H$13)/[1]!S_STM07_IS(D1234,9,$G$5,$H$13),[1]!S_STM07_IS(D1234,55,$G$5,$H$13)/$E$5))</f>
        <v/>
      </c>
      <c r="L1234" s="247" t="str">
        <f ca="1">IF(C1234="","",IF($L$11="ROA",[1]!S_STM07_IS(D1234,61,$G$5,$H$13)/[1]!S_STM07_BS(D1234,74,$G$5,$H$13),1-[1]!S_STM07_IS(D1234,61,$G$5,$H$13)/[1]!S_STM07_IS(D1234,55,$G$5,$H$13)))</f>
        <v/>
      </c>
      <c r="M1234" s="247" t="str">
        <f ca="1">IF(C1234="","",IF($M$11="ROE",[1]!S_STM07_IS(D1234,61,$G$5,$H$13)/[1]!S_STM07_BS(D1234,141,$G$5,$H$13),([1]!S_STM07_BS(D1234,25,$G$5,$H$13)-[1]!S_STM07_BS(D1234,93,$G$5,$H$13))/$E$5))</f>
        <v/>
      </c>
      <c r="N1234" s="247" t="str">
        <f ca="1">IF(C1234="","",IF($N$11="EPS",[1]!S_STM07_IS(D1234,61,$G$5,$H$13)/IF([1]!S_SHARE_TOTAL(D1234,$G$5)=0,[1]!S_SHARE_TOTAL(D1234,[1]!s_ipo_listeddate(D1234)),[1]!S_SHARE_TOTAL(D1234,$G$5)),([1]!S_STM07_BS(D1234,75,$G$5,$H$13)+[1]!S_STM07_BS(D1234,88,$G$5,$H$13)+[1]!S_STM07_BS(D1234,94,$G$5,$H$13)+[1]!S_STM07_BS(D1234,95,$G$5,$H$13))/$E$5))</f>
        <v/>
      </c>
      <c r="O1234" s="247" t="str">
        <f ca="1">IF(C1234="","",IF($O$11="BPS",[1]!S_STM07_BS(D1234,141,$G$5,$H$13)/IF([1]!S_SHARE_TOTAL(D1234,$G$5)=0,[1]!S_SHARE_TOTAL(D1234,[1]!s_ipo_listeddate(D1234)),[1]!S_SHARE_TOTAL(D1234,$G$5)),[1]!S_STM07_CS(D1234,49,$G$5,$H$13)/$E$5))</f>
        <v/>
      </c>
      <c r="P1234" s="247" t="str">
        <f ca="1">IF(C1234="","",IF($P$11="CFPS",[1]!S_STM07_CS(D1234,84,$G$5,$H$13)/IF([1]!S_SHARE_TOTAL(D1234,$G$5)=0,[1]!S_SHARE_TOTAL(D1234,[1]!s_ipo_listeddate(D1234)),[1]!S_SHARE_TOTAL(D1234,$G$5)),[1]!S_STM07_CS(D1234,84,$G$5,$H$13)/$E$5))</f>
        <v/>
      </c>
      <c r="Q1234" s="248" t="str">
        <f ca="1">IF(C1234="","",F1234/([1]!S_STM07_IS(D1234,61,$G$5,$H$13)/IF([1]!S_SHARE_TOTAL(D1234,$G$5)=0,[1]!S_SHARE_TOTAL(D1234,[1]!s_ipo_listeddate(D1234)),[1]!S_SHARE_TOTAL(D1234,$G$5))))</f>
        <v/>
      </c>
      <c r="R1234" s="248" t="str">
        <f ca="1">IF(C1234="","",F1234/([1]!S_STM07_BS(D1234,141,$G$5,$H$13)/IF([1]!S_SHARE_TOTAL(D1234,$G$5)=0,[1]!S_SHARE_TOTAL(D1234,[1]!s_ipo_listeddate(D1234)),[1]!S_SHARE_TOTAL(D1234,$G$5))))</f>
        <v/>
      </c>
      <c r="S1234" s="247" t="str">
        <f ca="1">IF(C1234="","",[1]!S_SHARE_TOTAL(D1234,TODAY())/$E$5)</f>
        <v/>
      </c>
      <c r="T1234" s="247" t="str">
        <f t="shared" ca="1" si="121"/>
        <v/>
      </c>
      <c r="U1234" s="218" t="str">
        <f t="shared" ca="1" si="122"/>
        <v/>
      </c>
      <c r="V1234" s="342" t="str">
        <f t="shared" ca="1" si="123"/>
        <v/>
      </c>
      <c r="W1234" s="139"/>
      <c r="Y1234" s="1"/>
    </row>
    <row r="1235" spans="3:25" ht="12" customHeight="1">
      <c r="C1235" s="343" t="str">
        <f t="shared" ca="1" si="124"/>
        <v/>
      </c>
      <c r="D1235" s="124" t="str">
        <f t="shared" ca="1" si="119"/>
        <v/>
      </c>
      <c r="E1235" s="124" t="str">
        <f t="shared" ca="1" si="120"/>
        <v/>
      </c>
      <c r="F1235" s="172" t="str">
        <f ca="1">IF(C1235="","",[1]!S_DQ_CLOSE(D1235,TODAY(),1))</f>
        <v/>
      </c>
      <c r="G1235" s="173" t="str">
        <f ca="1">IF(C1235="","",[1]!s_pq_pctchange(D1235,TODAY()-$G$12,TODAY())/100)</f>
        <v/>
      </c>
      <c r="H1235" s="249" t="str">
        <f ca="1">IF(C1235="","",IF($H$11="收入",[1]!S_STM07_IS(D1235,9,$G$5,$H$13)/$E$5,[1]!S_STM07_IS(D1235,48,$G$5,$H$13)/$E$5))</f>
        <v/>
      </c>
      <c r="I1235" s="249" t="str">
        <f ca="1">IF(C1235="","",IF($I$11="毛利率",([1]!S_STM07_IS(D1235,9,$G$5,$H$13)-[1]!S_STM07_IS(D1235,10,$G$5,$H$13))/[1]!S_STM07_IS(D1235,9,$G$5,$H$13),[1]!S_STM07_IS(D1235,14,$G$5,$H$13)/$E$5))</f>
        <v/>
      </c>
      <c r="J1235" s="249" t="str">
        <f ca="1">IF(C1235="","",IF($J$11="营业利润率",[1]!S_STM07_IS(D1235,48,$G$5,$H$13)/[1]!S_STM07_IS(D1235,9,$G$5,$H$13),([1]!S_STM07_CS(D1235,87,$G$5,$H$13)+[1]!S_STM07_CS(D1235,88,$G$5,$H$13)+[1]!S_STM07_CS(D1235,89,$G$5,$H$13))/$E$5))</f>
        <v/>
      </c>
      <c r="K1235" s="249" t="str">
        <f ca="1">IF(C1235="","",IF($K$11="净利润率",[1]!S_STM07_IS(D1235,61,$G$5,$H$13)/[1]!S_STM07_IS(D1235,9,$G$5,$H$13),[1]!S_STM07_IS(D1235,55,$G$5,$H$13)/$E$5))</f>
        <v/>
      </c>
      <c r="L1235" s="249" t="str">
        <f ca="1">IF(C1235="","",IF($L$11="ROA",[1]!S_STM07_IS(D1235,61,$G$5,$H$13)/[1]!S_STM07_BS(D1235,74,$G$5,$H$13),1-[1]!S_STM07_IS(D1235,61,$G$5,$H$13)/[1]!S_STM07_IS(D1235,55,$G$5,$H$13)))</f>
        <v/>
      </c>
      <c r="M1235" s="249" t="str">
        <f ca="1">IF(C1235="","",IF($M$11="ROE",[1]!S_STM07_IS(D1235,61,$G$5,$H$13)/[1]!S_STM07_BS(D1235,141,$G$5,$H$13),([1]!S_STM07_BS(D1235,25,$G$5,$H$13)-[1]!S_STM07_BS(D1235,93,$G$5,$H$13))/$E$5))</f>
        <v/>
      </c>
      <c r="N1235" s="250" t="str">
        <f ca="1">IF(C1235="","",IF($N$11="EPS",[1]!S_STM07_IS(D1235,61,$G$5,$H$13)/IF([1]!S_SHARE_TOTAL(D1235,$G$5)=0,[1]!S_SHARE_TOTAL(D1235,[1]!s_ipo_listeddate(D1235)),[1]!S_SHARE_TOTAL(D1235,$G$5)),([1]!S_STM07_BS(D1235,75,$G$5,$H$13)+[1]!S_STM07_BS(D1235,88,$G$5,$H$13)+[1]!S_STM07_BS(D1235,94,$G$5,$H$13)+[1]!S_STM07_BS(D1235,95,$G$5,$H$13))/$E$5))</f>
        <v/>
      </c>
      <c r="O1235" s="250" t="str">
        <f ca="1">IF(C1235="","",IF($O$11="BPS",[1]!S_STM07_BS(D1235,141,$G$5,$H$13)/IF([1]!S_SHARE_TOTAL(D1235,$G$5)=0,[1]!S_SHARE_TOTAL(D1235,[1]!s_ipo_listeddate(D1235)),[1]!S_SHARE_TOTAL(D1235,$G$5)),[1]!S_STM07_CS(D1235,49,$G$5,$H$13)/$E$5))</f>
        <v/>
      </c>
      <c r="P1235" s="250" t="str">
        <f ca="1">IF(C1235="","",IF($P$11="CFPS",[1]!S_STM07_CS(D1235,84,$G$5,$H$13)/IF([1]!S_SHARE_TOTAL(D1235,$G$5)=0,[1]!S_SHARE_TOTAL(D1235,[1]!s_ipo_listeddate(D1235)),[1]!S_SHARE_TOTAL(D1235,$G$5)),[1]!S_STM07_CS(D1235,84,$G$5,$H$13)/$E$5))</f>
        <v/>
      </c>
      <c r="Q1235" s="198" t="str">
        <f ca="1">IF(C1235="","",F1235/([1]!S_STM07_IS(D1235,61,$G$5,$H$13)/IF([1]!S_SHARE_TOTAL(D1235,$G$5)=0,[1]!S_SHARE_TOTAL(D1235,[1]!s_ipo_listeddate(D1235)),[1]!S_SHARE_TOTAL(D1235,$G$5))))</f>
        <v/>
      </c>
      <c r="R1235" s="198" t="str">
        <f ca="1">IF(C1235="","",F1235/([1]!S_STM07_BS(D1235,141,$G$5,$H$13)/IF([1]!S_SHARE_TOTAL(D1235,$G$5)=0,[1]!S_SHARE_TOTAL(D1235,[1]!s_ipo_listeddate(D1235)),[1]!S_SHARE_TOTAL(D1235,$G$5))))</f>
        <v/>
      </c>
      <c r="S1235" s="249" t="str">
        <f ca="1">IF(C1235="","",[1]!S_SHARE_TOTAL(D1235,TODAY())/$E$5)</f>
        <v/>
      </c>
      <c r="T1235" s="249" t="str">
        <f t="shared" ca="1" si="121"/>
        <v/>
      </c>
      <c r="U1235" s="172" t="str">
        <f t="shared" ca="1" si="122"/>
        <v/>
      </c>
      <c r="V1235" s="343" t="str">
        <f t="shared" ca="1" si="123"/>
        <v/>
      </c>
      <c r="W1235" s="139"/>
      <c r="Y1235" s="1"/>
    </row>
    <row r="1236" spans="3:25" ht="12" customHeight="1">
      <c r="C1236" s="342" t="str">
        <f t="shared" ca="1" si="124"/>
        <v/>
      </c>
      <c r="D1236" s="153" t="str">
        <f t="shared" ca="1" si="119"/>
        <v/>
      </c>
      <c r="E1236" s="153" t="str">
        <f t="shared" ca="1" si="120"/>
        <v/>
      </c>
      <c r="F1236" s="170" t="str">
        <f ca="1">IF(C1236="","",[1]!S_DQ_CLOSE(D1236,TODAY(),1))</f>
        <v/>
      </c>
      <c r="G1236" s="171" t="str">
        <f ca="1">IF(C1236="","",[1]!s_pq_pctchange(D1236,TODAY()-$G$12,TODAY())/100)</f>
        <v/>
      </c>
      <c r="H1236" s="247" t="str">
        <f ca="1">IF(C1236="","",IF($H$11="收入",[1]!S_STM07_IS(D1236,9,$G$5,$H$13)/$E$5,[1]!S_STM07_IS(D1236,48,$G$5,$H$13)/$E$5))</f>
        <v/>
      </c>
      <c r="I1236" s="247" t="str">
        <f ca="1">IF(C1236="","",IF($I$11="毛利率",([1]!S_STM07_IS(D1236,9,$G$5,$H$13)-[1]!S_STM07_IS(D1236,10,$G$5,$H$13))/[1]!S_STM07_IS(D1236,9,$G$5,$H$13),[1]!S_STM07_IS(D1236,14,$G$5,$H$13)/$E$5))</f>
        <v/>
      </c>
      <c r="J1236" s="247" t="str">
        <f ca="1">IF(C1236="","",IF($J$11="营业利润率",[1]!S_STM07_IS(D1236,48,$G$5,$H$13)/[1]!S_STM07_IS(D1236,9,$G$5,$H$13),([1]!S_STM07_CS(D1236,87,$G$5,$H$13)+[1]!S_STM07_CS(D1236,88,$G$5,$H$13)+[1]!S_STM07_CS(D1236,89,$G$5,$H$13))/$E$5))</f>
        <v/>
      </c>
      <c r="K1236" s="247" t="str">
        <f ca="1">IF(C1236="","",IF($K$11="净利润率",[1]!S_STM07_IS(D1236,61,$G$5,$H$13)/[1]!S_STM07_IS(D1236,9,$G$5,$H$13),[1]!S_STM07_IS(D1236,55,$G$5,$H$13)/$E$5))</f>
        <v/>
      </c>
      <c r="L1236" s="247" t="str">
        <f ca="1">IF(C1236="","",IF($L$11="ROA",[1]!S_STM07_IS(D1236,61,$G$5,$H$13)/[1]!S_STM07_BS(D1236,74,$G$5,$H$13),1-[1]!S_STM07_IS(D1236,61,$G$5,$H$13)/[1]!S_STM07_IS(D1236,55,$G$5,$H$13)))</f>
        <v/>
      </c>
      <c r="M1236" s="247" t="str">
        <f ca="1">IF(C1236="","",IF($M$11="ROE",[1]!S_STM07_IS(D1236,61,$G$5,$H$13)/[1]!S_STM07_BS(D1236,141,$G$5,$H$13),([1]!S_STM07_BS(D1236,25,$G$5,$H$13)-[1]!S_STM07_BS(D1236,93,$G$5,$H$13))/$E$5))</f>
        <v/>
      </c>
      <c r="N1236" s="247" t="str">
        <f ca="1">IF(C1236="","",IF($N$11="EPS",[1]!S_STM07_IS(D1236,61,$G$5,$H$13)/IF([1]!S_SHARE_TOTAL(D1236,$G$5)=0,[1]!S_SHARE_TOTAL(D1236,[1]!s_ipo_listeddate(D1236)),[1]!S_SHARE_TOTAL(D1236,$G$5)),([1]!S_STM07_BS(D1236,75,$G$5,$H$13)+[1]!S_STM07_BS(D1236,88,$G$5,$H$13)+[1]!S_STM07_BS(D1236,94,$G$5,$H$13)+[1]!S_STM07_BS(D1236,95,$G$5,$H$13))/$E$5))</f>
        <v/>
      </c>
      <c r="O1236" s="247" t="str">
        <f ca="1">IF(C1236="","",IF($O$11="BPS",[1]!S_STM07_BS(D1236,141,$G$5,$H$13)/IF([1]!S_SHARE_TOTAL(D1236,$G$5)=0,[1]!S_SHARE_TOTAL(D1236,[1]!s_ipo_listeddate(D1236)),[1]!S_SHARE_TOTAL(D1236,$G$5)),[1]!S_STM07_CS(D1236,49,$G$5,$H$13)/$E$5))</f>
        <v/>
      </c>
      <c r="P1236" s="247" t="str">
        <f ca="1">IF(C1236="","",IF($P$11="CFPS",[1]!S_STM07_CS(D1236,84,$G$5,$H$13)/IF([1]!S_SHARE_TOTAL(D1236,$G$5)=0,[1]!S_SHARE_TOTAL(D1236,[1]!s_ipo_listeddate(D1236)),[1]!S_SHARE_TOTAL(D1236,$G$5)),[1]!S_STM07_CS(D1236,84,$G$5,$H$13)/$E$5))</f>
        <v/>
      </c>
      <c r="Q1236" s="248" t="str">
        <f ca="1">IF(C1236="","",F1236/([1]!S_STM07_IS(D1236,61,$G$5,$H$13)/IF([1]!S_SHARE_TOTAL(D1236,$G$5)=0,[1]!S_SHARE_TOTAL(D1236,[1]!s_ipo_listeddate(D1236)),[1]!S_SHARE_TOTAL(D1236,$G$5))))</f>
        <v/>
      </c>
      <c r="R1236" s="248" t="str">
        <f ca="1">IF(C1236="","",F1236/([1]!S_STM07_BS(D1236,141,$G$5,$H$13)/IF([1]!S_SHARE_TOTAL(D1236,$G$5)=0,[1]!S_SHARE_TOTAL(D1236,[1]!s_ipo_listeddate(D1236)),[1]!S_SHARE_TOTAL(D1236,$G$5))))</f>
        <v/>
      </c>
      <c r="S1236" s="247" t="str">
        <f ca="1">IF(C1236="","",[1]!S_SHARE_TOTAL(D1236,TODAY())/$E$5)</f>
        <v/>
      </c>
      <c r="T1236" s="247" t="str">
        <f t="shared" ca="1" si="121"/>
        <v/>
      </c>
      <c r="U1236" s="218" t="str">
        <f t="shared" ca="1" si="122"/>
        <v/>
      </c>
      <c r="V1236" s="342" t="str">
        <f t="shared" ca="1" si="123"/>
        <v/>
      </c>
      <c r="W1236" s="139"/>
      <c r="Y1236" s="1"/>
    </row>
    <row r="1237" spans="3:25" ht="12" customHeight="1">
      <c r="C1237" s="343" t="str">
        <f t="shared" ca="1" si="124"/>
        <v/>
      </c>
      <c r="D1237" s="124" t="str">
        <f t="shared" ca="1" si="119"/>
        <v/>
      </c>
      <c r="E1237" s="124" t="str">
        <f t="shared" ca="1" si="120"/>
        <v/>
      </c>
      <c r="F1237" s="172" t="str">
        <f ca="1">IF(C1237="","",[1]!S_DQ_CLOSE(D1237,TODAY(),1))</f>
        <v/>
      </c>
      <c r="G1237" s="173" t="str">
        <f ca="1">IF(C1237="","",[1]!s_pq_pctchange(D1237,TODAY()-$G$12,TODAY())/100)</f>
        <v/>
      </c>
      <c r="H1237" s="249" t="str">
        <f ca="1">IF(C1237="","",IF($H$11="收入",[1]!S_STM07_IS(D1237,9,$G$5,$H$13)/$E$5,[1]!S_STM07_IS(D1237,48,$G$5,$H$13)/$E$5))</f>
        <v/>
      </c>
      <c r="I1237" s="249" t="str">
        <f ca="1">IF(C1237="","",IF($I$11="毛利率",([1]!S_STM07_IS(D1237,9,$G$5,$H$13)-[1]!S_STM07_IS(D1237,10,$G$5,$H$13))/[1]!S_STM07_IS(D1237,9,$G$5,$H$13),[1]!S_STM07_IS(D1237,14,$G$5,$H$13)/$E$5))</f>
        <v/>
      </c>
      <c r="J1237" s="249" t="str">
        <f ca="1">IF(C1237="","",IF($J$11="营业利润率",[1]!S_STM07_IS(D1237,48,$G$5,$H$13)/[1]!S_STM07_IS(D1237,9,$G$5,$H$13),([1]!S_STM07_CS(D1237,87,$G$5,$H$13)+[1]!S_STM07_CS(D1237,88,$G$5,$H$13)+[1]!S_STM07_CS(D1237,89,$G$5,$H$13))/$E$5))</f>
        <v/>
      </c>
      <c r="K1237" s="249" t="str">
        <f ca="1">IF(C1237="","",IF($K$11="净利润率",[1]!S_STM07_IS(D1237,61,$G$5,$H$13)/[1]!S_STM07_IS(D1237,9,$G$5,$H$13),[1]!S_STM07_IS(D1237,55,$G$5,$H$13)/$E$5))</f>
        <v/>
      </c>
      <c r="L1237" s="249" t="str">
        <f ca="1">IF(C1237="","",IF($L$11="ROA",[1]!S_STM07_IS(D1237,61,$G$5,$H$13)/[1]!S_STM07_BS(D1237,74,$G$5,$H$13),1-[1]!S_STM07_IS(D1237,61,$G$5,$H$13)/[1]!S_STM07_IS(D1237,55,$G$5,$H$13)))</f>
        <v/>
      </c>
      <c r="M1237" s="249" t="str">
        <f ca="1">IF(C1237="","",IF($M$11="ROE",[1]!S_STM07_IS(D1237,61,$G$5,$H$13)/[1]!S_STM07_BS(D1237,141,$G$5,$H$13),([1]!S_STM07_BS(D1237,25,$G$5,$H$13)-[1]!S_STM07_BS(D1237,93,$G$5,$H$13))/$E$5))</f>
        <v/>
      </c>
      <c r="N1237" s="250" t="str">
        <f ca="1">IF(C1237="","",IF($N$11="EPS",[1]!S_STM07_IS(D1237,61,$G$5,$H$13)/IF([1]!S_SHARE_TOTAL(D1237,$G$5)=0,[1]!S_SHARE_TOTAL(D1237,[1]!s_ipo_listeddate(D1237)),[1]!S_SHARE_TOTAL(D1237,$G$5)),([1]!S_STM07_BS(D1237,75,$G$5,$H$13)+[1]!S_STM07_BS(D1237,88,$G$5,$H$13)+[1]!S_STM07_BS(D1237,94,$G$5,$H$13)+[1]!S_STM07_BS(D1237,95,$G$5,$H$13))/$E$5))</f>
        <v/>
      </c>
      <c r="O1237" s="250" t="str">
        <f ca="1">IF(C1237="","",IF($O$11="BPS",[1]!S_STM07_BS(D1237,141,$G$5,$H$13)/IF([1]!S_SHARE_TOTAL(D1237,$G$5)=0,[1]!S_SHARE_TOTAL(D1237,[1]!s_ipo_listeddate(D1237)),[1]!S_SHARE_TOTAL(D1237,$G$5)),[1]!S_STM07_CS(D1237,49,$G$5,$H$13)/$E$5))</f>
        <v/>
      </c>
      <c r="P1237" s="250" t="str">
        <f ca="1">IF(C1237="","",IF($P$11="CFPS",[1]!S_STM07_CS(D1237,84,$G$5,$H$13)/IF([1]!S_SHARE_TOTAL(D1237,$G$5)=0,[1]!S_SHARE_TOTAL(D1237,[1]!s_ipo_listeddate(D1237)),[1]!S_SHARE_TOTAL(D1237,$G$5)),[1]!S_STM07_CS(D1237,84,$G$5,$H$13)/$E$5))</f>
        <v/>
      </c>
      <c r="Q1237" s="198" t="str">
        <f ca="1">IF(C1237="","",F1237/([1]!S_STM07_IS(D1237,61,$G$5,$H$13)/IF([1]!S_SHARE_TOTAL(D1237,$G$5)=0,[1]!S_SHARE_TOTAL(D1237,[1]!s_ipo_listeddate(D1237)),[1]!S_SHARE_TOTAL(D1237,$G$5))))</f>
        <v/>
      </c>
      <c r="R1237" s="198" t="str">
        <f ca="1">IF(C1237="","",F1237/([1]!S_STM07_BS(D1237,141,$G$5,$H$13)/IF([1]!S_SHARE_TOTAL(D1237,$G$5)=0,[1]!S_SHARE_TOTAL(D1237,[1]!s_ipo_listeddate(D1237)),[1]!S_SHARE_TOTAL(D1237,$G$5))))</f>
        <v/>
      </c>
      <c r="S1237" s="249" t="str">
        <f ca="1">IF(C1237="","",[1]!S_SHARE_TOTAL(D1237,TODAY())/$E$5)</f>
        <v/>
      </c>
      <c r="T1237" s="249" t="str">
        <f t="shared" ca="1" si="121"/>
        <v/>
      </c>
      <c r="U1237" s="172" t="str">
        <f t="shared" ca="1" si="122"/>
        <v/>
      </c>
      <c r="V1237" s="343" t="str">
        <f t="shared" ca="1" si="123"/>
        <v/>
      </c>
      <c r="W1237" s="139"/>
      <c r="Y1237" s="1"/>
    </row>
    <row r="1238" spans="3:25" ht="12" customHeight="1">
      <c r="C1238" s="342" t="str">
        <f t="shared" ca="1" si="124"/>
        <v/>
      </c>
      <c r="D1238" s="153" t="str">
        <f t="shared" ca="1" si="119"/>
        <v/>
      </c>
      <c r="E1238" s="153" t="str">
        <f t="shared" ca="1" si="120"/>
        <v/>
      </c>
      <c r="F1238" s="170" t="str">
        <f ca="1">IF(C1238="","",[1]!S_DQ_CLOSE(D1238,TODAY(),1))</f>
        <v/>
      </c>
      <c r="G1238" s="171" t="str">
        <f ca="1">IF(C1238="","",[1]!s_pq_pctchange(D1238,TODAY()-$G$12,TODAY())/100)</f>
        <v/>
      </c>
      <c r="H1238" s="247" t="str">
        <f ca="1">IF(C1238="","",IF($H$11="收入",[1]!S_STM07_IS(D1238,9,$G$5,$H$13)/$E$5,[1]!S_STM07_IS(D1238,48,$G$5,$H$13)/$E$5))</f>
        <v/>
      </c>
      <c r="I1238" s="247" t="str">
        <f ca="1">IF(C1238="","",IF($I$11="毛利率",([1]!S_STM07_IS(D1238,9,$G$5,$H$13)-[1]!S_STM07_IS(D1238,10,$G$5,$H$13))/[1]!S_STM07_IS(D1238,9,$G$5,$H$13),[1]!S_STM07_IS(D1238,14,$G$5,$H$13)/$E$5))</f>
        <v/>
      </c>
      <c r="J1238" s="247" t="str">
        <f ca="1">IF(C1238="","",IF($J$11="营业利润率",[1]!S_STM07_IS(D1238,48,$G$5,$H$13)/[1]!S_STM07_IS(D1238,9,$G$5,$H$13),([1]!S_STM07_CS(D1238,87,$G$5,$H$13)+[1]!S_STM07_CS(D1238,88,$G$5,$H$13)+[1]!S_STM07_CS(D1238,89,$G$5,$H$13))/$E$5))</f>
        <v/>
      </c>
      <c r="K1238" s="247" t="str">
        <f ca="1">IF(C1238="","",IF($K$11="净利润率",[1]!S_STM07_IS(D1238,61,$G$5,$H$13)/[1]!S_STM07_IS(D1238,9,$G$5,$H$13),[1]!S_STM07_IS(D1238,55,$G$5,$H$13)/$E$5))</f>
        <v/>
      </c>
      <c r="L1238" s="247" t="str">
        <f ca="1">IF(C1238="","",IF($L$11="ROA",[1]!S_STM07_IS(D1238,61,$G$5,$H$13)/[1]!S_STM07_BS(D1238,74,$G$5,$H$13),1-[1]!S_STM07_IS(D1238,61,$G$5,$H$13)/[1]!S_STM07_IS(D1238,55,$G$5,$H$13)))</f>
        <v/>
      </c>
      <c r="M1238" s="247" t="str">
        <f ca="1">IF(C1238="","",IF($M$11="ROE",[1]!S_STM07_IS(D1238,61,$G$5,$H$13)/[1]!S_STM07_BS(D1238,141,$G$5,$H$13),([1]!S_STM07_BS(D1238,25,$G$5,$H$13)-[1]!S_STM07_BS(D1238,93,$G$5,$H$13))/$E$5))</f>
        <v/>
      </c>
      <c r="N1238" s="247" t="str">
        <f ca="1">IF(C1238="","",IF($N$11="EPS",[1]!S_STM07_IS(D1238,61,$G$5,$H$13)/IF([1]!S_SHARE_TOTAL(D1238,$G$5)=0,[1]!S_SHARE_TOTAL(D1238,[1]!s_ipo_listeddate(D1238)),[1]!S_SHARE_TOTAL(D1238,$G$5)),([1]!S_STM07_BS(D1238,75,$G$5,$H$13)+[1]!S_STM07_BS(D1238,88,$G$5,$H$13)+[1]!S_STM07_BS(D1238,94,$G$5,$H$13)+[1]!S_STM07_BS(D1238,95,$G$5,$H$13))/$E$5))</f>
        <v/>
      </c>
      <c r="O1238" s="247" t="str">
        <f ca="1">IF(C1238="","",IF($O$11="BPS",[1]!S_STM07_BS(D1238,141,$G$5,$H$13)/IF([1]!S_SHARE_TOTAL(D1238,$G$5)=0,[1]!S_SHARE_TOTAL(D1238,[1]!s_ipo_listeddate(D1238)),[1]!S_SHARE_TOTAL(D1238,$G$5)),[1]!S_STM07_CS(D1238,49,$G$5,$H$13)/$E$5))</f>
        <v/>
      </c>
      <c r="P1238" s="247" t="str">
        <f ca="1">IF(C1238="","",IF($P$11="CFPS",[1]!S_STM07_CS(D1238,84,$G$5,$H$13)/IF([1]!S_SHARE_TOTAL(D1238,$G$5)=0,[1]!S_SHARE_TOTAL(D1238,[1]!s_ipo_listeddate(D1238)),[1]!S_SHARE_TOTAL(D1238,$G$5)),[1]!S_STM07_CS(D1238,84,$G$5,$H$13)/$E$5))</f>
        <v/>
      </c>
      <c r="Q1238" s="248" t="str">
        <f ca="1">IF(C1238="","",F1238/([1]!S_STM07_IS(D1238,61,$G$5,$H$13)/IF([1]!S_SHARE_TOTAL(D1238,$G$5)=0,[1]!S_SHARE_TOTAL(D1238,[1]!s_ipo_listeddate(D1238)),[1]!S_SHARE_TOTAL(D1238,$G$5))))</f>
        <v/>
      </c>
      <c r="R1238" s="248" t="str">
        <f ca="1">IF(C1238="","",F1238/([1]!S_STM07_BS(D1238,141,$G$5,$H$13)/IF([1]!S_SHARE_TOTAL(D1238,$G$5)=0,[1]!S_SHARE_TOTAL(D1238,[1]!s_ipo_listeddate(D1238)),[1]!S_SHARE_TOTAL(D1238,$G$5))))</f>
        <v/>
      </c>
      <c r="S1238" s="247" t="str">
        <f ca="1">IF(C1238="","",[1]!S_SHARE_TOTAL(D1238,TODAY())/$E$5)</f>
        <v/>
      </c>
      <c r="T1238" s="247" t="str">
        <f t="shared" ca="1" si="121"/>
        <v/>
      </c>
      <c r="U1238" s="218" t="str">
        <f t="shared" ca="1" si="122"/>
        <v/>
      </c>
      <c r="V1238" s="342" t="str">
        <f t="shared" ca="1" si="123"/>
        <v/>
      </c>
      <c r="W1238" s="139"/>
      <c r="Y1238" s="1"/>
    </row>
    <row r="1239" spans="3:25" ht="12" customHeight="1">
      <c r="C1239" s="343" t="str">
        <f t="shared" ca="1" si="124"/>
        <v/>
      </c>
      <c r="D1239" s="124" t="str">
        <f t="shared" ca="1" si="119"/>
        <v/>
      </c>
      <c r="E1239" s="124" t="str">
        <f t="shared" ca="1" si="120"/>
        <v/>
      </c>
      <c r="F1239" s="172" t="str">
        <f ca="1">IF(C1239="","",[1]!S_DQ_CLOSE(D1239,TODAY(),1))</f>
        <v/>
      </c>
      <c r="G1239" s="173" t="str">
        <f ca="1">IF(C1239="","",[1]!s_pq_pctchange(D1239,TODAY()-$G$12,TODAY())/100)</f>
        <v/>
      </c>
      <c r="H1239" s="249" t="str">
        <f ca="1">IF(C1239="","",IF($H$11="收入",[1]!S_STM07_IS(D1239,9,$G$5,$H$13)/$E$5,[1]!S_STM07_IS(D1239,48,$G$5,$H$13)/$E$5))</f>
        <v/>
      </c>
      <c r="I1239" s="249" t="str">
        <f ca="1">IF(C1239="","",IF($I$11="毛利率",([1]!S_STM07_IS(D1239,9,$G$5,$H$13)-[1]!S_STM07_IS(D1239,10,$G$5,$H$13))/[1]!S_STM07_IS(D1239,9,$G$5,$H$13),[1]!S_STM07_IS(D1239,14,$G$5,$H$13)/$E$5))</f>
        <v/>
      </c>
      <c r="J1239" s="249" t="str">
        <f ca="1">IF(C1239="","",IF($J$11="营业利润率",[1]!S_STM07_IS(D1239,48,$G$5,$H$13)/[1]!S_STM07_IS(D1239,9,$G$5,$H$13),([1]!S_STM07_CS(D1239,87,$G$5,$H$13)+[1]!S_STM07_CS(D1239,88,$G$5,$H$13)+[1]!S_STM07_CS(D1239,89,$G$5,$H$13))/$E$5))</f>
        <v/>
      </c>
      <c r="K1239" s="249" t="str">
        <f ca="1">IF(C1239="","",IF($K$11="净利润率",[1]!S_STM07_IS(D1239,61,$G$5,$H$13)/[1]!S_STM07_IS(D1239,9,$G$5,$H$13),[1]!S_STM07_IS(D1239,55,$G$5,$H$13)/$E$5))</f>
        <v/>
      </c>
      <c r="L1239" s="249" t="str">
        <f ca="1">IF(C1239="","",IF($L$11="ROA",[1]!S_STM07_IS(D1239,61,$G$5,$H$13)/[1]!S_STM07_BS(D1239,74,$G$5,$H$13),1-[1]!S_STM07_IS(D1239,61,$G$5,$H$13)/[1]!S_STM07_IS(D1239,55,$G$5,$H$13)))</f>
        <v/>
      </c>
      <c r="M1239" s="249" t="str">
        <f ca="1">IF(C1239="","",IF($M$11="ROE",[1]!S_STM07_IS(D1239,61,$G$5,$H$13)/[1]!S_STM07_BS(D1239,141,$G$5,$H$13),([1]!S_STM07_BS(D1239,25,$G$5,$H$13)-[1]!S_STM07_BS(D1239,93,$G$5,$H$13))/$E$5))</f>
        <v/>
      </c>
      <c r="N1239" s="250" t="str">
        <f ca="1">IF(C1239="","",IF($N$11="EPS",[1]!S_STM07_IS(D1239,61,$G$5,$H$13)/IF([1]!S_SHARE_TOTAL(D1239,$G$5)=0,[1]!S_SHARE_TOTAL(D1239,[1]!s_ipo_listeddate(D1239)),[1]!S_SHARE_TOTAL(D1239,$G$5)),([1]!S_STM07_BS(D1239,75,$G$5,$H$13)+[1]!S_STM07_BS(D1239,88,$G$5,$H$13)+[1]!S_STM07_BS(D1239,94,$G$5,$H$13)+[1]!S_STM07_BS(D1239,95,$G$5,$H$13))/$E$5))</f>
        <v/>
      </c>
      <c r="O1239" s="250" t="str">
        <f ca="1">IF(C1239="","",IF($O$11="BPS",[1]!S_STM07_BS(D1239,141,$G$5,$H$13)/IF([1]!S_SHARE_TOTAL(D1239,$G$5)=0,[1]!S_SHARE_TOTAL(D1239,[1]!s_ipo_listeddate(D1239)),[1]!S_SHARE_TOTAL(D1239,$G$5)),[1]!S_STM07_CS(D1239,49,$G$5,$H$13)/$E$5))</f>
        <v/>
      </c>
      <c r="P1239" s="250" t="str">
        <f ca="1">IF(C1239="","",IF($P$11="CFPS",[1]!S_STM07_CS(D1239,84,$G$5,$H$13)/IF([1]!S_SHARE_TOTAL(D1239,$G$5)=0,[1]!S_SHARE_TOTAL(D1239,[1]!s_ipo_listeddate(D1239)),[1]!S_SHARE_TOTAL(D1239,$G$5)),[1]!S_STM07_CS(D1239,84,$G$5,$H$13)/$E$5))</f>
        <v/>
      </c>
      <c r="Q1239" s="198" t="str">
        <f ca="1">IF(C1239="","",F1239/([1]!S_STM07_IS(D1239,61,$G$5,$H$13)/IF([1]!S_SHARE_TOTAL(D1239,$G$5)=0,[1]!S_SHARE_TOTAL(D1239,[1]!s_ipo_listeddate(D1239)),[1]!S_SHARE_TOTAL(D1239,$G$5))))</f>
        <v/>
      </c>
      <c r="R1239" s="198" t="str">
        <f ca="1">IF(C1239="","",F1239/([1]!S_STM07_BS(D1239,141,$G$5,$H$13)/IF([1]!S_SHARE_TOTAL(D1239,$G$5)=0,[1]!S_SHARE_TOTAL(D1239,[1]!s_ipo_listeddate(D1239)),[1]!S_SHARE_TOTAL(D1239,$G$5))))</f>
        <v/>
      </c>
      <c r="S1239" s="249" t="str">
        <f ca="1">IF(C1239="","",[1]!S_SHARE_TOTAL(D1239,TODAY())/$E$5)</f>
        <v/>
      </c>
      <c r="T1239" s="249" t="str">
        <f t="shared" ca="1" si="121"/>
        <v/>
      </c>
      <c r="U1239" s="172" t="str">
        <f t="shared" ca="1" si="122"/>
        <v/>
      </c>
      <c r="V1239" s="343" t="str">
        <f t="shared" ca="1" si="123"/>
        <v/>
      </c>
      <c r="W1239" s="139"/>
      <c r="Y1239" s="1"/>
    </row>
    <row r="1240" spans="3:25" ht="12" customHeight="1">
      <c r="C1240" s="342" t="str">
        <f t="shared" ca="1" si="124"/>
        <v/>
      </c>
      <c r="D1240" s="153" t="str">
        <f t="shared" ca="1" si="119"/>
        <v/>
      </c>
      <c r="E1240" s="153" t="str">
        <f t="shared" ca="1" si="120"/>
        <v/>
      </c>
      <c r="F1240" s="170" t="str">
        <f ca="1">IF(C1240="","",[1]!S_DQ_CLOSE(D1240,TODAY(),1))</f>
        <v/>
      </c>
      <c r="G1240" s="171" t="str">
        <f ca="1">IF(C1240="","",[1]!s_pq_pctchange(D1240,TODAY()-$G$12,TODAY())/100)</f>
        <v/>
      </c>
      <c r="H1240" s="247" t="str">
        <f ca="1">IF(C1240="","",IF($H$11="收入",[1]!S_STM07_IS(D1240,9,$G$5,$H$13)/$E$5,[1]!S_STM07_IS(D1240,48,$G$5,$H$13)/$E$5))</f>
        <v/>
      </c>
      <c r="I1240" s="247" t="str">
        <f ca="1">IF(C1240="","",IF($I$11="毛利率",([1]!S_STM07_IS(D1240,9,$G$5,$H$13)-[1]!S_STM07_IS(D1240,10,$G$5,$H$13))/[1]!S_STM07_IS(D1240,9,$G$5,$H$13),[1]!S_STM07_IS(D1240,14,$G$5,$H$13)/$E$5))</f>
        <v/>
      </c>
      <c r="J1240" s="247" t="str">
        <f ca="1">IF(C1240="","",IF($J$11="营业利润率",[1]!S_STM07_IS(D1240,48,$G$5,$H$13)/[1]!S_STM07_IS(D1240,9,$G$5,$H$13),([1]!S_STM07_CS(D1240,87,$G$5,$H$13)+[1]!S_STM07_CS(D1240,88,$G$5,$H$13)+[1]!S_STM07_CS(D1240,89,$G$5,$H$13))/$E$5))</f>
        <v/>
      </c>
      <c r="K1240" s="247" t="str">
        <f ca="1">IF(C1240="","",IF($K$11="净利润率",[1]!S_STM07_IS(D1240,61,$G$5,$H$13)/[1]!S_STM07_IS(D1240,9,$G$5,$H$13),[1]!S_STM07_IS(D1240,55,$G$5,$H$13)/$E$5))</f>
        <v/>
      </c>
      <c r="L1240" s="247" t="str">
        <f ca="1">IF(C1240="","",IF($L$11="ROA",[1]!S_STM07_IS(D1240,61,$G$5,$H$13)/[1]!S_STM07_BS(D1240,74,$G$5,$H$13),1-[1]!S_STM07_IS(D1240,61,$G$5,$H$13)/[1]!S_STM07_IS(D1240,55,$G$5,$H$13)))</f>
        <v/>
      </c>
      <c r="M1240" s="247" t="str">
        <f ca="1">IF(C1240="","",IF($M$11="ROE",[1]!S_STM07_IS(D1240,61,$G$5,$H$13)/[1]!S_STM07_BS(D1240,141,$G$5,$H$13),([1]!S_STM07_BS(D1240,25,$G$5,$H$13)-[1]!S_STM07_BS(D1240,93,$G$5,$H$13))/$E$5))</f>
        <v/>
      </c>
      <c r="N1240" s="247" t="str">
        <f ca="1">IF(C1240="","",IF($N$11="EPS",[1]!S_STM07_IS(D1240,61,$G$5,$H$13)/IF([1]!S_SHARE_TOTAL(D1240,$G$5)=0,[1]!S_SHARE_TOTAL(D1240,[1]!s_ipo_listeddate(D1240)),[1]!S_SHARE_TOTAL(D1240,$G$5)),([1]!S_STM07_BS(D1240,75,$G$5,$H$13)+[1]!S_STM07_BS(D1240,88,$G$5,$H$13)+[1]!S_STM07_BS(D1240,94,$G$5,$H$13)+[1]!S_STM07_BS(D1240,95,$G$5,$H$13))/$E$5))</f>
        <v/>
      </c>
      <c r="O1240" s="247" t="str">
        <f ca="1">IF(C1240="","",IF($O$11="BPS",[1]!S_STM07_BS(D1240,141,$G$5,$H$13)/IF([1]!S_SHARE_TOTAL(D1240,$G$5)=0,[1]!S_SHARE_TOTAL(D1240,[1]!s_ipo_listeddate(D1240)),[1]!S_SHARE_TOTAL(D1240,$G$5)),[1]!S_STM07_CS(D1240,49,$G$5,$H$13)/$E$5))</f>
        <v/>
      </c>
      <c r="P1240" s="247" t="str">
        <f ca="1">IF(C1240="","",IF($P$11="CFPS",[1]!S_STM07_CS(D1240,84,$G$5,$H$13)/IF([1]!S_SHARE_TOTAL(D1240,$G$5)=0,[1]!S_SHARE_TOTAL(D1240,[1]!s_ipo_listeddate(D1240)),[1]!S_SHARE_TOTAL(D1240,$G$5)),[1]!S_STM07_CS(D1240,84,$G$5,$H$13)/$E$5))</f>
        <v/>
      </c>
      <c r="Q1240" s="248" t="str">
        <f ca="1">IF(C1240="","",F1240/([1]!S_STM07_IS(D1240,61,$G$5,$H$13)/IF([1]!S_SHARE_TOTAL(D1240,$G$5)=0,[1]!S_SHARE_TOTAL(D1240,[1]!s_ipo_listeddate(D1240)),[1]!S_SHARE_TOTAL(D1240,$G$5))))</f>
        <v/>
      </c>
      <c r="R1240" s="248" t="str">
        <f ca="1">IF(C1240="","",F1240/([1]!S_STM07_BS(D1240,141,$G$5,$H$13)/IF([1]!S_SHARE_TOTAL(D1240,$G$5)=0,[1]!S_SHARE_TOTAL(D1240,[1]!s_ipo_listeddate(D1240)),[1]!S_SHARE_TOTAL(D1240,$G$5))))</f>
        <v/>
      </c>
      <c r="S1240" s="247" t="str">
        <f ca="1">IF(C1240="","",[1]!S_SHARE_TOTAL(D1240,TODAY())/$E$5)</f>
        <v/>
      </c>
      <c r="T1240" s="247" t="str">
        <f t="shared" ca="1" si="121"/>
        <v/>
      </c>
      <c r="U1240" s="218" t="str">
        <f t="shared" ca="1" si="122"/>
        <v/>
      </c>
      <c r="V1240" s="342" t="str">
        <f t="shared" ca="1" si="123"/>
        <v/>
      </c>
      <c r="W1240" s="139"/>
      <c r="Y1240" s="1"/>
    </row>
    <row r="1241" spans="3:25" ht="12" customHeight="1">
      <c r="C1241" s="343" t="str">
        <f t="shared" ca="1" si="124"/>
        <v/>
      </c>
      <c r="D1241" s="124" t="str">
        <f t="shared" ref="D1241:D1304" ca="1" si="125">IF(C1241="","",VLOOKUP(C1241,comppool,2,FALSE))</f>
        <v/>
      </c>
      <c r="E1241" s="124" t="str">
        <f t="shared" ref="E1241:E1304" ca="1" si="126">IF(C1241="","",VLOOKUP(C1241,comppool,3,FALSE))</f>
        <v/>
      </c>
      <c r="F1241" s="172" t="str">
        <f ca="1">IF(C1241="","",[1]!S_DQ_CLOSE(D1241,TODAY(),1))</f>
        <v/>
      </c>
      <c r="G1241" s="173" t="str">
        <f ca="1">IF(C1241="","",[1]!s_pq_pctchange(D1241,TODAY()-$G$12,TODAY())/100)</f>
        <v/>
      </c>
      <c r="H1241" s="249" t="str">
        <f ca="1">IF(C1241="","",IF($H$11="收入",[1]!S_STM07_IS(D1241,9,$G$5,$H$13)/$E$5,[1]!S_STM07_IS(D1241,48,$G$5,$H$13)/$E$5))</f>
        <v/>
      </c>
      <c r="I1241" s="249" t="str">
        <f ca="1">IF(C1241="","",IF($I$11="毛利率",([1]!S_STM07_IS(D1241,9,$G$5,$H$13)-[1]!S_STM07_IS(D1241,10,$G$5,$H$13))/[1]!S_STM07_IS(D1241,9,$G$5,$H$13),[1]!S_STM07_IS(D1241,14,$G$5,$H$13)/$E$5))</f>
        <v/>
      </c>
      <c r="J1241" s="249" t="str">
        <f ca="1">IF(C1241="","",IF($J$11="营业利润率",[1]!S_STM07_IS(D1241,48,$G$5,$H$13)/[1]!S_STM07_IS(D1241,9,$G$5,$H$13),([1]!S_STM07_CS(D1241,87,$G$5,$H$13)+[1]!S_STM07_CS(D1241,88,$G$5,$H$13)+[1]!S_STM07_CS(D1241,89,$G$5,$H$13))/$E$5))</f>
        <v/>
      </c>
      <c r="K1241" s="249" t="str">
        <f ca="1">IF(C1241="","",IF($K$11="净利润率",[1]!S_STM07_IS(D1241,61,$G$5,$H$13)/[1]!S_STM07_IS(D1241,9,$G$5,$H$13),[1]!S_STM07_IS(D1241,55,$G$5,$H$13)/$E$5))</f>
        <v/>
      </c>
      <c r="L1241" s="249" t="str">
        <f ca="1">IF(C1241="","",IF($L$11="ROA",[1]!S_STM07_IS(D1241,61,$G$5,$H$13)/[1]!S_STM07_BS(D1241,74,$G$5,$H$13),1-[1]!S_STM07_IS(D1241,61,$G$5,$H$13)/[1]!S_STM07_IS(D1241,55,$G$5,$H$13)))</f>
        <v/>
      </c>
      <c r="M1241" s="249" t="str">
        <f ca="1">IF(C1241="","",IF($M$11="ROE",[1]!S_STM07_IS(D1241,61,$G$5,$H$13)/[1]!S_STM07_BS(D1241,141,$G$5,$H$13),([1]!S_STM07_BS(D1241,25,$G$5,$H$13)-[1]!S_STM07_BS(D1241,93,$G$5,$H$13))/$E$5))</f>
        <v/>
      </c>
      <c r="N1241" s="250" t="str">
        <f ca="1">IF(C1241="","",IF($N$11="EPS",[1]!S_STM07_IS(D1241,61,$G$5,$H$13)/IF([1]!S_SHARE_TOTAL(D1241,$G$5)=0,[1]!S_SHARE_TOTAL(D1241,[1]!s_ipo_listeddate(D1241)),[1]!S_SHARE_TOTAL(D1241,$G$5)),([1]!S_STM07_BS(D1241,75,$G$5,$H$13)+[1]!S_STM07_BS(D1241,88,$G$5,$H$13)+[1]!S_STM07_BS(D1241,94,$G$5,$H$13)+[1]!S_STM07_BS(D1241,95,$G$5,$H$13))/$E$5))</f>
        <v/>
      </c>
      <c r="O1241" s="250" t="str">
        <f ca="1">IF(C1241="","",IF($O$11="BPS",[1]!S_STM07_BS(D1241,141,$G$5,$H$13)/IF([1]!S_SHARE_TOTAL(D1241,$G$5)=0,[1]!S_SHARE_TOTAL(D1241,[1]!s_ipo_listeddate(D1241)),[1]!S_SHARE_TOTAL(D1241,$G$5)),[1]!S_STM07_CS(D1241,49,$G$5,$H$13)/$E$5))</f>
        <v/>
      </c>
      <c r="P1241" s="250" t="str">
        <f ca="1">IF(C1241="","",IF($P$11="CFPS",[1]!S_STM07_CS(D1241,84,$G$5,$H$13)/IF([1]!S_SHARE_TOTAL(D1241,$G$5)=0,[1]!S_SHARE_TOTAL(D1241,[1]!s_ipo_listeddate(D1241)),[1]!S_SHARE_TOTAL(D1241,$G$5)),[1]!S_STM07_CS(D1241,84,$G$5,$H$13)/$E$5))</f>
        <v/>
      </c>
      <c r="Q1241" s="198" t="str">
        <f ca="1">IF(C1241="","",F1241/([1]!S_STM07_IS(D1241,61,$G$5,$H$13)/IF([1]!S_SHARE_TOTAL(D1241,$G$5)=0,[1]!S_SHARE_TOTAL(D1241,[1]!s_ipo_listeddate(D1241)),[1]!S_SHARE_TOTAL(D1241,$G$5))))</f>
        <v/>
      </c>
      <c r="R1241" s="198" t="str">
        <f ca="1">IF(C1241="","",F1241/([1]!S_STM07_BS(D1241,141,$G$5,$H$13)/IF([1]!S_SHARE_TOTAL(D1241,$G$5)=0,[1]!S_SHARE_TOTAL(D1241,[1]!s_ipo_listeddate(D1241)),[1]!S_SHARE_TOTAL(D1241,$G$5))))</f>
        <v/>
      </c>
      <c r="S1241" s="249" t="str">
        <f ca="1">IF(C1241="","",[1]!S_SHARE_TOTAL(D1241,TODAY())/$E$5)</f>
        <v/>
      </c>
      <c r="T1241" s="249" t="str">
        <f t="shared" ref="T1241:T1304" ca="1" si="127">IF(C1241="","",F1241*S1241)</f>
        <v/>
      </c>
      <c r="U1241" s="172" t="str">
        <f t="shared" ref="U1241:U1304" ca="1" si="128">IF(C1241="","",HLOOKUP($V$12,$G$11:$T$20003,ROW()-ROW($G$11)+1,FALSE))</f>
        <v/>
      </c>
      <c r="V1241" s="343" t="str">
        <f t="shared" ref="V1241:V1304" ca="1" si="129">IF(C1241="","",RANK(U1241,U:U,0))</f>
        <v/>
      </c>
      <c r="W1241" s="139"/>
      <c r="Y1241" s="1"/>
    </row>
    <row r="1242" spans="3:25" ht="12" customHeight="1">
      <c r="C1242" s="342" t="str">
        <f t="shared" ca="1" si="124"/>
        <v/>
      </c>
      <c r="D1242" s="153" t="str">
        <f t="shared" ca="1" si="125"/>
        <v/>
      </c>
      <c r="E1242" s="153" t="str">
        <f t="shared" ca="1" si="126"/>
        <v/>
      </c>
      <c r="F1242" s="170" t="str">
        <f ca="1">IF(C1242="","",[1]!S_DQ_CLOSE(D1242,TODAY(),1))</f>
        <v/>
      </c>
      <c r="G1242" s="171" t="str">
        <f ca="1">IF(C1242="","",[1]!s_pq_pctchange(D1242,TODAY()-$G$12,TODAY())/100)</f>
        <v/>
      </c>
      <c r="H1242" s="247" t="str">
        <f ca="1">IF(C1242="","",IF($H$11="收入",[1]!S_STM07_IS(D1242,9,$G$5,$H$13)/$E$5,[1]!S_STM07_IS(D1242,48,$G$5,$H$13)/$E$5))</f>
        <v/>
      </c>
      <c r="I1242" s="247" t="str">
        <f ca="1">IF(C1242="","",IF($I$11="毛利率",([1]!S_STM07_IS(D1242,9,$G$5,$H$13)-[1]!S_STM07_IS(D1242,10,$G$5,$H$13))/[1]!S_STM07_IS(D1242,9,$G$5,$H$13),[1]!S_STM07_IS(D1242,14,$G$5,$H$13)/$E$5))</f>
        <v/>
      </c>
      <c r="J1242" s="247" t="str">
        <f ca="1">IF(C1242="","",IF($J$11="营业利润率",[1]!S_STM07_IS(D1242,48,$G$5,$H$13)/[1]!S_STM07_IS(D1242,9,$G$5,$H$13),([1]!S_STM07_CS(D1242,87,$G$5,$H$13)+[1]!S_STM07_CS(D1242,88,$G$5,$H$13)+[1]!S_STM07_CS(D1242,89,$G$5,$H$13))/$E$5))</f>
        <v/>
      </c>
      <c r="K1242" s="247" t="str">
        <f ca="1">IF(C1242="","",IF($K$11="净利润率",[1]!S_STM07_IS(D1242,61,$G$5,$H$13)/[1]!S_STM07_IS(D1242,9,$G$5,$H$13),[1]!S_STM07_IS(D1242,55,$G$5,$H$13)/$E$5))</f>
        <v/>
      </c>
      <c r="L1242" s="247" t="str">
        <f ca="1">IF(C1242="","",IF($L$11="ROA",[1]!S_STM07_IS(D1242,61,$G$5,$H$13)/[1]!S_STM07_BS(D1242,74,$G$5,$H$13),1-[1]!S_STM07_IS(D1242,61,$G$5,$H$13)/[1]!S_STM07_IS(D1242,55,$G$5,$H$13)))</f>
        <v/>
      </c>
      <c r="M1242" s="247" t="str">
        <f ca="1">IF(C1242="","",IF($M$11="ROE",[1]!S_STM07_IS(D1242,61,$G$5,$H$13)/[1]!S_STM07_BS(D1242,141,$G$5,$H$13),([1]!S_STM07_BS(D1242,25,$G$5,$H$13)-[1]!S_STM07_BS(D1242,93,$G$5,$H$13))/$E$5))</f>
        <v/>
      </c>
      <c r="N1242" s="247" t="str">
        <f ca="1">IF(C1242="","",IF($N$11="EPS",[1]!S_STM07_IS(D1242,61,$G$5,$H$13)/IF([1]!S_SHARE_TOTAL(D1242,$G$5)=0,[1]!S_SHARE_TOTAL(D1242,[1]!s_ipo_listeddate(D1242)),[1]!S_SHARE_TOTAL(D1242,$G$5)),([1]!S_STM07_BS(D1242,75,$G$5,$H$13)+[1]!S_STM07_BS(D1242,88,$G$5,$H$13)+[1]!S_STM07_BS(D1242,94,$G$5,$H$13)+[1]!S_STM07_BS(D1242,95,$G$5,$H$13))/$E$5))</f>
        <v/>
      </c>
      <c r="O1242" s="247" t="str">
        <f ca="1">IF(C1242="","",IF($O$11="BPS",[1]!S_STM07_BS(D1242,141,$G$5,$H$13)/IF([1]!S_SHARE_TOTAL(D1242,$G$5)=0,[1]!S_SHARE_TOTAL(D1242,[1]!s_ipo_listeddate(D1242)),[1]!S_SHARE_TOTAL(D1242,$G$5)),[1]!S_STM07_CS(D1242,49,$G$5,$H$13)/$E$5))</f>
        <v/>
      </c>
      <c r="P1242" s="247" t="str">
        <f ca="1">IF(C1242="","",IF($P$11="CFPS",[1]!S_STM07_CS(D1242,84,$G$5,$H$13)/IF([1]!S_SHARE_TOTAL(D1242,$G$5)=0,[1]!S_SHARE_TOTAL(D1242,[1]!s_ipo_listeddate(D1242)),[1]!S_SHARE_TOTAL(D1242,$G$5)),[1]!S_STM07_CS(D1242,84,$G$5,$H$13)/$E$5))</f>
        <v/>
      </c>
      <c r="Q1242" s="248" t="str">
        <f ca="1">IF(C1242="","",F1242/([1]!S_STM07_IS(D1242,61,$G$5,$H$13)/IF([1]!S_SHARE_TOTAL(D1242,$G$5)=0,[1]!S_SHARE_TOTAL(D1242,[1]!s_ipo_listeddate(D1242)),[1]!S_SHARE_TOTAL(D1242,$G$5))))</f>
        <v/>
      </c>
      <c r="R1242" s="248" t="str">
        <f ca="1">IF(C1242="","",F1242/([1]!S_STM07_BS(D1242,141,$G$5,$H$13)/IF([1]!S_SHARE_TOTAL(D1242,$G$5)=0,[1]!S_SHARE_TOTAL(D1242,[1]!s_ipo_listeddate(D1242)),[1]!S_SHARE_TOTAL(D1242,$G$5))))</f>
        <v/>
      </c>
      <c r="S1242" s="247" t="str">
        <f ca="1">IF(C1242="","",[1]!S_SHARE_TOTAL(D1242,TODAY())/$E$5)</f>
        <v/>
      </c>
      <c r="T1242" s="247" t="str">
        <f t="shared" ca="1" si="127"/>
        <v/>
      </c>
      <c r="U1242" s="218" t="str">
        <f t="shared" ca="1" si="128"/>
        <v/>
      </c>
      <c r="V1242" s="342" t="str">
        <f t="shared" ca="1" si="129"/>
        <v/>
      </c>
      <c r="W1242" s="139"/>
      <c r="Y1242" s="1"/>
    </row>
    <row r="1243" spans="3:25" ht="12" customHeight="1">
      <c r="C1243" s="343" t="str">
        <f t="shared" ca="1" si="124"/>
        <v/>
      </c>
      <c r="D1243" s="124" t="str">
        <f t="shared" ca="1" si="125"/>
        <v/>
      </c>
      <c r="E1243" s="124" t="str">
        <f t="shared" ca="1" si="126"/>
        <v/>
      </c>
      <c r="F1243" s="172" t="str">
        <f ca="1">IF(C1243="","",[1]!S_DQ_CLOSE(D1243,TODAY(),1))</f>
        <v/>
      </c>
      <c r="G1243" s="173" t="str">
        <f ca="1">IF(C1243="","",[1]!s_pq_pctchange(D1243,TODAY()-$G$12,TODAY())/100)</f>
        <v/>
      </c>
      <c r="H1243" s="249" t="str">
        <f ca="1">IF(C1243="","",IF($H$11="收入",[1]!S_STM07_IS(D1243,9,$G$5,$H$13)/$E$5,[1]!S_STM07_IS(D1243,48,$G$5,$H$13)/$E$5))</f>
        <v/>
      </c>
      <c r="I1243" s="249" t="str">
        <f ca="1">IF(C1243="","",IF($I$11="毛利率",([1]!S_STM07_IS(D1243,9,$G$5,$H$13)-[1]!S_STM07_IS(D1243,10,$G$5,$H$13))/[1]!S_STM07_IS(D1243,9,$G$5,$H$13),[1]!S_STM07_IS(D1243,14,$G$5,$H$13)/$E$5))</f>
        <v/>
      </c>
      <c r="J1243" s="249" t="str">
        <f ca="1">IF(C1243="","",IF($J$11="营业利润率",[1]!S_STM07_IS(D1243,48,$G$5,$H$13)/[1]!S_STM07_IS(D1243,9,$G$5,$H$13),([1]!S_STM07_CS(D1243,87,$G$5,$H$13)+[1]!S_STM07_CS(D1243,88,$G$5,$H$13)+[1]!S_STM07_CS(D1243,89,$G$5,$H$13))/$E$5))</f>
        <v/>
      </c>
      <c r="K1243" s="249" t="str">
        <f ca="1">IF(C1243="","",IF($K$11="净利润率",[1]!S_STM07_IS(D1243,61,$G$5,$H$13)/[1]!S_STM07_IS(D1243,9,$G$5,$H$13),[1]!S_STM07_IS(D1243,55,$G$5,$H$13)/$E$5))</f>
        <v/>
      </c>
      <c r="L1243" s="249" t="str">
        <f ca="1">IF(C1243="","",IF($L$11="ROA",[1]!S_STM07_IS(D1243,61,$G$5,$H$13)/[1]!S_STM07_BS(D1243,74,$G$5,$H$13),1-[1]!S_STM07_IS(D1243,61,$G$5,$H$13)/[1]!S_STM07_IS(D1243,55,$G$5,$H$13)))</f>
        <v/>
      </c>
      <c r="M1243" s="249" t="str">
        <f ca="1">IF(C1243="","",IF($M$11="ROE",[1]!S_STM07_IS(D1243,61,$G$5,$H$13)/[1]!S_STM07_BS(D1243,141,$G$5,$H$13),([1]!S_STM07_BS(D1243,25,$G$5,$H$13)-[1]!S_STM07_BS(D1243,93,$G$5,$H$13))/$E$5))</f>
        <v/>
      </c>
      <c r="N1243" s="250" t="str">
        <f ca="1">IF(C1243="","",IF($N$11="EPS",[1]!S_STM07_IS(D1243,61,$G$5,$H$13)/IF([1]!S_SHARE_TOTAL(D1243,$G$5)=0,[1]!S_SHARE_TOTAL(D1243,[1]!s_ipo_listeddate(D1243)),[1]!S_SHARE_TOTAL(D1243,$G$5)),([1]!S_STM07_BS(D1243,75,$G$5,$H$13)+[1]!S_STM07_BS(D1243,88,$G$5,$H$13)+[1]!S_STM07_BS(D1243,94,$G$5,$H$13)+[1]!S_STM07_BS(D1243,95,$G$5,$H$13))/$E$5))</f>
        <v/>
      </c>
      <c r="O1243" s="250" t="str">
        <f ca="1">IF(C1243="","",IF($O$11="BPS",[1]!S_STM07_BS(D1243,141,$G$5,$H$13)/IF([1]!S_SHARE_TOTAL(D1243,$G$5)=0,[1]!S_SHARE_TOTAL(D1243,[1]!s_ipo_listeddate(D1243)),[1]!S_SHARE_TOTAL(D1243,$G$5)),[1]!S_STM07_CS(D1243,49,$G$5,$H$13)/$E$5))</f>
        <v/>
      </c>
      <c r="P1243" s="250" t="str">
        <f ca="1">IF(C1243="","",IF($P$11="CFPS",[1]!S_STM07_CS(D1243,84,$G$5,$H$13)/IF([1]!S_SHARE_TOTAL(D1243,$G$5)=0,[1]!S_SHARE_TOTAL(D1243,[1]!s_ipo_listeddate(D1243)),[1]!S_SHARE_TOTAL(D1243,$G$5)),[1]!S_STM07_CS(D1243,84,$G$5,$H$13)/$E$5))</f>
        <v/>
      </c>
      <c r="Q1243" s="198" t="str">
        <f ca="1">IF(C1243="","",F1243/([1]!S_STM07_IS(D1243,61,$G$5,$H$13)/IF([1]!S_SHARE_TOTAL(D1243,$G$5)=0,[1]!S_SHARE_TOTAL(D1243,[1]!s_ipo_listeddate(D1243)),[1]!S_SHARE_TOTAL(D1243,$G$5))))</f>
        <v/>
      </c>
      <c r="R1243" s="198" t="str">
        <f ca="1">IF(C1243="","",F1243/([1]!S_STM07_BS(D1243,141,$G$5,$H$13)/IF([1]!S_SHARE_TOTAL(D1243,$G$5)=0,[1]!S_SHARE_TOTAL(D1243,[1]!s_ipo_listeddate(D1243)),[1]!S_SHARE_TOTAL(D1243,$G$5))))</f>
        <v/>
      </c>
      <c r="S1243" s="249" t="str">
        <f ca="1">IF(C1243="","",[1]!S_SHARE_TOTAL(D1243,TODAY())/$E$5)</f>
        <v/>
      </c>
      <c r="T1243" s="249" t="str">
        <f t="shared" ca="1" si="127"/>
        <v/>
      </c>
      <c r="U1243" s="172" t="str">
        <f t="shared" ca="1" si="128"/>
        <v/>
      </c>
      <c r="V1243" s="343" t="str">
        <f t="shared" ca="1" si="129"/>
        <v/>
      </c>
      <c r="W1243" s="139"/>
      <c r="Y1243" s="1"/>
    </row>
    <row r="1244" spans="3:25" ht="12" customHeight="1">
      <c r="C1244" s="342" t="str">
        <f t="shared" ca="1" si="124"/>
        <v/>
      </c>
      <c r="D1244" s="153" t="str">
        <f t="shared" ca="1" si="125"/>
        <v/>
      </c>
      <c r="E1244" s="153" t="str">
        <f t="shared" ca="1" si="126"/>
        <v/>
      </c>
      <c r="F1244" s="170" t="str">
        <f ca="1">IF(C1244="","",[1]!S_DQ_CLOSE(D1244,TODAY(),1))</f>
        <v/>
      </c>
      <c r="G1244" s="171" t="str">
        <f ca="1">IF(C1244="","",[1]!s_pq_pctchange(D1244,TODAY()-$G$12,TODAY())/100)</f>
        <v/>
      </c>
      <c r="H1244" s="247" t="str">
        <f ca="1">IF(C1244="","",IF($H$11="收入",[1]!S_STM07_IS(D1244,9,$G$5,$H$13)/$E$5,[1]!S_STM07_IS(D1244,48,$G$5,$H$13)/$E$5))</f>
        <v/>
      </c>
      <c r="I1244" s="247" t="str">
        <f ca="1">IF(C1244="","",IF($I$11="毛利率",([1]!S_STM07_IS(D1244,9,$G$5,$H$13)-[1]!S_STM07_IS(D1244,10,$G$5,$H$13))/[1]!S_STM07_IS(D1244,9,$G$5,$H$13),[1]!S_STM07_IS(D1244,14,$G$5,$H$13)/$E$5))</f>
        <v/>
      </c>
      <c r="J1244" s="247" t="str">
        <f ca="1">IF(C1244="","",IF($J$11="营业利润率",[1]!S_STM07_IS(D1244,48,$G$5,$H$13)/[1]!S_STM07_IS(D1244,9,$G$5,$H$13),([1]!S_STM07_CS(D1244,87,$G$5,$H$13)+[1]!S_STM07_CS(D1244,88,$G$5,$H$13)+[1]!S_STM07_CS(D1244,89,$G$5,$H$13))/$E$5))</f>
        <v/>
      </c>
      <c r="K1244" s="247" t="str">
        <f ca="1">IF(C1244="","",IF($K$11="净利润率",[1]!S_STM07_IS(D1244,61,$G$5,$H$13)/[1]!S_STM07_IS(D1244,9,$G$5,$H$13),[1]!S_STM07_IS(D1244,55,$G$5,$H$13)/$E$5))</f>
        <v/>
      </c>
      <c r="L1244" s="247" t="str">
        <f ca="1">IF(C1244="","",IF($L$11="ROA",[1]!S_STM07_IS(D1244,61,$G$5,$H$13)/[1]!S_STM07_BS(D1244,74,$G$5,$H$13),1-[1]!S_STM07_IS(D1244,61,$G$5,$H$13)/[1]!S_STM07_IS(D1244,55,$G$5,$H$13)))</f>
        <v/>
      </c>
      <c r="M1244" s="247" t="str">
        <f ca="1">IF(C1244="","",IF($M$11="ROE",[1]!S_STM07_IS(D1244,61,$G$5,$H$13)/[1]!S_STM07_BS(D1244,141,$G$5,$H$13),([1]!S_STM07_BS(D1244,25,$G$5,$H$13)-[1]!S_STM07_BS(D1244,93,$G$5,$H$13))/$E$5))</f>
        <v/>
      </c>
      <c r="N1244" s="247" t="str">
        <f ca="1">IF(C1244="","",IF($N$11="EPS",[1]!S_STM07_IS(D1244,61,$G$5,$H$13)/IF([1]!S_SHARE_TOTAL(D1244,$G$5)=0,[1]!S_SHARE_TOTAL(D1244,[1]!s_ipo_listeddate(D1244)),[1]!S_SHARE_TOTAL(D1244,$G$5)),([1]!S_STM07_BS(D1244,75,$G$5,$H$13)+[1]!S_STM07_BS(D1244,88,$G$5,$H$13)+[1]!S_STM07_BS(D1244,94,$G$5,$H$13)+[1]!S_STM07_BS(D1244,95,$G$5,$H$13))/$E$5))</f>
        <v/>
      </c>
      <c r="O1244" s="247" t="str">
        <f ca="1">IF(C1244="","",IF($O$11="BPS",[1]!S_STM07_BS(D1244,141,$G$5,$H$13)/IF([1]!S_SHARE_TOTAL(D1244,$G$5)=0,[1]!S_SHARE_TOTAL(D1244,[1]!s_ipo_listeddate(D1244)),[1]!S_SHARE_TOTAL(D1244,$G$5)),[1]!S_STM07_CS(D1244,49,$G$5,$H$13)/$E$5))</f>
        <v/>
      </c>
      <c r="P1244" s="247" t="str">
        <f ca="1">IF(C1244="","",IF($P$11="CFPS",[1]!S_STM07_CS(D1244,84,$G$5,$H$13)/IF([1]!S_SHARE_TOTAL(D1244,$G$5)=0,[1]!S_SHARE_TOTAL(D1244,[1]!s_ipo_listeddate(D1244)),[1]!S_SHARE_TOTAL(D1244,$G$5)),[1]!S_STM07_CS(D1244,84,$G$5,$H$13)/$E$5))</f>
        <v/>
      </c>
      <c r="Q1244" s="248" t="str">
        <f ca="1">IF(C1244="","",F1244/([1]!S_STM07_IS(D1244,61,$G$5,$H$13)/IF([1]!S_SHARE_TOTAL(D1244,$G$5)=0,[1]!S_SHARE_TOTAL(D1244,[1]!s_ipo_listeddate(D1244)),[1]!S_SHARE_TOTAL(D1244,$G$5))))</f>
        <v/>
      </c>
      <c r="R1244" s="248" t="str">
        <f ca="1">IF(C1244="","",F1244/([1]!S_STM07_BS(D1244,141,$G$5,$H$13)/IF([1]!S_SHARE_TOTAL(D1244,$G$5)=0,[1]!S_SHARE_TOTAL(D1244,[1]!s_ipo_listeddate(D1244)),[1]!S_SHARE_TOTAL(D1244,$G$5))))</f>
        <v/>
      </c>
      <c r="S1244" s="247" t="str">
        <f ca="1">IF(C1244="","",[1]!S_SHARE_TOTAL(D1244,TODAY())/$E$5)</f>
        <v/>
      </c>
      <c r="T1244" s="247" t="str">
        <f t="shared" ca="1" si="127"/>
        <v/>
      </c>
      <c r="U1244" s="218" t="str">
        <f t="shared" ca="1" si="128"/>
        <v/>
      </c>
      <c r="V1244" s="342" t="str">
        <f t="shared" ca="1" si="129"/>
        <v/>
      </c>
      <c r="W1244" s="139"/>
      <c r="Y1244" s="1"/>
    </row>
    <row r="1245" spans="3:25" ht="12" customHeight="1">
      <c r="C1245" s="343" t="str">
        <f t="shared" ca="1" si="124"/>
        <v/>
      </c>
      <c r="D1245" s="124" t="str">
        <f t="shared" ca="1" si="125"/>
        <v/>
      </c>
      <c r="E1245" s="124" t="str">
        <f t="shared" ca="1" si="126"/>
        <v/>
      </c>
      <c r="F1245" s="172" t="str">
        <f ca="1">IF(C1245="","",[1]!S_DQ_CLOSE(D1245,TODAY(),1))</f>
        <v/>
      </c>
      <c r="G1245" s="173" t="str">
        <f ca="1">IF(C1245="","",[1]!s_pq_pctchange(D1245,TODAY()-$G$12,TODAY())/100)</f>
        <v/>
      </c>
      <c r="H1245" s="249" t="str">
        <f ca="1">IF(C1245="","",IF($H$11="收入",[1]!S_STM07_IS(D1245,9,$G$5,$H$13)/$E$5,[1]!S_STM07_IS(D1245,48,$G$5,$H$13)/$E$5))</f>
        <v/>
      </c>
      <c r="I1245" s="249" t="str">
        <f ca="1">IF(C1245="","",IF($I$11="毛利率",([1]!S_STM07_IS(D1245,9,$G$5,$H$13)-[1]!S_STM07_IS(D1245,10,$G$5,$H$13))/[1]!S_STM07_IS(D1245,9,$G$5,$H$13),[1]!S_STM07_IS(D1245,14,$G$5,$H$13)/$E$5))</f>
        <v/>
      </c>
      <c r="J1245" s="249" t="str">
        <f ca="1">IF(C1245="","",IF($J$11="营业利润率",[1]!S_STM07_IS(D1245,48,$G$5,$H$13)/[1]!S_STM07_IS(D1245,9,$G$5,$H$13),([1]!S_STM07_CS(D1245,87,$G$5,$H$13)+[1]!S_STM07_CS(D1245,88,$G$5,$H$13)+[1]!S_STM07_CS(D1245,89,$G$5,$H$13))/$E$5))</f>
        <v/>
      </c>
      <c r="K1245" s="249" t="str">
        <f ca="1">IF(C1245="","",IF($K$11="净利润率",[1]!S_STM07_IS(D1245,61,$G$5,$H$13)/[1]!S_STM07_IS(D1245,9,$G$5,$H$13),[1]!S_STM07_IS(D1245,55,$G$5,$H$13)/$E$5))</f>
        <v/>
      </c>
      <c r="L1245" s="249" t="str">
        <f ca="1">IF(C1245="","",IF($L$11="ROA",[1]!S_STM07_IS(D1245,61,$G$5,$H$13)/[1]!S_STM07_BS(D1245,74,$G$5,$H$13),1-[1]!S_STM07_IS(D1245,61,$G$5,$H$13)/[1]!S_STM07_IS(D1245,55,$G$5,$H$13)))</f>
        <v/>
      </c>
      <c r="M1245" s="249" t="str">
        <f ca="1">IF(C1245="","",IF($M$11="ROE",[1]!S_STM07_IS(D1245,61,$G$5,$H$13)/[1]!S_STM07_BS(D1245,141,$G$5,$H$13),([1]!S_STM07_BS(D1245,25,$G$5,$H$13)-[1]!S_STM07_BS(D1245,93,$G$5,$H$13))/$E$5))</f>
        <v/>
      </c>
      <c r="N1245" s="250" t="str">
        <f ca="1">IF(C1245="","",IF($N$11="EPS",[1]!S_STM07_IS(D1245,61,$G$5,$H$13)/IF([1]!S_SHARE_TOTAL(D1245,$G$5)=0,[1]!S_SHARE_TOTAL(D1245,[1]!s_ipo_listeddate(D1245)),[1]!S_SHARE_TOTAL(D1245,$G$5)),([1]!S_STM07_BS(D1245,75,$G$5,$H$13)+[1]!S_STM07_BS(D1245,88,$G$5,$H$13)+[1]!S_STM07_BS(D1245,94,$G$5,$H$13)+[1]!S_STM07_BS(D1245,95,$G$5,$H$13))/$E$5))</f>
        <v/>
      </c>
      <c r="O1245" s="250" t="str">
        <f ca="1">IF(C1245="","",IF($O$11="BPS",[1]!S_STM07_BS(D1245,141,$G$5,$H$13)/IF([1]!S_SHARE_TOTAL(D1245,$G$5)=0,[1]!S_SHARE_TOTAL(D1245,[1]!s_ipo_listeddate(D1245)),[1]!S_SHARE_TOTAL(D1245,$G$5)),[1]!S_STM07_CS(D1245,49,$G$5,$H$13)/$E$5))</f>
        <v/>
      </c>
      <c r="P1245" s="250" t="str">
        <f ca="1">IF(C1245="","",IF($P$11="CFPS",[1]!S_STM07_CS(D1245,84,$G$5,$H$13)/IF([1]!S_SHARE_TOTAL(D1245,$G$5)=0,[1]!S_SHARE_TOTAL(D1245,[1]!s_ipo_listeddate(D1245)),[1]!S_SHARE_TOTAL(D1245,$G$5)),[1]!S_STM07_CS(D1245,84,$G$5,$H$13)/$E$5))</f>
        <v/>
      </c>
      <c r="Q1245" s="198" t="str">
        <f ca="1">IF(C1245="","",F1245/([1]!S_STM07_IS(D1245,61,$G$5,$H$13)/IF([1]!S_SHARE_TOTAL(D1245,$G$5)=0,[1]!S_SHARE_TOTAL(D1245,[1]!s_ipo_listeddate(D1245)),[1]!S_SHARE_TOTAL(D1245,$G$5))))</f>
        <v/>
      </c>
      <c r="R1245" s="198" t="str">
        <f ca="1">IF(C1245="","",F1245/([1]!S_STM07_BS(D1245,141,$G$5,$H$13)/IF([1]!S_SHARE_TOTAL(D1245,$G$5)=0,[1]!S_SHARE_TOTAL(D1245,[1]!s_ipo_listeddate(D1245)),[1]!S_SHARE_TOTAL(D1245,$G$5))))</f>
        <v/>
      </c>
      <c r="S1245" s="249" t="str">
        <f ca="1">IF(C1245="","",[1]!S_SHARE_TOTAL(D1245,TODAY())/$E$5)</f>
        <v/>
      </c>
      <c r="T1245" s="249" t="str">
        <f t="shared" ca="1" si="127"/>
        <v/>
      </c>
      <c r="U1245" s="172" t="str">
        <f t="shared" ca="1" si="128"/>
        <v/>
      </c>
      <c r="V1245" s="343" t="str">
        <f t="shared" ca="1" si="129"/>
        <v/>
      </c>
      <c r="W1245" s="139"/>
      <c r="Y1245" s="1"/>
    </row>
    <row r="1246" spans="3:25" ht="12" customHeight="1">
      <c r="C1246" s="342" t="str">
        <f t="shared" ca="1" si="124"/>
        <v/>
      </c>
      <c r="D1246" s="153" t="str">
        <f t="shared" ca="1" si="125"/>
        <v/>
      </c>
      <c r="E1246" s="153" t="str">
        <f t="shared" ca="1" si="126"/>
        <v/>
      </c>
      <c r="F1246" s="170" t="str">
        <f ca="1">IF(C1246="","",[1]!S_DQ_CLOSE(D1246,TODAY(),1))</f>
        <v/>
      </c>
      <c r="G1246" s="171" t="str">
        <f ca="1">IF(C1246="","",[1]!s_pq_pctchange(D1246,TODAY()-$G$12,TODAY())/100)</f>
        <v/>
      </c>
      <c r="H1246" s="247" t="str">
        <f ca="1">IF(C1246="","",IF($H$11="收入",[1]!S_STM07_IS(D1246,9,$G$5,$H$13)/$E$5,[1]!S_STM07_IS(D1246,48,$G$5,$H$13)/$E$5))</f>
        <v/>
      </c>
      <c r="I1246" s="247" t="str">
        <f ca="1">IF(C1246="","",IF($I$11="毛利率",([1]!S_STM07_IS(D1246,9,$G$5,$H$13)-[1]!S_STM07_IS(D1246,10,$G$5,$H$13))/[1]!S_STM07_IS(D1246,9,$G$5,$H$13),[1]!S_STM07_IS(D1246,14,$G$5,$H$13)/$E$5))</f>
        <v/>
      </c>
      <c r="J1246" s="247" t="str">
        <f ca="1">IF(C1246="","",IF($J$11="营业利润率",[1]!S_STM07_IS(D1246,48,$G$5,$H$13)/[1]!S_STM07_IS(D1246,9,$G$5,$H$13),([1]!S_STM07_CS(D1246,87,$G$5,$H$13)+[1]!S_STM07_CS(D1246,88,$G$5,$H$13)+[1]!S_STM07_CS(D1246,89,$G$5,$H$13))/$E$5))</f>
        <v/>
      </c>
      <c r="K1246" s="247" t="str">
        <f ca="1">IF(C1246="","",IF($K$11="净利润率",[1]!S_STM07_IS(D1246,61,$G$5,$H$13)/[1]!S_STM07_IS(D1246,9,$G$5,$H$13),[1]!S_STM07_IS(D1246,55,$G$5,$H$13)/$E$5))</f>
        <v/>
      </c>
      <c r="L1246" s="247" t="str">
        <f ca="1">IF(C1246="","",IF($L$11="ROA",[1]!S_STM07_IS(D1246,61,$G$5,$H$13)/[1]!S_STM07_BS(D1246,74,$G$5,$H$13),1-[1]!S_STM07_IS(D1246,61,$G$5,$H$13)/[1]!S_STM07_IS(D1246,55,$G$5,$H$13)))</f>
        <v/>
      </c>
      <c r="M1246" s="247" t="str">
        <f ca="1">IF(C1246="","",IF($M$11="ROE",[1]!S_STM07_IS(D1246,61,$G$5,$H$13)/[1]!S_STM07_BS(D1246,141,$G$5,$H$13),([1]!S_STM07_BS(D1246,25,$G$5,$H$13)-[1]!S_STM07_BS(D1246,93,$G$5,$H$13))/$E$5))</f>
        <v/>
      </c>
      <c r="N1246" s="247" t="str">
        <f ca="1">IF(C1246="","",IF($N$11="EPS",[1]!S_STM07_IS(D1246,61,$G$5,$H$13)/IF([1]!S_SHARE_TOTAL(D1246,$G$5)=0,[1]!S_SHARE_TOTAL(D1246,[1]!s_ipo_listeddate(D1246)),[1]!S_SHARE_TOTAL(D1246,$G$5)),([1]!S_STM07_BS(D1246,75,$G$5,$H$13)+[1]!S_STM07_BS(D1246,88,$G$5,$H$13)+[1]!S_STM07_BS(D1246,94,$G$5,$H$13)+[1]!S_STM07_BS(D1246,95,$G$5,$H$13))/$E$5))</f>
        <v/>
      </c>
      <c r="O1246" s="247" t="str">
        <f ca="1">IF(C1246="","",IF($O$11="BPS",[1]!S_STM07_BS(D1246,141,$G$5,$H$13)/IF([1]!S_SHARE_TOTAL(D1246,$G$5)=0,[1]!S_SHARE_TOTAL(D1246,[1]!s_ipo_listeddate(D1246)),[1]!S_SHARE_TOTAL(D1246,$G$5)),[1]!S_STM07_CS(D1246,49,$G$5,$H$13)/$E$5))</f>
        <v/>
      </c>
      <c r="P1246" s="247" t="str">
        <f ca="1">IF(C1246="","",IF($P$11="CFPS",[1]!S_STM07_CS(D1246,84,$G$5,$H$13)/IF([1]!S_SHARE_TOTAL(D1246,$G$5)=0,[1]!S_SHARE_TOTAL(D1246,[1]!s_ipo_listeddate(D1246)),[1]!S_SHARE_TOTAL(D1246,$G$5)),[1]!S_STM07_CS(D1246,84,$G$5,$H$13)/$E$5))</f>
        <v/>
      </c>
      <c r="Q1246" s="248" t="str">
        <f ca="1">IF(C1246="","",F1246/([1]!S_STM07_IS(D1246,61,$G$5,$H$13)/IF([1]!S_SHARE_TOTAL(D1246,$G$5)=0,[1]!S_SHARE_TOTAL(D1246,[1]!s_ipo_listeddate(D1246)),[1]!S_SHARE_TOTAL(D1246,$G$5))))</f>
        <v/>
      </c>
      <c r="R1246" s="248" t="str">
        <f ca="1">IF(C1246="","",F1246/([1]!S_STM07_BS(D1246,141,$G$5,$H$13)/IF([1]!S_SHARE_TOTAL(D1246,$G$5)=0,[1]!S_SHARE_TOTAL(D1246,[1]!s_ipo_listeddate(D1246)),[1]!S_SHARE_TOTAL(D1246,$G$5))))</f>
        <v/>
      </c>
      <c r="S1246" s="247" t="str">
        <f ca="1">IF(C1246="","",[1]!S_SHARE_TOTAL(D1246,TODAY())/$E$5)</f>
        <v/>
      </c>
      <c r="T1246" s="247" t="str">
        <f t="shared" ca="1" si="127"/>
        <v/>
      </c>
      <c r="U1246" s="218" t="str">
        <f t="shared" ca="1" si="128"/>
        <v/>
      </c>
      <c r="V1246" s="342" t="str">
        <f t="shared" ca="1" si="129"/>
        <v/>
      </c>
      <c r="W1246" s="139"/>
      <c r="Y1246" s="1"/>
    </row>
    <row r="1247" spans="3:25" ht="12" customHeight="1">
      <c r="C1247" s="343" t="str">
        <f t="shared" ca="1" si="124"/>
        <v/>
      </c>
      <c r="D1247" s="124" t="str">
        <f t="shared" ca="1" si="125"/>
        <v/>
      </c>
      <c r="E1247" s="124" t="str">
        <f t="shared" ca="1" si="126"/>
        <v/>
      </c>
      <c r="F1247" s="172" t="str">
        <f ca="1">IF(C1247="","",[1]!S_DQ_CLOSE(D1247,TODAY(),1))</f>
        <v/>
      </c>
      <c r="G1247" s="173" t="str">
        <f ca="1">IF(C1247="","",[1]!s_pq_pctchange(D1247,TODAY()-$G$12,TODAY())/100)</f>
        <v/>
      </c>
      <c r="H1247" s="249" t="str">
        <f ca="1">IF(C1247="","",IF($H$11="收入",[1]!S_STM07_IS(D1247,9,$G$5,$H$13)/$E$5,[1]!S_STM07_IS(D1247,48,$G$5,$H$13)/$E$5))</f>
        <v/>
      </c>
      <c r="I1247" s="249" t="str">
        <f ca="1">IF(C1247="","",IF($I$11="毛利率",([1]!S_STM07_IS(D1247,9,$G$5,$H$13)-[1]!S_STM07_IS(D1247,10,$G$5,$H$13))/[1]!S_STM07_IS(D1247,9,$G$5,$H$13),[1]!S_STM07_IS(D1247,14,$G$5,$H$13)/$E$5))</f>
        <v/>
      </c>
      <c r="J1247" s="249" t="str">
        <f ca="1">IF(C1247="","",IF($J$11="营业利润率",[1]!S_STM07_IS(D1247,48,$G$5,$H$13)/[1]!S_STM07_IS(D1247,9,$G$5,$H$13),([1]!S_STM07_CS(D1247,87,$G$5,$H$13)+[1]!S_STM07_CS(D1247,88,$G$5,$H$13)+[1]!S_STM07_CS(D1247,89,$G$5,$H$13))/$E$5))</f>
        <v/>
      </c>
      <c r="K1247" s="249" t="str">
        <f ca="1">IF(C1247="","",IF($K$11="净利润率",[1]!S_STM07_IS(D1247,61,$G$5,$H$13)/[1]!S_STM07_IS(D1247,9,$G$5,$H$13),[1]!S_STM07_IS(D1247,55,$G$5,$H$13)/$E$5))</f>
        <v/>
      </c>
      <c r="L1247" s="249" t="str">
        <f ca="1">IF(C1247="","",IF($L$11="ROA",[1]!S_STM07_IS(D1247,61,$G$5,$H$13)/[1]!S_STM07_BS(D1247,74,$G$5,$H$13),1-[1]!S_STM07_IS(D1247,61,$G$5,$H$13)/[1]!S_STM07_IS(D1247,55,$G$5,$H$13)))</f>
        <v/>
      </c>
      <c r="M1247" s="249" t="str">
        <f ca="1">IF(C1247="","",IF($M$11="ROE",[1]!S_STM07_IS(D1247,61,$G$5,$H$13)/[1]!S_STM07_BS(D1247,141,$G$5,$H$13),([1]!S_STM07_BS(D1247,25,$G$5,$H$13)-[1]!S_STM07_BS(D1247,93,$G$5,$H$13))/$E$5))</f>
        <v/>
      </c>
      <c r="N1247" s="250" t="str">
        <f ca="1">IF(C1247="","",IF($N$11="EPS",[1]!S_STM07_IS(D1247,61,$G$5,$H$13)/IF([1]!S_SHARE_TOTAL(D1247,$G$5)=0,[1]!S_SHARE_TOTAL(D1247,[1]!s_ipo_listeddate(D1247)),[1]!S_SHARE_TOTAL(D1247,$G$5)),([1]!S_STM07_BS(D1247,75,$G$5,$H$13)+[1]!S_STM07_BS(D1247,88,$G$5,$H$13)+[1]!S_STM07_BS(D1247,94,$G$5,$H$13)+[1]!S_STM07_BS(D1247,95,$G$5,$H$13))/$E$5))</f>
        <v/>
      </c>
      <c r="O1247" s="250" t="str">
        <f ca="1">IF(C1247="","",IF($O$11="BPS",[1]!S_STM07_BS(D1247,141,$G$5,$H$13)/IF([1]!S_SHARE_TOTAL(D1247,$G$5)=0,[1]!S_SHARE_TOTAL(D1247,[1]!s_ipo_listeddate(D1247)),[1]!S_SHARE_TOTAL(D1247,$G$5)),[1]!S_STM07_CS(D1247,49,$G$5,$H$13)/$E$5))</f>
        <v/>
      </c>
      <c r="P1247" s="250" t="str">
        <f ca="1">IF(C1247="","",IF($P$11="CFPS",[1]!S_STM07_CS(D1247,84,$G$5,$H$13)/IF([1]!S_SHARE_TOTAL(D1247,$G$5)=0,[1]!S_SHARE_TOTAL(D1247,[1]!s_ipo_listeddate(D1247)),[1]!S_SHARE_TOTAL(D1247,$G$5)),[1]!S_STM07_CS(D1247,84,$G$5,$H$13)/$E$5))</f>
        <v/>
      </c>
      <c r="Q1247" s="198" t="str">
        <f ca="1">IF(C1247="","",F1247/([1]!S_STM07_IS(D1247,61,$G$5,$H$13)/IF([1]!S_SHARE_TOTAL(D1247,$G$5)=0,[1]!S_SHARE_TOTAL(D1247,[1]!s_ipo_listeddate(D1247)),[1]!S_SHARE_TOTAL(D1247,$G$5))))</f>
        <v/>
      </c>
      <c r="R1247" s="198" t="str">
        <f ca="1">IF(C1247="","",F1247/([1]!S_STM07_BS(D1247,141,$G$5,$H$13)/IF([1]!S_SHARE_TOTAL(D1247,$G$5)=0,[1]!S_SHARE_TOTAL(D1247,[1]!s_ipo_listeddate(D1247)),[1]!S_SHARE_TOTAL(D1247,$G$5))))</f>
        <v/>
      </c>
      <c r="S1247" s="249" t="str">
        <f ca="1">IF(C1247="","",[1]!S_SHARE_TOTAL(D1247,TODAY())/$E$5)</f>
        <v/>
      </c>
      <c r="T1247" s="249" t="str">
        <f t="shared" ca="1" si="127"/>
        <v/>
      </c>
      <c r="U1247" s="172" t="str">
        <f t="shared" ca="1" si="128"/>
        <v/>
      </c>
      <c r="V1247" s="343" t="str">
        <f t="shared" ca="1" si="129"/>
        <v/>
      </c>
      <c r="W1247" s="139"/>
      <c r="Y1247" s="1"/>
    </row>
    <row r="1248" spans="3:25" ht="12" customHeight="1">
      <c r="C1248" s="342" t="str">
        <f t="shared" ca="1" si="124"/>
        <v/>
      </c>
      <c r="D1248" s="153" t="str">
        <f t="shared" ca="1" si="125"/>
        <v/>
      </c>
      <c r="E1248" s="153" t="str">
        <f t="shared" ca="1" si="126"/>
        <v/>
      </c>
      <c r="F1248" s="170" t="str">
        <f ca="1">IF(C1248="","",[1]!S_DQ_CLOSE(D1248,TODAY(),1))</f>
        <v/>
      </c>
      <c r="G1248" s="171" t="str">
        <f ca="1">IF(C1248="","",[1]!s_pq_pctchange(D1248,TODAY()-$G$12,TODAY())/100)</f>
        <v/>
      </c>
      <c r="H1248" s="247" t="str">
        <f ca="1">IF(C1248="","",IF($H$11="收入",[1]!S_STM07_IS(D1248,9,$G$5,$H$13)/$E$5,[1]!S_STM07_IS(D1248,48,$G$5,$H$13)/$E$5))</f>
        <v/>
      </c>
      <c r="I1248" s="247" t="str">
        <f ca="1">IF(C1248="","",IF($I$11="毛利率",([1]!S_STM07_IS(D1248,9,$G$5,$H$13)-[1]!S_STM07_IS(D1248,10,$G$5,$H$13))/[1]!S_STM07_IS(D1248,9,$G$5,$H$13),[1]!S_STM07_IS(D1248,14,$G$5,$H$13)/$E$5))</f>
        <v/>
      </c>
      <c r="J1248" s="247" t="str">
        <f ca="1">IF(C1248="","",IF($J$11="营业利润率",[1]!S_STM07_IS(D1248,48,$G$5,$H$13)/[1]!S_STM07_IS(D1248,9,$G$5,$H$13),([1]!S_STM07_CS(D1248,87,$G$5,$H$13)+[1]!S_STM07_CS(D1248,88,$G$5,$H$13)+[1]!S_STM07_CS(D1248,89,$G$5,$H$13))/$E$5))</f>
        <v/>
      </c>
      <c r="K1248" s="247" t="str">
        <f ca="1">IF(C1248="","",IF($K$11="净利润率",[1]!S_STM07_IS(D1248,61,$G$5,$H$13)/[1]!S_STM07_IS(D1248,9,$G$5,$H$13),[1]!S_STM07_IS(D1248,55,$G$5,$H$13)/$E$5))</f>
        <v/>
      </c>
      <c r="L1248" s="247" t="str">
        <f ca="1">IF(C1248="","",IF($L$11="ROA",[1]!S_STM07_IS(D1248,61,$G$5,$H$13)/[1]!S_STM07_BS(D1248,74,$G$5,$H$13),1-[1]!S_STM07_IS(D1248,61,$G$5,$H$13)/[1]!S_STM07_IS(D1248,55,$G$5,$H$13)))</f>
        <v/>
      </c>
      <c r="M1248" s="247" t="str">
        <f ca="1">IF(C1248="","",IF($M$11="ROE",[1]!S_STM07_IS(D1248,61,$G$5,$H$13)/[1]!S_STM07_BS(D1248,141,$G$5,$H$13),([1]!S_STM07_BS(D1248,25,$G$5,$H$13)-[1]!S_STM07_BS(D1248,93,$G$5,$H$13))/$E$5))</f>
        <v/>
      </c>
      <c r="N1248" s="247" t="str">
        <f ca="1">IF(C1248="","",IF($N$11="EPS",[1]!S_STM07_IS(D1248,61,$G$5,$H$13)/IF([1]!S_SHARE_TOTAL(D1248,$G$5)=0,[1]!S_SHARE_TOTAL(D1248,[1]!s_ipo_listeddate(D1248)),[1]!S_SHARE_TOTAL(D1248,$G$5)),([1]!S_STM07_BS(D1248,75,$G$5,$H$13)+[1]!S_STM07_BS(D1248,88,$G$5,$H$13)+[1]!S_STM07_BS(D1248,94,$G$5,$H$13)+[1]!S_STM07_BS(D1248,95,$G$5,$H$13))/$E$5))</f>
        <v/>
      </c>
      <c r="O1248" s="247" t="str">
        <f ca="1">IF(C1248="","",IF($O$11="BPS",[1]!S_STM07_BS(D1248,141,$G$5,$H$13)/IF([1]!S_SHARE_TOTAL(D1248,$G$5)=0,[1]!S_SHARE_TOTAL(D1248,[1]!s_ipo_listeddate(D1248)),[1]!S_SHARE_TOTAL(D1248,$G$5)),[1]!S_STM07_CS(D1248,49,$G$5,$H$13)/$E$5))</f>
        <v/>
      </c>
      <c r="P1248" s="247" t="str">
        <f ca="1">IF(C1248="","",IF($P$11="CFPS",[1]!S_STM07_CS(D1248,84,$G$5,$H$13)/IF([1]!S_SHARE_TOTAL(D1248,$G$5)=0,[1]!S_SHARE_TOTAL(D1248,[1]!s_ipo_listeddate(D1248)),[1]!S_SHARE_TOTAL(D1248,$G$5)),[1]!S_STM07_CS(D1248,84,$G$5,$H$13)/$E$5))</f>
        <v/>
      </c>
      <c r="Q1248" s="248" t="str">
        <f ca="1">IF(C1248="","",F1248/([1]!S_STM07_IS(D1248,61,$G$5,$H$13)/IF([1]!S_SHARE_TOTAL(D1248,$G$5)=0,[1]!S_SHARE_TOTAL(D1248,[1]!s_ipo_listeddate(D1248)),[1]!S_SHARE_TOTAL(D1248,$G$5))))</f>
        <v/>
      </c>
      <c r="R1248" s="248" t="str">
        <f ca="1">IF(C1248="","",F1248/([1]!S_STM07_BS(D1248,141,$G$5,$H$13)/IF([1]!S_SHARE_TOTAL(D1248,$G$5)=0,[1]!S_SHARE_TOTAL(D1248,[1]!s_ipo_listeddate(D1248)),[1]!S_SHARE_TOTAL(D1248,$G$5))))</f>
        <v/>
      </c>
      <c r="S1248" s="247" t="str">
        <f ca="1">IF(C1248="","",[1]!S_SHARE_TOTAL(D1248,TODAY())/$E$5)</f>
        <v/>
      </c>
      <c r="T1248" s="247" t="str">
        <f t="shared" ca="1" si="127"/>
        <v/>
      </c>
      <c r="U1248" s="218" t="str">
        <f t="shared" ca="1" si="128"/>
        <v/>
      </c>
      <c r="V1248" s="342" t="str">
        <f t="shared" ca="1" si="129"/>
        <v/>
      </c>
      <c r="W1248" s="139"/>
      <c r="Y1248" s="1"/>
    </row>
    <row r="1249" spans="3:25" ht="12" customHeight="1">
      <c r="C1249" s="343" t="str">
        <f t="shared" ca="1" si="124"/>
        <v/>
      </c>
      <c r="D1249" s="124" t="str">
        <f t="shared" ca="1" si="125"/>
        <v/>
      </c>
      <c r="E1249" s="124" t="str">
        <f t="shared" ca="1" si="126"/>
        <v/>
      </c>
      <c r="F1249" s="172" t="str">
        <f ca="1">IF(C1249="","",[1]!S_DQ_CLOSE(D1249,TODAY(),1))</f>
        <v/>
      </c>
      <c r="G1249" s="173" t="str">
        <f ca="1">IF(C1249="","",[1]!s_pq_pctchange(D1249,TODAY()-$G$12,TODAY())/100)</f>
        <v/>
      </c>
      <c r="H1249" s="249" t="str">
        <f ca="1">IF(C1249="","",IF($H$11="收入",[1]!S_STM07_IS(D1249,9,$G$5,$H$13)/$E$5,[1]!S_STM07_IS(D1249,48,$G$5,$H$13)/$E$5))</f>
        <v/>
      </c>
      <c r="I1249" s="249" t="str">
        <f ca="1">IF(C1249="","",IF($I$11="毛利率",([1]!S_STM07_IS(D1249,9,$G$5,$H$13)-[1]!S_STM07_IS(D1249,10,$G$5,$H$13))/[1]!S_STM07_IS(D1249,9,$G$5,$H$13),[1]!S_STM07_IS(D1249,14,$G$5,$H$13)/$E$5))</f>
        <v/>
      </c>
      <c r="J1249" s="249" t="str">
        <f ca="1">IF(C1249="","",IF($J$11="营业利润率",[1]!S_STM07_IS(D1249,48,$G$5,$H$13)/[1]!S_STM07_IS(D1249,9,$G$5,$H$13),([1]!S_STM07_CS(D1249,87,$G$5,$H$13)+[1]!S_STM07_CS(D1249,88,$G$5,$H$13)+[1]!S_STM07_CS(D1249,89,$G$5,$H$13))/$E$5))</f>
        <v/>
      </c>
      <c r="K1249" s="249" t="str">
        <f ca="1">IF(C1249="","",IF($K$11="净利润率",[1]!S_STM07_IS(D1249,61,$G$5,$H$13)/[1]!S_STM07_IS(D1249,9,$G$5,$H$13),[1]!S_STM07_IS(D1249,55,$G$5,$H$13)/$E$5))</f>
        <v/>
      </c>
      <c r="L1249" s="249" t="str">
        <f ca="1">IF(C1249="","",IF($L$11="ROA",[1]!S_STM07_IS(D1249,61,$G$5,$H$13)/[1]!S_STM07_BS(D1249,74,$G$5,$H$13),1-[1]!S_STM07_IS(D1249,61,$G$5,$H$13)/[1]!S_STM07_IS(D1249,55,$G$5,$H$13)))</f>
        <v/>
      </c>
      <c r="M1249" s="249" t="str">
        <f ca="1">IF(C1249="","",IF($M$11="ROE",[1]!S_STM07_IS(D1249,61,$G$5,$H$13)/[1]!S_STM07_BS(D1249,141,$G$5,$H$13),([1]!S_STM07_BS(D1249,25,$G$5,$H$13)-[1]!S_STM07_BS(D1249,93,$G$5,$H$13))/$E$5))</f>
        <v/>
      </c>
      <c r="N1249" s="250" t="str">
        <f ca="1">IF(C1249="","",IF($N$11="EPS",[1]!S_STM07_IS(D1249,61,$G$5,$H$13)/IF([1]!S_SHARE_TOTAL(D1249,$G$5)=0,[1]!S_SHARE_TOTAL(D1249,[1]!s_ipo_listeddate(D1249)),[1]!S_SHARE_TOTAL(D1249,$G$5)),([1]!S_STM07_BS(D1249,75,$G$5,$H$13)+[1]!S_STM07_BS(D1249,88,$G$5,$H$13)+[1]!S_STM07_BS(D1249,94,$G$5,$H$13)+[1]!S_STM07_BS(D1249,95,$G$5,$H$13))/$E$5))</f>
        <v/>
      </c>
      <c r="O1249" s="250" t="str">
        <f ca="1">IF(C1249="","",IF($O$11="BPS",[1]!S_STM07_BS(D1249,141,$G$5,$H$13)/IF([1]!S_SHARE_TOTAL(D1249,$G$5)=0,[1]!S_SHARE_TOTAL(D1249,[1]!s_ipo_listeddate(D1249)),[1]!S_SHARE_TOTAL(D1249,$G$5)),[1]!S_STM07_CS(D1249,49,$G$5,$H$13)/$E$5))</f>
        <v/>
      </c>
      <c r="P1249" s="250" t="str">
        <f ca="1">IF(C1249="","",IF($P$11="CFPS",[1]!S_STM07_CS(D1249,84,$G$5,$H$13)/IF([1]!S_SHARE_TOTAL(D1249,$G$5)=0,[1]!S_SHARE_TOTAL(D1249,[1]!s_ipo_listeddate(D1249)),[1]!S_SHARE_TOTAL(D1249,$G$5)),[1]!S_STM07_CS(D1249,84,$G$5,$H$13)/$E$5))</f>
        <v/>
      </c>
      <c r="Q1249" s="198" t="str">
        <f ca="1">IF(C1249="","",F1249/([1]!S_STM07_IS(D1249,61,$G$5,$H$13)/IF([1]!S_SHARE_TOTAL(D1249,$G$5)=0,[1]!S_SHARE_TOTAL(D1249,[1]!s_ipo_listeddate(D1249)),[1]!S_SHARE_TOTAL(D1249,$G$5))))</f>
        <v/>
      </c>
      <c r="R1249" s="198" t="str">
        <f ca="1">IF(C1249="","",F1249/([1]!S_STM07_BS(D1249,141,$G$5,$H$13)/IF([1]!S_SHARE_TOTAL(D1249,$G$5)=0,[1]!S_SHARE_TOTAL(D1249,[1]!s_ipo_listeddate(D1249)),[1]!S_SHARE_TOTAL(D1249,$G$5))))</f>
        <v/>
      </c>
      <c r="S1249" s="249" t="str">
        <f ca="1">IF(C1249="","",[1]!S_SHARE_TOTAL(D1249,TODAY())/$E$5)</f>
        <v/>
      </c>
      <c r="T1249" s="249" t="str">
        <f t="shared" ca="1" si="127"/>
        <v/>
      </c>
      <c r="U1249" s="172" t="str">
        <f t="shared" ca="1" si="128"/>
        <v/>
      </c>
      <c r="V1249" s="343" t="str">
        <f t="shared" ca="1" si="129"/>
        <v/>
      </c>
      <c r="W1249" s="139"/>
      <c r="Y1249" s="1"/>
    </row>
    <row r="1250" spans="3:25" ht="12" customHeight="1">
      <c r="C1250" s="342" t="str">
        <f t="shared" ca="1" si="124"/>
        <v/>
      </c>
      <c r="D1250" s="153" t="str">
        <f t="shared" ca="1" si="125"/>
        <v/>
      </c>
      <c r="E1250" s="153" t="str">
        <f t="shared" ca="1" si="126"/>
        <v/>
      </c>
      <c r="F1250" s="170" t="str">
        <f ca="1">IF(C1250="","",[1]!S_DQ_CLOSE(D1250,TODAY(),1))</f>
        <v/>
      </c>
      <c r="G1250" s="171" t="str">
        <f ca="1">IF(C1250="","",[1]!s_pq_pctchange(D1250,TODAY()-$G$12,TODAY())/100)</f>
        <v/>
      </c>
      <c r="H1250" s="247" t="str">
        <f ca="1">IF(C1250="","",IF($H$11="收入",[1]!S_STM07_IS(D1250,9,$G$5,$H$13)/$E$5,[1]!S_STM07_IS(D1250,48,$G$5,$H$13)/$E$5))</f>
        <v/>
      </c>
      <c r="I1250" s="247" t="str">
        <f ca="1">IF(C1250="","",IF($I$11="毛利率",([1]!S_STM07_IS(D1250,9,$G$5,$H$13)-[1]!S_STM07_IS(D1250,10,$G$5,$H$13))/[1]!S_STM07_IS(D1250,9,$G$5,$H$13),[1]!S_STM07_IS(D1250,14,$G$5,$H$13)/$E$5))</f>
        <v/>
      </c>
      <c r="J1250" s="247" t="str">
        <f ca="1">IF(C1250="","",IF($J$11="营业利润率",[1]!S_STM07_IS(D1250,48,$G$5,$H$13)/[1]!S_STM07_IS(D1250,9,$G$5,$H$13),([1]!S_STM07_CS(D1250,87,$G$5,$H$13)+[1]!S_STM07_CS(D1250,88,$G$5,$H$13)+[1]!S_STM07_CS(D1250,89,$G$5,$H$13))/$E$5))</f>
        <v/>
      </c>
      <c r="K1250" s="247" t="str">
        <f ca="1">IF(C1250="","",IF($K$11="净利润率",[1]!S_STM07_IS(D1250,61,$G$5,$H$13)/[1]!S_STM07_IS(D1250,9,$G$5,$H$13),[1]!S_STM07_IS(D1250,55,$G$5,$H$13)/$E$5))</f>
        <v/>
      </c>
      <c r="L1250" s="247" t="str">
        <f ca="1">IF(C1250="","",IF($L$11="ROA",[1]!S_STM07_IS(D1250,61,$G$5,$H$13)/[1]!S_STM07_BS(D1250,74,$G$5,$H$13),1-[1]!S_STM07_IS(D1250,61,$G$5,$H$13)/[1]!S_STM07_IS(D1250,55,$G$5,$H$13)))</f>
        <v/>
      </c>
      <c r="M1250" s="247" t="str">
        <f ca="1">IF(C1250="","",IF($M$11="ROE",[1]!S_STM07_IS(D1250,61,$G$5,$H$13)/[1]!S_STM07_BS(D1250,141,$G$5,$H$13),([1]!S_STM07_BS(D1250,25,$G$5,$H$13)-[1]!S_STM07_BS(D1250,93,$G$5,$H$13))/$E$5))</f>
        <v/>
      </c>
      <c r="N1250" s="247" t="str">
        <f ca="1">IF(C1250="","",IF($N$11="EPS",[1]!S_STM07_IS(D1250,61,$G$5,$H$13)/IF([1]!S_SHARE_TOTAL(D1250,$G$5)=0,[1]!S_SHARE_TOTAL(D1250,[1]!s_ipo_listeddate(D1250)),[1]!S_SHARE_TOTAL(D1250,$G$5)),([1]!S_STM07_BS(D1250,75,$G$5,$H$13)+[1]!S_STM07_BS(D1250,88,$G$5,$H$13)+[1]!S_STM07_BS(D1250,94,$G$5,$H$13)+[1]!S_STM07_BS(D1250,95,$G$5,$H$13))/$E$5))</f>
        <v/>
      </c>
      <c r="O1250" s="247" t="str">
        <f ca="1">IF(C1250="","",IF($O$11="BPS",[1]!S_STM07_BS(D1250,141,$G$5,$H$13)/IF([1]!S_SHARE_TOTAL(D1250,$G$5)=0,[1]!S_SHARE_TOTAL(D1250,[1]!s_ipo_listeddate(D1250)),[1]!S_SHARE_TOTAL(D1250,$G$5)),[1]!S_STM07_CS(D1250,49,$G$5,$H$13)/$E$5))</f>
        <v/>
      </c>
      <c r="P1250" s="247" t="str">
        <f ca="1">IF(C1250="","",IF($P$11="CFPS",[1]!S_STM07_CS(D1250,84,$G$5,$H$13)/IF([1]!S_SHARE_TOTAL(D1250,$G$5)=0,[1]!S_SHARE_TOTAL(D1250,[1]!s_ipo_listeddate(D1250)),[1]!S_SHARE_TOTAL(D1250,$G$5)),[1]!S_STM07_CS(D1250,84,$G$5,$H$13)/$E$5))</f>
        <v/>
      </c>
      <c r="Q1250" s="248" t="str">
        <f ca="1">IF(C1250="","",F1250/([1]!S_STM07_IS(D1250,61,$G$5,$H$13)/IF([1]!S_SHARE_TOTAL(D1250,$G$5)=0,[1]!S_SHARE_TOTAL(D1250,[1]!s_ipo_listeddate(D1250)),[1]!S_SHARE_TOTAL(D1250,$G$5))))</f>
        <v/>
      </c>
      <c r="R1250" s="248" t="str">
        <f ca="1">IF(C1250="","",F1250/([1]!S_STM07_BS(D1250,141,$G$5,$H$13)/IF([1]!S_SHARE_TOTAL(D1250,$G$5)=0,[1]!S_SHARE_TOTAL(D1250,[1]!s_ipo_listeddate(D1250)),[1]!S_SHARE_TOTAL(D1250,$G$5))))</f>
        <v/>
      </c>
      <c r="S1250" s="247" t="str">
        <f ca="1">IF(C1250="","",[1]!S_SHARE_TOTAL(D1250,TODAY())/$E$5)</f>
        <v/>
      </c>
      <c r="T1250" s="247" t="str">
        <f t="shared" ca="1" si="127"/>
        <v/>
      </c>
      <c r="U1250" s="218" t="str">
        <f t="shared" ca="1" si="128"/>
        <v/>
      </c>
      <c r="V1250" s="342" t="str">
        <f t="shared" ca="1" si="129"/>
        <v/>
      </c>
      <c r="W1250" s="139"/>
      <c r="Y1250" s="1"/>
    </row>
    <row r="1251" spans="3:25" ht="12" customHeight="1">
      <c r="C1251" s="343" t="str">
        <f t="shared" ca="1" si="124"/>
        <v/>
      </c>
      <c r="D1251" s="124" t="str">
        <f t="shared" ca="1" si="125"/>
        <v/>
      </c>
      <c r="E1251" s="124" t="str">
        <f t="shared" ca="1" si="126"/>
        <v/>
      </c>
      <c r="F1251" s="172" t="str">
        <f ca="1">IF(C1251="","",[1]!S_DQ_CLOSE(D1251,TODAY(),1))</f>
        <v/>
      </c>
      <c r="G1251" s="173" t="str">
        <f ca="1">IF(C1251="","",[1]!s_pq_pctchange(D1251,TODAY()-$G$12,TODAY())/100)</f>
        <v/>
      </c>
      <c r="H1251" s="249" t="str">
        <f ca="1">IF(C1251="","",IF($H$11="收入",[1]!S_STM07_IS(D1251,9,$G$5,$H$13)/$E$5,[1]!S_STM07_IS(D1251,48,$G$5,$H$13)/$E$5))</f>
        <v/>
      </c>
      <c r="I1251" s="249" t="str">
        <f ca="1">IF(C1251="","",IF($I$11="毛利率",([1]!S_STM07_IS(D1251,9,$G$5,$H$13)-[1]!S_STM07_IS(D1251,10,$G$5,$H$13))/[1]!S_STM07_IS(D1251,9,$G$5,$H$13),[1]!S_STM07_IS(D1251,14,$G$5,$H$13)/$E$5))</f>
        <v/>
      </c>
      <c r="J1251" s="249" t="str">
        <f ca="1">IF(C1251="","",IF($J$11="营业利润率",[1]!S_STM07_IS(D1251,48,$G$5,$H$13)/[1]!S_STM07_IS(D1251,9,$G$5,$H$13),([1]!S_STM07_CS(D1251,87,$G$5,$H$13)+[1]!S_STM07_CS(D1251,88,$G$5,$H$13)+[1]!S_STM07_CS(D1251,89,$G$5,$H$13))/$E$5))</f>
        <v/>
      </c>
      <c r="K1251" s="249" t="str">
        <f ca="1">IF(C1251="","",IF($K$11="净利润率",[1]!S_STM07_IS(D1251,61,$G$5,$H$13)/[1]!S_STM07_IS(D1251,9,$G$5,$H$13),[1]!S_STM07_IS(D1251,55,$G$5,$H$13)/$E$5))</f>
        <v/>
      </c>
      <c r="L1251" s="249" t="str">
        <f ca="1">IF(C1251="","",IF($L$11="ROA",[1]!S_STM07_IS(D1251,61,$G$5,$H$13)/[1]!S_STM07_BS(D1251,74,$G$5,$H$13),1-[1]!S_STM07_IS(D1251,61,$G$5,$H$13)/[1]!S_STM07_IS(D1251,55,$G$5,$H$13)))</f>
        <v/>
      </c>
      <c r="M1251" s="249" t="str">
        <f ca="1">IF(C1251="","",IF($M$11="ROE",[1]!S_STM07_IS(D1251,61,$G$5,$H$13)/[1]!S_STM07_BS(D1251,141,$G$5,$H$13),([1]!S_STM07_BS(D1251,25,$G$5,$H$13)-[1]!S_STM07_BS(D1251,93,$G$5,$H$13))/$E$5))</f>
        <v/>
      </c>
      <c r="N1251" s="250" t="str">
        <f ca="1">IF(C1251="","",IF($N$11="EPS",[1]!S_STM07_IS(D1251,61,$G$5,$H$13)/IF([1]!S_SHARE_TOTAL(D1251,$G$5)=0,[1]!S_SHARE_TOTAL(D1251,[1]!s_ipo_listeddate(D1251)),[1]!S_SHARE_TOTAL(D1251,$G$5)),([1]!S_STM07_BS(D1251,75,$G$5,$H$13)+[1]!S_STM07_BS(D1251,88,$G$5,$H$13)+[1]!S_STM07_BS(D1251,94,$G$5,$H$13)+[1]!S_STM07_BS(D1251,95,$G$5,$H$13))/$E$5))</f>
        <v/>
      </c>
      <c r="O1251" s="250" t="str">
        <f ca="1">IF(C1251="","",IF($O$11="BPS",[1]!S_STM07_BS(D1251,141,$G$5,$H$13)/IF([1]!S_SHARE_TOTAL(D1251,$G$5)=0,[1]!S_SHARE_TOTAL(D1251,[1]!s_ipo_listeddate(D1251)),[1]!S_SHARE_TOTAL(D1251,$G$5)),[1]!S_STM07_CS(D1251,49,$G$5,$H$13)/$E$5))</f>
        <v/>
      </c>
      <c r="P1251" s="250" t="str">
        <f ca="1">IF(C1251="","",IF($P$11="CFPS",[1]!S_STM07_CS(D1251,84,$G$5,$H$13)/IF([1]!S_SHARE_TOTAL(D1251,$G$5)=0,[1]!S_SHARE_TOTAL(D1251,[1]!s_ipo_listeddate(D1251)),[1]!S_SHARE_TOTAL(D1251,$G$5)),[1]!S_STM07_CS(D1251,84,$G$5,$H$13)/$E$5))</f>
        <v/>
      </c>
      <c r="Q1251" s="198" t="str">
        <f ca="1">IF(C1251="","",F1251/([1]!S_STM07_IS(D1251,61,$G$5,$H$13)/IF([1]!S_SHARE_TOTAL(D1251,$G$5)=0,[1]!S_SHARE_TOTAL(D1251,[1]!s_ipo_listeddate(D1251)),[1]!S_SHARE_TOTAL(D1251,$G$5))))</f>
        <v/>
      </c>
      <c r="R1251" s="198" t="str">
        <f ca="1">IF(C1251="","",F1251/([1]!S_STM07_BS(D1251,141,$G$5,$H$13)/IF([1]!S_SHARE_TOTAL(D1251,$G$5)=0,[1]!S_SHARE_TOTAL(D1251,[1]!s_ipo_listeddate(D1251)),[1]!S_SHARE_TOTAL(D1251,$G$5))))</f>
        <v/>
      </c>
      <c r="S1251" s="249" t="str">
        <f ca="1">IF(C1251="","",[1]!S_SHARE_TOTAL(D1251,TODAY())/$E$5)</f>
        <v/>
      </c>
      <c r="T1251" s="249" t="str">
        <f t="shared" ca="1" si="127"/>
        <v/>
      </c>
      <c r="U1251" s="172" t="str">
        <f t="shared" ca="1" si="128"/>
        <v/>
      </c>
      <c r="V1251" s="343" t="str">
        <f t="shared" ca="1" si="129"/>
        <v/>
      </c>
      <c r="W1251" s="139"/>
      <c r="Y1251" s="1"/>
    </row>
    <row r="1252" spans="3:25" ht="12" customHeight="1">
      <c r="C1252" s="342" t="str">
        <f t="shared" ca="1" si="124"/>
        <v/>
      </c>
      <c r="D1252" s="153" t="str">
        <f t="shared" ca="1" si="125"/>
        <v/>
      </c>
      <c r="E1252" s="153" t="str">
        <f t="shared" ca="1" si="126"/>
        <v/>
      </c>
      <c r="F1252" s="170" t="str">
        <f ca="1">IF(C1252="","",[1]!S_DQ_CLOSE(D1252,TODAY(),1))</f>
        <v/>
      </c>
      <c r="G1252" s="171" t="str">
        <f ca="1">IF(C1252="","",[1]!s_pq_pctchange(D1252,TODAY()-$G$12,TODAY())/100)</f>
        <v/>
      </c>
      <c r="H1252" s="247" t="str">
        <f ca="1">IF(C1252="","",IF($H$11="收入",[1]!S_STM07_IS(D1252,9,$G$5,$H$13)/$E$5,[1]!S_STM07_IS(D1252,48,$G$5,$H$13)/$E$5))</f>
        <v/>
      </c>
      <c r="I1252" s="247" t="str">
        <f ca="1">IF(C1252="","",IF($I$11="毛利率",([1]!S_STM07_IS(D1252,9,$G$5,$H$13)-[1]!S_STM07_IS(D1252,10,$G$5,$H$13))/[1]!S_STM07_IS(D1252,9,$G$5,$H$13),[1]!S_STM07_IS(D1252,14,$G$5,$H$13)/$E$5))</f>
        <v/>
      </c>
      <c r="J1252" s="247" t="str">
        <f ca="1">IF(C1252="","",IF($J$11="营业利润率",[1]!S_STM07_IS(D1252,48,$G$5,$H$13)/[1]!S_STM07_IS(D1252,9,$G$5,$H$13),([1]!S_STM07_CS(D1252,87,$G$5,$H$13)+[1]!S_STM07_CS(D1252,88,$G$5,$H$13)+[1]!S_STM07_CS(D1252,89,$G$5,$H$13))/$E$5))</f>
        <v/>
      </c>
      <c r="K1252" s="247" t="str">
        <f ca="1">IF(C1252="","",IF($K$11="净利润率",[1]!S_STM07_IS(D1252,61,$G$5,$H$13)/[1]!S_STM07_IS(D1252,9,$G$5,$H$13),[1]!S_STM07_IS(D1252,55,$G$5,$H$13)/$E$5))</f>
        <v/>
      </c>
      <c r="L1252" s="247" t="str">
        <f ca="1">IF(C1252="","",IF($L$11="ROA",[1]!S_STM07_IS(D1252,61,$G$5,$H$13)/[1]!S_STM07_BS(D1252,74,$G$5,$H$13),1-[1]!S_STM07_IS(D1252,61,$G$5,$H$13)/[1]!S_STM07_IS(D1252,55,$G$5,$H$13)))</f>
        <v/>
      </c>
      <c r="M1252" s="247" t="str">
        <f ca="1">IF(C1252="","",IF($M$11="ROE",[1]!S_STM07_IS(D1252,61,$G$5,$H$13)/[1]!S_STM07_BS(D1252,141,$G$5,$H$13),([1]!S_STM07_BS(D1252,25,$G$5,$H$13)-[1]!S_STM07_BS(D1252,93,$G$5,$H$13))/$E$5))</f>
        <v/>
      </c>
      <c r="N1252" s="247" t="str">
        <f ca="1">IF(C1252="","",IF($N$11="EPS",[1]!S_STM07_IS(D1252,61,$G$5,$H$13)/IF([1]!S_SHARE_TOTAL(D1252,$G$5)=0,[1]!S_SHARE_TOTAL(D1252,[1]!s_ipo_listeddate(D1252)),[1]!S_SHARE_TOTAL(D1252,$G$5)),([1]!S_STM07_BS(D1252,75,$G$5,$H$13)+[1]!S_STM07_BS(D1252,88,$G$5,$H$13)+[1]!S_STM07_BS(D1252,94,$G$5,$H$13)+[1]!S_STM07_BS(D1252,95,$G$5,$H$13))/$E$5))</f>
        <v/>
      </c>
      <c r="O1252" s="247" t="str">
        <f ca="1">IF(C1252="","",IF($O$11="BPS",[1]!S_STM07_BS(D1252,141,$G$5,$H$13)/IF([1]!S_SHARE_TOTAL(D1252,$G$5)=0,[1]!S_SHARE_TOTAL(D1252,[1]!s_ipo_listeddate(D1252)),[1]!S_SHARE_TOTAL(D1252,$G$5)),[1]!S_STM07_CS(D1252,49,$G$5,$H$13)/$E$5))</f>
        <v/>
      </c>
      <c r="P1252" s="247" t="str">
        <f ca="1">IF(C1252="","",IF($P$11="CFPS",[1]!S_STM07_CS(D1252,84,$G$5,$H$13)/IF([1]!S_SHARE_TOTAL(D1252,$G$5)=0,[1]!S_SHARE_TOTAL(D1252,[1]!s_ipo_listeddate(D1252)),[1]!S_SHARE_TOTAL(D1252,$G$5)),[1]!S_STM07_CS(D1252,84,$G$5,$H$13)/$E$5))</f>
        <v/>
      </c>
      <c r="Q1252" s="248" t="str">
        <f ca="1">IF(C1252="","",F1252/([1]!S_STM07_IS(D1252,61,$G$5,$H$13)/IF([1]!S_SHARE_TOTAL(D1252,$G$5)=0,[1]!S_SHARE_TOTAL(D1252,[1]!s_ipo_listeddate(D1252)),[1]!S_SHARE_TOTAL(D1252,$G$5))))</f>
        <v/>
      </c>
      <c r="R1252" s="248" t="str">
        <f ca="1">IF(C1252="","",F1252/([1]!S_STM07_BS(D1252,141,$G$5,$H$13)/IF([1]!S_SHARE_TOTAL(D1252,$G$5)=0,[1]!S_SHARE_TOTAL(D1252,[1]!s_ipo_listeddate(D1252)),[1]!S_SHARE_TOTAL(D1252,$G$5))))</f>
        <v/>
      </c>
      <c r="S1252" s="247" t="str">
        <f ca="1">IF(C1252="","",[1]!S_SHARE_TOTAL(D1252,TODAY())/$E$5)</f>
        <v/>
      </c>
      <c r="T1252" s="247" t="str">
        <f t="shared" ca="1" si="127"/>
        <v/>
      </c>
      <c r="U1252" s="218" t="str">
        <f t="shared" ca="1" si="128"/>
        <v/>
      </c>
      <c r="V1252" s="342" t="str">
        <f t="shared" ca="1" si="129"/>
        <v/>
      </c>
      <c r="W1252" s="139"/>
      <c r="Y1252" s="1"/>
    </row>
    <row r="1253" spans="3:25" ht="12" customHeight="1">
      <c r="C1253" s="343" t="str">
        <f t="shared" ca="1" si="124"/>
        <v/>
      </c>
      <c r="D1253" s="124" t="str">
        <f t="shared" ca="1" si="125"/>
        <v/>
      </c>
      <c r="E1253" s="124" t="str">
        <f t="shared" ca="1" si="126"/>
        <v/>
      </c>
      <c r="F1253" s="172" t="str">
        <f ca="1">IF(C1253="","",[1]!S_DQ_CLOSE(D1253,TODAY(),1))</f>
        <v/>
      </c>
      <c r="G1253" s="173" t="str">
        <f ca="1">IF(C1253="","",[1]!s_pq_pctchange(D1253,TODAY()-$G$12,TODAY())/100)</f>
        <v/>
      </c>
      <c r="H1253" s="249" t="str">
        <f ca="1">IF(C1253="","",IF($H$11="收入",[1]!S_STM07_IS(D1253,9,$G$5,$H$13)/$E$5,[1]!S_STM07_IS(D1253,48,$G$5,$H$13)/$E$5))</f>
        <v/>
      </c>
      <c r="I1253" s="249" t="str">
        <f ca="1">IF(C1253="","",IF($I$11="毛利率",([1]!S_STM07_IS(D1253,9,$G$5,$H$13)-[1]!S_STM07_IS(D1253,10,$G$5,$H$13))/[1]!S_STM07_IS(D1253,9,$G$5,$H$13),[1]!S_STM07_IS(D1253,14,$G$5,$H$13)/$E$5))</f>
        <v/>
      </c>
      <c r="J1253" s="249" t="str">
        <f ca="1">IF(C1253="","",IF($J$11="营业利润率",[1]!S_STM07_IS(D1253,48,$G$5,$H$13)/[1]!S_STM07_IS(D1253,9,$G$5,$H$13),([1]!S_STM07_CS(D1253,87,$G$5,$H$13)+[1]!S_STM07_CS(D1253,88,$G$5,$H$13)+[1]!S_STM07_CS(D1253,89,$G$5,$H$13))/$E$5))</f>
        <v/>
      </c>
      <c r="K1253" s="249" t="str">
        <f ca="1">IF(C1253="","",IF($K$11="净利润率",[1]!S_STM07_IS(D1253,61,$G$5,$H$13)/[1]!S_STM07_IS(D1253,9,$G$5,$H$13),[1]!S_STM07_IS(D1253,55,$G$5,$H$13)/$E$5))</f>
        <v/>
      </c>
      <c r="L1253" s="249" t="str">
        <f ca="1">IF(C1253="","",IF($L$11="ROA",[1]!S_STM07_IS(D1253,61,$G$5,$H$13)/[1]!S_STM07_BS(D1253,74,$G$5,$H$13),1-[1]!S_STM07_IS(D1253,61,$G$5,$H$13)/[1]!S_STM07_IS(D1253,55,$G$5,$H$13)))</f>
        <v/>
      </c>
      <c r="M1253" s="249" t="str">
        <f ca="1">IF(C1253="","",IF($M$11="ROE",[1]!S_STM07_IS(D1253,61,$G$5,$H$13)/[1]!S_STM07_BS(D1253,141,$G$5,$H$13),([1]!S_STM07_BS(D1253,25,$G$5,$H$13)-[1]!S_STM07_BS(D1253,93,$G$5,$H$13))/$E$5))</f>
        <v/>
      </c>
      <c r="N1253" s="250" t="str">
        <f ca="1">IF(C1253="","",IF($N$11="EPS",[1]!S_STM07_IS(D1253,61,$G$5,$H$13)/IF([1]!S_SHARE_TOTAL(D1253,$G$5)=0,[1]!S_SHARE_TOTAL(D1253,[1]!s_ipo_listeddate(D1253)),[1]!S_SHARE_TOTAL(D1253,$G$5)),([1]!S_STM07_BS(D1253,75,$G$5,$H$13)+[1]!S_STM07_BS(D1253,88,$G$5,$H$13)+[1]!S_STM07_BS(D1253,94,$G$5,$H$13)+[1]!S_STM07_BS(D1253,95,$G$5,$H$13))/$E$5))</f>
        <v/>
      </c>
      <c r="O1253" s="250" t="str">
        <f ca="1">IF(C1253="","",IF($O$11="BPS",[1]!S_STM07_BS(D1253,141,$G$5,$H$13)/IF([1]!S_SHARE_TOTAL(D1253,$G$5)=0,[1]!S_SHARE_TOTAL(D1253,[1]!s_ipo_listeddate(D1253)),[1]!S_SHARE_TOTAL(D1253,$G$5)),[1]!S_STM07_CS(D1253,49,$G$5,$H$13)/$E$5))</f>
        <v/>
      </c>
      <c r="P1253" s="250" t="str">
        <f ca="1">IF(C1253="","",IF($P$11="CFPS",[1]!S_STM07_CS(D1253,84,$G$5,$H$13)/IF([1]!S_SHARE_TOTAL(D1253,$G$5)=0,[1]!S_SHARE_TOTAL(D1253,[1]!s_ipo_listeddate(D1253)),[1]!S_SHARE_TOTAL(D1253,$G$5)),[1]!S_STM07_CS(D1253,84,$G$5,$H$13)/$E$5))</f>
        <v/>
      </c>
      <c r="Q1253" s="198" t="str">
        <f ca="1">IF(C1253="","",F1253/([1]!S_STM07_IS(D1253,61,$G$5,$H$13)/IF([1]!S_SHARE_TOTAL(D1253,$G$5)=0,[1]!S_SHARE_TOTAL(D1253,[1]!s_ipo_listeddate(D1253)),[1]!S_SHARE_TOTAL(D1253,$G$5))))</f>
        <v/>
      </c>
      <c r="R1253" s="198" t="str">
        <f ca="1">IF(C1253="","",F1253/([1]!S_STM07_BS(D1253,141,$G$5,$H$13)/IF([1]!S_SHARE_TOTAL(D1253,$G$5)=0,[1]!S_SHARE_TOTAL(D1253,[1]!s_ipo_listeddate(D1253)),[1]!S_SHARE_TOTAL(D1253,$G$5))))</f>
        <v/>
      </c>
      <c r="S1253" s="249" t="str">
        <f ca="1">IF(C1253="","",[1]!S_SHARE_TOTAL(D1253,TODAY())/$E$5)</f>
        <v/>
      </c>
      <c r="T1253" s="249" t="str">
        <f t="shared" ca="1" si="127"/>
        <v/>
      </c>
      <c r="U1253" s="172" t="str">
        <f t="shared" ca="1" si="128"/>
        <v/>
      </c>
      <c r="V1253" s="343" t="str">
        <f t="shared" ca="1" si="129"/>
        <v/>
      </c>
      <c r="W1253" s="139"/>
      <c r="Y1253" s="1"/>
    </row>
    <row r="1254" spans="3:25" ht="12" customHeight="1">
      <c r="C1254" s="342" t="str">
        <f t="shared" ca="1" si="124"/>
        <v/>
      </c>
      <c r="D1254" s="153" t="str">
        <f t="shared" ca="1" si="125"/>
        <v/>
      </c>
      <c r="E1254" s="153" t="str">
        <f t="shared" ca="1" si="126"/>
        <v/>
      </c>
      <c r="F1254" s="170" t="str">
        <f ca="1">IF(C1254="","",[1]!S_DQ_CLOSE(D1254,TODAY(),1))</f>
        <v/>
      </c>
      <c r="G1254" s="171" t="str">
        <f ca="1">IF(C1254="","",[1]!s_pq_pctchange(D1254,TODAY()-$G$12,TODAY())/100)</f>
        <v/>
      </c>
      <c r="H1254" s="247" t="str">
        <f ca="1">IF(C1254="","",IF($H$11="收入",[1]!S_STM07_IS(D1254,9,$G$5,$H$13)/$E$5,[1]!S_STM07_IS(D1254,48,$G$5,$H$13)/$E$5))</f>
        <v/>
      </c>
      <c r="I1254" s="247" t="str">
        <f ca="1">IF(C1254="","",IF($I$11="毛利率",([1]!S_STM07_IS(D1254,9,$G$5,$H$13)-[1]!S_STM07_IS(D1254,10,$G$5,$H$13))/[1]!S_STM07_IS(D1254,9,$G$5,$H$13),[1]!S_STM07_IS(D1254,14,$G$5,$H$13)/$E$5))</f>
        <v/>
      </c>
      <c r="J1254" s="247" t="str">
        <f ca="1">IF(C1254="","",IF($J$11="营业利润率",[1]!S_STM07_IS(D1254,48,$G$5,$H$13)/[1]!S_STM07_IS(D1254,9,$G$5,$H$13),([1]!S_STM07_CS(D1254,87,$G$5,$H$13)+[1]!S_STM07_CS(D1254,88,$G$5,$H$13)+[1]!S_STM07_CS(D1254,89,$G$5,$H$13))/$E$5))</f>
        <v/>
      </c>
      <c r="K1254" s="247" t="str">
        <f ca="1">IF(C1254="","",IF($K$11="净利润率",[1]!S_STM07_IS(D1254,61,$G$5,$H$13)/[1]!S_STM07_IS(D1254,9,$G$5,$H$13),[1]!S_STM07_IS(D1254,55,$G$5,$H$13)/$E$5))</f>
        <v/>
      </c>
      <c r="L1254" s="247" t="str">
        <f ca="1">IF(C1254="","",IF($L$11="ROA",[1]!S_STM07_IS(D1254,61,$G$5,$H$13)/[1]!S_STM07_BS(D1254,74,$G$5,$H$13),1-[1]!S_STM07_IS(D1254,61,$G$5,$H$13)/[1]!S_STM07_IS(D1254,55,$G$5,$H$13)))</f>
        <v/>
      </c>
      <c r="M1254" s="247" t="str">
        <f ca="1">IF(C1254="","",IF($M$11="ROE",[1]!S_STM07_IS(D1254,61,$G$5,$H$13)/[1]!S_STM07_BS(D1254,141,$G$5,$H$13),([1]!S_STM07_BS(D1254,25,$G$5,$H$13)-[1]!S_STM07_BS(D1254,93,$G$5,$H$13))/$E$5))</f>
        <v/>
      </c>
      <c r="N1254" s="247" t="str">
        <f ca="1">IF(C1254="","",IF($N$11="EPS",[1]!S_STM07_IS(D1254,61,$G$5,$H$13)/IF([1]!S_SHARE_TOTAL(D1254,$G$5)=0,[1]!S_SHARE_TOTAL(D1254,[1]!s_ipo_listeddate(D1254)),[1]!S_SHARE_TOTAL(D1254,$G$5)),([1]!S_STM07_BS(D1254,75,$G$5,$H$13)+[1]!S_STM07_BS(D1254,88,$G$5,$H$13)+[1]!S_STM07_BS(D1254,94,$G$5,$H$13)+[1]!S_STM07_BS(D1254,95,$G$5,$H$13))/$E$5))</f>
        <v/>
      </c>
      <c r="O1254" s="247" t="str">
        <f ca="1">IF(C1254="","",IF($O$11="BPS",[1]!S_STM07_BS(D1254,141,$G$5,$H$13)/IF([1]!S_SHARE_TOTAL(D1254,$G$5)=0,[1]!S_SHARE_TOTAL(D1254,[1]!s_ipo_listeddate(D1254)),[1]!S_SHARE_TOTAL(D1254,$G$5)),[1]!S_STM07_CS(D1254,49,$G$5,$H$13)/$E$5))</f>
        <v/>
      </c>
      <c r="P1254" s="247" t="str">
        <f ca="1">IF(C1254="","",IF($P$11="CFPS",[1]!S_STM07_CS(D1254,84,$G$5,$H$13)/IF([1]!S_SHARE_TOTAL(D1254,$G$5)=0,[1]!S_SHARE_TOTAL(D1254,[1]!s_ipo_listeddate(D1254)),[1]!S_SHARE_TOTAL(D1254,$G$5)),[1]!S_STM07_CS(D1254,84,$G$5,$H$13)/$E$5))</f>
        <v/>
      </c>
      <c r="Q1254" s="248" t="str">
        <f ca="1">IF(C1254="","",F1254/([1]!S_STM07_IS(D1254,61,$G$5,$H$13)/IF([1]!S_SHARE_TOTAL(D1254,$G$5)=0,[1]!S_SHARE_TOTAL(D1254,[1]!s_ipo_listeddate(D1254)),[1]!S_SHARE_TOTAL(D1254,$G$5))))</f>
        <v/>
      </c>
      <c r="R1254" s="248" t="str">
        <f ca="1">IF(C1254="","",F1254/([1]!S_STM07_BS(D1254,141,$G$5,$H$13)/IF([1]!S_SHARE_TOTAL(D1254,$G$5)=0,[1]!S_SHARE_TOTAL(D1254,[1]!s_ipo_listeddate(D1254)),[1]!S_SHARE_TOTAL(D1254,$G$5))))</f>
        <v/>
      </c>
      <c r="S1254" s="247" t="str">
        <f ca="1">IF(C1254="","",[1]!S_SHARE_TOTAL(D1254,TODAY())/$E$5)</f>
        <v/>
      </c>
      <c r="T1254" s="247" t="str">
        <f t="shared" ca="1" si="127"/>
        <v/>
      </c>
      <c r="U1254" s="218" t="str">
        <f t="shared" ca="1" si="128"/>
        <v/>
      </c>
      <c r="V1254" s="342" t="str">
        <f t="shared" ca="1" si="129"/>
        <v/>
      </c>
      <c r="W1254" s="139"/>
      <c r="Y1254" s="1"/>
    </row>
    <row r="1255" spans="3:25" ht="12" customHeight="1">
      <c r="C1255" s="343" t="str">
        <f t="shared" ca="1" si="124"/>
        <v/>
      </c>
      <c r="D1255" s="124" t="str">
        <f t="shared" ca="1" si="125"/>
        <v/>
      </c>
      <c r="E1255" s="124" t="str">
        <f t="shared" ca="1" si="126"/>
        <v/>
      </c>
      <c r="F1255" s="172" t="str">
        <f ca="1">IF(C1255="","",[1]!S_DQ_CLOSE(D1255,TODAY(),1))</f>
        <v/>
      </c>
      <c r="G1255" s="173" t="str">
        <f ca="1">IF(C1255="","",[1]!s_pq_pctchange(D1255,TODAY()-$G$12,TODAY())/100)</f>
        <v/>
      </c>
      <c r="H1255" s="249" t="str">
        <f ca="1">IF(C1255="","",IF($H$11="收入",[1]!S_STM07_IS(D1255,9,$G$5,$H$13)/$E$5,[1]!S_STM07_IS(D1255,48,$G$5,$H$13)/$E$5))</f>
        <v/>
      </c>
      <c r="I1255" s="249" t="str">
        <f ca="1">IF(C1255="","",IF($I$11="毛利率",([1]!S_STM07_IS(D1255,9,$G$5,$H$13)-[1]!S_STM07_IS(D1255,10,$G$5,$H$13))/[1]!S_STM07_IS(D1255,9,$G$5,$H$13),[1]!S_STM07_IS(D1255,14,$G$5,$H$13)/$E$5))</f>
        <v/>
      </c>
      <c r="J1255" s="249" t="str">
        <f ca="1">IF(C1255="","",IF($J$11="营业利润率",[1]!S_STM07_IS(D1255,48,$G$5,$H$13)/[1]!S_STM07_IS(D1255,9,$G$5,$H$13),([1]!S_STM07_CS(D1255,87,$G$5,$H$13)+[1]!S_STM07_CS(D1255,88,$G$5,$H$13)+[1]!S_STM07_CS(D1255,89,$G$5,$H$13))/$E$5))</f>
        <v/>
      </c>
      <c r="K1255" s="249" t="str">
        <f ca="1">IF(C1255="","",IF($K$11="净利润率",[1]!S_STM07_IS(D1255,61,$G$5,$H$13)/[1]!S_STM07_IS(D1255,9,$G$5,$H$13),[1]!S_STM07_IS(D1255,55,$G$5,$H$13)/$E$5))</f>
        <v/>
      </c>
      <c r="L1255" s="249" t="str">
        <f ca="1">IF(C1255="","",IF($L$11="ROA",[1]!S_STM07_IS(D1255,61,$G$5,$H$13)/[1]!S_STM07_BS(D1255,74,$G$5,$H$13),1-[1]!S_STM07_IS(D1255,61,$G$5,$H$13)/[1]!S_STM07_IS(D1255,55,$G$5,$H$13)))</f>
        <v/>
      </c>
      <c r="M1255" s="249" t="str">
        <f ca="1">IF(C1255="","",IF($M$11="ROE",[1]!S_STM07_IS(D1255,61,$G$5,$H$13)/[1]!S_STM07_BS(D1255,141,$G$5,$H$13),([1]!S_STM07_BS(D1255,25,$G$5,$H$13)-[1]!S_STM07_BS(D1255,93,$G$5,$H$13))/$E$5))</f>
        <v/>
      </c>
      <c r="N1255" s="250" t="str">
        <f ca="1">IF(C1255="","",IF($N$11="EPS",[1]!S_STM07_IS(D1255,61,$G$5,$H$13)/IF([1]!S_SHARE_TOTAL(D1255,$G$5)=0,[1]!S_SHARE_TOTAL(D1255,[1]!s_ipo_listeddate(D1255)),[1]!S_SHARE_TOTAL(D1255,$G$5)),([1]!S_STM07_BS(D1255,75,$G$5,$H$13)+[1]!S_STM07_BS(D1255,88,$G$5,$H$13)+[1]!S_STM07_BS(D1255,94,$G$5,$H$13)+[1]!S_STM07_BS(D1255,95,$G$5,$H$13))/$E$5))</f>
        <v/>
      </c>
      <c r="O1255" s="250" t="str">
        <f ca="1">IF(C1255="","",IF($O$11="BPS",[1]!S_STM07_BS(D1255,141,$G$5,$H$13)/IF([1]!S_SHARE_TOTAL(D1255,$G$5)=0,[1]!S_SHARE_TOTAL(D1255,[1]!s_ipo_listeddate(D1255)),[1]!S_SHARE_TOTAL(D1255,$G$5)),[1]!S_STM07_CS(D1255,49,$G$5,$H$13)/$E$5))</f>
        <v/>
      </c>
      <c r="P1255" s="250" t="str">
        <f ca="1">IF(C1255="","",IF($P$11="CFPS",[1]!S_STM07_CS(D1255,84,$G$5,$H$13)/IF([1]!S_SHARE_TOTAL(D1255,$G$5)=0,[1]!S_SHARE_TOTAL(D1255,[1]!s_ipo_listeddate(D1255)),[1]!S_SHARE_TOTAL(D1255,$G$5)),[1]!S_STM07_CS(D1255,84,$G$5,$H$13)/$E$5))</f>
        <v/>
      </c>
      <c r="Q1255" s="198" t="str">
        <f ca="1">IF(C1255="","",F1255/([1]!S_STM07_IS(D1255,61,$G$5,$H$13)/IF([1]!S_SHARE_TOTAL(D1255,$G$5)=0,[1]!S_SHARE_TOTAL(D1255,[1]!s_ipo_listeddate(D1255)),[1]!S_SHARE_TOTAL(D1255,$G$5))))</f>
        <v/>
      </c>
      <c r="R1255" s="198" t="str">
        <f ca="1">IF(C1255="","",F1255/([1]!S_STM07_BS(D1255,141,$G$5,$H$13)/IF([1]!S_SHARE_TOTAL(D1255,$G$5)=0,[1]!S_SHARE_TOTAL(D1255,[1]!s_ipo_listeddate(D1255)),[1]!S_SHARE_TOTAL(D1255,$G$5))))</f>
        <v/>
      </c>
      <c r="S1255" s="249" t="str">
        <f ca="1">IF(C1255="","",[1]!S_SHARE_TOTAL(D1255,TODAY())/$E$5)</f>
        <v/>
      </c>
      <c r="T1255" s="249" t="str">
        <f t="shared" ca="1" si="127"/>
        <v/>
      </c>
      <c r="U1255" s="172" t="str">
        <f t="shared" ca="1" si="128"/>
        <v/>
      </c>
      <c r="V1255" s="343" t="str">
        <f t="shared" ca="1" si="129"/>
        <v/>
      </c>
      <c r="W1255" s="139"/>
      <c r="Y1255" s="1"/>
    </row>
    <row r="1256" spans="3:25" ht="12" customHeight="1">
      <c r="C1256" s="342" t="str">
        <f t="shared" ca="1" si="124"/>
        <v/>
      </c>
      <c r="D1256" s="153" t="str">
        <f t="shared" ca="1" si="125"/>
        <v/>
      </c>
      <c r="E1256" s="153" t="str">
        <f t="shared" ca="1" si="126"/>
        <v/>
      </c>
      <c r="F1256" s="170" t="str">
        <f ca="1">IF(C1256="","",[1]!S_DQ_CLOSE(D1256,TODAY(),1))</f>
        <v/>
      </c>
      <c r="G1256" s="171" t="str">
        <f ca="1">IF(C1256="","",[1]!s_pq_pctchange(D1256,TODAY()-$G$12,TODAY())/100)</f>
        <v/>
      </c>
      <c r="H1256" s="247" t="str">
        <f ca="1">IF(C1256="","",IF($H$11="收入",[1]!S_STM07_IS(D1256,9,$G$5,$H$13)/$E$5,[1]!S_STM07_IS(D1256,48,$G$5,$H$13)/$E$5))</f>
        <v/>
      </c>
      <c r="I1256" s="247" t="str">
        <f ca="1">IF(C1256="","",IF($I$11="毛利率",([1]!S_STM07_IS(D1256,9,$G$5,$H$13)-[1]!S_STM07_IS(D1256,10,$G$5,$H$13))/[1]!S_STM07_IS(D1256,9,$G$5,$H$13),[1]!S_STM07_IS(D1256,14,$G$5,$H$13)/$E$5))</f>
        <v/>
      </c>
      <c r="J1256" s="247" t="str">
        <f ca="1">IF(C1256="","",IF($J$11="营业利润率",[1]!S_STM07_IS(D1256,48,$G$5,$H$13)/[1]!S_STM07_IS(D1256,9,$G$5,$H$13),([1]!S_STM07_CS(D1256,87,$G$5,$H$13)+[1]!S_STM07_CS(D1256,88,$G$5,$H$13)+[1]!S_STM07_CS(D1256,89,$G$5,$H$13))/$E$5))</f>
        <v/>
      </c>
      <c r="K1256" s="247" t="str">
        <f ca="1">IF(C1256="","",IF($K$11="净利润率",[1]!S_STM07_IS(D1256,61,$G$5,$H$13)/[1]!S_STM07_IS(D1256,9,$G$5,$H$13),[1]!S_STM07_IS(D1256,55,$G$5,$H$13)/$E$5))</f>
        <v/>
      </c>
      <c r="L1256" s="247" t="str">
        <f ca="1">IF(C1256="","",IF($L$11="ROA",[1]!S_STM07_IS(D1256,61,$G$5,$H$13)/[1]!S_STM07_BS(D1256,74,$G$5,$H$13),1-[1]!S_STM07_IS(D1256,61,$G$5,$H$13)/[1]!S_STM07_IS(D1256,55,$G$5,$H$13)))</f>
        <v/>
      </c>
      <c r="M1256" s="247" t="str">
        <f ca="1">IF(C1256="","",IF($M$11="ROE",[1]!S_STM07_IS(D1256,61,$G$5,$H$13)/[1]!S_STM07_BS(D1256,141,$G$5,$H$13),([1]!S_STM07_BS(D1256,25,$G$5,$H$13)-[1]!S_STM07_BS(D1256,93,$G$5,$H$13))/$E$5))</f>
        <v/>
      </c>
      <c r="N1256" s="247" t="str">
        <f ca="1">IF(C1256="","",IF($N$11="EPS",[1]!S_STM07_IS(D1256,61,$G$5,$H$13)/IF([1]!S_SHARE_TOTAL(D1256,$G$5)=0,[1]!S_SHARE_TOTAL(D1256,[1]!s_ipo_listeddate(D1256)),[1]!S_SHARE_TOTAL(D1256,$G$5)),([1]!S_STM07_BS(D1256,75,$G$5,$H$13)+[1]!S_STM07_BS(D1256,88,$G$5,$H$13)+[1]!S_STM07_BS(D1256,94,$G$5,$H$13)+[1]!S_STM07_BS(D1256,95,$G$5,$H$13))/$E$5))</f>
        <v/>
      </c>
      <c r="O1256" s="247" t="str">
        <f ca="1">IF(C1256="","",IF($O$11="BPS",[1]!S_STM07_BS(D1256,141,$G$5,$H$13)/IF([1]!S_SHARE_TOTAL(D1256,$G$5)=0,[1]!S_SHARE_TOTAL(D1256,[1]!s_ipo_listeddate(D1256)),[1]!S_SHARE_TOTAL(D1256,$G$5)),[1]!S_STM07_CS(D1256,49,$G$5,$H$13)/$E$5))</f>
        <v/>
      </c>
      <c r="P1256" s="247" t="str">
        <f ca="1">IF(C1256="","",IF($P$11="CFPS",[1]!S_STM07_CS(D1256,84,$G$5,$H$13)/IF([1]!S_SHARE_TOTAL(D1256,$G$5)=0,[1]!S_SHARE_TOTAL(D1256,[1]!s_ipo_listeddate(D1256)),[1]!S_SHARE_TOTAL(D1256,$G$5)),[1]!S_STM07_CS(D1256,84,$G$5,$H$13)/$E$5))</f>
        <v/>
      </c>
      <c r="Q1256" s="248" t="str">
        <f ca="1">IF(C1256="","",F1256/([1]!S_STM07_IS(D1256,61,$G$5,$H$13)/IF([1]!S_SHARE_TOTAL(D1256,$G$5)=0,[1]!S_SHARE_TOTAL(D1256,[1]!s_ipo_listeddate(D1256)),[1]!S_SHARE_TOTAL(D1256,$G$5))))</f>
        <v/>
      </c>
      <c r="R1256" s="248" t="str">
        <f ca="1">IF(C1256="","",F1256/([1]!S_STM07_BS(D1256,141,$G$5,$H$13)/IF([1]!S_SHARE_TOTAL(D1256,$G$5)=0,[1]!S_SHARE_TOTAL(D1256,[1]!s_ipo_listeddate(D1256)),[1]!S_SHARE_TOTAL(D1256,$G$5))))</f>
        <v/>
      </c>
      <c r="S1256" s="247" t="str">
        <f ca="1">IF(C1256="","",[1]!S_SHARE_TOTAL(D1256,TODAY())/$E$5)</f>
        <v/>
      </c>
      <c r="T1256" s="247" t="str">
        <f t="shared" ca="1" si="127"/>
        <v/>
      </c>
      <c r="U1256" s="218" t="str">
        <f t="shared" ca="1" si="128"/>
        <v/>
      </c>
      <c r="V1256" s="342" t="str">
        <f t="shared" ca="1" si="129"/>
        <v/>
      </c>
      <c r="W1256" s="139"/>
      <c r="Y1256" s="1"/>
    </row>
    <row r="1257" spans="3:25" ht="12" customHeight="1">
      <c r="C1257" s="343" t="str">
        <f t="shared" ca="1" si="124"/>
        <v/>
      </c>
      <c r="D1257" s="124" t="str">
        <f t="shared" ca="1" si="125"/>
        <v/>
      </c>
      <c r="E1257" s="124" t="str">
        <f t="shared" ca="1" si="126"/>
        <v/>
      </c>
      <c r="F1257" s="172" t="str">
        <f ca="1">IF(C1257="","",[1]!S_DQ_CLOSE(D1257,TODAY(),1))</f>
        <v/>
      </c>
      <c r="G1257" s="173" t="str">
        <f ca="1">IF(C1257="","",[1]!s_pq_pctchange(D1257,TODAY()-$G$12,TODAY())/100)</f>
        <v/>
      </c>
      <c r="H1257" s="249" t="str">
        <f ca="1">IF(C1257="","",IF($H$11="收入",[1]!S_STM07_IS(D1257,9,$G$5,$H$13)/$E$5,[1]!S_STM07_IS(D1257,48,$G$5,$H$13)/$E$5))</f>
        <v/>
      </c>
      <c r="I1257" s="249" t="str">
        <f ca="1">IF(C1257="","",IF($I$11="毛利率",([1]!S_STM07_IS(D1257,9,$G$5,$H$13)-[1]!S_STM07_IS(D1257,10,$G$5,$H$13))/[1]!S_STM07_IS(D1257,9,$G$5,$H$13),[1]!S_STM07_IS(D1257,14,$G$5,$H$13)/$E$5))</f>
        <v/>
      </c>
      <c r="J1257" s="249" t="str">
        <f ca="1">IF(C1257="","",IF($J$11="营业利润率",[1]!S_STM07_IS(D1257,48,$G$5,$H$13)/[1]!S_STM07_IS(D1257,9,$G$5,$H$13),([1]!S_STM07_CS(D1257,87,$G$5,$H$13)+[1]!S_STM07_CS(D1257,88,$G$5,$H$13)+[1]!S_STM07_CS(D1257,89,$G$5,$H$13))/$E$5))</f>
        <v/>
      </c>
      <c r="K1257" s="249" t="str">
        <f ca="1">IF(C1257="","",IF($K$11="净利润率",[1]!S_STM07_IS(D1257,61,$G$5,$H$13)/[1]!S_STM07_IS(D1257,9,$G$5,$H$13),[1]!S_STM07_IS(D1257,55,$G$5,$H$13)/$E$5))</f>
        <v/>
      </c>
      <c r="L1257" s="249" t="str">
        <f ca="1">IF(C1257="","",IF($L$11="ROA",[1]!S_STM07_IS(D1257,61,$G$5,$H$13)/[1]!S_STM07_BS(D1257,74,$G$5,$H$13),1-[1]!S_STM07_IS(D1257,61,$G$5,$H$13)/[1]!S_STM07_IS(D1257,55,$G$5,$H$13)))</f>
        <v/>
      </c>
      <c r="M1257" s="249" t="str">
        <f ca="1">IF(C1257="","",IF($M$11="ROE",[1]!S_STM07_IS(D1257,61,$G$5,$H$13)/[1]!S_STM07_BS(D1257,141,$G$5,$H$13),([1]!S_STM07_BS(D1257,25,$G$5,$H$13)-[1]!S_STM07_BS(D1257,93,$G$5,$H$13))/$E$5))</f>
        <v/>
      </c>
      <c r="N1257" s="250" t="str">
        <f ca="1">IF(C1257="","",IF($N$11="EPS",[1]!S_STM07_IS(D1257,61,$G$5,$H$13)/IF([1]!S_SHARE_TOTAL(D1257,$G$5)=0,[1]!S_SHARE_TOTAL(D1257,[1]!s_ipo_listeddate(D1257)),[1]!S_SHARE_TOTAL(D1257,$G$5)),([1]!S_STM07_BS(D1257,75,$G$5,$H$13)+[1]!S_STM07_BS(D1257,88,$G$5,$H$13)+[1]!S_STM07_BS(D1257,94,$G$5,$H$13)+[1]!S_STM07_BS(D1257,95,$G$5,$H$13))/$E$5))</f>
        <v/>
      </c>
      <c r="O1257" s="250" t="str">
        <f ca="1">IF(C1257="","",IF($O$11="BPS",[1]!S_STM07_BS(D1257,141,$G$5,$H$13)/IF([1]!S_SHARE_TOTAL(D1257,$G$5)=0,[1]!S_SHARE_TOTAL(D1257,[1]!s_ipo_listeddate(D1257)),[1]!S_SHARE_TOTAL(D1257,$G$5)),[1]!S_STM07_CS(D1257,49,$G$5,$H$13)/$E$5))</f>
        <v/>
      </c>
      <c r="P1257" s="250" t="str">
        <f ca="1">IF(C1257="","",IF($P$11="CFPS",[1]!S_STM07_CS(D1257,84,$G$5,$H$13)/IF([1]!S_SHARE_TOTAL(D1257,$G$5)=0,[1]!S_SHARE_TOTAL(D1257,[1]!s_ipo_listeddate(D1257)),[1]!S_SHARE_TOTAL(D1257,$G$5)),[1]!S_STM07_CS(D1257,84,$G$5,$H$13)/$E$5))</f>
        <v/>
      </c>
      <c r="Q1257" s="198" t="str">
        <f ca="1">IF(C1257="","",F1257/([1]!S_STM07_IS(D1257,61,$G$5,$H$13)/IF([1]!S_SHARE_TOTAL(D1257,$G$5)=0,[1]!S_SHARE_TOTAL(D1257,[1]!s_ipo_listeddate(D1257)),[1]!S_SHARE_TOTAL(D1257,$G$5))))</f>
        <v/>
      </c>
      <c r="R1257" s="198" t="str">
        <f ca="1">IF(C1257="","",F1257/([1]!S_STM07_BS(D1257,141,$G$5,$H$13)/IF([1]!S_SHARE_TOTAL(D1257,$G$5)=0,[1]!S_SHARE_TOTAL(D1257,[1]!s_ipo_listeddate(D1257)),[1]!S_SHARE_TOTAL(D1257,$G$5))))</f>
        <v/>
      </c>
      <c r="S1257" s="249" t="str">
        <f ca="1">IF(C1257="","",[1]!S_SHARE_TOTAL(D1257,TODAY())/$E$5)</f>
        <v/>
      </c>
      <c r="T1257" s="249" t="str">
        <f t="shared" ca="1" si="127"/>
        <v/>
      </c>
      <c r="U1257" s="172" t="str">
        <f t="shared" ca="1" si="128"/>
        <v/>
      </c>
      <c r="V1257" s="343" t="str">
        <f t="shared" ca="1" si="129"/>
        <v/>
      </c>
      <c r="W1257" s="139"/>
      <c r="Y1257" s="1"/>
    </row>
    <row r="1258" spans="3:25" ht="12" customHeight="1">
      <c r="C1258" s="342" t="str">
        <f t="shared" ca="1" si="124"/>
        <v/>
      </c>
      <c r="D1258" s="153" t="str">
        <f t="shared" ca="1" si="125"/>
        <v/>
      </c>
      <c r="E1258" s="153" t="str">
        <f t="shared" ca="1" si="126"/>
        <v/>
      </c>
      <c r="F1258" s="170" t="str">
        <f ca="1">IF(C1258="","",[1]!S_DQ_CLOSE(D1258,TODAY(),1))</f>
        <v/>
      </c>
      <c r="G1258" s="171" t="str">
        <f ca="1">IF(C1258="","",[1]!s_pq_pctchange(D1258,TODAY()-$G$12,TODAY())/100)</f>
        <v/>
      </c>
      <c r="H1258" s="247" t="str">
        <f ca="1">IF(C1258="","",IF($H$11="收入",[1]!S_STM07_IS(D1258,9,$G$5,$H$13)/$E$5,[1]!S_STM07_IS(D1258,48,$G$5,$H$13)/$E$5))</f>
        <v/>
      </c>
      <c r="I1258" s="247" t="str">
        <f ca="1">IF(C1258="","",IF($I$11="毛利率",([1]!S_STM07_IS(D1258,9,$G$5,$H$13)-[1]!S_STM07_IS(D1258,10,$G$5,$H$13))/[1]!S_STM07_IS(D1258,9,$G$5,$H$13),[1]!S_STM07_IS(D1258,14,$G$5,$H$13)/$E$5))</f>
        <v/>
      </c>
      <c r="J1258" s="247" t="str">
        <f ca="1">IF(C1258="","",IF($J$11="营业利润率",[1]!S_STM07_IS(D1258,48,$G$5,$H$13)/[1]!S_STM07_IS(D1258,9,$G$5,$H$13),([1]!S_STM07_CS(D1258,87,$G$5,$H$13)+[1]!S_STM07_CS(D1258,88,$G$5,$H$13)+[1]!S_STM07_CS(D1258,89,$G$5,$H$13))/$E$5))</f>
        <v/>
      </c>
      <c r="K1258" s="247" t="str">
        <f ca="1">IF(C1258="","",IF($K$11="净利润率",[1]!S_STM07_IS(D1258,61,$G$5,$H$13)/[1]!S_STM07_IS(D1258,9,$G$5,$H$13),[1]!S_STM07_IS(D1258,55,$G$5,$H$13)/$E$5))</f>
        <v/>
      </c>
      <c r="L1258" s="247" t="str">
        <f ca="1">IF(C1258="","",IF($L$11="ROA",[1]!S_STM07_IS(D1258,61,$G$5,$H$13)/[1]!S_STM07_BS(D1258,74,$G$5,$H$13),1-[1]!S_STM07_IS(D1258,61,$G$5,$H$13)/[1]!S_STM07_IS(D1258,55,$G$5,$H$13)))</f>
        <v/>
      </c>
      <c r="M1258" s="247" t="str">
        <f ca="1">IF(C1258="","",IF($M$11="ROE",[1]!S_STM07_IS(D1258,61,$G$5,$H$13)/[1]!S_STM07_BS(D1258,141,$G$5,$H$13),([1]!S_STM07_BS(D1258,25,$G$5,$H$13)-[1]!S_STM07_BS(D1258,93,$G$5,$H$13))/$E$5))</f>
        <v/>
      </c>
      <c r="N1258" s="247" t="str">
        <f ca="1">IF(C1258="","",IF($N$11="EPS",[1]!S_STM07_IS(D1258,61,$G$5,$H$13)/IF([1]!S_SHARE_TOTAL(D1258,$G$5)=0,[1]!S_SHARE_TOTAL(D1258,[1]!s_ipo_listeddate(D1258)),[1]!S_SHARE_TOTAL(D1258,$G$5)),([1]!S_STM07_BS(D1258,75,$G$5,$H$13)+[1]!S_STM07_BS(D1258,88,$G$5,$H$13)+[1]!S_STM07_BS(D1258,94,$G$5,$H$13)+[1]!S_STM07_BS(D1258,95,$G$5,$H$13))/$E$5))</f>
        <v/>
      </c>
      <c r="O1258" s="247" t="str">
        <f ca="1">IF(C1258="","",IF($O$11="BPS",[1]!S_STM07_BS(D1258,141,$G$5,$H$13)/IF([1]!S_SHARE_TOTAL(D1258,$G$5)=0,[1]!S_SHARE_TOTAL(D1258,[1]!s_ipo_listeddate(D1258)),[1]!S_SHARE_TOTAL(D1258,$G$5)),[1]!S_STM07_CS(D1258,49,$G$5,$H$13)/$E$5))</f>
        <v/>
      </c>
      <c r="P1258" s="247" t="str">
        <f ca="1">IF(C1258="","",IF($P$11="CFPS",[1]!S_STM07_CS(D1258,84,$G$5,$H$13)/IF([1]!S_SHARE_TOTAL(D1258,$G$5)=0,[1]!S_SHARE_TOTAL(D1258,[1]!s_ipo_listeddate(D1258)),[1]!S_SHARE_TOTAL(D1258,$G$5)),[1]!S_STM07_CS(D1258,84,$G$5,$H$13)/$E$5))</f>
        <v/>
      </c>
      <c r="Q1258" s="248" t="str">
        <f ca="1">IF(C1258="","",F1258/([1]!S_STM07_IS(D1258,61,$G$5,$H$13)/IF([1]!S_SHARE_TOTAL(D1258,$G$5)=0,[1]!S_SHARE_TOTAL(D1258,[1]!s_ipo_listeddate(D1258)),[1]!S_SHARE_TOTAL(D1258,$G$5))))</f>
        <v/>
      </c>
      <c r="R1258" s="248" t="str">
        <f ca="1">IF(C1258="","",F1258/([1]!S_STM07_BS(D1258,141,$G$5,$H$13)/IF([1]!S_SHARE_TOTAL(D1258,$G$5)=0,[1]!S_SHARE_TOTAL(D1258,[1]!s_ipo_listeddate(D1258)),[1]!S_SHARE_TOTAL(D1258,$G$5))))</f>
        <v/>
      </c>
      <c r="S1258" s="247" t="str">
        <f ca="1">IF(C1258="","",[1]!S_SHARE_TOTAL(D1258,TODAY())/$E$5)</f>
        <v/>
      </c>
      <c r="T1258" s="247" t="str">
        <f t="shared" ca="1" si="127"/>
        <v/>
      </c>
      <c r="U1258" s="218" t="str">
        <f t="shared" ca="1" si="128"/>
        <v/>
      </c>
      <c r="V1258" s="342" t="str">
        <f t="shared" ca="1" si="129"/>
        <v/>
      </c>
      <c r="W1258" s="139"/>
      <c r="Y1258" s="1"/>
    </row>
    <row r="1259" spans="3:25" ht="12" customHeight="1">
      <c r="C1259" s="343" t="str">
        <f t="shared" ca="1" si="124"/>
        <v/>
      </c>
      <c r="D1259" s="124" t="str">
        <f t="shared" ca="1" si="125"/>
        <v/>
      </c>
      <c r="E1259" s="124" t="str">
        <f t="shared" ca="1" si="126"/>
        <v/>
      </c>
      <c r="F1259" s="172" t="str">
        <f ca="1">IF(C1259="","",[1]!S_DQ_CLOSE(D1259,TODAY(),1))</f>
        <v/>
      </c>
      <c r="G1259" s="173" t="str">
        <f ca="1">IF(C1259="","",[1]!s_pq_pctchange(D1259,TODAY()-$G$12,TODAY())/100)</f>
        <v/>
      </c>
      <c r="H1259" s="249" t="str">
        <f ca="1">IF(C1259="","",IF($H$11="收入",[1]!S_STM07_IS(D1259,9,$G$5,$H$13)/$E$5,[1]!S_STM07_IS(D1259,48,$G$5,$H$13)/$E$5))</f>
        <v/>
      </c>
      <c r="I1259" s="249" t="str">
        <f ca="1">IF(C1259="","",IF($I$11="毛利率",([1]!S_STM07_IS(D1259,9,$G$5,$H$13)-[1]!S_STM07_IS(D1259,10,$G$5,$H$13))/[1]!S_STM07_IS(D1259,9,$G$5,$H$13),[1]!S_STM07_IS(D1259,14,$G$5,$H$13)/$E$5))</f>
        <v/>
      </c>
      <c r="J1259" s="249" t="str">
        <f ca="1">IF(C1259="","",IF($J$11="营业利润率",[1]!S_STM07_IS(D1259,48,$G$5,$H$13)/[1]!S_STM07_IS(D1259,9,$G$5,$H$13),([1]!S_STM07_CS(D1259,87,$G$5,$H$13)+[1]!S_STM07_CS(D1259,88,$G$5,$H$13)+[1]!S_STM07_CS(D1259,89,$G$5,$H$13))/$E$5))</f>
        <v/>
      </c>
      <c r="K1259" s="249" t="str">
        <f ca="1">IF(C1259="","",IF($K$11="净利润率",[1]!S_STM07_IS(D1259,61,$G$5,$H$13)/[1]!S_STM07_IS(D1259,9,$G$5,$H$13),[1]!S_STM07_IS(D1259,55,$G$5,$H$13)/$E$5))</f>
        <v/>
      </c>
      <c r="L1259" s="249" t="str">
        <f ca="1">IF(C1259="","",IF($L$11="ROA",[1]!S_STM07_IS(D1259,61,$G$5,$H$13)/[1]!S_STM07_BS(D1259,74,$G$5,$H$13),1-[1]!S_STM07_IS(D1259,61,$G$5,$H$13)/[1]!S_STM07_IS(D1259,55,$G$5,$H$13)))</f>
        <v/>
      </c>
      <c r="M1259" s="249" t="str">
        <f ca="1">IF(C1259="","",IF($M$11="ROE",[1]!S_STM07_IS(D1259,61,$G$5,$H$13)/[1]!S_STM07_BS(D1259,141,$G$5,$H$13),([1]!S_STM07_BS(D1259,25,$G$5,$H$13)-[1]!S_STM07_BS(D1259,93,$G$5,$H$13))/$E$5))</f>
        <v/>
      </c>
      <c r="N1259" s="250" t="str">
        <f ca="1">IF(C1259="","",IF($N$11="EPS",[1]!S_STM07_IS(D1259,61,$G$5,$H$13)/IF([1]!S_SHARE_TOTAL(D1259,$G$5)=0,[1]!S_SHARE_TOTAL(D1259,[1]!s_ipo_listeddate(D1259)),[1]!S_SHARE_TOTAL(D1259,$G$5)),([1]!S_STM07_BS(D1259,75,$G$5,$H$13)+[1]!S_STM07_BS(D1259,88,$G$5,$H$13)+[1]!S_STM07_BS(D1259,94,$G$5,$H$13)+[1]!S_STM07_BS(D1259,95,$G$5,$H$13))/$E$5))</f>
        <v/>
      </c>
      <c r="O1259" s="250" t="str">
        <f ca="1">IF(C1259="","",IF($O$11="BPS",[1]!S_STM07_BS(D1259,141,$G$5,$H$13)/IF([1]!S_SHARE_TOTAL(D1259,$G$5)=0,[1]!S_SHARE_TOTAL(D1259,[1]!s_ipo_listeddate(D1259)),[1]!S_SHARE_TOTAL(D1259,$G$5)),[1]!S_STM07_CS(D1259,49,$G$5,$H$13)/$E$5))</f>
        <v/>
      </c>
      <c r="P1259" s="250" t="str">
        <f ca="1">IF(C1259="","",IF($P$11="CFPS",[1]!S_STM07_CS(D1259,84,$G$5,$H$13)/IF([1]!S_SHARE_TOTAL(D1259,$G$5)=0,[1]!S_SHARE_TOTAL(D1259,[1]!s_ipo_listeddate(D1259)),[1]!S_SHARE_TOTAL(D1259,$G$5)),[1]!S_STM07_CS(D1259,84,$G$5,$H$13)/$E$5))</f>
        <v/>
      </c>
      <c r="Q1259" s="198" t="str">
        <f ca="1">IF(C1259="","",F1259/([1]!S_STM07_IS(D1259,61,$G$5,$H$13)/IF([1]!S_SHARE_TOTAL(D1259,$G$5)=0,[1]!S_SHARE_TOTAL(D1259,[1]!s_ipo_listeddate(D1259)),[1]!S_SHARE_TOTAL(D1259,$G$5))))</f>
        <v/>
      </c>
      <c r="R1259" s="198" t="str">
        <f ca="1">IF(C1259="","",F1259/([1]!S_STM07_BS(D1259,141,$G$5,$H$13)/IF([1]!S_SHARE_TOTAL(D1259,$G$5)=0,[1]!S_SHARE_TOTAL(D1259,[1]!s_ipo_listeddate(D1259)),[1]!S_SHARE_TOTAL(D1259,$G$5))))</f>
        <v/>
      </c>
      <c r="S1259" s="249" t="str">
        <f ca="1">IF(C1259="","",[1]!S_SHARE_TOTAL(D1259,TODAY())/$E$5)</f>
        <v/>
      </c>
      <c r="T1259" s="249" t="str">
        <f t="shared" ca="1" si="127"/>
        <v/>
      </c>
      <c r="U1259" s="172" t="str">
        <f t="shared" ca="1" si="128"/>
        <v/>
      </c>
      <c r="V1259" s="343" t="str">
        <f t="shared" ca="1" si="129"/>
        <v/>
      </c>
      <c r="W1259" s="139"/>
      <c r="Y1259" s="1"/>
    </row>
    <row r="1260" spans="3:25" ht="12" customHeight="1">
      <c r="C1260" s="342" t="str">
        <f t="shared" ca="1" si="124"/>
        <v/>
      </c>
      <c r="D1260" s="153" t="str">
        <f t="shared" ca="1" si="125"/>
        <v/>
      </c>
      <c r="E1260" s="153" t="str">
        <f t="shared" ca="1" si="126"/>
        <v/>
      </c>
      <c r="F1260" s="170" t="str">
        <f ca="1">IF(C1260="","",[1]!S_DQ_CLOSE(D1260,TODAY(),1))</f>
        <v/>
      </c>
      <c r="G1260" s="171" t="str">
        <f ca="1">IF(C1260="","",[1]!s_pq_pctchange(D1260,TODAY()-$G$12,TODAY())/100)</f>
        <v/>
      </c>
      <c r="H1260" s="247" t="str">
        <f ca="1">IF(C1260="","",IF($H$11="收入",[1]!S_STM07_IS(D1260,9,$G$5,$H$13)/$E$5,[1]!S_STM07_IS(D1260,48,$G$5,$H$13)/$E$5))</f>
        <v/>
      </c>
      <c r="I1260" s="247" t="str">
        <f ca="1">IF(C1260="","",IF($I$11="毛利率",([1]!S_STM07_IS(D1260,9,$G$5,$H$13)-[1]!S_STM07_IS(D1260,10,$G$5,$H$13))/[1]!S_STM07_IS(D1260,9,$G$5,$H$13),[1]!S_STM07_IS(D1260,14,$G$5,$H$13)/$E$5))</f>
        <v/>
      </c>
      <c r="J1260" s="247" t="str">
        <f ca="1">IF(C1260="","",IF($J$11="营业利润率",[1]!S_STM07_IS(D1260,48,$G$5,$H$13)/[1]!S_STM07_IS(D1260,9,$G$5,$H$13),([1]!S_STM07_CS(D1260,87,$G$5,$H$13)+[1]!S_STM07_CS(D1260,88,$G$5,$H$13)+[1]!S_STM07_CS(D1260,89,$G$5,$H$13))/$E$5))</f>
        <v/>
      </c>
      <c r="K1260" s="247" t="str">
        <f ca="1">IF(C1260="","",IF($K$11="净利润率",[1]!S_STM07_IS(D1260,61,$G$5,$H$13)/[1]!S_STM07_IS(D1260,9,$G$5,$H$13),[1]!S_STM07_IS(D1260,55,$G$5,$H$13)/$E$5))</f>
        <v/>
      </c>
      <c r="L1260" s="247" t="str">
        <f ca="1">IF(C1260="","",IF($L$11="ROA",[1]!S_STM07_IS(D1260,61,$G$5,$H$13)/[1]!S_STM07_BS(D1260,74,$G$5,$H$13),1-[1]!S_STM07_IS(D1260,61,$G$5,$H$13)/[1]!S_STM07_IS(D1260,55,$G$5,$H$13)))</f>
        <v/>
      </c>
      <c r="M1260" s="247" t="str">
        <f ca="1">IF(C1260="","",IF($M$11="ROE",[1]!S_STM07_IS(D1260,61,$G$5,$H$13)/[1]!S_STM07_BS(D1260,141,$G$5,$H$13),([1]!S_STM07_BS(D1260,25,$G$5,$H$13)-[1]!S_STM07_BS(D1260,93,$G$5,$H$13))/$E$5))</f>
        <v/>
      </c>
      <c r="N1260" s="247" t="str">
        <f ca="1">IF(C1260="","",IF($N$11="EPS",[1]!S_STM07_IS(D1260,61,$G$5,$H$13)/IF([1]!S_SHARE_TOTAL(D1260,$G$5)=0,[1]!S_SHARE_TOTAL(D1260,[1]!s_ipo_listeddate(D1260)),[1]!S_SHARE_TOTAL(D1260,$G$5)),([1]!S_STM07_BS(D1260,75,$G$5,$H$13)+[1]!S_STM07_BS(D1260,88,$G$5,$H$13)+[1]!S_STM07_BS(D1260,94,$G$5,$H$13)+[1]!S_STM07_BS(D1260,95,$G$5,$H$13))/$E$5))</f>
        <v/>
      </c>
      <c r="O1260" s="247" t="str">
        <f ca="1">IF(C1260="","",IF($O$11="BPS",[1]!S_STM07_BS(D1260,141,$G$5,$H$13)/IF([1]!S_SHARE_TOTAL(D1260,$G$5)=0,[1]!S_SHARE_TOTAL(D1260,[1]!s_ipo_listeddate(D1260)),[1]!S_SHARE_TOTAL(D1260,$G$5)),[1]!S_STM07_CS(D1260,49,$G$5,$H$13)/$E$5))</f>
        <v/>
      </c>
      <c r="P1260" s="247" t="str">
        <f ca="1">IF(C1260="","",IF($P$11="CFPS",[1]!S_STM07_CS(D1260,84,$G$5,$H$13)/IF([1]!S_SHARE_TOTAL(D1260,$G$5)=0,[1]!S_SHARE_TOTAL(D1260,[1]!s_ipo_listeddate(D1260)),[1]!S_SHARE_TOTAL(D1260,$G$5)),[1]!S_STM07_CS(D1260,84,$G$5,$H$13)/$E$5))</f>
        <v/>
      </c>
      <c r="Q1260" s="248" t="str">
        <f ca="1">IF(C1260="","",F1260/([1]!S_STM07_IS(D1260,61,$G$5,$H$13)/IF([1]!S_SHARE_TOTAL(D1260,$G$5)=0,[1]!S_SHARE_TOTAL(D1260,[1]!s_ipo_listeddate(D1260)),[1]!S_SHARE_TOTAL(D1260,$G$5))))</f>
        <v/>
      </c>
      <c r="R1260" s="248" t="str">
        <f ca="1">IF(C1260="","",F1260/([1]!S_STM07_BS(D1260,141,$G$5,$H$13)/IF([1]!S_SHARE_TOTAL(D1260,$G$5)=0,[1]!S_SHARE_TOTAL(D1260,[1]!s_ipo_listeddate(D1260)),[1]!S_SHARE_TOTAL(D1260,$G$5))))</f>
        <v/>
      </c>
      <c r="S1260" s="247" t="str">
        <f ca="1">IF(C1260="","",[1]!S_SHARE_TOTAL(D1260,TODAY())/$E$5)</f>
        <v/>
      </c>
      <c r="T1260" s="247" t="str">
        <f t="shared" ca="1" si="127"/>
        <v/>
      </c>
      <c r="U1260" s="218" t="str">
        <f t="shared" ca="1" si="128"/>
        <v/>
      </c>
      <c r="V1260" s="342" t="str">
        <f t="shared" ca="1" si="129"/>
        <v/>
      </c>
      <c r="W1260" s="139"/>
      <c r="Y1260" s="1"/>
    </row>
    <row r="1261" spans="3:25" ht="12" customHeight="1">
      <c r="C1261" s="343" t="str">
        <f t="shared" ca="1" si="124"/>
        <v/>
      </c>
      <c r="D1261" s="124" t="str">
        <f t="shared" ca="1" si="125"/>
        <v/>
      </c>
      <c r="E1261" s="124" t="str">
        <f t="shared" ca="1" si="126"/>
        <v/>
      </c>
      <c r="F1261" s="172" t="str">
        <f ca="1">IF(C1261="","",[1]!S_DQ_CLOSE(D1261,TODAY(),1))</f>
        <v/>
      </c>
      <c r="G1261" s="173" t="str">
        <f ca="1">IF(C1261="","",[1]!s_pq_pctchange(D1261,TODAY()-$G$12,TODAY())/100)</f>
        <v/>
      </c>
      <c r="H1261" s="249" t="str">
        <f ca="1">IF(C1261="","",IF($H$11="收入",[1]!S_STM07_IS(D1261,9,$G$5,$H$13)/$E$5,[1]!S_STM07_IS(D1261,48,$G$5,$H$13)/$E$5))</f>
        <v/>
      </c>
      <c r="I1261" s="249" t="str">
        <f ca="1">IF(C1261="","",IF($I$11="毛利率",([1]!S_STM07_IS(D1261,9,$G$5,$H$13)-[1]!S_STM07_IS(D1261,10,$G$5,$H$13))/[1]!S_STM07_IS(D1261,9,$G$5,$H$13),[1]!S_STM07_IS(D1261,14,$G$5,$H$13)/$E$5))</f>
        <v/>
      </c>
      <c r="J1261" s="249" t="str">
        <f ca="1">IF(C1261="","",IF($J$11="营业利润率",[1]!S_STM07_IS(D1261,48,$G$5,$H$13)/[1]!S_STM07_IS(D1261,9,$G$5,$H$13),([1]!S_STM07_CS(D1261,87,$G$5,$H$13)+[1]!S_STM07_CS(D1261,88,$G$5,$H$13)+[1]!S_STM07_CS(D1261,89,$G$5,$H$13))/$E$5))</f>
        <v/>
      </c>
      <c r="K1261" s="249" t="str">
        <f ca="1">IF(C1261="","",IF($K$11="净利润率",[1]!S_STM07_IS(D1261,61,$G$5,$H$13)/[1]!S_STM07_IS(D1261,9,$G$5,$H$13),[1]!S_STM07_IS(D1261,55,$G$5,$H$13)/$E$5))</f>
        <v/>
      </c>
      <c r="L1261" s="249" t="str">
        <f ca="1">IF(C1261="","",IF($L$11="ROA",[1]!S_STM07_IS(D1261,61,$G$5,$H$13)/[1]!S_STM07_BS(D1261,74,$G$5,$H$13),1-[1]!S_STM07_IS(D1261,61,$G$5,$H$13)/[1]!S_STM07_IS(D1261,55,$G$5,$H$13)))</f>
        <v/>
      </c>
      <c r="M1261" s="249" t="str">
        <f ca="1">IF(C1261="","",IF($M$11="ROE",[1]!S_STM07_IS(D1261,61,$G$5,$H$13)/[1]!S_STM07_BS(D1261,141,$G$5,$H$13),([1]!S_STM07_BS(D1261,25,$G$5,$H$13)-[1]!S_STM07_BS(D1261,93,$G$5,$H$13))/$E$5))</f>
        <v/>
      </c>
      <c r="N1261" s="250" t="str">
        <f ca="1">IF(C1261="","",IF($N$11="EPS",[1]!S_STM07_IS(D1261,61,$G$5,$H$13)/IF([1]!S_SHARE_TOTAL(D1261,$G$5)=0,[1]!S_SHARE_TOTAL(D1261,[1]!s_ipo_listeddate(D1261)),[1]!S_SHARE_TOTAL(D1261,$G$5)),([1]!S_STM07_BS(D1261,75,$G$5,$H$13)+[1]!S_STM07_BS(D1261,88,$G$5,$H$13)+[1]!S_STM07_BS(D1261,94,$G$5,$H$13)+[1]!S_STM07_BS(D1261,95,$G$5,$H$13))/$E$5))</f>
        <v/>
      </c>
      <c r="O1261" s="250" t="str">
        <f ca="1">IF(C1261="","",IF($O$11="BPS",[1]!S_STM07_BS(D1261,141,$G$5,$H$13)/IF([1]!S_SHARE_TOTAL(D1261,$G$5)=0,[1]!S_SHARE_TOTAL(D1261,[1]!s_ipo_listeddate(D1261)),[1]!S_SHARE_TOTAL(D1261,$G$5)),[1]!S_STM07_CS(D1261,49,$G$5,$H$13)/$E$5))</f>
        <v/>
      </c>
      <c r="P1261" s="250" t="str">
        <f ca="1">IF(C1261="","",IF($P$11="CFPS",[1]!S_STM07_CS(D1261,84,$G$5,$H$13)/IF([1]!S_SHARE_TOTAL(D1261,$G$5)=0,[1]!S_SHARE_TOTAL(D1261,[1]!s_ipo_listeddate(D1261)),[1]!S_SHARE_TOTAL(D1261,$G$5)),[1]!S_STM07_CS(D1261,84,$G$5,$H$13)/$E$5))</f>
        <v/>
      </c>
      <c r="Q1261" s="198" t="str">
        <f ca="1">IF(C1261="","",F1261/([1]!S_STM07_IS(D1261,61,$G$5,$H$13)/IF([1]!S_SHARE_TOTAL(D1261,$G$5)=0,[1]!S_SHARE_TOTAL(D1261,[1]!s_ipo_listeddate(D1261)),[1]!S_SHARE_TOTAL(D1261,$G$5))))</f>
        <v/>
      </c>
      <c r="R1261" s="198" t="str">
        <f ca="1">IF(C1261="","",F1261/([1]!S_STM07_BS(D1261,141,$G$5,$H$13)/IF([1]!S_SHARE_TOTAL(D1261,$G$5)=0,[1]!S_SHARE_TOTAL(D1261,[1]!s_ipo_listeddate(D1261)),[1]!S_SHARE_TOTAL(D1261,$G$5))))</f>
        <v/>
      </c>
      <c r="S1261" s="249" t="str">
        <f ca="1">IF(C1261="","",[1]!S_SHARE_TOTAL(D1261,TODAY())/$E$5)</f>
        <v/>
      </c>
      <c r="T1261" s="249" t="str">
        <f t="shared" ca="1" si="127"/>
        <v/>
      </c>
      <c r="U1261" s="172" t="str">
        <f t="shared" ca="1" si="128"/>
        <v/>
      </c>
      <c r="V1261" s="343" t="str">
        <f t="shared" ca="1" si="129"/>
        <v/>
      </c>
      <c r="W1261" s="139"/>
      <c r="Y1261" s="1"/>
    </row>
    <row r="1262" spans="3:25" ht="12" customHeight="1">
      <c r="C1262" s="342" t="str">
        <f t="shared" ca="1" si="124"/>
        <v/>
      </c>
      <c r="D1262" s="153" t="str">
        <f t="shared" ca="1" si="125"/>
        <v/>
      </c>
      <c r="E1262" s="153" t="str">
        <f t="shared" ca="1" si="126"/>
        <v/>
      </c>
      <c r="F1262" s="170" t="str">
        <f ca="1">IF(C1262="","",[1]!S_DQ_CLOSE(D1262,TODAY(),1))</f>
        <v/>
      </c>
      <c r="G1262" s="171" t="str">
        <f ca="1">IF(C1262="","",[1]!s_pq_pctchange(D1262,TODAY()-$G$12,TODAY())/100)</f>
        <v/>
      </c>
      <c r="H1262" s="247" t="str">
        <f ca="1">IF(C1262="","",IF($H$11="收入",[1]!S_STM07_IS(D1262,9,$G$5,$H$13)/$E$5,[1]!S_STM07_IS(D1262,48,$G$5,$H$13)/$E$5))</f>
        <v/>
      </c>
      <c r="I1262" s="247" t="str">
        <f ca="1">IF(C1262="","",IF($I$11="毛利率",([1]!S_STM07_IS(D1262,9,$G$5,$H$13)-[1]!S_STM07_IS(D1262,10,$G$5,$H$13))/[1]!S_STM07_IS(D1262,9,$G$5,$H$13),[1]!S_STM07_IS(D1262,14,$G$5,$H$13)/$E$5))</f>
        <v/>
      </c>
      <c r="J1262" s="247" t="str">
        <f ca="1">IF(C1262="","",IF($J$11="营业利润率",[1]!S_STM07_IS(D1262,48,$G$5,$H$13)/[1]!S_STM07_IS(D1262,9,$G$5,$H$13),([1]!S_STM07_CS(D1262,87,$G$5,$H$13)+[1]!S_STM07_CS(D1262,88,$G$5,$H$13)+[1]!S_STM07_CS(D1262,89,$G$5,$H$13))/$E$5))</f>
        <v/>
      </c>
      <c r="K1262" s="247" t="str">
        <f ca="1">IF(C1262="","",IF($K$11="净利润率",[1]!S_STM07_IS(D1262,61,$G$5,$H$13)/[1]!S_STM07_IS(D1262,9,$G$5,$H$13),[1]!S_STM07_IS(D1262,55,$G$5,$H$13)/$E$5))</f>
        <v/>
      </c>
      <c r="L1262" s="247" t="str">
        <f ca="1">IF(C1262="","",IF($L$11="ROA",[1]!S_STM07_IS(D1262,61,$G$5,$H$13)/[1]!S_STM07_BS(D1262,74,$G$5,$H$13),1-[1]!S_STM07_IS(D1262,61,$G$5,$H$13)/[1]!S_STM07_IS(D1262,55,$G$5,$H$13)))</f>
        <v/>
      </c>
      <c r="M1262" s="247" t="str">
        <f ca="1">IF(C1262="","",IF($M$11="ROE",[1]!S_STM07_IS(D1262,61,$G$5,$H$13)/[1]!S_STM07_BS(D1262,141,$G$5,$H$13),([1]!S_STM07_BS(D1262,25,$G$5,$H$13)-[1]!S_STM07_BS(D1262,93,$G$5,$H$13))/$E$5))</f>
        <v/>
      </c>
      <c r="N1262" s="247" t="str">
        <f ca="1">IF(C1262="","",IF($N$11="EPS",[1]!S_STM07_IS(D1262,61,$G$5,$H$13)/IF([1]!S_SHARE_TOTAL(D1262,$G$5)=0,[1]!S_SHARE_TOTAL(D1262,[1]!s_ipo_listeddate(D1262)),[1]!S_SHARE_TOTAL(D1262,$G$5)),([1]!S_STM07_BS(D1262,75,$G$5,$H$13)+[1]!S_STM07_BS(D1262,88,$G$5,$H$13)+[1]!S_STM07_BS(D1262,94,$G$5,$H$13)+[1]!S_STM07_BS(D1262,95,$G$5,$H$13))/$E$5))</f>
        <v/>
      </c>
      <c r="O1262" s="247" t="str">
        <f ca="1">IF(C1262="","",IF($O$11="BPS",[1]!S_STM07_BS(D1262,141,$G$5,$H$13)/IF([1]!S_SHARE_TOTAL(D1262,$G$5)=0,[1]!S_SHARE_TOTAL(D1262,[1]!s_ipo_listeddate(D1262)),[1]!S_SHARE_TOTAL(D1262,$G$5)),[1]!S_STM07_CS(D1262,49,$G$5,$H$13)/$E$5))</f>
        <v/>
      </c>
      <c r="P1262" s="247" t="str">
        <f ca="1">IF(C1262="","",IF($P$11="CFPS",[1]!S_STM07_CS(D1262,84,$G$5,$H$13)/IF([1]!S_SHARE_TOTAL(D1262,$G$5)=0,[1]!S_SHARE_TOTAL(D1262,[1]!s_ipo_listeddate(D1262)),[1]!S_SHARE_TOTAL(D1262,$G$5)),[1]!S_STM07_CS(D1262,84,$G$5,$H$13)/$E$5))</f>
        <v/>
      </c>
      <c r="Q1262" s="248" t="str">
        <f ca="1">IF(C1262="","",F1262/([1]!S_STM07_IS(D1262,61,$G$5,$H$13)/IF([1]!S_SHARE_TOTAL(D1262,$G$5)=0,[1]!S_SHARE_TOTAL(D1262,[1]!s_ipo_listeddate(D1262)),[1]!S_SHARE_TOTAL(D1262,$G$5))))</f>
        <v/>
      </c>
      <c r="R1262" s="248" t="str">
        <f ca="1">IF(C1262="","",F1262/([1]!S_STM07_BS(D1262,141,$G$5,$H$13)/IF([1]!S_SHARE_TOTAL(D1262,$G$5)=0,[1]!S_SHARE_TOTAL(D1262,[1]!s_ipo_listeddate(D1262)),[1]!S_SHARE_TOTAL(D1262,$G$5))))</f>
        <v/>
      </c>
      <c r="S1262" s="247" t="str">
        <f ca="1">IF(C1262="","",[1]!S_SHARE_TOTAL(D1262,TODAY())/$E$5)</f>
        <v/>
      </c>
      <c r="T1262" s="247" t="str">
        <f t="shared" ca="1" si="127"/>
        <v/>
      </c>
      <c r="U1262" s="218" t="str">
        <f t="shared" ca="1" si="128"/>
        <v/>
      </c>
      <c r="V1262" s="342" t="str">
        <f t="shared" ca="1" si="129"/>
        <v/>
      </c>
      <c r="W1262" s="139"/>
      <c r="Y1262" s="1"/>
    </row>
    <row r="1263" spans="3:25" ht="12" customHeight="1">
      <c r="C1263" s="343" t="str">
        <f t="shared" ca="1" si="124"/>
        <v/>
      </c>
      <c r="D1263" s="124" t="str">
        <f t="shared" ca="1" si="125"/>
        <v/>
      </c>
      <c r="E1263" s="124" t="str">
        <f t="shared" ca="1" si="126"/>
        <v/>
      </c>
      <c r="F1263" s="172" t="str">
        <f ca="1">IF(C1263="","",[1]!S_DQ_CLOSE(D1263,TODAY(),1))</f>
        <v/>
      </c>
      <c r="G1263" s="173" t="str">
        <f ca="1">IF(C1263="","",[1]!s_pq_pctchange(D1263,TODAY()-$G$12,TODAY())/100)</f>
        <v/>
      </c>
      <c r="H1263" s="249" t="str">
        <f ca="1">IF(C1263="","",IF($H$11="收入",[1]!S_STM07_IS(D1263,9,$G$5,$H$13)/$E$5,[1]!S_STM07_IS(D1263,48,$G$5,$H$13)/$E$5))</f>
        <v/>
      </c>
      <c r="I1263" s="249" t="str">
        <f ca="1">IF(C1263="","",IF($I$11="毛利率",([1]!S_STM07_IS(D1263,9,$G$5,$H$13)-[1]!S_STM07_IS(D1263,10,$G$5,$H$13))/[1]!S_STM07_IS(D1263,9,$G$5,$H$13),[1]!S_STM07_IS(D1263,14,$G$5,$H$13)/$E$5))</f>
        <v/>
      </c>
      <c r="J1263" s="249" t="str">
        <f ca="1">IF(C1263="","",IF($J$11="营业利润率",[1]!S_STM07_IS(D1263,48,$G$5,$H$13)/[1]!S_STM07_IS(D1263,9,$G$5,$H$13),([1]!S_STM07_CS(D1263,87,$G$5,$H$13)+[1]!S_STM07_CS(D1263,88,$G$5,$H$13)+[1]!S_STM07_CS(D1263,89,$G$5,$H$13))/$E$5))</f>
        <v/>
      </c>
      <c r="K1263" s="249" t="str">
        <f ca="1">IF(C1263="","",IF($K$11="净利润率",[1]!S_STM07_IS(D1263,61,$G$5,$H$13)/[1]!S_STM07_IS(D1263,9,$G$5,$H$13),[1]!S_STM07_IS(D1263,55,$G$5,$H$13)/$E$5))</f>
        <v/>
      </c>
      <c r="L1263" s="249" t="str">
        <f ca="1">IF(C1263="","",IF($L$11="ROA",[1]!S_STM07_IS(D1263,61,$G$5,$H$13)/[1]!S_STM07_BS(D1263,74,$G$5,$H$13),1-[1]!S_STM07_IS(D1263,61,$G$5,$H$13)/[1]!S_STM07_IS(D1263,55,$G$5,$H$13)))</f>
        <v/>
      </c>
      <c r="M1263" s="249" t="str">
        <f ca="1">IF(C1263="","",IF($M$11="ROE",[1]!S_STM07_IS(D1263,61,$G$5,$H$13)/[1]!S_STM07_BS(D1263,141,$G$5,$H$13),([1]!S_STM07_BS(D1263,25,$G$5,$H$13)-[1]!S_STM07_BS(D1263,93,$G$5,$H$13))/$E$5))</f>
        <v/>
      </c>
      <c r="N1263" s="250" t="str">
        <f ca="1">IF(C1263="","",IF($N$11="EPS",[1]!S_STM07_IS(D1263,61,$G$5,$H$13)/IF([1]!S_SHARE_TOTAL(D1263,$G$5)=0,[1]!S_SHARE_TOTAL(D1263,[1]!s_ipo_listeddate(D1263)),[1]!S_SHARE_TOTAL(D1263,$G$5)),([1]!S_STM07_BS(D1263,75,$G$5,$H$13)+[1]!S_STM07_BS(D1263,88,$G$5,$H$13)+[1]!S_STM07_BS(D1263,94,$G$5,$H$13)+[1]!S_STM07_BS(D1263,95,$G$5,$H$13))/$E$5))</f>
        <v/>
      </c>
      <c r="O1263" s="250" t="str">
        <f ca="1">IF(C1263="","",IF($O$11="BPS",[1]!S_STM07_BS(D1263,141,$G$5,$H$13)/IF([1]!S_SHARE_TOTAL(D1263,$G$5)=0,[1]!S_SHARE_TOTAL(D1263,[1]!s_ipo_listeddate(D1263)),[1]!S_SHARE_TOTAL(D1263,$G$5)),[1]!S_STM07_CS(D1263,49,$G$5,$H$13)/$E$5))</f>
        <v/>
      </c>
      <c r="P1263" s="250" t="str">
        <f ca="1">IF(C1263="","",IF($P$11="CFPS",[1]!S_STM07_CS(D1263,84,$G$5,$H$13)/IF([1]!S_SHARE_TOTAL(D1263,$G$5)=0,[1]!S_SHARE_TOTAL(D1263,[1]!s_ipo_listeddate(D1263)),[1]!S_SHARE_TOTAL(D1263,$G$5)),[1]!S_STM07_CS(D1263,84,$G$5,$H$13)/$E$5))</f>
        <v/>
      </c>
      <c r="Q1263" s="198" t="str">
        <f ca="1">IF(C1263="","",F1263/([1]!S_STM07_IS(D1263,61,$G$5,$H$13)/IF([1]!S_SHARE_TOTAL(D1263,$G$5)=0,[1]!S_SHARE_TOTAL(D1263,[1]!s_ipo_listeddate(D1263)),[1]!S_SHARE_TOTAL(D1263,$G$5))))</f>
        <v/>
      </c>
      <c r="R1263" s="198" t="str">
        <f ca="1">IF(C1263="","",F1263/([1]!S_STM07_BS(D1263,141,$G$5,$H$13)/IF([1]!S_SHARE_TOTAL(D1263,$G$5)=0,[1]!S_SHARE_TOTAL(D1263,[1]!s_ipo_listeddate(D1263)),[1]!S_SHARE_TOTAL(D1263,$G$5))))</f>
        <v/>
      </c>
      <c r="S1263" s="249" t="str">
        <f ca="1">IF(C1263="","",[1]!S_SHARE_TOTAL(D1263,TODAY())/$E$5)</f>
        <v/>
      </c>
      <c r="T1263" s="249" t="str">
        <f t="shared" ca="1" si="127"/>
        <v/>
      </c>
      <c r="U1263" s="172" t="str">
        <f t="shared" ca="1" si="128"/>
        <v/>
      </c>
      <c r="V1263" s="343" t="str">
        <f t="shared" ca="1" si="129"/>
        <v/>
      </c>
      <c r="W1263" s="139"/>
      <c r="Y1263" s="1"/>
    </row>
    <row r="1264" spans="3:25" ht="12" customHeight="1">
      <c r="C1264" s="342" t="str">
        <f t="shared" ca="1" si="124"/>
        <v/>
      </c>
      <c r="D1264" s="153" t="str">
        <f t="shared" ca="1" si="125"/>
        <v/>
      </c>
      <c r="E1264" s="153" t="str">
        <f t="shared" ca="1" si="126"/>
        <v/>
      </c>
      <c r="F1264" s="170" t="str">
        <f ca="1">IF(C1264="","",[1]!S_DQ_CLOSE(D1264,TODAY(),1))</f>
        <v/>
      </c>
      <c r="G1264" s="171" t="str">
        <f ca="1">IF(C1264="","",[1]!s_pq_pctchange(D1264,TODAY()-$G$12,TODAY())/100)</f>
        <v/>
      </c>
      <c r="H1264" s="247" t="str">
        <f ca="1">IF(C1264="","",IF($H$11="收入",[1]!S_STM07_IS(D1264,9,$G$5,$H$13)/$E$5,[1]!S_STM07_IS(D1264,48,$G$5,$H$13)/$E$5))</f>
        <v/>
      </c>
      <c r="I1264" s="247" t="str">
        <f ca="1">IF(C1264="","",IF($I$11="毛利率",([1]!S_STM07_IS(D1264,9,$G$5,$H$13)-[1]!S_STM07_IS(D1264,10,$G$5,$H$13))/[1]!S_STM07_IS(D1264,9,$G$5,$H$13),[1]!S_STM07_IS(D1264,14,$G$5,$H$13)/$E$5))</f>
        <v/>
      </c>
      <c r="J1264" s="247" t="str">
        <f ca="1">IF(C1264="","",IF($J$11="营业利润率",[1]!S_STM07_IS(D1264,48,$G$5,$H$13)/[1]!S_STM07_IS(D1264,9,$G$5,$H$13),([1]!S_STM07_CS(D1264,87,$G$5,$H$13)+[1]!S_STM07_CS(D1264,88,$G$5,$H$13)+[1]!S_STM07_CS(D1264,89,$G$5,$H$13))/$E$5))</f>
        <v/>
      </c>
      <c r="K1264" s="247" t="str">
        <f ca="1">IF(C1264="","",IF($K$11="净利润率",[1]!S_STM07_IS(D1264,61,$G$5,$H$13)/[1]!S_STM07_IS(D1264,9,$G$5,$H$13),[1]!S_STM07_IS(D1264,55,$G$5,$H$13)/$E$5))</f>
        <v/>
      </c>
      <c r="L1264" s="247" t="str">
        <f ca="1">IF(C1264="","",IF($L$11="ROA",[1]!S_STM07_IS(D1264,61,$G$5,$H$13)/[1]!S_STM07_BS(D1264,74,$G$5,$H$13),1-[1]!S_STM07_IS(D1264,61,$G$5,$H$13)/[1]!S_STM07_IS(D1264,55,$G$5,$H$13)))</f>
        <v/>
      </c>
      <c r="M1264" s="247" t="str">
        <f ca="1">IF(C1264="","",IF($M$11="ROE",[1]!S_STM07_IS(D1264,61,$G$5,$H$13)/[1]!S_STM07_BS(D1264,141,$G$5,$H$13),([1]!S_STM07_BS(D1264,25,$G$5,$H$13)-[1]!S_STM07_BS(D1264,93,$G$5,$H$13))/$E$5))</f>
        <v/>
      </c>
      <c r="N1264" s="247" t="str">
        <f ca="1">IF(C1264="","",IF($N$11="EPS",[1]!S_STM07_IS(D1264,61,$G$5,$H$13)/IF([1]!S_SHARE_TOTAL(D1264,$G$5)=0,[1]!S_SHARE_TOTAL(D1264,[1]!s_ipo_listeddate(D1264)),[1]!S_SHARE_TOTAL(D1264,$G$5)),([1]!S_STM07_BS(D1264,75,$G$5,$H$13)+[1]!S_STM07_BS(D1264,88,$G$5,$H$13)+[1]!S_STM07_BS(D1264,94,$G$5,$H$13)+[1]!S_STM07_BS(D1264,95,$G$5,$H$13))/$E$5))</f>
        <v/>
      </c>
      <c r="O1264" s="247" t="str">
        <f ca="1">IF(C1264="","",IF($O$11="BPS",[1]!S_STM07_BS(D1264,141,$G$5,$H$13)/IF([1]!S_SHARE_TOTAL(D1264,$G$5)=0,[1]!S_SHARE_TOTAL(D1264,[1]!s_ipo_listeddate(D1264)),[1]!S_SHARE_TOTAL(D1264,$G$5)),[1]!S_STM07_CS(D1264,49,$G$5,$H$13)/$E$5))</f>
        <v/>
      </c>
      <c r="P1264" s="247" t="str">
        <f ca="1">IF(C1264="","",IF($P$11="CFPS",[1]!S_STM07_CS(D1264,84,$G$5,$H$13)/IF([1]!S_SHARE_TOTAL(D1264,$G$5)=0,[1]!S_SHARE_TOTAL(D1264,[1]!s_ipo_listeddate(D1264)),[1]!S_SHARE_TOTAL(D1264,$G$5)),[1]!S_STM07_CS(D1264,84,$G$5,$H$13)/$E$5))</f>
        <v/>
      </c>
      <c r="Q1264" s="248" t="str">
        <f ca="1">IF(C1264="","",F1264/([1]!S_STM07_IS(D1264,61,$G$5,$H$13)/IF([1]!S_SHARE_TOTAL(D1264,$G$5)=0,[1]!S_SHARE_TOTAL(D1264,[1]!s_ipo_listeddate(D1264)),[1]!S_SHARE_TOTAL(D1264,$G$5))))</f>
        <v/>
      </c>
      <c r="R1264" s="248" t="str">
        <f ca="1">IF(C1264="","",F1264/([1]!S_STM07_BS(D1264,141,$G$5,$H$13)/IF([1]!S_SHARE_TOTAL(D1264,$G$5)=0,[1]!S_SHARE_TOTAL(D1264,[1]!s_ipo_listeddate(D1264)),[1]!S_SHARE_TOTAL(D1264,$G$5))))</f>
        <v/>
      </c>
      <c r="S1264" s="247" t="str">
        <f ca="1">IF(C1264="","",[1]!S_SHARE_TOTAL(D1264,TODAY())/$E$5)</f>
        <v/>
      </c>
      <c r="T1264" s="247" t="str">
        <f t="shared" ca="1" si="127"/>
        <v/>
      </c>
      <c r="U1264" s="218" t="str">
        <f t="shared" ca="1" si="128"/>
        <v/>
      </c>
      <c r="V1264" s="342" t="str">
        <f t="shared" ca="1" si="129"/>
        <v/>
      </c>
      <c r="W1264" s="139"/>
      <c r="Y1264" s="1"/>
    </row>
    <row r="1265" spans="3:25" ht="12" customHeight="1">
      <c r="C1265" s="343" t="str">
        <f t="shared" ca="1" si="124"/>
        <v/>
      </c>
      <c r="D1265" s="124" t="str">
        <f t="shared" ca="1" si="125"/>
        <v/>
      </c>
      <c r="E1265" s="124" t="str">
        <f t="shared" ca="1" si="126"/>
        <v/>
      </c>
      <c r="F1265" s="172" t="str">
        <f ca="1">IF(C1265="","",[1]!S_DQ_CLOSE(D1265,TODAY(),1))</f>
        <v/>
      </c>
      <c r="G1265" s="173" t="str">
        <f ca="1">IF(C1265="","",[1]!s_pq_pctchange(D1265,TODAY()-$G$12,TODAY())/100)</f>
        <v/>
      </c>
      <c r="H1265" s="249" t="str">
        <f ca="1">IF(C1265="","",IF($H$11="收入",[1]!S_STM07_IS(D1265,9,$G$5,$H$13)/$E$5,[1]!S_STM07_IS(D1265,48,$G$5,$H$13)/$E$5))</f>
        <v/>
      </c>
      <c r="I1265" s="249" t="str">
        <f ca="1">IF(C1265="","",IF($I$11="毛利率",([1]!S_STM07_IS(D1265,9,$G$5,$H$13)-[1]!S_STM07_IS(D1265,10,$G$5,$H$13))/[1]!S_STM07_IS(D1265,9,$G$5,$H$13),[1]!S_STM07_IS(D1265,14,$G$5,$H$13)/$E$5))</f>
        <v/>
      </c>
      <c r="J1265" s="249" t="str">
        <f ca="1">IF(C1265="","",IF($J$11="营业利润率",[1]!S_STM07_IS(D1265,48,$G$5,$H$13)/[1]!S_STM07_IS(D1265,9,$G$5,$H$13),([1]!S_STM07_CS(D1265,87,$G$5,$H$13)+[1]!S_STM07_CS(D1265,88,$G$5,$H$13)+[1]!S_STM07_CS(D1265,89,$G$5,$H$13))/$E$5))</f>
        <v/>
      </c>
      <c r="K1265" s="249" t="str">
        <f ca="1">IF(C1265="","",IF($K$11="净利润率",[1]!S_STM07_IS(D1265,61,$G$5,$H$13)/[1]!S_STM07_IS(D1265,9,$G$5,$H$13),[1]!S_STM07_IS(D1265,55,$G$5,$H$13)/$E$5))</f>
        <v/>
      </c>
      <c r="L1265" s="249" t="str">
        <f ca="1">IF(C1265="","",IF($L$11="ROA",[1]!S_STM07_IS(D1265,61,$G$5,$H$13)/[1]!S_STM07_BS(D1265,74,$G$5,$H$13),1-[1]!S_STM07_IS(D1265,61,$G$5,$H$13)/[1]!S_STM07_IS(D1265,55,$G$5,$H$13)))</f>
        <v/>
      </c>
      <c r="M1265" s="249" t="str">
        <f ca="1">IF(C1265="","",IF($M$11="ROE",[1]!S_STM07_IS(D1265,61,$G$5,$H$13)/[1]!S_STM07_BS(D1265,141,$G$5,$H$13),([1]!S_STM07_BS(D1265,25,$G$5,$H$13)-[1]!S_STM07_BS(D1265,93,$G$5,$H$13))/$E$5))</f>
        <v/>
      </c>
      <c r="N1265" s="250" t="str">
        <f ca="1">IF(C1265="","",IF($N$11="EPS",[1]!S_STM07_IS(D1265,61,$G$5,$H$13)/IF([1]!S_SHARE_TOTAL(D1265,$G$5)=0,[1]!S_SHARE_TOTAL(D1265,[1]!s_ipo_listeddate(D1265)),[1]!S_SHARE_TOTAL(D1265,$G$5)),([1]!S_STM07_BS(D1265,75,$G$5,$H$13)+[1]!S_STM07_BS(D1265,88,$G$5,$H$13)+[1]!S_STM07_BS(D1265,94,$G$5,$H$13)+[1]!S_STM07_BS(D1265,95,$G$5,$H$13))/$E$5))</f>
        <v/>
      </c>
      <c r="O1265" s="250" t="str">
        <f ca="1">IF(C1265="","",IF($O$11="BPS",[1]!S_STM07_BS(D1265,141,$G$5,$H$13)/IF([1]!S_SHARE_TOTAL(D1265,$G$5)=0,[1]!S_SHARE_TOTAL(D1265,[1]!s_ipo_listeddate(D1265)),[1]!S_SHARE_TOTAL(D1265,$G$5)),[1]!S_STM07_CS(D1265,49,$G$5,$H$13)/$E$5))</f>
        <v/>
      </c>
      <c r="P1265" s="250" t="str">
        <f ca="1">IF(C1265="","",IF($P$11="CFPS",[1]!S_STM07_CS(D1265,84,$G$5,$H$13)/IF([1]!S_SHARE_TOTAL(D1265,$G$5)=0,[1]!S_SHARE_TOTAL(D1265,[1]!s_ipo_listeddate(D1265)),[1]!S_SHARE_TOTAL(D1265,$G$5)),[1]!S_STM07_CS(D1265,84,$G$5,$H$13)/$E$5))</f>
        <v/>
      </c>
      <c r="Q1265" s="198" t="str">
        <f ca="1">IF(C1265="","",F1265/([1]!S_STM07_IS(D1265,61,$G$5,$H$13)/IF([1]!S_SHARE_TOTAL(D1265,$G$5)=0,[1]!S_SHARE_TOTAL(D1265,[1]!s_ipo_listeddate(D1265)),[1]!S_SHARE_TOTAL(D1265,$G$5))))</f>
        <v/>
      </c>
      <c r="R1265" s="198" t="str">
        <f ca="1">IF(C1265="","",F1265/([1]!S_STM07_BS(D1265,141,$G$5,$H$13)/IF([1]!S_SHARE_TOTAL(D1265,$G$5)=0,[1]!S_SHARE_TOTAL(D1265,[1]!s_ipo_listeddate(D1265)),[1]!S_SHARE_TOTAL(D1265,$G$5))))</f>
        <v/>
      </c>
      <c r="S1265" s="249" t="str">
        <f ca="1">IF(C1265="","",[1]!S_SHARE_TOTAL(D1265,TODAY())/$E$5)</f>
        <v/>
      </c>
      <c r="T1265" s="249" t="str">
        <f t="shared" ca="1" si="127"/>
        <v/>
      </c>
      <c r="U1265" s="172" t="str">
        <f t="shared" ca="1" si="128"/>
        <v/>
      </c>
      <c r="V1265" s="343" t="str">
        <f t="shared" ca="1" si="129"/>
        <v/>
      </c>
      <c r="W1265" s="139"/>
      <c r="Y1265" s="1"/>
    </row>
    <row r="1266" spans="3:25" ht="12" customHeight="1">
      <c r="C1266" s="342" t="str">
        <f t="shared" ca="1" si="124"/>
        <v/>
      </c>
      <c r="D1266" s="153" t="str">
        <f t="shared" ca="1" si="125"/>
        <v/>
      </c>
      <c r="E1266" s="153" t="str">
        <f t="shared" ca="1" si="126"/>
        <v/>
      </c>
      <c r="F1266" s="170" t="str">
        <f ca="1">IF(C1266="","",[1]!S_DQ_CLOSE(D1266,TODAY(),1))</f>
        <v/>
      </c>
      <c r="G1266" s="171" t="str">
        <f ca="1">IF(C1266="","",[1]!s_pq_pctchange(D1266,TODAY()-$G$12,TODAY())/100)</f>
        <v/>
      </c>
      <c r="H1266" s="247" t="str">
        <f ca="1">IF(C1266="","",IF($H$11="收入",[1]!S_STM07_IS(D1266,9,$G$5,$H$13)/$E$5,[1]!S_STM07_IS(D1266,48,$G$5,$H$13)/$E$5))</f>
        <v/>
      </c>
      <c r="I1266" s="247" t="str">
        <f ca="1">IF(C1266="","",IF($I$11="毛利率",([1]!S_STM07_IS(D1266,9,$G$5,$H$13)-[1]!S_STM07_IS(D1266,10,$G$5,$H$13))/[1]!S_STM07_IS(D1266,9,$G$5,$H$13),[1]!S_STM07_IS(D1266,14,$G$5,$H$13)/$E$5))</f>
        <v/>
      </c>
      <c r="J1266" s="247" t="str">
        <f ca="1">IF(C1266="","",IF($J$11="营业利润率",[1]!S_STM07_IS(D1266,48,$G$5,$H$13)/[1]!S_STM07_IS(D1266,9,$G$5,$H$13),([1]!S_STM07_CS(D1266,87,$G$5,$H$13)+[1]!S_STM07_CS(D1266,88,$G$5,$H$13)+[1]!S_STM07_CS(D1266,89,$G$5,$H$13))/$E$5))</f>
        <v/>
      </c>
      <c r="K1266" s="247" t="str">
        <f ca="1">IF(C1266="","",IF($K$11="净利润率",[1]!S_STM07_IS(D1266,61,$G$5,$H$13)/[1]!S_STM07_IS(D1266,9,$G$5,$H$13),[1]!S_STM07_IS(D1266,55,$G$5,$H$13)/$E$5))</f>
        <v/>
      </c>
      <c r="L1266" s="247" t="str">
        <f ca="1">IF(C1266="","",IF($L$11="ROA",[1]!S_STM07_IS(D1266,61,$G$5,$H$13)/[1]!S_STM07_BS(D1266,74,$G$5,$H$13),1-[1]!S_STM07_IS(D1266,61,$G$5,$H$13)/[1]!S_STM07_IS(D1266,55,$G$5,$H$13)))</f>
        <v/>
      </c>
      <c r="M1266" s="247" t="str">
        <f ca="1">IF(C1266="","",IF($M$11="ROE",[1]!S_STM07_IS(D1266,61,$G$5,$H$13)/[1]!S_STM07_BS(D1266,141,$G$5,$H$13),([1]!S_STM07_BS(D1266,25,$G$5,$H$13)-[1]!S_STM07_BS(D1266,93,$G$5,$H$13))/$E$5))</f>
        <v/>
      </c>
      <c r="N1266" s="247" t="str">
        <f ca="1">IF(C1266="","",IF($N$11="EPS",[1]!S_STM07_IS(D1266,61,$G$5,$H$13)/IF([1]!S_SHARE_TOTAL(D1266,$G$5)=0,[1]!S_SHARE_TOTAL(D1266,[1]!s_ipo_listeddate(D1266)),[1]!S_SHARE_TOTAL(D1266,$G$5)),([1]!S_STM07_BS(D1266,75,$G$5,$H$13)+[1]!S_STM07_BS(D1266,88,$G$5,$H$13)+[1]!S_STM07_BS(D1266,94,$G$5,$H$13)+[1]!S_STM07_BS(D1266,95,$G$5,$H$13))/$E$5))</f>
        <v/>
      </c>
      <c r="O1266" s="247" t="str">
        <f ca="1">IF(C1266="","",IF($O$11="BPS",[1]!S_STM07_BS(D1266,141,$G$5,$H$13)/IF([1]!S_SHARE_TOTAL(D1266,$G$5)=0,[1]!S_SHARE_TOTAL(D1266,[1]!s_ipo_listeddate(D1266)),[1]!S_SHARE_TOTAL(D1266,$G$5)),[1]!S_STM07_CS(D1266,49,$G$5,$H$13)/$E$5))</f>
        <v/>
      </c>
      <c r="P1266" s="247" t="str">
        <f ca="1">IF(C1266="","",IF($P$11="CFPS",[1]!S_STM07_CS(D1266,84,$G$5,$H$13)/IF([1]!S_SHARE_TOTAL(D1266,$G$5)=0,[1]!S_SHARE_TOTAL(D1266,[1]!s_ipo_listeddate(D1266)),[1]!S_SHARE_TOTAL(D1266,$G$5)),[1]!S_STM07_CS(D1266,84,$G$5,$H$13)/$E$5))</f>
        <v/>
      </c>
      <c r="Q1266" s="248" t="str">
        <f ca="1">IF(C1266="","",F1266/([1]!S_STM07_IS(D1266,61,$G$5,$H$13)/IF([1]!S_SHARE_TOTAL(D1266,$G$5)=0,[1]!S_SHARE_TOTAL(D1266,[1]!s_ipo_listeddate(D1266)),[1]!S_SHARE_TOTAL(D1266,$G$5))))</f>
        <v/>
      </c>
      <c r="R1266" s="248" t="str">
        <f ca="1">IF(C1266="","",F1266/([1]!S_STM07_BS(D1266,141,$G$5,$H$13)/IF([1]!S_SHARE_TOTAL(D1266,$G$5)=0,[1]!S_SHARE_TOTAL(D1266,[1]!s_ipo_listeddate(D1266)),[1]!S_SHARE_TOTAL(D1266,$G$5))))</f>
        <v/>
      </c>
      <c r="S1266" s="247" t="str">
        <f ca="1">IF(C1266="","",[1]!S_SHARE_TOTAL(D1266,TODAY())/$E$5)</f>
        <v/>
      </c>
      <c r="T1266" s="247" t="str">
        <f t="shared" ca="1" si="127"/>
        <v/>
      </c>
      <c r="U1266" s="218" t="str">
        <f t="shared" ca="1" si="128"/>
        <v/>
      </c>
      <c r="V1266" s="342" t="str">
        <f t="shared" ca="1" si="129"/>
        <v/>
      </c>
      <c r="W1266" s="139"/>
      <c r="Y1266" s="1"/>
    </row>
    <row r="1267" spans="3:25" ht="12" customHeight="1">
      <c r="C1267" s="343" t="str">
        <f t="shared" ca="1" si="124"/>
        <v/>
      </c>
      <c r="D1267" s="124" t="str">
        <f t="shared" ca="1" si="125"/>
        <v/>
      </c>
      <c r="E1267" s="124" t="str">
        <f t="shared" ca="1" si="126"/>
        <v/>
      </c>
      <c r="F1267" s="172" t="str">
        <f ca="1">IF(C1267="","",[1]!S_DQ_CLOSE(D1267,TODAY(),1))</f>
        <v/>
      </c>
      <c r="G1267" s="173" t="str">
        <f ca="1">IF(C1267="","",[1]!s_pq_pctchange(D1267,TODAY()-$G$12,TODAY())/100)</f>
        <v/>
      </c>
      <c r="H1267" s="249" t="str">
        <f ca="1">IF(C1267="","",IF($H$11="收入",[1]!S_STM07_IS(D1267,9,$G$5,$H$13)/$E$5,[1]!S_STM07_IS(D1267,48,$G$5,$H$13)/$E$5))</f>
        <v/>
      </c>
      <c r="I1267" s="249" t="str">
        <f ca="1">IF(C1267="","",IF($I$11="毛利率",([1]!S_STM07_IS(D1267,9,$G$5,$H$13)-[1]!S_STM07_IS(D1267,10,$G$5,$H$13))/[1]!S_STM07_IS(D1267,9,$G$5,$H$13),[1]!S_STM07_IS(D1267,14,$G$5,$H$13)/$E$5))</f>
        <v/>
      </c>
      <c r="J1267" s="249" t="str">
        <f ca="1">IF(C1267="","",IF($J$11="营业利润率",[1]!S_STM07_IS(D1267,48,$G$5,$H$13)/[1]!S_STM07_IS(D1267,9,$G$5,$H$13),([1]!S_STM07_CS(D1267,87,$G$5,$H$13)+[1]!S_STM07_CS(D1267,88,$G$5,$H$13)+[1]!S_STM07_CS(D1267,89,$G$5,$H$13))/$E$5))</f>
        <v/>
      </c>
      <c r="K1267" s="249" t="str">
        <f ca="1">IF(C1267="","",IF($K$11="净利润率",[1]!S_STM07_IS(D1267,61,$G$5,$H$13)/[1]!S_STM07_IS(D1267,9,$G$5,$H$13),[1]!S_STM07_IS(D1267,55,$G$5,$H$13)/$E$5))</f>
        <v/>
      </c>
      <c r="L1267" s="249" t="str">
        <f ca="1">IF(C1267="","",IF($L$11="ROA",[1]!S_STM07_IS(D1267,61,$G$5,$H$13)/[1]!S_STM07_BS(D1267,74,$G$5,$H$13),1-[1]!S_STM07_IS(D1267,61,$G$5,$H$13)/[1]!S_STM07_IS(D1267,55,$G$5,$H$13)))</f>
        <v/>
      </c>
      <c r="M1267" s="249" t="str">
        <f ca="1">IF(C1267="","",IF($M$11="ROE",[1]!S_STM07_IS(D1267,61,$G$5,$H$13)/[1]!S_STM07_BS(D1267,141,$G$5,$H$13),([1]!S_STM07_BS(D1267,25,$G$5,$H$13)-[1]!S_STM07_BS(D1267,93,$G$5,$H$13))/$E$5))</f>
        <v/>
      </c>
      <c r="N1267" s="250" t="str">
        <f ca="1">IF(C1267="","",IF($N$11="EPS",[1]!S_STM07_IS(D1267,61,$G$5,$H$13)/IF([1]!S_SHARE_TOTAL(D1267,$G$5)=0,[1]!S_SHARE_TOTAL(D1267,[1]!s_ipo_listeddate(D1267)),[1]!S_SHARE_TOTAL(D1267,$G$5)),([1]!S_STM07_BS(D1267,75,$G$5,$H$13)+[1]!S_STM07_BS(D1267,88,$G$5,$H$13)+[1]!S_STM07_BS(D1267,94,$G$5,$H$13)+[1]!S_STM07_BS(D1267,95,$G$5,$H$13))/$E$5))</f>
        <v/>
      </c>
      <c r="O1267" s="250" t="str">
        <f ca="1">IF(C1267="","",IF($O$11="BPS",[1]!S_STM07_BS(D1267,141,$G$5,$H$13)/IF([1]!S_SHARE_TOTAL(D1267,$G$5)=0,[1]!S_SHARE_TOTAL(D1267,[1]!s_ipo_listeddate(D1267)),[1]!S_SHARE_TOTAL(D1267,$G$5)),[1]!S_STM07_CS(D1267,49,$G$5,$H$13)/$E$5))</f>
        <v/>
      </c>
      <c r="P1267" s="250" t="str">
        <f ca="1">IF(C1267="","",IF($P$11="CFPS",[1]!S_STM07_CS(D1267,84,$G$5,$H$13)/IF([1]!S_SHARE_TOTAL(D1267,$G$5)=0,[1]!S_SHARE_TOTAL(D1267,[1]!s_ipo_listeddate(D1267)),[1]!S_SHARE_TOTAL(D1267,$G$5)),[1]!S_STM07_CS(D1267,84,$G$5,$H$13)/$E$5))</f>
        <v/>
      </c>
      <c r="Q1267" s="198" t="str">
        <f ca="1">IF(C1267="","",F1267/([1]!S_STM07_IS(D1267,61,$G$5,$H$13)/IF([1]!S_SHARE_TOTAL(D1267,$G$5)=0,[1]!S_SHARE_TOTAL(D1267,[1]!s_ipo_listeddate(D1267)),[1]!S_SHARE_TOTAL(D1267,$G$5))))</f>
        <v/>
      </c>
      <c r="R1267" s="198" t="str">
        <f ca="1">IF(C1267="","",F1267/([1]!S_STM07_BS(D1267,141,$G$5,$H$13)/IF([1]!S_SHARE_TOTAL(D1267,$G$5)=0,[1]!S_SHARE_TOTAL(D1267,[1]!s_ipo_listeddate(D1267)),[1]!S_SHARE_TOTAL(D1267,$G$5))))</f>
        <v/>
      </c>
      <c r="S1267" s="249" t="str">
        <f ca="1">IF(C1267="","",[1]!S_SHARE_TOTAL(D1267,TODAY())/$E$5)</f>
        <v/>
      </c>
      <c r="T1267" s="249" t="str">
        <f t="shared" ca="1" si="127"/>
        <v/>
      </c>
      <c r="U1267" s="172" t="str">
        <f t="shared" ca="1" si="128"/>
        <v/>
      </c>
      <c r="V1267" s="343" t="str">
        <f t="shared" ca="1" si="129"/>
        <v/>
      </c>
      <c r="W1267" s="139"/>
      <c r="Y1267" s="1"/>
    </row>
    <row r="1268" spans="3:25" ht="12" customHeight="1">
      <c r="C1268" s="342" t="str">
        <f t="shared" ca="1" si="124"/>
        <v/>
      </c>
      <c r="D1268" s="153" t="str">
        <f t="shared" ca="1" si="125"/>
        <v/>
      </c>
      <c r="E1268" s="153" t="str">
        <f t="shared" ca="1" si="126"/>
        <v/>
      </c>
      <c r="F1268" s="170" t="str">
        <f ca="1">IF(C1268="","",[1]!S_DQ_CLOSE(D1268,TODAY(),1))</f>
        <v/>
      </c>
      <c r="G1268" s="171" t="str">
        <f ca="1">IF(C1268="","",[1]!s_pq_pctchange(D1268,TODAY()-$G$12,TODAY())/100)</f>
        <v/>
      </c>
      <c r="H1268" s="247" t="str">
        <f ca="1">IF(C1268="","",IF($H$11="收入",[1]!S_STM07_IS(D1268,9,$G$5,$H$13)/$E$5,[1]!S_STM07_IS(D1268,48,$G$5,$H$13)/$E$5))</f>
        <v/>
      </c>
      <c r="I1268" s="247" t="str">
        <f ca="1">IF(C1268="","",IF($I$11="毛利率",([1]!S_STM07_IS(D1268,9,$G$5,$H$13)-[1]!S_STM07_IS(D1268,10,$G$5,$H$13))/[1]!S_STM07_IS(D1268,9,$G$5,$H$13),[1]!S_STM07_IS(D1268,14,$G$5,$H$13)/$E$5))</f>
        <v/>
      </c>
      <c r="J1268" s="247" t="str">
        <f ca="1">IF(C1268="","",IF($J$11="营业利润率",[1]!S_STM07_IS(D1268,48,$G$5,$H$13)/[1]!S_STM07_IS(D1268,9,$G$5,$H$13),([1]!S_STM07_CS(D1268,87,$G$5,$H$13)+[1]!S_STM07_CS(D1268,88,$G$5,$H$13)+[1]!S_STM07_CS(D1268,89,$G$5,$H$13))/$E$5))</f>
        <v/>
      </c>
      <c r="K1268" s="247" t="str">
        <f ca="1">IF(C1268="","",IF($K$11="净利润率",[1]!S_STM07_IS(D1268,61,$G$5,$H$13)/[1]!S_STM07_IS(D1268,9,$G$5,$H$13),[1]!S_STM07_IS(D1268,55,$G$5,$H$13)/$E$5))</f>
        <v/>
      </c>
      <c r="L1268" s="247" t="str">
        <f ca="1">IF(C1268="","",IF($L$11="ROA",[1]!S_STM07_IS(D1268,61,$G$5,$H$13)/[1]!S_STM07_BS(D1268,74,$G$5,$H$13),1-[1]!S_STM07_IS(D1268,61,$G$5,$H$13)/[1]!S_STM07_IS(D1268,55,$G$5,$H$13)))</f>
        <v/>
      </c>
      <c r="M1268" s="247" t="str">
        <f ca="1">IF(C1268="","",IF($M$11="ROE",[1]!S_STM07_IS(D1268,61,$G$5,$H$13)/[1]!S_STM07_BS(D1268,141,$G$5,$H$13),([1]!S_STM07_BS(D1268,25,$G$5,$H$13)-[1]!S_STM07_BS(D1268,93,$G$5,$H$13))/$E$5))</f>
        <v/>
      </c>
      <c r="N1268" s="247" t="str">
        <f ca="1">IF(C1268="","",IF($N$11="EPS",[1]!S_STM07_IS(D1268,61,$G$5,$H$13)/IF([1]!S_SHARE_TOTAL(D1268,$G$5)=0,[1]!S_SHARE_TOTAL(D1268,[1]!s_ipo_listeddate(D1268)),[1]!S_SHARE_TOTAL(D1268,$G$5)),([1]!S_STM07_BS(D1268,75,$G$5,$H$13)+[1]!S_STM07_BS(D1268,88,$G$5,$H$13)+[1]!S_STM07_BS(D1268,94,$G$5,$H$13)+[1]!S_STM07_BS(D1268,95,$G$5,$H$13))/$E$5))</f>
        <v/>
      </c>
      <c r="O1268" s="247" t="str">
        <f ca="1">IF(C1268="","",IF($O$11="BPS",[1]!S_STM07_BS(D1268,141,$G$5,$H$13)/IF([1]!S_SHARE_TOTAL(D1268,$G$5)=0,[1]!S_SHARE_TOTAL(D1268,[1]!s_ipo_listeddate(D1268)),[1]!S_SHARE_TOTAL(D1268,$G$5)),[1]!S_STM07_CS(D1268,49,$G$5,$H$13)/$E$5))</f>
        <v/>
      </c>
      <c r="P1268" s="247" t="str">
        <f ca="1">IF(C1268="","",IF($P$11="CFPS",[1]!S_STM07_CS(D1268,84,$G$5,$H$13)/IF([1]!S_SHARE_TOTAL(D1268,$G$5)=0,[1]!S_SHARE_TOTAL(D1268,[1]!s_ipo_listeddate(D1268)),[1]!S_SHARE_TOTAL(D1268,$G$5)),[1]!S_STM07_CS(D1268,84,$G$5,$H$13)/$E$5))</f>
        <v/>
      </c>
      <c r="Q1268" s="248" t="str">
        <f ca="1">IF(C1268="","",F1268/([1]!S_STM07_IS(D1268,61,$G$5,$H$13)/IF([1]!S_SHARE_TOTAL(D1268,$G$5)=0,[1]!S_SHARE_TOTAL(D1268,[1]!s_ipo_listeddate(D1268)),[1]!S_SHARE_TOTAL(D1268,$G$5))))</f>
        <v/>
      </c>
      <c r="R1268" s="248" t="str">
        <f ca="1">IF(C1268="","",F1268/([1]!S_STM07_BS(D1268,141,$G$5,$H$13)/IF([1]!S_SHARE_TOTAL(D1268,$G$5)=0,[1]!S_SHARE_TOTAL(D1268,[1]!s_ipo_listeddate(D1268)),[1]!S_SHARE_TOTAL(D1268,$G$5))))</f>
        <v/>
      </c>
      <c r="S1268" s="247" t="str">
        <f ca="1">IF(C1268="","",[1]!S_SHARE_TOTAL(D1268,TODAY())/$E$5)</f>
        <v/>
      </c>
      <c r="T1268" s="247" t="str">
        <f t="shared" ca="1" si="127"/>
        <v/>
      </c>
      <c r="U1268" s="218" t="str">
        <f t="shared" ca="1" si="128"/>
        <v/>
      </c>
      <c r="V1268" s="342" t="str">
        <f t="shared" ca="1" si="129"/>
        <v/>
      </c>
      <c r="W1268" s="139"/>
      <c r="Y1268" s="1"/>
    </row>
    <row r="1269" spans="3:25" ht="12" customHeight="1">
      <c r="C1269" s="343" t="str">
        <f t="shared" ca="1" si="124"/>
        <v/>
      </c>
      <c r="D1269" s="124" t="str">
        <f t="shared" ca="1" si="125"/>
        <v/>
      </c>
      <c r="E1269" s="124" t="str">
        <f t="shared" ca="1" si="126"/>
        <v/>
      </c>
      <c r="F1269" s="172" t="str">
        <f ca="1">IF(C1269="","",[1]!S_DQ_CLOSE(D1269,TODAY(),1))</f>
        <v/>
      </c>
      <c r="G1269" s="173" t="str">
        <f ca="1">IF(C1269="","",[1]!s_pq_pctchange(D1269,TODAY()-$G$12,TODAY())/100)</f>
        <v/>
      </c>
      <c r="H1269" s="249" t="str">
        <f ca="1">IF(C1269="","",IF($H$11="收入",[1]!S_STM07_IS(D1269,9,$G$5,$H$13)/$E$5,[1]!S_STM07_IS(D1269,48,$G$5,$H$13)/$E$5))</f>
        <v/>
      </c>
      <c r="I1269" s="249" t="str">
        <f ca="1">IF(C1269="","",IF($I$11="毛利率",([1]!S_STM07_IS(D1269,9,$G$5,$H$13)-[1]!S_STM07_IS(D1269,10,$G$5,$H$13))/[1]!S_STM07_IS(D1269,9,$G$5,$H$13),[1]!S_STM07_IS(D1269,14,$G$5,$H$13)/$E$5))</f>
        <v/>
      </c>
      <c r="J1269" s="249" t="str">
        <f ca="1">IF(C1269="","",IF($J$11="营业利润率",[1]!S_STM07_IS(D1269,48,$G$5,$H$13)/[1]!S_STM07_IS(D1269,9,$G$5,$H$13),([1]!S_STM07_CS(D1269,87,$G$5,$H$13)+[1]!S_STM07_CS(D1269,88,$G$5,$H$13)+[1]!S_STM07_CS(D1269,89,$G$5,$H$13))/$E$5))</f>
        <v/>
      </c>
      <c r="K1269" s="249" t="str">
        <f ca="1">IF(C1269="","",IF($K$11="净利润率",[1]!S_STM07_IS(D1269,61,$G$5,$H$13)/[1]!S_STM07_IS(D1269,9,$G$5,$H$13),[1]!S_STM07_IS(D1269,55,$G$5,$H$13)/$E$5))</f>
        <v/>
      </c>
      <c r="L1269" s="249" t="str">
        <f ca="1">IF(C1269="","",IF($L$11="ROA",[1]!S_STM07_IS(D1269,61,$G$5,$H$13)/[1]!S_STM07_BS(D1269,74,$G$5,$H$13),1-[1]!S_STM07_IS(D1269,61,$G$5,$H$13)/[1]!S_STM07_IS(D1269,55,$G$5,$H$13)))</f>
        <v/>
      </c>
      <c r="M1269" s="249" t="str">
        <f ca="1">IF(C1269="","",IF($M$11="ROE",[1]!S_STM07_IS(D1269,61,$G$5,$H$13)/[1]!S_STM07_BS(D1269,141,$G$5,$H$13),([1]!S_STM07_BS(D1269,25,$G$5,$H$13)-[1]!S_STM07_BS(D1269,93,$G$5,$H$13))/$E$5))</f>
        <v/>
      </c>
      <c r="N1269" s="250" t="str">
        <f ca="1">IF(C1269="","",IF($N$11="EPS",[1]!S_STM07_IS(D1269,61,$G$5,$H$13)/IF([1]!S_SHARE_TOTAL(D1269,$G$5)=0,[1]!S_SHARE_TOTAL(D1269,[1]!s_ipo_listeddate(D1269)),[1]!S_SHARE_TOTAL(D1269,$G$5)),([1]!S_STM07_BS(D1269,75,$G$5,$H$13)+[1]!S_STM07_BS(D1269,88,$G$5,$H$13)+[1]!S_STM07_BS(D1269,94,$G$5,$H$13)+[1]!S_STM07_BS(D1269,95,$G$5,$H$13))/$E$5))</f>
        <v/>
      </c>
      <c r="O1269" s="250" t="str">
        <f ca="1">IF(C1269="","",IF($O$11="BPS",[1]!S_STM07_BS(D1269,141,$G$5,$H$13)/IF([1]!S_SHARE_TOTAL(D1269,$G$5)=0,[1]!S_SHARE_TOTAL(D1269,[1]!s_ipo_listeddate(D1269)),[1]!S_SHARE_TOTAL(D1269,$G$5)),[1]!S_STM07_CS(D1269,49,$G$5,$H$13)/$E$5))</f>
        <v/>
      </c>
      <c r="P1269" s="250" t="str">
        <f ca="1">IF(C1269="","",IF($P$11="CFPS",[1]!S_STM07_CS(D1269,84,$G$5,$H$13)/IF([1]!S_SHARE_TOTAL(D1269,$G$5)=0,[1]!S_SHARE_TOTAL(D1269,[1]!s_ipo_listeddate(D1269)),[1]!S_SHARE_TOTAL(D1269,$G$5)),[1]!S_STM07_CS(D1269,84,$G$5,$H$13)/$E$5))</f>
        <v/>
      </c>
      <c r="Q1269" s="198" t="str">
        <f ca="1">IF(C1269="","",F1269/([1]!S_STM07_IS(D1269,61,$G$5,$H$13)/IF([1]!S_SHARE_TOTAL(D1269,$G$5)=0,[1]!S_SHARE_TOTAL(D1269,[1]!s_ipo_listeddate(D1269)),[1]!S_SHARE_TOTAL(D1269,$G$5))))</f>
        <v/>
      </c>
      <c r="R1269" s="198" t="str">
        <f ca="1">IF(C1269="","",F1269/([1]!S_STM07_BS(D1269,141,$G$5,$H$13)/IF([1]!S_SHARE_TOTAL(D1269,$G$5)=0,[1]!S_SHARE_TOTAL(D1269,[1]!s_ipo_listeddate(D1269)),[1]!S_SHARE_TOTAL(D1269,$G$5))))</f>
        <v/>
      </c>
      <c r="S1269" s="249" t="str">
        <f ca="1">IF(C1269="","",[1]!S_SHARE_TOTAL(D1269,TODAY())/$E$5)</f>
        <v/>
      </c>
      <c r="T1269" s="249" t="str">
        <f t="shared" ca="1" si="127"/>
        <v/>
      </c>
      <c r="U1269" s="172" t="str">
        <f t="shared" ca="1" si="128"/>
        <v/>
      </c>
      <c r="V1269" s="343" t="str">
        <f t="shared" ca="1" si="129"/>
        <v/>
      </c>
      <c r="W1269" s="139"/>
      <c r="Y1269" s="1"/>
    </row>
    <row r="1270" spans="3:25" ht="12" customHeight="1">
      <c r="C1270" s="342" t="str">
        <f t="shared" ca="1" si="124"/>
        <v/>
      </c>
      <c r="D1270" s="153" t="str">
        <f t="shared" ca="1" si="125"/>
        <v/>
      </c>
      <c r="E1270" s="153" t="str">
        <f t="shared" ca="1" si="126"/>
        <v/>
      </c>
      <c r="F1270" s="170" t="str">
        <f ca="1">IF(C1270="","",[1]!S_DQ_CLOSE(D1270,TODAY(),1))</f>
        <v/>
      </c>
      <c r="G1270" s="171" t="str">
        <f ca="1">IF(C1270="","",[1]!s_pq_pctchange(D1270,TODAY()-$G$12,TODAY())/100)</f>
        <v/>
      </c>
      <c r="H1270" s="247" t="str">
        <f ca="1">IF(C1270="","",IF($H$11="收入",[1]!S_STM07_IS(D1270,9,$G$5,$H$13)/$E$5,[1]!S_STM07_IS(D1270,48,$G$5,$H$13)/$E$5))</f>
        <v/>
      </c>
      <c r="I1270" s="247" t="str">
        <f ca="1">IF(C1270="","",IF($I$11="毛利率",([1]!S_STM07_IS(D1270,9,$G$5,$H$13)-[1]!S_STM07_IS(D1270,10,$G$5,$H$13))/[1]!S_STM07_IS(D1270,9,$G$5,$H$13),[1]!S_STM07_IS(D1270,14,$G$5,$H$13)/$E$5))</f>
        <v/>
      </c>
      <c r="J1270" s="247" t="str">
        <f ca="1">IF(C1270="","",IF($J$11="营业利润率",[1]!S_STM07_IS(D1270,48,$G$5,$H$13)/[1]!S_STM07_IS(D1270,9,$G$5,$H$13),([1]!S_STM07_CS(D1270,87,$G$5,$H$13)+[1]!S_STM07_CS(D1270,88,$G$5,$H$13)+[1]!S_STM07_CS(D1270,89,$G$5,$H$13))/$E$5))</f>
        <v/>
      </c>
      <c r="K1270" s="247" t="str">
        <f ca="1">IF(C1270="","",IF($K$11="净利润率",[1]!S_STM07_IS(D1270,61,$G$5,$H$13)/[1]!S_STM07_IS(D1270,9,$G$5,$H$13),[1]!S_STM07_IS(D1270,55,$G$5,$H$13)/$E$5))</f>
        <v/>
      </c>
      <c r="L1270" s="247" t="str">
        <f ca="1">IF(C1270="","",IF($L$11="ROA",[1]!S_STM07_IS(D1270,61,$G$5,$H$13)/[1]!S_STM07_BS(D1270,74,$G$5,$H$13),1-[1]!S_STM07_IS(D1270,61,$G$5,$H$13)/[1]!S_STM07_IS(D1270,55,$G$5,$H$13)))</f>
        <v/>
      </c>
      <c r="M1270" s="247" t="str">
        <f ca="1">IF(C1270="","",IF($M$11="ROE",[1]!S_STM07_IS(D1270,61,$G$5,$H$13)/[1]!S_STM07_BS(D1270,141,$G$5,$H$13),([1]!S_STM07_BS(D1270,25,$G$5,$H$13)-[1]!S_STM07_BS(D1270,93,$G$5,$H$13))/$E$5))</f>
        <v/>
      </c>
      <c r="N1270" s="247" t="str">
        <f ca="1">IF(C1270="","",IF($N$11="EPS",[1]!S_STM07_IS(D1270,61,$G$5,$H$13)/IF([1]!S_SHARE_TOTAL(D1270,$G$5)=0,[1]!S_SHARE_TOTAL(D1270,[1]!s_ipo_listeddate(D1270)),[1]!S_SHARE_TOTAL(D1270,$G$5)),([1]!S_STM07_BS(D1270,75,$G$5,$H$13)+[1]!S_STM07_BS(D1270,88,$G$5,$H$13)+[1]!S_STM07_BS(D1270,94,$G$5,$H$13)+[1]!S_STM07_BS(D1270,95,$G$5,$H$13))/$E$5))</f>
        <v/>
      </c>
      <c r="O1270" s="247" t="str">
        <f ca="1">IF(C1270="","",IF($O$11="BPS",[1]!S_STM07_BS(D1270,141,$G$5,$H$13)/IF([1]!S_SHARE_TOTAL(D1270,$G$5)=0,[1]!S_SHARE_TOTAL(D1270,[1]!s_ipo_listeddate(D1270)),[1]!S_SHARE_TOTAL(D1270,$G$5)),[1]!S_STM07_CS(D1270,49,$G$5,$H$13)/$E$5))</f>
        <v/>
      </c>
      <c r="P1270" s="247" t="str">
        <f ca="1">IF(C1270="","",IF($P$11="CFPS",[1]!S_STM07_CS(D1270,84,$G$5,$H$13)/IF([1]!S_SHARE_TOTAL(D1270,$G$5)=0,[1]!S_SHARE_TOTAL(D1270,[1]!s_ipo_listeddate(D1270)),[1]!S_SHARE_TOTAL(D1270,$G$5)),[1]!S_STM07_CS(D1270,84,$G$5,$H$13)/$E$5))</f>
        <v/>
      </c>
      <c r="Q1270" s="248" t="str">
        <f ca="1">IF(C1270="","",F1270/([1]!S_STM07_IS(D1270,61,$G$5,$H$13)/IF([1]!S_SHARE_TOTAL(D1270,$G$5)=0,[1]!S_SHARE_TOTAL(D1270,[1]!s_ipo_listeddate(D1270)),[1]!S_SHARE_TOTAL(D1270,$G$5))))</f>
        <v/>
      </c>
      <c r="R1270" s="248" t="str">
        <f ca="1">IF(C1270="","",F1270/([1]!S_STM07_BS(D1270,141,$G$5,$H$13)/IF([1]!S_SHARE_TOTAL(D1270,$G$5)=0,[1]!S_SHARE_TOTAL(D1270,[1]!s_ipo_listeddate(D1270)),[1]!S_SHARE_TOTAL(D1270,$G$5))))</f>
        <v/>
      </c>
      <c r="S1270" s="247" t="str">
        <f ca="1">IF(C1270="","",[1]!S_SHARE_TOTAL(D1270,TODAY())/$E$5)</f>
        <v/>
      </c>
      <c r="T1270" s="247" t="str">
        <f t="shared" ca="1" si="127"/>
        <v/>
      </c>
      <c r="U1270" s="218" t="str">
        <f t="shared" ca="1" si="128"/>
        <v/>
      </c>
      <c r="V1270" s="342" t="str">
        <f t="shared" ca="1" si="129"/>
        <v/>
      </c>
      <c r="W1270" s="139"/>
      <c r="Y1270" s="1"/>
    </row>
    <row r="1271" spans="3:25" ht="12" customHeight="1">
      <c r="C1271" s="343" t="str">
        <f t="shared" ca="1" si="124"/>
        <v/>
      </c>
      <c r="D1271" s="124" t="str">
        <f t="shared" ca="1" si="125"/>
        <v/>
      </c>
      <c r="E1271" s="124" t="str">
        <f t="shared" ca="1" si="126"/>
        <v/>
      </c>
      <c r="F1271" s="172" t="str">
        <f ca="1">IF(C1271="","",[1]!S_DQ_CLOSE(D1271,TODAY(),1))</f>
        <v/>
      </c>
      <c r="G1271" s="173" t="str">
        <f ca="1">IF(C1271="","",[1]!s_pq_pctchange(D1271,TODAY()-$G$12,TODAY())/100)</f>
        <v/>
      </c>
      <c r="H1271" s="249" t="str">
        <f ca="1">IF(C1271="","",IF($H$11="收入",[1]!S_STM07_IS(D1271,9,$G$5,$H$13)/$E$5,[1]!S_STM07_IS(D1271,48,$G$5,$H$13)/$E$5))</f>
        <v/>
      </c>
      <c r="I1271" s="249" t="str">
        <f ca="1">IF(C1271="","",IF($I$11="毛利率",([1]!S_STM07_IS(D1271,9,$G$5,$H$13)-[1]!S_STM07_IS(D1271,10,$G$5,$H$13))/[1]!S_STM07_IS(D1271,9,$G$5,$H$13),[1]!S_STM07_IS(D1271,14,$G$5,$H$13)/$E$5))</f>
        <v/>
      </c>
      <c r="J1271" s="249" t="str">
        <f ca="1">IF(C1271="","",IF($J$11="营业利润率",[1]!S_STM07_IS(D1271,48,$G$5,$H$13)/[1]!S_STM07_IS(D1271,9,$G$5,$H$13),([1]!S_STM07_CS(D1271,87,$G$5,$H$13)+[1]!S_STM07_CS(D1271,88,$G$5,$H$13)+[1]!S_STM07_CS(D1271,89,$G$5,$H$13))/$E$5))</f>
        <v/>
      </c>
      <c r="K1271" s="249" t="str">
        <f ca="1">IF(C1271="","",IF($K$11="净利润率",[1]!S_STM07_IS(D1271,61,$G$5,$H$13)/[1]!S_STM07_IS(D1271,9,$G$5,$H$13),[1]!S_STM07_IS(D1271,55,$G$5,$H$13)/$E$5))</f>
        <v/>
      </c>
      <c r="L1271" s="249" t="str">
        <f ca="1">IF(C1271="","",IF($L$11="ROA",[1]!S_STM07_IS(D1271,61,$G$5,$H$13)/[1]!S_STM07_BS(D1271,74,$G$5,$H$13),1-[1]!S_STM07_IS(D1271,61,$G$5,$H$13)/[1]!S_STM07_IS(D1271,55,$G$5,$H$13)))</f>
        <v/>
      </c>
      <c r="M1271" s="249" t="str">
        <f ca="1">IF(C1271="","",IF($M$11="ROE",[1]!S_STM07_IS(D1271,61,$G$5,$H$13)/[1]!S_STM07_BS(D1271,141,$G$5,$H$13),([1]!S_STM07_BS(D1271,25,$G$5,$H$13)-[1]!S_STM07_BS(D1271,93,$G$5,$H$13))/$E$5))</f>
        <v/>
      </c>
      <c r="N1271" s="250" t="str">
        <f ca="1">IF(C1271="","",IF($N$11="EPS",[1]!S_STM07_IS(D1271,61,$G$5,$H$13)/IF([1]!S_SHARE_TOTAL(D1271,$G$5)=0,[1]!S_SHARE_TOTAL(D1271,[1]!s_ipo_listeddate(D1271)),[1]!S_SHARE_TOTAL(D1271,$G$5)),([1]!S_STM07_BS(D1271,75,$G$5,$H$13)+[1]!S_STM07_BS(D1271,88,$G$5,$H$13)+[1]!S_STM07_BS(D1271,94,$G$5,$H$13)+[1]!S_STM07_BS(D1271,95,$G$5,$H$13))/$E$5))</f>
        <v/>
      </c>
      <c r="O1271" s="250" t="str">
        <f ca="1">IF(C1271="","",IF($O$11="BPS",[1]!S_STM07_BS(D1271,141,$G$5,$H$13)/IF([1]!S_SHARE_TOTAL(D1271,$G$5)=0,[1]!S_SHARE_TOTAL(D1271,[1]!s_ipo_listeddate(D1271)),[1]!S_SHARE_TOTAL(D1271,$G$5)),[1]!S_STM07_CS(D1271,49,$G$5,$H$13)/$E$5))</f>
        <v/>
      </c>
      <c r="P1271" s="250" t="str">
        <f ca="1">IF(C1271="","",IF($P$11="CFPS",[1]!S_STM07_CS(D1271,84,$G$5,$H$13)/IF([1]!S_SHARE_TOTAL(D1271,$G$5)=0,[1]!S_SHARE_TOTAL(D1271,[1]!s_ipo_listeddate(D1271)),[1]!S_SHARE_TOTAL(D1271,$G$5)),[1]!S_STM07_CS(D1271,84,$G$5,$H$13)/$E$5))</f>
        <v/>
      </c>
      <c r="Q1271" s="198" t="str">
        <f ca="1">IF(C1271="","",F1271/([1]!S_STM07_IS(D1271,61,$G$5,$H$13)/IF([1]!S_SHARE_TOTAL(D1271,$G$5)=0,[1]!S_SHARE_TOTAL(D1271,[1]!s_ipo_listeddate(D1271)),[1]!S_SHARE_TOTAL(D1271,$G$5))))</f>
        <v/>
      </c>
      <c r="R1271" s="198" t="str">
        <f ca="1">IF(C1271="","",F1271/([1]!S_STM07_BS(D1271,141,$G$5,$H$13)/IF([1]!S_SHARE_TOTAL(D1271,$G$5)=0,[1]!S_SHARE_TOTAL(D1271,[1]!s_ipo_listeddate(D1271)),[1]!S_SHARE_TOTAL(D1271,$G$5))))</f>
        <v/>
      </c>
      <c r="S1271" s="249" t="str">
        <f ca="1">IF(C1271="","",[1]!S_SHARE_TOTAL(D1271,TODAY())/$E$5)</f>
        <v/>
      </c>
      <c r="T1271" s="249" t="str">
        <f t="shared" ca="1" si="127"/>
        <v/>
      </c>
      <c r="U1271" s="172" t="str">
        <f t="shared" ca="1" si="128"/>
        <v/>
      </c>
      <c r="V1271" s="343" t="str">
        <f t="shared" ca="1" si="129"/>
        <v/>
      </c>
      <c r="W1271" s="139"/>
      <c r="Y1271" s="1"/>
    </row>
    <row r="1272" spans="3:25" ht="12" customHeight="1">
      <c r="C1272" s="342" t="str">
        <f t="shared" ca="1" si="124"/>
        <v/>
      </c>
      <c r="D1272" s="153" t="str">
        <f t="shared" ca="1" si="125"/>
        <v/>
      </c>
      <c r="E1272" s="153" t="str">
        <f t="shared" ca="1" si="126"/>
        <v/>
      </c>
      <c r="F1272" s="170" t="str">
        <f ca="1">IF(C1272="","",[1]!S_DQ_CLOSE(D1272,TODAY(),1))</f>
        <v/>
      </c>
      <c r="G1272" s="171" t="str">
        <f ca="1">IF(C1272="","",[1]!s_pq_pctchange(D1272,TODAY()-$G$12,TODAY())/100)</f>
        <v/>
      </c>
      <c r="H1272" s="247" t="str">
        <f ca="1">IF(C1272="","",IF($H$11="收入",[1]!S_STM07_IS(D1272,9,$G$5,$H$13)/$E$5,[1]!S_STM07_IS(D1272,48,$G$5,$H$13)/$E$5))</f>
        <v/>
      </c>
      <c r="I1272" s="247" t="str">
        <f ca="1">IF(C1272="","",IF($I$11="毛利率",([1]!S_STM07_IS(D1272,9,$G$5,$H$13)-[1]!S_STM07_IS(D1272,10,$G$5,$H$13))/[1]!S_STM07_IS(D1272,9,$G$5,$H$13),[1]!S_STM07_IS(D1272,14,$G$5,$H$13)/$E$5))</f>
        <v/>
      </c>
      <c r="J1272" s="247" t="str">
        <f ca="1">IF(C1272="","",IF($J$11="营业利润率",[1]!S_STM07_IS(D1272,48,$G$5,$H$13)/[1]!S_STM07_IS(D1272,9,$G$5,$H$13),([1]!S_STM07_CS(D1272,87,$G$5,$H$13)+[1]!S_STM07_CS(D1272,88,$G$5,$H$13)+[1]!S_STM07_CS(D1272,89,$G$5,$H$13))/$E$5))</f>
        <v/>
      </c>
      <c r="K1272" s="247" t="str">
        <f ca="1">IF(C1272="","",IF($K$11="净利润率",[1]!S_STM07_IS(D1272,61,$G$5,$H$13)/[1]!S_STM07_IS(D1272,9,$G$5,$H$13),[1]!S_STM07_IS(D1272,55,$G$5,$H$13)/$E$5))</f>
        <v/>
      </c>
      <c r="L1272" s="247" t="str">
        <f ca="1">IF(C1272="","",IF($L$11="ROA",[1]!S_STM07_IS(D1272,61,$G$5,$H$13)/[1]!S_STM07_BS(D1272,74,$G$5,$H$13),1-[1]!S_STM07_IS(D1272,61,$G$5,$H$13)/[1]!S_STM07_IS(D1272,55,$G$5,$H$13)))</f>
        <v/>
      </c>
      <c r="M1272" s="247" t="str">
        <f ca="1">IF(C1272="","",IF($M$11="ROE",[1]!S_STM07_IS(D1272,61,$G$5,$H$13)/[1]!S_STM07_BS(D1272,141,$G$5,$H$13),([1]!S_STM07_BS(D1272,25,$G$5,$H$13)-[1]!S_STM07_BS(D1272,93,$G$5,$H$13))/$E$5))</f>
        <v/>
      </c>
      <c r="N1272" s="247" t="str">
        <f ca="1">IF(C1272="","",IF($N$11="EPS",[1]!S_STM07_IS(D1272,61,$G$5,$H$13)/IF([1]!S_SHARE_TOTAL(D1272,$G$5)=0,[1]!S_SHARE_TOTAL(D1272,[1]!s_ipo_listeddate(D1272)),[1]!S_SHARE_TOTAL(D1272,$G$5)),([1]!S_STM07_BS(D1272,75,$G$5,$H$13)+[1]!S_STM07_BS(D1272,88,$G$5,$H$13)+[1]!S_STM07_BS(D1272,94,$G$5,$H$13)+[1]!S_STM07_BS(D1272,95,$G$5,$H$13))/$E$5))</f>
        <v/>
      </c>
      <c r="O1272" s="247" t="str">
        <f ca="1">IF(C1272="","",IF($O$11="BPS",[1]!S_STM07_BS(D1272,141,$G$5,$H$13)/IF([1]!S_SHARE_TOTAL(D1272,$G$5)=0,[1]!S_SHARE_TOTAL(D1272,[1]!s_ipo_listeddate(D1272)),[1]!S_SHARE_TOTAL(D1272,$G$5)),[1]!S_STM07_CS(D1272,49,$G$5,$H$13)/$E$5))</f>
        <v/>
      </c>
      <c r="P1272" s="247" t="str">
        <f ca="1">IF(C1272="","",IF($P$11="CFPS",[1]!S_STM07_CS(D1272,84,$G$5,$H$13)/IF([1]!S_SHARE_TOTAL(D1272,$G$5)=0,[1]!S_SHARE_TOTAL(D1272,[1]!s_ipo_listeddate(D1272)),[1]!S_SHARE_TOTAL(D1272,$G$5)),[1]!S_STM07_CS(D1272,84,$G$5,$H$13)/$E$5))</f>
        <v/>
      </c>
      <c r="Q1272" s="248" t="str">
        <f ca="1">IF(C1272="","",F1272/([1]!S_STM07_IS(D1272,61,$G$5,$H$13)/IF([1]!S_SHARE_TOTAL(D1272,$G$5)=0,[1]!S_SHARE_TOTAL(D1272,[1]!s_ipo_listeddate(D1272)),[1]!S_SHARE_TOTAL(D1272,$G$5))))</f>
        <v/>
      </c>
      <c r="R1272" s="248" t="str">
        <f ca="1">IF(C1272="","",F1272/([1]!S_STM07_BS(D1272,141,$G$5,$H$13)/IF([1]!S_SHARE_TOTAL(D1272,$G$5)=0,[1]!S_SHARE_TOTAL(D1272,[1]!s_ipo_listeddate(D1272)),[1]!S_SHARE_TOTAL(D1272,$G$5))))</f>
        <v/>
      </c>
      <c r="S1272" s="247" t="str">
        <f ca="1">IF(C1272="","",[1]!S_SHARE_TOTAL(D1272,TODAY())/$E$5)</f>
        <v/>
      </c>
      <c r="T1272" s="247" t="str">
        <f t="shared" ca="1" si="127"/>
        <v/>
      </c>
      <c r="U1272" s="218" t="str">
        <f t="shared" ca="1" si="128"/>
        <v/>
      </c>
      <c r="V1272" s="342" t="str">
        <f t="shared" ca="1" si="129"/>
        <v/>
      </c>
      <c r="W1272" s="139"/>
      <c r="Y1272" s="1"/>
    </row>
    <row r="1273" spans="3:25" ht="12" customHeight="1">
      <c r="C1273" s="343" t="str">
        <f t="shared" ca="1" si="124"/>
        <v/>
      </c>
      <c r="D1273" s="124" t="str">
        <f t="shared" ca="1" si="125"/>
        <v/>
      </c>
      <c r="E1273" s="124" t="str">
        <f t="shared" ca="1" si="126"/>
        <v/>
      </c>
      <c r="F1273" s="172" t="str">
        <f ca="1">IF(C1273="","",[1]!S_DQ_CLOSE(D1273,TODAY(),1))</f>
        <v/>
      </c>
      <c r="G1273" s="173" t="str">
        <f ca="1">IF(C1273="","",[1]!s_pq_pctchange(D1273,TODAY()-$G$12,TODAY())/100)</f>
        <v/>
      </c>
      <c r="H1273" s="249" t="str">
        <f ca="1">IF(C1273="","",IF($H$11="收入",[1]!S_STM07_IS(D1273,9,$G$5,$H$13)/$E$5,[1]!S_STM07_IS(D1273,48,$G$5,$H$13)/$E$5))</f>
        <v/>
      </c>
      <c r="I1273" s="249" t="str">
        <f ca="1">IF(C1273="","",IF($I$11="毛利率",([1]!S_STM07_IS(D1273,9,$G$5,$H$13)-[1]!S_STM07_IS(D1273,10,$G$5,$H$13))/[1]!S_STM07_IS(D1273,9,$G$5,$H$13),[1]!S_STM07_IS(D1273,14,$G$5,$H$13)/$E$5))</f>
        <v/>
      </c>
      <c r="J1273" s="249" t="str">
        <f ca="1">IF(C1273="","",IF($J$11="营业利润率",[1]!S_STM07_IS(D1273,48,$G$5,$H$13)/[1]!S_STM07_IS(D1273,9,$G$5,$H$13),([1]!S_STM07_CS(D1273,87,$G$5,$H$13)+[1]!S_STM07_CS(D1273,88,$G$5,$H$13)+[1]!S_STM07_CS(D1273,89,$G$5,$H$13))/$E$5))</f>
        <v/>
      </c>
      <c r="K1273" s="249" t="str">
        <f ca="1">IF(C1273="","",IF($K$11="净利润率",[1]!S_STM07_IS(D1273,61,$G$5,$H$13)/[1]!S_STM07_IS(D1273,9,$G$5,$H$13),[1]!S_STM07_IS(D1273,55,$G$5,$H$13)/$E$5))</f>
        <v/>
      </c>
      <c r="L1273" s="249" t="str">
        <f ca="1">IF(C1273="","",IF($L$11="ROA",[1]!S_STM07_IS(D1273,61,$G$5,$H$13)/[1]!S_STM07_BS(D1273,74,$G$5,$H$13),1-[1]!S_STM07_IS(D1273,61,$G$5,$H$13)/[1]!S_STM07_IS(D1273,55,$G$5,$H$13)))</f>
        <v/>
      </c>
      <c r="M1273" s="249" t="str">
        <f ca="1">IF(C1273="","",IF($M$11="ROE",[1]!S_STM07_IS(D1273,61,$G$5,$H$13)/[1]!S_STM07_BS(D1273,141,$G$5,$H$13),([1]!S_STM07_BS(D1273,25,$G$5,$H$13)-[1]!S_STM07_BS(D1273,93,$G$5,$H$13))/$E$5))</f>
        <v/>
      </c>
      <c r="N1273" s="250" t="str">
        <f ca="1">IF(C1273="","",IF($N$11="EPS",[1]!S_STM07_IS(D1273,61,$G$5,$H$13)/IF([1]!S_SHARE_TOTAL(D1273,$G$5)=0,[1]!S_SHARE_TOTAL(D1273,[1]!s_ipo_listeddate(D1273)),[1]!S_SHARE_TOTAL(D1273,$G$5)),([1]!S_STM07_BS(D1273,75,$G$5,$H$13)+[1]!S_STM07_BS(D1273,88,$G$5,$H$13)+[1]!S_STM07_BS(D1273,94,$G$5,$H$13)+[1]!S_STM07_BS(D1273,95,$G$5,$H$13))/$E$5))</f>
        <v/>
      </c>
      <c r="O1273" s="250" t="str">
        <f ca="1">IF(C1273="","",IF($O$11="BPS",[1]!S_STM07_BS(D1273,141,$G$5,$H$13)/IF([1]!S_SHARE_TOTAL(D1273,$G$5)=0,[1]!S_SHARE_TOTAL(D1273,[1]!s_ipo_listeddate(D1273)),[1]!S_SHARE_TOTAL(D1273,$G$5)),[1]!S_STM07_CS(D1273,49,$G$5,$H$13)/$E$5))</f>
        <v/>
      </c>
      <c r="P1273" s="250" t="str">
        <f ca="1">IF(C1273="","",IF($P$11="CFPS",[1]!S_STM07_CS(D1273,84,$G$5,$H$13)/IF([1]!S_SHARE_TOTAL(D1273,$G$5)=0,[1]!S_SHARE_TOTAL(D1273,[1]!s_ipo_listeddate(D1273)),[1]!S_SHARE_TOTAL(D1273,$G$5)),[1]!S_STM07_CS(D1273,84,$G$5,$H$13)/$E$5))</f>
        <v/>
      </c>
      <c r="Q1273" s="198" t="str">
        <f ca="1">IF(C1273="","",F1273/([1]!S_STM07_IS(D1273,61,$G$5,$H$13)/IF([1]!S_SHARE_TOTAL(D1273,$G$5)=0,[1]!S_SHARE_TOTAL(D1273,[1]!s_ipo_listeddate(D1273)),[1]!S_SHARE_TOTAL(D1273,$G$5))))</f>
        <v/>
      </c>
      <c r="R1273" s="198" t="str">
        <f ca="1">IF(C1273="","",F1273/([1]!S_STM07_BS(D1273,141,$G$5,$H$13)/IF([1]!S_SHARE_TOTAL(D1273,$G$5)=0,[1]!S_SHARE_TOTAL(D1273,[1]!s_ipo_listeddate(D1273)),[1]!S_SHARE_TOTAL(D1273,$G$5))))</f>
        <v/>
      </c>
      <c r="S1273" s="249" t="str">
        <f ca="1">IF(C1273="","",[1]!S_SHARE_TOTAL(D1273,TODAY())/$E$5)</f>
        <v/>
      </c>
      <c r="T1273" s="249" t="str">
        <f t="shared" ca="1" si="127"/>
        <v/>
      </c>
      <c r="U1273" s="172" t="str">
        <f t="shared" ca="1" si="128"/>
        <v/>
      </c>
      <c r="V1273" s="343" t="str">
        <f t="shared" ca="1" si="129"/>
        <v/>
      </c>
      <c r="W1273" s="139"/>
      <c r="Y1273" s="1"/>
    </row>
    <row r="1274" spans="3:25" ht="12" customHeight="1">
      <c r="C1274" s="342" t="str">
        <f t="shared" ca="1" si="124"/>
        <v/>
      </c>
      <c r="D1274" s="153" t="str">
        <f t="shared" ca="1" si="125"/>
        <v/>
      </c>
      <c r="E1274" s="153" t="str">
        <f t="shared" ca="1" si="126"/>
        <v/>
      </c>
      <c r="F1274" s="170" t="str">
        <f ca="1">IF(C1274="","",[1]!S_DQ_CLOSE(D1274,TODAY(),1))</f>
        <v/>
      </c>
      <c r="G1274" s="171" t="str">
        <f ca="1">IF(C1274="","",[1]!s_pq_pctchange(D1274,TODAY()-$G$12,TODAY())/100)</f>
        <v/>
      </c>
      <c r="H1274" s="247" t="str">
        <f ca="1">IF(C1274="","",IF($H$11="收入",[1]!S_STM07_IS(D1274,9,$G$5,$H$13)/$E$5,[1]!S_STM07_IS(D1274,48,$G$5,$H$13)/$E$5))</f>
        <v/>
      </c>
      <c r="I1274" s="247" t="str">
        <f ca="1">IF(C1274="","",IF($I$11="毛利率",([1]!S_STM07_IS(D1274,9,$G$5,$H$13)-[1]!S_STM07_IS(D1274,10,$G$5,$H$13))/[1]!S_STM07_IS(D1274,9,$G$5,$H$13),[1]!S_STM07_IS(D1274,14,$G$5,$H$13)/$E$5))</f>
        <v/>
      </c>
      <c r="J1274" s="247" t="str">
        <f ca="1">IF(C1274="","",IF($J$11="营业利润率",[1]!S_STM07_IS(D1274,48,$G$5,$H$13)/[1]!S_STM07_IS(D1274,9,$G$5,$H$13),([1]!S_STM07_CS(D1274,87,$G$5,$H$13)+[1]!S_STM07_CS(D1274,88,$G$5,$H$13)+[1]!S_STM07_CS(D1274,89,$G$5,$H$13))/$E$5))</f>
        <v/>
      </c>
      <c r="K1274" s="247" t="str">
        <f ca="1">IF(C1274="","",IF($K$11="净利润率",[1]!S_STM07_IS(D1274,61,$G$5,$H$13)/[1]!S_STM07_IS(D1274,9,$G$5,$H$13),[1]!S_STM07_IS(D1274,55,$G$5,$H$13)/$E$5))</f>
        <v/>
      </c>
      <c r="L1274" s="247" t="str">
        <f ca="1">IF(C1274="","",IF($L$11="ROA",[1]!S_STM07_IS(D1274,61,$G$5,$H$13)/[1]!S_STM07_BS(D1274,74,$G$5,$H$13),1-[1]!S_STM07_IS(D1274,61,$G$5,$H$13)/[1]!S_STM07_IS(D1274,55,$G$5,$H$13)))</f>
        <v/>
      </c>
      <c r="M1274" s="247" t="str">
        <f ca="1">IF(C1274="","",IF($M$11="ROE",[1]!S_STM07_IS(D1274,61,$G$5,$H$13)/[1]!S_STM07_BS(D1274,141,$G$5,$H$13),([1]!S_STM07_BS(D1274,25,$G$5,$H$13)-[1]!S_STM07_BS(D1274,93,$G$5,$H$13))/$E$5))</f>
        <v/>
      </c>
      <c r="N1274" s="247" t="str">
        <f ca="1">IF(C1274="","",IF($N$11="EPS",[1]!S_STM07_IS(D1274,61,$G$5,$H$13)/IF([1]!S_SHARE_TOTAL(D1274,$G$5)=0,[1]!S_SHARE_TOTAL(D1274,[1]!s_ipo_listeddate(D1274)),[1]!S_SHARE_TOTAL(D1274,$G$5)),([1]!S_STM07_BS(D1274,75,$G$5,$H$13)+[1]!S_STM07_BS(D1274,88,$G$5,$H$13)+[1]!S_STM07_BS(D1274,94,$G$5,$H$13)+[1]!S_STM07_BS(D1274,95,$G$5,$H$13))/$E$5))</f>
        <v/>
      </c>
      <c r="O1274" s="247" t="str">
        <f ca="1">IF(C1274="","",IF($O$11="BPS",[1]!S_STM07_BS(D1274,141,$G$5,$H$13)/IF([1]!S_SHARE_TOTAL(D1274,$G$5)=0,[1]!S_SHARE_TOTAL(D1274,[1]!s_ipo_listeddate(D1274)),[1]!S_SHARE_TOTAL(D1274,$G$5)),[1]!S_STM07_CS(D1274,49,$G$5,$H$13)/$E$5))</f>
        <v/>
      </c>
      <c r="P1274" s="247" t="str">
        <f ca="1">IF(C1274="","",IF($P$11="CFPS",[1]!S_STM07_CS(D1274,84,$G$5,$H$13)/IF([1]!S_SHARE_TOTAL(D1274,$G$5)=0,[1]!S_SHARE_TOTAL(D1274,[1]!s_ipo_listeddate(D1274)),[1]!S_SHARE_TOTAL(D1274,$G$5)),[1]!S_STM07_CS(D1274,84,$G$5,$H$13)/$E$5))</f>
        <v/>
      </c>
      <c r="Q1274" s="248" t="str">
        <f ca="1">IF(C1274="","",F1274/([1]!S_STM07_IS(D1274,61,$G$5,$H$13)/IF([1]!S_SHARE_TOTAL(D1274,$G$5)=0,[1]!S_SHARE_TOTAL(D1274,[1]!s_ipo_listeddate(D1274)),[1]!S_SHARE_TOTAL(D1274,$G$5))))</f>
        <v/>
      </c>
      <c r="R1274" s="248" t="str">
        <f ca="1">IF(C1274="","",F1274/([1]!S_STM07_BS(D1274,141,$G$5,$H$13)/IF([1]!S_SHARE_TOTAL(D1274,$G$5)=0,[1]!S_SHARE_TOTAL(D1274,[1]!s_ipo_listeddate(D1274)),[1]!S_SHARE_TOTAL(D1274,$G$5))))</f>
        <v/>
      </c>
      <c r="S1274" s="247" t="str">
        <f ca="1">IF(C1274="","",[1]!S_SHARE_TOTAL(D1274,TODAY())/$E$5)</f>
        <v/>
      </c>
      <c r="T1274" s="247" t="str">
        <f t="shared" ca="1" si="127"/>
        <v/>
      </c>
      <c r="U1274" s="218" t="str">
        <f t="shared" ca="1" si="128"/>
        <v/>
      </c>
      <c r="V1274" s="342" t="str">
        <f t="shared" ca="1" si="129"/>
        <v/>
      </c>
      <c r="W1274" s="139"/>
      <c r="Y1274" s="1"/>
    </row>
    <row r="1275" spans="3:25" ht="12" customHeight="1">
      <c r="C1275" s="343" t="str">
        <f t="shared" ca="1" si="124"/>
        <v/>
      </c>
      <c r="D1275" s="124" t="str">
        <f t="shared" ca="1" si="125"/>
        <v/>
      </c>
      <c r="E1275" s="124" t="str">
        <f t="shared" ca="1" si="126"/>
        <v/>
      </c>
      <c r="F1275" s="172" t="str">
        <f ca="1">IF(C1275="","",[1]!S_DQ_CLOSE(D1275,TODAY(),1))</f>
        <v/>
      </c>
      <c r="G1275" s="173" t="str">
        <f ca="1">IF(C1275="","",[1]!s_pq_pctchange(D1275,TODAY()-$G$12,TODAY())/100)</f>
        <v/>
      </c>
      <c r="H1275" s="249" t="str">
        <f ca="1">IF(C1275="","",IF($H$11="收入",[1]!S_STM07_IS(D1275,9,$G$5,$H$13)/$E$5,[1]!S_STM07_IS(D1275,48,$G$5,$H$13)/$E$5))</f>
        <v/>
      </c>
      <c r="I1275" s="249" t="str">
        <f ca="1">IF(C1275="","",IF($I$11="毛利率",([1]!S_STM07_IS(D1275,9,$G$5,$H$13)-[1]!S_STM07_IS(D1275,10,$G$5,$H$13))/[1]!S_STM07_IS(D1275,9,$G$5,$H$13),[1]!S_STM07_IS(D1275,14,$G$5,$H$13)/$E$5))</f>
        <v/>
      </c>
      <c r="J1275" s="249" t="str">
        <f ca="1">IF(C1275="","",IF($J$11="营业利润率",[1]!S_STM07_IS(D1275,48,$G$5,$H$13)/[1]!S_STM07_IS(D1275,9,$G$5,$H$13),([1]!S_STM07_CS(D1275,87,$G$5,$H$13)+[1]!S_STM07_CS(D1275,88,$G$5,$H$13)+[1]!S_STM07_CS(D1275,89,$G$5,$H$13))/$E$5))</f>
        <v/>
      </c>
      <c r="K1275" s="249" t="str">
        <f ca="1">IF(C1275="","",IF($K$11="净利润率",[1]!S_STM07_IS(D1275,61,$G$5,$H$13)/[1]!S_STM07_IS(D1275,9,$G$5,$H$13),[1]!S_STM07_IS(D1275,55,$G$5,$H$13)/$E$5))</f>
        <v/>
      </c>
      <c r="L1275" s="249" t="str">
        <f ca="1">IF(C1275="","",IF($L$11="ROA",[1]!S_STM07_IS(D1275,61,$G$5,$H$13)/[1]!S_STM07_BS(D1275,74,$G$5,$H$13),1-[1]!S_STM07_IS(D1275,61,$G$5,$H$13)/[1]!S_STM07_IS(D1275,55,$G$5,$H$13)))</f>
        <v/>
      </c>
      <c r="M1275" s="249" t="str">
        <f ca="1">IF(C1275="","",IF($M$11="ROE",[1]!S_STM07_IS(D1275,61,$G$5,$H$13)/[1]!S_STM07_BS(D1275,141,$G$5,$H$13),([1]!S_STM07_BS(D1275,25,$G$5,$H$13)-[1]!S_STM07_BS(D1275,93,$G$5,$H$13))/$E$5))</f>
        <v/>
      </c>
      <c r="N1275" s="250" t="str">
        <f ca="1">IF(C1275="","",IF($N$11="EPS",[1]!S_STM07_IS(D1275,61,$G$5,$H$13)/IF([1]!S_SHARE_TOTAL(D1275,$G$5)=0,[1]!S_SHARE_TOTAL(D1275,[1]!s_ipo_listeddate(D1275)),[1]!S_SHARE_TOTAL(D1275,$G$5)),([1]!S_STM07_BS(D1275,75,$G$5,$H$13)+[1]!S_STM07_BS(D1275,88,$G$5,$H$13)+[1]!S_STM07_BS(D1275,94,$G$5,$H$13)+[1]!S_STM07_BS(D1275,95,$G$5,$H$13))/$E$5))</f>
        <v/>
      </c>
      <c r="O1275" s="250" t="str">
        <f ca="1">IF(C1275="","",IF($O$11="BPS",[1]!S_STM07_BS(D1275,141,$G$5,$H$13)/IF([1]!S_SHARE_TOTAL(D1275,$G$5)=0,[1]!S_SHARE_TOTAL(D1275,[1]!s_ipo_listeddate(D1275)),[1]!S_SHARE_TOTAL(D1275,$G$5)),[1]!S_STM07_CS(D1275,49,$G$5,$H$13)/$E$5))</f>
        <v/>
      </c>
      <c r="P1275" s="250" t="str">
        <f ca="1">IF(C1275="","",IF($P$11="CFPS",[1]!S_STM07_CS(D1275,84,$G$5,$H$13)/IF([1]!S_SHARE_TOTAL(D1275,$G$5)=0,[1]!S_SHARE_TOTAL(D1275,[1]!s_ipo_listeddate(D1275)),[1]!S_SHARE_TOTAL(D1275,$G$5)),[1]!S_STM07_CS(D1275,84,$G$5,$H$13)/$E$5))</f>
        <v/>
      </c>
      <c r="Q1275" s="198" t="str">
        <f ca="1">IF(C1275="","",F1275/([1]!S_STM07_IS(D1275,61,$G$5,$H$13)/IF([1]!S_SHARE_TOTAL(D1275,$G$5)=0,[1]!S_SHARE_TOTAL(D1275,[1]!s_ipo_listeddate(D1275)),[1]!S_SHARE_TOTAL(D1275,$G$5))))</f>
        <v/>
      </c>
      <c r="R1275" s="198" t="str">
        <f ca="1">IF(C1275="","",F1275/([1]!S_STM07_BS(D1275,141,$G$5,$H$13)/IF([1]!S_SHARE_TOTAL(D1275,$G$5)=0,[1]!S_SHARE_TOTAL(D1275,[1]!s_ipo_listeddate(D1275)),[1]!S_SHARE_TOTAL(D1275,$G$5))))</f>
        <v/>
      </c>
      <c r="S1275" s="249" t="str">
        <f ca="1">IF(C1275="","",[1]!S_SHARE_TOTAL(D1275,TODAY())/$E$5)</f>
        <v/>
      </c>
      <c r="T1275" s="249" t="str">
        <f t="shared" ca="1" si="127"/>
        <v/>
      </c>
      <c r="U1275" s="172" t="str">
        <f t="shared" ca="1" si="128"/>
        <v/>
      </c>
      <c r="V1275" s="343" t="str">
        <f t="shared" ca="1" si="129"/>
        <v/>
      </c>
      <c r="W1275" s="139"/>
      <c r="Y1275" s="1"/>
    </row>
    <row r="1276" spans="3:25" ht="12" customHeight="1">
      <c r="C1276" s="342" t="str">
        <f t="shared" ca="1" si="124"/>
        <v/>
      </c>
      <c r="D1276" s="153" t="str">
        <f t="shared" ca="1" si="125"/>
        <v/>
      </c>
      <c r="E1276" s="153" t="str">
        <f t="shared" ca="1" si="126"/>
        <v/>
      </c>
      <c r="F1276" s="170" t="str">
        <f ca="1">IF(C1276="","",[1]!S_DQ_CLOSE(D1276,TODAY(),1))</f>
        <v/>
      </c>
      <c r="G1276" s="171" t="str">
        <f ca="1">IF(C1276="","",[1]!s_pq_pctchange(D1276,TODAY()-$G$12,TODAY())/100)</f>
        <v/>
      </c>
      <c r="H1276" s="247" t="str">
        <f ca="1">IF(C1276="","",IF($H$11="收入",[1]!S_STM07_IS(D1276,9,$G$5,$H$13)/$E$5,[1]!S_STM07_IS(D1276,48,$G$5,$H$13)/$E$5))</f>
        <v/>
      </c>
      <c r="I1276" s="247" t="str">
        <f ca="1">IF(C1276="","",IF($I$11="毛利率",([1]!S_STM07_IS(D1276,9,$G$5,$H$13)-[1]!S_STM07_IS(D1276,10,$G$5,$H$13))/[1]!S_STM07_IS(D1276,9,$G$5,$H$13),[1]!S_STM07_IS(D1276,14,$G$5,$H$13)/$E$5))</f>
        <v/>
      </c>
      <c r="J1276" s="247" t="str">
        <f ca="1">IF(C1276="","",IF($J$11="营业利润率",[1]!S_STM07_IS(D1276,48,$G$5,$H$13)/[1]!S_STM07_IS(D1276,9,$G$5,$H$13),([1]!S_STM07_CS(D1276,87,$G$5,$H$13)+[1]!S_STM07_CS(D1276,88,$G$5,$H$13)+[1]!S_STM07_CS(D1276,89,$G$5,$H$13))/$E$5))</f>
        <v/>
      </c>
      <c r="K1276" s="247" t="str">
        <f ca="1">IF(C1276="","",IF($K$11="净利润率",[1]!S_STM07_IS(D1276,61,$G$5,$H$13)/[1]!S_STM07_IS(D1276,9,$G$5,$H$13),[1]!S_STM07_IS(D1276,55,$G$5,$H$13)/$E$5))</f>
        <v/>
      </c>
      <c r="L1276" s="247" t="str">
        <f ca="1">IF(C1276="","",IF($L$11="ROA",[1]!S_STM07_IS(D1276,61,$G$5,$H$13)/[1]!S_STM07_BS(D1276,74,$G$5,$H$13),1-[1]!S_STM07_IS(D1276,61,$G$5,$H$13)/[1]!S_STM07_IS(D1276,55,$G$5,$H$13)))</f>
        <v/>
      </c>
      <c r="M1276" s="247" t="str">
        <f ca="1">IF(C1276="","",IF($M$11="ROE",[1]!S_STM07_IS(D1276,61,$G$5,$H$13)/[1]!S_STM07_BS(D1276,141,$G$5,$H$13),([1]!S_STM07_BS(D1276,25,$G$5,$H$13)-[1]!S_STM07_BS(D1276,93,$G$5,$H$13))/$E$5))</f>
        <v/>
      </c>
      <c r="N1276" s="247" t="str">
        <f ca="1">IF(C1276="","",IF($N$11="EPS",[1]!S_STM07_IS(D1276,61,$G$5,$H$13)/IF([1]!S_SHARE_TOTAL(D1276,$G$5)=0,[1]!S_SHARE_TOTAL(D1276,[1]!s_ipo_listeddate(D1276)),[1]!S_SHARE_TOTAL(D1276,$G$5)),([1]!S_STM07_BS(D1276,75,$G$5,$H$13)+[1]!S_STM07_BS(D1276,88,$G$5,$H$13)+[1]!S_STM07_BS(D1276,94,$G$5,$H$13)+[1]!S_STM07_BS(D1276,95,$G$5,$H$13))/$E$5))</f>
        <v/>
      </c>
      <c r="O1276" s="247" t="str">
        <f ca="1">IF(C1276="","",IF($O$11="BPS",[1]!S_STM07_BS(D1276,141,$G$5,$H$13)/IF([1]!S_SHARE_TOTAL(D1276,$G$5)=0,[1]!S_SHARE_TOTAL(D1276,[1]!s_ipo_listeddate(D1276)),[1]!S_SHARE_TOTAL(D1276,$G$5)),[1]!S_STM07_CS(D1276,49,$G$5,$H$13)/$E$5))</f>
        <v/>
      </c>
      <c r="P1276" s="247" t="str">
        <f ca="1">IF(C1276="","",IF($P$11="CFPS",[1]!S_STM07_CS(D1276,84,$G$5,$H$13)/IF([1]!S_SHARE_TOTAL(D1276,$G$5)=0,[1]!S_SHARE_TOTAL(D1276,[1]!s_ipo_listeddate(D1276)),[1]!S_SHARE_TOTAL(D1276,$G$5)),[1]!S_STM07_CS(D1276,84,$G$5,$H$13)/$E$5))</f>
        <v/>
      </c>
      <c r="Q1276" s="248" t="str">
        <f ca="1">IF(C1276="","",F1276/([1]!S_STM07_IS(D1276,61,$G$5,$H$13)/IF([1]!S_SHARE_TOTAL(D1276,$G$5)=0,[1]!S_SHARE_TOTAL(D1276,[1]!s_ipo_listeddate(D1276)),[1]!S_SHARE_TOTAL(D1276,$G$5))))</f>
        <v/>
      </c>
      <c r="R1276" s="248" t="str">
        <f ca="1">IF(C1276="","",F1276/([1]!S_STM07_BS(D1276,141,$G$5,$H$13)/IF([1]!S_SHARE_TOTAL(D1276,$G$5)=0,[1]!S_SHARE_TOTAL(D1276,[1]!s_ipo_listeddate(D1276)),[1]!S_SHARE_TOTAL(D1276,$G$5))))</f>
        <v/>
      </c>
      <c r="S1276" s="247" t="str">
        <f ca="1">IF(C1276="","",[1]!S_SHARE_TOTAL(D1276,TODAY())/$E$5)</f>
        <v/>
      </c>
      <c r="T1276" s="247" t="str">
        <f t="shared" ca="1" si="127"/>
        <v/>
      </c>
      <c r="U1276" s="218" t="str">
        <f t="shared" ca="1" si="128"/>
        <v/>
      </c>
      <c r="V1276" s="342" t="str">
        <f t="shared" ca="1" si="129"/>
        <v/>
      </c>
      <c r="W1276" s="139"/>
      <c r="Y1276" s="1"/>
    </row>
    <row r="1277" spans="3:25" ht="12" customHeight="1">
      <c r="C1277" s="343" t="str">
        <f t="shared" ca="1" si="124"/>
        <v/>
      </c>
      <c r="D1277" s="124" t="str">
        <f t="shared" ca="1" si="125"/>
        <v/>
      </c>
      <c r="E1277" s="124" t="str">
        <f t="shared" ca="1" si="126"/>
        <v/>
      </c>
      <c r="F1277" s="172" t="str">
        <f ca="1">IF(C1277="","",[1]!S_DQ_CLOSE(D1277,TODAY(),1))</f>
        <v/>
      </c>
      <c r="G1277" s="173" t="str">
        <f ca="1">IF(C1277="","",[1]!s_pq_pctchange(D1277,TODAY()-$G$12,TODAY())/100)</f>
        <v/>
      </c>
      <c r="H1277" s="249" t="str">
        <f ca="1">IF(C1277="","",IF($H$11="收入",[1]!S_STM07_IS(D1277,9,$G$5,$H$13)/$E$5,[1]!S_STM07_IS(D1277,48,$G$5,$H$13)/$E$5))</f>
        <v/>
      </c>
      <c r="I1277" s="249" t="str">
        <f ca="1">IF(C1277="","",IF($I$11="毛利率",([1]!S_STM07_IS(D1277,9,$G$5,$H$13)-[1]!S_STM07_IS(D1277,10,$G$5,$H$13))/[1]!S_STM07_IS(D1277,9,$G$5,$H$13),[1]!S_STM07_IS(D1277,14,$G$5,$H$13)/$E$5))</f>
        <v/>
      </c>
      <c r="J1277" s="249" t="str">
        <f ca="1">IF(C1277="","",IF($J$11="营业利润率",[1]!S_STM07_IS(D1277,48,$G$5,$H$13)/[1]!S_STM07_IS(D1277,9,$G$5,$H$13),([1]!S_STM07_CS(D1277,87,$G$5,$H$13)+[1]!S_STM07_CS(D1277,88,$G$5,$H$13)+[1]!S_STM07_CS(D1277,89,$G$5,$H$13))/$E$5))</f>
        <v/>
      </c>
      <c r="K1277" s="249" t="str">
        <f ca="1">IF(C1277="","",IF($K$11="净利润率",[1]!S_STM07_IS(D1277,61,$G$5,$H$13)/[1]!S_STM07_IS(D1277,9,$G$5,$H$13),[1]!S_STM07_IS(D1277,55,$G$5,$H$13)/$E$5))</f>
        <v/>
      </c>
      <c r="L1277" s="249" t="str">
        <f ca="1">IF(C1277="","",IF($L$11="ROA",[1]!S_STM07_IS(D1277,61,$G$5,$H$13)/[1]!S_STM07_BS(D1277,74,$G$5,$H$13),1-[1]!S_STM07_IS(D1277,61,$G$5,$H$13)/[1]!S_STM07_IS(D1277,55,$G$5,$H$13)))</f>
        <v/>
      </c>
      <c r="M1277" s="249" t="str">
        <f ca="1">IF(C1277="","",IF($M$11="ROE",[1]!S_STM07_IS(D1277,61,$G$5,$H$13)/[1]!S_STM07_BS(D1277,141,$G$5,$H$13),([1]!S_STM07_BS(D1277,25,$G$5,$H$13)-[1]!S_STM07_BS(D1277,93,$G$5,$H$13))/$E$5))</f>
        <v/>
      </c>
      <c r="N1277" s="250" t="str">
        <f ca="1">IF(C1277="","",IF($N$11="EPS",[1]!S_STM07_IS(D1277,61,$G$5,$H$13)/IF([1]!S_SHARE_TOTAL(D1277,$G$5)=0,[1]!S_SHARE_TOTAL(D1277,[1]!s_ipo_listeddate(D1277)),[1]!S_SHARE_TOTAL(D1277,$G$5)),([1]!S_STM07_BS(D1277,75,$G$5,$H$13)+[1]!S_STM07_BS(D1277,88,$G$5,$H$13)+[1]!S_STM07_BS(D1277,94,$G$5,$H$13)+[1]!S_STM07_BS(D1277,95,$G$5,$H$13))/$E$5))</f>
        <v/>
      </c>
      <c r="O1277" s="250" t="str">
        <f ca="1">IF(C1277="","",IF($O$11="BPS",[1]!S_STM07_BS(D1277,141,$G$5,$H$13)/IF([1]!S_SHARE_TOTAL(D1277,$G$5)=0,[1]!S_SHARE_TOTAL(D1277,[1]!s_ipo_listeddate(D1277)),[1]!S_SHARE_TOTAL(D1277,$G$5)),[1]!S_STM07_CS(D1277,49,$G$5,$H$13)/$E$5))</f>
        <v/>
      </c>
      <c r="P1277" s="250" t="str">
        <f ca="1">IF(C1277="","",IF($P$11="CFPS",[1]!S_STM07_CS(D1277,84,$G$5,$H$13)/IF([1]!S_SHARE_TOTAL(D1277,$G$5)=0,[1]!S_SHARE_TOTAL(D1277,[1]!s_ipo_listeddate(D1277)),[1]!S_SHARE_TOTAL(D1277,$G$5)),[1]!S_STM07_CS(D1277,84,$G$5,$H$13)/$E$5))</f>
        <v/>
      </c>
      <c r="Q1277" s="198" t="str">
        <f ca="1">IF(C1277="","",F1277/([1]!S_STM07_IS(D1277,61,$G$5,$H$13)/IF([1]!S_SHARE_TOTAL(D1277,$G$5)=0,[1]!S_SHARE_TOTAL(D1277,[1]!s_ipo_listeddate(D1277)),[1]!S_SHARE_TOTAL(D1277,$G$5))))</f>
        <v/>
      </c>
      <c r="R1277" s="198" t="str">
        <f ca="1">IF(C1277="","",F1277/([1]!S_STM07_BS(D1277,141,$G$5,$H$13)/IF([1]!S_SHARE_TOTAL(D1277,$G$5)=0,[1]!S_SHARE_TOTAL(D1277,[1]!s_ipo_listeddate(D1277)),[1]!S_SHARE_TOTAL(D1277,$G$5))))</f>
        <v/>
      </c>
      <c r="S1277" s="249" t="str">
        <f ca="1">IF(C1277="","",[1]!S_SHARE_TOTAL(D1277,TODAY())/$E$5)</f>
        <v/>
      </c>
      <c r="T1277" s="249" t="str">
        <f t="shared" ca="1" si="127"/>
        <v/>
      </c>
      <c r="U1277" s="172" t="str">
        <f t="shared" ca="1" si="128"/>
        <v/>
      </c>
      <c r="V1277" s="343" t="str">
        <f t="shared" ca="1" si="129"/>
        <v/>
      </c>
      <c r="W1277" s="139"/>
      <c r="Y1277" s="1"/>
    </row>
    <row r="1278" spans="3:25" ht="12" customHeight="1">
      <c r="C1278" s="342" t="str">
        <f t="shared" ca="1" si="124"/>
        <v/>
      </c>
      <c r="D1278" s="153" t="str">
        <f t="shared" ca="1" si="125"/>
        <v/>
      </c>
      <c r="E1278" s="153" t="str">
        <f t="shared" ca="1" si="126"/>
        <v/>
      </c>
      <c r="F1278" s="170" t="str">
        <f ca="1">IF(C1278="","",[1]!S_DQ_CLOSE(D1278,TODAY(),1))</f>
        <v/>
      </c>
      <c r="G1278" s="171" t="str">
        <f ca="1">IF(C1278="","",[1]!s_pq_pctchange(D1278,TODAY()-$G$12,TODAY())/100)</f>
        <v/>
      </c>
      <c r="H1278" s="247" t="str">
        <f ca="1">IF(C1278="","",IF($H$11="收入",[1]!S_STM07_IS(D1278,9,$G$5,$H$13)/$E$5,[1]!S_STM07_IS(D1278,48,$G$5,$H$13)/$E$5))</f>
        <v/>
      </c>
      <c r="I1278" s="247" t="str">
        <f ca="1">IF(C1278="","",IF($I$11="毛利率",([1]!S_STM07_IS(D1278,9,$G$5,$H$13)-[1]!S_STM07_IS(D1278,10,$G$5,$H$13))/[1]!S_STM07_IS(D1278,9,$G$5,$H$13),[1]!S_STM07_IS(D1278,14,$G$5,$H$13)/$E$5))</f>
        <v/>
      </c>
      <c r="J1278" s="247" t="str">
        <f ca="1">IF(C1278="","",IF($J$11="营业利润率",[1]!S_STM07_IS(D1278,48,$G$5,$H$13)/[1]!S_STM07_IS(D1278,9,$G$5,$H$13),([1]!S_STM07_CS(D1278,87,$G$5,$H$13)+[1]!S_STM07_CS(D1278,88,$G$5,$H$13)+[1]!S_STM07_CS(D1278,89,$G$5,$H$13))/$E$5))</f>
        <v/>
      </c>
      <c r="K1278" s="247" t="str">
        <f ca="1">IF(C1278="","",IF($K$11="净利润率",[1]!S_STM07_IS(D1278,61,$G$5,$H$13)/[1]!S_STM07_IS(D1278,9,$G$5,$H$13),[1]!S_STM07_IS(D1278,55,$G$5,$H$13)/$E$5))</f>
        <v/>
      </c>
      <c r="L1278" s="247" t="str">
        <f ca="1">IF(C1278="","",IF($L$11="ROA",[1]!S_STM07_IS(D1278,61,$G$5,$H$13)/[1]!S_STM07_BS(D1278,74,$G$5,$H$13),1-[1]!S_STM07_IS(D1278,61,$G$5,$H$13)/[1]!S_STM07_IS(D1278,55,$G$5,$H$13)))</f>
        <v/>
      </c>
      <c r="M1278" s="247" t="str">
        <f ca="1">IF(C1278="","",IF($M$11="ROE",[1]!S_STM07_IS(D1278,61,$G$5,$H$13)/[1]!S_STM07_BS(D1278,141,$G$5,$H$13),([1]!S_STM07_BS(D1278,25,$G$5,$H$13)-[1]!S_STM07_BS(D1278,93,$G$5,$H$13))/$E$5))</f>
        <v/>
      </c>
      <c r="N1278" s="247" t="str">
        <f ca="1">IF(C1278="","",IF($N$11="EPS",[1]!S_STM07_IS(D1278,61,$G$5,$H$13)/IF([1]!S_SHARE_TOTAL(D1278,$G$5)=0,[1]!S_SHARE_TOTAL(D1278,[1]!s_ipo_listeddate(D1278)),[1]!S_SHARE_TOTAL(D1278,$G$5)),([1]!S_STM07_BS(D1278,75,$G$5,$H$13)+[1]!S_STM07_BS(D1278,88,$G$5,$H$13)+[1]!S_STM07_BS(D1278,94,$G$5,$H$13)+[1]!S_STM07_BS(D1278,95,$G$5,$H$13))/$E$5))</f>
        <v/>
      </c>
      <c r="O1278" s="247" t="str">
        <f ca="1">IF(C1278="","",IF($O$11="BPS",[1]!S_STM07_BS(D1278,141,$G$5,$H$13)/IF([1]!S_SHARE_TOTAL(D1278,$G$5)=0,[1]!S_SHARE_TOTAL(D1278,[1]!s_ipo_listeddate(D1278)),[1]!S_SHARE_TOTAL(D1278,$G$5)),[1]!S_STM07_CS(D1278,49,$G$5,$H$13)/$E$5))</f>
        <v/>
      </c>
      <c r="P1278" s="247" t="str">
        <f ca="1">IF(C1278="","",IF($P$11="CFPS",[1]!S_STM07_CS(D1278,84,$G$5,$H$13)/IF([1]!S_SHARE_TOTAL(D1278,$G$5)=0,[1]!S_SHARE_TOTAL(D1278,[1]!s_ipo_listeddate(D1278)),[1]!S_SHARE_TOTAL(D1278,$G$5)),[1]!S_STM07_CS(D1278,84,$G$5,$H$13)/$E$5))</f>
        <v/>
      </c>
      <c r="Q1278" s="248" t="str">
        <f ca="1">IF(C1278="","",F1278/([1]!S_STM07_IS(D1278,61,$G$5,$H$13)/IF([1]!S_SHARE_TOTAL(D1278,$G$5)=0,[1]!S_SHARE_TOTAL(D1278,[1]!s_ipo_listeddate(D1278)),[1]!S_SHARE_TOTAL(D1278,$G$5))))</f>
        <v/>
      </c>
      <c r="R1278" s="248" t="str">
        <f ca="1">IF(C1278="","",F1278/([1]!S_STM07_BS(D1278,141,$G$5,$H$13)/IF([1]!S_SHARE_TOTAL(D1278,$G$5)=0,[1]!S_SHARE_TOTAL(D1278,[1]!s_ipo_listeddate(D1278)),[1]!S_SHARE_TOTAL(D1278,$G$5))))</f>
        <v/>
      </c>
      <c r="S1278" s="247" t="str">
        <f ca="1">IF(C1278="","",[1]!S_SHARE_TOTAL(D1278,TODAY())/$E$5)</f>
        <v/>
      </c>
      <c r="T1278" s="247" t="str">
        <f t="shared" ca="1" si="127"/>
        <v/>
      </c>
      <c r="U1278" s="218" t="str">
        <f t="shared" ca="1" si="128"/>
        <v/>
      </c>
      <c r="V1278" s="342" t="str">
        <f t="shared" ca="1" si="129"/>
        <v/>
      </c>
      <c r="W1278" s="139"/>
      <c r="Y1278" s="1"/>
    </row>
    <row r="1279" spans="3:25" ht="12" customHeight="1">
      <c r="C1279" s="343" t="str">
        <f t="shared" ca="1" si="124"/>
        <v/>
      </c>
      <c r="D1279" s="124" t="str">
        <f t="shared" ca="1" si="125"/>
        <v/>
      </c>
      <c r="E1279" s="124" t="str">
        <f t="shared" ca="1" si="126"/>
        <v/>
      </c>
      <c r="F1279" s="172" t="str">
        <f ca="1">IF(C1279="","",[1]!S_DQ_CLOSE(D1279,TODAY(),1))</f>
        <v/>
      </c>
      <c r="G1279" s="173" t="str">
        <f ca="1">IF(C1279="","",[1]!s_pq_pctchange(D1279,TODAY()-$G$12,TODAY())/100)</f>
        <v/>
      </c>
      <c r="H1279" s="249" t="str">
        <f ca="1">IF(C1279="","",IF($H$11="收入",[1]!S_STM07_IS(D1279,9,$G$5,$H$13)/$E$5,[1]!S_STM07_IS(D1279,48,$G$5,$H$13)/$E$5))</f>
        <v/>
      </c>
      <c r="I1279" s="249" t="str">
        <f ca="1">IF(C1279="","",IF($I$11="毛利率",([1]!S_STM07_IS(D1279,9,$G$5,$H$13)-[1]!S_STM07_IS(D1279,10,$G$5,$H$13))/[1]!S_STM07_IS(D1279,9,$G$5,$H$13),[1]!S_STM07_IS(D1279,14,$G$5,$H$13)/$E$5))</f>
        <v/>
      </c>
      <c r="J1279" s="249" t="str">
        <f ca="1">IF(C1279="","",IF($J$11="营业利润率",[1]!S_STM07_IS(D1279,48,$G$5,$H$13)/[1]!S_STM07_IS(D1279,9,$G$5,$H$13),([1]!S_STM07_CS(D1279,87,$G$5,$H$13)+[1]!S_STM07_CS(D1279,88,$G$5,$H$13)+[1]!S_STM07_CS(D1279,89,$G$5,$H$13))/$E$5))</f>
        <v/>
      </c>
      <c r="K1279" s="249" t="str">
        <f ca="1">IF(C1279="","",IF($K$11="净利润率",[1]!S_STM07_IS(D1279,61,$G$5,$H$13)/[1]!S_STM07_IS(D1279,9,$G$5,$H$13),[1]!S_STM07_IS(D1279,55,$G$5,$H$13)/$E$5))</f>
        <v/>
      </c>
      <c r="L1279" s="249" t="str">
        <f ca="1">IF(C1279="","",IF($L$11="ROA",[1]!S_STM07_IS(D1279,61,$G$5,$H$13)/[1]!S_STM07_BS(D1279,74,$G$5,$H$13),1-[1]!S_STM07_IS(D1279,61,$G$5,$H$13)/[1]!S_STM07_IS(D1279,55,$G$5,$H$13)))</f>
        <v/>
      </c>
      <c r="M1279" s="249" t="str">
        <f ca="1">IF(C1279="","",IF($M$11="ROE",[1]!S_STM07_IS(D1279,61,$G$5,$H$13)/[1]!S_STM07_BS(D1279,141,$G$5,$H$13),([1]!S_STM07_BS(D1279,25,$G$5,$H$13)-[1]!S_STM07_BS(D1279,93,$G$5,$H$13))/$E$5))</f>
        <v/>
      </c>
      <c r="N1279" s="250" t="str">
        <f ca="1">IF(C1279="","",IF($N$11="EPS",[1]!S_STM07_IS(D1279,61,$G$5,$H$13)/IF([1]!S_SHARE_TOTAL(D1279,$G$5)=0,[1]!S_SHARE_TOTAL(D1279,[1]!s_ipo_listeddate(D1279)),[1]!S_SHARE_TOTAL(D1279,$G$5)),([1]!S_STM07_BS(D1279,75,$G$5,$H$13)+[1]!S_STM07_BS(D1279,88,$G$5,$H$13)+[1]!S_STM07_BS(D1279,94,$G$5,$H$13)+[1]!S_STM07_BS(D1279,95,$G$5,$H$13))/$E$5))</f>
        <v/>
      </c>
      <c r="O1279" s="250" t="str">
        <f ca="1">IF(C1279="","",IF($O$11="BPS",[1]!S_STM07_BS(D1279,141,$G$5,$H$13)/IF([1]!S_SHARE_TOTAL(D1279,$G$5)=0,[1]!S_SHARE_TOTAL(D1279,[1]!s_ipo_listeddate(D1279)),[1]!S_SHARE_TOTAL(D1279,$G$5)),[1]!S_STM07_CS(D1279,49,$G$5,$H$13)/$E$5))</f>
        <v/>
      </c>
      <c r="P1279" s="250" t="str">
        <f ca="1">IF(C1279="","",IF($P$11="CFPS",[1]!S_STM07_CS(D1279,84,$G$5,$H$13)/IF([1]!S_SHARE_TOTAL(D1279,$G$5)=0,[1]!S_SHARE_TOTAL(D1279,[1]!s_ipo_listeddate(D1279)),[1]!S_SHARE_TOTAL(D1279,$G$5)),[1]!S_STM07_CS(D1279,84,$G$5,$H$13)/$E$5))</f>
        <v/>
      </c>
      <c r="Q1279" s="198" t="str">
        <f ca="1">IF(C1279="","",F1279/([1]!S_STM07_IS(D1279,61,$G$5,$H$13)/IF([1]!S_SHARE_TOTAL(D1279,$G$5)=0,[1]!S_SHARE_TOTAL(D1279,[1]!s_ipo_listeddate(D1279)),[1]!S_SHARE_TOTAL(D1279,$G$5))))</f>
        <v/>
      </c>
      <c r="R1279" s="198" t="str">
        <f ca="1">IF(C1279="","",F1279/([1]!S_STM07_BS(D1279,141,$G$5,$H$13)/IF([1]!S_SHARE_TOTAL(D1279,$G$5)=0,[1]!S_SHARE_TOTAL(D1279,[1]!s_ipo_listeddate(D1279)),[1]!S_SHARE_TOTAL(D1279,$G$5))))</f>
        <v/>
      </c>
      <c r="S1279" s="249" t="str">
        <f ca="1">IF(C1279="","",[1]!S_SHARE_TOTAL(D1279,TODAY())/$E$5)</f>
        <v/>
      </c>
      <c r="T1279" s="249" t="str">
        <f t="shared" ca="1" si="127"/>
        <v/>
      </c>
      <c r="U1279" s="172" t="str">
        <f t="shared" ca="1" si="128"/>
        <v/>
      </c>
      <c r="V1279" s="343" t="str">
        <f t="shared" ca="1" si="129"/>
        <v/>
      </c>
      <c r="W1279" s="139"/>
      <c r="Y1279" s="1"/>
    </row>
    <row r="1280" spans="3:25" ht="12" customHeight="1">
      <c r="C1280" s="342" t="str">
        <f t="shared" ca="1" si="124"/>
        <v/>
      </c>
      <c r="D1280" s="153" t="str">
        <f t="shared" ca="1" si="125"/>
        <v/>
      </c>
      <c r="E1280" s="153" t="str">
        <f t="shared" ca="1" si="126"/>
        <v/>
      </c>
      <c r="F1280" s="170" t="str">
        <f ca="1">IF(C1280="","",[1]!S_DQ_CLOSE(D1280,TODAY(),1))</f>
        <v/>
      </c>
      <c r="G1280" s="171" t="str">
        <f ca="1">IF(C1280="","",[1]!s_pq_pctchange(D1280,TODAY()-$G$12,TODAY())/100)</f>
        <v/>
      </c>
      <c r="H1280" s="247" t="str">
        <f ca="1">IF(C1280="","",IF($H$11="收入",[1]!S_STM07_IS(D1280,9,$G$5,$H$13)/$E$5,[1]!S_STM07_IS(D1280,48,$G$5,$H$13)/$E$5))</f>
        <v/>
      </c>
      <c r="I1280" s="247" t="str">
        <f ca="1">IF(C1280="","",IF($I$11="毛利率",([1]!S_STM07_IS(D1280,9,$G$5,$H$13)-[1]!S_STM07_IS(D1280,10,$G$5,$H$13))/[1]!S_STM07_IS(D1280,9,$G$5,$H$13),[1]!S_STM07_IS(D1280,14,$G$5,$H$13)/$E$5))</f>
        <v/>
      </c>
      <c r="J1280" s="247" t="str">
        <f ca="1">IF(C1280="","",IF($J$11="营业利润率",[1]!S_STM07_IS(D1280,48,$G$5,$H$13)/[1]!S_STM07_IS(D1280,9,$G$5,$H$13),([1]!S_STM07_CS(D1280,87,$G$5,$H$13)+[1]!S_STM07_CS(D1280,88,$G$5,$H$13)+[1]!S_STM07_CS(D1280,89,$G$5,$H$13))/$E$5))</f>
        <v/>
      </c>
      <c r="K1280" s="247" t="str">
        <f ca="1">IF(C1280="","",IF($K$11="净利润率",[1]!S_STM07_IS(D1280,61,$G$5,$H$13)/[1]!S_STM07_IS(D1280,9,$G$5,$H$13),[1]!S_STM07_IS(D1280,55,$G$5,$H$13)/$E$5))</f>
        <v/>
      </c>
      <c r="L1280" s="247" t="str">
        <f ca="1">IF(C1280="","",IF($L$11="ROA",[1]!S_STM07_IS(D1280,61,$G$5,$H$13)/[1]!S_STM07_BS(D1280,74,$G$5,$H$13),1-[1]!S_STM07_IS(D1280,61,$G$5,$H$13)/[1]!S_STM07_IS(D1280,55,$G$5,$H$13)))</f>
        <v/>
      </c>
      <c r="M1280" s="247" t="str">
        <f ca="1">IF(C1280="","",IF($M$11="ROE",[1]!S_STM07_IS(D1280,61,$G$5,$H$13)/[1]!S_STM07_BS(D1280,141,$G$5,$H$13),([1]!S_STM07_BS(D1280,25,$G$5,$H$13)-[1]!S_STM07_BS(D1280,93,$G$5,$H$13))/$E$5))</f>
        <v/>
      </c>
      <c r="N1280" s="247" t="str">
        <f ca="1">IF(C1280="","",IF($N$11="EPS",[1]!S_STM07_IS(D1280,61,$G$5,$H$13)/IF([1]!S_SHARE_TOTAL(D1280,$G$5)=0,[1]!S_SHARE_TOTAL(D1280,[1]!s_ipo_listeddate(D1280)),[1]!S_SHARE_TOTAL(D1280,$G$5)),([1]!S_STM07_BS(D1280,75,$G$5,$H$13)+[1]!S_STM07_BS(D1280,88,$G$5,$H$13)+[1]!S_STM07_BS(D1280,94,$G$5,$H$13)+[1]!S_STM07_BS(D1280,95,$G$5,$H$13))/$E$5))</f>
        <v/>
      </c>
      <c r="O1280" s="247" t="str">
        <f ca="1">IF(C1280="","",IF($O$11="BPS",[1]!S_STM07_BS(D1280,141,$G$5,$H$13)/IF([1]!S_SHARE_TOTAL(D1280,$G$5)=0,[1]!S_SHARE_TOTAL(D1280,[1]!s_ipo_listeddate(D1280)),[1]!S_SHARE_TOTAL(D1280,$G$5)),[1]!S_STM07_CS(D1280,49,$G$5,$H$13)/$E$5))</f>
        <v/>
      </c>
      <c r="P1280" s="247" t="str">
        <f ca="1">IF(C1280="","",IF($P$11="CFPS",[1]!S_STM07_CS(D1280,84,$G$5,$H$13)/IF([1]!S_SHARE_TOTAL(D1280,$G$5)=0,[1]!S_SHARE_TOTAL(D1280,[1]!s_ipo_listeddate(D1280)),[1]!S_SHARE_TOTAL(D1280,$G$5)),[1]!S_STM07_CS(D1280,84,$G$5,$H$13)/$E$5))</f>
        <v/>
      </c>
      <c r="Q1280" s="248" t="str">
        <f ca="1">IF(C1280="","",F1280/([1]!S_STM07_IS(D1280,61,$G$5,$H$13)/IF([1]!S_SHARE_TOTAL(D1280,$G$5)=0,[1]!S_SHARE_TOTAL(D1280,[1]!s_ipo_listeddate(D1280)),[1]!S_SHARE_TOTAL(D1280,$G$5))))</f>
        <v/>
      </c>
      <c r="R1280" s="248" t="str">
        <f ca="1">IF(C1280="","",F1280/([1]!S_STM07_BS(D1280,141,$G$5,$H$13)/IF([1]!S_SHARE_TOTAL(D1280,$G$5)=0,[1]!S_SHARE_TOTAL(D1280,[1]!s_ipo_listeddate(D1280)),[1]!S_SHARE_TOTAL(D1280,$G$5))))</f>
        <v/>
      </c>
      <c r="S1280" s="247" t="str">
        <f ca="1">IF(C1280="","",[1]!S_SHARE_TOTAL(D1280,TODAY())/$E$5)</f>
        <v/>
      </c>
      <c r="T1280" s="247" t="str">
        <f t="shared" ca="1" si="127"/>
        <v/>
      </c>
      <c r="U1280" s="218" t="str">
        <f t="shared" ca="1" si="128"/>
        <v/>
      </c>
      <c r="V1280" s="342" t="str">
        <f t="shared" ca="1" si="129"/>
        <v/>
      </c>
      <c r="W1280" s="139"/>
      <c r="Y1280" s="1"/>
    </row>
    <row r="1281" spans="3:25" ht="12" customHeight="1">
      <c r="C1281" s="343" t="str">
        <f t="shared" ca="1" si="124"/>
        <v/>
      </c>
      <c r="D1281" s="124" t="str">
        <f t="shared" ca="1" si="125"/>
        <v/>
      </c>
      <c r="E1281" s="124" t="str">
        <f t="shared" ca="1" si="126"/>
        <v/>
      </c>
      <c r="F1281" s="172" t="str">
        <f ca="1">IF(C1281="","",[1]!S_DQ_CLOSE(D1281,TODAY(),1))</f>
        <v/>
      </c>
      <c r="G1281" s="173" t="str">
        <f ca="1">IF(C1281="","",[1]!s_pq_pctchange(D1281,TODAY()-$G$12,TODAY())/100)</f>
        <v/>
      </c>
      <c r="H1281" s="249" t="str">
        <f ca="1">IF(C1281="","",IF($H$11="收入",[1]!S_STM07_IS(D1281,9,$G$5,$H$13)/$E$5,[1]!S_STM07_IS(D1281,48,$G$5,$H$13)/$E$5))</f>
        <v/>
      </c>
      <c r="I1281" s="249" t="str">
        <f ca="1">IF(C1281="","",IF($I$11="毛利率",([1]!S_STM07_IS(D1281,9,$G$5,$H$13)-[1]!S_STM07_IS(D1281,10,$G$5,$H$13))/[1]!S_STM07_IS(D1281,9,$G$5,$H$13),[1]!S_STM07_IS(D1281,14,$G$5,$H$13)/$E$5))</f>
        <v/>
      </c>
      <c r="J1281" s="249" t="str">
        <f ca="1">IF(C1281="","",IF($J$11="营业利润率",[1]!S_STM07_IS(D1281,48,$G$5,$H$13)/[1]!S_STM07_IS(D1281,9,$G$5,$H$13),([1]!S_STM07_CS(D1281,87,$G$5,$H$13)+[1]!S_STM07_CS(D1281,88,$G$5,$H$13)+[1]!S_STM07_CS(D1281,89,$G$5,$H$13))/$E$5))</f>
        <v/>
      </c>
      <c r="K1281" s="249" t="str">
        <f ca="1">IF(C1281="","",IF($K$11="净利润率",[1]!S_STM07_IS(D1281,61,$G$5,$H$13)/[1]!S_STM07_IS(D1281,9,$G$5,$H$13),[1]!S_STM07_IS(D1281,55,$G$5,$H$13)/$E$5))</f>
        <v/>
      </c>
      <c r="L1281" s="249" t="str">
        <f ca="1">IF(C1281="","",IF($L$11="ROA",[1]!S_STM07_IS(D1281,61,$G$5,$H$13)/[1]!S_STM07_BS(D1281,74,$G$5,$H$13),1-[1]!S_STM07_IS(D1281,61,$G$5,$H$13)/[1]!S_STM07_IS(D1281,55,$G$5,$H$13)))</f>
        <v/>
      </c>
      <c r="M1281" s="249" t="str">
        <f ca="1">IF(C1281="","",IF($M$11="ROE",[1]!S_STM07_IS(D1281,61,$G$5,$H$13)/[1]!S_STM07_BS(D1281,141,$G$5,$H$13),([1]!S_STM07_BS(D1281,25,$G$5,$H$13)-[1]!S_STM07_BS(D1281,93,$G$5,$H$13))/$E$5))</f>
        <v/>
      </c>
      <c r="N1281" s="250" t="str">
        <f ca="1">IF(C1281="","",IF($N$11="EPS",[1]!S_STM07_IS(D1281,61,$G$5,$H$13)/IF([1]!S_SHARE_TOTAL(D1281,$G$5)=0,[1]!S_SHARE_TOTAL(D1281,[1]!s_ipo_listeddate(D1281)),[1]!S_SHARE_TOTAL(D1281,$G$5)),([1]!S_STM07_BS(D1281,75,$G$5,$H$13)+[1]!S_STM07_BS(D1281,88,$G$5,$H$13)+[1]!S_STM07_BS(D1281,94,$G$5,$H$13)+[1]!S_STM07_BS(D1281,95,$G$5,$H$13))/$E$5))</f>
        <v/>
      </c>
      <c r="O1281" s="250" t="str">
        <f ca="1">IF(C1281="","",IF($O$11="BPS",[1]!S_STM07_BS(D1281,141,$G$5,$H$13)/IF([1]!S_SHARE_TOTAL(D1281,$G$5)=0,[1]!S_SHARE_TOTAL(D1281,[1]!s_ipo_listeddate(D1281)),[1]!S_SHARE_TOTAL(D1281,$G$5)),[1]!S_STM07_CS(D1281,49,$G$5,$H$13)/$E$5))</f>
        <v/>
      </c>
      <c r="P1281" s="250" t="str">
        <f ca="1">IF(C1281="","",IF($P$11="CFPS",[1]!S_STM07_CS(D1281,84,$G$5,$H$13)/IF([1]!S_SHARE_TOTAL(D1281,$G$5)=0,[1]!S_SHARE_TOTAL(D1281,[1]!s_ipo_listeddate(D1281)),[1]!S_SHARE_TOTAL(D1281,$G$5)),[1]!S_STM07_CS(D1281,84,$G$5,$H$13)/$E$5))</f>
        <v/>
      </c>
      <c r="Q1281" s="198" t="str">
        <f ca="1">IF(C1281="","",F1281/([1]!S_STM07_IS(D1281,61,$G$5,$H$13)/IF([1]!S_SHARE_TOTAL(D1281,$G$5)=0,[1]!S_SHARE_TOTAL(D1281,[1]!s_ipo_listeddate(D1281)),[1]!S_SHARE_TOTAL(D1281,$G$5))))</f>
        <v/>
      </c>
      <c r="R1281" s="198" t="str">
        <f ca="1">IF(C1281="","",F1281/([1]!S_STM07_BS(D1281,141,$G$5,$H$13)/IF([1]!S_SHARE_TOTAL(D1281,$G$5)=0,[1]!S_SHARE_TOTAL(D1281,[1]!s_ipo_listeddate(D1281)),[1]!S_SHARE_TOTAL(D1281,$G$5))))</f>
        <v/>
      </c>
      <c r="S1281" s="249" t="str">
        <f ca="1">IF(C1281="","",[1]!S_SHARE_TOTAL(D1281,TODAY())/$E$5)</f>
        <v/>
      </c>
      <c r="T1281" s="249" t="str">
        <f t="shared" ca="1" si="127"/>
        <v/>
      </c>
      <c r="U1281" s="172" t="str">
        <f t="shared" ca="1" si="128"/>
        <v/>
      </c>
      <c r="V1281" s="343" t="str">
        <f t="shared" ca="1" si="129"/>
        <v/>
      </c>
      <c r="W1281" s="139"/>
      <c r="Y1281" s="1"/>
    </row>
    <row r="1282" spans="3:25" ht="12" customHeight="1">
      <c r="C1282" s="342" t="str">
        <f t="shared" ca="1" si="124"/>
        <v/>
      </c>
      <c r="D1282" s="153" t="str">
        <f t="shared" ca="1" si="125"/>
        <v/>
      </c>
      <c r="E1282" s="153" t="str">
        <f t="shared" ca="1" si="126"/>
        <v/>
      </c>
      <c r="F1282" s="170" t="str">
        <f ca="1">IF(C1282="","",[1]!S_DQ_CLOSE(D1282,TODAY(),1))</f>
        <v/>
      </c>
      <c r="G1282" s="171" t="str">
        <f ca="1">IF(C1282="","",[1]!s_pq_pctchange(D1282,TODAY()-$G$12,TODAY())/100)</f>
        <v/>
      </c>
      <c r="H1282" s="247" t="str">
        <f ca="1">IF(C1282="","",IF($H$11="收入",[1]!S_STM07_IS(D1282,9,$G$5,$H$13)/$E$5,[1]!S_STM07_IS(D1282,48,$G$5,$H$13)/$E$5))</f>
        <v/>
      </c>
      <c r="I1282" s="247" t="str">
        <f ca="1">IF(C1282="","",IF($I$11="毛利率",([1]!S_STM07_IS(D1282,9,$G$5,$H$13)-[1]!S_STM07_IS(D1282,10,$G$5,$H$13))/[1]!S_STM07_IS(D1282,9,$G$5,$H$13),[1]!S_STM07_IS(D1282,14,$G$5,$H$13)/$E$5))</f>
        <v/>
      </c>
      <c r="J1282" s="247" t="str">
        <f ca="1">IF(C1282="","",IF($J$11="营业利润率",[1]!S_STM07_IS(D1282,48,$G$5,$H$13)/[1]!S_STM07_IS(D1282,9,$G$5,$H$13),([1]!S_STM07_CS(D1282,87,$G$5,$H$13)+[1]!S_STM07_CS(D1282,88,$G$5,$H$13)+[1]!S_STM07_CS(D1282,89,$G$5,$H$13))/$E$5))</f>
        <v/>
      </c>
      <c r="K1282" s="247" t="str">
        <f ca="1">IF(C1282="","",IF($K$11="净利润率",[1]!S_STM07_IS(D1282,61,$G$5,$H$13)/[1]!S_STM07_IS(D1282,9,$G$5,$H$13),[1]!S_STM07_IS(D1282,55,$G$5,$H$13)/$E$5))</f>
        <v/>
      </c>
      <c r="L1282" s="247" t="str">
        <f ca="1">IF(C1282="","",IF($L$11="ROA",[1]!S_STM07_IS(D1282,61,$G$5,$H$13)/[1]!S_STM07_BS(D1282,74,$G$5,$H$13),1-[1]!S_STM07_IS(D1282,61,$G$5,$H$13)/[1]!S_STM07_IS(D1282,55,$G$5,$H$13)))</f>
        <v/>
      </c>
      <c r="M1282" s="247" t="str">
        <f ca="1">IF(C1282="","",IF($M$11="ROE",[1]!S_STM07_IS(D1282,61,$G$5,$H$13)/[1]!S_STM07_BS(D1282,141,$G$5,$H$13),([1]!S_STM07_BS(D1282,25,$G$5,$H$13)-[1]!S_STM07_BS(D1282,93,$G$5,$H$13))/$E$5))</f>
        <v/>
      </c>
      <c r="N1282" s="247" t="str">
        <f ca="1">IF(C1282="","",IF($N$11="EPS",[1]!S_STM07_IS(D1282,61,$G$5,$H$13)/IF([1]!S_SHARE_TOTAL(D1282,$G$5)=0,[1]!S_SHARE_TOTAL(D1282,[1]!s_ipo_listeddate(D1282)),[1]!S_SHARE_TOTAL(D1282,$G$5)),([1]!S_STM07_BS(D1282,75,$G$5,$H$13)+[1]!S_STM07_BS(D1282,88,$G$5,$H$13)+[1]!S_STM07_BS(D1282,94,$G$5,$H$13)+[1]!S_STM07_BS(D1282,95,$G$5,$H$13))/$E$5))</f>
        <v/>
      </c>
      <c r="O1282" s="247" t="str">
        <f ca="1">IF(C1282="","",IF($O$11="BPS",[1]!S_STM07_BS(D1282,141,$G$5,$H$13)/IF([1]!S_SHARE_TOTAL(D1282,$G$5)=0,[1]!S_SHARE_TOTAL(D1282,[1]!s_ipo_listeddate(D1282)),[1]!S_SHARE_TOTAL(D1282,$G$5)),[1]!S_STM07_CS(D1282,49,$G$5,$H$13)/$E$5))</f>
        <v/>
      </c>
      <c r="P1282" s="247" t="str">
        <f ca="1">IF(C1282="","",IF($P$11="CFPS",[1]!S_STM07_CS(D1282,84,$G$5,$H$13)/IF([1]!S_SHARE_TOTAL(D1282,$G$5)=0,[1]!S_SHARE_TOTAL(D1282,[1]!s_ipo_listeddate(D1282)),[1]!S_SHARE_TOTAL(D1282,$G$5)),[1]!S_STM07_CS(D1282,84,$G$5,$H$13)/$E$5))</f>
        <v/>
      </c>
      <c r="Q1282" s="248" t="str">
        <f ca="1">IF(C1282="","",F1282/([1]!S_STM07_IS(D1282,61,$G$5,$H$13)/IF([1]!S_SHARE_TOTAL(D1282,$G$5)=0,[1]!S_SHARE_TOTAL(D1282,[1]!s_ipo_listeddate(D1282)),[1]!S_SHARE_TOTAL(D1282,$G$5))))</f>
        <v/>
      </c>
      <c r="R1282" s="248" t="str">
        <f ca="1">IF(C1282="","",F1282/([1]!S_STM07_BS(D1282,141,$G$5,$H$13)/IF([1]!S_SHARE_TOTAL(D1282,$G$5)=0,[1]!S_SHARE_TOTAL(D1282,[1]!s_ipo_listeddate(D1282)),[1]!S_SHARE_TOTAL(D1282,$G$5))))</f>
        <v/>
      </c>
      <c r="S1282" s="247" t="str">
        <f ca="1">IF(C1282="","",[1]!S_SHARE_TOTAL(D1282,TODAY())/$E$5)</f>
        <v/>
      </c>
      <c r="T1282" s="247" t="str">
        <f t="shared" ca="1" si="127"/>
        <v/>
      </c>
      <c r="U1282" s="218" t="str">
        <f t="shared" ca="1" si="128"/>
        <v/>
      </c>
      <c r="V1282" s="342" t="str">
        <f t="shared" ca="1" si="129"/>
        <v/>
      </c>
      <c r="W1282" s="139"/>
      <c r="Y1282" s="1"/>
    </row>
    <row r="1283" spans="3:25" ht="12" customHeight="1">
      <c r="C1283" s="343" t="str">
        <f t="shared" ca="1" si="124"/>
        <v/>
      </c>
      <c r="D1283" s="124" t="str">
        <f t="shared" ca="1" si="125"/>
        <v/>
      </c>
      <c r="E1283" s="124" t="str">
        <f t="shared" ca="1" si="126"/>
        <v/>
      </c>
      <c r="F1283" s="172" t="str">
        <f ca="1">IF(C1283="","",[1]!S_DQ_CLOSE(D1283,TODAY(),1))</f>
        <v/>
      </c>
      <c r="G1283" s="173" t="str">
        <f ca="1">IF(C1283="","",[1]!s_pq_pctchange(D1283,TODAY()-$G$12,TODAY())/100)</f>
        <v/>
      </c>
      <c r="H1283" s="249" t="str">
        <f ca="1">IF(C1283="","",IF($H$11="收入",[1]!S_STM07_IS(D1283,9,$G$5,$H$13)/$E$5,[1]!S_STM07_IS(D1283,48,$G$5,$H$13)/$E$5))</f>
        <v/>
      </c>
      <c r="I1283" s="249" t="str">
        <f ca="1">IF(C1283="","",IF($I$11="毛利率",([1]!S_STM07_IS(D1283,9,$G$5,$H$13)-[1]!S_STM07_IS(D1283,10,$G$5,$H$13))/[1]!S_STM07_IS(D1283,9,$G$5,$H$13),[1]!S_STM07_IS(D1283,14,$G$5,$H$13)/$E$5))</f>
        <v/>
      </c>
      <c r="J1283" s="249" t="str">
        <f ca="1">IF(C1283="","",IF($J$11="营业利润率",[1]!S_STM07_IS(D1283,48,$G$5,$H$13)/[1]!S_STM07_IS(D1283,9,$G$5,$H$13),([1]!S_STM07_CS(D1283,87,$G$5,$H$13)+[1]!S_STM07_CS(D1283,88,$G$5,$H$13)+[1]!S_STM07_CS(D1283,89,$G$5,$H$13))/$E$5))</f>
        <v/>
      </c>
      <c r="K1283" s="249" t="str">
        <f ca="1">IF(C1283="","",IF($K$11="净利润率",[1]!S_STM07_IS(D1283,61,$G$5,$H$13)/[1]!S_STM07_IS(D1283,9,$G$5,$H$13),[1]!S_STM07_IS(D1283,55,$G$5,$H$13)/$E$5))</f>
        <v/>
      </c>
      <c r="L1283" s="249" t="str">
        <f ca="1">IF(C1283="","",IF($L$11="ROA",[1]!S_STM07_IS(D1283,61,$G$5,$H$13)/[1]!S_STM07_BS(D1283,74,$G$5,$H$13),1-[1]!S_STM07_IS(D1283,61,$G$5,$H$13)/[1]!S_STM07_IS(D1283,55,$G$5,$H$13)))</f>
        <v/>
      </c>
      <c r="M1283" s="249" t="str">
        <f ca="1">IF(C1283="","",IF($M$11="ROE",[1]!S_STM07_IS(D1283,61,$G$5,$H$13)/[1]!S_STM07_BS(D1283,141,$G$5,$H$13),([1]!S_STM07_BS(D1283,25,$G$5,$H$13)-[1]!S_STM07_BS(D1283,93,$G$5,$H$13))/$E$5))</f>
        <v/>
      </c>
      <c r="N1283" s="250" t="str">
        <f ca="1">IF(C1283="","",IF($N$11="EPS",[1]!S_STM07_IS(D1283,61,$G$5,$H$13)/IF([1]!S_SHARE_TOTAL(D1283,$G$5)=0,[1]!S_SHARE_TOTAL(D1283,[1]!s_ipo_listeddate(D1283)),[1]!S_SHARE_TOTAL(D1283,$G$5)),([1]!S_STM07_BS(D1283,75,$G$5,$H$13)+[1]!S_STM07_BS(D1283,88,$G$5,$H$13)+[1]!S_STM07_BS(D1283,94,$G$5,$H$13)+[1]!S_STM07_BS(D1283,95,$G$5,$H$13))/$E$5))</f>
        <v/>
      </c>
      <c r="O1283" s="250" t="str">
        <f ca="1">IF(C1283="","",IF($O$11="BPS",[1]!S_STM07_BS(D1283,141,$G$5,$H$13)/IF([1]!S_SHARE_TOTAL(D1283,$G$5)=0,[1]!S_SHARE_TOTAL(D1283,[1]!s_ipo_listeddate(D1283)),[1]!S_SHARE_TOTAL(D1283,$G$5)),[1]!S_STM07_CS(D1283,49,$G$5,$H$13)/$E$5))</f>
        <v/>
      </c>
      <c r="P1283" s="250" t="str">
        <f ca="1">IF(C1283="","",IF($P$11="CFPS",[1]!S_STM07_CS(D1283,84,$G$5,$H$13)/IF([1]!S_SHARE_TOTAL(D1283,$G$5)=0,[1]!S_SHARE_TOTAL(D1283,[1]!s_ipo_listeddate(D1283)),[1]!S_SHARE_TOTAL(D1283,$G$5)),[1]!S_STM07_CS(D1283,84,$G$5,$H$13)/$E$5))</f>
        <v/>
      </c>
      <c r="Q1283" s="198" t="str">
        <f ca="1">IF(C1283="","",F1283/([1]!S_STM07_IS(D1283,61,$G$5,$H$13)/IF([1]!S_SHARE_TOTAL(D1283,$G$5)=0,[1]!S_SHARE_TOTAL(D1283,[1]!s_ipo_listeddate(D1283)),[1]!S_SHARE_TOTAL(D1283,$G$5))))</f>
        <v/>
      </c>
      <c r="R1283" s="198" t="str">
        <f ca="1">IF(C1283="","",F1283/([1]!S_STM07_BS(D1283,141,$G$5,$H$13)/IF([1]!S_SHARE_TOTAL(D1283,$G$5)=0,[1]!S_SHARE_TOTAL(D1283,[1]!s_ipo_listeddate(D1283)),[1]!S_SHARE_TOTAL(D1283,$G$5))))</f>
        <v/>
      </c>
      <c r="S1283" s="249" t="str">
        <f ca="1">IF(C1283="","",[1]!S_SHARE_TOTAL(D1283,TODAY())/$E$5)</f>
        <v/>
      </c>
      <c r="T1283" s="249" t="str">
        <f t="shared" ca="1" si="127"/>
        <v/>
      </c>
      <c r="U1283" s="172" t="str">
        <f t="shared" ca="1" si="128"/>
        <v/>
      </c>
      <c r="V1283" s="343" t="str">
        <f t="shared" ca="1" si="129"/>
        <v/>
      </c>
      <c r="W1283" s="139"/>
      <c r="Y1283" s="1"/>
    </row>
    <row r="1284" spans="3:25" ht="12" customHeight="1">
      <c r="C1284" s="342" t="str">
        <f t="shared" ca="1" si="124"/>
        <v/>
      </c>
      <c r="D1284" s="153" t="str">
        <f t="shared" ca="1" si="125"/>
        <v/>
      </c>
      <c r="E1284" s="153" t="str">
        <f t="shared" ca="1" si="126"/>
        <v/>
      </c>
      <c r="F1284" s="170" t="str">
        <f ca="1">IF(C1284="","",[1]!S_DQ_CLOSE(D1284,TODAY(),1))</f>
        <v/>
      </c>
      <c r="G1284" s="171" t="str">
        <f ca="1">IF(C1284="","",[1]!s_pq_pctchange(D1284,TODAY()-$G$12,TODAY())/100)</f>
        <v/>
      </c>
      <c r="H1284" s="247" t="str">
        <f ca="1">IF(C1284="","",IF($H$11="收入",[1]!S_STM07_IS(D1284,9,$G$5,$H$13)/$E$5,[1]!S_STM07_IS(D1284,48,$G$5,$H$13)/$E$5))</f>
        <v/>
      </c>
      <c r="I1284" s="247" t="str">
        <f ca="1">IF(C1284="","",IF($I$11="毛利率",([1]!S_STM07_IS(D1284,9,$G$5,$H$13)-[1]!S_STM07_IS(D1284,10,$G$5,$H$13))/[1]!S_STM07_IS(D1284,9,$G$5,$H$13),[1]!S_STM07_IS(D1284,14,$G$5,$H$13)/$E$5))</f>
        <v/>
      </c>
      <c r="J1284" s="247" t="str">
        <f ca="1">IF(C1284="","",IF($J$11="营业利润率",[1]!S_STM07_IS(D1284,48,$G$5,$H$13)/[1]!S_STM07_IS(D1284,9,$G$5,$H$13),([1]!S_STM07_CS(D1284,87,$G$5,$H$13)+[1]!S_STM07_CS(D1284,88,$G$5,$H$13)+[1]!S_STM07_CS(D1284,89,$G$5,$H$13))/$E$5))</f>
        <v/>
      </c>
      <c r="K1284" s="247" t="str">
        <f ca="1">IF(C1284="","",IF($K$11="净利润率",[1]!S_STM07_IS(D1284,61,$G$5,$H$13)/[1]!S_STM07_IS(D1284,9,$G$5,$H$13),[1]!S_STM07_IS(D1284,55,$G$5,$H$13)/$E$5))</f>
        <v/>
      </c>
      <c r="L1284" s="247" t="str">
        <f ca="1">IF(C1284="","",IF($L$11="ROA",[1]!S_STM07_IS(D1284,61,$G$5,$H$13)/[1]!S_STM07_BS(D1284,74,$G$5,$H$13),1-[1]!S_STM07_IS(D1284,61,$G$5,$H$13)/[1]!S_STM07_IS(D1284,55,$G$5,$H$13)))</f>
        <v/>
      </c>
      <c r="M1284" s="247" t="str">
        <f ca="1">IF(C1284="","",IF($M$11="ROE",[1]!S_STM07_IS(D1284,61,$G$5,$H$13)/[1]!S_STM07_BS(D1284,141,$G$5,$H$13),([1]!S_STM07_BS(D1284,25,$G$5,$H$13)-[1]!S_STM07_BS(D1284,93,$G$5,$H$13))/$E$5))</f>
        <v/>
      </c>
      <c r="N1284" s="247" t="str">
        <f ca="1">IF(C1284="","",IF($N$11="EPS",[1]!S_STM07_IS(D1284,61,$G$5,$H$13)/IF([1]!S_SHARE_TOTAL(D1284,$G$5)=0,[1]!S_SHARE_TOTAL(D1284,[1]!s_ipo_listeddate(D1284)),[1]!S_SHARE_TOTAL(D1284,$G$5)),([1]!S_STM07_BS(D1284,75,$G$5,$H$13)+[1]!S_STM07_BS(D1284,88,$G$5,$H$13)+[1]!S_STM07_BS(D1284,94,$G$5,$H$13)+[1]!S_STM07_BS(D1284,95,$G$5,$H$13))/$E$5))</f>
        <v/>
      </c>
      <c r="O1284" s="247" t="str">
        <f ca="1">IF(C1284="","",IF($O$11="BPS",[1]!S_STM07_BS(D1284,141,$G$5,$H$13)/IF([1]!S_SHARE_TOTAL(D1284,$G$5)=0,[1]!S_SHARE_TOTAL(D1284,[1]!s_ipo_listeddate(D1284)),[1]!S_SHARE_TOTAL(D1284,$G$5)),[1]!S_STM07_CS(D1284,49,$G$5,$H$13)/$E$5))</f>
        <v/>
      </c>
      <c r="P1284" s="247" t="str">
        <f ca="1">IF(C1284="","",IF($P$11="CFPS",[1]!S_STM07_CS(D1284,84,$G$5,$H$13)/IF([1]!S_SHARE_TOTAL(D1284,$G$5)=0,[1]!S_SHARE_TOTAL(D1284,[1]!s_ipo_listeddate(D1284)),[1]!S_SHARE_TOTAL(D1284,$G$5)),[1]!S_STM07_CS(D1284,84,$G$5,$H$13)/$E$5))</f>
        <v/>
      </c>
      <c r="Q1284" s="248" t="str">
        <f ca="1">IF(C1284="","",F1284/([1]!S_STM07_IS(D1284,61,$G$5,$H$13)/IF([1]!S_SHARE_TOTAL(D1284,$G$5)=0,[1]!S_SHARE_TOTAL(D1284,[1]!s_ipo_listeddate(D1284)),[1]!S_SHARE_TOTAL(D1284,$G$5))))</f>
        <v/>
      </c>
      <c r="R1284" s="248" t="str">
        <f ca="1">IF(C1284="","",F1284/([1]!S_STM07_BS(D1284,141,$G$5,$H$13)/IF([1]!S_SHARE_TOTAL(D1284,$G$5)=0,[1]!S_SHARE_TOTAL(D1284,[1]!s_ipo_listeddate(D1284)),[1]!S_SHARE_TOTAL(D1284,$G$5))))</f>
        <v/>
      </c>
      <c r="S1284" s="247" t="str">
        <f ca="1">IF(C1284="","",[1]!S_SHARE_TOTAL(D1284,TODAY())/$E$5)</f>
        <v/>
      </c>
      <c r="T1284" s="247" t="str">
        <f t="shared" ca="1" si="127"/>
        <v/>
      </c>
      <c r="U1284" s="218" t="str">
        <f t="shared" ca="1" si="128"/>
        <v/>
      </c>
      <c r="V1284" s="342" t="str">
        <f t="shared" ca="1" si="129"/>
        <v/>
      </c>
      <c r="W1284" s="139"/>
      <c r="Y1284" s="1"/>
    </row>
    <row r="1285" spans="3:25" ht="12" customHeight="1">
      <c r="C1285" s="343" t="str">
        <f t="shared" ca="1" si="124"/>
        <v/>
      </c>
      <c r="D1285" s="124" t="str">
        <f t="shared" ca="1" si="125"/>
        <v/>
      </c>
      <c r="E1285" s="124" t="str">
        <f t="shared" ca="1" si="126"/>
        <v/>
      </c>
      <c r="F1285" s="172" t="str">
        <f ca="1">IF(C1285="","",[1]!S_DQ_CLOSE(D1285,TODAY(),1))</f>
        <v/>
      </c>
      <c r="G1285" s="173" t="str">
        <f ca="1">IF(C1285="","",[1]!s_pq_pctchange(D1285,TODAY()-$G$12,TODAY())/100)</f>
        <v/>
      </c>
      <c r="H1285" s="249" t="str">
        <f ca="1">IF(C1285="","",IF($H$11="收入",[1]!S_STM07_IS(D1285,9,$G$5,$H$13)/$E$5,[1]!S_STM07_IS(D1285,48,$G$5,$H$13)/$E$5))</f>
        <v/>
      </c>
      <c r="I1285" s="249" t="str">
        <f ca="1">IF(C1285="","",IF($I$11="毛利率",([1]!S_STM07_IS(D1285,9,$G$5,$H$13)-[1]!S_STM07_IS(D1285,10,$G$5,$H$13))/[1]!S_STM07_IS(D1285,9,$G$5,$H$13),[1]!S_STM07_IS(D1285,14,$G$5,$H$13)/$E$5))</f>
        <v/>
      </c>
      <c r="J1285" s="249" t="str">
        <f ca="1">IF(C1285="","",IF($J$11="营业利润率",[1]!S_STM07_IS(D1285,48,$G$5,$H$13)/[1]!S_STM07_IS(D1285,9,$G$5,$H$13),([1]!S_STM07_CS(D1285,87,$G$5,$H$13)+[1]!S_STM07_CS(D1285,88,$G$5,$H$13)+[1]!S_STM07_CS(D1285,89,$G$5,$H$13))/$E$5))</f>
        <v/>
      </c>
      <c r="K1285" s="249" t="str">
        <f ca="1">IF(C1285="","",IF($K$11="净利润率",[1]!S_STM07_IS(D1285,61,$G$5,$H$13)/[1]!S_STM07_IS(D1285,9,$G$5,$H$13),[1]!S_STM07_IS(D1285,55,$G$5,$H$13)/$E$5))</f>
        <v/>
      </c>
      <c r="L1285" s="249" t="str">
        <f ca="1">IF(C1285="","",IF($L$11="ROA",[1]!S_STM07_IS(D1285,61,$G$5,$H$13)/[1]!S_STM07_BS(D1285,74,$G$5,$H$13),1-[1]!S_STM07_IS(D1285,61,$G$5,$H$13)/[1]!S_STM07_IS(D1285,55,$G$5,$H$13)))</f>
        <v/>
      </c>
      <c r="M1285" s="249" t="str">
        <f ca="1">IF(C1285="","",IF($M$11="ROE",[1]!S_STM07_IS(D1285,61,$G$5,$H$13)/[1]!S_STM07_BS(D1285,141,$G$5,$H$13),([1]!S_STM07_BS(D1285,25,$G$5,$H$13)-[1]!S_STM07_BS(D1285,93,$G$5,$H$13))/$E$5))</f>
        <v/>
      </c>
      <c r="N1285" s="250" t="str">
        <f ca="1">IF(C1285="","",IF($N$11="EPS",[1]!S_STM07_IS(D1285,61,$G$5,$H$13)/IF([1]!S_SHARE_TOTAL(D1285,$G$5)=0,[1]!S_SHARE_TOTAL(D1285,[1]!s_ipo_listeddate(D1285)),[1]!S_SHARE_TOTAL(D1285,$G$5)),([1]!S_STM07_BS(D1285,75,$G$5,$H$13)+[1]!S_STM07_BS(D1285,88,$G$5,$H$13)+[1]!S_STM07_BS(D1285,94,$G$5,$H$13)+[1]!S_STM07_BS(D1285,95,$G$5,$H$13))/$E$5))</f>
        <v/>
      </c>
      <c r="O1285" s="250" t="str">
        <f ca="1">IF(C1285="","",IF($O$11="BPS",[1]!S_STM07_BS(D1285,141,$G$5,$H$13)/IF([1]!S_SHARE_TOTAL(D1285,$G$5)=0,[1]!S_SHARE_TOTAL(D1285,[1]!s_ipo_listeddate(D1285)),[1]!S_SHARE_TOTAL(D1285,$G$5)),[1]!S_STM07_CS(D1285,49,$G$5,$H$13)/$E$5))</f>
        <v/>
      </c>
      <c r="P1285" s="250" t="str">
        <f ca="1">IF(C1285="","",IF($P$11="CFPS",[1]!S_STM07_CS(D1285,84,$G$5,$H$13)/IF([1]!S_SHARE_TOTAL(D1285,$G$5)=0,[1]!S_SHARE_TOTAL(D1285,[1]!s_ipo_listeddate(D1285)),[1]!S_SHARE_TOTAL(D1285,$G$5)),[1]!S_STM07_CS(D1285,84,$G$5,$H$13)/$E$5))</f>
        <v/>
      </c>
      <c r="Q1285" s="198" t="str">
        <f ca="1">IF(C1285="","",F1285/([1]!S_STM07_IS(D1285,61,$G$5,$H$13)/IF([1]!S_SHARE_TOTAL(D1285,$G$5)=0,[1]!S_SHARE_TOTAL(D1285,[1]!s_ipo_listeddate(D1285)),[1]!S_SHARE_TOTAL(D1285,$G$5))))</f>
        <v/>
      </c>
      <c r="R1285" s="198" t="str">
        <f ca="1">IF(C1285="","",F1285/([1]!S_STM07_BS(D1285,141,$G$5,$H$13)/IF([1]!S_SHARE_TOTAL(D1285,$G$5)=0,[1]!S_SHARE_TOTAL(D1285,[1]!s_ipo_listeddate(D1285)),[1]!S_SHARE_TOTAL(D1285,$G$5))))</f>
        <v/>
      </c>
      <c r="S1285" s="249" t="str">
        <f ca="1">IF(C1285="","",[1]!S_SHARE_TOTAL(D1285,TODAY())/$E$5)</f>
        <v/>
      </c>
      <c r="T1285" s="249" t="str">
        <f t="shared" ca="1" si="127"/>
        <v/>
      </c>
      <c r="U1285" s="172" t="str">
        <f t="shared" ca="1" si="128"/>
        <v/>
      </c>
      <c r="V1285" s="343" t="str">
        <f t="shared" ca="1" si="129"/>
        <v/>
      </c>
      <c r="W1285" s="139"/>
      <c r="Y1285" s="1"/>
    </row>
    <row r="1286" spans="3:25" ht="12" customHeight="1">
      <c r="C1286" s="342" t="str">
        <f t="shared" ca="1" si="124"/>
        <v/>
      </c>
      <c r="D1286" s="153" t="str">
        <f t="shared" ca="1" si="125"/>
        <v/>
      </c>
      <c r="E1286" s="153" t="str">
        <f t="shared" ca="1" si="126"/>
        <v/>
      </c>
      <c r="F1286" s="170" t="str">
        <f ca="1">IF(C1286="","",[1]!S_DQ_CLOSE(D1286,TODAY(),1))</f>
        <v/>
      </c>
      <c r="G1286" s="171" t="str">
        <f ca="1">IF(C1286="","",[1]!s_pq_pctchange(D1286,TODAY()-$G$12,TODAY())/100)</f>
        <v/>
      </c>
      <c r="H1286" s="247" t="str">
        <f ca="1">IF(C1286="","",IF($H$11="收入",[1]!S_STM07_IS(D1286,9,$G$5,$H$13)/$E$5,[1]!S_STM07_IS(D1286,48,$G$5,$H$13)/$E$5))</f>
        <v/>
      </c>
      <c r="I1286" s="247" t="str">
        <f ca="1">IF(C1286="","",IF($I$11="毛利率",([1]!S_STM07_IS(D1286,9,$G$5,$H$13)-[1]!S_STM07_IS(D1286,10,$G$5,$H$13))/[1]!S_STM07_IS(D1286,9,$G$5,$H$13),[1]!S_STM07_IS(D1286,14,$G$5,$H$13)/$E$5))</f>
        <v/>
      </c>
      <c r="J1286" s="247" t="str">
        <f ca="1">IF(C1286="","",IF($J$11="营业利润率",[1]!S_STM07_IS(D1286,48,$G$5,$H$13)/[1]!S_STM07_IS(D1286,9,$G$5,$H$13),([1]!S_STM07_CS(D1286,87,$G$5,$H$13)+[1]!S_STM07_CS(D1286,88,$G$5,$H$13)+[1]!S_STM07_CS(D1286,89,$G$5,$H$13))/$E$5))</f>
        <v/>
      </c>
      <c r="K1286" s="247" t="str">
        <f ca="1">IF(C1286="","",IF($K$11="净利润率",[1]!S_STM07_IS(D1286,61,$G$5,$H$13)/[1]!S_STM07_IS(D1286,9,$G$5,$H$13),[1]!S_STM07_IS(D1286,55,$G$5,$H$13)/$E$5))</f>
        <v/>
      </c>
      <c r="L1286" s="247" t="str">
        <f ca="1">IF(C1286="","",IF($L$11="ROA",[1]!S_STM07_IS(D1286,61,$G$5,$H$13)/[1]!S_STM07_BS(D1286,74,$G$5,$H$13),1-[1]!S_STM07_IS(D1286,61,$G$5,$H$13)/[1]!S_STM07_IS(D1286,55,$G$5,$H$13)))</f>
        <v/>
      </c>
      <c r="M1286" s="247" t="str">
        <f ca="1">IF(C1286="","",IF($M$11="ROE",[1]!S_STM07_IS(D1286,61,$G$5,$H$13)/[1]!S_STM07_BS(D1286,141,$G$5,$H$13),([1]!S_STM07_BS(D1286,25,$G$5,$H$13)-[1]!S_STM07_BS(D1286,93,$G$5,$H$13))/$E$5))</f>
        <v/>
      </c>
      <c r="N1286" s="247" t="str">
        <f ca="1">IF(C1286="","",IF($N$11="EPS",[1]!S_STM07_IS(D1286,61,$G$5,$H$13)/IF([1]!S_SHARE_TOTAL(D1286,$G$5)=0,[1]!S_SHARE_TOTAL(D1286,[1]!s_ipo_listeddate(D1286)),[1]!S_SHARE_TOTAL(D1286,$G$5)),([1]!S_STM07_BS(D1286,75,$G$5,$H$13)+[1]!S_STM07_BS(D1286,88,$G$5,$H$13)+[1]!S_STM07_BS(D1286,94,$G$5,$H$13)+[1]!S_STM07_BS(D1286,95,$G$5,$H$13))/$E$5))</f>
        <v/>
      </c>
      <c r="O1286" s="247" t="str">
        <f ca="1">IF(C1286="","",IF($O$11="BPS",[1]!S_STM07_BS(D1286,141,$G$5,$H$13)/IF([1]!S_SHARE_TOTAL(D1286,$G$5)=0,[1]!S_SHARE_TOTAL(D1286,[1]!s_ipo_listeddate(D1286)),[1]!S_SHARE_TOTAL(D1286,$G$5)),[1]!S_STM07_CS(D1286,49,$G$5,$H$13)/$E$5))</f>
        <v/>
      </c>
      <c r="P1286" s="247" t="str">
        <f ca="1">IF(C1286="","",IF($P$11="CFPS",[1]!S_STM07_CS(D1286,84,$G$5,$H$13)/IF([1]!S_SHARE_TOTAL(D1286,$G$5)=0,[1]!S_SHARE_TOTAL(D1286,[1]!s_ipo_listeddate(D1286)),[1]!S_SHARE_TOTAL(D1286,$G$5)),[1]!S_STM07_CS(D1286,84,$G$5,$H$13)/$E$5))</f>
        <v/>
      </c>
      <c r="Q1286" s="248" t="str">
        <f ca="1">IF(C1286="","",F1286/([1]!S_STM07_IS(D1286,61,$G$5,$H$13)/IF([1]!S_SHARE_TOTAL(D1286,$G$5)=0,[1]!S_SHARE_TOTAL(D1286,[1]!s_ipo_listeddate(D1286)),[1]!S_SHARE_TOTAL(D1286,$G$5))))</f>
        <v/>
      </c>
      <c r="R1286" s="248" t="str">
        <f ca="1">IF(C1286="","",F1286/([1]!S_STM07_BS(D1286,141,$G$5,$H$13)/IF([1]!S_SHARE_TOTAL(D1286,$G$5)=0,[1]!S_SHARE_TOTAL(D1286,[1]!s_ipo_listeddate(D1286)),[1]!S_SHARE_TOTAL(D1286,$G$5))))</f>
        <v/>
      </c>
      <c r="S1286" s="247" t="str">
        <f ca="1">IF(C1286="","",[1]!S_SHARE_TOTAL(D1286,TODAY())/$E$5)</f>
        <v/>
      </c>
      <c r="T1286" s="247" t="str">
        <f t="shared" ca="1" si="127"/>
        <v/>
      </c>
      <c r="U1286" s="218" t="str">
        <f t="shared" ca="1" si="128"/>
        <v/>
      </c>
      <c r="V1286" s="342" t="str">
        <f t="shared" ca="1" si="129"/>
        <v/>
      </c>
      <c r="W1286" s="139"/>
      <c r="Y1286" s="1"/>
    </row>
    <row r="1287" spans="3:25" ht="12" customHeight="1">
      <c r="C1287" s="343" t="str">
        <f t="shared" ca="1" si="124"/>
        <v/>
      </c>
      <c r="D1287" s="124" t="str">
        <f t="shared" ca="1" si="125"/>
        <v/>
      </c>
      <c r="E1287" s="124" t="str">
        <f t="shared" ca="1" si="126"/>
        <v/>
      </c>
      <c r="F1287" s="172" t="str">
        <f ca="1">IF(C1287="","",[1]!S_DQ_CLOSE(D1287,TODAY(),1))</f>
        <v/>
      </c>
      <c r="G1287" s="173" t="str">
        <f ca="1">IF(C1287="","",[1]!s_pq_pctchange(D1287,TODAY()-$G$12,TODAY())/100)</f>
        <v/>
      </c>
      <c r="H1287" s="249" t="str">
        <f ca="1">IF(C1287="","",IF($H$11="收入",[1]!S_STM07_IS(D1287,9,$G$5,$H$13)/$E$5,[1]!S_STM07_IS(D1287,48,$G$5,$H$13)/$E$5))</f>
        <v/>
      </c>
      <c r="I1287" s="249" t="str">
        <f ca="1">IF(C1287="","",IF($I$11="毛利率",([1]!S_STM07_IS(D1287,9,$G$5,$H$13)-[1]!S_STM07_IS(D1287,10,$G$5,$H$13))/[1]!S_STM07_IS(D1287,9,$G$5,$H$13),[1]!S_STM07_IS(D1287,14,$G$5,$H$13)/$E$5))</f>
        <v/>
      </c>
      <c r="J1287" s="249" t="str">
        <f ca="1">IF(C1287="","",IF($J$11="营业利润率",[1]!S_STM07_IS(D1287,48,$G$5,$H$13)/[1]!S_STM07_IS(D1287,9,$G$5,$H$13),([1]!S_STM07_CS(D1287,87,$G$5,$H$13)+[1]!S_STM07_CS(D1287,88,$G$5,$H$13)+[1]!S_STM07_CS(D1287,89,$G$5,$H$13))/$E$5))</f>
        <v/>
      </c>
      <c r="K1287" s="249" t="str">
        <f ca="1">IF(C1287="","",IF($K$11="净利润率",[1]!S_STM07_IS(D1287,61,$G$5,$H$13)/[1]!S_STM07_IS(D1287,9,$G$5,$H$13),[1]!S_STM07_IS(D1287,55,$G$5,$H$13)/$E$5))</f>
        <v/>
      </c>
      <c r="L1287" s="249" t="str">
        <f ca="1">IF(C1287="","",IF($L$11="ROA",[1]!S_STM07_IS(D1287,61,$G$5,$H$13)/[1]!S_STM07_BS(D1287,74,$G$5,$H$13),1-[1]!S_STM07_IS(D1287,61,$G$5,$H$13)/[1]!S_STM07_IS(D1287,55,$G$5,$H$13)))</f>
        <v/>
      </c>
      <c r="M1287" s="249" t="str">
        <f ca="1">IF(C1287="","",IF($M$11="ROE",[1]!S_STM07_IS(D1287,61,$G$5,$H$13)/[1]!S_STM07_BS(D1287,141,$G$5,$H$13),([1]!S_STM07_BS(D1287,25,$G$5,$H$13)-[1]!S_STM07_BS(D1287,93,$G$5,$H$13))/$E$5))</f>
        <v/>
      </c>
      <c r="N1287" s="250" t="str">
        <f ca="1">IF(C1287="","",IF($N$11="EPS",[1]!S_STM07_IS(D1287,61,$G$5,$H$13)/IF([1]!S_SHARE_TOTAL(D1287,$G$5)=0,[1]!S_SHARE_TOTAL(D1287,[1]!s_ipo_listeddate(D1287)),[1]!S_SHARE_TOTAL(D1287,$G$5)),([1]!S_STM07_BS(D1287,75,$G$5,$H$13)+[1]!S_STM07_BS(D1287,88,$G$5,$H$13)+[1]!S_STM07_BS(D1287,94,$G$5,$H$13)+[1]!S_STM07_BS(D1287,95,$G$5,$H$13))/$E$5))</f>
        <v/>
      </c>
      <c r="O1287" s="250" t="str">
        <f ca="1">IF(C1287="","",IF($O$11="BPS",[1]!S_STM07_BS(D1287,141,$G$5,$H$13)/IF([1]!S_SHARE_TOTAL(D1287,$G$5)=0,[1]!S_SHARE_TOTAL(D1287,[1]!s_ipo_listeddate(D1287)),[1]!S_SHARE_TOTAL(D1287,$G$5)),[1]!S_STM07_CS(D1287,49,$G$5,$H$13)/$E$5))</f>
        <v/>
      </c>
      <c r="P1287" s="250" t="str">
        <f ca="1">IF(C1287="","",IF($P$11="CFPS",[1]!S_STM07_CS(D1287,84,$G$5,$H$13)/IF([1]!S_SHARE_TOTAL(D1287,$G$5)=0,[1]!S_SHARE_TOTAL(D1287,[1]!s_ipo_listeddate(D1287)),[1]!S_SHARE_TOTAL(D1287,$G$5)),[1]!S_STM07_CS(D1287,84,$G$5,$H$13)/$E$5))</f>
        <v/>
      </c>
      <c r="Q1287" s="198" t="str">
        <f ca="1">IF(C1287="","",F1287/([1]!S_STM07_IS(D1287,61,$G$5,$H$13)/IF([1]!S_SHARE_TOTAL(D1287,$G$5)=0,[1]!S_SHARE_TOTAL(D1287,[1]!s_ipo_listeddate(D1287)),[1]!S_SHARE_TOTAL(D1287,$G$5))))</f>
        <v/>
      </c>
      <c r="R1287" s="198" t="str">
        <f ca="1">IF(C1287="","",F1287/([1]!S_STM07_BS(D1287,141,$G$5,$H$13)/IF([1]!S_SHARE_TOTAL(D1287,$G$5)=0,[1]!S_SHARE_TOTAL(D1287,[1]!s_ipo_listeddate(D1287)),[1]!S_SHARE_TOTAL(D1287,$G$5))))</f>
        <v/>
      </c>
      <c r="S1287" s="249" t="str">
        <f ca="1">IF(C1287="","",[1]!S_SHARE_TOTAL(D1287,TODAY())/$E$5)</f>
        <v/>
      </c>
      <c r="T1287" s="249" t="str">
        <f t="shared" ca="1" si="127"/>
        <v/>
      </c>
      <c r="U1287" s="172" t="str">
        <f t="shared" ca="1" si="128"/>
        <v/>
      </c>
      <c r="V1287" s="343" t="str">
        <f t="shared" ca="1" si="129"/>
        <v/>
      </c>
      <c r="W1287" s="139"/>
      <c r="Y1287" s="1"/>
    </row>
    <row r="1288" spans="3:25" ht="12" customHeight="1">
      <c r="C1288" s="342" t="str">
        <f t="shared" ca="1" si="124"/>
        <v/>
      </c>
      <c r="D1288" s="153" t="str">
        <f t="shared" ca="1" si="125"/>
        <v/>
      </c>
      <c r="E1288" s="153" t="str">
        <f t="shared" ca="1" si="126"/>
        <v/>
      </c>
      <c r="F1288" s="170" t="str">
        <f ca="1">IF(C1288="","",[1]!S_DQ_CLOSE(D1288,TODAY(),1))</f>
        <v/>
      </c>
      <c r="G1288" s="171" t="str">
        <f ca="1">IF(C1288="","",[1]!s_pq_pctchange(D1288,TODAY()-$G$12,TODAY())/100)</f>
        <v/>
      </c>
      <c r="H1288" s="247" t="str">
        <f ca="1">IF(C1288="","",IF($H$11="收入",[1]!S_STM07_IS(D1288,9,$G$5,$H$13)/$E$5,[1]!S_STM07_IS(D1288,48,$G$5,$H$13)/$E$5))</f>
        <v/>
      </c>
      <c r="I1288" s="247" t="str">
        <f ca="1">IF(C1288="","",IF($I$11="毛利率",([1]!S_STM07_IS(D1288,9,$G$5,$H$13)-[1]!S_STM07_IS(D1288,10,$G$5,$H$13))/[1]!S_STM07_IS(D1288,9,$G$5,$H$13),[1]!S_STM07_IS(D1288,14,$G$5,$H$13)/$E$5))</f>
        <v/>
      </c>
      <c r="J1288" s="247" t="str">
        <f ca="1">IF(C1288="","",IF($J$11="营业利润率",[1]!S_STM07_IS(D1288,48,$G$5,$H$13)/[1]!S_STM07_IS(D1288,9,$G$5,$H$13),([1]!S_STM07_CS(D1288,87,$G$5,$H$13)+[1]!S_STM07_CS(D1288,88,$G$5,$H$13)+[1]!S_STM07_CS(D1288,89,$G$5,$H$13))/$E$5))</f>
        <v/>
      </c>
      <c r="K1288" s="247" t="str">
        <f ca="1">IF(C1288="","",IF($K$11="净利润率",[1]!S_STM07_IS(D1288,61,$G$5,$H$13)/[1]!S_STM07_IS(D1288,9,$G$5,$H$13),[1]!S_STM07_IS(D1288,55,$G$5,$H$13)/$E$5))</f>
        <v/>
      </c>
      <c r="L1288" s="247" t="str">
        <f ca="1">IF(C1288="","",IF($L$11="ROA",[1]!S_STM07_IS(D1288,61,$G$5,$H$13)/[1]!S_STM07_BS(D1288,74,$G$5,$H$13),1-[1]!S_STM07_IS(D1288,61,$G$5,$H$13)/[1]!S_STM07_IS(D1288,55,$G$5,$H$13)))</f>
        <v/>
      </c>
      <c r="M1288" s="247" t="str">
        <f ca="1">IF(C1288="","",IF($M$11="ROE",[1]!S_STM07_IS(D1288,61,$G$5,$H$13)/[1]!S_STM07_BS(D1288,141,$G$5,$H$13),([1]!S_STM07_BS(D1288,25,$G$5,$H$13)-[1]!S_STM07_BS(D1288,93,$G$5,$H$13))/$E$5))</f>
        <v/>
      </c>
      <c r="N1288" s="247" t="str">
        <f ca="1">IF(C1288="","",IF($N$11="EPS",[1]!S_STM07_IS(D1288,61,$G$5,$H$13)/IF([1]!S_SHARE_TOTAL(D1288,$G$5)=0,[1]!S_SHARE_TOTAL(D1288,[1]!s_ipo_listeddate(D1288)),[1]!S_SHARE_TOTAL(D1288,$G$5)),([1]!S_STM07_BS(D1288,75,$G$5,$H$13)+[1]!S_STM07_BS(D1288,88,$G$5,$H$13)+[1]!S_STM07_BS(D1288,94,$G$5,$H$13)+[1]!S_STM07_BS(D1288,95,$G$5,$H$13))/$E$5))</f>
        <v/>
      </c>
      <c r="O1288" s="247" t="str">
        <f ca="1">IF(C1288="","",IF($O$11="BPS",[1]!S_STM07_BS(D1288,141,$G$5,$H$13)/IF([1]!S_SHARE_TOTAL(D1288,$G$5)=0,[1]!S_SHARE_TOTAL(D1288,[1]!s_ipo_listeddate(D1288)),[1]!S_SHARE_TOTAL(D1288,$G$5)),[1]!S_STM07_CS(D1288,49,$G$5,$H$13)/$E$5))</f>
        <v/>
      </c>
      <c r="P1288" s="247" t="str">
        <f ca="1">IF(C1288="","",IF($P$11="CFPS",[1]!S_STM07_CS(D1288,84,$G$5,$H$13)/IF([1]!S_SHARE_TOTAL(D1288,$G$5)=0,[1]!S_SHARE_TOTAL(D1288,[1]!s_ipo_listeddate(D1288)),[1]!S_SHARE_TOTAL(D1288,$G$5)),[1]!S_STM07_CS(D1288,84,$G$5,$H$13)/$E$5))</f>
        <v/>
      </c>
      <c r="Q1288" s="248" t="str">
        <f ca="1">IF(C1288="","",F1288/([1]!S_STM07_IS(D1288,61,$G$5,$H$13)/IF([1]!S_SHARE_TOTAL(D1288,$G$5)=0,[1]!S_SHARE_TOTAL(D1288,[1]!s_ipo_listeddate(D1288)),[1]!S_SHARE_TOTAL(D1288,$G$5))))</f>
        <v/>
      </c>
      <c r="R1288" s="248" t="str">
        <f ca="1">IF(C1288="","",F1288/([1]!S_STM07_BS(D1288,141,$G$5,$H$13)/IF([1]!S_SHARE_TOTAL(D1288,$G$5)=0,[1]!S_SHARE_TOTAL(D1288,[1]!s_ipo_listeddate(D1288)),[1]!S_SHARE_TOTAL(D1288,$G$5))))</f>
        <v/>
      </c>
      <c r="S1288" s="247" t="str">
        <f ca="1">IF(C1288="","",[1]!S_SHARE_TOTAL(D1288,TODAY())/$E$5)</f>
        <v/>
      </c>
      <c r="T1288" s="247" t="str">
        <f t="shared" ca="1" si="127"/>
        <v/>
      </c>
      <c r="U1288" s="218" t="str">
        <f t="shared" ca="1" si="128"/>
        <v/>
      </c>
      <c r="V1288" s="342" t="str">
        <f t="shared" ca="1" si="129"/>
        <v/>
      </c>
      <c r="W1288" s="139"/>
      <c r="Y1288" s="1"/>
    </row>
    <row r="1289" spans="3:25" ht="12" customHeight="1">
      <c r="C1289" s="343" t="str">
        <f t="shared" ca="1" si="124"/>
        <v/>
      </c>
      <c r="D1289" s="124" t="str">
        <f t="shared" ca="1" si="125"/>
        <v/>
      </c>
      <c r="E1289" s="124" t="str">
        <f t="shared" ca="1" si="126"/>
        <v/>
      </c>
      <c r="F1289" s="172" t="str">
        <f ca="1">IF(C1289="","",[1]!S_DQ_CLOSE(D1289,TODAY(),1))</f>
        <v/>
      </c>
      <c r="G1289" s="173" t="str">
        <f ca="1">IF(C1289="","",[1]!s_pq_pctchange(D1289,TODAY()-$G$12,TODAY())/100)</f>
        <v/>
      </c>
      <c r="H1289" s="249" t="str">
        <f ca="1">IF(C1289="","",IF($H$11="收入",[1]!S_STM07_IS(D1289,9,$G$5,$H$13)/$E$5,[1]!S_STM07_IS(D1289,48,$G$5,$H$13)/$E$5))</f>
        <v/>
      </c>
      <c r="I1289" s="249" t="str">
        <f ca="1">IF(C1289="","",IF($I$11="毛利率",([1]!S_STM07_IS(D1289,9,$G$5,$H$13)-[1]!S_STM07_IS(D1289,10,$G$5,$H$13))/[1]!S_STM07_IS(D1289,9,$G$5,$H$13),[1]!S_STM07_IS(D1289,14,$G$5,$H$13)/$E$5))</f>
        <v/>
      </c>
      <c r="J1289" s="249" t="str">
        <f ca="1">IF(C1289="","",IF($J$11="营业利润率",[1]!S_STM07_IS(D1289,48,$G$5,$H$13)/[1]!S_STM07_IS(D1289,9,$G$5,$H$13),([1]!S_STM07_CS(D1289,87,$G$5,$H$13)+[1]!S_STM07_CS(D1289,88,$G$5,$H$13)+[1]!S_STM07_CS(D1289,89,$G$5,$H$13))/$E$5))</f>
        <v/>
      </c>
      <c r="K1289" s="249" t="str">
        <f ca="1">IF(C1289="","",IF($K$11="净利润率",[1]!S_STM07_IS(D1289,61,$G$5,$H$13)/[1]!S_STM07_IS(D1289,9,$G$5,$H$13),[1]!S_STM07_IS(D1289,55,$G$5,$H$13)/$E$5))</f>
        <v/>
      </c>
      <c r="L1289" s="249" t="str">
        <f ca="1">IF(C1289="","",IF($L$11="ROA",[1]!S_STM07_IS(D1289,61,$G$5,$H$13)/[1]!S_STM07_BS(D1289,74,$G$5,$H$13),1-[1]!S_STM07_IS(D1289,61,$G$5,$H$13)/[1]!S_STM07_IS(D1289,55,$G$5,$H$13)))</f>
        <v/>
      </c>
      <c r="M1289" s="249" t="str">
        <f ca="1">IF(C1289="","",IF($M$11="ROE",[1]!S_STM07_IS(D1289,61,$G$5,$H$13)/[1]!S_STM07_BS(D1289,141,$G$5,$H$13),([1]!S_STM07_BS(D1289,25,$G$5,$H$13)-[1]!S_STM07_BS(D1289,93,$G$5,$H$13))/$E$5))</f>
        <v/>
      </c>
      <c r="N1289" s="250" t="str">
        <f ca="1">IF(C1289="","",IF($N$11="EPS",[1]!S_STM07_IS(D1289,61,$G$5,$H$13)/IF([1]!S_SHARE_TOTAL(D1289,$G$5)=0,[1]!S_SHARE_TOTAL(D1289,[1]!s_ipo_listeddate(D1289)),[1]!S_SHARE_TOTAL(D1289,$G$5)),([1]!S_STM07_BS(D1289,75,$G$5,$H$13)+[1]!S_STM07_BS(D1289,88,$G$5,$H$13)+[1]!S_STM07_BS(D1289,94,$G$5,$H$13)+[1]!S_STM07_BS(D1289,95,$G$5,$H$13))/$E$5))</f>
        <v/>
      </c>
      <c r="O1289" s="250" t="str">
        <f ca="1">IF(C1289="","",IF($O$11="BPS",[1]!S_STM07_BS(D1289,141,$G$5,$H$13)/IF([1]!S_SHARE_TOTAL(D1289,$G$5)=0,[1]!S_SHARE_TOTAL(D1289,[1]!s_ipo_listeddate(D1289)),[1]!S_SHARE_TOTAL(D1289,$G$5)),[1]!S_STM07_CS(D1289,49,$G$5,$H$13)/$E$5))</f>
        <v/>
      </c>
      <c r="P1289" s="250" t="str">
        <f ca="1">IF(C1289="","",IF($P$11="CFPS",[1]!S_STM07_CS(D1289,84,$G$5,$H$13)/IF([1]!S_SHARE_TOTAL(D1289,$G$5)=0,[1]!S_SHARE_TOTAL(D1289,[1]!s_ipo_listeddate(D1289)),[1]!S_SHARE_TOTAL(D1289,$G$5)),[1]!S_STM07_CS(D1289,84,$G$5,$H$13)/$E$5))</f>
        <v/>
      </c>
      <c r="Q1289" s="198" t="str">
        <f ca="1">IF(C1289="","",F1289/([1]!S_STM07_IS(D1289,61,$G$5,$H$13)/IF([1]!S_SHARE_TOTAL(D1289,$G$5)=0,[1]!S_SHARE_TOTAL(D1289,[1]!s_ipo_listeddate(D1289)),[1]!S_SHARE_TOTAL(D1289,$G$5))))</f>
        <v/>
      </c>
      <c r="R1289" s="198" t="str">
        <f ca="1">IF(C1289="","",F1289/([1]!S_STM07_BS(D1289,141,$G$5,$H$13)/IF([1]!S_SHARE_TOTAL(D1289,$G$5)=0,[1]!S_SHARE_TOTAL(D1289,[1]!s_ipo_listeddate(D1289)),[1]!S_SHARE_TOTAL(D1289,$G$5))))</f>
        <v/>
      </c>
      <c r="S1289" s="249" t="str">
        <f ca="1">IF(C1289="","",[1]!S_SHARE_TOTAL(D1289,TODAY())/$E$5)</f>
        <v/>
      </c>
      <c r="T1289" s="249" t="str">
        <f t="shared" ca="1" si="127"/>
        <v/>
      </c>
      <c r="U1289" s="172" t="str">
        <f t="shared" ca="1" si="128"/>
        <v/>
      </c>
      <c r="V1289" s="343" t="str">
        <f t="shared" ca="1" si="129"/>
        <v/>
      </c>
      <c r="W1289" s="139"/>
      <c r="Y1289" s="1"/>
    </row>
    <row r="1290" spans="3:25" ht="12" customHeight="1">
      <c r="C1290" s="342" t="str">
        <f t="shared" ca="1" si="124"/>
        <v/>
      </c>
      <c r="D1290" s="153" t="str">
        <f t="shared" ca="1" si="125"/>
        <v/>
      </c>
      <c r="E1290" s="153" t="str">
        <f t="shared" ca="1" si="126"/>
        <v/>
      </c>
      <c r="F1290" s="170" t="str">
        <f ca="1">IF(C1290="","",[1]!S_DQ_CLOSE(D1290,TODAY(),1))</f>
        <v/>
      </c>
      <c r="G1290" s="171" t="str">
        <f ca="1">IF(C1290="","",[1]!s_pq_pctchange(D1290,TODAY()-$G$12,TODAY())/100)</f>
        <v/>
      </c>
      <c r="H1290" s="247" t="str">
        <f ca="1">IF(C1290="","",IF($H$11="收入",[1]!S_STM07_IS(D1290,9,$G$5,$H$13)/$E$5,[1]!S_STM07_IS(D1290,48,$G$5,$H$13)/$E$5))</f>
        <v/>
      </c>
      <c r="I1290" s="247" t="str">
        <f ca="1">IF(C1290="","",IF($I$11="毛利率",([1]!S_STM07_IS(D1290,9,$G$5,$H$13)-[1]!S_STM07_IS(D1290,10,$G$5,$H$13))/[1]!S_STM07_IS(D1290,9,$G$5,$H$13),[1]!S_STM07_IS(D1290,14,$G$5,$H$13)/$E$5))</f>
        <v/>
      </c>
      <c r="J1290" s="247" t="str">
        <f ca="1">IF(C1290="","",IF($J$11="营业利润率",[1]!S_STM07_IS(D1290,48,$G$5,$H$13)/[1]!S_STM07_IS(D1290,9,$G$5,$H$13),([1]!S_STM07_CS(D1290,87,$G$5,$H$13)+[1]!S_STM07_CS(D1290,88,$G$5,$H$13)+[1]!S_STM07_CS(D1290,89,$G$5,$H$13))/$E$5))</f>
        <v/>
      </c>
      <c r="K1290" s="247" t="str">
        <f ca="1">IF(C1290="","",IF($K$11="净利润率",[1]!S_STM07_IS(D1290,61,$G$5,$H$13)/[1]!S_STM07_IS(D1290,9,$G$5,$H$13),[1]!S_STM07_IS(D1290,55,$G$5,$H$13)/$E$5))</f>
        <v/>
      </c>
      <c r="L1290" s="247" t="str">
        <f ca="1">IF(C1290="","",IF($L$11="ROA",[1]!S_STM07_IS(D1290,61,$G$5,$H$13)/[1]!S_STM07_BS(D1290,74,$G$5,$H$13),1-[1]!S_STM07_IS(D1290,61,$G$5,$H$13)/[1]!S_STM07_IS(D1290,55,$G$5,$H$13)))</f>
        <v/>
      </c>
      <c r="M1290" s="247" t="str">
        <f ca="1">IF(C1290="","",IF($M$11="ROE",[1]!S_STM07_IS(D1290,61,$G$5,$H$13)/[1]!S_STM07_BS(D1290,141,$G$5,$H$13),([1]!S_STM07_BS(D1290,25,$G$5,$H$13)-[1]!S_STM07_BS(D1290,93,$G$5,$H$13))/$E$5))</f>
        <v/>
      </c>
      <c r="N1290" s="247" t="str">
        <f ca="1">IF(C1290="","",IF($N$11="EPS",[1]!S_STM07_IS(D1290,61,$G$5,$H$13)/IF([1]!S_SHARE_TOTAL(D1290,$G$5)=0,[1]!S_SHARE_TOTAL(D1290,[1]!s_ipo_listeddate(D1290)),[1]!S_SHARE_TOTAL(D1290,$G$5)),([1]!S_STM07_BS(D1290,75,$G$5,$H$13)+[1]!S_STM07_BS(D1290,88,$G$5,$H$13)+[1]!S_STM07_BS(D1290,94,$G$5,$H$13)+[1]!S_STM07_BS(D1290,95,$G$5,$H$13))/$E$5))</f>
        <v/>
      </c>
      <c r="O1290" s="247" t="str">
        <f ca="1">IF(C1290="","",IF($O$11="BPS",[1]!S_STM07_BS(D1290,141,$G$5,$H$13)/IF([1]!S_SHARE_TOTAL(D1290,$G$5)=0,[1]!S_SHARE_TOTAL(D1290,[1]!s_ipo_listeddate(D1290)),[1]!S_SHARE_TOTAL(D1290,$G$5)),[1]!S_STM07_CS(D1290,49,$G$5,$H$13)/$E$5))</f>
        <v/>
      </c>
      <c r="P1290" s="247" t="str">
        <f ca="1">IF(C1290="","",IF($P$11="CFPS",[1]!S_STM07_CS(D1290,84,$G$5,$H$13)/IF([1]!S_SHARE_TOTAL(D1290,$G$5)=0,[1]!S_SHARE_TOTAL(D1290,[1]!s_ipo_listeddate(D1290)),[1]!S_SHARE_TOTAL(D1290,$G$5)),[1]!S_STM07_CS(D1290,84,$G$5,$H$13)/$E$5))</f>
        <v/>
      </c>
      <c r="Q1290" s="248" t="str">
        <f ca="1">IF(C1290="","",F1290/([1]!S_STM07_IS(D1290,61,$G$5,$H$13)/IF([1]!S_SHARE_TOTAL(D1290,$G$5)=0,[1]!S_SHARE_TOTAL(D1290,[1]!s_ipo_listeddate(D1290)),[1]!S_SHARE_TOTAL(D1290,$G$5))))</f>
        <v/>
      </c>
      <c r="R1290" s="248" t="str">
        <f ca="1">IF(C1290="","",F1290/([1]!S_STM07_BS(D1290,141,$G$5,$H$13)/IF([1]!S_SHARE_TOTAL(D1290,$G$5)=0,[1]!S_SHARE_TOTAL(D1290,[1]!s_ipo_listeddate(D1290)),[1]!S_SHARE_TOTAL(D1290,$G$5))))</f>
        <v/>
      </c>
      <c r="S1290" s="247" t="str">
        <f ca="1">IF(C1290="","",[1]!S_SHARE_TOTAL(D1290,TODAY())/$E$5)</f>
        <v/>
      </c>
      <c r="T1290" s="247" t="str">
        <f t="shared" ca="1" si="127"/>
        <v/>
      </c>
      <c r="U1290" s="218" t="str">
        <f t="shared" ca="1" si="128"/>
        <v/>
      </c>
      <c r="V1290" s="342" t="str">
        <f t="shared" ca="1" si="129"/>
        <v/>
      </c>
      <c r="W1290" s="139"/>
      <c r="Y1290" s="1"/>
    </row>
    <row r="1291" spans="3:25" ht="12" customHeight="1">
      <c r="C1291" s="343" t="str">
        <f t="shared" ca="1" si="124"/>
        <v/>
      </c>
      <c r="D1291" s="124" t="str">
        <f t="shared" ca="1" si="125"/>
        <v/>
      </c>
      <c r="E1291" s="124" t="str">
        <f t="shared" ca="1" si="126"/>
        <v/>
      </c>
      <c r="F1291" s="172" t="str">
        <f ca="1">IF(C1291="","",[1]!S_DQ_CLOSE(D1291,TODAY(),1))</f>
        <v/>
      </c>
      <c r="G1291" s="173" t="str">
        <f ca="1">IF(C1291="","",[1]!s_pq_pctchange(D1291,TODAY()-$G$12,TODAY())/100)</f>
        <v/>
      </c>
      <c r="H1291" s="249" t="str">
        <f ca="1">IF(C1291="","",IF($H$11="收入",[1]!S_STM07_IS(D1291,9,$G$5,$H$13)/$E$5,[1]!S_STM07_IS(D1291,48,$G$5,$H$13)/$E$5))</f>
        <v/>
      </c>
      <c r="I1291" s="249" t="str">
        <f ca="1">IF(C1291="","",IF($I$11="毛利率",([1]!S_STM07_IS(D1291,9,$G$5,$H$13)-[1]!S_STM07_IS(D1291,10,$G$5,$H$13))/[1]!S_STM07_IS(D1291,9,$G$5,$H$13),[1]!S_STM07_IS(D1291,14,$G$5,$H$13)/$E$5))</f>
        <v/>
      </c>
      <c r="J1291" s="249" t="str">
        <f ca="1">IF(C1291="","",IF($J$11="营业利润率",[1]!S_STM07_IS(D1291,48,$G$5,$H$13)/[1]!S_STM07_IS(D1291,9,$G$5,$H$13),([1]!S_STM07_CS(D1291,87,$G$5,$H$13)+[1]!S_STM07_CS(D1291,88,$G$5,$H$13)+[1]!S_STM07_CS(D1291,89,$G$5,$H$13))/$E$5))</f>
        <v/>
      </c>
      <c r="K1291" s="249" t="str">
        <f ca="1">IF(C1291="","",IF($K$11="净利润率",[1]!S_STM07_IS(D1291,61,$G$5,$H$13)/[1]!S_STM07_IS(D1291,9,$G$5,$H$13),[1]!S_STM07_IS(D1291,55,$G$5,$H$13)/$E$5))</f>
        <v/>
      </c>
      <c r="L1291" s="249" t="str">
        <f ca="1">IF(C1291="","",IF($L$11="ROA",[1]!S_STM07_IS(D1291,61,$G$5,$H$13)/[1]!S_STM07_BS(D1291,74,$G$5,$H$13),1-[1]!S_STM07_IS(D1291,61,$G$5,$H$13)/[1]!S_STM07_IS(D1291,55,$G$5,$H$13)))</f>
        <v/>
      </c>
      <c r="M1291" s="249" t="str">
        <f ca="1">IF(C1291="","",IF($M$11="ROE",[1]!S_STM07_IS(D1291,61,$G$5,$H$13)/[1]!S_STM07_BS(D1291,141,$G$5,$H$13),([1]!S_STM07_BS(D1291,25,$G$5,$H$13)-[1]!S_STM07_BS(D1291,93,$G$5,$H$13))/$E$5))</f>
        <v/>
      </c>
      <c r="N1291" s="250" t="str">
        <f ca="1">IF(C1291="","",IF($N$11="EPS",[1]!S_STM07_IS(D1291,61,$G$5,$H$13)/IF([1]!S_SHARE_TOTAL(D1291,$G$5)=0,[1]!S_SHARE_TOTAL(D1291,[1]!s_ipo_listeddate(D1291)),[1]!S_SHARE_TOTAL(D1291,$G$5)),([1]!S_STM07_BS(D1291,75,$G$5,$H$13)+[1]!S_STM07_BS(D1291,88,$G$5,$H$13)+[1]!S_STM07_BS(D1291,94,$G$5,$H$13)+[1]!S_STM07_BS(D1291,95,$G$5,$H$13))/$E$5))</f>
        <v/>
      </c>
      <c r="O1291" s="250" t="str">
        <f ca="1">IF(C1291="","",IF($O$11="BPS",[1]!S_STM07_BS(D1291,141,$G$5,$H$13)/IF([1]!S_SHARE_TOTAL(D1291,$G$5)=0,[1]!S_SHARE_TOTAL(D1291,[1]!s_ipo_listeddate(D1291)),[1]!S_SHARE_TOTAL(D1291,$G$5)),[1]!S_STM07_CS(D1291,49,$G$5,$H$13)/$E$5))</f>
        <v/>
      </c>
      <c r="P1291" s="250" t="str">
        <f ca="1">IF(C1291="","",IF($P$11="CFPS",[1]!S_STM07_CS(D1291,84,$G$5,$H$13)/IF([1]!S_SHARE_TOTAL(D1291,$G$5)=0,[1]!S_SHARE_TOTAL(D1291,[1]!s_ipo_listeddate(D1291)),[1]!S_SHARE_TOTAL(D1291,$G$5)),[1]!S_STM07_CS(D1291,84,$G$5,$H$13)/$E$5))</f>
        <v/>
      </c>
      <c r="Q1291" s="198" t="str">
        <f ca="1">IF(C1291="","",F1291/([1]!S_STM07_IS(D1291,61,$G$5,$H$13)/IF([1]!S_SHARE_TOTAL(D1291,$G$5)=0,[1]!S_SHARE_TOTAL(D1291,[1]!s_ipo_listeddate(D1291)),[1]!S_SHARE_TOTAL(D1291,$G$5))))</f>
        <v/>
      </c>
      <c r="R1291" s="198" t="str">
        <f ca="1">IF(C1291="","",F1291/([1]!S_STM07_BS(D1291,141,$G$5,$H$13)/IF([1]!S_SHARE_TOTAL(D1291,$G$5)=0,[1]!S_SHARE_TOTAL(D1291,[1]!s_ipo_listeddate(D1291)),[1]!S_SHARE_TOTAL(D1291,$G$5))))</f>
        <v/>
      </c>
      <c r="S1291" s="249" t="str">
        <f ca="1">IF(C1291="","",[1]!S_SHARE_TOTAL(D1291,TODAY())/$E$5)</f>
        <v/>
      </c>
      <c r="T1291" s="249" t="str">
        <f t="shared" ca="1" si="127"/>
        <v/>
      </c>
      <c r="U1291" s="172" t="str">
        <f t="shared" ca="1" si="128"/>
        <v/>
      </c>
      <c r="V1291" s="343" t="str">
        <f t="shared" ca="1" si="129"/>
        <v/>
      </c>
      <c r="W1291" s="139"/>
      <c r="Y1291" s="1"/>
    </row>
    <row r="1292" spans="3:25" ht="12" customHeight="1">
      <c r="C1292" s="342" t="str">
        <f t="shared" ca="1" si="124"/>
        <v/>
      </c>
      <c r="D1292" s="153" t="str">
        <f t="shared" ca="1" si="125"/>
        <v/>
      </c>
      <c r="E1292" s="153" t="str">
        <f t="shared" ca="1" si="126"/>
        <v/>
      </c>
      <c r="F1292" s="170" t="str">
        <f ca="1">IF(C1292="","",[1]!S_DQ_CLOSE(D1292,TODAY(),1))</f>
        <v/>
      </c>
      <c r="G1292" s="171" t="str">
        <f ca="1">IF(C1292="","",[1]!s_pq_pctchange(D1292,TODAY()-$G$12,TODAY())/100)</f>
        <v/>
      </c>
      <c r="H1292" s="247" t="str">
        <f ca="1">IF(C1292="","",IF($H$11="收入",[1]!S_STM07_IS(D1292,9,$G$5,$H$13)/$E$5,[1]!S_STM07_IS(D1292,48,$G$5,$H$13)/$E$5))</f>
        <v/>
      </c>
      <c r="I1292" s="247" t="str">
        <f ca="1">IF(C1292="","",IF($I$11="毛利率",([1]!S_STM07_IS(D1292,9,$G$5,$H$13)-[1]!S_STM07_IS(D1292,10,$G$5,$H$13))/[1]!S_STM07_IS(D1292,9,$G$5,$H$13),[1]!S_STM07_IS(D1292,14,$G$5,$H$13)/$E$5))</f>
        <v/>
      </c>
      <c r="J1292" s="247" t="str">
        <f ca="1">IF(C1292="","",IF($J$11="营业利润率",[1]!S_STM07_IS(D1292,48,$G$5,$H$13)/[1]!S_STM07_IS(D1292,9,$G$5,$H$13),([1]!S_STM07_CS(D1292,87,$G$5,$H$13)+[1]!S_STM07_CS(D1292,88,$G$5,$H$13)+[1]!S_STM07_CS(D1292,89,$G$5,$H$13))/$E$5))</f>
        <v/>
      </c>
      <c r="K1292" s="247" t="str">
        <f ca="1">IF(C1292="","",IF($K$11="净利润率",[1]!S_STM07_IS(D1292,61,$G$5,$H$13)/[1]!S_STM07_IS(D1292,9,$G$5,$H$13),[1]!S_STM07_IS(D1292,55,$G$5,$H$13)/$E$5))</f>
        <v/>
      </c>
      <c r="L1292" s="247" t="str">
        <f ca="1">IF(C1292="","",IF($L$11="ROA",[1]!S_STM07_IS(D1292,61,$G$5,$H$13)/[1]!S_STM07_BS(D1292,74,$G$5,$H$13),1-[1]!S_STM07_IS(D1292,61,$G$5,$H$13)/[1]!S_STM07_IS(D1292,55,$G$5,$H$13)))</f>
        <v/>
      </c>
      <c r="M1292" s="247" t="str">
        <f ca="1">IF(C1292="","",IF($M$11="ROE",[1]!S_STM07_IS(D1292,61,$G$5,$H$13)/[1]!S_STM07_BS(D1292,141,$G$5,$H$13),([1]!S_STM07_BS(D1292,25,$G$5,$H$13)-[1]!S_STM07_BS(D1292,93,$G$5,$H$13))/$E$5))</f>
        <v/>
      </c>
      <c r="N1292" s="247" t="str">
        <f ca="1">IF(C1292="","",IF($N$11="EPS",[1]!S_STM07_IS(D1292,61,$G$5,$H$13)/IF([1]!S_SHARE_TOTAL(D1292,$G$5)=0,[1]!S_SHARE_TOTAL(D1292,[1]!s_ipo_listeddate(D1292)),[1]!S_SHARE_TOTAL(D1292,$G$5)),([1]!S_STM07_BS(D1292,75,$G$5,$H$13)+[1]!S_STM07_BS(D1292,88,$G$5,$H$13)+[1]!S_STM07_BS(D1292,94,$G$5,$H$13)+[1]!S_STM07_BS(D1292,95,$G$5,$H$13))/$E$5))</f>
        <v/>
      </c>
      <c r="O1292" s="247" t="str">
        <f ca="1">IF(C1292="","",IF($O$11="BPS",[1]!S_STM07_BS(D1292,141,$G$5,$H$13)/IF([1]!S_SHARE_TOTAL(D1292,$G$5)=0,[1]!S_SHARE_TOTAL(D1292,[1]!s_ipo_listeddate(D1292)),[1]!S_SHARE_TOTAL(D1292,$G$5)),[1]!S_STM07_CS(D1292,49,$G$5,$H$13)/$E$5))</f>
        <v/>
      </c>
      <c r="P1292" s="247" t="str">
        <f ca="1">IF(C1292="","",IF($P$11="CFPS",[1]!S_STM07_CS(D1292,84,$G$5,$H$13)/IF([1]!S_SHARE_TOTAL(D1292,$G$5)=0,[1]!S_SHARE_TOTAL(D1292,[1]!s_ipo_listeddate(D1292)),[1]!S_SHARE_TOTAL(D1292,$G$5)),[1]!S_STM07_CS(D1292,84,$G$5,$H$13)/$E$5))</f>
        <v/>
      </c>
      <c r="Q1292" s="248" t="str">
        <f ca="1">IF(C1292="","",F1292/([1]!S_STM07_IS(D1292,61,$G$5,$H$13)/IF([1]!S_SHARE_TOTAL(D1292,$G$5)=0,[1]!S_SHARE_TOTAL(D1292,[1]!s_ipo_listeddate(D1292)),[1]!S_SHARE_TOTAL(D1292,$G$5))))</f>
        <v/>
      </c>
      <c r="R1292" s="248" t="str">
        <f ca="1">IF(C1292="","",F1292/([1]!S_STM07_BS(D1292,141,$G$5,$H$13)/IF([1]!S_SHARE_TOTAL(D1292,$G$5)=0,[1]!S_SHARE_TOTAL(D1292,[1]!s_ipo_listeddate(D1292)),[1]!S_SHARE_TOTAL(D1292,$G$5))))</f>
        <v/>
      </c>
      <c r="S1292" s="247" t="str">
        <f ca="1">IF(C1292="","",[1]!S_SHARE_TOTAL(D1292,TODAY())/$E$5)</f>
        <v/>
      </c>
      <c r="T1292" s="247" t="str">
        <f t="shared" ca="1" si="127"/>
        <v/>
      </c>
      <c r="U1292" s="218" t="str">
        <f t="shared" ca="1" si="128"/>
        <v/>
      </c>
      <c r="V1292" s="342" t="str">
        <f t="shared" ca="1" si="129"/>
        <v/>
      </c>
      <c r="W1292" s="139"/>
      <c r="Y1292" s="1"/>
    </row>
    <row r="1293" spans="3:25" ht="12" customHeight="1">
      <c r="C1293" s="343" t="str">
        <f t="shared" ca="1" si="124"/>
        <v/>
      </c>
      <c r="D1293" s="124" t="str">
        <f t="shared" ca="1" si="125"/>
        <v/>
      </c>
      <c r="E1293" s="124" t="str">
        <f t="shared" ca="1" si="126"/>
        <v/>
      </c>
      <c r="F1293" s="172" t="str">
        <f ca="1">IF(C1293="","",[1]!S_DQ_CLOSE(D1293,TODAY(),1))</f>
        <v/>
      </c>
      <c r="G1293" s="173" t="str">
        <f ca="1">IF(C1293="","",[1]!s_pq_pctchange(D1293,TODAY()-$G$12,TODAY())/100)</f>
        <v/>
      </c>
      <c r="H1293" s="249" t="str">
        <f ca="1">IF(C1293="","",IF($H$11="收入",[1]!S_STM07_IS(D1293,9,$G$5,$H$13)/$E$5,[1]!S_STM07_IS(D1293,48,$G$5,$H$13)/$E$5))</f>
        <v/>
      </c>
      <c r="I1293" s="249" t="str">
        <f ca="1">IF(C1293="","",IF($I$11="毛利率",([1]!S_STM07_IS(D1293,9,$G$5,$H$13)-[1]!S_STM07_IS(D1293,10,$G$5,$H$13))/[1]!S_STM07_IS(D1293,9,$G$5,$H$13),[1]!S_STM07_IS(D1293,14,$G$5,$H$13)/$E$5))</f>
        <v/>
      </c>
      <c r="J1293" s="249" t="str">
        <f ca="1">IF(C1293="","",IF($J$11="营业利润率",[1]!S_STM07_IS(D1293,48,$G$5,$H$13)/[1]!S_STM07_IS(D1293,9,$G$5,$H$13),([1]!S_STM07_CS(D1293,87,$G$5,$H$13)+[1]!S_STM07_CS(D1293,88,$G$5,$H$13)+[1]!S_STM07_CS(D1293,89,$G$5,$H$13))/$E$5))</f>
        <v/>
      </c>
      <c r="K1293" s="249" t="str">
        <f ca="1">IF(C1293="","",IF($K$11="净利润率",[1]!S_STM07_IS(D1293,61,$G$5,$H$13)/[1]!S_STM07_IS(D1293,9,$G$5,$H$13),[1]!S_STM07_IS(D1293,55,$G$5,$H$13)/$E$5))</f>
        <v/>
      </c>
      <c r="L1293" s="249" t="str">
        <f ca="1">IF(C1293="","",IF($L$11="ROA",[1]!S_STM07_IS(D1293,61,$G$5,$H$13)/[1]!S_STM07_BS(D1293,74,$G$5,$H$13),1-[1]!S_STM07_IS(D1293,61,$G$5,$H$13)/[1]!S_STM07_IS(D1293,55,$G$5,$H$13)))</f>
        <v/>
      </c>
      <c r="M1293" s="249" t="str">
        <f ca="1">IF(C1293="","",IF($M$11="ROE",[1]!S_STM07_IS(D1293,61,$G$5,$H$13)/[1]!S_STM07_BS(D1293,141,$G$5,$H$13),([1]!S_STM07_BS(D1293,25,$G$5,$H$13)-[1]!S_STM07_BS(D1293,93,$G$5,$H$13))/$E$5))</f>
        <v/>
      </c>
      <c r="N1293" s="250" t="str">
        <f ca="1">IF(C1293="","",IF($N$11="EPS",[1]!S_STM07_IS(D1293,61,$G$5,$H$13)/IF([1]!S_SHARE_TOTAL(D1293,$G$5)=0,[1]!S_SHARE_TOTAL(D1293,[1]!s_ipo_listeddate(D1293)),[1]!S_SHARE_TOTAL(D1293,$G$5)),([1]!S_STM07_BS(D1293,75,$G$5,$H$13)+[1]!S_STM07_BS(D1293,88,$G$5,$H$13)+[1]!S_STM07_BS(D1293,94,$G$5,$H$13)+[1]!S_STM07_BS(D1293,95,$G$5,$H$13))/$E$5))</f>
        <v/>
      </c>
      <c r="O1293" s="250" t="str">
        <f ca="1">IF(C1293="","",IF($O$11="BPS",[1]!S_STM07_BS(D1293,141,$G$5,$H$13)/IF([1]!S_SHARE_TOTAL(D1293,$G$5)=0,[1]!S_SHARE_TOTAL(D1293,[1]!s_ipo_listeddate(D1293)),[1]!S_SHARE_TOTAL(D1293,$G$5)),[1]!S_STM07_CS(D1293,49,$G$5,$H$13)/$E$5))</f>
        <v/>
      </c>
      <c r="P1293" s="250" t="str">
        <f ca="1">IF(C1293="","",IF($P$11="CFPS",[1]!S_STM07_CS(D1293,84,$G$5,$H$13)/IF([1]!S_SHARE_TOTAL(D1293,$G$5)=0,[1]!S_SHARE_TOTAL(D1293,[1]!s_ipo_listeddate(D1293)),[1]!S_SHARE_TOTAL(D1293,$G$5)),[1]!S_STM07_CS(D1293,84,$G$5,$H$13)/$E$5))</f>
        <v/>
      </c>
      <c r="Q1293" s="198" t="str">
        <f ca="1">IF(C1293="","",F1293/([1]!S_STM07_IS(D1293,61,$G$5,$H$13)/IF([1]!S_SHARE_TOTAL(D1293,$G$5)=0,[1]!S_SHARE_TOTAL(D1293,[1]!s_ipo_listeddate(D1293)),[1]!S_SHARE_TOTAL(D1293,$G$5))))</f>
        <v/>
      </c>
      <c r="R1293" s="198" t="str">
        <f ca="1">IF(C1293="","",F1293/([1]!S_STM07_BS(D1293,141,$G$5,$H$13)/IF([1]!S_SHARE_TOTAL(D1293,$G$5)=0,[1]!S_SHARE_TOTAL(D1293,[1]!s_ipo_listeddate(D1293)),[1]!S_SHARE_TOTAL(D1293,$G$5))))</f>
        <v/>
      </c>
      <c r="S1293" s="249" t="str">
        <f ca="1">IF(C1293="","",[1]!S_SHARE_TOTAL(D1293,TODAY())/$E$5)</f>
        <v/>
      </c>
      <c r="T1293" s="249" t="str">
        <f t="shared" ca="1" si="127"/>
        <v/>
      </c>
      <c r="U1293" s="172" t="str">
        <f t="shared" ca="1" si="128"/>
        <v/>
      </c>
      <c r="V1293" s="343" t="str">
        <f t="shared" ca="1" si="129"/>
        <v/>
      </c>
      <c r="W1293" s="139"/>
      <c r="Y1293" s="1"/>
    </row>
    <row r="1294" spans="3:25" ht="12" customHeight="1">
      <c r="C1294" s="342" t="str">
        <f t="shared" ref="C1294:C1357" ca="1" si="130">IF(ROW()-13&lt;=MAX(series),ROW()-13,"")</f>
        <v/>
      </c>
      <c r="D1294" s="153" t="str">
        <f t="shared" ca="1" si="125"/>
        <v/>
      </c>
      <c r="E1294" s="153" t="str">
        <f t="shared" ca="1" si="126"/>
        <v/>
      </c>
      <c r="F1294" s="170" t="str">
        <f ca="1">IF(C1294="","",[1]!S_DQ_CLOSE(D1294,TODAY(),1))</f>
        <v/>
      </c>
      <c r="G1294" s="171" t="str">
        <f ca="1">IF(C1294="","",[1]!s_pq_pctchange(D1294,TODAY()-$G$12,TODAY())/100)</f>
        <v/>
      </c>
      <c r="H1294" s="247" t="str">
        <f ca="1">IF(C1294="","",IF($H$11="收入",[1]!S_STM07_IS(D1294,9,$G$5,$H$13)/$E$5,[1]!S_STM07_IS(D1294,48,$G$5,$H$13)/$E$5))</f>
        <v/>
      </c>
      <c r="I1294" s="247" t="str">
        <f ca="1">IF(C1294="","",IF($I$11="毛利率",([1]!S_STM07_IS(D1294,9,$G$5,$H$13)-[1]!S_STM07_IS(D1294,10,$G$5,$H$13))/[1]!S_STM07_IS(D1294,9,$G$5,$H$13),[1]!S_STM07_IS(D1294,14,$G$5,$H$13)/$E$5))</f>
        <v/>
      </c>
      <c r="J1294" s="247" t="str">
        <f ca="1">IF(C1294="","",IF($J$11="营业利润率",[1]!S_STM07_IS(D1294,48,$G$5,$H$13)/[1]!S_STM07_IS(D1294,9,$G$5,$H$13),([1]!S_STM07_CS(D1294,87,$G$5,$H$13)+[1]!S_STM07_CS(D1294,88,$G$5,$H$13)+[1]!S_STM07_CS(D1294,89,$G$5,$H$13))/$E$5))</f>
        <v/>
      </c>
      <c r="K1294" s="247" t="str">
        <f ca="1">IF(C1294="","",IF($K$11="净利润率",[1]!S_STM07_IS(D1294,61,$G$5,$H$13)/[1]!S_STM07_IS(D1294,9,$G$5,$H$13),[1]!S_STM07_IS(D1294,55,$G$5,$H$13)/$E$5))</f>
        <v/>
      </c>
      <c r="L1294" s="247" t="str">
        <f ca="1">IF(C1294="","",IF($L$11="ROA",[1]!S_STM07_IS(D1294,61,$G$5,$H$13)/[1]!S_STM07_BS(D1294,74,$G$5,$H$13),1-[1]!S_STM07_IS(D1294,61,$G$5,$H$13)/[1]!S_STM07_IS(D1294,55,$G$5,$H$13)))</f>
        <v/>
      </c>
      <c r="M1294" s="247" t="str">
        <f ca="1">IF(C1294="","",IF($M$11="ROE",[1]!S_STM07_IS(D1294,61,$G$5,$H$13)/[1]!S_STM07_BS(D1294,141,$G$5,$H$13),([1]!S_STM07_BS(D1294,25,$G$5,$H$13)-[1]!S_STM07_BS(D1294,93,$G$5,$H$13))/$E$5))</f>
        <v/>
      </c>
      <c r="N1294" s="247" t="str">
        <f ca="1">IF(C1294="","",IF($N$11="EPS",[1]!S_STM07_IS(D1294,61,$G$5,$H$13)/IF([1]!S_SHARE_TOTAL(D1294,$G$5)=0,[1]!S_SHARE_TOTAL(D1294,[1]!s_ipo_listeddate(D1294)),[1]!S_SHARE_TOTAL(D1294,$G$5)),([1]!S_STM07_BS(D1294,75,$G$5,$H$13)+[1]!S_STM07_BS(D1294,88,$G$5,$H$13)+[1]!S_STM07_BS(D1294,94,$G$5,$H$13)+[1]!S_STM07_BS(D1294,95,$G$5,$H$13))/$E$5))</f>
        <v/>
      </c>
      <c r="O1294" s="247" t="str">
        <f ca="1">IF(C1294="","",IF($O$11="BPS",[1]!S_STM07_BS(D1294,141,$G$5,$H$13)/IF([1]!S_SHARE_TOTAL(D1294,$G$5)=0,[1]!S_SHARE_TOTAL(D1294,[1]!s_ipo_listeddate(D1294)),[1]!S_SHARE_TOTAL(D1294,$G$5)),[1]!S_STM07_CS(D1294,49,$G$5,$H$13)/$E$5))</f>
        <v/>
      </c>
      <c r="P1294" s="247" t="str">
        <f ca="1">IF(C1294="","",IF($P$11="CFPS",[1]!S_STM07_CS(D1294,84,$G$5,$H$13)/IF([1]!S_SHARE_TOTAL(D1294,$G$5)=0,[1]!S_SHARE_TOTAL(D1294,[1]!s_ipo_listeddate(D1294)),[1]!S_SHARE_TOTAL(D1294,$G$5)),[1]!S_STM07_CS(D1294,84,$G$5,$H$13)/$E$5))</f>
        <v/>
      </c>
      <c r="Q1294" s="248" t="str">
        <f ca="1">IF(C1294="","",F1294/([1]!S_STM07_IS(D1294,61,$G$5,$H$13)/IF([1]!S_SHARE_TOTAL(D1294,$G$5)=0,[1]!S_SHARE_TOTAL(D1294,[1]!s_ipo_listeddate(D1294)),[1]!S_SHARE_TOTAL(D1294,$G$5))))</f>
        <v/>
      </c>
      <c r="R1294" s="248" t="str">
        <f ca="1">IF(C1294="","",F1294/([1]!S_STM07_BS(D1294,141,$G$5,$H$13)/IF([1]!S_SHARE_TOTAL(D1294,$G$5)=0,[1]!S_SHARE_TOTAL(D1294,[1]!s_ipo_listeddate(D1294)),[1]!S_SHARE_TOTAL(D1294,$G$5))))</f>
        <v/>
      </c>
      <c r="S1294" s="247" t="str">
        <f ca="1">IF(C1294="","",[1]!S_SHARE_TOTAL(D1294,TODAY())/$E$5)</f>
        <v/>
      </c>
      <c r="T1294" s="247" t="str">
        <f t="shared" ca="1" si="127"/>
        <v/>
      </c>
      <c r="U1294" s="218" t="str">
        <f t="shared" ca="1" si="128"/>
        <v/>
      </c>
      <c r="V1294" s="342" t="str">
        <f t="shared" ca="1" si="129"/>
        <v/>
      </c>
      <c r="W1294" s="139"/>
      <c r="Y1294" s="1"/>
    </row>
    <row r="1295" spans="3:25" ht="12" customHeight="1">
      <c r="C1295" s="343" t="str">
        <f t="shared" ca="1" si="130"/>
        <v/>
      </c>
      <c r="D1295" s="124" t="str">
        <f t="shared" ca="1" si="125"/>
        <v/>
      </c>
      <c r="E1295" s="124" t="str">
        <f t="shared" ca="1" si="126"/>
        <v/>
      </c>
      <c r="F1295" s="172" t="str">
        <f ca="1">IF(C1295="","",[1]!S_DQ_CLOSE(D1295,TODAY(),1))</f>
        <v/>
      </c>
      <c r="G1295" s="173" t="str">
        <f ca="1">IF(C1295="","",[1]!s_pq_pctchange(D1295,TODAY()-$G$12,TODAY())/100)</f>
        <v/>
      </c>
      <c r="H1295" s="249" t="str">
        <f ca="1">IF(C1295="","",IF($H$11="收入",[1]!S_STM07_IS(D1295,9,$G$5,$H$13)/$E$5,[1]!S_STM07_IS(D1295,48,$G$5,$H$13)/$E$5))</f>
        <v/>
      </c>
      <c r="I1295" s="249" t="str">
        <f ca="1">IF(C1295="","",IF($I$11="毛利率",([1]!S_STM07_IS(D1295,9,$G$5,$H$13)-[1]!S_STM07_IS(D1295,10,$G$5,$H$13))/[1]!S_STM07_IS(D1295,9,$G$5,$H$13),[1]!S_STM07_IS(D1295,14,$G$5,$H$13)/$E$5))</f>
        <v/>
      </c>
      <c r="J1295" s="249" t="str">
        <f ca="1">IF(C1295="","",IF($J$11="营业利润率",[1]!S_STM07_IS(D1295,48,$G$5,$H$13)/[1]!S_STM07_IS(D1295,9,$G$5,$H$13),([1]!S_STM07_CS(D1295,87,$G$5,$H$13)+[1]!S_STM07_CS(D1295,88,$G$5,$H$13)+[1]!S_STM07_CS(D1295,89,$G$5,$H$13))/$E$5))</f>
        <v/>
      </c>
      <c r="K1295" s="249" t="str">
        <f ca="1">IF(C1295="","",IF($K$11="净利润率",[1]!S_STM07_IS(D1295,61,$G$5,$H$13)/[1]!S_STM07_IS(D1295,9,$G$5,$H$13),[1]!S_STM07_IS(D1295,55,$G$5,$H$13)/$E$5))</f>
        <v/>
      </c>
      <c r="L1295" s="249" t="str">
        <f ca="1">IF(C1295="","",IF($L$11="ROA",[1]!S_STM07_IS(D1295,61,$G$5,$H$13)/[1]!S_STM07_BS(D1295,74,$G$5,$H$13),1-[1]!S_STM07_IS(D1295,61,$G$5,$H$13)/[1]!S_STM07_IS(D1295,55,$G$5,$H$13)))</f>
        <v/>
      </c>
      <c r="M1295" s="249" t="str">
        <f ca="1">IF(C1295="","",IF($M$11="ROE",[1]!S_STM07_IS(D1295,61,$G$5,$H$13)/[1]!S_STM07_BS(D1295,141,$G$5,$H$13),([1]!S_STM07_BS(D1295,25,$G$5,$H$13)-[1]!S_STM07_BS(D1295,93,$G$5,$H$13))/$E$5))</f>
        <v/>
      </c>
      <c r="N1295" s="250" t="str">
        <f ca="1">IF(C1295="","",IF($N$11="EPS",[1]!S_STM07_IS(D1295,61,$G$5,$H$13)/IF([1]!S_SHARE_TOTAL(D1295,$G$5)=0,[1]!S_SHARE_TOTAL(D1295,[1]!s_ipo_listeddate(D1295)),[1]!S_SHARE_TOTAL(D1295,$G$5)),([1]!S_STM07_BS(D1295,75,$G$5,$H$13)+[1]!S_STM07_BS(D1295,88,$G$5,$H$13)+[1]!S_STM07_BS(D1295,94,$G$5,$H$13)+[1]!S_STM07_BS(D1295,95,$G$5,$H$13))/$E$5))</f>
        <v/>
      </c>
      <c r="O1295" s="250" t="str">
        <f ca="1">IF(C1295="","",IF($O$11="BPS",[1]!S_STM07_BS(D1295,141,$G$5,$H$13)/IF([1]!S_SHARE_TOTAL(D1295,$G$5)=0,[1]!S_SHARE_TOTAL(D1295,[1]!s_ipo_listeddate(D1295)),[1]!S_SHARE_TOTAL(D1295,$G$5)),[1]!S_STM07_CS(D1295,49,$G$5,$H$13)/$E$5))</f>
        <v/>
      </c>
      <c r="P1295" s="250" t="str">
        <f ca="1">IF(C1295="","",IF($P$11="CFPS",[1]!S_STM07_CS(D1295,84,$G$5,$H$13)/IF([1]!S_SHARE_TOTAL(D1295,$G$5)=0,[1]!S_SHARE_TOTAL(D1295,[1]!s_ipo_listeddate(D1295)),[1]!S_SHARE_TOTAL(D1295,$G$5)),[1]!S_STM07_CS(D1295,84,$G$5,$H$13)/$E$5))</f>
        <v/>
      </c>
      <c r="Q1295" s="198" t="str">
        <f ca="1">IF(C1295="","",F1295/([1]!S_STM07_IS(D1295,61,$G$5,$H$13)/IF([1]!S_SHARE_TOTAL(D1295,$G$5)=0,[1]!S_SHARE_TOTAL(D1295,[1]!s_ipo_listeddate(D1295)),[1]!S_SHARE_TOTAL(D1295,$G$5))))</f>
        <v/>
      </c>
      <c r="R1295" s="198" t="str">
        <f ca="1">IF(C1295="","",F1295/([1]!S_STM07_BS(D1295,141,$G$5,$H$13)/IF([1]!S_SHARE_TOTAL(D1295,$G$5)=0,[1]!S_SHARE_TOTAL(D1295,[1]!s_ipo_listeddate(D1295)),[1]!S_SHARE_TOTAL(D1295,$G$5))))</f>
        <v/>
      </c>
      <c r="S1295" s="249" t="str">
        <f ca="1">IF(C1295="","",[1]!S_SHARE_TOTAL(D1295,TODAY())/$E$5)</f>
        <v/>
      </c>
      <c r="T1295" s="249" t="str">
        <f t="shared" ca="1" si="127"/>
        <v/>
      </c>
      <c r="U1295" s="172" t="str">
        <f t="shared" ca="1" si="128"/>
        <v/>
      </c>
      <c r="V1295" s="343" t="str">
        <f t="shared" ca="1" si="129"/>
        <v/>
      </c>
      <c r="W1295" s="139"/>
      <c r="Y1295" s="1"/>
    </row>
    <row r="1296" spans="3:25" ht="12" customHeight="1">
      <c r="C1296" s="342" t="str">
        <f t="shared" ca="1" si="130"/>
        <v/>
      </c>
      <c r="D1296" s="153" t="str">
        <f t="shared" ca="1" si="125"/>
        <v/>
      </c>
      <c r="E1296" s="153" t="str">
        <f t="shared" ca="1" si="126"/>
        <v/>
      </c>
      <c r="F1296" s="170" t="str">
        <f ca="1">IF(C1296="","",[1]!S_DQ_CLOSE(D1296,TODAY(),1))</f>
        <v/>
      </c>
      <c r="G1296" s="171" t="str">
        <f ca="1">IF(C1296="","",[1]!s_pq_pctchange(D1296,TODAY()-$G$12,TODAY())/100)</f>
        <v/>
      </c>
      <c r="H1296" s="247" t="str">
        <f ca="1">IF(C1296="","",IF($H$11="收入",[1]!S_STM07_IS(D1296,9,$G$5,$H$13)/$E$5,[1]!S_STM07_IS(D1296,48,$G$5,$H$13)/$E$5))</f>
        <v/>
      </c>
      <c r="I1296" s="247" t="str">
        <f ca="1">IF(C1296="","",IF($I$11="毛利率",([1]!S_STM07_IS(D1296,9,$G$5,$H$13)-[1]!S_STM07_IS(D1296,10,$G$5,$H$13))/[1]!S_STM07_IS(D1296,9,$G$5,$H$13),[1]!S_STM07_IS(D1296,14,$G$5,$H$13)/$E$5))</f>
        <v/>
      </c>
      <c r="J1296" s="247" t="str">
        <f ca="1">IF(C1296="","",IF($J$11="营业利润率",[1]!S_STM07_IS(D1296,48,$G$5,$H$13)/[1]!S_STM07_IS(D1296,9,$G$5,$H$13),([1]!S_STM07_CS(D1296,87,$G$5,$H$13)+[1]!S_STM07_CS(D1296,88,$G$5,$H$13)+[1]!S_STM07_CS(D1296,89,$G$5,$H$13))/$E$5))</f>
        <v/>
      </c>
      <c r="K1296" s="247" t="str">
        <f ca="1">IF(C1296="","",IF($K$11="净利润率",[1]!S_STM07_IS(D1296,61,$G$5,$H$13)/[1]!S_STM07_IS(D1296,9,$G$5,$H$13),[1]!S_STM07_IS(D1296,55,$G$5,$H$13)/$E$5))</f>
        <v/>
      </c>
      <c r="L1296" s="247" t="str">
        <f ca="1">IF(C1296="","",IF($L$11="ROA",[1]!S_STM07_IS(D1296,61,$G$5,$H$13)/[1]!S_STM07_BS(D1296,74,$G$5,$H$13),1-[1]!S_STM07_IS(D1296,61,$G$5,$H$13)/[1]!S_STM07_IS(D1296,55,$G$5,$H$13)))</f>
        <v/>
      </c>
      <c r="M1296" s="247" t="str">
        <f ca="1">IF(C1296="","",IF($M$11="ROE",[1]!S_STM07_IS(D1296,61,$G$5,$H$13)/[1]!S_STM07_BS(D1296,141,$G$5,$H$13),([1]!S_STM07_BS(D1296,25,$G$5,$H$13)-[1]!S_STM07_BS(D1296,93,$G$5,$H$13))/$E$5))</f>
        <v/>
      </c>
      <c r="N1296" s="247" t="str">
        <f ca="1">IF(C1296="","",IF($N$11="EPS",[1]!S_STM07_IS(D1296,61,$G$5,$H$13)/IF([1]!S_SHARE_TOTAL(D1296,$G$5)=0,[1]!S_SHARE_TOTAL(D1296,[1]!s_ipo_listeddate(D1296)),[1]!S_SHARE_TOTAL(D1296,$G$5)),([1]!S_STM07_BS(D1296,75,$G$5,$H$13)+[1]!S_STM07_BS(D1296,88,$G$5,$H$13)+[1]!S_STM07_BS(D1296,94,$G$5,$H$13)+[1]!S_STM07_BS(D1296,95,$G$5,$H$13))/$E$5))</f>
        <v/>
      </c>
      <c r="O1296" s="247" t="str">
        <f ca="1">IF(C1296="","",IF($O$11="BPS",[1]!S_STM07_BS(D1296,141,$G$5,$H$13)/IF([1]!S_SHARE_TOTAL(D1296,$G$5)=0,[1]!S_SHARE_TOTAL(D1296,[1]!s_ipo_listeddate(D1296)),[1]!S_SHARE_TOTAL(D1296,$G$5)),[1]!S_STM07_CS(D1296,49,$G$5,$H$13)/$E$5))</f>
        <v/>
      </c>
      <c r="P1296" s="247" t="str">
        <f ca="1">IF(C1296="","",IF($P$11="CFPS",[1]!S_STM07_CS(D1296,84,$G$5,$H$13)/IF([1]!S_SHARE_TOTAL(D1296,$G$5)=0,[1]!S_SHARE_TOTAL(D1296,[1]!s_ipo_listeddate(D1296)),[1]!S_SHARE_TOTAL(D1296,$G$5)),[1]!S_STM07_CS(D1296,84,$G$5,$H$13)/$E$5))</f>
        <v/>
      </c>
      <c r="Q1296" s="248" t="str">
        <f ca="1">IF(C1296="","",F1296/([1]!S_STM07_IS(D1296,61,$G$5,$H$13)/IF([1]!S_SHARE_TOTAL(D1296,$G$5)=0,[1]!S_SHARE_TOTAL(D1296,[1]!s_ipo_listeddate(D1296)),[1]!S_SHARE_TOTAL(D1296,$G$5))))</f>
        <v/>
      </c>
      <c r="R1296" s="248" t="str">
        <f ca="1">IF(C1296="","",F1296/([1]!S_STM07_BS(D1296,141,$G$5,$H$13)/IF([1]!S_SHARE_TOTAL(D1296,$G$5)=0,[1]!S_SHARE_TOTAL(D1296,[1]!s_ipo_listeddate(D1296)),[1]!S_SHARE_TOTAL(D1296,$G$5))))</f>
        <v/>
      </c>
      <c r="S1296" s="247" t="str">
        <f ca="1">IF(C1296="","",[1]!S_SHARE_TOTAL(D1296,TODAY())/$E$5)</f>
        <v/>
      </c>
      <c r="T1296" s="247" t="str">
        <f t="shared" ca="1" si="127"/>
        <v/>
      </c>
      <c r="U1296" s="218" t="str">
        <f t="shared" ca="1" si="128"/>
        <v/>
      </c>
      <c r="V1296" s="342" t="str">
        <f t="shared" ca="1" si="129"/>
        <v/>
      </c>
      <c r="W1296" s="139"/>
      <c r="Y1296" s="1"/>
    </row>
    <row r="1297" spans="3:25" ht="12" customHeight="1">
      <c r="C1297" s="343" t="str">
        <f t="shared" ca="1" si="130"/>
        <v/>
      </c>
      <c r="D1297" s="124" t="str">
        <f t="shared" ca="1" si="125"/>
        <v/>
      </c>
      <c r="E1297" s="124" t="str">
        <f t="shared" ca="1" si="126"/>
        <v/>
      </c>
      <c r="F1297" s="172" t="str">
        <f ca="1">IF(C1297="","",[1]!S_DQ_CLOSE(D1297,TODAY(),1))</f>
        <v/>
      </c>
      <c r="G1297" s="173" t="str">
        <f ca="1">IF(C1297="","",[1]!s_pq_pctchange(D1297,TODAY()-$G$12,TODAY())/100)</f>
        <v/>
      </c>
      <c r="H1297" s="249" t="str">
        <f ca="1">IF(C1297="","",IF($H$11="收入",[1]!S_STM07_IS(D1297,9,$G$5,$H$13)/$E$5,[1]!S_STM07_IS(D1297,48,$G$5,$H$13)/$E$5))</f>
        <v/>
      </c>
      <c r="I1297" s="249" t="str">
        <f ca="1">IF(C1297="","",IF($I$11="毛利率",([1]!S_STM07_IS(D1297,9,$G$5,$H$13)-[1]!S_STM07_IS(D1297,10,$G$5,$H$13))/[1]!S_STM07_IS(D1297,9,$G$5,$H$13),[1]!S_STM07_IS(D1297,14,$G$5,$H$13)/$E$5))</f>
        <v/>
      </c>
      <c r="J1297" s="249" t="str">
        <f ca="1">IF(C1297="","",IF($J$11="营业利润率",[1]!S_STM07_IS(D1297,48,$G$5,$H$13)/[1]!S_STM07_IS(D1297,9,$G$5,$H$13),([1]!S_STM07_CS(D1297,87,$G$5,$H$13)+[1]!S_STM07_CS(D1297,88,$G$5,$H$13)+[1]!S_STM07_CS(D1297,89,$G$5,$H$13))/$E$5))</f>
        <v/>
      </c>
      <c r="K1297" s="249" t="str">
        <f ca="1">IF(C1297="","",IF($K$11="净利润率",[1]!S_STM07_IS(D1297,61,$G$5,$H$13)/[1]!S_STM07_IS(D1297,9,$G$5,$H$13),[1]!S_STM07_IS(D1297,55,$G$5,$H$13)/$E$5))</f>
        <v/>
      </c>
      <c r="L1297" s="249" t="str">
        <f ca="1">IF(C1297="","",IF($L$11="ROA",[1]!S_STM07_IS(D1297,61,$G$5,$H$13)/[1]!S_STM07_BS(D1297,74,$G$5,$H$13),1-[1]!S_STM07_IS(D1297,61,$G$5,$H$13)/[1]!S_STM07_IS(D1297,55,$G$5,$H$13)))</f>
        <v/>
      </c>
      <c r="M1297" s="249" t="str">
        <f ca="1">IF(C1297="","",IF($M$11="ROE",[1]!S_STM07_IS(D1297,61,$G$5,$H$13)/[1]!S_STM07_BS(D1297,141,$G$5,$H$13),([1]!S_STM07_BS(D1297,25,$G$5,$H$13)-[1]!S_STM07_BS(D1297,93,$G$5,$H$13))/$E$5))</f>
        <v/>
      </c>
      <c r="N1297" s="250" t="str">
        <f ca="1">IF(C1297="","",IF($N$11="EPS",[1]!S_STM07_IS(D1297,61,$G$5,$H$13)/IF([1]!S_SHARE_TOTAL(D1297,$G$5)=0,[1]!S_SHARE_TOTAL(D1297,[1]!s_ipo_listeddate(D1297)),[1]!S_SHARE_TOTAL(D1297,$G$5)),([1]!S_STM07_BS(D1297,75,$G$5,$H$13)+[1]!S_STM07_BS(D1297,88,$G$5,$H$13)+[1]!S_STM07_BS(D1297,94,$G$5,$H$13)+[1]!S_STM07_BS(D1297,95,$G$5,$H$13))/$E$5))</f>
        <v/>
      </c>
      <c r="O1297" s="250" t="str">
        <f ca="1">IF(C1297="","",IF($O$11="BPS",[1]!S_STM07_BS(D1297,141,$G$5,$H$13)/IF([1]!S_SHARE_TOTAL(D1297,$G$5)=0,[1]!S_SHARE_TOTAL(D1297,[1]!s_ipo_listeddate(D1297)),[1]!S_SHARE_TOTAL(D1297,$G$5)),[1]!S_STM07_CS(D1297,49,$G$5,$H$13)/$E$5))</f>
        <v/>
      </c>
      <c r="P1297" s="250" t="str">
        <f ca="1">IF(C1297="","",IF($P$11="CFPS",[1]!S_STM07_CS(D1297,84,$G$5,$H$13)/IF([1]!S_SHARE_TOTAL(D1297,$G$5)=0,[1]!S_SHARE_TOTAL(D1297,[1]!s_ipo_listeddate(D1297)),[1]!S_SHARE_TOTAL(D1297,$G$5)),[1]!S_STM07_CS(D1297,84,$G$5,$H$13)/$E$5))</f>
        <v/>
      </c>
      <c r="Q1297" s="198" t="str">
        <f ca="1">IF(C1297="","",F1297/([1]!S_STM07_IS(D1297,61,$G$5,$H$13)/IF([1]!S_SHARE_TOTAL(D1297,$G$5)=0,[1]!S_SHARE_TOTAL(D1297,[1]!s_ipo_listeddate(D1297)),[1]!S_SHARE_TOTAL(D1297,$G$5))))</f>
        <v/>
      </c>
      <c r="R1297" s="198" t="str">
        <f ca="1">IF(C1297="","",F1297/([1]!S_STM07_BS(D1297,141,$G$5,$H$13)/IF([1]!S_SHARE_TOTAL(D1297,$G$5)=0,[1]!S_SHARE_TOTAL(D1297,[1]!s_ipo_listeddate(D1297)),[1]!S_SHARE_TOTAL(D1297,$G$5))))</f>
        <v/>
      </c>
      <c r="S1297" s="249" t="str">
        <f ca="1">IF(C1297="","",[1]!S_SHARE_TOTAL(D1297,TODAY())/$E$5)</f>
        <v/>
      </c>
      <c r="T1297" s="249" t="str">
        <f t="shared" ca="1" si="127"/>
        <v/>
      </c>
      <c r="U1297" s="172" t="str">
        <f t="shared" ca="1" si="128"/>
        <v/>
      </c>
      <c r="V1297" s="343" t="str">
        <f t="shared" ca="1" si="129"/>
        <v/>
      </c>
      <c r="W1297" s="139"/>
      <c r="Y1297" s="1"/>
    </row>
    <row r="1298" spans="3:25" ht="12" customHeight="1">
      <c r="C1298" s="342" t="str">
        <f t="shared" ca="1" si="130"/>
        <v/>
      </c>
      <c r="D1298" s="153" t="str">
        <f t="shared" ca="1" si="125"/>
        <v/>
      </c>
      <c r="E1298" s="153" t="str">
        <f t="shared" ca="1" si="126"/>
        <v/>
      </c>
      <c r="F1298" s="170" t="str">
        <f ca="1">IF(C1298="","",[1]!S_DQ_CLOSE(D1298,TODAY(),1))</f>
        <v/>
      </c>
      <c r="G1298" s="171" t="str">
        <f ca="1">IF(C1298="","",[1]!s_pq_pctchange(D1298,TODAY()-$G$12,TODAY())/100)</f>
        <v/>
      </c>
      <c r="H1298" s="247" t="str">
        <f ca="1">IF(C1298="","",IF($H$11="收入",[1]!S_STM07_IS(D1298,9,$G$5,$H$13)/$E$5,[1]!S_STM07_IS(D1298,48,$G$5,$H$13)/$E$5))</f>
        <v/>
      </c>
      <c r="I1298" s="247" t="str">
        <f ca="1">IF(C1298="","",IF($I$11="毛利率",([1]!S_STM07_IS(D1298,9,$G$5,$H$13)-[1]!S_STM07_IS(D1298,10,$G$5,$H$13))/[1]!S_STM07_IS(D1298,9,$G$5,$H$13),[1]!S_STM07_IS(D1298,14,$G$5,$H$13)/$E$5))</f>
        <v/>
      </c>
      <c r="J1298" s="247" t="str">
        <f ca="1">IF(C1298="","",IF($J$11="营业利润率",[1]!S_STM07_IS(D1298,48,$G$5,$H$13)/[1]!S_STM07_IS(D1298,9,$G$5,$H$13),([1]!S_STM07_CS(D1298,87,$G$5,$H$13)+[1]!S_STM07_CS(D1298,88,$G$5,$H$13)+[1]!S_STM07_CS(D1298,89,$G$5,$H$13))/$E$5))</f>
        <v/>
      </c>
      <c r="K1298" s="247" t="str">
        <f ca="1">IF(C1298="","",IF($K$11="净利润率",[1]!S_STM07_IS(D1298,61,$G$5,$H$13)/[1]!S_STM07_IS(D1298,9,$G$5,$H$13),[1]!S_STM07_IS(D1298,55,$G$5,$H$13)/$E$5))</f>
        <v/>
      </c>
      <c r="L1298" s="247" t="str">
        <f ca="1">IF(C1298="","",IF($L$11="ROA",[1]!S_STM07_IS(D1298,61,$G$5,$H$13)/[1]!S_STM07_BS(D1298,74,$G$5,$H$13),1-[1]!S_STM07_IS(D1298,61,$G$5,$H$13)/[1]!S_STM07_IS(D1298,55,$G$5,$H$13)))</f>
        <v/>
      </c>
      <c r="M1298" s="247" t="str">
        <f ca="1">IF(C1298="","",IF($M$11="ROE",[1]!S_STM07_IS(D1298,61,$G$5,$H$13)/[1]!S_STM07_BS(D1298,141,$G$5,$H$13),([1]!S_STM07_BS(D1298,25,$G$5,$H$13)-[1]!S_STM07_BS(D1298,93,$G$5,$H$13))/$E$5))</f>
        <v/>
      </c>
      <c r="N1298" s="247" t="str">
        <f ca="1">IF(C1298="","",IF($N$11="EPS",[1]!S_STM07_IS(D1298,61,$G$5,$H$13)/IF([1]!S_SHARE_TOTAL(D1298,$G$5)=0,[1]!S_SHARE_TOTAL(D1298,[1]!s_ipo_listeddate(D1298)),[1]!S_SHARE_TOTAL(D1298,$G$5)),([1]!S_STM07_BS(D1298,75,$G$5,$H$13)+[1]!S_STM07_BS(D1298,88,$G$5,$H$13)+[1]!S_STM07_BS(D1298,94,$G$5,$H$13)+[1]!S_STM07_BS(D1298,95,$G$5,$H$13))/$E$5))</f>
        <v/>
      </c>
      <c r="O1298" s="247" t="str">
        <f ca="1">IF(C1298="","",IF($O$11="BPS",[1]!S_STM07_BS(D1298,141,$G$5,$H$13)/IF([1]!S_SHARE_TOTAL(D1298,$G$5)=0,[1]!S_SHARE_TOTAL(D1298,[1]!s_ipo_listeddate(D1298)),[1]!S_SHARE_TOTAL(D1298,$G$5)),[1]!S_STM07_CS(D1298,49,$G$5,$H$13)/$E$5))</f>
        <v/>
      </c>
      <c r="P1298" s="247" t="str">
        <f ca="1">IF(C1298="","",IF($P$11="CFPS",[1]!S_STM07_CS(D1298,84,$G$5,$H$13)/IF([1]!S_SHARE_TOTAL(D1298,$G$5)=0,[1]!S_SHARE_TOTAL(D1298,[1]!s_ipo_listeddate(D1298)),[1]!S_SHARE_TOTAL(D1298,$G$5)),[1]!S_STM07_CS(D1298,84,$G$5,$H$13)/$E$5))</f>
        <v/>
      </c>
      <c r="Q1298" s="248" t="str">
        <f ca="1">IF(C1298="","",F1298/([1]!S_STM07_IS(D1298,61,$G$5,$H$13)/IF([1]!S_SHARE_TOTAL(D1298,$G$5)=0,[1]!S_SHARE_TOTAL(D1298,[1]!s_ipo_listeddate(D1298)),[1]!S_SHARE_TOTAL(D1298,$G$5))))</f>
        <v/>
      </c>
      <c r="R1298" s="248" t="str">
        <f ca="1">IF(C1298="","",F1298/([1]!S_STM07_BS(D1298,141,$G$5,$H$13)/IF([1]!S_SHARE_TOTAL(D1298,$G$5)=0,[1]!S_SHARE_TOTAL(D1298,[1]!s_ipo_listeddate(D1298)),[1]!S_SHARE_TOTAL(D1298,$G$5))))</f>
        <v/>
      </c>
      <c r="S1298" s="247" t="str">
        <f ca="1">IF(C1298="","",[1]!S_SHARE_TOTAL(D1298,TODAY())/$E$5)</f>
        <v/>
      </c>
      <c r="T1298" s="247" t="str">
        <f t="shared" ca="1" si="127"/>
        <v/>
      </c>
      <c r="U1298" s="218" t="str">
        <f t="shared" ca="1" si="128"/>
        <v/>
      </c>
      <c r="V1298" s="342" t="str">
        <f t="shared" ca="1" si="129"/>
        <v/>
      </c>
      <c r="W1298" s="139"/>
      <c r="Y1298" s="1"/>
    </row>
    <row r="1299" spans="3:25" ht="12" customHeight="1">
      <c r="C1299" s="343" t="str">
        <f t="shared" ca="1" si="130"/>
        <v/>
      </c>
      <c r="D1299" s="124" t="str">
        <f t="shared" ca="1" si="125"/>
        <v/>
      </c>
      <c r="E1299" s="124" t="str">
        <f t="shared" ca="1" si="126"/>
        <v/>
      </c>
      <c r="F1299" s="172" t="str">
        <f ca="1">IF(C1299="","",[1]!S_DQ_CLOSE(D1299,TODAY(),1))</f>
        <v/>
      </c>
      <c r="G1299" s="173" t="str">
        <f ca="1">IF(C1299="","",[1]!s_pq_pctchange(D1299,TODAY()-$G$12,TODAY())/100)</f>
        <v/>
      </c>
      <c r="H1299" s="249" t="str">
        <f ca="1">IF(C1299="","",IF($H$11="收入",[1]!S_STM07_IS(D1299,9,$G$5,$H$13)/$E$5,[1]!S_STM07_IS(D1299,48,$G$5,$H$13)/$E$5))</f>
        <v/>
      </c>
      <c r="I1299" s="249" t="str">
        <f ca="1">IF(C1299="","",IF($I$11="毛利率",([1]!S_STM07_IS(D1299,9,$G$5,$H$13)-[1]!S_STM07_IS(D1299,10,$G$5,$H$13))/[1]!S_STM07_IS(D1299,9,$G$5,$H$13),[1]!S_STM07_IS(D1299,14,$G$5,$H$13)/$E$5))</f>
        <v/>
      </c>
      <c r="J1299" s="249" t="str">
        <f ca="1">IF(C1299="","",IF($J$11="营业利润率",[1]!S_STM07_IS(D1299,48,$G$5,$H$13)/[1]!S_STM07_IS(D1299,9,$G$5,$H$13),([1]!S_STM07_CS(D1299,87,$G$5,$H$13)+[1]!S_STM07_CS(D1299,88,$G$5,$H$13)+[1]!S_STM07_CS(D1299,89,$G$5,$H$13))/$E$5))</f>
        <v/>
      </c>
      <c r="K1299" s="249" t="str">
        <f ca="1">IF(C1299="","",IF($K$11="净利润率",[1]!S_STM07_IS(D1299,61,$G$5,$H$13)/[1]!S_STM07_IS(D1299,9,$G$5,$H$13),[1]!S_STM07_IS(D1299,55,$G$5,$H$13)/$E$5))</f>
        <v/>
      </c>
      <c r="L1299" s="249" t="str">
        <f ca="1">IF(C1299="","",IF($L$11="ROA",[1]!S_STM07_IS(D1299,61,$G$5,$H$13)/[1]!S_STM07_BS(D1299,74,$G$5,$H$13),1-[1]!S_STM07_IS(D1299,61,$G$5,$H$13)/[1]!S_STM07_IS(D1299,55,$G$5,$H$13)))</f>
        <v/>
      </c>
      <c r="M1299" s="249" t="str">
        <f ca="1">IF(C1299="","",IF($M$11="ROE",[1]!S_STM07_IS(D1299,61,$G$5,$H$13)/[1]!S_STM07_BS(D1299,141,$G$5,$H$13),([1]!S_STM07_BS(D1299,25,$G$5,$H$13)-[1]!S_STM07_BS(D1299,93,$G$5,$H$13))/$E$5))</f>
        <v/>
      </c>
      <c r="N1299" s="250" t="str">
        <f ca="1">IF(C1299="","",IF($N$11="EPS",[1]!S_STM07_IS(D1299,61,$G$5,$H$13)/IF([1]!S_SHARE_TOTAL(D1299,$G$5)=0,[1]!S_SHARE_TOTAL(D1299,[1]!s_ipo_listeddate(D1299)),[1]!S_SHARE_TOTAL(D1299,$G$5)),([1]!S_STM07_BS(D1299,75,$G$5,$H$13)+[1]!S_STM07_BS(D1299,88,$G$5,$H$13)+[1]!S_STM07_BS(D1299,94,$G$5,$H$13)+[1]!S_STM07_BS(D1299,95,$G$5,$H$13))/$E$5))</f>
        <v/>
      </c>
      <c r="O1299" s="250" t="str">
        <f ca="1">IF(C1299="","",IF($O$11="BPS",[1]!S_STM07_BS(D1299,141,$G$5,$H$13)/IF([1]!S_SHARE_TOTAL(D1299,$G$5)=0,[1]!S_SHARE_TOTAL(D1299,[1]!s_ipo_listeddate(D1299)),[1]!S_SHARE_TOTAL(D1299,$G$5)),[1]!S_STM07_CS(D1299,49,$G$5,$H$13)/$E$5))</f>
        <v/>
      </c>
      <c r="P1299" s="250" t="str">
        <f ca="1">IF(C1299="","",IF($P$11="CFPS",[1]!S_STM07_CS(D1299,84,$G$5,$H$13)/IF([1]!S_SHARE_TOTAL(D1299,$G$5)=0,[1]!S_SHARE_TOTAL(D1299,[1]!s_ipo_listeddate(D1299)),[1]!S_SHARE_TOTAL(D1299,$G$5)),[1]!S_STM07_CS(D1299,84,$G$5,$H$13)/$E$5))</f>
        <v/>
      </c>
      <c r="Q1299" s="198" t="str">
        <f ca="1">IF(C1299="","",F1299/([1]!S_STM07_IS(D1299,61,$G$5,$H$13)/IF([1]!S_SHARE_TOTAL(D1299,$G$5)=0,[1]!S_SHARE_TOTAL(D1299,[1]!s_ipo_listeddate(D1299)),[1]!S_SHARE_TOTAL(D1299,$G$5))))</f>
        <v/>
      </c>
      <c r="R1299" s="198" t="str">
        <f ca="1">IF(C1299="","",F1299/([1]!S_STM07_BS(D1299,141,$G$5,$H$13)/IF([1]!S_SHARE_TOTAL(D1299,$G$5)=0,[1]!S_SHARE_TOTAL(D1299,[1]!s_ipo_listeddate(D1299)),[1]!S_SHARE_TOTAL(D1299,$G$5))))</f>
        <v/>
      </c>
      <c r="S1299" s="249" t="str">
        <f ca="1">IF(C1299="","",[1]!S_SHARE_TOTAL(D1299,TODAY())/$E$5)</f>
        <v/>
      </c>
      <c r="T1299" s="249" t="str">
        <f t="shared" ca="1" si="127"/>
        <v/>
      </c>
      <c r="U1299" s="172" t="str">
        <f t="shared" ca="1" si="128"/>
        <v/>
      </c>
      <c r="V1299" s="343" t="str">
        <f t="shared" ca="1" si="129"/>
        <v/>
      </c>
      <c r="W1299" s="139"/>
      <c r="Y1299" s="1"/>
    </row>
    <row r="1300" spans="3:25" ht="12" customHeight="1">
      <c r="C1300" s="342" t="str">
        <f t="shared" ca="1" si="130"/>
        <v/>
      </c>
      <c r="D1300" s="153" t="str">
        <f t="shared" ca="1" si="125"/>
        <v/>
      </c>
      <c r="E1300" s="153" t="str">
        <f t="shared" ca="1" si="126"/>
        <v/>
      </c>
      <c r="F1300" s="170" t="str">
        <f ca="1">IF(C1300="","",[1]!S_DQ_CLOSE(D1300,TODAY(),1))</f>
        <v/>
      </c>
      <c r="G1300" s="171" t="str">
        <f ca="1">IF(C1300="","",[1]!s_pq_pctchange(D1300,TODAY()-$G$12,TODAY())/100)</f>
        <v/>
      </c>
      <c r="H1300" s="247" t="str">
        <f ca="1">IF(C1300="","",IF($H$11="收入",[1]!S_STM07_IS(D1300,9,$G$5,$H$13)/$E$5,[1]!S_STM07_IS(D1300,48,$G$5,$H$13)/$E$5))</f>
        <v/>
      </c>
      <c r="I1300" s="247" t="str">
        <f ca="1">IF(C1300="","",IF($I$11="毛利率",([1]!S_STM07_IS(D1300,9,$G$5,$H$13)-[1]!S_STM07_IS(D1300,10,$G$5,$H$13))/[1]!S_STM07_IS(D1300,9,$G$5,$H$13),[1]!S_STM07_IS(D1300,14,$G$5,$H$13)/$E$5))</f>
        <v/>
      </c>
      <c r="J1300" s="247" t="str">
        <f ca="1">IF(C1300="","",IF($J$11="营业利润率",[1]!S_STM07_IS(D1300,48,$G$5,$H$13)/[1]!S_STM07_IS(D1300,9,$G$5,$H$13),([1]!S_STM07_CS(D1300,87,$G$5,$H$13)+[1]!S_STM07_CS(D1300,88,$G$5,$H$13)+[1]!S_STM07_CS(D1300,89,$G$5,$H$13))/$E$5))</f>
        <v/>
      </c>
      <c r="K1300" s="247" t="str">
        <f ca="1">IF(C1300="","",IF($K$11="净利润率",[1]!S_STM07_IS(D1300,61,$G$5,$H$13)/[1]!S_STM07_IS(D1300,9,$G$5,$H$13),[1]!S_STM07_IS(D1300,55,$G$5,$H$13)/$E$5))</f>
        <v/>
      </c>
      <c r="L1300" s="247" t="str">
        <f ca="1">IF(C1300="","",IF($L$11="ROA",[1]!S_STM07_IS(D1300,61,$G$5,$H$13)/[1]!S_STM07_BS(D1300,74,$G$5,$H$13),1-[1]!S_STM07_IS(D1300,61,$G$5,$H$13)/[1]!S_STM07_IS(D1300,55,$G$5,$H$13)))</f>
        <v/>
      </c>
      <c r="M1300" s="247" t="str">
        <f ca="1">IF(C1300="","",IF($M$11="ROE",[1]!S_STM07_IS(D1300,61,$G$5,$H$13)/[1]!S_STM07_BS(D1300,141,$G$5,$H$13),([1]!S_STM07_BS(D1300,25,$G$5,$H$13)-[1]!S_STM07_BS(D1300,93,$G$5,$H$13))/$E$5))</f>
        <v/>
      </c>
      <c r="N1300" s="247" t="str">
        <f ca="1">IF(C1300="","",IF($N$11="EPS",[1]!S_STM07_IS(D1300,61,$G$5,$H$13)/IF([1]!S_SHARE_TOTAL(D1300,$G$5)=0,[1]!S_SHARE_TOTAL(D1300,[1]!s_ipo_listeddate(D1300)),[1]!S_SHARE_TOTAL(D1300,$G$5)),([1]!S_STM07_BS(D1300,75,$G$5,$H$13)+[1]!S_STM07_BS(D1300,88,$G$5,$H$13)+[1]!S_STM07_BS(D1300,94,$G$5,$H$13)+[1]!S_STM07_BS(D1300,95,$G$5,$H$13))/$E$5))</f>
        <v/>
      </c>
      <c r="O1300" s="247" t="str">
        <f ca="1">IF(C1300="","",IF($O$11="BPS",[1]!S_STM07_BS(D1300,141,$G$5,$H$13)/IF([1]!S_SHARE_TOTAL(D1300,$G$5)=0,[1]!S_SHARE_TOTAL(D1300,[1]!s_ipo_listeddate(D1300)),[1]!S_SHARE_TOTAL(D1300,$G$5)),[1]!S_STM07_CS(D1300,49,$G$5,$H$13)/$E$5))</f>
        <v/>
      </c>
      <c r="P1300" s="247" t="str">
        <f ca="1">IF(C1300="","",IF($P$11="CFPS",[1]!S_STM07_CS(D1300,84,$G$5,$H$13)/IF([1]!S_SHARE_TOTAL(D1300,$G$5)=0,[1]!S_SHARE_TOTAL(D1300,[1]!s_ipo_listeddate(D1300)),[1]!S_SHARE_TOTAL(D1300,$G$5)),[1]!S_STM07_CS(D1300,84,$G$5,$H$13)/$E$5))</f>
        <v/>
      </c>
      <c r="Q1300" s="248" t="str">
        <f ca="1">IF(C1300="","",F1300/([1]!S_STM07_IS(D1300,61,$G$5,$H$13)/IF([1]!S_SHARE_TOTAL(D1300,$G$5)=0,[1]!S_SHARE_TOTAL(D1300,[1]!s_ipo_listeddate(D1300)),[1]!S_SHARE_TOTAL(D1300,$G$5))))</f>
        <v/>
      </c>
      <c r="R1300" s="248" t="str">
        <f ca="1">IF(C1300="","",F1300/([1]!S_STM07_BS(D1300,141,$G$5,$H$13)/IF([1]!S_SHARE_TOTAL(D1300,$G$5)=0,[1]!S_SHARE_TOTAL(D1300,[1]!s_ipo_listeddate(D1300)),[1]!S_SHARE_TOTAL(D1300,$G$5))))</f>
        <v/>
      </c>
      <c r="S1300" s="247" t="str">
        <f ca="1">IF(C1300="","",[1]!S_SHARE_TOTAL(D1300,TODAY())/$E$5)</f>
        <v/>
      </c>
      <c r="T1300" s="247" t="str">
        <f t="shared" ca="1" si="127"/>
        <v/>
      </c>
      <c r="U1300" s="218" t="str">
        <f t="shared" ca="1" si="128"/>
        <v/>
      </c>
      <c r="V1300" s="342" t="str">
        <f t="shared" ca="1" si="129"/>
        <v/>
      </c>
      <c r="W1300" s="139"/>
      <c r="Y1300" s="1"/>
    </row>
    <row r="1301" spans="3:25" ht="12" customHeight="1">
      <c r="C1301" s="343" t="str">
        <f t="shared" ca="1" si="130"/>
        <v/>
      </c>
      <c r="D1301" s="124" t="str">
        <f t="shared" ca="1" si="125"/>
        <v/>
      </c>
      <c r="E1301" s="124" t="str">
        <f t="shared" ca="1" si="126"/>
        <v/>
      </c>
      <c r="F1301" s="172" t="str">
        <f ca="1">IF(C1301="","",[1]!S_DQ_CLOSE(D1301,TODAY(),1))</f>
        <v/>
      </c>
      <c r="G1301" s="173" t="str">
        <f ca="1">IF(C1301="","",[1]!s_pq_pctchange(D1301,TODAY()-$G$12,TODAY())/100)</f>
        <v/>
      </c>
      <c r="H1301" s="249" t="str">
        <f ca="1">IF(C1301="","",IF($H$11="收入",[1]!S_STM07_IS(D1301,9,$G$5,$H$13)/$E$5,[1]!S_STM07_IS(D1301,48,$G$5,$H$13)/$E$5))</f>
        <v/>
      </c>
      <c r="I1301" s="249" t="str">
        <f ca="1">IF(C1301="","",IF($I$11="毛利率",([1]!S_STM07_IS(D1301,9,$G$5,$H$13)-[1]!S_STM07_IS(D1301,10,$G$5,$H$13))/[1]!S_STM07_IS(D1301,9,$G$5,$H$13),[1]!S_STM07_IS(D1301,14,$G$5,$H$13)/$E$5))</f>
        <v/>
      </c>
      <c r="J1301" s="249" t="str">
        <f ca="1">IF(C1301="","",IF($J$11="营业利润率",[1]!S_STM07_IS(D1301,48,$G$5,$H$13)/[1]!S_STM07_IS(D1301,9,$G$5,$H$13),([1]!S_STM07_CS(D1301,87,$G$5,$H$13)+[1]!S_STM07_CS(D1301,88,$G$5,$H$13)+[1]!S_STM07_CS(D1301,89,$G$5,$H$13))/$E$5))</f>
        <v/>
      </c>
      <c r="K1301" s="249" t="str">
        <f ca="1">IF(C1301="","",IF($K$11="净利润率",[1]!S_STM07_IS(D1301,61,$G$5,$H$13)/[1]!S_STM07_IS(D1301,9,$G$5,$H$13),[1]!S_STM07_IS(D1301,55,$G$5,$H$13)/$E$5))</f>
        <v/>
      </c>
      <c r="L1301" s="249" t="str">
        <f ca="1">IF(C1301="","",IF($L$11="ROA",[1]!S_STM07_IS(D1301,61,$G$5,$H$13)/[1]!S_STM07_BS(D1301,74,$G$5,$H$13),1-[1]!S_STM07_IS(D1301,61,$G$5,$H$13)/[1]!S_STM07_IS(D1301,55,$G$5,$H$13)))</f>
        <v/>
      </c>
      <c r="M1301" s="249" t="str">
        <f ca="1">IF(C1301="","",IF($M$11="ROE",[1]!S_STM07_IS(D1301,61,$G$5,$H$13)/[1]!S_STM07_BS(D1301,141,$G$5,$H$13),([1]!S_STM07_BS(D1301,25,$G$5,$H$13)-[1]!S_STM07_BS(D1301,93,$G$5,$H$13))/$E$5))</f>
        <v/>
      </c>
      <c r="N1301" s="250" t="str">
        <f ca="1">IF(C1301="","",IF($N$11="EPS",[1]!S_STM07_IS(D1301,61,$G$5,$H$13)/IF([1]!S_SHARE_TOTAL(D1301,$G$5)=0,[1]!S_SHARE_TOTAL(D1301,[1]!s_ipo_listeddate(D1301)),[1]!S_SHARE_TOTAL(D1301,$G$5)),([1]!S_STM07_BS(D1301,75,$G$5,$H$13)+[1]!S_STM07_BS(D1301,88,$G$5,$H$13)+[1]!S_STM07_BS(D1301,94,$G$5,$H$13)+[1]!S_STM07_BS(D1301,95,$G$5,$H$13))/$E$5))</f>
        <v/>
      </c>
      <c r="O1301" s="250" t="str">
        <f ca="1">IF(C1301="","",IF($O$11="BPS",[1]!S_STM07_BS(D1301,141,$G$5,$H$13)/IF([1]!S_SHARE_TOTAL(D1301,$G$5)=0,[1]!S_SHARE_TOTAL(D1301,[1]!s_ipo_listeddate(D1301)),[1]!S_SHARE_TOTAL(D1301,$G$5)),[1]!S_STM07_CS(D1301,49,$G$5,$H$13)/$E$5))</f>
        <v/>
      </c>
      <c r="P1301" s="250" t="str">
        <f ca="1">IF(C1301="","",IF($P$11="CFPS",[1]!S_STM07_CS(D1301,84,$G$5,$H$13)/IF([1]!S_SHARE_TOTAL(D1301,$G$5)=0,[1]!S_SHARE_TOTAL(D1301,[1]!s_ipo_listeddate(D1301)),[1]!S_SHARE_TOTAL(D1301,$G$5)),[1]!S_STM07_CS(D1301,84,$G$5,$H$13)/$E$5))</f>
        <v/>
      </c>
      <c r="Q1301" s="198" t="str">
        <f ca="1">IF(C1301="","",F1301/([1]!S_STM07_IS(D1301,61,$G$5,$H$13)/IF([1]!S_SHARE_TOTAL(D1301,$G$5)=0,[1]!S_SHARE_TOTAL(D1301,[1]!s_ipo_listeddate(D1301)),[1]!S_SHARE_TOTAL(D1301,$G$5))))</f>
        <v/>
      </c>
      <c r="R1301" s="198" t="str">
        <f ca="1">IF(C1301="","",F1301/([1]!S_STM07_BS(D1301,141,$G$5,$H$13)/IF([1]!S_SHARE_TOTAL(D1301,$G$5)=0,[1]!S_SHARE_TOTAL(D1301,[1]!s_ipo_listeddate(D1301)),[1]!S_SHARE_TOTAL(D1301,$G$5))))</f>
        <v/>
      </c>
      <c r="S1301" s="249" t="str">
        <f ca="1">IF(C1301="","",[1]!S_SHARE_TOTAL(D1301,TODAY())/$E$5)</f>
        <v/>
      </c>
      <c r="T1301" s="249" t="str">
        <f t="shared" ca="1" si="127"/>
        <v/>
      </c>
      <c r="U1301" s="172" t="str">
        <f t="shared" ca="1" si="128"/>
        <v/>
      </c>
      <c r="V1301" s="343" t="str">
        <f t="shared" ca="1" si="129"/>
        <v/>
      </c>
      <c r="W1301" s="139"/>
      <c r="Y1301" s="1"/>
    </row>
    <row r="1302" spans="3:25" ht="12" customHeight="1">
      <c r="C1302" s="342" t="str">
        <f t="shared" ca="1" si="130"/>
        <v/>
      </c>
      <c r="D1302" s="153" t="str">
        <f t="shared" ca="1" si="125"/>
        <v/>
      </c>
      <c r="E1302" s="153" t="str">
        <f t="shared" ca="1" si="126"/>
        <v/>
      </c>
      <c r="F1302" s="170" t="str">
        <f ca="1">IF(C1302="","",[1]!S_DQ_CLOSE(D1302,TODAY(),1))</f>
        <v/>
      </c>
      <c r="G1302" s="171" t="str">
        <f ca="1">IF(C1302="","",[1]!s_pq_pctchange(D1302,TODAY()-$G$12,TODAY())/100)</f>
        <v/>
      </c>
      <c r="H1302" s="247" t="str">
        <f ca="1">IF(C1302="","",IF($H$11="收入",[1]!S_STM07_IS(D1302,9,$G$5,$H$13)/$E$5,[1]!S_STM07_IS(D1302,48,$G$5,$H$13)/$E$5))</f>
        <v/>
      </c>
      <c r="I1302" s="247" t="str">
        <f ca="1">IF(C1302="","",IF($I$11="毛利率",([1]!S_STM07_IS(D1302,9,$G$5,$H$13)-[1]!S_STM07_IS(D1302,10,$G$5,$H$13))/[1]!S_STM07_IS(D1302,9,$G$5,$H$13),[1]!S_STM07_IS(D1302,14,$G$5,$H$13)/$E$5))</f>
        <v/>
      </c>
      <c r="J1302" s="247" t="str">
        <f ca="1">IF(C1302="","",IF($J$11="营业利润率",[1]!S_STM07_IS(D1302,48,$G$5,$H$13)/[1]!S_STM07_IS(D1302,9,$G$5,$H$13),([1]!S_STM07_CS(D1302,87,$G$5,$H$13)+[1]!S_STM07_CS(D1302,88,$G$5,$H$13)+[1]!S_STM07_CS(D1302,89,$G$5,$H$13))/$E$5))</f>
        <v/>
      </c>
      <c r="K1302" s="247" t="str">
        <f ca="1">IF(C1302="","",IF($K$11="净利润率",[1]!S_STM07_IS(D1302,61,$G$5,$H$13)/[1]!S_STM07_IS(D1302,9,$G$5,$H$13),[1]!S_STM07_IS(D1302,55,$G$5,$H$13)/$E$5))</f>
        <v/>
      </c>
      <c r="L1302" s="247" t="str">
        <f ca="1">IF(C1302="","",IF($L$11="ROA",[1]!S_STM07_IS(D1302,61,$G$5,$H$13)/[1]!S_STM07_BS(D1302,74,$G$5,$H$13),1-[1]!S_STM07_IS(D1302,61,$G$5,$H$13)/[1]!S_STM07_IS(D1302,55,$G$5,$H$13)))</f>
        <v/>
      </c>
      <c r="M1302" s="247" t="str">
        <f ca="1">IF(C1302="","",IF($M$11="ROE",[1]!S_STM07_IS(D1302,61,$G$5,$H$13)/[1]!S_STM07_BS(D1302,141,$G$5,$H$13),([1]!S_STM07_BS(D1302,25,$G$5,$H$13)-[1]!S_STM07_BS(D1302,93,$G$5,$H$13))/$E$5))</f>
        <v/>
      </c>
      <c r="N1302" s="247" t="str">
        <f ca="1">IF(C1302="","",IF($N$11="EPS",[1]!S_STM07_IS(D1302,61,$G$5,$H$13)/IF([1]!S_SHARE_TOTAL(D1302,$G$5)=0,[1]!S_SHARE_TOTAL(D1302,[1]!s_ipo_listeddate(D1302)),[1]!S_SHARE_TOTAL(D1302,$G$5)),([1]!S_STM07_BS(D1302,75,$G$5,$H$13)+[1]!S_STM07_BS(D1302,88,$G$5,$H$13)+[1]!S_STM07_BS(D1302,94,$G$5,$H$13)+[1]!S_STM07_BS(D1302,95,$G$5,$H$13))/$E$5))</f>
        <v/>
      </c>
      <c r="O1302" s="247" t="str">
        <f ca="1">IF(C1302="","",IF($O$11="BPS",[1]!S_STM07_BS(D1302,141,$G$5,$H$13)/IF([1]!S_SHARE_TOTAL(D1302,$G$5)=0,[1]!S_SHARE_TOTAL(D1302,[1]!s_ipo_listeddate(D1302)),[1]!S_SHARE_TOTAL(D1302,$G$5)),[1]!S_STM07_CS(D1302,49,$G$5,$H$13)/$E$5))</f>
        <v/>
      </c>
      <c r="P1302" s="247" t="str">
        <f ca="1">IF(C1302="","",IF($P$11="CFPS",[1]!S_STM07_CS(D1302,84,$G$5,$H$13)/IF([1]!S_SHARE_TOTAL(D1302,$G$5)=0,[1]!S_SHARE_TOTAL(D1302,[1]!s_ipo_listeddate(D1302)),[1]!S_SHARE_TOTAL(D1302,$G$5)),[1]!S_STM07_CS(D1302,84,$G$5,$H$13)/$E$5))</f>
        <v/>
      </c>
      <c r="Q1302" s="248" t="str">
        <f ca="1">IF(C1302="","",F1302/([1]!S_STM07_IS(D1302,61,$G$5,$H$13)/IF([1]!S_SHARE_TOTAL(D1302,$G$5)=0,[1]!S_SHARE_TOTAL(D1302,[1]!s_ipo_listeddate(D1302)),[1]!S_SHARE_TOTAL(D1302,$G$5))))</f>
        <v/>
      </c>
      <c r="R1302" s="248" t="str">
        <f ca="1">IF(C1302="","",F1302/([1]!S_STM07_BS(D1302,141,$G$5,$H$13)/IF([1]!S_SHARE_TOTAL(D1302,$G$5)=0,[1]!S_SHARE_TOTAL(D1302,[1]!s_ipo_listeddate(D1302)),[1]!S_SHARE_TOTAL(D1302,$G$5))))</f>
        <v/>
      </c>
      <c r="S1302" s="247" t="str">
        <f ca="1">IF(C1302="","",[1]!S_SHARE_TOTAL(D1302,TODAY())/$E$5)</f>
        <v/>
      </c>
      <c r="T1302" s="247" t="str">
        <f t="shared" ca="1" si="127"/>
        <v/>
      </c>
      <c r="U1302" s="218" t="str">
        <f t="shared" ca="1" si="128"/>
        <v/>
      </c>
      <c r="V1302" s="342" t="str">
        <f t="shared" ca="1" si="129"/>
        <v/>
      </c>
      <c r="W1302" s="139"/>
      <c r="Y1302" s="1"/>
    </row>
    <row r="1303" spans="3:25" ht="12" customHeight="1">
      <c r="C1303" s="343" t="str">
        <f t="shared" ca="1" si="130"/>
        <v/>
      </c>
      <c r="D1303" s="124" t="str">
        <f t="shared" ca="1" si="125"/>
        <v/>
      </c>
      <c r="E1303" s="124" t="str">
        <f t="shared" ca="1" si="126"/>
        <v/>
      </c>
      <c r="F1303" s="172" t="str">
        <f ca="1">IF(C1303="","",[1]!S_DQ_CLOSE(D1303,TODAY(),1))</f>
        <v/>
      </c>
      <c r="G1303" s="173" t="str">
        <f ca="1">IF(C1303="","",[1]!s_pq_pctchange(D1303,TODAY()-$G$12,TODAY())/100)</f>
        <v/>
      </c>
      <c r="H1303" s="249" t="str">
        <f ca="1">IF(C1303="","",IF($H$11="收入",[1]!S_STM07_IS(D1303,9,$G$5,$H$13)/$E$5,[1]!S_STM07_IS(D1303,48,$G$5,$H$13)/$E$5))</f>
        <v/>
      </c>
      <c r="I1303" s="249" t="str">
        <f ca="1">IF(C1303="","",IF($I$11="毛利率",([1]!S_STM07_IS(D1303,9,$G$5,$H$13)-[1]!S_STM07_IS(D1303,10,$G$5,$H$13))/[1]!S_STM07_IS(D1303,9,$G$5,$H$13),[1]!S_STM07_IS(D1303,14,$G$5,$H$13)/$E$5))</f>
        <v/>
      </c>
      <c r="J1303" s="249" t="str">
        <f ca="1">IF(C1303="","",IF($J$11="营业利润率",[1]!S_STM07_IS(D1303,48,$G$5,$H$13)/[1]!S_STM07_IS(D1303,9,$G$5,$H$13),([1]!S_STM07_CS(D1303,87,$G$5,$H$13)+[1]!S_STM07_CS(D1303,88,$G$5,$H$13)+[1]!S_STM07_CS(D1303,89,$G$5,$H$13))/$E$5))</f>
        <v/>
      </c>
      <c r="K1303" s="249" t="str">
        <f ca="1">IF(C1303="","",IF($K$11="净利润率",[1]!S_STM07_IS(D1303,61,$G$5,$H$13)/[1]!S_STM07_IS(D1303,9,$G$5,$H$13),[1]!S_STM07_IS(D1303,55,$G$5,$H$13)/$E$5))</f>
        <v/>
      </c>
      <c r="L1303" s="249" t="str">
        <f ca="1">IF(C1303="","",IF($L$11="ROA",[1]!S_STM07_IS(D1303,61,$G$5,$H$13)/[1]!S_STM07_BS(D1303,74,$G$5,$H$13),1-[1]!S_STM07_IS(D1303,61,$G$5,$H$13)/[1]!S_STM07_IS(D1303,55,$G$5,$H$13)))</f>
        <v/>
      </c>
      <c r="M1303" s="249" t="str">
        <f ca="1">IF(C1303="","",IF($M$11="ROE",[1]!S_STM07_IS(D1303,61,$G$5,$H$13)/[1]!S_STM07_BS(D1303,141,$G$5,$H$13),([1]!S_STM07_BS(D1303,25,$G$5,$H$13)-[1]!S_STM07_BS(D1303,93,$G$5,$H$13))/$E$5))</f>
        <v/>
      </c>
      <c r="N1303" s="250" t="str">
        <f ca="1">IF(C1303="","",IF($N$11="EPS",[1]!S_STM07_IS(D1303,61,$G$5,$H$13)/IF([1]!S_SHARE_TOTAL(D1303,$G$5)=0,[1]!S_SHARE_TOTAL(D1303,[1]!s_ipo_listeddate(D1303)),[1]!S_SHARE_TOTAL(D1303,$G$5)),([1]!S_STM07_BS(D1303,75,$G$5,$H$13)+[1]!S_STM07_BS(D1303,88,$G$5,$H$13)+[1]!S_STM07_BS(D1303,94,$G$5,$H$13)+[1]!S_STM07_BS(D1303,95,$G$5,$H$13))/$E$5))</f>
        <v/>
      </c>
      <c r="O1303" s="250" t="str">
        <f ca="1">IF(C1303="","",IF($O$11="BPS",[1]!S_STM07_BS(D1303,141,$G$5,$H$13)/IF([1]!S_SHARE_TOTAL(D1303,$G$5)=0,[1]!S_SHARE_TOTAL(D1303,[1]!s_ipo_listeddate(D1303)),[1]!S_SHARE_TOTAL(D1303,$G$5)),[1]!S_STM07_CS(D1303,49,$G$5,$H$13)/$E$5))</f>
        <v/>
      </c>
      <c r="P1303" s="250" t="str">
        <f ca="1">IF(C1303="","",IF($P$11="CFPS",[1]!S_STM07_CS(D1303,84,$G$5,$H$13)/IF([1]!S_SHARE_TOTAL(D1303,$G$5)=0,[1]!S_SHARE_TOTAL(D1303,[1]!s_ipo_listeddate(D1303)),[1]!S_SHARE_TOTAL(D1303,$G$5)),[1]!S_STM07_CS(D1303,84,$G$5,$H$13)/$E$5))</f>
        <v/>
      </c>
      <c r="Q1303" s="198" t="str">
        <f ca="1">IF(C1303="","",F1303/([1]!S_STM07_IS(D1303,61,$G$5,$H$13)/IF([1]!S_SHARE_TOTAL(D1303,$G$5)=0,[1]!S_SHARE_TOTAL(D1303,[1]!s_ipo_listeddate(D1303)),[1]!S_SHARE_TOTAL(D1303,$G$5))))</f>
        <v/>
      </c>
      <c r="R1303" s="198" t="str">
        <f ca="1">IF(C1303="","",F1303/([1]!S_STM07_BS(D1303,141,$G$5,$H$13)/IF([1]!S_SHARE_TOTAL(D1303,$G$5)=0,[1]!S_SHARE_TOTAL(D1303,[1]!s_ipo_listeddate(D1303)),[1]!S_SHARE_TOTAL(D1303,$G$5))))</f>
        <v/>
      </c>
      <c r="S1303" s="249" t="str">
        <f ca="1">IF(C1303="","",[1]!S_SHARE_TOTAL(D1303,TODAY())/$E$5)</f>
        <v/>
      </c>
      <c r="T1303" s="249" t="str">
        <f t="shared" ca="1" si="127"/>
        <v/>
      </c>
      <c r="U1303" s="172" t="str">
        <f t="shared" ca="1" si="128"/>
        <v/>
      </c>
      <c r="V1303" s="343" t="str">
        <f t="shared" ca="1" si="129"/>
        <v/>
      </c>
      <c r="W1303" s="139"/>
      <c r="Y1303" s="1"/>
    </row>
    <row r="1304" spans="3:25" ht="12" customHeight="1">
      <c r="C1304" s="342" t="str">
        <f t="shared" ca="1" si="130"/>
        <v/>
      </c>
      <c r="D1304" s="153" t="str">
        <f t="shared" ca="1" si="125"/>
        <v/>
      </c>
      <c r="E1304" s="153" t="str">
        <f t="shared" ca="1" si="126"/>
        <v/>
      </c>
      <c r="F1304" s="170" t="str">
        <f ca="1">IF(C1304="","",[1]!S_DQ_CLOSE(D1304,TODAY(),1))</f>
        <v/>
      </c>
      <c r="G1304" s="171" t="str">
        <f ca="1">IF(C1304="","",[1]!s_pq_pctchange(D1304,TODAY()-$G$12,TODAY())/100)</f>
        <v/>
      </c>
      <c r="H1304" s="247" t="str">
        <f ca="1">IF(C1304="","",IF($H$11="收入",[1]!S_STM07_IS(D1304,9,$G$5,$H$13)/$E$5,[1]!S_STM07_IS(D1304,48,$G$5,$H$13)/$E$5))</f>
        <v/>
      </c>
      <c r="I1304" s="247" t="str">
        <f ca="1">IF(C1304="","",IF($I$11="毛利率",([1]!S_STM07_IS(D1304,9,$G$5,$H$13)-[1]!S_STM07_IS(D1304,10,$G$5,$H$13))/[1]!S_STM07_IS(D1304,9,$G$5,$H$13),[1]!S_STM07_IS(D1304,14,$G$5,$H$13)/$E$5))</f>
        <v/>
      </c>
      <c r="J1304" s="247" t="str">
        <f ca="1">IF(C1304="","",IF($J$11="营业利润率",[1]!S_STM07_IS(D1304,48,$G$5,$H$13)/[1]!S_STM07_IS(D1304,9,$G$5,$H$13),([1]!S_STM07_CS(D1304,87,$G$5,$H$13)+[1]!S_STM07_CS(D1304,88,$G$5,$H$13)+[1]!S_STM07_CS(D1304,89,$G$5,$H$13))/$E$5))</f>
        <v/>
      </c>
      <c r="K1304" s="247" t="str">
        <f ca="1">IF(C1304="","",IF($K$11="净利润率",[1]!S_STM07_IS(D1304,61,$G$5,$H$13)/[1]!S_STM07_IS(D1304,9,$G$5,$H$13),[1]!S_STM07_IS(D1304,55,$G$5,$H$13)/$E$5))</f>
        <v/>
      </c>
      <c r="L1304" s="247" t="str">
        <f ca="1">IF(C1304="","",IF($L$11="ROA",[1]!S_STM07_IS(D1304,61,$G$5,$H$13)/[1]!S_STM07_BS(D1304,74,$G$5,$H$13),1-[1]!S_STM07_IS(D1304,61,$G$5,$H$13)/[1]!S_STM07_IS(D1304,55,$G$5,$H$13)))</f>
        <v/>
      </c>
      <c r="M1304" s="247" t="str">
        <f ca="1">IF(C1304="","",IF($M$11="ROE",[1]!S_STM07_IS(D1304,61,$G$5,$H$13)/[1]!S_STM07_BS(D1304,141,$G$5,$H$13),([1]!S_STM07_BS(D1304,25,$G$5,$H$13)-[1]!S_STM07_BS(D1304,93,$G$5,$H$13))/$E$5))</f>
        <v/>
      </c>
      <c r="N1304" s="247" t="str">
        <f ca="1">IF(C1304="","",IF($N$11="EPS",[1]!S_STM07_IS(D1304,61,$G$5,$H$13)/IF([1]!S_SHARE_TOTAL(D1304,$G$5)=0,[1]!S_SHARE_TOTAL(D1304,[1]!s_ipo_listeddate(D1304)),[1]!S_SHARE_TOTAL(D1304,$G$5)),([1]!S_STM07_BS(D1304,75,$G$5,$H$13)+[1]!S_STM07_BS(D1304,88,$G$5,$H$13)+[1]!S_STM07_BS(D1304,94,$G$5,$H$13)+[1]!S_STM07_BS(D1304,95,$G$5,$H$13))/$E$5))</f>
        <v/>
      </c>
      <c r="O1304" s="247" t="str">
        <f ca="1">IF(C1304="","",IF($O$11="BPS",[1]!S_STM07_BS(D1304,141,$G$5,$H$13)/IF([1]!S_SHARE_TOTAL(D1304,$G$5)=0,[1]!S_SHARE_TOTAL(D1304,[1]!s_ipo_listeddate(D1304)),[1]!S_SHARE_TOTAL(D1304,$G$5)),[1]!S_STM07_CS(D1304,49,$G$5,$H$13)/$E$5))</f>
        <v/>
      </c>
      <c r="P1304" s="247" t="str">
        <f ca="1">IF(C1304="","",IF($P$11="CFPS",[1]!S_STM07_CS(D1304,84,$G$5,$H$13)/IF([1]!S_SHARE_TOTAL(D1304,$G$5)=0,[1]!S_SHARE_TOTAL(D1304,[1]!s_ipo_listeddate(D1304)),[1]!S_SHARE_TOTAL(D1304,$G$5)),[1]!S_STM07_CS(D1304,84,$G$5,$H$13)/$E$5))</f>
        <v/>
      </c>
      <c r="Q1304" s="248" t="str">
        <f ca="1">IF(C1304="","",F1304/([1]!S_STM07_IS(D1304,61,$G$5,$H$13)/IF([1]!S_SHARE_TOTAL(D1304,$G$5)=0,[1]!S_SHARE_TOTAL(D1304,[1]!s_ipo_listeddate(D1304)),[1]!S_SHARE_TOTAL(D1304,$G$5))))</f>
        <v/>
      </c>
      <c r="R1304" s="248" t="str">
        <f ca="1">IF(C1304="","",F1304/([1]!S_STM07_BS(D1304,141,$G$5,$H$13)/IF([1]!S_SHARE_TOTAL(D1304,$G$5)=0,[1]!S_SHARE_TOTAL(D1304,[1]!s_ipo_listeddate(D1304)),[1]!S_SHARE_TOTAL(D1304,$G$5))))</f>
        <v/>
      </c>
      <c r="S1304" s="247" t="str">
        <f ca="1">IF(C1304="","",[1]!S_SHARE_TOTAL(D1304,TODAY())/$E$5)</f>
        <v/>
      </c>
      <c r="T1304" s="247" t="str">
        <f t="shared" ca="1" si="127"/>
        <v/>
      </c>
      <c r="U1304" s="218" t="str">
        <f t="shared" ca="1" si="128"/>
        <v/>
      </c>
      <c r="V1304" s="342" t="str">
        <f t="shared" ca="1" si="129"/>
        <v/>
      </c>
      <c r="W1304" s="139"/>
      <c r="Y1304" s="1"/>
    </row>
    <row r="1305" spans="3:25" ht="12" customHeight="1">
      <c r="C1305" s="343" t="str">
        <f t="shared" ca="1" si="130"/>
        <v/>
      </c>
      <c r="D1305" s="124" t="str">
        <f t="shared" ref="D1305:D1368" ca="1" si="131">IF(C1305="","",VLOOKUP(C1305,comppool,2,FALSE))</f>
        <v/>
      </c>
      <c r="E1305" s="124" t="str">
        <f t="shared" ref="E1305:E1368" ca="1" si="132">IF(C1305="","",VLOOKUP(C1305,comppool,3,FALSE))</f>
        <v/>
      </c>
      <c r="F1305" s="172" t="str">
        <f ca="1">IF(C1305="","",[1]!S_DQ_CLOSE(D1305,TODAY(),1))</f>
        <v/>
      </c>
      <c r="G1305" s="173" t="str">
        <f ca="1">IF(C1305="","",[1]!s_pq_pctchange(D1305,TODAY()-$G$12,TODAY())/100)</f>
        <v/>
      </c>
      <c r="H1305" s="249" t="str">
        <f ca="1">IF(C1305="","",IF($H$11="收入",[1]!S_STM07_IS(D1305,9,$G$5,$H$13)/$E$5,[1]!S_STM07_IS(D1305,48,$G$5,$H$13)/$E$5))</f>
        <v/>
      </c>
      <c r="I1305" s="249" t="str">
        <f ca="1">IF(C1305="","",IF($I$11="毛利率",([1]!S_STM07_IS(D1305,9,$G$5,$H$13)-[1]!S_STM07_IS(D1305,10,$G$5,$H$13))/[1]!S_STM07_IS(D1305,9,$G$5,$H$13),[1]!S_STM07_IS(D1305,14,$G$5,$H$13)/$E$5))</f>
        <v/>
      </c>
      <c r="J1305" s="249" t="str">
        <f ca="1">IF(C1305="","",IF($J$11="营业利润率",[1]!S_STM07_IS(D1305,48,$G$5,$H$13)/[1]!S_STM07_IS(D1305,9,$G$5,$H$13),([1]!S_STM07_CS(D1305,87,$G$5,$H$13)+[1]!S_STM07_CS(D1305,88,$G$5,$H$13)+[1]!S_STM07_CS(D1305,89,$G$5,$H$13))/$E$5))</f>
        <v/>
      </c>
      <c r="K1305" s="249" t="str">
        <f ca="1">IF(C1305="","",IF($K$11="净利润率",[1]!S_STM07_IS(D1305,61,$G$5,$H$13)/[1]!S_STM07_IS(D1305,9,$G$5,$H$13),[1]!S_STM07_IS(D1305,55,$G$5,$H$13)/$E$5))</f>
        <v/>
      </c>
      <c r="L1305" s="249" t="str">
        <f ca="1">IF(C1305="","",IF($L$11="ROA",[1]!S_STM07_IS(D1305,61,$G$5,$H$13)/[1]!S_STM07_BS(D1305,74,$G$5,$H$13),1-[1]!S_STM07_IS(D1305,61,$G$5,$H$13)/[1]!S_STM07_IS(D1305,55,$G$5,$H$13)))</f>
        <v/>
      </c>
      <c r="M1305" s="249" t="str">
        <f ca="1">IF(C1305="","",IF($M$11="ROE",[1]!S_STM07_IS(D1305,61,$G$5,$H$13)/[1]!S_STM07_BS(D1305,141,$G$5,$H$13),([1]!S_STM07_BS(D1305,25,$G$5,$H$13)-[1]!S_STM07_BS(D1305,93,$G$5,$H$13))/$E$5))</f>
        <v/>
      </c>
      <c r="N1305" s="250" t="str">
        <f ca="1">IF(C1305="","",IF($N$11="EPS",[1]!S_STM07_IS(D1305,61,$G$5,$H$13)/IF([1]!S_SHARE_TOTAL(D1305,$G$5)=0,[1]!S_SHARE_TOTAL(D1305,[1]!s_ipo_listeddate(D1305)),[1]!S_SHARE_TOTAL(D1305,$G$5)),([1]!S_STM07_BS(D1305,75,$G$5,$H$13)+[1]!S_STM07_BS(D1305,88,$G$5,$H$13)+[1]!S_STM07_BS(D1305,94,$G$5,$H$13)+[1]!S_STM07_BS(D1305,95,$G$5,$H$13))/$E$5))</f>
        <v/>
      </c>
      <c r="O1305" s="250" t="str">
        <f ca="1">IF(C1305="","",IF($O$11="BPS",[1]!S_STM07_BS(D1305,141,$G$5,$H$13)/IF([1]!S_SHARE_TOTAL(D1305,$G$5)=0,[1]!S_SHARE_TOTAL(D1305,[1]!s_ipo_listeddate(D1305)),[1]!S_SHARE_TOTAL(D1305,$G$5)),[1]!S_STM07_CS(D1305,49,$G$5,$H$13)/$E$5))</f>
        <v/>
      </c>
      <c r="P1305" s="250" t="str">
        <f ca="1">IF(C1305="","",IF($P$11="CFPS",[1]!S_STM07_CS(D1305,84,$G$5,$H$13)/IF([1]!S_SHARE_TOTAL(D1305,$G$5)=0,[1]!S_SHARE_TOTAL(D1305,[1]!s_ipo_listeddate(D1305)),[1]!S_SHARE_TOTAL(D1305,$G$5)),[1]!S_STM07_CS(D1305,84,$G$5,$H$13)/$E$5))</f>
        <v/>
      </c>
      <c r="Q1305" s="198" t="str">
        <f ca="1">IF(C1305="","",F1305/([1]!S_STM07_IS(D1305,61,$G$5,$H$13)/IF([1]!S_SHARE_TOTAL(D1305,$G$5)=0,[1]!S_SHARE_TOTAL(D1305,[1]!s_ipo_listeddate(D1305)),[1]!S_SHARE_TOTAL(D1305,$G$5))))</f>
        <v/>
      </c>
      <c r="R1305" s="198" t="str">
        <f ca="1">IF(C1305="","",F1305/([1]!S_STM07_BS(D1305,141,$G$5,$H$13)/IF([1]!S_SHARE_TOTAL(D1305,$G$5)=0,[1]!S_SHARE_TOTAL(D1305,[1]!s_ipo_listeddate(D1305)),[1]!S_SHARE_TOTAL(D1305,$G$5))))</f>
        <v/>
      </c>
      <c r="S1305" s="249" t="str">
        <f ca="1">IF(C1305="","",[1]!S_SHARE_TOTAL(D1305,TODAY())/$E$5)</f>
        <v/>
      </c>
      <c r="T1305" s="249" t="str">
        <f t="shared" ref="T1305:T1368" ca="1" si="133">IF(C1305="","",F1305*S1305)</f>
        <v/>
      </c>
      <c r="U1305" s="172" t="str">
        <f t="shared" ref="U1305:U1368" ca="1" si="134">IF(C1305="","",HLOOKUP($V$12,$G$11:$T$20003,ROW()-ROW($G$11)+1,FALSE))</f>
        <v/>
      </c>
      <c r="V1305" s="343" t="str">
        <f t="shared" ref="V1305:V1368" ca="1" si="135">IF(C1305="","",RANK(U1305,U:U,0))</f>
        <v/>
      </c>
      <c r="W1305" s="139"/>
      <c r="Y1305" s="1"/>
    </row>
    <row r="1306" spans="3:25" ht="12" customHeight="1">
      <c r="C1306" s="342" t="str">
        <f t="shared" ca="1" si="130"/>
        <v/>
      </c>
      <c r="D1306" s="153" t="str">
        <f t="shared" ca="1" si="131"/>
        <v/>
      </c>
      <c r="E1306" s="153" t="str">
        <f t="shared" ca="1" si="132"/>
        <v/>
      </c>
      <c r="F1306" s="170" t="str">
        <f ca="1">IF(C1306="","",[1]!S_DQ_CLOSE(D1306,TODAY(),1))</f>
        <v/>
      </c>
      <c r="G1306" s="171" t="str">
        <f ca="1">IF(C1306="","",[1]!s_pq_pctchange(D1306,TODAY()-$G$12,TODAY())/100)</f>
        <v/>
      </c>
      <c r="H1306" s="247" t="str">
        <f ca="1">IF(C1306="","",IF($H$11="收入",[1]!S_STM07_IS(D1306,9,$G$5,$H$13)/$E$5,[1]!S_STM07_IS(D1306,48,$G$5,$H$13)/$E$5))</f>
        <v/>
      </c>
      <c r="I1306" s="247" t="str">
        <f ca="1">IF(C1306="","",IF($I$11="毛利率",([1]!S_STM07_IS(D1306,9,$G$5,$H$13)-[1]!S_STM07_IS(D1306,10,$G$5,$H$13))/[1]!S_STM07_IS(D1306,9,$G$5,$H$13),[1]!S_STM07_IS(D1306,14,$G$5,$H$13)/$E$5))</f>
        <v/>
      </c>
      <c r="J1306" s="247" t="str">
        <f ca="1">IF(C1306="","",IF($J$11="营业利润率",[1]!S_STM07_IS(D1306,48,$G$5,$H$13)/[1]!S_STM07_IS(D1306,9,$G$5,$H$13),([1]!S_STM07_CS(D1306,87,$G$5,$H$13)+[1]!S_STM07_CS(D1306,88,$G$5,$H$13)+[1]!S_STM07_CS(D1306,89,$G$5,$H$13))/$E$5))</f>
        <v/>
      </c>
      <c r="K1306" s="247" t="str">
        <f ca="1">IF(C1306="","",IF($K$11="净利润率",[1]!S_STM07_IS(D1306,61,$G$5,$H$13)/[1]!S_STM07_IS(D1306,9,$G$5,$H$13),[1]!S_STM07_IS(D1306,55,$G$5,$H$13)/$E$5))</f>
        <v/>
      </c>
      <c r="L1306" s="247" t="str">
        <f ca="1">IF(C1306="","",IF($L$11="ROA",[1]!S_STM07_IS(D1306,61,$G$5,$H$13)/[1]!S_STM07_BS(D1306,74,$G$5,$H$13),1-[1]!S_STM07_IS(D1306,61,$G$5,$H$13)/[1]!S_STM07_IS(D1306,55,$G$5,$H$13)))</f>
        <v/>
      </c>
      <c r="M1306" s="247" t="str">
        <f ca="1">IF(C1306="","",IF($M$11="ROE",[1]!S_STM07_IS(D1306,61,$G$5,$H$13)/[1]!S_STM07_BS(D1306,141,$G$5,$H$13),([1]!S_STM07_BS(D1306,25,$G$5,$H$13)-[1]!S_STM07_BS(D1306,93,$G$5,$H$13))/$E$5))</f>
        <v/>
      </c>
      <c r="N1306" s="247" t="str">
        <f ca="1">IF(C1306="","",IF($N$11="EPS",[1]!S_STM07_IS(D1306,61,$G$5,$H$13)/IF([1]!S_SHARE_TOTAL(D1306,$G$5)=0,[1]!S_SHARE_TOTAL(D1306,[1]!s_ipo_listeddate(D1306)),[1]!S_SHARE_TOTAL(D1306,$G$5)),([1]!S_STM07_BS(D1306,75,$G$5,$H$13)+[1]!S_STM07_BS(D1306,88,$G$5,$H$13)+[1]!S_STM07_BS(D1306,94,$G$5,$H$13)+[1]!S_STM07_BS(D1306,95,$G$5,$H$13))/$E$5))</f>
        <v/>
      </c>
      <c r="O1306" s="247" t="str">
        <f ca="1">IF(C1306="","",IF($O$11="BPS",[1]!S_STM07_BS(D1306,141,$G$5,$H$13)/IF([1]!S_SHARE_TOTAL(D1306,$G$5)=0,[1]!S_SHARE_TOTAL(D1306,[1]!s_ipo_listeddate(D1306)),[1]!S_SHARE_TOTAL(D1306,$G$5)),[1]!S_STM07_CS(D1306,49,$G$5,$H$13)/$E$5))</f>
        <v/>
      </c>
      <c r="P1306" s="247" t="str">
        <f ca="1">IF(C1306="","",IF($P$11="CFPS",[1]!S_STM07_CS(D1306,84,$G$5,$H$13)/IF([1]!S_SHARE_TOTAL(D1306,$G$5)=0,[1]!S_SHARE_TOTAL(D1306,[1]!s_ipo_listeddate(D1306)),[1]!S_SHARE_TOTAL(D1306,$G$5)),[1]!S_STM07_CS(D1306,84,$G$5,$H$13)/$E$5))</f>
        <v/>
      </c>
      <c r="Q1306" s="248" t="str">
        <f ca="1">IF(C1306="","",F1306/([1]!S_STM07_IS(D1306,61,$G$5,$H$13)/IF([1]!S_SHARE_TOTAL(D1306,$G$5)=0,[1]!S_SHARE_TOTAL(D1306,[1]!s_ipo_listeddate(D1306)),[1]!S_SHARE_TOTAL(D1306,$G$5))))</f>
        <v/>
      </c>
      <c r="R1306" s="248" t="str">
        <f ca="1">IF(C1306="","",F1306/([1]!S_STM07_BS(D1306,141,$G$5,$H$13)/IF([1]!S_SHARE_TOTAL(D1306,$G$5)=0,[1]!S_SHARE_TOTAL(D1306,[1]!s_ipo_listeddate(D1306)),[1]!S_SHARE_TOTAL(D1306,$G$5))))</f>
        <v/>
      </c>
      <c r="S1306" s="247" t="str">
        <f ca="1">IF(C1306="","",[1]!S_SHARE_TOTAL(D1306,TODAY())/$E$5)</f>
        <v/>
      </c>
      <c r="T1306" s="247" t="str">
        <f t="shared" ca="1" si="133"/>
        <v/>
      </c>
      <c r="U1306" s="218" t="str">
        <f t="shared" ca="1" si="134"/>
        <v/>
      </c>
      <c r="V1306" s="342" t="str">
        <f t="shared" ca="1" si="135"/>
        <v/>
      </c>
      <c r="W1306" s="139"/>
      <c r="Y1306" s="1"/>
    </row>
    <row r="1307" spans="3:25" ht="12" customHeight="1">
      <c r="C1307" s="343" t="str">
        <f t="shared" ca="1" si="130"/>
        <v/>
      </c>
      <c r="D1307" s="124" t="str">
        <f t="shared" ca="1" si="131"/>
        <v/>
      </c>
      <c r="E1307" s="124" t="str">
        <f t="shared" ca="1" si="132"/>
        <v/>
      </c>
      <c r="F1307" s="172" t="str">
        <f ca="1">IF(C1307="","",[1]!S_DQ_CLOSE(D1307,TODAY(),1))</f>
        <v/>
      </c>
      <c r="G1307" s="173" t="str">
        <f ca="1">IF(C1307="","",[1]!s_pq_pctchange(D1307,TODAY()-$G$12,TODAY())/100)</f>
        <v/>
      </c>
      <c r="H1307" s="249" t="str">
        <f ca="1">IF(C1307="","",IF($H$11="收入",[1]!S_STM07_IS(D1307,9,$G$5,$H$13)/$E$5,[1]!S_STM07_IS(D1307,48,$G$5,$H$13)/$E$5))</f>
        <v/>
      </c>
      <c r="I1307" s="249" t="str">
        <f ca="1">IF(C1307="","",IF($I$11="毛利率",([1]!S_STM07_IS(D1307,9,$G$5,$H$13)-[1]!S_STM07_IS(D1307,10,$G$5,$H$13))/[1]!S_STM07_IS(D1307,9,$G$5,$H$13),[1]!S_STM07_IS(D1307,14,$G$5,$H$13)/$E$5))</f>
        <v/>
      </c>
      <c r="J1307" s="249" t="str">
        <f ca="1">IF(C1307="","",IF($J$11="营业利润率",[1]!S_STM07_IS(D1307,48,$G$5,$H$13)/[1]!S_STM07_IS(D1307,9,$G$5,$H$13),([1]!S_STM07_CS(D1307,87,$G$5,$H$13)+[1]!S_STM07_CS(D1307,88,$G$5,$H$13)+[1]!S_STM07_CS(D1307,89,$G$5,$H$13))/$E$5))</f>
        <v/>
      </c>
      <c r="K1307" s="249" t="str">
        <f ca="1">IF(C1307="","",IF($K$11="净利润率",[1]!S_STM07_IS(D1307,61,$G$5,$H$13)/[1]!S_STM07_IS(D1307,9,$G$5,$H$13),[1]!S_STM07_IS(D1307,55,$G$5,$H$13)/$E$5))</f>
        <v/>
      </c>
      <c r="L1307" s="249" t="str">
        <f ca="1">IF(C1307="","",IF($L$11="ROA",[1]!S_STM07_IS(D1307,61,$G$5,$H$13)/[1]!S_STM07_BS(D1307,74,$G$5,$H$13),1-[1]!S_STM07_IS(D1307,61,$G$5,$H$13)/[1]!S_STM07_IS(D1307,55,$G$5,$H$13)))</f>
        <v/>
      </c>
      <c r="M1307" s="249" t="str">
        <f ca="1">IF(C1307="","",IF($M$11="ROE",[1]!S_STM07_IS(D1307,61,$G$5,$H$13)/[1]!S_STM07_BS(D1307,141,$G$5,$H$13),([1]!S_STM07_BS(D1307,25,$G$5,$H$13)-[1]!S_STM07_BS(D1307,93,$G$5,$H$13))/$E$5))</f>
        <v/>
      </c>
      <c r="N1307" s="250" t="str">
        <f ca="1">IF(C1307="","",IF($N$11="EPS",[1]!S_STM07_IS(D1307,61,$G$5,$H$13)/IF([1]!S_SHARE_TOTAL(D1307,$G$5)=0,[1]!S_SHARE_TOTAL(D1307,[1]!s_ipo_listeddate(D1307)),[1]!S_SHARE_TOTAL(D1307,$G$5)),([1]!S_STM07_BS(D1307,75,$G$5,$H$13)+[1]!S_STM07_BS(D1307,88,$G$5,$H$13)+[1]!S_STM07_BS(D1307,94,$G$5,$H$13)+[1]!S_STM07_BS(D1307,95,$G$5,$H$13))/$E$5))</f>
        <v/>
      </c>
      <c r="O1307" s="250" t="str">
        <f ca="1">IF(C1307="","",IF($O$11="BPS",[1]!S_STM07_BS(D1307,141,$G$5,$H$13)/IF([1]!S_SHARE_TOTAL(D1307,$G$5)=0,[1]!S_SHARE_TOTAL(D1307,[1]!s_ipo_listeddate(D1307)),[1]!S_SHARE_TOTAL(D1307,$G$5)),[1]!S_STM07_CS(D1307,49,$G$5,$H$13)/$E$5))</f>
        <v/>
      </c>
      <c r="P1307" s="250" t="str">
        <f ca="1">IF(C1307="","",IF($P$11="CFPS",[1]!S_STM07_CS(D1307,84,$G$5,$H$13)/IF([1]!S_SHARE_TOTAL(D1307,$G$5)=0,[1]!S_SHARE_TOTAL(D1307,[1]!s_ipo_listeddate(D1307)),[1]!S_SHARE_TOTAL(D1307,$G$5)),[1]!S_STM07_CS(D1307,84,$G$5,$H$13)/$E$5))</f>
        <v/>
      </c>
      <c r="Q1307" s="198" t="str">
        <f ca="1">IF(C1307="","",F1307/([1]!S_STM07_IS(D1307,61,$G$5,$H$13)/IF([1]!S_SHARE_TOTAL(D1307,$G$5)=0,[1]!S_SHARE_TOTAL(D1307,[1]!s_ipo_listeddate(D1307)),[1]!S_SHARE_TOTAL(D1307,$G$5))))</f>
        <v/>
      </c>
      <c r="R1307" s="198" t="str">
        <f ca="1">IF(C1307="","",F1307/([1]!S_STM07_BS(D1307,141,$G$5,$H$13)/IF([1]!S_SHARE_TOTAL(D1307,$G$5)=0,[1]!S_SHARE_TOTAL(D1307,[1]!s_ipo_listeddate(D1307)),[1]!S_SHARE_TOTAL(D1307,$G$5))))</f>
        <v/>
      </c>
      <c r="S1307" s="249" t="str">
        <f ca="1">IF(C1307="","",[1]!S_SHARE_TOTAL(D1307,TODAY())/$E$5)</f>
        <v/>
      </c>
      <c r="T1307" s="249" t="str">
        <f t="shared" ca="1" si="133"/>
        <v/>
      </c>
      <c r="U1307" s="172" t="str">
        <f t="shared" ca="1" si="134"/>
        <v/>
      </c>
      <c r="V1307" s="343" t="str">
        <f t="shared" ca="1" si="135"/>
        <v/>
      </c>
      <c r="W1307" s="139"/>
      <c r="Y1307" s="1"/>
    </row>
    <row r="1308" spans="3:25" ht="12" customHeight="1">
      <c r="C1308" s="342" t="str">
        <f t="shared" ca="1" si="130"/>
        <v/>
      </c>
      <c r="D1308" s="153" t="str">
        <f t="shared" ca="1" si="131"/>
        <v/>
      </c>
      <c r="E1308" s="153" t="str">
        <f t="shared" ca="1" si="132"/>
        <v/>
      </c>
      <c r="F1308" s="170" t="str">
        <f ca="1">IF(C1308="","",[1]!S_DQ_CLOSE(D1308,TODAY(),1))</f>
        <v/>
      </c>
      <c r="G1308" s="171" t="str">
        <f ca="1">IF(C1308="","",[1]!s_pq_pctchange(D1308,TODAY()-$G$12,TODAY())/100)</f>
        <v/>
      </c>
      <c r="H1308" s="247" t="str">
        <f ca="1">IF(C1308="","",IF($H$11="收入",[1]!S_STM07_IS(D1308,9,$G$5,$H$13)/$E$5,[1]!S_STM07_IS(D1308,48,$G$5,$H$13)/$E$5))</f>
        <v/>
      </c>
      <c r="I1308" s="247" t="str">
        <f ca="1">IF(C1308="","",IF($I$11="毛利率",([1]!S_STM07_IS(D1308,9,$G$5,$H$13)-[1]!S_STM07_IS(D1308,10,$G$5,$H$13))/[1]!S_STM07_IS(D1308,9,$G$5,$H$13),[1]!S_STM07_IS(D1308,14,$G$5,$H$13)/$E$5))</f>
        <v/>
      </c>
      <c r="J1308" s="247" t="str">
        <f ca="1">IF(C1308="","",IF($J$11="营业利润率",[1]!S_STM07_IS(D1308,48,$G$5,$H$13)/[1]!S_STM07_IS(D1308,9,$G$5,$H$13),([1]!S_STM07_CS(D1308,87,$G$5,$H$13)+[1]!S_STM07_CS(D1308,88,$G$5,$H$13)+[1]!S_STM07_CS(D1308,89,$G$5,$H$13))/$E$5))</f>
        <v/>
      </c>
      <c r="K1308" s="247" t="str">
        <f ca="1">IF(C1308="","",IF($K$11="净利润率",[1]!S_STM07_IS(D1308,61,$G$5,$H$13)/[1]!S_STM07_IS(D1308,9,$G$5,$H$13),[1]!S_STM07_IS(D1308,55,$G$5,$H$13)/$E$5))</f>
        <v/>
      </c>
      <c r="L1308" s="247" t="str">
        <f ca="1">IF(C1308="","",IF($L$11="ROA",[1]!S_STM07_IS(D1308,61,$G$5,$H$13)/[1]!S_STM07_BS(D1308,74,$G$5,$H$13),1-[1]!S_STM07_IS(D1308,61,$G$5,$H$13)/[1]!S_STM07_IS(D1308,55,$G$5,$H$13)))</f>
        <v/>
      </c>
      <c r="M1308" s="247" t="str">
        <f ca="1">IF(C1308="","",IF($M$11="ROE",[1]!S_STM07_IS(D1308,61,$G$5,$H$13)/[1]!S_STM07_BS(D1308,141,$G$5,$H$13),([1]!S_STM07_BS(D1308,25,$G$5,$H$13)-[1]!S_STM07_BS(D1308,93,$G$5,$H$13))/$E$5))</f>
        <v/>
      </c>
      <c r="N1308" s="247" t="str">
        <f ca="1">IF(C1308="","",IF($N$11="EPS",[1]!S_STM07_IS(D1308,61,$G$5,$H$13)/IF([1]!S_SHARE_TOTAL(D1308,$G$5)=0,[1]!S_SHARE_TOTAL(D1308,[1]!s_ipo_listeddate(D1308)),[1]!S_SHARE_TOTAL(D1308,$G$5)),([1]!S_STM07_BS(D1308,75,$G$5,$H$13)+[1]!S_STM07_BS(D1308,88,$G$5,$H$13)+[1]!S_STM07_BS(D1308,94,$G$5,$H$13)+[1]!S_STM07_BS(D1308,95,$G$5,$H$13))/$E$5))</f>
        <v/>
      </c>
      <c r="O1308" s="247" t="str">
        <f ca="1">IF(C1308="","",IF($O$11="BPS",[1]!S_STM07_BS(D1308,141,$G$5,$H$13)/IF([1]!S_SHARE_TOTAL(D1308,$G$5)=0,[1]!S_SHARE_TOTAL(D1308,[1]!s_ipo_listeddate(D1308)),[1]!S_SHARE_TOTAL(D1308,$G$5)),[1]!S_STM07_CS(D1308,49,$G$5,$H$13)/$E$5))</f>
        <v/>
      </c>
      <c r="P1308" s="247" t="str">
        <f ca="1">IF(C1308="","",IF($P$11="CFPS",[1]!S_STM07_CS(D1308,84,$G$5,$H$13)/IF([1]!S_SHARE_TOTAL(D1308,$G$5)=0,[1]!S_SHARE_TOTAL(D1308,[1]!s_ipo_listeddate(D1308)),[1]!S_SHARE_TOTAL(D1308,$G$5)),[1]!S_STM07_CS(D1308,84,$G$5,$H$13)/$E$5))</f>
        <v/>
      </c>
      <c r="Q1308" s="248" t="str">
        <f ca="1">IF(C1308="","",F1308/([1]!S_STM07_IS(D1308,61,$G$5,$H$13)/IF([1]!S_SHARE_TOTAL(D1308,$G$5)=0,[1]!S_SHARE_TOTAL(D1308,[1]!s_ipo_listeddate(D1308)),[1]!S_SHARE_TOTAL(D1308,$G$5))))</f>
        <v/>
      </c>
      <c r="R1308" s="248" t="str">
        <f ca="1">IF(C1308="","",F1308/([1]!S_STM07_BS(D1308,141,$G$5,$H$13)/IF([1]!S_SHARE_TOTAL(D1308,$G$5)=0,[1]!S_SHARE_TOTAL(D1308,[1]!s_ipo_listeddate(D1308)),[1]!S_SHARE_TOTAL(D1308,$G$5))))</f>
        <v/>
      </c>
      <c r="S1308" s="247" t="str">
        <f ca="1">IF(C1308="","",[1]!S_SHARE_TOTAL(D1308,TODAY())/$E$5)</f>
        <v/>
      </c>
      <c r="T1308" s="247" t="str">
        <f t="shared" ca="1" si="133"/>
        <v/>
      </c>
      <c r="U1308" s="218" t="str">
        <f t="shared" ca="1" si="134"/>
        <v/>
      </c>
      <c r="V1308" s="342" t="str">
        <f t="shared" ca="1" si="135"/>
        <v/>
      </c>
      <c r="W1308" s="139"/>
      <c r="Y1308" s="1"/>
    </row>
    <row r="1309" spans="3:25" ht="12" customHeight="1">
      <c r="C1309" s="343" t="str">
        <f t="shared" ca="1" si="130"/>
        <v/>
      </c>
      <c r="D1309" s="124" t="str">
        <f t="shared" ca="1" si="131"/>
        <v/>
      </c>
      <c r="E1309" s="124" t="str">
        <f t="shared" ca="1" si="132"/>
        <v/>
      </c>
      <c r="F1309" s="172" t="str">
        <f ca="1">IF(C1309="","",[1]!S_DQ_CLOSE(D1309,TODAY(),1))</f>
        <v/>
      </c>
      <c r="G1309" s="173" t="str">
        <f ca="1">IF(C1309="","",[1]!s_pq_pctchange(D1309,TODAY()-$G$12,TODAY())/100)</f>
        <v/>
      </c>
      <c r="H1309" s="249" t="str">
        <f ca="1">IF(C1309="","",IF($H$11="收入",[1]!S_STM07_IS(D1309,9,$G$5,$H$13)/$E$5,[1]!S_STM07_IS(D1309,48,$G$5,$H$13)/$E$5))</f>
        <v/>
      </c>
      <c r="I1309" s="249" t="str">
        <f ca="1">IF(C1309="","",IF($I$11="毛利率",([1]!S_STM07_IS(D1309,9,$G$5,$H$13)-[1]!S_STM07_IS(D1309,10,$G$5,$H$13))/[1]!S_STM07_IS(D1309,9,$G$5,$H$13),[1]!S_STM07_IS(D1309,14,$G$5,$H$13)/$E$5))</f>
        <v/>
      </c>
      <c r="J1309" s="249" t="str">
        <f ca="1">IF(C1309="","",IF($J$11="营业利润率",[1]!S_STM07_IS(D1309,48,$G$5,$H$13)/[1]!S_STM07_IS(D1309,9,$G$5,$H$13),([1]!S_STM07_CS(D1309,87,$G$5,$H$13)+[1]!S_STM07_CS(D1309,88,$G$5,$H$13)+[1]!S_STM07_CS(D1309,89,$G$5,$H$13))/$E$5))</f>
        <v/>
      </c>
      <c r="K1309" s="249" t="str">
        <f ca="1">IF(C1309="","",IF($K$11="净利润率",[1]!S_STM07_IS(D1309,61,$G$5,$H$13)/[1]!S_STM07_IS(D1309,9,$G$5,$H$13),[1]!S_STM07_IS(D1309,55,$G$5,$H$13)/$E$5))</f>
        <v/>
      </c>
      <c r="L1309" s="249" t="str">
        <f ca="1">IF(C1309="","",IF($L$11="ROA",[1]!S_STM07_IS(D1309,61,$G$5,$H$13)/[1]!S_STM07_BS(D1309,74,$G$5,$H$13),1-[1]!S_STM07_IS(D1309,61,$G$5,$H$13)/[1]!S_STM07_IS(D1309,55,$G$5,$H$13)))</f>
        <v/>
      </c>
      <c r="M1309" s="249" t="str">
        <f ca="1">IF(C1309="","",IF($M$11="ROE",[1]!S_STM07_IS(D1309,61,$G$5,$H$13)/[1]!S_STM07_BS(D1309,141,$G$5,$H$13),([1]!S_STM07_BS(D1309,25,$G$5,$H$13)-[1]!S_STM07_BS(D1309,93,$G$5,$H$13))/$E$5))</f>
        <v/>
      </c>
      <c r="N1309" s="250" t="str">
        <f ca="1">IF(C1309="","",IF($N$11="EPS",[1]!S_STM07_IS(D1309,61,$G$5,$H$13)/IF([1]!S_SHARE_TOTAL(D1309,$G$5)=0,[1]!S_SHARE_TOTAL(D1309,[1]!s_ipo_listeddate(D1309)),[1]!S_SHARE_TOTAL(D1309,$G$5)),([1]!S_STM07_BS(D1309,75,$G$5,$H$13)+[1]!S_STM07_BS(D1309,88,$G$5,$H$13)+[1]!S_STM07_BS(D1309,94,$G$5,$H$13)+[1]!S_STM07_BS(D1309,95,$G$5,$H$13))/$E$5))</f>
        <v/>
      </c>
      <c r="O1309" s="250" t="str">
        <f ca="1">IF(C1309="","",IF($O$11="BPS",[1]!S_STM07_BS(D1309,141,$G$5,$H$13)/IF([1]!S_SHARE_TOTAL(D1309,$G$5)=0,[1]!S_SHARE_TOTAL(D1309,[1]!s_ipo_listeddate(D1309)),[1]!S_SHARE_TOTAL(D1309,$G$5)),[1]!S_STM07_CS(D1309,49,$G$5,$H$13)/$E$5))</f>
        <v/>
      </c>
      <c r="P1309" s="250" t="str">
        <f ca="1">IF(C1309="","",IF($P$11="CFPS",[1]!S_STM07_CS(D1309,84,$G$5,$H$13)/IF([1]!S_SHARE_TOTAL(D1309,$G$5)=0,[1]!S_SHARE_TOTAL(D1309,[1]!s_ipo_listeddate(D1309)),[1]!S_SHARE_TOTAL(D1309,$G$5)),[1]!S_STM07_CS(D1309,84,$G$5,$H$13)/$E$5))</f>
        <v/>
      </c>
      <c r="Q1309" s="198" t="str">
        <f ca="1">IF(C1309="","",F1309/([1]!S_STM07_IS(D1309,61,$G$5,$H$13)/IF([1]!S_SHARE_TOTAL(D1309,$G$5)=0,[1]!S_SHARE_TOTAL(D1309,[1]!s_ipo_listeddate(D1309)),[1]!S_SHARE_TOTAL(D1309,$G$5))))</f>
        <v/>
      </c>
      <c r="R1309" s="198" t="str">
        <f ca="1">IF(C1309="","",F1309/([1]!S_STM07_BS(D1309,141,$G$5,$H$13)/IF([1]!S_SHARE_TOTAL(D1309,$G$5)=0,[1]!S_SHARE_TOTAL(D1309,[1]!s_ipo_listeddate(D1309)),[1]!S_SHARE_TOTAL(D1309,$G$5))))</f>
        <v/>
      </c>
      <c r="S1309" s="249" t="str">
        <f ca="1">IF(C1309="","",[1]!S_SHARE_TOTAL(D1309,TODAY())/$E$5)</f>
        <v/>
      </c>
      <c r="T1309" s="249" t="str">
        <f t="shared" ca="1" si="133"/>
        <v/>
      </c>
      <c r="U1309" s="172" t="str">
        <f t="shared" ca="1" si="134"/>
        <v/>
      </c>
      <c r="V1309" s="343" t="str">
        <f t="shared" ca="1" si="135"/>
        <v/>
      </c>
      <c r="W1309" s="139"/>
      <c r="Y1309" s="1"/>
    </row>
    <row r="1310" spans="3:25" ht="12" customHeight="1">
      <c r="C1310" s="342" t="str">
        <f t="shared" ca="1" si="130"/>
        <v/>
      </c>
      <c r="D1310" s="153" t="str">
        <f t="shared" ca="1" si="131"/>
        <v/>
      </c>
      <c r="E1310" s="153" t="str">
        <f t="shared" ca="1" si="132"/>
        <v/>
      </c>
      <c r="F1310" s="170" t="str">
        <f ca="1">IF(C1310="","",[1]!S_DQ_CLOSE(D1310,TODAY(),1))</f>
        <v/>
      </c>
      <c r="G1310" s="171" t="str">
        <f ca="1">IF(C1310="","",[1]!s_pq_pctchange(D1310,TODAY()-$G$12,TODAY())/100)</f>
        <v/>
      </c>
      <c r="H1310" s="247" t="str">
        <f ca="1">IF(C1310="","",IF($H$11="收入",[1]!S_STM07_IS(D1310,9,$G$5,$H$13)/$E$5,[1]!S_STM07_IS(D1310,48,$G$5,$H$13)/$E$5))</f>
        <v/>
      </c>
      <c r="I1310" s="247" t="str">
        <f ca="1">IF(C1310="","",IF($I$11="毛利率",([1]!S_STM07_IS(D1310,9,$G$5,$H$13)-[1]!S_STM07_IS(D1310,10,$G$5,$H$13))/[1]!S_STM07_IS(D1310,9,$G$5,$H$13),[1]!S_STM07_IS(D1310,14,$G$5,$H$13)/$E$5))</f>
        <v/>
      </c>
      <c r="J1310" s="247" t="str">
        <f ca="1">IF(C1310="","",IF($J$11="营业利润率",[1]!S_STM07_IS(D1310,48,$G$5,$H$13)/[1]!S_STM07_IS(D1310,9,$G$5,$H$13),([1]!S_STM07_CS(D1310,87,$G$5,$H$13)+[1]!S_STM07_CS(D1310,88,$G$5,$H$13)+[1]!S_STM07_CS(D1310,89,$G$5,$H$13))/$E$5))</f>
        <v/>
      </c>
      <c r="K1310" s="247" t="str">
        <f ca="1">IF(C1310="","",IF($K$11="净利润率",[1]!S_STM07_IS(D1310,61,$G$5,$H$13)/[1]!S_STM07_IS(D1310,9,$G$5,$H$13),[1]!S_STM07_IS(D1310,55,$G$5,$H$13)/$E$5))</f>
        <v/>
      </c>
      <c r="L1310" s="247" t="str">
        <f ca="1">IF(C1310="","",IF($L$11="ROA",[1]!S_STM07_IS(D1310,61,$G$5,$H$13)/[1]!S_STM07_BS(D1310,74,$G$5,$H$13),1-[1]!S_STM07_IS(D1310,61,$G$5,$H$13)/[1]!S_STM07_IS(D1310,55,$G$5,$H$13)))</f>
        <v/>
      </c>
      <c r="M1310" s="247" t="str">
        <f ca="1">IF(C1310="","",IF($M$11="ROE",[1]!S_STM07_IS(D1310,61,$G$5,$H$13)/[1]!S_STM07_BS(D1310,141,$G$5,$H$13),([1]!S_STM07_BS(D1310,25,$G$5,$H$13)-[1]!S_STM07_BS(D1310,93,$G$5,$H$13))/$E$5))</f>
        <v/>
      </c>
      <c r="N1310" s="247" t="str">
        <f ca="1">IF(C1310="","",IF($N$11="EPS",[1]!S_STM07_IS(D1310,61,$G$5,$H$13)/IF([1]!S_SHARE_TOTAL(D1310,$G$5)=0,[1]!S_SHARE_TOTAL(D1310,[1]!s_ipo_listeddate(D1310)),[1]!S_SHARE_TOTAL(D1310,$G$5)),([1]!S_STM07_BS(D1310,75,$G$5,$H$13)+[1]!S_STM07_BS(D1310,88,$G$5,$H$13)+[1]!S_STM07_BS(D1310,94,$G$5,$H$13)+[1]!S_STM07_BS(D1310,95,$G$5,$H$13))/$E$5))</f>
        <v/>
      </c>
      <c r="O1310" s="247" t="str">
        <f ca="1">IF(C1310="","",IF($O$11="BPS",[1]!S_STM07_BS(D1310,141,$G$5,$H$13)/IF([1]!S_SHARE_TOTAL(D1310,$G$5)=0,[1]!S_SHARE_TOTAL(D1310,[1]!s_ipo_listeddate(D1310)),[1]!S_SHARE_TOTAL(D1310,$G$5)),[1]!S_STM07_CS(D1310,49,$G$5,$H$13)/$E$5))</f>
        <v/>
      </c>
      <c r="P1310" s="247" t="str">
        <f ca="1">IF(C1310="","",IF($P$11="CFPS",[1]!S_STM07_CS(D1310,84,$G$5,$H$13)/IF([1]!S_SHARE_TOTAL(D1310,$G$5)=0,[1]!S_SHARE_TOTAL(D1310,[1]!s_ipo_listeddate(D1310)),[1]!S_SHARE_TOTAL(D1310,$G$5)),[1]!S_STM07_CS(D1310,84,$G$5,$H$13)/$E$5))</f>
        <v/>
      </c>
      <c r="Q1310" s="248" t="str">
        <f ca="1">IF(C1310="","",F1310/([1]!S_STM07_IS(D1310,61,$G$5,$H$13)/IF([1]!S_SHARE_TOTAL(D1310,$G$5)=0,[1]!S_SHARE_TOTAL(D1310,[1]!s_ipo_listeddate(D1310)),[1]!S_SHARE_TOTAL(D1310,$G$5))))</f>
        <v/>
      </c>
      <c r="R1310" s="248" t="str">
        <f ca="1">IF(C1310="","",F1310/([1]!S_STM07_BS(D1310,141,$G$5,$H$13)/IF([1]!S_SHARE_TOTAL(D1310,$G$5)=0,[1]!S_SHARE_TOTAL(D1310,[1]!s_ipo_listeddate(D1310)),[1]!S_SHARE_TOTAL(D1310,$G$5))))</f>
        <v/>
      </c>
      <c r="S1310" s="247" t="str">
        <f ca="1">IF(C1310="","",[1]!S_SHARE_TOTAL(D1310,TODAY())/$E$5)</f>
        <v/>
      </c>
      <c r="T1310" s="247" t="str">
        <f t="shared" ca="1" si="133"/>
        <v/>
      </c>
      <c r="U1310" s="218" t="str">
        <f t="shared" ca="1" si="134"/>
        <v/>
      </c>
      <c r="V1310" s="342" t="str">
        <f t="shared" ca="1" si="135"/>
        <v/>
      </c>
      <c r="W1310" s="139"/>
      <c r="Y1310" s="1"/>
    </row>
    <row r="1311" spans="3:25" ht="12" customHeight="1">
      <c r="C1311" s="343" t="str">
        <f t="shared" ca="1" si="130"/>
        <v/>
      </c>
      <c r="D1311" s="124" t="str">
        <f t="shared" ca="1" si="131"/>
        <v/>
      </c>
      <c r="E1311" s="124" t="str">
        <f t="shared" ca="1" si="132"/>
        <v/>
      </c>
      <c r="F1311" s="172" t="str">
        <f ca="1">IF(C1311="","",[1]!S_DQ_CLOSE(D1311,TODAY(),1))</f>
        <v/>
      </c>
      <c r="G1311" s="173" t="str">
        <f ca="1">IF(C1311="","",[1]!s_pq_pctchange(D1311,TODAY()-$G$12,TODAY())/100)</f>
        <v/>
      </c>
      <c r="H1311" s="249" t="str">
        <f ca="1">IF(C1311="","",IF($H$11="收入",[1]!S_STM07_IS(D1311,9,$G$5,$H$13)/$E$5,[1]!S_STM07_IS(D1311,48,$G$5,$H$13)/$E$5))</f>
        <v/>
      </c>
      <c r="I1311" s="249" t="str">
        <f ca="1">IF(C1311="","",IF($I$11="毛利率",([1]!S_STM07_IS(D1311,9,$G$5,$H$13)-[1]!S_STM07_IS(D1311,10,$G$5,$H$13))/[1]!S_STM07_IS(D1311,9,$G$5,$H$13),[1]!S_STM07_IS(D1311,14,$G$5,$H$13)/$E$5))</f>
        <v/>
      </c>
      <c r="J1311" s="249" t="str">
        <f ca="1">IF(C1311="","",IF($J$11="营业利润率",[1]!S_STM07_IS(D1311,48,$G$5,$H$13)/[1]!S_STM07_IS(D1311,9,$G$5,$H$13),([1]!S_STM07_CS(D1311,87,$G$5,$H$13)+[1]!S_STM07_CS(D1311,88,$G$5,$H$13)+[1]!S_STM07_CS(D1311,89,$G$5,$H$13))/$E$5))</f>
        <v/>
      </c>
      <c r="K1311" s="249" t="str">
        <f ca="1">IF(C1311="","",IF($K$11="净利润率",[1]!S_STM07_IS(D1311,61,$G$5,$H$13)/[1]!S_STM07_IS(D1311,9,$G$5,$H$13),[1]!S_STM07_IS(D1311,55,$G$5,$H$13)/$E$5))</f>
        <v/>
      </c>
      <c r="L1311" s="249" t="str">
        <f ca="1">IF(C1311="","",IF($L$11="ROA",[1]!S_STM07_IS(D1311,61,$G$5,$H$13)/[1]!S_STM07_BS(D1311,74,$G$5,$H$13),1-[1]!S_STM07_IS(D1311,61,$G$5,$H$13)/[1]!S_STM07_IS(D1311,55,$G$5,$H$13)))</f>
        <v/>
      </c>
      <c r="M1311" s="249" t="str">
        <f ca="1">IF(C1311="","",IF($M$11="ROE",[1]!S_STM07_IS(D1311,61,$G$5,$H$13)/[1]!S_STM07_BS(D1311,141,$G$5,$H$13),([1]!S_STM07_BS(D1311,25,$G$5,$H$13)-[1]!S_STM07_BS(D1311,93,$G$5,$H$13))/$E$5))</f>
        <v/>
      </c>
      <c r="N1311" s="250" t="str">
        <f ca="1">IF(C1311="","",IF($N$11="EPS",[1]!S_STM07_IS(D1311,61,$G$5,$H$13)/IF([1]!S_SHARE_TOTAL(D1311,$G$5)=0,[1]!S_SHARE_TOTAL(D1311,[1]!s_ipo_listeddate(D1311)),[1]!S_SHARE_TOTAL(D1311,$G$5)),([1]!S_STM07_BS(D1311,75,$G$5,$H$13)+[1]!S_STM07_BS(D1311,88,$G$5,$H$13)+[1]!S_STM07_BS(D1311,94,$G$5,$H$13)+[1]!S_STM07_BS(D1311,95,$G$5,$H$13))/$E$5))</f>
        <v/>
      </c>
      <c r="O1311" s="250" t="str">
        <f ca="1">IF(C1311="","",IF($O$11="BPS",[1]!S_STM07_BS(D1311,141,$G$5,$H$13)/IF([1]!S_SHARE_TOTAL(D1311,$G$5)=0,[1]!S_SHARE_TOTAL(D1311,[1]!s_ipo_listeddate(D1311)),[1]!S_SHARE_TOTAL(D1311,$G$5)),[1]!S_STM07_CS(D1311,49,$G$5,$H$13)/$E$5))</f>
        <v/>
      </c>
      <c r="P1311" s="250" t="str">
        <f ca="1">IF(C1311="","",IF($P$11="CFPS",[1]!S_STM07_CS(D1311,84,$G$5,$H$13)/IF([1]!S_SHARE_TOTAL(D1311,$G$5)=0,[1]!S_SHARE_TOTAL(D1311,[1]!s_ipo_listeddate(D1311)),[1]!S_SHARE_TOTAL(D1311,$G$5)),[1]!S_STM07_CS(D1311,84,$G$5,$H$13)/$E$5))</f>
        <v/>
      </c>
      <c r="Q1311" s="198" t="str">
        <f ca="1">IF(C1311="","",F1311/([1]!S_STM07_IS(D1311,61,$G$5,$H$13)/IF([1]!S_SHARE_TOTAL(D1311,$G$5)=0,[1]!S_SHARE_TOTAL(D1311,[1]!s_ipo_listeddate(D1311)),[1]!S_SHARE_TOTAL(D1311,$G$5))))</f>
        <v/>
      </c>
      <c r="R1311" s="198" t="str">
        <f ca="1">IF(C1311="","",F1311/([1]!S_STM07_BS(D1311,141,$G$5,$H$13)/IF([1]!S_SHARE_TOTAL(D1311,$G$5)=0,[1]!S_SHARE_TOTAL(D1311,[1]!s_ipo_listeddate(D1311)),[1]!S_SHARE_TOTAL(D1311,$G$5))))</f>
        <v/>
      </c>
      <c r="S1311" s="249" t="str">
        <f ca="1">IF(C1311="","",[1]!S_SHARE_TOTAL(D1311,TODAY())/$E$5)</f>
        <v/>
      </c>
      <c r="T1311" s="249" t="str">
        <f t="shared" ca="1" si="133"/>
        <v/>
      </c>
      <c r="U1311" s="172" t="str">
        <f t="shared" ca="1" si="134"/>
        <v/>
      </c>
      <c r="V1311" s="343" t="str">
        <f t="shared" ca="1" si="135"/>
        <v/>
      </c>
      <c r="W1311" s="139"/>
      <c r="Y1311" s="1"/>
    </row>
    <row r="1312" spans="3:25" ht="12" customHeight="1">
      <c r="C1312" s="342" t="str">
        <f t="shared" ca="1" si="130"/>
        <v/>
      </c>
      <c r="D1312" s="153" t="str">
        <f t="shared" ca="1" si="131"/>
        <v/>
      </c>
      <c r="E1312" s="153" t="str">
        <f t="shared" ca="1" si="132"/>
        <v/>
      </c>
      <c r="F1312" s="170" t="str">
        <f ca="1">IF(C1312="","",[1]!S_DQ_CLOSE(D1312,TODAY(),1))</f>
        <v/>
      </c>
      <c r="G1312" s="171" t="str">
        <f ca="1">IF(C1312="","",[1]!s_pq_pctchange(D1312,TODAY()-$G$12,TODAY())/100)</f>
        <v/>
      </c>
      <c r="H1312" s="247" t="str">
        <f ca="1">IF(C1312="","",IF($H$11="收入",[1]!S_STM07_IS(D1312,9,$G$5,$H$13)/$E$5,[1]!S_STM07_IS(D1312,48,$G$5,$H$13)/$E$5))</f>
        <v/>
      </c>
      <c r="I1312" s="247" t="str">
        <f ca="1">IF(C1312="","",IF($I$11="毛利率",([1]!S_STM07_IS(D1312,9,$G$5,$H$13)-[1]!S_STM07_IS(D1312,10,$G$5,$H$13))/[1]!S_STM07_IS(D1312,9,$G$5,$H$13),[1]!S_STM07_IS(D1312,14,$G$5,$H$13)/$E$5))</f>
        <v/>
      </c>
      <c r="J1312" s="247" t="str">
        <f ca="1">IF(C1312="","",IF($J$11="营业利润率",[1]!S_STM07_IS(D1312,48,$G$5,$H$13)/[1]!S_STM07_IS(D1312,9,$G$5,$H$13),([1]!S_STM07_CS(D1312,87,$G$5,$H$13)+[1]!S_STM07_CS(D1312,88,$G$5,$H$13)+[1]!S_STM07_CS(D1312,89,$G$5,$H$13))/$E$5))</f>
        <v/>
      </c>
      <c r="K1312" s="247" t="str">
        <f ca="1">IF(C1312="","",IF($K$11="净利润率",[1]!S_STM07_IS(D1312,61,$G$5,$H$13)/[1]!S_STM07_IS(D1312,9,$G$5,$H$13),[1]!S_STM07_IS(D1312,55,$G$5,$H$13)/$E$5))</f>
        <v/>
      </c>
      <c r="L1312" s="247" t="str">
        <f ca="1">IF(C1312="","",IF($L$11="ROA",[1]!S_STM07_IS(D1312,61,$G$5,$H$13)/[1]!S_STM07_BS(D1312,74,$G$5,$H$13),1-[1]!S_STM07_IS(D1312,61,$G$5,$H$13)/[1]!S_STM07_IS(D1312,55,$G$5,$H$13)))</f>
        <v/>
      </c>
      <c r="M1312" s="247" t="str">
        <f ca="1">IF(C1312="","",IF($M$11="ROE",[1]!S_STM07_IS(D1312,61,$G$5,$H$13)/[1]!S_STM07_BS(D1312,141,$G$5,$H$13),([1]!S_STM07_BS(D1312,25,$G$5,$H$13)-[1]!S_STM07_BS(D1312,93,$G$5,$H$13))/$E$5))</f>
        <v/>
      </c>
      <c r="N1312" s="247" t="str">
        <f ca="1">IF(C1312="","",IF($N$11="EPS",[1]!S_STM07_IS(D1312,61,$G$5,$H$13)/IF([1]!S_SHARE_TOTAL(D1312,$G$5)=0,[1]!S_SHARE_TOTAL(D1312,[1]!s_ipo_listeddate(D1312)),[1]!S_SHARE_TOTAL(D1312,$G$5)),([1]!S_STM07_BS(D1312,75,$G$5,$H$13)+[1]!S_STM07_BS(D1312,88,$G$5,$H$13)+[1]!S_STM07_BS(D1312,94,$G$5,$H$13)+[1]!S_STM07_BS(D1312,95,$G$5,$H$13))/$E$5))</f>
        <v/>
      </c>
      <c r="O1312" s="247" t="str">
        <f ca="1">IF(C1312="","",IF($O$11="BPS",[1]!S_STM07_BS(D1312,141,$G$5,$H$13)/IF([1]!S_SHARE_TOTAL(D1312,$G$5)=0,[1]!S_SHARE_TOTAL(D1312,[1]!s_ipo_listeddate(D1312)),[1]!S_SHARE_TOTAL(D1312,$G$5)),[1]!S_STM07_CS(D1312,49,$G$5,$H$13)/$E$5))</f>
        <v/>
      </c>
      <c r="P1312" s="247" t="str">
        <f ca="1">IF(C1312="","",IF($P$11="CFPS",[1]!S_STM07_CS(D1312,84,$G$5,$H$13)/IF([1]!S_SHARE_TOTAL(D1312,$G$5)=0,[1]!S_SHARE_TOTAL(D1312,[1]!s_ipo_listeddate(D1312)),[1]!S_SHARE_TOTAL(D1312,$G$5)),[1]!S_STM07_CS(D1312,84,$G$5,$H$13)/$E$5))</f>
        <v/>
      </c>
      <c r="Q1312" s="248" t="str">
        <f ca="1">IF(C1312="","",F1312/([1]!S_STM07_IS(D1312,61,$G$5,$H$13)/IF([1]!S_SHARE_TOTAL(D1312,$G$5)=0,[1]!S_SHARE_TOTAL(D1312,[1]!s_ipo_listeddate(D1312)),[1]!S_SHARE_TOTAL(D1312,$G$5))))</f>
        <v/>
      </c>
      <c r="R1312" s="248" t="str">
        <f ca="1">IF(C1312="","",F1312/([1]!S_STM07_BS(D1312,141,$G$5,$H$13)/IF([1]!S_SHARE_TOTAL(D1312,$G$5)=0,[1]!S_SHARE_TOTAL(D1312,[1]!s_ipo_listeddate(D1312)),[1]!S_SHARE_TOTAL(D1312,$G$5))))</f>
        <v/>
      </c>
      <c r="S1312" s="247" t="str">
        <f ca="1">IF(C1312="","",[1]!S_SHARE_TOTAL(D1312,TODAY())/$E$5)</f>
        <v/>
      </c>
      <c r="T1312" s="247" t="str">
        <f t="shared" ca="1" si="133"/>
        <v/>
      </c>
      <c r="U1312" s="218" t="str">
        <f t="shared" ca="1" si="134"/>
        <v/>
      </c>
      <c r="V1312" s="342" t="str">
        <f t="shared" ca="1" si="135"/>
        <v/>
      </c>
      <c r="W1312" s="139"/>
      <c r="Y1312" s="1"/>
    </row>
    <row r="1313" spans="3:25" ht="12" customHeight="1">
      <c r="C1313" s="343" t="str">
        <f t="shared" ca="1" si="130"/>
        <v/>
      </c>
      <c r="D1313" s="124" t="str">
        <f t="shared" ca="1" si="131"/>
        <v/>
      </c>
      <c r="E1313" s="124" t="str">
        <f t="shared" ca="1" si="132"/>
        <v/>
      </c>
      <c r="F1313" s="172" t="str">
        <f ca="1">IF(C1313="","",[1]!S_DQ_CLOSE(D1313,TODAY(),1))</f>
        <v/>
      </c>
      <c r="G1313" s="173" t="str">
        <f ca="1">IF(C1313="","",[1]!s_pq_pctchange(D1313,TODAY()-$G$12,TODAY())/100)</f>
        <v/>
      </c>
      <c r="H1313" s="249" t="str">
        <f ca="1">IF(C1313="","",IF($H$11="收入",[1]!S_STM07_IS(D1313,9,$G$5,$H$13)/$E$5,[1]!S_STM07_IS(D1313,48,$G$5,$H$13)/$E$5))</f>
        <v/>
      </c>
      <c r="I1313" s="249" t="str">
        <f ca="1">IF(C1313="","",IF($I$11="毛利率",([1]!S_STM07_IS(D1313,9,$G$5,$H$13)-[1]!S_STM07_IS(D1313,10,$G$5,$H$13))/[1]!S_STM07_IS(D1313,9,$G$5,$H$13),[1]!S_STM07_IS(D1313,14,$G$5,$H$13)/$E$5))</f>
        <v/>
      </c>
      <c r="J1313" s="249" t="str">
        <f ca="1">IF(C1313="","",IF($J$11="营业利润率",[1]!S_STM07_IS(D1313,48,$G$5,$H$13)/[1]!S_STM07_IS(D1313,9,$G$5,$H$13),([1]!S_STM07_CS(D1313,87,$G$5,$H$13)+[1]!S_STM07_CS(D1313,88,$G$5,$H$13)+[1]!S_STM07_CS(D1313,89,$G$5,$H$13))/$E$5))</f>
        <v/>
      </c>
      <c r="K1313" s="249" t="str">
        <f ca="1">IF(C1313="","",IF($K$11="净利润率",[1]!S_STM07_IS(D1313,61,$G$5,$H$13)/[1]!S_STM07_IS(D1313,9,$G$5,$H$13),[1]!S_STM07_IS(D1313,55,$G$5,$H$13)/$E$5))</f>
        <v/>
      </c>
      <c r="L1313" s="249" t="str">
        <f ca="1">IF(C1313="","",IF($L$11="ROA",[1]!S_STM07_IS(D1313,61,$G$5,$H$13)/[1]!S_STM07_BS(D1313,74,$G$5,$H$13),1-[1]!S_STM07_IS(D1313,61,$G$5,$H$13)/[1]!S_STM07_IS(D1313,55,$G$5,$H$13)))</f>
        <v/>
      </c>
      <c r="M1313" s="249" t="str">
        <f ca="1">IF(C1313="","",IF($M$11="ROE",[1]!S_STM07_IS(D1313,61,$G$5,$H$13)/[1]!S_STM07_BS(D1313,141,$G$5,$H$13),([1]!S_STM07_BS(D1313,25,$G$5,$H$13)-[1]!S_STM07_BS(D1313,93,$G$5,$H$13))/$E$5))</f>
        <v/>
      </c>
      <c r="N1313" s="250" t="str">
        <f ca="1">IF(C1313="","",IF($N$11="EPS",[1]!S_STM07_IS(D1313,61,$G$5,$H$13)/IF([1]!S_SHARE_TOTAL(D1313,$G$5)=0,[1]!S_SHARE_TOTAL(D1313,[1]!s_ipo_listeddate(D1313)),[1]!S_SHARE_TOTAL(D1313,$G$5)),([1]!S_STM07_BS(D1313,75,$G$5,$H$13)+[1]!S_STM07_BS(D1313,88,$G$5,$H$13)+[1]!S_STM07_BS(D1313,94,$G$5,$H$13)+[1]!S_STM07_BS(D1313,95,$G$5,$H$13))/$E$5))</f>
        <v/>
      </c>
      <c r="O1313" s="250" t="str">
        <f ca="1">IF(C1313="","",IF($O$11="BPS",[1]!S_STM07_BS(D1313,141,$G$5,$H$13)/IF([1]!S_SHARE_TOTAL(D1313,$G$5)=0,[1]!S_SHARE_TOTAL(D1313,[1]!s_ipo_listeddate(D1313)),[1]!S_SHARE_TOTAL(D1313,$G$5)),[1]!S_STM07_CS(D1313,49,$G$5,$H$13)/$E$5))</f>
        <v/>
      </c>
      <c r="P1313" s="250" t="str">
        <f ca="1">IF(C1313="","",IF($P$11="CFPS",[1]!S_STM07_CS(D1313,84,$G$5,$H$13)/IF([1]!S_SHARE_TOTAL(D1313,$G$5)=0,[1]!S_SHARE_TOTAL(D1313,[1]!s_ipo_listeddate(D1313)),[1]!S_SHARE_TOTAL(D1313,$G$5)),[1]!S_STM07_CS(D1313,84,$G$5,$H$13)/$E$5))</f>
        <v/>
      </c>
      <c r="Q1313" s="198" t="str">
        <f ca="1">IF(C1313="","",F1313/([1]!S_STM07_IS(D1313,61,$G$5,$H$13)/IF([1]!S_SHARE_TOTAL(D1313,$G$5)=0,[1]!S_SHARE_TOTAL(D1313,[1]!s_ipo_listeddate(D1313)),[1]!S_SHARE_TOTAL(D1313,$G$5))))</f>
        <v/>
      </c>
      <c r="R1313" s="198" t="str">
        <f ca="1">IF(C1313="","",F1313/([1]!S_STM07_BS(D1313,141,$G$5,$H$13)/IF([1]!S_SHARE_TOTAL(D1313,$G$5)=0,[1]!S_SHARE_TOTAL(D1313,[1]!s_ipo_listeddate(D1313)),[1]!S_SHARE_TOTAL(D1313,$G$5))))</f>
        <v/>
      </c>
      <c r="S1313" s="249" t="str">
        <f ca="1">IF(C1313="","",[1]!S_SHARE_TOTAL(D1313,TODAY())/$E$5)</f>
        <v/>
      </c>
      <c r="T1313" s="249" t="str">
        <f t="shared" ca="1" si="133"/>
        <v/>
      </c>
      <c r="U1313" s="172" t="str">
        <f t="shared" ca="1" si="134"/>
        <v/>
      </c>
      <c r="V1313" s="343" t="str">
        <f t="shared" ca="1" si="135"/>
        <v/>
      </c>
      <c r="W1313" s="139"/>
      <c r="Y1313" s="1"/>
    </row>
    <row r="1314" spans="3:25" ht="12" customHeight="1">
      <c r="C1314" s="342" t="str">
        <f t="shared" ca="1" si="130"/>
        <v/>
      </c>
      <c r="D1314" s="153" t="str">
        <f t="shared" ca="1" si="131"/>
        <v/>
      </c>
      <c r="E1314" s="153" t="str">
        <f t="shared" ca="1" si="132"/>
        <v/>
      </c>
      <c r="F1314" s="170" t="str">
        <f ca="1">IF(C1314="","",[1]!S_DQ_CLOSE(D1314,TODAY(),1))</f>
        <v/>
      </c>
      <c r="G1314" s="171" t="str">
        <f ca="1">IF(C1314="","",[1]!s_pq_pctchange(D1314,TODAY()-$G$12,TODAY())/100)</f>
        <v/>
      </c>
      <c r="H1314" s="247" t="str">
        <f ca="1">IF(C1314="","",IF($H$11="收入",[1]!S_STM07_IS(D1314,9,$G$5,$H$13)/$E$5,[1]!S_STM07_IS(D1314,48,$G$5,$H$13)/$E$5))</f>
        <v/>
      </c>
      <c r="I1314" s="247" t="str">
        <f ca="1">IF(C1314="","",IF($I$11="毛利率",([1]!S_STM07_IS(D1314,9,$G$5,$H$13)-[1]!S_STM07_IS(D1314,10,$G$5,$H$13))/[1]!S_STM07_IS(D1314,9,$G$5,$H$13),[1]!S_STM07_IS(D1314,14,$G$5,$H$13)/$E$5))</f>
        <v/>
      </c>
      <c r="J1314" s="247" t="str">
        <f ca="1">IF(C1314="","",IF($J$11="营业利润率",[1]!S_STM07_IS(D1314,48,$G$5,$H$13)/[1]!S_STM07_IS(D1314,9,$G$5,$H$13),([1]!S_STM07_CS(D1314,87,$G$5,$H$13)+[1]!S_STM07_CS(D1314,88,$G$5,$H$13)+[1]!S_STM07_CS(D1314,89,$G$5,$H$13))/$E$5))</f>
        <v/>
      </c>
      <c r="K1314" s="247" t="str">
        <f ca="1">IF(C1314="","",IF($K$11="净利润率",[1]!S_STM07_IS(D1314,61,$G$5,$H$13)/[1]!S_STM07_IS(D1314,9,$G$5,$H$13),[1]!S_STM07_IS(D1314,55,$G$5,$H$13)/$E$5))</f>
        <v/>
      </c>
      <c r="L1314" s="247" t="str">
        <f ca="1">IF(C1314="","",IF($L$11="ROA",[1]!S_STM07_IS(D1314,61,$G$5,$H$13)/[1]!S_STM07_BS(D1314,74,$G$5,$H$13),1-[1]!S_STM07_IS(D1314,61,$G$5,$H$13)/[1]!S_STM07_IS(D1314,55,$G$5,$H$13)))</f>
        <v/>
      </c>
      <c r="M1314" s="247" t="str">
        <f ca="1">IF(C1314="","",IF($M$11="ROE",[1]!S_STM07_IS(D1314,61,$G$5,$H$13)/[1]!S_STM07_BS(D1314,141,$G$5,$H$13),([1]!S_STM07_BS(D1314,25,$G$5,$H$13)-[1]!S_STM07_BS(D1314,93,$G$5,$H$13))/$E$5))</f>
        <v/>
      </c>
      <c r="N1314" s="247" t="str">
        <f ca="1">IF(C1314="","",IF($N$11="EPS",[1]!S_STM07_IS(D1314,61,$G$5,$H$13)/IF([1]!S_SHARE_TOTAL(D1314,$G$5)=0,[1]!S_SHARE_TOTAL(D1314,[1]!s_ipo_listeddate(D1314)),[1]!S_SHARE_TOTAL(D1314,$G$5)),([1]!S_STM07_BS(D1314,75,$G$5,$H$13)+[1]!S_STM07_BS(D1314,88,$G$5,$H$13)+[1]!S_STM07_BS(D1314,94,$G$5,$H$13)+[1]!S_STM07_BS(D1314,95,$G$5,$H$13))/$E$5))</f>
        <v/>
      </c>
      <c r="O1314" s="247" t="str">
        <f ca="1">IF(C1314="","",IF($O$11="BPS",[1]!S_STM07_BS(D1314,141,$G$5,$H$13)/IF([1]!S_SHARE_TOTAL(D1314,$G$5)=0,[1]!S_SHARE_TOTAL(D1314,[1]!s_ipo_listeddate(D1314)),[1]!S_SHARE_TOTAL(D1314,$G$5)),[1]!S_STM07_CS(D1314,49,$G$5,$H$13)/$E$5))</f>
        <v/>
      </c>
      <c r="P1314" s="247" t="str">
        <f ca="1">IF(C1314="","",IF($P$11="CFPS",[1]!S_STM07_CS(D1314,84,$G$5,$H$13)/IF([1]!S_SHARE_TOTAL(D1314,$G$5)=0,[1]!S_SHARE_TOTAL(D1314,[1]!s_ipo_listeddate(D1314)),[1]!S_SHARE_TOTAL(D1314,$G$5)),[1]!S_STM07_CS(D1314,84,$G$5,$H$13)/$E$5))</f>
        <v/>
      </c>
      <c r="Q1314" s="248" t="str">
        <f ca="1">IF(C1314="","",F1314/([1]!S_STM07_IS(D1314,61,$G$5,$H$13)/IF([1]!S_SHARE_TOTAL(D1314,$G$5)=0,[1]!S_SHARE_TOTAL(D1314,[1]!s_ipo_listeddate(D1314)),[1]!S_SHARE_TOTAL(D1314,$G$5))))</f>
        <v/>
      </c>
      <c r="R1314" s="248" t="str">
        <f ca="1">IF(C1314="","",F1314/([1]!S_STM07_BS(D1314,141,$G$5,$H$13)/IF([1]!S_SHARE_TOTAL(D1314,$G$5)=0,[1]!S_SHARE_TOTAL(D1314,[1]!s_ipo_listeddate(D1314)),[1]!S_SHARE_TOTAL(D1314,$G$5))))</f>
        <v/>
      </c>
      <c r="S1314" s="247" t="str">
        <f ca="1">IF(C1314="","",[1]!S_SHARE_TOTAL(D1314,TODAY())/$E$5)</f>
        <v/>
      </c>
      <c r="T1314" s="247" t="str">
        <f t="shared" ca="1" si="133"/>
        <v/>
      </c>
      <c r="U1314" s="218" t="str">
        <f t="shared" ca="1" si="134"/>
        <v/>
      </c>
      <c r="V1314" s="342" t="str">
        <f t="shared" ca="1" si="135"/>
        <v/>
      </c>
      <c r="W1314" s="139"/>
      <c r="Y1314" s="1"/>
    </row>
    <row r="1315" spans="3:25" ht="12" customHeight="1">
      <c r="C1315" s="343" t="str">
        <f t="shared" ca="1" si="130"/>
        <v/>
      </c>
      <c r="D1315" s="124" t="str">
        <f t="shared" ca="1" si="131"/>
        <v/>
      </c>
      <c r="E1315" s="124" t="str">
        <f t="shared" ca="1" si="132"/>
        <v/>
      </c>
      <c r="F1315" s="172" t="str">
        <f ca="1">IF(C1315="","",[1]!S_DQ_CLOSE(D1315,TODAY(),1))</f>
        <v/>
      </c>
      <c r="G1315" s="173" t="str">
        <f ca="1">IF(C1315="","",[1]!s_pq_pctchange(D1315,TODAY()-$G$12,TODAY())/100)</f>
        <v/>
      </c>
      <c r="H1315" s="249" t="str">
        <f ca="1">IF(C1315="","",IF($H$11="收入",[1]!S_STM07_IS(D1315,9,$G$5,$H$13)/$E$5,[1]!S_STM07_IS(D1315,48,$G$5,$H$13)/$E$5))</f>
        <v/>
      </c>
      <c r="I1315" s="249" t="str">
        <f ca="1">IF(C1315="","",IF($I$11="毛利率",([1]!S_STM07_IS(D1315,9,$G$5,$H$13)-[1]!S_STM07_IS(D1315,10,$G$5,$H$13))/[1]!S_STM07_IS(D1315,9,$G$5,$H$13),[1]!S_STM07_IS(D1315,14,$G$5,$H$13)/$E$5))</f>
        <v/>
      </c>
      <c r="J1315" s="249" t="str">
        <f ca="1">IF(C1315="","",IF($J$11="营业利润率",[1]!S_STM07_IS(D1315,48,$G$5,$H$13)/[1]!S_STM07_IS(D1315,9,$G$5,$H$13),([1]!S_STM07_CS(D1315,87,$G$5,$H$13)+[1]!S_STM07_CS(D1315,88,$G$5,$H$13)+[1]!S_STM07_CS(D1315,89,$G$5,$H$13))/$E$5))</f>
        <v/>
      </c>
      <c r="K1315" s="249" t="str">
        <f ca="1">IF(C1315="","",IF($K$11="净利润率",[1]!S_STM07_IS(D1315,61,$G$5,$H$13)/[1]!S_STM07_IS(D1315,9,$G$5,$H$13),[1]!S_STM07_IS(D1315,55,$G$5,$H$13)/$E$5))</f>
        <v/>
      </c>
      <c r="L1315" s="249" t="str">
        <f ca="1">IF(C1315="","",IF($L$11="ROA",[1]!S_STM07_IS(D1315,61,$G$5,$H$13)/[1]!S_STM07_BS(D1315,74,$G$5,$H$13),1-[1]!S_STM07_IS(D1315,61,$G$5,$H$13)/[1]!S_STM07_IS(D1315,55,$G$5,$H$13)))</f>
        <v/>
      </c>
      <c r="M1315" s="249" t="str">
        <f ca="1">IF(C1315="","",IF($M$11="ROE",[1]!S_STM07_IS(D1315,61,$G$5,$H$13)/[1]!S_STM07_BS(D1315,141,$G$5,$H$13),([1]!S_STM07_BS(D1315,25,$G$5,$H$13)-[1]!S_STM07_BS(D1315,93,$G$5,$H$13))/$E$5))</f>
        <v/>
      </c>
      <c r="N1315" s="250" t="str">
        <f ca="1">IF(C1315="","",IF($N$11="EPS",[1]!S_STM07_IS(D1315,61,$G$5,$H$13)/IF([1]!S_SHARE_TOTAL(D1315,$G$5)=0,[1]!S_SHARE_TOTAL(D1315,[1]!s_ipo_listeddate(D1315)),[1]!S_SHARE_TOTAL(D1315,$G$5)),([1]!S_STM07_BS(D1315,75,$G$5,$H$13)+[1]!S_STM07_BS(D1315,88,$G$5,$H$13)+[1]!S_STM07_BS(D1315,94,$G$5,$H$13)+[1]!S_STM07_BS(D1315,95,$G$5,$H$13))/$E$5))</f>
        <v/>
      </c>
      <c r="O1315" s="250" t="str">
        <f ca="1">IF(C1315="","",IF($O$11="BPS",[1]!S_STM07_BS(D1315,141,$G$5,$H$13)/IF([1]!S_SHARE_TOTAL(D1315,$G$5)=0,[1]!S_SHARE_TOTAL(D1315,[1]!s_ipo_listeddate(D1315)),[1]!S_SHARE_TOTAL(D1315,$G$5)),[1]!S_STM07_CS(D1315,49,$G$5,$H$13)/$E$5))</f>
        <v/>
      </c>
      <c r="P1315" s="250" t="str">
        <f ca="1">IF(C1315="","",IF($P$11="CFPS",[1]!S_STM07_CS(D1315,84,$G$5,$H$13)/IF([1]!S_SHARE_TOTAL(D1315,$G$5)=0,[1]!S_SHARE_TOTAL(D1315,[1]!s_ipo_listeddate(D1315)),[1]!S_SHARE_TOTAL(D1315,$G$5)),[1]!S_STM07_CS(D1315,84,$G$5,$H$13)/$E$5))</f>
        <v/>
      </c>
      <c r="Q1315" s="198" t="str">
        <f ca="1">IF(C1315="","",F1315/([1]!S_STM07_IS(D1315,61,$G$5,$H$13)/IF([1]!S_SHARE_TOTAL(D1315,$G$5)=0,[1]!S_SHARE_TOTAL(D1315,[1]!s_ipo_listeddate(D1315)),[1]!S_SHARE_TOTAL(D1315,$G$5))))</f>
        <v/>
      </c>
      <c r="R1315" s="198" t="str">
        <f ca="1">IF(C1315="","",F1315/([1]!S_STM07_BS(D1315,141,$G$5,$H$13)/IF([1]!S_SHARE_TOTAL(D1315,$G$5)=0,[1]!S_SHARE_TOTAL(D1315,[1]!s_ipo_listeddate(D1315)),[1]!S_SHARE_TOTAL(D1315,$G$5))))</f>
        <v/>
      </c>
      <c r="S1315" s="249" t="str">
        <f ca="1">IF(C1315="","",[1]!S_SHARE_TOTAL(D1315,TODAY())/$E$5)</f>
        <v/>
      </c>
      <c r="T1315" s="249" t="str">
        <f t="shared" ca="1" si="133"/>
        <v/>
      </c>
      <c r="U1315" s="172" t="str">
        <f t="shared" ca="1" si="134"/>
        <v/>
      </c>
      <c r="V1315" s="343" t="str">
        <f t="shared" ca="1" si="135"/>
        <v/>
      </c>
      <c r="W1315" s="139"/>
      <c r="Y1315" s="1"/>
    </row>
    <row r="1316" spans="3:25" ht="12" customHeight="1">
      <c r="C1316" s="342" t="str">
        <f t="shared" ca="1" si="130"/>
        <v/>
      </c>
      <c r="D1316" s="153" t="str">
        <f t="shared" ca="1" si="131"/>
        <v/>
      </c>
      <c r="E1316" s="153" t="str">
        <f t="shared" ca="1" si="132"/>
        <v/>
      </c>
      <c r="F1316" s="170" t="str">
        <f ca="1">IF(C1316="","",[1]!S_DQ_CLOSE(D1316,TODAY(),1))</f>
        <v/>
      </c>
      <c r="G1316" s="171" t="str">
        <f ca="1">IF(C1316="","",[1]!s_pq_pctchange(D1316,TODAY()-$G$12,TODAY())/100)</f>
        <v/>
      </c>
      <c r="H1316" s="247" t="str">
        <f ca="1">IF(C1316="","",IF($H$11="收入",[1]!S_STM07_IS(D1316,9,$G$5,$H$13)/$E$5,[1]!S_STM07_IS(D1316,48,$G$5,$H$13)/$E$5))</f>
        <v/>
      </c>
      <c r="I1316" s="247" t="str">
        <f ca="1">IF(C1316="","",IF($I$11="毛利率",([1]!S_STM07_IS(D1316,9,$G$5,$H$13)-[1]!S_STM07_IS(D1316,10,$G$5,$H$13))/[1]!S_STM07_IS(D1316,9,$G$5,$H$13),[1]!S_STM07_IS(D1316,14,$G$5,$H$13)/$E$5))</f>
        <v/>
      </c>
      <c r="J1316" s="247" t="str">
        <f ca="1">IF(C1316="","",IF($J$11="营业利润率",[1]!S_STM07_IS(D1316,48,$G$5,$H$13)/[1]!S_STM07_IS(D1316,9,$G$5,$H$13),([1]!S_STM07_CS(D1316,87,$G$5,$H$13)+[1]!S_STM07_CS(D1316,88,$G$5,$H$13)+[1]!S_STM07_CS(D1316,89,$G$5,$H$13))/$E$5))</f>
        <v/>
      </c>
      <c r="K1316" s="247" t="str">
        <f ca="1">IF(C1316="","",IF($K$11="净利润率",[1]!S_STM07_IS(D1316,61,$G$5,$H$13)/[1]!S_STM07_IS(D1316,9,$G$5,$H$13),[1]!S_STM07_IS(D1316,55,$G$5,$H$13)/$E$5))</f>
        <v/>
      </c>
      <c r="L1316" s="247" t="str">
        <f ca="1">IF(C1316="","",IF($L$11="ROA",[1]!S_STM07_IS(D1316,61,$G$5,$H$13)/[1]!S_STM07_BS(D1316,74,$G$5,$H$13),1-[1]!S_STM07_IS(D1316,61,$G$5,$H$13)/[1]!S_STM07_IS(D1316,55,$G$5,$H$13)))</f>
        <v/>
      </c>
      <c r="M1316" s="247" t="str">
        <f ca="1">IF(C1316="","",IF($M$11="ROE",[1]!S_STM07_IS(D1316,61,$G$5,$H$13)/[1]!S_STM07_BS(D1316,141,$G$5,$H$13),([1]!S_STM07_BS(D1316,25,$G$5,$H$13)-[1]!S_STM07_BS(D1316,93,$G$5,$H$13))/$E$5))</f>
        <v/>
      </c>
      <c r="N1316" s="247" t="str">
        <f ca="1">IF(C1316="","",IF($N$11="EPS",[1]!S_STM07_IS(D1316,61,$G$5,$H$13)/IF([1]!S_SHARE_TOTAL(D1316,$G$5)=0,[1]!S_SHARE_TOTAL(D1316,[1]!s_ipo_listeddate(D1316)),[1]!S_SHARE_TOTAL(D1316,$G$5)),([1]!S_STM07_BS(D1316,75,$G$5,$H$13)+[1]!S_STM07_BS(D1316,88,$G$5,$H$13)+[1]!S_STM07_BS(D1316,94,$G$5,$H$13)+[1]!S_STM07_BS(D1316,95,$G$5,$H$13))/$E$5))</f>
        <v/>
      </c>
      <c r="O1316" s="247" t="str">
        <f ca="1">IF(C1316="","",IF($O$11="BPS",[1]!S_STM07_BS(D1316,141,$G$5,$H$13)/IF([1]!S_SHARE_TOTAL(D1316,$G$5)=0,[1]!S_SHARE_TOTAL(D1316,[1]!s_ipo_listeddate(D1316)),[1]!S_SHARE_TOTAL(D1316,$G$5)),[1]!S_STM07_CS(D1316,49,$G$5,$H$13)/$E$5))</f>
        <v/>
      </c>
      <c r="P1316" s="247" t="str">
        <f ca="1">IF(C1316="","",IF($P$11="CFPS",[1]!S_STM07_CS(D1316,84,$G$5,$H$13)/IF([1]!S_SHARE_TOTAL(D1316,$G$5)=0,[1]!S_SHARE_TOTAL(D1316,[1]!s_ipo_listeddate(D1316)),[1]!S_SHARE_TOTAL(D1316,$G$5)),[1]!S_STM07_CS(D1316,84,$G$5,$H$13)/$E$5))</f>
        <v/>
      </c>
      <c r="Q1316" s="248" t="str">
        <f ca="1">IF(C1316="","",F1316/([1]!S_STM07_IS(D1316,61,$G$5,$H$13)/IF([1]!S_SHARE_TOTAL(D1316,$G$5)=0,[1]!S_SHARE_TOTAL(D1316,[1]!s_ipo_listeddate(D1316)),[1]!S_SHARE_TOTAL(D1316,$G$5))))</f>
        <v/>
      </c>
      <c r="R1316" s="248" t="str">
        <f ca="1">IF(C1316="","",F1316/([1]!S_STM07_BS(D1316,141,$G$5,$H$13)/IF([1]!S_SHARE_TOTAL(D1316,$G$5)=0,[1]!S_SHARE_TOTAL(D1316,[1]!s_ipo_listeddate(D1316)),[1]!S_SHARE_TOTAL(D1316,$G$5))))</f>
        <v/>
      </c>
      <c r="S1316" s="247" t="str">
        <f ca="1">IF(C1316="","",[1]!S_SHARE_TOTAL(D1316,TODAY())/$E$5)</f>
        <v/>
      </c>
      <c r="T1316" s="247" t="str">
        <f t="shared" ca="1" si="133"/>
        <v/>
      </c>
      <c r="U1316" s="218" t="str">
        <f t="shared" ca="1" si="134"/>
        <v/>
      </c>
      <c r="V1316" s="342" t="str">
        <f t="shared" ca="1" si="135"/>
        <v/>
      </c>
      <c r="W1316" s="139"/>
      <c r="Y1316" s="1"/>
    </row>
    <row r="1317" spans="3:25" ht="12" customHeight="1">
      <c r="C1317" s="343" t="str">
        <f t="shared" ca="1" si="130"/>
        <v/>
      </c>
      <c r="D1317" s="124" t="str">
        <f t="shared" ca="1" si="131"/>
        <v/>
      </c>
      <c r="E1317" s="124" t="str">
        <f t="shared" ca="1" si="132"/>
        <v/>
      </c>
      <c r="F1317" s="172" t="str">
        <f ca="1">IF(C1317="","",[1]!S_DQ_CLOSE(D1317,TODAY(),1))</f>
        <v/>
      </c>
      <c r="G1317" s="173" t="str">
        <f ca="1">IF(C1317="","",[1]!s_pq_pctchange(D1317,TODAY()-$G$12,TODAY())/100)</f>
        <v/>
      </c>
      <c r="H1317" s="249" t="str">
        <f ca="1">IF(C1317="","",IF($H$11="收入",[1]!S_STM07_IS(D1317,9,$G$5,$H$13)/$E$5,[1]!S_STM07_IS(D1317,48,$G$5,$H$13)/$E$5))</f>
        <v/>
      </c>
      <c r="I1317" s="249" t="str">
        <f ca="1">IF(C1317="","",IF($I$11="毛利率",([1]!S_STM07_IS(D1317,9,$G$5,$H$13)-[1]!S_STM07_IS(D1317,10,$G$5,$H$13))/[1]!S_STM07_IS(D1317,9,$G$5,$H$13),[1]!S_STM07_IS(D1317,14,$G$5,$H$13)/$E$5))</f>
        <v/>
      </c>
      <c r="J1317" s="249" t="str">
        <f ca="1">IF(C1317="","",IF($J$11="营业利润率",[1]!S_STM07_IS(D1317,48,$G$5,$H$13)/[1]!S_STM07_IS(D1317,9,$G$5,$H$13),([1]!S_STM07_CS(D1317,87,$G$5,$H$13)+[1]!S_STM07_CS(D1317,88,$G$5,$H$13)+[1]!S_STM07_CS(D1317,89,$G$5,$H$13))/$E$5))</f>
        <v/>
      </c>
      <c r="K1317" s="249" t="str">
        <f ca="1">IF(C1317="","",IF($K$11="净利润率",[1]!S_STM07_IS(D1317,61,$G$5,$H$13)/[1]!S_STM07_IS(D1317,9,$G$5,$H$13),[1]!S_STM07_IS(D1317,55,$G$5,$H$13)/$E$5))</f>
        <v/>
      </c>
      <c r="L1317" s="249" t="str">
        <f ca="1">IF(C1317="","",IF($L$11="ROA",[1]!S_STM07_IS(D1317,61,$G$5,$H$13)/[1]!S_STM07_BS(D1317,74,$G$5,$H$13),1-[1]!S_STM07_IS(D1317,61,$G$5,$H$13)/[1]!S_STM07_IS(D1317,55,$G$5,$H$13)))</f>
        <v/>
      </c>
      <c r="M1317" s="249" t="str">
        <f ca="1">IF(C1317="","",IF($M$11="ROE",[1]!S_STM07_IS(D1317,61,$G$5,$H$13)/[1]!S_STM07_BS(D1317,141,$G$5,$H$13),([1]!S_STM07_BS(D1317,25,$G$5,$H$13)-[1]!S_STM07_BS(D1317,93,$G$5,$H$13))/$E$5))</f>
        <v/>
      </c>
      <c r="N1317" s="250" t="str">
        <f ca="1">IF(C1317="","",IF($N$11="EPS",[1]!S_STM07_IS(D1317,61,$G$5,$H$13)/IF([1]!S_SHARE_TOTAL(D1317,$G$5)=0,[1]!S_SHARE_TOTAL(D1317,[1]!s_ipo_listeddate(D1317)),[1]!S_SHARE_TOTAL(D1317,$G$5)),([1]!S_STM07_BS(D1317,75,$G$5,$H$13)+[1]!S_STM07_BS(D1317,88,$G$5,$H$13)+[1]!S_STM07_BS(D1317,94,$G$5,$H$13)+[1]!S_STM07_BS(D1317,95,$G$5,$H$13))/$E$5))</f>
        <v/>
      </c>
      <c r="O1317" s="250" t="str">
        <f ca="1">IF(C1317="","",IF($O$11="BPS",[1]!S_STM07_BS(D1317,141,$G$5,$H$13)/IF([1]!S_SHARE_TOTAL(D1317,$G$5)=0,[1]!S_SHARE_TOTAL(D1317,[1]!s_ipo_listeddate(D1317)),[1]!S_SHARE_TOTAL(D1317,$G$5)),[1]!S_STM07_CS(D1317,49,$G$5,$H$13)/$E$5))</f>
        <v/>
      </c>
      <c r="P1317" s="250" t="str">
        <f ca="1">IF(C1317="","",IF($P$11="CFPS",[1]!S_STM07_CS(D1317,84,$G$5,$H$13)/IF([1]!S_SHARE_TOTAL(D1317,$G$5)=0,[1]!S_SHARE_TOTAL(D1317,[1]!s_ipo_listeddate(D1317)),[1]!S_SHARE_TOTAL(D1317,$G$5)),[1]!S_STM07_CS(D1317,84,$G$5,$H$13)/$E$5))</f>
        <v/>
      </c>
      <c r="Q1317" s="198" t="str">
        <f ca="1">IF(C1317="","",F1317/([1]!S_STM07_IS(D1317,61,$G$5,$H$13)/IF([1]!S_SHARE_TOTAL(D1317,$G$5)=0,[1]!S_SHARE_TOTAL(D1317,[1]!s_ipo_listeddate(D1317)),[1]!S_SHARE_TOTAL(D1317,$G$5))))</f>
        <v/>
      </c>
      <c r="R1317" s="198" t="str">
        <f ca="1">IF(C1317="","",F1317/([1]!S_STM07_BS(D1317,141,$G$5,$H$13)/IF([1]!S_SHARE_TOTAL(D1317,$G$5)=0,[1]!S_SHARE_TOTAL(D1317,[1]!s_ipo_listeddate(D1317)),[1]!S_SHARE_TOTAL(D1317,$G$5))))</f>
        <v/>
      </c>
      <c r="S1317" s="249" t="str">
        <f ca="1">IF(C1317="","",[1]!S_SHARE_TOTAL(D1317,TODAY())/$E$5)</f>
        <v/>
      </c>
      <c r="T1317" s="249" t="str">
        <f t="shared" ca="1" si="133"/>
        <v/>
      </c>
      <c r="U1317" s="172" t="str">
        <f t="shared" ca="1" si="134"/>
        <v/>
      </c>
      <c r="V1317" s="343" t="str">
        <f t="shared" ca="1" si="135"/>
        <v/>
      </c>
      <c r="W1317" s="139"/>
      <c r="Y1317" s="1"/>
    </row>
    <row r="1318" spans="3:25" ht="12" customHeight="1">
      <c r="C1318" s="342" t="str">
        <f t="shared" ca="1" si="130"/>
        <v/>
      </c>
      <c r="D1318" s="153" t="str">
        <f t="shared" ca="1" si="131"/>
        <v/>
      </c>
      <c r="E1318" s="153" t="str">
        <f t="shared" ca="1" si="132"/>
        <v/>
      </c>
      <c r="F1318" s="170" t="str">
        <f ca="1">IF(C1318="","",[1]!S_DQ_CLOSE(D1318,TODAY(),1))</f>
        <v/>
      </c>
      <c r="G1318" s="171" t="str">
        <f ca="1">IF(C1318="","",[1]!s_pq_pctchange(D1318,TODAY()-$G$12,TODAY())/100)</f>
        <v/>
      </c>
      <c r="H1318" s="247" t="str">
        <f ca="1">IF(C1318="","",IF($H$11="收入",[1]!S_STM07_IS(D1318,9,$G$5,$H$13)/$E$5,[1]!S_STM07_IS(D1318,48,$G$5,$H$13)/$E$5))</f>
        <v/>
      </c>
      <c r="I1318" s="247" t="str">
        <f ca="1">IF(C1318="","",IF($I$11="毛利率",([1]!S_STM07_IS(D1318,9,$G$5,$H$13)-[1]!S_STM07_IS(D1318,10,$G$5,$H$13))/[1]!S_STM07_IS(D1318,9,$G$5,$H$13),[1]!S_STM07_IS(D1318,14,$G$5,$H$13)/$E$5))</f>
        <v/>
      </c>
      <c r="J1318" s="247" t="str">
        <f ca="1">IF(C1318="","",IF($J$11="营业利润率",[1]!S_STM07_IS(D1318,48,$G$5,$H$13)/[1]!S_STM07_IS(D1318,9,$G$5,$H$13),([1]!S_STM07_CS(D1318,87,$G$5,$H$13)+[1]!S_STM07_CS(D1318,88,$G$5,$H$13)+[1]!S_STM07_CS(D1318,89,$G$5,$H$13))/$E$5))</f>
        <v/>
      </c>
      <c r="K1318" s="247" t="str">
        <f ca="1">IF(C1318="","",IF($K$11="净利润率",[1]!S_STM07_IS(D1318,61,$G$5,$H$13)/[1]!S_STM07_IS(D1318,9,$G$5,$H$13),[1]!S_STM07_IS(D1318,55,$G$5,$H$13)/$E$5))</f>
        <v/>
      </c>
      <c r="L1318" s="247" t="str">
        <f ca="1">IF(C1318="","",IF($L$11="ROA",[1]!S_STM07_IS(D1318,61,$G$5,$H$13)/[1]!S_STM07_BS(D1318,74,$G$5,$H$13),1-[1]!S_STM07_IS(D1318,61,$G$5,$H$13)/[1]!S_STM07_IS(D1318,55,$G$5,$H$13)))</f>
        <v/>
      </c>
      <c r="M1318" s="247" t="str">
        <f ca="1">IF(C1318="","",IF($M$11="ROE",[1]!S_STM07_IS(D1318,61,$G$5,$H$13)/[1]!S_STM07_BS(D1318,141,$G$5,$H$13),([1]!S_STM07_BS(D1318,25,$G$5,$H$13)-[1]!S_STM07_BS(D1318,93,$G$5,$H$13))/$E$5))</f>
        <v/>
      </c>
      <c r="N1318" s="247" t="str">
        <f ca="1">IF(C1318="","",IF($N$11="EPS",[1]!S_STM07_IS(D1318,61,$G$5,$H$13)/IF([1]!S_SHARE_TOTAL(D1318,$G$5)=0,[1]!S_SHARE_TOTAL(D1318,[1]!s_ipo_listeddate(D1318)),[1]!S_SHARE_TOTAL(D1318,$G$5)),([1]!S_STM07_BS(D1318,75,$G$5,$H$13)+[1]!S_STM07_BS(D1318,88,$G$5,$H$13)+[1]!S_STM07_BS(D1318,94,$G$5,$H$13)+[1]!S_STM07_BS(D1318,95,$G$5,$H$13))/$E$5))</f>
        <v/>
      </c>
      <c r="O1318" s="247" t="str">
        <f ca="1">IF(C1318="","",IF($O$11="BPS",[1]!S_STM07_BS(D1318,141,$G$5,$H$13)/IF([1]!S_SHARE_TOTAL(D1318,$G$5)=0,[1]!S_SHARE_TOTAL(D1318,[1]!s_ipo_listeddate(D1318)),[1]!S_SHARE_TOTAL(D1318,$G$5)),[1]!S_STM07_CS(D1318,49,$G$5,$H$13)/$E$5))</f>
        <v/>
      </c>
      <c r="P1318" s="247" t="str">
        <f ca="1">IF(C1318="","",IF($P$11="CFPS",[1]!S_STM07_CS(D1318,84,$G$5,$H$13)/IF([1]!S_SHARE_TOTAL(D1318,$G$5)=0,[1]!S_SHARE_TOTAL(D1318,[1]!s_ipo_listeddate(D1318)),[1]!S_SHARE_TOTAL(D1318,$G$5)),[1]!S_STM07_CS(D1318,84,$G$5,$H$13)/$E$5))</f>
        <v/>
      </c>
      <c r="Q1318" s="248" t="str">
        <f ca="1">IF(C1318="","",F1318/([1]!S_STM07_IS(D1318,61,$G$5,$H$13)/IF([1]!S_SHARE_TOTAL(D1318,$G$5)=0,[1]!S_SHARE_TOTAL(D1318,[1]!s_ipo_listeddate(D1318)),[1]!S_SHARE_TOTAL(D1318,$G$5))))</f>
        <v/>
      </c>
      <c r="R1318" s="248" t="str">
        <f ca="1">IF(C1318="","",F1318/([1]!S_STM07_BS(D1318,141,$G$5,$H$13)/IF([1]!S_SHARE_TOTAL(D1318,$G$5)=0,[1]!S_SHARE_TOTAL(D1318,[1]!s_ipo_listeddate(D1318)),[1]!S_SHARE_TOTAL(D1318,$G$5))))</f>
        <v/>
      </c>
      <c r="S1318" s="247" t="str">
        <f ca="1">IF(C1318="","",[1]!S_SHARE_TOTAL(D1318,TODAY())/$E$5)</f>
        <v/>
      </c>
      <c r="T1318" s="247" t="str">
        <f t="shared" ca="1" si="133"/>
        <v/>
      </c>
      <c r="U1318" s="218" t="str">
        <f t="shared" ca="1" si="134"/>
        <v/>
      </c>
      <c r="V1318" s="342" t="str">
        <f t="shared" ca="1" si="135"/>
        <v/>
      </c>
      <c r="W1318" s="139"/>
      <c r="Y1318" s="1"/>
    </row>
    <row r="1319" spans="3:25" ht="12" customHeight="1">
      <c r="C1319" s="343" t="str">
        <f t="shared" ca="1" si="130"/>
        <v/>
      </c>
      <c r="D1319" s="124" t="str">
        <f t="shared" ca="1" si="131"/>
        <v/>
      </c>
      <c r="E1319" s="124" t="str">
        <f t="shared" ca="1" si="132"/>
        <v/>
      </c>
      <c r="F1319" s="172" t="str">
        <f ca="1">IF(C1319="","",[1]!S_DQ_CLOSE(D1319,TODAY(),1))</f>
        <v/>
      </c>
      <c r="G1319" s="173" t="str">
        <f ca="1">IF(C1319="","",[1]!s_pq_pctchange(D1319,TODAY()-$G$12,TODAY())/100)</f>
        <v/>
      </c>
      <c r="H1319" s="249" t="str">
        <f ca="1">IF(C1319="","",IF($H$11="收入",[1]!S_STM07_IS(D1319,9,$G$5,$H$13)/$E$5,[1]!S_STM07_IS(D1319,48,$G$5,$H$13)/$E$5))</f>
        <v/>
      </c>
      <c r="I1319" s="249" t="str">
        <f ca="1">IF(C1319="","",IF($I$11="毛利率",([1]!S_STM07_IS(D1319,9,$G$5,$H$13)-[1]!S_STM07_IS(D1319,10,$G$5,$H$13))/[1]!S_STM07_IS(D1319,9,$G$5,$H$13),[1]!S_STM07_IS(D1319,14,$G$5,$H$13)/$E$5))</f>
        <v/>
      </c>
      <c r="J1319" s="249" t="str">
        <f ca="1">IF(C1319="","",IF($J$11="营业利润率",[1]!S_STM07_IS(D1319,48,$G$5,$H$13)/[1]!S_STM07_IS(D1319,9,$G$5,$H$13),([1]!S_STM07_CS(D1319,87,$G$5,$H$13)+[1]!S_STM07_CS(D1319,88,$G$5,$H$13)+[1]!S_STM07_CS(D1319,89,$G$5,$H$13))/$E$5))</f>
        <v/>
      </c>
      <c r="K1319" s="249" t="str">
        <f ca="1">IF(C1319="","",IF($K$11="净利润率",[1]!S_STM07_IS(D1319,61,$G$5,$H$13)/[1]!S_STM07_IS(D1319,9,$G$5,$H$13),[1]!S_STM07_IS(D1319,55,$G$5,$H$13)/$E$5))</f>
        <v/>
      </c>
      <c r="L1319" s="249" t="str">
        <f ca="1">IF(C1319="","",IF($L$11="ROA",[1]!S_STM07_IS(D1319,61,$G$5,$H$13)/[1]!S_STM07_BS(D1319,74,$G$5,$H$13),1-[1]!S_STM07_IS(D1319,61,$G$5,$H$13)/[1]!S_STM07_IS(D1319,55,$G$5,$H$13)))</f>
        <v/>
      </c>
      <c r="M1319" s="249" t="str">
        <f ca="1">IF(C1319="","",IF($M$11="ROE",[1]!S_STM07_IS(D1319,61,$G$5,$H$13)/[1]!S_STM07_BS(D1319,141,$G$5,$H$13),([1]!S_STM07_BS(D1319,25,$G$5,$H$13)-[1]!S_STM07_BS(D1319,93,$G$5,$H$13))/$E$5))</f>
        <v/>
      </c>
      <c r="N1319" s="250" t="str">
        <f ca="1">IF(C1319="","",IF($N$11="EPS",[1]!S_STM07_IS(D1319,61,$G$5,$H$13)/IF([1]!S_SHARE_TOTAL(D1319,$G$5)=0,[1]!S_SHARE_TOTAL(D1319,[1]!s_ipo_listeddate(D1319)),[1]!S_SHARE_TOTAL(D1319,$G$5)),([1]!S_STM07_BS(D1319,75,$G$5,$H$13)+[1]!S_STM07_BS(D1319,88,$G$5,$H$13)+[1]!S_STM07_BS(D1319,94,$G$5,$H$13)+[1]!S_STM07_BS(D1319,95,$G$5,$H$13))/$E$5))</f>
        <v/>
      </c>
      <c r="O1319" s="250" t="str">
        <f ca="1">IF(C1319="","",IF($O$11="BPS",[1]!S_STM07_BS(D1319,141,$G$5,$H$13)/IF([1]!S_SHARE_TOTAL(D1319,$G$5)=0,[1]!S_SHARE_TOTAL(D1319,[1]!s_ipo_listeddate(D1319)),[1]!S_SHARE_TOTAL(D1319,$G$5)),[1]!S_STM07_CS(D1319,49,$G$5,$H$13)/$E$5))</f>
        <v/>
      </c>
      <c r="P1319" s="250" t="str">
        <f ca="1">IF(C1319="","",IF($P$11="CFPS",[1]!S_STM07_CS(D1319,84,$G$5,$H$13)/IF([1]!S_SHARE_TOTAL(D1319,$G$5)=0,[1]!S_SHARE_TOTAL(D1319,[1]!s_ipo_listeddate(D1319)),[1]!S_SHARE_TOTAL(D1319,$G$5)),[1]!S_STM07_CS(D1319,84,$G$5,$H$13)/$E$5))</f>
        <v/>
      </c>
      <c r="Q1319" s="198" t="str">
        <f ca="1">IF(C1319="","",F1319/([1]!S_STM07_IS(D1319,61,$G$5,$H$13)/IF([1]!S_SHARE_TOTAL(D1319,$G$5)=0,[1]!S_SHARE_TOTAL(D1319,[1]!s_ipo_listeddate(D1319)),[1]!S_SHARE_TOTAL(D1319,$G$5))))</f>
        <v/>
      </c>
      <c r="R1319" s="198" t="str">
        <f ca="1">IF(C1319="","",F1319/([1]!S_STM07_BS(D1319,141,$G$5,$H$13)/IF([1]!S_SHARE_TOTAL(D1319,$G$5)=0,[1]!S_SHARE_TOTAL(D1319,[1]!s_ipo_listeddate(D1319)),[1]!S_SHARE_TOTAL(D1319,$G$5))))</f>
        <v/>
      </c>
      <c r="S1319" s="249" t="str">
        <f ca="1">IF(C1319="","",[1]!S_SHARE_TOTAL(D1319,TODAY())/$E$5)</f>
        <v/>
      </c>
      <c r="T1319" s="249" t="str">
        <f t="shared" ca="1" si="133"/>
        <v/>
      </c>
      <c r="U1319" s="172" t="str">
        <f t="shared" ca="1" si="134"/>
        <v/>
      </c>
      <c r="V1319" s="343" t="str">
        <f t="shared" ca="1" si="135"/>
        <v/>
      </c>
      <c r="W1319" s="139"/>
      <c r="Y1319" s="1"/>
    </row>
    <row r="1320" spans="3:25" ht="12" customHeight="1">
      <c r="C1320" s="342" t="str">
        <f t="shared" ca="1" si="130"/>
        <v/>
      </c>
      <c r="D1320" s="153" t="str">
        <f t="shared" ca="1" si="131"/>
        <v/>
      </c>
      <c r="E1320" s="153" t="str">
        <f t="shared" ca="1" si="132"/>
        <v/>
      </c>
      <c r="F1320" s="170" t="str">
        <f ca="1">IF(C1320="","",[1]!S_DQ_CLOSE(D1320,TODAY(),1))</f>
        <v/>
      </c>
      <c r="G1320" s="171" t="str">
        <f ca="1">IF(C1320="","",[1]!s_pq_pctchange(D1320,TODAY()-$G$12,TODAY())/100)</f>
        <v/>
      </c>
      <c r="H1320" s="247" t="str">
        <f ca="1">IF(C1320="","",IF($H$11="收入",[1]!S_STM07_IS(D1320,9,$G$5,$H$13)/$E$5,[1]!S_STM07_IS(D1320,48,$G$5,$H$13)/$E$5))</f>
        <v/>
      </c>
      <c r="I1320" s="247" t="str">
        <f ca="1">IF(C1320="","",IF($I$11="毛利率",([1]!S_STM07_IS(D1320,9,$G$5,$H$13)-[1]!S_STM07_IS(D1320,10,$G$5,$H$13))/[1]!S_STM07_IS(D1320,9,$G$5,$H$13),[1]!S_STM07_IS(D1320,14,$G$5,$H$13)/$E$5))</f>
        <v/>
      </c>
      <c r="J1320" s="247" t="str">
        <f ca="1">IF(C1320="","",IF($J$11="营业利润率",[1]!S_STM07_IS(D1320,48,$G$5,$H$13)/[1]!S_STM07_IS(D1320,9,$G$5,$H$13),([1]!S_STM07_CS(D1320,87,$G$5,$H$13)+[1]!S_STM07_CS(D1320,88,$G$5,$H$13)+[1]!S_STM07_CS(D1320,89,$G$5,$H$13))/$E$5))</f>
        <v/>
      </c>
      <c r="K1320" s="247" t="str">
        <f ca="1">IF(C1320="","",IF($K$11="净利润率",[1]!S_STM07_IS(D1320,61,$G$5,$H$13)/[1]!S_STM07_IS(D1320,9,$G$5,$H$13),[1]!S_STM07_IS(D1320,55,$G$5,$H$13)/$E$5))</f>
        <v/>
      </c>
      <c r="L1320" s="247" t="str">
        <f ca="1">IF(C1320="","",IF($L$11="ROA",[1]!S_STM07_IS(D1320,61,$G$5,$H$13)/[1]!S_STM07_BS(D1320,74,$G$5,$H$13),1-[1]!S_STM07_IS(D1320,61,$G$5,$H$13)/[1]!S_STM07_IS(D1320,55,$G$5,$H$13)))</f>
        <v/>
      </c>
      <c r="M1320" s="247" t="str">
        <f ca="1">IF(C1320="","",IF($M$11="ROE",[1]!S_STM07_IS(D1320,61,$G$5,$H$13)/[1]!S_STM07_BS(D1320,141,$G$5,$H$13),([1]!S_STM07_BS(D1320,25,$G$5,$H$13)-[1]!S_STM07_BS(D1320,93,$G$5,$H$13))/$E$5))</f>
        <v/>
      </c>
      <c r="N1320" s="247" t="str">
        <f ca="1">IF(C1320="","",IF($N$11="EPS",[1]!S_STM07_IS(D1320,61,$G$5,$H$13)/IF([1]!S_SHARE_TOTAL(D1320,$G$5)=0,[1]!S_SHARE_TOTAL(D1320,[1]!s_ipo_listeddate(D1320)),[1]!S_SHARE_TOTAL(D1320,$G$5)),([1]!S_STM07_BS(D1320,75,$G$5,$H$13)+[1]!S_STM07_BS(D1320,88,$G$5,$H$13)+[1]!S_STM07_BS(D1320,94,$G$5,$H$13)+[1]!S_STM07_BS(D1320,95,$G$5,$H$13))/$E$5))</f>
        <v/>
      </c>
      <c r="O1320" s="247" t="str">
        <f ca="1">IF(C1320="","",IF($O$11="BPS",[1]!S_STM07_BS(D1320,141,$G$5,$H$13)/IF([1]!S_SHARE_TOTAL(D1320,$G$5)=0,[1]!S_SHARE_TOTAL(D1320,[1]!s_ipo_listeddate(D1320)),[1]!S_SHARE_TOTAL(D1320,$G$5)),[1]!S_STM07_CS(D1320,49,$G$5,$H$13)/$E$5))</f>
        <v/>
      </c>
      <c r="P1320" s="247" t="str">
        <f ca="1">IF(C1320="","",IF($P$11="CFPS",[1]!S_STM07_CS(D1320,84,$G$5,$H$13)/IF([1]!S_SHARE_TOTAL(D1320,$G$5)=0,[1]!S_SHARE_TOTAL(D1320,[1]!s_ipo_listeddate(D1320)),[1]!S_SHARE_TOTAL(D1320,$G$5)),[1]!S_STM07_CS(D1320,84,$G$5,$H$13)/$E$5))</f>
        <v/>
      </c>
      <c r="Q1320" s="248" t="str">
        <f ca="1">IF(C1320="","",F1320/([1]!S_STM07_IS(D1320,61,$G$5,$H$13)/IF([1]!S_SHARE_TOTAL(D1320,$G$5)=0,[1]!S_SHARE_TOTAL(D1320,[1]!s_ipo_listeddate(D1320)),[1]!S_SHARE_TOTAL(D1320,$G$5))))</f>
        <v/>
      </c>
      <c r="R1320" s="248" t="str">
        <f ca="1">IF(C1320="","",F1320/([1]!S_STM07_BS(D1320,141,$G$5,$H$13)/IF([1]!S_SHARE_TOTAL(D1320,$G$5)=0,[1]!S_SHARE_TOTAL(D1320,[1]!s_ipo_listeddate(D1320)),[1]!S_SHARE_TOTAL(D1320,$G$5))))</f>
        <v/>
      </c>
      <c r="S1320" s="247" t="str">
        <f ca="1">IF(C1320="","",[1]!S_SHARE_TOTAL(D1320,TODAY())/$E$5)</f>
        <v/>
      </c>
      <c r="T1320" s="247" t="str">
        <f t="shared" ca="1" si="133"/>
        <v/>
      </c>
      <c r="U1320" s="218" t="str">
        <f t="shared" ca="1" si="134"/>
        <v/>
      </c>
      <c r="V1320" s="342" t="str">
        <f t="shared" ca="1" si="135"/>
        <v/>
      </c>
      <c r="W1320" s="139"/>
      <c r="Y1320" s="1"/>
    </row>
    <row r="1321" spans="3:25" ht="12" customHeight="1">
      <c r="C1321" s="343" t="str">
        <f t="shared" ca="1" si="130"/>
        <v/>
      </c>
      <c r="D1321" s="124" t="str">
        <f t="shared" ca="1" si="131"/>
        <v/>
      </c>
      <c r="E1321" s="124" t="str">
        <f t="shared" ca="1" si="132"/>
        <v/>
      </c>
      <c r="F1321" s="172" t="str">
        <f ca="1">IF(C1321="","",[1]!S_DQ_CLOSE(D1321,TODAY(),1))</f>
        <v/>
      </c>
      <c r="G1321" s="173" t="str">
        <f ca="1">IF(C1321="","",[1]!s_pq_pctchange(D1321,TODAY()-$G$12,TODAY())/100)</f>
        <v/>
      </c>
      <c r="H1321" s="249" t="str">
        <f ca="1">IF(C1321="","",IF($H$11="收入",[1]!S_STM07_IS(D1321,9,$G$5,$H$13)/$E$5,[1]!S_STM07_IS(D1321,48,$G$5,$H$13)/$E$5))</f>
        <v/>
      </c>
      <c r="I1321" s="249" t="str">
        <f ca="1">IF(C1321="","",IF($I$11="毛利率",([1]!S_STM07_IS(D1321,9,$G$5,$H$13)-[1]!S_STM07_IS(D1321,10,$G$5,$H$13))/[1]!S_STM07_IS(D1321,9,$G$5,$H$13),[1]!S_STM07_IS(D1321,14,$G$5,$H$13)/$E$5))</f>
        <v/>
      </c>
      <c r="J1321" s="249" t="str">
        <f ca="1">IF(C1321="","",IF($J$11="营业利润率",[1]!S_STM07_IS(D1321,48,$G$5,$H$13)/[1]!S_STM07_IS(D1321,9,$G$5,$H$13),([1]!S_STM07_CS(D1321,87,$G$5,$H$13)+[1]!S_STM07_CS(D1321,88,$G$5,$H$13)+[1]!S_STM07_CS(D1321,89,$G$5,$H$13))/$E$5))</f>
        <v/>
      </c>
      <c r="K1321" s="249" t="str">
        <f ca="1">IF(C1321="","",IF($K$11="净利润率",[1]!S_STM07_IS(D1321,61,$G$5,$H$13)/[1]!S_STM07_IS(D1321,9,$G$5,$H$13),[1]!S_STM07_IS(D1321,55,$G$5,$H$13)/$E$5))</f>
        <v/>
      </c>
      <c r="L1321" s="249" t="str">
        <f ca="1">IF(C1321="","",IF($L$11="ROA",[1]!S_STM07_IS(D1321,61,$G$5,$H$13)/[1]!S_STM07_BS(D1321,74,$G$5,$H$13),1-[1]!S_STM07_IS(D1321,61,$G$5,$H$13)/[1]!S_STM07_IS(D1321,55,$G$5,$H$13)))</f>
        <v/>
      </c>
      <c r="M1321" s="249" t="str">
        <f ca="1">IF(C1321="","",IF($M$11="ROE",[1]!S_STM07_IS(D1321,61,$G$5,$H$13)/[1]!S_STM07_BS(D1321,141,$G$5,$H$13),([1]!S_STM07_BS(D1321,25,$G$5,$H$13)-[1]!S_STM07_BS(D1321,93,$G$5,$H$13))/$E$5))</f>
        <v/>
      </c>
      <c r="N1321" s="250" t="str">
        <f ca="1">IF(C1321="","",IF($N$11="EPS",[1]!S_STM07_IS(D1321,61,$G$5,$H$13)/IF([1]!S_SHARE_TOTAL(D1321,$G$5)=0,[1]!S_SHARE_TOTAL(D1321,[1]!s_ipo_listeddate(D1321)),[1]!S_SHARE_TOTAL(D1321,$G$5)),([1]!S_STM07_BS(D1321,75,$G$5,$H$13)+[1]!S_STM07_BS(D1321,88,$G$5,$H$13)+[1]!S_STM07_BS(D1321,94,$G$5,$H$13)+[1]!S_STM07_BS(D1321,95,$G$5,$H$13))/$E$5))</f>
        <v/>
      </c>
      <c r="O1321" s="250" t="str">
        <f ca="1">IF(C1321="","",IF($O$11="BPS",[1]!S_STM07_BS(D1321,141,$G$5,$H$13)/IF([1]!S_SHARE_TOTAL(D1321,$G$5)=0,[1]!S_SHARE_TOTAL(D1321,[1]!s_ipo_listeddate(D1321)),[1]!S_SHARE_TOTAL(D1321,$G$5)),[1]!S_STM07_CS(D1321,49,$G$5,$H$13)/$E$5))</f>
        <v/>
      </c>
      <c r="P1321" s="250" t="str">
        <f ca="1">IF(C1321="","",IF($P$11="CFPS",[1]!S_STM07_CS(D1321,84,$G$5,$H$13)/IF([1]!S_SHARE_TOTAL(D1321,$G$5)=0,[1]!S_SHARE_TOTAL(D1321,[1]!s_ipo_listeddate(D1321)),[1]!S_SHARE_TOTAL(D1321,$G$5)),[1]!S_STM07_CS(D1321,84,$G$5,$H$13)/$E$5))</f>
        <v/>
      </c>
      <c r="Q1321" s="198" t="str">
        <f ca="1">IF(C1321="","",F1321/([1]!S_STM07_IS(D1321,61,$G$5,$H$13)/IF([1]!S_SHARE_TOTAL(D1321,$G$5)=0,[1]!S_SHARE_TOTAL(D1321,[1]!s_ipo_listeddate(D1321)),[1]!S_SHARE_TOTAL(D1321,$G$5))))</f>
        <v/>
      </c>
      <c r="R1321" s="198" t="str">
        <f ca="1">IF(C1321="","",F1321/([1]!S_STM07_BS(D1321,141,$G$5,$H$13)/IF([1]!S_SHARE_TOTAL(D1321,$G$5)=0,[1]!S_SHARE_TOTAL(D1321,[1]!s_ipo_listeddate(D1321)),[1]!S_SHARE_TOTAL(D1321,$G$5))))</f>
        <v/>
      </c>
      <c r="S1321" s="249" t="str">
        <f ca="1">IF(C1321="","",[1]!S_SHARE_TOTAL(D1321,TODAY())/$E$5)</f>
        <v/>
      </c>
      <c r="T1321" s="249" t="str">
        <f t="shared" ca="1" si="133"/>
        <v/>
      </c>
      <c r="U1321" s="172" t="str">
        <f t="shared" ca="1" si="134"/>
        <v/>
      </c>
      <c r="V1321" s="343" t="str">
        <f t="shared" ca="1" si="135"/>
        <v/>
      </c>
      <c r="W1321" s="139"/>
      <c r="Y1321" s="1"/>
    </row>
    <row r="1322" spans="3:25" ht="12" customHeight="1">
      <c r="C1322" s="342" t="str">
        <f t="shared" ca="1" si="130"/>
        <v/>
      </c>
      <c r="D1322" s="153" t="str">
        <f t="shared" ca="1" si="131"/>
        <v/>
      </c>
      <c r="E1322" s="153" t="str">
        <f t="shared" ca="1" si="132"/>
        <v/>
      </c>
      <c r="F1322" s="170" t="str">
        <f ca="1">IF(C1322="","",[1]!S_DQ_CLOSE(D1322,TODAY(),1))</f>
        <v/>
      </c>
      <c r="G1322" s="171" t="str">
        <f ca="1">IF(C1322="","",[1]!s_pq_pctchange(D1322,TODAY()-$G$12,TODAY())/100)</f>
        <v/>
      </c>
      <c r="H1322" s="247" t="str">
        <f ca="1">IF(C1322="","",IF($H$11="收入",[1]!S_STM07_IS(D1322,9,$G$5,$H$13)/$E$5,[1]!S_STM07_IS(D1322,48,$G$5,$H$13)/$E$5))</f>
        <v/>
      </c>
      <c r="I1322" s="247" t="str">
        <f ca="1">IF(C1322="","",IF($I$11="毛利率",([1]!S_STM07_IS(D1322,9,$G$5,$H$13)-[1]!S_STM07_IS(D1322,10,$G$5,$H$13))/[1]!S_STM07_IS(D1322,9,$G$5,$H$13),[1]!S_STM07_IS(D1322,14,$G$5,$H$13)/$E$5))</f>
        <v/>
      </c>
      <c r="J1322" s="247" t="str">
        <f ca="1">IF(C1322="","",IF($J$11="营业利润率",[1]!S_STM07_IS(D1322,48,$G$5,$H$13)/[1]!S_STM07_IS(D1322,9,$G$5,$H$13),([1]!S_STM07_CS(D1322,87,$G$5,$H$13)+[1]!S_STM07_CS(D1322,88,$G$5,$H$13)+[1]!S_STM07_CS(D1322,89,$G$5,$H$13))/$E$5))</f>
        <v/>
      </c>
      <c r="K1322" s="247" t="str">
        <f ca="1">IF(C1322="","",IF($K$11="净利润率",[1]!S_STM07_IS(D1322,61,$G$5,$H$13)/[1]!S_STM07_IS(D1322,9,$G$5,$H$13),[1]!S_STM07_IS(D1322,55,$G$5,$H$13)/$E$5))</f>
        <v/>
      </c>
      <c r="L1322" s="247" t="str">
        <f ca="1">IF(C1322="","",IF($L$11="ROA",[1]!S_STM07_IS(D1322,61,$G$5,$H$13)/[1]!S_STM07_BS(D1322,74,$G$5,$H$13),1-[1]!S_STM07_IS(D1322,61,$G$5,$H$13)/[1]!S_STM07_IS(D1322,55,$G$5,$H$13)))</f>
        <v/>
      </c>
      <c r="M1322" s="247" t="str">
        <f ca="1">IF(C1322="","",IF($M$11="ROE",[1]!S_STM07_IS(D1322,61,$G$5,$H$13)/[1]!S_STM07_BS(D1322,141,$G$5,$H$13),([1]!S_STM07_BS(D1322,25,$G$5,$H$13)-[1]!S_STM07_BS(D1322,93,$G$5,$H$13))/$E$5))</f>
        <v/>
      </c>
      <c r="N1322" s="247" t="str">
        <f ca="1">IF(C1322="","",IF($N$11="EPS",[1]!S_STM07_IS(D1322,61,$G$5,$H$13)/IF([1]!S_SHARE_TOTAL(D1322,$G$5)=0,[1]!S_SHARE_TOTAL(D1322,[1]!s_ipo_listeddate(D1322)),[1]!S_SHARE_TOTAL(D1322,$G$5)),([1]!S_STM07_BS(D1322,75,$G$5,$H$13)+[1]!S_STM07_BS(D1322,88,$G$5,$H$13)+[1]!S_STM07_BS(D1322,94,$G$5,$H$13)+[1]!S_STM07_BS(D1322,95,$G$5,$H$13))/$E$5))</f>
        <v/>
      </c>
      <c r="O1322" s="247" t="str">
        <f ca="1">IF(C1322="","",IF($O$11="BPS",[1]!S_STM07_BS(D1322,141,$G$5,$H$13)/IF([1]!S_SHARE_TOTAL(D1322,$G$5)=0,[1]!S_SHARE_TOTAL(D1322,[1]!s_ipo_listeddate(D1322)),[1]!S_SHARE_TOTAL(D1322,$G$5)),[1]!S_STM07_CS(D1322,49,$G$5,$H$13)/$E$5))</f>
        <v/>
      </c>
      <c r="P1322" s="247" t="str">
        <f ca="1">IF(C1322="","",IF($P$11="CFPS",[1]!S_STM07_CS(D1322,84,$G$5,$H$13)/IF([1]!S_SHARE_TOTAL(D1322,$G$5)=0,[1]!S_SHARE_TOTAL(D1322,[1]!s_ipo_listeddate(D1322)),[1]!S_SHARE_TOTAL(D1322,$G$5)),[1]!S_STM07_CS(D1322,84,$G$5,$H$13)/$E$5))</f>
        <v/>
      </c>
      <c r="Q1322" s="248" t="str">
        <f ca="1">IF(C1322="","",F1322/([1]!S_STM07_IS(D1322,61,$G$5,$H$13)/IF([1]!S_SHARE_TOTAL(D1322,$G$5)=0,[1]!S_SHARE_TOTAL(D1322,[1]!s_ipo_listeddate(D1322)),[1]!S_SHARE_TOTAL(D1322,$G$5))))</f>
        <v/>
      </c>
      <c r="R1322" s="248" t="str">
        <f ca="1">IF(C1322="","",F1322/([1]!S_STM07_BS(D1322,141,$G$5,$H$13)/IF([1]!S_SHARE_TOTAL(D1322,$G$5)=0,[1]!S_SHARE_TOTAL(D1322,[1]!s_ipo_listeddate(D1322)),[1]!S_SHARE_TOTAL(D1322,$G$5))))</f>
        <v/>
      </c>
      <c r="S1322" s="247" t="str">
        <f ca="1">IF(C1322="","",[1]!S_SHARE_TOTAL(D1322,TODAY())/$E$5)</f>
        <v/>
      </c>
      <c r="T1322" s="247" t="str">
        <f t="shared" ca="1" si="133"/>
        <v/>
      </c>
      <c r="U1322" s="218" t="str">
        <f t="shared" ca="1" si="134"/>
        <v/>
      </c>
      <c r="V1322" s="342" t="str">
        <f t="shared" ca="1" si="135"/>
        <v/>
      </c>
      <c r="W1322" s="139"/>
      <c r="Y1322" s="1"/>
    </row>
    <row r="1323" spans="3:25" ht="12" customHeight="1">
      <c r="C1323" s="343" t="str">
        <f t="shared" ca="1" si="130"/>
        <v/>
      </c>
      <c r="D1323" s="124" t="str">
        <f t="shared" ca="1" si="131"/>
        <v/>
      </c>
      <c r="E1323" s="124" t="str">
        <f t="shared" ca="1" si="132"/>
        <v/>
      </c>
      <c r="F1323" s="172" t="str">
        <f ca="1">IF(C1323="","",[1]!S_DQ_CLOSE(D1323,TODAY(),1))</f>
        <v/>
      </c>
      <c r="G1323" s="173" t="str">
        <f ca="1">IF(C1323="","",[1]!s_pq_pctchange(D1323,TODAY()-$G$12,TODAY())/100)</f>
        <v/>
      </c>
      <c r="H1323" s="249" t="str">
        <f ca="1">IF(C1323="","",IF($H$11="收入",[1]!S_STM07_IS(D1323,9,$G$5,$H$13)/$E$5,[1]!S_STM07_IS(D1323,48,$G$5,$H$13)/$E$5))</f>
        <v/>
      </c>
      <c r="I1323" s="249" t="str">
        <f ca="1">IF(C1323="","",IF($I$11="毛利率",([1]!S_STM07_IS(D1323,9,$G$5,$H$13)-[1]!S_STM07_IS(D1323,10,$G$5,$H$13))/[1]!S_STM07_IS(D1323,9,$G$5,$H$13),[1]!S_STM07_IS(D1323,14,$G$5,$H$13)/$E$5))</f>
        <v/>
      </c>
      <c r="J1323" s="249" t="str">
        <f ca="1">IF(C1323="","",IF($J$11="营业利润率",[1]!S_STM07_IS(D1323,48,$G$5,$H$13)/[1]!S_STM07_IS(D1323,9,$G$5,$H$13),([1]!S_STM07_CS(D1323,87,$G$5,$H$13)+[1]!S_STM07_CS(D1323,88,$G$5,$H$13)+[1]!S_STM07_CS(D1323,89,$G$5,$H$13))/$E$5))</f>
        <v/>
      </c>
      <c r="K1323" s="249" t="str">
        <f ca="1">IF(C1323="","",IF($K$11="净利润率",[1]!S_STM07_IS(D1323,61,$G$5,$H$13)/[1]!S_STM07_IS(D1323,9,$G$5,$H$13),[1]!S_STM07_IS(D1323,55,$G$5,$H$13)/$E$5))</f>
        <v/>
      </c>
      <c r="L1323" s="249" t="str">
        <f ca="1">IF(C1323="","",IF($L$11="ROA",[1]!S_STM07_IS(D1323,61,$G$5,$H$13)/[1]!S_STM07_BS(D1323,74,$G$5,$H$13),1-[1]!S_STM07_IS(D1323,61,$G$5,$H$13)/[1]!S_STM07_IS(D1323,55,$G$5,$H$13)))</f>
        <v/>
      </c>
      <c r="M1323" s="249" t="str">
        <f ca="1">IF(C1323="","",IF($M$11="ROE",[1]!S_STM07_IS(D1323,61,$G$5,$H$13)/[1]!S_STM07_BS(D1323,141,$G$5,$H$13),([1]!S_STM07_BS(D1323,25,$G$5,$H$13)-[1]!S_STM07_BS(D1323,93,$G$5,$H$13))/$E$5))</f>
        <v/>
      </c>
      <c r="N1323" s="250" t="str">
        <f ca="1">IF(C1323="","",IF($N$11="EPS",[1]!S_STM07_IS(D1323,61,$G$5,$H$13)/IF([1]!S_SHARE_TOTAL(D1323,$G$5)=0,[1]!S_SHARE_TOTAL(D1323,[1]!s_ipo_listeddate(D1323)),[1]!S_SHARE_TOTAL(D1323,$G$5)),([1]!S_STM07_BS(D1323,75,$G$5,$H$13)+[1]!S_STM07_BS(D1323,88,$G$5,$H$13)+[1]!S_STM07_BS(D1323,94,$G$5,$H$13)+[1]!S_STM07_BS(D1323,95,$G$5,$H$13))/$E$5))</f>
        <v/>
      </c>
      <c r="O1323" s="250" t="str">
        <f ca="1">IF(C1323="","",IF($O$11="BPS",[1]!S_STM07_BS(D1323,141,$G$5,$H$13)/IF([1]!S_SHARE_TOTAL(D1323,$G$5)=0,[1]!S_SHARE_TOTAL(D1323,[1]!s_ipo_listeddate(D1323)),[1]!S_SHARE_TOTAL(D1323,$G$5)),[1]!S_STM07_CS(D1323,49,$G$5,$H$13)/$E$5))</f>
        <v/>
      </c>
      <c r="P1323" s="250" t="str">
        <f ca="1">IF(C1323="","",IF($P$11="CFPS",[1]!S_STM07_CS(D1323,84,$G$5,$H$13)/IF([1]!S_SHARE_TOTAL(D1323,$G$5)=0,[1]!S_SHARE_TOTAL(D1323,[1]!s_ipo_listeddate(D1323)),[1]!S_SHARE_TOTAL(D1323,$G$5)),[1]!S_STM07_CS(D1323,84,$G$5,$H$13)/$E$5))</f>
        <v/>
      </c>
      <c r="Q1323" s="198" t="str">
        <f ca="1">IF(C1323="","",F1323/([1]!S_STM07_IS(D1323,61,$G$5,$H$13)/IF([1]!S_SHARE_TOTAL(D1323,$G$5)=0,[1]!S_SHARE_TOTAL(D1323,[1]!s_ipo_listeddate(D1323)),[1]!S_SHARE_TOTAL(D1323,$G$5))))</f>
        <v/>
      </c>
      <c r="R1323" s="198" t="str">
        <f ca="1">IF(C1323="","",F1323/([1]!S_STM07_BS(D1323,141,$G$5,$H$13)/IF([1]!S_SHARE_TOTAL(D1323,$G$5)=0,[1]!S_SHARE_TOTAL(D1323,[1]!s_ipo_listeddate(D1323)),[1]!S_SHARE_TOTAL(D1323,$G$5))))</f>
        <v/>
      </c>
      <c r="S1323" s="249" t="str">
        <f ca="1">IF(C1323="","",[1]!S_SHARE_TOTAL(D1323,TODAY())/$E$5)</f>
        <v/>
      </c>
      <c r="T1323" s="249" t="str">
        <f t="shared" ca="1" si="133"/>
        <v/>
      </c>
      <c r="U1323" s="172" t="str">
        <f t="shared" ca="1" si="134"/>
        <v/>
      </c>
      <c r="V1323" s="343" t="str">
        <f t="shared" ca="1" si="135"/>
        <v/>
      </c>
      <c r="W1323" s="139"/>
      <c r="Y1323" s="1"/>
    </row>
    <row r="1324" spans="3:25" ht="12" customHeight="1">
      <c r="C1324" s="342" t="str">
        <f t="shared" ca="1" si="130"/>
        <v/>
      </c>
      <c r="D1324" s="153" t="str">
        <f t="shared" ca="1" si="131"/>
        <v/>
      </c>
      <c r="E1324" s="153" t="str">
        <f t="shared" ca="1" si="132"/>
        <v/>
      </c>
      <c r="F1324" s="170" t="str">
        <f ca="1">IF(C1324="","",[1]!S_DQ_CLOSE(D1324,TODAY(),1))</f>
        <v/>
      </c>
      <c r="G1324" s="171" t="str">
        <f ca="1">IF(C1324="","",[1]!s_pq_pctchange(D1324,TODAY()-$G$12,TODAY())/100)</f>
        <v/>
      </c>
      <c r="H1324" s="247" t="str">
        <f ca="1">IF(C1324="","",IF($H$11="收入",[1]!S_STM07_IS(D1324,9,$G$5,$H$13)/$E$5,[1]!S_STM07_IS(D1324,48,$G$5,$H$13)/$E$5))</f>
        <v/>
      </c>
      <c r="I1324" s="247" t="str">
        <f ca="1">IF(C1324="","",IF($I$11="毛利率",([1]!S_STM07_IS(D1324,9,$G$5,$H$13)-[1]!S_STM07_IS(D1324,10,$G$5,$H$13))/[1]!S_STM07_IS(D1324,9,$G$5,$H$13),[1]!S_STM07_IS(D1324,14,$G$5,$H$13)/$E$5))</f>
        <v/>
      </c>
      <c r="J1324" s="247" t="str">
        <f ca="1">IF(C1324="","",IF($J$11="营业利润率",[1]!S_STM07_IS(D1324,48,$G$5,$H$13)/[1]!S_STM07_IS(D1324,9,$G$5,$H$13),([1]!S_STM07_CS(D1324,87,$G$5,$H$13)+[1]!S_STM07_CS(D1324,88,$G$5,$H$13)+[1]!S_STM07_CS(D1324,89,$G$5,$H$13))/$E$5))</f>
        <v/>
      </c>
      <c r="K1324" s="247" t="str">
        <f ca="1">IF(C1324="","",IF($K$11="净利润率",[1]!S_STM07_IS(D1324,61,$G$5,$H$13)/[1]!S_STM07_IS(D1324,9,$G$5,$H$13),[1]!S_STM07_IS(D1324,55,$G$5,$H$13)/$E$5))</f>
        <v/>
      </c>
      <c r="L1324" s="247" t="str">
        <f ca="1">IF(C1324="","",IF($L$11="ROA",[1]!S_STM07_IS(D1324,61,$G$5,$H$13)/[1]!S_STM07_BS(D1324,74,$G$5,$H$13),1-[1]!S_STM07_IS(D1324,61,$G$5,$H$13)/[1]!S_STM07_IS(D1324,55,$G$5,$H$13)))</f>
        <v/>
      </c>
      <c r="M1324" s="247" t="str">
        <f ca="1">IF(C1324="","",IF($M$11="ROE",[1]!S_STM07_IS(D1324,61,$G$5,$H$13)/[1]!S_STM07_BS(D1324,141,$G$5,$H$13),([1]!S_STM07_BS(D1324,25,$G$5,$H$13)-[1]!S_STM07_BS(D1324,93,$G$5,$H$13))/$E$5))</f>
        <v/>
      </c>
      <c r="N1324" s="247" t="str">
        <f ca="1">IF(C1324="","",IF($N$11="EPS",[1]!S_STM07_IS(D1324,61,$G$5,$H$13)/IF([1]!S_SHARE_TOTAL(D1324,$G$5)=0,[1]!S_SHARE_TOTAL(D1324,[1]!s_ipo_listeddate(D1324)),[1]!S_SHARE_TOTAL(D1324,$G$5)),([1]!S_STM07_BS(D1324,75,$G$5,$H$13)+[1]!S_STM07_BS(D1324,88,$G$5,$H$13)+[1]!S_STM07_BS(D1324,94,$G$5,$H$13)+[1]!S_STM07_BS(D1324,95,$G$5,$H$13))/$E$5))</f>
        <v/>
      </c>
      <c r="O1324" s="247" t="str">
        <f ca="1">IF(C1324="","",IF($O$11="BPS",[1]!S_STM07_BS(D1324,141,$G$5,$H$13)/IF([1]!S_SHARE_TOTAL(D1324,$G$5)=0,[1]!S_SHARE_TOTAL(D1324,[1]!s_ipo_listeddate(D1324)),[1]!S_SHARE_TOTAL(D1324,$G$5)),[1]!S_STM07_CS(D1324,49,$G$5,$H$13)/$E$5))</f>
        <v/>
      </c>
      <c r="P1324" s="247" t="str">
        <f ca="1">IF(C1324="","",IF($P$11="CFPS",[1]!S_STM07_CS(D1324,84,$G$5,$H$13)/IF([1]!S_SHARE_TOTAL(D1324,$G$5)=0,[1]!S_SHARE_TOTAL(D1324,[1]!s_ipo_listeddate(D1324)),[1]!S_SHARE_TOTAL(D1324,$G$5)),[1]!S_STM07_CS(D1324,84,$G$5,$H$13)/$E$5))</f>
        <v/>
      </c>
      <c r="Q1324" s="248" t="str">
        <f ca="1">IF(C1324="","",F1324/([1]!S_STM07_IS(D1324,61,$G$5,$H$13)/IF([1]!S_SHARE_TOTAL(D1324,$G$5)=0,[1]!S_SHARE_TOTAL(D1324,[1]!s_ipo_listeddate(D1324)),[1]!S_SHARE_TOTAL(D1324,$G$5))))</f>
        <v/>
      </c>
      <c r="R1324" s="248" t="str">
        <f ca="1">IF(C1324="","",F1324/([1]!S_STM07_BS(D1324,141,$G$5,$H$13)/IF([1]!S_SHARE_TOTAL(D1324,$G$5)=0,[1]!S_SHARE_TOTAL(D1324,[1]!s_ipo_listeddate(D1324)),[1]!S_SHARE_TOTAL(D1324,$G$5))))</f>
        <v/>
      </c>
      <c r="S1324" s="247" t="str">
        <f ca="1">IF(C1324="","",[1]!S_SHARE_TOTAL(D1324,TODAY())/$E$5)</f>
        <v/>
      </c>
      <c r="T1324" s="247" t="str">
        <f t="shared" ca="1" si="133"/>
        <v/>
      </c>
      <c r="U1324" s="218" t="str">
        <f t="shared" ca="1" si="134"/>
        <v/>
      </c>
      <c r="V1324" s="342" t="str">
        <f t="shared" ca="1" si="135"/>
        <v/>
      </c>
      <c r="W1324" s="139"/>
      <c r="Y1324" s="1"/>
    </row>
    <row r="1325" spans="3:25" ht="12" customHeight="1">
      <c r="C1325" s="343" t="str">
        <f t="shared" ca="1" si="130"/>
        <v/>
      </c>
      <c r="D1325" s="124" t="str">
        <f t="shared" ca="1" si="131"/>
        <v/>
      </c>
      <c r="E1325" s="124" t="str">
        <f t="shared" ca="1" si="132"/>
        <v/>
      </c>
      <c r="F1325" s="172" t="str">
        <f ca="1">IF(C1325="","",[1]!S_DQ_CLOSE(D1325,TODAY(),1))</f>
        <v/>
      </c>
      <c r="G1325" s="173" t="str">
        <f ca="1">IF(C1325="","",[1]!s_pq_pctchange(D1325,TODAY()-$G$12,TODAY())/100)</f>
        <v/>
      </c>
      <c r="H1325" s="249" t="str">
        <f ca="1">IF(C1325="","",IF($H$11="收入",[1]!S_STM07_IS(D1325,9,$G$5,$H$13)/$E$5,[1]!S_STM07_IS(D1325,48,$G$5,$H$13)/$E$5))</f>
        <v/>
      </c>
      <c r="I1325" s="249" t="str">
        <f ca="1">IF(C1325="","",IF($I$11="毛利率",([1]!S_STM07_IS(D1325,9,$G$5,$H$13)-[1]!S_STM07_IS(D1325,10,$G$5,$H$13))/[1]!S_STM07_IS(D1325,9,$G$5,$H$13),[1]!S_STM07_IS(D1325,14,$G$5,$H$13)/$E$5))</f>
        <v/>
      </c>
      <c r="J1325" s="249" t="str">
        <f ca="1">IF(C1325="","",IF($J$11="营业利润率",[1]!S_STM07_IS(D1325,48,$G$5,$H$13)/[1]!S_STM07_IS(D1325,9,$G$5,$H$13),([1]!S_STM07_CS(D1325,87,$G$5,$H$13)+[1]!S_STM07_CS(D1325,88,$G$5,$H$13)+[1]!S_STM07_CS(D1325,89,$G$5,$H$13))/$E$5))</f>
        <v/>
      </c>
      <c r="K1325" s="249" t="str">
        <f ca="1">IF(C1325="","",IF($K$11="净利润率",[1]!S_STM07_IS(D1325,61,$G$5,$H$13)/[1]!S_STM07_IS(D1325,9,$G$5,$H$13),[1]!S_STM07_IS(D1325,55,$G$5,$H$13)/$E$5))</f>
        <v/>
      </c>
      <c r="L1325" s="249" t="str">
        <f ca="1">IF(C1325="","",IF($L$11="ROA",[1]!S_STM07_IS(D1325,61,$G$5,$H$13)/[1]!S_STM07_BS(D1325,74,$G$5,$H$13),1-[1]!S_STM07_IS(D1325,61,$G$5,$H$13)/[1]!S_STM07_IS(D1325,55,$G$5,$H$13)))</f>
        <v/>
      </c>
      <c r="M1325" s="249" t="str">
        <f ca="1">IF(C1325="","",IF($M$11="ROE",[1]!S_STM07_IS(D1325,61,$G$5,$H$13)/[1]!S_STM07_BS(D1325,141,$G$5,$H$13),([1]!S_STM07_BS(D1325,25,$G$5,$H$13)-[1]!S_STM07_BS(D1325,93,$G$5,$H$13))/$E$5))</f>
        <v/>
      </c>
      <c r="N1325" s="250" t="str">
        <f ca="1">IF(C1325="","",IF($N$11="EPS",[1]!S_STM07_IS(D1325,61,$G$5,$H$13)/IF([1]!S_SHARE_TOTAL(D1325,$G$5)=0,[1]!S_SHARE_TOTAL(D1325,[1]!s_ipo_listeddate(D1325)),[1]!S_SHARE_TOTAL(D1325,$G$5)),([1]!S_STM07_BS(D1325,75,$G$5,$H$13)+[1]!S_STM07_BS(D1325,88,$G$5,$H$13)+[1]!S_STM07_BS(D1325,94,$G$5,$H$13)+[1]!S_STM07_BS(D1325,95,$G$5,$H$13))/$E$5))</f>
        <v/>
      </c>
      <c r="O1325" s="250" t="str">
        <f ca="1">IF(C1325="","",IF($O$11="BPS",[1]!S_STM07_BS(D1325,141,$G$5,$H$13)/IF([1]!S_SHARE_TOTAL(D1325,$G$5)=0,[1]!S_SHARE_TOTAL(D1325,[1]!s_ipo_listeddate(D1325)),[1]!S_SHARE_TOTAL(D1325,$G$5)),[1]!S_STM07_CS(D1325,49,$G$5,$H$13)/$E$5))</f>
        <v/>
      </c>
      <c r="P1325" s="250" t="str">
        <f ca="1">IF(C1325="","",IF($P$11="CFPS",[1]!S_STM07_CS(D1325,84,$G$5,$H$13)/IF([1]!S_SHARE_TOTAL(D1325,$G$5)=0,[1]!S_SHARE_TOTAL(D1325,[1]!s_ipo_listeddate(D1325)),[1]!S_SHARE_TOTAL(D1325,$G$5)),[1]!S_STM07_CS(D1325,84,$G$5,$H$13)/$E$5))</f>
        <v/>
      </c>
      <c r="Q1325" s="198" t="str">
        <f ca="1">IF(C1325="","",F1325/([1]!S_STM07_IS(D1325,61,$G$5,$H$13)/IF([1]!S_SHARE_TOTAL(D1325,$G$5)=0,[1]!S_SHARE_TOTAL(D1325,[1]!s_ipo_listeddate(D1325)),[1]!S_SHARE_TOTAL(D1325,$G$5))))</f>
        <v/>
      </c>
      <c r="R1325" s="198" t="str">
        <f ca="1">IF(C1325="","",F1325/([1]!S_STM07_BS(D1325,141,$G$5,$H$13)/IF([1]!S_SHARE_TOTAL(D1325,$G$5)=0,[1]!S_SHARE_TOTAL(D1325,[1]!s_ipo_listeddate(D1325)),[1]!S_SHARE_TOTAL(D1325,$G$5))))</f>
        <v/>
      </c>
      <c r="S1325" s="249" t="str">
        <f ca="1">IF(C1325="","",[1]!S_SHARE_TOTAL(D1325,TODAY())/$E$5)</f>
        <v/>
      </c>
      <c r="T1325" s="249" t="str">
        <f t="shared" ca="1" si="133"/>
        <v/>
      </c>
      <c r="U1325" s="172" t="str">
        <f t="shared" ca="1" si="134"/>
        <v/>
      </c>
      <c r="V1325" s="343" t="str">
        <f t="shared" ca="1" si="135"/>
        <v/>
      </c>
      <c r="W1325" s="139"/>
      <c r="Y1325" s="1"/>
    </row>
    <row r="1326" spans="3:25" ht="12" customHeight="1">
      <c r="C1326" s="342" t="str">
        <f t="shared" ca="1" si="130"/>
        <v/>
      </c>
      <c r="D1326" s="153" t="str">
        <f t="shared" ca="1" si="131"/>
        <v/>
      </c>
      <c r="E1326" s="153" t="str">
        <f t="shared" ca="1" si="132"/>
        <v/>
      </c>
      <c r="F1326" s="170" t="str">
        <f ca="1">IF(C1326="","",[1]!S_DQ_CLOSE(D1326,TODAY(),1))</f>
        <v/>
      </c>
      <c r="G1326" s="171" t="str">
        <f ca="1">IF(C1326="","",[1]!s_pq_pctchange(D1326,TODAY()-$G$12,TODAY())/100)</f>
        <v/>
      </c>
      <c r="H1326" s="247" t="str">
        <f ca="1">IF(C1326="","",IF($H$11="收入",[1]!S_STM07_IS(D1326,9,$G$5,$H$13)/$E$5,[1]!S_STM07_IS(D1326,48,$G$5,$H$13)/$E$5))</f>
        <v/>
      </c>
      <c r="I1326" s="247" t="str">
        <f ca="1">IF(C1326="","",IF($I$11="毛利率",([1]!S_STM07_IS(D1326,9,$G$5,$H$13)-[1]!S_STM07_IS(D1326,10,$G$5,$H$13))/[1]!S_STM07_IS(D1326,9,$G$5,$H$13),[1]!S_STM07_IS(D1326,14,$G$5,$H$13)/$E$5))</f>
        <v/>
      </c>
      <c r="J1326" s="247" t="str">
        <f ca="1">IF(C1326="","",IF($J$11="营业利润率",[1]!S_STM07_IS(D1326,48,$G$5,$H$13)/[1]!S_STM07_IS(D1326,9,$G$5,$H$13),([1]!S_STM07_CS(D1326,87,$G$5,$H$13)+[1]!S_STM07_CS(D1326,88,$G$5,$H$13)+[1]!S_STM07_CS(D1326,89,$G$5,$H$13))/$E$5))</f>
        <v/>
      </c>
      <c r="K1326" s="247" t="str">
        <f ca="1">IF(C1326="","",IF($K$11="净利润率",[1]!S_STM07_IS(D1326,61,$G$5,$H$13)/[1]!S_STM07_IS(D1326,9,$G$5,$H$13),[1]!S_STM07_IS(D1326,55,$G$5,$H$13)/$E$5))</f>
        <v/>
      </c>
      <c r="L1326" s="247" t="str">
        <f ca="1">IF(C1326="","",IF($L$11="ROA",[1]!S_STM07_IS(D1326,61,$G$5,$H$13)/[1]!S_STM07_BS(D1326,74,$G$5,$H$13),1-[1]!S_STM07_IS(D1326,61,$G$5,$H$13)/[1]!S_STM07_IS(D1326,55,$G$5,$H$13)))</f>
        <v/>
      </c>
      <c r="M1326" s="247" t="str">
        <f ca="1">IF(C1326="","",IF($M$11="ROE",[1]!S_STM07_IS(D1326,61,$G$5,$H$13)/[1]!S_STM07_BS(D1326,141,$G$5,$H$13),([1]!S_STM07_BS(D1326,25,$G$5,$H$13)-[1]!S_STM07_BS(D1326,93,$G$5,$H$13))/$E$5))</f>
        <v/>
      </c>
      <c r="N1326" s="247" t="str">
        <f ca="1">IF(C1326="","",IF($N$11="EPS",[1]!S_STM07_IS(D1326,61,$G$5,$H$13)/IF([1]!S_SHARE_TOTAL(D1326,$G$5)=0,[1]!S_SHARE_TOTAL(D1326,[1]!s_ipo_listeddate(D1326)),[1]!S_SHARE_TOTAL(D1326,$G$5)),([1]!S_STM07_BS(D1326,75,$G$5,$H$13)+[1]!S_STM07_BS(D1326,88,$G$5,$H$13)+[1]!S_STM07_BS(D1326,94,$G$5,$H$13)+[1]!S_STM07_BS(D1326,95,$G$5,$H$13))/$E$5))</f>
        <v/>
      </c>
      <c r="O1326" s="247" t="str">
        <f ca="1">IF(C1326="","",IF($O$11="BPS",[1]!S_STM07_BS(D1326,141,$G$5,$H$13)/IF([1]!S_SHARE_TOTAL(D1326,$G$5)=0,[1]!S_SHARE_TOTAL(D1326,[1]!s_ipo_listeddate(D1326)),[1]!S_SHARE_TOTAL(D1326,$G$5)),[1]!S_STM07_CS(D1326,49,$G$5,$H$13)/$E$5))</f>
        <v/>
      </c>
      <c r="P1326" s="247" t="str">
        <f ca="1">IF(C1326="","",IF($P$11="CFPS",[1]!S_STM07_CS(D1326,84,$G$5,$H$13)/IF([1]!S_SHARE_TOTAL(D1326,$G$5)=0,[1]!S_SHARE_TOTAL(D1326,[1]!s_ipo_listeddate(D1326)),[1]!S_SHARE_TOTAL(D1326,$G$5)),[1]!S_STM07_CS(D1326,84,$G$5,$H$13)/$E$5))</f>
        <v/>
      </c>
      <c r="Q1326" s="248" t="str">
        <f ca="1">IF(C1326="","",F1326/([1]!S_STM07_IS(D1326,61,$G$5,$H$13)/IF([1]!S_SHARE_TOTAL(D1326,$G$5)=0,[1]!S_SHARE_TOTAL(D1326,[1]!s_ipo_listeddate(D1326)),[1]!S_SHARE_TOTAL(D1326,$G$5))))</f>
        <v/>
      </c>
      <c r="R1326" s="248" t="str">
        <f ca="1">IF(C1326="","",F1326/([1]!S_STM07_BS(D1326,141,$G$5,$H$13)/IF([1]!S_SHARE_TOTAL(D1326,$G$5)=0,[1]!S_SHARE_TOTAL(D1326,[1]!s_ipo_listeddate(D1326)),[1]!S_SHARE_TOTAL(D1326,$G$5))))</f>
        <v/>
      </c>
      <c r="S1326" s="247" t="str">
        <f ca="1">IF(C1326="","",[1]!S_SHARE_TOTAL(D1326,TODAY())/$E$5)</f>
        <v/>
      </c>
      <c r="T1326" s="247" t="str">
        <f t="shared" ca="1" si="133"/>
        <v/>
      </c>
      <c r="U1326" s="218" t="str">
        <f t="shared" ca="1" si="134"/>
        <v/>
      </c>
      <c r="V1326" s="342" t="str">
        <f t="shared" ca="1" si="135"/>
        <v/>
      </c>
      <c r="W1326" s="139"/>
      <c r="Y1326" s="1"/>
    </row>
    <row r="1327" spans="3:25" ht="12" customHeight="1">
      <c r="C1327" s="343" t="str">
        <f t="shared" ca="1" si="130"/>
        <v/>
      </c>
      <c r="D1327" s="124" t="str">
        <f t="shared" ca="1" si="131"/>
        <v/>
      </c>
      <c r="E1327" s="124" t="str">
        <f t="shared" ca="1" si="132"/>
        <v/>
      </c>
      <c r="F1327" s="172" t="str">
        <f ca="1">IF(C1327="","",[1]!S_DQ_CLOSE(D1327,TODAY(),1))</f>
        <v/>
      </c>
      <c r="G1327" s="173" t="str">
        <f ca="1">IF(C1327="","",[1]!s_pq_pctchange(D1327,TODAY()-$G$12,TODAY())/100)</f>
        <v/>
      </c>
      <c r="H1327" s="249" t="str">
        <f ca="1">IF(C1327="","",IF($H$11="收入",[1]!S_STM07_IS(D1327,9,$G$5,$H$13)/$E$5,[1]!S_STM07_IS(D1327,48,$G$5,$H$13)/$E$5))</f>
        <v/>
      </c>
      <c r="I1327" s="249" t="str">
        <f ca="1">IF(C1327="","",IF($I$11="毛利率",([1]!S_STM07_IS(D1327,9,$G$5,$H$13)-[1]!S_STM07_IS(D1327,10,$G$5,$H$13))/[1]!S_STM07_IS(D1327,9,$G$5,$H$13),[1]!S_STM07_IS(D1327,14,$G$5,$H$13)/$E$5))</f>
        <v/>
      </c>
      <c r="J1327" s="249" t="str">
        <f ca="1">IF(C1327="","",IF($J$11="营业利润率",[1]!S_STM07_IS(D1327,48,$G$5,$H$13)/[1]!S_STM07_IS(D1327,9,$G$5,$H$13),([1]!S_STM07_CS(D1327,87,$G$5,$H$13)+[1]!S_STM07_CS(D1327,88,$G$5,$H$13)+[1]!S_STM07_CS(D1327,89,$G$5,$H$13))/$E$5))</f>
        <v/>
      </c>
      <c r="K1327" s="249" t="str">
        <f ca="1">IF(C1327="","",IF($K$11="净利润率",[1]!S_STM07_IS(D1327,61,$G$5,$H$13)/[1]!S_STM07_IS(D1327,9,$G$5,$H$13),[1]!S_STM07_IS(D1327,55,$G$5,$H$13)/$E$5))</f>
        <v/>
      </c>
      <c r="L1327" s="249" t="str">
        <f ca="1">IF(C1327="","",IF($L$11="ROA",[1]!S_STM07_IS(D1327,61,$G$5,$H$13)/[1]!S_STM07_BS(D1327,74,$G$5,$H$13),1-[1]!S_STM07_IS(D1327,61,$G$5,$H$13)/[1]!S_STM07_IS(D1327,55,$G$5,$H$13)))</f>
        <v/>
      </c>
      <c r="M1327" s="249" t="str">
        <f ca="1">IF(C1327="","",IF($M$11="ROE",[1]!S_STM07_IS(D1327,61,$G$5,$H$13)/[1]!S_STM07_BS(D1327,141,$G$5,$H$13),([1]!S_STM07_BS(D1327,25,$G$5,$H$13)-[1]!S_STM07_BS(D1327,93,$G$5,$H$13))/$E$5))</f>
        <v/>
      </c>
      <c r="N1327" s="250" t="str">
        <f ca="1">IF(C1327="","",IF($N$11="EPS",[1]!S_STM07_IS(D1327,61,$G$5,$H$13)/IF([1]!S_SHARE_TOTAL(D1327,$G$5)=0,[1]!S_SHARE_TOTAL(D1327,[1]!s_ipo_listeddate(D1327)),[1]!S_SHARE_TOTAL(D1327,$G$5)),([1]!S_STM07_BS(D1327,75,$G$5,$H$13)+[1]!S_STM07_BS(D1327,88,$G$5,$H$13)+[1]!S_STM07_BS(D1327,94,$G$5,$H$13)+[1]!S_STM07_BS(D1327,95,$G$5,$H$13))/$E$5))</f>
        <v/>
      </c>
      <c r="O1327" s="250" t="str">
        <f ca="1">IF(C1327="","",IF($O$11="BPS",[1]!S_STM07_BS(D1327,141,$G$5,$H$13)/IF([1]!S_SHARE_TOTAL(D1327,$G$5)=0,[1]!S_SHARE_TOTAL(D1327,[1]!s_ipo_listeddate(D1327)),[1]!S_SHARE_TOTAL(D1327,$G$5)),[1]!S_STM07_CS(D1327,49,$G$5,$H$13)/$E$5))</f>
        <v/>
      </c>
      <c r="P1327" s="250" t="str">
        <f ca="1">IF(C1327="","",IF($P$11="CFPS",[1]!S_STM07_CS(D1327,84,$G$5,$H$13)/IF([1]!S_SHARE_TOTAL(D1327,$G$5)=0,[1]!S_SHARE_TOTAL(D1327,[1]!s_ipo_listeddate(D1327)),[1]!S_SHARE_TOTAL(D1327,$G$5)),[1]!S_STM07_CS(D1327,84,$G$5,$H$13)/$E$5))</f>
        <v/>
      </c>
      <c r="Q1327" s="198" t="str">
        <f ca="1">IF(C1327="","",F1327/([1]!S_STM07_IS(D1327,61,$G$5,$H$13)/IF([1]!S_SHARE_TOTAL(D1327,$G$5)=0,[1]!S_SHARE_TOTAL(D1327,[1]!s_ipo_listeddate(D1327)),[1]!S_SHARE_TOTAL(D1327,$G$5))))</f>
        <v/>
      </c>
      <c r="R1327" s="198" t="str">
        <f ca="1">IF(C1327="","",F1327/([1]!S_STM07_BS(D1327,141,$G$5,$H$13)/IF([1]!S_SHARE_TOTAL(D1327,$G$5)=0,[1]!S_SHARE_TOTAL(D1327,[1]!s_ipo_listeddate(D1327)),[1]!S_SHARE_TOTAL(D1327,$G$5))))</f>
        <v/>
      </c>
      <c r="S1327" s="249" t="str">
        <f ca="1">IF(C1327="","",[1]!S_SHARE_TOTAL(D1327,TODAY())/$E$5)</f>
        <v/>
      </c>
      <c r="T1327" s="249" t="str">
        <f t="shared" ca="1" si="133"/>
        <v/>
      </c>
      <c r="U1327" s="172" t="str">
        <f t="shared" ca="1" si="134"/>
        <v/>
      </c>
      <c r="V1327" s="343" t="str">
        <f t="shared" ca="1" si="135"/>
        <v/>
      </c>
      <c r="W1327" s="139"/>
      <c r="Y1327" s="1"/>
    </row>
    <row r="1328" spans="3:25" ht="12" customHeight="1">
      <c r="C1328" s="342" t="str">
        <f t="shared" ca="1" si="130"/>
        <v/>
      </c>
      <c r="D1328" s="153" t="str">
        <f t="shared" ca="1" si="131"/>
        <v/>
      </c>
      <c r="E1328" s="153" t="str">
        <f t="shared" ca="1" si="132"/>
        <v/>
      </c>
      <c r="F1328" s="170" t="str">
        <f ca="1">IF(C1328="","",[1]!S_DQ_CLOSE(D1328,TODAY(),1))</f>
        <v/>
      </c>
      <c r="G1328" s="171" t="str">
        <f ca="1">IF(C1328="","",[1]!s_pq_pctchange(D1328,TODAY()-$G$12,TODAY())/100)</f>
        <v/>
      </c>
      <c r="H1328" s="247" t="str">
        <f ca="1">IF(C1328="","",IF($H$11="收入",[1]!S_STM07_IS(D1328,9,$G$5,$H$13)/$E$5,[1]!S_STM07_IS(D1328,48,$G$5,$H$13)/$E$5))</f>
        <v/>
      </c>
      <c r="I1328" s="247" t="str">
        <f ca="1">IF(C1328="","",IF($I$11="毛利率",([1]!S_STM07_IS(D1328,9,$G$5,$H$13)-[1]!S_STM07_IS(D1328,10,$G$5,$H$13))/[1]!S_STM07_IS(D1328,9,$G$5,$H$13),[1]!S_STM07_IS(D1328,14,$G$5,$H$13)/$E$5))</f>
        <v/>
      </c>
      <c r="J1328" s="247" t="str">
        <f ca="1">IF(C1328="","",IF($J$11="营业利润率",[1]!S_STM07_IS(D1328,48,$G$5,$H$13)/[1]!S_STM07_IS(D1328,9,$G$5,$H$13),([1]!S_STM07_CS(D1328,87,$G$5,$H$13)+[1]!S_STM07_CS(D1328,88,$G$5,$H$13)+[1]!S_STM07_CS(D1328,89,$G$5,$H$13))/$E$5))</f>
        <v/>
      </c>
      <c r="K1328" s="247" t="str">
        <f ca="1">IF(C1328="","",IF($K$11="净利润率",[1]!S_STM07_IS(D1328,61,$G$5,$H$13)/[1]!S_STM07_IS(D1328,9,$G$5,$H$13),[1]!S_STM07_IS(D1328,55,$G$5,$H$13)/$E$5))</f>
        <v/>
      </c>
      <c r="L1328" s="247" t="str">
        <f ca="1">IF(C1328="","",IF($L$11="ROA",[1]!S_STM07_IS(D1328,61,$G$5,$H$13)/[1]!S_STM07_BS(D1328,74,$G$5,$H$13),1-[1]!S_STM07_IS(D1328,61,$G$5,$H$13)/[1]!S_STM07_IS(D1328,55,$G$5,$H$13)))</f>
        <v/>
      </c>
      <c r="M1328" s="247" t="str">
        <f ca="1">IF(C1328="","",IF($M$11="ROE",[1]!S_STM07_IS(D1328,61,$G$5,$H$13)/[1]!S_STM07_BS(D1328,141,$G$5,$H$13),([1]!S_STM07_BS(D1328,25,$G$5,$H$13)-[1]!S_STM07_BS(D1328,93,$G$5,$H$13))/$E$5))</f>
        <v/>
      </c>
      <c r="N1328" s="247" t="str">
        <f ca="1">IF(C1328="","",IF($N$11="EPS",[1]!S_STM07_IS(D1328,61,$G$5,$H$13)/IF([1]!S_SHARE_TOTAL(D1328,$G$5)=0,[1]!S_SHARE_TOTAL(D1328,[1]!s_ipo_listeddate(D1328)),[1]!S_SHARE_TOTAL(D1328,$G$5)),([1]!S_STM07_BS(D1328,75,$G$5,$H$13)+[1]!S_STM07_BS(D1328,88,$G$5,$H$13)+[1]!S_STM07_BS(D1328,94,$G$5,$H$13)+[1]!S_STM07_BS(D1328,95,$G$5,$H$13))/$E$5))</f>
        <v/>
      </c>
      <c r="O1328" s="247" t="str">
        <f ca="1">IF(C1328="","",IF($O$11="BPS",[1]!S_STM07_BS(D1328,141,$G$5,$H$13)/IF([1]!S_SHARE_TOTAL(D1328,$G$5)=0,[1]!S_SHARE_TOTAL(D1328,[1]!s_ipo_listeddate(D1328)),[1]!S_SHARE_TOTAL(D1328,$G$5)),[1]!S_STM07_CS(D1328,49,$G$5,$H$13)/$E$5))</f>
        <v/>
      </c>
      <c r="P1328" s="247" t="str">
        <f ca="1">IF(C1328="","",IF($P$11="CFPS",[1]!S_STM07_CS(D1328,84,$G$5,$H$13)/IF([1]!S_SHARE_TOTAL(D1328,$G$5)=0,[1]!S_SHARE_TOTAL(D1328,[1]!s_ipo_listeddate(D1328)),[1]!S_SHARE_TOTAL(D1328,$G$5)),[1]!S_STM07_CS(D1328,84,$G$5,$H$13)/$E$5))</f>
        <v/>
      </c>
      <c r="Q1328" s="248" t="str">
        <f ca="1">IF(C1328="","",F1328/([1]!S_STM07_IS(D1328,61,$G$5,$H$13)/IF([1]!S_SHARE_TOTAL(D1328,$G$5)=0,[1]!S_SHARE_TOTAL(D1328,[1]!s_ipo_listeddate(D1328)),[1]!S_SHARE_TOTAL(D1328,$G$5))))</f>
        <v/>
      </c>
      <c r="R1328" s="248" t="str">
        <f ca="1">IF(C1328="","",F1328/([1]!S_STM07_BS(D1328,141,$G$5,$H$13)/IF([1]!S_SHARE_TOTAL(D1328,$G$5)=0,[1]!S_SHARE_TOTAL(D1328,[1]!s_ipo_listeddate(D1328)),[1]!S_SHARE_TOTAL(D1328,$G$5))))</f>
        <v/>
      </c>
      <c r="S1328" s="247" t="str">
        <f ca="1">IF(C1328="","",[1]!S_SHARE_TOTAL(D1328,TODAY())/$E$5)</f>
        <v/>
      </c>
      <c r="T1328" s="247" t="str">
        <f t="shared" ca="1" si="133"/>
        <v/>
      </c>
      <c r="U1328" s="218" t="str">
        <f t="shared" ca="1" si="134"/>
        <v/>
      </c>
      <c r="V1328" s="342" t="str">
        <f t="shared" ca="1" si="135"/>
        <v/>
      </c>
      <c r="W1328" s="139"/>
      <c r="Y1328" s="1"/>
    </row>
    <row r="1329" spans="3:25" ht="12" customHeight="1">
      <c r="C1329" s="343" t="str">
        <f t="shared" ca="1" si="130"/>
        <v/>
      </c>
      <c r="D1329" s="124" t="str">
        <f t="shared" ca="1" si="131"/>
        <v/>
      </c>
      <c r="E1329" s="124" t="str">
        <f t="shared" ca="1" si="132"/>
        <v/>
      </c>
      <c r="F1329" s="172" t="str">
        <f ca="1">IF(C1329="","",[1]!S_DQ_CLOSE(D1329,TODAY(),1))</f>
        <v/>
      </c>
      <c r="G1329" s="173" t="str">
        <f ca="1">IF(C1329="","",[1]!s_pq_pctchange(D1329,TODAY()-$G$12,TODAY())/100)</f>
        <v/>
      </c>
      <c r="H1329" s="249" t="str">
        <f ca="1">IF(C1329="","",IF($H$11="收入",[1]!S_STM07_IS(D1329,9,$G$5,$H$13)/$E$5,[1]!S_STM07_IS(D1329,48,$G$5,$H$13)/$E$5))</f>
        <v/>
      </c>
      <c r="I1329" s="249" t="str">
        <f ca="1">IF(C1329="","",IF($I$11="毛利率",([1]!S_STM07_IS(D1329,9,$G$5,$H$13)-[1]!S_STM07_IS(D1329,10,$G$5,$H$13))/[1]!S_STM07_IS(D1329,9,$G$5,$H$13),[1]!S_STM07_IS(D1329,14,$G$5,$H$13)/$E$5))</f>
        <v/>
      </c>
      <c r="J1329" s="249" t="str">
        <f ca="1">IF(C1329="","",IF($J$11="营业利润率",[1]!S_STM07_IS(D1329,48,$G$5,$H$13)/[1]!S_STM07_IS(D1329,9,$G$5,$H$13),([1]!S_STM07_CS(D1329,87,$G$5,$H$13)+[1]!S_STM07_CS(D1329,88,$G$5,$H$13)+[1]!S_STM07_CS(D1329,89,$G$5,$H$13))/$E$5))</f>
        <v/>
      </c>
      <c r="K1329" s="249" t="str">
        <f ca="1">IF(C1329="","",IF($K$11="净利润率",[1]!S_STM07_IS(D1329,61,$G$5,$H$13)/[1]!S_STM07_IS(D1329,9,$G$5,$H$13),[1]!S_STM07_IS(D1329,55,$G$5,$H$13)/$E$5))</f>
        <v/>
      </c>
      <c r="L1329" s="249" t="str">
        <f ca="1">IF(C1329="","",IF($L$11="ROA",[1]!S_STM07_IS(D1329,61,$G$5,$H$13)/[1]!S_STM07_BS(D1329,74,$G$5,$H$13),1-[1]!S_STM07_IS(D1329,61,$G$5,$H$13)/[1]!S_STM07_IS(D1329,55,$G$5,$H$13)))</f>
        <v/>
      </c>
      <c r="M1329" s="249" t="str">
        <f ca="1">IF(C1329="","",IF($M$11="ROE",[1]!S_STM07_IS(D1329,61,$G$5,$H$13)/[1]!S_STM07_BS(D1329,141,$G$5,$H$13),([1]!S_STM07_BS(D1329,25,$G$5,$H$13)-[1]!S_STM07_BS(D1329,93,$G$5,$H$13))/$E$5))</f>
        <v/>
      </c>
      <c r="N1329" s="250" t="str">
        <f ca="1">IF(C1329="","",IF($N$11="EPS",[1]!S_STM07_IS(D1329,61,$G$5,$H$13)/IF([1]!S_SHARE_TOTAL(D1329,$G$5)=0,[1]!S_SHARE_TOTAL(D1329,[1]!s_ipo_listeddate(D1329)),[1]!S_SHARE_TOTAL(D1329,$G$5)),([1]!S_STM07_BS(D1329,75,$G$5,$H$13)+[1]!S_STM07_BS(D1329,88,$G$5,$H$13)+[1]!S_STM07_BS(D1329,94,$G$5,$H$13)+[1]!S_STM07_BS(D1329,95,$G$5,$H$13))/$E$5))</f>
        <v/>
      </c>
      <c r="O1329" s="250" t="str">
        <f ca="1">IF(C1329="","",IF($O$11="BPS",[1]!S_STM07_BS(D1329,141,$G$5,$H$13)/IF([1]!S_SHARE_TOTAL(D1329,$G$5)=0,[1]!S_SHARE_TOTAL(D1329,[1]!s_ipo_listeddate(D1329)),[1]!S_SHARE_TOTAL(D1329,$G$5)),[1]!S_STM07_CS(D1329,49,$G$5,$H$13)/$E$5))</f>
        <v/>
      </c>
      <c r="P1329" s="250" t="str">
        <f ca="1">IF(C1329="","",IF($P$11="CFPS",[1]!S_STM07_CS(D1329,84,$G$5,$H$13)/IF([1]!S_SHARE_TOTAL(D1329,$G$5)=0,[1]!S_SHARE_TOTAL(D1329,[1]!s_ipo_listeddate(D1329)),[1]!S_SHARE_TOTAL(D1329,$G$5)),[1]!S_STM07_CS(D1329,84,$G$5,$H$13)/$E$5))</f>
        <v/>
      </c>
      <c r="Q1329" s="198" t="str">
        <f ca="1">IF(C1329="","",F1329/([1]!S_STM07_IS(D1329,61,$G$5,$H$13)/IF([1]!S_SHARE_TOTAL(D1329,$G$5)=0,[1]!S_SHARE_TOTAL(D1329,[1]!s_ipo_listeddate(D1329)),[1]!S_SHARE_TOTAL(D1329,$G$5))))</f>
        <v/>
      </c>
      <c r="R1329" s="198" t="str">
        <f ca="1">IF(C1329="","",F1329/([1]!S_STM07_BS(D1329,141,$G$5,$H$13)/IF([1]!S_SHARE_TOTAL(D1329,$G$5)=0,[1]!S_SHARE_TOTAL(D1329,[1]!s_ipo_listeddate(D1329)),[1]!S_SHARE_TOTAL(D1329,$G$5))))</f>
        <v/>
      </c>
      <c r="S1329" s="249" t="str">
        <f ca="1">IF(C1329="","",[1]!S_SHARE_TOTAL(D1329,TODAY())/$E$5)</f>
        <v/>
      </c>
      <c r="T1329" s="249" t="str">
        <f t="shared" ca="1" si="133"/>
        <v/>
      </c>
      <c r="U1329" s="172" t="str">
        <f t="shared" ca="1" si="134"/>
        <v/>
      </c>
      <c r="V1329" s="343" t="str">
        <f t="shared" ca="1" si="135"/>
        <v/>
      </c>
      <c r="W1329" s="139"/>
      <c r="Y1329" s="1"/>
    </row>
    <row r="1330" spans="3:25" ht="12" customHeight="1">
      <c r="C1330" s="342" t="str">
        <f t="shared" ca="1" si="130"/>
        <v/>
      </c>
      <c r="D1330" s="153" t="str">
        <f t="shared" ca="1" si="131"/>
        <v/>
      </c>
      <c r="E1330" s="153" t="str">
        <f t="shared" ca="1" si="132"/>
        <v/>
      </c>
      <c r="F1330" s="170" t="str">
        <f ca="1">IF(C1330="","",[1]!S_DQ_CLOSE(D1330,TODAY(),1))</f>
        <v/>
      </c>
      <c r="G1330" s="171" t="str">
        <f ca="1">IF(C1330="","",[1]!s_pq_pctchange(D1330,TODAY()-$G$12,TODAY())/100)</f>
        <v/>
      </c>
      <c r="H1330" s="247" t="str">
        <f ca="1">IF(C1330="","",IF($H$11="收入",[1]!S_STM07_IS(D1330,9,$G$5,$H$13)/$E$5,[1]!S_STM07_IS(D1330,48,$G$5,$H$13)/$E$5))</f>
        <v/>
      </c>
      <c r="I1330" s="247" t="str">
        <f ca="1">IF(C1330="","",IF($I$11="毛利率",([1]!S_STM07_IS(D1330,9,$G$5,$H$13)-[1]!S_STM07_IS(D1330,10,$G$5,$H$13))/[1]!S_STM07_IS(D1330,9,$G$5,$H$13),[1]!S_STM07_IS(D1330,14,$G$5,$H$13)/$E$5))</f>
        <v/>
      </c>
      <c r="J1330" s="247" t="str">
        <f ca="1">IF(C1330="","",IF($J$11="营业利润率",[1]!S_STM07_IS(D1330,48,$G$5,$H$13)/[1]!S_STM07_IS(D1330,9,$G$5,$H$13),([1]!S_STM07_CS(D1330,87,$G$5,$H$13)+[1]!S_STM07_CS(D1330,88,$G$5,$H$13)+[1]!S_STM07_CS(D1330,89,$G$5,$H$13))/$E$5))</f>
        <v/>
      </c>
      <c r="K1330" s="247" t="str">
        <f ca="1">IF(C1330="","",IF($K$11="净利润率",[1]!S_STM07_IS(D1330,61,$G$5,$H$13)/[1]!S_STM07_IS(D1330,9,$G$5,$H$13),[1]!S_STM07_IS(D1330,55,$G$5,$H$13)/$E$5))</f>
        <v/>
      </c>
      <c r="L1330" s="247" t="str">
        <f ca="1">IF(C1330="","",IF($L$11="ROA",[1]!S_STM07_IS(D1330,61,$G$5,$H$13)/[1]!S_STM07_BS(D1330,74,$G$5,$H$13),1-[1]!S_STM07_IS(D1330,61,$G$5,$H$13)/[1]!S_STM07_IS(D1330,55,$G$5,$H$13)))</f>
        <v/>
      </c>
      <c r="M1330" s="247" t="str">
        <f ca="1">IF(C1330="","",IF($M$11="ROE",[1]!S_STM07_IS(D1330,61,$G$5,$H$13)/[1]!S_STM07_BS(D1330,141,$G$5,$H$13),([1]!S_STM07_BS(D1330,25,$G$5,$H$13)-[1]!S_STM07_BS(D1330,93,$G$5,$H$13))/$E$5))</f>
        <v/>
      </c>
      <c r="N1330" s="247" t="str">
        <f ca="1">IF(C1330="","",IF($N$11="EPS",[1]!S_STM07_IS(D1330,61,$G$5,$H$13)/IF([1]!S_SHARE_TOTAL(D1330,$G$5)=0,[1]!S_SHARE_TOTAL(D1330,[1]!s_ipo_listeddate(D1330)),[1]!S_SHARE_TOTAL(D1330,$G$5)),([1]!S_STM07_BS(D1330,75,$G$5,$H$13)+[1]!S_STM07_BS(D1330,88,$G$5,$H$13)+[1]!S_STM07_BS(D1330,94,$G$5,$H$13)+[1]!S_STM07_BS(D1330,95,$G$5,$H$13))/$E$5))</f>
        <v/>
      </c>
      <c r="O1330" s="247" t="str">
        <f ca="1">IF(C1330="","",IF($O$11="BPS",[1]!S_STM07_BS(D1330,141,$G$5,$H$13)/IF([1]!S_SHARE_TOTAL(D1330,$G$5)=0,[1]!S_SHARE_TOTAL(D1330,[1]!s_ipo_listeddate(D1330)),[1]!S_SHARE_TOTAL(D1330,$G$5)),[1]!S_STM07_CS(D1330,49,$G$5,$H$13)/$E$5))</f>
        <v/>
      </c>
      <c r="P1330" s="247" t="str">
        <f ca="1">IF(C1330="","",IF($P$11="CFPS",[1]!S_STM07_CS(D1330,84,$G$5,$H$13)/IF([1]!S_SHARE_TOTAL(D1330,$G$5)=0,[1]!S_SHARE_TOTAL(D1330,[1]!s_ipo_listeddate(D1330)),[1]!S_SHARE_TOTAL(D1330,$G$5)),[1]!S_STM07_CS(D1330,84,$G$5,$H$13)/$E$5))</f>
        <v/>
      </c>
      <c r="Q1330" s="248" t="str">
        <f ca="1">IF(C1330="","",F1330/([1]!S_STM07_IS(D1330,61,$G$5,$H$13)/IF([1]!S_SHARE_TOTAL(D1330,$G$5)=0,[1]!S_SHARE_TOTAL(D1330,[1]!s_ipo_listeddate(D1330)),[1]!S_SHARE_TOTAL(D1330,$G$5))))</f>
        <v/>
      </c>
      <c r="R1330" s="248" t="str">
        <f ca="1">IF(C1330="","",F1330/([1]!S_STM07_BS(D1330,141,$G$5,$H$13)/IF([1]!S_SHARE_TOTAL(D1330,$G$5)=0,[1]!S_SHARE_TOTAL(D1330,[1]!s_ipo_listeddate(D1330)),[1]!S_SHARE_TOTAL(D1330,$G$5))))</f>
        <v/>
      </c>
      <c r="S1330" s="247" t="str">
        <f ca="1">IF(C1330="","",[1]!S_SHARE_TOTAL(D1330,TODAY())/$E$5)</f>
        <v/>
      </c>
      <c r="T1330" s="247" t="str">
        <f t="shared" ca="1" si="133"/>
        <v/>
      </c>
      <c r="U1330" s="218" t="str">
        <f t="shared" ca="1" si="134"/>
        <v/>
      </c>
      <c r="V1330" s="342" t="str">
        <f t="shared" ca="1" si="135"/>
        <v/>
      </c>
      <c r="W1330" s="139"/>
      <c r="Y1330" s="1"/>
    </row>
    <row r="1331" spans="3:25" ht="12" customHeight="1">
      <c r="C1331" s="343" t="str">
        <f t="shared" ca="1" si="130"/>
        <v/>
      </c>
      <c r="D1331" s="124" t="str">
        <f t="shared" ca="1" si="131"/>
        <v/>
      </c>
      <c r="E1331" s="124" t="str">
        <f t="shared" ca="1" si="132"/>
        <v/>
      </c>
      <c r="F1331" s="172" t="str">
        <f ca="1">IF(C1331="","",[1]!S_DQ_CLOSE(D1331,TODAY(),1))</f>
        <v/>
      </c>
      <c r="G1331" s="173" t="str">
        <f ca="1">IF(C1331="","",[1]!s_pq_pctchange(D1331,TODAY()-$G$12,TODAY())/100)</f>
        <v/>
      </c>
      <c r="H1331" s="249" t="str">
        <f ca="1">IF(C1331="","",IF($H$11="收入",[1]!S_STM07_IS(D1331,9,$G$5,$H$13)/$E$5,[1]!S_STM07_IS(D1331,48,$G$5,$H$13)/$E$5))</f>
        <v/>
      </c>
      <c r="I1331" s="249" t="str">
        <f ca="1">IF(C1331="","",IF($I$11="毛利率",([1]!S_STM07_IS(D1331,9,$G$5,$H$13)-[1]!S_STM07_IS(D1331,10,$G$5,$H$13))/[1]!S_STM07_IS(D1331,9,$G$5,$H$13),[1]!S_STM07_IS(D1331,14,$G$5,$H$13)/$E$5))</f>
        <v/>
      </c>
      <c r="J1331" s="249" t="str">
        <f ca="1">IF(C1331="","",IF($J$11="营业利润率",[1]!S_STM07_IS(D1331,48,$G$5,$H$13)/[1]!S_STM07_IS(D1331,9,$G$5,$H$13),([1]!S_STM07_CS(D1331,87,$G$5,$H$13)+[1]!S_STM07_CS(D1331,88,$G$5,$H$13)+[1]!S_STM07_CS(D1331,89,$G$5,$H$13))/$E$5))</f>
        <v/>
      </c>
      <c r="K1331" s="249" t="str">
        <f ca="1">IF(C1331="","",IF($K$11="净利润率",[1]!S_STM07_IS(D1331,61,$G$5,$H$13)/[1]!S_STM07_IS(D1331,9,$G$5,$H$13),[1]!S_STM07_IS(D1331,55,$G$5,$H$13)/$E$5))</f>
        <v/>
      </c>
      <c r="L1331" s="249" t="str">
        <f ca="1">IF(C1331="","",IF($L$11="ROA",[1]!S_STM07_IS(D1331,61,$G$5,$H$13)/[1]!S_STM07_BS(D1331,74,$G$5,$H$13),1-[1]!S_STM07_IS(D1331,61,$G$5,$H$13)/[1]!S_STM07_IS(D1331,55,$G$5,$H$13)))</f>
        <v/>
      </c>
      <c r="M1331" s="249" t="str">
        <f ca="1">IF(C1331="","",IF($M$11="ROE",[1]!S_STM07_IS(D1331,61,$G$5,$H$13)/[1]!S_STM07_BS(D1331,141,$G$5,$H$13),([1]!S_STM07_BS(D1331,25,$G$5,$H$13)-[1]!S_STM07_BS(D1331,93,$G$5,$H$13))/$E$5))</f>
        <v/>
      </c>
      <c r="N1331" s="250" t="str">
        <f ca="1">IF(C1331="","",IF($N$11="EPS",[1]!S_STM07_IS(D1331,61,$G$5,$H$13)/IF([1]!S_SHARE_TOTAL(D1331,$G$5)=0,[1]!S_SHARE_TOTAL(D1331,[1]!s_ipo_listeddate(D1331)),[1]!S_SHARE_TOTAL(D1331,$G$5)),([1]!S_STM07_BS(D1331,75,$G$5,$H$13)+[1]!S_STM07_BS(D1331,88,$G$5,$H$13)+[1]!S_STM07_BS(D1331,94,$G$5,$H$13)+[1]!S_STM07_BS(D1331,95,$G$5,$H$13))/$E$5))</f>
        <v/>
      </c>
      <c r="O1331" s="250" t="str">
        <f ca="1">IF(C1331="","",IF($O$11="BPS",[1]!S_STM07_BS(D1331,141,$G$5,$H$13)/IF([1]!S_SHARE_TOTAL(D1331,$G$5)=0,[1]!S_SHARE_TOTAL(D1331,[1]!s_ipo_listeddate(D1331)),[1]!S_SHARE_TOTAL(D1331,$G$5)),[1]!S_STM07_CS(D1331,49,$G$5,$H$13)/$E$5))</f>
        <v/>
      </c>
      <c r="P1331" s="250" t="str">
        <f ca="1">IF(C1331="","",IF($P$11="CFPS",[1]!S_STM07_CS(D1331,84,$G$5,$H$13)/IF([1]!S_SHARE_TOTAL(D1331,$G$5)=0,[1]!S_SHARE_TOTAL(D1331,[1]!s_ipo_listeddate(D1331)),[1]!S_SHARE_TOTAL(D1331,$G$5)),[1]!S_STM07_CS(D1331,84,$G$5,$H$13)/$E$5))</f>
        <v/>
      </c>
      <c r="Q1331" s="198" t="str">
        <f ca="1">IF(C1331="","",F1331/([1]!S_STM07_IS(D1331,61,$G$5,$H$13)/IF([1]!S_SHARE_TOTAL(D1331,$G$5)=0,[1]!S_SHARE_TOTAL(D1331,[1]!s_ipo_listeddate(D1331)),[1]!S_SHARE_TOTAL(D1331,$G$5))))</f>
        <v/>
      </c>
      <c r="R1331" s="198" t="str">
        <f ca="1">IF(C1331="","",F1331/([1]!S_STM07_BS(D1331,141,$G$5,$H$13)/IF([1]!S_SHARE_TOTAL(D1331,$G$5)=0,[1]!S_SHARE_TOTAL(D1331,[1]!s_ipo_listeddate(D1331)),[1]!S_SHARE_TOTAL(D1331,$G$5))))</f>
        <v/>
      </c>
      <c r="S1331" s="249" t="str">
        <f ca="1">IF(C1331="","",[1]!S_SHARE_TOTAL(D1331,TODAY())/$E$5)</f>
        <v/>
      </c>
      <c r="T1331" s="249" t="str">
        <f t="shared" ca="1" si="133"/>
        <v/>
      </c>
      <c r="U1331" s="172" t="str">
        <f t="shared" ca="1" si="134"/>
        <v/>
      </c>
      <c r="V1331" s="343" t="str">
        <f t="shared" ca="1" si="135"/>
        <v/>
      </c>
      <c r="W1331" s="139"/>
      <c r="Y1331" s="1"/>
    </row>
    <row r="1332" spans="3:25" ht="12" customHeight="1">
      <c r="C1332" s="342" t="str">
        <f t="shared" ca="1" si="130"/>
        <v/>
      </c>
      <c r="D1332" s="153" t="str">
        <f t="shared" ca="1" si="131"/>
        <v/>
      </c>
      <c r="E1332" s="153" t="str">
        <f t="shared" ca="1" si="132"/>
        <v/>
      </c>
      <c r="F1332" s="170" t="str">
        <f ca="1">IF(C1332="","",[1]!S_DQ_CLOSE(D1332,TODAY(),1))</f>
        <v/>
      </c>
      <c r="G1332" s="171" t="str">
        <f ca="1">IF(C1332="","",[1]!s_pq_pctchange(D1332,TODAY()-$G$12,TODAY())/100)</f>
        <v/>
      </c>
      <c r="H1332" s="247" t="str">
        <f ca="1">IF(C1332="","",IF($H$11="收入",[1]!S_STM07_IS(D1332,9,$G$5,$H$13)/$E$5,[1]!S_STM07_IS(D1332,48,$G$5,$H$13)/$E$5))</f>
        <v/>
      </c>
      <c r="I1332" s="247" t="str">
        <f ca="1">IF(C1332="","",IF($I$11="毛利率",([1]!S_STM07_IS(D1332,9,$G$5,$H$13)-[1]!S_STM07_IS(D1332,10,$G$5,$H$13))/[1]!S_STM07_IS(D1332,9,$G$5,$H$13),[1]!S_STM07_IS(D1332,14,$G$5,$H$13)/$E$5))</f>
        <v/>
      </c>
      <c r="J1332" s="247" t="str">
        <f ca="1">IF(C1332="","",IF($J$11="营业利润率",[1]!S_STM07_IS(D1332,48,$G$5,$H$13)/[1]!S_STM07_IS(D1332,9,$G$5,$H$13),([1]!S_STM07_CS(D1332,87,$G$5,$H$13)+[1]!S_STM07_CS(D1332,88,$G$5,$H$13)+[1]!S_STM07_CS(D1332,89,$G$5,$H$13))/$E$5))</f>
        <v/>
      </c>
      <c r="K1332" s="247" t="str">
        <f ca="1">IF(C1332="","",IF($K$11="净利润率",[1]!S_STM07_IS(D1332,61,$G$5,$H$13)/[1]!S_STM07_IS(D1332,9,$G$5,$H$13),[1]!S_STM07_IS(D1332,55,$G$5,$H$13)/$E$5))</f>
        <v/>
      </c>
      <c r="L1332" s="247" t="str">
        <f ca="1">IF(C1332="","",IF($L$11="ROA",[1]!S_STM07_IS(D1332,61,$G$5,$H$13)/[1]!S_STM07_BS(D1332,74,$G$5,$H$13),1-[1]!S_STM07_IS(D1332,61,$G$5,$H$13)/[1]!S_STM07_IS(D1332,55,$G$5,$H$13)))</f>
        <v/>
      </c>
      <c r="M1332" s="247" t="str">
        <f ca="1">IF(C1332="","",IF($M$11="ROE",[1]!S_STM07_IS(D1332,61,$G$5,$H$13)/[1]!S_STM07_BS(D1332,141,$G$5,$H$13),([1]!S_STM07_BS(D1332,25,$G$5,$H$13)-[1]!S_STM07_BS(D1332,93,$G$5,$H$13))/$E$5))</f>
        <v/>
      </c>
      <c r="N1332" s="247" t="str">
        <f ca="1">IF(C1332="","",IF($N$11="EPS",[1]!S_STM07_IS(D1332,61,$G$5,$H$13)/IF([1]!S_SHARE_TOTAL(D1332,$G$5)=0,[1]!S_SHARE_TOTAL(D1332,[1]!s_ipo_listeddate(D1332)),[1]!S_SHARE_TOTAL(D1332,$G$5)),([1]!S_STM07_BS(D1332,75,$G$5,$H$13)+[1]!S_STM07_BS(D1332,88,$G$5,$H$13)+[1]!S_STM07_BS(D1332,94,$G$5,$H$13)+[1]!S_STM07_BS(D1332,95,$G$5,$H$13))/$E$5))</f>
        <v/>
      </c>
      <c r="O1332" s="247" t="str">
        <f ca="1">IF(C1332="","",IF($O$11="BPS",[1]!S_STM07_BS(D1332,141,$G$5,$H$13)/IF([1]!S_SHARE_TOTAL(D1332,$G$5)=0,[1]!S_SHARE_TOTAL(D1332,[1]!s_ipo_listeddate(D1332)),[1]!S_SHARE_TOTAL(D1332,$G$5)),[1]!S_STM07_CS(D1332,49,$G$5,$H$13)/$E$5))</f>
        <v/>
      </c>
      <c r="P1332" s="247" t="str">
        <f ca="1">IF(C1332="","",IF($P$11="CFPS",[1]!S_STM07_CS(D1332,84,$G$5,$H$13)/IF([1]!S_SHARE_TOTAL(D1332,$G$5)=0,[1]!S_SHARE_TOTAL(D1332,[1]!s_ipo_listeddate(D1332)),[1]!S_SHARE_TOTAL(D1332,$G$5)),[1]!S_STM07_CS(D1332,84,$G$5,$H$13)/$E$5))</f>
        <v/>
      </c>
      <c r="Q1332" s="248" t="str">
        <f ca="1">IF(C1332="","",F1332/([1]!S_STM07_IS(D1332,61,$G$5,$H$13)/IF([1]!S_SHARE_TOTAL(D1332,$G$5)=0,[1]!S_SHARE_TOTAL(D1332,[1]!s_ipo_listeddate(D1332)),[1]!S_SHARE_TOTAL(D1332,$G$5))))</f>
        <v/>
      </c>
      <c r="R1332" s="248" t="str">
        <f ca="1">IF(C1332="","",F1332/([1]!S_STM07_BS(D1332,141,$G$5,$H$13)/IF([1]!S_SHARE_TOTAL(D1332,$G$5)=0,[1]!S_SHARE_TOTAL(D1332,[1]!s_ipo_listeddate(D1332)),[1]!S_SHARE_TOTAL(D1332,$G$5))))</f>
        <v/>
      </c>
      <c r="S1332" s="247" t="str">
        <f ca="1">IF(C1332="","",[1]!S_SHARE_TOTAL(D1332,TODAY())/$E$5)</f>
        <v/>
      </c>
      <c r="T1332" s="247" t="str">
        <f t="shared" ca="1" si="133"/>
        <v/>
      </c>
      <c r="U1332" s="218" t="str">
        <f t="shared" ca="1" si="134"/>
        <v/>
      </c>
      <c r="V1332" s="342" t="str">
        <f t="shared" ca="1" si="135"/>
        <v/>
      </c>
      <c r="W1332" s="139"/>
      <c r="Y1332" s="1"/>
    </row>
    <row r="1333" spans="3:25" ht="12" customHeight="1">
      <c r="C1333" s="343" t="str">
        <f t="shared" ca="1" si="130"/>
        <v/>
      </c>
      <c r="D1333" s="124" t="str">
        <f t="shared" ca="1" si="131"/>
        <v/>
      </c>
      <c r="E1333" s="124" t="str">
        <f t="shared" ca="1" si="132"/>
        <v/>
      </c>
      <c r="F1333" s="172" t="str">
        <f ca="1">IF(C1333="","",[1]!S_DQ_CLOSE(D1333,TODAY(),1))</f>
        <v/>
      </c>
      <c r="G1333" s="173" t="str">
        <f ca="1">IF(C1333="","",[1]!s_pq_pctchange(D1333,TODAY()-$G$12,TODAY())/100)</f>
        <v/>
      </c>
      <c r="H1333" s="249" t="str">
        <f ca="1">IF(C1333="","",IF($H$11="收入",[1]!S_STM07_IS(D1333,9,$G$5,$H$13)/$E$5,[1]!S_STM07_IS(D1333,48,$G$5,$H$13)/$E$5))</f>
        <v/>
      </c>
      <c r="I1333" s="249" t="str">
        <f ca="1">IF(C1333="","",IF($I$11="毛利率",([1]!S_STM07_IS(D1333,9,$G$5,$H$13)-[1]!S_STM07_IS(D1333,10,$G$5,$H$13))/[1]!S_STM07_IS(D1333,9,$G$5,$H$13),[1]!S_STM07_IS(D1333,14,$G$5,$H$13)/$E$5))</f>
        <v/>
      </c>
      <c r="J1333" s="249" t="str">
        <f ca="1">IF(C1333="","",IF($J$11="营业利润率",[1]!S_STM07_IS(D1333,48,$G$5,$H$13)/[1]!S_STM07_IS(D1333,9,$G$5,$H$13),([1]!S_STM07_CS(D1333,87,$G$5,$H$13)+[1]!S_STM07_CS(D1333,88,$G$5,$H$13)+[1]!S_STM07_CS(D1333,89,$G$5,$H$13))/$E$5))</f>
        <v/>
      </c>
      <c r="K1333" s="249" t="str">
        <f ca="1">IF(C1333="","",IF($K$11="净利润率",[1]!S_STM07_IS(D1333,61,$G$5,$H$13)/[1]!S_STM07_IS(D1333,9,$G$5,$H$13),[1]!S_STM07_IS(D1333,55,$G$5,$H$13)/$E$5))</f>
        <v/>
      </c>
      <c r="L1333" s="249" t="str">
        <f ca="1">IF(C1333="","",IF($L$11="ROA",[1]!S_STM07_IS(D1333,61,$G$5,$H$13)/[1]!S_STM07_BS(D1333,74,$G$5,$H$13),1-[1]!S_STM07_IS(D1333,61,$G$5,$H$13)/[1]!S_STM07_IS(D1333,55,$G$5,$H$13)))</f>
        <v/>
      </c>
      <c r="M1333" s="249" t="str">
        <f ca="1">IF(C1333="","",IF($M$11="ROE",[1]!S_STM07_IS(D1333,61,$G$5,$H$13)/[1]!S_STM07_BS(D1333,141,$G$5,$H$13),([1]!S_STM07_BS(D1333,25,$G$5,$H$13)-[1]!S_STM07_BS(D1333,93,$G$5,$H$13))/$E$5))</f>
        <v/>
      </c>
      <c r="N1333" s="250" t="str">
        <f ca="1">IF(C1333="","",IF($N$11="EPS",[1]!S_STM07_IS(D1333,61,$G$5,$H$13)/IF([1]!S_SHARE_TOTAL(D1333,$G$5)=0,[1]!S_SHARE_TOTAL(D1333,[1]!s_ipo_listeddate(D1333)),[1]!S_SHARE_TOTAL(D1333,$G$5)),([1]!S_STM07_BS(D1333,75,$G$5,$H$13)+[1]!S_STM07_BS(D1333,88,$G$5,$H$13)+[1]!S_STM07_BS(D1333,94,$G$5,$H$13)+[1]!S_STM07_BS(D1333,95,$G$5,$H$13))/$E$5))</f>
        <v/>
      </c>
      <c r="O1333" s="250" t="str">
        <f ca="1">IF(C1333="","",IF($O$11="BPS",[1]!S_STM07_BS(D1333,141,$G$5,$H$13)/IF([1]!S_SHARE_TOTAL(D1333,$G$5)=0,[1]!S_SHARE_TOTAL(D1333,[1]!s_ipo_listeddate(D1333)),[1]!S_SHARE_TOTAL(D1333,$G$5)),[1]!S_STM07_CS(D1333,49,$G$5,$H$13)/$E$5))</f>
        <v/>
      </c>
      <c r="P1333" s="250" t="str">
        <f ca="1">IF(C1333="","",IF($P$11="CFPS",[1]!S_STM07_CS(D1333,84,$G$5,$H$13)/IF([1]!S_SHARE_TOTAL(D1333,$G$5)=0,[1]!S_SHARE_TOTAL(D1333,[1]!s_ipo_listeddate(D1333)),[1]!S_SHARE_TOTAL(D1333,$G$5)),[1]!S_STM07_CS(D1333,84,$G$5,$H$13)/$E$5))</f>
        <v/>
      </c>
      <c r="Q1333" s="198" t="str">
        <f ca="1">IF(C1333="","",F1333/([1]!S_STM07_IS(D1333,61,$G$5,$H$13)/IF([1]!S_SHARE_TOTAL(D1333,$G$5)=0,[1]!S_SHARE_TOTAL(D1333,[1]!s_ipo_listeddate(D1333)),[1]!S_SHARE_TOTAL(D1333,$G$5))))</f>
        <v/>
      </c>
      <c r="R1333" s="198" t="str">
        <f ca="1">IF(C1333="","",F1333/([1]!S_STM07_BS(D1333,141,$G$5,$H$13)/IF([1]!S_SHARE_TOTAL(D1333,$G$5)=0,[1]!S_SHARE_TOTAL(D1333,[1]!s_ipo_listeddate(D1333)),[1]!S_SHARE_TOTAL(D1333,$G$5))))</f>
        <v/>
      </c>
      <c r="S1333" s="249" t="str">
        <f ca="1">IF(C1333="","",[1]!S_SHARE_TOTAL(D1333,TODAY())/$E$5)</f>
        <v/>
      </c>
      <c r="T1333" s="249" t="str">
        <f t="shared" ca="1" si="133"/>
        <v/>
      </c>
      <c r="U1333" s="172" t="str">
        <f t="shared" ca="1" si="134"/>
        <v/>
      </c>
      <c r="V1333" s="343" t="str">
        <f t="shared" ca="1" si="135"/>
        <v/>
      </c>
      <c r="W1333" s="139"/>
      <c r="Y1333" s="1"/>
    </row>
    <row r="1334" spans="3:25" ht="12" customHeight="1">
      <c r="C1334" s="342" t="str">
        <f t="shared" ca="1" si="130"/>
        <v/>
      </c>
      <c r="D1334" s="153" t="str">
        <f t="shared" ca="1" si="131"/>
        <v/>
      </c>
      <c r="E1334" s="153" t="str">
        <f t="shared" ca="1" si="132"/>
        <v/>
      </c>
      <c r="F1334" s="170" t="str">
        <f ca="1">IF(C1334="","",[1]!S_DQ_CLOSE(D1334,TODAY(),1))</f>
        <v/>
      </c>
      <c r="G1334" s="171" t="str">
        <f ca="1">IF(C1334="","",[1]!s_pq_pctchange(D1334,TODAY()-$G$12,TODAY())/100)</f>
        <v/>
      </c>
      <c r="H1334" s="247" t="str">
        <f ca="1">IF(C1334="","",IF($H$11="收入",[1]!S_STM07_IS(D1334,9,$G$5,$H$13)/$E$5,[1]!S_STM07_IS(D1334,48,$G$5,$H$13)/$E$5))</f>
        <v/>
      </c>
      <c r="I1334" s="247" t="str">
        <f ca="1">IF(C1334="","",IF($I$11="毛利率",([1]!S_STM07_IS(D1334,9,$G$5,$H$13)-[1]!S_STM07_IS(D1334,10,$G$5,$H$13))/[1]!S_STM07_IS(D1334,9,$G$5,$H$13),[1]!S_STM07_IS(D1334,14,$G$5,$H$13)/$E$5))</f>
        <v/>
      </c>
      <c r="J1334" s="247" t="str">
        <f ca="1">IF(C1334="","",IF($J$11="营业利润率",[1]!S_STM07_IS(D1334,48,$G$5,$H$13)/[1]!S_STM07_IS(D1334,9,$G$5,$H$13),([1]!S_STM07_CS(D1334,87,$G$5,$H$13)+[1]!S_STM07_CS(D1334,88,$G$5,$H$13)+[1]!S_STM07_CS(D1334,89,$G$5,$H$13))/$E$5))</f>
        <v/>
      </c>
      <c r="K1334" s="247" t="str">
        <f ca="1">IF(C1334="","",IF($K$11="净利润率",[1]!S_STM07_IS(D1334,61,$G$5,$H$13)/[1]!S_STM07_IS(D1334,9,$G$5,$H$13),[1]!S_STM07_IS(D1334,55,$G$5,$H$13)/$E$5))</f>
        <v/>
      </c>
      <c r="L1334" s="247" t="str">
        <f ca="1">IF(C1334="","",IF($L$11="ROA",[1]!S_STM07_IS(D1334,61,$G$5,$H$13)/[1]!S_STM07_BS(D1334,74,$G$5,$H$13),1-[1]!S_STM07_IS(D1334,61,$G$5,$H$13)/[1]!S_STM07_IS(D1334,55,$G$5,$H$13)))</f>
        <v/>
      </c>
      <c r="M1334" s="247" t="str">
        <f ca="1">IF(C1334="","",IF($M$11="ROE",[1]!S_STM07_IS(D1334,61,$G$5,$H$13)/[1]!S_STM07_BS(D1334,141,$G$5,$H$13),([1]!S_STM07_BS(D1334,25,$G$5,$H$13)-[1]!S_STM07_BS(D1334,93,$G$5,$H$13))/$E$5))</f>
        <v/>
      </c>
      <c r="N1334" s="247" t="str">
        <f ca="1">IF(C1334="","",IF($N$11="EPS",[1]!S_STM07_IS(D1334,61,$G$5,$H$13)/IF([1]!S_SHARE_TOTAL(D1334,$G$5)=0,[1]!S_SHARE_TOTAL(D1334,[1]!s_ipo_listeddate(D1334)),[1]!S_SHARE_TOTAL(D1334,$G$5)),([1]!S_STM07_BS(D1334,75,$G$5,$H$13)+[1]!S_STM07_BS(D1334,88,$G$5,$H$13)+[1]!S_STM07_BS(D1334,94,$G$5,$H$13)+[1]!S_STM07_BS(D1334,95,$G$5,$H$13))/$E$5))</f>
        <v/>
      </c>
      <c r="O1334" s="247" t="str">
        <f ca="1">IF(C1334="","",IF($O$11="BPS",[1]!S_STM07_BS(D1334,141,$G$5,$H$13)/IF([1]!S_SHARE_TOTAL(D1334,$G$5)=0,[1]!S_SHARE_TOTAL(D1334,[1]!s_ipo_listeddate(D1334)),[1]!S_SHARE_TOTAL(D1334,$G$5)),[1]!S_STM07_CS(D1334,49,$G$5,$H$13)/$E$5))</f>
        <v/>
      </c>
      <c r="P1334" s="247" t="str">
        <f ca="1">IF(C1334="","",IF($P$11="CFPS",[1]!S_STM07_CS(D1334,84,$G$5,$H$13)/IF([1]!S_SHARE_TOTAL(D1334,$G$5)=0,[1]!S_SHARE_TOTAL(D1334,[1]!s_ipo_listeddate(D1334)),[1]!S_SHARE_TOTAL(D1334,$G$5)),[1]!S_STM07_CS(D1334,84,$G$5,$H$13)/$E$5))</f>
        <v/>
      </c>
      <c r="Q1334" s="248" t="str">
        <f ca="1">IF(C1334="","",F1334/([1]!S_STM07_IS(D1334,61,$G$5,$H$13)/IF([1]!S_SHARE_TOTAL(D1334,$G$5)=0,[1]!S_SHARE_TOTAL(D1334,[1]!s_ipo_listeddate(D1334)),[1]!S_SHARE_TOTAL(D1334,$G$5))))</f>
        <v/>
      </c>
      <c r="R1334" s="248" t="str">
        <f ca="1">IF(C1334="","",F1334/([1]!S_STM07_BS(D1334,141,$G$5,$H$13)/IF([1]!S_SHARE_TOTAL(D1334,$G$5)=0,[1]!S_SHARE_TOTAL(D1334,[1]!s_ipo_listeddate(D1334)),[1]!S_SHARE_TOTAL(D1334,$G$5))))</f>
        <v/>
      </c>
      <c r="S1334" s="247" t="str">
        <f ca="1">IF(C1334="","",[1]!S_SHARE_TOTAL(D1334,TODAY())/$E$5)</f>
        <v/>
      </c>
      <c r="T1334" s="247" t="str">
        <f t="shared" ca="1" si="133"/>
        <v/>
      </c>
      <c r="U1334" s="218" t="str">
        <f t="shared" ca="1" si="134"/>
        <v/>
      </c>
      <c r="V1334" s="342" t="str">
        <f t="shared" ca="1" si="135"/>
        <v/>
      </c>
      <c r="W1334" s="139"/>
      <c r="Y1334" s="1"/>
    </row>
    <row r="1335" spans="3:25" ht="12" customHeight="1">
      <c r="C1335" s="343" t="str">
        <f t="shared" ca="1" si="130"/>
        <v/>
      </c>
      <c r="D1335" s="124" t="str">
        <f t="shared" ca="1" si="131"/>
        <v/>
      </c>
      <c r="E1335" s="124" t="str">
        <f t="shared" ca="1" si="132"/>
        <v/>
      </c>
      <c r="F1335" s="172" t="str">
        <f ca="1">IF(C1335="","",[1]!S_DQ_CLOSE(D1335,TODAY(),1))</f>
        <v/>
      </c>
      <c r="G1335" s="173" t="str">
        <f ca="1">IF(C1335="","",[1]!s_pq_pctchange(D1335,TODAY()-$G$12,TODAY())/100)</f>
        <v/>
      </c>
      <c r="H1335" s="249" t="str">
        <f ca="1">IF(C1335="","",IF($H$11="收入",[1]!S_STM07_IS(D1335,9,$G$5,$H$13)/$E$5,[1]!S_STM07_IS(D1335,48,$G$5,$H$13)/$E$5))</f>
        <v/>
      </c>
      <c r="I1335" s="249" t="str">
        <f ca="1">IF(C1335="","",IF($I$11="毛利率",([1]!S_STM07_IS(D1335,9,$G$5,$H$13)-[1]!S_STM07_IS(D1335,10,$G$5,$H$13))/[1]!S_STM07_IS(D1335,9,$G$5,$H$13),[1]!S_STM07_IS(D1335,14,$G$5,$H$13)/$E$5))</f>
        <v/>
      </c>
      <c r="J1335" s="249" t="str">
        <f ca="1">IF(C1335="","",IF($J$11="营业利润率",[1]!S_STM07_IS(D1335,48,$G$5,$H$13)/[1]!S_STM07_IS(D1335,9,$G$5,$H$13),([1]!S_STM07_CS(D1335,87,$G$5,$H$13)+[1]!S_STM07_CS(D1335,88,$G$5,$H$13)+[1]!S_STM07_CS(D1335,89,$G$5,$H$13))/$E$5))</f>
        <v/>
      </c>
      <c r="K1335" s="249" t="str">
        <f ca="1">IF(C1335="","",IF($K$11="净利润率",[1]!S_STM07_IS(D1335,61,$G$5,$H$13)/[1]!S_STM07_IS(D1335,9,$G$5,$H$13),[1]!S_STM07_IS(D1335,55,$G$5,$H$13)/$E$5))</f>
        <v/>
      </c>
      <c r="L1335" s="249" t="str">
        <f ca="1">IF(C1335="","",IF($L$11="ROA",[1]!S_STM07_IS(D1335,61,$G$5,$H$13)/[1]!S_STM07_BS(D1335,74,$G$5,$H$13),1-[1]!S_STM07_IS(D1335,61,$G$5,$H$13)/[1]!S_STM07_IS(D1335,55,$G$5,$H$13)))</f>
        <v/>
      </c>
      <c r="M1335" s="249" t="str">
        <f ca="1">IF(C1335="","",IF($M$11="ROE",[1]!S_STM07_IS(D1335,61,$G$5,$H$13)/[1]!S_STM07_BS(D1335,141,$G$5,$H$13),([1]!S_STM07_BS(D1335,25,$G$5,$H$13)-[1]!S_STM07_BS(D1335,93,$G$5,$H$13))/$E$5))</f>
        <v/>
      </c>
      <c r="N1335" s="250" t="str">
        <f ca="1">IF(C1335="","",IF($N$11="EPS",[1]!S_STM07_IS(D1335,61,$G$5,$H$13)/IF([1]!S_SHARE_TOTAL(D1335,$G$5)=0,[1]!S_SHARE_TOTAL(D1335,[1]!s_ipo_listeddate(D1335)),[1]!S_SHARE_TOTAL(D1335,$G$5)),([1]!S_STM07_BS(D1335,75,$G$5,$H$13)+[1]!S_STM07_BS(D1335,88,$G$5,$H$13)+[1]!S_STM07_BS(D1335,94,$G$5,$H$13)+[1]!S_STM07_BS(D1335,95,$G$5,$H$13))/$E$5))</f>
        <v/>
      </c>
      <c r="O1335" s="250" t="str">
        <f ca="1">IF(C1335="","",IF($O$11="BPS",[1]!S_STM07_BS(D1335,141,$G$5,$H$13)/IF([1]!S_SHARE_TOTAL(D1335,$G$5)=0,[1]!S_SHARE_TOTAL(D1335,[1]!s_ipo_listeddate(D1335)),[1]!S_SHARE_TOTAL(D1335,$G$5)),[1]!S_STM07_CS(D1335,49,$G$5,$H$13)/$E$5))</f>
        <v/>
      </c>
      <c r="P1335" s="250" t="str">
        <f ca="1">IF(C1335="","",IF($P$11="CFPS",[1]!S_STM07_CS(D1335,84,$G$5,$H$13)/IF([1]!S_SHARE_TOTAL(D1335,$G$5)=0,[1]!S_SHARE_TOTAL(D1335,[1]!s_ipo_listeddate(D1335)),[1]!S_SHARE_TOTAL(D1335,$G$5)),[1]!S_STM07_CS(D1335,84,$G$5,$H$13)/$E$5))</f>
        <v/>
      </c>
      <c r="Q1335" s="198" t="str">
        <f ca="1">IF(C1335="","",F1335/([1]!S_STM07_IS(D1335,61,$G$5,$H$13)/IF([1]!S_SHARE_TOTAL(D1335,$G$5)=0,[1]!S_SHARE_TOTAL(D1335,[1]!s_ipo_listeddate(D1335)),[1]!S_SHARE_TOTAL(D1335,$G$5))))</f>
        <v/>
      </c>
      <c r="R1335" s="198" t="str">
        <f ca="1">IF(C1335="","",F1335/([1]!S_STM07_BS(D1335,141,$G$5,$H$13)/IF([1]!S_SHARE_TOTAL(D1335,$G$5)=0,[1]!S_SHARE_TOTAL(D1335,[1]!s_ipo_listeddate(D1335)),[1]!S_SHARE_TOTAL(D1335,$G$5))))</f>
        <v/>
      </c>
      <c r="S1335" s="249" t="str">
        <f ca="1">IF(C1335="","",[1]!S_SHARE_TOTAL(D1335,TODAY())/$E$5)</f>
        <v/>
      </c>
      <c r="T1335" s="249" t="str">
        <f t="shared" ca="1" si="133"/>
        <v/>
      </c>
      <c r="U1335" s="172" t="str">
        <f t="shared" ca="1" si="134"/>
        <v/>
      </c>
      <c r="V1335" s="343" t="str">
        <f t="shared" ca="1" si="135"/>
        <v/>
      </c>
      <c r="W1335" s="139"/>
      <c r="Y1335" s="1"/>
    </row>
    <row r="1336" spans="3:25" ht="12" customHeight="1">
      <c r="C1336" s="342" t="str">
        <f t="shared" ca="1" si="130"/>
        <v/>
      </c>
      <c r="D1336" s="153" t="str">
        <f t="shared" ca="1" si="131"/>
        <v/>
      </c>
      <c r="E1336" s="153" t="str">
        <f t="shared" ca="1" si="132"/>
        <v/>
      </c>
      <c r="F1336" s="170" t="str">
        <f ca="1">IF(C1336="","",[1]!S_DQ_CLOSE(D1336,TODAY(),1))</f>
        <v/>
      </c>
      <c r="G1336" s="171" t="str">
        <f ca="1">IF(C1336="","",[1]!s_pq_pctchange(D1336,TODAY()-$G$12,TODAY())/100)</f>
        <v/>
      </c>
      <c r="H1336" s="247" t="str">
        <f ca="1">IF(C1336="","",IF($H$11="收入",[1]!S_STM07_IS(D1336,9,$G$5,$H$13)/$E$5,[1]!S_STM07_IS(D1336,48,$G$5,$H$13)/$E$5))</f>
        <v/>
      </c>
      <c r="I1336" s="247" t="str">
        <f ca="1">IF(C1336="","",IF($I$11="毛利率",([1]!S_STM07_IS(D1336,9,$G$5,$H$13)-[1]!S_STM07_IS(D1336,10,$G$5,$H$13))/[1]!S_STM07_IS(D1336,9,$G$5,$H$13),[1]!S_STM07_IS(D1336,14,$G$5,$H$13)/$E$5))</f>
        <v/>
      </c>
      <c r="J1336" s="247" t="str">
        <f ca="1">IF(C1336="","",IF($J$11="营业利润率",[1]!S_STM07_IS(D1336,48,$G$5,$H$13)/[1]!S_STM07_IS(D1336,9,$G$5,$H$13),([1]!S_STM07_CS(D1336,87,$G$5,$H$13)+[1]!S_STM07_CS(D1336,88,$G$5,$H$13)+[1]!S_STM07_CS(D1336,89,$G$5,$H$13))/$E$5))</f>
        <v/>
      </c>
      <c r="K1336" s="247" t="str">
        <f ca="1">IF(C1336="","",IF($K$11="净利润率",[1]!S_STM07_IS(D1336,61,$G$5,$H$13)/[1]!S_STM07_IS(D1336,9,$G$5,$H$13),[1]!S_STM07_IS(D1336,55,$G$5,$H$13)/$E$5))</f>
        <v/>
      </c>
      <c r="L1336" s="247" t="str">
        <f ca="1">IF(C1336="","",IF($L$11="ROA",[1]!S_STM07_IS(D1336,61,$G$5,$H$13)/[1]!S_STM07_BS(D1336,74,$G$5,$H$13),1-[1]!S_STM07_IS(D1336,61,$G$5,$H$13)/[1]!S_STM07_IS(D1336,55,$G$5,$H$13)))</f>
        <v/>
      </c>
      <c r="M1336" s="247" t="str">
        <f ca="1">IF(C1336="","",IF($M$11="ROE",[1]!S_STM07_IS(D1336,61,$G$5,$H$13)/[1]!S_STM07_BS(D1336,141,$G$5,$H$13),([1]!S_STM07_BS(D1336,25,$G$5,$H$13)-[1]!S_STM07_BS(D1336,93,$G$5,$H$13))/$E$5))</f>
        <v/>
      </c>
      <c r="N1336" s="247" t="str">
        <f ca="1">IF(C1336="","",IF($N$11="EPS",[1]!S_STM07_IS(D1336,61,$G$5,$H$13)/IF([1]!S_SHARE_TOTAL(D1336,$G$5)=0,[1]!S_SHARE_TOTAL(D1336,[1]!s_ipo_listeddate(D1336)),[1]!S_SHARE_TOTAL(D1336,$G$5)),([1]!S_STM07_BS(D1336,75,$G$5,$H$13)+[1]!S_STM07_BS(D1336,88,$G$5,$H$13)+[1]!S_STM07_BS(D1336,94,$G$5,$H$13)+[1]!S_STM07_BS(D1336,95,$G$5,$H$13))/$E$5))</f>
        <v/>
      </c>
      <c r="O1336" s="247" t="str">
        <f ca="1">IF(C1336="","",IF($O$11="BPS",[1]!S_STM07_BS(D1336,141,$G$5,$H$13)/IF([1]!S_SHARE_TOTAL(D1336,$G$5)=0,[1]!S_SHARE_TOTAL(D1336,[1]!s_ipo_listeddate(D1336)),[1]!S_SHARE_TOTAL(D1336,$G$5)),[1]!S_STM07_CS(D1336,49,$G$5,$H$13)/$E$5))</f>
        <v/>
      </c>
      <c r="P1336" s="247" t="str">
        <f ca="1">IF(C1336="","",IF($P$11="CFPS",[1]!S_STM07_CS(D1336,84,$G$5,$H$13)/IF([1]!S_SHARE_TOTAL(D1336,$G$5)=0,[1]!S_SHARE_TOTAL(D1336,[1]!s_ipo_listeddate(D1336)),[1]!S_SHARE_TOTAL(D1336,$G$5)),[1]!S_STM07_CS(D1336,84,$G$5,$H$13)/$E$5))</f>
        <v/>
      </c>
      <c r="Q1336" s="248" t="str">
        <f ca="1">IF(C1336="","",F1336/([1]!S_STM07_IS(D1336,61,$G$5,$H$13)/IF([1]!S_SHARE_TOTAL(D1336,$G$5)=0,[1]!S_SHARE_TOTAL(D1336,[1]!s_ipo_listeddate(D1336)),[1]!S_SHARE_TOTAL(D1336,$G$5))))</f>
        <v/>
      </c>
      <c r="R1336" s="248" t="str">
        <f ca="1">IF(C1336="","",F1336/([1]!S_STM07_BS(D1336,141,$G$5,$H$13)/IF([1]!S_SHARE_TOTAL(D1336,$G$5)=0,[1]!S_SHARE_TOTAL(D1336,[1]!s_ipo_listeddate(D1336)),[1]!S_SHARE_TOTAL(D1336,$G$5))))</f>
        <v/>
      </c>
      <c r="S1336" s="247" t="str">
        <f ca="1">IF(C1336="","",[1]!S_SHARE_TOTAL(D1336,TODAY())/$E$5)</f>
        <v/>
      </c>
      <c r="T1336" s="247" t="str">
        <f t="shared" ca="1" si="133"/>
        <v/>
      </c>
      <c r="U1336" s="218" t="str">
        <f t="shared" ca="1" si="134"/>
        <v/>
      </c>
      <c r="V1336" s="342" t="str">
        <f t="shared" ca="1" si="135"/>
        <v/>
      </c>
      <c r="W1336" s="139"/>
      <c r="Y1336" s="1"/>
    </row>
    <row r="1337" spans="3:25" ht="12" customHeight="1">
      <c r="C1337" s="343" t="str">
        <f t="shared" ca="1" si="130"/>
        <v/>
      </c>
      <c r="D1337" s="124" t="str">
        <f t="shared" ca="1" si="131"/>
        <v/>
      </c>
      <c r="E1337" s="124" t="str">
        <f t="shared" ca="1" si="132"/>
        <v/>
      </c>
      <c r="F1337" s="172" t="str">
        <f ca="1">IF(C1337="","",[1]!S_DQ_CLOSE(D1337,TODAY(),1))</f>
        <v/>
      </c>
      <c r="G1337" s="173" t="str">
        <f ca="1">IF(C1337="","",[1]!s_pq_pctchange(D1337,TODAY()-$G$12,TODAY())/100)</f>
        <v/>
      </c>
      <c r="H1337" s="249" t="str">
        <f ca="1">IF(C1337="","",IF($H$11="收入",[1]!S_STM07_IS(D1337,9,$G$5,$H$13)/$E$5,[1]!S_STM07_IS(D1337,48,$G$5,$H$13)/$E$5))</f>
        <v/>
      </c>
      <c r="I1337" s="249" t="str">
        <f ca="1">IF(C1337="","",IF($I$11="毛利率",([1]!S_STM07_IS(D1337,9,$G$5,$H$13)-[1]!S_STM07_IS(D1337,10,$G$5,$H$13))/[1]!S_STM07_IS(D1337,9,$G$5,$H$13),[1]!S_STM07_IS(D1337,14,$G$5,$H$13)/$E$5))</f>
        <v/>
      </c>
      <c r="J1337" s="249" t="str">
        <f ca="1">IF(C1337="","",IF($J$11="营业利润率",[1]!S_STM07_IS(D1337,48,$G$5,$H$13)/[1]!S_STM07_IS(D1337,9,$G$5,$H$13),([1]!S_STM07_CS(D1337,87,$G$5,$H$13)+[1]!S_STM07_CS(D1337,88,$G$5,$H$13)+[1]!S_STM07_CS(D1337,89,$G$5,$H$13))/$E$5))</f>
        <v/>
      </c>
      <c r="K1337" s="249" t="str">
        <f ca="1">IF(C1337="","",IF($K$11="净利润率",[1]!S_STM07_IS(D1337,61,$G$5,$H$13)/[1]!S_STM07_IS(D1337,9,$G$5,$H$13),[1]!S_STM07_IS(D1337,55,$G$5,$H$13)/$E$5))</f>
        <v/>
      </c>
      <c r="L1337" s="249" t="str">
        <f ca="1">IF(C1337="","",IF($L$11="ROA",[1]!S_STM07_IS(D1337,61,$G$5,$H$13)/[1]!S_STM07_BS(D1337,74,$G$5,$H$13),1-[1]!S_STM07_IS(D1337,61,$G$5,$H$13)/[1]!S_STM07_IS(D1337,55,$G$5,$H$13)))</f>
        <v/>
      </c>
      <c r="M1337" s="249" t="str">
        <f ca="1">IF(C1337="","",IF($M$11="ROE",[1]!S_STM07_IS(D1337,61,$G$5,$H$13)/[1]!S_STM07_BS(D1337,141,$G$5,$H$13),([1]!S_STM07_BS(D1337,25,$G$5,$H$13)-[1]!S_STM07_BS(D1337,93,$G$5,$H$13))/$E$5))</f>
        <v/>
      </c>
      <c r="N1337" s="250" t="str">
        <f ca="1">IF(C1337="","",IF($N$11="EPS",[1]!S_STM07_IS(D1337,61,$G$5,$H$13)/IF([1]!S_SHARE_TOTAL(D1337,$G$5)=0,[1]!S_SHARE_TOTAL(D1337,[1]!s_ipo_listeddate(D1337)),[1]!S_SHARE_TOTAL(D1337,$G$5)),([1]!S_STM07_BS(D1337,75,$G$5,$H$13)+[1]!S_STM07_BS(D1337,88,$G$5,$H$13)+[1]!S_STM07_BS(D1337,94,$G$5,$H$13)+[1]!S_STM07_BS(D1337,95,$G$5,$H$13))/$E$5))</f>
        <v/>
      </c>
      <c r="O1337" s="250" t="str">
        <f ca="1">IF(C1337="","",IF($O$11="BPS",[1]!S_STM07_BS(D1337,141,$G$5,$H$13)/IF([1]!S_SHARE_TOTAL(D1337,$G$5)=0,[1]!S_SHARE_TOTAL(D1337,[1]!s_ipo_listeddate(D1337)),[1]!S_SHARE_TOTAL(D1337,$G$5)),[1]!S_STM07_CS(D1337,49,$G$5,$H$13)/$E$5))</f>
        <v/>
      </c>
      <c r="P1337" s="250" t="str">
        <f ca="1">IF(C1337="","",IF($P$11="CFPS",[1]!S_STM07_CS(D1337,84,$G$5,$H$13)/IF([1]!S_SHARE_TOTAL(D1337,$G$5)=0,[1]!S_SHARE_TOTAL(D1337,[1]!s_ipo_listeddate(D1337)),[1]!S_SHARE_TOTAL(D1337,$G$5)),[1]!S_STM07_CS(D1337,84,$G$5,$H$13)/$E$5))</f>
        <v/>
      </c>
      <c r="Q1337" s="198" t="str">
        <f ca="1">IF(C1337="","",F1337/([1]!S_STM07_IS(D1337,61,$G$5,$H$13)/IF([1]!S_SHARE_TOTAL(D1337,$G$5)=0,[1]!S_SHARE_TOTAL(D1337,[1]!s_ipo_listeddate(D1337)),[1]!S_SHARE_TOTAL(D1337,$G$5))))</f>
        <v/>
      </c>
      <c r="R1337" s="198" t="str">
        <f ca="1">IF(C1337="","",F1337/([1]!S_STM07_BS(D1337,141,$G$5,$H$13)/IF([1]!S_SHARE_TOTAL(D1337,$G$5)=0,[1]!S_SHARE_TOTAL(D1337,[1]!s_ipo_listeddate(D1337)),[1]!S_SHARE_TOTAL(D1337,$G$5))))</f>
        <v/>
      </c>
      <c r="S1337" s="249" t="str">
        <f ca="1">IF(C1337="","",[1]!S_SHARE_TOTAL(D1337,TODAY())/$E$5)</f>
        <v/>
      </c>
      <c r="T1337" s="249" t="str">
        <f t="shared" ca="1" si="133"/>
        <v/>
      </c>
      <c r="U1337" s="172" t="str">
        <f t="shared" ca="1" si="134"/>
        <v/>
      </c>
      <c r="V1337" s="343" t="str">
        <f t="shared" ca="1" si="135"/>
        <v/>
      </c>
      <c r="W1337" s="139"/>
      <c r="Y1337" s="1"/>
    </row>
    <row r="1338" spans="3:25" ht="12" customHeight="1">
      <c r="C1338" s="342" t="str">
        <f t="shared" ca="1" si="130"/>
        <v/>
      </c>
      <c r="D1338" s="153" t="str">
        <f t="shared" ca="1" si="131"/>
        <v/>
      </c>
      <c r="E1338" s="153" t="str">
        <f t="shared" ca="1" si="132"/>
        <v/>
      </c>
      <c r="F1338" s="170" t="str">
        <f ca="1">IF(C1338="","",[1]!S_DQ_CLOSE(D1338,TODAY(),1))</f>
        <v/>
      </c>
      <c r="G1338" s="171" t="str">
        <f ca="1">IF(C1338="","",[1]!s_pq_pctchange(D1338,TODAY()-$G$12,TODAY())/100)</f>
        <v/>
      </c>
      <c r="H1338" s="247" t="str">
        <f ca="1">IF(C1338="","",IF($H$11="收入",[1]!S_STM07_IS(D1338,9,$G$5,$H$13)/$E$5,[1]!S_STM07_IS(D1338,48,$G$5,$H$13)/$E$5))</f>
        <v/>
      </c>
      <c r="I1338" s="247" t="str">
        <f ca="1">IF(C1338="","",IF($I$11="毛利率",([1]!S_STM07_IS(D1338,9,$G$5,$H$13)-[1]!S_STM07_IS(D1338,10,$G$5,$H$13))/[1]!S_STM07_IS(D1338,9,$G$5,$H$13),[1]!S_STM07_IS(D1338,14,$G$5,$H$13)/$E$5))</f>
        <v/>
      </c>
      <c r="J1338" s="247" t="str">
        <f ca="1">IF(C1338="","",IF($J$11="营业利润率",[1]!S_STM07_IS(D1338,48,$G$5,$H$13)/[1]!S_STM07_IS(D1338,9,$G$5,$H$13),([1]!S_STM07_CS(D1338,87,$G$5,$H$13)+[1]!S_STM07_CS(D1338,88,$G$5,$H$13)+[1]!S_STM07_CS(D1338,89,$G$5,$H$13))/$E$5))</f>
        <v/>
      </c>
      <c r="K1338" s="247" t="str">
        <f ca="1">IF(C1338="","",IF($K$11="净利润率",[1]!S_STM07_IS(D1338,61,$G$5,$H$13)/[1]!S_STM07_IS(D1338,9,$G$5,$H$13),[1]!S_STM07_IS(D1338,55,$G$5,$H$13)/$E$5))</f>
        <v/>
      </c>
      <c r="L1338" s="247" t="str">
        <f ca="1">IF(C1338="","",IF($L$11="ROA",[1]!S_STM07_IS(D1338,61,$G$5,$H$13)/[1]!S_STM07_BS(D1338,74,$G$5,$H$13),1-[1]!S_STM07_IS(D1338,61,$G$5,$H$13)/[1]!S_STM07_IS(D1338,55,$G$5,$H$13)))</f>
        <v/>
      </c>
      <c r="M1338" s="247" t="str">
        <f ca="1">IF(C1338="","",IF($M$11="ROE",[1]!S_STM07_IS(D1338,61,$G$5,$H$13)/[1]!S_STM07_BS(D1338,141,$G$5,$H$13),([1]!S_STM07_BS(D1338,25,$G$5,$H$13)-[1]!S_STM07_BS(D1338,93,$G$5,$H$13))/$E$5))</f>
        <v/>
      </c>
      <c r="N1338" s="247" t="str">
        <f ca="1">IF(C1338="","",IF($N$11="EPS",[1]!S_STM07_IS(D1338,61,$G$5,$H$13)/IF([1]!S_SHARE_TOTAL(D1338,$G$5)=0,[1]!S_SHARE_TOTAL(D1338,[1]!s_ipo_listeddate(D1338)),[1]!S_SHARE_TOTAL(D1338,$G$5)),([1]!S_STM07_BS(D1338,75,$G$5,$H$13)+[1]!S_STM07_BS(D1338,88,$G$5,$H$13)+[1]!S_STM07_BS(D1338,94,$G$5,$H$13)+[1]!S_STM07_BS(D1338,95,$G$5,$H$13))/$E$5))</f>
        <v/>
      </c>
      <c r="O1338" s="247" t="str">
        <f ca="1">IF(C1338="","",IF($O$11="BPS",[1]!S_STM07_BS(D1338,141,$G$5,$H$13)/IF([1]!S_SHARE_TOTAL(D1338,$G$5)=0,[1]!S_SHARE_TOTAL(D1338,[1]!s_ipo_listeddate(D1338)),[1]!S_SHARE_TOTAL(D1338,$G$5)),[1]!S_STM07_CS(D1338,49,$G$5,$H$13)/$E$5))</f>
        <v/>
      </c>
      <c r="P1338" s="247" t="str">
        <f ca="1">IF(C1338="","",IF($P$11="CFPS",[1]!S_STM07_CS(D1338,84,$G$5,$H$13)/IF([1]!S_SHARE_TOTAL(D1338,$G$5)=0,[1]!S_SHARE_TOTAL(D1338,[1]!s_ipo_listeddate(D1338)),[1]!S_SHARE_TOTAL(D1338,$G$5)),[1]!S_STM07_CS(D1338,84,$G$5,$H$13)/$E$5))</f>
        <v/>
      </c>
      <c r="Q1338" s="248" t="str">
        <f ca="1">IF(C1338="","",F1338/([1]!S_STM07_IS(D1338,61,$G$5,$H$13)/IF([1]!S_SHARE_TOTAL(D1338,$G$5)=0,[1]!S_SHARE_TOTAL(D1338,[1]!s_ipo_listeddate(D1338)),[1]!S_SHARE_TOTAL(D1338,$G$5))))</f>
        <v/>
      </c>
      <c r="R1338" s="248" t="str">
        <f ca="1">IF(C1338="","",F1338/([1]!S_STM07_BS(D1338,141,$G$5,$H$13)/IF([1]!S_SHARE_TOTAL(D1338,$G$5)=0,[1]!S_SHARE_TOTAL(D1338,[1]!s_ipo_listeddate(D1338)),[1]!S_SHARE_TOTAL(D1338,$G$5))))</f>
        <v/>
      </c>
      <c r="S1338" s="247" t="str">
        <f ca="1">IF(C1338="","",[1]!S_SHARE_TOTAL(D1338,TODAY())/$E$5)</f>
        <v/>
      </c>
      <c r="T1338" s="247" t="str">
        <f t="shared" ca="1" si="133"/>
        <v/>
      </c>
      <c r="U1338" s="218" t="str">
        <f t="shared" ca="1" si="134"/>
        <v/>
      </c>
      <c r="V1338" s="342" t="str">
        <f t="shared" ca="1" si="135"/>
        <v/>
      </c>
      <c r="W1338" s="139"/>
      <c r="Y1338" s="1"/>
    </row>
    <row r="1339" spans="3:25" ht="12" customHeight="1">
      <c r="C1339" s="343" t="str">
        <f t="shared" ca="1" si="130"/>
        <v/>
      </c>
      <c r="D1339" s="124" t="str">
        <f t="shared" ca="1" si="131"/>
        <v/>
      </c>
      <c r="E1339" s="124" t="str">
        <f t="shared" ca="1" si="132"/>
        <v/>
      </c>
      <c r="F1339" s="172" t="str">
        <f ca="1">IF(C1339="","",[1]!S_DQ_CLOSE(D1339,TODAY(),1))</f>
        <v/>
      </c>
      <c r="G1339" s="173" t="str">
        <f ca="1">IF(C1339="","",[1]!s_pq_pctchange(D1339,TODAY()-$G$12,TODAY())/100)</f>
        <v/>
      </c>
      <c r="H1339" s="249" t="str">
        <f ca="1">IF(C1339="","",IF($H$11="收入",[1]!S_STM07_IS(D1339,9,$G$5,$H$13)/$E$5,[1]!S_STM07_IS(D1339,48,$G$5,$H$13)/$E$5))</f>
        <v/>
      </c>
      <c r="I1339" s="249" t="str">
        <f ca="1">IF(C1339="","",IF($I$11="毛利率",([1]!S_STM07_IS(D1339,9,$G$5,$H$13)-[1]!S_STM07_IS(D1339,10,$G$5,$H$13))/[1]!S_STM07_IS(D1339,9,$G$5,$H$13),[1]!S_STM07_IS(D1339,14,$G$5,$H$13)/$E$5))</f>
        <v/>
      </c>
      <c r="J1339" s="249" t="str">
        <f ca="1">IF(C1339="","",IF($J$11="营业利润率",[1]!S_STM07_IS(D1339,48,$G$5,$H$13)/[1]!S_STM07_IS(D1339,9,$G$5,$H$13),([1]!S_STM07_CS(D1339,87,$G$5,$H$13)+[1]!S_STM07_CS(D1339,88,$G$5,$H$13)+[1]!S_STM07_CS(D1339,89,$G$5,$H$13))/$E$5))</f>
        <v/>
      </c>
      <c r="K1339" s="249" t="str">
        <f ca="1">IF(C1339="","",IF($K$11="净利润率",[1]!S_STM07_IS(D1339,61,$G$5,$H$13)/[1]!S_STM07_IS(D1339,9,$G$5,$H$13),[1]!S_STM07_IS(D1339,55,$G$5,$H$13)/$E$5))</f>
        <v/>
      </c>
      <c r="L1339" s="249" t="str">
        <f ca="1">IF(C1339="","",IF($L$11="ROA",[1]!S_STM07_IS(D1339,61,$G$5,$H$13)/[1]!S_STM07_BS(D1339,74,$G$5,$H$13),1-[1]!S_STM07_IS(D1339,61,$G$5,$H$13)/[1]!S_STM07_IS(D1339,55,$G$5,$H$13)))</f>
        <v/>
      </c>
      <c r="M1339" s="249" t="str">
        <f ca="1">IF(C1339="","",IF($M$11="ROE",[1]!S_STM07_IS(D1339,61,$G$5,$H$13)/[1]!S_STM07_BS(D1339,141,$G$5,$H$13),([1]!S_STM07_BS(D1339,25,$G$5,$H$13)-[1]!S_STM07_BS(D1339,93,$G$5,$H$13))/$E$5))</f>
        <v/>
      </c>
      <c r="N1339" s="250" t="str">
        <f ca="1">IF(C1339="","",IF($N$11="EPS",[1]!S_STM07_IS(D1339,61,$G$5,$H$13)/IF([1]!S_SHARE_TOTAL(D1339,$G$5)=0,[1]!S_SHARE_TOTAL(D1339,[1]!s_ipo_listeddate(D1339)),[1]!S_SHARE_TOTAL(D1339,$G$5)),([1]!S_STM07_BS(D1339,75,$G$5,$H$13)+[1]!S_STM07_BS(D1339,88,$G$5,$H$13)+[1]!S_STM07_BS(D1339,94,$G$5,$H$13)+[1]!S_STM07_BS(D1339,95,$G$5,$H$13))/$E$5))</f>
        <v/>
      </c>
      <c r="O1339" s="250" t="str">
        <f ca="1">IF(C1339="","",IF($O$11="BPS",[1]!S_STM07_BS(D1339,141,$G$5,$H$13)/IF([1]!S_SHARE_TOTAL(D1339,$G$5)=0,[1]!S_SHARE_TOTAL(D1339,[1]!s_ipo_listeddate(D1339)),[1]!S_SHARE_TOTAL(D1339,$G$5)),[1]!S_STM07_CS(D1339,49,$G$5,$H$13)/$E$5))</f>
        <v/>
      </c>
      <c r="P1339" s="250" t="str">
        <f ca="1">IF(C1339="","",IF($P$11="CFPS",[1]!S_STM07_CS(D1339,84,$G$5,$H$13)/IF([1]!S_SHARE_TOTAL(D1339,$G$5)=0,[1]!S_SHARE_TOTAL(D1339,[1]!s_ipo_listeddate(D1339)),[1]!S_SHARE_TOTAL(D1339,$G$5)),[1]!S_STM07_CS(D1339,84,$G$5,$H$13)/$E$5))</f>
        <v/>
      </c>
      <c r="Q1339" s="198" t="str">
        <f ca="1">IF(C1339="","",F1339/([1]!S_STM07_IS(D1339,61,$G$5,$H$13)/IF([1]!S_SHARE_TOTAL(D1339,$G$5)=0,[1]!S_SHARE_TOTAL(D1339,[1]!s_ipo_listeddate(D1339)),[1]!S_SHARE_TOTAL(D1339,$G$5))))</f>
        <v/>
      </c>
      <c r="R1339" s="198" t="str">
        <f ca="1">IF(C1339="","",F1339/([1]!S_STM07_BS(D1339,141,$G$5,$H$13)/IF([1]!S_SHARE_TOTAL(D1339,$G$5)=0,[1]!S_SHARE_TOTAL(D1339,[1]!s_ipo_listeddate(D1339)),[1]!S_SHARE_TOTAL(D1339,$G$5))))</f>
        <v/>
      </c>
      <c r="S1339" s="249" t="str">
        <f ca="1">IF(C1339="","",[1]!S_SHARE_TOTAL(D1339,TODAY())/$E$5)</f>
        <v/>
      </c>
      <c r="T1339" s="249" t="str">
        <f t="shared" ca="1" si="133"/>
        <v/>
      </c>
      <c r="U1339" s="172" t="str">
        <f t="shared" ca="1" si="134"/>
        <v/>
      </c>
      <c r="V1339" s="343" t="str">
        <f t="shared" ca="1" si="135"/>
        <v/>
      </c>
      <c r="W1339" s="139"/>
      <c r="Y1339" s="1"/>
    </row>
    <row r="1340" spans="3:25" ht="12" customHeight="1">
      <c r="C1340" s="342" t="str">
        <f t="shared" ca="1" si="130"/>
        <v/>
      </c>
      <c r="D1340" s="153" t="str">
        <f t="shared" ca="1" si="131"/>
        <v/>
      </c>
      <c r="E1340" s="153" t="str">
        <f t="shared" ca="1" si="132"/>
        <v/>
      </c>
      <c r="F1340" s="170" t="str">
        <f ca="1">IF(C1340="","",[1]!S_DQ_CLOSE(D1340,TODAY(),1))</f>
        <v/>
      </c>
      <c r="G1340" s="171" t="str">
        <f ca="1">IF(C1340="","",[1]!s_pq_pctchange(D1340,TODAY()-$G$12,TODAY())/100)</f>
        <v/>
      </c>
      <c r="H1340" s="247" t="str">
        <f ca="1">IF(C1340="","",IF($H$11="收入",[1]!S_STM07_IS(D1340,9,$G$5,$H$13)/$E$5,[1]!S_STM07_IS(D1340,48,$G$5,$H$13)/$E$5))</f>
        <v/>
      </c>
      <c r="I1340" s="247" t="str">
        <f ca="1">IF(C1340="","",IF($I$11="毛利率",([1]!S_STM07_IS(D1340,9,$G$5,$H$13)-[1]!S_STM07_IS(D1340,10,$G$5,$H$13))/[1]!S_STM07_IS(D1340,9,$G$5,$H$13),[1]!S_STM07_IS(D1340,14,$G$5,$H$13)/$E$5))</f>
        <v/>
      </c>
      <c r="J1340" s="247" t="str">
        <f ca="1">IF(C1340="","",IF($J$11="营业利润率",[1]!S_STM07_IS(D1340,48,$G$5,$H$13)/[1]!S_STM07_IS(D1340,9,$G$5,$H$13),([1]!S_STM07_CS(D1340,87,$G$5,$H$13)+[1]!S_STM07_CS(D1340,88,$G$5,$H$13)+[1]!S_STM07_CS(D1340,89,$G$5,$H$13))/$E$5))</f>
        <v/>
      </c>
      <c r="K1340" s="247" t="str">
        <f ca="1">IF(C1340="","",IF($K$11="净利润率",[1]!S_STM07_IS(D1340,61,$G$5,$H$13)/[1]!S_STM07_IS(D1340,9,$G$5,$H$13),[1]!S_STM07_IS(D1340,55,$G$5,$H$13)/$E$5))</f>
        <v/>
      </c>
      <c r="L1340" s="247" t="str">
        <f ca="1">IF(C1340="","",IF($L$11="ROA",[1]!S_STM07_IS(D1340,61,$G$5,$H$13)/[1]!S_STM07_BS(D1340,74,$G$5,$H$13),1-[1]!S_STM07_IS(D1340,61,$G$5,$H$13)/[1]!S_STM07_IS(D1340,55,$G$5,$H$13)))</f>
        <v/>
      </c>
      <c r="M1340" s="247" t="str">
        <f ca="1">IF(C1340="","",IF($M$11="ROE",[1]!S_STM07_IS(D1340,61,$G$5,$H$13)/[1]!S_STM07_BS(D1340,141,$G$5,$H$13),([1]!S_STM07_BS(D1340,25,$G$5,$H$13)-[1]!S_STM07_BS(D1340,93,$G$5,$H$13))/$E$5))</f>
        <v/>
      </c>
      <c r="N1340" s="247" t="str">
        <f ca="1">IF(C1340="","",IF($N$11="EPS",[1]!S_STM07_IS(D1340,61,$G$5,$H$13)/IF([1]!S_SHARE_TOTAL(D1340,$G$5)=0,[1]!S_SHARE_TOTAL(D1340,[1]!s_ipo_listeddate(D1340)),[1]!S_SHARE_TOTAL(D1340,$G$5)),([1]!S_STM07_BS(D1340,75,$G$5,$H$13)+[1]!S_STM07_BS(D1340,88,$G$5,$H$13)+[1]!S_STM07_BS(D1340,94,$G$5,$H$13)+[1]!S_STM07_BS(D1340,95,$G$5,$H$13))/$E$5))</f>
        <v/>
      </c>
      <c r="O1340" s="247" t="str">
        <f ca="1">IF(C1340="","",IF($O$11="BPS",[1]!S_STM07_BS(D1340,141,$G$5,$H$13)/IF([1]!S_SHARE_TOTAL(D1340,$G$5)=0,[1]!S_SHARE_TOTAL(D1340,[1]!s_ipo_listeddate(D1340)),[1]!S_SHARE_TOTAL(D1340,$G$5)),[1]!S_STM07_CS(D1340,49,$G$5,$H$13)/$E$5))</f>
        <v/>
      </c>
      <c r="P1340" s="247" t="str">
        <f ca="1">IF(C1340="","",IF($P$11="CFPS",[1]!S_STM07_CS(D1340,84,$G$5,$H$13)/IF([1]!S_SHARE_TOTAL(D1340,$G$5)=0,[1]!S_SHARE_TOTAL(D1340,[1]!s_ipo_listeddate(D1340)),[1]!S_SHARE_TOTAL(D1340,$G$5)),[1]!S_STM07_CS(D1340,84,$G$5,$H$13)/$E$5))</f>
        <v/>
      </c>
      <c r="Q1340" s="248" t="str">
        <f ca="1">IF(C1340="","",F1340/([1]!S_STM07_IS(D1340,61,$G$5,$H$13)/IF([1]!S_SHARE_TOTAL(D1340,$G$5)=0,[1]!S_SHARE_TOTAL(D1340,[1]!s_ipo_listeddate(D1340)),[1]!S_SHARE_TOTAL(D1340,$G$5))))</f>
        <v/>
      </c>
      <c r="R1340" s="248" t="str">
        <f ca="1">IF(C1340="","",F1340/([1]!S_STM07_BS(D1340,141,$G$5,$H$13)/IF([1]!S_SHARE_TOTAL(D1340,$G$5)=0,[1]!S_SHARE_TOTAL(D1340,[1]!s_ipo_listeddate(D1340)),[1]!S_SHARE_TOTAL(D1340,$G$5))))</f>
        <v/>
      </c>
      <c r="S1340" s="247" t="str">
        <f ca="1">IF(C1340="","",[1]!S_SHARE_TOTAL(D1340,TODAY())/$E$5)</f>
        <v/>
      </c>
      <c r="T1340" s="247" t="str">
        <f t="shared" ca="1" si="133"/>
        <v/>
      </c>
      <c r="U1340" s="218" t="str">
        <f t="shared" ca="1" si="134"/>
        <v/>
      </c>
      <c r="V1340" s="342" t="str">
        <f t="shared" ca="1" si="135"/>
        <v/>
      </c>
      <c r="W1340" s="139"/>
      <c r="Y1340" s="1"/>
    </row>
    <row r="1341" spans="3:25" ht="12" customHeight="1">
      <c r="C1341" s="343" t="str">
        <f t="shared" ca="1" si="130"/>
        <v/>
      </c>
      <c r="D1341" s="124" t="str">
        <f t="shared" ca="1" si="131"/>
        <v/>
      </c>
      <c r="E1341" s="124" t="str">
        <f t="shared" ca="1" si="132"/>
        <v/>
      </c>
      <c r="F1341" s="172" t="str">
        <f ca="1">IF(C1341="","",[1]!S_DQ_CLOSE(D1341,TODAY(),1))</f>
        <v/>
      </c>
      <c r="G1341" s="173" t="str">
        <f ca="1">IF(C1341="","",[1]!s_pq_pctchange(D1341,TODAY()-$G$12,TODAY())/100)</f>
        <v/>
      </c>
      <c r="H1341" s="249" t="str">
        <f ca="1">IF(C1341="","",IF($H$11="收入",[1]!S_STM07_IS(D1341,9,$G$5,$H$13)/$E$5,[1]!S_STM07_IS(D1341,48,$G$5,$H$13)/$E$5))</f>
        <v/>
      </c>
      <c r="I1341" s="249" t="str">
        <f ca="1">IF(C1341="","",IF($I$11="毛利率",([1]!S_STM07_IS(D1341,9,$G$5,$H$13)-[1]!S_STM07_IS(D1341,10,$G$5,$H$13))/[1]!S_STM07_IS(D1341,9,$G$5,$H$13),[1]!S_STM07_IS(D1341,14,$G$5,$H$13)/$E$5))</f>
        <v/>
      </c>
      <c r="J1341" s="249" t="str">
        <f ca="1">IF(C1341="","",IF($J$11="营业利润率",[1]!S_STM07_IS(D1341,48,$G$5,$H$13)/[1]!S_STM07_IS(D1341,9,$G$5,$H$13),([1]!S_STM07_CS(D1341,87,$G$5,$H$13)+[1]!S_STM07_CS(D1341,88,$G$5,$H$13)+[1]!S_STM07_CS(D1341,89,$G$5,$H$13))/$E$5))</f>
        <v/>
      </c>
      <c r="K1341" s="249" t="str">
        <f ca="1">IF(C1341="","",IF($K$11="净利润率",[1]!S_STM07_IS(D1341,61,$G$5,$H$13)/[1]!S_STM07_IS(D1341,9,$G$5,$H$13),[1]!S_STM07_IS(D1341,55,$G$5,$H$13)/$E$5))</f>
        <v/>
      </c>
      <c r="L1341" s="249" t="str">
        <f ca="1">IF(C1341="","",IF($L$11="ROA",[1]!S_STM07_IS(D1341,61,$G$5,$H$13)/[1]!S_STM07_BS(D1341,74,$G$5,$H$13),1-[1]!S_STM07_IS(D1341,61,$G$5,$H$13)/[1]!S_STM07_IS(D1341,55,$G$5,$H$13)))</f>
        <v/>
      </c>
      <c r="M1341" s="249" t="str">
        <f ca="1">IF(C1341="","",IF($M$11="ROE",[1]!S_STM07_IS(D1341,61,$G$5,$H$13)/[1]!S_STM07_BS(D1341,141,$G$5,$H$13),([1]!S_STM07_BS(D1341,25,$G$5,$H$13)-[1]!S_STM07_BS(D1341,93,$G$5,$H$13))/$E$5))</f>
        <v/>
      </c>
      <c r="N1341" s="250" t="str">
        <f ca="1">IF(C1341="","",IF($N$11="EPS",[1]!S_STM07_IS(D1341,61,$G$5,$H$13)/IF([1]!S_SHARE_TOTAL(D1341,$G$5)=0,[1]!S_SHARE_TOTAL(D1341,[1]!s_ipo_listeddate(D1341)),[1]!S_SHARE_TOTAL(D1341,$G$5)),([1]!S_STM07_BS(D1341,75,$G$5,$H$13)+[1]!S_STM07_BS(D1341,88,$G$5,$H$13)+[1]!S_STM07_BS(D1341,94,$G$5,$H$13)+[1]!S_STM07_BS(D1341,95,$G$5,$H$13))/$E$5))</f>
        <v/>
      </c>
      <c r="O1341" s="250" t="str">
        <f ca="1">IF(C1341="","",IF($O$11="BPS",[1]!S_STM07_BS(D1341,141,$G$5,$H$13)/IF([1]!S_SHARE_TOTAL(D1341,$G$5)=0,[1]!S_SHARE_TOTAL(D1341,[1]!s_ipo_listeddate(D1341)),[1]!S_SHARE_TOTAL(D1341,$G$5)),[1]!S_STM07_CS(D1341,49,$G$5,$H$13)/$E$5))</f>
        <v/>
      </c>
      <c r="P1341" s="250" t="str">
        <f ca="1">IF(C1341="","",IF($P$11="CFPS",[1]!S_STM07_CS(D1341,84,$G$5,$H$13)/IF([1]!S_SHARE_TOTAL(D1341,$G$5)=0,[1]!S_SHARE_TOTAL(D1341,[1]!s_ipo_listeddate(D1341)),[1]!S_SHARE_TOTAL(D1341,$G$5)),[1]!S_STM07_CS(D1341,84,$G$5,$H$13)/$E$5))</f>
        <v/>
      </c>
      <c r="Q1341" s="198" t="str">
        <f ca="1">IF(C1341="","",F1341/([1]!S_STM07_IS(D1341,61,$G$5,$H$13)/IF([1]!S_SHARE_TOTAL(D1341,$G$5)=0,[1]!S_SHARE_TOTAL(D1341,[1]!s_ipo_listeddate(D1341)),[1]!S_SHARE_TOTAL(D1341,$G$5))))</f>
        <v/>
      </c>
      <c r="R1341" s="198" t="str">
        <f ca="1">IF(C1341="","",F1341/([1]!S_STM07_BS(D1341,141,$G$5,$H$13)/IF([1]!S_SHARE_TOTAL(D1341,$G$5)=0,[1]!S_SHARE_TOTAL(D1341,[1]!s_ipo_listeddate(D1341)),[1]!S_SHARE_TOTAL(D1341,$G$5))))</f>
        <v/>
      </c>
      <c r="S1341" s="249" t="str">
        <f ca="1">IF(C1341="","",[1]!S_SHARE_TOTAL(D1341,TODAY())/$E$5)</f>
        <v/>
      </c>
      <c r="T1341" s="249" t="str">
        <f t="shared" ca="1" si="133"/>
        <v/>
      </c>
      <c r="U1341" s="172" t="str">
        <f t="shared" ca="1" si="134"/>
        <v/>
      </c>
      <c r="V1341" s="343" t="str">
        <f t="shared" ca="1" si="135"/>
        <v/>
      </c>
      <c r="W1341" s="139"/>
      <c r="Y1341" s="1"/>
    </row>
    <row r="1342" spans="3:25" ht="12" customHeight="1">
      <c r="C1342" s="342" t="str">
        <f t="shared" ca="1" si="130"/>
        <v/>
      </c>
      <c r="D1342" s="153" t="str">
        <f t="shared" ca="1" si="131"/>
        <v/>
      </c>
      <c r="E1342" s="153" t="str">
        <f t="shared" ca="1" si="132"/>
        <v/>
      </c>
      <c r="F1342" s="170" t="str">
        <f ca="1">IF(C1342="","",[1]!S_DQ_CLOSE(D1342,TODAY(),1))</f>
        <v/>
      </c>
      <c r="G1342" s="171" t="str">
        <f ca="1">IF(C1342="","",[1]!s_pq_pctchange(D1342,TODAY()-$G$12,TODAY())/100)</f>
        <v/>
      </c>
      <c r="H1342" s="247" t="str">
        <f ca="1">IF(C1342="","",IF($H$11="收入",[1]!S_STM07_IS(D1342,9,$G$5,$H$13)/$E$5,[1]!S_STM07_IS(D1342,48,$G$5,$H$13)/$E$5))</f>
        <v/>
      </c>
      <c r="I1342" s="247" t="str">
        <f ca="1">IF(C1342="","",IF($I$11="毛利率",([1]!S_STM07_IS(D1342,9,$G$5,$H$13)-[1]!S_STM07_IS(D1342,10,$G$5,$H$13))/[1]!S_STM07_IS(D1342,9,$G$5,$H$13),[1]!S_STM07_IS(D1342,14,$G$5,$H$13)/$E$5))</f>
        <v/>
      </c>
      <c r="J1342" s="247" t="str">
        <f ca="1">IF(C1342="","",IF($J$11="营业利润率",[1]!S_STM07_IS(D1342,48,$G$5,$H$13)/[1]!S_STM07_IS(D1342,9,$G$5,$H$13),([1]!S_STM07_CS(D1342,87,$G$5,$H$13)+[1]!S_STM07_CS(D1342,88,$G$5,$H$13)+[1]!S_STM07_CS(D1342,89,$G$5,$H$13))/$E$5))</f>
        <v/>
      </c>
      <c r="K1342" s="247" t="str">
        <f ca="1">IF(C1342="","",IF($K$11="净利润率",[1]!S_STM07_IS(D1342,61,$G$5,$H$13)/[1]!S_STM07_IS(D1342,9,$G$5,$H$13),[1]!S_STM07_IS(D1342,55,$G$5,$H$13)/$E$5))</f>
        <v/>
      </c>
      <c r="L1342" s="247" t="str">
        <f ca="1">IF(C1342="","",IF($L$11="ROA",[1]!S_STM07_IS(D1342,61,$G$5,$H$13)/[1]!S_STM07_BS(D1342,74,$G$5,$H$13),1-[1]!S_STM07_IS(D1342,61,$G$5,$H$13)/[1]!S_STM07_IS(D1342,55,$G$5,$H$13)))</f>
        <v/>
      </c>
      <c r="M1342" s="247" t="str">
        <f ca="1">IF(C1342="","",IF($M$11="ROE",[1]!S_STM07_IS(D1342,61,$G$5,$H$13)/[1]!S_STM07_BS(D1342,141,$G$5,$H$13),([1]!S_STM07_BS(D1342,25,$G$5,$H$13)-[1]!S_STM07_BS(D1342,93,$G$5,$H$13))/$E$5))</f>
        <v/>
      </c>
      <c r="N1342" s="247" t="str">
        <f ca="1">IF(C1342="","",IF($N$11="EPS",[1]!S_STM07_IS(D1342,61,$G$5,$H$13)/IF([1]!S_SHARE_TOTAL(D1342,$G$5)=0,[1]!S_SHARE_TOTAL(D1342,[1]!s_ipo_listeddate(D1342)),[1]!S_SHARE_TOTAL(D1342,$G$5)),([1]!S_STM07_BS(D1342,75,$G$5,$H$13)+[1]!S_STM07_BS(D1342,88,$G$5,$H$13)+[1]!S_STM07_BS(D1342,94,$G$5,$H$13)+[1]!S_STM07_BS(D1342,95,$G$5,$H$13))/$E$5))</f>
        <v/>
      </c>
      <c r="O1342" s="247" t="str">
        <f ca="1">IF(C1342="","",IF($O$11="BPS",[1]!S_STM07_BS(D1342,141,$G$5,$H$13)/IF([1]!S_SHARE_TOTAL(D1342,$G$5)=0,[1]!S_SHARE_TOTAL(D1342,[1]!s_ipo_listeddate(D1342)),[1]!S_SHARE_TOTAL(D1342,$G$5)),[1]!S_STM07_CS(D1342,49,$G$5,$H$13)/$E$5))</f>
        <v/>
      </c>
      <c r="P1342" s="247" t="str">
        <f ca="1">IF(C1342="","",IF($P$11="CFPS",[1]!S_STM07_CS(D1342,84,$G$5,$H$13)/IF([1]!S_SHARE_TOTAL(D1342,$G$5)=0,[1]!S_SHARE_TOTAL(D1342,[1]!s_ipo_listeddate(D1342)),[1]!S_SHARE_TOTAL(D1342,$G$5)),[1]!S_STM07_CS(D1342,84,$G$5,$H$13)/$E$5))</f>
        <v/>
      </c>
      <c r="Q1342" s="248" t="str">
        <f ca="1">IF(C1342="","",F1342/([1]!S_STM07_IS(D1342,61,$G$5,$H$13)/IF([1]!S_SHARE_TOTAL(D1342,$G$5)=0,[1]!S_SHARE_TOTAL(D1342,[1]!s_ipo_listeddate(D1342)),[1]!S_SHARE_TOTAL(D1342,$G$5))))</f>
        <v/>
      </c>
      <c r="R1342" s="248" t="str">
        <f ca="1">IF(C1342="","",F1342/([1]!S_STM07_BS(D1342,141,$G$5,$H$13)/IF([1]!S_SHARE_TOTAL(D1342,$G$5)=0,[1]!S_SHARE_TOTAL(D1342,[1]!s_ipo_listeddate(D1342)),[1]!S_SHARE_TOTAL(D1342,$G$5))))</f>
        <v/>
      </c>
      <c r="S1342" s="247" t="str">
        <f ca="1">IF(C1342="","",[1]!S_SHARE_TOTAL(D1342,TODAY())/$E$5)</f>
        <v/>
      </c>
      <c r="T1342" s="247" t="str">
        <f t="shared" ca="1" si="133"/>
        <v/>
      </c>
      <c r="U1342" s="218" t="str">
        <f t="shared" ca="1" si="134"/>
        <v/>
      </c>
      <c r="V1342" s="342" t="str">
        <f t="shared" ca="1" si="135"/>
        <v/>
      </c>
      <c r="W1342" s="139"/>
      <c r="Y1342" s="1"/>
    </row>
    <row r="1343" spans="3:25" ht="12" customHeight="1">
      <c r="C1343" s="343" t="str">
        <f t="shared" ca="1" si="130"/>
        <v/>
      </c>
      <c r="D1343" s="124" t="str">
        <f t="shared" ca="1" si="131"/>
        <v/>
      </c>
      <c r="E1343" s="124" t="str">
        <f t="shared" ca="1" si="132"/>
        <v/>
      </c>
      <c r="F1343" s="172" t="str">
        <f ca="1">IF(C1343="","",[1]!S_DQ_CLOSE(D1343,TODAY(),1))</f>
        <v/>
      </c>
      <c r="G1343" s="173" t="str">
        <f ca="1">IF(C1343="","",[1]!s_pq_pctchange(D1343,TODAY()-$G$12,TODAY())/100)</f>
        <v/>
      </c>
      <c r="H1343" s="249" t="str">
        <f ca="1">IF(C1343="","",IF($H$11="收入",[1]!S_STM07_IS(D1343,9,$G$5,$H$13)/$E$5,[1]!S_STM07_IS(D1343,48,$G$5,$H$13)/$E$5))</f>
        <v/>
      </c>
      <c r="I1343" s="249" t="str">
        <f ca="1">IF(C1343="","",IF($I$11="毛利率",([1]!S_STM07_IS(D1343,9,$G$5,$H$13)-[1]!S_STM07_IS(D1343,10,$G$5,$H$13))/[1]!S_STM07_IS(D1343,9,$G$5,$H$13),[1]!S_STM07_IS(D1343,14,$G$5,$H$13)/$E$5))</f>
        <v/>
      </c>
      <c r="J1343" s="249" t="str">
        <f ca="1">IF(C1343="","",IF($J$11="营业利润率",[1]!S_STM07_IS(D1343,48,$G$5,$H$13)/[1]!S_STM07_IS(D1343,9,$G$5,$H$13),([1]!S_STM07_CS(D1343,87,$G$5,$H$13)+[1]!S_STM07_CS(D1343,88,$G$5,$H$13)+[1]!S_STM07_CS(D1343,89,$G$5,$H$13))/$E$5))</f>
        <v/>
      </c>
      <c r="K1343" s="249" t="str">
        <f ca="1">IF(C1343="","",IF($K$11="净利润率",[1]!S_STM07_IS(D1343,61,$G$5,$H$13)/[1]!S_STM07_IS(D1343,9,$G$5,$H$13),[1]!S_STM07_IS(D1343,55,$G$5,$H$13)/$E$5))</f>
        <v/>
      </c>
      <c r="L1343" s="249" t="str">
        <f ca="1">IF(C1343="","",IF($L$11="ROA",[1]!S_STM07_IS(D1343,61,$G$5,$H$13)/[1]!S_STM07_BS(D1343,74,$G$5,$H$13),1-[1]!S_STM07_IS(D1343,61,$G$5,$H$13)/[1]!S_STM07_IS(D1343,55,$G$5,$H$13)))</f>
        <v/>
      </c>
      <c r="M1343" s="249" t="str">
        <f ca="1">IF(C1343="","",IF($M$11="ROE",[1]!S_STM07_IS(D1343,61,$G$5,$H$13)/[1]!S_STM07_BS(D1343,141,$G$5,$H$13),([1]!S_STM07_BS(D1343,25,$G$5,$H$13)-[1]!S_STM07_BS(D1343,93,$G$5,$H$13))/$E$5))</f>
        <v/>
      </c>
      <c r="N1343" s="250" t="str">
        <f ca="1">IF(C1343="","",IF($N$11="EPS",[1]!S_STM07_IS(D1343,61,$G$5,$H$13)/IF([1]!S_SHARE_TOTAL(D1343,$G$5)=0,[1]!S_SHARE_TOTAL(D1343,[1]!s_ipo_listeddate(D1343)),[1]!S_SHARE_TOTAL(D1343,$G$5)),([1]!S_STM07_BS(D1343,75,$G$5,$H$13)+[1]!S_STM07_BS(D1343,88,$G$5,$H$13)+[1]!S_STM07_BS(D1343,94,$G$5,$H$13)+[1]!S_STM07_BS(D1343,95,$G$5,$H$13))/$E$5))</f>
        <v/>
      </c>
      <c r="O1343" s="250" t="str">
        <f ca="1">IF(C1343="","",IF($O$11="BPS",[1]!S_STM07_BS(D1343,141,$G$5,$H$13)/IF([1]!S_SHARE_TOTAL(D1343,$G$5)=0,[1]!S_SHARE_TOTAL(D1343,[1]!s_ipo_listeddate(D1343)),[1]!S_SHARE_TOTAL(D1343,$G$5)),[1]!S_STM07_CS(D1343,49,$G$5,$H$13)/$E$5))</f>
        <v/>
      </c>
      <c r="P1343" s="250" t="str">
        <f ca="1">IF(C1343="","",IF($P$11="CFPS",[1]!S_STM07_CS(D1343,84,$G$5,$H$13)/IF([1]!S_SHARE_TOTAL(D1343,$G$5)=0,[1]!S_SHARE_TOTAL(D1343,[1]!s_ipo_listeddate(D1343)),[1]!S_SHARE_TOTAL(D1343,$G$5)),[1]!S_STM07_CS(D1343,84,$G$5,$H$13)/$E$5))</f>
        <v/>
      </c>
      <c r="Q1343" s="198" t="str">
        <f ca="1">IF(C1343="","",F1343/([1]!S_STM07_IS(D1343,61,$G$5,$H$13)/IF([1]!S_SHARE_TOTAL(D1343,$G$5)=0,[1]!S_SHARE_TOTAL(D1343,[1]!s_ipo_listeddate(D1343)),[1]!S_SHARE_TOTAL(D1343,$G$5))))</f>
        <v/>
      </c>
      <c r="R1343" s="198" t="str">
        <f ca="1">IF(C1343="","",F1343/([1]!S_STM07_BS(D1343,141,$G$5,$H$13)/IF([1]!S_SHARE_TOTAL(D1343,$G$5)=0,[1]!S_SHARE_TOTAL(D1343,[1]!s_ipo_listeddate(D1343)),[1]!S_SHARE_TOTAL(D1343,$G$5))))</f>
        <v/>
      </c>
      <c r="S1343" s="249" t="str">
        <f ca="1">IF(C1343="","",[1]!S_SHARE_TOTAL(D1343,TODAY())/$E$5)</f>
        <v/>
      </c>
      <c r="T1343" s="249" t="str">
        <f t="shared" ca="1" si="133"/>
        <v/>
      </c>
      <c r="U1343" s="172" t="str">
        <f t="shared" ca="1" si="134"/>
        <v/>
      </c>
      <c r="V1343" s="343" t="str">
        <f t="shared" ca="1" si="135"/>
        <v/>
      </c>
      <c r="W1343" s="139"/>
      <c r="Y1343" s="1"/>
    </row>
    <row r="1344" spans="3:25" ht="12" customHeight="1">
      <c r="C1344" s="342" t="str">
        <f t="shared" ca="1" si="130"/>
        <v/>
      </c>
      <c r="D1344" s="153" t="str">
        <f t="shared" ca="1" si="131"/>
        <v/>
      </c>
      <c r="E1344" s="153" t="str">
        <f t="shared" ca="1" si="132"/>
        <v/>
      </c>
      <c r="F1344" s="170" t="str">
        <f ca="1">IF(C1344="","",[1]!S_DQ_CLOSE(D1344,TODAY(),1))</f>
        <v/>
      </c>
      <c r="G1344" s="171" t="str">
        <f ca="1">IF(C1344="","",[1]!s_pq_pctchange(D1344,TODAY()-$G$12,TODAY())/100)</f>
        <v/>
      </c>
      <c r="H1344" s="247" t="str">
        <f ca="1">IF(C1344="","",IF($H$11="收入",[1]!S_STM07_IS(D1344,9,$G$5,$H$13)/$E$5,[1]!S_STM07_IS(D1344,48,$G$5,$H$13)/$E$5))</f>
        <v/>
      </c>
      <c r="I1344" s="247" t="str">
        <f ca="1">IF(C1344="","",IF($I$11="毛利率",([1]!S_STM07_IS(D1344,9,$G$5,$H$13)-[1]!S_STM07_IS(D1344,10,$G$5,$H$13))/[1]!S_STM07_IS(D1344,9,$G$5,$H$13),[1]!S_STM07_IS(D1344,14,$G$5,$H$13)/$E$5))</f>
        <v/>
      </c>
      <c r="J1344" s="247" t="str">
        <f ca="1">IF(C1344="","",IF($J$11="营业利润率",[1]!S_STM07_IS(D1344,48,$G$5,$H$13)/[1]!S_STM07_IS(D1344,9,$G$5,$H$13),([1]!S_STM07_CS(D1344,87,$G$5,$H$13)+[1]!S_STM07_CS(D1344,88,$G$5,$H$13)+[1]!S_STM07_CS(D1344,89,$G$5,$H$13))/$E$5))</f>
        <v/>
      </c>
      <c r="K1344" s="247" t="str">
        <f ca="1">IF(C1344="","",IF($K$11="净利润率",[1]!S_STM07_IS(D1344,61,$G$5,$H$13)/[1]!S_STM07_IS(D1344,9,$G$5,$H$13),[1]!S_STM07_IS(D1344,55,$G$5,$H$13)/$E$5))</f>
        <v/>
      </c>
      <c r="L1344" s="247" t="str">
        <f ca="1">IF(C1344="","",IF($L$11="ROA",[1]!S_STM07_IS(D1344,61,$G$5,$H$13)/[1]!S_STM07_BS(D1344,74,$G$5,$H$13),1-[1]!S_STM07_IS(D1344,61,$G$5,$H$13)/[1]!S_STM07_IS(D1344,55,$G$5,$H$13)))</f>
        <v/>
      </c>
      <c r="M1344" s="247" t="str">
        <f ca="1">IF(C1344="","",IF($M$11="ROE",[1]!S_STM07_IS(D1344,61,$G$5,$H$13)/[1]!S_STM07_BS(D1344,141,$G$5,$H$13),([1]!S_STM07_BS(D1344,25,$G$5,$H$13)-[1]!S_STM07_BS(D1344,93,$G$5,$H$13))/$E$5))</f>
        <v/>
      </c>
      <c r="N1344" s="247" t="str">
        <f ca="1">IF(C1344="","",IF($N$11="EPS",[1]!S_STM07_IS(D1344,61,$G$5,$H$13)/IF([1]!S_SHARE_TOTAL(D1344,$G$5)=0,[1]!S_SHARE_TOTAL(D1344,[1]!s_ipo_listeddate(D1344)),[1]!S_SHARE_TOTAL(D1344,$G$5)),([1]!S_STM07_BS(D1344,75,$G$5,$H$13)+[1]!S_STM07_BS(D1344,88,$G$5,$H$13)+[1]!S_STM07_BS(D1344,94,$G$5,$H$13)+[1]!S_STM07_BS(D1344,95,$G$5,$H$13))/$E$5))</f>
        <v/>
      </c>
      <c r="O1344" s="247" t="str">
        <f ca="1">IF(C1344="","",IF($O$11="BPS",[1]!S_STM07_BS(D1344,141,$G$5,$H$13)/IF([1]!S_SHARE_TOTAL(D1344,$G$5)=0,[1]!S_SHARE_TOTAL(D1344,[1]!s_ipo_listeddate(D1344)),[1]!S_SHARE_TOTAL(D1344,$G$5)),[1]!S_STM07_CS(D1344,49,$G$5,$H$13)/$E$5))</f>
        <v/>
      </c>
      <c r="P1344" s="247" t="str">
        <f ca="1">IF(C1344="","",IF($P$11="CFPS",[1]!S_STM07_CS(D1344,84,$G$5,$H$13)/IF([1]!S_SHARE_TOTAL(D1344,$G$5)=0,[1]!S_SHARE_TOTAL(D1344,[1]!s_ipo_listeddate(D1344)),[1]!S_SHARE_TOTAL(D1344,$G$5)),[1]!S_STM07_CS(D1344,84,$G$5,$H$13)/$E$5))</f>
        <v/>
      </c>
      <c r="Q1344" s="248" t="str">
        <f ca="1">IF(C1344="","",F1344/([1]!S_STM07_IS(D1344,61,$G$5,$H$13)/IF([1]!S_SHARE_TOTAL(D1344,$G$5)=0,[1]!S_SHARE_TOTAL(D1344,[1]!s_ipo_listeddate(D1344)),[1]!S_SHARE_TOTAL(D1344,$G$5))))</f>
        <v/>
      </c>
      <c r="R1344" s="248" t="str">
        <f ca="1">IF(C1344="","",F1344/([1]!S_STM07_BS(D1344,141,$G$5,$H$13)/IF([1]!S_SHARE_TOTAL(D1344,$G$5)=0,[1]!S_SHARE_TOTAL(D1344,[1]!s_ipo_listeddate(D1344)),[1]!S_SHARE_TOTAL(D1344,$G$5))))</f>
        <v/>
      </c>
      <c r="S1344" s="247" t="str">
        <f ca="1">IF(C1344="","",[1]!S_SHARE_TOTAL(D1344,TODAY())/$E$5)</f>
        <v/>
      </c>
      <c r="T1344" s="247" t="str">
        <f t="shared" ca="1" si="133"/>
        <v/>
      </c>
      <c r="U1344" s="218" t="str">
        <f t="shared" ca="1" si="134"/>
        <v/>
      </c>
      <c r="V1344" s="342" t="str">
        <f t="shared" ca="1" si="135"/>
        <v/>
      </c>
      <c r="W1344" s="139"/>
      <c r="Y1344" s="1"/>
    </row>
    <row r="1345" spans="3:25" ht="12" customHeight="1">
      <c r="C1345" s="343" t="str">
        <f t="shared" ca="1" si="130"/>
        <v/>
      </c>
      <c r="D1345" s="124" t="str">
        <f t="shared" ca="1" si="131"/>
        <v/>
      </c>
      <c r="E1345" s="124" t="str">
        <f t="shared" ca="1" si="132"/>
        <v/>
      </c>
      <c r="F1345" s="172" t="str">
        <f ca="1">IF(C1345="","",[1]!S_DQ_CLOSE(D1345,TODAY(),1))</f>
        <v/>
      </c>
      <c r="G1345" s="173" t="str">
        <f ca="1">IF(C1345="","",[1]!s_pq_pctchange(D1345,TODAY()-$G$12,TODAY())/100)</f>
        <v/>
      </c>
      <c r="H1345" s="249" t="str">
        <f ca="1">IF(C1345="","",IF($H$11="收入",[1]!S_STM07_IS(D1345,9,$G$5,$H$13)/$E$5,[1]!S_STM07_IS(D1345,48,$G$5,$H$13)/$E$5))</f>
        <v/>
      </c>
      <c r="I1345" s="249" t="str">
        <f ca="1">IF(C1345="","",IF($I$11="毛利率",([1]!S_STM07_IS(D1345,9,$G$5,$H$13)-[1]!S_STM07_IS(D1345,10,$G$5,$H$13))/[1]!S_STM07_IS(D1345,9,$G$5,$H$13),[1]!S_STM07_IS(D1345,14,$G$5,$H$13)/$E$5))</f>
        <v/>
      </c>
      <c r="J1345" s="249" t="str">
        <f ca="1">IF(C1345="","",IF($J$11="营业利润率",[1]!S_STM07_IS(D1345,48,$G$5,$H$13)/[1]!S_STM07_IS(D1345,9,$G$5,$H$13),([1]!S_STM07_CS(D1345,87,$G$5,$H$13)+[1]!S_STM07_CS(D1345,88,$G$5,$H$13)+[1]!S_STM07_CS(D1345,89,$G$5,$H$13))/$E$5))</f>
        <v/>
      </c>
      <c r="K1345" s="249" t="str">
        <f ca="1">IF(C1345="","",IF($K$11="净利润率",[1]!S_STM07_IS(D1345,61,$G$5,$H$13)/[1]!S_STM07_IS(D1345,9,$G$5,$H$13),[1]!S_STM07_IS(D1345,55,$G$5,$H$13)/$E$5))</f>
        <v/>
      </c>
      <c r="L1345" s="249" t="str">
        <f ca="1">IF(C1345="","",IF($L$11="ROA",[1]!S_STM07_IS(D1345,61,$G$5,$H$13)/[1]!S_STM07_BS(D1345,74,$G$5,$H$13),1-[1]!S_STM07_IS(D1345,61,$G$5,$H$13)/[1]!S_STM07_IS(D1345,55,$G$5,$H$13)))</f>
        <v/>
      </c>
      <c r="M1345" s="249" t="str">
        <f ca="1">IF(C1345="","",IF($M$11="ROE",[1]!S_STM07_IS(D1345,61,$G$5,$H$13)/[1]!S_STM07_BS(D1345,141,$G$5,$H$13),([1]!S_STM07_BS(D1345,25,$G$5,$H$13)-[1]!S_STM07_BS(D1345,93,$G$5,$H$13))/$E$5))</f>
        <v/>
      </c>
      <c r="N1345" s="250" t="str">
        <f ca="1">IF(C1345="","",IF($N$11="EPS",[1]!S_STM07_IS(D1345,61,$G$5,$H$13)/IF([1]!S_SHARE_TOTAL(D1345,$G$5)=0,[1]!S_SHARE_TOTAL(D1345,[1]!s_ipo_listeddate(D1345)),[1]!S_SHARE_TOTAL(D1345,$G$5)),([1]!S_STM07_BS(D1345,75,$G$5,$H$13)+[1]!S_STM07_BS(D1345,88,$G$5,$H$13)+[1]!S_STM07_BS(D1345,94,$G$5,$H$13)+[1]!S_STM07_BS(D1345,95,$G$5,$H$13))/$E$5))</f>
        <v/>
      </c>
      <c r="O1345" s="250" t="str">
        <f ca="1">IF(C1345="","",IF($O$11="BPS",[1]!S_STM07_BS(D1345,141,$G$5,$H$13)/IF([1]!S_SHARE_TOTAL(D1345,$G$5)=0,[1]!S_SHARE_TOTAL(D1345,[1]!s_ipo_listeddate(D1345)),[1]!S_SHARE_TOTAL(D1345,$G$5)),[1]!S_STM07_CS(D1345,49,$G$5,$H$13)/$E$5))</f>
        <v/>
      </c>
      <c r="P1345" s="250" t="str">
        <f ca="1">IF(C1345="","",IF($P$11="CFPS",[1]!S_STM07_CS(D1345,84,$G$5,$H$13)/IF([1]!S_SHARE_TOTAL(D1345,$G$5)=0,[1]!S_SHARE_TOTAL(D1345,[1]!s_ipo_listeddate(D1345)),[1]!S_SHARE_TOTAL(D1345,$G$5)),[1]!S_STM07_CS(D1345,84,$G$5,$H$13)/$E$5))</f>
        <v/>
      </c>
      <c r="Q1345" s="198" t="str">
        <f ca="1">IF(C1345="","",F1345/([1]!S_STM07_IS(D1345,61,$G$5,$H$13)/IF([1]!S_SHARE_TOTAL(D1345,$G$5)=0,[1]!S_SHARE_TOTAL(D1345,[1]!s_ipo_listeddate(D1345)),[1]!S_SHARE_TOTAL(D1345,$G$5))))</f>
        <v/>
      </c>
      <c r="R1345" s="198" t="str">
        <f ca="1">IF(C1345="","",F1345/([1]!S_STM07_BS(D1345,141,$G$5,$H$13)/IF([1]!S_SHARE_TOTAL(D1345,$G$5)=0,[1]!S_SHARE_TOTAL(D1345,[1]!s_ipo_listeddate(D1345)),[1]!S_SHARE_TOTAL(D1345,$G$5))))</f>
        <v/>
      </c>
      <c r="S1345" s="249" t="str">
        <f ca="1">IF(C1345="","",[1]!S_SHARE_TOTAL(D1345,TODAY())/$E$5)</f>
        <v/>
      </c>
      <c r="T1345" s="249" t="str">
        <f t="shared" ca="1" si="133"/>
        <v/>
      </c>
      <c r="U1345" s="172" t="str">
        <f t="shared" ca="1" si="134"/>
        <v/>
      </c>
      <c r="V1345" s="343" t="str">
        <f t="shared" ca="1" si="135"/>
        <v/>
      </c>
      <c r="W1345" s="139"/>
      <c r="Y1345" s="1"/>
    </row>
    <row r="1346" spans="3:25" ht="12" customHeight="1">
      <c r="C1346" s="342" t="str">
        <f t="shared" ca="1" si="130"/>
        <v/>
      </c>
      <c r="D1346" s="153" t="str">
        <f t="shared" ca="1" si="131"/>
        <v/>
      </c>
      <c r="E1346" s="153" t="str">
        <f t="shared" ca="1" si="132"/>
        <v/>
      </c>
      <c r="F1346" s="170" t="str">
        <f ca="1">IF(C1346="","",[1]!S_DQ_CLOSE(D1346,TODAY(),1))</f>
        <v/>
      </c>
      <c r="G1346" s="171" t="str">
        <f ca="1">IF(C1346="","",[1]!s_pq_pctchange(D1346,TODAY()-$G$12,TODAY())/100)</f>
        <v/>
      </c>
      <c r="H1346" s="247" t="str">
        <f ca="1">IF(C1346="","",IF($H$11="收入",[1]!S_STM07_IS(D1346,9,$G$5,$H$13)/$E$5,[1]!S_STM07_IS(D1346,48,$G$5,$H$13)/$E$5))</f>
        <v/>
      </c>
      <c r="I1346" s="247" t="str">
        <f ca="1">IF(C1346="","",IF($I$11="毛利率",([1]!S_STM07_IS(D1346,9,$G$5,$H$13)-[1]!S_STM07_IS(D1346,10,$G$5,$H$13))/[1]!S_STM07_IS(D1346,9,$G$5,$H$13),[1]!S_STM07_IS(D1346,14,$G$5,$H$13)/$E$5))</f>
        <v/>
      </c>
      <c r="J1346" s="247" t="str">
        <f ca="1">IF(C1346="","",IF($J$11="营业利润率",[1]!S_STM07_IS(D1346,48,$G$5,$H$13)/[1]!S_STM07_IS(D1346,9,$G$5,$H$13),([1]!S_STM07_CS(D1346,87,$G$5,$H$13)+[1]!S_STM07_CS(D1346,88,$G$5,$H$13)+[1]!S_STM07_CS(D1346,89,$G$5,$H$13))/$E$5))</f>
        <v/>
      </c>
      <c r="K1346" s="247" t="str">
        <f ca="1">IF(C1346="","",IF($K$11="净利润率",[1]!S_STM07_IS(D1346,61,$G$5,$H$13)/[1]!S_STM07_IS(D1346,9,$G$5,$H$13),[1]!S_STM07_IS(D1346,55,$G$5,$H$13)/$E$5))</f>
        <v/>
      </c>
      <c r="L1346" s="247" t="str">
        <f ca="1">IF(C1346="","",IF($L$11="ROA",[1]!S_STM07_IS(D1346,61,$G$5,$H$13)/[1]!S_STM07_BS(D1346,74,$G$5,$H$13),1-[1]!S_STM07_IS(D1346,61,$G$5,$H$13)/[1]!S_STM07_IS(D1346,55,$G$5,$H$13)))</f>
        <v/>
      </c>
      <c r="M1346" s="247" t="str">
        <f ca="1">IF(C1346="","",IF($M$11="ROE",[1]!S_STM07_IS(D1346,61,$G$5,$H$13)/[1]!S_STM07_BS(D1346,141,$G$5,$H$13),([1]!S_STM07_BS(D1346,25,$G$5,$H$13)-[1]!S_STM07_BS(D1346,93,$G$5,$H$13))/$E$5))</f>
        <v/>
      </c>
      <c r="N1346" s="247" t="str">
        <f ca="1">IF(C1346="","",IF($N$11="EPS",[1]!S_STM07_IS(D1346,61,$G$5,$H$13)/IF([1]!S_SHARE_TOTAL(D1346,$G$5)=0,[1]!S_SHARE_TOTAL(D1346,[1]!s_ipo_listeddate(D1346)),[1]!S_SHARE_TOTAL(D1346,$G$5)),([1]!S_STM07_BS(D1346,75,$G$5,$H$13)+[1]!S_STM07_BS(D1346,88,$G$5,$H$13)+[1]!S_STM07_BS(D1346,94,$G$5,$H$13)+[1]!S_STM07_BS(D1346,95,$G$5,$H$13))/$E$5))</f>
        <v/>
      </c>
      <c r="O1346" s="247" t="str">
        <f ca="1">IF(C1346="","",IF($O$11="BPS",[1]!S_STM07_BS(D1346,141,$G$5,$H$13)/IF([1]!S_SHARE_TOTAL(D1346,$G$5)=0,[1]!S_SHARE_TOTAL(D1346,[1]!s_ipo_listeddate(D1346)),[1]!S_SHARE_TOTAL(D1346,$G$5)),[1]!S_STM07_CS(D1346,49,$G$5,$H$13)/$E$5))</f>
        <v/>
      </c>
      <c r="P1346" s="247" t="str">
        <f ca="1">IF(C1346="","",IF($P$11="CFPS",[1]!S_STM07_CS(D1346,84,$G$5,$H$13)/IF([1]!S_SHARE_TOTAL(D1346,$G$5)=0,[1]!S_SHARE_TOTAL(D1346,[1]!s_ipo_listeddate(D1346)),[1]!S_SHARE_TOTAL(D1346,$G$5)),[1]!S_STM07_CS(D1346,84,$G$5,$H$13)/$E$5))</f>
        <v/>
      </c>
      <c r="Q1346" s="248" t="str">
        <f ca="1">IF(C1346="","",F1346/([1]!S_STM07_IS(D1346,61,$G$5,$H$13)/IF([1]!S_SHARE_TOTAL(D1346,$G$5)=0,[1]!S_SHARE_TOTAL(D1346,[1]!s_ipo_listeddate(D1346)),[1]!S_SHARE_TOTAL(D1346,$G$5))))</f>
        <v/>
      </c>
      <c r="R1346" s="248" t="str">
        <f ca="1">IF(C1346="","",F1346/([1]!S_STM07_BS(D1346,141,$G$5,$H$13)/IF([1]!S_SHARE_TOTAL(D1346,$G$5)=0,[1]!S_SHARE_TOTAL(D1346,[1]!s_ipo_listeddate(D1346)),[1]!S_SHARE_TOTAL(D1346,$G$5))))</f>
        <v/>
      </c>
      <c r="S1346" s="247" t="str">
        <f ca="1">IF(C1346="","",[1]!S_SHARE_TOTAL(D1346,TODAY())/$E$5)</f>
        <v/>
      </c>
      <c r="T1346" s="247" t="str">
        <f t="shared" ca="1" si="133"/>
        <v/>
      </c>
      <c r="U1346" s="218" t="str">
        <f t="shared" ca="1" si="134"/>
        <v/>
      </c>
      <c r="V1346" s="342" t="str">
        <f t="shared" ca="1" si="135"/>
        <v/>
      </c>
      <c r="W1346" s="139"/>
      <c r="Y1346" s="1"/>
    </row>
    <row r="1347" spans="3:25" ht="12" customHeight="1">
      <c r="C1347" s="343" t="str">
        <f t="shared" ca="1" si="130"/>
        <v/>
      </c>
      <c r="D1347" s="124" t="str">
        <f t="shared" ca="1" si="131"/>
        <v/>
      </c>
      <c r="E1347" s="124" t="str">
        <f t="shared" ca="1" si="132"/>
        <v/>
      </c>
      <c r="F1347" s="172" t="str">
        <f ca="1">IF(C1347="","",[1]!S_DQ_CLOSE(D1347,TODAY(),1))</f>
        <v/>
      </c>
      <c r="G1347" s="173" t="str">
        <f ca="1">IF(C1347="","",[1]!s_pq_pctchange(D1347,TODAY()-$G$12,TODAY())/100)</f>
        <v/>
      </c>
      <c r="H1347" s="249" t="str">
        <f ca="1">IF(C1347="","",IF($H$11="收入",[1]!S_STM07_IS(D1347,9,$G$5,$H$13)/$E$5,[1]!S_STM07_IS(D1347,48,$G$5,$H$13)/$E$5))</f>
        <v/>
      </c>
      <c r="I1347" s="249" t="str">
        <f ca="1">IF(C1347="","",IF($I$11="毛利率",([1]!S_STM07_IS(D1347,9,$G$5,$H$13)-[1]!S_STM07_IS(D1347,10,$G$5,$H$13))/[1]!S_STM07_IS(D1347,9,$G$5,$H$13),[1]!S_STM07_IS(D1347,14,$G$5,$H$13)/$E$5))</f>
        <v/>
      </c>
      <c r="J1347" s="249" t="str">
        <f ca="1">IF(C1347="","",IF($J$11="营业利润率",[1]!S_STM07_IS(D1347,48,$G$5,$H$13)/[1]!S_STM07_IS(D1347,9,$G$5,$H$13),([1]!S_STM07_CS(D1347,87,$G$5,$H$13)+[1]!S_STM07_CS(D1347,88,$G$5,$H$13)+[1]!S_STM07_CS(D1347,89,$G$5,$H$13))/$E$5))</f>
        <v/>
      </c>
      <c r="K1347" s="249" t="str">
        <f ca="1">IF(C1347="","",IF($K$11="净利润率",[1]!S_STM07_IS(D1347,61,$G$5,$H$13)/[1]!S_STM07_IS(D1347,9,$G$5,$H$13),[1]!S_STM07_IS(D1347,55,$G$5,$H$13)/$E$5))</f>
        <v/>
      </c>
      <c r="L1347" s="249" t="str">
        <f ca="1">IF(C1347="","",IF($L$11="ROA",[1]!S_STM07_IS(D1347,61,$G$5,$H$13)/[1]!S_STM07_BS(D1347,74,$G$5,$H$13),1-[1]!S_STM07_IS(D1347,61,$G$5,$H$13)/[1]!S_STM07_IS(D1347,55,$G$5,$H$13)))</f>
        <v/>
      </c>
      <c r="M1347" s="249" t="str">
        <f ca="1">IF(C1347="","",IF($M$11="ROE",[1]!S_STM07_IS(D1347,61,$G$5,$H$13)/[1]!S_STM07_BS(D1347,141,$G$5,$H$13),([1]!S_STM07_BS(D1347,25,$G$5,$H$13)-[1]!S_STM07_BS(D1347,93,$G$5,$H$13))/$E$5))</f>
        <v/>
      </c>
      <c r="N1347" s="250" t="str">
        <f ca="1">IF(C1347="","",IF($N$11="EPS",[1]!S_STM07_IS(D1347,61,$G$5,$H$13)/IF([1]!S_SHARE_TOTAL(D1347,$G$5)=0,[1]!S_SHARE_TOTAL(D1347,[1]!s_ipo_listeddate(D1347)),[1]!S_SHARE_TOTAL(D1347,$G$5)),([1]!S_STM07_BS(D1347,75,$G$5,$H$13)+[1]!S_STM07_BS(D1347,88,$G$5,$H$13)+[1]!S_STM07_BS(D1347,94,$G$5,$H$13)+[1]!S_STM07_BS(D1347,95,$G$5,$H$13))/$E$5))</f>
        <v/>
      </c>
      <c r="O1347" s="250" t="str">
        <f ca="1">IF(C1347="","",IF($O$11="BPS",[1]!S_STM07_BS(D1347,141,$G$5,$H$13)/IF([1]!S_SHARE_TOTAL(D1347,$G$5)=0,[1]!S_SHARE_TOTAL(D1347,[1]!s_ipo_listeddate(D1347)),[1]!S_SHARE_TOTAL(D1347,$G$5)),[1]!S_STM07_CS(D1347,49,$G$5,$H$13)/$E$5))</f>
        <v/>
      </c>
      <c r="P1347" s="250" t="str">
        <f ca="1">IF(C1347="","",IF($P$11="CFPS",[1]!S_STM07_CS(D1347,84,$G$5,$H$13)/IF([1]!S_SHARE_TOTAL(D1347,$G$5)=0,[1]!S_SHARE_TOTAL(D1347,[1]!s_ipo_listeddate(D1347)),[1]!S_SHARE_TOTAL(D1347,$G$5)),[1]!S_STM07_CS(D1347,84,$G$5,$H$13)/$E$5))</f>
        <v/>
      </c>
      <c r="Q1347" s="198" t="str">
        <f ca="1">IF(C1347="","",F1347/([1]!S_STM07_IS(D1347,61,$G$5,$H$13)/IF([1]!S_SHARE_TOTAL(D1347,$G$5)=0,[1]!S_SHARE_TOTAL(D1347,[1]!s_ipo_listeddate(D1347)),[1]!S_SHARE_TOTAL(D1347,$G$5))))</f>
        <v/>
      </c>
      <c r="R1347" s="198" t="str">
        <f ca="1">IF(C1347="","",F1347/([1]!S_STM07_BS(D1347,141,$G$5,$H$13)/IF([1]!S_SHARE_TOTAL(D1347,$G$5)=0,[1]!S_SHARE_TOTAL(D1347,[1]!s_ipo_listeddate(D1347)),[1]!S_SHARE_TOTAL(D1347,$G$5))))</f>
        <v/>
      </c>
      <c r="S1347" s="249" t="str">
        <f ca="1">IF(C1347="","",[1]!S_SHARE_TOTAL(D1347,TODAY())/$E$5)</f>
        <v/>
      </c>
      <c r="T1347" s="249" t="str">
        <f t="shared" ca="1" si="133"/>
        <v/>
      </c>
      <c r="U1347" s="172" t="str">
        <f t="shared" ca="1" si="134"/>
        <v/>
      </c>
      <c r="V1347" s="343" t="str">
        <f t="shared" ca="1" si="135"/>
        <v/>
      </c>
      <c r="W1347" s="139"/>
      <c r="Y1347" s="1"/>
    </row>
    <row r="1348" spans="3:25" ht="12" customHeight="1">
      <c r="C1348" s="342" t="str">
        <f t="shared" ca="1" si="130"/>
        <v/>
      </c>
      <c r="D1348" s="153" t="str">
        <f t="shared" ca="1" si="131"/>
        <v/>
      </c>
      <c r="E1348" s="153" t="str">
        <f t="shared" ca="1" si="132"/>
        <v/>
      </c>
      <c r="F1348" s="170" t="str">
        <f ca="1">IF(C1348="","",[1]!S_DQ_CLOSE(D1348,TODAY(),1))</f>
        <v/>
      </c>
      <c r="G1348" s="171" t="str">
        <f ca="1">IF(C1348="","",[1]!s_pq_pctchange(D1348,TODAY()-$G$12,TODAY())/100)</f>
        <v/>
      </c>
      <c r="H1348" s="247" t="str">
        <f ca="1">IF(C1348="","",IF($H$11="收入",[1]!S_STM07_IS(D1348,9,$G$5,$H$13)/$E$5,[1]!S_STM07_IS(D1348,48,$G$5,$H$13)/$E$5))</f>
        <v/>
      </c>
      <c r="I1348" s="247" t="str">
        <f ca="1">IF(C1348="","",IF($I$11="毛利率",([1]!S_STM07_IS(D1348,9,$G$5,$H$13)-[1]!S_STM07_IS(D1348,10,$G$5,$H$13))/[1]!S_STM07_IS(D1348,9,$G$5,$H$13),[1]!S_STM07_IS(D1348,14,$G$5,$H$13)/$E$5))</f>
        <v/>
      </c>
      <c r="J1348" s="247" t="str">
        <f ca="1">IF(C1348="","",IF($J$11="营业利润率",[1]!S_STM07_IS(D1348,48,$G$5,$H$13)/[1]!S_STM07_IS(D1348,9,$G$5,$H$13),([1]!S_STM07_CS(D1348,87,$G$5,$H$13)+[1]!S_STM07_CS(D1348,88,$G$5,$H$13)+[1]!S_STM07_CS(D1348,89,$G$5,$H$13))/$E$5))</f>
        <v/>
      </c>
      <c r="K1348" s="247" t="str">
        <f ca="1">IF(C1348="","",IF($K$11="净利润率",[1]!S_STM07_IS(D1348,61,$G$5,$H$13)/[1]!S_STM07_IS(D1348,9,$G$5,$H$13),[1]!S_STM07_IS(D1348,55,$G$5,$H$13)/$E$5))</f>
        <v/>
      </c>
      <c r="L1348" s="247" t="str">
        <f ca="1">IF(C1348="","",IF($L$11="ROA",[1]!S_STM07_IS(D1348,61,$G$5,$H$13)/[1]!S_STM07_BS(D1348,74,$G$5,$H$13),1-[1]!S_STM07_IS(D1348,61,$G$5,$H$13)/[1]!S_STM07_IS(D1348,55,$G$5,$H$13)))</f>
        <v/>
      </c>
      <c r="M1348" s="247" t="str">
        <f ca="1">IF(C1348="","",IF($M$11="ROE",[1]!S_STM07_IS(D1348,61,$G$5,$H$13)/[1]!S_STM07_BS(D1348,141,$G$5,$H$13),([1]!S_STM07_BS(D1348,25,$G$5,$H$13)-[1]!S_STM07_BS(D1348,93,$G$5,$H$13))/$E$5))</f>
        <v/>
      </c>
      <c r="N1348" s="247" t="str">
        <f ca="1">IF(C1348="","",IF($N$11="EPS",[1]!S_STM07_IS(D1348,61,$G$5,$H$13)/IF([1]!S_SHARE_TOTAL(D1348,$G$5)=0,[1]!S_SHARE_TOTAL(D1348,[1]!s_ipo_listeddate(D1348)),[1]!S_SHARE_TOTAL(D1348,$G$5)),([1]!S_STM07_BS(D1348,75,$G$5,$H$13)+[1]!S_STM07_BS(D1348,88,$G$5,$H$13)+[1]!S_STM07_BS(D1348,94,$G$5,$H$13)+[1]!S_STM07_BS(D1348,95,$G$5,$H$13))/$E$5))</f>
        <v/>
      </c>
      <c r="O1348" s="247" t="str">
        <f ca="1">IF(C1348="","",IF($O$11="BPS",[1]!S_STM07_BS(D1348,141,$G$5,$H$13)/IF([1]!S_SHARE_TOTAL(D1348,$G$5)=0,[1]!S_SHARE_TOTAL(D1348,[1]!s_ipo_listeddate(D1348)),[1]!S_SHARE_TOTAL(D1348,$G$5)),[1]!S_STM07_CS(D1348,49,$G$5,$H$13)/$E$5))</f>
        <v/>
      </c>
      <c r="P1348" s="247" t="str">
        <f ca="1">IF(C1348="","",IF($P$11="CFPS",[1]!S_STM07_CS(D1348,84,$G$5,$H$13)/IF([1]!S_SHARE_TOTAL(D1348,$G$5)=0,[1]!S_SHARE_TOTAL(D1348,[1]!s_ipo_listeddate(D1348)),[1]!S_SHARE_TOTAL(D1348,$G$5)),[1]!S_STM07_CS(D1348,84,$G$5,$H$13)/$E$5))</f>
        <v/>
      </c>
      <c r="Q1348" s="248" t="str">
        <f ca="1">IF(C1348="","",F1348/([1]!S_STM07_IS(D1348,61,$G$5,$H$13)/IF([1]!S_SHARE_TOTAL(D1348,$G$5)=0,[1]!S_SHARE_TOTAL(D1348,[1]!s_ipo_listeddate(D1348)),[1]!S_SHARE_TOTAL(D1348,$G$5))))</f>
        <v/>
      </c>
      <c r="R1348" s="248" t="str">
        <f ca="1">IF(C1348="","",F1348/([1]!S_STM07_BS(D1348,141,$G$5,$H$13)/IF([1]!S_SHARE_TOTAL(D1348,$G$5)=0,[1]!S_SHARE_TOTAL(D1348,[1]!s_ipo_listeddate(D1348)),[1]!S_SHARE_TOTAL(D1348,$G$5))))</f>
        <v/>
      </c>
      <c r="S1348" s="247" t="str">
        <f ca="1">IF(C1348="","",[1]!S_SHARE_TOTAL(D1348,TODAY())/$E$5)</f>
        <v/>
      </c>
      <c r="T1348" s="247" t="str">
        <f t="shared" ca="1" si="133"/>
        <v/>
      </c>
      <c r="U1348" s="218" t="str">
        <f t="shared" ca="1" si="134"/>
        <v/>
      </c>
      <c r="V1348" s="342" t="str">
        <f t="shared" ca="1" si="135"/>
        <v/>
      </c>
      <c r="W1348" s="139"/>
      <c r="Y1348" s="1"/>
    </row>
    <row r="1349" spans="3:25" ht="12" customHeight="1">
      <c r="C1349" s="343" t="str">
        <f t="shared" ca="1" si="130"/>
        <v/>
      </c>
      <c r="D1349" s="124" t="str">
        <f t="shared" ca="1" si="131"/>
        <v/>
      </c>
      <c r="E1349" s="124" t="str">
        <f t="shared" ca="1" si="132"/>
        <v/>
      </c>
      <c r="F1349" s="172" t="str">
        <f ca="1">IF(C1349="","",[1]!S_DQ_CLOSE(D1349,TODAY(),1))</f>
        <v/>
      </c>
      <c r="G1349" s="173" t="str">
        <f ca="1">IF(C1349="","",[1]!s_pq_pctchange(D1349,TODAY()-$G$12,TODAY())/100)</f>
        <v/>
      </c>
      <c r="H1349" s="249" t="str">
        <f ca="1">IF(C1349="","",IF($H$11="收入",[1]!S_STM07_IS(D1349,9,$G$5,$H$13)/$E$5,[1]!S_STM07_IS(D1349,48,$G$5,$H$13)/$E$5))</f>
        <v/>
      </c>
      <c r="I1349" s="249" t="str">
        <f ca="1">IF(C1349="","",IF($I$11="毛利率",([1]!S_STM07_IS(D1349,9,$G$5,$H$13)-[1]!S_STM07_IS(D1349,10,$G$5,$H$13))/[1]!S_STM07_IS(D1349,9,$G$5,$H$13),[1]!S_STM07_IS(D1349,14,$G$5,$H$13)/$E$5))</f>
        <v/>
      </c>
      <c r="J1349" s="249" t="str">
        <f ca="1">IF(C1349="","",IF($J$11="营业利润率",[1]!S_STM07_IS(D1349,48,$G$5,$H$13)/[1]!S_STM07_IS(D1349,9,$G$5,$H$13),([1]!S_STM07_CS(D1349,87,$G$5,$H$13)+[1]!S_STM07_CS(D1349,88,$G$5,$H$13)+[1]!S_STM07_CS(D1349,89,$G$5,$H$13))/$E$5))</f>
        <v/>
      </c>
      <c r="K1349" s="249" t="str">
        <f ca="1">IF(C1349="","",IF($K$11="净利润率",[1]!S_STM07_IS(D1349,61,$G$5,$H$13)/[1]!S_STM07_IS(D1349,9,$G$5,$H$13),[1]!S_STM07_IS(D1349,55,$G$5,$H$13)/$E$5))</f>
        <v/>
      </c>
      <c r="L1349" s="249" t="str">
        <f ca="1">IF(C1349="","",IF($L$11="ROA",[1]!S_STM07_IS(D1349,61,$G$5,$H$13)/[1]!S_STM07_BS(D1349,74,$G$5,$H$13),1-[1]!S_STM07_IS(D1349,61,$G$5,$H$13)/[1]!S_STM07_IS(D1349,55,$G$5,$H$13)))</f>
        <v/>
      </c>
      <c r="M1349" s="249" t="str">
        <f ca="1">IF(C1349="","",IF($M$11="ROE",[1]!S_STM07_IS(D1349,61,$G$5,$H$13)/[1]!S_STM07_BS(D1349,141,$G$5,$H$13),([1]!S_STM07_BS(D1349,25,$G$5,$H$13)-[1]!S_STM07_BS(D1349,93,$G$5,$H$13))/$E$5))</f>
        <v/>
      </c>
      <c r="N1349" s="250" t="str">
        <f ca="1">IF(C1349="","",IF($N$11="EPS",[1]!S_STM07_IS(D1349,61,$G$5,$H$13)/IF([1]!S_SHARE_TOTAL(D1349,$G$5)=0,[1]!S_SHARE_TOTAL(D1349,[1]!s_ipo_listeddate(D1349)),[1]!S_SHARE_TOTAL(D1349,$G$5)),([1]!S_STM07_BS(D1349,75,$G$5,$H$13)+[1]!S_STM07_BS(D1349,88,$G$5,$H$13)+[1]!S_STM07_BS(D1349,94,$G$5,$H$13)+[1]!S_STM07_BS(D1349,95,$G$5,$H$13))/$E$5))</f>
        <v/>
      </c>
      <c r="O1349" s="250" t="str">
        <f ca="1">IF(C1349="","",IF($O$11="BPS",[1]!S_STM07_BS(D1349,141,$G$5,$H$13)/IF([1]!S_SHARE_TOTAL(D1349,$G$5)=0,[1]!S_SHARE_TOTAL(D1349,[1]!s_ipo_listeddate(D1349)),[1]!S_SHARE_TOTAL(D1349,$G$5)),[1]!S_STM07_CS(D1349,49,$G$5,$H$13)/$E$5))</f>
        <v/>
      </c>
      <c r="P1349" s="250" t="str">
        <f ca="1">IF(C1349="","",IF($P$11="CFPS",[1]!S_STM07_CS(D1349,84,$G$5,$H$13)/IF([1]!S_SHARE_TOTAL(D1349,$G$5)=0,[1]!S_SHARE_TOTAL(D1349,[1]!s_ipo_listeddate(D1349)),[1]!S_SHARE_TOTAL(D1349,$G$5)),[1]!S_STM07_CS(D1349,84,$G$5,$H$13)/$E$5))</f>
        <v/>
      </c>
      <c r="Q1349" s="198" t="str">
        <f ca="1">IF(C1349="","",F1349/([1]!S_STM07_IS(D1349,61,$G$5,$H$13)/IF([1]!S_SHARE_TOTAL(D1349,$G$5)=0,[1]!S_SHARE_TOTAL(D1349,[1]!s_ipo_listeddate(D1349)),[1]!S_SHARE_TOTAL(D1349,$G$5))))</f>
        <v/>
      </c>
      <c r="R1349" s="198" t="str">
        <f ca="1">IF(C1349="","",F1349/([1]!S_STM07_BS(D1349,141,$G$5,$H$13)/IF([1]!S_SHARE_TOTAL(D1349,$G$5)=0,[1]!S_SHARE_TOTAL(D1349,[1]!s_ipo_listeddate(D1349)),[1]!S_SHARE_TOTAL(D1349,$G$5))))</f>
        <v/>
      </c>
      <c r="S1349" s="249" t="str">
        <f ca="1">IF(C1349="","",[1]!S_SHARE_TOTAL(D1349,TODAY())/$E$5)</f>
        <v/>
      </c>
      <c r="T1349" s="249" t="str">
        <f t="shared" ca="1" si="133"/>
        <v/>
      </c>
      <c r="U1349" s="172" t="str">
        <f t="shared" ca="1" si="134"/>
        <v/>
      </c>
      <c r="V1349" s="343" t="str">
        <f t="shared" ca="1" si="135"/>
        <v/>
      </c>
      <c r="W1349" s="139"/>
      <c r="Y1349" s="1"/>
    </row>
    <row r="1350" spans="3:25" ht="12" customHeight="1">
      <c r="C1350" s="342" t="str">
        <f t="shared" ca="1" si="130"/>
        <v/>
      </c>
      <c r="D1350" s="153" t="str">
        <f t="shared" ca="1" si="131"/>
        <v/>
      </c>
      <c r="E1350" s="153" t="str">
        <f t="shared" ca="1" si="132"/>
        <v/>
      </c>
      <c r="F1350" s="170" t="str">
        <f ca="1">IF(C1350="","",[1]!S_DQ_CLOSE(D1350,TODAY(),1))</f>
        <v/>
      </c>
      <c r="G1350" s="171" t="str">
        <f ca="1">IF(C1350="","",[1]!s_pq_pctchange(D1350,TODAY()-$G$12,TODAY())/100)</f>
        <v/>
      </c>
      <c r="H1350" s="247" t="str">
        <f ca="1">IF(C1350="","",IF($H$11="收入",[1]!S_STM07_IS(D1350,9,$G$5,$H$13)/$E$5,[1]!S_STM07_IS(D1350,48,$G$5,$H$13)/$E$5))</f>
        <v/>
      </c>
      <c r="I1350" s="247" t="str">
        <f ca="1">IF(C1350="","",IF($I$11="毛利率",([1]!S_STM07_IS(D1350,9,$G$5,$H$13)-[1]!S_STM07_IS(D1350,10,$G$5,$H$13))/[1]!S_STM07_IS(D1350,9,$G$5,$H$13),[1]!S_STM07_IS(D1350,14,$G$5,$H$13)/$E$5))</f>
        <v/>
      </c>
      <c r="J1350" s="247" t="str">
        <f ca="1">IF(C1350="","",IF($J$11="营业利润率",[1]!S_STM07_IS(D1350,48,$G$5,$H$13)/[1]!S_STM07_IS(D1350,9,$G$5,$H$13),([1]!S_STM07_CS(D1350,87,$G$5,$H$13)+[1]!S_STM07_CS(D1350,88,$G$5,$H$13)+[1]!S_STM07_CS(D1350,89,$G$5,$H$13))/$E$5))</f>
        <v/>
      </c>
      <c r="K1350" s="247" t="str">
        <f ca="1">IF(C1350="","",IF($K$11="净利润率",[1]!S_STM07_IS(D1350,61,$G$5,$H$13)/[1]!S_STM07_IS(D1350,9,$G$5,$H$13),[1]!S_STM07_IS(D1350,55,$G$5,$H$13)/$E$5))</f>
        <v/>
      </c>
      <c r="L1350" s="247" t="str">
        <f ca="1">IF(C1350="","",IF($L$11="ROA",[1]!S_STM07_IS(D1350,61,$G$5,$H$13)/[1]!S_STM07_BS(D1350,74,$G$5,$H$13),1-[1]!S_STM07_IS(D1350,61,$G$5,$H$13)/[1]!S_STM07_IS(D1350,55,$G$5,$H$13)))</f>
        <v/>
      </c>
      <c r="M1350" s="247" t="str">
        <f ca="1">IF(C1350="","",IF($M$11="ROE",[1]!S_STM07_IS(D1350,61,$G$5,$H$13)/[1]!S_STM07_BS(D1350,141,$G$5,$H$13),([1]!S_STM07_BS(D1350,25,$G$5,$H$13)-[1]!S_STM07_BS(D1350,93,$G$5,$H$13))/$E$5))</f>
        <v/>
      </c>
      <c r="N1350" s="247" t="str">
        <f ca="1">IF(C1350="","",IF($N$11="EPS",[1]!S_STM07_IS(D1350,61,$G$5,$H$13)/IF([1]!S_SHARE_TOTAL(D1350,$G$5)=0,[1]!S_SHARE_TOTAL(D1350,[1]!s_ipo_listeddate(D1350)),[1]!S_SHARE_TOTAL(D1350,$G$5)),([1]!S_STM07_BS(D1350,75,$G$5,$H$13)+[1]!S_STM07_BS(D1350,88,$G$5,$H$13)+[1]!S_STM07_BS(D1350,94,$G$5,$H$13)+[1]!S_STM07_BS(D1350,95,$G$5,$H$13))/$E$5))</f>
        <v/>
      </c>
      <c r="O1350" s="247" t="str">
        <f ca="1">IF(C1350="","",IF($O$11="BPS",[1]!S_STM07_BS(D1350,141,$G$5,$H$13)/IF([1]!S_SHARE_TOTAL(D1350,$G$5)=0,[1]!S_SHARE_TOTAL(D1350,[1]!s_ipo_listeddate(D1350)),[1]!S_SHARE_TOTAL(D1350,$G$5)),[1]!S_STM07_CS(D1350,49,$G$5,$H$13)/$E$5))</f>
        <v/>
      </c>
      <c r="P1350" s="247" t="str">
        <f ca="1">IF(C1350="","",IF($P$11="CFPS",[1]!S_STM07_CS(D1350,84,$G$5,$H$13)/IF([1]!S_SHARE_TOTAL(D1350,$G$5)=0,[1]!S_SHARE_TOTAL(D1350,[1]!s_ipo_listeddate(D1350)),[1]!S_SHARE_TOTAL(D1350,$G$5)),[1]!S_STM07_CS(D1350,84,$G$5,$H$13)/$E$5))</f>
        <v/>
      </c>
      <c r="Q1350" s="248" t="str">
        <f ca="1">IF(C1350="","",F1350/([1]!S_STM07_IS(D1350,61,$G$5,$H$13)/IF([1]!S_SHARE_TOTAL(D1350,$G$5)=0,[1]!S_SHARE_TOTAL(D1350,[1]!s_ipo_listeddate(D1350)),[1]!S_SHARE_TOTAL(D1350,$G$5))))</f>
        <v/>
      </c>
      <c r="R1350" s="248" t="str">
        <f ca="1">IF(C1350="","",F1350/([1]!S_STM07_BS(D1350,141,$G$5,$H$13)/IF([1]!S_SHARE_TOTAL(D1350,$G$5)=0,[1]!S_SHARE_TOTAL(D1350,[1]!s_ipo_listeddate(D1350)),[1]!S_SHARE_TOTAL(D1350,$G$5))))</f>
        <v/>
      </c>
      <c r="S1350" s="247" t="str">
        <f ca="1">IF(C1350="","",[1]!S_SHARE_TOTAL(D1350,TODAY())/$E$5)</f>
        <v/>
      </c>
      <c r="T1350" s="247" t="str">
        <f t="shared" ca="1" si="133"/>
        <v/>
      </c>
      <c r="U1350" s="218" t="str">
        <f t="shared" ca="1" si="134"/>
        <v/>
      </c>
      <c r="V1350" s="342" t="str">
        <f t="shared" ca="1" si="135"/>
        <v/>
      </c>
      <c r="W1350" s="139"/>
      <c r="Y1350" s="1"/>
    </row>
    <row r="1351" spans="3:25" ht="12" customHeight="1">
      <c r="C1351" s="343" t="str">
        <f t="shared" ca="1" si="130"/>
        <v/>
      </c>
      <c r="D1351" s="124" t="str">
        <f t="shared" ca="1" si="131"/>
        <v/>
      </c>
      <c r="E1351" s="124" t="str">
        <f t="shared" ca="1" si="132"/>
        <v/>
      </c>
      <c r="F1351" s="172" t="str">
        <f ca="1">IF(C1351="","",[1]!S_DQ_CLOSE(D1351,TODAY(),1))</f>
        <v/>
      </c>
      <c r="G1351" s="173" t="str">
        <f ca="1">IF(C1351="","",[1]!s_pq_pctchange(D1351,TODAY()-$G$12,TODAY())/100)</f>
        <v/>
      </c>
      <c r="H1351" s="249" t="str">
        <f ca="1">IF(C1351="","",IF($H$11="收入",[1]!S_STM07_IS(D1351,9,$G$5,$H$13)/$E$5,[1]!S_STM07_IS(D1351,48,$G$5,$H$13)/$E$5))</f>
        <v/>
      </c>
      <c r="I1351" s="249" t="str">
        <f ca="1">IF(C1351="","",IF($I$11="毛利率",([1]!S_STM07_IS(D1351,9,$G$5,$H$13)-[1]!S_STM07_IS(D1351,10,$G$5,$H$13))/[1]!S_STM07_IS(D1351,9,$G$5,$H$13),[1]!S_STM07_IS(D1351,14,$G$5,$H$13)/$E$5))</f>
        <v/>
      </c>
      <c r="J1351" s="249" t="str">
        <f ca="1">IF(C1351="","",IF($J$11="营业利润率",[1]!S_STM07_IS(D1351,48,$G$5,$H$13)/[1]!S_STM07_IS(D1351,9,$G$5,$H$13),([1]!S_STM07_CS(D1351,87,$G$5,$H$13)+[1]!S_STM07_CS(D1351,88,$G$5,$H$13)+[1]!S_STM07_CS(D1351,89,$G$5,$H$13))/$E$5))</f>
        <v/>
      </c>
      <c r="K1351" s="249" t="str">
        <f ca="1">IF(C1351="","",IF($K$11="净利润率",[1]!S_STM07_IS(D1351,61,$G$5,$H$13)/[1]!S_STM07_IS(D1351,9,$G$5,$H$13),[1]!S_STM07_IS(D1351,55,$G$5,$H$13)/$E$5))</f>
        <v/>
      </c>
      <c r="L1351" s="249" t="str">
        <f ca="1">IF(C1351="","",IF($L$11="ROA",[1]!S_STM07_IS(D1351,61,$G$5,$H$13)/[1]!S_STM07_BS(D1351,74,$G$5,$H$13),1-[1]!S_STM07_IS(D1351,61,$G$5,$H$13)/[1]!S_STM07_IS(D1351,55,$G$5,$H$13)))</f>
        <v/>
      </c>
      <c r="M1351" s="249" t="str">
        <f ca="1">IF(C1351="","",IF($M$11="ROE",[1]!S_STM07_IS(D1351,61,$G$5,$H$13)/[1]!S_STM07_BS(D1351,141,$G$5,$H$13),([1]!S_STM07_BS(D1351,25,$G$5,$H$13)-[1]!S_STM07_BS(D1351,93,$G$5,$H$13))/$E$5))</f>
        <v/>
      </c>
      <c r="N1351" s="250" t="str">
        <f ca="1">IF(C1351="","",IF($N$11="EPS",[1]!S_STM07_IS(D1351,61,$G$5,$H$13)/IF([1]!S_SHARE_TOTAL(D1351,$G$5)=0,[1]!S_SHARE_TOTAL(D1351,[1]!s_ipo_listeddate(D1351)),[1]!S_SHARE_TOTAL(D1351,$G$5)),([1]!S_STM07_BS(D1351,75,$G$5,$H$13)+[1]!S_STM07_BS(D1351,88,$G$5,$H$13)+[1]!S_STM07_BS(D1351,94,$G$5,$H$13)+[1]!S_STM07_BS(D1351,95,$G$5,$H$13))/$E$5))</f>
        <v/>
      </c>
      <c r="O1351" s="250" t="str">
        <f ca="1">IF(C1351="","",IF($O$11="BPS",[1]!S_STM07_BS(D1351,141,$G$5,$H$13)/IF([1]!S_SHARE_TOTAL(D1351,$G$5)=0,[1]!S_SHARE_TOTAL(D1351,[1]!s_ipo_listeddate(D1351)),[1]!S_SHARE_TOTAL(D1351,$G$5)),[1]!S_STM07_CS(D1351,49,$G$5,$H$13)/$E$5))</f>
        <v/>
      </c>
      <c r="P1351" s="250" t="str">
        <f ca="1">IF(C1351="","",IF($P$11="CFPS",[1]!S_STM07_CS(D1351,84,$G$5,$H$13)/IF([1]!S_SHARE_TOTAL(D1351,$G$5)=0,[1]!S_SHARE_TOTAL(D1351,[1]!s_ipo_listeddate(D1351)),[1]!S_SHARE_TOTAL(D1351,$G$5)),[1]!S_STM07_CS(D1351,84,$G$5,$H$13)/$E$5))</f>
        <v/>
      </c>
      <c r="Q1351" s="198" t="str">
        <f ca="1">IF(C1351="","",F1351/([1]!S_STM07_IS(D1351,61,$G$5,$H$13)/IF([1]!S_SHARE_TOTAL(D1351,$G$5)=0,[1]!S_SHARE_TOTAL(D1351,[1]!s_ipo_listeddate(D1351)),[1]!S_SHARE_TOTAL(D1351,$G$5))))</f>
        <v/>
      </c>
      <c r="R1351" s="198" t="str">
        <f ca="1">IF(C1351="","",F1351/([1]!S_STM07_BS(D1351,141,$G$5,$H$13)/IF([1]!S_SHARE_TOTAL(D1351,$G$5)=0,[1]!S_SHARE_TOTAL(D1351,[1]!s_ipo_listeddate(D1351)),[1]!S_SHARE_TOTAL(D1351,$G$5))))</f>
        <v/>
      </c>
      <c r="S1351" s="249" t="str">
        <f ca="1">IF(C1351="","",[1]!S_SHARE_TOTAL(D1351,TODAY())/$E$5)</f>
        <v/>
      </c>
      <c r="T1351" s="249" t="str">
        <f t="shared" ca="1" si="133"/>
        <v/>
      </c>
      <c r="U1351" s="172" t="str">
        <f t="shared" ca="1" si="134"/>
        <v/>
      </c>
      <c r="V1351" s="343" t="str">
        <f t="shared" ca="1" si="135"/>
        <v/>
      </c>
      <c r="W1351" s="139"/>
      <c r="Y1351" s="1"/>
    </row>
    <row r="1352" spans="3:25" ht="12" customHeight="1">
      <c r="C1352" s="342" t="str">
        <f t="shared" ca="1" si="130"/>
        <v/>
      </c>
      <c r="D1352" s="153" t="str">
        <f t="shared" ca="1" si="131"/>
        <v/>
      </c>
      <c r="E1352" s="153" t="str">
        <f t="shared" ca="1" si="132"/>
        <v/>
      </c>
      <c r="F1352" s="170" t="str">
        <f ca="1">IF(C1352="","",[1]!S_DQ_CLOSE(D1352,TODAY(),1))</f>
        <v/>
      </c>
      <c r="G1352" s="171" t="str">
        <f ca="1">IF(C1352="","",[1]!s_pq_pctchange(D1352,TODAY()-$G$12,TODAY())/100)</f>
        <v/>
      </c>
      <c r="H1352" s="247" t="str">
        <f ca="1">IF(C1352="","",IF($H$11="收入",[1]!S_STM07_IS(D1352,9,$G$5,$H$13)/$E$5,[1]!S_STM07_IS(D1352,48,$G$5,$H$13)/$E$5))</f>
        <v/>
      </c>
      <c r="I1352" s="247" t="str">
        <f ca="1">IF(C1352="","",IF($I$11="毛利率",([1]!S_STM07_IS(D1352,9,$G$5,$H$13)-[1]!S_STM07_IS(D1352,10,$G$5,$H$13))/[1]!S_STM07_IS(D1352,9,$G$5,$H$13),[1]!S_STM07_IS(D1352,14,$G$5,$H$13)/$E$5))</f>
        <v/>
      </c>
      <c r="J1352" s="247" t="str">
        <f ca="1">IF(C1352="","",IF($J$11="营业利润率",[1]!S_STM07_IS(D1352,48,$G$5,$H$13)/[1]!S_STM07_IS(D1352,9,$G$5,$H$13),([1]!S_STM07_CS(D1352,87,$G$5,$H$13)+[1]!S_STM07_CS(D1352,88,$G$5,$H$13)+[1]!S_STM07_CS(D1352,89,$G$5,$H$13))/$E$5))</f>
        <v/>
      </c>
      <c r="K1352" s="247" t="str">
        <f ca="1">IF(C1352="","",IF($K$11="净利润率",[1]!S_STM07_IS(D1352,61,$G$5,$H$13)/[1]!S_STM07_IS(D1352,9,$G$5,$H$13),[1]!S_STM07_IS(D1352,55,$G$5,$H$13)/$E$5))</f>
        <v/>
      </c>
      <c r="L1352" s="247" t="str">
        <f ca="1">IF(C1352="","",IF($L$11="ROA",[1]!S_STM07_IS(D1352,61,$G$5,$H$13)/[1]!S_STM07_BS(D1352,74,$G$5,$H$13),1-[1]!S_STM07_IS(D1352,61,$G$5,$H$13)/[1]!S_STM07_IS(D1352,55,$G$5,$H$13)))</f>
        <v/>
      </c>
      <c r="M1352" s="247" t="str">
        <f ca="1">IF(C1352="","",IF($M$11="ROE",[1]!S_STM07_IS(D1352,61,$G$5,$H$13)/[1]!S_STM07_BS(D1352,141,$G$5,$H$13),([1]!S_STM07_BS(D1352,25,$G$5,$H$13)-[1]!S_STM07_BS(D1352,93,$G$5,$H$13))/$E$5))</f>
        <v/>
      </c>
      <c r="N1352" s="247" t="str">
        <f ca="1">IF(C1352="","",IF($N$11="EPS",[1]!S_STM07_IS(D1352,61,$G$5,$H$13)/IF([1]!S_SHARE_TOTAL(D1352,$G$5)=0,[1]!S_SHARE_TOTAL(D1352,[1]!s_ipo_listeddate(D1352)),[1]!S_SHARE_TOTAL(D1352,$G$5)),([1]!S_STM07_BS(D1352,75,$G$5,$H$13)+[1]!S_STM07_BS(D1352,88,$G$5,$H$13)+[1]!S_STM07_BS(D1352,94,$G$5,$H$13)+[1]!S_STM07_BS(D1352,95,$G$5,$H$13))/$E$5))</f>
        <v/>
      </c>
      <c r="O1352" s="247" t="str">
        <f ca="1">IF(C1352="","",IF($O$11="BPS",[1]!S_STM07_BS(D1352,141,$G$5,$H$13)/IF([1]!S_SHARE_TOTAL(D1352,$G$5)=0,[1]!S_SHARE_TOTAL(D1352,[1]!s_ipo_listeddate(D1352)),[1]!S_SHARE_TOTAL(D1352,$G$5)),[1]!S_STM07_CS(D1352,49,$G$5,$H$13)/$E$5))</f>
        <v/>
      </c>
      <c r="P1352" s="247" t="str">
        <f ca="1">IF(C1352="","",IF($P$11="CFPS",[1]!S_STM07_CS(D1352,84,$G$5,$H$13)/IF([1]!S_SHARE_TOTAL(D1352,$G$5)=0,[1]!S_SHARE_TOTAL(D1352,[1]!s_ipo_listeddate(D1352)),[1]!S_SHARE_TOTAL(D1352,$G$5)),[1]!S_STM07_CS(D1352,84,$G$5,$H$13)/$E$5))</f>
        <v/>
      </c>
      <c r="Q1352" s="248" t="str">
        <f ca="1">IF(C1352="","",F1352/([1]!S_STM07_IS(D1352,61,$G$5,$H$13)/IF([1]!S_SHARE_TOTAL(D1352,$G$5)=0,[1]!S_SHARE_TOTAL(D1352,[1]!s_ipo_listeddate(D1352)),[1]!S_SHARE_TOTAL(D1352,$G$5))))</f>
        <v/>
      </c>
      <c r="R1352" s="248" t="str">
        <f ca="1">IF(C1352="","",F1352/([1]!S_STM07_BS(D1352,141,$G$5,$H$13)/IF([1]!S_SHARE_TOTAL(D1352,$G$5)=0,[1]!S_SHARE_TOTAL(D1352,[1]!s_ipo_listeddate(D1352)),[1]!S_SHARE_TOTAL(D1352,$G$5))))</f>
        <v/>
      </c>
      <c r="S1352" s="247" t="str">
        <f ca="1">IF(C1352="","",[1]!S_SHARE_TOTAL(D1352,TODAY())/$E$5)</f>
        <v/>
      </c>
      <c r="T1352" s="247" t="str">
        <f t="shared" ca="1" si="133"/>
        <v/>
      </c>
      <c r="U1352" s="218" t="str">
        <f t="shared" ca="1" si="134"/>
        <v/>
      </c>
      <c r="V1352" s="342" t="str">
        <f t="shared" ca="1" si="135"/>
        <v/>
      </c>
      <c r="W1352" s="139"/>
      <c r="Y1352" s="1"/>
    </row>
    <row r="1353" spans="3:25" ht="12" customHeight="1">
      <c r="C1353" s="343" t="str">
        <f t="shared" ca="1" si="130"/>
        <v/>
      </c>
      <c r="D1353" s="124" t="str">
        <f t="shared" ca="1" si="131"/>
        <v/>
      </c>
      <c r="E1353" s="124" t="str">
        <f t="shared" ca="1" si="132"/>
        <v/>
      </c>
      <c r="F1353" s="172" t="str">
        <f ca="1">IF(C1353="","",[1]!S_DQ_CLOSE(D1353,TODAY(),1))</f>
        <v/>
      </c>
      <c r="G1353" s="173" t="str">
        <f ca="1">IF(C1353="","",[1]!s_pq_pctchange(D1353,TODAY()-$G$12,TODAY())/100)</f>
        <v/>
      </c>
      <c r="H1353" s="249" t="str">
        <f ca="1">IF(C1353="","",IF($H$11="收入",[1]!S_STM07_IS(D1353,9,$G$5,$H$13)/$E$5,[1]!S_STM07_IS(D1353,48,$G$5,$H$13)/$E$5))</f>
        <v/>
      </c>
      <c r="I1353" s="249" t="str">
        <f ca="1">IF(C1353="","",IF($I$11="毛利率",([1]!S_STM07_IS(D1353,9,$G$5,$H$13)-[1]!S_STM07_IS(D1353,10,$G$5,$H$13))/[1]!S_STM07_IS(D1353,9,$G$5,$H$13),[1]!S_STM07_IS(D1353,14,$G$5,$H$13)/$E$5))</f>
        <v/>
      </c>
      <c r="J1353" s="249" t="str">
        <f ca="1">IF(C1353="","",IF($J$11="营业利润率",[1]!S_STM07_IS(D1353,48,$G$5,$H$13)/[1]!S_STM07_IS(D1353,9,$G$5,$H$13),([1]!S_STM07_CS(D1353,87,$G$5,$H$13)+[1]!S_STM07_CS(D1353,88,$G$5,$H$13)+[1]!S_STM07_CS(D1353,89,$G$5,$H$13))/$E$5))</f>
        <v/>
      </c>
      <c r="K1353" s="249" t="str">
        <f ca="1">IF(C1353="","",IF($K$11="净利润率",[1]!S_STM07_IS(D1353,61,$G$5,$H$13)/[1]!S_STM07_IS(D1353,9,$G$5,$H$13),[1]!S_STM07_IS(D1353,55,$G$5,$H$13)/$E$5))</f>
        <v/>
      </c>
      <c r="L1353" s="249" t="str">
        <f ca="1">IF(C1353="","",IF($L$11="ROA",[1]!S_STM07_IS(D1353,61,$G$5,$H$13)/[1]!S_STM07_BS(D1353,74,$G$5,$H$13),1-[1]!S_STM07_IS(D1353,61,$G$5,$H$13)/[1]!S_STM07_IS(D1353,55,$G$5,$H$13)))</f>
        <v/>
      </c>
      <c r="M1353" s="249" t="str">
        <f ca="1">IF(C1353="","",IF($M$11="ROE",[1]!S_STM07_IS(D1353,61,$G$5,$H$13)/[1]!S_STM07_BS(D1353,141,$G$5,$H$13),([1]!S_STM07_BS(D1353,25,$G$5,$H$13)-[1]!S_STM07_BS(D1353,93,$G$5,$H$13))/$E$5))</f>
        <v/>
      </c>
      <c r="N1353" s="250" t="str">
        <f ca="1">IF(C1353="","",IF($N$11="EPS",[1]!S_STM07_IS(D1353,61,$G$5,$H$13)/IF([1]!S_SHARE_TOTAL(D1353,$G$5)=0,[1]!S_SHARE_TOTAL(D1353,[1]!s_ipo_listeddate(D1353)),[1]!S_SHARE_TOTAL(D1353,$G$5)),([1]!S_STM07_BS(D1353,75,$G$5,$H$13)+[1]!S_STM07_BS(D1353,88,$G$5,$H$13)+[1]!S_STM07_BS(D1353,94,$G$5,$H$13)+[1]!S_STM07_BS(D1353,95,$G$5,$H$13))/$E$5))</f>
        <v/>
      </c>
      <c r="O1353" s="250" t="str">
        <f ca="1">IF(C1353="","",IF($O$11="BPS",[1]!S_STM07_BS(D1353,141,$G$5,$H$13)/IF([1]!S_SHARE_TOTAL(D1353,$G$5)=0,[1]!S_SHARE_TOTAL(D1353,[1]!s_ipo_listeddate(D1353)),[1]!S_SHARE_TOTAL(D1353,$G$5)),[1]!S_STM07_CS(D1353,49,$G$5,$H$13)/$E$5))</f>
        <v/>
      </c>
      <c r="P1353" s="250" t="str">
        <f ca="1">IF(C1353="","",IF($P$11="CFPS",[1]!S_STM07_CS(D1353,84,$G$5,$H$13)/IF([1]!S_SHARE_TOTAL(D1353,$G$5)=0,[1]!S_SHARE_TOTAL(D1353,[1]!s_ipo_listeddate(D1353)),[1]!S_SHARE_TOTAL(D1353,$G$5)),[1]!S_STM07_CS(D1353,84,$G$5,$H$13)/$E$5))</f>
        <v/>
      </c>
      <c r="Q1353" s="198" t="str">
        <f ca="1">IF(C1353="","",F1353/([1]!S_STM07_IS(D1353,61,$G$5,$H$13)/IF([1]!S_SHARE_TOTAL(D1353,$G$5)=0,[1]!S_SHARE_TOTAL(D1353,[1]!s_ipo_listeddate(D1353)),[1]!S_SHARE_TOTAL(D1353,$G$5))))</f>
        <v/>
      </c>
      <c r="R1353" s="198" t="str">
        <f ca="1">IF(C1353="","",F1353/([1]!S_STM07_BS(D1353,141,$G$5,$H$13)/IF([1]!S_SHARE_TOTAL(D1353,$G$5)=0,[1]!S_SHARE_TOTAL(D1353,[1]!s_ipo_listeddate(D1353)),[1]!S_SHARE_TOTAL(D1353,$G$5))))</f>
        <v/>
      </c>
      <c r="S1353" s="249" t="str">
        <f ca="1">IF(C1353="","",[1]!S_SHARE_TOTAL(D1353,TODAY())/$E$5)</f>
        <v/>
      </c>
      <c r="T1353" s="249" t="str">
        <f t="shared" ca="1" si="133"/>
        <v/>
      </c>
      <c r="U1353" s="172" t="str">
        <f t="shared" ca="1" si="134"/>
        <v/>
      </c>
      <c r="V1353" s="343" t="str">
        <f t="shared" ca="1" si="135"/>
        <v/>
      </c>
      <c r="W1353" s="139"/>
      <c r="Y1353" s="1"/>
    </row>
    <row r="1354" spans="3:25" ht="12" customHeight="1">
      <c r="C1354" s="342" t="str">
        <f t="shared" ca="1" si="130"/>
        <v/>
      </c>
      <c r="D1354" s="153" t="str">
        <f t="shared" ca="1" si="131"/>
        <v/>
      </c>
      <c r="E1354" s="153" t="str">
        <f t="shared" ca="1" si="132"/>
        <v/>
      </c>
      <c r="F1354" s="170" t="str">
        <f ca="1">IF(C1354="","",[1]!S_DQ_CLOSE(D1354,TODAY(),1))</f>
        <v/>
      </c>
      <c r="G1354" s="171" t="str">
        <f ca="1">IF(C1354="","",[1]!s_pq_pctchange(D1354,TODAY()-$G$12,TODAY())/100)</f>
        <v/>
      </c>
      <c r="H1354" s="247" t="str">
        <f ca="1">IF(C1354="","",IF($H$11="收入",[1]!S_STM07_IS(D1354,9,$G$5,$H$13)/$E$5,[1]!S_STM07_IS(D1354,48,$G$5,$H$13)/$E$5))</f>
        <v/>
      </c>
      <c r="I1354" s="247" t="str">
        <f ca="1">IF(C1354="","",IF($I$11="毛利率",([1]!S_STM07_IS(D1354,9,$G$5,$H$13)-[1]!S_STM07_IS(D1354,10,$G$5,$H$13))/[1]!S_STM07_IS(D1354,9,$G$5,$H$13),[1]!S_STM07_IS(D1354,14,$G$5,$H$13)/$E$5))</f>
        <v/>
      </c>
      <c r="J1354" s="247" t="str">
        <f ca="1">IF(C1354="","",IF($J$11="营业利润率",[1]!S_STM07_IS(D1354,48,$G$5,$H$13)/[1]!S_STM07_IS(D1354,9,$G$5,$H$13),([1]!S_STM07_CS(D1354,87,$G$5,$H$13)+[1]!S_STM07_CS(D1354,88,$G$5,$H$13)+[1]!S_STM07_CS(D1354,89,$G$5,$H$13))/$E$5))</f>
        <v/>
      </c>
      <c r="K1354" s="247" t="str">
        <f ca="1">IF(C1354="","",IF($K$11="净利润率",[1]!S_STM07_IS(D1354,61,$G$5,$H$13)/[1]!S_STM07_IS(D1354,9,$G$5,$H$13),[1]!S_STM07_IS(D1354,55,$G$5,$H$13)/$E$5))</f>
        <v/>
      </c>
      <c r="L1354" s="247" t="str">
        <f ca="1">IF(C1354="","",IF($L$11="ROA",[1]!S_STM07_IS(D1354,61,$G$5,$H$13)/[1]!S_STM07_BS(D1354,74,$G$5,$H$13),1-[1]!S_STM07_IS(D1354,61,$G$5,$H$13)/[1]!S_STM07_IS(D1354,55,$G$5,$H$13)))</f>
        <v/>
      </c>
      <c r="M1354" s="247" t="str">
        <f ca="1">IF(C1354="","",IF($M$11="ROE",[1]!S_STM07_IS(D1354,61,$G$5,$H$13)/[1]!S_STM07_BS(D1354,141,$G$5,$H$13),([1]!S_STM07_BS(D1354,25,$G$5,$H$13)-[1]!S_STM07_BS(D1354,93,$G$5,$H$13))/$E$5))</f>
        <v/>
      </c>
      <c r="N1354" s="247" t="str">
        <f ca="1">IF(C1354="","",IF($N$11="EPS",[1]!S_STM07_IS(D1354,61,$G$5,$H$13)/IF([1]!S_SHARE_TOTAL(D1354,$G$5)=0,[1]!S_SHARE_TOTAL(D1354,[1]!s_ipo_listeddate(D1354)),[1]!S_SHARE_TOTAL(D1354,$G$5)),([1]!S_STM07_BS(D1354,75,$G$5,$H$13)+[1]!S_STM07_BS(D1354,88,$G$5,$H$13)+[1]!S_STM07_BS(D1354,94,$G$5,$H$13)+[1]!S_STM07_BS(D1354,95,$G$5,$H$13))/$E$5))</f>
        <v/>
      </c>
      <c r="O1354" s="247" t="str">
        <f ca="1">IF(C1354="","",IF($O$11="BPS",[1]!S_STM07_BS(D1354,141,$G$5,$H$13)/IF([1]!S_SHARE_TOTAL(D1354,$G$5)=0,[1]!S_SHARE_TOTAL(D1354,[1]!s_ipo_listeddate(D1354)),[1]!S_SHARE_TOTAL(D1354,$G$5)),[1]!S_STM07_CS(D1354,49,$G$5,$H$13)/$E$5))</f>
        <v/>
      </c>
      <c r="P1354" s="247" t="str">
        <f ca="1">IF(C1354="","",IF($P$11="CFPS",[1]!S_STM07_CS(D1354,84,$G$5,$H$13)/IF([1]!S_SHARE_TOTAL(D1354,$G$5)=0,[1]!S_SHARE_TOTAL(D1354,[1]!s_ipo_listeddate(D1354)),[1]!S_SHARE_TOTAL(D1354,$G$5)),[1]!S_STM07_CS(D1354,84,$G$5,$H$13)/$E$5))</f>
        <v/>
      </c>
      <c r="Q1354" s="248" t="str">
        <f ca="1">IF(C1354="","",F1354/([1]!S_STM07_IS(D1354,61,$G$5,$H$13)/IF([1]!S_SHARE_TOTAL(D1354,$G$5)=0,[1]!S_SHARE_TOTAL(D1354,[1]!s_ipo_listeddate(D1354)),[1]!S_SHARE_TOTAL(D1354,$G$5))))</f>
        <v/>
      </c>
      <c r="R1354" s="248" t="str">
        <f ca="1">IF(C1354="","",F1354/([1]!S_STM07_BS(D1354,141,$G$5,$H$13)/IF([1]!S_SHARE_TOTAL(D1354,$G$5)=0,[1]!S_SHARE_TOTAL(D1354,[1]!s_ipo_listeddate(D1354)),[1]!S_SHARE_TOTAL(D1354,$G$5))))</f>
        <v/>
      </c>
      <c r="S1354" s="247" t="str">
        <f ca="1">IF(C1354="","",[1]!S_SHARE_TOTAL(D1354,TODAY())/$E$5)</f>
        <v/>
      </c>
      <c r="T1354" s="247" t="str">
        <f t="shared" ca="1" si="133"/>
        <v/>
      </c>
      <c r="U1354" s="218" t="str">
        <f t="shared" ca="1" si="134"/>
        <v/>
      </c>
      <c r="V1354" s="342" t="str">
        <f t="shared" ca="1" si="135"/>
        <v/>
      </c>
      <c r="W1354" s="139"/>
      <c r="Y1354" s="1"/>
    </row>
    <row r="1355" spans="3:25" ht="12" customHeight="1">
      <c r="C1355" s="343" t="str">
        <f t="shared" ca="1" si="130"/>
        <v/>
      </c>
      <c r="D1355" s="124" t="str">
        <f t="shared" ca="1" si="131"/>
        <v/>
      </c>
      <c r="E1355" s="124" t="str">
        <f t="shared" ca="1" si="132"/>
        <v/>
      </c>
      <c r="F1355" s="172" t="str">
        <f ca="1">IF(C1355="","",[1]!S_DQ_CLOSE(D1355,TODAY(),1))</f>
        <v/>
      </c>
      <c r="G1355" s="173" t="str">
        <f ca="1">IF(C1355="","",[1]!s_pq_pctchange(D1355,TODAY()-$G$12,TODAY())/100)</f>
        <v/>
      </c>
      <c r="H1355" s="249" t="str">
        <f ca="1">IF(C1355="","",IF($H$11="收入",[1]!S_STM07_IS(D1355,9,$G$5,$H$13)/$E$5,[1]!S_STM07_IS(D1355,48,$G$5,$H$13)/$E$5))</f>
        <v/>
      </c>
      <c r="I1355" s="249" t="str">
        <f ca="1">IF(C1355="","",IF($I$11="毛利率",([1]!S_STM07_IS(D1355,9,$G$5,$H$13)-[1]!S_STM07_IS(D1355,10,$G$5,$H$13))/[1]!S_STM07_IS(D1355,9,$G$5,$H$13),[1]!S_STM07_IS(D1355,14,$G$5,$H$13)/$E$5))</f>
        <v/>
      </c>
      <c r="J1355" s="249" t="str">
        <f ca="1">IF(C1355="","",IF($J$11="营业利润率",[1]!S_STM07_IS(D1355,48,$G$5,$H$13)/[1]!S_STM07_IS(D1355,9,$G$5,$H$13),([1]!S_STM07_CS(D1355,87,$G$5,$H$13)+[1]!S_STM07_CS(D1355,88,$G$5,$H$13)+[1]!S_STM07_CS(D1355,89,$G$5,$H$13))/$E$5))</f>
        <v/>
      </c>
      <c r="K1355" s="249" t="str">
        <f ca="1">IF(C1355="","",IF($K$11="净利润率",[1]!S_STM07_IS(D1355,61,$G$5,$H$13)/[1]!S_STM07_IS(D1355,9,$G$5,$H$13),[1]!S_STM07_IS(D1355,55,$G$5,$H$13)/$E$5))</f>
        <v/>
      </c>
      <c r="L1355" s="249" t="str">
        <f ca="1">IF(C1355="","",IF($L$11="ROA",[1]!S_STM07_IS(D1355,61,$G$5,$H$13)/[1]!S_STM07_BS(D1355,74,$G$5,$H$13),1-[1]!S_STM07_IS(D1355,61,$G$5,$H$13)/[1]!S_STM07_IS(D1355,55,$G$5,$H$13)))</f>
        <v/>
      </c>
      <c r="M1355" s="249" t="str">
        <f ca="1">IF(C1355="","",IF($M$11="ROE",[1]!S_STM07_IS(D1355,61,$G$5,$H$13)/[1]!S_STM07_BS(D1355,141,$G$5,$H$13),([1]!S_STM07_BS(D1355,25,$G$5,$H$13)-[1]!S_STM07_BS(D1355,93,$G$5,$H$13))/$E$5))</f>
        <v/>
      </c>
      <c r="N1355" s="250" t="str">
        <f ca="1">IF(C1355="","",IF($N$11="EPS",[1]!S_STM07_IS(D1355,61,$G$5,$H$13)/IF([1]!S_SHARE_TOTAL(D1355,$G$5)=0,[1]!S_SHARE_TOTAL(D1355,[1]!s_ipo_listeddate(D1355)),[1]!S_SHARE_TOTAL(D1355,$G$5)),([1]!S_STM07_BS(D1355,75,$G$5,$H$13)+[1]!S_STM07_BS(D1355,88,$G$5,$H$13)+[1]!S_STM07_BS(D1355,94,$G$5,$H$13)+[1]!S_STM07_BS(D1355,95,$G$5,$H$13))/$E$5))</f>
        <v/>
      </c>
      <c r="O1355" s="250" t="str">
        <f ca="1">IF(C1355="","",IF($O$11="BPS",[1]!S_STM07_BS(D1355,141,$G$5,$H$13)/IF([1]!S_SHARE_TOTAL(D1355,$G$5)=0,[1]!S_SHARE_TOTAL(D1355,[1]!s_ipo_listeddate(D1355)),[1]!S_SHARE_TOTAL(D1355,$G$5)),[1]!S_STM07_CS(D1355,49,$G$5,$H$13)/$E$5))</f>
        <v/>
      </c>
      <c r="P1355" s="250" t="str">
        <f ca="1">IF(C1355="","",IF($P$11="CFPS",[1]!S_STM07_CS(D1355,84,$G$5,$H$13)/IF([1]!S_SHARE_TOTAL(D1355,$G$5)=0,[1]!S_SHARE_TOTAL(D1355,[1]!s_ipo_listeddate(D1355)),[1]!S_SHARE_TOTAL(D1355,$G$5)),[1]!S_STM07_CS(D1355,84,$G$5,$H$13)/$E$5))</f>
        <v/>
      </c>
      <c r="Q1355" s="198" t="str">
        <f ca="1">IF(C1355="","",F1355/([1]!S_STM07_IS(D1355,61,$G$5,$H$13)/IF([1]!S_SHARE_TOTAL(D1355,$G$5)=0,[1]!S_SHARE_TOTAL(D1355,[1]!s_ipo_listeddate(D1355)),[1]!S_SHARE_TOTAL(D1355,$G$5))))</f>
        <v/>
      </c>
      <c r="R1355" s="198" t="str">
        <f ca="1">IF(C1355="","",F1355/([1]!S_STM07_BS(D1355,141,$G$5,$H$13)/IF([1]!S_SHARE_TOTAL(D1355,$G$5)=0,[1]!S_SHARE_TOTAL(D1355,[1]!s_ipo_listeddate(D1355)),[1]!S_SHARE_TOTAL(D1355,$G$5))))</f>
        <v/>
      </c>
      <c r="S1355" s="249" t="str">
        <f ca="1">IF(C1355="","",[1]!S_SHARE_TOTAL(D1355,TODAY())/$E$5)</f>
        <v/>
      </c>
      <c r="T1355" s="249" t="str">
        <f t="shared" ca="1" si="133"/>
        <v/>
      </c>
      <c r="U1355" s="172" t="str">
        <f t="shared" ca="1" si="134"/>
        <v/>
      </c>
      <c r="V1355" s="343" t="str">
        <f t="shared" ca="1" si="135"/>
        <v/>
      </c>
      <c r="W1355" s="139"/>
      <c r="Y1355" s="1"/>
    </row>
    <row r="1356" spans="3:25" ht="12" customHeight="1">
      <c r="C1356" s="342" t="str">
        <f t="shared" ca="1" si="130"/>
        <v/>
      </c>
      <c r="D1356" s="153" t="str">
        <f t="shared" ca="1" si="131"/>
        <v/>
      </c>
      <c r="E1356" s="153" t="str">
        <f t="shared" ca="1" si="132"/>
        <v/>
      </c>
      <c r="F1356" s="170" t="str">
        <f ca="1">IF(C1356="","",[1]!S_DQ_CLOSE(D1356,TODAY(),1))</f>
        <v/>
      </c>
      <c r="G1356" s="171" t="str">
        <f ca="1">IF(C1356="","",[1]!s_pq_pctchange(D1356,TODAY()-$G$12,TODAY())/100)</f>
        <v/>
      </c>
      <c r="H1356" s="247" t="str">
        <f ca="1">IF(C1356="","",IF($H$11="收入",[1]!S_STM07_IS(D1356,9,$G$5,$H$13)/$E$5,[1]!S_STM07_IS(D1356,48,$G$5,$H$13)/$E$5))</f>
        <v/>
      </c>
      <c r="I1356" s="247" t="str">
        <f ca="1">IF(C1356="","",IF($I$11="毛利率",([1]!S_STM07_IS(D1356,9,$G$5,$H$13)-[1]!S_STM07_IS(D1356,10,$G$5,$H$13))/[1]!S_STM07_IS(D1356,9,$G$5,$H$13),[1]!S_STM07_IS(D1356,14,$G$5,$H$13)/$E$5))</f>
        <v/>
      </c>
      <c r="J1356" s="247" t="str">
        <f ca="1">IF(C1356="","",IF($J$11="营业利润率",[1]!S_STM07_IS(D1356,48,$G$5,$H$13)/[1]!S_STM07_IS(D1356,9,$G$5,$H$13),([1]!S_STM07_CS(D1356,87,$G$5,$H$13)+[1]!S_STM07_CS(D1356,88,$G$5,$H$13)+[1]!S_STM07_CS(D1356,89,$G$5,$H$13))/$E$5))</f>
        <v/>
      </c>
      <c r="K1356" s="247" t="str">
        <f ca="1">IF(C1356="","",IF($K$11="净利润率",[1]!S_STM07_IS(D1356,61,$G$5,$H$13)/[1]!S_STM07_IS(D1356,9,$G$5,$H$13),[1]!S_STM07_IS(D1356,55,$G$5,$H$13)/$E$5))</f>
        <v/>
      </c>
      <c r="L1356" s="247" t="str">
        <f ca="1">IF(C1356="","",IF($L$11="ROA",[1]!S_STM07_IS(D1356,61,$G$5,$H$13)/[1]!S_STM07_BS(D1356,74,$G$5,$H$13),1-[1]!S_STM07_IS(D1356,61,$G$5,$H$13)/[1]!S_STM07_IS(D1356,55,$G$5,$H$13)))</f>
        <v/>
      </c>
      <c r="M1356" s="247" t="str">
        <f ca="1">IF(C1356="","",IF($M$11="ROE",[1]!S_STM07_IS(D1356,61,$G$5,$H$13)/[1]!S_STM07_BS(D1356,141,$G$5,$H$13),([1]!S_STM07_BS(D1356,25,$G$5,$H$13)-[1]!S_STM07_BS(D1356,93,$G$5,$H$13))/$E$5))</f>
        <v/>
      </c>
      <c r="N1356" s="247" t="str">
        <f ca="1">IF(C1356="","",IF($N$11="EPS",[1]!S_STM07_IS(D1356,61,$G$5,$H$13)/IF([1]!S_SHARE_TOTAL(D1356,$G$5)=0,[1]!S_SHARE_TOTAL(D1356,[1]!s_ipo_listeddate(D1356)),[1]!S_SHARE_TOTAL(D1356,$G$5)),([1]!S_STM07_BS(D1356,75,$G$5,$H$13)+[1]!S_STM07_BS(D1356,88,$G$5,$H$13)+[1]!S_STM07_BS(D1356,94,$G$5,$H$13)+[1]!S_STM07_BS(D1356,95,$G$5,$H$13))/$E$5))</f>
        <v/>
      </c>
      <c r="O1356" s="247" t="str">
        <f ca="1">IF(C1356="","",IF($O$11="BPS",[1]!S_STM07_BS(D1356,141,$G$5,$H$13)/IF([1]!S_SHARE_TOTAL(D1356,$G$5)=0,[1]!S_SHARE_TOTAL(D1356,[1]!s_ipo_listeddate(D1356)),[1]!S_SHARE_TOTAL(D1356,$G$5)),[1]!S_STM07_CS(D1356,49,$G$5,$H$13)/$E$5))</f>
        <v/>
      </c>
      <c r="P1356" s="247" t="str">
        <f ca="1">IF(C1356="","",IF($P$11="CFPS",[1]!S_STM07_CS(D1356,84,$G$5,$H$13)/IF([1]!S_SHARE_TOTAL(D1356,$G$5)=0,[1]!S_SHARE_TOTAL(D1356,[1]!s_ipo_listeddate(D1356)),[1]!S_SHARE_TOTAL(D1356,$G$5)),[1]!S_STM07_CS(D1356,84,$G$5,$H$13)/$E$5))</f>
        <v/>
      </c>
      <c r="Q1356" s="248" t="str">
        <f ca="1">IF(C1356="","",F1356/([1]!S_STM07_IS(D1356,61,$G$5,$H$13)/IF([1]!S_SHARE_TOTAL(D1356,$G$5)=0,[1]!S_SHARE_TOTAL(D1356,[1]!s_ipo_listeddate(D1356)),[1]!S_SHARE_TOTAL(D1356,$G$5))))</f>
        <v/>
      </c>
      <c r="R1356" s="248" t="str">
        <f ca="1">IF(C1356="","",F1356/([1]!S_STM07_BS(D1356,141,$G$5,$H$13)/IF([1]!S_SHARE_TOTAL(D1356,$G$5)=0,[1]!S_SHARE_TOTAL(D1356,[1]!s_ipo_listeddate(D1356)),[1]!S_SHARE_TOTAL(D1356,$G$5))))</f>
        <v/>
      </c>
      <c r="S1356" s="247" t="str">
        <f ca="1">IF(C1356="","",[1]!S_SHARE_TOTAL(D1356,TODAY())/$E$5)</f>
        <v/>
      </c>
      <c r="T1356" s="247" t="str">
        <f t="shared" ca="1" si="133"/>
        <v/>
      </c>
      <c r="U1356" s="218" t="str">
        <f t="shared" ca="1" si="134"/>
        <v/>
      </c>
      <c r="V1356" s="342" t="str">
        <f t="shared" ca="1" si="135"/>
        <v/>
      </c>
      <c r="W1356" s="139"/>
      <c r="Y1356" s="1"/>
    </row>
    <row r="1357" spans="3:25" ht="12" customHeight="1">
      <c r="C1357" s="343" t="str">
        <f t="shared" ca="1" si="130"/>
        <v/>
      </c>
      <c r="D1357" s="124" t="str">
        <f t="shared" ca="1" si="131"/>
        <v/>
      </c>
      <c r="E1357" s="124" t="str">
        <f t="shared" ca="1" si="132"/>
        <v/>
      </c>
      <c r="F1357" s="172" t="str">
        <f ca="1">IF(C1357="","",[1]!S_DQ_CLOSE(D1357,TODAY(),1))</f>
        <v/>
      </c>
      <c r="G1357" s="173" t="str">
        <f ca="1">IF(C1357="","",[1]!s_pq_pctchange(D1357,TODAY()-$G$12,TODAY())/100)</f>
        <v/>
      </c>
      <c r="H1357" s="249" t="str">
        <f ca="1">IF(C1357="","",IF($H$11="收入",[1]!S_STM07_IS(D1357,9,$G$5,$H$13)/$E$5,[1]!S_STM07_IS(D1357,48,$G$5,$H$13)/$E$5))</f>
        <v/>
      </c>
      <c r="I1357" s="249" t="str">
        <f ca="1">IF(C1357="","",IF($I$11="毛利率",([1]!S_STM07_IS(D1357,9,$G$5,$H$13)-[1]!S_STM07_IS(D1357,10,$G$5,$H$13))/[1]!S_STM07_IS(D1357,9,$G$5,$H$13),[1]!S_STM07_IS(D1357,14,$G$5,$H$13)/$E$5))</f>
        <v/>
      </c>
      <c r="J1357" s="249" t="str">
        <f ca="1">IF(C1357="","",IF($J$11="营业利润率",[1]!S_STM07_IS(D1357,48,$G$5,$H$13)/[1]!S_STM07_IS(D1357,9,$G$5,$H$13),([1]!S_STM07_CS(D1357,87,$G$5,$H$13)+[1]!S_STM07_CS(D1357,88,$G$5,$H$13)+[1]!S_STM07_CS(D1357,89,$G$5,$H$13))/$E$5))</f>
        <v/>
      </c>
      <c r="K1357" s="249" t="str">
        <f ca="1">IF(C1357="","",IF($K$11="净利润率",[1]!S_STM07_IS(D1357,61,$G$5,$H$13)/[1]!S_STM07_IS(D1357,9,$G$5,$H$13),[1]!S_STM07_IS(D1357,55,$G$5,$H$13)/$E$5))</f>
        <v/>
      </c>
      <c r="L1357" s="249" t="str">
        <f ca="1">IF(C1357="","",IF($L$11="ROA",[1]!S_STM07_IS(D1357,61,$G$5,$H$13)/[1]!S_STM07_BS(D1357,74,$G$5,$H$13),1-[1]!S_STM07_IS(D1357,61,$G$5,$H$13)/[1]!S_STM07_IS(D1357,55,$G$5,$H$13)))</f>
        <v/>
      </c>
      <c r="M1357" s="249" t="str">
        <f ca="1">IF(C1357="","",IF($M$11="ROE",[1]!S_STM07_IS(D1357,61,$G$5,$H$13)/[1]!S_STM07_BS(D1357,141,$G$5,$H$13),([1]!S_STM07_BS(D1357,25,$G$5,$H$13)-[1]!S_STM07_BS(D1357,93,$G$5,$H$13))/$E$5))</f>
        <v/>
      </c>
      <c r="N1357" s="250" t="str">
        <f ca="1">IF(C1357="","",IF($N$11="EPS",[1]!S_STM07_IS(D1357,61,$G$5,$H$13)/IF([1]!S_SHARE_TOTAL(D1357,$G$5)=0,[1]!S_SHARE_TOTAL(D1357,[1]!s_ipo_listeddate(D1357)),[1]!S_SHARE_TOTAL(D1357,$G$5)),([1]!S_STM07_BS(D1357,75,$G$5,$H$13)+[1]!S_STM07_BS(D1357,88,$G$5,$H$13)+[1]!S_STM07_BS(D1357,94,$G$5,$H$13)+[1]!S_STM07_BS(D1357,95,$G$5,$H$13))/$E$5))</f>
        <v/>
      </c>
      <c r="O1357" s="250" t="str">
        <f ca="1">IF(C1357="","",IF($O$11="BPS",[1]!S_STM07_BS(D1357,141,$G$5,$H$13)/IF([1]!S_SHARE_TOTAL(D1357,$G$5)=0,[1]!S_SHARE_TOTAL(D1357,[1]!s_ipo_listeddate(D1357)),[1]!S_SHARE_TOTAL(D1357,$G$5)),[1]!S_STM07_CS(D1357,49,$G$5,$H$13)/$E$5))</f>
        <v/>
      </c>
      <c r="P1357" s="250" t="str">
        <f ca="1">IF(C1357="","",IF($P$11="CFPS",[1]!S_STM07_CS(D1357,84,$G$5,$H$13)/IF([1]!S_SHARE_TOTAL(D1357,$G$5)=0,[1]!S_SHARE_TOTAL(D1357,[1]!s_ipo_listeddate(D1357)),[1]!S_SHARE_TOTAL(D1357,$G$5)),[1]!S_STM07_CS(D1357,84,$G$5,$H$13)/$E$5))</f>
        <v/>
      </c>
      <c r="Q1357" s="198" t="str">
        <f ca="1">IF(C1357="","",F1357/([1]!S_STM07_IS(D1357,61,$G$5,$H$13)/IF([1]!S_SHARE_TOTAL(D1357,$G$5)=0,[1]!S_SHARE_TOTAL(D1357,[1]!s_ipo_listeddate(D1357)),[1]!S_SHARE_TOTAL(D1357,$G$5))))</f>
        <v/>
      </c>
      <c r="R1357" s="198" t="str">
        <f ca="1">IF(C1357="","",F1357/([1]!S_STM07_BS(D1357,141,$G$5,$H$13)/IF([1]!S_SHARE_TOTAL(D1357,$G$5)=0,[1]!S_SHARE_TOTAL(D1357,[1]!s_ipo_listeddate(D1357)),[1]!S_SHARE_TOTAL(D1357,$G$5))))</f>
        <v/>
      </c>
      <c r="S1357" s="249" t="str">
        <f ca="1">IF(C1357="","",[1]!S_SHARE_TOTAL(D1357,TODAY())/$E$5)</f>
        <v/>
      </c>
      <c r="T1357" s="249" t="str">
        <f t="shared" ca="1" si="133"/>
        <v/>
      </c>
      <c r="U1357" s="172" t="str">
        <f t="shared" ca="1" si="134"/>
        <v/>
      </c>
      <c r="V1357" s="343" t="str">
        <f t="shared" ca="1" si="135"/>
        <v/>
      </c>
      <c r="W1357" s="139"/>
      <c r="Y1357" s="1"/>
    </row>
    <row r="1358" spans="3:25" ht="12" customHeight="1">
      <c r="C1358" s="342" t="str">
        <f t="shared" ref="C1358:C1421" ca="1" si="136">IF(ROW()-13&lt;=MAX(series),ROW()-13,"")</f>
        <v/>
      </c>
      <c r="D1358" s="153" t="str">
        <f t="shared" ca="1" si="131"/>
        <v/>
      </c>
      <c r="E1358" s="153" t="str">
        <f t="shared" ca="1" si="132"/>
        <v/>
      </c>
      <c r="F1358" s="170" t="str">
        <f ca="1">IF(C1358="","",[1]!S_DQ_CLOSE(D1358,TODAY(),1))</f>
        <v/>
      </c>
      <c r="G1358" s="171" t="str">
        <f ca="1">IF(C1358="","",[1]!s_pq_pctchange(D1358,TODAY()-$G$12,TODAY())/100)</f>
        <v/>
      </c>
      <c r="H1358" s="247" t="str">
        <f ca="1">IF(C1358="","",IF($H$11="收入",[1]!S_STM07_IS(D1358,9,$G$5,$H$13)/$E$5,[1]!S_STM07_IS(D1358,48,$G$5,$H$13)/$E$5))</f>
        <v/>
      </c>
      <c r="I1358" s="247" t="str">
        <f ca="1">IF(C1358="","",IF($I$11="毛利率",([1]!S_STM07_IS(D1358,9,$G$5,$H$13)-[1]!S_STM07_IS(D1358,10,$G$5,$H$13))/[1]!S_STM07_IS(D1358,9,$G$5,$H$13),[1]!S_STM07_IS(D1358,14,$G$5,$H$13)/$E$5))</f>
        <v/>
      </c>
      <c r="J1358" s="247" t="str">
        <f ca="1">IF(C1358="","",IF($J$11="营业利润率",[1]!S_STM07_IS(D1358,48,$G$5,$H$13)/[1]!S_STM07_IS(D1358,9,$G$5,$H$13),([1]!S_STM07_CS(D1358,87,$G$5,$H$13)+[1]!S_STM07_CS(D1358,88,$G$5,$H$13)+[1]!S_STM07_CS(D1358,89,$G$5,$H$13))/$E$5))</f>
        <v/>
      </c>
      <c r="K1358" s="247" t="str">
        <f ca="1">IF(C1358="","",IF($K$11="净利润率",[1]!S_STM07_IS(D1358,61,$G$5,$H$13)/[1]!S_STM07_IS(D1358,9,$G$5,$H$13),[1]!S_STM07_IS(D1358,55,$G$5,$H$13)/$E$5))</f>
        <v/>
      </c>
      <c r="L1358" s="247" t="str">
        <f ca="1">IF(C1358="","",IF($L$11="ROA",[1]!S_STM07_IS(D1358,61,$G$5,$H$13)/[1]!S_STM07_BS(D1358,74,$G$5,$H$13),1-[1]!S_STM07_IS(D1358,61,$G$5,$H$13)/[1]!S_STM07_IS(D1358,55,$G$5,$H$13)))</f>
        <v/>
      </c>
      <c r="M1358" s="247" t="str">
        <f ca="1">IF(C1358="","",IF($M$11="ROE",[1]!S_STM07_IS(D1358,61,$G$5,$H$13)/[1]!S_STM07_BS(D1358,141,$G$5,$H$13),([1]!S_STM07_BS(D1358,25,$G$5,$H$13)-[1]!S_STM07_BS(D1358,93,$G$5,$H$13))/$E$5))</f>
        <v/>
      </c>
      <c r="N1358" s="247" t="str">
        <f ca="1">IF(C1358="","",IF($N$11="EPS",[1]!S_STM07_IS(D1358,61,$G$5,$H$13)/IF([1]!S_SHARE_TOTAL(D1358,$G$5)=0,[1]!S_SHARE_TOTAL(D1358,[1]!s_ipo_listeddate(D1358)),[1]!S_SHARE_TOTAL(D1358,$G$5)),([1]!S_STM07_BS(D1358,75,$G$5,$H$13)+[1]!S_STM07_BS(D1358,88,$G$5,$H$13)+[1]!S_STM07_BS(D1358,94,$G$5,$H$13)+[1]!S_STM07_BS(D1358,95,$G$5,$H$13))/$E$5))</f>
        <v/>
      </c>
      <c r="O1358" s="247" t="str">
        <f ca="1">IF(C1358="","",IF($O$11="BPS",[1]!S_STM07_BS(D1358,141,$G$5,$H$13)/IF([1]!S_SHARE_TOTAL(D1358,$G$5)=0,[1]!S_SHARE_TOTAL(D1358,[1]!s_ipo_listeddate(D1358)),[1]!S_SHARE_TOTAL(D1358,$G$5)),[1]!S_STM07_CS(D1358,49,$G$5,$H$13)/$E$5))</f>
        <v/>
      </c>
      <c r="P1358" s="247" t="str">
        <f ca="1">IF(C1358="","",IF($P$11="CFPS",[1]!S_STM07_CS(D1358,84,$G$5,$H$13)/IF([1]!S_SHARE_TOTAL(D1358,$G$5)=0,[1]!S_SHARE_TOTAL(D1358,[1]!s_ipo_listeddate(D1358)),[1]!S_SHARE_TOTAL(D1358,$G$5)),[1]!S_STM07_CS(D1358,84,$G$5,$H$13)/$E$5))</f>
        <v/>
      </c>
      <c r="Q1358" s="248" t="str">
        <f ca="1">IF(C1358="","",F1358/([1]!S_STM07_IS(D1358,61,$G$5,$H$13)/IF([1]!S_SHARE_TOTAL(D1358,$G$5)=0,[1]!S_SHARE_TOTAL(D1358,[1]!s_ipo_listeddate(D1358)),[1]!S_SHARE_TOTAL(D1358,$G$5))))</f>
        <v/>
      </c>
      <c r="R1358" s="248" t="str">
        <f ca="1">IF(C1358="","",F1358/([1]!S_STM07_BS(D1358,141,$G$5,$H$13)/IF([1]!S_SHARE_TOTAL(D1358,$G$5)=0,[1]!S_SHARE_TOTAL(D1358,[1]!s_ipo_listeddate(D1358)),[1]!S_SHARE_TOTAL(D1358,$G$5))))</f>
        <v/>
      </c>
      <c r="S1358" s="247" t="str">
        <f ca="1">IF(C1358="","",[1]!S_SHARE_TOTAL(D1358,TODAY())/$E$5)</f>
        <v/>
      </c>
      <c r="T1358" s="247" t="str">
        <f t="shared" ca="1" si="133"/>
        <v/>
      </c>
      <c r="U1358" s="218" t="str">
        <f t="shared" ca="1" si="134"/>
        <v/>
      </c>
      <c r="V1358" s="342" t="str">
        <f t="shared" ca="1" si="135"/>
        <v/>
      </c>
      <c r="W1358" s="139"/>
      <c r="Y1358" s="1"/>
    </row>
    <row r="1359" spans="3:25" ht="12" customHeight="1">
      <c r="C1359" s="343" t="str">
        <f t="shared" ca="1" si="136"/>
        <v/>
      </c>
      <c r="D1359" s="124" t="str">
        <f t="shared" ca="1" si="131"/>
        <v/>
      </c>
      <c r="E1359" s="124" t="str">
        <f t="shared" ca="1" si="132"/>
        <v/>
      </c>
      <c r="F1359" s="172" t="str">
        <f ca="1">IF(C1359="","",[1]!S_DQ_CLOSE(D1359,TODAY(),1))</f>
        <v/>
      </c>
      <c r="G1359" s="173" t="str">
        <f ca="1">IF(C1359="","",[1]!s_pq_pctchange(D1359,TODAY()-$G$12,TODAY())/100)</f>
        <v/>
      </c>
      <c r="H1359" s="249" t="str">
        <f ca="1">IF(C1359="","",IF($H$11="收入",[1]!S_STM07_IS(D1359,9,$G$5,$H$13)/$E$5,[1]!S_STM07_IS(D1359,48,$G$5,$H$13)/$E$5))</f>
        <v/>
      </c>
      <c r="I1359" s="249" t="str">
        <f ca="1">IF(C1359="","",IF($I$11="毛利率",([1]!S_STM07_IS(D1359,9,$G$5,$H$13)-[1]!S_STM07_IS(D1359,10,$G$5,$H$13))/[1]!S_STM07_IS(D1359,9,$G$5,$H$13),[1]!S_STM07_IS(D1359,14,$G$5,$H$13)/$E$5))</f>
        <v/>
      </c>
      <c r="J1359" s="249" t="str">
        <f ca="1">IF(C1359="","",IF($J$11="营业利润率",[1]!S_STM07_IS(D1359,48,$G$5,$H$13)/[1]!S_STM07_IS(D1359,9,$G$5,$H$13),([1]!S_STM07_CS(D1359,87,$G$5,$H$13)+[1]!S_STM07_CS(D1359,88,$G$5,$H$13)+[1]!S_STM07_CS(D1359,89,$G$5,$H$13))/$E$5))</f>
        <v/>
      </c>
      <c r="K1359" s="249" t="str">
        <f ca="1">IF(C1359="","",IF($K$11="净利润率",[1]!S_STM07_IS(D1359,61,$G$5,$H$13)/[1]!S_STM07_IS(D1359,9,$G$5,$H$13),[1]!S_STM07_IS(D1359,55,$G$5,$H$13)/$E$5))</f>
        <v/>
      </c>
      <c r="L1359" s="249" t="str">
        <f ca="1">IF(C1359="","",IF($L$11="ROA",[1]!S_STM07_IS(D1359,61,$G$5,$H$13)/[1]!S_STM07_BS(D1359,74,$G$5,$H$13),1-[1]!S_STM07_IS(D1359,61,$G$5,$H$13)/[1]!S_STM07_IS(D1359,55,$G$5,$H$13)))</f>
        <v/>
      </c>
      <c r="M1359" s="249" t="str">
        <f ca="1">IF(C1359="","",IF($M$11="ROE",[1]!S_STM07_IS(D1359,61,$G$5,$H$13)/[1]!S_STM07_BS(D1359,141,$G$5,$H$13),([1]!S_STM07_BS(D1359,25,$G$5,$H$13)-[1]!S_STM07_BS(D1359,93,$G$5,$H$13))/$E$5))</f>
        <v/>
      </c>
      <c r="N1359" s="250" t="str">
        <f ca="1">IF(C1359="","",IF($N$11="EPS",[1]!S_STM07_IS(D1359,61,$G$5,$H$13)/IF([1]!S_SHARE_TOTAL(D1359,$G$5)=0,[1]!S_SHARE_TOTAL(D1359,[1]!s_ipo_listeddate(D1359)),[1]!S_SHARE_TOTAL(D1359,$G$5)),([1]!S_STM07_BS(D1359,75,$G$5,$H$13)+[1]!S_STM07_BS(D1359,88,$G$5,$H$13)+[1]!S_STM07_BS(D1359,94,$G$5,$H$13)+[1]!S_STM07_BS(D1359,95,$G$5,$H$13))/$E$5))</f>
        <v/>
      </c>
      <c r="O1359" s="250" t="str">
        <f ca="1">IF(C1359="","",IF($O$11="BPS",[1]!S_STM07_BS(D1359,141,$G$5,$H$13)/IF([1]!S_SHARE_TOTAL(D1359,$G$5)=0,[1]!S_SHARE_TOTAL(D1359,[1]!s_ipo_listeddate(D1359)),[1]!S_SHARE_TOTAL(D1359,$G$5)),[1]!S_STM07_CS(D1359,49,$G$5,$H$13)/$E$5))</f>
        <v/>
      </c>
      <c r="P1359" s="250" t="str">
        <f ca="1">IF(C1359="","",IF($P$11="CFPS",[1]!S_STM07_CS(D1359,84,$G$5,$H$13)/IF([1]!S_SHARE_TOTAL(D1359,$G$5)=0,[1]!S_SHARE_TOTAL(D1359,[1]!s_ipo_listeddate(D1359)),[1]!S_SHARE_TOTAL(D1359,$G$5)),[1]!S_STM07_CS(D1359,84,$G$5,$H$13)/$E$5))</f>
        <v/>
      </c>
      <c r="Q1359" s="198" t="str">
        <f ca="1">IF(C1359="","",F1359/([1]!S_STM07_IS(D1359,61,$G$5,$H$13)/IF([1]!S_SHARE_TOTAL(D1359,$G$5)=0,[1]!S_SHARE_TOTAL(D1359,[1]!s_ipo_listeddate(D1359)),[1]!S_SHARE_TOTAL(D1359,$G$5))))</f>
        <v/>
      </c>
      <c r="R1359" s="198" t="str">
        <f ca="1">IF(C1359="","",F1359/([1]!S_STM07_BS(D1359,141,$G$5,$H$13)/IF([1]!S_SHARE_TOTAL(D1359,$G$5)=0,[1]!S_SHARE_TOTAL(D1359,[1]!s_ipo_listeddate(D1359)),[1]!S_SHARE_TOTAL(D1359,$G$5))))</f>
        <v/>
      </c>
      <c r="S1359" s="249" t="str">
        <f ca="1">IF(C1359="","",[1]!S_SHARE_TOTAL(D1359,TODAY())/$E$5)</f>
        <v/>
      </c>
      <c r="T1359" s="249" t="str">
        <f t="shared" ca="1" si="133"/>
        <v/>
      </c>
      <c r="U1359" s="172" t="str">
        <f t="shared" ca="1" si="134"/>
        <v/>
      </c>
      <c r="V1359" s="343" t="str">
        <f t="shared" ca="1" si="135"/>
        <v/>
      </c>
      <c r="W1359" s="139"/>
      <c r="Y1359" s="1"/>
    </row>
    <row r="1360" spans="3:25" ht="12" customHeight="1">
      <c r="C1360" s="342" t="str">
        <f t="shared" ca="1" si="136"/>
        <v/>
      </c>
      <c r="D1360" s="153" t="str">
        <f t="shared" ca="1" si="131"/>
        <v/>
      </c>
      <c r="E1360" s="153" t="str">
        <f t="shared" ca="1" si="132"/>
        <v/>
      </c>
      <c r="F1360" s="170" t="str">
        <f ca="1">IF(C1360="","",[1]!S_DQ_CLOSE(D1360,TODAY(),1))</f>
        <v/>
      </c>
      <c r="G1360" s="171" t="str">
        <f ca="1">IF(C1360="","",[1]!s_pq_pctchange(D1360,TODAY()-$G$12,TODAY())/100)</f>
        <v/>
      </c>
      <c r="H1360" s="247" t="str">
        <f ca="1">IF(C1360="","",IF($H$11="收入",[1]!S_STM07_IS(D1360,9,$G$5,$H$13)/$E$5,[1]!S_STM07_IS(D1360,48,$G$5,$H$13)/$E$5))</f>
        <v/>
      </c>
      <c r="I1360" s="247" t="str">
        <f ca="1">IF(C1360="","",IF($I$11="毛利率",([1]!S_STM07_IS(D1360,9,$G$5,$H$13)-[1]!S_STM07_IS(D1360,10,$G$5,$H$13))/[1]!S_STM07_IS(D1360,9,$G$5,$H$13),[1]!S_STM07_IS(D1360,14,$G$5,$H$13)/$E$5))</f>
        <v/>
      </c>
      <c r="J1360" s="247" t="str">
        <f ca="1">IF(C1360="","",IF($J$11="营业利润率",[1]!S_STM07_IS(D1360,48,$G$5,$H$13)/[1]!S_STM07_IS(D1360,9,$G$5,$H$13),([1]!S_STM07_CS(D1360,87,$G$5,$H$13)+[1]!S_STM07_CS(D1360,88,$G$5,$H$13)+[1]!S_STM07_CS(D1360,89,$G$5,$H$13))/$E$5))</f>
        <v/>
      </c>
      <c r="K1360" s="247" t="str">
        <f ca="1">IF(C1360="","",IF($K$11="净利润率",[1]!S_STM07_IS(D1360,61,$G$5,$H$13)/[1]!S_STM07_IS(D1360,9,$G$5,$H$13),[1]!S_STM07_IS(D1360,55,$G$5,$H$13)/$E$5))</f>
        <v/>
      </c>
      <c r="L1360" s="247" t="str">
        <f ca="1">IF(C1360="","",IF($L$11="ROA",[1]!S_STM07_IS(D1360,61,$G$5,$H$13)/[1]!S_STM07_BS(D1360,74,$G$5,$H$13),1-[1]!S_STM07_IS(D1360,61,$G$5,$H$13)/[1]!S_STM07_IS(D1360,55,$G$5,$H$13)))</f>
        <v/>
      </c>
      <c r="M1360" s="247" t="str">
        <f ca="1">IF(C1360="","",IF($M$11="ROE",[1]!S_STM07_IS(D1360,61,$G$5,$H$13)/[1]!S_STM07_BS(D1360,141,$G$5,$H$13),([1]!S_STM07_BS(D1360,25,$G$5,$H$13)-[1]!S_STM07_BS(D1360,93,$G$5,$H$13))/$E$5))</f>
        <v/>
      </c>
      <c r="N1360" s="247" t="str">
        <f ca="1">IF(C1360="","",IF($N$11="EPS",[1]!S_STM07_IS(D1360,61,$G$5,$H$13)/IF([1]!S_SHARE_TOTAL(D1360,$G$5)=0,[1]!S_SHARE_TOTAL(D1360,[1]!s_ipo_listeddate(D1360)),[1]!S_SHARE_TOTAL(D1360,$G$5)),([1]!S_STM07_BS(D1360,75,$G$5,$H$13)+[1]!S_STM07_BS(D1360,88,$G$5,$H$13)+[1]!S_STM07_BS(D1360,94,$G$5,$H$13)+[1]!S_STM07_BS(D1360,95,$G$5,$H$13))/$E$5))</f>
        <v/>
      </c>
      <c r="O1360" s="247" t="str">
        <f ca="1">IF(C1360="","",IF($O$11="BPS",[1]!S_STM07_BS(D1360,141,$G$5,$H$13)/IF([1]!S_SHARE_TOTAL(D1360,$G$5)=0,[1]!S_SHARE_TOTAL(D1360,[1]!s_ipo_listeddate(D1360)),[1]!S_SHARE_TOTAL(D1360,$G$5)),[1]!S_STM07_CS(D1360,49,$G$5,$H$13)/$E$5))</f>
        <v/>
      </c>
      <c r="P1360" s="247" t="str">
        <f ca="1">IF(C1360="","",IF($P$11="CFPS",[1]!S_STM07_CS(D1360,84,$G$5,$H$13)/IF([1]!S_SHARE_TOTAL(D1360,$G$5)=0,[1]!S_SHARE_TOTAL(D1360,[1]!s_ipo_listeddate(D1360)),[1]!S_SHARE_TOTAL(D1360,$G$5)),[1]!S_STM07_CS(D1360,84,$G$5,$H$13)/$E$5))</f>
        <v/>
      </c>
      <c r="Q1360" s="248" t="str">
        <f ca="1">IF(C1360="","",F1360/([1]!S_STM07_IS(D1360,61,$G$5,$H$13)/IF([1]!S_SHARE_TOTAL(D1360,$G$5)=0,[1]!S_SHARE_TOTAL(D1360,[1]!s_ipo_listeddate(D1360)),[1]!S_SHARE_TOTAL(D1360,$G$5))))</f>
        <v/>
      </c>
      <c r="R1360" s="248" t="str">
        <f ca="1">IF(C1360="","",F1360/([1]!S_STM07_BS(D1360,141,$G$5,$H$13)/IF([1]!S_SHARE_TOTAL(D1360,$G$5)=0,[1]!S_SHARE_TOTAL(D1360,[1]!s_ipo_listeddate(D1360)),[1]!S_SHARE_TOTAL(D1360,$G$5))))</f>
        <v/>
      </c>
      <c r="S1360" s="247" t="str">
        <f ca="1">IF(C1360="","",[1]!S_SHARE_TOTAL(D1360,TODAY())/$E$5)</f>
        <v/>
      </c>
      <c r="T1360" s="247" t="str">
        <f t="shared" ca="1" si="133"/>
        <v/>
      </c>
      <c r="U1360" s="218" t="str">
        <f t="shared" ca="1" si="134"/>
        <v/>
      </c>
      <c r="V1360" s="342" t="str">
        <f t="shared" ca="1" si="135"/>
        <v/>
      </c>
      <c r="W1360" s="139"/>
      <c r="Y1360" s="1"/>
    </row>
    <row r="1361" spans="3:25" ht="12" customHeight="1">
      <c r="C1361" s="343" t="str">
        <f t="shared" ca="1" si="136"/>
        <v/>
      </c>
      <c r="D1361" s="124" t="str">
        <f t="shared" ca="1" si="131"/>
        <v/>
      </c>
      <c r="E1361" s="124" t="str">
        <f t="shared" ca="1" si="132"/>
        <v/>
      </c>
      <c r="F1361" s="172" t="str">
        <f ca="1">IF(C1361="","",[1]!S_DQ_CLOSE(D1361,TODAY(),1))</f>
        <v/>
      </c>
      <c r="G1361" s="173" t="str">
        <f ca="1">IF(C1361="","",[1]!s_pq_pctchange(D1361,TODAY()-$G$12,TODAY())/100)</f>
        <v/>
      </c>
      <c r="H1361" s="249" t="str">
        <f ca="1">IF(C1361="","",IF($H$11="收入",[1]!S_STM07_IS(D1361,9,$G$5,$H$13)/$E$5,[1]!S_STM07_IS(D1361,48,$G$5,$H$13)/$E$5))</f>
        <v/>
      </c>
      <c r="I1361" s="249" t="str">
        <f ca="1">IF(C1361="","",IF($I$11="毛利率",([1]!S_STM07_IS(D1361,9,$G$5,$H$13)-[1]!S_STM07_IS(D1361,10,$G$5,$H$13))/[1]!S_STM07_IS(D1361,9,$G$5,$H$13),[1]!S_STM07_IS(D1361,14,$G$5,$H$13)/$E$5))</f>
        <v/>
      </c>
      <c r="J1361" s="249" t="str">
        <f ca="1">IF(C1361="","",IF($J$11="营业利润率",[1]!S_STM07_IS(D1361,48,$G$5,$H$13)/[1]!S_STM07_IS(D1361,9,$G$5,$H$13),([1]!S_STM07_CS(D1361,87,$G$5,$H$13)+[1]!S_STM07_CS(D1361,88,$G$5,$H$13)+[1]!S_STM07_CS(D1361,89,$G$5,$H$13))/$E$5))</f>
        <v/>
      </c>
      <c r="K1361" s="249" t="str">
        <f ca="1">IF(C1361="","",IF($K$11="净利润率",[1]!S_STM07_IS(D1361,61,$G$5,$H$13)/[1]!S_STM07_IS(D1361,9,$G$5,$H$13),[1]!S_STM07_IS(D1361,55,$G$5,$H$13)/$E$5))</f>
        <v/>
      </c>
      <c r="L1361" s="249" t="str">
        <f ca="1">IF(C1361="","",IF($L$11="ROA",[1]!S_STM07_IS(D1361,61,$G$5,$H$13)/[1]!S_STM07_BS(D1361,74,$G$5,$H$13),1-[1]!S_STM07_IS(D1361,61,$G$5,$H$13)/[1]!S_STM07_IS(D1361,55,$G$5,$H$13)))</f>
        <v/>
      </c>
      <c r="M1361" s="249" t="str">
        <f ca="1">IF(C1361="","",IF($M$11="ROE",[1]!S_STM07_IS(D1361,61,$G$5,$H$13)/[1]!S_STM07_BS(D1361,141,$G$5,$H$13),([1]!S_STM07_BS(D1361,25,$G$5,$H$13)-[1]!S_STM07_BS(D1361,93,$G$5,$H$13))/$E$5))</f>
        <v/>
      </c>
      <c r="N1361" s="250" t="str">
        <f ca="1">IF(C1361="","",IF($N$11="EPS",[1]!S_STM07_IS(D1361,61,$G$5,$H$13)/IF([1]!S_SHARE_TOTAL(D1361,$G$5)=0,[1]!S_SHARE_TOTAL(D1361,[1]!s_ipo_listeddate(D1361)),[1]!S_SHARE_TOTAL(D1361,$G$5)),([1]!S_STM07_BS(D1361,75,$G$5,$H$13)+[1]!S_STM07_BS(D1361,88,$G$5,$H$13)+[1]!S_STM07_BS(D1361,94,$G$5,$H$13)+[1]!S_STM07_BS(D1361,95,$G$5,$H$13))/$E$5))</f>
        <v/>
      </c>
      <c r="O1361" s="250" t="str">
        <f ca="1">IF(C1361="","",IF($O$11="BPS",[1]!S_STM07_BS(D1361,141,$G$5,$H$13)/IF([1]!S_SHARE_TOTAL(D1361,$G$5)=0,[1]!S_SHARE_TOTAL(D1361,[1]!s_ipo_listeddate(D1361)),[1]!S_SHARE_TOTAL(D1361,$G$5)),[1]!S_STM07_CS(D1361,49,$G$5,$H$13)/$E$5))</f>
        <v/>
      </c>
      <c r="P1361" s="250" t="str">
        <f ca="1">IF(C1361="","",IF($P$11="CFPS",[1]!S_STM07_CS(D1361,84,$G$5,$H$13)/IF([1]!S_SHARE_TOTAL(D1361,$G$5)=0,[1]!S_SHARE_TOTAL(D1361,[1]!s_ipo_listeddate(D1361)),[1]!S_SHARE_TOTAL(D1361,$G$5)),[1]!S_STM07_CS(D1361,84,$G$5,$H$13)/$E$5))</f>
        <v/>
      </c>
      <c r="Q1361" s="198" t="str">
        <f ca="1">IF(C1361="","",F1361/([1]!S_STM07_IS(D1361,61,$G$5,$H$13)/IF([1]!S_SHARE_TOTAL(D1361,$G$5)=0,[1]!S_SHARE_TOTAL(D1361,[1]!s_ipo_listeddate(D1361)),[1]!S_SHARE_TOTAL(D1361,$G$5))))</f>
        <v/>
      </c>
      <c r="R1361" s="198" t="str">
        <f ca="1">IF(C1361="","",F1361/([1]!S_STM07_BS(D1361,141,$G$5,$H$13)/IF([1]!S_SHARE_TOTAL(D1361,$G$5)=0,[1]!S_SHARE_TOTAL(D1361,[1]!s_ipo_listeddate(D1361)),[1]!S_SHARE_TOTAL(D1361,$G$5))))</f>
        <v/>
      </c>
      <c r="S1361" s="249" t="str">
        <f ca="1">IF(C1361="","",[1]!S_SHARE_TOTAL(D1361,TODAY())/$E$5)</f>
        <v/>
      </c>
      <c r="T1361" s="249" t="str">
        <f t="shared" ca="1" si="133"/>
        <v/>
      </c>
      <c r="U1361" s="172" t="str">
        <f t="shared" ca="1" si="134"/>
        <v/>
      </c>
      <c r="V1361" s="343" t="str">
        <f t="shared" ca="1" si="135"/>
        <v/>
      </c>
      <c r="W1361" s="139"/>
      <c r="Y1361" s="1"/>
    </row>
    <row r="1362" spans="3:25" ht="12" customHeight="1">
      <c r="C1362" s="342" t="str">
        <f t="shared" ca="1" si="136"/>
        <v/>
      </c>
      <c r="D1362" s="153" t="str">
        <f t="shared" ca="1" si="131"/>
        <v/>
      </c>
      <c r="E1362" s="153" t="str">
        <f t="shared" ca="1" si="132"/>
        <v/>
      </c>
      <c r="F1362" s="170" t="str">
        <f ca="1">IF(C1362="","",[1]!S_DQ_CLOSE(D1362,TODAY(),1))</f>
        <v/>
      </c>
      <c r="G1362" s="171" t="str">
        <f ca="1">IF(C1362="","",[1]!s_pq_pctchange(D1362,TODAY()-$G$12,TODAY())/100)</f>
        <v/>
      </c>
      <c r="H1362" s="247" t="str">
        <f ca="1">IF(C1362="","",IF($H$11="收入",[1]!S_STM07_IS(D1362,9,$G$5,$H$13)/$E$5,[1]!S_STM07_IS(D1362,48,$G$5,$H$13)/$E$5))</f>
        <v/>
      </c>
      <c r="I1362" s="247" t="str">
        <f ca="1">IF(C1362="","",IF($I$11="毛利率",([1]!S_STM07_IS(D1362,9,$G$5,$H$13)-[1]!S_STM07_IS(D1362,10,$G$5,$H$13))/[1]!S_STM07_IS(D1362,9,$G$5,$H$13),[1]!S_STM07_IS(D1362,14,$G$5,$H$13)/$E$5))</f>
        <v/>
      </c>
      <c r="J1362" s="247" t="str">
        <f ca="1">IF(C1362="","",IF($J$11="营业利润率",[1]!S_STM07_IS(D1362,48,$G$5,$H$13)/[1]!S_STM07_IS(D1362,9,$G$5,$H$13),([1]!S_STM07_CS(D1362,87,$G$5,$H$13)+[1]!S_STM07_CS(D1362,88,$G$5,$H$13)+[1]!S_STM07_CS(D1362,89,$G$5,$H$13))/$E$5))</f>
        <v/>
      </c>
      <c r="K1362" s="247" t="str">
        <f ca="1">IF(C1362="","",IF($K$11="净利润率",[1]!S_STM07_IS(D1362,61,$G$5,$H$13)/[1]!S_STM07_IS(D1362,9,$G$5,$H$13),[1]!S_STM07_IS(D1362,55,$G$5,$H$13)/$E$5))</f>
        <v/>
      </c>
      <c r="L1362" s="247" t="str">
        <f ca="1">IF(C1362="","",IF($L$11="ROA",[1]!S_STM07_IS(D1362,61,$G$5,$H$13)/[1]!S_STM07_BS(D1362,74,$G$5,$H$13),1-[1]!S_STM07_IS(D1362,61,$G$5,$H$13)/[1]!S_STM07_IS(D1362,55,$G$5,$H$13)))</f>
        <v/>
      </c>
      <c r="M1362" s="247" t="str">
        <f ca="1">IF(C1362="","",IF($M$11="ROE",[1]!S_STM07_IS(D1362,61,$G$5,$H$13)/[1]!S_STM07_BS(D1362,141,$G$5,$H$13),([1]!S_STM07_BS(D1362,25,$G$5,$H$13)-[1]!S_STM07_BS(D1362,93,$G$5,$H$13))/$E$5))</f>
        <v/>
      </c>
      <c r="N1362" s="247" t="str">
        <f ca="1">IF(C1362="","",IF($N$11="EPS",[1]!S_STM07_IS(D1362,61,$G$5,$H$13)/IF([1]!S_SHARE_TOTAL(D1362,$G$5)=0,[1]!S_SHARE_TOTAL(D1362,[1]!s_ipo_listeddate(D1362)),[1]!S_SHARE_TOTAL(D1362,$G$5)),([1]!S_STM07_BS(D1362,75,$G$5,$H$13)+[1]!S_STM07_BS(D1362,88,$G$5,$H$13)+[1]!S_STM07_BS(D1362,94,$G$5,$H$13)+[1]!S_STM07_BS(D1362,95,$G$5,$H$13))/$E$5))</f>
        <v/>
      </c>
      <c r="O1362" s="247" t="str">
        <f ca="1">IF(C1362="","",IF($O$11="BPS",[1]!S_STM07_BS(D1362,141,$G$5,$H$13)/IF([1]!S_SHARE_TOTAL(D1362,$G$5)=0,[1]!S_SHARE_TOTAL(D1362,[1]!s_ipo_listeddate(D1362)),[1]!S_SHARE_TOTAL(D1362,$G$5)),[1]!S_STM07_CS(D1362,49,$G$5,$H$13)/$E$5))</f>
        <v/>
      </c>
      <c r="P1362" s="247" t="str">
        <f ca="1">IF(C1362="","",IF($P$11="CFPS",[1]!S_STM07_CS(D1362,84,$G$5,$H$13)/IF([1]!S_SHARE_TOTAL(D1362,$G$5)=0,[1]!S_SHARE_TOTAL(D1362,[1]!s_ipo_listeddate(D1362)),[1]!S_SHARE_TOTAL(D1362,$G$5)),[1]!S_STM07_CS(D1362,84,$G$5,$H$13)/$E$5))</f>
        <v/>
      </c>
      <c r="Q1362" s="248" t="str">
        <f ca="1">IF(C1362="","",F1362/([1]!S_STM07_IS(D1362,61,$G$5,$H$13)/IF([1]!S_SHARE_TOTAL(D1362,$G$5)=0,[1]!S_SHARE_TOTAL(D1362,[1]!s_ipo_listeddate(D1362)),[1]!S_SHARE_TOTAL(D1362,$G$5))))</f>
        <v/>
      </c>
      <c r="R1362" s="248" t="str">
        <f ca="1">IF(C1362="","",F1362/([1]!S_STM07_BS(D1362,141,$G$5,$H$13)/IF([1]!S_SHARE_TOTAL(D1362,$G$5)=0,[1]!S_SHARE_TOTAL(D1362,[1]!s_ipo_listeddate(D1362)),[1]!S_SHARE_TOTAL(D1362,$G$5))))</f>
        <v/>
      </c>
      <c r="S1362" s="247" t="str">
        <f ca="1">IF(C1362="","",[1]!S_SHARE_TOTAL(D1362,TODAY())/$E$5)</f>
        <v/>
      </c>
      <c r="T1362" s="247" t="str">
        <f t="shared" ca="1" si="133"/>
        <v/>
      </c>
      <c r="U1362" s="218" t="str">
        <f t="shared" ca="1" si="134"/>
        <v/>
      </c>
      <c r="V1362" s="342" t="str">
        <f t="shared" ca="1" si="135"/>
        <v/>
      </c>
      <c r="W1362" s="139"/>
      <c r="Y1362" s="1"/>
    </row>
    <row r="1363" spans="3:25" ht="12" customHeight="1">
      <c r="C1363" s="343" t="str">
        <f t="shared" ca="1" si="136"/>
        <v/>
      </c>
      <c r="D1363" s="124" t="str">
        <f t="shared" ca="1" si="131"/>
        <v/>
      </c>
      <c r="E1363" s="124" t="str">
        <f t="shared" ca="1" si="132"/>
        <v/>
      </c>
      <c r="F1363" s="172" t="str">
        <f ca="1">IF(C1363="","",[1]!S_DQ_CLOSE(D1363,TODAY(),1))</f>
        <v/>
      </c>
      <c r="G1363" s="173" t="str">
        <f ca="1">IF(C1363="","",[1]!s_pq_pctchange(D1363,TODAY()-$G$12,TODAY())/100)</f>
        <v/>
      </c>
      <c r="H1363" s="249" t="str">
        <f ca="1">IF(C1363="","",IF($H$11="收入",[1]!S_STM07_IS(D1363,9,$G$5,$H$13)/$E$5,[1]!S_STM07_IS(D1363,48,$G$5,$H$13)/$E$5))</f>
        <v/>
      </c>
      <c r="I1363" s="249" t="str">
        <f ca="1">IF(C1363="","",IF($I$11="毛利率",([1]!S_STM07_IS(D1363,9,$G$5,$H$13)-[1]!S_STM07_IS(D1363,10,$G$5,$H$13))/[1]!S_STM07_IS(D1363,9,$G$5,$H$13),[1]!S_STM07_IS(D1363,14,$G$5,$H$13)/$E$5))</f>
        <v/>
      </c>
      <c r="J1363" s="249" t="str">
        <f ca="1">IF(C1363="","",IF($J$11="营业利润率",[1]!S_STM07_IS(D1363,48,$G$5,$H$13)/[1]!S_STM07_IS(D1363,9,$G$5,$H$13),([1]!S_STM07_CS(D1363,87,$G$5,$H$13)+[1]!S_STM07_CS(D1363,88,$G$5,$H$13)+[1]!S_STM07_CS(D1363,89,$G$5,$H$13))/$E$5))</f>
        <v/>
      </c>
      <c r="K1363" s="249" t="str">
        <f ca="1">IF(C1363="","",IF($K$11="净利润率",[1]!S_STM07_IS(D1363,61,$G$5,$H$13)/[1]!S_STM07_IS(D1363,9,$G$5,$H$13),[1]!S_STM07_IS(D1363,55,$G$5,$H$13)/$E$5))</f>
        <v/>
      </c>
      <c r="L1363" s="249" t="str">
        <f ca="1">IF(C1363="","",IF($L$11="ROA",[1]!S_STM07_IS(D1363,61,$G$5,$H$13)/[1]!S_STM07_BS(D1363,74,$G$5,$H$13),1-[1]!S_STM07_IS(D1363,61,$G$5,$H$13)/[1]!S_STM07_IS(D1363,55,$G$5,$H$13)))</f>
        <v/>
      </c>
      <c r="M1363" s="249" t="str">
        <f ca="1">IF(C1363="","",IF($M$11="ROE",[1]!S_STM07_IS(D1363,61,$G$5,$H$13)/[1]!S_STM07_BS(D1363,141,$G$5,$H$13),([1]!S_STM07_BS(D1363,25,$G$5,$H$13)-[1]!S_STM07_BS(D1363,93,$G$5,$H$13))/$E$5))</f>
        <v/>
      </c>
      <c r="N1363" s="250" t="str">
        <f ca="1">IF(C1363="","",IF($N$11="EPS",[1]!S_STM07_IS(D1363,61,$G$5,$H$13)/IF([1]!S_SHARE_TOTAL(D1363,$G$5)=0,[1]!S_SHARE_TOTAL(D1363,[1]!s_ipo_listeddate(D1363)),[1]!S_SHARE_TOTAL(D1363,$G$5)),([1]!S_STM07_BS(D1363,75,$G$5,$H$13)+[1]!S_STM07_BS(D1363,88,$G$5,$H$13)+[1]!S_STM07_BS(D1363,94,$G$5,$H$13)+[1]!S_STM07_BS(D1363,95,$G$5,$H$13))/$E$5))</f>
        <v/>
      </c>
      <c r="O1363" s="250" t="str">
        <f ca="1">IF(C1363="","",IF($O$11="BPS",[1]!S_STM07_BS(D1363,141,$G$5,$H$13)/IF([1]!S_SHARE_TOTAL(D1363,$G$5)=0,[1]!S_SHARE_TOTAL(D1363,[1]!s_ipo_listeddate(D1363)),[1]!S_SHARE_TOTAL(D1363,$G$5)),[1]!S_STM07_CS(D1363,49,$G$5,$H$13)/$E$5))</f>
        <v/>
      </c>
      <c r="P1363" s="250" t="str">
        <f ca="1">IF(C1363="","",IF($P$11="CFPS",[1]!S_STM07_CS(D1363,84,$G$5,$H$13)/IF([1]!S_SHARE_TOTAL(D1363,$G$5)=0,[1]!S_SHARE_TOTAL(D1363,[1]!s_ipo_listeddate(D1363)),[1]!S_SHARE_TOTAL(D1363,$G$5)),[1]!S_STM07_CS(D1363,84,$G$5,$H$13)/$E$5))</f>
        <v/>
      </c>
      <c r="Q1363" s="198" t="str">
        <f ca="1">IF(C1363="","",F1363/([1]!S_STM07_IS(D1363,61,$G$5,$H$13)/IF([1]!S_SHARE_TOTAL(D1363,$G$5)=0,[1]!S_SHARE_TOTAL(D1363,[1]!s_ipo_listeddate(D1363)),[1]!S_SHARE_TOTAL(D1363,$G$5))))</f>
        <v/>
      </c>
      <c r="R1363" s="198" t="str">
        <f ca="1">IF(C1363="","",F1363/([1]!S_STM07_BS(D1363,141,$G$5,$H$13)/IF([1]!S_SHARE_TOTAL(D1363,$G$5)=0,[1]!S_SHARE_TOTAL(D1363,[1]!s_ipo_listeddate(D1363)),[1]!S_SHARE_TOTAL(D1363,$G$5))))</f>
        <v/>
      </c>
      <c r="S1363" s="249" t="str">
        <f ca="1">IF(C1363="","",[1]!S_SHARE_TOTAL(D1363,TODAY())/$E$5)</f>
        <v/>
      </c>
      <c r="T1363" s="249" t="str">
        <f t="shared" ca="1" si="133"/>
        <v/>
      </c>
      <c r="U1363" s="172" t="str">
        <f t="shared" ca="1" si="134"/>
        <v/>
      </c>
      <c r="V1363" s="343" t="str">
        <f t="shared" ca="1" si="135"/>
        <v/>
      </c>
      <c r="W1363" s="139"/>
      <c r="Y1363" s="1"/>
    </row>
    <row r="1364" spans="3:25" ht="12" customHeight="1">
      <c r="C1364" s="342" t="str">
        <f t="shared" ca="1" si="136"/>
        <v/>
      </c>
      <c r="D1364" s="153" t="str">
        <f t="shared" ca="1" si="131"/>
        <v/>
      </c>
      <c r="E1364" s="153" t="str">
        <f t="shared" ca="1" si="132"/>
        <v/>
      </c>
      <c r="F1364" s="170" t="str">
        <f ca="1">IF(C1364="","",[1]!S_DQ_CLOSE(D1364,TODAY(),1))</f>
        <v/>
      </c>
      <c r="G1364" s="171" t="str">
        <f ca="1">IF(C1364="","",[1]!s_pq_pctchange(D1364,TODAY()-$G$12,TODAY())/100)</f>
        <v/>
      </c>
      <c r="H1364" s="247" t="str">
        <f ca="1">IF(C1364="","",IF($H$11="收入",[1]!S_STM07_IS(D1364,9,$G$5,$H$13)/$E$5,[1]!S_STM07_IS(D1364,48,$G$5,$H$13)/$E$5))</f>
        <v/>
      </c>
      <c r="I1364" s="247" t="str">
        <f ca="1">IF(C1364="","",IF($I$11="毛利率",([1]!S_STM07_IS(D1364,9,$G$5,$H$13)-[1]!S_STM07_IS(D1364,10,$G$5,$H$13))/[1]!S_STM07_IS(D1364,9,$G$5,$H$13),[1]!S_STM07_IS(D1364,14,$G$5,$H$13)/$E$5))</f>
        <v/>
      </c>
      <c r="J1364" s="247" t="str">
        <f ca="1">IF(C1364="","",IF($J$11="营业利润率",[1]!S_STM07_IS(D1364,48,$G$5,$H$13)/[1]!S_STM07_IS(D1364,9,$G$5,$H$13),([1]!S_STM07_CS(D1364,87,$G$5,$H$13)+[1]!S_STM07_CS(D1364,88,$G$5,$H$13)+[1]!S_STM07_CS(D1364,89,$G$5,$H$13))/$E$5))</f>
        <v/>
      </c>
      <c r="K1364" s="247" t="str">
        <f ca="1">IF(C1364="","",IF($K$11="净利润率",[1]!S_STM07_IS(D1364,61,$G$5,$H$13)/[1]!S_STM07_IS(D1364,9,$G$5,$H$13),[1]!S_STM07_IS(D1364,55,$G$5,$H$13)/$E$5))</f>
        <v/>
      </c>
      <c r="L1364" s="247" t="str">
        <f ca="1">IF(C1364="","",IF($L$11="ROA",[1]!S_STM07_IS(D1364,61,$G$5,$H$13)/[1]!S_STM07_BS(D1364,74,$G$5,$H$13),1-[1]!S_STM07_IS(D1364,61,$G$5,$H$13)/[1]!S_STM07_IS(D1364,55,$G$5,$H$13)))</f>
        <v/>
      </c>
      <c r="M1364" s="247" t="str">
        <f ca="1">IF(C1364="","",IF($M$11="ROE",[1]!S_STM07_IS(D1364,61,$G$5,$H$13)/[1]!S_STM07_BS(D1364,141,$G$5,$H$13),([1]!S_STM07_BS(D1364,25,$G$5,$H$13)-[1]!S_STM07_BS(D1364,93,$G$5,$H$13))/$E$5))</f>
        <v/>
      </c>
      <c r="N1364" s="247" t="str">
        <f ca="1">IF(C1364="","",IF($N$11="EPS",[1]!S_STM07_IS(D1364,61,$G$5,$H$13)/IF([1]!S_SHARE_TOTAL(D1364,$G$5)=0,[1]!S_SHARE_TOTAL(D1364,[1]!s_ipo_listeddate(D1364)),[1]!S_SHARE_TOTAL(D1364,$G$5)),([1]!S_STM07_BS(D1364,75,$G$5,$H$13)+[1]!S_STM07_BS(D1364,88,$G$5,$H$13)+[1]!S_STM07_BS(D1364,94,$G$5,$H$13)+[1]!S_STM07_BS(D1364,95,$G$5,$H$13))/$E$5))</f>
        <v/>
      </c>
      <c r="O1364" s="247" t="str">
        <f ca="1">IF(C1364="","",IF($O$11="BPS",[1]!S_STM07_BS(D1364,141,$G$5,$H$13)/IF([1]!S_SHARE_TOTAL(D1364,$G$5)=0,[1]!S_SHARE_TOTAL(D1364,[1]!s_ipo_listeddate(D1364)),[1]!S_SHARE_TOTAL(D1364,$G$5)),[1]!S_STM07_CS(D1364,49,$G$5,$H$13)/$E$5))</f>
        <v/>
      </c>
      <c r="P1364" s="247" t="str">
        <f ca="1">IF(C1364="","",IF($P$11="CFPS",[1]!S_STM07_CS(D1364,84,$G$5,$H$13)/IF([1]!S_SHARE_TOTAL(D1364,$G$5)=0,[1]!S_SHARE_TOTAL(D1364,[1]!s_ipo_listeddate(D1364)),[1]!S_SHARE_TOTAL(D1364,$G$5)),[1]!S_STM07_CS(D1364,84,$G$5,$H$13)/$E$5))</f>
        <v/>
      </c>
      <c r="Q1364" s="248" t="str">
        <f ca="1">IF(C1364="","",F1364/([1]!S_STM07_IS(D1364,61,$G$5,$H$13)/IF([1]!S_SHARE_TOTAL(D1364,$G$5)=0,[1]!S_SHARE_TOTAL(D1364,[1]!s_ipo_listeddate(D1364)),[1]!S_SHARE_TOTAL(D1364,$G$5))))</f>
        <v/>
      </c>
      <c r="R1364" s="248" t="str">
        <f ca="1">IF(C1364="","",F1364/([1]!S_STM07_BS(D1364,141,$G$5,$H$13)/IF([1]!S_SHARE_TOTAL(D1364,$G$5)=0,[1]!S_SHARE_TOTAL(D1364,[1]!s_ipo_listeddate(D1364)),[1]!S_SHARE_TOTAL(D1364,$G$5))))</f>
        <v/>
      </c>
      <c r="S1364" s="247" t="str">
        <f ca="1">IF(C1364="","",[1]!S_SHARE_TOTAL(D1364,TODAY())/$E$5)</f>
        <v/>
      </c>
      <c r="T1364" s="247" t="str">
        <f t="shared" ca="1" si="133"/>
        <v/>
      </c>
      <c r="U1364" s="218" t="str">
        <f t="shared" ca="1" si="134"/>
        <v/>
      </c>
      <c r="V1364" s="342" t="str">
        <f t="shared" ca="1" si="135"/>
        <v/>
      </c>
      <c r="W1364" s="139"/>
      <c r="Y1364" s="1"/>
    </row>
    <row r="1365" spans="3:25" ht="12" customHeight="1">
      <c r="C1365" s="343" t="str">
        <f t="shared" ca="1" si="136"/>
        <v/>
      </c>
      <c r="D1365" s="124" t="str">
        <f t="shared" ca="1" si="131"/>
        <v/>
      </c>
      <c r="E1365" s="124" t="str">
        <f t="shared" ca="1" si="132"/>
        <v/>
      </c>
      <c r="F1365" s="172" t="str">
        <f ca="1">IF(C1365="","",[1]!S_DQ_CLOSE(D1365,TODAY(),1))</f>
        <v/>
      </c>
      <c r="G1365" s="173" t="str">
        <f ca="1">IF(C1365="","",[1]!s_pq_pctchange(D1365,TODAY()-$G$12,TODAY())/100)</f>
        <v/>
      </c>
      <c r="H1365" s="249" t="str">
        <f ca="1">IF(C1365="","",IF($H$11="收入",[1]!S_STM07_IS(D1365,9,$G$5,$H$13)/$E$5,[1]!S_STM07_IS(D1365,48,$G$5,$H$13)/$E$5))</f>
        <v/>
      </c>
      <c r="I1365" s="249" t="str">
        <f ca="1">IF(C1365="","",IF($I$11="毛利率",([1]!S_STM07_IS(D1365,9,$G$5,$H$13)-[1]!S_STM07_IS(D1365,10,$G$5,$H$13))/[1]!S_STM07_IS(D1365,9,$G$5,$H$13),[1]!S_STM07_IS(D1365,14,$G$5,$H$13)/$E$5))</f>
        <v/>
      </c>
      <c r="J1365" s="249" t="str">
        <f ca="1">IF(C1365="","",IF($J$11="营业利润率",[1]!S_STM07_IS(D1365,48,$G$5,$H$13)/[1]!S_STM07_IS(D1365,9,$G$5,$H$13),([1]!S_STM07_CS(D1365,87,$G$5,$H$13)+[1]!S_STM07_CS(D1365,88,$G$5,$H$13)+[1]!S_STM07_CS(D1365,89,$G$5,$H$13))/$E$5))</f>
        <v/>
      </c>
      <c r="K1365" s="249" t="str">
        <f ca="1">IF(C1365="","",IF($K$11="净利润率",[1]!S_STM07_IS(D1365,61,$G$5,$H$13)/[1]!S_STM07_IS(D1365,9,$G$5,$H$13),[1]!S_STM07_IS(D1365,55,$G$5,$H$13)/$E$5))</f>
        <v/>
      </c>
      <c r="L1365" s="249" t="str">
        <f ca="1">IF(C1365="","",IF($L$11="ROA",[1]!S_STM07_IS(D1365,61,$G$5,$H$13)/[1]!S_STM07_BS(D1365,74,$G$5,$H$13),1-[1]!S_STM07_IS(D1365,61,$G$5,$H$13)/[1]!S_STM07_IS(D1365,55,$G$5,$H$13)))</f>
        <v/>
      </c>
      <c r="M1365" s="249" t="str">
        <f ca="1">IF(C1365="","",IF($M$11="ROE",[1]!S_STM07_IS(D1365,61,$G$5,$H$13)/[1]!S_STM07_BS(D1365,141,$G$5,$H$13),([1]!S_STM07_BS(D1365,25,$G$5,$H$13)-[1]!S_STM07_BS(D1365,93,$G$5,$H$13))/$E$5))</f>
        <v/>
      </c>
      <c r="N1365" s="250" t="str">
        <f ca="1">IF(C1365="","",IF($N$11="EPS",[1]!S_STM07_IS(D1365,61,$G$5,$H$13)/IF([1]!S_SHARE_TOTAL(D1365,$G$5)=0,[1]!S_SHARE_TOTAL(D1365,[1]!s_ipo_listeddate(D1365)),[1]!S_SHARE_TOTAL(D1365,$G$5)),([1]!S_STM07_BS(D1365,75,$G$5,$H$13)+[1]!S_STM07_BS(D1365,88,$G$5,$H$13)+[1]!S_STM07_BS(D1365,94,$G$5,$H$13)+[1]!S_STM07_BS(D1365,95,$G$5,$H$13))/$E$5))</f>
        <v/>
      </c>
      <c r="O1365" s="250" t="str">
        <f ca="1">IF(C1365="","",IF($O$11="BPS",[1]!S_STM07_BS(D1365,141,$G$5,$H$13)/IF([1]!S_SHARE_TOTAL(D1365,$G$5)=0,[1]!S_SHARE_TOTAL(D1365,[1]!s_ipo_listeddate(D1365)),[1]!S_SHARE_TOTAL(D1365,$G$5)),[1]!S_STM07_CS(D1365,49,$G$5,$H$13)/$E$5))</f>
        <v/>
      </c>
      <c r="P1365" s="250" t="str">
        <f ca="1">IF(C1365="","",IF($P$11="CFPS",[1]!S_STM07_CS(D1365,84,$G$5,$H$13)/IF([1]!S_SHARE_TOTAL(D1365,$G$5)=0,[1]!S_SHARE_TOTAL(D1365,[1]!s_ipo_listeddate(D1365)),[1]!S_SHARE_TOTAL(D1365,$G$5)),[1]!S_STM07_CS(D1365,84,$G$5,$H$13)/$E$5))</f>
        <v/>
      </c>
      <c r="Q1365" s="198" t="str">
        <f ca="1">IF(C1365="","",F1365/([1]!S_STM07_IS(D1365,61,$G$5,$H$13)/IF([1]!S_SHARE_TOTAL(D1365,$G$5)=0,[1]!S_SHARE_TOTAL(D1365,[1]!s_ipo_listeddate(D1365)),[1]!S_SHARE_TOTAL(D1365,$G$5))))</f>
        <v/>
      </c>
      <c r="R1365" s="198" t="str">
        <f ca="1">IF(C1365="","",F1365/([1]!S_STM07_BS(D1365,141,$G$5,$H$13)/IF([1]!S_SHARE_TOTAL(D1365,$G$5)=0,[1]!S_SHARE_TOTAL(D1365,[1]!s_ipo_listeddate(D1365)),[1]!S_SHARE_TOTAL(D1365,$G$5))))</f>
        <v/>
      </c>
      <c r="S1365" s="249" t="str">
        <f ca="1">IF(C1365="","",[1]!S_SHARE_TOTAL(D1365,TODAY())/$E$5)</f>
        <v/>
      </c>
      <c r="T1365" s="249" t="str">
        <f t="shared" ca="1" si="133"/>
        <v/>
      </c>
      <c r="U1365" s="172" t="str">
        <f t="shared" ca="1" si="134"/>
        <v/>
      </c>
      <c r="V1365" s="343" t="str">
        <f t="shared" ca="1" si="135"/>
        <v/>
      </c>
      <c r="W1365" s="139"/>
      <c r="Y1365" s="1"/>
    </row>
    <row r="1366" spans="3:25" ht="12" customHeight="1">
      <c r="C1366" s="342" t="str">
        <f t="shared" ca="1" si="136"/>
        <v/>
      </c>
      <c r="D1366" s="153" t="str">
        <f t="shared" ca="1" si="131"/>
        <v/>
      </c>
      <c r="E1366" s="153" t="str">
        <f t="shared" ca="1" si="132"/>
        <v/>
      </c>
      <c r="F1366" s="170" t="str">
        <f ca="1">IF(C1366="","",[1]!S_DQ_CLOSE(D1366,TODAY(),1))</f>
        <v/>
      </c>
      <c r="G1366" s="171" t="str">
        <f ca="1">IF(C1366="","",[1]!s_pq_pctchange(D1366,TODAY()-$G$12,TODAY())/100)</f>
        <v/>
      </c>
      <c r="H1366" s="247" t="str">
        <f ca="1">IF(C1366="","",IF($H$11="收入",[1]!S_STM07_IS(D1366,9,$G$5,$H$13)/$E$5,[1]!S_STM07_IS(D1366,48,$G$5,$H$13)/$E$5))</f>
        <v/>
      </c>
      <c r="I1366" s="247" t="str">
        <f ca="1">IF(C1366="","",IF($I$11="毛利率",([1]!S_STM07_IS(D1366,9,$G$5,$H$13)-[1]!S_STM07_IS(D1366,10,$G$5,$H$13))/[1]!S_STM07_IS(D1366,9,$G$5,$H$13),[1]!S_STM07_IS(D1366,14,$G$5,$H$13)/$E$5))</f>
        <v/>
      </c>
      <c r="J1366" s="247" t="str">
        <f ca="1">IF(C1366="","",IF($J$11="营业利润率",[1]!S_STM07_IS(D1366,48,$G$5,$H$13)/[1]!S_STM07_IS(D1366,9,$G$5,$H$13),([1]!S_STM07_CS(D1366,87,$G$5,$H$13)+[1]!S_STM07_CS(D1366,88,$G$5,$H$13)+[1]!S_STM07_CS(D1366,89,$G$5,$H$13))/$E$5))</f>
        <v/>
      </c>
      <c r="K1366" s="247" t="str">
        <f ca="1">IF(C1366="","",IF($K$11="净利润率",[1]!S_STM07_IS(D1366,61,$G$5,$H$13)/[1]!S_STM07_IS(D1366,9,$G$5,$H$13),[1]!S_STM07_IS(D1366,55,$G$5,$H$13)/$E$5))</f>
        <v/>
      </c>
      <c r="L1366" s="247" t="str">
        <f ca="1">IF(C1366="","",IF($L$11="ROA",[1]!S_STM07_IS(D1366,61,$G$5,$H$13)/[1]!S_STM07_BS(D1366,74,$G$5,$H$13),1-[1]!S_STM07_IS(D1366,61,$G$5,$H$13)/[1]!S_STM07_IS(D1366,55,$G$5,$H$13)))</f>
        <v/>
      </c>
      <c r="M1366" s="247" t="str">
        <f ca="1">IF(C1366="","",IF($M$11="ROE",[1]!S_STM07_IS(D1366,61,$G$5,$H$13)/[1]!S_STM07_BS(D1366,141,$G$5,$H$13),([1]!S_STM07_BS(D1366,25,$G$5,$H$13)-[1]!S_STM07_BS(D1366,93,$G$5,$H$13))/$E$5))</f>
        <v/>
      </c>
      <c r="N1366" s="247" t="str">
        <f ca="1">IF(C1366="","",IF($N$11="EPS",[1]!S_STM07_IS(D1366,61,$G$5,$H$13)/IF([1]!S_SHARE_TOTAL(D1366,$G$5)=0,[1]!S_SHARE_TOTAL(D1366,[1]!s_ipo_listeddate(D1366)),[1]!S_SHARE_TOTAL(D1366,$G$5)),([1]!S_STM07_BS(D1366,75,$G$5,$H$13)+[1]!S_STM07_BS(D1366,88,$G$5,$H$13)+[1]!S_STM07_BS(D1366,94,$G$5,$H$13)+[1]!S_STM07_BS(D1366,95,$G$5,$H$13))/$E$5))</f>
        <v/>
      </c>
      <c r="O1366" s="247" t="str">
        <f ca="1">IF(C1366="","",IF($O$11="BPS",[1]!S_STM07_BS(D1366,141,$G$5,$H$13)/IF([1]!S_SHARE_TOTAL(D1366,$G$5)=0,[1]!S_SHARE_TOTAL(D1366,[1]!s_ipo_listeddate(D1366)),[1]!S_SHARE_TOTAL(D1366,$G$5)),[1]!S_STM07_CS(D1366,49,$G$5,$H$13)/$E$5))</f>
        <v/>
      </c>
      <c r="P1366" s="247" t="str">
        <f ca="1">IF(C1366="","",IF($P$11="CFPS",[1]!S_STM07_CS(D1366,84,$G$5,$H$13)/IF([1]!S_SHARE_TOTAL(D1366,$G$5)=0,[1]!S_SHARE_TOTAL(D1366,[1]!s_ipo_listeddate(D1366)),[1]!S_SHARE_TOTAL(D1366,$G$5)),[1]!S_STM07_CS(D1366,84,$G$5,$H$13)/$E$5))</f>
        <v/>
      </c>
      <c r="Q1366" s="248" t="str">
        <f ca="1">IF(C1366="","",F1366/([1]!S_STM07_IS(D1366,61,$G$5,$H$13)/IF([1]!S_SHARE_TOTAL(D1366,$G$5)=0,[1]!S_SHARE_TOTAL(D1366,[1]!s_ipo_listeddate(D1366)),[1]!S_SHARE_TOTAL(D1366,$G$5))))</f>
        <v/>
      </c>
      <c r="R1366" s="248" t="str">
        <f ca="1">IF(C1366="","",F1366/([1]!S_STM07_BS(D1366,141,$G$5,$H$13)/IF([1]!S_SHARE_TOTAL(D1366,$G$5)=0,[1]!S_SHARE_TOTAL(D1366,[1]!s_ipo_listeddate(D1366)),[1]!S_SHARE_TOTAL(D1366,$G$5))))</f>
        <v/>
      </c>
      <c r="S1366" s="247" t="str">
        <f ca="1">IF(C1366="","",[1]!S_SHARE_TOTAL(D1366,TODAY())/$E$5)</f>
        <v/>
      </c>
      <c r="T1366" s="247" t="str">
        <f t="shared" ca="1" si="133"/>
        <v/>
      </c>
      <c r="U1366" s="218" t="str">
        <f t="shared" ca="1" si="134"/>
        <v/>
      </c>
      <c r="V1366" s="342" t="str">
        <f t="shared" ca="1" si="135"/>
        <v/>
      </c>
      <c r="W1366" s="139"/>
      <c r="Y1366" s="1"/>
    </row>
    <row r="1367" spans="3:25" ht="12" customHeight="1">
      <c r="C1367" s="343" t="str">
        <f t="shared" ca="1" si="136"/>
        <v/>
      </c>
      <c r="D1367" s="124" t="str">
        <f t="shared" ca="1" si="131"/>
        <v/>
      </c>
      <c r="E1367" s="124" t="str">
        <f t="shared" ca="1" si="132"/>
        <v/>
      </c>
      <c r="F1367" s="172" t="str">
        <f ca="1">IF(C1367="","",[1]!S_DQ_CLOSE(D1367,TODAY(),1))</f>
        <v/>
      </c>
      <c r="G1367" s="173" t="str">
        <f ca="1">IF(C1367="","",[1]!s_pq_pctchange(D1367,TODAY()-$G$12,TODAY())/100)</f>
        <v/>
      </c>
      <c r="H1367" s="249" t="str">
        <f ca="1">IF(C1367="","",IF($H$11="收入",[1]!S_STM07_IS(D1367,9,$G$5,$H$13)/$E$5,[1]!S_STM07_IS(D1367,48,$G$5,$H$13)/$E$5))</f>
        <v/>
      </c>
      <c r="I1367" s="249" t="str">
        <f ca="1">IF(C1367="","",IF($I$11="毛利率",([1]!S_STM07_IS(D1367,9,$G$5,$H$13)-[1]!S_STM07_IS(D1367,10,$G$5,$H$13))/[1]!S_STM07_IS(D1367,9,$G$5,$H$13),[1]!S_STM07_IS(D1367,14,$G$5,$H$13)/$E$5))</f>
        <v/>
      </c>
      <c r="J1367" s="249" t="str">
        <f ca="1">IF(C1367="","",IF($J$11="营业利润率",[1]!S_STM07_IS(D1367,48,$G$5,$H$13)/[1]!S_STM07_IS(D1367,9,$G$5,$H$13),([1]!S_STM07_CS(D1367,87,$G$5,$H$13)+[1]!S_STM07_CS(D1367,88,$G$5,$H$13)+[1]!S_STM07_CS(D1367,89,$G$5,$H$13))/$E$5))</f>
        <v/>
      </c>
      <c r="K1367" s="249" t="str">
        <f ca="1">IF(C1367="","",IF($K$11="净利润率",[1]!S_STM07_IS(D1367,61,$G$5,$H$13)/[1]!S_STM07_IS(D1367,9,$G$5,$H$13),[1]!S_STM07_IS(D1367,55,$G$5,$H$13)/$E$5))</f>
        <v/>
      </c>
      <c r="L1367" s="249" t="str">
        <f ca="1">IF(C1367="","",IF($L$11="ROA",[1]!S_STM07_IS(D1367,61,$G$5,$H$13)/[1]!S_STM07_BS(D1367,74,$G$5,$H$13),1-[1]!S_STM07_IS(D1367,61,$G$5,$H$13)/[1]!S_STM07_IS(D1367,55,$G$5,$H$13)))</f>
        <v/>
      </c>
      <c r="M1367" s="249" t="str">
        <f ca="1">IF(C1367="","",IF($M$11="ROE",[1]!S_STM07_IS(D1367,61,$G$5,$H$13)/[1]!S_STM07_BS(D1367,141,$G$5,$H$13),([1]!S_STM07_BS(D1367,25,$G$5,$H$13)-[1]!S_STM07_BS(D1367,93,$G$5,$H$13))/$E$5))</f>
        <v/>
      </c>
      <c r="N1367" s="250" t="str">
        <f ca="1">IF(C1367="","",IF($N$11="EPS",[1]!S_STM07_IS(D1367,61,$G$5,$H$13)/IF([1]!S_SHARE_TOTAL(D1367,$G$5)=0,[1]!S_SHARE_TOTAL(D1367,[1]!s_ipo_listeddate(D1367)),[1]!S_SHARE_TOTAL(D1367,$G$5)),([1]!S_STM07_BS(D1367,75,$G$5,$H$13)+[1]!S_STM07_BS(D1367,88,$G$5,$H$13)+[1]!S_STM07_BS(D1367,94,$G$5,$H$13)+[1]!S_STM07_BS(D1367,95,$G$5,$H$13))/$E$5))</f>
        <v/>
      </c>
      <c r="O1367" s="250" t="str">
        <f ca="1">IF(C1367="","",IF($O$11="BPS",[1]!S_STM07_BS(D1367,141,$G$5,$H$13)/IF([1]!S_SHARE_TOTAL(D1367,$G$5)=0,[1]!S_SHARE_TOTAL(D1367,[1]!s_ipo_listeddate(D1367)),[1]!S_SHARE_TOTAL(D1367,$G$5)),[1]!S_STM07_CS(D1367,49,$G$5,$H$13)/$E$5))</f>
        <v/>
      </c>
      <c r="P1367" s="250" t="str">
        <f ca="1">IF(C1367="","",IF($P$11="CFPS",[1]!S_STM07_CS(D1367,84,$G$5,$H$13)/IF([1]!S_SHARE_TOTAL(D1367,$G$5)=0,[1]!S_SHARE_TOTAL(D1367,[1]!s_ipo_listeddate(D1367)),[1]!S_SHARE_TOTAL(D1367,$G$5)),[1]!S_STM07_CS(D1367,84,$G$5,$H$13)/$E$5))</f>
        <v/>
      </c>
      <c r="Q1367" s="198" t="str">
        <f ca="1">IF(C1367="","",F1367/([1]!S_STM07_IS(D1367,61,$G$5,$H$13)/IF([1]!S_SHARE_TOTAL(D1367,$G$5)=0,[1]!S_SHARE_TOTAL(D1367,[1]!s_ipo_listeddate(D1367)),[1]!S_SHARE_TOTAL(D1367,$G$5))))</f>
        <v/>
      </c>
      <c r="R1367" s="198" t="str">
        <f ca="1">IF(C1367="","",F1367/([1]!S_STM07_BS(D1367,141,$G$5,$H$13)/IF([1]!S_SHARE_TOTAL(D1367,$G$5)=0,[1]!S_SHARE_TOTAL(D1367,[1]!s_ipo_listeddate(D1367)),[1]!S_SHARE_TOTAL(D1367,$G$5))))</f>
        <v/>
      </c>
      <c r="S1367" s="249" t="str">
        <f ca="1">IF(C1367="","",[1]!S_SHARE_TOTAL(D1367,TODAY())/$E$5)</f>
        <v/>
      </c>
      <c r="T1367" s="249" t="str">
        <f t="shared" ca="1" si="133"/>
        <v/>
      </c>
      <c r="U1367" s="172" t="str">
        <f t="shared" ca="1" si="134"/>
        <v/>
      </c>
      <c r="V1367" s="343" t="str">
        <f t="shared" ca="1" si="135"/>
        <v/>
      </c>
      <c r="W1367" s="139"/>
      <c r="Y1367" s="1"/>
    </row>
    <row r="1368" spans="3:25" ht="12" customHeight="1">
      <c r="C1368" s="342" t="str">
        <f t="shared" ca="1" si="136"/>
        <v/>
      </c>
      <c r="D1368" s="153" t="str">
        <f t="shared" ca="1" si="131"/>
        <v/>
      </c>
      <c r="E1368" s="153" t="str">
        <f t="shared" ca="1" si="132"/>
        <v/>
      </c>
      <c r="F1368" s="170" t="str">
        <f ca="1">IF(C1368="","",[1]!S_DQ_CLOSE(D1368,TODAY(),1))</f>
        <v/>
      </c>
      <c r="G1368" s="171" t="str">
        <f ca="1">IF(C1368="","",[1]!s_pq_pctchange(D1368,TODAY()-$G$12,TODAY())/100)</f>
        <v/>
      </c>
      <c r="H1368" s="247" t="str">
        <f ca="1">IF(C1368="","",IF($H$11="收入",[1]!S_STM07_IS(D1368,9,$G$5,$H$13)/$E$5,[1]!S_STM07_IS(D1368,48,$G$5,$H$13)/$E$5))</f>
        <v/>
      </c>
      <c r="I1368" s="247" t="str">
        <f ca="1">IF(C1368="","",IF($I$11="毛利率",([1]!S_STM07_IS(D1368,9,$G$5,$H$13)-[1]!S_STM07_IS(D1368,10,$G$5,$H$13))/[1]!S_STM07_IS(D1368,9,$G$5,$H$13),[1]!S_STM07_IS(D1368,14,$G$5,$H$13)/$E$5))</f>
        <v/>
      </c>
      <c r="J1368" s="247" t="str">
        <f ca="1">IF(C1368="","",IF($J$11="营业利润率",[1]!S_STM07_IS(D1368,48,$G$5,$H$13)/[1]!S_STM07_IS(D1368,9,$G$5,$H$13),([1]!S_STM07_CS(D1368,87,$G$5,$H$13)+[1]!S_STM07_CS(D1368,88,$G$5,$H$13)+[1]!S_STM07_CS(D1368,89,$G$5,$H$13))/$E$5))</f>
        <v/>
      </c>
      <c r="K1368" s="247" t="str">
        <f ca="1">IF(C1368="","",IF($K$11="净利润率",[1]!S_STM07_IS(D1368,61,$G$5,$H$13)/[1]!S_STM07_IS(D1368,9,$G$5,$H$13),[1]!S_STM07_IS(D1368,55,$G$5,$H$13)/$E$5))</f>
        <v/>
      </c>
      <c r="L1368" s="247" t="str">
        <f ca="1">IF(C1368="","",IF($L$11="ROA",[1]!S_STM07_IS(D1368,61,$G$5,$H$13)/[1]!S_STM07_BS(D1368,74,$G$5,$H$13),1-[1]!S_STM07_IS(D1368,61,$G$5,$H$13)/[1]!S_STM07_IS(D1368,55,$G$5,$H$13)))</f>
        <v/>
      </c>
      <c r="M1368" s="247" t="str">
        <f ca="1">IF(C1368="","",IF($M$11="ROE",[1]!S_STM07_IS(D1368,61,$G$5,$H$13)/[1]!S_STM07_BS(D1368,141,$G$5,$H$13),([1]!S_STM07_BS(D1368,25,$G$5,$H$13)-[1]!S_STM07_BS(D1368,93,$G$5,$H$13))/$E$5))</f>
        <v/>
      </c>
      <c r="N1368" s="247" t="str">
        <f ca="1">IF(C1368="","",IF($N$11="EPS",[1]!S_STM07_IS(D1368,61,$G$5,$H$13)/IF([1]!S_SHARE_TOTAL(D1368,$G$5)=0,[1]!S_SHARE_TOTAL(D1368,[1]!s_ipo_listeddate(D1368)),[1]!S_SHARE_TOTAL(D1368,$G$5)),([1]!S_STM07_BS(D1368,75,$G$5,$H$13)+[1]!S_STM07_BS(D1368,88,$G$5,$H$13)+[1]!S_STM07_BS(D1368,94,$G$5,$H$13)+[1]!S_STM07_BS(D1368,95,$G$5,$H$13))/$E$5))</f>
        <v/>
      </c>
      <c r="O1368" s="247" t="str">
        <f ca="1">IF(C1368="","",IF($O$11="BPS",[1]!S_STM07_BS(D1368,141,$G$5,$H$13)/IF([1]!S_SHARE_TOTAL(D1368,$G$5)=0,[1]!S_SHARE_TOTAL(D1368,[1]!s_ipo_listeddate(D1368)),[1]!S_SHARE_TOTAL(D1368,$G$5)),[1]!S_STM07_CS(D1368,49,$G$5,$H$13)/$E$5))</f>
        <v/>
      </c>
      <c r="P1368" s="247" t="str">
        <f ca="1">IF(C1368="","",IF($P$11="CFPS",[1]!S_STM07_CS(D1368,84,$G$5,$H$13)/IF([1]!S_SHARE_TOTAL(D1368,$G$5)=0,[1]!S_SHARE_TOTAL(D1368,[1]!s_ipo_listeddate(D1368)),[1]!S_SHARE_TOTAL(D1368,$G$5)),[1]!S_STM07_CS(D1368,84,$G$5,$H$13)/$E$5))</f>
        <v/>
      </c>
      <c r="Q1368" s="248" t="str">
        <f ca="1">IF(C1368="","",F1368/([1]!S_STM07_IS(D1368,61,$G$5,$H$13)/IF([1]!S_SHARE_TOTAL(D1368,$G$5)=0,[1]!S_SHARE_TOTAL(D1368,[1]!s_ipo_listeddate(D1368)),[1]!S_SHARE_TOTAL(D1368,$G$5))))</f>
        <v/>
      </c>
      <c r="R1368" s="248" t="str">
        <f ca="1">IF(C1368="","",F1368/([1]!S_STM07_BS(D1368,141,$G$5,$H$13)/IF([1]!S_SHARE_TOTAL(D1368,$G$5)=0,[1]!S_SHARE_TOTAL(D1368,[1]!s_ipo_listeddate(D1368)),[1]!S_SHARE_TOTAL(D1368,$G$5))))</f>
        <v/>
      </c>
      <c r="S1368" s="247" t="str">
        <f ca="1">IF(C1368="","",[1]!S_SHARE_TOTAL(D1368,TODAY())/$E$5)</f>
        <v/>
      </c>
      <c r="T1368" s="247" t="str">
        <f t="shared" ca="1" si="133"/>
        <v/>
      </c>
      <c r="U1368" s="218" t="str">
        <f t="shared" ca="1" si="134"/>
        <v/>
      </c>
      <c r="V1368" s="342" t="str">
        <f t="shared" ca="1" si="135"/>
        <v/>
      </c>
      <c r="W1368" s="139"/>
      <c r="Y1368" s="1"/>
    </row>
    <row r="1369" spans="3:25" ht="12" customHeight="1">
      <c r="C1369" s="343" t="str">
        <f t="shared" ca="1" si="136"/>
        <v/>
      </c>
      <c r="D1369" s="124" t="str">
        <f t="shared" ref="D1369:D1432" ca="1" si="137">IF(C1369="","",VLOOKUP(C1369,comppool,2,FALSE))</f>
        <v/>
      </c>
      <c r="E1369" s="124" t="str">
        <f t="shared" ref="E1369:E1432" ca="1" si="138">IF(C1369="","",VLOOKUP(C1369,comppool,3,FALSE))</f>
        <v/>
      </c>
      <c r="F1369" s="172" t="str">
        <f ca="1">IF(C1369="","",[1]!S_DQ_CLOSE(D1369,TODAY(),1))</f>
        <v/>
      </c>
      <c r="G1369" s="173" t="str">
        <f ca="1">IF(C1369="","",[1]!s_pq_pctchange(D1369,TODAY()-$G$12,TODAY())/100)</f>
        <v/>
      </c>
      <c r="H1369" s="249" t="str">
        <f ca="1">IF(C1369="","",IF($H$11="收入",[1]!S_STM07_IS(D1369,9,$G$5,$H$13)/$E$5,[1]!S_STM07_IS(D1369,48,$G$5,$H$13)/$E$5))</f>
        <v/>
      </c>
      <c r="I1369" s="249" t="str">
        <f ca="1">IF(C1369="","",IF($I$11="毛利率",([1]!S_STM07_IS(D1369,9,$G$5,$H$13)-[1]!S_STM07_IS(D1369,10,$G$5,$H$13))/[1]!S_STM07_IS(D1369,9,$G$5,$H$13),[1]!S_STM07_IS(D1369,14,$G$5,$H$13)/$E$5))</f>
        <v/>
      </c>
      <c r="J1369" s="249" t="str">
        <f ca="1">IF(C1369="","",IF($J$11="营业利润率",[1]!S_STM07_IS(D1369,48,$G$5,$H$13)/[1]!S_STM07_IS(D1369,9,$G$5,$H$13),([1]!S_STM07_CS(D1369,87,$G$5,$H$13)+[1]!S_STM07_CS(D1369,88,$G$5,$H$13)+[1]!S_STM07_CS(D1369,89,$G$5,$H$13))/$E$5))</f>
        <v/>
      </c>
      <c r="K1369" s="249" t="str">
        <f ca="1">IF(C1369="","",IF($K$11="净利润率",[1]!S_STM07_IS(D1369,61,$G$5,$H$13)/[1]!S_STM07_IS(D1369,9,$G$5,$H$13),[1]!S_STM07_IS(D1369,55,$G$5,$H$13)/$E$5))</f>
        <v/>
      </c>
      <c r="L1369" s="249" t="str">
        <f ca="1">IF(C1369="","",IF($L$11="ROA",[1]!S_STM07_IS(D1369,61,$G$5,$H$13)/[1]!S_STM07_BS(D1369,74,$G$5,$H$13),1-[1]!S_STM07_IS(D1369,61,$G$5,$H$13)/[1]!S_STM07_IS(D1369,55,$G$5,$H$13)))</f>
        <v/>
      </c>
      <c r="M1369" s="249" t="str">
        <f ca="1">IF(C1369="","",IF($M$11="ROE",[1]!S_STM07_IS(D1369,61,$G$5,$H$13)/[1]!S_STM07_BS(D1369,141,$G$5,$H$13),([1]!S_STM07_BS(D1369,25,$G$5,$H$13)-[1]!S_STM07_BS(D1369,93,$G$5,$H$13))/$E$5))</f>
        <v/>
      </c>
      <c r="N1369" s="250" t="str">
        <f ca="1">IF(C1369="","",IF($N$11="EPS",[1]!S_STM07_IS(D1369,61,$G$5,$H$13)/IF([1]!S_SHARE_TOTAL(D1369,$G$5)=0,[1]!S_SHARE_TOTAL(D1369,[1]!s_ipo_listeddate(D1369)),[1]!S_SHARE_TOTAL(D1369,$G$5)),([1]!S_STM07_BS(D1369,75,$G$5,$H$13)+[1]!S_STM07_BS(D1369,88,$G$5,$H$13)+[1]!S_STM07_BS(D1369,94,$G$5,$H$13)+[1]!S_STM07_BS(D1369,95,$G$5,$H$13))/$E$5))</f>
        <v/>
      </c>
      <c r="O1369" s="250" t="str">
        <f ca="1">IF(C1369="","",IF($O$11="BPS",[1]!S_STM07_BS(D1369,141,$G$5,$H$13)/IF([1]!S_SHARE_TOTAL(D1369,$G$5)=0,[1]!S_SHARE_TOTAL(D1369,[1]!s_ipo_listeddate(D1369)),[1]!S_SHARE_TOTAL(D1369,$G$5)),[1]!S_STM07_CS(D1369,49,$G$5,$H$13)/$E$5))</f>
        <v/>
      </c>
      <c r="P1369" s="250" t="str">
        <f ca="1">IF(C1369="","",IF($P$11="CFPS",[1]!S_STM07_CS(D1369,84,$G$5,$H$13)/IF([1]!S_SHARE_TOTAL(D1369,$G$5)=0,[1]!S_SHARE_TOTAL(D1369,[1]!s_ipo_listeddate(D1369)),[1]!S_SHARE_TOTAL(D1369,$G$5)),[1]!S_STM07_CS(D1369,84,$G$5,$H$13)/$E$5))</f>
        <v/>
      </c>
      <c r="Q1369" s="198" t="str">
        <f ca="1">IF(C1369="","",F1369/([1]!S_STM07_IS(D1369,61,$G$5,$H$13)/IF([1]!S_SHARE_TOTAL(D1369,$G$5)=0,[1]!S_SHARE_TOTAL(D1369,[1]!s_ipo_listeddate(D1369)),[1]!S_SHARE_TOTAL(D1369,$G$5))))</f>
        <v/>
      </c>
      <c r="R1369" s="198" t="str">
        <f ca="1">IF(C1369="","",F1369/([1]!S_STM07_BS(D1369,141,$G$5,$H$13)/IF([1]!S_SHARE_TOTAL(D1369,$G$5)=0,[1]!S_SHARE_TOTAL(D1369,[1]!s_ipo_listeddate(D1369)),[1]!S_SHARE_TOTAL(D1369,$G$5))))</f>
        <v/>
      </c>
      <c r="S1369" s="249" t="str">
        <f ca="1">IF(C1369="","",[1]!S_SHARE_TOTAL(D1369,TODAY())/$E$5)</f>
        <v/>
      </c>
      <c r="T1369" s="249" t="str">
        <f t="shared" ref="T1369:T1432" ca="1" si="139">IF(C1369="","",F1369*S1369)</f>
        <v/>
      </c>
      <c r="U1369" s="172" t="str">
        <f t="shared" ref="U1369:U1432" ca="1" si="140">IF(C1369="","",HLOOKUP($V$12,$G$11:$T$20003,ROW()-ROW($G$11)+1,FALSE))</f>
        <v/>
      </c>
      <c r="V1369" s="343" t="str">
        <f t="shared" ref="V1369:V1432" ca="1" si="141">IF(C1369="","",RANK(U1369,U:U,0))</f>
        <v/>
      </c>
      <c r="W1369" s="139"/>
      <c r="Y1369" s="1"/>
    </row>
    <row r="1370" spans="3:25" ht="12" customHeight="1">
      <c r="C1370" s="342" t="str">
        <f t="shared" ca="1" si="136"/>
        <v/>
      </c>
      <c r="D1370" s="153" t="str">
        <f t="shared" ca="1" si="137"/>
        <v/>
      </c>
      <c r="E1370" s="153" t="str">
        <f t="shared" ca="1" si="138"/>
        <v/>
      </c>
      <c r="F1370" s="170" t="str">
        <f ca="1">IF(C1370="","",[1]!S_DQ_CLOSE(D1370,TODAY(),1))</f>
        <v/>
      </c>
      <c r="G1370" s="171" t="str">
        <f ca="1">IF(C1370="","",[1]!s_pq_pctchange(D1370,TODAY()-$G$12,TODAY())/100)</f>
        <v/>
      </c>
      <c r="H1370" s="247" t="str">
        <f ca="1">IF(C1370="","",IF($H$11="收入",[1]!S_STM07_IS(D1370,9,$G$5,$H$13)/$E$5,[1]!S_STM07_IS(D1370,48,$G$5,$H$13)/$E$5))</f>
        <v/>
      </c>
      <c r="I1370" s="247" t="str">
        <f ca="1">IF(C1370="","",IF($I$11="毛利率",([1]!S_STM07_IS(D1370,9,$G$5,$H$13)-[1]!S_STM07_IS(D1370,10,$G$5,$H$13))/[1]!S_STM07_IS(D1370,9,$G$5,$H$13),[1]!S_STM07_IS(D1370,14,$G$5,$H$13)/$E$5))</f>
        <v/>
      </c>
      <c r="J1370" s="247" t="str">
        <f ca="1">IF(C1370="","",IF($J$11="营业利润率",[1]!S_STM07_IS(D1370,48,$G$5,$H$13)/[1]!S_STM07_IS(D1370,9,$G$5,$H$13),([1]!S_STM07_CS(D1370,87,$G$5,$H$13)+[1]!S_STM07_CS(D1370,88,$G$5,$H$13)+[1]!S_STM07_CS(D1370,89,$G$5,$H$13))/$E$5))</f>
        <v/>
      </c>
      <c r="K1370" s="247" t="str">
        <f ca="1">IF(C1370="","",IF($K$11="净利润率",[1]!S_STM07_IS(D1370,61,$G$5,$H$13)/[1]!S_STM07_IS(D1370,9,$G$5,$H$13),[1]!S_STM07_IS(D1370,55,$G$5,$H$13)/$E$5))</f>
        <v/>
      </c>
      <c r="L1370" s="247" t="str">
        <f ca="1">IF(C1370="","",IF($L$11="ROA",[1]!S_STM07_IS(D1370,61,$G$5,$H$13)/[1]!S_STM07_BS(D1370,74,$G$5,$H$13),1-[1]!S_STM07_IS(D1370,61,$G$5,$H$13)/[1]!S_STM07_IS(D1370,55,$G$5,$H$13)))</f>
        <v/>
      </c>
      <c r="M1370" s="247" t="str">
        <f ca="1">IF(C1370="","",IF($M$11="ROE",[1]!S_STM07_IS(D1370,61,$G$5,$H$13)/[1]!S_STM07_BS(D1370,141,$G$5,$H$13),([1]!S_STM07_BS(D1370,25,$G$5,$H$13)-[1]!S_STM07_BS(D1370,93,$G$5,$H$13))/$E$5))</f>
        <v/>
      </c>
      <c r="N1370" s="247" t="str">
        <f ca="1">IF(C1370="","",IF($N$11="EPS",[1]!S_STM07_IS(D1370,61,$G$5,$H$13)/IF([1]!S_SHARE_TOTAL(D1370,$G$5)=0,[1]!S_SHARE_TOTAL(D1370,[1]!s_ipo_listeddate(D1370)),[1]!S_SHARE_TOTAL(D1370,$G$5)),([1]!S_STM07_BS(D1370,75,$G$5,$H$13)+[1]!S_STM07_BS(D1370,88,$G$5,$H$13)+[1]!S_STM07_BS(D1370,94,$G$5,$H$13)+[1]!S_STM07_BS(D1370,95,$G$5,$H$13))/$E$5))</f>
        <v/>
      </c>
      <c r="O1370" s="247" t="str">
        <f ca="1">IF(C1370="","",IF($O$11="BPS",[1]!S_STM07_BS(D1370,141,$G$5,$H$13)/IF([1]!S_SHARE_TOTAL(D1370,$G$5)=0,[1]!S_SHARE_TOTAL(D1370,[1]!s_ipo_listeddate(D1370)),[1]!S_SHARE_TOTAL(D1370,$G$5)),[1]!S_STM07_CS(D1370,49,$G$5,$H$13)/$E$5))</f>
        <v/>
      </c>
      <c r="P1370" s="247" t="str">
        <f ca="1">IF(C1370="","",IF($P$11="CFPS",[1]!S_STM07_CS(D1370,84,$G$5,$H$13)/IF([1]!S_SHARE_TOTAL(D1370,$G$5)=0,[1]!S_SHARE_TOTAL(D1370,[1]!s_ipo_listeddate(D1370)),[1]!S_SHARE_TOTAL(D1370,$G$5)),[1]!S_STM07_CS(D1370,84,$G$5,$H$13)/$E$5))</f>
        <v/>
      </c>
      <c r="Q1370" s="248" t="str">
        <f ca="1">IF(C1370="","",F1370/([1]!S_STM07_IS(D1370,61,$G$5,$H$13)/IF([1]!S_SHARE_TOTAL(D1370,$G$5)=0,[1]!S_SHARE_TOTAL(D1370,[1]!s_ipo_listeddate(D1370)),[1]!S_SHARE_TOTAL(D1370,$G$5))))</f>
        <v/>
      </c>
      <c r="R1370" s="248" t="str">
        <f ca="1">IF(C1370="","",F1370/([1]!S_STM07_BS(D1370,141,$G$5,$H$13)/IF([1]!S_SHARE_TOTAL(D1370,$G$5)=0,[1]!S_SHARE_TOTAL(D1370,[1]!s_ipo_listeddate(D1370)),[1]!S_SHARE_TOTAL(D1370,$G$5))))</f>
        <v/>
      </c>
      <c r="S1370" s="247" t="str">
        <f ca="1">IF(C1370="","",[1]!S_SHARE_TOTAL(D1370,TODAY())/$E$5)</f>
        <v/>
      </c>
      <c r="T1370" s="247" t="str">
        <f t="shared" ca="1" si="139"/>
        <v/>
      </c>
      <c r="U1370" s="218" t="str">
        <f t="shared" ca="1" si="140"/>
        <v/>
      </c>
      <c r="V1370" s="342" t="str">
        <f t="shared" ca="1" si="141"/>
        <v/>
      </c>
      <c r="W1370" s="139"/>
      <c r="Y1370" s="1"/>
    </row>
    <row r="1371" spans="3:25" ht="12" customHeight="1">
      <c r="C1371" s="343" t="str">
        <f t="shared" ca="1" si="136"/>
        <v/>
      </c>
      <c r="D1371" s="124" t="str">
        <f t="shared" ca="1" si="137"/>
        <v/>
      </c>
      <c r="E1371" s="124" t="str">
        <f t="shared" ca="1" si="138"/>
        <v/>
      </c>
      <c r="F1371" s="172" t="str">
        <f ca="1">IF(C1371="","",[1]!S_DQ_CLOSE(D1371,TODAY(),1))</f>
        <v/>
      </c>
      <c r="G1371" s="173" t="str">
        <f ca="1">IF(C1371="","",[1]!s_pq_pctchange(D1371,TODAY()-$G$12,TODAY())/100)</f>
        <v/>
      </c>
      <c r="H1371" s="249" t="str">
        <f ca="1">IF(C1371="","",IF($H$11="收入",[1]!S_STM07_IS(D1371,9,$G$5,$H$13)/$E$5,[1]!S_STM07_IS(D1371,48,$G$5,$H$13)/$E$5))</f>
        <v/>
      </c>
      <c r="I1371" s="249" t="str">
        <f ca="1">IF(C1371="","",IF($I$11="毛利率",([1]!S_STM07_IS(D1371,9,$G$5,$H$13)-[1]!S_STM07_IS(D1371,10,$G$5,$H$13))/[1]!S_STM07_IS(D1371,9,$G$5,$H$13),[1]!S_STM07_IS(D1371,14,$G$5,$H$13)/$E$5))</f>
        <v/>
      </c>
      <c r="J1371" s="249" t="str">
        <f ca="1">IF(C1371="","",IF($J$11="营业利润率",[1]!S_STM07_IS(D1371,48,$G$5,$H$13)/[1]!S_STM07_IS(D1371,9,$G$5,$H$13),([1]!S_STM07_CS(D1371,87,$G$5,$H$13)+[1]!S_STM07_CS(D1371,88,$G$5,$H$13)+[1]!S_STM07_CS(D1371,89,$G$5,$H$13))/$E$5))</f>
        <v/>
      </c>
      <c r="K1371" s="249" t="str">
        <f ca="1">IF(C1371="","",IF($K$11="净利润率",[1]!S_STM07_IS(D1371,61,$G$5,$H$13)/[1]!S_STM07_IS(D1371,9,$G$5,$H$13),[1]!S_STM07_IS(D1371,55,$G$5,$H$13)/$E$5))</f>
        <v/>
      </c>
      <c r="L1371" s="249" t="str">
        <f ca="1">IF(C1371="","",IF($L$11="ROA",[1]!S_STM07_IS(D1371,61,$G$5,$H$13)/[1]!S_STM07_BS(D1371,74,$G$5,$H$13),1-[1]!S_STM07_IS(D1371,61,$G$5,$H$13)/[1]!S_STM07_IS(D1371,55,$G$5,$H$13)))</f>
        <v/>
      </c>
      <c r="M1371" s="249" t="str">
        <f ca="1">IF(C1371="","",IF($M$11="ROE",[1]!S_STM07_IS(D1371,61,$G$5,$H$13)/[1]!S_STM07_BS(D1371,141,$G$5,$H$13),([1]!S_STM07_BS(D1371,25,$G$5,$H$13)-[1]!S_STM07_BS(D1371,93,$G$5,$H$13))/$E$5))</f>
        <v/>
      </c>
      <c r="N1371" s="250" t="str">
        <f ca="1">IF(C1371="","",IF($N$11="EPS",[1]!S_STM07_IS(D1371,61,$G$5,$H$13)/IF([1]!S_SHARE_TOTAL(D1371,$G$5)=0,[1]!S_SHARE_TOTAL(D1371,[1]!s_ipo_listeddate(D1371)),[1]!S_SHARE_TOTAL(D1371,$G$5)),([1]!S_STM07_BS(D1371,75,$G$5,$H$13)+[1]!S_STM07_BS(D1371,88,$G$5,$H$13)+[1]!S_STM07_BS(D1371,94,$G$5,$H$13)+[1]!S_STM07_BS(D1371,95,$G$5,$H$13))/$E$5))</f>
        <v/>
      </c>
      <c r="O1371" s="250" t="str">
        <f ca="1">IF(C1371="","",IF($O$11="BPS",[1]!S_STM07_BS(D1371,141,$G$5,$H$13)/IF([1]!S_SHARE_TOTAL(D1371,$G$5)=0,[1]!S_SHARE_TOTAL(D1371,[1]!s_ipo_listeddate(D1371)),[1]!S_SHARE_TOTAL(D1371,$G$5)),[1]!S_STM07_CS(D1371,49,$G$5,$H$13)/$E$5))</f>
        <v/>
      </c>
      <c r="P1371" s="250" t="str">
        <f ca="1">IF(C1371="","",IF($P$11="CFPS",[1]!S_STM07_CS(D1371,84,$G$5,$H$13)/IF([1]!S_SHARE_TOTAL(D1371,$G$5)=0,[1]!S_SHARE_TOTAL(D1371,[1]!s_ipo_listeddate(D1371)),[1]!S_SHARE_TOTAL(D1371,$G$5)),[1]!S_STM07_CS(D1371,84,$G$5,$H$13)/$E$5))</f>
        <v/>
      </c>
      <c r="Q1371" s="198" t="str">
        <f ca="1">IF(C1371="","",F1371/([1]!S_STM07_IS(D1371,61,$G$5,$H$13)/IF([1]!S_SHARE_TOTAL(D1371,$G$5)=0,[1]!S_SHARE_TOTAL(D1371,[1]!s_ipo_listeddate(D1371)),[1]!S_SHARE_TOTAL(D1371,$G$5))))</f>
        <v/>
      </c>
      <c r="R1371" s="198" t="str">
        <f ca="1">IF(C1371="","",F1371/([1]!S_STM07_BS(D1371,141,$G$5,$H$13)/IF([1]!S_SHARE_TOTAL(D1371,$G$5)=0,[1]!S_SHARE_TOTAL(D1371,[1]!s_ipo_listeddate(D1371)),[1]!S_SHARE_TOTAL(D1371,$G$5))))</f>
        <v/>
      </c>
      <c r="S1371" s="249" t="str">
        <f ca="1">IF(C1371="","",[1]!S_SHARE_TOTAL(D1371,TODAY())/$E$5)</f>
        <v/>
      </c>
      <c r="T1371" s="249" t="str">
        <f t="shared" ca="1" si="139"/>
        <v/>
      </c>
      <c r="U1371" s="172" t="str">
        <f t="shared" ca="1" si="140"/>
        <v/>
      </c>
      <c r="V1371" s="343" t="str">
        <f t="shared" ca="1" si="141"/>
        <v/>
      </c>
      <c r="W1371" s="139"/>
      <c r="Y1371" s="1"/>
    </row>
    <row r="1372" spans="3:25" ht="12" customHeight="1">
      <c r="C1372" s="342" t="str">
        <f t="shared" ca="1" si="136"/>
        <v/>
      </c>
      <c r="D1372" s="153" t="str">
        <f t="shared" ca="1" si="137"/>
        <v/>
      </c>
      <c r="E1372" s="153" t="str">
        <f t="shared" ca="1" si="138"/>
        <v/>
      </c>
      <c r="F1372" s="170" t="str">
        <f ca="1">IF(C1372="","",[1]!S_DQ_CLOSE(D1372,TODAY(),1))</f>
        <v/>
      </c>
      <c r="G1372" s="171" t="str">
        <f ca="1">IF(C1372="","",[1]!s_pq_pctchange(D1372,TODAY()-$G$12,TODAY())/100)</f>
        <v/>
      </c>
      <c r="H1372" s="247" t="str">
        <f ca="1">IF(C1372="","",IF($H$11="收入",[1]!S_STM07_IS(D1372,9,$G$5,$H$13)/$E$5,[1]!S_STM07_IS(D1372,48,$G$5,$H$13)/$E$5))</f>
        <v/>
      </c>
      <c r="I1372" s="247" t="str">
        <f ca="1">IF(C1372="","",IF($I$11="毛利率",([1]!S_STM07_IS(D1372,9,$G$5,$H$13)-[1]!S_STM07_IS(D1372,10,$G$5,$H$13))/[1]!S_STM07_IS(D1372,9,$G$5,$H$13),[1]!S_STM07_IS(D1372,14,$G$5,$H$13)/$E$5))</f>
        <v/>
      </c>
      <c r="J1372" s="247" t="str">
        <f ca="1">IF(C1372="","",IF($J$11="营业利润率",[1]!S_STM07_IS(D1372,48,$G$5,$H$13)/[1]!S_STM07_IS(D1372,9,$G$5,$H$13),([1]!S_STM07_CS(D1372,87,$G$5,$H$13)+[1]!S_STM07_CS(D1372,88,$G$5,$H$13)+[1]!S_STM07_CS(D1372,89,$G$5,$H$13))/$E$5))</f>
        <v/>
      </c>
      <c r="K1372" s="247" t="str">
        <f ca="1">IF(C1372="","",IF($K$11="净利润率",[1]!S_STM07_IS(D1372,61,$G$5,$H$13)/[1]!S_STM07_IS(D1372,9,$G$5,$H$13),[1]!S_STM07_IS(D1372,55,$G$5,$H$13)/$E$5))</f>
        <v/>
      </c>
      <c r="L1372" s="247" t="str">
        <f ca="1">IF(C1372="","",IF($L$11="ROA",[1]!S_STM07_IS(D1372,61,$G$5,$H$13)/[1]!S_STM07_BS(D1372,74,$G$5,$H$13),1-[1]!S_STM07_IS(D1372,61,$G$5,$H$13)/[1]!S_STM07_IS(D1372,55,$G$5,$H$13)))</f>
        <v/>
      </c>
      <c r="M1372" s="247" t="str">
        <f ca="1">IF(C1372="","",IF($M$11="ROE",[1]!S_STM07_IS(D1372,61,$G$5,$H$13)/[1]!S_STM07_BS(D1372,141,$G$5,$H$13),([1]!S_STM07_BS(D1372,25,$G$5,$H$13)-[1]!S_STM07_BS(D1372,93,$G$5,$H$13))/$E$5))</f>
        <v/>
      </c>
      <c r="N1372" s="247" t="str">
        <f ca="1">IF(C1372="","",IF($N$11="EPS",[1]!S_STM07_IS(D1372,61,$G$5,$H$13)/IF([1]!S_SHARE_TOTAL(D1372,$G$5)=0,[1]!S_SHARE_TOTAL(D1372,[1]!s_ipo_listeddate(D1372)),[1]!S_SHARE_TOTAL(D1372,$G$5)),([1]!S_STM07_BS(D1372,75,$G$5,$H$13)+[1]!S_STM07_BS(D1372,88,$G$5,$H$13)+[1]!S_STM07_BS(D1372,94,$G$5,$H$13)+[1]!S_STM07_BS(D1372,95,$G$5,$H$13))/$E$5))</f>
        <v/>
      </c>
      <c r="O1372" s="247" t="str">
        <f ca="1">IF(C1372="","",IF($O$11="BPS",[1]!S_STM07_BS(D1372,141,$G$5,$H$13)/IF([1]!S_SHARE_TOTAL(D1372,$G$5)=0,[1]!S_SHARE_TOTAL(D1372,[1]!s_ipo_listeddate(D1372)),[1]!S_SHARE_TOTAL(D1372,$G$5)),[1]!S_STM07_CS(D1372,49,$G$5,$H$13)/$E$5))</f>
        <v/>
      </c>
      <c r="P1372" s="247" t="str">
        <f ca="1">IF(C1372="","",IF($P$11="CFPS",[1]!S_STM07_CS(D1372,84,$G$5,$H$13)/IF([1]!S_SHARE_TOTAL(D1372,$G$5)=0,[1]!S_SHARE_TOTAL(D1372,[1]!s_ipo_listeddate(D1372)),[1]!S_SHARE_TOTAL(D1372,$G$5)),[1]!S_STM07_CS(D1372,84,$G$5,$H$13)/$E$5))</f>
        <v/>
      </c>
      <c r="Q1372" s="248" t="str">
        <f ca="1">IF(C1372="","",F1372/([1]!S_STM07_IS(D1372,61,$G$5,$H$13)/IF([1]!S_SHARE_TOTAL(D1372,$G$5)=0,[1]!S_SHARE_TOTAL(D1372,[1]!s_ipo_listeddate(D1372)),[1]!S_SHARE_TOTAL(D1372,$G$5))))</f>
        <v/>
      </c>
      <c r="R1372" s="248" t="str">
        <f ca="1">IF(C1372="","",F1372/([1]!S_STM07_BS(D1372,141,$G$5,$H$13)/IF([1]!S_SHARE_TOTAL(D1372,$G$5)=0,[1]!S_SHARE_TOTAL(D1372,[1]!s_ipo_listeddate(D1372)),[1]!S_SHARE_TOTAL(D1372,$G$5))))</f>
        <v/>
      </c>
      <c r="S1372" s="247" t="str">
        <f ca="1">IF(C1372="","",[1]!S_SHARE_TOTAL(D1372,TODAY())/$E$5)</f>
        <v/>
      </c>
      <c r="T1372" s="247" t="str">
        <f t="shared" ca="1" si="139"/>
        <v/>
      </c>
      <c r="U1372" s="218" t="str">
        <f t="shared" ca="1" si="140"/>
        <v/>
      </c>
      <c r="V1372" s="342" t="str">
        <f t="shared" ca="1" si="141"/>
        <v/>
      </c>
      <c r="W1372" s="139"/>
      <c r="Y1372" s="1"/>
    </row>
    <row r="1373" spans="3:25" ht="12" customHeight="1">
      <c r="C1373" s="343" t="str">
        <f t="shared" ca="1" si="136"/>
        <v/>
      </c>
      <c r="D1373" s="124" t="str">
        <f t="shared" ca="1" si="137"/>
        <v/>
      </c>
      <c r="E1373" s="124" t="str">
        <f t="shared" ca="1" si="138"/>
        <v/>
      </c>
      <c r="F1373" s="172" t="str">
        <f ca="1">IF(C1373="","",[1]!S_DQ_CLOSE(D1373,TODAY(),1))</f>
        <v/>
      </c>
      <c r="G1373" s="173" t="str">
        <f ca="1">IF(C1373="","",[1]!s_pq_pctchange(D1373,TODAY()-$G$12,TODAY())/100)</f>
        <v/>
      </c>
      <c r="H1373" s="249" t="str">
        <f ca="1">IF(C1373="","",IF($H$11="收入",[1]!S_STM07_IS(D1373,9,$G$5,$H$13)/$E$5,[1]!S_STM07_IS(D1373,48,$G$5,$H$13)/$E$5))</f>
        <v/>
      </c>
      <c r="I1373" s="249" t="str">
        <f ca="1">IF(C1373="","",IF($I$11="毛利率",([1]!S_STM07_IS(D1373,9,$G$5,$H$13)-[1]!S_STM07_IS(D1373,10,$G$5,$H$13))/[1]!S_STM07_IS(D1373,9,$G$5,$H$13),[1]!S_STM07_IS(D1373,14,$G$5,$H$13)/$E$5))</f>
        <v/>
      </c>
      <c r="J1373" s="249" t="str">
        <f ca="1">IF(C1373="","",IF($J$11="营业利润率",[1]!S_STM07_IS(D1373,48,$G$5,$H$13)/[1]!S_STM07_IS(D1373,9,$G$5,$H$13),([1]!S_STM07_CS(D1373,87,$G$5,$H$13)+[1]!S_STM07_CS(D1373,88,$G$5,$H$13)+[1]!S_STM07_CS(D1373,89,$G$5,$H$13))/$E$5))</f>
        <v/>
      </c>
      <c r="K1373" s="249" t="str">
        <f ca="1">IF(C1373="","",IF($K$11="净利润率",[1]!S_STM07_IS(D1373,61,$G$5,$H$13)/[1]!S_STM07_IS(D1373,9,$G$5,$H$13),[1]!S_STM07_IS(D1373,55,$G$5,$H$13)/$E$5))</f>
        <v/>
      </c>
      <c r="L1373" s="249" t="str">
        <f ca="1">IF(C1373="","",IF($L$11="ROA",[1]!S_STM07_IS(D1373,61,$G$5,$H$13)/[1]!S_STM07_BS(D1373,74,$G$5,$H$13),1-[1]!S_STM07_IS(D1373,61,$G$5,$H$13)/[1]!S_STM07_IS(D1373,55,$G$5,$H$13)))</f>
        <v/>
      </c>
      <c r="M1373" s="249" t="str">
        <f ca="1">IF(C1373="","",IF($M$11="ROE",[1]!S_STM07_IS(D1373,61,$G$5,$H$13)/[1]!S_STM07_BS(D1373,141,$G$5,$H$13),([1]!S_STM07_BS(D1373,25,$G$5,$H$13)-[1]!S_STM07_BS(D1373,93,$G$5,$H$13))/$E$5))</f>
        <v/>
      </c>
      <c r="N1373" s="250" t="str">
        <f ca="1">IF(C1373="","",IF($N$11="EPS",[1]!S_STM07_IS(D1373,61,$G$5,$H$13)/IF([1]!S_SHARE_TOTAL(D1373,$G$5)=0,[1]!S_SHARE_TOTAL(D1373,[1]!s_ipo_listeddate(D1373)),[1]!S_SHARE_TOTAL(D1373,$G$5)),([1]!S_STM07_BS(D1373,75,$G$5,$H$13)+[1]!S_STM07_BS(D1373,88,$G$5,$H$13)+[1]!S_STM07_BS(D1373,94,$G$5,$H$13)+[1]!S_STM07_BS(D1373,95,$G$5,$H$13))/$E$5))</f>
        <v/>
      </c>
      <c r="O1373" s="250" t="str">
        <f ca="1">IF(C1373="","",IF($O$11="BPS",[1]!S_STM07_BS(D1373,141,$G$5,$H$13)/IF([1]!S_SHARE_TOTAL(D1373,$G$5)=0,[1]!S_SHARE_TOTAL(D1373,[1]!s_ipo_listeddate(D1373)),[1]!S_SHARE_TOTAL(D1373,$G$5)),[1]!S_STM07_CS(D1373,49,$G$5,$H$13)/$E$5))</f>
        <v/>
      </c>
      <c r="P1373" s="250" t="str">
        <f ca="1">IF(C1373="","",IF($P$11="CFPS",[1]!S_STM07_CS(D1373,84,$G$5,$H$13)/IF([1]!S_SHARE_TOTAL(D1373,$G$5)=0,[1]!S_SHARE_TOTAL(D1373,[1]!s_ipo_listeddate(D1373)),[1]!S_SHARE_TOTAL(D1373,$G$5)),[1]!S_STM07_CS(D1373,84,$G$5,$H$13)/$E$5))</f>
        <v/>
      </c>
      <c r="Q1373" s="198" t="str">
        <f ca="1">IF(C1373="","",F1373/([1]!S_STM07_IS(D1373,61,$G$5,$H$13)/IF([1]!S_SHARE_TOTAL(D1373,$G$5)=0,[1]!S_SHARE_TOTAL(D1373,[1]!s_ipo_listeddate(D1373)),[1]!S_SHARE_TOTAL(D1373,$G$5))))</f>
        <v/>
      </c>
      <c r="R1373" s="198" t="str">
        <f ca="1">IF(C1373="","",F1373/([1]!S_STM07_BS(D1373,141,$G$5,$H$13)/IF([1]!S_SHARE_TOTAL(D1373,$G$5)=0,[1]!S_SHARE_TOTAL(D1373,[1]!s_ipo_listeddate(D1373)),[1]!S_SHARE_TOTAL(D1373,$G$5))))</f>
        <v/>
      </c>
      <c r="S1373" s="249" t="str">
        <f ca="1">IF(C1373="","",[1]!S_SHARE_TOTAL(D1373,TODAY())/$E$5)</f>
        <v/>
      </c>
      <c r="T1373" s="249" t="str">
        <f t="shared" ca="1" si="139"/>
        <v/>
      </c>
      <c r="U1373" s="172" t="str">
        <f t="shared" ca="1" si="140"/>
        <v/>
      </c>
      <c r="V1373" s="343" t="str">
        <f t="shared" ca="1" si="141"/>
        <v/>
      </c>
      <c r="W1373" s="139"/>
      <c r="Y1373" s="1"/>
    </row>
    <row r="1374" spans="3:25" ht="12" customHeight="1">
      <c r="C1374" s="342" t="str">
        <f t="shared" ca="1" si="136"/>
        <v/>
      </c>
      <c r="D1374" s="153" t="str">
        <f t="shared" ca="1" si="137"/>
        <v/>
      </c>
      <c r="E1374" s="153" t="str">
        <f t="shared" ca="1" si="138"/>
        <v/>
      </c>
      <c r="F1374" s="170" t="str">
        <f ca="1">IF(C1374="","",[1]!S_DQ_CLOSE(D1374,TODAY(),1))</f>
        <v/>
      </c>
      <c r="G1374" s="171" t="str">
        <f ca="1">IF(C1374="","",[1]!s_pq_pctchange(D1374,TODAY()-$G$12,TODAY())/100)</f>
        <v/>
      </c>
      <c r="H1374" s="247" t="str">
        <f ca="1">IF(C1374="","",IF($H$11="收入",[1]!S_STM07_IS(D1374,9,$G$5,$H$13)/$E$5,[1]!S_STM07_IS(D1374,48,$G$5,$H$13)/$E$5))</f>
        <v/>
      </c>
      <c r="I1374" s="247" t="str">
        <f ca="1">IF(C1374="","",IF($I$11="毛利率",([1]!S_STM07_IS(D1374,9,$G$5,$H$13)-[1]!S_STM07_IS(D1374,10,$G$5,$H$13))/[1]!S_STM07_IS(D1374,9,$G$5,$H$13),[1]!S_STM07_IS(D1374,14,$G$5,$H$13)/$E$5))</f>
        <v/>
      </c>
      <c r="J1374" s="247" t="str">
        <f ca="1">IF(C1374="","",IF($J$11="营业利润率",[1]!S_STM07_IS(D1374,48,$G$5,$H$13)/[1]!S_STM07_IS(D1374,9,$G$5,$H$13),([1]!S_STM07_CS(D1374,87,$G$5,$H$13)+[1]!S_STM07_CS(D1374,88,$G$5,$H$13)+[1]!S_STM07_CS(D1374,89,$G$5,$H$13))/$E$5))</f>
        <v/>
      </c>
      <c r="K1374" s="247" t="str">
        <f ca="1">IF(C1374="","",IF($K$11="净利润率",[1]!S_STM07_IS(D1374,61,$G$5,$H$13)/[1]!S_STM07_IS(D1374,9,$G$5,$H$13),[1]!S_STM07_IS(D1374,55,$G$5,$H$13)/$E$5))</f>
        <v/>
      </c>
      <c r="L1374" s="247" t="str">
        <f ca="1">IF(C1374="","",IF($L$11="ROA",[1]!S_STM07_IS(D1374,61,$G$5,$H$13)/[1]!S_STM07_BS(D1374,74,$G$5,$H$13),1-[1]!S_STM07_IS(D1374,61,$G$5,$H$13)/[1]!S_STM07_IS(D1374,55,$G$5,$H$13)))</f>
        <v/>
      </c>
      <c r="M1374" s="247" t="str">
        <f ca="1">IF(C1374="","",IF($M$11="ROE",[1]!S_STM07_IS(D1374,61,$G$5,$H$13)/[1]!S_STM07_BS(D1374,141,$G$5,$H$13),([1]!S_STM07_BS(D1374,25,$G$5,$H$13)-[1]!S_STM07_BS(D1374,93,$G$5,$H$13))/$E$5))</f>
        <v/>
      </c>
      <c r="N1374" s="247" t="str">
        <f ca="1">IF(C1374="","",IF($N$11="EPS",[1]!S_STM07_IS(D1374,61,$G$5,$H$13)/IF([1]!S_SHARE_TOTAL(D1374,$G$5)=0,[1]!S_SHARE_TOTAL(D1374,[1]!s_ipo_listeddate(D1374)),[1]!S_SHARE_TOTAL(D1374,$G$5)),([1]!S_STM07_BS(D1374,75,$G$5,$H$13)+[1]!S_STM07_BS(D1374,88,$G$5,$H$13)+[1]!S_STM07_BS(D1374,94,$G$5,$H$13)+[1]!S_STM07_BS(D1374,95,$G$5,$H$13))/$E$5))</f>
        <v/>
      </c>
      <c r="O1374" s="247" t="str">
        <f ca="1">IF(C1374="","",IF($O$11="BPS",[1]!S_STM07_BS(D1374,141,$G$5,$H$13)/IF([1]!S_SHARE_TOTAL(D1374,$G$5)=0,[1]!S_SHARE_TOTAL(D1374,[1]!s_ipo_listeddate(D1374)),[1]!S_SHARE_TOTAL(D1374,$G$5)),[1]!S_STM07_CS(D1374,49,$G$5,$H$13)/$E$5))</f>
        <v/>
      </c>
      <c r="P1374" s="247" t="str">
        <f ca="1">IF(C1374="","",IF($P$11="CFPS",[1]!S_STM07_CS(D1374,84,$G$5,$H$13)/IF([1]!S_SHARE_TOTAL(D1374,$G$5)=0,[1]!S_SHARE_TOTAL(D1374,[1]!s_ipo_listeddate(D1374)),[1]!S_SHARE_TOTAL(D1374,$G$5)),[1]!S_STM07_CS(D1374,84,$G$5,$H$13)/$E$5))</f>
        <v/>
      </c>
      <c r="Q1374" s="248" t="str">
        <f ca="1">IF(C1374="","",F1374/([1]!S_STM07_IS(D1374,61,$G$5,$H$13)/IF([1]!S_SHARE_TOTAL(D1374,$G$5)=0,[1]!S_SHARE_TOTAL(D1374,[1]!s_ipo_listeddate(D1374)),[1]!S_SHARE_TOTAL(D1374,$G$5))))</f>
        <v/>
      </c>
      <c r="R1374" s="248" t="str">
        <f ca="1">IF(C1374="","",F1374/([1]!S_STM07_BS(D1374,141,$G$5,$H$13)/IF([1]!S_SHARE_TOTAL(D1374,$G$5)=0,[1]!S_SHARE_TOTAL(D1374,[1]!s_ipo_listeddate(D1374)),[1]!S_SHARE_TOTAL(D1374,$G$5))))</f>
        <v/>
      </c>
      <c r="S1374" s="247" t="str">
        <f ca="1">IF(C1374="","",[1]!S_SHARE_TOTAL(D1374,TODAY())/$E$5)</f>
        <v/>
      </c>
      <c r="T1374" s="247" t="str">
        <f t="shared" ca="1" si="139"/>
        <v/>
      </c>
      <c r="U1374" s="218" t="str">
        <f t="shared" ca="1" si="140"/>
        <v/>
      </c>
      <c r="V1374" s="342" t="str">
        <f t="shared" ca="1" si="141"/>
        <v/>
      </c>
      <c r="W1374" s="139"/>
      <c r="Y1374" s="1"/>
    </row>
    <row r="1375" spans="3:25" ht="12" customHeight="1">
      <c r="C1375" s="343" t="str">
        <f t="shared" ca="1" si="136"/>
        <v/>
      </c>
      <c r="D1375" s="124" t="str">
        <f t="shared" ca="1" si="137"/>
        <v/>
      </c>
      <c r="E1375" s="124" t="str">
        <f t="shared" ca="1" si="138"/>
        <v/>
      </c>
      <c r="F1375" s="172" t="str">
        <f ca="1">IF(C1375="","",[1]!S_DQ_CLOSE(D1375,TODAY(),1))</f>
        <v/>
      </c>
      <c r="G1375" s="173" t="str">
        <f ca="1">IF(C1375="","",[1]!s_pq_pctchange(D1375,TODAY()-$G$12,TODAY())/100)</f>
        <v/>
      </c>
      <c r="H1375" s="249" t="str">
        <f ca="1">IF(C1375="","",IF($H$11="收入",[1]!S_STM07_IS(D1375,9,$G$5,$H$13)/$E$5,[1]!S_STM07_IS(D1375,48,$G$5,$H$13)/$E$5))</f>
        <v/>
      </c>
      <c r="I1375" s="249" t="str">
        <f ca="1">IF(C1375="","",IF($I$11="毛利率",([1]!S_STM07_IS(D1375,9,$G$5,$H$13)-[1]!S_STM07_IS(D1375,10,$G$5,$H$13))/[1]!S_STM07_IS(D1375,9,$G$5,$H$13),[1]!S_STM07_IS(D1375,14,$G$5,$H$13)/$E$5))</f>
        <v/>
      </c>
      <c r="J1375" s="249" t="str">
        <f ca="1">IF(C1375="","",IF($J$11="营业利润率",[1]!S_STM07_IS(D1375,48,$G$5,$H$13)/[1]!S_STM07_IS(D1375,9,$G$5,$H$13),([1]!S_STM07_CS(D1375,87,$G$5,$H$13)+[1]!S_STM07_CS(D1375,88,$G$5,$H$13)+[1]!S_STM07_CS(D1375,89,$G$5,$H$13))/$E$5))</f>
        <v/>
      </c>
      <c r="K1375" s="249" t="str">
        <f ca="1">IF(C1375="","",IF($K$11="净利润率",[1]!S_STM07_IS(D1375,61,$G$5,$H$13)/[1]!S_STM07_IS(D1375,9,$G$5,$H$13),[1]!S_STM07_IS(D1375,55,$G$5,$H$13)/$E$5))</f>
        <v/>
      </c>
      <c r="L1375" s="249" t="str">
        <f ca="1">IF(C1375="","",IF($L$11="ROA",[1]!S_STM07_IS(D1375,61,$G$5,$H$13)/[1]!S_STM07_BS(D1375,74,$G$5,$H$13),1-[1]!S_STM07_IS(D1375,61,$G$5,$H$13)/[1]!S_STM07_IS(D1375,55,$G$5,$H$13)))</f>
        <v/>
      </c>
      <c r="M1375" s="249" t="str">
        <f ca="1">IF(C1375="","",IF($M$11="ROE",[1]!S_STM07_IS(D1375,61,$G$5,$H$13)/[1]!S_STM07_BS(D1375,141,$G$5,$H$13),([1]!S_STM07_BS(D1375,25,$G$5,$H$13)-[1]!S_STM07_BS(D1375,93,$G$5,$H$13))/$E$5))</f>
        <v/>
      </c>
      <c r="N1375" s="250" t="str">
        <f ca="1">IF(C1375="","",IF($N$11="EPS",[1]!S_STM07_IS(D1375,61,$G$5,$H$13)/IF([1]!S_SHARE_TOTAL(D1375,$G$5)=0,[1]!S_SHARE_TOTAL(D1375,[1]!s_ipo_listeddate(D1375)),[1]!S_SHARE_TOTAL(D1375,$G$5)),([1]!S_STM07_BS(D1375,75,$G$5,$H$13)+[1]!S_STM07_BS(D1375,88,$G$5,$H$13)+[1]!S_STM07_BS(D1375,94,$G$5,$H$13)+[1]!S_STM07_BS(D1375,95,$G$5,$H$13))/$E$5))</f>
        <v/>
      </c>
      <c r="O1375" s="250" t="str">
        <f ca="1">IF(C1375="","",IF($O$11="BPS",[1]!S_STM07_BS(D1375,141,$G$5,$H$13)/IF([1]!S_SHARE_TOTAL(D1375,$G$5)=0,[1]!S_SHARE_TOTAL(D1375,[1]!s_ipo_listeddate(D1375)),[1]!S_SHARE_TOTAL(D1375,$G$5)),[1]!S_STM07_CS(D1375,49,$G$5,$H$13)/$E$5))</f>
        <v/>
      </c>
      <c r="P1375" s="250" t="str">
        <f ca="1">IF(C1375="","",IF($P$11="CFPS",[1]!S_STM07_CS(D1375,84,$G$5,$H$13)/IF([1]!S_SHARE_TOTAL(D1375,$G$5)=0,[1]!S_SHARE_TOTAL(D1375,[1]!s_ipo_listeddate(D1375)),[1]!S_SHARE_TOTAL(D1375,$G$5)),[1]!S_STM07_CS(D1375,84,$G$5,$H$13)/$E$5))</f>
        <v/>
      </c>
      <c r="Q1375" s="198" t="str">
        <f ca="1">IF(C1375="","",F1375/([1]!S_STM07_IS(D1375,61,$G$5,$H$13)/IF([1]!S_SHARE_TOTAL(D1375,$G$5)=0,[1]!S_SHARE_TOTAL(D1375,[1]!s_ipo_listeddate(D1375)),[1]!S_SHARE_TOTAL(D1375,$G$5))))</f>
        <v/>
      </c>
      <c r="R1375" s="198" t="str">
        <f ca="1">IF(C1375="","",F1375/([1]!S_STM07_BS(D1375,141,$G$5,$H$13)/IF([1]!S_SHARE_TOTAL(D1375,$G$5)=0,[1]!S_SHARE_TOTAL(D1375,[1]!s_ipo_listeddate(D1375)),[1]!S_SHARE_TOTAL(D1375,$G$5))))</f>
        <v/>
      </c>
      <c r="S1375" s="249" t="str">
        <f ca="1">IF(C1375="","",[1]!S_SHARE_TOTAL(D1375,TODAY())/$E$5)</f>
        <v/>
      </c>
      <c r="T1375" s="249" t="str">
        <f t="shared" ca="1" si="139"/>
        <v/>
      </c>
      <c r="U1375" s="172" t="str">
        <f t="shared" ca="1" si="140"/>
        <v/>
      </c>
      <c r="V1375" s="343" t="str">
        <f t="shared" ca="1" si="141"/>
        <v/>
      </c>
      <c r="W1375" s="139"/>
      <c r="Y1375" s="1"/>
    </row>
    <row r="1376" spans="3:25" ht="12" customHeight="1">
      <c r="C1376" s="342" t="str">
        <f t="shared" ca="1" si="136"/>
        <v/>
      </c>
      <c r="D1376" s="153" t="str">
        <f t="shared" ca="1" si="137"/>
        <v/>
      </c>
      <c r="E1376" s="153" t="str">
        <f t="shared" ca="1" si="138"/>
        <v/>
      </c>
      <c r="F1376" s="170" t="str">
        <f ca="1">IF(C1376="","",[1]!S_DQ_CLOSE(D1376,TODAY(),1))</f>
        <v/>
      </c>
      <c r="G1376" s="171" t="str">
        <f ca="1">IF(C1376="","",[1]!s_pq_pctchange(D1376,TODAY()-$G$12,TODAY())/100)</f>
        <v/>
      </c>
      <c r="H1376" s="247" t="str">
        <f ca="1">IF(C1376="","",IF($H$11="收入",[1]!S_STM07_IS(D1376,9,$G$5,$H$13)/$E$5,[1]!S_STM07_IS(D1376,48,$G$5,$H$13)/$E$5))</f>
        <v/>
      </c>
      <c r="I1376" s="247" t="str">
        <f ca="1">IF(C1376="","",IF($I$11="毛利率",([1]!S_STM07_IS(D1376,9,$G$5,$H$13)-[1]!S_STM07_IS(D1376,10,$G$5,$H$13))/[1]!S_STM07_IS(D1376,9,$G$5,$H$13),[1]!S_STM07_IS(D1376,14,$G$5,$H$13)/$E$5))</f>
        <v/>
      </c>
      <c r="J1376" s="247" t="str">
        <f ca="1">IF(C1376="","",IF($J$11="营业利润率",[1]!S_STM07_IS(D1376,48,$G$5,$H$13)/[1]!S_STM07_IS(D1376,9,$G$5,$H$13),([1]!S_STM07_CS(D1376,87,$G$5,$H$13)+[1]!S_STM07_CS(D1376,88,$G$5,$H$13)+[1]!S_STM07_CS(D1376,89,$G$5,$H$13))/$E$5))</f>
        <v/>
      </c>
      <c r="K1376" s="247" t="str">
        <f ca="1">IF(C1376="","",IF($K$11="净利润率",[1]!S_STM07_IS(D1376,61,$G$5,$H$13)/[1]!S_STM07_IS(D1376,9,$G$5,$H$13),[1]!S_STM07_IS(D1376,55,$G$5,$H$13)/$E$5))</f>
        <v/>
      </c>
      <c r="L1376" s="247" t="str">
        <f ca="1">IF(C1376="","",IF($L$11="ROA",[1]!S_STM07_IS(D1376,61,$G$5,$H$13)/[1]!S_STM07_BS(D1376,74,$G$5,$H$13),1-[1]!S_STM07_IS(D1376,61,$G$5,$H$13)/[1]!S_STM07_IS(D1376,55,$G$5,$H$13)))</f>
        <v/>
      </c>
      <c r="M1376" s="247" t="str">
        <f ca="1">IF(C1376="","",IF($M$11="ROE",[1]!S_STM07_IS(D1376,61,$G$5,$H$13)/[1]!S_STM07_BS(D1376,141,$G$5,$H$13),([1]!S_STM07_BS(D1376,25,$G$5,$H$13)-[1]!S_STM07_BS(D1376,93,$G$5,$H$13))/$E$5))</f>
        <v/>
      </c>
      <c r="N1376" s="247" t="str">
        <f ca="1">IF(C1376="","",IF($N$11="EPS",[1]!S_STM07_IS(D1376,61,$G$5,$H$13)/IF([1]!S_SHARE_TOTAL(D1376,$G$5)=0,[1]!S_SHARE_TOTAL(D1376,[1]!s_ipo_listeddate(D1376)),[1]!S_SHARE_TOTAL(D1376,$G$5)),([1]!S_STM07_BS(D1376,75,$G$5,$H$13)+[1]!S_STM07_BS(D1376,88,$G$5,$H$13)+[1]!S_STM07_BS(D1376,94,$G$5,$H$13)+[1]!S_STM07_BS(D1376,95,$G$5,$H$13))/$E$5))</f>
        <v/>
      </c>
      <c r="O1376" s="247" t="str">
        <f ca="1">IF(C1376="","",IF($O$11="BPS",[1]!S_STM07_BS(D1376,141,$G$5,$H$13)/IF([1]!S_SHARE_TOTAL(D1376,$G$5)=0,[1]!S_SHARE_TOTAL(D1376,[1]!s_ipo_listeddate(D1376)),[1]!S_SHARE_TOTAL(D1376,$G$5)),[1]!S_STM07_CS(D1376,49,$G$5,$H$13)/$E$5))</f>
        <v/>
      </c>
      <c r="P1376" s="247" t="str">
        <f ca="1">IF(C1376="","",IF($P$11="CFPS",[1]!S_STM07_CS(D1376,84,$G$5,$H$13)/IF([1]!S_SHARE_TOTAL(D1376,$G$5)=0,[1]!S_SHARE_TOTAL(D1376,[1]!s_ipo_listeddate(D1376)),[1]!S_SHARE_TOTAL(D1376,$G$5)),[1]!S_STM07_CS(D1376,84,$G$5,$H$13)/$E$5))</f>
        <v/>
      </c>
      <c r="Q1376" s="248" t="str">
        <f ca="1">IF(C1376="","",F1376/([1]!S_STM07_IS(D1376,61,$G$5,$H$13)/IF([1]!S_SHARE_TOTAL(D1376,$G$5)=0,[1]!S_SHARE_TOTAL(D1376,[1]!s_ipo_listeddate(D1376)),[1]!S_SHARE_TOTAL(D1376,$G$5))))</f>
        <v/>
      </c>
      <c r="R1376" s="248" t="str">
        <f ca="1">IF(C1376="","",F1376/([1]!S_STM07_BS(D1376,141,$G$5,$H$13)/IF([1]!S_SHARE_TOTAL(D1376,$G$5)=0,[1]!S_SHARE_TOTAL(D1376,[1]!s_ipo_listeddate(D1376)),[1]!S_SHARE_TOTAL(D1376,$G$5))))</f>
        <v/>
      </c>
      <c r="S1376" s="247" t="str">
        <f ca="1">IF(C1376="","",[1]!S_SHARE_TOTAL(D1376,TODAY())/$E$5)</f>
        <v/>
      </c>
      <c r="T1376" s="247" t="str">
        <f t="shared" ca="1" si="139"/>
        <v/>
      </c>
      <c r="U1376" s="218" t="str">
        <f t="shared" ca="1" si="140"/>
        <v/>
      </c>
      <c r="V1376" s="342" t="str">
        <f t="shared" ca="1" si="141"/>
        <v/>
      </c>
      <c r="W1376" s="139"/>
      <c r="Y1376" s="1"/>
    </row>
    <row r="1377" spans="3:25" ht="12" customHeight="1">
      <c r="C1377" s="343" t="str">
        <f t="shared" ca="1" si="136"/>
        <v/>
      </c>
      <c r="D1377" s="124" t="str">
        <f t="shared" ca="1" si="137"/>
        <v/>
      </c>
      <c r="E1377" s="124" t="str">
        <f t="shared" ca="1" si="138"/>
        <v/>
      </c>
      <c r="F1377" s="172" t="str">
        <f ca="1">IF(C1377="","",[1]!S_DQ_CLOSE(D1377,TODAY(),1))</f>
        <v/>
      </c>
      <c r="G1377" s="173" t="str">
        <f ca="1">IF(C1377="","",[1]!s_pq_pctchange(D1377,TODAY()-$G$12,TODAY())/100)</f>
        <v/>
      </c>
      <c r="H1377" s="249" t="str">
        <f ca="1">IF(C1377="","",IF($H$11="收入",[1]!S_STM07_IS(D1377,9,$G$5,$H$13)/$E$5,[1]!S_STM07_IS(D1377,48,$G$5,$H$13)/$E$5))</f>
        <v/>
      </c>
      <c r="I1377" s="249" t="str">
        <f ca="1">IF(C1377="","",IF($I$11="毛利率",([1]!S_STM07_IS(D1377,9,$G$5,$H$13)-[1]!S_STM07_IS(D1377,10,$G$5,$H$13))/[1]!S_STM07_IS(D1377,9,$G$5,$H$13),[1]!S_STM07_IS(D1377,14,$G$5,$H$13)/$E$5))</f>
        <v/>
      </c>
      <c r="J1377" s="249" t="str">
        <f ca="1">IF(C1377="","",IF($J$11="营业利润率",[1]!S_STM07_IS(D1377,48,$G$5,$H$13)/[1]!S_STM07_IS(D1377,9,$G$5,$H$13),([1]!S_STM07_CS(D1377,87,$G$5,$H$13)+[1]!S_STM07_CS(D1377,88,$G$5,$H$13)+[1]!S_STM07_CS(D1377,89,$G$5,$H$13))/$E$5))</f>
        <v/>
      </c>
      <c r="K1377" s="249" t="str">
        <f ca="1">IF(C1377="","",IF($K$11="净利润率",[1]!S_STM07_IS(D1377,61,$G$5,$H$13)/[1]!S_STM07_IS(D1377,9,$G$5,$H$13),[1]!S_STM07_IS(D1377,55,$G$5,$H$13)/$E$5))</f>
        <v/>
      </c>
      <c r="L1377" s="249" t="str">
        <f ca="1">IF(C1377="","",IF($L$11="ROA",[1]!S_STM07_IS(D1377,61,$G$5,$H$13)/[1]!S_STM07_BS(D1377,74,$G$5,$H$13),1-[1]!S_STM07_IS(D1377,61,$G$5,$H$13)/[1]!S_STM07_IS(D1377,55,$G$5,$H$13)))</f>
        <v/>
      </c>
      <c r="M1377" s="249" t="str">
        <f ca="1">IF(C1377="","",IF($M$11="ROE",[1]!S_STM07_IS(D1377,61,$G$5,$H$13)/[1]!S_STM07_BS(D1377,141,$G$5,$H$13),([1]!S_STM07_BS(D1377,25,$G$5,$H$13)-[1]!S_STM07_BS(D1377,93,$G$5,$H$13))/$E$5))</f>
        <v/>
      </c>
      <c r="N1377" s="250" t="str">
        <f ca="1">IF(C1377="","",IF($N$11="EPS",[1]!S_STM07_IS(D1377,61,$G$5,$H$13)/IF([1]!S_SHARE_TOTAL(D1377,$G$5)=0,[1]!S_SHARE_TOTAL(D1377,[1]!s_ipo_listeddate(D1377)),[1]!S_SHARE_TOTAL(D1377,$G$5)),([1]!S_STM07_BS(D1377,75,$G$5,$H$13)+[1]!S_STM07_BS(D1377,88,$G$5,$H$13)+[1]!S_STM07_BS(D1377,94,$G$5,$H$13)+[1]!S_STM07_BS(D1377,95,$G$5,$H$13))/$E$5))</f>
        <v/>
      </c>
      <c r="O1377" s="250" t="str">
        <f ca="1">IF(C1377="","",IF($O$11="BPS",[1]!S_STM07_BS(D1377,141,$G$5,$H$13)/IF([1]!S_SHARE_TOTAL(D1377,$G$5)=0,[1]!S_SHARE_TOTAL(D1377,[1]!s_ipo_listeddate(D1377)),[1]!S_SHARE_TOTAL(D1377,$G$5)),[1]!S_STM07_CS(D1377,49,$G$5,$H$13)/$E$5))</f>
        <v/>
      </c>
      <c r="P1377" s="250" t="str">
        <f ca="1">IF(C1377="","",IF($P$11="CFPS",[1]!S_STM07_CS(D1377,84,$G$5,$H$13)/IF([1]!S_SHARE_TOTAL(D1377,$G$5)=0,[1]!S_SHARE_TOTAL(D1377,[1]!s_ipo_listeddate(D1377)),[1]!S_SHARE_TOTAL(D1377,$G$5)),[1]!S_STM07_CS(D1377,84,$G$5,$H$13)/$E$5))</f>
        <v/>
      </c>
      <c r="Q1377" s="198" t="str">
        <f ca="1">IF(C1377="","",F1377/([1]!S_STM07_IS(D1377,61,$G$5,$H$13)/IF([1]!S_SHARE_TOTAL(D1377,$G$5)=0,[1]!S_SHARE_TOTAL(D1377,[1]!s_ipo_listeddate(D1377)),[1]!S_SHARE_TOTAL(D1377,$G$5))))</f>
        <v/>
      </c>
      <c r="R1377" s="198" t="str">
        <f ca="1">IF(C1377="","",F1377/([1]!S_STM07_BS(D1377,141,$G$5,$H$13)/IF([1]!S_SHARE_TOTAL(D1377,$G$5)=0,[1]!S_SHARE_TOTAL(D1377,[1]!s_ipo_listeddate(D1377)),[1]!S_SHARE_TOTAL(D1377,$G$5))))</f>
        <v/>
      </c>
      <c r="S1377" s="249" t="str">
        <f ca="1">IF(C1377="","",[1]!S_SHARE_TOTAL(D1377,TODAY())/$E$5)</f>
        <v/>
      </c>
      <c r="T1377" s="249" t="str">
        <f t="shared" ca="1" si="139"/>
        <v/>
      </c>
      <c r="U1377" s="172" t="str">
        <f t="shared" ca="1" si="140"/>
        <v/>
      </c>
      <c r="V1377" s="343" t="str">
        <f t="shared" ca="1" si="141"/>
        <v/>
      </c>
      <c r="W1377" s="139"/>
      <c r="Y1377" s="1"/>
    </row>
    <row r="1378" spans="3:25" ht="12" customHeight="1">
      <c r="C1378" s="342" t="str">
        <f t="shared" ca="1" si="136"/>
        <v/>
      </c>
      <c r="D1378" s="153" t="str">
        <f t="shared" ca="1" si="137"/>
        <v/>
      </c>
      <c r="E1378" s="153" t="str">
        <f t="shared" ca="1" si="138"/>
        <v/>
      </c>
      <c r="F1378" s="170" t="str">
        <f ca="1">IF(C1378="","",[1]!S_DQ_CLOSE(D1378,TODAY(),1))</f>
        <v/>
      </c>
      <c r="G1378" s="171" t="str">
        <f ca="1">IF(C1378="","",[1]!s_pq_pctchange(D1378,TODAY()-$G$12,TODAY())/100)</f>
        <v/>
      </c>
      <c r="H1378" s="247" t="str">
        <f ca="1">IF(C1378="","",IF($H$11="收入",[1]!S_STM07_IS(D1378,9,$G$5,$H$13)/$E$5,[1]!S_STM07_IS(D1378,48,$G$5,$H$13)/$E$5))</f>
        <v/>
      </c>
      <c r="I1378" s="247" t="str">
        <f ca="1">IF(C1378="","",IF($I$11="毛利率",([1]!S_STM07_IS(D1378,9,$G$5,$H$13)-[1]!S_STM07_IS(D1378,10,$G$5,$H$13))/[1]!S_STM07_IS(D1378,9,$G$5,$H$13),[1]!S_STM07_IS(D1378,14,$G$5,$H$13)/$E$5))</f>
        <v/>
      </c>
      <c r="J1378" s="247" t="str">
        <f ca="1">IF(C1378="","",IF($J$11="营业利润率",[1]!S_STM07_IS(D1378,48,$G$5,$H$13)/[1]!S_STM07_IS(D1378,9,$G$5,$H$13),([1]!S_STM07_CS(D1378,87,$G$5,$H$13)+[1]!S_STM07_CS(D1378,88,$G$5,$H$13)+[1]!S_STM07_CS(D1378,89,$G$5,$H$13))/$E$5))</f>
        <v/>
      </c>
      <c r="K1378" s="247" t="str">
        <f ca="1">IF(C1378="","",IF($K$11="净利润率",[1]!S_STM07_IS(D1378,61,$G$5,$H$13)/[1]!S_STM07_IS(D1378,9,$G$5,$H$13),[1]!S_STM07_IS(D1378,55,$G$5,$H$13)/$E$5))</f>
        <v/>
      </c>
      <c r="L1378" s="247" t="str">
        <f ca="1">IF(C1378="","",IF($L$11="ROA",[1]!S_STM07_IS(D1378,61,$G$5,$H$13)/[1]!S_STM07_BS(D1378,74,$G$5,$H$13),1-[1]!S_STM07_IS(D1378,61,$G$5,$H$13)/[1]!S_STM07_IS(D1378,55,$G$5,$H$13)))</f>
        <v/>
      </c>
      <c r="M1378" s="247" t="str">
        <f ca="1">IF(C1378="","",IF($M$11="ROE",[1]!S_STM07_IS(D1378,61,$G$5,$H$13)/[1]!S_STM07_BS(D1378,141,$G$5,$H$13),([1]!S_STM07_BS(D1378,25,$G$5,$H$13)-[1]!S_STM07_BS(D1378,93,$G$5,$H$13))/$E$5))</f>
        <v/>
      </c>
      <c r="N1378" s="247" t="str">
        <f ca="1">IF(C1378="","",IF($N$11="EPS",[1]!S_STM07_IS(D1378,61,$G$5,$H$13)/IF([1]!S_SHARE_TOTAL(D1378,$G$5)=0,[1]!S_SHARE_TOTAL(D1378,[1]!s_ipo_listeddate(D1378)),[1]!S_SHARE_TOTAL(D1378,$G$5)),([1]!S_STM07_BS(D1378,75,$G$5,$H$13)+[1]!S_STM07_BS(D1378,88,$G$5,$H$13)+[1]!S_STM07_BS(D1378,94,$G$5,$H$13)+[1]!S_STM07_BS(D1378,95,$G$5,$H$13))/$E$5))</f>
        <v/>
      </c>
      <c r="O1378" s="247" t="str">
        <f ca="1">IF(C1378="","",IF($O$11="BPS",[1]!S_STM07_BS(D1378,141,$G$5,$H$13)/IF([1]!S_SHARE_TOTAL(D1378,$G$5)=0,[1]!S_SHARE_TOTAL(D1378,[1]!s_ipo_listeddate(D1378)),[1]!S_SHARE_TOTAL(D1378,$G$5)),[1]!S_STM07_CS(D1378,49,$G$5,$H$13)/$E$5))</f>
        <v/>
      </c>
      <c r="P1378" s="247" t="str">
        <f ca="1">IF(C1378="","",IF($P$11="CFPS",[1]!S_STM07_CS(D1378,84,$G$5,$H$13)/IF([1]!S_SHARE_TOTAL(D1378,$G$5)=0,[1]!S_SHARE_TOTAL(D1378,[1]!s_ipo_listeddate(D1378)),[1]!S_SHARE_TOTAL(D1378,$G$5)),[1]!S_STM07_CS(D1378,84,$G$5,$H$13)/$E$5))</f>
        <v/>
      </c>
      <c r="Q1378" s="248" t="str">
        <f ca="1">IF(C1378="","",F1378/([1]!S_STM07_IS(D1378,61,$G$5,$H$13)/IF([1]!S_SHARE_TOTAL(D1378,$G$5)=0,[1]!S_SHARE_TOTAL(D1378,[1]!s_ipo_listeddate(D1378)),[1]!S_SHARE_TOTAL(D1378,$G$5))))</f>
        <v/>
      </c>
      <c r="R1378" s="248" t="str">
        <f ca="1">IF(C1378="","",F1378/([1]!S_STM07_BS(D1378,141,$G$5,$H$13)/IF([1]!S_SHARE_TOTAL(D1378,$G$5)=0,[1]!S_SHARE_TOTAL(D1378,[1]!s_ipo_listeddate(D1378)),[1]!S_SHARE_TOTAL(D1378,$G$5))))</f>
        <v/>
      </c>
      <c r="S1378" s="247" t="str">
        <f ca="1">IF(C1378="","",[1]!S_SHARE_TOTAL(D1378,TODAY())/$E$5)</f>
        <v/>
      </c>
      <c r="T1378" s="247" t="str">
        <f t="shared" ca="1" si="139"/>
        <v/>
      </c>
      <c r="U1378" s="218" t="str">
        <f t="shared" ca="1" si="140"/>
        <v/>
      </c>
      <c r="V1378" s="342" t="str">
        <f t="shared" ca="1" si="141"/>
        <v/>
      </c>
      <c r="W1378" s="139"/>
      <c r="Y1378" s="1"/>
    </row>
    <row r="1379" spans="3:25" ht="12" customHeight="1">
      <c r="C1379" s="343" t="str">
        <f t="shared" ca="1" si="136"/>
        <v/>
      </c>
      <c r="D1379" s="124" t="str">
        <f t="shared" ca="1" si="137"/>
        <v/>
      </c>
      <c r="E1379" s="124" t="str">
        <f t="shared" ca="1" si="138"/>
        <v/>
      </c>
      <c r="F1379" s="172" t="str">
        <f ca="1">IF(C1379="","",[1]!S_DQ_CLOSE(D1379,TODAY(),1))</f>
        <v/>
      </c>
      <c r="G1379" s="173" t="str">
        <f ca="1">IF(C1379="","",[1]!s_pq_pctchange(D1379,TODAY()-$G$12,TODAY())/100)</f>
        <v/>
      </c>
      <c r="H1379" s="249" t="str">
        <f ca="1">IF(C1379="","",IF($H$11="收入",[1]!S_STM07_IS(D1379,9,$G$5,$H$13)/$E$5,[1]!S_STM07_IS(D1379,48,$G$5,$H$13)/$E$5))</f>
        <v/>
      </c>
      <c r="I1379" s="249" t="str">
        <f ca="1">IF(C1379="","",IF($I$11="毛利率",([1]!S_STM07_IS(D1379,9,$G$5,$H$13)-[1]!S_STM07_IS(D1379,10,$G$5,$H$13))/[1]!S_STM07_IS(D1379,9,$G$5,$H$13),[1]!S_STM07_IS(D1379,14,$G$5,$H$13)/$E$5))</f>
        <v/>
      </c>
      <c r="J1379" s="249" t="str">
        <f ca="1">IF(C1379="","",IF($J$11="营业利润率",[1]!S_STM07_IS(D1379,48,$G$5,$H$13)/[1]!S_STM07_IS(D1379,9,$G$5,$H$13),([1]!S_STM07_CS(D1379,87,$G$5,$H$13)+[1]!S_STM07_CS(D1379,88,$G$5,$H$13)+[1]!S_STM07_CS(D1379,89,$G$5,$H$13))/$E$5))</f>
        <v/>
      </c>
      <c r="K1379" s="249" t="str">
        <f ca="1">IF(C1379="","",IF($K$11="净利润率",[1]!S_STM07_IS(D1379,61,$G$5,$H$13)/[1]!S_STM07_IS(D1379,9,$G$5,$H$13),[1]!S_STM07_IS(D1379,55,$G$5,$H$13)/$E$5))</f>
        <v/>
      </c>
      <c r="L1379" s="249" t="str">
        <f ca="1">IF(C1379="","",IF($L$11="ROA",[1]!S_STM07_IS(D1379,61,$G$5,$H$13)/[1]!S_STM07_BS(D1379,74,$G$5,$H$13),1-[1]!S_STM07_IS(D1379,61,$G$5,$H$13)/[1]!S_STM07_IS(D1379,55,$G$5,$H$13)))</f>
        <v/>
      </c>
      <c r="M1379" s="249" t="str">
        <f ca="1">IF(C1379="","",IF($M$11="ROE",[1]!S_STM07_IS(D1379,61,$G$5,$H$13)/[1]!S_STM07_BS(D1379,141,$G$5,$H$13),([1]!S_STM07_BS(D1379,25,$G$5,$H$13)-[1]!S_STM07_BS(D1379,93,$G$5,$H$13))/$E$5))</f>
        <v/>
      </c>
      <c r="N1379" s="250" t="str">
        <f ca="1">IF(C1379="","",IF($N$11="EPS",[1]!S_STM07_IS(D1379,61,$G$5,$H$13)/IF([1]!S_SHARE_TOTAL(D1379,$G$5)=0,[1]!S_SHARE_TOTAL(D1379,[1]!s_ipo_listeddate(D1379)),[1]!S_SHARE_TOTAL(D1379,$G$5)),([1]!S_STM07_BS(D1379,75,$G$5,$H$13)+[1]!S_STM07_BS(D1379,88,$G$5,$H$13)+[1]!S_STM07_BS(D1379,94,$G$5,$H$13)+[1]!S_STM07_BS(D1379,95,$G$5,$H$13))/$E$5))</f>
        <v/>
      </c>
      <c r="O1379" s="250" t="str">
        <f ca="1">IF(C1379="","",IF($O$11="BPS",[1]!S_STM07_BS(D1379,141,$G$5,$H$13)/IF([1]!S_SHARE_TOTAL(D1379,$G$5)=0,[1]!S_SHARE_TOTAL(D1379,[1]!s_ipo_listeddate(D1379)),[1]!S_SHARE_TOTAL(D1379,$G$5)),[1]!S_STM07_CS(D1379,49,$G$5,$H$13)/$E$5))</f>
        <v/>
      </c>
      <c r="P1379" s="250" t="str">
        <f ca="1">IF(C1379="","",IF($P$11="CFPS",[1]!S_STM07_CS(D1379,84,$G$5,$H$13)/IF([1]!S_SHARE_TOTAL(D1379,$G$5)=0,[1]!S_SHARE_TOTAL(D1379,[1]!s_ipo_listeddate(D1379)),[1]!S_SHARE_TOTAL(D1379,$G$5)),[1]!S_STM07_CS(D1379,84,$G$5,$H$13)/$E$5))</f>
        <v/>
      </c>
      <c r="Q1379" s="198" t="str">
        <f ca="1">IF(C1379="","",F1379/([1]!S_STM07_IS(D1379,61,$G$5,$H$13)/IF([1]!S_SHARE_TOTAL(D1379,$G$5)=0,[1]!S_SHARE_TOTAL(D1379,[1]!s_ipo_listeddate(D1379)),[1]!S_SHARE_TOTAL(D1379,$G$5))))</f>
        <v/>
      </c>
      <c r="R1379" s="198" t="str">
        <f ca="1">IF(C1379="","",F1379/([1]!S_STM07_BS(D1379,141,$G$5,$H$13)/IF([1]!S_SHARE_TOTAL(D1379,$G$5)=0,[1]!S_SHARE_TOTAL(D1379,[1]!s_ipo_listeddate(D1379)),[1]!S_SHARE_TOTAL(D1379,$G$5))))</f>
        <v/>
      </c>
      <c r="S1379" s="249" t="str">
        <f ca="1">IF(C1379="","",[1]!S_SHARE_TOTAL(D1379,TODAY())/$E$5)</f>
        <v/>
      </c>
      <c r="T1379" s="249" t="str">
        <f t="shared" ca="1" si="139"/>
        <v/>
      </c>
      <c r="U1379" s="172" t="str">
        <f t="shared" ca="1" si="140"/>
        <v/>
      </c>
      <c r="V1379" s="343" t="str">
        <f t="shared" ca="1" si="141"/>
        <v/>
      </c>
      <c r="W1379" s="139"/>
      <c r="Y1379" s="1"/>
    </row>
    <row r="1380" spans="3:25" ht="12" customHeight="1">
      <c r="C1380" s="342" t="str">
        <f t="shared" ca="1" si="136"/>
        <v/>
      </c>
      <c r="D1380" s="153" t="str">
        <f t="shared" ca="1" si="137"/>
        <v/>
      </c>
      <c r="E1380" s="153" t="str">
        <f t="shared" ca="1" si="138"/>
        <v/>
      </c>
      <c r="F1380" s="170" t="str">
        <f ca="1">IF(C1380="","",[1]!S_DQ_CLOSE(D1380,TODAY(),1))</f>
        <v/>
      </c>
      <c r="G1380" s="171" t="str">
        <f ca="1">IF(C1380="","",[1]!s_pq_pctchange(D1380,TODAY()-$G$12,TODAY())/100)</f>
        <v/>
      </c>
      <c r="H1380" s="247" t="str">
        <f ca="1">IF(C1380="","",IF($H$11="收入",[1]!S_STM07_IS(D1380,9,$G$5,$H$13)/$E$5,[1]!S_STM07_IS(D1380,48,$G$5,$H$13)/$E$5))</f>
        <v/>
      </c>
      <c r="I1380" s="247" t="str">
        <f ca="1">IF(C1380="","",IF($I$11="毛利率",([1]!S_STM07_IS(D1380,9,$G$5,$H$13)-[1]!S_STM07_IS(D1380,10,$G$5,$H$13))/[1]!S_STM07_IS(D1380,9,$G$5,$H$13),[1]!S_STM07_IS(D1380,14,$G$5,$H$13)/$E$5))</f>
        <v/>
      </c>
      <c r="J1380" s="247" t="str">
        <f ca="1">IF(C1380="","",IF($J$11="营业利润率",[1]!S_STM07_IS(D1380,48,$G$5,$H$13)/[1]!S_STM07_IS(D1380,9,$G$5,$H$13),([1]!S_STM07_CS(D1380,87,$G$5,$H$13)+[1]!S_STM07_CS(D1380,88,$G$5,$H$13)+[1]!S_STM07_CS(D1380,89,$G$5,$H$13))/$E$5))</f>
        <v/>
      </c>
      <c r="K1380" s="247" t="str">
        <f ca="1">IF(C1380="","",IF($K$11="净利润率",[1]!S_STM07_IS(D1380,61,$G$5,$H$13)/[1]!S_STM07_IS(D1380,9,$G$5,$H$13),[1]!S_STM07_IS(D1380,55,$G$5,$H$13)/$E$5))</f>
        <v/>
      </c>
      <c r="L1380" s="247" t="str">
        <f ca="1">IF(C1380="","",IF($L$11="ROA",[1]!S_STM07_IS(D1380,61,$G$5,$H$13)/[1]!S_STM07_BS(D1380,74,$G$5,$H$13),1-[1]!S_STM07_IS(D1380,61,$G$5,$H$13)/[1]!S_STM07_IS(D1380,55,$G$5,$H$13)))</f>
        <v/>
      </c>
      <c r="M1380" s="247" t="str">
        <f ca="1">IF(C1380="","",IF($M$11="ROE",[1]!S_STM07_IS(D1380,61,$G$5,$H$13)/[1]!S_STM07_BS(D1380,141,$G$5,$H$13),([1]!S_STM07_BS(D1380,25,$G$5,$H$13)-[1]!S_STM07_BS(D1380,93,$G$5,$H$13))/$E$5))</f>
        <v/>
      </c>
      <c r="N1380" s="247" t="str">
        <f ca="1">IF(C1380="","",IF($N$11="EPS",[1]!S_STM07_IS(D1380,61,$G$5,$H$13)/IF([1]!S_SHARE_TOTAL(D1380,$G$5)=0,[1]!S_SHARE_TOTAL(D1380,[1]!s_ipo_listeddate(D1380)),[1]!S_SHARE_TOTAL(D1380,$G$5)),([1]!S_STM07_BS(D1380,75,$G$5,$H$13)+[1]!S_STM07_BS(D1380,88,$G$5,$H$13)+[1]!S_STM07_BS(D1380,94,$G$5,$H$13)+[1]!S_STM07_BS(D1380,95,$G$5,$H$13))/$E$5))</f>
        <v/>
      </c>
      <c r="O1380" s="247" t="str">
        <f ca="1">IF(C1380="","",IF($O$11="BPS",[1]!S_STM07_BS(D1380,141,$G$5,$H$13)/IF([1]!S_SHARE_TOTAL(D1380,$G$5)=0,[1]!S_SHARE_TOTAL(D1380,[1]!s_ipo_listeddate(D1380)),[1]!S_SHARE_TOTAL(D1380,$G$5)),[1]!S_STM07_CS(D1380,49,$G$5,$H$13)/$E$5))</f>
        <v/>
      </c>
      <c r="P1380" s="247" t="str">
        <f ca="1">IF(C1380="","",IF($P$11="CFPS",[1]!S_STM07_CS(D1380,84,$G$5,$H$13)/IF([1]!S_SHARE_TOTAL(D1380,$G$5)=0,[1]!S_SHARE_TOTAL(D1380,[1]!s_ipo_listeddate(D1380)),[1]!S_SHARE_TOTAL(D1380,$G$5)),[1]!S_STM07_CS(D1380,84,$G$5,$H$13)/$E$5))</f>
        <v/>
      </c>
      <c r="Q1380" s="248" t="str">
        <f ca="1">IF(C1380="","",F1380/([1]!S_STM07_IS(D1380,61,$G$5,$H$13)/IF([1]!S_SHARE_TOTAL(D1380,$G$5)=0,[1]!S_SHARE_TOTAL(D1380,[1]!s_ipo_listeddate(D1380)),[1]!S_SHARE_TOTAL(D1380,$G$5))))</f>
        <v/>
      </c>
      <c r="R1380" s="248" t="str">
        <f ca="1">IF(C1380="","",F1380/([1]!S_STM07_BS(D1380,141,$G$5,$H$13)/IF([1]!S_SHARE_TOTAL(D1380,$G$5)=0,[1]!S_SHARE_TOTAL(D1380,[1]!s_ipo_listeddate(D1380)),[1]!S_SHARE_TOTAL(D1380,$G$5))))</f>
        <v/>
      </c>
      <c r="S1380" s="247" t="str">
        <f ca="1">IF(C1380="","",[1]!S_SHARE_TOTAL(D1380,TODAY())/$E$5)</f>
        <v/>
      </c>
      <c r="T1380" s="247" t="str">
        <f t="shared" ca="1" si="139"/>
        <v/>
      </c>
      <c r="U1380" s="218" t="str">
        <f t="shared" ca="1" si="140"/>
        <v/>
      </c>
      <c r="V1380" s="342" t="str">
        <f t="shared" ca="1" si="141"/>
        <v/>
      </c>
      <c r="W1380" s="139"/>
      <c r="Y1380" s="1"/>
    </row>
    <row r="1381" spans="3:25" ht="12" customHeight="1">
      <c r="C1381" s="343" t="str">
        <f t="shared" ca="1" si="136"/>
        <v/>
      </c>
      <c r="D1381" s="124" t="str">
        <f t="shared" ca="1" si="137"/>
        <v/>
      </c>
      <c r="E1381" s="124" t="str">
        <f t="shared" ca="1" si="138"/>
        <v/>
      </c>
      <c r="F1381" s="172" t="str">
        <f ca="1">IF(C1381="","",[1]!S_DQ_CLOSE(D1381,TODAY(),1))</f>
        <v/>
      </c>
      <c r="G1381" s="173" t="str">
        <f ca="1">IF(C1381="","",[1]!s_pq_pctchange(D1381,TODAY()-$G$12,TODAY())/100)</f>
        <v/>
      </c>
      <c r="H1381" s="249" t="str">
        <f ca="1">IF(C1381="","",IF($H$11="收入",[1]!S_STM07_IS(D1381,9,$G$5,$H$13)/$E$5,[1]!S_STM07_IS(D1381,48,$G$5,$H$13)/$E$5))</f>
        <v/>
      </c>
      <c r="I1381" s="249" t="str">
        <f ca="1">IF(C1381="","",IF($I$11="毛利率",([1]!S_STM07_IS(D1381,9,$G$5,$H$13)-[1]!S_STM07_IS(D1381,10,$G$5,$H$13))/[1]!S_STM07_IS(D1381,9,$G$5,$H$13),[1]!S_STM07_IS(D1381,14,$G$5,$H$13)/$E$5))</f>
        <v/>
      </c>
      <c r="J1381" s="249" t="str">
        <f ca="1">IF(C1381="","",IF($J$11="营业利润率",[1]!S_STM07_IS(D1381,48,$G$5,$H$13)/[1]!S_STM07_IS(D1381,9,$G$5,$H$13),([1]!S_STM07_CS(D1381,87,$G$5,$H$13)+[1]!S_STM07_CS(D1381,88,$G$5,$H$13)+[1]!S_STM07_CS(D1381,89,$G$5,$H$13))/$E$5))</f>
        <v/>
      </c>
      <c r="K1381" s="249" t="str">
        <f ca="1">IF(C1381="","",IF($K$11="净利润率",[1]!S_STM07_IS(D1381,61,$G$5,$H$13)/[1]!S_STM07_IS(D1381,9,$G$5,$H$13),[1]!S_STM07_IS(D1381,55,$G$5,$H$13)/$E$5))</f>
        <v/>
      </c>
      <c r="L1381" s="249" t="str">
        <f ca="1">IF(C1381="","",IF($L$11="ROA",[1]!S_STM07_IS(D1381,61,$G$5,$H$13)/[1]!S_STM07_BS(D1381,74,$G$5,$H$13),1-[1]!S_STM07_IS(D1381,61,$G$5,$H$13)/[1]!S_STM07_IS(D1381,55,$G$5,$H$13)))</f>
        <v/>
      </c>
      <c r="M1381" s="249" t="str">
        <f ca="1">IF(C1381="","",IF($M$11="ROE",[1]!S_STM07_IS(D1381,61,$G$5,$H$13)/[1]!S_STM07_BS(D1381,141,$G$5,$H$13),([1]!S_STM07_BS(D1381,25,$G$5,$H$13)-[1]!S_STM07_BS(D1381,93,$G$5,$H$13))/$E$5))</f>
        <v/>
      </c>
      <c r="N1381" s="250" t="str">
        <f ca="1">IF(C1381="","",IF($N$11="EPS",[1]!S_STM07_IS(D1381,61,$G$5,$H$13)/IF([1]!S_SHARE_TOTAL(D1381,$G$5)=0,[1]!S_SHARE_TOTAL(D1381,[1]!s_ipo_listeddate(D1381)),[1]!S_SHARE_TOTAL(D1381,$G$5)),([1]!S_STM07_BS(D1381,75,$G$5,$H$13)+[1]!S_STM07_BS(D1381,88,$G$5,$H$13)+[1]!S_STM07_BS(D1381,94,$G$5,$H$13)+[1]!S_STM07_BS(D1381,95,$G$5,$H$13))/$E$5))</f>
        <v/>
      </c>
      <c r="O1381" s="250" t="str">
        <f ca="1">IF(C1381="","",IF($O$11="BPS",[1]!S_STM07_BS(D1381,141,$G$5,$H$13)/IF([1]!S_SHARE_TOTAL(D1381,$G$5)=0,[1]!S_SHARE_TOTAL(D1381,[1]!s_ipo_listeddate(D1381)),[1]!S_SHARE_TOTAL(D1381,$G$5)),[1]!S_STM07_CS(D1381,49,$G$5,$H$13)/$E$5))</f>
        <v/>
      </c>
      <c r="P1381" s="250" t="str">
        <f ca="1">IF(C1381="","",IF($P$11="CFPS",[1]!S_STM07_CS(D1381,84,$G$5,$H$13)/IF([1]!S_SHARE_TOTAL(D1381,$G$5)=0,[1]!S_SHARE_TOTAL(D1381,[1]!s_ipo_listeddate(D1381)),[1]!S_SHARE_TOTAL(D1381,$G$5)),[1]!S_STM07_CS(D1381,84,$G$5,$H$13)/$E$5))</f>
        <v/>
      </c>
      <c r="Q1381" s="198" t="str">
        <f ca="1">IF(C1381="","",F1381/([1]!S_STM07_IS(D1381,61,$G$5,$H$13)/IF([1]!S_SHARE_TOTAL(D1381,$G$5)=0,[1]!S_SHARE_TOTAL(D1381,[1]!s_ipo_listeddate(D1381)),[1]!S_SHARE_TOTAL(D1381,$G$5))))</f>
        <v/>
      </c>
      <c r="R1381" s="198" t="str">
        <f ca="1">IF(C1381="","",F1381/([1]!S_STM07_BS(D1381,141,$G$5,$H$13)/IF([1]!S_SHARE_TOTAL(D1381,$G$5)=0,[1]!S_SHARE_TOTAL(D1381,[1]!s_ipo_listeddate(D1381)),[1]!S_SHARE_TOTAL(D1381,$G$5))))</f>
        <v/>
      </c>
      <c r="S1381" s="249" t="str">
        <f ca="1">IF(C1381="","",[1]!S_SHARE_TOTAL(D1381,TODAY())/$E$5)</f>
        <v/>
      </c>
      <c r="T1381" s="249" t="str">
        <f t="shared" ca="1" si="139"/>
        <v/>
      </c>
      <c r="U1381" s="172" t="str">
        <f t="shared" ca="1" si="140"/>
        <v/>
      </c>
      <c r="V1381" s="343" t="str">
        <f t="shared" ca="1" si="141"/>
        <v/>
      </c>
      <c r="W1381" s="139"/>
      <c r="Y1381" s="1"/>
    </row>
    <row r="1382" spans="3:25" ht="12" customHeight="1">
      <c r="C1382" s="342" t="str">
        <f t="shared" ca="1" si="136"/>
        <v/>
      </c>
      <c r="D1382" s="153" t="str">
        <f t="shared" ca="1" si="137"/>
        <v/>
      </c>
      <c r="E1382" s="153" t="str">
        <f t="shared" ca="1" si="138"/>
        <v/>
      </c>
      <c r="F1382" s="170" t="str">
        <f ca="1">IF(C1382="","",[1]!S_DQ_CLOSE(D1382,TODAY(),1))</f>
        <v/>
      </c>
      <c r="G1382" s="171" t="str">
        <f ca="1">IF(C1382="","",[1]!s_pq_pctchange(D1382,TODAY()-$G$12,TODAY())/100)</f>
        <v/>
      </c>
      <c r="H1382" s="247" t="str">
        <f ca="1">IF(C1382="","",IF($H$11="收入",[1]!S_STM07_IS(D1382,9,$G$5,$H$13)/$E$5,[1]!S_STM07_IS(D1382,48,$G$5,$H$13)/$E$5))</f>
        <v/>
      </c>
      <c r="I1382" s="247" t="str">
        <f ca="1">IF(C1382="","",IF($I$11="毛利率",([1]!S_STM07_IS(D1382,9,$G$5,$H$13)-[1]!S_STM07_IS(D1382,10,$G$5,$H$13))/[1]!S_STM07_IS(D1382,9,$G$5,$H$13),[1]!S_STM07_IS(D1382,14,$G$5,$H$13)/$E$5))</f>
        <v/>
      </c>
      <c r="J1382" s="247" t="str">
        <f ca="1">IF(C1382="","",IF($J$11="营业利润率",[1]!S_STM07_IS(D1382,48,$G$5,$H$13)/[1]!S_STM07_IS(D1382,9,$G$5,$H$13),([1]!S_STM07_CS(D1382,87,$G$5,$H$13)+[1]!S_STM07_CS(D1382,88,$G$5,$H$13)+[1]!S_STM07_CS(D1382,89,$G$5,$H$13))/$E$5))</f>
        <v/>
      </c>
      <c r="K1382" s="247" t="str">
        <f ca="1">IF(C1382="","",IF($K$11="净利润率",[1]!S_STM07_IS(D1382,61,$G$5,$H$13)/[1]!S_STM07_IS(D1382,9,$G$5,$H$13),[1]!S_STM07_IS(D1382,55,$G$5,$H$13)/$E$5))</f>
        <v/>
      </c>
      <c r="L1382" s="247" t="str">
        <f ca="1">IF(C1382="","",IF($L$11="ROA",[1]!S_STM07_IS(D1382,61,$G$5,$H$13)/[1]!S_STM07_BS(D1382,74,$G$5,$H$13),1-[1]!S_STM07_IS(D1382,61,$G$5,$H$13)/[1]!S_STM07_IS(D1382,55,$G$5,$H$13)))</f>
        <v/>
      </c>
      <c r="M1382" s="247" t="str">
        <f ca="1">IF(C1382="","",IF($M$11="ROE",[1]!S_STM07_IS(D1382,61,$G$5,$H$13)/[1]!S_STM07_BS(D1382,141,$G$5,$H$13),([1]!S_STM07_BS(D1382,25,$G$5,$H$13)-[1]!S_STM07_BS(D1382,93,$G$5,$H$13))/$E$5))</f>
        <v/>
      </c>
      <c r="N1382" s="247" t="str">
        <f ca="1">IF(C1382="","",IF($N$11="EPS",[1]!S_STM07_IS(D1382,61,$G$5,$H$13)/IF([1]!S_SHARE_TOTAL(D1382,$G$5)=0,[1]!S_SHARE_TOTAL(D1382,[1]!s_ipo_listeddate(D1382)),[1]!S_SHARE_TOTAL(D1382,$G$5)),([1]!S_STM07_BS(D1382,75,$G$5,$H$13)+[1]!S_STM07_BS(D1382,88,$G$5,$H$13)+[1]!S_STM07_BS(D1382,94,$G$5,$H$13)+[1]!S_STM07_BS(D1382,95,$G$5,$H$13))/$E$5))</f>
        <v/>
      </c>
      <c r="O1382" s="247" t="str">
        <f ca="1">IF(C1382="","",IF($O$11="BPS",[1]!S_STM07_BS(D1382,141,$G$5,$H$13)/IF([1]!S_SHARE_TOTAL(D1382,$G$5)=0,[1]!S_SHARE_TOTAL(D1382,[1]!s_ipo_listeddate(D1382)),[1]!S_SHARE_TOTAL(D1382,$G$5)),[1]!S_STM07_CS(D1382,49,$G$5,$H$13)/$E$5))</f>
        <v/>
      </c>
      <c r="P1382" s="247" t="str">
        <f ca="1">IF(C1382="","",IF($P$11="CFPS",[1]!S_STM07_CS(D1382,84,$G$5,$H$13)/IF([1]!S_SHARE_TOTAL(D1382,$G$5)=0,[1]!S_SHARE_TOTAL(D1382,[1]!s_ipo_listeddate(D1382)),[1]!S_SHARE_TOTAL(D1382,$G$5)),[1]!S_STM07_CS(D1382,84,$G$5,$H$13)/$E$5))</f>
        <v/>
      </c>
      <c r="Q1382" s="248" t="str">
        <f ca="1">IF(C1382="","",F1382/([1]!S_STM07_IS(D1382,61,$G$5,$H$13)/IF([1]!S_SHARE_TOTAL(D1382,$G$5)=0,[1]!S_SHARE_TOTAL(D1382,[1]!s_ipo_listeddate(D1382)),[1]!S_SHARE_TOTAL(D1382,$G$5))))</f>
        <v/>
      </c>
      <c r="R1382" s="248" t="str">
        <f ca="1">IF(C1382="","",F1382/([1]!S_STM07_BS(D1382,141,$G$5,$H$13)/IF([1]!S_SHARE_TOTAL(D1382,$G$5)=0,[1]!S_SHARE_TOTAL(D1382,[1]!s_ipo_listeddate(D1382)),[1]!S_SHARE_TOTAL(D1382,$G$5))))</f>
        <v/>
      </c>
      <c r="S1382" s="247" t="str">
        <f ca="1">IF(C1382="","",[1]!S_SHARE_TOTAL(D1382,TODAY())/$E$5)</f>
        <v/>
      </c>
      <c r="T1382" s="247" t="str">
        <f t="shared" ca="1" si="139"/>
        <v/>
      </c>
      <c r="U1382" s="218" t="str">
        <f t="shared" ca="1" si="140"/>
        <v/>
      </c>
      <c r="V1382" s="342" t="str">
        <f t="shared" ca="1" si="141"/>
        <v/>
      </c>
      <c r="W1382" s="139"/>
      <c r="Y1382" s="1"/>
    </row>
    <row r="1383" spans="3:25" ht="12" customHeight="1">
      <c r="C1383" s="343" t="str">
        <f t="shared" ca="1" si="136"/>
        <v/>
      </c>
      <c r="D1383" s="124" t="str">
        <f t="shared" ca="1" si="137"/>
        <v/>
      </c>
      <c r="E1383" s="124" t="str">
        <f t="shared" ca="1" si="138"/>
        <v/>
      </c>
      <c r="F1383" s="172" t="str">
        <f ca="1">IF(C1383="","",[1]!S_DQ_CLOSE(D1383,TODAY(),1))</f>
        <v/>
      </c>
      <c r="G1383" s="173" t="str">
        <f ca="1">IF(C1383="","",[1]!s_pq_pctchange(D1383,TODAY()-$G$12,TODAY())/100)</f>
        <v/>
      </c>
      <c r="H1383" s="249" t="str">
        <f ca="1">IF(C1383="","",IF($H$11="收入",[1]!S_STM07_IS(D1383,9,$G$5,$H$13)/$E$5,[1]!S_STM07_IS(D1383,48,$G$5,$H$13)/$E$5))</f>
        <v/>
      </c>
      <c r="I1383" s="249" t="str">
        <f ca="1">IF(C1383="","",IF($I$11="毛利率",([1]!S_STM07_IS(D1383,9,$G$5,$H$13)-[1]!S_STM07_IS(D1383,10,$G$5,$H$13))/[1]!S_STM07_IS(D1383,9,$G$5,$H$13),[1]!S_STM07_IS(D1383,14,$G$5,$H$13)/$E$5))</f>
        <v/>
      </c>
      <c r="J1383" s="249" t="str">
        <f ca="1">IF(C1383="","",IF($J$11="营业利润率",[1]!S_STM07_IS(D1383,48,$G$5,$H$13)/[1]!S_STM07_IS(D1383,9,$G$5,$H$13),([1]!S_STM07_CS(D1383,87,$G$5,$H$13)+[1]!S_STM07_CS(D1383,88,$G$5,$H$13)+[1]!S_STM07_CS(D1383,89,$G$5,$H$13))/$E$5))</f>
        <v/>
      </c>
      <c r="K1383" s="249" t="str">
        <f ca="1">IF(C1383="","",IF($K$11="净利润率",[1]!S_STM07_IS(D1383,61,$G$5,$H$13)/[1]!S_STM07_IS(D1383,9,$G$5,$H$13),[1]!S_STM07_IS(D1383,55,$G$5,$H$13)/$E$5))</f>
        <v/>
      </c>
      <c r="L1383" s="249" t="str">
        <f ca="1">IF(C1383="","",IF($L$11="ROA",[1]!S_STM07_IS(D1383,61,$G$5,$H$13)/[1]!S_STM07_BS(D1383,74,$G$5,$H$13),1-[1]!S_STM07_IS(D1383,61,$G$5,$H$13)/[1]!S_STM07_IS(D1383,55,$G$5,$H$13)))</f>
        <v/>
      </c>
      <c r="M1383" s="249" t="str">
        <f ca="1">IF(C1383="","",IF($M$11="ROE",[1]!S_STM07_IS(D1383,61,$G$5,$H$13)/[1]!S_STM07_BS(D1383,141,$G$5,$H$13),([1]!S_STM07_BS(D1383,25,$G$5,$H$13)-[1]!S_STM07_BS(D1383,93,$G$5,$H$13))/$E$5))</f>
        <v/>
      </c>
      <c r="N1383" s="250" t="str">
        <f ca="1">IF(C1383="","",IF($N$11="EPS",[1]!S_STM07_IS(D1383,61,$G$5,$H$13)/IF([1]!S_SHARE_TOTAL(D1383,$G$5)=0,[1]!S_SHARE_TOTAL(D1383,[1]!s_ipo_listeddate(D1383)),[1]!S_SHARE_TOTAL(D1383,$G$5)),([1]!S_STM07_BS(D1383,75,$G$5,$H$13)+[1]!S_STM07_BS(D1383,88,$G$5,$H$13)+[1]!S_STM07_BS(D1383,94,$G$5,$H$13)+[1]!S_STM07_BS(D1383,95,$G$5,$H$13))/$E$5))</f>
        <v/>
      </c>
      <c r="O1383" s="250" t="str">
        <f ca="1">IF(C1383="","",IF($O$11="BPS",[1]!S_STM07_BS(D1383,141,$G$5,$H$13)/IF([1]!S_SHARE_TOTAL(D1383,$G$5)=0,[1]!S_SHARE_TOTAL(D1383,[1]!s_ipo_listeddate(D1383)),[1]!S_SHARE_TOTAL(D1383,$G$5)),[1]!S_STM07_CS(D1383,49,$G$5,$H$13)/$E$5))</f>
        <v/>
      </c>
      <c r="P1383" s="250" t="str">
        <f ca="1">IF(C1383="","",IF($P$11="CFPS",[1]!S_STM07_CS(D1383,84,$G$5,$H$13)/IF([1]!S_SHARE_TOTAL(D1383,$G$5)=0,[1]!S_SHARE_TOTAL(D1383,[1]!s_ipo_listeddate(D1383)),[1]!S_SHARE_TOTAL(D1383,$G$5)),[1]!S_STM07_CS(D1383,84,$G$5,$H$13)/$E$5))</f>
        <v/>
      </c>
      <c r="Q1383" s="198" t="str">
        <f ca="1">IF(C1383="","",F1383/([1]!S_STM07_IS(D1383,61,$G$5,$H$13)/IF([1]!S_SHARE_TOTAL(D1383,$G$5)=0,[1]!S_SHARE_TOTAL(D1383,[1]!s_ipo_listeddate(D1383)),[1]!S_SHARE_TOTAL(D1383,$G$5))))</f>
        <v/>
      </c>
      <c r="R1383" s="198" t="str">
        <f ca="1">IF(C1383="","",F1383/([1]!S_STM07_BS(D1383,141,$G$5,$H$13)/IF([1]!S_SHARE_TOTAL(D1383,$G$5)=0,[1]!S_SHARE_TOTAL(D1383,[1]!s_ipo_listeddate(D1383)),[1]!S_SHARE_TOTAL(D1383,$G$5))))</f>
        <v/>
      </c>
      <c r="S1383" s="249" t="str">
        <f ca="1">IF(C1383="","",[1]!S_SHARE_TOTAL(D1383,TODAY())/$E$5)</f>
        <v/>
      </c>
      <c r="T1383" s="249" t="str">
        <f t="shared" ca="1" si="139"/>
        <v/>
      </c>
      <c r="U1383" s="172" t="str">
        <f t="shared" ca="1" si="140"/>
        <v/>
      </c>
      <c r="V1383" s="343" t="str">
        <f t="shared" ca="1" si="141"/>
        <v/>
      </c>
      <c r="W1383" s="139"/>
      <c r="Y1383" s="1"/>
    </row>
    <row r="1384" spans="3:25" ht="12" customHeight="1">
      <c r="C1384" s="342" t="str">
        <f t="shared" ca="1" si="136"/>
        <v/>
      </c>
      <c r="D1384" s="153" t="str">
        <f t="shared" ca="1" si="137"/>
        <v/>
      </c>
      <c r="E1384" s="153" t="str">
        <f t="shared" ca="1" si="138"/>
        <v/>
      </c>
      <c r="F1384" s="170" t="str">
        <f ca="1">IF(C1384="","",[1]!S_DQ_CLOSE(D1384,TODAY(),1))</f>
        <v/>
      </c>
      <c r="G1384" s="171" t="str">
        <f ca="1">IF(C1384="","",[1]!s_pq_pctchange(D1384,TODAY()-$G$12,TODAY())/100)</f>
        <v/>
      </c>
      <c r="H1384" s="247" t="str">
        <f ca="1">IF(C1384="","",IF($H$11="收入",[1]!S_STM07_IS(D1384,9,$G$5,$H$13)/$E$5,[1]!S_STM07_IS(D1384,48,$G$5,$H$13)/$E$5))</f>
        <v/>
      </c>
      <c r="I1384" s="247" t="str">
        <f ca="1">IF(C1384="","",IF($I$11="毛利率",([1]!S_STM07_IS(D1384,9,$G$5,$H$13)-[1]!S_STM07_IS(D1384,10,$G$5,$H$13))/[1]!S_STM07_IS(D1384,9,$G$5,$H$13),[1]!S_STM07_IS(D1384,14,$G$5,$H$13)/$E$5))</f>
        <v/>
      </c>
      <c r="J1384" s="247" t="str">
        <f ca="1">IF(C1384="","",IF($J$11="营业利润率",[1]!S_STM07_IS(D1384,48,$G$5,$H$13)/[1]!S_STM07_IS(D1384,9,$G$5,$H$13),([1]!S_STM07_CS(D1384,87,$G$5,$H$13)+[1]!S_STM07_CS(D1384,88,$G$5,$H$13)+[1]!S_STM07_CS(D1384,89,$G$5,$H$13))/$E$5))</f>
        <v/>
      </c>
      <c r="K1384" s="247" t="str">
        <f ca="1">IF(C1384="","",IF($K$11="净利润率",[1]!S_STM07_IS(D1384,61,$G$5,$H$13)/[1]!S_STM07_IS(D1384,9,$G$5,$H$13),[1]!S_STM07_IS(D1384,55,$G$5,$H$13)/$E$5))</f>
        <v/>
      </c>
      <c r="L1384" s="247" t="str">
        <f ca="1">IF(C1384="","",IF($L$11="ROA",[1]!S_STM07_IS(D1384,61,$G$5,$H$13)/[1]!S_STM07_BS(D1384,74,$G$5,$H$13),1-[1]!S_STM07_IS(D1384,61,$G$5,$H$13)/[1]!S_STM07_IS(D1384,55,$G$5,$H$13)))</f>
        <v/>
      </c>
      <c r="M1384" s="247" t="str">
        <f ca="1">IF(C1384="","",IF($M$11="ROE",[1]!S_STM07_IS(D1384,61,$G$5,$H$13)/[1]!S_STM07_BS(D1384,141,$G$5,$H$13),([1]!S_STM07_BS(D1384,25,$G$5,$H$13)-[1]!S_STM07_BS(D1384,93,$G$5,$H$13))/$E$5))</f>
        <v/>
      </c>
      <c r="N1384" s="247" t="str">
        <f ca="1">IF(C1384="","",IF($N$11="EPS",[1]!S_STM07_IS(D1384,61,$G$5,$H$13)/IF([1]!S_SHARE_TOTAL(D1384,$G$5)=0,[1]!S_SHARE_TOTAL(D1384,[1]!s_ipo_listeddate(D1384)),[1]!S_SHARE_TOTAL(D1384,$G$5)),([1]!S_STM07_BS(D1384,75,$G$5,$H$13)+[1]!S_STM07_BS(D1384,88,$G$5,$H$13)+[1]!S_STM07_BS(D1384,94,$G$5,$H$13)+[1]!S_STM07_BS(D1384,95,$G$5,$H$13))/$E$5))</f>
        <v/>
      </c>
      <c r="O1384" s="247" t="str">
        <f ca="1">IF(C1384="","",IF($O$11="BPS",[1]!S_STM07_BS(D1384,141,$G$5,$H$13)/IF([1]!S_SHARE_TOTAL(D1384,$G$5)=0,[1]!S_SHARE_TOTAL(D1384,[1]!s_ipo_listeddate(D1384)),[1]!S_SHARE_TOTAL(D1384,$G$5)),[1]!S_STM07_CS(D1384,49,$G$5,$H$13)/$E$5))</f>
        <v/>
      </c>
      <c r="P1384" s="247" t="str">
        <f ca="1">IF(C1384="","",IF($P$11="CFPS",[1]!S_STM07_CS(D1384,84,$G$5,$H$13)/IF([1]!S_SHARE_TOTAL(D1384,$G$5)=0,[1]!S_SHARE_TOTAL(D1384,[1]!s_ipo_listeddate(D1384)),[1]!S_SHARE_TOTAL(D1384,$G$5)),[1]!S_STM07_CS(D1384,84,$G$5,$H$13)/$E$5))</f>
        <v/>
      </c>
      <c r="Q1384" s="248" t="str">
        <f ca="1">IF(C1384="","",F1384/([1]!S_STM07_IS(D1384,61,$G$5,$H$13)/IF([1]!S_SHARE_TOTAL(D1384,$G$5)=0,[1]!S_SHARE_TOTAL(D1384,[1]!s_ipo_listeddate(D1384)),[1]!S_SHARE_TOTAL(D1384,$G$5))))</f>
        <v/>
      </c>
      <c r="R1384" s="248" t="str">
        <f ca="1">IF(C1384="","",F1384/([1]!S_STM07_BS(D1384,141,$G$5,$H$13)/IF([1]!S_SHARE_TOTAL(D1384,$G$5)=0,[1]!S_SHARE_TOTAL(D1384,[1]!s_ipo_listeddate(D1384)),[1]!S_SHARE_TOTAL(D1384,$G$5))))</f>
        <v/>
      </c>
      <c r="S1384" s="247" t="str">
        <f ca="1">IF(C1384="","",[1]!S_SHARE_TOTAL(D1384,TODAY())/$E$5)</f>
        <v/>
      </c>
      <c r="T1384" s="247" t="str">
        <f t="shared" ca="1" si="139"/>
        <v/>
      </c>
      <c r="U1384" s="218" t="str">
        <f t="shared" ca="1" si="140"/>
        <v/>
      </c>
      <c r="V1384" s="342" t="str">
        <f t="shared" ca="1" si="141"/>
        <v/>
      </c>
      <c r="W1384" s="139"/>
      <c r="Y1384" s="1"/>
    </row>
    <row r="1385" spans="3:25" ht="12" customHeight="1">
      <c r="C1385" s="343" t="str">
        <f t="shared" ca="1" si="136"/>
        <v/>
      </c>
      <c r="D1385" s="124" t="str">
        <f t="shared" ca="1" si="137"/>
        <v/>
      </c>
      <c r="E1385" s="124" t="str">
        <f t="shared" ca="1" si="138"/>
        <v/>
      </c>
      <c r="F1385" s="172" t="str">
        <f ca="1">IF(C1385="","",[1]!S_DQ_CLOSE(D1385,TODAY(),1))</f>
        <v/>
      </c>
      <c r="G1385" s="173" t="str">
        <f ca="1">IF(C1385="","",[1]!s_pq_pctchange(D1385,TODAY()-$G$12,TODAY())/100)</f>
        <v/>
      </c>
      <c r="H1385" s="249" t="str">
        <f ca="1">IF(C1385="","",IF($H$11="收入",[1]!S_STM07_IS(D1385,9,$G$5,$H$13)/$E$5,[1]!S_STM07_IS(D1385,48,$G$5,$H$13)/$E$5))</f>
        <v/>
      </c>
      <c r="I1385" s="249" t="str">
        <f ca="1">IF(C1385="","",IF($I$11="毛利率",([1]!S_STM07_IS(D1385,9,$G$5,$H$13)-[1]!S_STM07_IS(D1385,10,$G$5,$H$13))/[1]!S_STM07_IS(D1385,9,$G$5,$H$13),[1]!S_STM07_IS(D1385,14,$G$5,$H$13)/$E$5))</f>
        <v/>
      </c>
      <c r="J1385" s="249" t="str">
        <f ca="1">IF(C1385="","",IF($J$11="营业利润率",[1]!S_STM07_IS(D1385,48,$G$5,$H$13)/[1]!S_STM07_IS(D1385,9,$G$5,$H$13),([1]!S_STM07_CS(D1385,87,$G$5,$H$13)+[1]!S_STM07_CS(D1385,88,$G$5,$H$13)+[1]!S_STM07_CS(D1385,89,$G$5,$H$13))/$E$5))</f>
        <v/>
      </c>
      <c r="K1385" s="249" t="str">
        <f ca="1">IF(C1385="","",IF($K$11="净利润率",[1]!S_STM07_IS(D1385,61,$G$5,$H$13)/[1]!S_STM07_IS(D1385,9,$G$5,$H$13),[1]!S_STM07_IS(D1385,55,$G$5,$H$13)/$E$5))</f>
        <v/>
      </c>
      <c r="L1385" s="249" t="str">
        <f ca="1">IF(C1385="","",IF($L$11="ROA",[1]!S_STM07_IS(D1385,61,$G$5,$H$13)/[1]!S_STM07_BS(D1385,74,$G$5,$H$13),1-[1]!S_STM07_IS(D1385,61,$G$5,$H$13)/[1]!S_STM07_IS(D1385,55,$G$5,$H$13)))</f>
        <v/>
      </c>
      <c r="M1385" s="249" t="str">
        <f ca="1">IF(C1385="","",IF($M$11="ROE",[1]!S_STM07_IS(D1385,61,$G$5,$H$13)/[1]!S_STM07_BS(D1385,141,$G$5,$H$13),([1]!S_STM07_BS(D1385,25,$G$5,$H$13)-[1]!S_STM07_BS(D1385,93,$G$5,$H$13))/$E$5))</f>
        <v/>
      </c>
      <c r="N1385" s="250" t="str">
        <f ca="1">IF(C1385="","",IF($N$11="EPS",[1]!S_STM07_IS(D1385,61,$G$5,$H$13)/IF([1]!S_SHARE_TOTAL(D1385,$G$5)=0,[1]!S_SHARE_TOTAL(D1385,[1]!s_ipo_listeddate(D1385)),[1]!S_SHARE_TOTAL(D1385,$G$5)),([1]!S_STM07_BS(D1385,75,$G$5,$H$13)+[1]!S_STM07_BS(D1385,88,$G$5,$H$13)+[1]!S_STM07_BS(D1385,94,$G$5,$H$13)+[1]!S_STM07_BS(D1385,95,$G$5,$H$13))/$E$5))</f>
        <v/>
      </c>
      <c r="O1385" s="250" t="str">
        <f ca="1">IF(C1385="","",IF($O$11="BPS",[1]!S_STM07_BS(D1385,141,$G$5,$H$13)/IF([1]!S_SHARE_TOTAL(D1385,$G$5)=0,[1]!S_SHARE_TOTAL(D1385,[1]!s_ipo_listeddate(D1385)),[1]!S_SHARE_TOTAL(D1385,$G$5)),[1]!S_STM07_CS(D1385,49,$G$5,$H$13)/$E$5))</f>
        <v/>
      </c>
      <c r="P1385" s="250" t="str">
        <f ca="1">IF(C1385="","",IF($P$11="CFPS",[1]!S_STM07_CS(D1385,84,$G$5,$H$13)/IF([1]!S_SHARE_TOTAL(D1385,$G$5)=0,[1]!S_SHARE_TOTAL(D1385,[1]!s_ipo_listeddate(D1385)),[1]!S_SHARE_TOTAL(D1385,$G$5)),[1]!S_STM07_CS(D1385,84,$G$5,$H$13)/$E$5))</f>
        <v/>
      </c>
      <c r="Q1385" s="198" t="str">
        <f ca="1">IF(C1385="","",F1385/([1]!S_STM07_IS(D1385,61,$G$5,$H$13)/IF([1]!S_SHARE_TOTAL(D1385,$G$5)=0,[1]!S_SHARE_TOTAL(D1385,[1]!s_ipo_listeddate(D1385)),[1]!S_SHARE_TOTAL(D1385,$G$5))))</f>
        <v/>
      </c>
      <c r="R1385" s="198" t="str">
        <f ca="1">IF(C1385="","",F1385/([1]!S_STM07_BS(D1385,141,$G$5,$H$13)/IF([1]!S_SHARE_TOTAL(D1385,$G$5)=0,[1]!S_SHARE_TOTAL(D1385,[1]!s_ipo_listeddate(D1385)),[1]!S_SHARE_TOTAL(D1385,$G$5))))</f>
        <v/>
      </c>
      <c r="S1385" s="249" t="str">
        <f ca="1">IF(C1385="","",[1]!S_SHARE_TOTAL(D1385,TODAY())/$E$5)</f>
        <v/>
      </c>
      <c r="T1385" s="249" t="str">
        <f t="shared" ca="1" si="139"/>
        <v/>
      </c>
      <c r="U1385" s="172" t="str">
        <f t="shared" ca="1" si="140"/>
        <v/>
      </c>
      <c r="V1385" s="343" t="str">
        <f t="shared" ca="1" si="141"/>
        <v/>
      </c>
      <c r="W1385" s="139"/>
      <c r="Y1385" s="1"/>
    </row>
    <row r="1386" spans="3:25" ht="12" customHeight="1">
      <c r="C1386" s="342" t="str">
        <f t="shared" ca="1" si="136"/>
        <v/>
      </c>
      <c r="D1386" s="153" t="str">
        <f t="shared" ca="1" si="137"/>
        <v/>
      </c>
      <c r="E1386" s="153" t="str">
        <f t="shared" ca="1" si="138"/>
        <v/>
      </c>
      <c r="F1386" s="170" t="str">
        <f ca="1">IF(C1386="","",[1]!S_DQ_CLOSE(D1386,TODAY(),1))</f>
        <v/>
      </c>
      <c r="G1386" s="171" t="str">
        <f ca="1">IF(C1386="","",[1]!s_pq_pctchange(D1386,TODAY()-$G$12,TODAY())/100)</f>
        <v/>
      </c>
      <c r="H1386" s="247" t="str">
        <f ca="1">IF(C1386="","",IF($H$11="收入",[1]!S_STM07_IS(D1386,9,$G$5,$H$13)/$E$5,[1]!S_STM07_IS(D1386,48,$G$5,$H$13)/$E$5))</f>
        <v/>
      </c>
      <c r="I1386" s="247" t="str">
        <f ca="1">IF(C1386="","",IF($I$11="毛利率",([1]!S_STM07_IS(D1386,9,$G$5,$H$13)-[1]!S_STM07_IS(D1386,10,$G$5,$H$13))/[1]!S_STM07_IS(D1386,9,$G$5,$H$13),[1]!S_STM07_IS(D1386,14,$G$5,$H$13)/$E$5))</f>
        <v/>
      </c>
      <c r="J1386" s="247" t="str">
        <f ca="1">IF(C1386="","",IF($J$11="营业利润率",[1]!S_STM07_IS(D1386,48,$G$5,$H$13)/[1]!S_STM07_IS(D1386,9,$G$5,$H$13),([1]!S_STM07_CS(D1386,87,$G$5,$H$13)+[1]!S_STM07_CS(D1386,88,$G$5,$H$13)+[1]!S_STM07_CS(D1386,89,$G$5,$H$13))/$E$5))</f>
        <v/>
      </c>
      <c r="K1386" s="247" t="str">
        <f ca="1">IF(C1386="","",IF($K$11="净利润率",[1]!S_STM07_IS(D1386,61,$G$5,$H$13)/[1]!S_STM07_IS(D1386,9,$G$5,$H$13),[1]!S_STM07_IS(D1386,55,$G$5,$H$13)/$E$5))</f>
        <v/>
      </c>
      <c r="L1386" s="247" t="str">
        <f ca="1">IF(C1386="","",IF($L$11="ROA",[1]!S_STM07_IS(D1386,61,$G$5,$H$13)/[1]!S_STM07_BS(D1386,74,$G$5,$H$13),1-[1]!S_STM07_IS(D1386,61,$G$5,$H$13)/[1]!S_STM07_IS(D1386,55,$G$5,$H$13)))</f>
        <v/>
      </c>
      <c r="M1386" s="247" t="str">
        <f ca="1">IF(C1386="","",IF($M$11="ROE",[1]!S_STM07_IS(D1386,61,$G$5,$H$13)/[1]!S_STM07_BS(D1386,141,$G$5,$H$13),([1]!S_STM07_BS(D1386,25,$G$5,$H$13)-[1]!S_STM07_BS(D1386,93,$G$5,$H$13))/$E$5))</f>
        <v/>
      </c>
      <c r="N1386" s="247" t="str">
        <f ca="1">IF(C1386="","",IF($N$11="EPS",[1]!S_STM07_IS(D1386,61,$G$5,$H$13)/IF([1]!S_SHARE_TOTAL(D1386,$G$5)=0,[1]!S_SHARE_TOTAL(D1386,[1]!s_ipo_listeddate(D1386)),[1]!S_SHARE_TOTAL(D1386,$G$5)),([1]!S_STM07_BS(D1386,75,$G$5,$H$13)+[1]!S_STM07_BS(D1386,88,$G$5,$H$13)+[1]!S_STM07_BS(D1386,94,$G$5,$H$13)+[1]!S_STM07_BS(D1386,95,$G$5,$H$13))/$E$5))</f>
        <v/>
      </c>
      <c r="O1386" s="247" t="str">
        <f ca="1">IF(C1386="","",IF($O$11="BPS",[1]!S_STM07_BS(D1386,141,$G$5,$H$13)/IF([1]!S_SHARE_TOTAL(D1386,$G$5)=0,[1]!S_SHARE_TOTAL(D1386,[1]!s_ipo_listeddate(D1386)),[1]!S_SHARE_TOTAL(D1386,$G$5)),[1]!S_STM07_CS(D1386,49,$G$5,$H$13)/$E$5))</f>
        <v/>
      </c>
      <c r="P1386" s="247" t="str">
        <f ca="1">IF(C1386="","",IF($P$11="CFPS",[1]!S_STM07_CS(D1386,84,$G$5,$H$13)/IF([1]!S_SHARE_TOTAL(D1386,$G$5)=0,[1]!S_SHARE_TOTAL(D1386,[1]!s_ipo_listeddate(D1386)),[1]!S_SHARE_TOTAL(D1386,$G$5)),[1]!S_STM07_CS(D1386,84,$G$5,$H$13)/$E$5))</f>
        <v/>
      </c>
      <c r="Q1386" s="248" t="str">
        <f ca="1">IF(C1386="","",F1386/([1]!S_STM07_IS(D1386,61,$G$5,$H$13)/IF([1]!S_SHARE_TOTAL(D1386,$G$5)=0,[1]!S_SHARE_TOTAL(D1386,[1]!s_ipo_listeddate(D1386)),[1]!S_SHARE_TOTAL(D1386,$G$5))))</f>
        <v/>
      </c>
      <c r="R1386" s="248" t="str">
        <f ca="1">IF(C1386="","",F1386/([1]!S_STM07_BS(D1386,141,$G$5,$H$13)/IF([1]!S_SHARE_TOTAL(D1386,$G$5)=0,[1]!S_SHARE_TOTAL(D1386,[1]!s_ipo_listeddate(D1386)),[1]!S_SHARE_TOTAL(D1386,$G$5))))</f>
        <v/>
      </c>
      <c r="S1386" s="247" t="str">
        <f ca="1">IF(C1386="","",[1]!S_SHARE_TOTAL(D1386,TODAY())/$E$5)</f>
        <v/>
      </c>
      <c r="T1386" s="247" t="str">
        <f t="shared" ca="1" si="139"/>
        <v/>
      </c>
      <c r="U1386" s="218" t="str">
        <f t="shared" ca="1" si="140"/>
        <v/>
      </c>
      <c r="V1386" s="342" t="str">
        <f t="shared" ca="1" si="141"/>
        <v/>
      </c>
      <c r="W1386" s="139"/>
      <c r="Y1386" s="1"/>
    </row>
    <row r="1387" spans="3:25" ht="12" customHeight="1">
      <c r="C1387" s="343" t="str">
        <f t="shared" ca="1" si="136"/>
        <v/>
      </c>
      <c r="D1387" s="124" t="str">
        <f t="shared" ca="1" si="137"/>
        <v/>
      </c>
      <c r="E1387" s="124" t="str">
        <f t="shared" ca="1" si="138"/>
        <v/>
      </c>
      <c r="F1387" s="172" t="str">
        <f ca="1">IF(C1387="","",[1]!S_DQ_CLOSE(D1387,TODAY(),1))</f>
        <v/>
      </c>
      <c r="G1387" s="173" t="str">
        <f ca="1">IF(C1387="","",[1]!s_pq_pctchange(D1387,TODAY()-$G$12,TODAY())/100)</f>
        <v/>
      </c>
      <c r="H1387" s="249" t="str">
        <f ca="1">IF(C1387="","",IF($H$11="收入",[1]!S_STM07_IS(D1387,9,$G$5,$H$13)/$E$5,[1]!S_STM07_IS(D1387,48,$G$5,$H$13)/$E$5))</f>
        <v/>
      </c>
      <c r="I1387" s="249" t="str">
        <f ca="1">IF(C1387="","",IF($I$11="毛利率",([1]!S_STM07_IS(D1387,9,$G$5,$H$13)-[1]!S_STM07_IS(D1387,10,$G$5,$H$13))/[1]!S_STM07_IS(D1387,9,$G$5,$H$13),[1]!S_STM07_IS(D1387,14,$G$5,$H$13)/$E$5))</f>
        <v/>
      </c>
      <c r="J1387" s="249" t="str">
        <f ca="1">IF(C1387="","",IF($J$11="营业利润率",[1]!S_STM07_IS(D1387,48,$G$5,$H$13)/[1]!S_STM07_IS(D1387,9,$G$5,$H$13),([1]!S_STM07_CS(D1387,87,$G$5,$H$13)+[1]!S_STM07_CS(D1387,88,$G$5,$H$13)+[1]!S_STM07_CS(D1387,89,$G$5,$H$13))/$E$5))</f>
        <v/>
      </c>
      <c r="K1387" s="249" t="str">
        <f ca="1">IF(C1387="","",IF($K$11="净利润率",[1]!S_STM07_IS(D1387,61,$G$5,$H$13)/[1]!S_STM07_IS(D1387,9,$G$5,$H$13),[1]!S_STM07_IS(D1387,55,$G$5,$H$13)/$E$5))</f>
        <v/>
      </c>
      <c r="L1387" s="249" t="str">
        <f ca="1">IF(C1387="","",IF($L$11="ROA",[1]!S_STM07_IS(D1387,61,$G$5,$H$13)/[1]!S_STM07_BS(D1387,74,$G$5,$H$13),1-[1]!S_STM07_IS(D1387,61,$G$5,$H$13)/[1]!S_STM07_IS(D1387,55,$G$5,$H$13)))</f>
        <v/>
      </c>
      <c r="M1387" s="249" t="str">
        <f ca="1">IF(C1387="","",IF($M$11="ROE",[1]!S_STM07_IS(D1387,61,$G$5,$H$13)/[1]!S_STM07_BS(D1387,141,$G$5,$H$13),([1]!S_STM07_BS(D1387,25,$G$5,$H$13)-[1]!S_STM07_BS(D1387,93,$G$5,$H$13))/$E$5))</f>
        <v/>
      </c>
      <c r="N1387" s="250" t="str">
        <f ca="1">IF(C1387="","",IF($N$11="EPS",[1]!S_STM07_IS(D1387,61,$G$5,$H$13)/IF([1]!S_SHARE_TOTAL(D1387,$G$5)=0,[1]!S_SHARE_TOTAL(D1387,[1]!s_ipo_listeddate(D1387)),[1]!S_SHARE_TOTAL(D1387,$G$5)),([1]!S_STM07_BS(D1387,75,$G$5,$H$13)+[1]!S_STM07_BS(D1387,88,$G$5,$H$13)+[1]!S_STM07_BS(D1387,94,$G$5,$H$13)+[1]!S_STM07_BS(D1387,95,$G$5,$H$13))/$E$5))</f>
        <v/>
      </c>
      <c r="O1387" s="250" t="str">
        <f ca="1">IF(C1387="","",IF($O$11="BPS",[1]!S_STM07_BS(D1387,141,$G$5,$H$13)/IF([1]!S_SHARE_TOTAL(D1387,$G$5)=0,[1]!S_SHARE_TOTAL(D1387,[1]!s_ipo_listeddate(D1387)),[1]!S_SHARE_TOTAL(D1387,$G$5)),[1]!S_STM07_CS(D1387,49,$G$5,$H$13)/$E$5))</f>
        <v/>
      </c>
      <c r="P1387" s="250" t="str">
        <f ca="1">IF(C1387="","",IF($P$11="CFPS",[1]!S_STM07_CS(D1387,84,$G$5,$H$13)/IF([1]!S_SHARE_TOTAL(D1387,$G$5)=0,[1]!S_SHARE_TOTAL(D1387,[1]!s_ipo_listeddate(D1387)),[1]!S_SHARE_TOTAL(D1387,$G$5)),[1]!S_STM07_CS(D1387,84,$G$5,$H$13)/$E$5))</f>
        <v/>
      </c>
      <c r="Q1387" s="198" t="str">
        <f ca="1">IF(C1387="","",F1387/([1]!S_STM07_IS(D1387,61,$G$5,$H$13)/IF([1]!S_SHARE_TOTAL(D1387,$G$5)=0,[1]!S_SHARE_TOTAL(D1387,[1]!s_ipo_listeddate(D1387)),[1]!S_SHARE_TOTAL(D1387,$G$5))))</f>
        <v/>
      </c>
      <c r="R1387" s="198" t="str">
        <f ca="1">IF(C1387="","",F1387/([1]!S_STM07_BS(D1387,141,$G$5,$H$13)/IF([1]!S_SHARE_TOTAL(D1387,$G$5)=0,[1]!S_SHARE_TOTAL(D1387,[1]!s_ipo_listeddate(D1387)),[1]!S_SHARE_TOTAL(D1387,$G$5))))</f>
        <v/>
      </c>
      <c r="S1387" s="249" t="str">
        <f ca="1">IF(C1387="","",[1]!S_SHARE_TOTAL(D1387,TODAY())/$E$5)</f>
        <v/>
      </c>
      <c r="T1387" s="249" t="str">
        <f t="shared" ca="1" si="139"/>
        <v/>
      </c>
      <c r="U1387" s="172" t="str">
        <f t="shared" ca="1" si="140"/>
        <v/>
      </c>
      <c r="V1387" s="343" t="str">
        <f t="shared" ca="1" si="141"/>
        <v/>
      </c>
      <c r="W1387" s="139"/>
      <c r="Y1387" s="1"/>
    </row>
    <row r="1388" spans="3:25" ht="12" customHeight="1">
      <c r="C1388" s="342" t="str">
        <f t="shared" ca="1" si="136"/>
        <v/>
      </c>
      <c r="D1388" s="153" t="str">
        <f t="shared" ca="1" si="137"/>
        <v/>
      </c>
      <c r="E1388" s="153" t="str">
        <f t="shared" ca="1" si="138"/>
        <v/>
      </c>
      <c r="F1388" s="170" t="str">
        <f ca="1">IF(C1388="","",[1]!S_DQ_CLOSE(D1388,TODAY(),1))</f>
        <v/>
      </c>
      <c r="G1388" s="171" t="str">
        <f ca="1">IF(C1388="","",[1]!s_pq_pctchange(D1388,TODAY()-$G$12,TODAY())/100)</f>
        <v/>
      </c>
      <c r="H1388" s="247" t="str">
        <f ca="1">IF(C1388="","",IF($H$11="收入",[1]!S_STM07_IS(D1388,9,$G$5,$H$13)/$E$5,[1]!S_STM07_IS(D1388,48,$G$5,$H$13)/$E$5))</f>
        <v/>
      </c>
      <c r="I1388" s="247" t="str">
        <f ca="1">IF(C1388="","",IF($I$11="毛利率",([1]!S_STM07_IS(D1388,9,$G$5,$H$13)-[1]!S_STM07_IS(D1388,10,$G$5,$H$13))/[1]!S_STM07_IS(D1388,9,$G$5,$H$13),[1]!S_STM07_IS(D1388,14,$G$5,$H$13)/$E$5))</f>
        <v/>
      </c>
      <c r="J1388" s="247" t="str">
        <f ca="1">IF(C1388="","",IF($J$11="营业利润率",[1]!S_STM07_IS(D1388,48,$G$5,$H$13)/[1]!S_STM07_IS(D1388,9,$G$5,$H$13),([1]!S_STM07_CS(D1388,87,$G$5,$H$13)+[1]!S_STM07_CS(D1388,88,$G$5,$H$13)+[1]!S_STM07_CS(D1388,89,$G$5,$H$13))/$E$5))</f>
        <v/>
      </c>
      <c r="K1388" s="247" t="str">
        <f ca="1">IF(C1388="","",IF($K$11="净利润率",[1]!S_STM07_IS(D1388,61,$G$5,$H$13)/[1]!S_STM07_IS(D1388,9,$G$5,$H$13),[1]!S_STM07_IS(D1388,55,$G$5,$H$13)/$E$5))</f>
        <v/>
      </c>
      <c r="L1388" s="247" t="str">
        <f ca="1">IF(C1388="","",IF($L$11="ROA",[1]!S_STM07_IS(D1388,61,$G$5,$H$13)/[1]!S_STM07_BS(D1388,74,$G$5,$H$13),1-[1]!S_STM07_IS(D1388,61,$G$5,$H$13)/[1]!S_STM07_IS(D1388,55,$G$5,$H$13)))</f>
        <v/>
      </c>
      <c r="M1388" s="247" t="str">
        <f ca="1">IF(C1388="","",IF($M$11="ROE",[1]!S_STM07_IS(D1388,61,$G$5,$H$13)/[1]!S_STM07_BS(D1388,141,$G$5,$H$13),([1]!S_STM07_BS(D1388,25,$G$5,$H$13)-[1]!S_STM07_BS(D1388,93,$G$5,$H$13))/$E$5))</f>
        <v/>
      </c>
      <c r="N1388" s="247" t="str">
        <f ca="1">IF(C1388="","",IF($N$11="EPS",[1]!S_STM07_IS(D1388,61,$G$5,$H$13)/IF([1]!S_SHARE_TOTAL(D1388,$G$5)=0,[1]!S_SHARE_TOTAL(D1388,[1]!s_ipo_listeddate(D1388)),[1]!S_SHARE_TOTAL(D1388,$G$5)),([1]!S_STM07_BS(D1388,75,$G$5,$H$13)+[1]!S_STM07_BS(D1388,88,$G$5,$H$13)+[1]!S_STM07_BS(D1388,94,$G$5,$H$13)+[1]!S_STM07_BS(D1388,95,$G$5,$H$13))/$E$5))</f>
        <v/>
      </c>
      <c r="O1388" s="247" t="str">
        <f ca="1">IF(C1388="","",IF($O$11="BPS",[1]!S_STM07_BS(D1388,141,$G$5,$H$13)/IF([1]!S_SHARE_TOTAL(D1388,$G$5)=0,[1]!S_SHARE_TOTAL(D1388,[1]!s_ipo_listeddate(D1388)),[1]!S_SHARE_TOTAL(D1388,$G$5)),[1]!S_STM07_CS(D1388,49,$G$5,$H$13)/$E$5))</f>
        <v/>
      </c>
      <c r="P1388" s="247" t="str">
        <f ca="1">IF(C1388="","",IF($P$11="CFPS",[1]!S_STM07_CS(D1388,84,$G$5,$H$13)/IF([1]!S_SHARE_TOTAL(D1388,$G$5)=0,[1]!S_SHARE_TOTAL(D1388,[1]!s_ipo_listeddate(D1388)),[1]!S_SHARE_TOTAL(D1388,$G$5)),[1]!S_STM07_CS(D1388,84,$G$5,$H$13)/$E$5))</f>
        <v/>
      </c>
      <c r="Q1388" s="248" t="str">
        <f ca="1">IF(C1388="","",F1388/([1]!S_STM07_IS(D1388,61,$G$5,$H$13)/IF([1]!S_SHARE_TOTAL(D1388,$G$5)=0,[1]!S_SHARE_TOTAL(D1388,[1]!s_ipo_listeddate(D1388)),[1]!S_SHARE_TOTAL(D1388,$G$5))))</f>
        <v/>
      </c>
      <c r="R1388" s="248" t="str">
        <f ca="1">IF(C1388="","",F1388/([1]!S_STM07_BS(D1388,141,$G$5,$H$13)/IF([1]!S_SHARE_TOTAL(D1388,$G$5)=0,[1]!S_SHARE_TOTAL(D1388,[1]!s_ipo_listeddate(D1388)),[1]!S_SHARE_TOTAL(D1388,$G$5))))</f>
        <v/>
      </c>
      <c r="S1388" s="247" t="str">
        <f ca="1">IF(C1388="","",[1]!S_SHARE_TOTAL(D1388,TODAY())/$E$5)</f>
        <v/>
      </c>
      <c r="T1388" s="247" t="str">
        <f t="shared" ca="1" si="139"/>
        <v/>
      </c>
      <c r="U1388" s="218" t="str">
        <f t="shared" ca="1" si="140"/>
        <v/>
      </c>
      <c r="V1388" s="342" t="str">
        <f t="shared" ca="1" si="141"/>
        <v/>
      </c>
      <c r="W1388" s="139"/>
      <c r="Y1388" s="1"/>
    </row>
    <row r="1389" spans="3:25" ht="12" customHeight="1">
      <c r="C1389" s="343" t="str">
        <f t="shared" ca="1" si="136"/>
        <v/>
      </c>
      <c r="D1389" s="124" t="str">
        <f t="shared" ca="1" si="137"/>
        <v/>
      </c>
      <c r="E1389" s="124" t="str">
        <f t="shared" ca="1" si="138"/>
        <v/>
      </c>
      <c r="F1389" s="172" t="str">
        <f ca="1">IF(C1389="","",[1]!S_DQ_CLOSE(D1389,TODAY(),1))</f>
        <v/>
      </c>
      <c r="G1389" s="173" t="str">
        <f ca="1">IF(C1389="","",[1]!s_pq_pctchange(D1389,TODAY()-$G$12,TODAY())/100)</f>
        <v/>
      </c>
      <c r="H1389" s="249" t="str">
        <f ca="1">IF(C1389="","",IF($H$11="收入",[1]!S_STM07_IS(D1389,9,$G$5,$H$13)/$E$5,[1]!S_STM07_IS(D1389,48,$G$5,$H$13)/$E$5))</f>
        <v/>
      </c>
      <c r="I1389" s="249" t="str">
        <f ca="1">IF(C1389="","",IF($I$11="毛利率",([1]!S_STM07_IS(D1389,9,$G$5,$H$13)-[1]!S_STM07_IS(D1389,10,$G$5,$H$13))/[1]!S_STM07_IS(D1389,9,$G$5,$H$13),[1]!S_STM07_IS(D1389,14,$G$5,$H$13)/$E$5))</f>
        <v/>
      </c>
      <c r="J1389" s="249" t="str">
        <f ca="1">IF(C1389="","",IF($J$11="营业利润率",[1]!S_STM07_IS(D1389,48,$G$5,$H$13)/[1]!S_STM07_IS(D1389,9,$G$5,$H$13),([1]!S_STM07_CS(D1389,87,$G$5,$H$13)+[1]!S_STM07_CS(D1389,88,$G$5,$H$13)+[1]!S_STM07_CS(D1389,89,$G$5,$H$13))/$E$5))</f>
        <v/>
      </c>
      <c r="K1389" s="249" t="str">
        <f ca="1">IF(C1389="","",IF($K$11="净利润率",[1]!S_STM07_IS(D1389,61,$G$5,$H$13)/[1]!S_STM07_IS(D1389,9,$G$5,$H$13),[1]!S_STM07_IS(D1389,55,$G$5,$H$13)/$E$5))</f>
        <v/>
      </c>
      <c r="L1389" s="249" t="str">
        <f ca="1">IF(C1389="","",IF($L$11="ROA",[1]!S_STM07_IS(D1389,61,$G$5,$H$13)/[1]!S_STM07_BS(D1389,74,$G$5,$H$13),1-[1]!S_STM07_IS(D1389,61,$G$5,$H$13)/[1]!S_STM07_IS(D1389,55,$G$5,$H$13)))</f>
        <v/>
      </c>
      <c r="M1389" s="249" t="str">
        <f ca="1">IF(C1389="","",IF($M$11="ROE",[1]!S_STM07_IS(D1389,61,$G$5,$H$13)/[1]!S_STM07_BS(D1389,141,$G$5,$H$13),([1]!S_STM07_BS(D1389,25,$G$5,$H$13)-[1]!S_STM07_BS(D1389,93,$G$5,$H$13))/$E$5))</f>
        <v/>
      </c>
      <c r="N1389" s="250" t="str">
        <f ca="1">IF(C1389="","",IF($N$11="EPS",[1]!S_STM07_IS(D1389,61,$G$5,$H$13)/IF([1]!S_SHARE_TOTAL(D1389,$G$5)=0,[1]!S_SHARE_TOTAL(D1389,[1]!s_ipo_listeddate(D1389)),[1]!S_SHARE_TOTAL(D1389,$G$5)),([1]!S_STM07_BS(D1389,75,$G$5,$H$13)+[1]!S_STM07_BS(D1389,88,$G$5,$H$13)+[1]!S_STM07_BS(D1389,94,$G$5,$H$13)+[1]!S_STM07_BS(D1389,95,$G$5,$H$13))/$E$5))</f>
        <v/>
      </c>
      <c r="O1389" s="250" t="str">
        <f ca="1">IF(C1389="","",IF($O$11="BPS",[1]!S_STM07_BS(D1389,141,$G$5,$H$13)/IF([1]!S_SHARE_TOTAL(D1389,$G$5)=0,[1]!S_SHARE_TOTAL(D1389,[1]!s_ipo_listeddate(D1389)),[1]!S_SHARE_TOTAL(D1389,$G$5)),[1]!S_STM07_CS(D1389,49,$G$5,$H$13)/$E$5))</f>
        <v/>
      </c>
      <c r="P1389" s="250" t="str">
        <f ca="1">IF(C1389="","",IF($P$11="CFPS",[1]!S_STM07_CS(D1389,84,$G$5,$H$13)/IF([1]!S_SHARE_TOTAL(D1389,$G$5)=0,[1]!S_SHARE_TOTAL(D1389,[1]!s_ipo_listeddate(D1389)),[1]!S_SHARE_TOTAL(D1389,$G$5)),[1]!S_STM07_CS(D1389,84,$G$5,$H$13)/$E$5))</f>
        <v/>
      </c>
      <c r="Q1389" s="198" t="str">
        <f ca="1">IF(C1389="","",F1389/([1]!S_STM07_IS(D1389,61,$G$5,$H$13)/IF([1]!S_SHARE_TOTAL(D1389,$G$5)=0,[1]!S_SHARE_TOTAL(D1389,[1]!s_ipo_listeddate(D1389)),[1]!S_SHARE_TOTAL(D1389,$G$5))))</f>
        <v/>
      </c>
      <c r="R1389" s="198" t="str">
        <f ca="1">IF(C1389="","",F1389/([1]!S_STM07_BS(D1389,141,$G$5,$H$13)/IF([1]!S_SHARE_TOTAL(D1389,$G$5)=0,[1]!S_SHARE_TOTAL(D1389,[1]!s_ipo_listeddate(D1389)),[1]!S_SHARE_TOTAL(D1389,$G$5))))</f>
        <v/>
      </c>
      <c r="S1389" s="249" t="str">
        <f ca="1">IF(C1389="","",[1]!S_SHARE_TOTAL(D1389,TODAY())/$E$5)</f>
        <v/>
      </c>
      <c r="T1389" s="249" t="str">
        <f t="shared" ca="1" si="139"/>
        <v/>
      </c>
      <c r="U1389" s="172" t="str">
        <f t="shared" ca="1" si="140"/>
        <v/>
      </c>
      <c r="V1389" s="343" t="str">
        <f t="shared" ca="1" si="141"/>
        <v/>
      </c>
      <c r="W1389" s="139"/>
      <c r="Y1389" s="1"/>
    </row>
    <row r="1390" spans="3:25" ht="12" customHeight="1">
      <c r="C1390" s="342" t="str">
        <f t="shared" ca="1" si="136"/>
        <v/>
      </c>
      <c r="D1390" s="153" t="str">
        <f t="shared" ca="1" si="137"/>
        <v/>
      </c>
      <c r="E1390" s="153" t="str">
        <f t="shared" ca="1" si="138"/>
        <v/>
      </c>
      <c r="F1390" s="170" t="str">
        <f ca="1">IF(C1390="","",[1]!S_DQ_CLOSE(D1390,TODAY(),1))</f>
        <v/>
      </c>
      <c r="G1390" s="171" t="str">
        <f ca="1">IF(C1390="","",[1]!s_pq_pctchange(D1390,TODAY()-$G$12,TODAY())/100)</f>
        <v/>
      </c>
      <c r="H1390" s="247" t="str">
        <f ca="1">IF(C1390="","",IF($H$11="收入",[1]!S_STM07_IS(D1390,9,$G$5,$H$13)/$E$5,[1]!S_STM07_IS(D1390,48,$G$5,$H$13)/$E$5))</f>
        <v/>
      </c>
      <c r="I1390" s="247" t="str">
        <f ca="1">IF(C1390="","",IF($I$11="毛利率",([1]!S_STM07_IS(D1390,9,$G$5,$H$13)-[1]!S_STM07_IS(D1390,10,$G$5,$H$13))/[1]!S_STM07_IS(D1390,9,$G$5,$H$13),[1]!S_STM07_IS(D1390,14,$G$5,$H$13)/$E$5))</f>
        <v/>
      </c>
      <c r="J1390" s="247" t="str">
        <f ca="1">IF(C1390="","",IF($J$11="营业利润率",[1]!S_STM07_IS(D1390,48,$G$5,$H$13)/[1]!S_STM07_IS(D1390,9,$G$5,$H$13),([1]!S_STM07_CS(D1390,87,$G$5,$H$13)+[1]!S_STM07_CS(D1390,88,$G$5,$H$13)+[1]!S_STM07_CS(D1390,89,$G$5,$H$13))/$E$5))</f>
        <v/>
      </c>
      <c r="K1390" s="247" t="str">
        <f ca="1">IF(C1390="","",IF($K$11="净利润率",[1]!S_STM07_IS(D1390,61,$G$5,$H$13)/[1]!S_STM07_IS(D1390,9,$G$5,$H$13),[1]!S_STM07_IS(D1390,55,$G$5,$H$13)/$E$5))</f>
        <v/>
      </c>
      <c r="L1390" s="247" t="str">
        <f ca="1">IF(C1390="","",IF($L$11="ROA",[1]!S_STM07_IS(D1390,61,$G$5,$H$13)/[1]!S_STM07_BS(D1390,74,$G$5,$H$13),1-[1]!S_STM07_IS(D1390,61,$G$5,$H$13)/[1]!S_STM07_IS(D1390,55,$G$5,$H$13)))</f>
        <v/>
      </c>
      <c r="M1390" s="247" t="str">
        <f ca="1">IF(C1390="","",IF($M$11="ROE",[1]!S_STM07_IS(D1390,61,$G$5,$H$13)/[1]!S_STM07_BS(D1390,141,$G$5,$H$13),([1]!S_STM07_BS(D1390,25,$G$5,$H$13)-[1]!S_STM07_BS(D1390,93,$G$5,$H$13))/$E$5))</f>
        <v/>
      </c>
      <c r="N1390" s="247" t="str">
        <f ca="1">IF(C1390="","",IF($N$11="EPS",[1]!S_STM07_IS(D1390,61,$G$5,$H$13)/IF([1]!S_SHARE_TOTAL(D1390,$G$5)=0,[1]!S_SHARE_TOTAL(D1390,[1]!s_ipo_listeddate(D1390)),[1]!S_SHARE_TOTAL(D1390,$G$5)),([1]!S_STM07_BS(D1390,75,$G$5,$H$13)+[1]!S_STM07_BS(D1390,88,$G$5,$H$13)+[1]!S_STM07_BS(D1390,94,$G$5,$H$13)+[1]!S_STM07_BS(D1390,95,$G$5,$H$13))/$E$5))</f>
        <v/>
      </c>
      <c r="O1390" s="247" t="str">
        <f ca="1">IF(C1390="","",IF($O$11="BPS",[1]!S_STM07_BS(D1390,141,$G$5,$H$13)/IF([1]!S_SHARE_TOTAL(D1390,$G$5)=0,[1]!S_SHARE_TOTAL(D1390,[1]!s_ipo_listeddate(D1390)),[1]!S_SHARE_TOTAL(D1390,$G$5)),[1]!S_STM07_CS(D1390,49,$G$5,$H$13)/$E$5))</f>
        <v/>
      </c>
      <c r="P1390" s="247" t="str">
        <f ca="1">IF(C1390="","",IF($P$11="CFPS",[1]!S_STM07_CS(D1390,84,$G$5,$H$13)/IF([1]!S_SHARE_TOTAL(D1390,$G$5)=0,[1]!S_SHARE_TOTAL(D1390,[1]!s_ipo_listeddate(D1390)),[1]!S_SHARE_TOTAL(D1390,$G$5)),[1]!S_STM07_CS(D1390,84,$G$5,$H$13)/$E$5))</f>
        <v/>
      </c>
      <c r="Q1390" s="248" t="str">
        <f ca="1">IF(C1390="","",F1390/([1]!S_STM07_IS(D1390,61,$G$5,$H$13)/IF([1]!S_SHARE_TOTAL(D1390,$G$5)=0,[1]!S_SHARE_TOTAL(D1390,[1]!s_ipo_listeddate(D1390)),[1]!S_SHARE_TOTAL(D1390,$G$5))))</f>
        <v/>
      </c>
      <c r="R1390" s="248" t="str">
        <f ca="1">IF(C1390="","",F1390/([1]!S_STM07_BS(D1390,141,$G$5,$H$13)/IF([1]!S_SHARE_TOTAL(D1390,$G$5)=0,[1]!S_SHARE_TOTAL(D1390,[1]!s_ipo_listeddate(D1390)),[1]!S_SHARE_TOTAL(D1390,$G$5))))</f>
        <v/>
      </c>
      <c r="S1390" s="247" t="str">
        <f ca="1">IF(C1390="","",[1]!S_SHARE_TOTAL(D1390,TODAY())/$E$5)</f>
        <v/>
      </c>
      <c r="T1390" s="247" t="str">
        <f t="shared" ca="1" si="139"/>
        <v/>
      </c>
      <c r="U1390" s="218" t="str">
        <f t="shared" ca="1" si="140"/>
        <v/>
      </c>
      <c r="V1390" s="342" t="str">
        <f t="shared" ca="1" si="141"/>
        <v/>
      </c>
      <c r="W1390" s="139"/>
      <c r="Y1390" s="1"/>
    </row>
    <row r="1391" spans="3:25" ht="12" customHeight="1">
      <c r="C1391" s="343" t="str">
        <f t="shared" ca="1" si="136"/>
        <v/>
      </c>
      <c r="D1391" s="124" t="str">
        <f t="shared" ca="1" si="137"/>
        <v/>
      </c>
      <c r="E1391" s="124" t="str">
        <f t="shared" ca="1" si="138"/>
        <v/>
      </c>
      <c r="F1391" s="172" t="str">
        <f ca="1">IF(C1391="","",[1]!S_DQ_CLOSE(D1391,TODAY(),1))</f>
        <v/>
      </c>
      <c r="G1391" s="173" t="str">
        <f ca="1">IF(C1391="","",[1]!s_pq_pctchange(D1391,TODAY()-$G$12,TODAY())/100)</f>
        <v/>
      </c>
      <c r="H1391" s="249" t="str">
        <f ca="1">IF(C1391="","",IF($H$11="收入",[1]!S_STM07_IS(D1391,9,$G$5,$H$13)/$E$5,[1]!S_STM07_IS(D1391,48,$G$5,$H$13)/$E$5))</f>
        <v/>
      </c>
      <c r="I1391" s="249" t="str">
        <f ca="1">IF(C1391="","",IF($I$11="毛利率",([1]!S_STM07_IS(D1391,9,$G$5,$H$13)-[1]!S_STM07_IS(D1391,10,$G$5,$H$13))/[1]!S_STM07_IS(D1391,9,$G$5,$H$13),[1]!S_STM07_IS(D1391,14,$G$5,$H$13)/$E$5))</f>
        <v/>
      </c>
      <c r="J1391" s="249" t="str">
        <f ca="1">IF(C1391="","",IF($J$11="营业利润率",[1]!S_STM07_IS(D1391,48,$G$5,$H$13)/[1]!S_STM07_IS(D1391,9,$G$5,$H$13),([1]!S_STM07_CS(D1391,87,$G$5,$H$13)+[1]!S_STM07_CS(D1391,88,$G$5,$H$13)+[1]!S_STM07_CS(D1391,89,$G$5,$H$13))/$E$5))</f>
        <v/>
      </c>
      <c r="K1391" s="249" t="str">
        <f ca="1">IF(C1391="","",IF($K$11="净利润率",[1]!S_STM07_IS(D1391,61,$G$5,$H$13)/[1]!S_STM07_IS(D1391,9,$G$5,$H$13),[1]!S_STM07_IS(D1391,55,$G$5,$H$13)/$E$5))</f>
        <v/>
      </c>
      <c r="L1391" s="249" t="str">
        <f ca="1">IF(C1391="","",IF($L$11="ROA",[1]!S_STM07_IS(D1391,61,$G$5,$H$13)/[1]!S_STM07_BS(D1391,74,$G$5,$H$13),1-[1]!S_STM07_IS(D1391,61,$G$5,$H$13)/[1]!S_STM07_IS(D1391,55,$G$5,$H$13)))</f>
        <v/>
      </c>
      <c r="M1391" s="249" t="str">
        <f ca="1">IF(C1391="","",IF($M$11="ROE",[1]!S_STM07_IS(D1391,61,$G$5,$H$13)/[1]!S_STM07_BS(D1391,141,$G$5,$H$13),([1]!S_STM07_BS(D1391,25,$G$5,$H$13)-[1]!S_STM07_BS(D1391,93,$G$5,$H$13))/$E$5))</f>
        <v/>
      </c>
      <c r="N1391" s="250" t="str">
        <f ca="1">IF(C1391="","",IF($N$11="EPS",[1]!S_STM07_IS(D1391,61,$G$5,$H$13)/IF([1]!S_SHARE_TOTAL(D1391,$G$5)=0,[1]!S_SHARE_TOTAL(D1391,[1]!s_ipo_listeddate(D1391)),[1]!S_SHARE_TOTAL(D1391,$G$5)),([1]!S_STM07_BS(D1391,75,$G$5,$H$13)+[1]!S_STM07_BS(D1391,88,$G$5,$H$13)+[1]!S_STM07_BS(D1391,94,$G$5,$H$13)+[1]!S_STM07_BS(D1391,95,$G$5,$H$13))/$E$5))</f>
        <v/>
      </c>
      <c r="O1391" s="250" t="str">
        <f ca="1">IF(C1391="","",IF($O$11="BPS",[1]!S_STM07_BS(D1391,141,$G$5,$H$13)/IF([1]!S_SHARE_TOTAL(D1391,$G$5)=0,[1]!S_SHARE_TOTAL(D1391,[1]!s_ipo_listeddate(D1391)),[1]!S_SHARE_TOTAL(D1391,$G$5)),[1]!S_STM07_CS(D1391,49,$G$5,$H$13)/$E$5))</f>
        <v/>
      </c>
      <c r="P1391" s="250" t="str">
        <f ca="1">IF(C1391="","",IF($P$11="CFPS",[1]!S_STM07_CS(D1391,84,$G$5,$H$13)/IF([1]!S_SHARE_TOTAL(D1391,$G$5)=0,[1]!S_SHARE_TOTAL(D1391,[1]!s_ipo_listeddate(D1391)),[1]!S_SHARE_TOTAL(D1391,$G$5)),[1]!S_STM07_CS(D1391,84,$G$5,$H$13)/$E$5))</f>
        <v/>
      </c>
      <c r="Q1391" s="198" t="str">
        <f ca="1">IF(C1391="","",F1391/([1]!S_STM07_IS(D1391,61,$G$5,$H$13)/IF([1]!S_SHARE_TOTAL(D1391,$G$5)=0,[1]!S_SHARE_TOTAL(D1391,[1]!s_ipo_listeddate(D1391)),[1]!S_SHARE_TOTAL(D1391,$G$5))))</f>
        <v/>
      </c>
      <c r="R1391" s="198" t="str">
        <f ca="1">IF(C1391="","",F1391/([1]!S_STM07_BS(D1391,141,$G$5,$H$13)/IF([1]!S_SHARE_TOTAL(D1391,$G$5)=0,[1]!S_SHARE_TOTAL(D1391,[1]!s_ipo_listeddate(D1391)),[1]!S_SHARE_TOTAL(D1391,$G$5))))</f>
        <v/>
      </c>
      <c r="S1391" s="249" t="str">
        <f ca="1">IF(C1391="","",[1]!S_SHARE_TOTAL(D1391,TODAY())/$E$5)</f>
        <v/>
      </c>
      <c r="T1391" s="249" t="str">
        <f t="shared" ca="1" si="139"/>
        <v/>
      </c>
      <c r="U1391" s="172" t="str">
        <f t="shared" ca="1" si="140"/>
        <v/>
      </c>
      <c r="V1391" s="343" t="str">
        <f t="shared" ca="1" si="141"/>
        <v/>
      </c>
      <c r="W1391" s="139"/>
      <c r="Y1391" s="1"/>
    </row>
    <row r="1392" spans="3:25" ht="12" customHeight="1">
      <c r="C1392" s="342" t="str">
        <f t="shared" ca="1" si="136"/>
        <v/>
      </c>
      <c r="D1392" s="153" t="str">
        <f t="shared" ca="1" si="137"/>
        <v/>
      </c>
      <c r="E1392" s="153" t="str">
        <f t="shared" ca="1" si="138"/>
        <v/>
      </c>
      <c r="F1392" s="170" t="str">
        <f ca="1">IF(C1392="","",[1]!S_DQ_CLOSE(D1392,TODAY(),1))</f>
        <v/>
      </c>
      <c r="G1392" s="171" t="str">
        <f ca="1">IF(C1392="","",[1]!s_pq_pctchange(D1392,TODAY()-$G$12,TODAY())/100)</f>
        <v/>
      </c>
      <c r="H1392" s="247" t="str">
        <f ca="1">IF(C1392="","",IF($H$11="收入",[1]!S_STM07_IS(D1392,9,$G$5,$H$13)/$E$5,[1]!S_STM07_IS(D1392,48,$G$5,$H$13)/$E$5))</f>
        <v/>
      </c>
      <c r="I1392" s="247" t="str">
        <f ca="1">IF(C1392="","",IF($I$11="毛利率",([1]!S_STM07_IS(D1392,9,$G$5,$H$13)-[1]!S_STM07_IS(D1392,10,$G$5,$H$13))/[1]!S_STM07_IS(D1392,9,$G$5,$H$13),[1]!S_STM07_IS(D1392,14,$G$5,$H$13)/$E$5))</f>
        <v/>
      </c>
      <c r="J1392" s="247" t="str">
        <f ca="1">IF(C1392="","",IF($J$11="营业利润率",[1]!S_STM07_IS(D1392,48,$G$5,$H$13)/[1]!S_STM07_IS(D1392,9,$G$5,$H$13),([1]!S_STM07_CS(D1392,87,$G$5,$H$13)+[1]!S_STM07_CS(D1392,88,$G$5,$H$13)+[1]!S_STM07_CS(D1392,89,$G$5,$H$13))/$E$5))</f>
        <v/>
      </c>
      <c r="K1392" s="247" t="str">
        <f ca="1">IF(C1392="","",IF($K$11="净利润率",[1]!S_STM07_IS(D1392,61,$G$5,$H$13)/[1]!S_STM07_IS(D1392,9,$G$5,$H$13),[1]!S_STM07_IS(D1392,55,$G$5,$H$13)/$E$5))</f>
        <v/>
      </c>
      <c r="L1392" s="247" t="str">
        <f ca="1">IF(C1392="","",IF($L$11="ROA",[1]!S_STM07_IS(D1392,61,$G$5,$H$13)/[1]!S_STM07_BS(D1392,74,$G$5,$H$13),1-[1]!S_STM07_IS(D1392,61,$G$5,$H$13)/[1]!S_STM07_IS(D1392,55,$G$5,$H$13)))</f>
        <v/>
      </c>
      <c r="M1392" s="247" t="str">
        <f ca="1">IF(C1392="","",IF($M$11="ROE",[1]!S_STM07_IS(D1392,61,$G$5,$H$13)/[1]!S_STM07_BS(D1392,141,$G$5,$H$13),([1]!S_STM07_BS(D1392,25,$G$5,$H$13)-[1]!S_STM07_BS(D1392,93,$G$5,$H$13))/$E$5))</f>
        <v/>
      </c>
      <c r="N1392" s="247" t="str">
        <f ca="1">IF(C1392="","",IF($N$11="EPS",[1]!S_STM07_IS(D1392,61,$G$5,$H$13)/IF([1]!S_SHARE_TOTAL(D1392,$G$5)=0,[1]!S_SHARE_TOTAL(D1392,[1]!s_ipo_listeddate(D1392)),[1]!S_SHARE_TOTAL(D1392,$G$5)),([1]!S_STM07_BS(D1392,75,$G$5,$H$13)+[1]!S_STM07_BS(D1392,88,$G$5,$H$13)+[1]!S_STM07_BS(D1392,94,$G$5,$H$13)+[1]!S_STM07_BS(D1392,95,$G$5,$H$13))/$E$5))</f>
        <v/>
      </c>
      <c r="O1392" s="247" t="str">
        <f ca="1">IF(C1392="","",IF($O$11="BPS",[1]!S_STM07_BS(D1392,141,$G$5,$H$13)/IF([1]!S_SHARE_TOTAL(D1392,$G$5)=0,[1]!S_SHARE_TOTAL(D1392,[1]!s_ipo_listeddate(D1392)),[1]!S_SHARE_TOTAL(D1392,$G$5)),[1]!S_STM07_CS(D1392,49,$G$5,$H$13)/$E$5))</f>
        <v/>
      </c>
      <c r="P1392" s="247" t="str">
        <f ca="1">IF(C1392="","",IF($P$11="CFPS",[1]!S_STM07_CS(D1392,84,$G$5,$H$13)/IF([1]!S_SHARE_TOTAL(D1392,$G$5)=0,[1]!S_SHARE_TOTAL(D1392,[1]!s_ipo_listeddate(D1392)),[1]!S_SHARE_TOTAL(D1392,$G$5)),[1]!S_STM07_CS(D1392,84,$G$5,$H$13)/$E$5))</f>
        <v/>
      </c>
      <c r="Q1392" s="248" t="str">
        <f ca="1">IF(C1392="","",F1392/([1]!S_STM07_IS(D1392,61,$G$5,$H$13)/IF([1]!S_SHARE_TOTAL(D1392,$G$5)=0,[1]!S_SHARE_TOTAL(D1392,[1]!s_ipo_listeddate(D1392)),[1]!S_SHARE_TOTAL(D1392,$G$5))))</f>
        <v/>
      </c>
      <c r="R1392" s="248" t="str">
        <f ca="1">IF(C1392="","",F1392/([1]!S_STM07_BS(D1392,141,$G$5,$H$13)/IF([1]!S_SHARE_TOTAL(D1392,$G$5)=0,[1]!S_SHARE_TOTAL(D1392,[1]!s_ipo_listeddate(D1392)),[1]!S_SHARE_TOTAL(D1392,$G$5))))</f>
        <v/>
      </c>
      <c r="S1392" s="247" t="str">
        <f ca="1">IF(C1392="","",[1]!S_SHARE_TOTAL(D1392,TODAY())/$E$5)</f>
        <v/>
      </c>
      <c r="T1392" s="247" t="str">
        <f t="shared" ca="1" si="139"/>
        <v/>
      </c>
      <c r="U1392" s="218" t="str">
        <f t="shared" ca="1" si="140"/>
        <v/>
      </c>
      <c r="V1392" s="342" t="str">
        <f t="shared" ca="1" si="141"/>
        <v/>
      </c>
      <c r="W1392" s="139"/>
      <c r="Y1392" s="1"/>
    </row>
    <row r="1393" spans="3:25" ht="12" customHeight="1">
      <c r="C1393" s="343" t="str">
        <f t="shared" ca="1" si="136"/>
        <v/>
      </c>
      <c r="D1393" s="124" t="str">
        <f t="shared" ca="1" si="137"/>
        <v/>
      </c>
      <c r="E1393" s="124" t="str">
        <f t="shared" ca="1" si="138"/>
        <v/>
      </c>
      <c r="F1393" s="172" t="str">
        <f ca="1">IF(C1393="","",[1]!S_DQ_CLOSE(D1393,TODAY(),1))</f>
        <v/>
      </c>
      <c r="G1393" s="173" t="str">
        <f ca="1">IF(C1393="","",[1]!s_pq_pctchange(D1393,TODAY()-$G$12,TODAY())/100)</f>
        <v/>
      </c>
      <c r="H1393" s="249" t="str">
        <f ca="1">IF(C1393="","",IF($H$11="收入",[1]!S_STM07_IS(D1393,9,$G$5,$H$13)/$E$5,[1]!S_STM07_IS(D1393,48,$G$5,$H$13)/$E$5))</f>
        <v/>
      </c>
      <c r="I1393" s="249" t="str">
        <f ca="1">IF(C1393="","",IF($I$11="毛利率",([1]!S_STM07_IS(D1393,9,$G$5,$H$13)-[1]!S_STM07_IS(D1393,10,$G$5,$H$13))/[1]!S_STM07_IS(D1393,9,$G$5,$H$13),[1]!S_STM07_IS(D1393,14,$G$5,$H$13)/$E$5))</f>
        <v/>
      </c>
      <c r="J1393" s="249" t="str">
        <f ca="1">IF(C1393="","",IF($J$11="营业利润率",[1]!S_STM07_IS(D1393,48,$G$5,$H$13)/[1]!S_STM07_IS(D1393,9,$G$5,$H$13),([1]!S_STM07_CS(D1393,87,$G$5,$H$13)+[1]!S_STM07_CS(D1393,88,$G$5,$H$13)+[1]!S_STM07_CS(D1393,89,$G$5,$H$13))/$E$5))</f>
        <v/>
      </c>
      <c r="K1393" s="249" t="str">
        <f ca="1">IF(C1393="","",IF($K$11="净利润率",[1]!S_STM07_IS(D1393,61,$G$5,$H$13)/[1]!S_STM07_IS(D1393,9,$G$5,$H$13),[1]!S_STM07_IS(D1393,55,$G$5,$H$13)/$E$5))</f>
        <v/>
      </c>
      <c r="L1393" s="249" t="str">
        <f ca="1">IF(C1393="","",IF($L$11="ROA",[1]!S_STM07_IS(D1393,61,$G$5,$H$13)/[1]!S_STM07_BS(D1393,74,$G$5,$H$13),1-[1]!S_STM07_IS(D1393,61,$G$5,$H$13)/[1]!S_STM07_IS(D1393,55,$G$5,$H$13)))</f>
        <v/>
      </c>
      <c r="M1393" s="249" t="str">
        <f ca="1">IF(C1393="","",IF($M$11="ROE",[1]!S_STM07_IS(D1393,61,$G$5,$H$13)/[1]!S_STM07_BS(D1393,141,$G$5,$H$13),([1]!S_STM07_BS(D1393,25,$G$5,$H$13)-[1]!S_STM07_BS(D1393,93,$G$5,$H$13))/$E$5))</f>
        <v/>
      </c>
      <c r="N1393" s="250" t="str">
        <f ca="1">IF(C1393="","",IF($N$11="EPS",[1]!S_STM07_IS(D1393,61,$G$5,$H$13)/IF([1]!S_SHARE_TOTAL(D1393,$G$5)=0,[1]!S_SHARE_TOTAL(D1393,[1]!s_ipo_listeddate(D1393)),[1]!S_SHARE_TOTAL(D1393,$G$5)),([1]!S_STM07_BS(D1393,75,$G$5,$H$13)+[1]!S_STM07_BS(D1393,88,$G$5,$H$13)+[1]!S_STM07_BS(D1393,94,$G$5,$H$13)+[1]!S_STM07_BS(D1393,95,$G$5,$H$13))/$E$5))</f>
        <v/>
      </c>
      <c r="O1393" s="250" t="str">
        <f ca="1">IF(C1393="","",IF($O$11="BPS",[1]!S_STM07_BS(D1393,141,$G$5,$H$13)/IF([1]!S_SHARE_TOTAL(D1393,$G$5)=0,[1]!S_SHARE_TOTAL(D1393,[1]!s_ipo_listeddate(D1393)),[1]!S_SHARE_TOTAL(D1393,$G$5)),[1]!S_STM07_CS(D1393,49,$G$5,$H$13)/$E$5))</f>
        <v/>
      </c>
      <c r="P1393" s="250" t="str">
        <f ca="1">IF(C1393="","",IF($P$11="CFPS",[1]!S_STM07_CS(D1393,84,$G$5,$H$13)/IF([1]!S_SHARE_TOTAL(D1393,$G$5)=0,[1]!S_SHARE_TOTAL(D1393,[1]!s_ipo_listeddate(D1393)),[1]!S_SHARE_TOTAL(D1393,$G$5)),[1]!S_STM07_CS(D1393,84,$G$5,$H$13)/$E$5))</f>
        <v/>
      </c>
      <c r="Q1393" s="198" t="str">
        <f ca="1">IF(C1393="","",F1393/([1]!S_STM07_IS(D1393,61,$G$5,$H$13)/IF([1]!S_SHARE_TOTAL(D1393,$G$5)=0,[1]!S_SHARE_TOTAL(D1393,[1]!s_ipo_listeddate(D1393)),[1]!S_SHARE_TOTAL(D1393,$G$5))))</f>
        <v/>
      </c>
      <c r="R1393" s="198" t="str">
        <f ca="1">IF(C1393="","",F1393/([1]!S_STM07_BS(D1393,141,$G$5,$H$13)/IF([1]!S_SHARE_TOTAL(D1393,$G$5)=0,[1]!S_SHARE_TOTAL(D1393,[1]!s_ipo_listeddate(D1393)),[1]!S_SHARE_TOTAL(D1393,$G$5))))</f>
        <v/>
      </c>
      <c r="S1393" s="249" t="str">
        <f ca="1">IF(C1393="","",[1]!S_SHARE_TOTAL(D1393,TODAY())/$E$5)</f>
        <v/>
      </c>
      <c r="T1393" s="249" t="str">
        <f t="shared" ca="1" si="139"/>
        <v/>
      </c>
      <c r="U1393" s="172" t="str">
        <f t="shared" ca="1" si="140"/>
        <v/>
      </c>
      <c r="V1393" s="343" t="str">
        <f t="shared" ca="1" si="141"/>
        <v/>
      </c>
      <c r="W1393" s="139"/>
      <c r="Y1393" s="1"/>
    </row>
    <row r="1394" spans="3:25" ht="12" customHeight="1">
      <c r="C1394" s="342" t="str">
        <f t="shared" ca="1" si="136"/>
        <v/>
      </c>
      <c r="D1394" s="153" t="str">
        <f t="shared" ca="1" si="137"/>
        <v/>
      </c>
      <c r="E1394" s="153" t="str">
        <f t="shared" ca="1" si="138"/>
        <v/>
      </c>
      <c r="F1394" s="170" t="str">
        <f ca="1">IF(C1394="","",[1]!S_DQ_CLOSE(D1394,TODAY(),1))</f>
        <v/>
      </c>
      <c r="G1394" s="171" t="str">
        <f ca="1">IF(C1394="","",[1]!s_pq_pctchange(D1394,TODAY()-$G$12,TODAY())/100)</f>
        <v/>
      </c>
      <c r="H1394" s="247" t="str">
        <f ca="1">IF(C1394="","",IF($H$11="收入",[1]!S_STM07_IS(D1394,9,$G$5,$H$13)/$E$5,[1]!S_STM07_IS(D1394,48,$G$5,$H$13)/$E$5))</f>
        <v/>
      </c>
      <c r="I1394" s="247" t="str">
        <f ca="1">IF(C1394="","",IF($I$11="毛利率",([1]!S_STM07_IS(D1394,9,$G$5,$H$13)-[1]!S_STM07_IS(D1394,10,$G$5,$H$13))/[1]!S_STM07_IS(D1394,9,$G$5,$H$13),[1]!S_STM07_IS(D1394,14,$G$5,$H$13)/$E$5))</f>
        <v/>
      </c>
      <c r="J1394" s="247" t="str">
        <f ca="1">IF(C1394="","",IF($J$11="营业利润率",[1]!S_STM07_IS(D1394,48,$G$5,$H$13)/[1]!S_STM07_IS(D1394,9,$G$5,$H$13),([1]!S_STM07_CS(D1394,87,$G$5,$H$13)+[1]!S_STM07_CS(D1394,88,$G$5,$H$13)+[1]!S_STM07_CS(D1394,89,$G$5,$H$13))/$E$5))</f>
        <v/>
      </c>
      <c r="K1394" s="247" t="str">
        <f ca="1">IF(C1394="","",IF($K$11="净利润率",[1]!S_STM07_IS(D1394,61,$G$5,$H$13)/[1]!S_STM07_IS(D1394,9,$G$5,$H$13),[1]!S_STM07_IS(D1394,55,$G$5,$H$13)/$E$5))</f>
        <v/>
      </c>
      <c r="L1394" s="247" t="str">
        <f ca="1">IF(C1394="","",IF($L$11="ROA",[1]!S_STM07_IS(D1394,61,$G$5,$H$13)/[1]!S_STM07_BS(D1394,74,$G$5,$H$13),1-[1]!S_STM07_IS(D1394,61,$G$5,$H$13)/[1]!S_STM07_IS(D1394,55,$G$5,$H$13)))</f>
        <v/>
      </c>
      <c r="M1394" s="247" t="str">
        <f ca="1">IF(C1394="","",IF($M$11="ROE",[1]!S_STM07_IS(D1394,61,$G$5,$H$13)/[1]!S_STM07_BS(D1394,141,$G$5,$H$13),([1]!S_STM07_BS(D1394,25,$G$5,$H$13)-[1]!S_STM07_BS(D1394,93,$G$5,$H$13))/$E$5))</f>
        <v/>
      </c>
      <c r="N1394" s="247" t="str">
        <f ca="1">IF(C1394="","",IF($N$11="EPS",[1]!S_STM07_IS(D1394,61,$G$5,$H$13)/IF([1]!S_SHARE_TOTAL(D1394,$G$5)=0,[1]!S_SHARE_TOTAL(D1394,[1]!s_ipo_listeddate(D1394)),[1]!S_SHARE_TOTAL(D1394,$G$5)),([1]!S_STM07_BS(D1394,75,$G$5,$H$13)+[1]!S_STM07_BS(D1394,88,$G$5,$H$13)+[1]!S_STM07_BS(D1394,94,$G$5,$H$13)+[1]!S_STM07_BS(D1394,95,$G$5,$H$13))/$E$5))</f>
        <v/>
      </c>
      <c r="O1394" s="247" t="str">
        <f ca="1">IF(C1394="","",IF($O$11="BPS",[1]!S_STM07_BS(D1394,141,$G$5,$H$13)/IF([1]!S_SHARE_TOTAL(D1394,$G$5)=0,[1]!S_SHARE_TOTAL(D1394,[1]!s_ipo_listeddate(D1394)),[1]!S_SHARE_TOTAL(D1394,$G$5)),[1]!S_STM07_CS(D1394,49,$G$5,$H$13)/$E$5))</f>
        <v/>
      </c>
      <c r="P1394" s="247" t="str">
        <f ca="1">IF(C1394="","",IF($P$11="CFPS",[1]!S_STM07_CS(D1394,84,$G$5,$H$13)/IF([1]!S_SHARE_TOTAL(D1394,$G$5)=0,[1]!S_SHARE_TOTAL(D1394,[1]!s_ipo_listeddate(D1394)),[1]!S_SHARE_TOTAL(D1394,$G$5)),[1]!S_STM07_CS(D1394,84,$G$5,$H$13)/$E$5))</f>
        <v/>
      </c>
      <c r="Q1394" s="248" t="str">
        <f ca="1">IF(C1394="","",F1394/([1]!S_STM07_IS(D1394,61,$G$5,$H$13)/IF([1]!S_SHARE_TOTAL(D1394,$G$5)=0,[1]!S_SHARE_TOTAL(D1394,[1]!s_ipo_listeddate(D1394)),[1]!S_SHARE_TOTAL(D1394,$G$5))))</f>
        <v/>
      </c>
      <c r="R1394" s="248" t="str">
        <f ca="1">IF(C1394="","",F1394/([1]!S_STM07_BS(D1394,141,$G$5,$H$13)/IF([1]!S_SHARE_TOTAL(D1394,$G$5)=0,[1]!S_SHARE_TOTAL(D1394,[1]!s_ipo_listeddate(D1394)),[1]!S_SHARE_TOTAL(D1394,$G$5))))</f>
        <v/>
      </c>
      <c r="S1394" s="247" t="str">
        <f ca="1">IF(C1394="","",[1]!S_SHARE_TOTAL(D1394,TODAY())/$E$5)</f>
        <v/>
      </c>
      <c r="T1394" s="247" t="str">
        <f t="shared" ca="1" si="139"/>
        <v/>
      </c>
      <c r="U1394" s="218" t="str">
        <f t="shared" ca="1" si="140"/>
        <v/>
      </c>
      <c r="V1394" s="342" t="str">
        <f t="shared" ca="1" si="141"/>
        <v/>
      </c>
      <c r="W1394" s="139"/>
      <c r="Y1394" s="1"/>
    </row>
    <row r="1395" spans="3:25" ht="12" customHeight="1">
      <c r="C1395" s="343" t="str">
        <f t="shared" ca="1" si="136"/>
        <v/>
      </c>
      <c r="D1395" s="124" t="str">
        <f t="shared" ca="1" si="137"/>
        <v/>
      </c>
      <c r="E1395" s="124" t="str">
        <f t="shared" ca="1" si="138"/>
        <v/>
      </c>
      <c r="F1395" s="172" t="str">
        <f ca="1">IF(C1395="","",[1]!S_DQ_CLOSE(D1395,TODAY(),1))</f>
        <v/>
      </c>
      <c r="G1395" s="173" t="str">
        <f ca="1">IF(C1395="","",[1]!s_pq_pctchange(D1395,TODAY()-$G$12,TODAY())/100)</f>
        <v/>
      </c>
      <c r="H1395" s="249" t="str">
        <f ca="1">IF(C1395="","",IF($H$11="收入",[1]!S_STM07_IS(D1395,9,$G$5,$H$13)/$E$5,[1]!S_STM07_IS(D1395,48,$G$5,$H$13)/$E$5))</f>
        <v/>
      </c>
      <c r="I1395" s="249" t="str">
        <f ca="1">IF(C1395="","",IF($I$11="毛利率",([1]!S_STM07_IS(D1395,9,$G$5,$H$13)-[1]!S_STM07_IS(D1395,10,$G$5,$H$13))/[1]!S_STM07_IS(D1395,9,$G$5,$H$13),[1]!S_STM07_IS(D1395,14,$G$5,$H$13)/$E$5))</f>
        <v/>
      </c>
      <c r="J1395" s="249" t="str">
        <f ca="1">IF(C1395="","",IF($J$11="营业利润率",[1]!S_STM07_IS(D1395,48,$G$5,$H$13)/[1]!S_STM07_IS(D1395,9,$G$5,$H$13),([1]!S_STM07_CS(D1395,87,$G$5,$H$13)+[1]!S_STM07_CS(D1395,88,$G$5,$H$13)+[1]!S_STM07_CS(D1395,89,$G$5,$H$13))/$E$5))</f>
        <v/>
      </c>
      <c r="K1395" s="249" t="str">
        <f ca="1">IF(C1395="","",IF($K$11="净利润率",[1]!S_STM07_IS(D1395,61,$G$5,$H$13)/[1]!S_STM07_IS(D1395,9,$G$5,$H$13),[1]!S_STM07_IS(D1395,55,$G$5,$H$13)/$E$5))</f>
        <v/>
      </c>
      <c r="L1395" s="249" t="str">
        <f ca="1">IF(C1395="","",IF($L$11="ROA",[1]!S_STM07_IS(D1395,61,$G$5,$H$13)/[1]!S_STM07_BS(D1395,74,$G$5,$H$13),1-[1]!S_STM07_IS(D1395,61,$G$5,$H$13)/[1]!S_STM07_IS(D1395,55,$G$5,$H$13)))</f>
        <v/>
      </c>
      <c r="M1395" s="249" t="str">
        <f ca="1">IF(C1395="","",IF($M$11="ROE",[1]!S_STM07_IS(D1395,61,$G$5,$H$13)/[1]!S_STM07_BS(D1395,141,$G$5,$H$13),([1]!S_STM07_BS(D1395,25,$G$5,$H$13)-[1]!S_STM07_BS(D1395,93,$G$5,$H$13))/$E$5))</f>
        <v/>
      </c>
      <c r="N1395" s="250" t="str">
        <f ca="1">IF(C1395="","",IF($N$11="EPS",[1]!S_STM07_IS(D1395,61,$G$5,$H$13)/IF([1]!S_SHARE_TOTAL(D1395,$G$5)=0,[1]!S_SHARE_TOTAL(D1395,[1]!s_ipo_listeddate(D1395)),[1]!S_SHARE_TOTAL(D1395,$G$5)),([1]!S_STM07_BS(D1395,75,$G$5,$H$13)+[1]!S_STM07_BS(D1395,88,$G$5,$H$13)+[1]!S_STM07_BS(D1395,94,$G$5,$H$13)+[1]!S_STM07_BS(D1395,95,$G$5,$H$13))/$E$5))</f>
        <v/>
      </c>
      <c r="O1395" s="250" t="str">
        <f ca="1">IF(C1395="","",IF($O$11="BPS",[1]!S_STM07_BS(D1395,141,$G$5,$H$13)/IF([1]!S_SHARE_TOTAL(D1395,$G$5)=0,[1]!S_SHARE_TOTAL(D1395,[1]!s_ipo_listeddate(D1395)),[1]!S_SHARE_TOTAL(D1395,$G$5)),[1]!S_STM07_CS(D1395,49,$G$5,$H$13)/$E$5))</f>
        <v/>
      </c>
      <c r="P1395" s="250" t="str">
        <f ca="1">IF(C1395="","",IF($P$11="CFPS",[1]!S_STM07_CS(D1395,84,$G$5,$H$13)/IF([1]!S_SHARE_TOTAL(D1395,$G$5)=0,[1]!S_SHARE_TOTAL(D1395,[1]!s_ipo_listeddate(D1395)),[1]!S_SHARE_TOTAL(D1395,$G$5)),[1]!S_STM07_CS(D1395,84,$G$5,$H$13)/$E$5))</f>
        <v/>
      </c>
      <c r="Q1395" s="198" t="str">
        <f ca="1">IF(C1395="","",F1395/([1]!S_STM07_IS(D1395,61,$G$5,$H$13)/IF([1]!S_SHARE_TOTAL(D1395,$G$5)=0,[1]!S_SHARE_TOTAL(D1395,[1]!s_ipo_listeddate(D1395)),[1]!S_SHARE_TOTAL(D1395,$G$5))))</f>
        <v/>
      </c>
      <c r="R1395" s="198" t="str">
        <f ca="1">IF(C1395="","",F1395/([1]!S_STM07_BS(D1395,141,$G$5,$H$13)/IF([1]!S_SHARE_TOTAL(D1395,$G$5)=0,[1]!S_SHARE_TOTAL(D1395,[1]!s_ipo_listeddate(D1395)),[1]!S_SHARE_TOTAL(D1395,$G$5))))</f>
        <v/>
      </c>
      <c r="S1395" s="249" t="str">
        <f ca="1">IF(C1395="","",[1]!S_SHARE_TOTAL(D1395,TODAY())/$E$5)</f>
        <v/>
      </c>
      <c r="T1395" s="249" t="str">
        <f t="shared" ca="1" si="139"/>
        <v/>
      </c>
      <c r="U1395" s="172" t="str">
        <f t="shared" ca="1" si="140"/>
        <v/>
      </c>
      <c r="V1395" s="343" t="str">
        <f t="shared" ca="1" si="141"/>
        <v/>
      </c>
      <c r="W1395" s="139"/>
      <c r="Y1395" s="1"/>
    </row>
    <row r="1396" spans="3:25" ht="12" customHeight="1">
      <c r="C1396" s="342" t="str">
        <f t="shared" ca="1" si="136"/>
        <v/>
      </c>
      <c r="D1396" s="153" t="str">
        <f t="shared" ca="1" si="137"/>
        <v/>
      </c>
      <c r="E1396" s="153" t="str">
        <f t="shared" ca="1" si="138"/>
        <v/>
      </c>
      <c r="F1396" s="170" t="str">
        <f ca="1">IF(C1396="","",[1]!S_DQ_CLOSE(D1396,TODAY(),1))</f>
        <v/>
      </c>
      <c r="G1396" s="171" t="str">
        <f ca="1">IF(C1396="","",[1]!s_pq_pctchange(D1396,TODAY()-$G$12,TODAY())/100)</f>
        <v/>
      </c>
      <c r="H1396" s="247" t="str">
        <f ca="1">IF(C1396="","",IF($H$11="收入",[1]!S_STM07_IS(D1396,9,$G$5,$H$13)/$E$5,[1]!S_STM07_IS(D1396,48,$G$5,$H$13)/$E$5))</f>
        <v/>
      </c>
      <c r="I1396" s="247" t="str">
        <f ca="1">IF(C1396="","",IF($I$11="毛利率",([1]!S_STM07_IS(D1396,9,$G$5,$H$13)-[1]!S_STM07_IS(D1396,10,$G$5,$H$13))/[1]!S_STM07_IS(D1396,9,$G$5,$H$13),[1]!S_STM07_IS(D1396,14,$G$5,$H$13)/$E$5))</f>
        <v/>
      </c>
      <c r="J1396" s="247" t="str">
        <f ca="1">IF(C1396="","",IF($J$11="营业利润率",[1]!S_STM07_IS(D1396,48,$G$5,$H$13)/[1]!S_STM07_IS(D1396,9,$G$5,$H$13),([1]!S_STM07_CS(D1396,87,$G$5,$H$13)+[1]!S_STM07_CS(D1396,88,$G$5,$H$13)+[1]!S_STM07_CS(D1396,89,$G$5,$H$13))/$E$5))</f>
        <v/>
      </c>
      <c r="K1396" s="247" t="str">
        <f ca="1">IF(C1396="","",IF($K$11="净利润率",[1]!S_STM07_IS(D1396,61,$G$5,$H$13)/[1]!S_STM07_IS(D1396,9,$G$5,$H$13),[1]!S_STM07_IS(D1396,55,$G$5,$H$13)/$E$5))</f>
        <v/>
      </c>
      <c r="L1396" s="247" t="str">
        <f ca="1">IF(C1396="","",IF($L$11="ROA",[1]!S_STM07_IS(D1396,61,$G$5,$H$13)/[1]!S_STM07_BS(D1396,74,$G$5,$H$13),1-[1]!S_STM07_IS(D1396,61,$G$5,$H$13)/[1]!S_STM07_IS(D1396,55,$G$5,$H$13)))</f>
        <v/>
      </c>
      <c r="M1396" s="247" t="str">
        <f ca="1">IF(C1396="","",IF($M$11="ROE",[1]!S_STM07_IS(D1396,61,$G$5,$H$13)/[1]!S_STM07_BS(D1396,141,$G$5,$H$13),([1]!S_STM07_BS(D1396,25,$G$5,$H$13)-[1]!S_STM07_BS(D1396,93,$G$5,$H$13))/$E$5))</f>
        <v/>
      </c>
      <c r="N1396" s="247" t="str">
        <f ca="1">IF(C1396="","",IF($N$11="EPS",[1]!S_STM07_IS(D1396,61,$G$5,$H$13)/IF([1]!S_SHARE_TOTAL(D1396,$G$5)=0,[1]!S_SHARE_TOTAL(D1396,[1]!s_ipo_listeddate(D1396)),[1]!S_SHARE_TOTAL(D1396,$G$5)),([1]!S_STM07_BS(D1396,75,$G$5,$H$13)+[1]!S_STM07_BS(D1396,88,$G$5,$H$13)+[1]!S_STM07_BS(D1396,94,$G$5,$H$13)+[1]!S_STM07_BS(D1396,95,$G$5,$H$13))/$E$5))</f>
        <v/>
      </c>
      <c r="O1396" s="247" t="str">
        <f ca="1">IF(C1396="","",IF($O$11="BPS",[1]!S_STM07_BS(D1396,141,$G$5,$H$13)/IF([1]!S_SHARE_TOTAL(D1396,$G$5)=0,[1]!S_SHARE_TOTAL(D1396,[1]!s_ipo_listeddate(D1396)),[1]!S_SHARE_TOTAL(D1396,$G$5)),[1]!S_STM07_CS(D1396,49,$G$5,$H$13)/$E$5))</f>
        <v/>
      </c>
      <c r="P1396" s="247" t="str">
        <f ca="1">IF(C1396="","",IF($P$11="CFPS",[1]!S_STM07_CS(D1396,84,$G$5,$H$13)/IF([1]!S_SHARE_TOTAL(D1396,$G$5)=0,[1]!S_SHARE_TOTAL(D1396,[1]!s_ipo_listeddate(D1396)),[1]!S_SHARE_TOTAL(D1396,$G$5)),[1]!S_STM07_CS(D1396,84,$G$5,$H$13)/$E$5))</f>
        <v/>
      </c>
      <c r="Q1396" s="248" t="str">
        <f ca="1">IF(C1396="","",F1396/([1]!S_STM07_IS(D1396,61,$G$5,$H$13)/IF([1]!S_SHARE_TOTAL(D1396,$G$5)=0,[1]!S_SHARE_TOTAL(D1396,[1]!s_ipo_listeddate(D1396)),[1]!S_SHARE_TOTAL(D1396,$G$5))))</f>
        <v/>
      </c>
      <c r="R1396" s="248" t="str">
        <f ca="1">IF(C1396="","",F1396/([1]!S_STM07_BS(D1396,141,$G$5,$H$13)/IF([1]!S_SHARE_TOTAL(D1396,$G$5)=0,[1]!S_SHARE_TOTAL(D1396,[1]!s_ipo_listeddate(D1396)),[1]!S_SHARE_TOTAL(D1396,$G$5))))</f>
        <v/>
      </c>
      <c r="S1396" s="247" t="str">
        <f ca="1">IF(C1396="","",[1]!S_SHARE_TOTAL(D1396,TODAY())/$E$5)</f>
        <v/>
      </c>
      <c r="T1396" s="247" t="str">
        <f t="shared" ca="1" si="139"/>
        <v/>
      </c>
      <c r="U1396" s="218" t="str">
        <f t="shared" ca="1" si="140"/>
        <v/>
      </c>
      <c r="V1396" s="342" t="str">
        <f t="shared" ca="1" si="141"/>
        <v/>
      </c>
      <c r="W1396" s="139"/>
      <c r="Y1396" s="1"/>
    </row>
    <row r="1397" spans="3:25" ht="12" customHeight="1">
      <c r="C1397" s="343" t="str">
        <f t="shared" ca="1" si="136"/>
        <v/>
      </c>
      <c r="D1397" s="124" t="str">
        <f t="shared" ca="1" si="137"/>
        <v/>
      </c>
      <c r="E1397" s="124" t="str">
        <f t="shared" ca="1" si="138"/>
        <v/>
      </c>
      <c r="F1397" s="172" t="str">
        <f ca="1">IF(C1397="","",[1]!S_DQ_CLOSE(D1397,TODAY(),1))</f>
        <v/>
      </c>
      <c r="G1397" s="173" t="str">
        <f ca="1">IF(C1397="","",[1]!s_pq_pctchange(D1397,TODAY()-$G$12,TODAY())/100)</f>
        <v/>
      </c>
      <c r="H1397" s="249" t="str">
        <f ca="1">IF(C1397="","",IF($H$11="收入",[1]!S_STM07_IS(D1397,9,$G$5,$H$13)/$E$5,[1]!S_STM07_IS(D1397,48,$G$5,$H$13)/$E$5))</f>
        <v/>
      </c>
      <c r="I1397" s="249" t="str">
        <f ca="1">IF(C1397="","",IF($I$11="毛利率",([1]!S_STM07_IS(D1397,9,$G$5,$H$13)-[1]!S_STM07_IS(D1397,10,$G$5,$H$13))/[1]!S_STM07_IS(D1397,9,$G$5,$H$13),[1]!S_STM07_IS(D1397,14,$G$5,$H$13)/$E$5))</f>
        <v/>
      </c>
      <c r="J1397" s="249" t="str">
        <f ca="1">IF(C1397="","",IF($J$11="营业利润率",[1]!S_STM07_IS(D1397,48,$G$5,$H$13)/[1]!S_STM07_IS(D1397,9,$G$5,$H$13),([1]!S_STM07_CS(D1397,87,$G$5,$H$13)+[1]!S_STM07_CS(D1397,88,$G$5,$H$13)+[1]!S_STM07_CS(D1397,89,$G$5,$H$13))/$E$5))</f>
        <v/>
      </c>
      <c r="K1397" s="249" t="str">
        <f ca="1">IF(C1397="","",IF($K$11="净利润率",[1]!S_STM07_IS(D1397,61,$G$5,$H$13)/[1]!S_STM07_IS(D1397,9,$G$5,$H$13),[1]!S_STM07_IS(D1397,55,$G$5,$H$13)/$E$5))</f>
        <v/>
      </c>
      <c r="L1397" s="249" t="str">
        <f ca="1">IF(C1397="","",IF($L$11="ROA",[1]!S_STM07_IS(D1397,61,$G$5,$H$13)/[1]!S_STM07_BS(D1397,74,$G$5,$H$13),1-[1]!S_STM07_IS(D1397,61,$G$5,$H$13)/[1]!S_STM07_IS(D1397,55,$G$5,$H$13)))</f>
        <v/>
      </c>
      <c r="M1397" s="249" t="str">
        <f ca="1">IF(C1397="","",IF($M$11="ROE",[1]!S_STM07_IS(D1397,61,$G$5,$H$13)/[1]!S_STM07_BS(D1397,141,$G$5,$H$13),([1]!S_STM07_BS(D1397,25,$G$5,$H$13)-[1]!S_STM07_BS(D1397,93,$G$5,$H$13))/$E$5))</f>
        <v/>
      </c>
      <c r="N1397" s="250" t="str">
        <f ca="1">IF(C1397="","",IF($N$11="EPS",[1]!S_STM07_IS(D1397,61,$G$5,$H$13)/IF([1]!S_SHARE_TOTAL(D1397,$G$5)=0,[1]!S_SHARE_TOTAL(D1397,[1]!s_ipo_listeddate(D1397)),[1]!S_SHARE_TOTAL(D1397,$G$5)),([1]!S_STM07_BS(D1397,75,$G$5,$H$13)+[1]!S_STM07_BS(D1397,88,$G$5,$H$13)+[1]!S_STM07_BS(D1397,94,$G$5,$H$13)+[1]!S_STM07_BS(D1397,95,$G$5,$H$13))/$E$5))</f>
        <v/>
      </c>
      <c r="O1397" s="250" t="str">
        <f ca="1">IF(C1397="","",IF($O$11="BPS",[1]!S_STM07_BS(D1397,141,$G$5,$H$13)/IF([1]!S_SHARE_TOTAL(D1397,$G$5)=0,[1]!S_SHARE_TOTAL(D1397,[1]!s_ipo_listeddate(D1397)),[1]!S_SHARE_TOTAL(D1397,$G$5)),[1]!S_STM07_CS(D1397,49,$G$5,$H$13)/$E$5))</f>
        <v/>
      </c>
      <c r="P1397" s="250" t="str">
        <f ca="1">IF(C1397="","",IF($P$11="CFPS",[1]!S_STM07_CS(D1397,84,$G$5,$H$13)/IF([1]!S_SHARE_TOTAL(D1397,$G$5)=0,[1]!S_SHARE_TOTAL(D1397,[1]!s_ipo_listeddate(D1397)),[1]!S_SHARE_TOTAL(D1397,$G$5)),[1]!S_STM07_CS(D1397,84,$G$5,$H$13)/$E$5))</f>
        <v/>
      </c>
      <c r="Q1397" s="198" t="str">
        <f ca="1">IF(C1397="","",F1397/([1]!S_STM07_IS(D1397,61,$G$5,$H$13)/IF([1]!S_SHARE_TOTAL(D1397,$G$5)=0,[1]!S_SHARE_TOTAL(D1397,[1]!s_ipo_listeddate(D1397)),[1]!S_SHARE_TOTAL(D1397,$G$5))))</f>
        <v/>
      </c>
      <c r="R1397" s="198" t="str">
        <f ca="1">IF(C1397="","",F1397/([1]!S_STM07_BS(D1397,141,$G$5,$H$13)/IF([1]!S_SHARE_TOTAL(D1397,$G$5)=0,[1]!S_SHARE_TOTAL(D1397,[1]!s_ipo_listeddate(D1397)),[1]!S_SHARE_TOTAL(D1397,$G$5))))</f>
        <v/>
      </c>
      <c r="S1397" s="249" t="str">
        <f ca="1">IF(C1397="","",[1]!S_SHARE_TOTAL(D1397,TODAY())/$E$5)</f>
        <v/>
      </c>
      <c r="T1397" s="249" t="str">
        <f t="shared" ca="1" si="139"/>
        <v/>
      </c>
      <c r="U1397" s="172" t="str">
        <f t="shared" ca="1" si="140"/>
        <v/>
      </c>
      <c r="V1397" s="343" t="str">
        <f t="shared" ca="1" si="141"/>
        <v/>
      </c>
      <c r="W1397" s="139"/>
      <c r="Y1397" s="1"/>
    </row>
    <row r="1398" spans="3:25" ht="12" customHeight="1">
      <c r="C1398" s="342" t="str">
        <f t="shared" ca="1" si="136"/>
        <v/>
      </c>
      <c r="D1398" s="153" t="str">
        <f t="shared" ca="1" si="137"/>
        <v/>
      </c>
      <c r="E1398" s="153" t="str">
        <f t="shared" ca="1" si="138"/>
        <v/>
      </c>
      <c r="F1398" s="170" t="str">
        <f ca="1">IF(C1398="","",[1]!S_DQ_CLOSE(D1398,TODAY(),1))</f>
        <v/>
      </c>
      <c r="G1398" s="171" t="str">
        <f ca="1">IF(C1398="","",[1]!s_pq_pctchange(D1398,TODAY()-$G$12,TODAY())/100)</f>
        <v/>
      </c>
      <c r="H1398" s="247" t="str">
        <f ca="1">IF(C1398="","",IF($H$11="收入",[1]!S_STM07_IS(D1398,9,$G$5,$H$13)/$E$5,[1]!S_STM07_IS(D1398,48,$G$5,$H$13)/$E$5))</f>
        <v/>
      </c>
      <c r="I1398" s="247" t="str">
        <f ca="1">IF(C1398="","",IF($I$11="毛利率",([1]!S_STM07_IS(D1398,9,$G$5,$H$13)-[1]!S_STM07_IS(D1398,10,$G$5,$H$13))/[1]!S_STM07_IS(D1398,9,$G$5,$H$13),[1]!S_STM07_IS(D1398,14,$G$5,$H$13)/$E$5))</f>
        <v/>
      </c>
      <c r="J1398" s="247" t="str">
        <f ca="1">IF(C1398="","",IF($J$11="营业利润率",[1]!S_STM07_IS(D1398,48,$G$5,$H$13)/[1]!S_STM07_IS(D1398,9,$G$5,$H$13),([1]!S_STM07_CS(D1398,87,$G$5,$H$13)+[1]!S_STM07_CS(D1398,88,$G$5,$H$13)+[1]!S_STM07_CS(D1398,89,$G$5,$H$13))/$E$5))</f>
        <v/>
      </c>
      <c r="K1398" s="247" t="str">
        <f ca="1">IF(C1398="","",IF($K$11="净利润率",[1]!S_STM07_IS(D1398,61,$G$5,$H$13)/[1]!S_STM07_IS(D1398,9,$G$5,$H$13),[1]!S_STM07_IS(D1398,55,$G$5,$H$13)/$E$5))</f>
        <v/>
      </c>
      <c r="L1398" s="247" t="str">
        <f ca="1">IF(C1398="","",IF($L$11="ROA",[1]!S_STM07_IS(D1398,61,$G$5,$H$13)/[1]!S_STM07_BS(D1398,74,$G$5,$H$13),1-[1]!S_STM07_IS(D1398,61,$G$5,$H$13)/[1]!S_STM07_IS(D1398,55,$G$5,$H$13)))</f>
        <v/>
      </c>
      <c r="M1398" s="247" t="str">
        <f ca="1">IF(C1398="","",IF($M$11="ROE",[1]!S_STM07_IS(D1398,61,$G$5,$H$13)/[1]!S_STM07_BS(D1398,141,$G$5,$H$13),([1]!S_STM07_BS(D1398,25,$G$5,$H$13)-[1]!S_STM07_BS(D1398,93,$G$5,$H$13))/$E$5))</f>
        <v/>
      </c>
      <c r="N1398" s="247" t="str">
        <f ca="1">IF(C1398="","",IF($N$11="EPS",[1]!S_STM07_IS(D1398,61,$G$5,$H$13)/IF([1]!S_SHARE_TOTAL(D1398,$G$5)=0,[1]!S_SHARE_TOTAL(D1398,[1]!s_ipo_listeddate(D1398)),[1]!S_SHARE_TOTAL(D1398,$G$5)),([1]!S_STM07_BS(D1398,75,$G$5,$H$13)+[1]!S_STM07_BS(D1398,88,$G$5,$H$13)+[1]!S_STM07_BS(D1398,94,$G$5,$H$13)+[1]!S_STM07_BS(D1398,95,$G$5,$H$13))/$E$5))</f>
        <v/>
      </c>
      <c r="O1398" s="247" t="str">
        <f ca="1">IF(C1398="","",IF($O$11="BPS",[1]!S_STM07_BS(D1398,141,$G$5,$H$13)/IF([1]!S_SHARE_TOTAL(D1398,$G$5)=0,[1]!S_SHARE_TOTAL(D1398,[1]!s_ipo_listeddate(D1398)),[1]!S_SHARE_TOTAL(D1398,$G$5)),[1]!S_STM07_CS(D1398,49,$G$5,$H$13)/$E$5))</f>
        <v/>
      </c>
      <c r="P1398" s="247" t="str">
        <f ca="1">IF(C1398="","",IF($P$11="CFPS",[1]!S_STM07_CS(D1398,84,$G$5,$H$13)/IF([1]!S_SHARE_TOTAL(D1398,$G$5)=0,[1]!S_SHARE_TOTAL(D1398,[1]!s_ipo_listeddate(D1398)),[1]!S_SHARE_TOTAL(D1398,$G$5)),[1]!S_STM07_CS(D1398,84,$G$5,$H$13)/$E$5))</f>
        <v/>
      </c>
      <c r="Q1398" s="248" t="str">
        <f ca="1">IF(C1398="","",F1398/([1]!S_STM07_IS(D1398,61,$G$5,$H$13)/IF([1]!S_SHARE_TOTAL(D1398,$G$5)=0,[1]!S_SHARE_TOTAL(D1398,[1]!s_ipo_listeddate(D1398)),[1]!S_SHARE_TOTAL(D1398,$G$5))))</f>
        <v/>
      </c>
      <c r="R1398" s="248" t="str">
        <f ca="1">IF(C1398="","",F1398/([1]!S_STM07_BS(D1398,141,$G$5,$H$13)/IF([1]!S_SHARE_TOTAL(D1398,$G$5)=0,[1]!S_SHARE_TOTAL(D1398,[1]!s_ipo_listeddate(D1398)),[1]!S_SHARE_TOTAL(D1398,$G$5))))</f>
        <v/>
      </c>
      <c r="S1398" s="247" t="str">
        <f ca="1">IF(C1398="","",[1]!S_SHARE_TOTAL(D1398,TODAY())/$E$5)</f>
        <v/>
      </c>
      <c r="T1398" s="247" t="str">
        <f t="shared" ca="1" si="139"/>
        <v/>
      </c>
      <c r="U1398" s="218" t="str">
        <f t="shared" ca="1" si="140"/>
        <v/>
      </c>
      <c r="V1398" s="342" t="str">
        <f t="shared" ca="1" si="141"/>
        <v/>
      </c>
      <c r="W1398" s="139"/>
      <c r="Y1398" s="1"/>
    </row>
    <row r="1399" spans="3:25" ht="12" customHeight="1">
      <c r="C1399" s="343" t="str">
        <f t="shared" ca="1" si="136"/>
        <v/>
      </c>
      <c r="D1399" s="124" t="str">
        <f t="shared" ca="1" si="137"/>
        <v/>
      </c>
      <c r="E1399" s="124" t="str">
        <f t="shared" ca="1" si="138"/>
        <v/>
      </c>
      <c r="F1399" s="172" t="str">
        <f ca="1">IF(C1399="","",[1]!S_DQ_CLOSE(D1399,TODAY(),1))</f>
        <v/>
      </c>
      <c r="G1399" s="173" t="str">
        <f ca="1">IF(C1399="","",[1]!s_pq_pctchange(D1399,TODAY()-$G$12,TODAY())/100)</f>
        <v/>
      </c>
      <c r="H1399" s="249" t="str">
        <f ca="1">IF(C1399="","",IF($H$11="收入",[1]!S_STM07_IS(D1399,9,$G$5,$H$13)/$E$5,[1]!S_STM07_IS(D1399,48,$G$5,$H$13)/$E$5))</f>
        <v/>
      </c>
      <c r="I1399" s="249" t="str">
        <f ca="1">IF(C1399="","",IF($I$11="毛利率",([1]!S_STM07_IS(D1399,9,$G$5,$H$13)-[1]!S_STM07_IS(D1399,10,$G$5,$H$13))/[1]!S_STM07_IS(D1399,9,$G$5,$H$13),[1]!S_STM07_IS(D1399,14,$G$5,$H$13)/$E$5))</f>
        <v/>
      </c>
      <c r="J1399" s="249" t="str">
        <f ca="1">IF(C1399="","",IF($J$11="营业利润率",[1]!S_STM07_IS(D1399,48,$G$5,$H$13)/[1]!S_STM07_IS(D1399,9,$G$5,$H$13),([1]!S_STM07_CS(D1399,87,$G$5,$H$13)+[1]!S_STM07_CS(D1399,88,$G$5,$H$13)+[1]!S_STM07_CS(D1399,89,$G$5,$H$13))/$E$5))</f>
        <v/>
      </c>
      <c r="K1399" s="249" t="str">
        <f ca="1">IF(C1399="","",IF($K$11="净利润率",[1]!S_STM07_IS(D1399,61,$G$5,$H$13)/[1]!S_STM07_IS(D1399,9,$G$5,$H$13),[1]!S_STM07_IS(D1399,55,$G$5,$H$13)/$E$5))</f>
        <v/>
      </c>
      <c r="L1399" s="249" t="str">
        <f ca="1">IF(C1399="","",IF($L$11="ROA",[1]!S_STM07_IS(D1399,61,$G$5,$H$13)/[1]!S_STM07_BS(D1399,74,$G$5,$H$13),1-[1]!S_STM07_IS(D1399,61,$G$5,$H$13)/[1]!S_STM07_IS(D1399,55,$G$5,$H$13)))</f>
        <v/>
      </c>
      <c r="M1399" s="249" t="str">
        <f ca="1">IF(C1399="","",IF($M$11="ROE",[1]!S_STM07_IS(D1399,61,$G$5,$H$13)/[1]!S_STM07_BS(D1399,141,$G$5,$H$13),([1]!S_STM07_BS(D1399,25,$G$5,$H$13)-[1]!S_STM07_BS(D1399,93,$G$5,$H$13))/$E$5))</f>
        <v/>
      </c>
      <c r="N1399" s="250" t="str">
        <f ca="1">IF(C1399="","",IF($N$11="EPS",[1]!S_STM07_IS(D1399,61,$G$5,$H$13)/IF([1]!S_SHARE_TOTAL(D1399,$G$5)=0,[1]!S_SHARE_TOTAL(D1399,[1]!s_ipo_listeddate(D1399)),[1]!S_SHARE_TOTAL(D1399,$G$5)),([1]!S_STM07_BS(D1399,75,$G$5,$H$13)+[1]!S_STM07_BS(D1399,88,$G$5,$H$13)+[1]!S_STM07_BS(D1399,94,$G$5,$H$13)+[1]!S_STM07_BS(D1399,95,$G$5,$H$13))/$E$5))</f>
        <v/>
      </c>
      <c r="O1399" s="250" t="str">
        <f ca="1">IF(C1399="","",IF($O$11="BPS",[1]!S_STM07_BS(D1399,141,$G$5,$H$13)/IF([1]!S_SHARE_TOTAL(D1399,$G$5)=0,[1]!S_SHARE_TOTAL(D1399,[1]!s_ipo_listeddate(D1399)),[1]!S_SHARE_TOTAL(D1399,$G$5)),[1]!S_STM07_CS(D1399,49,$G$5,$H$13)/$E$5))</f>
        <v/>
      </c>
      <c r="P1399" s="250" t="str">
        <f ca="1">IF(C1399="","",IF($P$11="CFPS",[1]!S_STM07_CS(D1399,84,$G$5,$H$13)/IF([1]!S_SHARE_TOTAL(D1399,$G$5)=0,[1]!S_SHARE_TOTAL(D1399,[1]!s_ipo_listeddate(D1399)),[1]!S_SHARE_TOTAL(D1399,$G$5)),[1]!S_STM07_CS(D1399,84,$G$5,$H$13)/$E$5))</f>
        <v/>
      </c>
      <c r="Q1399" s="198" t="str">
        <f ca="1">IF(C1399="","",F1399/([1]!S_STM07_IS(D1399,61,$G$5,$H$13)/IF([1]!S_SHARE_TOTAL(D1399,$G$5)=0,[1]!S_SHARE_TOTAL(D1399,[1]!s_ipo_listeddate(D1399)),[1]!S_SHARE_TOTAL(D1399,$G$5))))</f>
        <v/>
      </c>
      <c r="R1399" s="198" t="str">
        <f ca="1">IF(C1399="","",F1399/([1]!S_STM07_BS(D1399,141,$G$5,$H$13)/IF([1]!S_SHARE_TOTAL(D1399,$G$5)=0,[1]!S_SHARE_TOTAL(D1399,[1]!s_ipo_listeddate(D1399)),[1]!S_SHARE_TOTAL(D1399,$G$5))))</f>
        <v/>
      </c>
      <c r="S1399" s="249" t="str">
        <f ca="1">IF(C1399="","",[1]!S_SHARE_TOTAL(D1399,TODAY())/$E$5)</f>
        <v/>
      </c>
      <c r="T1399" s="249" t="str">
        <f t="shared" ca="1" si="139"/>
        <v/>
      </c>
      <c r="U1399" s="172" t="str">
        <f t="shared" ca="1" si="140"/>
        <v/>
      </c>
      <c r="V1399" s="343" t="str">
        <f t="shared" ca="1" si="141"/>
        <v/>
      </c>
      <c r="W1399" s="139"/>
      <c r="Y1399" s="1"/>
    </row>
    <row r="1400" spans="3:25" ht="12" customHeight="1">
      <c r="C1400" s="342" t="str">
        <f t="shared" ca="1" si="136"/>
        <v/>
      </c>
      <c r="D1400" s="153" t="str">
        <f t="shared" ca="1" si="137"/>
        <v/>
      </c>
      <c r="E1400" s="153" t="str">
        <f t="shared" ca="1" si="138"/>
        <v/>
      </c>
      <c r="F1400" s="170" t="str">
        <f ca="1">IF(C1400="","",[1]!S_DQ_CLOSE(D1400,TODAY(),1))</f>
        <v/>
      </c>
      <c r="G1400" s="171" t="str">
        <f ca="1">IF(C1400="","",[1]!s_pq_pctchange(D1400,TODAY()-$G$12,TODAY())/100)</f>
        <v/>
      </c>
      <c r="H1400" s="247" t="str">
        <f ca="1">IF(C1400="","",IF($H$11="收入",[1]!S_STM07_IS(D1400,9,$G$5,$H$13)/$E$5,[1]!S_STM07_IS(D1400,48,$G$5,$H$13)/$E$5))</f>
        <v/>
      </c>
      <c r="I1400" s="247" t="str">
        <f ca="1">IF(C1400="","",IF($I$11="毛利率",([1]!S_STM07_IS(D1400,9,$G$5,$H$13)-[1]!S_STM07_IS(D1400,10,$G$5,$H$13))/[1]!S_STM07_IS(D1400,9,$G$5,$H$13),[1]!S_STM07_IS(D1400,14,$G$5,$H$13)/$E$5))</f>
        <v/>
      </c>
      <c r="J1400" s="247" t="str">
        <f ca="1">IF(C1400="","",IF($J$11="营业利润率",[1]!S_STM07_IS(D1400,48,$G$5,$H$13)/[1]!S_STM07_IS(D1400,9,$G$5,$H$13),([1]!S_STM07_CS(D1400,87,$G$5,$H$13)+[1]!S_STM07_CS(D1400,88,$G$5,$H$13)+[1]!S_STM07_CS(D1400,89,$G$5,$H$13))/$E$5))</f>
        <v/>
      </c>
      <c r="K1400" s="247" t="str">
        <f ca="1">IF(C1400="","",IF($K$11="净利润率",[1]!S_STM07_IS(D1400,61,$G$5,$H$13)/[1]!S_STM07_IS(D1400,9,$G$5,$H$13),[1]!S_STM07_IS(D1400,55,$G$5,$H$13)/$E$5))</f>
        <v/>
      </c>
      <c r="L1400" s="247" t="str">
        <f ca="1">IF(C1400="","",IF($L$11="ROA",[1]!S_STM07_IS(D1400,61,$G$5,$H$13)/[1]!S_STM07_BS(D1400,74,$G$5,$H$13),1-[1]!S_STM07_IS(D1400,61,$G$5,$H$13)/[1]!S_STM07_IS(D1400,55,$G$5,$H$13)))</f>
        <v/>
      </c>
      <c r="M1400" s="247" t="str">
        <f ca="1">IF(C1400="","",IF($M$11="ROE",[1]!S_STM07_IS(D1400,61,$G$5,$H$13)/[1]!S_STM07_BS(D1400,141,$G$5,$H$13),([1]!S_STM07_BS(D1400,25,$G$5,$H$13)-[1]!S_STM07_BS(D1400,93,$G$5,$H$13))/$E$5))</f>
        <v/>
      </c>
      <c r="N1400" s="247" t="str">
        <f ca="1">IF(C1400="","",IF($N$11="EPS",[1]!S_STM07_IS(D1400,61,$G$5,$H$13)/IF([1]!S_SHARE_TOTAL(D1400,$G$5)=0,[1]!S_SHARE_TOTAL(D1400,[1]!s_ipo_listeddate(D1400)),[1]!S_SHARE_TOTAL(D1400,$G$5)),([1]!S_STM07_BS(D1400,75,$G$5,$H$13)+[1]!S_STM07_BS(D1400,88,$G$5,$H$13)+[1]!S_STM07_BS(D1400,94,$G$5,$H$13)+[1]!S_STM07_BS(D1400,95,$G$5,$H$13))/$E$5))</f>
        <v/>
      </c>
      <c r="O1400" s="247" t="str">
        <f ca="1">IF(C1400="","",IF($O$11="BPS",[1]!S_STM07_BS(D1400,141,$G$5,$H$13)/IF([1]!S_SHARE_TOTAL(D1400,$G$5)=0,[1]!S_SHARE_TOTAL(D1400,[1]!s_ipo_listeddate(D1400)),[1]!S_SHARE_TOTAL(D1400,$G$5)),[1]!S_STM07_CS(D1400,49,$G$5,$H$13)/$E$5))</f>
        <v/>
      </c>
      <c r="P1400" s="247" t="str">
        <f ca="1">IF(C1400="","",IF($P$11="CFPS",[1]!S_STM07_CS(D1400,84,$G$5,$H$13)/IF([1]!S_SHARE_TOTAL(D1400,$G$5)=0,[1]!S_SHARE_TOTAL(D1400,[1]!s_ipo_listeddate(D1400)),[1]!S_SHARE_TOTAL(D1400,$G$5)),[1]!S_STM07_CS(D1400,84,$G$5,$H$13)/$E$5))</f>
        <v/>
      </c>
      <c r="Q1400" s="248" t="str">
        <f ca="1">IF(C1400="","",F1400/([1]!S_STM07_IS(D1400,61,$G$5,$H$13)/IF([1]!S_SHARE_TOTAL(D1400,$G$5)=0,[1]!S_SHARE_TOTAL(D1400,[1]!s_ipo_listeddate(D1400)),[1]!S_SHARE_TOTAL(D1400,$G$5))))</f>
        <v/>
      </c>
      <c r="R1400" s="248" t="str">
        <f ca="1">IF(C1400="","",F1400/([1]!S_STM07_BS(D1400,141,$G$5,$H$13)/IF([1]!S_SHARE_TOTAL(D1400,$G$5)=0,[1]!S_SHARE_TOTAL(D1400,[1]!s_ipo_listeddate(D1400)),[1]!S_SHARE_TOTAL(D1400,$G$5))))</f>
        <v/>
      </c>
      <c r="S1400" s="247" t="str">
        <f ca="1">IF(C1400="","",[1]!S_SHARE_TOTAL(D1400,TODAY())/$E$5)</f>
        <v/>
      </c>
      <c r="T1400" s="247" t="str">
        <f t="shared" ca="1" si="139"/>
        <v/>
      </c>
      <c r="U1400" s="218" t="str">
        <f t="shared" ca="1" si="140"/>
        <v/>
      </c>
      <c r="V1400" s="342" t="str">
        <f t="shared" ca="1" si="141"/>
        <v/>
      </c>
      <c r="W1400" s="139"/>
      <c r="Y1400" s="1"/>
    </row>
    <row r="1401" spans="3:25" ht="12" customHeight="1">
      <c r="C1401" s="343" t="str">
        <f t="shared" ca="1" si="136"/>
        <v/>
      </c>
      <c r="D1401" s="124" t="str">
        <f t="shared" ca="1" si="137"/>
        <v/>
      </c>
      <c r="E1401" s="124" t="str">
        <f t="shared" ca="1" si="138"/>
        <v/>
      </c>
      <c r="F1401" s="172" t="str">
        <f ca="1">IF(C1401="","",[1]!S_DQ_CLOSE(D1401,TODAY(),1))</f>
        <v/>
      </c>
      <c r="G1401" s="173" t="str">
        <f ca="1">IF(C1401="","",[1]!s_pq_pctchange(D1401,TODAY()-$G$12,TODAY())/100)</f>
        <v/>
      </c>
      <c r="H1401" s="249" t="str">
        <f ca="1">IF(C1401="","",IF($H$11="收入",[1]!S_STM07_IS(D1401,9,$G$5,$H$13)/$E$5,[1]!S_STM07_IS(D1401,48,$G$5,$H$13)/$E$5))</f>
        <v/>
      </c>
      <c r="I1401" s="249" t="str">
        <f ca="1">IF(C1401="","",IF($I$11="毛利率",([1]!S_STM07_IS(D1401,9,$G$5,$H$13)-[1]!S_STM07_IS(D1401,10,$G$5,$H$13))/[1]!S_STM07_IS(D1401,9,$G$5,$H$13),[1]!S_STM07_IS(D1401,14,$G$5,$H$13)/$E$5))</f>
        <v/>
      </c>
      <c r="J1401" s="249" t="str">
        <f ca="1">IF(C1401="","",IF($J$11="营业利润率",[1]!S_STM07_IS(D1401,48,$G$5,$H$13)/[1]!S_STM07_IS(D1401,9,$G$5,$H$13),([1]!S_STM07_CS(D1401,87,$G$5,$H$13)+[1]!S_STM07_CS(D1401,88,$G$5,$H$13)+[1]!S_STM07_CS(D1401,89,$G$5,$H$13))/$E$5))</f>
        <v/>
      </c>
      <c r="K1401" s="249" t="str">
        <f ca="1">IF(C1401="","",IF($K$11="净利润率",[1]!S_STM07_IS(D1401,61,$G$5,$H$13)/[1]!S_STM07_IS(D1401,9,$G$5,$H$13),[1]!S_STM07_IS(D1401,55,$G$5,$H$13)/$E$5))</f>
        <v/>
      </c>
      <c r="L1401" s="249" t="str">
        <f ca="1">IF(C1401="","",IF($L$11="ROA",[1]!S_STM07_IS(D1401,61,$G$5,$H$13)/[1]!S_STM07_BS(D1401,74,$G$5,$H$13),1-[1]!S_STM07_IS(D1401,61,$G$5,$H$13)/[1]!S_STM07_IS(D1401,55,$G$5,$H$13)))</f>
        <v/>
      </c>
      <c r="M1401" s="249" t="str">
        <f ca="1">IF(C1401="","",IF($M$11="ROE",[1]!S_STM07_IS(D1401,61,$G$5,$H$13)/[1]!S_STM07_BS(D1401,141,$G$5,$H$13),([1]!S_STM07_BS(D1401,25,$G$5,$H$13)-[1]!S_STM07_BS(D1401,93,$G$5,$H$13))/$E$5))</f>
        <v/>
      </c>
      <c r="N1401" s="250" t="str">
        <f ca="1">IF(C1401="","",IF($N$11="EPS",[1]!S_STM07_IS(D1401,61,$G$5,$H$13)/IF([1]!S_SHARE_TOTAL(D1401,$G$5)=0,[1]!S_SHARE_TOTAL(D1401,[1]!s_ipo_listeddate(D1401)),[1]!S_SHARE_TOTAL(D1401,$G$5)),([1]!S_STM07_BS(D1401,75,$G$5,$H$13)+[1]!S_STM07_BS(D1401,88,$G$5,$H$13)+[1]!S_STM07_BS(D1401,94,$G$5,$H$13)+[1]!S_STM07_BS(D1401,95,$G$5,$H$13))/$E$5))</f>
        <v/>
      </c>
      <c r="O1401" s="250" t="str">
        <f ca="1">IF(C1401="","",IF($O$11="BPS",[1]!S_STM07_BS(D1401,141,$G$5,$H$13)/IF([1]!S_SHARE_TOTAL(D1401,$G$5)=0,[1]!S_SHARE_TOTAL(D1401,[1]!s_ipo_listeddate(D1401)),[1]!S_SHARE_TOTAL(D1401,$G$5)),[1]!S_STM07_CS(D1401,49,$G$5,$H$13)/$E$5))</f>
        <v/>
      </c>
      <c r="P1401" s="250" t="str">
        <f ca="1">IF(C1401="","",IF($P$11="CFPS",[1]!S_STM07_CS(D1401,84,$G$5,$H$13)/IF([1]!S_SHARE_TOTAL(D1401,$G$5)=0,[1]!S_SHARE_TOTAL(D1401,[1]!s_ipo_listeddate(D1401)),[1]!S_SHARE_TOTAL(D1401,$G$5)),[1]!S_STM07_CS(D1401,84,$G$5,$H$13)/$E$5))</f>
        <v/>
      </c>
      <c r="Q1401" s="198" t="str">
        <f ca="1">IF(C1401="","",F1401/([1]!S_STM07_IS(D1401,61,$G$5,$H$13)/IF([1]!S_SHARE_TOTAL(D1401,$G$5)=0,[1]!S_SHARE_TOTAL(D1401,[1]!s_ipo_listeddate(D1401)),[1]!S_SHARE_TOTAL(D1401,$G$5))))</f>
        <v/>
      </c>
      <c r="R1401" s="198" t="str">
        <f ca="1">IF(C1401="","",F1401/([1]!S_STM07_BS(D1401,141,$G$5,$H$13)/IF([1]!S_SHARE_TOTAL(D1401,$G$5)=0,[1]!S_SHARE_TOTAL(D1401,[1]!s_ipo_listeddate(D1401)),[1]!S_SHARE_TOTAL(D1401,$G$5))))</f>
        <v/>
      </c>
      <c r="S1401" s="249" t="str">
        <f ca="1">IF(C1401="","",[1]!S_SHARE_TOTAL(D1401,TODAY())/$E$5)</f>
        <v/>
      </c>
      <c r="T1401" s="249" t="str">
        <f t="shared" ca="1" si="139"/>
        <v/>
      </c>
      <c r="U1401" s="172" t="str">
        <f t="shared" ca="1" si="140"/>
        <v/>
      </c>
      <c r="V1401" s="343" t="str">
        <f t="shared" ca="1" si="141"/>
        <v/>
      </c>
      <c r="W1401" s="139"/>
      <c r="Y1401" s="1"/>
    </row>
    <row r="1402" spans="3:25" ht="12" customHeight="1">
      <c r="C1402" s="342" t="str">
        <f t="shared" ca="1" si="136"/>
        <v/>
      </c>
      <c r="D1402" s="153" t="str">
        <f t="shared" ca="1" si="137"/>
        <v/>
      </c>
      <c r="E1402" s="153" t="str">
        <f t="shared" ca="1" si="138"/>
        <v/>
      </c>
      <c r="F1402" s="170" t="str">
        <f ca="1">IF(C1402="","",[1]!S_DQ_CLOSE(D1402,TODAY(),1))</f>
        <v/>
      </c>
      <c r="G1402" s="171" t="str">
        <f ca="1">IF(C1402="","",[1]!s_pq_pctchange(D1402,TODAY()-$G$12,TODAY())/100)</f>
        <v/>
      </c>
      <c r="H1402" s="247" t="str">
        <f ca="1">IF(C1402="","",IF($H$11="收入",[1]!S_STM07_IS(D1402,9,$G$5,$H$13)/$E$5,[1]!S_STM07_IS(D1402,48,$G$5,$H$13)/$E$5))</f>
        <v/>
      </c>
      <c r="I1402" s="247" t="str">
        <f ca="1">IF(C1402="","",IF($I$11="毛利率",([1]!S_STM07_IS(D1402,9,$G$5,$H$13)-[1]!S_STM07_IS(D1402,10,$G$5,$H$13))/[1]!S_STM07_IS(D1402,9,$G$5,$H$13),[1]!S_STM07_IS(D1402,14,$G$5,$H$13)/$E$5))</f>
        <v/>
      </c>
      <c r="J1402" s="247" t="str">
        <f ca="1">IF(C1402="","",IF($J$11="营业利润率",[1]!S_STM07_IS(D1402,48,$G$5,$H$13)/[1]!S_STM07_IS(D1402,9,$G$5,$H$13),([1]!S_STM07_CS(D1402,87,$G$5,$H$13)+[1]!S_STM07_CS(D1402,88,$G$5,$H$13)+[1]!S_STM07_CS(D1402,89,$G$5,$H$13))/$E$5))</f>
        <v/>
      </c>
      <c r="K1402" s="247" t="str">
        <f ca="1">IF(C1402="","",IF($K$11="净利润率",[1]!S_STM07_IS(D1402,61,$G$5,$H$13)/[1]!S_STM07_IS(D1402,9,$G$5,$H$13),[1]!S_STM07_IS(D1402,55,$G$5,$H$13)/$E$5))</f>
        <v/>
      </c>
      <c r="L1402" s="247" t="str">
        <f ca="1">IF(C1402="","",IF($L$11="ROA",[1]!S_STM07_IS(D1402,61,$G$5,$H$13)/[1]!S_STM07_BS(D1402,74,$G$5,$H$13),1-[1]!S_STM07_IS(D1402,61,$G$5,$H$13)/[1]!S_STM07_IS(D1402,55,$G$5,$H$13)))</f>
        <v/>
      </c>
      <c r="M1402" s="247" t="str">
        <f ca="1">IF(C1402="","",IF($M$11="ROE",[1]!S_STM07_IS(D1402,61,$G$5,$H$13)/[1]!S_STM07_BS(D1402,141,$G$5,$H$13),([1]!S_STM07_BS(D1402,25,$G$5,$H$13)-[1]!S_STM07_BS(D1402,93,$G$5,$H$13))/$E$5))</f>
        <v/>
      </c>
      <c r="N1402" s="247" t="str">
        <f ca="1">IF(C1402="","",IF($N$11="EPS",[1]!S_STM07_IS(D1402,61,$G$5,$H$13)/IF([1]!S_SHARE_TOTAL(D1402,$G$5)=0,[1]!S_SHARE_TOTAL(D1402,[1]!s_ipo_listeddate(D1402)),[1]!S_SHARE_TOTAL(D1402,$G$5)),([1]!S_STM07_BS(D1402,75,$G$5,$H$13)+[1]!S_STM07_BS(D1402,88,$G$5,$H$13)+[1]!S_STM07_BS(D1402,94,$G$5,$H$13)+[1]!S_STM07_BS(D1402,95,$G$5,$H$13))/$E$5))</f>
        <v/>
      </c>
      <c r="O1402" s="247" t="str">
        <f ca="1">IF(C1402="","",IF($O$11="BPS",[1]!S_STM07_BS(D1402,141,$G$5,$H$13)/IF([1]!S_SHARE_TOTAL(D1402,$G$5)=0,[1]!S_SHARE_TOTAL(D1402,[1]!s_ipo_listeddate(D1402)),[1]!S_SHARE_TOTAL(D1402,$G$5)),[1]!S_STM07_CS(D1402,49,$G$5,$H$13)/$E$5))</f>
        <v/>
      </c>
      <c r="P1402" s="247" t="str">
        <f ca="1">IF(C1402="","",IF($P$11="CFPS",[1]!S_STM07_CS(D1402,84,$G$5,$H$13)/IF([1]!S_SHARE_TOTAL(D1402,$G$5)=0,[1]!S_SHARE_TOTAL(D1402,[1]!s_ipo_listeddate(D1402)),[1]!S_SHARE_TOTAL(D1402,$G$5)),[1]!S_STM07_CS(D1402,84,$G$5,$H$13)/$E$5))</f>
        <v/>
      </c>
      <c r="Q1402" s="248" t="str">
        <f ca="1">IF(C1402="","",F1402/([1]!S_STM07_IS(D1402,61,$G$5,$H$13)/IF([1]!S_SHARE_TOTAL(D1402,$G$5)=0,[1]!S_SHARE_TOTAL(D1402,[1]!s_ipo_listeddate(D1402)),[1]!S_SHARE_TOTAL(D1402,$G$5))))</f>
        <v/>
      </c>
      <c r="R1402" s="248" t="str">
        <f ca="1">IF(C1402="","",F1402/([1]!S_STM07_BS(D1402,141,$G$5,$H$13)/IF([1]!S_SHARE_TOTAL(D1402,$G$5)=0,[1]!S_SHARE_TOTAL(D1402,[1]!s_ipo_listeddate(D1402)),[1]!S_SHARE_TOTAL(D1402,$G$5))))</f>
        <v/>
      </c>
      <c r="S1402" s="247" t="str">
        <f ca="1">IF(C1402="","",[1]!S_SHARE_TOTAL(D1402,TODAY())/$E$5)</f>
        <v/>
      </c>
      <c r="T1402" s="247" t="str">
        <f t="shared" ca="1" si="139"/>
        <v/>
      </c>
      <c r="U1402" s="218" t="str">
        <f t="shared" ca="1" si="140"/>
        <v/>
      </c>
      <c r="V1402" s="342" t="str">
        <f t="shared" ca="1" si="141"/>
        <v/>
      </c>
      <c r="W1402" s="139"/>
      <c r="Y1402" s="1"/>
    </row>
    <row r="1403" spans="3:25" ht="12" customHeight="1">
      <c r="C1403" s="343" t="str">
        <f t="shared" ca="1" si="136"/>
        <v/>
      </c>
      <c r="D1403" s="124" t="str">
        <f t="shared" ca="1" si="137"/>
        <v/>
      </c>
      <c r="E1403" s="124" t="str">
        <f t="shared" ca="1" si="138"/>
        <v/>
      </c>
      <c r="F1403" s="172" t="str">
        <f ca="1">IF(C1403="","",[1]!S_DQ_CLOSE(D1403,TODAY(),1))</f>
        <v/>
      </c>
      <c r="G1403" s="173" t="str">
        <f ca="1">IF(C1403="","",[1]!s_pq_pctchange(D1403,TODAY()-$G$12,TODAY())/100)</f>
        <v/>
      </c>
      <c r="H1403" s="249" t="str">
        <f ca="1">IF(C1403="","",IF($H$11="收入",[1]!S_STM07_IS(D1403,9,$G$5,$H$13)/$E$5,[1]!S_STM07_IS(D1403,48,$G$5,$H$13)/$E$5))</f>
        <v/>
      </c>
      <c r="I1403" s="249" t="str">
        <f ca="1">IF(C1403="","",IF($I$11="毛利率",([1]!S_STM07_IS(D1403,9,$G$5,$H$13)-[1]!S_STM07_IS(D1403,10,$G$5,$H$13))/[1]!S_STM07_IS(D1403,9,$G$5,$H$13),[1]!S_STM07_IS(D1403,14,$G$5,$H$13)/$E$5))</f>
        <v/>
      </c>
      <c r="J1403" s="249" t="str">
        <f ca="1">IF(C1403="","",IF($J$11="营业利润率",[1]!S_STM07_IS(D1403,48,$G$5,$H$13)/[1]!S_STM07_IS(D1403,9,$G$5,$H$13),([1]!S_STM07_CS(D1403,87,$G$5,$H$13)+[1]!S_STM07_CS(D1403,88,$G$5,$H$13)+[1]!S_STM07_CS(D1403,89,$G$5,$H$13))/$E$5))</f>
        <v/>
      </c>
      <c r="K1403" s="249" t="str">
        <f ca="1">IF(C1403="","",IF($K$11="净利润率",[1]!S_STM07_IS(D1403,61,$G$5,$H$13)/[1]!S_STM07_IS(D1403,9,$G$5,$H$13),[1]!S_STM07_IS(D1403,55,$G$5,$H$13)/$E$5))</f>
        <v/>
      </c>
      <c r="L1403" s="249" t="str">
        <f ca="1">IF(C1403="","",IF($L$11="ROA",[1]!S_STM07_IS(D1403,61,$G$5,$H$13)/[1]!S_STM07_BS(D1403,74,$G$5,$H$13),1-[1]!S_STM07_IS(D1403,61,$G$5,$H$13)/[1]!S_STM07_IS(D1403,55,$G$5,$H$13)))</f>
        <v/>
      </c>
      <c r="M1403" s="249" t="str">
        <f ca="1">IF(C1403="","",IF($M$11="ROE",[1]!S_STM07_IS(D1403,61,$G$5,$H$13)/[1]!S_STM07_BS(D1403,141,$G$5,$H$13),([1]!S_STM07_BS(D1403,25,$G$5,$H$13)-[1]!S_STM07_BS(D1403,93,$G$5,$H$13))/$E$5))</f>
        <v/>
      </c>
      <c r="N1403" s="250" t="str">
        <f ca="1">IF(C1403="","",IF($N$11="EPS",[1]!S_STM07_IS(D1403,61,$G$5,$H$13)/IF([1]!S_SHARE_TOTAL(D1403,$G$5)=0,[1]!S_SHARE_TOTAL(D1403,[1]!s_ipo_listeddate(D1403)),[1]!S_SHARE_TOTAL(D1403,$G$5)),([1]!S_STM07_BS(D1403,75,$G$5,$H$13)+[1]!S_STM07_BS(D1403,88,$G$5,$H$13)+[1]!S_STM07_BS(D1403,94,$G$5,$H$13)+[1]!S_STM07_BS(D1403,95,$G$5,$H$13))/$E$5))</f>
        <v/>
      </c>
      <c r="O1403" s="250" t="str">
        <f ca="1">IF(C1403="","",IF($O$11="BPS",[1]!S_STM07_BS(D1403,141,$G$5,$H$13)/IF([1]!S_SHARE_TOTAL(D1403,$G$5)=0,[1]!S_SHARE_TOTAL(D1403,[1]!s_ipo_listeddate(D1403)),[1]!S_SHARE_TOTAL(D1403,$G$5)),[1]!S_STM07_CS(D1403,49,$G$5,$H$13)/$E$5))</f>
        <v/>
      </c>
      <c r="P1403" s="250" t="str">
        <f ca="1">IF(C1403="","",IF($P$11="CFPS",[1]!S_STM07_CS(D1403,84,$G$5,$H$13)/IF([1]!S_SHARE_TOTAL(D1403,$G$5)=0,[1]!S_SHARE_TOTAL(D1403,[1]!s_ipo_listeddate(D1403)),[1]!S_SHARE_TOTAL(D1403,$G$5)),[1]!S_STM07_CS(D1403,84,$G$5,$H$13)/$E$5))</f>
        <v/>
      </c>
      <c r="Q1403" s="198" t="str">
        <f ca="1">IF(C1403="","",F1403/([1]!S_STM07_IS(D1403,61,$G$5,$H$13)/IF([1]!S_SHARE_TOTAL(D1403,$G$5)=0,[1]!S_SHARE_TOTAL(D1403,[1]!s_ipo_listeddate(D1403)),[1]!S_SHARE_TOTAL(D1403,$G$5))))</f>
        <v/>
      </c>
      <c r="R1403" s="198" t="str">
        <f ca="1">IF(C1403="","",F1403/([1]!S_STM07_BS(D1403,141,$G$5,$H$13)/IF([1]!S_SHARE_TOTAL(D1403,$G$5)=0,[1]!S_SHARE_TOTAL(D1403,[1]!s_ipo_listeddate(D1403)),[1]!S_SHARE_TOTAL(D1403,$G$5))))</f>
        <v/>
      </c>
      <c r="S1403" s="249" t="str">
        <f ca="1">IF(C1403="","",[1]!S_SHARE_TOTAL(D1403,TODAY())/$E$5)</f>
        <v/>
      </c>
      <c r="T1403" s="249" t="str">
        <f t="shared" ca="1" si="139"/>
        <v/>
      </c>
      <c r="U1403" s="172" t="str">
        <f t="shared" ca="1" si="140"/>
        <v/>
      </c>
      <c r="V1403" s="343" t="str">
        <f t="shared" ca="1" si="141"/>
        <v/>
      </c>
      <c r="W1403" s="139"/>
      <c r="Y1403" s="1"/>
    </row>
    <row r="1404" spans="3:25" ht="12" customHeight="1">
      <c r="C1404" s="342" t="str">
        <f t="shared" ca="1" si="136"/>
        <v/>
      </c>
      <c r="D1404" s="153" t="str">
        <f t="shared" ca="1" si="137"/>
        <v/>
      </c>
      <c r="E1404" s="153" t="str">
        <f t="shared" ca="1" si="138"/>
        <v/>
      </c>
      <c r="F1404" s="170" t="str">
        <f ca="1">IF(C1404="","",[1]!S_DQ_CLOSE(D1404,TODAY(),1))</f>
        <v/>
      </c>
      <c r="G1404" s="171" t="str">
        <f ca="1">IF(C1404="","",[1]!s_pq_pctchange(D1404,TODAY()-$G$12,TODAY())/100)</f>
        <v/>
      </c>
      <c r="H1404" s="247" t="str">
        <f ca="1">IF(C1404="","",IF($H$11="收入",[1]!S_STM07_IS(D1404,9,$G$5,$H$13)/$E$5,[1]!S_STM07_IS(D1404,48,$G$5,$H$13)/$E$5))</f>
        <v/>
      </c>
      <c r="I1404" s="247" t="str">
        <f ca="1">IF(C1404="","",IF($I$11="毛利率",([1]!S_STM07_IS(D1404,9,$G$5,$H$13)-[1]!S_STM07_IS(D1404,10,$G$5,$H$13))/[1]!S_STM07_IS(D1404,9,$G$5,$H$13),[1]!S_STM07_IS(D1404,14,$G$5,$H$13)/$E$5))</f>
        <v/>
      </c>
      <c r="J1404" s="247" t="str">
        <f ca="1">IF(C1404="","",IF($J$11="营业利润率",[1]!S_STM07_IS(D1404,48,$G$5,$H$13)/[1]!S_STM07_IS(D1404,9,$G$5,$H$13),([1]!S_STM07_CS(D1404,87,$G$5,$H$13)+[1]!S_STM07_CS(D1404,88,$G$5,$H$13)+[1]!S_STM07_CS(D1404,89,$G$5,$H$13))/$E$5))</f>
        <v/>
      </c>
      <c r="K1404" s="247" t="str">
        <f ca="1">IF(C1404="","",IF($K$11="净利润率",[1]!S_STM07_IS(D1404,61,$G$5,$H$13)/[1]!S_STM07_IS(D1404,9,$G$5,$H$13),[1]!S_STM07_IS(D1404,55,$G$5,$H$13)/$E$5))</f>
        <v/>
      </c>
      <c r="L1404" s="247" t="str">
        <f ca="1">IF(C1404="","",IF($L$11="ROA",[1]!S_STM07_IS(D1404,61,$G$5,$H$13)/[1]!S_STM07_BS(D1404,74,$G$5,$H$13),1-[1]!S_STM07_IS(D1404,61,$G$5,$H$13)/[1]!S_STM07_IS(D1404,55,$G$5,$H$13)))</f>
        <v/>
      </c>
      <c r="M1404" s="247" t="str">
        <f ca="1">IF(C1404="","",IF($M$11="ROE",[1]!S_STM07_IS(D1404,61,$G$5,$H$13)/[1]!S_STM07_BS(D1404,141,$G$5,$H$13),([1]!S_STM07_BS(D1404,25,$G$5,$H$13)-[1]!S_STM07_BS(D1404,93,$G$5,$H$13))/$E$5))</f>
        <v/>
      </c>
      <c r="N1404" s="247" t="str">
        <f ca="1">IF(C1404="","",IF($N$11="EPS",[1]!S_STM07_IS(D1404,61,$G$5,$H$13)/IF([1]!S_SHARE_TOTAL(D1404,$G$5)=0,[1]!S_SHARE_TOTAL(D1404,[1]!s_ipo_listeddate(D1404)),[1]!S_SHARE_TOTAL(D1404,$G$5)),([1]!S_STM07_BS(D1404,75,$G$5,$H$13)+[1]!S_STM07_BS(D1404,88,$G$5,$H$13)+[1]!S_STM07_BS(D1404,94,$G$5,$H$13)+[1]!S_STM07_BS(D1404,95,$G$5,$H$13))/$E$5))</f>
        <v/>
      </c>
      <c r="O1404" s="247" t="str">
        <f ca="1">IF(C1404="","",IF($O$11="BPS",[1]!S_STM07_BS(D1404,141,$G$5,$H$13)/IF([1]!S_SHARE_TOTAL(D1404,$G$5)=0,[1]!S_SHARE_TOTAL(D1404,[1]!s_ipo_listeddate(D1404)),[1]!S_SHARE_TOTAL(D1404,$G$5)),[1]!S_STM07_CS(D1404,49,$G$5,$H$13)/$E$5))</f>
        <v/>
      </c>
      <c r="P1404" s="247" t="str">
        <f ca="1">IF(C1404="","",IF($P$11="CFPS",[1]!S_STM07_CS(D1404,84,$G$5,$H$13)/IF([1]!S_SHARE_TOTAL(D1404,$G$5)=0,[1]!S_SHARE_TOTAL(D1404,[1]!s_ipo_listeddate(D1404)),[1]!S_SHARE_TOTAL(D1404,$G$5)),[1]!S_STM07_CS(D1404,84,$G$5,$H$13)/$E$5))</f>
        <v/>
      </c>
      <c r="Q1404" s="248" t="str">
        <f ca="1">IF(C1404="","",F1404/([1]!S_STM07_IS(D1404,61,$G$5,$H$13)/IF([1]!S_SHARE_TOTAL(D1404,$G$5)=0,[1]!S_SHARE_TOTAL(D1404,[1]!s_ipo_listeddate(D1404)),[1]!S_SHARE_TOTAL(D1404,$G$5))))</f>
        <v/>
      </c>
      <c r="R1404" s="248" t="str">
        <f ca="1">IF(C1404="","",F1404/([1]!S_STM07_BS(D1404,141,$G$5,$H$13)/IF([1]!S_SHARE_TOTAL(D1404,$G$5)=0,[1]!S_SHARE_TOTAL(D1404,[1]!s_ipo_listeddate(D1404)),[1]!S_SHARE_TOTAL(D1404,$G$5))))</f>
        <v/>
      </c>
      <c r="S1404" s="247" t="str">
        <f ca="1">IF(C1404="","",[1]!S_SHARE_TOTAL(D1404,TODAY())/$E$5)</f>
        <v/>
      </c>
      <c r="T1404" s="247" t="str">
        <f t="shared" ca="1" si="139"/>
        <v/>
      </c>
      <c r="U1404" s="218" t="str">
        <f t="shared" ca="1" si="140"/>
        <v/>
      </c>
      <c r="V1404" s="342" t="str">
        <f t="shared" ca="1" si="141"/>
        <v/>
      </c>
      <c r="W1404" s="139"/>
      <c r="Y1404" s="1"/>
    </row>
    <row r="1405" spans="3:25" ht="12" customHeight="1">
      <c r="C1405" s="343" t="str">
        <f t="shared" ca="1" si="136"/>
        <v/>
      </c>
      <c r="D1405" s="124" t="str">
        <f t="shared" ca="1" si="137"/>
        <v/>
      </c>
      <c r="E1405" s="124" t="str">
        <f t="shared" ca="1" si="138"/>
        <v/>
      </c>
      <c r="F1405" s="172" t="str">
        <f ca="1">IF(C1405="","",[1]!S_DQ_CLOSE(D1405,TODAY(),1))</f>
        <v/>
      </c>
      <c r="G1405" s="173" t="str">
        <f ca="1">IF(C1405="","",[1]!s_pq_pctchange(D1405,TODAY()-$G$12,TODAY())/100)</f>
        <v/>
      </c>
      <c r="H1405" s="249" t="str">
        <f ca="1">IF(C1405="","",IF($H$11="收入",[1]!S_STM07_IS(D1405,9,$G$5,$H$13)/$E$5,[1]!S_STM07_IS(D1405,48,$G$5,$H$13)/$E$5))</f>
        <v/>
      </c>
      <c r="I1405" s="249" t="str">
        <f ca="1">IF(C1405="","",IF($I$11="毛利率",([1]!S_STM07_IS(D1405,9,$G$5,$H$13)-[1]!S_STM07_IS(D1405,10,$G$5,$H$13))/[1]!S_STM07_IS(D1405,9,$G$5,$H$13),[1]!S_STM07_IS(D1405,14,$G$5,$H$13)/$E$5))</f>
        <v/>
      </c>
      <c r="J1405" s="249" t="str">
        <f ca="1">IF(C1405="","",IF($J$11="营业利润率",[1]!S_STM07_IS(D1405,48,$G$5,$H$13)/[1]!S_STM07_IS(D1405,9,$G$5,$H$13),([1]!S_STM07_CS(D1405,87,$G$5,$H$13)+[1]!S_STM07_CS(D1405,88,$G$5,$H$13)+[1]!S_STM07_CS(D1405,89,$G$5,$H$13))/$E$5))</f>
        <v/>
      </c>
      <c r="K1405" s="249" t="str">
        <f ca="1">IF(C1405="","",IF($K$11="净利润率",[1]!S_STM07_IS(D1405,61,$G$5,$H$13)/[1]!S_STM07_IS(D1405,9,$G$5,$H$13),[1]!S_STM07_IS(D1405,55,$G$5,$H$13)/$E$5))</f>
        <v/>
      </c>
      <c r="L1405" s="249" t="str">
        <f ca="1">IF(C1405="","",IF($L$11="ROA",[1]!S_STM07_IS(D1405,61,$G$5,$H$13)/[1]!S_STM07_BS(D1405,74,$G$5,$H$13),1-[1]!S_STM07_IS(D1405,61,$G$5,$H$13)/[1]!S_STM07_IS(D1405,55,$G$5,$H$13)))</f>
        <v/>
      </c>
      <c r="M1405" s="249" t="str">
        <f ca="1">IF(C1405="","",IF($M$11="ROE",[1]!S_STM07_IS(D1405,61,$G$5,$H$13)/[1]!S_STM07_BS(D1405,141,$G$5,$H$13),([1]!S_STM07_BS(D1405,25,$G$5,$H$13)-[1]!S_STM07_BS(D1405,93,$G$5,$H$13))/$E$5))</f>
        <v/>
      </c>
      <c r="N1405" s="250" t="str">
        <f ca="1">IF(C1405="","",IF($N$11="EPS",[1]!S_STM07_IS(D1405,61,$G$5,$H$13)/IF([1]!S_SHARE_TOTAL(D1405,$G$5)=0,[1]!S_SHARE_TOTAL(D1405,[1]!s_ipo_listeddate(D1405)),[1]!S_SHARE_TOTAL(D1405,$G$5)),([1]!S_STM07_BS(D1405,75,$G$5,$H$13)+[1]!S_STM07_BS(D1405,88,$G$5,$H$13)+[1]!S_STM07_BS(D1405,94,$G$5,$H$13)+[1]!S_STM07_BS(D1405,95,$G$5,$H$13))/$E$5))</f>
        <v/>
      </c>
      <c r="O1405" s="250" t="str">
        <f ca="1">IF(C1405="","",IF($O$11="BPS",[1]!S_STM07_BS(D1405,141,$G$5,$H$13)/IF([1]!S_SHARE_TOTAL(D1405,$G$5)=0,[1]!S_SHARE_TOTAL(D1405,[1]!s_ipo_listeddate(D1405)),[1]!S_SHARE_TOTAL(D1405,$G$5)),[1]!S_STM07_CS(D1405,49,$G$5,$H$13)/$E$5))</f>
        <v/>
      </c>
      <c r="P1405" s="250" t="str">
        <f ca="1">IF(C1405="","",IF($P$11="CFPS",[1]!S_STM07_CS(D1405,84,$G$5,$H$13)/IF([1]!S_SHARE_TOTAL(D1405,$G$5)=0,[1]!S_SHARE_TOTAL(D1405,[1]!s_ipo_listeddate(D1405)),[1]!S_SHARE_TOTAL(D1405,$G$5)),[1]!S_STM07_CS(D1405,84,$G$5,$H$13)/$E$5))</f>
        <v/>
      </c>
      <c r="Q1405" s="198" t="str">
        <f ca="1">IF(C1405="","",F1405/([1]!S_STM07_IS(D1405,61,$G$5,$H$13)/IF([1]!S_SHARE_TOTAL(D1405,$G$5)=0,[1]!S_SHARE_TOTAL(D1405,[1]!s_ipo_listeddate(D1405)),[1]!S_SHARE_TOTAL(D1405,$G$5))))</f>
        <v/>
      </c>
      <c r="R1405" s="198" t="str">
        <f ca="1">IF(C1405="","",F1405/([1]!S_STM07_BS(D1405,141,$G$5,$H$13)/IF([1]!S_SHARE_TOTAL(D1405,$G$5)=0,[1]!S_SHARE_TOTAL(D1405,[1]!s_ipo_listeddate(D1405)),[1]!S_SHARE_TOTAL(D1405,$G$5))))</f>
        <v/>
      </c>
      <c r="S1405" s="249" t="str">
        <f ca="1">IF(C1405="","",[1]!S_SHARE_TOTAL(D1405,TODAY())/$E$5)</f>
        <v/>
      </c>
      <c r="T1405" s="249" t="str">
        <f t="shared" ca="1" si="139"/>
        <v/>
      </c>
      <c r="U1405" s="172" t="str">
        <f t="shared" ca="1" si="140"/>
        <v/>
      </c>
      <c r="V1405" s="343" t="str">
        <f t="shared" ca="1" si="141"/>
        <v/>
      </c>
      <c r="W1405" s="139"/>
      <c r="Y1405" s="1"/>
    </row>
    <row r="1406" spans="3:25" ht="12" customHeight="1">
      <c r="C1406" s="342" t="str">
        <f t="shared" ca="1" si="136"/>
        <v/>
      </c>
      <c r="D1406" s="153" t="str">
        <f t="shared" ca="1" si="137"/>
        <v/>
      </c>
      <c r="E1406" s="153" t="str">
        <f t="shared" ca="1" si="138"/>
        <v/>
      </c>
      <c r="F1406" s="170" t="str">
        <f ca="1">IF(C1406="","",[1]!S_DQ_CLOSE(D1406,TODAY(),1))</f>
        <v/>
      </c>
      <c r="G1406" s="171" t="str">
        <f ca="1">IF(C1406="","",[1]!s_pq_pctchange(D1406,TODAY()-$G$12,TODAY())/100)</f>
        <v/>
      </c>
      <c r="H1406" s="247" t="str">
        <f ca="1">IF(C1406="","",IF($H$11="收入",[1]!S_STM07_IS(D1406,9,$G$5,$H$13)/$E$5,[1]!S_STM07_IS(D1406,48,$G$5,$H$13)/$E$5))</f>
        <v/>
      </c>
      <c r="I1406" s="247" t="str">
        <f ca="1">IF(C1406="","",IF($I$11="毛利率",([1]!S_STM07_IS(D1406,9,$G$5,$H$13)-[1]!S_STM07_IS(D1406,10,$G$5,$H$13))/[1]!S_STM07_IS(D1406,9,$G$5,$H$13),[1]!S_STM07_IS(D1406,14,$G$5,$H$13)/$E$5))</f>
        <v/>
      </c>
      <c r="J1406" s="247" t="str">
        <f ca="1">IF(C1406="","",IF($J$11="营业利润率",[1]!S_STM07_IS(D1406,48,$G$5,$H$13)/[1]!S_STM07_IS(D1406,9,$G$5,$H$13),([1]!S_STM07_CS(D1406,87,$G$5,$H$13)+[1]!S_STM07_CS(D1406,88,$G$5,$H$13)+[1]!S_STM07_CS(D1406,89,$G$5,$H$13))/$E$5))</f>
        <v/>
      </c>
      <c r="K1406" s="247" t="str">
        <f ca="1">IF(C1406="","",IF($K$11="净利润率",[1]!S_STM07_IS(D1406,61,$G$5,$H$13)/[1]!S_STM07_IS(D1406,9,$G$5,$H$13),[1]!S_STM07_IS(D1406,55,$G$5,$H$13)/$E$5))</f>
        <v/>
      </c>
      <c r="L1406" s="247" t="str">
        <f ca="1">IF(C1406="","",IF($L$11="ROA",[1]!S_STM07_IS(D1406,61,$G$5,$H$13)/[1]!S_STM07_BS(D1406,74,$G$5,$H$13),1-[1]!S_STM07_IS(D1406,61,$G$5,$H$13)/[1]!S_STM07_IS(D1406,55,$G$5,$H$13)))</f>
        <v/>
      </c>
      <c r="M1406" s="247" t="str">
        <f ca="1">IF(C1406="","",IF($M$11="ROE",[1]!S_STM07_IS(D1406,61,$G$5,$H$13)/[1]!S_STM07_BS(D1406,141,$G$5,$H$13),([1]!S_STM07_BS(D1406,25,$G$5,$H$13)-[1]!S_STM07_BS(D1406,93,$G$5,$H$13))/$E$5))</f>
        <v/>
      </c>
      <c r="N1406" s="247" t="str">
        <f ca="1">IF(C1406="","",IF($N$11="EPS",[1]!S_STM07_IS(D1406,61,$G$5,$H$13)/IF([1]!S_SHARE_TOTAL(D1406,$G$5)=0,[1]!S_SHARE_TOTAL(D1406,[1]!s_ipo_listeddate(D1406)),[1]!S_SHARE_TOTAL(D1406,$G$5)),([1]!S_STM07_BS(D1406,75,$G$5,$H$13)+[1]!S_STM07_BS(D1406,88,$G$5,$H$13)+[1]!S_STM07_BS(D1406,94,$G$5,$H$13)+[1]!S_STM07_BS(D1406,95,$G$5,$H$13))/$E$5))</f>
        <v/>
      </c>
      <c r="O1406" s="247" t="str">
        <f ca="1">IF(C1406="","",IF($O$11="BPS",[1]!S_STM07_BS(D1406,141,$G$5,$H$13)/IF([1]!S_SHARE_TOTAL(D1406,$G$5)=0,[1]!S_SHARE_TOTAL(D1406,[1]!s_ipo_listeddate(D1406)),[1]!S_SHARE_TOTAL(D1406,$G$5)),[1]!S_STM07_CS(D1406,49,$G$5,$H$13)/$E$5))</f>
        <v/>
      </c>
      <c r="P1406" s="247" t="str">
        <f ca="1">IF(C1406="","",IF($P$11="CFPS",[1]!S_STM07_CS(D1406,84,$G$5,$H$13)/IF([1]!S_SHARE_TOTAL(D1406,$G$5)=0,[1]!S_SHARE_TOTAL(D1406,[1]!s_ipo_listeddate(D1406)),[1]!S_SHARE_TOTAL(D1406,$G$5)),[1]!S_STM07_CS(D1406,84,$G$5,$H$13)/$E$5))</f>
        <v/>
      </c>
      <c r="Q1406" s="248" t="str">
        <f ca="1">IF(C1406="","",F1406/([1]!S_STM07_IS(D1406,61,$G$5,$H$13)/IF([1]!S_SHARE_TOTAL(D1406,$G$5)=0,[1]!S_SHARE_TOTAL(D1406,[1]!s_ipo_listeddate(D1406)),[1]!S_SHARE_TOTAL(D1406,$G$5))))</f>
        <v/>
      </c>
      <c r="R1406" s="248" t="str">
        <f ca="1">IF(C1406="","",F1406/([1]!S_STM07_BS(D1406,141,$G$5,$H$13)/IF([1]!S_SHARE_TOTAL(D1406,$G$5)=0,[1]!S_SHARE_TOTAL(D1406,[1]!s_ipo_listeddate(D1406)),[1]!S_SHARE_TOTAL(D1406,$G$5))))</f>
        <v/>
      </c>
      <c r="S1406" s="247" t="str">
        <f ca="1">IF(C1406="","",[1]!S_SHARE_TOTAL(D1406,TODAY())/$E$5)</f>
        <v/>
      </c>
      <c r="T1406" s="247" t="str">
        <f t="shared" ca="1" si="139"/>
        <v/>
      </c>
      <c r="U1406" s="218" t="str">
        <f t="shared" ca="1" si="140"/>
        <v/>
      </c>
      <c r="V1406" s="342" t="str">
        <f t="shared" ca="1" si="141"/>
        <v/>
      </c>
      <c r="W1406" s="139"/>
      <c r="Y1406" s="1"/>
    </row>
    <row r="1407" spans="3:25" ht="12" customHeight="1">
      <c r="C1407" s="343" t="str">
        <f t="shared" ca="1" si="136"/>
        <v/>
      </c>
      <c r="D1407" s="124" t="str">
        <f t="shared" ca="1" si="137"/>
        <v/>
      </c>
      <c r="E1407" s="124" t="str">
        <f t="shared" ca="1" si="138"/>
        <v/>
      </c>
      <c r="F1407" s="172" t="str">
        <f ca="1">IF(C1407="","",[1]!S_DQ_CLOSE(D1407,TODAY(),1))</f>
        <v/>
      </c>
      <c r="G1407" s="173" t="str">
        <f ca="1">IF(C1407="","",[1]!s_pq_pctchange(D1407,TODAY()-$G$12,TODAY())/100)</f>
        <v/>
      </c>
      <c r="H1407" s="249" t="str">
        <f ca="1">IF(C1407="","",IF($H$11="收入",[1]!S_STM07_IS(D1407,9,$G$5,$H$13)/$E$5,[1]!S_STM07_IS(D1407,48,$G$5,$H$13)/$E$5))</f>
        <v/>
      </c>
      <c r="I1407" s="249" t="str">
        <f ca="1">IF(C1407="","",IF($I$11="毛利率",([1]!S_STM07_IS(D1407,9,$G$5,$H$13)-[1]!S_STM07_IS(D1407,10,$G$5,$H$13))/[1]!S_STM07_IS(D1407,9,$G$5,$H$13),[1]!S_STM07_IS(D1407,14,$G$5,$H$13)/$E$5))</f>
        <v/>
      </c>
      <c r="J1407" s="249" t="str">
        <f ca="1">IF(C1407="","",IF($J$11="营业利润率",[1]!S_STM07_IS(D1407,48,$G$5,$H$13)/[1]!S_STM07_IS(D1407,9,$G$5,$H$13),([1]!S_STM07_CS(D1407,87,$G$5,$H$13)+[1]!S_STM07_CS(D1407,88,$G$5,$H$13)+[1]!S_STM07_CS(D1407,89,$G$5,$H$13))/$E$5))</f>
        <v/>
      </c>
      <c r="K1407" s="249" t="str">
        <f ca="1">IF(C1407="","",IF($K$11="净利润率",[1]!S_STM07_IS(D1407,61,$G$5,$H$13)/[1]!S_STM07_IS(D1407,9,$G$5,$H$13),[1]!S_STM07_IS(D1407,55,$G$5,$H$13)/$E$5))</f>
        <v/>
      </c>
      <c r="L1407" s="249" t="str">
        <f ca="1">IF(C1407="","",IF($L$11="ROA",[1]!S_STM07_IS(D1407,61,$G$5,$H$13)/[1]!S_STM07_BS(D1407,74,$G$5,$H$13),1-[1]!S_STM07_IS(D1407,61,$G$5,$H$13)/[1]!S_STM07_IS(D1407,55,$G$5,$H$13)))</f>
        <v/>
      </c>
      <c r="M1407" s="249" t="str">
        <f ca="1">IF(C1407="","",IF($M$11="ROE",[1]!S_STM07_IS(D1407,61,$G$5,$H$13)/[1]!S_STM07_BS(D1407,141,$G$5,$H$13),([1]!S_STM07_BS(D1407,25,$G$5,$H$13)-[1]!S_STM07_BS(D1407,93,$G$5,$H$13))/$E$5))</f>
        <v/>
      </c>
      <c r="N1407" s="250" t="str">
        <f ca="1">IF(C1407="","",IF($N$11="EPS",[1]!S_STM07_IS(D1407,61,$G$5,$H$13)/IF([1]!S_SHARE_TOTAL(D1407,$G$5)=0,[1]!S_SHARE_TOTAL(D1407,[1]!s_ipo_listeddate(D1407)),[1]!S_SHARE_TOTAL(D1407,$G$5)),([1]!S_STM07_BS(D1407,75,$G$5,$H$13)+[1]!S_STM07_BS(D1407,88,$G$5,$H$13)+[1]!S_STM07_BS(D1407,94,$G$5,$H$13)+[1]!S_STM07_BS(D1407,95,$G$5,$H$13))/$E$5))</f>
        <v/>
      </c>
      <c r="O1407" s="250" t="str">
        <f ca="1">IF(C1407="","",IF($O$11="BPS",[1]!S_STM07_BS(D1407,141,$G$5,$H$13)/IF([1]!S_SHARE_TOTAL(D1407,$G$5)=0,[1]!S_SHARE_TOTAL(D1407,[1]!s_ipo_listeddate(D1407)),[1]!S_SHARE_TOTAL(D1407,$G$5)),[1]!S_STM07_CS(D1407,49,$G$5,$H$13)/$E$5))</f>
        <v/>
      </c>
      <c r="P1407" s="250" t="str">
        <f ca="1">IF(C1407="","",IF($P$11="CFPS",[1]!S_STM07_CS(D1407,84,$G$5,$H$13)/IF([1]!S_SHARE_TOTAL(D1407,$G$5)=0,[1]!S_SHARE_TOTAL(D1407,[1]!s_ipo_listeddate(D1407)),[1]!S_SHARE_TOTAL(D1407,$G$5)),[1]!S_STM07_CS(D1407,84,$G$5,$H$13)/$E$5))</f>
        <v/>
      </c>
      <c r="Q1407" s="198" t="str">
        <f ca="1">IF(C1407="","",F1407/([1]!S_STM07_IS(D1407,61,$G$5,$H$13)/IF([1]!S_SHARE_TOTAL(D1407,$G$5)=0,[1]!S_SHARE_TOTAL(D1407,[1]!s_ipo_listeddate(D1407)),[1]!S_SHARE_TOTAL(D1407,$G$5))))</f>
        <v/>
      </c>
      <c r="R1407" s="198" t="str">
        <f ca="1">IF(C1407="","",F1407/([1]!S_STM07_BS(D1407,141,$G$5,$H$13)/IF([1]!S_SHARE_TOTAL(D1407,$G$5)=0,[1]!S_SHARE_TOTAL(D1407,[1]!s_ipo_listeddate(D1407)),[1]!S_SHARE_TOTAL(D1407,$G$5))))</f>
        <v/>
      </c>
      <c r="S1407" s="249" t="str">
        <f ca="1">IF(C1407="","",[1]!S_SHARE_TOTAL(D1407,TODAY())/$E$5)</f>
        <v/>
      </c>
      <c r="T1407" s="249" t="str">
        <f t="shared" ca="1" si="139"/>
        <v/>
      </c>
      <c r="U1407" s="172" t="str">
        <f t="shared" ca="1" si="140"/>
        <v/>
      </c>
      <c r="V1407" s="343" t="str">
        <f t="shared" ca="1" si="141"/>
        <v/>
      </c>
      <c r="W1407" s="139"/>
      <c r="Y1407" s="1"/>
    </row>
    <row r="1408" spans="3:25" ht="12" customHeight="1">
      <c r="C1408" s="342" t="str">
        <f t="shared" ca="1" si="136"/>
        <v/>
      </c>
      <c r="D1408" s="153" t="str">
        <f t="shared" ca="1" si="137"/>
        <v/>
      </c>
      <c r="E1408" s="153" t="str">
        <f t="shared" ca="1" si="138"/>
        <v/>
      </c>
      <c r="F1408" s="170" t="str">
        <f ca="1">IF(C1408="","",[1]!S_DQ_CLOSE(D1408,TODAY(),1))</f>
        <v/>
      </c>
      <c r="G1408" s="171" t="str">
        <f ca="1">IF(C1408="","",[1]!s_pq_pctchange(D1408,TODAY()-$G$12,TODAY())/100)</f>
        <v/>
      </c>
      <c r="H1408" s="247" t="str">
        <f ca="1">IF(C1408="","",IF($H$11="收入",[1]!S_STM07_IS(D1408,9,$G$5,$H$13)/$E$5,[1]!S_STM07_IS(D1408,48,$G$5,$H$13)/$E$5))</f>
        <v/>
      </c>
      <c r="I1408" s="247" t="str">
        <f ca="1">IF(C1408="","",IF($I$11="毛利率",([1]!S_STM07_IS(D1408,9,$G$5,$H$13)-[1]!S_STM07_IS(D1408,10,$G$5,$H$13))/[1]!S_STM07_IS(D1408,9,$G$5,$H$13),[1]!S_STM07_IS(D1408,14,$G$5,$H$13)/$E$5))</f>
        <v/>
      </c>
      <c r="J1408" s="247" t="str">
        <f ca="1">IF(C1408="","",IF($J$11="营业利润率",[1]!S_STM07_IS(D1408,48,$G$5,$H$13)/[1]!S_STM07_IS(D1408,9,$G$5,$H$13),([1]!S_STM07_CS(D1408,87,$G$5,$H$13)+[1]!S_STM07_CS(D1408,88,$G$5,$H$13)+[1]!S_STM07_CS(D1408,89,$G$5,$H$13))/$E$5))</f>
        <v/>
      </c>
      <c r="K1408" s="247" t="str">
        <f ca="1">IF(C1408="","",IF($K$11="净利润率",[1]!S_STM07_IS(D1408,61,$G$5,$H$13)/[1]!S_STM07_IS(D1408,9,$G$5,$H$13),[1]!S_STM07_IS(D1408,55,$G$5,$H$13)/$E$5))</f>
        <v/>
      </c>
      <c r="L1408" s="247" t="str">
        <f ca="1">IF(C1408="","",IF($L$11="ROA",[1]!S_STM07_IS(D1408,61,$G$5,$H$13)/[1]!S_STM07_BS(D1408,74,$G$5,$H$13),1-[1]!S_STM07_IS(D1408,61,$G$5,$H$13)/[1]!S_STM07_IS(D1408,55,$G$5,$H$13)))</f>
        <v/>
      </c>
      <c r="M1408" s="247" t="str">
        <f ca="1">IF(C1408="","",IF($M$11="ROE",[1]!S_STM07_IS(D1408,61,$G$5,$H$13)/[1]!S_STM07_BS(D1408,141,$G$5,$H$13),([1]!S_STM07_BS(D1408,25,$G$5,$H$13)-[1]!S_STM07_BS(D1408,93,$G$5,$H$13))/$E$5))</f>
        <v/>
      </c>
      <c r="N1408" s="247" t="str">
        <f ca="1">IF(C1408="","",IF($N$11="EPS",[1]!S_STM07_IS(D1408,61,$G$5,$H$13)/IF([1]!S_SHARE_TOTAL(D1408,$G$5)=0,[1]!S_SHARE_TOTAL(D1408,[1]!s_ipo_listeddate(D1408)),[1]!S_SHARE_TOTAL(D1408,$G$5)),([1]!S_STM07_BS(D1408,75,$G$5,$H$13)+[1]!S_STM07_BS(D1408,88,$G$5,$H$13)+[1]!S_STM07_BS(D1408,94,$G$5,$H$13)+[1]!S_STM07_BS(D1408,95,$G$5,$H$13))/$E$5))</f>
        <v/>
      </c>
      <c r="O1408" s="247" t="str">
        <f ca="1">IF(C1408="","",IF($O$11="BPS",[1]!S_STM07_BS(D1408,141,$G$5,$H$13)/IF([1]!S_SHARE_TOTAL(D1408,$G$5)=0,[1]!S_SHARE_TOTAL(D1408,[1]!s_ipo_listeddate(D1408)),[1]!S_SHARE_TOTAL(D1408,$G$5)),[1]!S_STM07_CS(D1408,49,$G$5,$H$13)/$E$5))</f>
        <v/>
      </c>
      <c r="P1408" s="247" t="str">
        <f ca="1">IF(C1408="","",IF($P$11="CFPS",[1]!S_STM07_CS(D1408,84,$G$5,$H$13)/IF([1]!S_SHARE_TOTAL(D1408,$G$5)=0,[1]!S_SHARE_TOTAL(D1408,[1]!s_ipo_listeddate(D1408)),[1]!S_SHARE_TOTAL(D1408,$G$5)),[1]!S_STM07_CS(D1408,84,$G$5,$H$13)/$E$5))</f>
        <v/>
      </c>
      <c r="Q1408" s="248" t="str">
        <f ca="1">IF(C1408="","",F1408/([1]!S_STM07_IS(D1408,61,$G$5,$H$13)/IF([1]!S_SHARE_TOTAL(D1408,$G$5)=0,[1]!S_SHARE_TOTAL(D1408,[1]!s_ipo_listeddate(D1408)),[1]!S_SHARE_TOTAL(D1408,$G$5))))</f>
        <v/>
      </c>
      <c r="R1408" s="248" t="str">
        <f ca="1">IF(C1408="","",F1408/([1]!S_STM07_BS(D1408,141,$G$5,$H$13)/IF([1]!S_SHARE_TOTAL(D1408,$G$5)=0,[1]!S_SHARE_TOTAL(D1408,[1]!s_ipo_listeddate(D1408)),[1]!S_SHARE_TOTAL(D1408,$G$5))))</f>
        <v/>
      </c>
      <c r="S1408" s="247" t="str">
        <f ca="1">IF(C1408="","",[1]!S_SHARE_TOTAL(D1408,TODAY())/$E$5)</f>
        <v/>
      </c>
      <c r="T1408" s="247" t="str">
        <f t="shared" ca="1" si="139"/>
        <v/>
      </c>
      <c r="U1408" s="218" t="str">
        <f t="shared" ca="1" si="140"/>
        <v/>
      </c>
      <c r="V1408" s="342" t="str">
        <f t="shared" ca="1" si="141"/>
        <v/>
      </c>
      <c r="W1408" s="139"/>
      <c r="Y1408" s="1"/>
    </row>
    <row r="1409" spans="3:25" ht="12" customHeight="1">
      <c r="C1409" s="343" t="str">
        <f t="shared" ca="1" si="136"/>
        <v/>
      </c>
      <c r="D1409" s="124" t="str">
        <f t="shared" ca="1" si="137"/>
        <v/>
      </c>
      <c r="E1409" s="124" t="str">
        <f t="shared" ca="1" si="138"/>
        <v/>
      </c>
      <c r="F1409" s="172" t="str">
        <f ca="1">IF(C1409="","",[1]!S_DQ_CLOSE(D1409,TODAY(),1))</f>
        <v/>
      </c>
      <c r="G1409" s="173" t="str">
        <f ca="1">IF(C1409="","",[1]!s_pq_pctchange(D1409,TODAY()-$G$12,TODAY())/100)</f>
        <v/>
      </c>
      <c r="H1409" s="249" t="str">
        <f ca="1">IF(C1409="","",IF($H$11="收入",[1]!S_STM07_IS(D1409,9,$G$5,$H$13)/$E$5,[1]!S_STM07_IS(D1409,48,$G$5,$H$13)/$E$5))</f>
        <v/>
      </c>
      <c r="I1409" s="249" t="str">
        <f ca="1">IF(C1409="","",IF($I$11="毛利率",([1]!S_STM07_IS(D1409,9,$G$5,$H$13)-[1]!S_STM07_IS(D1409,10,$G$5,$H$13))/[1]!S_STM07_IS(D1409,9,$G$5,$H$13),[1]!S_STM07_IS(D1409,14,$G$5,$H$13)/$E$5))</f>
        <v/>
      </c>
      <c r="J1409" s="249" t="str">
        <f ca="1">IF(C1409="","",IF($J$11="营业利润率",[1]!S_STM07_IS(D1409,48,$G$5,$H$13)/[1]!S_STM07_IS(D1409,9,$G$5,$H$13),([1]!S_STM07_CS(D1409,87,$G$5,$H$13)+[1]!S_STM07_CS(D1409,88,$G$5,$H$13)+[1]!S_STM07_CS(D1409,89,$G$5,$H$13))/$E$5))</f>
        <v/>
      </c>
      <c r="K1409" s="249" t="str">
        <f ca="1">IF(C1409="","",IF($K$11="净利润率",[1]!S_STM07_IS(D1409,61,$G$5,$H$13)/[1]!S_STM07_IS(D1409,9,$G$5,$H$13),[1]!S_STM07_IS(D1409,55,$G$5,$H$13)/$E$5))</f>
        <v/>
      </c>
      <c r="L1409" s="249" t="str">
        <f ca="1">IF(C1409="","",IF($L$11="ROA",[1]!S_STM07_IS(D1409,61,$G$5,$H$13)/[1]!S_STM07_BS(D1409,74,$G$5,$H$13),1-[1]!S_STM07_IS(D1409,61,$G$5,$H$13)/[1]!S_STM07_IS(D1409,55,$G$5,$H$13)))</f>
        <v/>
      </c>
      <c r="M1409" s="249" t="str">
        <f ca="1">IF(C1409="","",IF($M$11="ROE",[1]!S_STM07_IS(D1409,61,$G$5,$H$13)/[1]!S_STM07_BS(D1409,141,$G$5,$H$13),([1]!S_STM07_BS(D1409,25,$G$5,$H$13)-[1]!S_STM07_BS(D1409,93,$G$5,$H$13))/$E$5))</f>
        <v/>
      </c>
      <c r="N1409" s="250" t="str">
        <f ca="1">IF(C1409="","",IF($N$11="EPS",[1]!S_STM07_IS(D1409,61,$G$5,$H$13)/IF([1]!S_SHARE_TOTAL(D1409,$G$5)=0,[1]!S_SHARE_TOTAL(D1409,[1]!s_ipo_listeddate(D1409)),[1]!S_SHARE_TOTAL(D1409,$G$5)),([1]!S_STM07_BS(D1409,75,$G$5,$H$13)+[1]!S_STM07_BS(D1409,88,$G$5,$H$13)+[1]!S_STM07_BS(D1409,94,$G$5,$H$13)+[1]!S_STM07_BS(D1409,95,$G$5,$H$13))/$E$5))</f>
        <v/>
      </c>
      <c r="O1409" s="250" t="str">
        <f ca="1">IF(C1409="","",IF($O$11="BPS",[1]!S_STM07_BS(D1409,141,$G$5,$H$13)/IF([1]!S_SHARE_TOTAL(D1409,$G$5)=0,[1]!S_SHARE_TOTAL(D1409,[1]!s_ipo_listeddate(D1409)),[1]!S_SHARE_TOTAL(D1409,$G$5)),[1]!S_STM07_CS(D1409,49,$G$5,$H$13)/$E$5))</f>
        <v/>
      </c>
      <c r="P1409" s="250" t="str">
        <f ca="1">IF(C1409="","",IF($P$11="CFPS",[1]!S_STM07_CS(D1409,84,$G$5,$H$13)/IF([1]!S_SHARE_TOTAL(D1409,$G$5)=0,[1]!S_SHARE_TOTAL(D1409,[1]!s_ipo_listeddate(D1409)),[1]!S_SHARE_TOTAL(D1409,$G$5)),[1]!S_STM07_CS(D1409,84,$G$5,$H$13)/$E$5))</f>
        <v/>
      </c>
      <c r="Q1409" s="198" t="str">
        <f ca="1">IF(C1409="","",F1409/([1]!S_STM07_IS(D1409,61,$G$5,$H$13)/IF([1]!S_SHARE_TOTAL(D1409,$G$5)=0,[1]!S_SHARE_TOTAL(D1409,[1]!s_ipo_listeddate(D1409)),[1]!S_SHARE_TOTAL(D1409,$G$5))))</f>
        <v/>
      </c>
      <c r="R1409" s="198" t="str">
        <f ca="1">IF(C1409="","",F1409/([1]!S_STM07_BS(D1409,141,$G$5,$H$13)/IF([1]!S_SHARE_TOTAL(D1409,$G$5)=0,[1]!S_SHARE_TOTAL(D1409,[1]!s_ipo_listeddate(D1409)),[1]!S_SHARE_TOTAL(D1409,$G$5))))</f>
        <v/>
      </c>
      <c r="S1409" s="249" t="str">
        <f ca="1">IF(C1409="","",[1]!S_SHARE_TOTAL(D1409,TODAY())/$E$5)</f>
        <v/>
      </c>
      <c r="T1409" s="249" t="str">
        <f t="shared" ca="1" si="139"/>
        <v/>
      </c>
      <c r="U1409" s="172" t="str">
        <f t="shared" ca="1" si="140"/>
        <v/>
      </c>
      <c r="V1409" s="343" t="str">
        <f t="shared" ca="1" si="141"/>
        <v/>
      </c>
      <c r="W1409" s="139"/>
      <c r="Y1409" s="1"/>
    </row>
    <row r="1410" spans="3:25" ht="12" customHeight="1">
      <c r="C1410" s="342" t="str">
        <f t="shared" ca="1" si="136"/>
        <v/>
      </c>
      <c r="D1410" s="153" t="str">
        <f t="shared" ca="1" si="137"/>
        <v/>
      </c>
      <c r="E1410" s="153" t="str">
        <f t="shared" ca="1" si="138"/>
        <v/>
      </c>
      <c r="F1410" s="170" t="str">
        <f ca="1">IF(C1410="","",[1]!S_DQ_CLOSE(D1410,TODAY(),1))</f>
        <v/>
      </c>
      <c r="G1410" s="171" t="str">
        <f ca="1">IF(C1410="","",[1]!s_pq_pctchange(D1410,TODAY()-$G$12,TODAY())/100)</f>
        <v/>
      </c>
      <c r="H1410" s="247" t="str">
        <f ca="1">IF(C1410="","",IF($H$11="收入",[1]!S_STM07_IS(D1410,9,$G$5,$H$13)/$E$5,[1]!S_STM07_IS(D1410,48,$G$5,$H$13)/$E$5))</f>
        <v/>
      </c>
      <c r="I1410" s="247" t="str">
        <f ca="1">IF(C1410="","",IF($I$11="毛利率",([1]!S_STM07_IS(D1410,9,$G$5,$H$13)-[1]!S_STM07_IS(D1410,10,$G$5,$H$13))/[1]!S_STM07_IS(D1410,9,$G$5,$H$13),[1]!S_STM07_IS(D1410,14,$G$5,$H$13)/$E$5))</f>
        <v/>
      </c>
      <c r="J1410" s="247" t="str">
        <f ca="1">IF(C1410="","",IF($J$11="营业利润率",[1]!S_STM07_IS(D1410,48,$G$5,$H$13)/[1]!S_STM07_IS(D1410,9,$G$5,$H$13),([1]!S_STM07_CS(D1410,87,$G$5,$H$13)+[1]!S_STM07_CS(D1410,88,$G$5,$H$13)+[1]!S_STM07_CS(D1410,89,$G$5,$H$13))/$E$5))</f>
        <v/>
      </c>
      <c r="K1410" s="247" t="str">
        <f ca="1">IF(C1410="","",IF($K$11="净利润率",[1]!S_STM07_IS(D1410,61,$G$5,$H$13)/[1]!S_STM07_IS(D1410,9,$G$5,$H$13),[1]!S_STM07_IS(D1410,55,$G$5,$H$13)/$E$5))</f>
        <v/>
      </c>
      <c r="L1410" s="247" t="str">
        <f ca="1">IF(C1410="","",IF($L$11="ROA",[1]!S_STM07_IS(D1410,61,$G$5,$H$13)/[1]!S_STM07_BS(D1410,74,$G$5,$H$13),1-[1]!S_STM07_IS(D1410,61,$G$5,$H$13)/[1]!S_STM07_IS(D1410,55,$G$5,$H$13)))</f>
        <v/>
      </c>
      <c r="M1410" s="247" t="str">
        <f ca="1">IF(C1410="","",IF($M$11="ROE",[1]!S_STM07_IS(D1410,61,$G$5,$H$13)/[1]!S_STM07_BS(D1410,141,$G$5,$H$13),([1]!S_STM07_BS(D1410,25,$G$5,$H$13)-[1]!S_STM07_BS(D1410,93,$G$5,$H$13))/$E$5))</f>
        <v/>
      </c>
      <c r="N1410" s="247" t="str">
        <f ca="1">IF(C1410="","",IF($N$11="EPS",[1]!S_STM07_IS(D1410,61,$G$5,$H$13)/IF([1]!S_SHARE_TOTAL(D1410,$G$5)=0,[1]!S_SHARE_TOTAL(D1410,[1]!s_ipo_listeddate(D1410)),[1]!S_SHARE_TOTAL(D1410,$G$5)),([1]!S_STM07_BS(D1410,75,$G$5,$H$13)+[1]!S_STM07_BS(D1410,88,$G$5,$H$13)+[1]!S_STM07_BS(D1410,94,$G$5,$H$13)+[1]!S_STM07_BS(D1410,95,$G$5,$H$13))/$E$5))</f>
        <v/>
      </c>
      <c r="O1410" s="247" t="str">
        <f ca="1">IF(C1410="","",IF($O$11="BPS",[1]!S_STM07_BS(D1410,141,$G$5,$H$13)/IF([1]!S_SHARE_TOTAL(D1410,$G$5)=0,[1]!S_SHARE_TOTAL(D1410,[1]!s_ipo_listeddate(D1410)),[1]!S_SHARE_TOTAL(D1410,$G$5)),[1]!S_STM07_CS(D1410,49,$G$5,$H$13)/$E$5))</f>
        <v/>
      </c>
      <c r="P1410" s="247" t="str">
        <f ca="1">IF(C1410="","",IF($P$11="CFPS",[1]!S_STM07_CS(D1410,84,$G$5,$H$13)/IF([1]!S_SHARE_TOTAL(D1410,$G$5)=0,[1]!S_SHARE_TOTAL(D1410,[1]!s_ipo_listeddate(D1410)),[1]!S_SHARE_TOTAL(D1410,$G$5)),[1]!S_STM07_CS(D1410,84,$G$5,$H$13)/$E$5))</f>
        <v/>
      </c>
      <c r="Q1410" s="248" t="str">
        <f ca="1">IF(C1410="","",F1410/([1]!S_STM07_IS(D1410,61,$G$5,$H$13)/IF([1]!S_SHARE_TOTAL(D1410,$G$5)=0,[1]!S_SHARE_TOTAL(D1410,[1]!s_ipo_listeddate(D1410)),[1]!S_SHARE_TOTAL(D1410,$G$5))))</f>
        <v/>
      </c>
      <c r="R1410" s="248" t="str">
        <f ca="1">IF(C1410="","",F1410/([1]!S_STM07_BS(D1410,141,$G$5,$H$13)/IF([1]!S_SHARE_TOTAL(D1410,$G$5)=0,[1]!S_SHARE_TOTAL(D1410,[1]!s_ipo_listeddate(D1410)),[1]!S_SHARE_TOTAL(D1410,$G$5))))</f>
        <v/>
      </c>
      <c r="S1410" s="247" t="str">
        <f ca="1">IF(C1410="","",[1]!S_SHARE_TOTAL(D1410,TODAY())/$E$5)</f>
        <v/>
      </c>
      <c r="T1410" s="247" t="str">
        <f t="shared" ca="1" si="139"/>
        <v/>
      </c>
      <c r="U1410" s="218" t="str">
        <f t="shared" ca="1" si="140"/>
        <v/>
      </c>
      <c r="V1410" s="342" t="str">
        <f t="shared" ca="1" si="141"/>
        <v/>
      </c>
      <c r="W1410" s="139"/>
      <c r="Y1410" s="1"/>
    </row>
    <row r="1411" spans="3:25" ht="12" customHeight="1">
      <c r="C1411" s="343" t="str">
        <f t="shared" ca="1" si="136"/>
        <v/>
      </c>
      <c r="D1411" s="124" t="str">
        <f t="shared" ca="1" si="137"/>
        <v/>
      </c>
      <c r="E1411" s="124" t="str">
        <f t="shared" ca="1" si="138"/>
        <v/>
      </c>
      <c r="F1411" s="172" t="str">
        <f ca="1">IF(C1411="","",[1]!S_DQ_CLOSE(D1411,TODAY(),1))</f>
        <v/>
      </c>
      <c r="G1411" s="173" t="str">
        <f ca="1">IF(C1411="","",[1]!s_pq_pctchange(D1411,TODAY()-$G$12,TODAY())/100)</f>
        <v/>
      </c>
      <c r="H1411" s="249" t="str">
        <f ca="1">IF(C1411="","",IF($H$11="收入",[1]!S_STM07_IS(D1411,9,$G$5,$H$13)/$E$5,[1]!S_STM07_IS(D1411,48,$G$5,$H$13)/$E$5))</f>
        <v/>
      </c>
      <c r="I1411" s="249" t="str">
        <f ca="1">IF(C1411="","",IF($I$11="毛利率",([1]!S_STM07_IS(D1411,9,$G$5,$H$13)-[1]!S_STM07_IS(D1411,10,$G$5,$H$13))/[1]!S_STM07_IS(D1411,9,$G$5,$H$13),[1]!S_STM07_IS(D1411,14,$G$5,$H$13)/$E$5))</f>
        <v/>
      </c>
      <c r="J1411" s="249" t="str">
        <f ca="1">IF(C1411="","",IF($J$11="营业利润率",[1]!S_STM07_IS(D1411,48,$G$5,$H$13)/[1]!S_STM07_IS(D1411,9,$G$5,$H$13),([1]!S_STM07_CS(D1411,87,$G$5,$H$13)+[1]!S_STM07_CS(D1411,88,$G$5,$H$13)+[1]!S_STM07_CS(D1411,89,$G$5,$H$13))/$E$5))</f>
        <v/>
      </c>
      <c r="K1411" s="249" t="str">
        <f ca="1">IF(C1411="","",IF($K$11="净利润率",[1]!S_STM07_IS(D1411,61,$G$5,$H$13)/[1]!S_STM07_IS(D1411,9,$G$5,$H$13),[1]!S_STM07_IS(D1411,55,$G$5,$H$13)/$E$5))</f>
        <v/>
      </c>
      <c r="L1411" s="249" t="str">
        <f ca="1">IF(C1411="","",IF($L$11="ROA",[1]!S_STM07_IS(D1411,61,$G$5,$H$13)/[1]!S_STM07_BS(D1411,74,$G$5,$H$13),1-[1]!S_STM07_IS(D1411,61,$G$5,$H$13)/[1]!S_STM07_IS(D1411,55,$G$5,$H$13)))</f>
        <v/>
      </c>
      <c r="M1411" s="249" t="str">
        <f ca="1">IF(C1411="","",IF($M$11="ROE",[1]!S_STM07_IS(D1411,61,$G$5,$H$13)/[1]!S_STM07_BS(D1411,141,$G$5,$H$13),([1]!S_STM07_BS(D1411,25,$G$5,$H$13)-[1]!S_STM07_BS(D1411,93,$G$5,$H$13))/$E$5))</f>
        <v/>
      </c>
      <c r="N1411" s="250" t="str">
        <f ca="1">IF(C1411="","",IF($N$11="EPS",[1]!S_STM07_IS(D1411,61,$G$5,$H$13)/IF([1]!S_SHARE_TOTAL(D1411,$G$5)=0,[1]!S_SHARE_TOTAL(D1411,[1]!s_ipo_listeddate(D1411)),[1]!S_SHARE_TOTAL(D1411,$G$5)),([1]!S_STM07_BS(D1411,75,$G$5,$H$13)+[1]!S_STM07_BS(D1411,88,$G$5,$H$13)+[1]!S_STM07_BS(D1411,94,$G$5,$H$13)+[1]!S_STM07_BS(D1411,95,$G$5,$H$13))/$E$5))</f>
        <v/>
      </c>
      <c r="O1411" s="250" t="str">
        <f ca="1">IF(C1411="","",IF($O$11="BPS",[1]!S_STM07_BS(D1411,141,$G$5,$H$13)/IF([1]!S_SHARE_TOTAL(D1411,$G$5)=0,[1]!S_SHARE_TOTAL(D1411,[1]!s_ipo_listeddate(D1411)),[1]!S_SHARE_TOTAL(D1411,$G$5)),[1]!S_STM07_CS(D1411,49,$G$5,$H$13)/$E$5))</f>
        <v/>
      </c>
      <c r="P1411" s="250" t="str">
        <f ca="1">IF(C1411="","",IF($P$11="CFPS",[1]!S_STM07_CS(D1411,84,$G$5,$H$13)/IF([1]!S_SHARE_TOTAL(D1411,$G$5)=0,[1]!S_SHARE_TOTAL(D1411,[1]!s_ipo_listeddate(D1411)),[1]!S_SHARE_TOTAL(D1411,$G$5)),[1]!S_STM07_CS(D1411,84,$G$5,$H$13)/$E$5))</f>
        <v/>
      </c>
      <c r="Q1411" s="198" t="str">
        <f ca="1">IF(C1411="","",F1411/([1]!S_STM07_IS(D1411,61,$G$5,$H$13)/IF([1]!S_SHARE_TOTAL(D1411,$G$5)=0,[1]!S_SHARE_TOTAL(D1411,[1]!s_ipo_listeddate(D1411)),[1]!S_SHARE_TOTAL(D1411,$G$5))))</f>
        <v/>
      </c>
      <c r="R1411" s="198" t="str">
        <f ca="1">IF(C1411="","",F1411/([1]!S_STM07_BS(D1411,141,$G$5,$H$13)/IF([1]!S_SHARE_TOTAL(D1411,$G$5)=0,[1]!S_SHARE_TOTAL(D1411,[1]!s_ipo_listeddate(D1411)),[1]!S_SHARE_TOTAL(D1411,$G$5))))</f>
        <v/>
      </c>
      <c r="S1411" s="249" t="str">
        <f ca="1">IF(C1411="","",[1]!S_SHARE_TOTAL(D1411,TODAY())/$E$5)</f>
        <v/>
      </c>
      <c r="T1411" s="249" t="str">
        <f t="shared" ca="1" si="139"/>
        <v/>
      </c>
      <c r="U1411" s="172" t="str">
        <f t="shared" ca="1" si="140"/>
        <v/>
      </c>
      <c r="V1411" s="343" t="str">
        <f t="shared" ca="1" si="141"/>
        <v/>
      </c>
      <c r="W1411" s="139"/>
      <c r="Y1411" s="1"/>
    </row>
    <row r="1412" spans="3:25" ht="12" customHeight="1">
      <c r="C1412" s="342" t="str">
        <f t="shared" ca="1" si="136"/>
        <v/>
      </c>
      <c r="D1412" s="153" t="str">
        <f t="shared" ca="1" si="137"/>
        <v/>
      </c>
      <c r="E1412" s="153" t="str">
        <f t="shared" ca="1" si="138"/>
        <v/>
      </c>
      <c r="F1412" s="170" t="str">
        <f ca="1">IF(C1412="","",[1]!S_DQ_CLOSE(D1412,TODAY(),1))</f>
        <v/>
      </c>
      <c r="G1412" s="171" t="str">
        <f ca="1">IF(C1412="","",[1]!s_pq_pctchange(D1412,TODAY()-$G$12,TODAY())/100)</f>
        <v/>
      </c>
      <c r="H1412" s="247" t="str">
        <f ca="1">IF(C1412="","",IF($H$11="收入",[1]!S_STM07_IS(D1412,9,$G$5,$H$13)/$E$5,[1]!S_STM07_IS(D1412,48,$G$5,$H$13)/$E$5))</f>
        <v/>
      </c>
      <c r="I1412" s="247" t="str">
        <f ca="1">IF(C1412="","",IF($I$11="毛利率",([1]!S_STM07_IS(D1412,9,$G$5,$H$13)-[1]!S_STM07_IS(D1412,10,$G$5,$H$13))/[1]!S_STM07_IS(D1412,9,$G$5,$H$13),[1]!S_STM07_IS(D1412,14,$G$5,$H$13)/$E$5))</f>
        <v/>
      </c>
      <c r="J1412" s="247" t="str">
        <f ca="1">IF(C1412="","",IF($J$11="营业利润率",[1]!S_STM07_IS(D1412,48,$G$5,$H$13)/[1]!S_STM07_IS(D1412,9,$G$5,$H$13),([1]!S_STM07_CS(D1412,87,$G$5,$H$13)+[1]!S_STM07_CS(D1412,88,$G$5,$H$13)+[1]!S_STM07_CS(D1412,89,$G$5,$H$13))/$E$5))</f>
        <v/>
      </c>
      <c r="K1412" s="247" t="str">
        <f ca="1">IF(C1412="","",IF($K$11="净利润率",[1]!S_STM07_IS(D1412,61,$G$5,$H$13)/[1]!S_STM07_IS(D1412,9,$G$5,$H$13),[1]!S_STM07_IS(D1412,55,$G$5,$H$13)/$E$5))</f>
        <v/>
      </c>
      <c r="L1412" s="247" t="str">
        <f ca="1">IF(C1412="","",IF($L$11="ROA",[1]!S_STM07_IS(D1412,61,$G$5,$H$13)/[1]!S_STM07_BS(D1412,74,$G$5,$H$13),1-[1]!S_STM07_IS(D1412,61,$G$5,$H$13)/[1]!S_STM07_IS(D1412,55,$G$5,$H$13)))</f>
        <v/>
      </c>
      <c r="M1412" s="247" t="str">
        <f ca="1">IF(C1412="","",IF($M$11="ROE",[1]!S_STM07_IS(D1412,61,$G$5,$H$13)/[1]!S_STM07_BS(D1412,141,$G$5,$H$13),([1]!S_STM07_BS(D1412,25,$G$5,$H$13)-[1]!S_STM07_BS(D1412,93,$G$5,$H$13))/$E$5))</f>
        <v/>
      </c>
      <c r="N1412" s="247" t="str">
        <f ca="1">IF(C1412="","",IF($N$11="EPS",[1]!S_STM07_IS(D1412,61,$G$5,$H$13)/IF([1]!S_SHARE_TOTAL(D1412,$G$5)=0,[1]!S_SHARE_TOTAL(D1412,[1]!s_ipo_listeddate(D1412)),[1]!S_SHARE_TOTAL(D1412,$G$5)),([1]!S_STM07_BS(D1412,75,$G$5,$H$13)+[1]!S_STM07_BS(D1412,88,$G$5,$H$13)+[1]!S_STM07_BS(D1412,94,$G$5,$H$13)+[1]!S_STM07_BS(D1412,95,$G$5,$H$13))/$E$5))</f>
        <v/>
      </c>
      <c r="O1412" s="247" t="str">
        <f ca="1">IF(C1412="","",IF($O$11="BPS",[1]!S_STM07_BS(D1412,141,$G$5,$H$13)/IF([1]!S_SHARE_TOTAL(D1412,$G$5)=0,[1]!S_SHARE_TOTAL(D1412,[1]!s_ipo_listeddate(D1412)),[1]!S_SHARE_TOTAL(D1412,$G$5)),[1]!S_STM07_CS(D1412,49,$G$5,$H$13)/$E$5))</f>
        <v/>
      </c>
      <c r="P1412" s="247" t="str">
        <f ca="1">IF(C1412="","",IF($P$11="CFPS",[1]!S_STM07_CS(D1412,84,$G$5,$H$13)/IF([1]!S_SHARE_TOTAL(D1412,$G$5)=0,[1]!S_SHARE_TOTAL(D1412,[1]!s_ipo_listeddate(D1412)),[1]!S_SHARE_TOTAL(D1412,$G$5)),[1]!S_STM07_CS(D1412,84,$G$5,$H$13)/$E$5))</f>
        <v/>
      </c>
      <c r="Q1412" s="248" t="str">
        <f ca="1">IF(C1412="","",F1412/([1]!S_STM07_IS(D1412,61,$G$5,$H$13)/IF([1]!S_SHARE_TOTAL(D1412,$G$5)=0,[1]!S_SHARE_TOTAL(D1412,[1]!s_ipo_listeddate(D1412)),[1]!S_SHARE_TOTAL(D1412,$G$5))))</f>
        <v/>
      </c>
      <c r="R1412" s="248" t="str">
        <f ca="1">IF(C1412="","",F1412/([1]!S_STM07_BS(D1412,141,$G$5,$H$13)/IF([1]!S_SHARE_TOTAL(D1412,$G$5)=0,[1]!S_SHARE_TOTAL(D1412,[1]!s_ipo_listeddate(D1412)),[1]!S_SHARE_TOTAL(D1412,$G$5))))</f>
        <v/>
      </c>
      <c r="S1412" s="247" t="str">
        <f ca="1">IF(C1412="","",[1]!S_SHARE_TOTAL(D1412,TODAY())/$E$5)</f>
        <v/>
      </c>
      <c r="T1412" s="247" t="str">
        <f t="shared" ca="1" si="139"/>
        <v/>
      </c>
      <c r="U1412" s="218" t="str">
        <f t="shared" ca="1" si="140"/>
        <v/>
      </c>
      <c r="V1412" s="342" t="str">
        <f t="shared" ca="1" si="141"/>
        <v/>
      </c>
      <c r="W1412" s="139"/>
      <c r="Y1412" s="1"/>
    </row>
    <row r="1413" spans="3:25" ht="12" customHeight="1">
      <c r="C1413" s="343" t="str">
        <f t="shared" ca="1" si="136"/>
        <v/>
      </c>
      <c r="D1413" s="124" t="str">
        <f t="shared" ca="1" si="137"/>
        <v/>
      </c>
      <c r="E1413" s="124" t="str">
        <f t="shared" ca="1" si="138"/>
        <v/>
      </c>
      <c r="F1413" s="172" t="str">
        <f ca="1">IF(C1413="","",[1]!S_DQ_CLOSE(D1413,TODAY(),1))</f>
        <v/>
      </c>
      <c r="G1413" s="173" t="str">
        <f ca="1">IF(C1413="","",[1]!s_pq_pctchange(D1413,TODAY()-$G$12,TODAY())/100)</f>
        <v/>
      </c>
      <c r="H1413" s="249" t="str">
        <f ca="1">IF(C1413="","",IF($H$11="收入",[1]!S_STM07_IS(D1413,9,$G$5,$H$13)/$E$5,[1]!S_STM07_IS(D1413,48,$G$5,$H$13)/$E$5))</f>
        <v/>
      </c>
      <c r="I1413" s="249" t="str">
        <f ca="1">IF(C1413="","",IF($I$11="毛利率",([1]!S_STM07_IS(D1413,9,$G$5,$H$13)-[1]!S_STM07_IS(D1413,10,$G$5,$H$13))/[1]!S_STM07_IS(D1413,9,$G$5,$H$13),[1]!S_STM07_IS(D1413,14,$G$5,$H$13)/$E$5))</f>
        <v/>
      </c>
      <c r="J1413" s="249" t="str">
        <f ca="1">IF(C1413="","",IF($J$11="营业利润率",[1]!S_STM07_IS(D1413,48,$G$5,$H$13)/[1]!S_STM07_IS(D1413,9,$G$5,$H$13),([1]!S_STM07_CS(D1413,87,$G$5,$H$13)+[1]!S_STM07_CS(D1413,88,$G$5,$H$13)+[1]!S_STM07_CS(D1413,89,$G$5,$H$13))/$E$5))</f>
        <v/>
      </c>
      <c r="K1413" s="249" t="str">
        <f ca="1">IF(C1413="","",IF($K$11="净利润率",[1]!S_STM07_IS(D1413,61,$G$5,$H$13)/[1]!S_STM07_IS(D1413,9,$G$5,$H$13),[1]!S_STM07_IS(D1413,55,$G$5,$H$13)/$E$5))</f>
        <v/>
      </c>
      <c r="L1413" s="249" t="str">
        <f ca="1">IF(C1413="","",IF($L$11="ROA",[1]!S_STM07_IS(D1413,61,$G$5,$H$13)/[1]!S_STM07_BS(D1413,74,$G$5,$H$13),1-[1]!S_STM07_IS(D1413,61,$G$5,$H$13)/[1]!S_STM07_IS(D1413,55,$G$5,$H$13)))</f>
        <v/>
      </c>
      <c r="M1413" s="249" t="str">
        <f ca="1">IF(C1413="","",IF($M$11="ROE",[1]!S_STM07_IS(D1413,61,$G$5,$H$13)/[1]!S_STM07_BS(D1413,141,$G$5,$H$13),([1]!S_STM07_BS(D1413,25,$G$5,$H$13)-[1]!S_STM07_BS(D1413,93,$G$5,$H$13))/$E$5))</f>
        <v/>
      </c>
      <c r="N1413" s="250" t="str">
        <f ca="1">IF(C1413="","",IF($N$11="EPS",[1]!S_STM07_IS(D1413,61,$G$5,$H$13)/IF([1]!S_SHARE_TOTAL(D1413,$G$5)=0,[1]!S_SHARE_TOTAL(D1413,[1]!s_ipo_listeddate(D1413)),[1]!S_SHARE_TOTAL(D1413,$G$5)),([1]!S_STM07_BS(D1413,75,$G$5,$H$13)+[1]!S_STM07_BS(D1413,88,$G$5,$H$13)+[1]!S_STM07_BS(D1413,94,$G$5,$H$13)+[1]!S_STM07_BS(D1413,95,$G$5,$H$13))/$E$5))</f>
        <v/>
      </c>
      <c r="O1413" s="250" t="str">
        <f ca="1">IF(C1413="","",IF($O$11="BPS",[1]!S_STM07_BS(D1413,141,$G$5,$H$13)/IF([1]!S_SHARE_TOTAL(D1413,$G$5)=0,[1]!S_SHARE_TOTAL(D1413,[1]!s_ipo_listeddate(D1413)),[1]!S_SHARE_TOTAL(D1413,$G$5)),[1]!S_STM07_CS(D1413,49,$G$5,$H$13)/$E$5))</f>
        <v/>
      </c>
      <c r="P1413" s="250" t="str">
        <f ca="1">IF(C1413="","",IF($P$11="CFPS",[1]!S_STM07_CS(D1413,84,$G$5,$H$13)/IF([1]!S_SHARE_TOTAL(D1413,$G$5)=0,[1]!S_SHARE_TOTAL(D1413,[1]!s_ipo_listeddate(D1413)),[1]!S_SHARE_TOTAL(D1413,$G$5)),[1]!S_STM07_CS(D1413,84,$G$5,$H$13)/$E$5))</f>
        <v/>
      </c>
      <c r="Q1413" s="198" t="str">
        <f ca="1">IF(C1413="","",F1413/([1]!S_STM07_IS(D1413,61,$G$5,$H$13)/IF([1]!S_SHARE_TOTAL(D1413,$G$5)=0,[1]!S_SHARE_TOTAL(D1413,[1]!s_ipo_listeddate(D1413)),[1]!S_SHARE_TOTAL(D1413,$G$5))))</f>
        <v/>
      </c>
      <c r="R1413" s="198" t="str">
        <f ca="1">IF(C1413="","",F1413/([1]!S_STM07_BS(D1413,141,$G$5,$H$13)/IF([1]!S_SHARE_TOTAL(D1413,$G$5)=0,[1]!S_SHARE_TOTAL(D1413,[1]!s_ipo_listeddate(D1413)),[1]!S_SHARE_TOTAL(D1413,$G$5))))</f>
        <v/>
      </c>
      <c r="S1413" s="249" t="str">
        <f ca="1">IF(C1413="","",[1]!S_SHARE_TOTAL(D1413,TODAY())/$E$5)</f>
        <v/>
      </c>
      <c r="T1413" s="249" t="str">
        <f t="shared" ca="1" si="139"/>
        <v/>
      </c>
      <c r="U1413" s="172" t="str">
        <f t="shared" ca="1" si="140"/>
        <v/>
      </c>
      <c r="V1413" s="343" t="str">
        <f t="shared" ca="1" si="141"/>
        <v/>
      </c>
      <c r="W1413" s="139"/>
      <c r="Y1413" s="1"/>
    </row>
    <row r="1414" spans="3:25" ht="12" customHeight="1">
      <c r="C1414" s="342" t="str">
        <f t="shared" ca="1" si="136"/>
        <v/>
      </c>
      <c r="D1414" s="153" t="str">
        <f t="shared" ca="1" si="137"/>
        <v/>
      </c>
      <c r="E1414" s="153" t="str">
        <f t="shared" ca="1" si="138"/>
        <v/>
      </c>
      <c r="F1414" s="170" t="str">
        <f ca="1">IF(C1414="","",[1]!S_DQ_CLOSE(D1414,TODAY(),1))</f>
        <v/>
      </c>
      <c r="G1414" s="171" t="str">
        <f ca="1">IF(C1414="","",[1]!s_pq_pctchange(D1414,TODAY()-$G$12,TODAY())/100)</f>
        <v/>
      </c>
      <c r="H1414" s="247" t="str">
        <f ca="1">IF(C1414="","",IF($H$11="收入",[1]!S_STM07_IS(D1414,9,$G$5,$H$13)/$E$5,[1]!S_STM07_IS(D1414,48,$G$5,$H$13)/$E$5))</f>
        <v/>
      </c>
      <c r="I1414" s="247" t="str">
        <f ca="1">IF(C1414="","",IF($I$11="毛利率",([1]!S_STM07_IS(D1414,9,$G$5,$H$13)-[1]!S_STM07_IS(D1414,10,$G$5,$H$13))/[1]!S_STM07_IS(D1414,9,$G$5,$H$13),[1]!S_STM07_IS(D1414,14,$G$5,$H$13)/$E$5))</f>
        <v/>
      </c>
      <c r="J1414" s="247" t="str">
        <f ca="1">IF(C1414="","",IF($J$11="营业利润率",[1]!S_STM07_IS(D1414,48,$G$5,$H$13)/[1]!S_STM07_IS(D1414,9,$G$5,$H$13),([1]!S_STM07_CS(D1414,87,$G$5,$H$13)+[1]!S_STM07_CS(D1414,88,$G$5,$H$13)+[1]!S_STM07_CS(D1414,89,$G$5,$H$13))/$E$5))</f>
        <v/>
      </c>
      <c r="K1414" s="247" t="str">
        <f ca="1">IF(C1414="","",IF($K$11="净利润率",[1]!S_STM07_IS(D1414,61,$G$5,$H$13)/[1]!S_STM07_IS(D1414,9,$G$5,$H$13),[1]!S_STM07_IS(D1414,55,$G$5,$H$13)/$E$5))</f>
        <v/>
      </c>
      <c r="L1414" s="247" t="str">
        <f ca="1">IF(C1414="","",IF($L$11="ROA",[1]!S_STM07_IS(D1414,61,$G$5,$H$13)/[1]!S_STM07_BS(D1414,74,$G$5,$H$13),1-[1]!S_STM07_IS(D1414,61,$G$5,$H$13)/[1]!S_STM07_IS(D1414,55,$G$5,$H$13)))</f>
        <v/>
      </c>
      <c r="M1414" s="247" t="str">
        <f ca="1">IF(C1414="","",IF($M$11="ROE",[1]!S_STM07_IS(D1414,61,$G$5,$H$13)/[1]!S_STM07_BS(D1414,141,$G$5,$H$13),([1]!S_STM07_BS(D1414,25,$G$5,$H$13)-[1]!S_STM07_BS(D1414,93,$G$5,$H$13))/$E$5))</f>
        <v/>
      </c>
      <c r="N1414" s="247" t="str">
        <f ca="1">IF(C1414="","",IF($N$11="EPS",[1]!S_STM07_IS(D1414,61,$G$5,$H$13)/IF([1]!S_SHARE_TOTAL(D1414,$G$5)=0,[1]!S_SHARE_TOTAL(D1414,[1]!s_ipo_listeddate(D1414)),[1]!S_SHARE_TOTAL(D1414,$G$5)),([1]!S_STM07_BS(D1414,75,$G$5,$H$13)+[1]!S_STM07_BS(D1414,88,$G$5,$H$13)+[1]!S_STM07_BS(D1414,94,$G$5,$H$13)+[1]!S_STM07_BS(D1414,95,$G$5,$H$13))/$E$5))</f>
        <v/>
      </c>
      <c r="O1414" s="247" t="str">
        <f ca="1">IF(C1414="","",IF($O$11="BPS",[1]!S_STM07_BS(D1414,141,$G$5,$H$13)/IF([1]!S_SHARE_TOTAL(D1414,$G$5)=0,[1]!S_SHARE_TOTAL(D1414,[1]!s_ipo_listeddate(D1414)),[1]!S_SHARE_TOTAL(D1414,$G$5)),[1]!S_STM07_CS(D1414,49,$G$5,$H$13)/$E$5))</f>
        <v/>
      </c>
      <c r="P1414" s="247" t="str">
        <f ca="1">IF(C1414="","",IF($P$11="CFPS",[1]!S_STM07_CS(D1414,84,$G$5,$H$13)/IF([1]!S_SHARE_TOTAL(D1414,$G$5)=0,[1]!S_SHARE_TOTAL(D1414,[1]!s_ipo_listeddate(D1414)),[1]!S_SHARE_TOTAL(D1414,$G$5)),[1]!S_STM07_CS(D1414,84,$G$5,$H$13)/$E$5))</f>
        <v/>
      </c>
      <c r="Q1414" s="248" t="str">
        <f ca="1">IF(C1414="","",F1414/([1]!S_STM07_IS(D1414,61,$G$5,$H$13)/IF([1]!S_SHARE_TOTAL(D1414,$G$5)=0,[1]!S_SHARE_TOTAL(D1414,[1]!s_ipo_listeddate(D1414)),[1]!S_SHARE_TOTAL(D1414,$G$5))))</f>
        <v/>
      </c>
      <c r="R1414" s="248" t="str">
        <f ca="1">IF(C1414="","",F1414/([1]!S_STM07_BS(D1414,141,$G$5,$H$13)/IF([1]!S_SHARE_TOTAL(D1414,$G$5)=0,[1]!S_SHARE_TOTAL(D1414,[1]!s_ipo_listeddate(D1414)),[1]!S_SHARE_TOTAL(D1414,$G$5))))</f>
        <v/>
      </c>
      <c r="S1414" s="247" t="str">
        <f ca="1">IF(C1414="","",[1]!S_SHARE_TOTAL(D1414,TODAY())/$E$5)</f>
        <v/>
      </c>
      <c r="T1414" s="247" t="str">
        <f t="shared" ca="1" si="139"/>
        <v/>
      </c>
      <c r="U1414" s="218" t="str">
        <f t="shared" ca="1" si="140"/>
        <v/>
      </c>
      <c r="V1414" s="342" t="str">
        <f t="shared" ca="1" si="141"/>
        <v/>
      </c>
      <c r="W1414" s="139"/>
      <c r="Y1414" s="1"/>
    </row>
    <row r="1415" spans="3:25" ht="12" customHeight="1">
      <c r="C1415" s="343" t="str">
        <f t="shared" ca="1" si="136"/>
        <v/>
      </c>
      <c r="D1415" s="124" t="str">
        <f t="shared" ca="1" si="137"/>
        <v/>
      </c>
      <c r="E1415" s="124" t="str">
        <f t="shared" ca="1" si="138"/>
        <v/>
      </c>
      <c r="F1415" s="172" t="str">
        <f ca="1">IF(C1415="","",[1]!S_DQ_CLOSE(D1415,TODAY(),1))</f>
        <v/>
      </c>
      <c r="G1415" s="173" t="str">
        <f ca="1">IF(C1415="","",[1]!s_pq_pctchange(D1415,TODAY()-$G$12,TODAY())/100)</f>
        <v/>
      </c>
      <c r="H1415" s="249" t="str">
        <f ca="1">IF(C1415="","",IF($H$11="收入",[1]!S_STM07_IS(D1415,9,$G$5,$H$13)/$E$5,[1]!S_STM07_IS(D1415,48,$G$5,$H$13)/$E$5))</f>
        <v/>
      </c>
      <c r="I1415" s="249" t="str">
        <f ca="1">IF(C1415="","",IF($I$11="毛利率",([1]!S_STM07_IS(D1415,9,$G$5,$H$13)-[1]!S_STM07_IS(D1415,10,$G$5,$H$13))/[1]!S_STM07_IS(D1415,9,$G$5,$H$13),[1]!S_STM07_IS(D1415,14,$G$5,$H$13)/$E$5))</f>
        <v/>
      </c>
      <c r="J1415" s="249" t="str">
        <f ca="1">IF(C1415="","",IF($J$11="营业利润率",[1]!S_STM07_IS(D1415,48,$G$5,$H$13)/[1]!S_STM07_IS(D1415,9,$G$5,$H$13),([1]!S_STM07_CS(D1415,87,$G$5,$H$13)+[1]!S_STM07_CS(D1415,88,$G$5,$H$13)+[1]!S_STM07_CS(D1415,89,$G$5,$H$13))/$E$5))</f>
        <v/>
      </c>
      <c r="K1415" s="249" t="str">
        <f ca="1">IF(C1415="","",IF($K$11="净利润率",[1]!S_STM07_IS(D1415,61,$G$5,$H$13)/[1]!S_STM07_IS(D1415,9,$G$5,$H$13),[1]!S_STM07_IS(D1415,55,$G$5,$H$13)/$E$5))</f>
        <v/>
      </c>
      <c r="L1415" s="249" t="str">
        <f ca="1">IF(C1415="","",IF($L$11="ROA",[1]!S_STM07_IS(D1415,61,$G$5,$H$13)/[1]!S_STM07_BS(D1415,74,$G$5,$H$13),1-[1]!S_STM07_IS(D1415,61,$G$5,$H$13)/[1]!S_STM07_IS(D1415,55,$G$5,$H$13)))</f>
        <v/>
      </c>
      <c r="M1415" s="249" t="str">
        <f ca="1">IF(C1415="","",IF($M$11="ROE",[1]!S_STM07_IS(D1415,61,$G$5,$H$13)/[1]!S_STM07_BS(D1415,141,$G$5,$H$13),([1]!S_STM07_BS(D1415,25,$G$5,$H$13)-[1]!S_STM07_BS(D1415,93,$G$5,$H$13))/$E$5))</f>
        <v/>
      </c>
      <c r="N1415" s="250" t="str">
        <f ca="1">IF(C1415="","",IF($N$11="EPS",[1]!S_STM07_IS(D1415,61,$G$5,$H$13)/IF([1]!S_SHARE_TOTAL(D1415,$G$5)=0,[1]!S_SHARE_TOTAL(D1415,[1]!s_ipo_listeddate(D1415)),[1]!S_SHARE_TOTAL(D1415,$G$5)),([1]!S_STM07_BS(D1415,75,$G$5,$H$13)+[1]!S_STM07_BS(D1415,88,$G$5,$H$13)+[1]!S_STM07_BS(D1415,94,$G$5,$H$13)+[1]!S_STM07_BS(D1415,95,$G$5,$H$13))/$E$5))</f>
        <v/>
      </c>
      <c r="O1415" s="250" t="str">
        <f ca="1">IF(C1415="","",IF($O$11="BPS",[1]!S_STM07_BS(D1415,141,$G$5,$H$13)/IF([1]!S_SHARE_TOTAL(D1415,$G$5)=0,[1]!S_SHARE_TOTAL(D1415,[1]!s_ipo_listeddate(D1415)),[1]!S_SHARE_TOTAL(D1415,$G$5)),[1]!S_STM07_CS(D1415,49,$G$5,$H$13)/$E$5))</f>
        <v/>
      </c>
      <c r="P1415" s="250" t="str">
        <f ca="1">IF(C1415="","",IF($P$11="CFPS",[1]!S_STM07_CS(D1415,84,$G$5,$H$13)/IF([1]!S_SHARE_TOTAL(D1415,$G$5)=0,[1]!S_SHARE_TOTAL(D1415,[1]!s_ipo_listeddate(D1415)),[1]!S_SHARE_TOTAL(D1415,$G$5)),[1]!S_STM07_CS(D1415,84,$G$5,$H$13)/$E$5))</f>
        <v/>
      </c>
      <c r="Q1415" s="198" t="str">
        <f ca="1">IF(C1415="","",F1415/([1]!S_STM07_IS(D1415,61,$G$5,$H$13)/IF([1]!S_SHARE_TOTAL(D1415,$G$5)=0,[1]!S_SHARE_TOTAL(D1415,[1]!s_ipo_listeddate(D1415)),[1]!S_SHARE_TOTAL(D1415,$G$5))))</f>
        <v/>
      </c>
      <c r="R1415" s="198" t="str">
        <f ca="1">IF(C1415="","",F1415/([1]!S_STM07_BS(D1415,141,$G$5,$H$13)/IF([1]!S_SHARE_TOTAL(D1415,$G$5)=0,[1]!S_SHARE_TOTAL(D1415,[1]!s_ipo_listeddate(D1415)),[1]!S_SHARE_TOTAL(D1415,$G$5))))</f>
        <v/>
      </c>
      <c r="S1415" s="249" t="str">
        <f ca="1">IF(C1415="","",[1]!S_SHARE_TOTAL(D1415,TODAY())/$E$5)</f>
        <v/>
      </c>
      <c r="T1415" s="249" t="str">
        <f t="shared" ca="1" si="139"/>
        <v/>
      </c>
      <c r="U1415" s="172" t="str">
        <f t="shared" ca="1" si="140"/>
        <v/>
      </c>
      <c r="V1415" s="343" t="str">
        <f t="shared" ca="1" si="141"/>
        <v/>
      </c>
      <c r="W1415" s="139"/>
      <c r="Y1415" s="1"/>
    </row>
    <row r="1416" spans="3:25" ht="12" customHeight="1">
      <c r="C1416" s="342" t="str">
        <f t="shared" ca="1" si="136"/>
        <v/>
      </c>
      <c r="D1416" s="153" t="str">
        <f t="shared" ca="1" si="137"/>
        <v/>
      </c>
      <c r="E1416" s="153" t="str">
        <f t="shared" ca="1" si="138"/>
        <v/>
      </c>
      <c r="F1416" s="170" t="str">
        <f ca="1">IF(C1416="","",[1]!S_DQ_CLOSE(D1416,TODAY(),1))</f>
        <v/>
      </c>
      <c r="G1416" s="171" t="str">
        <f ca="1">IF(C1416="","",[1]!s_pq_pctchange(D1416,TODAY()-$G$12,TODAY())/100)</f>
        <v/>
      </c>
      <c r="H1416" s="247" t="str">
        <f ca="1">IF(C1416="","",IF($H$11="收入",[1]!S_STM07_IS(D1416,9,$G$5,$H$13)/$E$5,[1]!S_STM07_IS(D1416,48,$G$5,$H$13)/$E$5))</f>
        <v/>
      </c>
      <c r="I1416" s="247" t="str">
        <f ca="1">IF(C1416="","",IF($I$11="毛利率",([1]!S_STM07_IS(D1416,9,$G$5,$H$13)-[1]!S_STM07_IS(D1416,10,$G$5,$H$13))/[1]!S_STM07_IS(D1416,9,$G$5,$H$13),[1]!S_STM07_IS(D1416,14,$G$5,$H$13)/$E$5))</f>
        <v/>
      </c>
      <c r="J1416" s="247" t="str">
        <f ca="1">IF(C1416="","",IF($J$11="营业利润率",[1]!S_STM07_IS(D1416,48,$G$5,$H$13)/[1]!S_STM07_IS(D1416,9,$G$5,$H$13),([1]!S_STM07_CS(D1416,87,$G$5,$H$13)+[1]!S_STM07_CS(D1416,88,$G$5,$H$13)+[1]!S_STM07_CS(D1416,89,$G$5,$H$13))/$E$5))</f>
        <v/>
      </c>
      <c r="K1416" s="247" t="str">
        <f ca="1">IF(C1416="","",IF($K$11="净利润率",[1]!S_STM07_IS(D1416,61,$G$5,$H$13)/[1]!S_STM07_IS(D1416,9,$G$5,$H$13),[1]!S_STM07_IS(D1416,55,$G$5,$H$13)/$E$5))</f>
        <v/>
      </c>
      <c r="L1416" s="247" t="str">
        <f ca="1">IF(C1416="","",IF($L$11="ROA",[1]!S_STM07_IS(D1416,61,$G$5,$H$13)/[1]!S_STM07_BS(D1416,74,$G$5,$H$13),1-[1]!S_STM07_IS(D1416,61,$G$5,$H$13)/[1]!S_STM07_IS(D1416,55,$G$5,$H$13)))</f>
        <v/>
      </c>
      <c r="M1416" s="247" t="str">
        <f ca="1">IF(C1416="","",IF($M$11="ROE",[1]!S_STM07_IS(D1416,61,$G$5,$H$13)/[1]!S_STM07_BS(D1416,141,$G$5,$H$13),([1]!S_STM07_BS(D1416,25,$G$5,$H$13)-[1]!S_STM07_BS(D1416,93,$G$5,$H$13))/$E$5))</f>
        <v/>
      </c>
      <c r="N1416" s="247" t="str">
        <f ca="1">IF(C1416="","",IF($N$11="EPS",[1]!S_STM07_IS(D1416,61,$G$5,$H$13)/IF([1]!S_SHARE_TOTAL(D1416,$G$5)=0,[1]!S_SHARE_TOTAL(D1416,[1]!s_ipo_listeddate(D1416)),[1]!S_SHARE_TOTAL(D1416,$G$5)),([1]!S_STM07_BS(D1416,75,$G$5,$H$13)+[1]!S_STM07_BS(D1416,88,$G$5,$H$13)+[1]!S_STM07_BS(D1416,94,$G$5,$H$13)+[1]!S_STM07_BS(D1416,95,$G$5,$H$13))/$E$5))</f>
        <v/>
      </c>
      <c r="O1416" s="247" t="str">
        <f ca="1">IF(C1416="","",IF($O$11="BPS",[1]!S_STM07_BS(D1416,141,$G$5,$H$13)/IF([1]!S_SHARE_TOTAL(D1416,$G$5)=0,[1]!S_SHARE_TOTAL(D1416,[1]!s_ipo_listeddate(D1416)),[1]!S_SHARE_TOTAL(D1416,$G$5)),[1]!S_STM07_CS(D1416,49,$G$5,$H$13)/$E$5))</f>
        <v/>
      </c>
      <c r="P1416" s="247" t="str">
        <f ca="1">IF(C1416="","",IF($P$11="CFPS",[1]!S_STM07_CS(D1416,84,$G$5,$H$13)/IF([1]!S_SHARE_TOTAL(D1416,$G$5)=0,[1]!S_SHARE_TOTAL(D1416,[1]!s_ipo_listeddate(D1416)),[1]!S_SHARE_TOTAL(D1416,$G$5)),[1]!S_STM07_CS(D1416,84,$G$5,$H$13)/$E$5))</f>
        <v/>
      </c>
      <c r="Q1416" s="248" t="str">
        <f ca="1">IF(C1416="","",F1416/([1]!S_STM07_IS(D1416,61,$G$5,$H$13)/IF([1]!S_SHARE_TOTAL(D1416,$G$5)=0,[1]!S_SHARE_TOTAL(D1416,[1]!s_ipo_listeddate(D1416)),[1]!S_SHARE_TOTAL(D1416,$G$5))))</f>
        <v/>
      </c>
      <c r="R1416" s="248" t="str">
        <f ca="1">IF(C1416="","",F1416/([1]!S_STM07_BS(D1416,141,$G$5,$H$13)/IF([1]!S_SHARE_TOTAL(D1416,$G$5)=0,[1]!S_SHARE_TOTAL(D1416,[1]!s_ipo_listeddate(D1416)),[1]!S_SHARE_TOTAL(D1416,$G$5))))</f>
        <v/>
      </c>
      <c r="S1416" s="247" t="str">
        <f ca="1">IF(C1416="","",[1]!S_SHARE_TOTAL(D1416,TODAY())/$E$5)</f>
        <v/>
      </c>
      <c r="T1416" s="247" t="str">
        <f t="shared" ca="1" si="139"/>
        <v/>
      </c>
      <c r="U1416" s="218" t="str">
        <f t="shared" ca="1" si="140"/>
        <v/>
      </c>
      <c r="V1416" s="342" t="str">
        <f t="shared" ca="1" si="141"/>
        <v/>
      </c>
      <c r="W1416" s="139"/>
      <c r="Y1416" s="1"/>
    </row>
    <row r="1417" spans="3:25" ht="12" customHeight="1">
      <c r="C1417" s="343" t="str">
        <f t="shared" ca="1" si="136"/>
        <v/>
      </c>
      <c r="D1417" s="124" t="str">
        <f t="shared" ca="1" si="137"/>
        <v/>
      </c>
      <c r="E1417" s="124" t="str">
        <f t="shared" ca="1" si="138"/>
        <v/>
      </c>
      <c r="F1417" s="172" t="str">
        <f ca="1">IF(C1417="","",[1]!S_DQ_CLOSE(D1417,TODAY(),1))</f>
        <v/>
      </c>
      <c r="G1417" s="173" t="str">
        <f ca="1">IF(C1417="","",[1]!s_pq_pctchange(D1417,TODAY()-$G$12,TODAY())/100)</f>
        <v/>
      </c>
      <c r="H1417" s="249" t="str">
        <f ca="1">IF(C1417="","",IF($H$11="收入",[1]!S_STM07_IS(D1417,9,$G$5,$H$13)/$E$5,[1]!S_STM07_IS(D1417,48,$G$5,$H$13)/$E$5))</f>
        <v/>
      </c>
      <c r="I1417" s="249" t="str">
        <f ca="1">IF(C1417="","",IF($I$11="毛利率",([1]!S_STM07_IS(D1417,9,$G$5,$H$13)-[1]!S_STM07_IS(D1417,10,$G$5,$H$13))/[1]!S_STM07_IS(D1417,9,$G$5,$H$13),[1]!S_STM07_IS(D1417,14,$G$5,$H$13)/$E$5))</f>
        <v/>
      </c>
      <c r="J1417" s="249" t="str">
        <f ca="1">IF(C1417="","",IF($J$11="营业利润率",[1]!S_STM07_IS(D1417,48,$G$5,$H$13)/[1]!S_STM07_IS(D1417,9,$G$5,$H$13),([1]!S_STM07_CS(D1417,87,$G$5,$H$13)+[1]!S_STM07_CS(D1417,88,$G$5,$H$13)+[1]!S_STM07_CS(D1417,89,$G$5,$H$13))/$E$5))</f>
        <v/>
      </c>
      <c r="K1417" s="249" t="str">
        <f ca="1">IF(C1417="","",IF($K$11="净利润率",[1]!S_STM07_IS(D1417,61,$G$5,$H$13)/[1]!S_STM07_IS(D1417,9,$G$5,$H$13),[1]!S_STM07_IS(D1417,55,$G$5,$H$13)/$E$5))</f>
        <v/>
      </c>
      <c r="L1417" s="249" t="str">
        <f ca="1">IF(C1417="","",IF($L$11="ROA",[1]!S_STM07_IS(D1417,61,$G$5,$H$13)/[1]!S_STM07_BS(D1417,74,$G$5,$H$13),1-[1]!S_STM07_IS(D1417,61,$G$5,$H$13)/[1]!S_STM07_IS(D1417,55,$G$5,$H$13)))</f>
        <v/>
      </c>
      <c r="M1417" s="249" t="str">
        <f ca="1">IF(C1417="","",IF($M$11="ROE",[1]!S_STM07_IS(D1417,61,$G$5,$H$13)/[1]!S_STM07_BS(D1417,141,$G$5,$H$13),([1]!S_STM07_BS(D1417,25,$G$5,$H$13)-[1]!S_STM07_BS(D1417,93,$G$5,$H$13))/$E$5))</f>
        <v/>
      </c>
      <c r="N1417" s="250" t="str">
        <f ca="1">IF(C1417="","",IF($N$11="EPS",[1]!S_STM07_IS(D1417,61,$G$5,$H$13)/IF([1]!S_SHARE_TOTAL(D1417,$G$5)=0,[1]!S_SHARE_TOTAL(D1417,[1]!s_ipo_listeddate(D1417)),[1]!S_SHARE_TOTAL(D1417,$G$5)),([1]!S_STM07_BS(D1417,75,$G$5,$H$13)+[1]!S_STM07_BS(D1417,88,$G$5,$H$13)+[1]!S_STM07_BS(D1417,94,$G$5,$H$13)+[1]!S_STM07_BS(D1417,95,$G$5,$H$13))/$E$5))</f>
        <v/>
      </c>
      <c r="O1417" s="250" t="str">
        <f ca="1">IF(C1417="","",IF($O$11="BPS",[1]!S_STM07_BS(D1417,141,$G$5,$H$13)/IF([1]!S_SHARE_TOTAL(D1417,$G$5)=0,[1]!S_SHARE_TOTAL(D1417,[1]!s_ipo_listeddate(D1417)),[1]!S_SHARE_TOTAL(D1417,$G$5)),[1]!S_STM07_CS(D1417,49,$G$5,$H$13)/$E$5))</f>
        <v/>
      </c>
      <c r="P1417" s="250" t="str">
        <f ca="1">IF(C1417="","",IF($P$11="CFPS",[1]!S_STM07_CS(D1417,84,$G$5,$H$13)/IF([1]!S_SHARE_TOTAL(D1417,$G$5)=0,[1]!S_SHARE_TOTAL(D1417,[1]!s_ipo_listeddate(D1417)),[1]!S_SHARE_TOTAL(D1417,$G$5)),[1]!S_STM07_CS(D1417,84,$G$5,$H$13)/$E$5))</f>
        <v/>
      </c>
      <c r="Q1417" s="198" t="str">
        <f ca="1">IF(C1417="","",F1417/([1]!S_STM07_IS(D1417,61,$G$5,$H$13)/IF([1]!S_SHARE_TOTAL(D1417,$G$5)=0,[1]!S_SHARE_TOTAL(D1417,[1]!s_ipo_listeddate(D1417)),[1]!S_SHARE_TOTAL(D1417,$G$5))))</f>
        <v/>
      </c>
      <c r="R1417" s="198" t="str">
        <f ca="1">IF(C1417="","",F1417/([1]!S_STM07_BS(D1417,141,$G$5,$H$13)/IF([1]!S_SHARE_TOTAL(D1417,$G$5)=0,[1]!S_SHARE_TOTAL(D1417,[1]!s_ipo_listeddate(D1417)),[1]!S_SHARE_TOTAL(D1417,$G$5))))</f>
        <v/>
      </c>
      <c r="S1417" s="249" t="str">
        <f ca="1">IF(C1417="","",[1]!S_SHARE_TOTAL(D1417,TODAY())/$E$5)</f>
        <v/>
      </c>
      <c r="T1417" s="249" t="str">
        <f t="shared" ca="1" si="139"/>
        <v/>
      </c>
      <c r="U1417" s="172" t="str">
        <f t="shared" ca="1" si="140"/>
        <v/>
      </c>
      <c r="V1417" s="343" t="str">
        <f t="shared" ca="1" si="141"/>
        <v/>
      </c>
      <c r="W1417" s="139"/>
      <c r="Y1417" s="1"/>
    </row>
    <row r="1418" spans="3:25" ht="12" customHeight="1">
      <c r="C1418" s="342" t="str">
        <f t="shared" ca="1" si="136"/>
        <v/>
      </c>
      <c r="D1418" s="153" t="str">
        <f t="shared" ca="1" si="137"/>
        <v/>
      </c>
      <c r="E1418" s="153" t="str">
        <f t="shared" ca="1" si="138"/>
        <v/>
      </c>
      <c r="F1418" s="170" t="str">
        <f ca="1">IF(C1418="","",[1]!S_DQ_CLOSE(D1418,TODAY(),1))</f>
        <v/>
      </c>
      <c r="G1418" s="171" t="str">
        <f ca="1">IF(C1418="","",[1]!s_pq_pctchange(D1418,TODAY()-$G$12,TODAY())/100)</f>
        <v/>
      </c>
      <c r="H1418" s="247" t="str">
        <f ca="1">IF(C1418="","",IF($H$11="收入",[1]!S_STM07_IS(D1418,9,$G$5,$H$13)/$E$5,[1]!S_STM07_IS(D1418,48,$G$5,$H$13)/$E$5))</f>
        <v/>
      </c>
      <c r="I1418" s="247" t="str">
        <f ca="1">IF(C1418="","",IF($I$11="毛利率",([1]!S_STM07_IS(D1418,9,$G$5,$H$13)-[1]!S_STM07_IS(D1418,10,$G$5,$H$13))/[1]!S_STM07_IS(D1418,9,$G$5,$H$13),[1]!S_STM07_IS(D1418,14,$G$5,$H$13)/$E$5))</f>
        <v/>
      </c>
      <c r="J1418" s="247" t="str">
        <f ca="1">IF(C1418="","",IF($J$11="营业利润率",[1]!S_STM07_IS(D1418,48,$G$5,$H$13)/[1]!S_STM07_IS(D1418,9,$G$5,$H$13),([1]!S_STM07_CS(D1418,87,$G$5,$H$13)+[1]!S_STM07_CS(D1418,88,$G$5,$H$13)+[1]!S_STM07_CS(D1418,89,$G$5,$H$13))/$E$5))</f>
        <v/>
      </c>
      <c r="K1418" s="247" t="str">
        <f ca="1">IF(C1418="","",IF($K$11="净利润率",[1]!S_STM07_IS(D1418,61,$G$5,$H$13)/[1]!S_STM07_IS(D1418,9,$G$5,$H$13),[1]!S_STM07_IS(D1418,55,$G$5,$H$13)/$E$5))</f>
        <v/>
      </c>
      <c r="L1418" s="247" t="str">
        <f ca="1">IF(C1418="","",IF($L$11="ROA",[1]!S_STM07_IS(D1418,61,$G$5,$H$13)/[1]!S_STM07_BS(D1418,74,$G$5,$H$13),1-[1]!S_STM07_IS(D1418,61,$G$5,$H$13)/[1]!S_STM07_IS(D1418,55,$G$5,$H$13)))</f>
        <v/>
      </c>
      <c r="M1418" s="247" t="str">
        <f ca="1">IF(C1418="","",IF($M$11="ROE",[1]!S_STM07_IS(D1418,61,$G$5,$H$13)/[1]!S_STM07_BS(D1418,141,$G$5,$H$13),([1]!S_STM07_BS(D1418,25,$G$5,$H$13)-[1]!S_STM07_BS(D1418,93,$G$5,$H$13))/$E$5))</f>
        <v/>
      </c>
      <c r="N1418" s="247" t="str">
        <f ca="1">IF(C1418="","",IF($N$11="EPS",[1]!S_STM07_IS(D1418,61,$G$5,$H$13)/IF([1]!S_SHARE_TOTAL(D1418,$G$5)=0,[1]!S_SHARE_TOTAL(D1418,[1]!s_ipo_listeddate(D1418)),[1]!S_SHARE_TOTAL(D1418,$G$5)),([1]!S_STM07_BS(D1418,75,$G$5,$H$13)+[1]!S_STM07_BS(D1418,88,$G$5,$H$13)+[1]!S_STM07_BS(D1418,94,$G$5,$H$13)+[1]!S_STM07_BS(D1418,95,$G$5,$H$13))/$E$5))</f>
        <v/>
      </c>
      <c r="O1418" s="247" t="str">
        <f ca="1">IF(C1418="","",IF($O$11="BPS",[1]!S_STM07_BS(D1418,141,$G$5,$H$13)/IF([1]!S_SHARE_TOTAL(D1418,$G$5)=0,[1]!S_SHARE_TOTAL(D1418,[1]!s_ipo_listeddate(D1418)),[1]!S_SHARE_TOTAL(D1418,$G$5)),[1]!S_STM07_CS(D1418,49,$G$5,$H$13)/$E$5))</f>
        <v/>
      </c>
      <c r="P1418" s="247" t="str">
        <f ca="1">IF(C1418="","",IF($P$11="CFPS",[1]!S_STM07_CS(D1418,84,$G$5,$H$13)/IF([1]!S_SHARE_TOTAL(D1418,$G$5)=0,[1]!S_SHARE_TOTAL(D1418,[1]!s_ipo_listeddate(D1418)),[1]!S_SHARE_TOTAL(D1418,$G$5)),[1]!S_STM07_CS(D1418,84,$G$5,$H$13)/$E$5))</f>
        <v/>
      </c>
      <c r="Q1418" s="248" t="str">
        <f ca="1">IF(C1418="","",F1418/([1]!S_STM07_IS(D1418,61,$G$5,$H$13)/IF([1]!S_SHARE_TOTAL(D1418,$G$5)=0,[1]!S_SHARE_TOTAL(D1418,[1]!s_ipo_listeddate(D1418)),[1]!S_SHARE_TOTAL(D1418,$G$5))))</f>
        <v/>
      </c>
      <c r="R1418" s="248" t="str">
        <f ca="1">IF(C1418="","",F1418/([1]!S_STM07_BS(D1418,141,$G$5,$H$13)/IF([1]!S_SHARE_TOTAL(D1418,$G$5)=0,[1]!S_SHARE_TOTAL(D1418,[1]!s_ipo_listeddate(D1418)),[1]!S_SHARE_TOTAL(D1418,$G$5))))</f>
        <v/>
      </c>
      <c r="S1418" s="247" t="str">
        <f ca="1">IF(C1418="","",[1]!S_SHARE_TOTAL(D1418,TODAY())/$E$5)</f>
        <v/>
      </c>
      <c r="T1418" s="247" t="str">
        <f t="shared" ca="1" si="139"/>
        <v/>
      </c>
      <c r="U1418" s="218" t="str">
        <f t="shared" ca="1" si="140"/>
        <v/>
      </c>
      <c r="V1418" s="342" t="str">
        <f t="shared" ca="1" si="141"/>
        <v/>
      </c>
      <c r="W1418" s="139"/>
      <c r="Y1418" s="1"/>
    </row>
    <row r="1419" spans="3:25" ht="12" customHeight="1">
      <c r="C1419" s="343" t="str">
        <f t="shared" ca="1" si="136"/>
        <v/>
      </c>
      <c r="D1419" s="124" t="str">
        <f t="shared" ca="1" si="137"/>
        <v/>
      </c>
      <c r="E1419" s="124" t="str">
        <f t="shared" ca="1" si="138"/>
        <v/>
      </c>
      <c r="F1419" s="172" t="str">
        <f ca="1">IF(C1419="","",[1]!S_DQ_CLOSE(D1419,TODAY(),1))</f>
        <v/>
      </c>
      <c r="G1419" s="173" t="str">
        <f ca="1">IF(C1419="","",[1]!s_pq_pctchange(D1419,TODAY()-$G$12,TODAY())/100)</f>
        <v/>
      </c>
      <c r="H1419" s="249" t="str">
        <f ca="1">IF(C1419="","",IF($H$11="收入",[1]!S_STM07_IS(D1419,9,$G$5,$H$13)/$E$5,[1]!S_STM07_IS(D1419,48,$G$5,$H$13)/$E$5))</f>
        <v/>
      </c>
      <c r="I1419" s="249" t="str">
        <f ca="1">IF(C1419="","",IF($I$11="毛利率",([1]!S_STM07_IS(D1419,9,$G$5,$H$13)-[1]!S_STM07_IS(D1419,10,$G$5,$H$13))/[1]!S_STM07_IS(D1419,9,$G$5,$H$13),[1]!S_STM07_IS(D1419,14,$G$5,$H$13)/$E$5))</f>
        <v/>
      </c>
      <c r="J1419" s="249" t="str">
        <f ca="1">IF(C1419="","",IF($J$11="营业利润率",[1]!S_STM07_IS(D1419,48,$G$5,$H$13)/[1]!S_STM07_IS(D1419,9,$G$5,$H$13),([1]!S_STM07_CS(D1419,87,$G$5,$H$13)+[1]!S_STM07_CS(D1419,88,$G$5,$H$13)+[1]!S_STM07_CS(D1419,89,$G$5,$H$13))/$E$5))</f>
        <v/>
      </c>
      <c r="K1419" s="249" t="str">
        <f ca="1">IF(C1419="","",IF($K$11="净利润率",[1]!S_STM07_IS(D1419,61,$G$5,$H$13)/[1]!S_STM07_IS(D1419,9,$G$5,$H$13),[1]!S_STM07_IS(D1419,55,$G$5,$H$13)/$E$5))</f>
        <v/>
      </c>
      <c r="L1419" s="249" t="str">
        <f ca="1">IF(C1419="","",IF($L$11="ROA",[1]!S_STM07_IS(D1419,61,$G$5,$H$13)/[1]!S_STM07_BS(D1419,74,$G$5,$H$13),1-[1]!S_STM07_IS(D1419,61,$G$5,$H$13)/[1]!S_STM07_IS(D1419,55,$G$5,$H$13)))</f>
        <v/>
      </c>
      <c r="M1419" s="249" t="str">
        <f ca="1">IF(C1419="","",IF($M$11="ROE",[1]!S_STM07_IS(D1419,61,$G$5,$H$13)/[1]!S_STM07_BS(D1419,141,$G$5,$H$13),([1]!S_STM07_BS(D1419,25,$G$5,$H$13)-[1]!S_STM07_BS(D1419,93,$G$5,$H$13))/$E$5))</f>
        <v/>
      </c>
      <c r="N1419" s="250" t="str">
        <f ca="1">IF(C1419="","",IF($N$11="EPS",[1]!S_STM07_IS(D1419,61,$G$5,$H$13)/IF([1]!S_SHARE_TOTAL(D1419,$G$5)=0,[1]!S_SHARE_TOTAL(D1419,[1]!s_ipo_listeddate(D1419)),[1]!S_SHARE_TOTAL(D1419,$G$5)),([1]!S_STM07_BS(D1419,75,$G$5,$H$13)+[1]!S_STM07_BS(D1419,88,$G$5,$H$13)+[1]!S_STM07_BS(D1419,94,$G$5,$H$13)+[1]!S_STM07_BS(D1419,95,$G$5,$H$13))/$E$5))</f>
        <v/>
      </c>
      <c r="O1419" s="250" t="str">
        <f ca="1">IF(C1419="","",IF($O$11="BPS",[1]!S_STM07_BS(D1419,141,$G$5,$H$13)/IF([1]!S_SHARE_TOTAL(D1419,$G$5)=0,[1]!S_SHARE_TOTAL(D1419,[1]!s_ipo_listeddate(D1419)),[1]!S_SHARE_TOTAL(D1419,$G$5)),[1]!S_STM07_CS(D1419,49,$G$5,$H$13)/$E$5))</f>
        <v/>
      </c>
      <c r="P1419" s="250" t="str">
        <f ca="1">IF(C1419="","",IF($P$11="CFPS",[1]!S_STM07_CS(D1419,84,$G$5,$H$13)/IF([1]!S_SHARE_TOTAL(D1419,$G$5)=0,[1]!S_SHARE_TOTAL(D1419,[1]!s_ipo_listeddate(D1419)),[1]!S_SHARE_TOTAL(D1419,$G$5)),[1]!S_STM07_CS(D1419,84,$G$5,$H$13)/$E$5))</f>
        <v/>
      </c>
      <c r="Q1419" s="198" t="str">
        <f ca="1">IF(C1419="","",F1419/([1]!S_STM07_IS(D1419,61,$G$5,$H$13)/IF([1]!S_SHARE_TOTAL(D1419,$G$5)=0,[1]!S_SHARE_TOTAL(D1419,[1]!s_ipo_listeddate(D1419)),[1]!S_SHARE_TOTAL(D1419,$G$5))))</f>
        <v/>
      </c>
      <c r="R1419" s="198" t="str">
        <f ca="1">IF(C1419="","",F1419/([1]!S_STM07_BS(D1419,141,$G$5,$H$13)/IF([1]!S_SHARE_TOTAL(D1419,$G$5)=0,[1]!S_SHARE_TOTAL(D1419,[1]!s_ipo_listeddate(D1419)),[1]!S_SHARE_TOTAL(D1419,$G$5))))</f>
        <v/>
      </c>
      <c r="S1419" s="249" t="str">
        <f ca="1">IF(C1419="","",[1]!S_SHARE_TOTAL(D1419,TODAY())/$E$5)</f>
        <v/>
      </c>
      <c r="T1419" s="249" t="str">
        <f t="shared" ca="1" si="139"/>
        <v/>
      </c>
      <c r="U1419" s="172" t="str">
        <f t="shared" ca="1" si="140"/>
        <v/>
      </c>
      <c r="V1419" s="343" t="str">
        <f t="shared" ca="1" si="141"/>
        <v/>
      </c>
      <c r="W1419" s="139"/>
      <c r="Y1419" s="1"/>
    </row>
    <row r="1420" spans="3:25" ht="12" customHeight="1">
      <c r="C1420" s="342" t="str">
        <f t="shared" ca="1" si="136"/>
        <v/>
      </c>
      <c r="D1420" s="153" t="str">
        <f t="shared" ca="1" si="137"/>
        <v/>
      </c>
      <c r="E1420" s="153" t="str">
        <f t="shared" ca="1" si="138"/>
        <v/>
      </c>
      <c r="F1420" s="170" t="str">
        <f ca="1">IF(C1420="","",[1]!S_DQ_CLOSE(D1420,TODAY(),1))</f>
        <v/>
      </c>
      <c r="G1420" s="171" t="str">
        <f ca="1">IF(C1420="","",[1]!s_pq_pctchange(D1420,TODAY()-$G$12,TODAY())/100)</f>
        <v/>
      </c>
      <c r="H1420" s="247" t="str">
        <f ca="1">IF(C1420="","",IF($H$11="收入",[1]!S_STM07_IS(D1420,9,$G$5,$H$13)/$E$5,[1]!S_STM07_IS(D1420,48,$G$5,$H$13)/$E$5))</f>
        <v/>
      </c>
      <c r="I1420" s="247" t="str">
        <f ca="1">IF(C1420="","",IF($I$11="毛利率",([1]!S_STM07_IS(D1420,9,$G$5,$H$13)-[1]!S_STM07_IS(D1420,10,$G$5,$H$13))/[1]!S_STM07_IS(D1420,9,$G$5,$H$13),[1]!S_STM07_IS(D1420,14,$G$5,$H$13)/$E$5))</f>
        <v/>
      </c>
      <c r="J1420" s="247" t="str">
        <f ca="1">IF(C1420="","",IF($J$11="营业利润率",[1]!S_STM07_IS(D1420,48,$G$5,$H$13)/[1]!S_STM07_IS(D1420,9,$G$5,$H$13),([1]!S_STM07_CS(D1420,87,$G$5,$H$13)+[1]!S_STM07_CS(D1420,88,$G$5,$H$13)+[1]!S_STM07_CS(D1420,89,$G$5,$H$13))/$E$5))</f>
        <v/>
      </c>
      <c r="K1420" s="247" t="str">
        <f ca="1">IF(C1420="","",IF($K$11="净利润率",[1]!S_STM07_IS(D1420,61,$G$5,$H$13)/[1]!S_STM07_IS(D1420,9,$G$5,$H$13),[1]!S_STM07_IS(D1420,55,$G$5,$H$13)/$E$5))</f>
        <v/>
      </c>
      <c r="L1420" s="247" t="str">
        <f ca="1">IF(C1420="","",IF($L$11="ROA",[1]!S_STM07_IS(D1420,61,$G$5,$H$13)/[1]!S_STM07_BS(D1420,74,$G$5,$H$13),1-[1]!S_STM07_IS(D1420,61,$G$5,$H$13)/[1]!S_STM07_IS(D1420,55,$G$5,$H$13)))</f>
        <v/>
      </c>
      <c r="M1420" s="247" t="str">
        <f ca="1">IF(C1420="","",IF($M$11="ROE",[1]!S_STM07_IS(D1420,61,$G$5,$H$13)/[1]!S_STM07_BS(D1420,141,$G$5,$H$13),([1]!S_STM07_BS(D1420,25,$G$5,$H$13)-[1]!S_STM07_BS(D1420,93,$G$5,$H$13))/$E$5))</f>
        <v/>
      </c>
      <c r="N1420" s="247" t="str">
        <f ca="1">IF(C1420="","",IF($N$11="EPS",[1]!S_STM07_IS(D1420,61,$G$5,$H$13)/IF([1]!S_SHARE_TOTAL(D1420,$G$5)=0,[1]!S_SHARE_TOTAL(D1420,[1]!s_ipo_listeddate(D1420)),[1]!S_SHARE_TOTAL(D1420,$G$5)),([1]!S_STM07_BS(D1420,75,$G$5,$H$13)+[1]!S_STM07_BS(D1420,88,$G$5,$H$13)+[1]!S_STM07_BS(D1420,94,$G$5,$H$13)+[1]!S_STM07_BS(D1420,95,$G$5,$H$13))/$E$5))</f>
        <v/>
      </c>
      <c r="O1420" s="247" t="str">
        <f ca="1">IF(C1420="","",IF($O$11="BPS",[1]!S_STM07_BS(D1420,141,$G$5,$H$13)/IF([1]!S_SHARE_TOTAL(D1420,$G$5)=0,[1]!S_SHARE_TOTAL(D1420,[1]!s_ipo_listeddate(D1420)),[1]!S_SHARE_TOTAL(D1420,$G$5)),[1]!S_STM07_CS(D1420,49,$G$5,$H$13)/$E$5))</f>
        <v/>
      </c>
      <c r="P1420" s="247" t="str">
        <f ca="1">IF(C1420="","",IF($P$11="CFPS",[1]!S_STM07_CS(D1420,84,$G$5,$H$13)/IF([1]!S_SHARE_TOTAL(D1420,$G$5)=0,[1]!S_SHARE_TOTAL(D1420,[1]!s_ipo_listeddate(D1420)),[1]!S_SHARE_TOTAL(D1420,$G$5)),[1]!S_STM07_CS(D1420,84,$G$5,$H$13)/$E$5))</f>
        <v/>
      </c>
      <c r="Q1420" s="248" t="str">
        <f ca="1">IF(C1420="","",F1420/([1]!S_STM07_IS(D1420,61,$G$5,$H$13)/IF([1]!S_SHARE_TOTAL(D1420,$G$5)=0,[1]!S_SHARE_TOTAL(D1420,[1]!s_ipo_listeddate(D1420)),[1]!S_SHARE_TOTAL(D1420,$G$5))))</f>
        <v/>
      </c>
      <c r="R1420" s="248" t="str">
        <f ca="1">IF(C1420="","",F1420/([1]!S_STM07_BS(D1420,141,$G$5,$H$13)/IF([1]!S_SHARE_TOTAL(D1420,$G$5)=0,[1]!S_SHARE_TOTAL(D1420,[1]!s_ipo_listeddate(D1420)),[1]!S_SHARE_TOTAL(D1420,$G$5))))</f>
        <v/>
      </c>
      <c r="S1420" s="247" t="str">
        <f ca="1">IF(C1420="","",[1]!S_SHARE_TOTAL(D1420,TODAY())/$E$5)</f>
        <v/>
      </c>
      <c r="T1420" s="247" t="str">
        <f t="shared" ca="1" si="139"/>
        <v/>
      </c>
      <c r="U1420" s="218" t="str">
        <f t="shared" ca="1" si="140"/>
        <v/>
      </c>
      <c r="V1420" s="342" t="str">
        <f t="shared" ca="1" si="141"/>
        <v/>
      </c>
      <c r="W1420" s="139"/>
      <c r="Y1420" s="1"/>
    </row>
    <row r="1421" spans="3:25" ht="12" customHeight="1">
      <c r="C1421" s="343" t="str">
        <f t="shared" ca="1" si="136"/>
        <v/>
      </c>
      <c r="D1421" s="124" t="str">
        <f t="shared" ca="1" si="137"/>
        <v/>
      </c>
      <c r="E1421" s="124" t="str">
        <f t="shared" ca="1" si="138"/>
        <v/>
      </c>
      <c r="F1421" s="172" t="str">
        <f ca="1">IF(C1421="","",[1]!S_DQ_CLOSE(D1421,TODAY(),1))</f>
        <v/>
      </c>
      <c r="G1421" s="173" t="str">
        <f ca="1">IF(C1421="","",[1]!s_pq_pctchange(D1421,TODAY()-$G$12,TODAY())/100)</f>
        <v/>
      </c>
      <c r="H1421" s="249" t="str">
        <f ca="1">IF(C1421="","",IF($H$11="收入",[1]!S_STM07_IS(D1421,9,$G$5,$H$13)/$E$5,[1]!S_STM07_IS(D1421,48,$G$5,$H$13)/$E$5))</f>
        <v/>
      </c>
      <c r="I1421" s="249" t="str">
        <f ca="1">IF(C1421="","",IF($I$11="毛利率",([1]!S_STM07_IS(D1421,9,$G$5,$H$13)-[1]!S_STM07_IS(D1421,10,$G$5,$H$13))/[1]!S_STM07_IS(D1421,9,$G$5,$H$13),[1]!S_STM07_IS(D1421,14,$G$5,$H$13)/$E$5))</f>
        <v/>
      </c>
      <c r="J1421" s="249" t="str">
        <f ca="1">IF(C1421="","",IF($J$11="营业利润率",[1]!S_STM07_IS(D1421,48,$G$5,$H$13)/[1]!S_STM07_IS(D1421,9,$G$5,$H$13),([1]!S_STM07_CS(D1421,87,$G$5,$H$13)+[1]!S_STM07_CS(D1421,88,$G$5,$H$13)+[1]!S_STM07_CS(D1421,89,$G$5,$H$13))/$E$5))</f>
        <v/>
      </c>
      <c r="K1421" s="249" t="str">
        <f ca="1">IF(C1421="","",IF($K$11="净利润率",[1]!S_STM07_IS(D1421,61,$G$5,$H$13)/[1]!S_STM07_IS(D1421,9,$G$5,$H$13),[1]!S_STM07_IS(D1421,55,$G$5,$H$13)/$E$5))</f>
        <v/>
      </c>
      <c r="L1421" s="249" t="str">
        <f ca="1">IF(C1421="","",IF($L$11="ROA",[1]!S_STM07_IS(D1421,61,$G$5,$H$13)/[1]!S_STM07_BS(D1421,74,$G$5,$H$13),1-[1]!S_STM07_IS(D1421,61,$G$5,$H$13)/[1]!S_STM07_IS(D1421,55,$G$5,$H$13)))</f>
        <v/>
      </c>
      <c r="M1421" s="249" t="str">
        <f ca="1">IF(C1421="","",IF($M$11="ROE",[1]!S_STM07_IS(D1421,61,$G$5,$H$13)/[1]!S_STM07_BS(D1421,141,$G$5,$H$13),([1]!S_STM07_BS(D1421,25,$G$5,$H$13)-[1]!S_STM07_BS(D1421,93,$G$5,$H$13))/$E$5))</f>
        <v/>
      </c>
      <c r="N1421" s="250" t="str">
        <f ca="1">IF(C1421="","",IF($N$11="EPS",[1]!S_STM07_IS(D1421,61,$G$5,$H$13)/IF([1]!S_SHARE_TOTAL(D1421,$G$5)=0,[1]!S_SHARE_TOTAL(D1421,[1]!s_ipo_listeddate(D1421)),[1]!S_SHARE_TOTAL(D1421,$G$5)),([1]!S_STM07_BS(D1421,75,$G$5,$H$13)+[1]!S_STM07_BS(D1421,88,$G$5,$H$13)+[1]!S_STM07_BS(D1421,94,$G$5,$H$13)+[1]!S_STM07_BS(D1421,95,$G$5,$H$13))/$E$5))</f>
        <v/>
      </c>
      <c r="O1421" s="250" t="str">
        <f ca="1">IF(C1421="","",IF($O$11="BPS",[1]!S_STM07_BS(D1421,141,$G$5,$H$13)/IF([1]!S_SHARE_TOTAL(D1421,$G$5)=0,[1]!S_SHARE_TOTAL(D1421,[1]!s_ipo_listeddate(D1421)),[1]!S_SHARE_TOTAL(D1421,$G$5)),[1]!S_STM07_CS(D1421,49,$G$5,$H$13)/$E$5))</f>
        <v/>
      </c>
      <c r="P1421" s="250" t="str">
        <f ca="1">IF(C1421="","",IF($P$11="CFPS",[1]!S_STM07_CS(D1421,84,$G$5,$H$13)/IF([1]!S_SHARE_TOTAL(D1421,$G$5)=0,[1]!S_SHARE_TOTAL(D1421,[1]!s_ipo_listeddate(D1421)),[1]!S_SHARE_TOTAL(D1421,$G$5)),[1]!S_STM07_CS(D1421,84,$G$5,$H$13)/$E$5))</f>
        <v/>
      </c>
      <c r="Q1421" s="198" t="str">
        <f ca="1">IF(C1421="","",F1421/([1]!S_STM07_IS(D1421,61,$G$5,$H$13)/IF([1]!S_SHARE_TOTAL(D1421,$G$5)=0,[1]!S_SHARE_TOTAL(D1421,[1]!s_ipo_listeddate(D1421)),[1]!S_SHARE_TOTAL(D1421,$G$5))))</f>
        <v/>
      </c>
      <c r="R1421" s="198" t="str">
        <f ca="1">IF(C1421="","",F1421/([1]!S_STM07_BS(D1421,141,$G$5,$H$13)/IF([1]!S_SHARE_TOTAL(D1421,$G$5)=0,[1]!S_SHARE_TOTAL(D1421,[1]!s_ipo_listeddate(D1421)),[1]!S_SHARE_TOTAL(D1421,$G$5))))</f>
        <v/>
      </c>
      <c r="S1421" s="249" t="str">
        <f ca="1">IF(C1421="","",[1]!S_SHARE_TOTAL(D1421,TODAY())/$E$5)</f>
        <v/>
      </c>
      <c r="T1421" s="249" t="str">
        <f t="shared" ca="1" si="139"/>
        <v/>
      </c>
      <c r="U1421" s="172" t="str">
        <f t="shared" ca="1" si="140"/>
        <v/>
      </c>
      <c r="V1421" s="343" t="str">
        <f t="shared" ca="1" si="141"/>
        <v/>
      </c>
      <c r="W1421" s="139"/>
      <c r="Y1421" s="1"/>
    </row>
    <row r="1422" spans="3:25" ht="12" customHeight="1">
      <c r="C1422" s="342" t="str">
        <f t="shared" ref="C1422:C1485" ca="1" si="142">IF(ROW()-13&lt;=MAX(series),ROW()-13,"")</f>
        <v/>
      </c>
      <c r="D1422" s="153" t="str">
        <f t="shared" ca="1" si="137"/>
        <v/>
      </c>
      <c r="E1422" s="153" t="str">
        <f t="shared" ca="1" si="138"/>
        <v/>
      </c>
      <c r="F1422" s="170" t="str">
        <f ca="1">IF(C1422="","",[1]!S_DQ_CLOSE(D1422,TODAY(),1))</f>
        <v/>
      </c>
      <c r="G1422" s="171" t="str">
        <f ca="1">IF(C1422="","",[1]!s_pq_pctchange(D1422,TODAY()-$G$12,TODAY())/100)</f>
        <v/>
      </c>
      <c r="H1422" s="247" t="str">
        <f ca="1">IF(C1422="","",IF($H$11="收入",[1]!S_STM07_IS(D1422,9,$G$5,$H$13)/$E$5,[1]!S_STM07_IS(D1422,48,$G$5,$H$13)/$E$5))</f>
        <v/>
      </c>
      <c r="I1422" s="247" t="str">
        <f ca="1">IF(C1422="","",IF($I$11="毛利率",([1]!S_STM07_IS(D1422,9,$G$5,$H$13)-[1]!S_STM07_IS(D1422,10,$G$5,$H$13))/[1]!S_STM07_IS(D1422,9,$G$5,$H$13),[1]!S_STM07_IS(D1422,14,$G$5,$H$13)/$E$5))</f>
        <v/>
      </c>
      <c r="J1422" s="247" t="str">
        <f ca="1">IF(C1422="","",IF($J$11="营业利润率",[1]!S_STM07_IS(D1422,48,$G$5,$H$13)/[1]!S_STM07_IS(D1422,9,$G$5,$H$13),([1]!S_STM07_CS(D1422,87,$G$5,$H$13)+[1]!S_STM07_CS(D1422,88,$G$5,$H$13)+[1]!S_STM07_CS(D1422,89,$G$5,$H$13))/$E$5))</f>
        <v/>
      </c>
      <c r="K1422" s="247" t="str">
        <f ca="1">IF(C1422="","",IF($K$11="净利润率",[1]!S_STM07_IS(D1422,61,$G$5,$H$13)/[1]!S_STM07_IS(D1422,9,$G$5,$H$13),[1]!S_STM07_IS(D1422,55,$G$5,$H$13)/$E$5))</f>
        <v/>
      </c>
      <c r="L1422" s="247" t="str">
        <f ca="1">IF(C1422="","",IF($L$11="ROA",[1]!S_STM07_IS(D1422,61,$G$5,$H$13)/[1]!S_STM07_BS(D1422,74,$G$5,$H$13),1-[1]!S_STM07_IS(D1422,61,$G$5,$H$13)/[1]!S_STM07_IS(D1422,55,$G$5,$H$13)))</f>
        <v/>
      </c>
      <c r="M1422" s="247" t="str">
        <f ca="1">IF(C1422="","",IF($M$11="ROE",[1]!S_STM07_IS(D1422,61,$G$5,$H$13)/[1]!S_STM07_BS(D1422,141,$G$5,$H$13),([1]!S_STM07_BS(D1422,25,$G$5,$H$13)-[1]!S_STM07_BS(D1422,93,$G$5,$H$13))/$E$5))</f>
        <v/>
      </c>
      <c r="N1422" s="247" t="str">
        <f ca="1">IF(C1422="","",IF($N$11="EPS",[1]!S_STM07_IS(D1422,61,$G$5,$H$13)/IF([1]!S_SHARE_TOTAL(D1422,$G$5)=0,[1]!S_SHARE_TOTAL(D1422,[1]!s_ipo_listeddate(D1422)),[1]!S_SHARE_TOTAL(D1422,$G$5)),([1]!S_STM07_BS(D1422,75,$G$5,$H$13)+[1]!S_STM07_BS(D1422,88,$G$5,$H$13)+[1]!S_STM07_BS(D1422,94,$G$5,$H$13)+[1]!S_STM07_BS(D1422,95,$G$5,$H$13))/$E$5))</f>
        <v/>
      </c>
      <c r="O1422" s="247" t="str">
        <f ca="1">IF(C1422="","",IF($O$11="BPS",[1]!S_STM07_BS(D1422,141,$G$5,$H$13)/IF([1]!S_SHARE_TOTAL(D1422,$G$5)=0,[1]!S_SHARE_TOTAL(D1422,[1]!s_ipo_listeddate(D1422)),[1]!S_SHARE_TOTAL(D1422,$G$5)),[1]!S_STM07_CS(D1422,49,$G$5,$H$13)/$E$5))</f>
        <v/>
      </c>
      <c r="P1422" s="247" t="str">
        <f ca="1">IF(C1422="","",IF($P$11="CFPS",[1]!S_STM07_CS(D1422,84,$G$5,$H$13)/IF([1]!S_SHARE_TOTAL(D1422,$G$5)=0,[1]!S_SHARE_TOTAL(D1422,[1]!s_ipo_listeddate(D1422)),[1]!S_SHARE_TOTAL(D1422,$G$5)),[1]!S_STM07_CS(D1422,84,$G$5,$H$13)/$E$5))</f>
        <v/>
      </c>
      <c r="Q1422" s="248" t="str">
        <f ca="1">IF(C1422="","",F1422/([1]!S_STM07_IS(D1422,61,$G$5,$H$13)/IF([1]!S_SHARE_TOTAL(D1422,$G$5)=0,[1]!S_SHARE_TOTAL(D1422,[1]!s_ipo_listeddate(D1422)),[1]!S_SHARE_TOTAL(D1422,$G$5))))</f>
        <v/>
      </c>
      <c r="R1422" s="248" t="str">
        <f ca="1">IF(C1422="","",F1422/([1]!S_STM07_BS(D1422,141,$G$5,$H$13)/IF([1]!S_SHARE_TOTAL(D1422,$G$5)=0,[1]!S_SHARE_TOTAL(D1422,[1]!s_ipo_listeddate(D1422)),[1]!S_SHARE_TOTAL(D1422,$G$5))))</f>
        <v/>
      </c>
      <c r="S1422" s="247" t="str">
        <f ca="1">IF(C1422="","",[1]!S_SHARE_TOTAL(D1422,TODAY())/$E$5)</f>
        <v/>
      </c>
      <c r="T1422" s="247" t="str">
        <f t="shared" ca="1" si="139"/>
        <v/>
      </c>
      <c r="U1422" s="218" t="str">
        <f t="shared" ca="1" si="140"/>
        <v/>
      </c>
      <c r="V1422" s="342" t="str">
        <f t="shared" ca="1" si="141"/>
        <v/>
      </c>
      <c r="W1422" s="139"/>
      <c r="Y1422" s="1"/>
    </row>
    <row r="1423" spans="3:25" ht="12" customHeight="1">
      <c r="C1423" s="343" t="str">
        <f t="shared" ca="1" si="142"/>
        <v/>
      </c>
      <c r="D1423" s="124" t="str">
        <f t="shared" ca="1" si="137"/>
        <v/>
      </c>
      <c r="E1423" s="124" t="str">
        <f t="shared" ca="1" si="138"/>
        <v/>
      </c>
      <c r="F1423" s="172" t="str">
        <f ca="1">IF(C1423="","",[1]!S_DQ_CLOSE(D1423,TODAY(),1))</f>
        <v/>
      </c>
      <c r="G1423" s="173" t="str">
        <f ca="1">IF(C1423="","",[1]!s_pq_pctchange(D1423,TODAY()-$G$12,TODAY())/100)</f>
        <v/>
      </c>
      <c r="H1423" s="249" t="str">
        <f ca="1">IF(C1423="","",IF($H$11="收入",[1]!S_STM07_IS(D1423,9,$G$5,$H$13)/$E$5,[1]!S_STM07_IS(D1423,48,$G$5,$H$13)/$E$5))</f>
        <v/>
      </c>
      <c r="I1423" s="249" t="str">
        <f ca="1">IF(C1423="","",IF($I$11="毛利率",([1]!S_STM07_IS(D1423,9,$G$5,$H$13)-[1]!S_STM07_IS(D1423,10,$G$5,$H$13))/[1]!S_STM07_IS(D1423,9,$G$5,$H$13),[1]!S_STM07_IS(D1423,14,$G$5,$H$13)/$E$5))</f>
        <v/>
      </c>
      <c r="J1423" s="249" t="str">
        <f ca="1">IF(C1423="","",IF($J$11="营业利润率",[1]!S_STM07_IS(D1423,48,$G$5,$H$13)/[1]!S_STM07_IS(D1423,9,$G$5,$H$13),([1]!S_STM07_CS(D1423,87,$G$5,$H$13)+[1]!S_STM07_CS(D1423,88,$G$5,$H$13)+[1]!S_STM07_CS(D1423,89,$G$5,$H$13))/$E$5))</f>
        <v/>
      </c>
      <c r="K1423" s="249" t="str">
        <f ca="1">IF(C1423="","",IF($K$11="净利润率",[1]!S_STM07_IS(D1423,61,$G$5,$H$13)/[1]!S_STM07_IS(D1423,9,$G$5,$H$13),[1]!S_STM07_IS(D1423,55,$G$5,$H$13)/$E$5))</f>
        <v/>
      </c>
      <c r="L1423" s="249" t="str">
        <f ca="1">IF(C1423="","",IF($L$11="ROA",[1]!S_STM07_IS(D1423,61,$G$5,$H$13)/[1]!S_STM07_BS(D1423,74,$G$5,$H$13),1-[1]!S_STM07_IS(D1423,61,$G$5,$H$13)/[1]!S_STM07_IS(D1423,55,$G$5,$H$13)))</f>
        <v/>
      </c>
      <c r="M1423" s="249" t="str">
        <f ca="1">IF(C1423="","",IF($M$11="ROE",[1]!S_STM07_IS(D1423,61,$G$5,$H$13)/[1]!S_STM07_BS(D1423,141,$G$5,$H$13),([1]!S_STM07_BS(D1423,25,$G$5,$H$13)-[1]!S_STM07_BS(D1423,93,$G$5,$H$13))/$E$5))</f>
        <v/>
      </c>
      <c r="N1423" s="250" t="str">
        <f ca="1">IF(C1423="","",IF($N$11="EPS",[1]!S_STM07_IS(D1423,61,$G$5,$H$13)/IF([1]!S_SHARE_TOTAL(D1423,$G$5)=0,[1]!S_SHARE_TOTAL(D1423,[1]!s_ipo_listeddate(D1423)),[1]!S_SHARE_TOTAL(D1423,$G$5)),([1]!S_STM07_BS(D1423,75,$G$5,$H$13)+[1]!S_STM07_BS(D1423,88,$G$5,$H$13)+[1]!S_STM07_BS(D1423,94,$G$5,$H$13)+[1]!S_STM07_BS(D1423,95,$G$5,$H$13))/$E$5))</f>
        <v/>
      </c>
      <c r="O1423" s="250" t="str">
        <f ca="1">IF(C1423="","",IF($O$11="BPS",[1]!S_STM07_BS(D1423,141,$G$5,$H$13)/IF([1]!S_SHARE_TOTAL(D1423,$G$5)=0,[1]!S_SHARE_TOTAL(D1423,[1]!s_ipo_listeddate(D1423)),[1]!S_SHARE_TOTAL(D1423,$G$5)),[1]!S_STM07_CS(D1423,49,$G$5,$H$13)/$E$5))</f>
        <v/>
      </c>
      <c r="P1423" s="250" t="str">
        <f ca="1">IF(C1423="","",IF($P$11="CFPS",[1]!S_STM07_CS(D1423,84,$G$5,$H$13)/IF([1]!S_SHARE_TOTAL(D1423,$G$5)=0,[1]!S_SHARE_TOTAL(D1423,[1]!s_ipo_listeddate(D1423)),[1]!S_SHARE_TOTAL(D1423,$G$5)),[1]!S_STM07_CS(D1423,84,$G$5,$H$13)/$E$5))</f>
        <v/>
      </c>
      <c r="Q1423" s="198" t="str">
        <f ca="1">IF(C1423="","",F1423/([1]!S_STM07_IS(D1423,61,$G$5,$H$13)/IF([1]!S_SHARE_TOTAL(D1423,$G$5)=0,[1]!S_SHARE_TOTAL(D1423,[1]!s_ipo_listeddate(D1423)),[1]!S_SHARE_TOTAL(D1423,$G$5))))</f>
        <v/>
      </c>
      <c r="R1423" s="198" t="str">
        <f ca="1">IF(C1423="","",F1423/([1]!S_STM07_BS(D1423,141,$G$5,$H$13)/IF([1]!S_SHARE_TOTAL(D1423,$G$5)=0,[1]!S_SHARE_TOTAL(D1423,[1]!s_ipo_listeddate(D1423)),[1]!S_SHARE_TOTAL(D1423,$G$5))))</f>
        <v/>
      </c>
      <c r="S1423" s="249" t="str">
        <f ca="1">IF(C1423="","",[1]!S_SHARE_TOTAL(D1423,TODAY())/$E$5)</f>
        <v/>
      </c>
      <c r="T1423" s="249" t="str">
        <f t="shared" ca="1" si="139"/>
        <v/>
      </c>
      <c r="U1423" s="172" t="str">
        <f t="shared" ca="1" si="140"/>
        <v/>
      </c>
      <c r="V1423" s="343" t="str">
        <f t="shared" ca="1" si="141"/>
        <v/>
      </c>
      <c r="W1423" s="139"/>
      <c r="Y1423" s="1"/>
    </row>
    <row r="1424" spans="3:25" ht="12" customHeight="1">
      <c r="C1424" s="342" t="str">
        <f t="shared" ca="1" si="142"/>
        <v/>
      </c>
      <c r="D1424" s="153" t="str">
        <f t="shared" ca="1" si="137"/>
        <v/>
      </c>
      <c r="E1424" s="153" t="str">
        <f t="shared" ca="1" si="138"/>
        <v/>
      </c>
      <c r="F1424" s="170" t="str">
        <f ca="1">IF(C1424="","",[1]!S_DQ_CLOSE(D1424,TODAY(),1))</f>
        <v/>
      </c>
      <c r="G1424" s="171" t="str">
        <f ca="1">IF(C1424="","",[1]!s_pq_pctchange(D1424,TODAY()-$G$12,TODAY())/100)</f>
        <v/>
      </c>
      <c r="H1424" s="247" t="str">
        <f ca="1">IF(C1424="","",IF($H$11="收入",[1]!S_STM07_IS(D1424,9,$G$5,$H$13)/$E$5,[1]!S_STM07_IS(D1424,48,$G$5,$H$13)/$E$5))</f>
        <v/>
      </c>
      <c r="I1424" s="247" t="str">
        <f ca="1">IF(C1424="","",IF($I$11="毛利率",([1]!S_STM07_IS(D1424,9,$G$5,$H$13)-[1]!S_STM07_IS(D1424,10,$G$5,$H$13))/[1]!S_STM07_IS(D1424,9,$G$5,$H$13),[1]!S_STM07_IS(D1424,14,$G$5,$H$13)/$E$5))</f>
        <v/>
      </c>
      <c r="J1424" s="247" t="str">
        <f ca="1">IF(C1424="","",IF($J$11="营业利润率",[1]!S_STM07_IS(D1424,48,$G$5,$H$13)/[1]!S_STM07_IS(D1424,9,$G$5,$H$13),([1]!S_STM07_CS(D1424,87,$G$5,$H$13)+[1]!S_STM07_CS(D1424,88,$G$5,$H$13)+[1]!S_STM07_CS(D1424,89,$G$5,$H$13))/$E$5))</f>
        <v/>
      </c>
      <c r="K1424" s="247" t="str">
        <f ca="1">IF(C1424="","",IF($K$11="净利润率",[1]!S_STM07_IS(D1424,61,$G$5,$H$13)/[1]!S_STM07_IS(D1424,9,$G$5,$H$13),[1]!S_STM07_IS(D1424,55,$G$5,$H$13)/$E$5))</f>
        <v/>
      </c>
      <c r="L1424" s="247" t="str">
        <f ca="1">IF(C1424="","",IF($L$11="ROA",[1]!S_STM07_IS(D1424,61,$G$5,$H$13)/[1]!S_STM07_BS(D1424,74,$G$5,$H$13),1-[1]!S_STM07_IS(D1424,61,$G$5,$H$13)/[1]!S_STM07_IS(D1424,55,$G$5,$H$13)))</f>
        <v/>
      </c>
      <c r="M1424" s="247" t="str">
        <f ca="1">IF(C1424="","",IF($M$11="ROE",[1]!S_STM07_IS(D1424,61,$G$5,$H$13)/[1]!S_STM07_BS(D1424,141,$G$5,$H$13),([1]!S_STM07_BS(D1424,25,$G$5,$H$13)-[1]!S_STM07_BS(D1424,93,$G$5,$H$13))/$E$5))</f>
        <v/>
      </c>
      <c r="N1424" s="247" t="str">
        <f ca="1">IF(C1424="","",IF($N$11="EPS",[1]!S_STM07_IS(D1424,61,$G$5,$H$13)/IF([1]!S_SHARE_TOTAL(D1424,$G$5)=0,[1]!S_SHARE_TOTAL(D1424,[1]!s_ipo_listeddate(D1424)),[1]!S_SHARE_TOTAL(D1424,$G$5)),([1]!S_STM07_BS(D1424,75,$G$5,$H$13)+[1]!S_STM07_BS(D1424,88,$G$5,$H$13)+[1]!S_STM07_BS(D1424,94,$G$5,$H$13)+[1]!S_STM07_BS(D1424,95,$G$5,$H$13))/$E$5))</f>
        <v/>
      </c>
      <c r="O1424" s="247" t="str">
        <f ca="1">IF(C1424="","",IF($O$11="BPS",[1]!S_STM07_BS(D1424,141,$G$5,$H$13)/IF([1]!S_SHARE_TOTAL(D1424,$G$5)=0,[1]!S_SHARE_TOTAL(D1424,[1]!s_ipo_listeddate(D1424)),[1]!S_SHARE_TOTAL(D1424,$G$5)),[1]!S_STM07_CS(D1424,49,$G$5,$H$13)/$E$5))</f>
        <v/>
      </c>
      <c r="P1424" s="247" t="str">
        <f ca="1">IF(C1424="","",IF($P$11="CFPS",[1]!S_STM07_CS(D1424,84,$G$5,$H$13)/IF([1]!S_SHARE_TOTAL(D1424,$G$5)=0,[1]!S_SHARE_TOTAL(D1424,[1]!s_ipo_listeddate(D1424)),[1]!S_SHARE_TOTAL(D1424,$G$5)),[1]!S_STM07_CS(D1424,84,$G$5,$H$13)/$E$5))</f>
        <v/>
      </c>
      <c r="Q1424" s="248" t="str">
        <f ca="1">IF(C1424="","",F1424/([1]!S_STM07_IS(D1424,61,$G$5,$H$13)/IF([1]!S_SHARE_TOTAL(D1424,$G$5)=0,[1]!S_SHARE_TOTAL(D1424,[1]!s_ipo_listeddate(D1424)),[1]!S_SHARE_TOTAL(D1424,$G$5))))</f>
        <v/>
      </c>
      <c r="R1424" s="248" t="str">
        <f ca="1">IF(C1424="","",F1424/([1]!S_STM07_BS(D1424,141,$G$5,$H$13)/IF([1]!S_SHARE_TOTAL(D1424,$G$5)=0,[1]!S_SHARE_TOTAL(D1424,[1]!s_ipo_listeddate(D1424)),[1]!S_SHARE_TOTAL(D1424,$G$5))))</f>
        <v/>
      </c>
      <c r="S1424" s="247" t="str">
        <f ca="1">IF(C1424="","",[1]!S_SHARE_TOTAL(D1424,TODAY())/$E$5)</f>
        <v/>
      </c>
      <c r="T1424" s="247" t="str">
        <f t="shared" ca="1" si="139"/>
        <v/>
      </c>
      <c r="U1424" s="218" t="str">
        <f t="shared" ca="1" si="140"/>
        <v/>
      </c>
      <c r="V1424" s="342" t="str">
        <f t="shared" ca="1" si="141"/>
        <v/>
      </c>
      <c r="W1424" s="139"/>
      <c r="Y1424" s="1"/>
    </row>
    <row r="1425" spans="3:25" ht="12" customHeight="1">
      <c r="C1425" s="343" t="str">
        <f t="shared" ca="1" si="142"/>
        <v/>
      </c>
      <c r="D1425" s="124" t="str">
        <f t="shared" ca="1" si="137"/>
        <v/>
      </c>
      <c r="E1425" s="124" t="str">
        <f t="shared" ca="1" si="138"/>
        <v/>
      </c>
      <c r="F1425" s="172" t="str">
        <f ca="1">IF(C1425="","",[1]!S_DQ_CLOSE(D1425,TODAY(),1))</f>
        <v/>
      </c>
      <c r="G1425" s="173" t="str">
        <f ca="1">IF(C1425="","",[1]!s_pq_pctchange(D1425,TODAY()-$G$12,TODAY())/100)</f>
        <v/>
      </c>
      <c r="H1425" s="249" t="str">
        <f ca="1">IF(C1425="","",IF($H$11="收入",[1]!S_STM07_IS(D1425,9,$G$5,$H$13)/$E$5,[1]!S_STM07_IS(D1425,48,$G$5,$H$13)/$E$5))</f>
        <v/>
      </c>
      <c r="I1425" s="249" t="str">
        <f ca="1">IF(C1425="","",IF($I$11="毛利率",([1]!S_STM07_IS(D1425,9,$G$5,$H$13)-[1]!S_STM07_IS(D1425,10,$G$5,$H$13))/[1]!S_STM07_IS(D1425,9,$G$5,$H$13),[1]!S_STM07_IS(D1425,14,$G$5,$H$13)/$E$5))</f>
        <v/>
      </c>
      <c r="J1425" s="249" t="str">
        <f ca="1">IF(C1425="","",IF($J$11="营业利润率",[1]!S_STM07_IS(D1425,48,$G$5,$H$13)/[1]!S_STM07_IS(D1425,9,$G$5,$H$13),([1]!S_STM07_CS(D1425,87,$G$5,$H$13)+[1]!S_STM07_CS(D1425,88,$G$5,$H$13)+[1]!S_STM07_CS(D1425,89,$G$5,$H$13))/$E$5))</f>
        <v/>
      </c>
      <c r="K1425" s="249" t="str">
        <f ca="1">IF(C1425="","",IF($K$11="净利润率",[1]!S_STM07_IS(D1425,61,$G$5,$H$13)/[1]!S_STM07_IS(D1425,9,$G$5,$H$13),[1]!S_STM07_IS(D1425,55,$G$5,$H$13)/$E$5))</f>
        <v/>
      </c>
      <c r="L1425" s="249" t="str">
        <f ca="1">IF(C1425="","",IF($L$11="ROA",[1]!S_STM07_IS(D1425,61,$G$5,$H$13)/[1]!S_STM07_BS(D1425,74,$G$5,$H$13),1-[1]!S_STM07_IS(D1425,61,$G$5,$H$13)/[1]!S_STM07_IS(D1425,55,$G$5,$H$13)))</f>
        <v/>
      </c>
      <c r="M1425" s="249" t="str">
        <f ca="1">IF(C1425="","",IF($M$11="ROE",[1]!S_STM07_IS(D1425,61,$G$5,$H$13)/[1]!S_STM07_BS(D1425,141,$G$5,$H$13),([1]!S_STM07_BS(D1425,25,$G$5,$H$13)-[1]!S_STM07_BS(D1425,93,$G$5,$H$13))/$E$5))</f>
        <v/>
      </c>
      <c r="N1425" s="250" t="str">
        <f ca="1">IF(C1425="","",IF($N$11="EPS",[1]!S_STM07_IS(D1425,61,$G$5,$H$13)/IF([1]!S_SHARE_TOTAL(D1425,$G$5)=0,[1]!S_SHARE_TOTAL(D1425,[1]!s_ipo_listeddate(D1425)),[1]!S_SHARE_TOTAL(D1425,$G$5)),([1]!S_STM07_BS(D1425,75,$G$5,$H$13)+[1]!S_STM07_BS(D1425,88,$G$5,$H$13)+[1]!S_STM07_BS(D1425,94,$G$5,$H$13)+[1]!S_STM07_BS(D1425,95,$G$5,$H$13))/$E$5))</f>
        <v/>
      </c>
      <c r="O1425" s="250" t="str">
        <f ca="1">IF(C1425="","",IF($O$11="BPS",[1]!S_STM07_BS(D1425,141,$G$5,$H$13)/IF([1]!S_SHARE_TOTAL(D1425,$G$5)=0,[1]!S_SHARE_TOTAL(D1425,[1]!s_ipo_listeddate(D1425)),[1]!S_SHARE_TOTAL(D1425,$G$5)),[1]!S_STM07_CS(D1425,49,$G$5,$H$13)/$E$5))</f>
        <v/>
      </c>
      <c r="P1425" s="250" t="str">
        <f ca="1">IF(C1425="","",IF($P$11="CFPS",[1]!S_STM07_CS(D1425,84,$G$5,$H$13)/IF([1]!S_SHARE_TOTAL(D1425,$G$5)=0,[1]!S_SHARE_TOTAL(D1425,[1]!s_ipo_listeddate(D1425)),[1]!S_SHARE_TOTAL(D1425,$G$5)),[1]!S_STM07_CS(D1425,84,$G$5,$H$13)/$E$5))</f>
        <v/>
      </c>
      <c r="Q1425" s="198" t="str">
        <f ca="1">IF(C1425="","",F1425/([1]!S_STM07_IS(D1425,61,$G$5,$H$13)/IF([1]!S_SHARE_TOTAL(D1425,$G$5)=0,[1]!S_SHARE_TOTAL(D1425,[1]!s_ipo_listeddate(D1425)),[1]!S_SHARE_TOTAL(D1425,$G$5))))</f>
        <v/>
      </c>
      <c r="R1425" s="198" t="str">
        <f ca="1">IF(C1425="","",F1425/([1]!S_STM07_BS(D1425,141,$G$5,$H$13)/IF([1]!S_SHARE_TOTAL(D1425,$G$5)=0,[1]!S_SHARE_TOTAL(D1425,[1]!s_ipo_listeddate(D1425)),[1]!S_SHARE_TOTAL(D1425,$G$5))))</f>
        <v/>
      </c>
      <c r="S1425" s="249" t="str">
        <f ca="1">IF(C1425="","",[1]!S_SHARE_TOTAL(D1425,TODAY())/$E$5)</f>
        <v/>
      </c>
      <c r="T1425" s="249" t="str">
        <f t="shared" ca="1" si="139"/>
        <v/>
      </c>
      <c r="U1425" s="172" t="str">
        <f t="shared" ca="1" si="140"/>
        <v/>
      </c>
      <c r="V1425" s="343" t="str">
        <f t="shared" ca="1" si="141"/>
        <v/>
      </c>
      <c r="W1425" s="139"/>
      <c r="Y1425" s="1"/>
    </row>
    <row r="1426" spans="3:25" ht="12" customHeight="1">
      <c r="C1426" s="342" t="str">
        <f t="shared" ca="1" si="142"/>
        <v/>
      </c>
      <c r="D1426" s="153" t="str">
        <f t="shared" ca="1" si="137"/>
        <v/>
      </c>
      <c r="E1426" s="153" t="str">
        <f t="shared" ca="1" si="138"/>
        <v/>
      </c>
      <c r="F1426" s="170" t="str">
        <f ca="1">IF(C1426="","",[1]!S_DQ_CLOSE(D1426,TODAY(),1))</f>
        <v/>
      </c>
      <c r="G1426" s="171" t="str">
        <f ca="1">IF(C1426="","",[1]!s_pq_pctchange(D1426,TODAY()-$G$12,TODAY())/100)</f>
        <v/>
      </c>
      <c r="H1426" s="247" t="str">
        <f ca="1">IF(C1426="","",IF($H$11="收入",[1]!S_STM07_IS(D1426,9,$G$5,$H$13)/$E$5,[1]!S_STM07_IS(D1426,48,$G$5,$H$13)/$E$5))</f>
        <v/>
      </c>
      <c r="I1426" s="247" t="str">
        <f ca="1">IF(C1426="","",IF($I$11="毛利率",([1]!S_STM07_IS(D1426,9,$G$5,$H$13)-[1]!S_STM07_IS(D1426,10,$G$5,$H$13))/[1]!S_STM07_IS(D1426,9,$G$5,$H$13),[1]!S_STM07_IS(D1426,14,$G$5,$H$13)/$E$5))</f>
        <v/>
      </c>
      <c r="J1426" s="247" t="str">
        <f ca="1">IF(C1426="","",IF($J$11="营业利润率",[1]!S_STM07_IS(D1426,48,$G$5,$H$13)/[1]!S_STM07_IS(D1426,9,$G$5,$H$13),([1]!S_STM07_CS(D1426,87,$G$5,$H$13)+[1]!S_STM07_CS(D1426,88,$G$5,$H$13)+[1]!S_STM07_CS(D1426,89,$G$5,$H$13))/$E$5))</f>
        <v/>
      </c>
      <c r="K1426" s="247" t="str">
        <f ca="1">IF(C1426="","",IF($K$11="净利润率",[1]!S_STM07_IS(D1426,61,$G$5,$H$13)/[1]!S_STM07_IS(D1426,9,$G$5,$H$13),[1]!S_STM07_IS(D1426,55,$G$5,$H$13)/$E$5))</f>
        <v/>
      </c>
      <c r="L1426" s="247" t="str">
        <f ca="1">IF(C1426="","",IF($L$11="ROA",[1]!S_STM07_IS(D1426,61,$G$5,$H$13)/[1]!S_STM07_BS(D1426,74,$G$5,$H$13),1-[1]!S_STM07_IS(D1426,61,$G$5,$H$13)/[1]!S_STM07_IS(D1426,55,$G$5,$H$13)))</f>
        <v/>
      </c>
      <c r="M1426" s="247" t="str">
        <f ca="1">IF(C1426="","",IF($M$11="ROE",[1]!S_STM07_IS(D1426,61,$G$5,$H$13)/[1]!S_STM07_BS(D1426,141,$G$5,$H$13),([1]!S_STM07_BS(D1426,25,$G$5,$H$13)-[1]!S_STM07_BS(D1426,93,$G$5,$H$13))/$E$5))</f>
        <v/>
      </c>
      <c r="N1426" s="247" t="str">
        <f ca="1">IF(C1426="","",IF($N$11="EPS",[1]!S_STM07_IS(D1426,61,$G$5,$H$13)/IF([1]!S_SHARE_TOTAL(D1426,$G$5)=0,[1]!S_SHARE_TOTAL(D1426,[1]!s_ipo_listeddate(D1426)),[1]!S_SHARE_TOTAL(D1426,$G$5)),([1]!S_STM07_BS(D1426,75,$G$5,$H$13)+[1]!S_STM07_BS(D1426,88,$G$5,$H$13)+[1]!S_STM07_BS(D1426,94,$G$5,$H$13)+[1]!S_STM07_BS(D1426,95,$G$5,$H$13))/$E$5))</f>
        <v/>
      </c>
      <c r="O1426" s="247" t="str">
        <f ca="1">IF(C1426="","",IF($O$11="BPS",[1]!S_STM07_BS(D1426,141,$G$5,$H$13)/IF([1]!S_SHARE_TOTAL(D1426,$G$5)=0,[1]!S_SHARE_TOTAL(D1426,[1]!s_ipo_listeddate(D1426)),[1]!S_SHARE_TOTAL(D1426,$G$5)),[1]!S_STM07_CS(D1426,49,$G$5,$H$13)/$E$5))</f>
        <v/>
      </c>
      <c r="P1426" s="247" t="str">
        <f ca="1">IF(C1426="","",IF($P$11="CFPS",[1]!S_STM07_CS(D1426,84,$G$5,$H$13)/IF([1]!S_SHARE_TOTAL(D1426,$G$5)=0,[1]!S_SHARE_TOTAL(D1426,[1]!s_ipo_listeddate(D1426)),[1]!S_SHARE_TOTAL(D1426,$G$5)),[1]!S_STM07_CS(D1426,84,$G$5,$H$13)/$E$5))</f>
        <v/>
      </c>
      <c r="Q1426" s="248" t="str">
        <f ca="1">IF(C1426="","",F1426/([1]!S_STM07_IS(D1426,61,$G$5,$H$13)/IF([1]!S_SHARE_TOTAL(D1426,$G$5)=0,[1]!S_SHARE_TOTAL(D1426,[1]!s_ipo_listeddate(D1426)),[1]!S_SHARE_TOTAL(D1426,$G$5))))</f>
        <v/>
      </c>
      <c r="R1426" s="248" t="str">
        <f ca="1">IF(C1426="","",F1426/([1]!S_STM07_BS(D1426,141,$G$5,$H$13)/IF([1]!S_SHARE_TOTAL(D1426,$G$5)=0,[1]!S_SHARE_TOTAL(D1426,[1]!s_ipo_listeddate(D1426)),[1]!S_SHARE_TOTAL(D1426,$G$5))))</f>
        <v/>
      </c>
      <c r="S1426" s="247" t="str">
        <f ca="1">IF(C1426="","",[1]!S_SHARE_TOTAL(D1426,TODAY())/$E$5)</f>
        <v/>
      </c>
      <c r="T1426" s="247" t="str">
        <f t="shared" ca="1" si="139"/>
        <v/>
      </c>
      <c r="U1426" s="218" t="str">
        <f t="shared" ca="1" si="140"/>
        <v/>
      </c>
      <c r="V1426" s="342" t="str">
        <f t="shared" ca="1" si="141"/>
        <v/>
      </c>
      <c r="W1426" s="139"/>
      <c r="Y1426" s="1"/>
    </row>
    <row r="1427" spans="3:25" ht="12" customHeight="1">
      <c r="C1427" s="343" t="str">
        <f t="shared" ca="1" si="142"/>
        <v/>
      </c>
      <c r="D1427" s="124" t="str">
        <f t="shared" ca="1" si="137"/>
        <v/>
      </c>
      <c r="E1427" s="124" t="str">
        <f t="shared" ca="1" si="138"/>
        <v/>
      </c>
      <c r="F1427" s="172" t="str">
        <f ca="1">IF(C1427="","",[1]!S_DQ_CLOSE(D1427,TODAY(),1))</f>
        <v/>
      </c>
      <c r="G1427" s="173" t="str">
        <f ca="1">IF(C1427="","",[1]!s_pq_pctchange(D1427,TODAY()-$G$12,TODAY())/100)</f>
        <v/>
      </c>
      <c r="H1427" s="249" t="str">
        <f ca="1">IF(C1427="","",IF($H$11="收入",[1]!S_STM07_IS(D1427,9,$G$5,$H$13)/$E$5,[1]!S_STM07_IS(D1427,48,$G$5,$H$13)/$E$5))</f>
        <v/>
      </c>
      <c r="I1427" s="249" t="str">
        <f ca="1">IF(C1427="","",IF($I$11="毛利率",([1]!S_STM07_IS(D1427,9,$G$5,$H$13)-[1]!S_STM07_IS(D1427,10,$G$5,$H$13))/[1]!S_STM07_IS(D1427,9,$G$5,$H$13),[1]!S_STM07_IS(D1427,14,$G$5,$H$13)/$E$5))</f>
        <v/>
      </c>
      <c r="J1427" s="249" t="str">
        <f ca="1">IF(C1427="","",IF($J$11="营业利润率",[1]!S_STM07_IS(D1427,48,$G$5,$H$13)/[1]!S_STM07_IS(D1427,9,$G$5,$H$13),([1]!S_STM07_CS(D1427,87,$G$5,$H$13)+[1]!S_STM07_CS(D1427,88,$G$5,$H$13)+[1]!S_STM07_CS(D1427,89,$G$5,$H$13))/$E$5))</f>
        <v/>
      </c>
      <c r="K1427" s="249" t="str">
        <f ca="1">IF(C1427="","",IF($K$11="净利润率",[1]!S_STM07_IS(D1427,61,$G$5,$H$13)/[1]!S_STM07_IS(D1427,9,$G$5,$H$13),[1]!S_STM07_IS(D1427,55,$G$5,$H$13)/$E$5))</f>
        <v/>
      </c>
      <c r="L1427" s="249" t="str">
        <f ca="1">IF(C1427="","",IF($L$11="ROA",[1]!S_STM07_IS(D1427,61,$G$5,$H$13)/[1]!S_STM07_BS(D1427,74,$G$5,$H$13),1-[1]!S_STM07_IS(D1427,61,$G$5,$H$13)/[1]!S_STM07_IS(D1427,55,$G$5,$H$13)))</f>
        <v/>
      </c>
      <c r="M1427" s="249" t="str">
        <f ca="1">IF(C1427="","",IF($M$11="ROE",[1]!S_STM07_IS(D1427,61,$G$5,$H$13)/[1]!S_STM07_BS(D1427,141,$G$5,$H$13),([1]!S_STM07_BS(D1427,25,$G$5,$H$13)-[1]!S_STM07_BS(D1427,93,$G$5,$H$13))/$E$5))</f>
        <v/>
      </c>
      <c r="N1427" s="250" t="str">
        <f ca="1">IF(C1427="","",IF($N$11="EPS",[1]!S_STM07_IS(D1427,61,$G$5,$H$13)/IF([1]!S_SHARE_TOTAL(D1427,$G$5)=0,[1]!S_SHARE_TOTAL(D1427,[1]!s_ipo_listeddate(D1427)),[1]!S_SHARE_TOTAL(D1427,$G$5)),([1]!S_STM07_BS(D1427,75,$G$5,$H$13)+[1]!S_STM07_BS(D1427,88,$G$5,$H$13)+[1]!S_STM07_BS(D1427,94,$G$5,$H$13)+[1]!S_STM07_BS(D1427,95,$G$5,$H$13))/$E$5))</f>
        <v/>
      </c>
      <c r="O1427" s="250" t="str">
        <f ca="1">IF(C1427="","",IF($O$11="BPS",[1]!S_STM07_BS(D1427,141,$G$5,$H$13)/IF([1]!S_SHARE_TOTAL(D1427,$G$5)=0,[1]!S_SHARE_TOTAL(D1427,[1]!s_ipo_listeddate(D1427)),[1]!S_SHARE_TOTAL(D1427,$G$5)),[1]!S_STM07_CS(D1427,49,$G$5,$H$13)/$E$5))</f>
        <v/>
      </c>
      <c r="P1427" s="250" t="str">
        <f ca="1">IF(C1427="","",IF($P$11="CFPS",[1]!S_STM07_CS(D1427,84,$G$5,$H$13)/IF([1]!S_SHARE_TOTAL(D1427,$G$5)=0,[1]!S_SHARE_TOTAL(D1427,[1]!s_ipo_listeddate(D1427)),[1]!S_SHARE_TOTAL(D1427,$G$5)),[1]!S_STM07_CS(D1427,84,$G$5,$H$13)/$E$5))</f>
        <v/>
      </c>
      <c r="Q1427" s="198" t="str">
        <f ca="1">IF(C1427="","",F1427/([1]!S_STM07_IS(D1427,61,$G$5,$H$13)/IF([1]!S_SHARE_TOTAL(D1427,$G$5)=0,[1]!S_SHARE_TOTAL(D1427,[1]!s_ipo_listeddate(D1427)),[1]!S_SHARE_TOTAL(D1427,$G$5))))</f>
        <v/>
      </c>
      <c r="R1427" s="198" t="str">
        <f ca="1">IF(C1427="","",F1427/([1]!S_STM07_BS(D1427,141,$G$5,$H$13)/IF([1]!S_SHARE_TOTAL(D1427,$G$5)=0,[1]!S_SHARE_TOTAL(D1427,[1]!s_ipo_listeddate(D1427)),[1]!S_SHARE_TOTAL(D1427,$G$5))))</f>
        <v/>
      </c>
      <c r="S1427" s="249" t="str">
        <f ca="1">IF(C1427="","",[1]!S_SHARE_TOTAL(D1427,TODAY())/$E$5)</f>
        <v/>
      </c>
      <c r="T1427" s="249" t="str">
        <f t="shared" ca="1" si="139"/>
        <v/>
      </c>
      <c r="U1427" s="172" t="str">
        <f t="shared" ca="1" si="140"/>
        <v/>
      </c>
      <c r="V1427" s="343" t="str">
        <f t="shared" ca="1" si="141"/>
        <v/>
      </c>
      <c r="W1427" s="139"/>
      <c r="Y1427" s="1"/>
    </row>
    <row r="1428" spans="3:25" ht="12" customHeight="1">
      <c r="C1428" s="342" t="str">
        <f t="shared" ca="1" si="142"/>
        <v/>
      </c>
      <c r="D1428" s="153" t="str">
        <f t="shared" ca="1" si="137"/>
        <v/>
      </c>
      <c r="E1428" s="153" t="str">
        <f t="shared" ca="1" si="138"/>
        <v/>
      </c>
      <c r="F1428" s="170" t="str">
        <f ca="1">IF(C1428="","",[1]!S_DQ_CLOSE(D1428,TODAY(),1))</f>
        <v/>
      </c>
      <c r="G1428" s="171" t="str">
        <f ca="1">IF(C1428="","",[1]!s_pq_pctchange(D1428,TODAY()-$G$12,TODAY())/100)</f>
        <v/>
      </c>
      <c r="H1428" s="247" t="str">
        <f ca="1">IF(C1428="","",IF($H$11="收入",[1]!S_STM07_IS(D1428,9,$G$5,$H$13)/$E$5,[1]!S_STM07_IS(D1428,48,$G$5,$H$13)/$E$5))</f>
        <v/>
      </c>
      <c r="I1428" s="247" t="str">
        <f ca="1">IF(C1428="","",IF($I$11="毛利率",([1]!S_STM07_IS(D1428,9,$G$5,$H$13)-[1]!S_STM07_IS(D1428,10,$G$5,$H$13))/[1]!S_STM07_IS(D1428,9,$G$5,$H$13),[1]!S_STM07_IS(D1428,14,$G$5,$H$13)/$E$5))</f>
        <v/>
      </c>
      <c r="J1428" s="247" t="str">
        <f ca="1">IF(C1428="","",IF($J$11="营业利润率",[1]!S_STM07_IS(D1428,48,$G$5,$H$13)/[1]!S_STM07_IS(D1428,9,$G$5,$H$13),([1]!S_STM07_CS(D1428,87,$G$5,$H$13)+[1]!S_STM07_CS(D1428,88,$G$5,$H$13)+[1]!S_STM07_CS(D1428,89,$G$5,$H$13))/$E$5))</f>
        <v/>
      </c>
      <c r="K1428" s="247" t="str">
        <f ca="1">IF(C1428="","",IF($K$11="净利润率",[1]!S_STM07_IS(D1428,61,$G$5,$H$13)/[1]!S_STM07_IS(D1428,9,$G$5,$H$13),[1]!S_STM07_IS(D1428,55,$G$5,$H$13)/$E$5))</f>
        <v/>
      </c>
      <c r="L1428" s="247" t="str">
        <f ca="1">IF(C1428="","",IF($L$11="ROA",[1]!S_STM07_IS(D1428,61,$G$5,$H$13)/[1]!S_STM07_BS(D1428,74,$G$5,$H$13),1-[1]!S_STM07_IS(D1428,61,$G$5,$H$13)/[1]!S_STM07_IS(D1428,55,$G$5,$H$13)))</f>
        <v/>
      </c>
      <c r="M1428" s="247" t="str">
        <f ca="1">IF(C1428="","",IF($M$11="ROE",[1]!S_STM07_IS(D1428,61,$G$5,$H$13)/[1]!S_STM07_BS(D1428,141,$G$5,$H$13),([1]!S_STM07_BS(D1428,25,$G$5,$H$13)-[1]!S_STM07_BS(D1428,93,$G$5,$H$13))/$E$5))</f>
        <v/>
      </c>
      <c r="N1428" s="247" t="str">
        <f ca="1">IF(C1428="","",IF($N$11="EPS",[1]!S_STM07_IS(D1428,61,$G$5,$H$13)/IF([1]!S_SHARE_TOTAL(D1428,$G$5)=0,[1]!S_SHARE_TOTAL(D1428,[1]!s_ipo_listeddate(D1428)),[1]!S_SHARE_TOTAL(D1428,$G$5)),([1]!S_STM07_BS(D1428,75,$G$5,$H$13)+[1]!S_STM07_BS(D1428,88,$G$5,$H$13)+[1]!S_STM07_BS(D1428,94,$G$5,$H$13)+[1]!S_STM07_BS(D1428,95,$G$5,$H$13))/$E$5))</f>
        <v/>
      </c>
      <c r="O1428" s="247" t="str">
        <f ca="1">IF(C1428="","",IF($O$11="BPS",[1]!S_STM07_BS(D1428,141,$G$5,$H$13)/IF([1]!S_SHARE_TOTAL(D1428,$G$5)=0,[1]!S_SHARE_TOTAL(D1428,[1]!s_ipo_listeddate(D1428)),[1]!S_SHARE_TOTAL(D1428,$G$5)),[1]!S_STM07_CS(D1428,49,$G$5,$H$13)/$E$5))</f>
        <v/>
      </c>
      <c r="P1428" s="247" t="str">
        <f ca="1">IF(C1428="","",IF($P$11="CFPS",[1]!S_STM07_CS(D1428,84,$G$5,$H$13)/IF([1]!S_SHARE_TOTAL(D1428,$G$5)=0,[1]!S_SHARE_TOTAL(D1428,[1]!s_ipo_listeddate(D1428)),[1]!S_SHARE_TOTAL(D1428,$G$5)),[1]!S_STM07_CS(D1428,84,$G$5,$H$13)/$E$5))</f>
        <v/>
      </c>
      <c r="Q1428" s="248" t="str">
        <f ca="1">IF(C1428="","",F1428/([1]!S_STM07_IS(D1428,61,$G$5,$H$13)/IF([1]!S_SHARE_TOTAL(D1428,$G$5)=0,[1]!S_SHARE_TOTAL(D1428,[1]!s_ipo_listeddate(D1428)),[1]!S_SHARE_TOTAL(D1428,$G$5))))</f>
        <v/>
      </c>
      <c r="R1428" s="248" t="str">
        <f ca="1">IF(C1428="","",F1428/([1]!S_STM07_BS(D1428,141,$G$5,$H$13)/IF([1]!S_SHARE_TOTAL(D1428,$G$5)=0,[1]!S_SHARE_TOTAL(D1428,[1]!s_ipo_listeddate(D1428)),[1]!S_SHARE_TOTAL(D1428,$G$5))))</f>
        <v/>
      </c>
      <c r="S1428" s="247" t="str">
        <f ca="1">IF(C1428="","",[1]!S_SHARE_TOTAL(D1428,TODAY())/$E$5)</f>
        <v/>
      </c>
      <c r="T1428" s="247" t="str">
        <f t="shared" ca="1" si="139"/>
        <v/>
      </c>
      <c r="U1428" s="218" t="str">
        <f t="shared" ca="1" si="140"/>
        <v/>
      </c>
      <c r="V1428" s="342" t="str">
        <f t="shared" ca="1" si="141"/>
        <v/>
      </c>
      <c r="W1428" s="139"/>
      <c r="Y1428" s="1"/>
    </row>
    <row r="1429" spans="3:25" ht="12" customHeight="1">
      <c r="C1429" s="343" t="str">
        <f t="shared" ca="1" si="142"/>
        <v/>
      </c>
      <c r="D1429" s="124" t="str">
        <f t="shared" ca="1" si="137"/>
        <v/>
      </c>
      <c r="E1429" s="124" t="str">
        <f t="shared" ca="1" si="138"/>
        <v/>
      </c>
      <c r="F1429" s="172" t="str">
        <f ca="1">IF(C1429="","",[1]!S_DQ_CLOSE(D1429,TODAY(),1))</f>
        <v/>
      </c>
      <c r="G1429" s="173" t="str">
        <f ca="1">IF(C1429="","",[1]!s_pq_pctchange(D1429,TODAY()-$G$12,TODAY())/100)</f>
        <v/>
      </c>
      <c r="H1429" s="249" t="str">
        <f ca="1">IF(C1429="","",IF($H$11="收入",[1]!S_STM07_IS(D1429,9,$G$5,$H$13)/$E$5,[1]!S_STM07_IS(D1429,48,$G$5,$H$13)/$E$5))</f>
        <v/>
      </c>
      <c r="I1429" s="249" t="str">
        <f ca="1">IF(C1429="","",IF($I$11="毛利率",([1]!S_STM07_IS(D1429,9,$G$5,$H$13)-[1]!S_STM07_IS(D1429,10,$G$5,$H$13))/[1]!S_STM07_IS(D1429,9,$G$5,$H$13),[1]!S_STM07_IS(D1429,14,$G$5,$H$13)/$E$5))</f>
        <v/>
      </c>
      <c r="J1429" s="249" t="str">
        <f ca="1">IF(C1429="","",IF($J$11="营业利润率",[1]!S_STM07_IS(D1429,48,$G$5,$H$13)/[1]!S_STM07_IS(D1429,9,$G$5,$H$13),([1]!S_STM07_CS(D1429,87,$G$5,$H$13)+[1]!S_STM07_CS(D1429,88,$G$5,$H$13)+[1]!S_STM07_CS(D1429,89,$G$5,$H$13))/$E$5))</f>
        <v/>
      </c>
      <c r="K1429" s="249" t="str">
        <f ca="1">IF(C1429="","",IF($K$11="净利润率",[1]!S_STM07_IS(D1429,61,$G$5,$H$13)/[1]!S_STM07_IS(D1429,9,$G$5,$H$13),[1]!S_STM07_IS(D1429,55,$G$5,$H$13)/$E$5))</f>
        <v/>
      </c>
      <c r="L1429" s="249" t="str">
        <f ca="1">IF(C1429="","",IF($L$11="ROA",[1]!S_STM07_IS(D1429,61,$G$5,$H$13)/[1]!S_STM07_BS(D1429,74,$G$5,$H$13),1-[1]!S_STM07_IS(D1429,61,$G$5,$H$13)/[1]!S_STM07_IS(D1429,55,$G$5,$H$13)))</f>
        <v/>
      </c>
      <c r="M1429" s="249" t="str">
        <f ca="1">IF(C1429="","",IF($M$11="ROE",[1]!S_STM07_IS(D1429,61,$G$5,$H$13)/[1]!S_STM07_BS(D1429,141,$G$5,$H$13),([1]!S_STM07_BS(D1429,25,$G$5,$H$13)-[1]!S_STM07_BS(D1429,93,$G$5,$H$13))/$E$5))</f>
        <v/>
      </c>
      <c r="N1429" s="250" t="str">
        <f ca="1">IF(C1429="","",IF($N$11="EPS",[1]!S_STM07_IS(D1429,61,$G$5,$H$13)/IF([1]!S_SHARE_TOTAL(D1429,$G$5)=0,[1]!S_SHARE_TOTAL(D1429,[1]!s_ipo_listeddate(D1429)),[1]!S_SHARE_TOTAL(D1429,$G$5)),([1]!S_STM07_BS(D1429,75,$G$5,$H$13)+[1]!S_STM07_BS(D1429,88,$G$5,$H$13)+[1]!S_STM07_BS(D1429,94,$G$5,$H$13)+[1]!S_STM07_BS(D1429,95,$G$5,$H$13))/$E$5))</f>
        <v/>
      </c>
      <c r="O1429" s="250" t="str">
        <f ca="1">IF(C1429="","",IF($O$11="BPS",[1]!S_STM07_BS(D1429,141,$G$5,$H$13)/IF([1]!S_SHARE_TOTAL(D1429,$G$5)=0,[1]!S_SHARE_TOTAL(D1429,[1]!s_ipo_listeddate(D1429)),[1]!S_SHARE_TOTAL(D1429,$G$5)),[1]!S_STM07_CS(D1429,49,$G$5,$H$13)/$E$5))</f>
        <v/>
      </c>
      <c r="P1429" s="250" t="str">
        <f ca="1">IF(C1429="","",IF($P$11="CFPS",[1]!S_STM07_CS(D1429,84,$G$5,$H$13)/IF([1]!S_SHARE_TOTAL(D1429,$G$5)=0,[1]!S_SHARE_TOTAL(D1429,[1]!s_ipo_listeddate(D1429)),[1]!S_SHARE_TOTAL(D1429,$G$5)),[1]!S_STM07_CS(D1429,84,$G$5,$H$13)/$E$5))</f>
        <v/>
      </c>
      <c r="Q1429" s="198" t="str">
        <f ca="1">IF(C1429="","",F1429/([1]!S_STM07_IS(D1429,61,$G$5,$H$13)/IF([1]!S_SHARE_TOTAL(D1429,$G$5)=0,[1]!S_SHARE_TOTAL(D1429,[1]!s_ipo_listeddate(D1429)),[1]!S_SHARE_TOTAL(D1429,$G$5))))</f>
        <v/>
      </c>
      <c r="R1429" s="198" t="str">
        <f ca="1">IF(C1429="","",F1429/([1]!S_STM07_BS(D1429,141,$G$5,$H$13)/IF([1]!S_SHARE_TOTAL(D1429,$G$5)=0,[1]!S_SHARE_TOTAL(D1429,[1]!s_ipo_listeddate(D1429)),[1]!S_SHARE_TOTAL(D1429,$G$5))))</f>
        <v/>
      </c>
      <c r="S1429" s="249" t="str">
        <f ca="1">IF(C1429="","",[1]!S_SHARE_TOTAL(D1429,TODAY())/$E$5)</f>
        <v/>
      </c>
      <c r="T1429" s="249" t="str">
        <f t="shared" ca="1" si="139"/>
        <v/>
      </c>
      <c r="U1429" s="172" t="str">
        <f t="shared" ca="1" si="140"/>
        <v/>
      </c>
      <c r="V1429" s="343" t="str">
        <f t="shared" ca="1" si="141"/>
        <v/>
      </c>
      <c r="W1429" s="139"/>
      <c r="Y1429" s="1"/>
    </row>
    <row r="1430" spans="3:25" ht="12" customHeight="1">
      <c r="C1430" s="342" t="str">
        <f t="shared" ca="1" si="142"/>
        <v/>
      </c>
      <c r="D1430" s="153" t="str">
        <f t="shared" ca="1" si="137"/>
        <v/>
      </c>
      <c r="E1430" s="153" t="str">
        <f t="shared" ca="1" si="138"/>
        <v/>
      </c>
      <c r="F1430" s="170" t="str">
        <f ca="1">IF(C1430="","",[1]!S_DQ_CLOSE(D1430,TODAY(),1))</f>
        <v/>
      </c>
      <c r="G1430" s="171" t="str">
        <f ca="1">IF(C1430="","",[1]!s_pq_pctchange(D1430,TODAY()-$G$12,TODAY())/100)</f>
        <v/>
      </c>
      <c r="H1430" s="247" t="str">
        <f ca="1">IF(C1430="","",IF($H$11="收入",[1]!S_STM07_IS(D1430,9,$G$5,$H$13)/$E$5,[1]!S_STM07_IS(D1430,48,$G$5,$H$13)/$E$5))</f>
        <v/>
      </c>
      <c r="I1430" s="247" t="str">
        <f ca="1">IF(C1430="","",IF($I$11="毛利率",([1]!S_STM07_IS(D1430,9,$G$5,$H$13)-[1]!S_STM07_IS(D1430,10,$G$5,$H$13))/[1]!S_STM07_IS(D1430,9,$G$5,$H$13),[1]!S_STM07_IS(D1430,14,$G$5,$H$13)/$E$5))</f>
        <v/>
      </c>
      <c r="J1430" s="247" t="str">
        <f ca="1">IF(C1430="","",IF($J$11="营业利润率",[1]!S_STM07_IS(D1430,48,$G$5,$H$13)/[1]!S_STM07_IS(D1430,9,$G$5,$H$13),([1]!S_STM07_CS(D1430,87,$G$5,$H$13)+[1]!S_STM07_CS(D1430,88,$G$5,$H$13)+[1]!S_STM07_CS(D1430,89,$G$5,$H$13))/$E$5))</f>
        <v/>
      </c>
      <c r="K1430" s="247" t="str">
        <f ca="1">IF(C1430="","",IF($K$11="净利润率",[1]!S_STM07_IS(D1430,61,$G$5,$H$13)/[1]!S_STM07_IS(D1430,9,$G$5,$H$13),[1]!S_STM07_IS(D1430,55,$G$5,$H$13)/$E$5))</f>
        <v/>
      </c>
      <c r="L1430" s="247" t="str">
        <f ca="1">IF(C1430="","",IF($L$11="ROA",[1]!S_STM07_IS(D1430,61,$G$5,$H$13)/[1]!S_STM07_BS(D1430,74,$G$5,$H$13),1-[1]!S_STM07_IS(D1430,61,$G$5,$H$13)/[1]!S_STM07_IS(D1430,55,$G$5,$H$13)))</f>
        <v/>
      </c>
      <c r="M1430" s="247" t="str">
        <f ca="1">IF(C1430="","",IF($M$11="ROE",[1]!S_STM07_IS(D1430,61,$G$5,$H$13)/[1]!S_STM07_BS(D1430,141,$G$5,$H$13),([1]!S_STM07_BS(D1430,25,$G$5,$H$13)-[1]!S_STM07_BS(D1430,93,$G$5,$H$13))/$E$5))</f>
        <v/>
      </c>
      <c r="N1430" s="247" t="str">
        <f ca="1">IF(C1430="","",IF($N$11="EPS",[1]!S_STM07_IS(D1430,61,$G$5,$H$13)/IF([1]!S_SHARE_TOTAL(D1430,$G$5)=0,[1]!S_SHARE_TOTAL(D1430,[1]!s_ipo_listeddate(D1430)),[1]!S_SHARE_TOTAL(D1430,$G$5)),([1]!S_STM07_BS(D1430,75,$G$5,$H$13)+[1]!S_STM07_BS(D1430,88,$G$5,$H$13)+[1]!S_STM07_BS(D1430,94,$G$5,$H$13)+[1]!S_STM07_BS(D1430,95,$G$5,$H$13))/$E$5))</f>
        <v/>
      </c>
      <c r="O1430" s="247" t="str">
        <f ca="1">IF(C1430="","",IF($O$11="BPS",[1]!S_STM07_BS(D1430,141,$G$5,$H$13)/IF([1]!S_SHARE_TOTAL(D1430,$G$5)=0,[1]!S_SHARE_TOTAL(D1430,[1]!s_ipo_listeddate(D1430)),[1]!S_SHARE_TOTAL(D1430,$G$5)),[1]!S_STM07_CS(D1430,49,$G$5,$H$13)/$E$5))</f>
        <v/>
      </c>
      <c r="P1430" s="247" t="str">
        <f ca="1">IF(C1430="","",IF($P$11="CFPS",[1]!S_STM07_CS(D1430,84,$G$5,$H$13)/IF([1]!S_SHARE_TOTAL(D1430,$G$5)=0,[1]!S_SHARE_TOTAL(D1430,[1]!s_ipo_listeddate(D1430)),[1]!S_SHARE_TOTAL(D1430,$G$5)),[1]!S_STM07_CS(D1430,84,$G$5,$H$13)/$E$5))</f>
        <v/>
      </c>
      <c r="Q1430" s="248" t="str">
        <f ca="1">IF(C1430="","",F1430/([1]!S_STM07_IS(D1430,61,$G$5,$H$13)/IF([1]!S_SHARE_TOTAL(D1430,$G$5)=0,[1]!S_SHARE_TOTAL(D1430,[1]!s_ipo_listeddate(D1430)),[1]!S_SHARE_TOTAL(D1430,$G$5))))</f>
        <v/>
      </c>
      <c r="R1430" s="248" t="str">
        <f ca="1">IF(C1430="","",F1430/([1]!S_STM07_BS(D1430,141,$G$5,$H$13)/IF([1]!S_SHARE_TOTAL(D1430,$G$5)=0,[1]!S_SHARE_TOTAL(D1430,[1]!s_ipo_listeddate(D1430)),[1]!S_SHARE_TOTAL(D1430,$G$5))))</f>
        <v/>
      </c>
      <c r="S1430" s="247" t="str">
        <f ca="1">IF(C1430="","",[1]!S_SHARE_TOTAL(D1430,TODAY())/$E$5)</f>
        <v/>
      </c>
      <c r="T1430" s="247" t="str">
        <f t="shared" ca="1" si="139"/>
        <v/>
      </c>
      <c r="U1430" s="218" t="str">
        <f t="shared" ca="1" si="140"/>
        <v/>
      </c>
      <c r="V1430" s="342" t="str">
        <f t="shared" ca="1" si="141"/>
        <v/>
      </c>
      <c r="W1430" s="139"/>
      <c r="Y1430" s="1"/>
    </row>
    <row r="1431" spans="3:25" ht="12" customHeight="1">
      <c r="C1431" s="343" t="str">
        <f t="shared" ca="1" si="142"/>
        <v/>
      </c>
      <c r="D1431" s="124" t="str">
        <f t="shared" ca="1" si="137"/>
        <v/>
      </c>
      <c r="E1431" s="124" t="str">
        <f t="shared" ca="1" si="138"/>
        <v/>
      </c>
      <c r="F1431" s="172" t="str">
        <f ca="1">IF(C1431="","",[1]!S_DQ_CLOSE(D1431,TODAY(),1))</f>
        <v/>
      </c>
      <c r="G1431" s="173" t="str">
        <f ca="1">IF(C1431="","",[1]!s_pq_pctchange(D1431,TODAY()-$G$12,TODAY())/100)</f>
        <v/>
      </c>
      <c r="H1431" s="249" t="str">
        <f ca="1">IF(C1431="","",IF($H$11="收入",[1]!S_STM07_IS(D1431,9,$G$5,$H$13)/$E$5,[1]!S_STM07_IS(D1431,48,$G$5,$H$13)/$E$5))</f>
        <v/>
      </c>
      <c r="I1431" s="249" t="str">
        <f ca="1">IF(C1431="","",IF($I$11="毛利率",([1]!S_STM07_IS(D1431,9,$G$5,$H$13)-[1]!S_STM07_IS(D1431,10,$G$5,$H$13))/[1]!S_STM07_IS(D1431,9,$G$5,$H$13),[1]!S_STM07_IS(D1431,14,$G$5,$H$13)/$E$5))</f>
        <v/>
      </c>
      <c r="J1431" s="249" t="str">
        <f ca="1">IF(C1431="","",IF($J$11="营业利润率",[1]!S_STM07_IS(D1431,48,$G$5,$H$13)/[1]!S_STM07_IS(D1431,9,$G$5,$H$13),([1]!S_STM07_CS(D1431,87,$G$5,$H$13)+[1]!S_STM07_CS(D1431,88,$G$5,$H$13)+[1]!S_STM07_CS(D1431,89,$G$5,$H$13))/$E$5))</f>
        <v/>
      </c>
      <c r="K1431" s="249" t="str">
        <f ca="1">IF(C1431="","",IF($K$11="净利润率",[1]!S_STM07_IS(D1431,61,$G$5,$H$13)/[1]!S_STM07_IS(D1431,9,$G$5,$H$13),[1]!S_STM07_IS(D1431,55,$G$5,$H$13)/$E$5))</f>
        <v/>
      </c>
      <c r="L1431" s="249" t="str">
        <f ca="1">IF(C1431="","",IF($L$11="ROA",[1]!S_STM07_IS(D1431,61,$G$5,$H$13)/[1]!S_STM07_BS(D1431,74,$G$5,$H$13),1-[1]!S_STM07_IS(D1431,61,$G$5,$H$13)/[1]!S_STM07_IS(D1431,55,$G$5,$H$13)))</f>
        <v/>
      </c>
      <c r="M1431" s="249" t="str">
        <f ca="1">IF(C1431="","",IF($M$11="ROE",[1]!S_STM07_IS(D1431,61,$G$5,$H$13)/[1]!S_STM07_BS(D1431,141,$G$5,$H$13),([1]!S_STM07_BS(D1431,25,$G$5,$H$13)-[1]!S_STM07_BS(D1431,93,$G$5,$H$13))/$E$5))</f>
        <v/>
      </c>
      <c r="N1431" s="250" t="str">
        <f ca="1">IF(C1431="","",IF($N$11="EPS",[1]!S_STM07_IS(D1431,61,$G$5,$H$13)/IF([1]!S_SHARE_TOTAL(D1431,$G$5)=0,[1]!S_SHARE_TOTAL(D1431,[1]!s_ipo_listeddate(D1431)),[1]!S_SHARE_TOTAL(D1431,$G$5)),([1]!S_STM07_BS(D1431,75,$G$5,$H$13)+[1]!S_STM07_BS(D1431,88,$G$5,$H$13)+[1]!S_STM07_BS(D1431,94,$G$5,$H$13)+[1]!S_STM07_BS(D1431,95,$G$5,$H$13))/$E$5))</f>
        <v/>
      </c>
      <c r="O1431" s="250" t="str">
        <f ca="1">IF(C1431="","",IF($O$11="BPS",[1]!S_STM07_BS(D1431,141,$G$5,$H$13)/IF([1]!S_SHARE_TOTAL(D1431,$G$5)=0,[1]!S_SHARE_TOTAL(D1431,[1]!s_ipo_listeddate(D1431)),[1]!S_SHARE_TOTAL(D1431,$G$5)),[1]!S_STM07_CS(D1431,49,$G$5,$H$13)/$E$5))</f>
        <v/>
      </c>
      <c r="P1431" s="250" t="str">
        <f ca="1">IF(C1431="","",IF($P$11="CFPS",[1]!S_STM07_CS(D1431,84,$G$5,$H$13)/IF([1]!S_SHARE_TOTAL(D1431,$G$5)=0,[1]!S_SHARE_TOTAL(D1431,[1]!s_ipo_listeddate(D1431)),[1]!S_SHARE_TOTAL(D1431,$G$5)),[1]!S_STM07_CS(D1431,84,$G$5,$H$13)/$E$5))</f>
        <v/>
      </c>
      <c r="Q1431" s="198" t="str">
        <f ca="1">IF(C1431="","",F1431/([1]!S_STM07_IS(D1431,61,$G$5,$H$13)/IF([1]!S_SHARE_TOTAL(D1431,$G$5)=0,[1]!S_SHARE_TOTAL(D1431,[1]!s_ipo_listeddate(D1431)),[1]!S_SHARE_TOTAL(D1431,$G$5))))</f>
        <v/>
      </c>
      <c r="R1431" s="198" t="str">
        <f ca="1">IF(C1431="","",F1431/([1]!S_STM07_BS(D1431,141,$G$5,$H$13)/IF([1]!S_SHARE_TOTAL(D1431,$G$5)=0,[1]!S_SHARE_TOTAL(D1431,[1]!s_ipo_listeddate(D1431)),[1]!S_SHARE_TOTAL(D1431,$G$5))))</f>
        <v/>
      </c>
      <c r="S1431" s="249" t="str">
        <f ca="1">IF(C1431="","",[1]!S_SHARE_TOTAL(D1431,TODAY())/$E$5)</f>
        <v/>
      </c>
      <c r="T1431" s="249" t="str">
        <f t="shared" ca="1" si="139"/>
        <v/>
      </c>
      <c r="U1431" s="172" t="str">
        <f t="shared" ca="1" si="140"/>
        <v/>
      </c>
      <c r="V1431" s="343" t="str">
        <f t="shared" ca="1" si="141"/>
        <v/>
      </c>
      <c r="W1431" s="139"/>
      <c r="Y1431" s="1"/>
    </row>
    <row r="1432" spans="3:25" ht="12" customHeight="1">
      <c r="C1432" s="342" t="str">
        <f t="shared" ca="1" si="142"/>
        <v/>
      </c>
      <c r="D1432" s="153" t="str">
        <f t="shared" ca="1" si="137"/>
        <v/>
      </c>
      <c r="E1432" s="153" t="str">
        <f t="shared" ca="1" si="138"/>
        <v/>
      </c>
      <c r="F1432" s="170" t="str">
        <f ca="1">IF(C1432="","",[1]!S_DQ_CLOSE(D1432,TODAY(),1))</f>
        <v/>
      </c>
      <c r="G1432" s="171" t="str">
        <f ca="1">IF(C1432="","",[1]!s_pq_pctchange(D1432,TODAY()-$G$12,TODAY())/100)</f>
        <v/>
      </c>
      <c r="H1432" s="247" t="str">
        <f ca="1">IF(C1432="","",IF($H$11="收入",[1]!S_STM07_IS(D1432,9,$G$5,$H$13)/$E$5,[1]!S_STM07_IS(D1432,48,$G$5,$H$13)/$E$5))</f>
        <v/>
      </c>
      <c r="I1432" s="247" t="str">
        <f ca="1">IF(C1432="","",IF($I$11="毛利率",([1]!S_STM07_IS(D1432,9,$G$5,$H$13)-[1]!S_STM07_IS(D1432,10,$G$5,$H$13))/[1]!S_STM07_IS(D1432,9,$G$5,$H$13),[1]!S_STM07_IS(D1432,14,$G$5,$H$13)/$E$5))</f>
        <v/>
      </c>
      <c r="J1432" s="247" t="str">
        <f ca="1">IF(C1432="","",IF($J$11="营业利润率",[1]!S_STM07_IS(D1432,48,$G$5,$H$13)/[1]!S_STM07_IS(D1432,9,$G$5,$H$13),([1]!S_STM07_CS(D1432,87,$G$5,$H$13)+[1]!S_STM07_CS(D1432,88,$G$5,$H$13)+[1]!S_STM07_CS(D1432,89,$G$5,$H$13))/$E$5))</f>
        <v/>
      </c>
      <c r="K1432" s="247" t="str">
        <f ca="1">IF(C1432="","",IF($K$11="净利润率",[1]!S_STM07_IS(D1432,61,$G$5,$H$13)/[1]!S_STM07_IS(D1432,9,$G$5,$H$13),[1]!S_STM07_IS(D1432,55,$G$5,$H$13)/$E$5))</f>
        <v/>
      </c>
      <c r="L1432" s="247" t="str">
        <f ca="1">IF(C1432="","",IF($L$11="ROA",[1]!S_STM07_IS(D1432,61,$G$5,$H$13)/[1]!S_STM07_BS(D1432,74,$G$5,$H$13),1-[1]!S_STM07_IS(D1432,61,$G$5,$H$13)/[1]!S_STM07_IS(D1432,55,$G$5,$H$13)))</f>
        <v/>
      </c>
      <c r="M1432" s="247" t="str">
        <f ca="1">IF(C1432="","",IF($M$11="ROE",[1]!S_STM07_IS(D1432,61,$G$5,$H$13)/[1]!S_STM07_BS(D1432,141,$G$5,$H$13),([1]!S_STM07_BS(D1432,25,$G$5,$H$13)-[1]!S_STM07_BS(D1432,93,$G$5,$H$13))/$E$5))</f>
        <v/>
      </c>
      <c r="N1432" s="247" t="str">
        <f ca="1">IF(C1432="","",IF($N$11="EPS",[1]!S_STM07_IS(D1432,61,$G$5,$H$13)/IF([1]!S_SHARE_TOTAL(D1432,$G$5)=0,[1]!S_SHARE_TOTAL(D1432,[1]!s_ipo_listeddate(D1432)),[1]!S_SHARE_TOTAL(D1432,$G$5)),([1]!S_STM07_BS(D1432,75,$G$5,$H$13)+[1]!S_STM07_BS(D1432,88,$G$5,$H$13)+[1]!S_STM07_BS(D1432,94,$G$5,$H$13)+[1]!S_STM07_BS(D1432,95,$G$5,$H$13))/$E$5))</f>
        <v/>
      </c>
      <c r="O1432" s="247" t="str">
        <f ca="1">IF(C1432="","",IF($O$11="BPS",[1]!S_STM07_BS(D1432,141,$G$5,$H$13)/IF([1]!S_SHARE_TOTAL(D1432,$G$5)=0,[1]!S_SHARE_TOTAL(D1432,[1]!s_ipo_listeddate(D1432)),[1]!S_SHARE_TOTAL(D1432,$G$5)),[1]!S_STM07_CS(D1432,49,$G$5,$H$13)/$E$5))</f>
        <v/>
      </c>
      <c r="P1432" s="247" t="str">
        <f ca="1">IF(C1432="","",IF($P$11="CFPS",[1]!S_STM07_CS(D1432,84,$G$5,$H$13)/IF([1]!S_SHARE_TOTAL(D1432,$G$5)=0,[1]!S_SHARE_TOTAL(D1432,[1]!s_ipo_listeddate(D1432)),[1]!S_SHARE_TOTAL(D1432,$G$5)),[1]!S_STM07_CS(D1432,84,$G$5,$H$13)/$E$5))</f>
        <v/>
      </c>
      <c r="Q1432" s="248" t="str">
        <f ca="1">IF(C1432="","",F1432/([1]!S_STM07_IS(D1432,61,$G$5,$H$13)/IF([1]!S_SHARE_TOTAL(D1432,$G$5)=0,[1]!S_SHARE_TOTAL(D1432,[1]!s_ipo_listeddate(D1432)),[1]!S_SHARE_TOTAL(D1432,$G$5))))</f>
        <v/>
      </c>
      <c r="R1432" s="248" t="str">
        <f ca="1">IF(C1432="","",F1432/([1]!S_STM07_BS(D1432,141,$G$5,$H$13)/IF([1]!S_SHARE_TOTAL(D1432,$G$5)=0,[1]!S_SHARE_TOTAL(D1432,[1]!s_ipo_listeddate(D1432)),[1]!S_SHARE_TOTAL(D1432,$G$5))))</f>
        <v/>
      </c>
      <c r="S1432" s="247" t="str">
        <f ca="1">IF(C1432="","",[1]!S_SHARE_TOTAL(D1432,TODAY())/$E$5)</f>
        <v/>
      </c>
      <c r="T1432" s="247" t="str">
        <f t="shared" ca="1" si="139"/>
        <v/>
      </c>
      <c r="U1432" s="218" t="str">
        <f t="shared" ca="1" si="140"/>
        <v/>
      </c>
      <c r="V1432" s="342" t="str">
        <f t="shared" ca="1" si="141"/>
        <v/>
      </c>
      <c r="W1432" s="139"/>
      <c r="Y1432" s="1"/>
    </row>
    <row r="1433" spans="3:25" ht="12" customHeight="1">
      <c r="C1433" s="343" t="str">
        <f t="shared" ca="1" si="142"/>
        <v/>
      </c>
      <c r="D1433" s="124" t="str">
        <f t="shared" ref="D1433:D1496" ca="1" si="143">IF(C1433="","",VLOOKUP(C1433,comppool,2,FALSE))</f>
        <v/>
      </c>
      <c r="E1433" s="124" t="str">
        <f t="shared" ref="E1433:E1496" ca="1" si="144">IF(C1433="","",VLOOKUP(C1433,comppool,3,FALSE))</f>
        <v/>
      </c>
      <c r="F1433" s="172" t="str">
        <f ca="1">IF(C1433="","",[1]!S_DQ_CLOSE(D1433,TODAY(),1))</f>
        <v/>
      </c>
      <c r="G1433" s="173" t="str">
        <f ca="1">IF(C1433="","",[1]!s_pq_pctchange(D1433,TODAY()-$G$12,TODAY())/100)</f>
        <v/>
      </c>
      <c r="H1433" s="249" t="str">
        <f ca="1">IF(C1433="","",IF($H$11="收入",[1]!S_STM07_IS(D1433,9,$G$5,$H$13)/$E$5,[1]!S_STM07_IS(D1433,48,$G$5,$H$13)/$E$5))</f>
        <v/>
      </c>
      <c r="I1433" s="249" t="str">
        <f ca="1">IF(C1433="","",IF($I$11="毛利率",([1]!S_STM07_IS(D1433,9,$G$5,$H$13)-[1]!S_STM07_IS(D1433,10,$G$5,$H$13))/[1]!S_STM07_IS(D1433,9,$G$5,$H$13),[1]!S_STM07_IS(D1433,14,$G$5,$H$13)/$E$5))</f>
        <v/>
      </c>
      <c r="J1433" s="249" t="str">
        <f ca="1">IF(C1433="","",IF($J$11="营业利润率",[1]!S_STM07_IS(D1433,48,$G$5,$H$13)/[1]!S_STM07_IS(D1433,9,$G$5,$H$13),([1]!S_STM07_CS(D1433,87,$G$5,$H$13)+[1]!S_STM07_CS(D1433,88,$G$5,$H$13)+[1]!S_STM07_CS(D1433,89,$G$5,$H$13))/$E$5))</f>
        <v/>
      </c>
      <c r="K1433" s="249" t="str">
        <f ca="1">IF(C1433="","",IF($K$11="净利润率",[1]!S_STM07_IS(D1433,61,$G$5,$H$13)/[1]!S_STM07_IS(D1433,9,$G$5,$H$13),[1]!S_STM07_IS(D1433,55,$G$5,$H$13)/$E$5))</f>
        <v/>
      </c>
      <c r="L1433" s="249" t="str">
        <f ca="1">IF(C1433="","",IF($L$11="ROA",[1]!S_STM07_IS(D1433,61,$G$5,$H$13)/[1]!S_STM07_BS(D1433,74,$G$5,$H$13),1-[1]!S_STM07_IS(D1433,61,$G$5,$H$13)/[1]!S_STM07_IS(D1433,55,$G$5,$H$13)))</f>
        <v/>
      </c>
      <c r="M1433" s="249" t="str">
        <f ca="1">IF(C1433="","",IF($M$11="ROE",[1]!S_STM07_IS(D1433,61,$G$5,$H$13)/[1]!S_STM07_BS(D1433,141,$G$5,$H$13),([1]!S_STM07_BS(D1433,25,$G$5,$H$13)-[1]!S_STM07_BS(D1433,93,$G$5,$H$13))/$E$5))</f>
        <v/>
      </c>
      <c r="N1433" s="250" t="str">
        <f ca="1">IF(C1433="","",IF($N$11="EPS",[1]!S_STM07_IS(D1433,61,$G$5,$H$13)/IF([1]!S_SHARE_TOTAL(D1433,$G$5)=0,[1]!S_SHARE_TOTAL(D1433,[1]!s_ipo_listeddate(D1433)),[1]!S_SHARE_TOTAL(D1433,$G$5)),([1]!S_STM07_BS(D1433,75,$G$5,$H$13)+[1]!S_STM07_BS(D1433,88,$G$5,$H$13)+[1]!S_STM07_BS(D1433,94,$G$5,$H$13)+[1]!S_STM07_BS(D1433,95,$G$5,$H$13))/$E$5))</f>
        <v/>
      </c>
      <c r="O1433" s="250" t="str">
        <f ca="1">IF(C1433="","",IF($O$11="BPS",[1]!S_STM07_BS(D1433,141,$G$5,$H$13)/IF([1]!S_SHARE_TOTAL(D1433,$G$5)=0,[1]!S_SHARE_TOTAL(D1433,[1]!s_ipo_listeddate(D1433)),[1]!S_SHARE_TOTAL(D1433,$G$5)),[1]!S_STM07_CS(D1433,49,$G$5,$H$13)/$E$5))</f>
        <v/>
      </c>
      <c r="P1433" s="250" t="str">
        <f ca="1">IF(C1433="","",IF($P$11="CFPS",[1]!S_STM07_CS(D1433,84,$G$5,$H$13)/IF([1]!S_SHARE_TOTAL(D1433,$G$5)=0,[1]!S_SHARE_TOTAL(D1433,[1]!s_ipo_listeddate(D1433)),[1]!S_SHARE_TOTAL(D1433,$G$5)),[1]!S_STM07_CS(D1433,84,$G$5,$H$13)/$E$5))</f>
        <v/>
      </c>
      <c r="Q1433" s="198" t="str">
        <f ca="1">IF(C1433="","",F1433/([1]!S_STM07_IS(D1433,61,$G$5,$H$13)/IF([1]!S_SHARE_TOTAL(D1433,$G$5)=0,[1]!S_SHARE_TOTAL(D1433,[1]!s_ipo_listeddate(D1433)),[1]!S_SHARE_TOTAL(D1433,$G$5))))</f>
        <v/>
      </c>
      <c r="R1433" s="198" t="str">
        <f ca="1">IF(C1433="","",F1433/([1]!S_STM07_BS(D1433,141,$G$5,$H$13)/IF([1]!S_SHARE_TOTAL(D1433,$G$5)=0,[1]!S_SHARE_TOTAL(D1433,[1]!s_ipo_listeddate(D1433)),[1]!S_SHARE_TOTAL(D1433,$G$5))))</f>
        <v/>
      </c>
      <c r="S1433" s="249" t="str">
        <f ca="1">IF(C1433="","",[1]!S_SHARE_TOTAL(D1433,TODAY())/$E$5)</f>
        <v/>
      </c>
      <c r="T1433" s="249" t="str">
        <f t="shared" ref="T1433:T1496" ca="1" si="145">IF(C1433="","",F1433*S1433)</f>
        <v/>
      </c>
      <c r="U1433" s="172" t="str">
        <f t="shared" ref="U1433:U1496" ca="1" si="146">IF(C1433="","",HLOOKUP($V$12,$G$11:$T$20003,ROW()-ROW($G$11)+1,FALSE))</f>
        <v/>
      </c>
      <c r="V1433" s="343" t="str">
        <f t="shared" ref="V1433:V1496" ca="1" si="147">IF(C1433="","",RANK(U1433,U:U,0))</f>
        <v/>
      </c>
      <c r="W1433" s="139"/>
      <c r="Y1433" s="1"/>
    </row>
    <row r="1434" spans="3:25" ht="12" customHeight="1">
      <c r="C1434" s="342" t="str">
        <f t="shared" ca="1" si="142"/>
        <v/>
      </c>
      <c r="D1434" s="153" t="str">
        <f t="shared" ca="1" si="143"/>
        <v/>
      </c>
      <c r="E1434" s="153" t="str">
        <f t="shared" ca="1" si="144"/>
        <v/>
      </c>
      <c r="F1434" s="170" t="str">
        <f ca="1">IF(C1434="","",[1]!S_DQ_CLOSE(D1434,TODAY(),1))</f>
        <v/>
      </c>
      <c r="G1434" s="171" t="str">
        <f ca="1">IF(C1434="","",[1]!s_pq_pctchange(D1434,TODAY()-$G$12,TODAY())/100)</f>
        <v/>
      </c>
      <c r="H1434" s="247" t="str">
        <f ca="1">IF(C1434="","",IF($H$11="收入",[1]!S_STM07_IS(D1434,9,$G$5,$H$13)/$E$5,[1]!S_STM07_IS(D1434,48,$G$5,$H$13)/$E$5))</f>
        <v/>
      </c>
      <c r="I1434" s="247" t="str">
        <f ca="1">IF(C1434="","",IF($I$11="毛利率",([1]!S_STM07_IS(D1434,9,$G$5,$H$13)-[1]!S_STM07_IS(D1434,10,$G$5,$H$13))/[1]!S_STM07_IS(D1434,9,$G$5,$H$13),[1]!S_STM07_IS(D1434,14,$G$5,$H$13)/$E$5))</f>
        <v/>
      </c>
      <c r="J1434" s="247" t="str">
        <f ca="1">IF(C1434="","",IF($J$11="营业利润率",[1]!S_STM07_IS(D1434,48,$G$5,$H$13)/[1]!S_STM07_IS(D1434,9,$G$5,$H$13),([1]!S_STM07_CS(D1434,87,$G$5,$H$13)+[1]!S_STM07_CS(D1434,88,$G$5,$H$13)+[1]!S_STM07_CS(D1434,89,$G$5,$H$13))/$E$5))</f>
        <v/>
      </c>
      <c r="K1434" s="247" t="str">
        <f ca="1">IF(C1434="","",IF($K$11="净利润率",[1]!S_STM07_IS(D1434,61,$G$5,$H$13)/[1]!S_STM07_IS(D1434,9,$G$5,$H$13),[1]!S_STM07_IS(D1434,55,$G$5,$H$13)/$E$5))</f>
        <v/>
      </c>
      <c r="L1434" s="247" t="str">
        <f ca="1">IF(C1434="","",IF($L$11="ROA",[1]!S_STM07_IS(D1434,61,$G$5,$H$13)/[1]!S_STM07_BS(D1434,74,$G$5,$H$13),1-[1]!S_STM07_IS(D1434,61,$G$5,$H$13)/[1]!S_STM07_IS(D1434,55,$G$5,$H$13)))</f>
        <v/>
      </c>
      <c r="M1434" s="247" t="str">
        <f ca="1">IF(C1434="","",IF($M$11="ROE",[1]!S_STM07_IS(D1434,61,$G$5,$H$13)/[1]!S_STM07_BS(D1434,141,$G$5,$H$13),([1]!S_STM07_BS(D1434,25,$G$5,$H$13)-[1]!S_STM07_BS(D1434,93,$G$5,$H$13))/$E$5))</f>
        <v/>
      </c>
      <c r="N1434" s="247" t="str">
        <f ca="1">IF(C1434="","",IF($N$11="EPS",[1]!S_STM07_IS(D1434,61,$G$5,$H$13)/IF([1]!S_SHARE_TOTAL(D1434,$G$5)=0,[1]!S_SHARE_TOTAL(D1434,[1]!s_ipo_listeddate(D1434)),[1]!S_SHARE_TOTAL(D1434,$G$5)),([1]!S_STM07_BS(D1434,75,$G$5,$H$13)+[1]!S_STM07_BS(D1434,88,$G$5,$H$13)+[1]!S_STM07_BS(D1434,94,$G$5,$H$13)+[1]!S_STM07_BS(D1434,95,$G$5,$H$13))/$E$5))</f>
        <v/>
      </c>
      <c r="O1434" s="247" t="str">
        <f ca="1">IF(C1434="","",IF($O$11="BPS",[1]!S_STM07_BS(D1434,141,$G$5,$H$13)/IF([1]!S_SHARE_TOTAL(D1434,$G$5)=0,[1]!S_SHARE_TOTAL(D1434,[1]!s_ipo_listeddate(D1434)),[1]!S_SHARE_TOTAL(D1434,$G$5)),[1]!S_STM07_CS(D1434,49,$G$5,$H$13)/$E$5))</f>
        <v/>
      </c>
      <c r="P1434" s="247" t="str">
        <f ca="1">IF(C1434="","",IF($P$11="CFPS",[1]!S_STM07_CS(D1434,84,$G$5,$H$13)/IF([1]!S_SHARE_TOTAL(D1434,$G$5)=0,[1]!S_SHARE_TOTAL(D1434,[1]!s_ipo_listeddate(D1434)),[1]!S_SHARE_TOTAL(D1434,$G$5)),[1]!S_STM07_CS(D1434,84,$G$5,$H$13)/$E$5))</f>
        <v/>
      </c>
      <c r="Q1434" s="248" t="str">
        <f ca="1">IF(C1434="","",F1434/([1]!S_STM07_IS(D1434,61,$G$5,$H$13)/IF([1]!S_SHARE_TOTAL(D1434,$G$5)=0,[1]!S_SHARE_TOTAL(D1434,[1]!s_ipo_listeddate(D1434)),[1]!S_SHARE_TOTAL(D1434,$G$5))))</f>
        <v/>
      </c>
      <c r="R1434" s="248" t="str">
        <f ca="1">IF(C1434="","",F1434/([1]!S_STM07_BS(D1434,141,$G$5,$H$13)/IF([1]!S_SHARE_TOTAL(D1434,$G$5)=0,[1]!S_SHARE_TOTAL(D1434,[1]!s_ipo_listeddate(D1434)),[1]!S_SHARE_TOTAL(D1434,$G$5))))</f>
        <v/>
      </c>
      <c r="S1434" s="247" t="str">
        <f ca="1">IF(C1434="","",[1]!S_SHARE_TOTAL(D1434,TODAY())/$E$5)</f>
        <v/>
      </c>
      <c r="T1434" s="247" t="str">
        <f t="shared" ca="1" si="145"/>
        <v/>
      </c>
      <c r="U1434" s="218" t="str">
        <f t="shared" ca="1" si="146"/>
        <v/>
      </c>
      <c r="V1434" s="342" t="str">
        <f t="shared" ca="1" si="147"/>
        <v/>
      </c>
      <c r="W1434" s="139"/>
      <c r="Y1434" s="1"/>
    </row>
    <row r="1435" spans="3:25" ht="12" customHeight="1">
      <c r="C1435" s="343" t="str">
        <f t="shared" ca="1" si="142"/>
        <v/>
      </c>
      <c r="D1435" s="124" t="str">
        <f t="shared" ca="1" si="143"/>
        <v/>
      </c>
      <c r="E1435" s="124" t="str">
        <f t="shared" ca="1" si="144"/>
        <v/>
      </c>
      <c r="F1435" s="172" t="str">
        <f ca="1">IF(C1435="","",[1]!S_DQ_CLOSE(D1435,TODAY(),1))</f>
        <v/>
      </c>
      <c r="G1435" s="173" t="str">
        <f ca="1">IF(C1435="","",[1]!s_pq_pctchange(D1435,TODAY()-$G$12,TODAY())/100)</f>
        <v/>
      </c>
      <c r="H1435" s="249" t="str">
        <f ca="1">IF(C1435="","",IF($H$11="收入",[1]!S_STM07_IS(D1435,9,$G$5,$H$13)/$E$5,[1]!S_STM07_IS(D1435,48,$G$5,$H$13)/$E$5))</f>
        <v/>
      </c>
      <c r="I1435" s="249" t="str">
        <f ca="1">IF(C1435="","",IF($I$11="毛利率",([1]!S_STM07_IS(D1435,9,$G$5,$H$13)-[1]!S_STM07_IS(D1435,10,$G$5,$H$13))/[1]!S_STM07_IS(D1435,9,$G$5,$H$13),[1]!S_STM07_IS(D1435,14,$G$5,$H$13)/$E$5))</f>
        <v/>
      </c>
      <c r="J1435" s="249" t="str">
        <f ca="1">IF(C1435="","",IF($J$11="营业利润率",[1]!S_STM07_IS(D1435,48,$G$5,$H$13)/[1]!S_STM07_IS(D1435,9,$G$5,$H$13),([1]!S_STM07_CS(D1435,87,$G$5,$H$13)+[1]!S_STM07_CS(D1435,88,$G$5,$H$13)+[1]!S_STM07_CS(D1435,89,$G$5,$H$13))/$E$5))</f>
        <v/>
      </c>
      <c r="K1435" s="249" t="str">
        <f ca="1">IF(C1435="","",IF($K$11="净利润率",[1]!S_STM07_IS(D1435,61,$G$5,$H$13)/[1]!S_STM07_IS(D1435,9,$G$5,$H$13),[1]!S_STM07_IS(D1435,55,$G$5,$H$13)/$E$5))</f>
        <v/>
      </c>
      <c r="L1435" s="249" t="str">
        <f ca="1">IF(C1435="","",IF($L$11="ROA",[1]!S_STM07_IS(D1435,61,$G$5,$H$13)/[1]!S_STM07_BS(D1435,74,$G$5,$H$13),1-[1]!S_STM07_IS(D1435,61,$G$5,$H$13)/[1]!S_STM07_IS(D1435,55,$G$5,$H$13)))</f>
        <v/>
      </c>
      <c r="M1435" s="249" t="str">
        <f ca="1">IF(C1435="","",IF($M$11="ROE",[1]!S_STM07_IS(D1435,61,$G$5,$H$13)/[1]!S_STM07_BS(D1435,141,$G$5,$H$13),([1]!S_STM07_BS(D1435,25,$G$5,$H$13)-[1]!S_STM07_BS(D1435,93,$G$5,$H$13))/$E$5))</f>
        <v/>
      </c>
      <c r="N1435" s="250" t="str">
        <f ca="1">IF(C1435="","",IF($N$11="EPS",[1]!S_STM07_IS(D1435,61,$G$5,$H$13)/IF([1]!S_SHARE_TOTAL(D1435,$G$5)=0,[1]!S_SHARE_TOTAL(D1435,[1]!s_ipo_listeddate(D1435)),[1]!S_SHARE_TOTAL(D1435,$G$5)),([1]!S_STM07_BS(D1435,75,$G$5,$H$13)+[1]!S_STM07_BS(D1435,88,$G$5,$H$13)+[1]!S_STM07_BS(D1435,94,$G$5,$H$13)+[1]!S_STM07_BS(D1435,95,$G$5,$H$13))/$E$5))</f>
        <v/>
      </c>
      <c r="O1435" s="250" t="str">
        <f ca="1">IF(C1435="","",IF($O$11="BPS",[1]!S_STM07_BS(D1435,141,$G$5,$H$13)/IF([1]!S_SHARE_TOTAL(D1435,$G$5)=0,[1]!S_SHARE_TOTAL(D1435,[1]!s_ipo_listeddate(D1435)),[1]!S_SHARE_TOTAL(D1435,$G$5)),[1]!S_STM07_CS(D1435,49,$G$5,$H$13)/$E$5))</f>
        <v/>
      </c>
      <c r="P1435" s="250" t="str">
        <f ca="1">IF(C1435="","",IF($P$11="CFPS",[1]!S_STM07_CS(D1435,84,$G$5,$H$13)/IF([1]!S_SHARE_TOTAL(D1435,$G$5)=0,[1]!S_SHARE_TOTAL(D1435,[1]!s_ipo_listeddate(D1435)),[1]!S_SHARE_TOTAL(D1435,$G$5)),[1]!S_STM07_CS(D1435,84,$G$5,$H$13)/$E$5))</f>
        <v/>
      </c>
      <c r="Q1435" s="198" t="str">
        <f ca="1">IF(C1435="","",F1435/([1]!S_STM07_IS(D1435,61,$G$5,$H$13)/IF([1]!S_SHARE_TOTAL(D1435,$G$5)=0,[1]!S_SHARE_TOTAL(D1435,[1]!s_ipo_listeddate(D1435)),[1]!S_SHARE_TOTAL(D1435,$G$5))))</f>
        <v/>
      </c>
      <c r="R1435" s="198" t="str">
        <f ca="1">IF(C1435="","",F1435/([1]!S_STM07_BS(D1435,141,$G$5,$H$13)/IF([1]!S_SHARE_TOTAL(D1435,$G$5)=0,[1]!S_SHARE_TOTAL(D1435,[1]!s_ipo_listeddate(D1435)),[1]!S_SHARE_TOTAL(D1435,$G$5))))</f>
        <v/>
      </c>
      <c r="S1435" s="249" t="str">
        <f ca="1">IF(C1435="","",[1]!S_SHARE_TOTAL(D1435,TODAY())/$E$5)</f>
        <v/>
      </c>
      <c r="T1435" s="249" t="str">
        <f t="shared" ca="1" si="145"/>
        <v/>
      </c>
      <c r="U1435" s="172" t="str">
        <f t="shared" ca="1" si="146"/>
        <v/>
      </c>
      <c r="V1435" s="343" t="str">
        <f t="shared" ca="1" si="147"/>
        <v/>
      </c>
      <c r="W1435" s="139"/>
      <c r="Y1435" s="1"/>
    </row>
    <row r="1436" spans="3:25" ht="12" customHeight="1">
      <c r="C1436" s="342" t="str">
        <f t="shared" ca="1" si="142"/>
        <v/>
      </c>
      <c r="D1436" s="153" t="str">
        <f t="shared" ca="1" si="143"/>
        <v/>
      </c>
      <c r="E1436" s="153" t="str">
        <f t="shared" ca="1" si="144"/>
        <v/>
      </c>
      <c r="F1436" s="170" t="str">
        <f ca="1">IF(C1436="","",[1]!S_DQ_CLOSE(D1436,TODAY(),1))</f>
        <v/>
      </c>
      <c r="G1436" s="171" t="str">
        <f ca="1">IF(C1436="","",[1]!s_pq_pctchange(D1436,TODAY()-$G$12,TODAY())/100)</f>
        <v/>
      </c>
      <c r="H1436" s="247" t="str">
        <f ca="1">IF(C1436="","",IF($H$11="收入",[1]!S_STM07_IS(D1436,9,$G$5,$H$13)/$E$5,[1]!S_STM07_IS(D1436,48,$G$5,$H$13)/$E$5))</f>
        <v/>
      </c>
      <c r="I1436" s="247" t="str">
        <f ca="1">IF(C1436="","",IF($I$11="毛利率",([1]!S_STM07_IS(D1436,9,$G$5,$H$13)-[1]!S_STM07_IS(D1436,10,$G$5,$H$13))/[1]!S_STM07_IS(D1436,9,$G$5,$H$13),[1]!S_STM07_IS(D1436,14,$G$5,$H$13)/$E$5))</f>
        <v/>
      </c>
      <c r="J1436" s="247" t="str">
        <f ca="1">IF(C1436="","",IF($J$11="营业利润率",[1]!S_STM07_IS(D1436,48,$G$5,$H$13)/[1]!S_STM07_IS(D1436,9,$G$5,$H$13),([1]!S_STM07_CS(D1436,87,$G$5,$H$13)+[1]!S_STM07_CS(D1436,88,$G$5,$H$13)+[1]!S_STM07_CS(D1436,89,$G$5,$H$13))/$E$5))</f>
        <v/>
      </c>
      <c r="K1436" s="247" t="str">
        <f ca="1">IF(C1436="","",IF($K$11="净利润率",[1]!S_STM07_IS(D1436,61,$G$5,$H$13)/[1]!S_STM07_IS(D1436,9,$G$5,$H$13),[1]!S_STM07_IS(D1436,55,$G$5,$H$13)/$E$5))</f>
        <v/>
      </c>
      <c r="L1436" s="247" t="str">
        <f ca="1">IF(C1436="","",IF($L$11="ROA",[1]!S_STM07_IS(D1436,61,$G$5,$H$13)/[1]!S_STM07_BS(D1436,74,$G$5,$H$13),1-[1]!S_STM07_IS(D1436,61,$G$5,$H$13)/[1]!S_STM07_IS(D1436,55,$G$5,$H$13)))</f>
        <v/>
      </c>
      <c r="M1436" s="247" t="str">
        <f ca="1">IF(C1436="","",IF($M$11="ROE",[1]!S_STM07_IS(D1436,61,$G$5,$H$13)/[1]!S_STM07_BS(D1436,141,$G$5,$H$13),([1]!S_STM07_BS(D1436,25,$G$5,$H$13)-[1]!S_STM07_BS(D1436,93,$G$5,$H$13))/$E$5))</f>
        <v/>
      </c>
      <c r="N1436" s="247" t="str">
        <f ca="1">IF(C1436="","",IF($N$11="EPS",[1]!S_STM07_IS(D1436,61,$G$5,$H$13)/IF([1]!S_SHARE_TOTAL(D1436,$G$5)=0,[1]!S_SHARE_TOTAL(D1436,[1]!s_ipo_listeddate(D1436)),[1]!S_SHARE_TOTAL(D1436,$G$5)),([1]!S_STM07_BS(D1436,75,$G$5,$H$13)+[1]!S_STM07_BS(D1436,88,$G$5,$H$13)+[1]!S_STM07_BS(D1436,94,$G$5,$H$13)+[1]!S_STM07_BS(D1436,95,$G$5,$H$13))/$E$5))</f>
        <v/>
      </c>
      <c r="O1436" s="247" t="str">
        <f ca="1">IF(C1436="","",IF($O$11="BPS",[1]!S_STM07_BS(D1436,141,$G$5,$H$13)/IF([1]!S_SHARE_TOTAL(D1436,$G$5)=0,[1]!S_SHARE_TOTAL(D1436,[1]!s_ipo_listeddate(D1436)),[1]!S_SHARE_TOTAL(D1436,$G$5)),[1]!S_STM07_CS(D1436,49,$G$5,$H$13)/$E$5))</f>
        <v/>
      </c>
      <c r="P1436" s="247" t="str">
        <f ca="1">IF(C1436="","",IF($P$11="CFPS",[1]!S_STM07_CS(D1436,84,$G$5,$H$13)/IF([1]!S_SHARE_TOTAL(D1436,$G$5)=0,[1]!S_SHARE_TOTAL(D1436,[1]!s_ipo_listeddate(D1436)),[1]!S_SHARE_TOTAL(D1436,$G$5)),[1]!S_STM07_CS(D1436,84,$G$5,$H$13)/$E$5))</f>
        <v/>
      </c>
      <c r="Q1436" s="248" t="str">
        <f ca="1">IF(C1436="","",F1436/([1]!S_STM07_IS(D1436,61,$G$5,$H$13)/IF([1]!S_SHARE_TOTAL(D1436,$G$5)=0,[1]!S_SHARE_TOTAL(D1436,[1]!s_ipo_listeddate(D1436)),[1]!S_SHARE_TOTAL(D1436,$G$5))))</f>
        <v/>
      </c>
      <c r="R1436" s="248" t="str">
        <f ca="1">IF(C1436="","",F1436/([1]!S_STM07_BS(D1436,141,$G$5,$H$13)/IF([1]!S_SHARE_TOTAL(D1436,$G$5)=0,[1]!S_SHARE_TOTAL(D1436,[1]!s_ipo_listeddate(D1436)),[1]!S_SHARE_TOTAL(D1436,$G$5))))</f>
        <v/>
      </c>
      <c r="S1436" s="247" t="str">
        <f ca="1">IF(C1436="","",[1]!S_SHARE_TOTAL(D1436,TODAY())/$E$5)</f>
        <v/>
      </c>
      <c r="T1436" s="247" t="str">
        <f t="shared" ca="1" si="145"/>
        <v/>
      </c>
      <c r="U1436" s="218" t="str">
        <f t="shared" ca="1" si="146"/>
        <v/>
      </c>
      <c r="V1436" s="342" t="str">
        <f t="shared" ca="1" si="147"/>
        <v/>
      </c>
      <c r="W1436" s="139"/>
      <c r="Y1436" s="1"/>
    </row>
    <row r="1437" spans="3:25" ht="12" customHeight="1">
      <c r="C1437" s="343" t="str">
        <f t="shared" ca="1" si="142"/>
        <v/>
      </c>
      <c r="D1437" s="124" t="str">
        <f t="shared" ca="1" si="143"/>
        <v/>
      </c>
      <c r="E1437" s="124" t="str">
        <f t="shared" ca="1" si="144"/>
        <v/>
      </c>
      <c r="F1437" s="172" t="str">
        <f ca="1">IF(C1437="","",[1]!S_DQ_CLOSE(D1437,TODAY(),1))</f>
        <v/>
      </c>
      <c r="G1437" s="173" t="str">
        <f ca="1">IF(C1437="","",[1]!s_pq_pctchange(D1437,TODAY()-$G$12,TODAY())/100)</f>
        <v/>
      </c>
      <c r="H1437" s="249" t="str">
        <f ca="1">IF(C1437="","",IF($H$11="收入",[1]!S_STM07_IS(D1437,9,$G$5,$H$13)/$E$5,[1]!S_STM07_IS(D1437,48,$G$5,$H$13)/$E$5))</f>
        <v/>
      </c>
      <c r="I1437" s="249" t="str">
        <f ca="1">IF(C1437="","",IF($I$11="毛利率",([1]!S_STM07_IS(D1437,9,$G$5,$H$13)-[1]!S_STM07_IS(D1437,10,$G$5,$H$13))/[1]!S_STM07_IS(D1437,9,$G$5,$H$13),[1]!S_STM07_IS(D1437,14,$G$5,$H$13)/$E$5))</f>
        <v/>
      </c>
      <c r="J1437" s="249" t="str">
        <f ca="1">IF(C1437="","",IF($J$11="营业利润率",[1]!S_STM07_IS(D1437,48,$G$5,$H$13)/[1]!S_STM07_IS(D1437,9,$G$5,$H$13),([1]!S_STM07_CS(D1437,87,$G$5,$H$13)+[1]!S_STM07_CS(D1437,88,$G$5,$H$13)+[1]!S_STM07_CS(D1437,89,$G$5,$H$13))/$E$5))</f>
        <v/>
      </c>
      <c r="K1437" s="249" t="str">
        <f ca="1">IF(C1437="","",IF($K$11="净利润率",[1]!S_STM07_IS(D1437,61,$G$5,$H$13)/[1]!S_STM07_IS(D1437,9,$G$5,$H$13),[1]!S_STM07_IS(D1437,55,$G$5,$H$13)/$E$5))</f>
        <v/>
      </c>
      <c r="L1437" s="249" t="str">
        <f ca="1">IF(C1437="","",IF($L$11="ROA",[1]!S_STM07_IS(D1437,61,$G$5,$H$13)/[1]!S_STM07_BS(D1437,74,$G$5,$H$13),1-[1]!S_STM07_IS(D1437,61,$G$5,$H$13)/[1]!S_STM07_IS(D1437,55,$G$5,$H$13)))</f>
        <v/>
      </c>
      <c r="M1437" s="249" t="str">
        <f ca="1">IF(C1437="","",IF($M$11="ROE",[1]!S_STM07_IS(D1437,61,$G$5,$H$13)/[1]!S_STM07_BS(D1437,141,$G$5,$H$13),([1]!S_STM07_BS(D1437,25,$G$5,$H$13)-[1]!S_STM07_BS(D1437,93,$G$5,$H$13))/$E$5))</f>
        <v/>
      </c>
      <c r="N1437" s="250" t="str">
        <f ca="1">IF(C1437="","",IF($N$11="EPS",[1]!S_STM07_IS(D1437,61,$G$5,$H$13)/IF([1]!S_SHARE_TOTAL(D1437,$G$5)=0,[1]!S_SHARE_TOTAL(D1437,[1]!s_ipo_listeddate(D1437)),[1]!S_SHARE_TOTAL(D1437,$G$5)),([1]!S_STM07_BS(D1437,75,$G$5,$H$13)+[1]!S_STM07_BS(D1437,88,$G$5,$H$13)+[1]!S_STM07_BS(D1437,94,$G$5,$H$13)+[1]!S_STM07_BS(D1437,95,$G$5,$H$13))/$E$5))</f>
        <v/>
      </c>
      <c r="O1437" s="250" t="str">
        <f ca="1">IF(C1437="","",IF($O$11="BPS",[1]!S_STM07_BS(D1437,141,$G$5,$H$13)/IF([1]!S_SHARE_TOTAL(D1437,$G$5)=0,[1]!S_SHARE_TOTAL(D1437,[1]!s_ipo_listeddate(D1437)),[1]!S_SHARE_TOTAL(D1437,$G$5)),[1]!S_STM07_CS(D1437,49,$G$5,$H$13)/$E$5))</f>
        <v/>
      </c>
      <c r="P1437" s="250" t="str">
        <f ca="1">IF(C1437="","",IF($P$11="CFPS",[1]!S_STM07_CS(D1437,84,$G$5,$H$13)/IF([1]!S_SHARE_TOTAL(D1437,$G$5)=0,[1]!S_SHARE_TOTAL(D1437,[1]!s_ipo_listeddate(D1437)),[1]!S_SHARE_TOTAL(D1437,$G$5)),[1]!S_STM07_CS(D1437,84,$G$5,$H$13)/$E$5))</f>
        <v/>
      </c>
      <c r="Q1437" s="198" t="str">
        <f ca="1">IF(C1437="","",F1437/([1]!S_STM07_IS(D1437,61,$G$5,$H$13)/IF([1]!S_SHARE_TOTAL(D1437,$G$5)=0,[1]!S_SHARE_TOTAL(D1437,[1]!s_ipo_listeddate(D1437)),[1]!S_SHARE_TOTAL(D1437,$G$5))))</f>
        <v/>
      </c>
      <c r="R1437" s="198" t="str">
        <f ca="1">IF(C1437="","",F1437/([1]!S_STM07_BS(D1437,141,$G$5,$H$13)/IF([1]!S_SHARE_TOTAL(D1437,$G$5)=0,[1]!S_SHARE_TOTAL(D1437,[1]!s_ipo_listeddate(D1437)),[1]!S_SHARE_TOTAL(D1437,$G$5))))</f>
        <v/>
      </c>
      <c r="S1437" s="249" t="str">
        <f ca="1">IF(C1437="","",[1]!S_SHARE_TOTAL(D1437,TODAY())/$E$5)</f>
        <v/>
      </c>
      <c r="T1437" s="249" t="str">
        <f t="shared" ca="1" si="145"/>
        <v/>
      </c>
      <c r="U1437" s="172" t="str">
        <f t="shared" ca="1" si="146"/>
        <v/>
      </c>
      <c r="V1437" s="343" t="str">
        <f t="shared" ca="1" si="147"/>
        <v/>
      </c>
      <c r="W1437" s="139"/>
      <c r="Y1437" s="1"/>
    </row>
    <row r="1438" spans="3:25" ht="12" customHeight="1">
      <c r="C1438" s="342" t="str">
        <f t="shared" ca="1" si="142"/>
        <v/>
      </c>
      <c r="D1438" s="153" t="str">
        <f t="shared" ca="1" si="143"/>
        <v/>
      </c>
      <c r="E1438" s="153" t="str">
        <f t="shared" ca="1" si="144"/>
        <v/>
      </c>
      <c r="F1438" s="170" t="str">
        <f ca="1">IF(C1438="","",[1]!S_DQ_CLOSE(D1438,TODAY(),1))</f>
        <v/>
      </c>
      <c r="G1438" s="171" t="str">
        <f ca="1">IF(C1438="","",[1]!s_pq_pctchange(D1438,TODAY()-$G$12,TODAY())/100)</f>
        <v/>
      </c>
      <c r="H1438" s="247" t="str">
        <f ca="1">IF(C1438="","",IF($H$11="收入",[1]!S_STM07_IS(D1438,9,$G$5,$H$13)/$E$5,[1]!S_STM07_IS(D1438,48,$G$5,$H$13)/$E$5))</f>
        <v/>
      </c>
      <c r="I1438" s="247" t="str">
        <f ca="1">IF(C1438="","",IF($I$11="毛利率",([1]!S_STM07_IS(D1438,9,$G$5,$H$13)-[1]!S_STM07_IS(D1438,10,$G$5,$H$13))/[1]!S_STM07_IS(D1438,9,$G$5,$H$13),[1]!S_STM07_IS(D1438,14,$G$5,$H$13)/$E$5))</f>
        <v/>
      </c>
      <c r="J1438" s="247" t="str">
        <f ca="1">IF(C1438="","",IF($J$11="营业利润率",[1]!S_STM07_IS(D1438,48,$G$5,$H$13)/[1]!S_STM07_IS(D1438,9,$G$5,$H$13),([1]!S_STM07_CS(D1438,87,$G$5,$H$13)+[1]!S_STM07_CS(D1438,88,$G$5,$H$13)+[1]!S_STM07_CS(D1438,89,$G$5,$H$13))/$E$5))</f>
        <v/>
      </c>
      <c r="K1438" s="247" t="str">
        <f ca="1">IF(C1438="","",IF($K$11="净利润率",[1]!S_STM07_IS(D1438,61,$G$5,$H$13)/[1]!S_STM07_IS(D1438,9,$G$5,$H$13),[1]!S_STM07_IS(D1438,55,$G$5,$H$13)/$E$5))</f>
        <v/>
      </c>
      <c r="L1438" s="247" t="str">
        <f ca="1">IF(C1438="","",IF($L$11="ROA",[1]!S_STM07_IS(D1438,61,$G$5,$H$13)/[1]!S_STM07_BS(D1438,74,$G$5,$H$13),1-[1]!S_STM07_IS(D1438,61,$G$5,$H$13)/[1]!S_STM07_IS(D1438,55,$G$5,$H$13)))</f>
        <v/>
      </c>
      <c r="M1438" s="247" t="str">
        <f ca="1">IF(C1438="","",IF($M$11="ROE",[1]!S_STM07_IS(D1438,61,$G$5,$H$13)/[1]!S_STM07_BS(D1438,141,$G$5,$H$13),([1]!S_STM07_BS(D1438,25,$G$5,$H$13)-[1]!S_STM07_BS(D1438,93,$G$5,$H$13))/$E$5))</f>
        <v/>
      </c>
      <c r="N1438" s="247" t="str">
        <f ca="1">IF(C1438="","",IF($N$11="EPS",[1]!S_STM07_IS(D1438,61,$G$5,$H$13)/IF([1]!S_SHARE_TOTAL(D1438,$G$5)=0,[1]!S_SHARE_TOTAL(D1438,[1]!s_ipo_listeddate(D1438)),[1]!S_SHARE_TOTAL(D1438,$G$5)),([1]!S_STM07_BS(D1438,75,$G$5,$H$13)+[1]!S_STM07_BS(D1438,88,$G$5,$H$13)+[1]!S_STM07_BS(D1438,94,$G$5,$H$13)+[1]!S_STM07_BS(D1438,95,$G$5,$H$13))/$E$5))</f>
        <v/>
      </c>
      <c r="O1438" s="247" t="str">
        <f ca="1">IF(C1438="","",IF($O$11="BPS",[1]!S_STM07_BS(D1438,141,$G$5,$H$13)/IF([1]!S_SHARE_TOTAL(D1438,$G$5)=0,[1]!S_SHARE_TOTAL(D1438,[1]!s_ipo_listeddate(D1438)),[1]!S_SHARE_TOTAL(D1438,$G$5)),[1]!S_STM07_CS(D1438,49,$G$5,$H$13)/$E$5))</f>
        <v/>
      </c>
      <c r="P1438" s="247" t="str">
        <f ca="1">IF(C1438="","",IF($P$11="CFPS",[1]!S_STM07_CS(D1438,84,$G$5,$H$13)/IF([1]!S_SHARE_TOTAL(D1438,$G$5)=0,[1]!S_SHARE_TOTAL(D1438,[1]!s_ipo_listeddate(D1438)),[1]!S_SHARE_TOTAL(D1438,$G$5)),[1]!S_STM07_CS(D1438,84,$G$5,$H$13)/$E$5))</f>
        <v/>
      </c>
      <c r="Q1438" s="248" t="str">
        <f ca="1">IF(C1438="","",F1438/([1]!S_STM07_IS(D1438,61,$G$5,$H$13)/IF([1]!S_SHARE_TOTAL(D1438,$G$5)=0,[1]!S_SHARE_TOTAL(D1438,[1]!s_ipo_listeddate(D1438)),[1]!S_SHARE_TOTAL(D1438,$G$5))))</f>
        <v/>
      </c>
      <c r="R1438" s="248" t="str">
        <f ca="1">IF(C1438="","",F1438/([1]!S_STM07_BS(D1438,141,$G$5,$H$13)/IF([1]!S_SHARE_TOTAL(D1438,$G$5)=0,[1]!S_SHARE_TOTAL(D1438,[1]!s_ipo_listeddate(D1438)),[1]!S_SHARE_TOTAL(D1438,$G$5))))</f>
        <v/>
      </c>
      <c r="S1438" s="247" t="str">
        <f ca="1">IF(C1438="","",[1]!S_SHARE_TOTAL(D1438,TODAY())/$E$5)</f>
        <v/>
      </c>
      <c r="T1438" s="247" t="str">
        <f t="shared" ca="1" si="145"/>
        <v/>
      </c>
      <c r="U1438" s="218" t="str">
        <f t="shared" ca="1" si="146"/>
        <v/>
      </c>
      <c r="V1438" s="342" t="str">
        <f t="shared" ca="1" si="147"/>
        <v/>
      </c>
      <c r="W1438" s="139"/>
      <c r="Y1438" s="1"/>
    </row>
    <row r="1439" spans="3:25" ht="12" customHeight="1">
      <c r="C1439" s="343" t="str">
        <f t="shared" ca="1" si="142"/>
        <v/>
      </c>
      <c r="D1439" s="124" t="str">
        <f t="shared" ca="1" si="143"/>
        <v/>
      </c>
      <c r="E1439" s="124" t="str">
        <f t="shared" ca="1" si="144"/>
        <v/>
      </c>
      <c r="F1439" s="172" t="str">
        <f ca="1">IF(C1439="","",[1]!S_DQ_CLOSE(D1439,TODAY(),1))</f>
        <v/>
      </c>
      <c r="G1439" s="173" t="str">
        <f ca="1">IF(C1439="","",[1]!s_pq_pctchange(D1439,TODAY()-$G$12,TODAY())/100)</f>
        <v/>
      </c>
      <c r="H1439" s="249" t="str">
        <f ca="1">IF(C1439="","",IF($H$11="收入",[1]!S_STM07_IS(D1439,9,$G$5,$H$13)/$E$5,[1]!S_STM07_IS(D1439,48,$G$5,$H$13)/$E$5))</f>
        <v/>
      </c>
      <c r="I1439" s="249" t="str">
        <f ca="1">IF(C1439="","",IF($I$11="毛利率",([1]!S_STM07_IS(D1439,9,$G$5,$H$13)-[1]!S_STM07_IS(D1439,10,$G$5,$H$13))/[1]!S_STM07_IS(D1439,9,$G$5,$H$13),[1]!S_STM07_IS(D1439,14,$G$5,$H$13)/$E$5))</f>
        <v/>
      </c>
      <c r="J1439" s="249" t="str">
        <f ca="1">IF(C1439="","",IF($J$11="营业利润率",[1]!S_STM07_IS(D1439,48,$G$5,$H$13)/[1]!S_STM07_IS(D1439,9,$G$5,$H$13),([1]!S_STM07_CS(D1439,87,$G$5,$H$13)+[1]!S_STM07_CS(D1439,88,$G$5,$H$13)+[1]!S_STM07_CS(D1439,89,$G$5,$H$13))/$E$5))</f>
        <v/>
      </c>
      <c r="K1439" s="249" t="str">
        <f ca="1">IF(C1439="","",IF($K$11="净利润率",[1]!S_STM07_IS(D1439,61,$G$5,$H$13)/[1]!S_STM07_IS(D1439,9,$G$5,$H$13),[1]!S_STM07_IS(D1439,55,$G$5,$H$13)/$E$5))</f>
        <v/>
      </c>
      <c r="L1439" s="249" t="str">
        <f ca="1">IF(C1439="","",IF($L$11="ROA",[1]!S_STM07_IS(D1439,61,$G$5,$H$13)/[1]!S_STM07_BS(D1439,74,$G$5,$H$13),1-[1]!S_STM07_IS(D1439,61,$G$5,$H$13)/[1]!S_STM07_IS(D1439,55,$G$5,$H$13)))</f>
        <v/>
      </c>
      <c r="M1439" s="249" t="str">
        <f ca="1">IF(C1439="","",IF($M$11="ROE",[1]!S_STM07_IS(D1439,61,$G$5,$H$13)/[1]!S_STM07_BS(D1439,141,$G$5,$H$13),([1]!S_STM07_BS(D1439,25,$G$5,$H$13)-[1]!S_STM07_BS(D1439,93,$G$5,$H$13))/$E$5))</f>
        <v/>
      </c>
      <c r="N1439" s="250" t="str">
        <f ca="1">IF(C1439="","",IF($N$11="EPS",[1]!S_STM07_IS(D1439,61,$G$5,$H$13)/IF([1]!S_SHARE_TOTAL(D1439,$G$5)=0,[1]!S_SHARE_TOTAL(D1439,[1]!s_ipo_listeddate(D1439)),[1]!S_SHARE_TOTAL(D1439,$G$5)),([1]!S_STM07_BS(D1439,75,$G$5,$H$13)+[1]!S_STM07_BS(D1439,88,$G$5,$H$13)+[1]!S_STM07_BS(D1439,94,$G$5,$H$13)+[1]!S_STM07_BS(D1439,95,$G$5,$H$13))/$E$5))</f>
        <v/>
      </c>
      <c r="O1439" s="250" t="str">
        <f ca="1">IF(C1439="","",IF($O$11="BPS",[1]!S_STM07_BS(D1439,141,$G$5,$H$13)/IF([1]!S_SHARE_TOTAL(D1439,$G$5)=0,[1]!S_SHARE_TOTAL(D1439,[1]!s_ipo_listeddate(D1439)),[1]!S_SHARE_TOTAL(D1439,$G$5)),[1]!S_STM07_CS(D1439,49,$G$5,$H$13)/$E$5))</f>
        <v/>
      </c>
      <c r="P1439" s="250" t="str">
        <f ca="1">IF(C1439="","",IF($P$11="CFPS",[1]!S_STM07_CS(D1439,84,$G$5,$H$13)/IF([1]!S_SHARE_TOTAL(D1439,$G$5)=0,[1]!S_SHARE_TOTAL(D1439,[1]!s_ipo_listeddate(D1439)),[1]!S_SHARE_TOTAL(D1439,$G$5)),[1]!S_STM07_CS(D1439,84,$G$5,$H$13)/$E$5))</f>
        <v/>
      </c>
      <c r="Q1439" s="198" t="str">
        <f ca="1">IF(C1439="","",F1439/([1]!S_STM07_IS(D1439,61,$G$5,$H$13)/IF([1]!S_SHARE_TOTAL(D1439,$G$5)=0,[1]!S_SHARE_TOTAL(D1439,[1]!s_ipo_listeddate(D1439)),[1]!S_SHARE_TOTAL(D1439,$G$5))))</f>
        <v/>
      </c>
      <c r="R1439" s="198" t="str">
        <f ca="1">IF(C1439="","",F1439/([1]!S_STM07_BS(D1439,141,$G$5,$H$13)/IF([1]!S_SHARE_TOTAL(D1439,$G$5)=0,[1]!S_SHARE_TOTAL(D1439,[1]!s_ipo_listeddate(D1439)),[1]!S_SHARE_TOTAL(D1439,$G$5))))</f>
        <v/>
      </c>
      <c r="S1439" s="249" t="str">
        <f ca="1">IF(C1439="","",[1]!S_SHARE_TOTAL(D1439,TODAY())/$E$5)</f>
        <v/>
      </c>
      <c r="T1439" s="249" t="str">
        <f t="shared" ca="1" si="145"/>
        <v/>
      </c>
      <c r="U1439" s="172" t="str">
        <f t="shared" ca="1" si="146"/>
        <v/>
      </c>
      <c r="V1439" s="343" t="str">
        <f t="shared" ca="1" si="147"/>
        <v/>
      </c>
      <c r="W1439" s="139"/>
      <c r="Y1439" s="1"/>
    </row>
    <row r="1440" spans="3:25" ht="12" customHeight="1">
      <c r="C1440" s="342" t="str">
        <f t="shared" ca="1" si="142"/>
        <v/>
      </c>
      <c r="D1440" s="153" t="str">
        <f t="shared" ca="1" si="143"/>
        <v/>
      </c>
      <c r="E1440" s="153" t="str">
        <f t="shared" ca="1" si="144"/>
        <v/>
      </c>
      <c r="F1440" s="170" t="str">
        <f ca="1">IF(C1440="","",[1]!S_DQ_CLOSE(D1440,TODAY(),1))</f>
        <v/>
      </c>
      <c r="G1440" s="171" t="str">
        <f ca="1">IF(C1440="","",[1]!s_pq_pctchange(D1440,TODAY()-$G$12,TODAY())/100)</f>
        <v/>
      </c>
      <c r="H1440" s="247" t="str">
        <f ca="1">IF(C1440="","",IF($H$11="收入",[1]!S_STM07_IS(D1440,9,$G$5,$H$13)/$E$5,[1]!S_STM07_IS(D1440,48,$G$5,$H$13)/$E$5))</f>
        <v/>
      </c>
      <c r="I1440" s="247" t="str">
        <f ca="1">IF(C1440="","",IF($I$11="毛利率",([1]!S_STM07_IS(D1440,9,$G$5,$H$13)-[1]!S_STM07_IS(D1440,10,$G$5,$H$13))/[1]!S_STM07_IS(D1440,9,$G$5,$H$13),[1]!S_STM07_IS(D1440,14,$G$5,$H$13)/$E$5))</f>
        <v/>
      </c>
      <c r="J1440" s="247" t="str">
        <f ca="1">IF(C1440="","",IF($J$11="营业利润率",[1]!S_STM07_IS(D1440,48,$G$5,$H$13)/[1]!S_STM07_IS(D1440,9,$G$5,$H$13),([1]!S_STM07_CS(D1440,87,$G$5,$H$13)+[1]!S_STM07_CS(D1440,88,$G$5,$H$13)+[1]!S_STM07_CS(D1440,89,$G$5,$H$13))/$E$5))</f>
        <v/>
      </c>
      <c r="K1440" s="247" t="str">
        <f ca="1">IF(C1440="","",IF($K$11="净利润率",[1]!S_STM07_IS(D1440,61,$G$5,$H$13)/[1]!S_STM07_IS(D1440,9,$G$5,$H$13),[1]!S_STM07_IS(D1440,55,$G$5,$H$13)/$E$5))</f>
        <v/>
      </c>
      <c r="L1440" s="247" t="str">
        <f ca="1">IF(C1440="","",IF($L$11="ROA",[1]!S_STM07_IS(D1440,61,$G$5,$H$13)/[1]!S_STM07_BS(D1440,74,$G$5,$H$13),1-[1]!S_STM07_IS(D1440,61,$G$5,$H$13)/[1]!S_STM07_IS(D1440,55,$G$5,$H$13)))</f>
        <v/>
      </c>
      <c r="M1440" s="247" t="str">
        <f ca="1">IF(C1440="","",IF($M$11="ROE",[1]!S_STM07_IS(D1440,61,$G$5,$H$13)/[1]!S_STM07_BS(D1440,141,$G$5,$H$13),([1]!S_STM07_BS(D1440,25,$G$5,$H$13)-[1]!S_STM07_BS(D1440,93,$G$5,$H$13))/$E$5))</f>
        <v/>
      </c>
      <c r="N1440" s="247" t="str">
        <f ca="1">IF(C1440="","",IF($N$11="EPS",[1]!S_STM07_IS(D1440,61,$G$5,$H$13)/IF([1]!S_SHARE_TOTAL(D1440,$G$5)=0,[1]!S_SHARE_TOTAL(D1440,[1]!s_ipo_listeddate(D1440)),[1]!S_SHARE_TOTAL(D1440,$G$5)),([1]!S_STM07_BS(D1440,75,$G$5,$H$13)+[1]!S_STM07_BS(D1440,88,$G$5,$H$13)+[1]!S_STM07_BS(D1440,94,$G$5,$H$13)+[1]!S_STM07_BS(D1440,95,$G$5,$H$13))/$E$5))</f>
        <v/>
      </c>
      <c r="O1440" s="247" t="str">
        <f ca="1">IF(C1440="","",IF($O$11="BPS",[1]!S_STM07_BS(D1440,141,$G$5,$H$13)/IF([1]!S_SHARE_TOTAL(D1440,$G$5)=0,[1]!S_SHARE_TOTAL(D1440,[1]!s_ipo_listeddate(D1440)),[1]!S_SHARE_TOTAL(D1440,$G$5)),[1]!S_STM07_CS(D1440,49,$G$5,$H$13)/$E$5))</f>
        <v/>
      </c>
      <c r="P1440" s="247" t="str">
        <f ca="1">IF(C1440="","",IF($P$11="CFPS",[1]!S_STM07_CS(D1440,84,$G$5,$H$13)/IF([1]!S_SHARE_TOTAL(D1440,$G$5)=0,[1]!S_SHARE_TOTAL(D1440,[1]!s_ipo_listeddate(D1440)),[1]!S_SHARE_TOTAL(D1440,$G$5)),[1]!S_STM07_CS(D1440,84,$G$5,$H$13)/$E$5))</f>
        <v/>
      </c>
      <c r="Q1440" s="248" t="str">
        <f ca="1">IF(C1440="","",F1440/([1]!S_STM07_IS(D1440,61,$G$5,$H$13)/IF([1]!S_SHARE_TOTAL(D1440,$G$5)=0,[1]!S_SHARE_TOTAL(D1440,[1]!s_ipo_listeddate(D1440)),[1]!S_SHARE_TOTAL(D1440,$G$5))))</f>
        <v/>
      </c>
      <c r="R1440" s="248" t="str">
        <f ca="1">IF(C1440="","",F1440/([1]!S_STM07_BS(D1440,141,$G$5,$H$13)/IF([1]!S_SHARE_TOTAL(D1440,$G$5)=0,[1]!S_SHARE_TOTAL(D1440,[1]!s_ipo_listeddate(D1440)),[1]!S_SHARE_TOTAL(D1440,$G$5))))</f>
        <v/>
      </c>
      <c r="S1440" s="247" t="str">
        <f ca="1">IF(C1440="","",[1]!S_SHARE_TOTAL(D1440,TODAY())/$E$5)</f>
        <v/>
      </c>
      <c r="T1440" s="247" t="str">
        <f t="shared" ca="1" si="145"/>
        <v/>
      </c>
      <c r="U1440" s="218" t="str">
        <f t="shared" ca="1" si="146"/>
        <v/>
      </c>
      <c r="V1440" s="342" t="str">
        <f t="shared" ca="1" si="147"/>
        <v/>
      </c>
      <c r="W1440" s="139"/>
      <c r="Y1440" s="1"/>
    </row>
    <row r="1441" spans="3:25" ht="12" customHeight="1">
      <c r="C1441" s="343" t="str">
        <f t="shared" ca="1" si="142"/>
        <v/>
      </c>
      <c r="D1441" s="124" t="str">
        <f t="shared" ca="1" si="143"/>
        <v/>
      </c>
      <c r="E1441" s="124" t="str">
        <f t="shared" ca="1" si="144"/>
        <v/>
      </c>
      <c r="F1441" s="172" t="str">
        <f ca="1">IF(C1441="","",[1]!S_DQ_CLOSE(D1441,TODAY(),1))</f>
        <v/>
      </c>
      <c r="G1441" s="173" t="str">
        <f ca="1">IF(C1441="","",[1]!s_pq_pctchange(D1441,TODAY()-$G$12,TODAY())/100)</f>
        <v/>
      </c>
      <c r="H1441" s="249" t="str">
        <f ca="1">IF(C1441="","",IF($H$11="收入",[1]!S_STM07_IS(D1441,9,$G$5,$H$13)/$E$5,[1]!S_STM07_IS(D1441,48,$G$5,$H$13)/$E$5))</f>
        <v/>
      </c>
      <c r="I1441" s="249" t="str">
        <f ca="1">IF(C1441="","",IF($I$11="毛利率",([1]!S_STM07_IS(D1441,9,$G$5,$H$13)-[1]!S_STM07_IS(D1441,10,$G$5,$H$13))/[1]!S_STM07_IS(D1441,9,$G$5,$H$13),[1]!S_STM07_IS(D1441,14,$G$5,$H$13)/$E$5))</f>
        <v/>
      </c>
      <c r="J1441" s="249" t="str">
        <f ca="1">IF(C1441="","",IF($J$11="营业利润率",[1]!S_STM07_IS(D1441,48,$G$5,$H$13)/[1]!S_STM07_IS(D1441,9,$G$5,$H$13),([1]!S_STM07_CS(D1441,87,$G$5,$H$13)+[1]!S_STM07_CS(D1441,88,$G$5,$H$13)+[1]!S_STM07_CS(D1441,89,$G$5,$H$13))/$E$5))</f>
        <v/>
      </c>
      <c r="K1441" s="249" t="str">
        <f ca="1">IF(C1441="","",IF($K$11="净利润率",[1]!S_STM07_IS(D1441,61,$G$5,$H$13)/[1]!S_STM07_IS(D1441,9,$G$5,$H$13),[1]!S_STM07_IS(D1441,55,$G$5,$H$13)/$E$5))</f>
        <v/>
      </c>
      <c r="L1441" s="249" t="str">
        <f ca="1">IF(C1441="","",IF($L$11="ROA",[1]!S_STM07_IS(D1441,61,$G$5,$H$13)/[1]!S_STM07_BS(D1441,74,$G$5,$H$13),1-[1]!S_STM07_IS(D1441,61,$G$5,$H$13)/[1]!S_STM07_IS(D1441,55,$G$5,$H$13)))</f>
        <v/>
      </c>
      <c r="M1441" s="249" t="str">
        <f ca="1">IF(C1441="","",IF($M$11="ROE",[1]!S_STM07_IS(D1441,61,$G$5,$H$13)/[1]!S_STM07_BS(D1441,141,$G$5,$H$13),([1]!S_STM07_BS(D1441,25,$G$5,$H$13)-[1]!S_STM07_BS(D1441,93,$G$5,$H$13))/$E$5))</f>
        <v/>
      </c>
      <c r="N1441" s="250" t="str">
        <f ca="1">IF(C1441="","",IF($N$11="EPS",[1]!S_STM07_IS(D1441,61,$G$5,$H$13)/IF([1]!S_SHARE_TOTAL(D1441,$G$5)=0,[1]!S_SHARE_TOTAL(D1441,[1]!s_ipo_listeddate(D1441)),[1]!S_SHARE_TOTAL(D1441,$G$5)),([1]!S_STM07_BS(D1441,75,$G$5,$H$13)+[1]!S_STM07_BS(D1441,88,$G$5,$H$13)+[1]!S_STM07_BS(D1441,94,$G$5,$H$13)+[1]!S_STM07_BS(D1441,95,$G$5,$H$13))/$E$5))</f>
        <v/>
      </c>
      <c r="O1441" s="250" t="str">
        <f ca="1">IF(C1441="","",IF($O$11="BPS",[1]!S_STM07_BS(D1441,141,$G$5,$H$13)/IF([1]!S_SHARE_TOTAL(D1441,$G$5)=0,[1]!S_SHARE_TOTAL(D1441,[1]!s_ipo_listeddate(D1441)),[1]!S_SHARE_TOTAL(D1441,$G$5)),[1]!S_STM07_CS(D1441,49,$G$5,$H$13)/$E$5))</f>
        <v/>
      </c>
      <c r="P1441" s="250" t="str">
        <f ca="1">IF(C1441="","",IF($P$11="CFPS",[1]!S_STM07_CS(D1441,84,$G$5,$H$13)/IF([1]!S_SHARE_TOTAL(D1441,$G$5)=0,[1]!S_SHARE_TOTAL(D1441,[1]!s_ipo_listeddate(D1441)),[1]!S_SHARE_TOTAL(D1441,$G$5)),[1]!S_STM07_CS(D1441,84,$G$5,$H$13)/$E$5))</f>
        <v/>
      </c>
      <c r="Q1441" s="198" t="str">
        <f ca="1">IF(C1441="","",F1441/([1]!S_STM07_IS(D1441,61,$G$5,$H$13)/IF([1]!S_SHARE_TOTAL(D1441,$G$5)=0,[1]!S_SHARE_TOTAL(D1441,[1]!s_ipo_listeddate(D1441)),[1]!S_SHARE_TOTAL(D1441,$G$5))))</f>
        <v/>
      </c>
      <c r="R1441" s="198" t="str">
        <f ca="1">IF(C1441="","",F1441/([1]!S_STM07_BS(D1441,141,$G$5,$H$13)/IF([1]!S_SHARE_TOTAL(D1441,$G$5)=0,[1]!S_SHARE_TOTAL(D1441,[1]!s_ipo_listeddate(D1441)),[1]!S_SHARE_TOTAL(D1441,$G$5))))</f>
        <v/>
      </c>
      <c r="S1441" s="249" t="str">
        <f ca="1">IF(C1441="","",[1]!S_SHARE_TOTAL(D1441,TODAY())/$E$5)</f>
        <v/>
      </c>
      <c r="T1441" s="249" t="str">
        <f t="shared" ca="1" si="145"/>
        <v/>
      </c>
      <c r="U1441" s="172" t="str">
        <f t="shared" ca="1" si="146"/>
        <v/>
      </c>
      <c r="V1441" s="343" t="str">
        <f t="shared" ca="1" si="147"/>
        <v/>
      </c>
      <c r="W1441" s="139"/>
      <c r="Y1441" s="1"/>
    </row>
    <row r="1442" spans="3:25" ht="12" customHeight="1">
      <c r="C1442" s="342" t="str">
        <f t="shared" ca="1" si="142"/>
        <v/>
      </c>
      <c r="D1442" s="153" t="str">
        <f t="shared" ca="1" si="143"/>
        <v/>
      </c>
      <c r="E1442" s="153" t="str">
        <f t="shared" ca="1" si="144"/>
        <v/>
      </c>
      <c r="F1442" s="170" t="str">
        <f ca="1">IF(C1442="","",[1]!S_DQ_CLOSE(D1442,TODAY(),1))</f>
        <v/>
      </c>
      <c r="G1442" s="171" t="str">
        <f ca="1">IF(C1442="","",[1]!s_pq_pctchange(D1442,TODAY()-$G$12,TODAY())/100)</f>
        <v/>
      </c>
      <c r="H1442" s="247" t="str">
        <f ca="1">IF(C1442="","",IF($H$11="收入",[1]!S_STM07_IS(D1442,9,$G$5,$H$13)/$E$5,[1]!S_STM07_IS(D1442,48,$G$5,$H$13)/$E$5))</f>
        <v/>
      </c>
      <c r="I1442" s="247" t="str">
        <f ca="1">IF(C1442="","",IF($I$11="毛利率",([1]!S_STM07_IS(D1442,9,$G$5,$H$13)-[1]!S_STM07_IS(D1442,10,$G$5,$H$13))/[1]!S_STM07_IS(D1442,9,$G$5,$H$13),[1]!S_STM07_IS(D1442,14,$G$5,$H$13)/$E$5))</f>
        <v/>
      </c>
      <c r="J1442" s="247" t="str">
        <f ca="1">IF(C1442="","",IF($J$11="营业利润率",[1]!S_STM07_IS(D1442,48,$G$5,$H$13)/[1]!S_STM07_IS(D1442,9,$G$5,$H$13),([1]!S_STM07_CS(D1442,87,$G$5,$H$13)+[1]!S_STM07_CS(D1442,88,$G$5,$H$13)+[1]!S_STM07_CS(D1442,89,$G$5,$H$13))/$E$5))</f>
        <v/>
      </c>
      <c r="K1442" s="247" t="str">
        <f ca="1">IF(C1442="","",IF($K$11="净利润率",[1]!S_STM07_IS(D1442,61,$G$5,$H$13)/[1]!S_STM07_IS(D1442,9,$G$5,$H$13),[1]!S_STM07_IS(D1442,55,$G$5,$H$13)/$E$5))</f>
        <v/>
      </c>
      <c r="L1442" s="247" t="str">
        <f ca="1">IF(C1442="","",IF($L$11="ROA",[1]!S_STM07_IS(D1442,61,$G$5,$H$13)/[1]!S_STM07_BS(D1442,74,$G$5,$H$13),1-[1]!S_STM07_IS(D1442,61,$G$5,$H$13)/[1]!S_STM07_IS(D1442,55,$G$5,$H$13)))</f>
        <v/>
      </c>
      <c r="M1442" s="247" t="str">
        <f ca="1">IF(C1442="","",IF($M$11="ROE",[1]!S_STM07_IS(D1442,61,$G$5,$H$13)/[1]!S_STM07_BS(D1442,141,$G$5,$H$13),([1]!S_STM07_BS(D1442,25,$G$5,$H$13)-[1]!S_STM07_BS(D1442,93,$G$5,$H$13))/$E$5))</f>
        <v/>
      </c>
      <c r="N1442" s="247" t="str">
        <f ca="1">IF(C1442="","",IF($N$11="EPS",[1]!S_STM07_IS(D1442,61,$G$5,$H$13)/IF([1]!S_SHARE_TOTAL(D1442,$G$5)=0,[1]!S_SHARE_TOTAL(D1442,[1]!s_ipo_listeddate(D1442)),[1]!S_SHARE_TOTAL(D1442,$G$5)),([1]!S_STM07_BS(D1442,75,$G$5,$H$13)+[1]!S_STM07_BS(D1442,88,$G$5,$H$13)+[1]!S_STM07_BS(D1442,94,$G$5,$H$13)+[1]!S_STM07_BS(D1442,95,$G$5,$H$13))/$E$5))</f>
        <v/>
      </c>
      <c r="O1442" s="247" t="str">
        <f ca="1">IF(C1442="","",IF($O$11="BPS",[1]!S_STM07_BS(D1442,141,$G$5,$H$13)/IF([1]!S_SHARE_TOTAL(D1442,$G$5)=0,[1]!S_SHARE_TOTAL(D1442,[1]!s_ipo_listeddate(D1442)),[1]!S_SHARE_TOTAL(D1442,$G$5)),[1]!S_STM07_CS(D1442,49,$G$5,$H$13)/$E$5))</f>
        <v/>
      </c>
      <c r="P1442" s="247" t="str">
        <f ca="1">IF(C1442="","",IF($P$11="CFPS",[1]!S_STM07_CS(D1442,84,$G$5,$H$13)/IF([1]!S_SHARE_TOTAL(D1442,$G$5)=0,[1]!S_SHARE_TOTAL(D1442,[1]!s_ipo_listeddate(D1442)),[1]!S_SHARE_TOTAL(D1442,$G$5)),[1]!S_STM07_CS(D1442,84,$G$5,$H$13)/$E$5))</f>
        <v/>
      </c>
      <c r="Q1442" s="248" t="str">
        <f ca="1">IF(C1442="","",F1442/([1]!S_STM07_IS(D1442,61,$G$5,$H$13)/IF([1]!S_SHARE_TOTAL(D1442,$G$5)=0,[1]!S_SHARE_TOTAL(D1442,[1]!s_ipo_listeddate(D1442)),[1]!S_SHARE_TOTAL(D1442,$G$5))))</f>
        <v/>
      </c>
      <c r="R1442" s="248" t="str">
        <f ca="1">IF(C1442="","",F1442/([1]!S_STM07_BS(D1442,141,$G$5,$H$13)/IF([1]!S_SHARE_TOTAL(D1442,$G$5)=0,[1]!S_SHARE_TOTAL(D1442,[1]!s_ipo_listeddate(D1442)),[1]!S_SHARE_TOTAL(D1442,$G$5))))</f>
        <v/>
      </c>
      <c r="S1442" s="247" t="str">
        <f ca="1">IF(C1442="","",[1]!S_SHARE_TOTAL(D1442,TODAY())/$E$5)</f>
        <v/>
      </c>
      <c r="T1442" s="247" t="str">
        <f t="shared" ca="1" si="145"/>
        <v/>
      </c>
      <c r="U1442" s="218" t="str">
        <f t="shared" ca="1" si="146"/>
        <v/>
      </c>
      <c r="V1442" s="342" t="str">
        <f t="shared" ca="1" si="147"/>
        <v/>
      </c>
      <c r="W1442" s="139"/>
      <c r="Y1442" s="1"/>
    </row>
    <row r="1443" spans="3:25" ht="12" customHeight="1">
      <c r="C1443" s="343" t="str">
        <f t="shared" ca="1" si="142"/>
        <v/>
      </c>
      <c r="D1443" s="124" t="str">
        <f t="shared" ca="1" si="143"/>
        <v/>
      </c>
      <c r="E1443" s="124" t="str">
        <f t="shared" ca="1" si="144"/>
        <v/>
      </c>
      <c r="F1443" s="172" t="str">
        <f ca="1">IF(C1443="","",[1]!S_DQ_CLOSE(D1443,TODAY(),1))</f>
        <v/>
      </c>
      <c r="G1443" s="173" t="str">
        <f ca="1">IF(C1443="","",[1]!s_pq_pctchange(D1443,TODAY()-$G$12,TODAY())/100)</f>
        <v/>
      </c>
      <c r="H1443" s="249" t="str">
        <f ca="1">IF(C1443="","",IF($H$11="收入",[1]!S_STM07_IS(D1443,9,$G$5,$H$13)/$E$5,[1]!S_STM07_IS(D1443,48,$G$5,$H$13)/$E$5))</f>
        <v/>
      </c>
      <c r="I1443" s="249" t="str">
        <f ca="1">IF(C1443="","",IF($I$11="毛利率",([1]!S_STM07_IS(D1443,9,$G$5,$H$13)-[1]!S_STM07_IS(D1443,10,$G$5,$H$13))/[1]!S_STM07_IS(D1443,9,$G$5,$H$13),[1]!S_STM07_IS(D1443,14,$G$5,$H$13)/$E$5))</f>
        <v/>
      </c>
      <c r="J1443" s="249" t="str">
        <f ca="1">IF(C1443="","",IF($J$11="营业利润率",[1]!S_STM07_IS(D1443,48,$G$5,$H$13)/[1]!S_STM07_IS(D1443,9,$G$5,$H$13),([1]!S_STM07_CS(D1443,87,$G$5,$H$13)+[1]!S_STM07_CS(D1443,88,$G$5,$H$13)+[1]!S_STM07_CS(D1443,89,$G$5,$H$13))/$E$5))</f>
        <v/>
      </c>
      <c r="K1443" s="249" t="str">
        <f ca="1">IF(C1443="","",IF($K$11="净利润率",[1]!S_STM07_IS(D1443,61,$G$5,$H$13)/[1]!S_STM07_IS(D1443,9,$G$5,$H$13),[1]!S_STM07_IS(D1443,55,$G$5,$H$13)/$E$5))</f>
        <v/>
      </c>
      <c r="L1443" s="249" t="str">
        <f ca="1">IF(C1443="","",IF($L$11="ROA",[1]!S_STM07_IS(D1443,61,$G$5,$H$13)/[1]!S_STM07_BS(D1443,74,$G$5,$H$13),1-[1]!S_STM07_IS(D1443,61,$G$5,$H$13)/[1]!S_STM07_IS(D1443,55,$G$5,$H$13)))</f>
        <v/>
      </c>
      <c r="M1443" s="249" t="str">
        <f ca="1">IF(C1443="","",IF($M$11="ROE",[1]!S_STM07_IS(D1443,61,$G$5,$H$13)/[1]!S_STM07_BS(D1443,141,$G$5,$H$13),([1]!S_STM07_BS(D1443,25,$G$5,$H$13)-[1]!S_STM07_BS(D1443,93,$G$5,$H$13))/$E$5))</f>
        <v/>
      </c>
      <c r="N1443" s="250" t="str">
        <f ca="1">IF(C1443="","",IF($N$11="EPS",[1]!S_STM07_IS(D1443,61,$G$5,$H$13)/IF([1]!S_SHARE_TOTAL(D1443,$G$5)=0,[1]!S_SHARE_TOTAL(D1443,[1]!s_ipo_listeddate(D1443)),[1]!S_SHARE_TOTAL(D1443,$G$5)),([1]!S_STM07_BS(D1443,75,$G$5,$H$13)+[1]!S_STM07_BS(D1443,88,$G$5,$H$13)+[1]!S_STM07_BS(D1443,94,$G$5,$H$13)+[1]!S_STM07_BS(D1443,95,$G$5,$H$13))/$E$5))</f>
        <v/>
      </c>
      <c r="O1443" s="250" t="str">
        <f ca="1">IF(C1443="","",IF($O$11="BPS",[1]!S_STM07_BS(D1443,141,$G$5,$H$13)/IF([1]!S_SHARE_TOTAL(D1443,$G$5)=0,[1]!S_SHARE_TOTAL(D1443,[1]!s_ipo_listeddate(D1443)),[1]!S_SHARE_TOTAL(D1443,$G$5)),[1]!S_STM07_CS(D1443,49,$G$5,$H$13)/$E$5))</f>
        <v/>
      </c>
      <c r="P1443" s="250" t="str">
        <f ca="1">IF(C1443="","",IF($P$11="CFPS",[1]!S_STM07_CS(D1443,84,$G$5,$H$13)/IF([1]!S_SHARE_TOTAL(D1443,$G$5)=0,[1]!S_SHARE_TOTAL(D1443,[1]!s_ipo_listeddate(D1443)),[1]!S_SHARE_TOTAL(D1443,$G$5)),[1]!S_STM07_CS(D1443,84,$G$5,$H$13)/$E$5))</f>
        <v/>
      </c>
      <c r="Q1443" s="198" t="str">
        <f ca="1">IF(C1443="","",F1443/([1]!S_STM07_IS(D1443,61,$G$5,$H$13)/IF([1]!S_SHARE_TOTAL(D1443,$G$5)=0,[1]!S_SHARE_TOTAL(D1443,[1]!s_ipo_listeddate(D1443)),[1]!S_SHARE_TOTAL(D1443,$G$5))))</f>
        <v/>
      </c>
      <c r="R1443" s="198" t="str">
        <f ca="1">IF(C1443="","",F1443/([1]!S_STM07_BS(D1443,141,$G$5,$H$13)/IF([1]!S_SHARE_TOTAL(D1443,$G$5)=0,[1]!S_SHARE_TOTAL(D1443,[1]!s_ipo_listeddate(D1443)),[1]!S_SHARE_TOTAL(D1443,$G$5))))</f>
        <v/>
      </c>
      <c r="S1443" s="249" t="str">
        <f ca="1">IF(C1443="","",[1]!S_SHARE_TOTAL(D1443,TODAY())/$E$5)</f>
        <v/>
      </c>
      <c r="T1443" s="249" t="str">
        <f t="shared" ca="1" si="145"/>
        <v/>
      </c>
      <c r="U1443" s="172" t="str">
        <f t="shared" ca="1" si="146"/>
        <v/>
      </c>
      <c r="V1443" s="343" t="str">
        <f t="shared" ca="1" si="147"/>
        <v/>
      </c>
      <c r="W1443" s="139"/>
      <c r="Y1443" s="1"/>
    </row>
    <row r="1444" spans="3:25" ht="12" customHeight="1">
      <c r="C1444" s="342" t="str">
        <f t="shared" ca="1" si="142"/>
        <v/>
      </c>
      <c r="D1444" s="153" t="str">
        <f t="shared" ca="1" si="143"/>
        <v/>
      </c>
      <c r="E1444" s="153" t="str">
        <f t="shared" ca="1" si="144"/>
        <v/>
      </c>
      <c r="F1444" s="170" t="str">
        <f ca="1">IF(C1444="","",[1]!S_DQ_CLOSE(D1444,TODAY(),1))</f>
        <v/>
      </c>
      <c r="G1444" s="171" t="str">
        <f ca="1">IF(C1444="","",[1]!s_pq_pctchange(D1444,TODAY()-$G$12,TODAY())/100)</f>
        <v/>
      </c>
      <c r="H1444" s="247" t="str">
        <f ca="1">IF(C1444="","",IF($H$11="收入",[1]!S_STM07_IS(D1444,9,$G$5,$H$13)/$E$5,[1]!S_STM07_IS(D1444,48,$G$5,$H$13)/$E$5))</f>
        <v/>
      </c>
      <c r="I1444" s="247" t="str">
        <f ca="1">IF(C1444="","",IF($I$11="毛利率",([1]!S_STM07_IS(D1444,9,$G$5,$H$13)-[1]!S_STM07_IS(D1444,10,$G$5,$H$13))/[1]!S_STM07_IS(D1444,9,$G$5,$H$13),[1]!S_STM07_IS(D1444,14,$G$5,$H$13)/$E$5))</f>
        <v/>
      </c>
      <c r="J1444" s="247" t="str">
        <f ca="1">IF(C1444="","",IF($J$11="营业利润率",[1]!S_STM07_IS(D1444,48,$G$5,$H$13)/[1]!S_STM07_IS(D1444,9,$G$5,$H$13),([1]!S_STM07_CS(D1444,87,$G$5,$H$13)+[1]!S_STM07_CS(D1444,88,$G$5,$H$13)+[1]!S_STM07_CS(D1444,89,$G$5,$H$13))/$E$5))</f>
        <v/>
      </c>
      <c r="K1444" s="247" t="str">
        <f ca="1">IF(C1444="","",IF($K$11="净利润率",[1]!S_STM07_IS(D1444,61,$G$5,$H$13)/[1]!S_STM07_IS(D1444,9,$G$5,$H$13),[1]!S_STM07_IS(D1444,55,$G$5,$H$13)/$E$5))</f>
        <v/>
      </c>
      <c r="L1444" s="247" t="str">
        <f ca="1">IF(C1444="","",IF($L$11="ROA",[1]!S_STM07_IS(D1444,61,$G$5,$H$13)/[1]!S_STM07_BS(D1444,74,$G$5,$H$13),1-[1]!S_STM07_IS(D1444,61,$G$5,$H$13)/[1]!S_STM07_IS(D1444,55,$G$5,$H$13)))</f>
        <v/>
      </c>
      <c r="M1444" s="247" t="str">
        <f ca="1">IF(C1444="","",IF($M$11="ROE",[1]!S_STM07_IS(D1444,61,$G$5,$H$13)/[1]!S_STM07_BS(D1444,141,$G$5,$H$13),([1]!S_STM07_BS(D1444,25,$G$5,$H$13)-[1]!S_STM07_BS(D1444,93,$G$5,$H$13))/$E$5))</f>
        <v/>
      </c>
      <c r="N1444" s="247" t="str">
        <f ca="1">IF(C1444="","",IF($N$11="EPS",[1]!S_STM07_IS(D1444,61,$G$5,$H$13)/IF([1]!S_SHARE_TOTAL(D1444,$G$5)=0,[1]!S_SHARE_TOTAL(D1444,[1]!s_ipo_listeddate(D1444)),[1]!S_SHARE_TOTAL(D1444,$G$5)),([1]!S_STM07_BS(D1444,75,$G$5,$H$13)+[1]!S_STM07_BS(D1444,88,$G$5,$H$13)+[1]!S_STM07_BS(D1444,94,$G$5,$H$13)+[1]!S_STM07_BS(D1444,95,$G$5,$H$13))/$E$5))</f>
        <v/>
      </c>
      <c r="O1444" s="247" t="str">
        <f ca="1">IF(C1444="","",IF($O$11="BPS",[1]!S_STM07_BS(D1444,141,$G$5,$H$13)/IF([1]!S_SHARE_TOTAL(D1444,$G$5)=0,[1]!S_SHARE_TOTAL(D1444,[1]!s_ipo_listeddate(D1444)),[1]!S_SHARE_TOTAL(D1444,$G$5)),[1]!S_STM07_CS(D1444,49,$G$5,$H$13)/$E$5))</f>
        <v/>
      </c>
      <c r="P1444" s="247" t="str">
        <f ca="1">IF(C1444="","",IF($P$11="CFPS",[1]!S_STM07_CS(D1444,84,$G$5,$H$13)/IF([1]!S_SHARE_TOTAL(D1444,$G$5)=0,[1]!S_SHARE_TOTAL(D1444,[1]!s_ipo_listeddate(D1444)),[1]!S_SHARE_TOTAL(D1444,$G$5)),[1]!S_STM07_CS(D1444,84,$G$5,$H$13)/$E$5))</f>
        <v/>
      </c>
      <c r="Q1444" s="248" t="str">
        <f ca="1">IF(C1444="","",F1444/([1]!S_STM07_IS(D1444,61,$G$5,$H$13)/IF([1]!S_SHARE_TOTAL(D1444,$G$5)=0,[1]!S_SHARE_TOTAL(D1444,[1]!s_ipo_listeddate(D1444)),[1]!S_SHARE_TOTAL(D1444,$G$5))))</f>
        <v/>
      </c>
      <c r="R1444" s="248" t="str">
        <f ca="1">IF(C1444="","",F1444/([1]!S_STM07_BS(D1444,141,$G$5,$H$13)/IF([1]!S_SHARE_TOTAL(D1444,$G$5)=0,[1]!S_SHARE_TOTAL(D1444,[1]!s_ipo_listeddate(D1444)),[1]!S_SHARE_TOTAL(D1444,$G$5))))</f>
        <v/>
      </c>
      <c r="S1444" s="247" t="str">
        <f ca="1">IF(C1444="","",[1]!S_SHARE_TOTAL(D1444,TODAY())/$E$5)</f>
        <v/>
      </c>
      <c r="T1444" s="247" t="str">
        <f t="shared" ca="1" si="145"/>
        <v/>
      </c>
      <c r="U1444" s="218" t="str">
        <f t="shared" ca="1" si="146"/>
        <v/>
      </c>
      <c r="V1444" s="342" t="str">
        <f t="shared" ca="1" si="147"/>
        <v/>
      </c>
      <c r="W1444" s="139"/>
      <c r="Y1444" s="1"/>
    </row>
    <row r="1445" spans="3:25" ht="12" customHeight="1">
      <c r="C1445" s="343" t="str">
        <f t="shared" ca="1" si="142"/>
        <v/>
      </c>
      <c r="D1445" s="124" t="str">
        <f t="shared" ca="1" si="143"/>
        <v/>
      </c>
      <c r="E1445" s="124" t="str">
        <f t="shared" ca="1" si="144"/>
        <v/>
      </c>
      <c r="F1445" s="172" t="str">
        <f ca="1">IF(C1445="","",[1]!S_DQ_CLOSE(D1445,TODAY(),1))</f>
        <v/>
      </c>
      <c r="G1445" s="173" t="str">
        <f ca="1">IF(C1445="","",[1]!s_pq_pctchange(D1445,TODAY()-$G$12,TODAY())/100)</f>
        <v/>
      </c>
      <c r="H1445" s="249" t="str">
        <f ca="1">IF(C1445="","",IF($H$11="收入",[1]!S_STM07_IS(D1445,9,$G$5,$H$13)/$E$5,[1]!S_STM07_IS(D1445,48,$G$5,$H$13)/$E$5))</f>
        <v/>
      </c>
      <c r="I1445" s="249" t="str">
        <f ca="1">IF(C1445="","",IF($I$11="毛利率",([1]!S_STM07_IS(D1445,9,$G$5,$H$13)-[1]!S_STM07_IS(D1445,10,$G$5,$H$13))/[1]!S_STM07_IS(D1445,9,$G$5,$H$13),[1]!S_STM07_IS(D1445,14,$G$5,$H$13)/$E$5))</f>
        <v/>
      </c>
      <c r="J1445" s="249" t="str">
        <f ca="1">IF(C1445="","",IF($J$11="营业利润率",[1]!S_STM07_IS(D1445,48,$G$5,$H$13)/[1]!S_STM07_IS(D1445,9,$G$5,$H$13),([1]!S_STM07_CS(D1445,87,$G$5,$H$13)+[1]!S_STM07_CS(D1445,88,$G$5,$H$13)+[1]!S_STM07_CS(D1445,89,$G$5,$H$13))/$E$5))</f>
        <v/>
      </c>
      <c r="K1445" s="249" t="str">
        <f ca="1">IF(C1445="","",IF($K$11="净利润率",[1]!S_STM07_IS(D1445,61,$G$5,$H$13)/[1]!S_STM07_IS(D1445,9,$G$5,$H$13),[1]!S_STM07_IS(D1445,55,$G$5,$H$13)/$E$5))</f>
        <v/>
      </c>
      <c r="L1445" s="249" t="str">
        <f ca="1">IF(C1445="","",IF($L$11="ROA",[1]!S_STM07_IS(D1445,61,$G$5,$H$13)/[1]!S_STM07_BS(D1445,74,$G$5,$H$13),1-[1]!S_STM07_IS(D1445,61,$G$5,$H$13)/[1]!S_STM07_IS(D1445,55,$G$5,$H$13)))</f>
        <v/>
      </c>
      <c r="M1445" s="249" t="str">
        <f ca="1">IF(C1445="","",IF($M$11="ROE",[1]!S_STM07_IS(D1445,61,$G$5,$H$13)/[1]!S_STM07_BS(D1445,141,$G$5,$H$13),([1]!S_STM07_BS(D1445,25,$G$5,$H$13)-[1]!S_STM07_BS(D1445,93,$G$5,$H$13))/$E$5))</f>
        <v/>
      </c>
      <c r="N1445" s="250" t="str">
        <f ca="1">IF(C1445="","",IF($N$11="EPS",[1]!S_STM07_IS(D1445,61,$G$5,$H$13)/IF([1]!S_SHARE_TOTAL(D1445,$G$5)=0,[1]!S_SHARE_TOTAL(D1445,[1]!s_ipo_listeddate(D1445)),[1]!S_SHARE_TOTAL(D1445,$G$5)),([1]!S_STM07_BS(D1445,75,$G$5,$H$13)+[1]!S_STM07_BS(D1445,88,$G$5,$H$13)+[1]!S_STM07_BS(D1445,94,$G$5,$H$13)+[1]!S_STM07_BS(D1445,95,$G$5,$H$13))/$E$5))</f>
        <v/>
      </c>
      <c r="O1445" s="250" t="str">
        <f ca="1">IF(C1445="","",IF($O$11="BPS",[1]!S_STM07_BS(D1445,141,$G$5,$H$13)/IF([1]!S_SHARE_TOTAL(D1445,$G$5)=0,[1]!S_SHARE_TOTAL(D1445,[1]!s_ipo_listeddate(D1445)),[1]!S_SHARE_TOTAL(D1445,$G$5)),[1]!S_STM07_CS(D1445,49,$G$5,$H$13)/$E$5))</f>
        <v/>
      </c>
      <c r="P1445" s="250" t="str">
        <f ca="1">IF(C1445="","",IF($P$11="CFPS",[1]!S_STM07_CS(D1445,84,$G$5,$H$13)/IF([1]!S_SHARE_TOTAL(D1445,$G$5)=0,[1]!S_SHARE_TOTAL(D1445,[1]!s_ipo_listeddate(D1445)),[1]!S_SHARE_TOTAL(D1445,$G$5)),[1]!S_STM07_CS(D1445,84,$G$5,$H$13)/$E$5))</f>
        <v/>
      </c>
      <c r="Q1445" s="198" t="str">
        <f ca="1">IF(C1445="","",F1445/([1]!S_STM07_IS(D1445,61,$G$5,$H$13)/IF([1]!S_SHARE_TOTAL(D1445,$G$5)=0,[1]!S_SHARE_TOTAL(D1445,[1]!s_ipo_listeddate(D1445)),[1]!S_SHARE_TOTAL(D1445,$G$5))))</f>
        <v/>
      </c>
      <c r="R1445" s="198" t="str">
        <f ca="1">IF(C1445="","",F1445/([1]!S_STM07_BS(D1445,141,$G$5,$H$13)/IF([1]!S_SHARE_TOTAL(D1445,$G$5)=0,[1]!S_SHARE_TOTAL(D1445,[1]!s_ipo_listeddate(D1445)),[1]!S_SHARE_TOTAL(D1445,$G$5))))</f>
        <v/>
      </c>
      <c r="S1445" s="249" t="str">
        <f ca="1">IF(C1445="","",[1]!S_SHARE_TOTAL(D1445,TODAY())/$E$5)</f>
        <v/>
      </c>
      <c r="T1445" s="249" t="str">
        <f t="shared" ca="1" si="145"/>
        <v/>
      </c>
      <c r="U1445" s="172" t="str">
        <f t="shared" ca="1" si="146"/>
        <v/>
      </c>
      <c r="V1445" s="343" t="str">
        <f t="shared" ca="1" si="147"/>
        <v/>
      </c>
      <c r="W1445" s="139"/>
      <c r="Y1445" s="1"/>
    </row>
    <row r="1446" spans="3:25" ht="12" customHeight="1">
      <c r="C1446" s="342" t="str">
        <f t="shared" ca="1" si="142"/>
        <v/>
      </c>
      <c r="D1446" s="153" t="str">
        <f t="shared" ca="1" si="143"/>
        <v/>
      </c>
      <c r="E1446" s="153" t="str">
        <f t="shared" ca="1" si="144"/>
        <v/>
      </c>
      <c r="F1446" s="170" t="str">
        <f ca="1">IF(C1446="","",[1]!S_DQ_CLOSE(D1446,TODAY(),1))</f>
        <v/>
      </c>
      <c r="G1446" s="171" t="str">
        <f ca="1">IF(C1446="","",[1]!s_pq_pctchange(D1446,TODAY()-$G$12,TODAY())/100)</f>
        <v/>
      </c>
      <c r="H1446" s="247" t="str">
        <f ca="1">IF(C1446="","",IF($H$11="收入",[1]!S_STM07_IS(D1446,9,$G$5,$H$13)/$E$5,[1]!S_STM07_IS(D1446,48,$G$5,$H$13)/$E$5))</f>
        <v/>
      </c>
      <c r="I1446" s="247" t="str">
        <f ca="1">IF(C1446="","",IF($I$11="毛利率",([1]!S_STM07_IS(D1446,9,$G$5,$H$13)-[1]!S_STM07_IS(D1446,10,$G$5,$H$13))/[1]!S_STM07_IS(D1446,9,$G$5,$H$13),[1]!S_STM07_IS(D1446,14,$G$5,$H$13)/$E$5))</f>
        <v/>
      </c>
      <c r="J1446" s="247" t="str">
        <f ca="1">IF(C1446="","",IF($J$11="营业利润率",[1]!S_STM07_IS(D1446,48,$G$5,$H$13)/[1]!S_STM07_IS(D1446,9,$G$5,$H$13),([1]!S_STM07_CS(D1446,87,$G$5,$H$13)+[1]!S_STM07_CS(D1446,88,$G$5,$H$13)+[1]!S_STM07_CS(D1446,89,$G$5,$H$13))/$E$5))</f>
        <v/>
      </c>
      <c r="K1446" s="247" t="str">
        <f ca="1">IF(C1446="","",IF($K$11="净利润率",[1]!S_STM07_IS(D1446,61,$G$5,$H$13)/[1]!S_STM07_IS(D1446,9,$G$5,$H$13),[1]!S_STM07_IS(D1446,55,$G$5,$H$13)/$E$5))</f>
        <v/>
      </c>
      <c r="L1446" s="247" t="str">
        <f ca="1">IF(C1446="","",IF($L$11="ROA",[1]!S_STM07_IS(D1446,61,$G$5,$H$13)/[1]!S_STM07_BS(D1446,74,$G$5,$H$13),1-[1]!S_STM07_IS(D1446,61,$G$5,$H$13)/[1]!S_STM07_IS(D1446,55,$G$5,$H$13)))</f>
        <v/>
      </c>
      <c r="M1446" s="247" t="str">
        <f ca="1">IF(C1446="","",IF($M$11="ROE",[1]!S_STM07_IS(D1446,61,$G$5,$H$13)/[1]!S_STM07_BS(D1446,141,$G$5,$H$13),([1]!S_STM07_BS(D1446,25,$G$5,$H$13)-[1]!S_STM07_BS(D1446,93,$G$5,$H$13))/$E$5))</f>
        <v/>
      </c>
      <c r="N1446" s="247" t="str">
        <f ca="1">IF(C1446="","",IF($N$11="EPS",[1]!S_STM07_IS(D1446,61,$G$5,$H$13)/IF([1]!S_SHARE_TOTAL(D1446,$G$5)=0,[1]!S_SHARE_TOTAL(D1446,[1]!s_ipo_listeddate(D1446)),[1]!S_SHARE_TOTAL(D1446,$G$5)),([1]!S_STM07_BS(D1446,75,$G$5,$H$13)+[1]!S_STM07_BS(D1446,88,$G$5,$H$13)+[1]!S_STM07_BS(D1446,94,$G$5,$H$13)+[1]!S_STM07_BS(D1446,95,$G$5,$H$13))/$E$5))</f>
        <v/>
      </c>
      <c r="O1446" s="247" t="str">
        <f ca="1">IF(C1446="","",IF($O$11="BPS",[1]!S_STM07_BS(D1446,141,$G$5,$H$13)/IF([1]!S_SHARE_TOTAL(D1446,$G$5)=0,[1]!S_SHARE_TOTAL(D1446,[1]!s_ipo_listeddate(D1446)),[1]!S_SHARE_TOTAL(D1446,$G$5)),[1]!S_STM07_CS(D1446,49,$G$5,$H$13)/$E$5))</f>
        <v/>
      </c>
      <c r="P1446" s="247" t="str">
        <f ca="1">IF(C1446="","",IF($P$11="CFPS",[1]!S_STM07_CS(D1446,84,$G$5,$H$13)/IF([1]!S_SHARE_TOTAL(D1446,$G$5)=0,[1]!S_SHARE_TOTAL(D1446,[1]!s_ipo_listeddate(D1446)),[1]!S_SHARE_TOTAL(D1446,$G$5)),[1]!S_STM07_CS(D1446,84,$G$5,$H$13)/$E$5))</f>
        <v/>
      </c>
      <c r="Q1446" s="248" t="str">
        <f ca="1">IF(C1446="","",F1446/([1]!S_STM07_IS(D1446,61,$G$5,$H$13)/IF([1]!S_SHARE_TOTAL(D1446,$G$5)=0,[1]!S_SHARE_TOTAL(D1446,[1]!s_ipo_listeddate(D1446)),[1]!S_SHARE_TOTAL(D1446,$G$5))))</f>
        <v/>
      </c>
      <c r="R1446" s="248" t="str">
        <f ca="1">IF(C1446="","",F1446/([1]!S_STM07_BS(D1446,141,$G$5,$H$13)/IF([1]!S_SHARE_TOTAL(D1446,$G$5)=0,[1]!S_SHARE_TOTAL(D1446,[1]!s_ipo_listeddate(D1446)),[1]!S_SHARE_TOTAL(D1446,$G$5))))</f>
        <v/>
      </c>
      <c r="S1446" s="247" t="str">
        <f ca="1">IF(C1446="","",[1]!S_SHARE_TOTAL(D1446,TODAY())/$E$5)</f>
        <v/>
      </c>
      <c r="T1446" s="247" t="str">
        <f t="shared" ca="1" si="145"/>
        <v/>
      </c>
      <c r="U1446" s="218" t="str">
        <f t="shared" ca="1" si="146"/>
        <v/>
      </c>
      <c r="V1446" s="342" t="str">
        <f t="shared" ca="1" si="147"/>
        <v/>
      </c>
      <c r="W1446" s="139"/>
      <c r="Y1446" s="1"/>
    </row>
    <row r="1447" spans="3:25" ht="12" customHeight="1">
      <c r="C1447" s="343" t="str">
        <f t="shared" ca="1" si="142"/>
        <v/>
      </c>
      <c r="D1447" s="124" t="str">
        <f t="shared" ca="1" si="143"/>
        <v/>
      </c>
      <c r="E1447" s="124" t="str">
        <f t="shared" ca="1" si="144"/>
        <v/>
      </c>
      <c r="F1447" s="172" t="str">
        <f ca="1">IF(C1447="","",[1]!S_DQ_CLOSE(D1447,TODAY(),1))</f>
        <v/>
      </c>
      <c r="G1447" s="173" t="str">
        <f ca="1">IF(C1447="","",[1]!s_pq_pctchange(D1447,TODAY()-$G$12,TODAY())/100)</f>
        <v/>
      </c>
      <c r="H1447" s="249" t="str">
        <f ca="1">IF(C1447="","",IF($H$11="收入",[1]!S_STM07_IS(D1447,9,$G$5,$H$13)/$E$5,[1]!S_STM07_IS(D1447,48,$G$5,$H$13)/$E$5))</f>
        <v/>
      </c>
      <c r="I1447" s="249" t="str">
        <f ca="1">IF(C1447="","",IF($I$11="毛利率",([1]!S_STM07_IS(D1447,9,$G$5,$H$13)-[1]!S_STM07_IS(D1447,10,$G$5,$H$13))/[1]!S_STM07_IS(D1447,9,$G$5,$H$13),[1]!S_STM07_IS(D1447,14,$G$5,$H$13)/$E$5))</f>
        <v/>
      </c>
      <c r="J1447" s="249" t="str">
        <f ca="1">IF(C1447="","",IF($J$11="营业利润率",[1]!S_STM07_IS(D1447,48,$G$5,$H$13)/[1]!S_STM07_IS(D1447,9,$G$5,$H$13),([1]!S_STM07_CS(D1447,87,$G$5,$H$13)+[1]!S_STM07_CS(D1447,88,$G$5,$H$13)+[1]!S_STM07_CS(D1447,89,$G$5,$H$13))/$E$5))</f>
        <v/>
      </c>
      <c r="K1447" s="249" t="str">
        <f ca="1">IF(C1447="","",IF($K$11="净利润率",[1]!S_STM07_IS(D1447,61,$G$5,$H$13)/[1]!S_STM07_IS(D1447,9,$G$5,$H$13),[1]!S_STM07_IS(D1447,55,$G$5,$H$13)/$E$5))</f>
        <v/>
      </c>
      <c r="L1447" s="249" t="str">
        <f ca="1">IF(C1447="","",IF($L$11="ROA",[1]!S_STM07_IS(D1447,61,$G$5,$H$13)/[1]!S_STM07_BS(D1447,74,$G$5,$H$13),1-[1]!S_STM07_IS(D1447,61,$G$5,$H$13)/[1]!S_STM07_IS(D1447,55,$G$5,$H$13)))</f>
        <v/>
      </c>
      <c r="M1447" s="249" t="str">
        <f ca="1">IF(C1447="","",IF($M$11="ROE",[1]!S_STM07_IS(D1447,61,$G$5,$H$13)/[1]!S_STM07_BS(D1447,141,$G$5,$H$13),([1]!S_STM07_BS(D1447,25,$G$5,$H$13)-[1]!S_STM07_BS(D1447,93,$G$5,$H$13))/$E$5))</f>
        <v/>
      </c>
      <c r="N1447" s="250" t="str">
        <f ca="1">IF(C1447="","",IF($N$11="EPS",[1]!S_STM07_IS(D1447,61,$G$5,$H$13)/IF([1]!S_SHARE_TOTAL(D1447,$G$5)=0,[1]!S_SHARE_TOTAL(D1447,[1]!s_ipo_listeddate(D1447)),[1]!S_SHARE_TOTAL(D1447,$G$5)),([1]!S_STM07_BS(D1447,75,$G$5,$H$13)+[1]!S_STM07_BS(D1447,88,$G$5,$H$13)+[1]!S_STM07_BS(D1447,94,$G$5,$H$13)+[1]!S_STM07_BS(D1447,95,$G$5,$H$13))/$E$5))</f>
        <v/>
      </c>
      <c r="O1447" s="250" t="str">
        <f ca="1">IF(C1447="","",IF($O$11="BPS",[1]!S_STM07_BS(D1447,141,$G$5,$H$13)/IF([1]!S_SHARE_TOTAL(D1447,$G$5)=0,[1]!S_SHARE_TOTAL(D1447,[1]!s_ipo_listeddate(D1447)),[1]!S_SHARE_TOTAL(D1447,$G$5)),[1]!S_STM07_CS(D1447,49,$G$5,$H$13)/$E$5))</f>
        <v/>
      </c>
      <c r="P1447" s="250" t="str">
        <f ca="1">IF(C1447="","",IF($P$11="CFPS",[1]!S_STM07_CS(D1447,84,$G$5,$H$13)/IF([1]!S_SHARE_TOTAL(D1447,$G$5)=0,[1]!S_SHARE_TOTAL(D1447,[1]!s_ipo_listeddate(D1447)),[1]!S_SHARE_TOTAL(D1447,$G$5)),[1]!S_STM07_CS(D1447,84,$G$5,$H$13)/$E$5))</f>
        <v/>
      </c>
      <c r="Q1447" s="198" t="str">
        <f ca="1">IF(C1447="","",F1447/([1]!S_STM07_IS(D1447,61,$G$5,$H$13)/IF([1]!S_SHARE_TOTAL(D1447,$G$5)=0,[1]!S_SHARE_TOTAL(D1447,[1]!s_ipo_listeddate(D1447)),[1]!S_SHARE_TOTAL(D1447,$G$5))))</f>
        <v/>
      </c>
      <c r="R1447" s="198" t="str">
        <f ca="1">IF(C1447="","",F1447/([1]!S_STM07_BS(D1447,141,$G$5,$H$13)/IF([1]!S_SHARE_TOTAL(D1447,$G$5)=0,[1]!S_SHARE_TOTAL(D1447,[1]!s_ipo_listeddate(D1447)),[1]!S_SHARE_TOTAL(D1447,$G$5))))</f>
        <v/>
      </c>
      <c r="S1447" s="249" t="str">
        <f ca="1">IF(C1447="","",[1]!S_SHARE_TOTAL(D1447,TODAY())/$E$5)</f>
        <v/>
      </c>
      <c r="T1447" s="249" t="str">
        <f t="shared" ca="1" si="145"/>
        <v/>
      </c>
      <c r="U1447" s="172" t="str">
        <f t="shared" ca="1" si="146"/>
        <v/>
      </c>
      <c r="V1447" s="343" t="str">
        <f t="shared" ca="1" si="147"/>
        <v/>
      </c>
      <c r="W1447" s="139"/>
      <c r="Y1447" s="1"/>
    </row>
    <row r="1448" spans="3:25" ht="12" customHeight="1">
      <c r="C1448" s="342" t="str">
        <f t="shared" ca="1" si="142"/>
        <v/>
      </c>
      <c r="D1448" s="153" t="str">
        <f t="shared" ca="1" si="143"/>
        <v/>
      </c>
      <c r="E1448" s="153" t="str">
        <f t="shared" ca="1" si="144"/>
        <v/>
      </c>
      <c r="F1448" s="170" t="str">
        <f ca="1">IF(C1448="","",[1]!S_DQ_CLOSE(D1448,TODAY(),1))</f>
        <v/>
      </c>
      <c r="G1448" s="171" t="str">
        <f ca="1">IF(C1448="","",[1]!s_pq_pctchange(D1448,TODAY()-$G$12,TODAY())/100)</f>
        <v/>
      </c>
      <c r="H1448" s="247" t="str">
        <f ca="1">IF(C1448="","",IF($H$11="收入",[1]!S_STM07_IS(D1448,9,$G$5,$H$13)/$E$5,[1]!S_STM07_IS(D1448,48,$G$5,$H$13)/$E$5))</f>
        <v/>
      </c>
      <c r="I1448" s="247" t="str">
        <f ca="1">IF(C1448="","",IF($I$11="毛利率",([1]!S_STM07_IS(D1448,9,$G$5,$H$13)-[1]!S_STM07_IS(D1448,10,$G$5,$H$13))/[1]!S_STM07_IS(D1448,9,$G$5,$H$13),[1]!S_STM07_IS(D1448,14,$G$5,$H$13)/$E$5))</f>
        <v/>
      </c>
      <c r="J1448" s="247" t="str">
        <f ca="1">IF(C1448="","",IF($J$11="营业利润率",[1]!S_STM07_IS(D1448,48,$G$5,$H$13)/[1]!S_STM07_IS(D1448,9,$G$5,$H$13),([1]!S_STM07_CS(D1448,87,$G$5,$H$13)+[1]!S_STM07_CS(D1448,88,$G$5,$H$13)+[1]!S_STM07_CS(D1448,89,$G$5,$H$13))/$E$5))</f>
        <v/>
      </c>
      <c r="K1448" s="247" t="str">
        <f ca="1">IF(C1448="","",IF($K$11="净利润率",[1]!S_STM07_IS(D1448,61,$G$5,$H$13)/[1]!S_STM07_IS(D1448,9,$G$5,$H$13),[1]!S_STM07_IS(D1448,55,$G$5,$H$13)/$E$5))</f>
        <v/>
      </c>
      <c r="L1448" s="247" t="str">
        <f ca="1">IF(C1448="","",IF($L$11="ROA",[1]!S_STM07_IS(D1448,61,$G$5,$H$13)/[1]!S_STM07_BS(D1448,74,$G$5,$H$13),1-[1]!S_STM07_IS(D1448,61,$G$5,$H$13)/[1]!S_STM07_IS(D1448,55,$G$5,$H$13)))</f>
        <v/>
      </c>
      <c r="M1448" s="247" t="str">
        <f ca="1">IF(C1448="","",IF($M$11="ROE",[1]!S_STM07_IS(D1448,61,$G$5,$H$13)/[1]!S_STM07_BS(D1448,141,$G$5,$H$13),([1]!S_STM07_BS(D1448,25,$G$5,$H$13)-[1]!S_STM07_BS(D1448,93,$G$5,$H$13))/$E$5))</f>
        <v/>
      </c>
      <c r="N1448" s="247" t="str">
        <f ca="1">IF(C1448="","",IF($N$11="EPS",[1]!S_STM07_IS(D1448,61,$G$5,$H$13)/IF([1]!S_SHARE_TOTAL(D1448,$G$5)=0,[1]!S_SHARE_TOTAL(D1448,[1]!s_ipo_listeddate(D1448)),[1]!S_SHARE_TOTAL(D1448,$G$5)),([1]!S_STM07_BS(D1448,75,$G$5,$H$13)+[1]!S_STM07_BS(D1448,88,$G$5,$H$13)+[1]!S_STM07_BS(D1448,94,$G$5,$H$13)+[1]!S_STM07_BS(D1448,95,$G$5,$H$13))/$E$5))</f>
        <v/>
      </c>
      <c r="O1448" s="247" t="str">
        <f ca="1">IF(C1448="","",IF($O$11="BPS",[1]!S_STM07_BS(D1448,141,$G$5,$H$13)/IF([1]!S_SHARE_TOTAL(D1448,$G$5)=0,[1]!S_SHARE_TOTAL(D1448,[1]!s_ipo_listeddate(D1448)),[1]!S_SHARE_TOTAL(D1448,$G$5)),[1]!S_STM07_CS(D1448,49,$G$5,$H$13)/$E$5))</f>
        <v/>
      </c>
      <c r="P1448" s="247" t="str">
        <f ca="1">IF(C1448="","",IF($P$11="CFPS",[1]!S_STM07_CS(D1448,84,$G$5,$H$13)/IF([1]!S_SHARE_TOTAL(D1448,$G$5)=0,[1]!S_SHARE_TOTAL(D1448,[1]!s_ipo_listeddate(D1448)),[1]!S_SHARE_TOTAL(D1448,$G$5)),[1]!S_STM07_CS(D1448,84,$G$5,$H$13)/$E$5))</f>
        <v/>
      </c>
      <c r="Q1448" s="248" t="str">
        <f ca="1">IF(C1448="","",F1448/([1]!S_STM07_IS(D1448,61,$G$5,$H$13)/IF([1]!S_SHARE_TOTAL(D1448,$G$5)=0,[1]!S_SHARE_TOTAL(D1448,[1]!s_ipo_listeddate(D1448)),[1]!S_SHARE_TOTAL(D1448,$G$5))))</f>
        <v/>
      </c>
      <c r="R1448" s="248" t="str">
        <f ca="1">IF(C1448="","",F1448/([1]!S_STM07_BS(D1448,141,$G$5,$H$13)/IF([1]!S_SHARE_TOTAL(D1448,$G$5)=0,[1]!S_SHARE_TOTAL(D1448,[1]!s_ipo_listeddate(D1448)),[1]!S_SHARE_TOTAL(D1448,$G$5))))</f>
        <v/>
      </c>
      <c r="S1448" s="247" t="str">
        <f ca="1">IF(C1448="","",[1]!S_SHARE_TOTAL(D1448,TODAY())/$E$5)</f>
        <v/>
      </c>
      <c r="T1448" s="247" t="str">
        <f t="shared" ca="1" si="145"/>
        <v/>
      </c>
      <c r="U1448" s="218" t="str">
        <f t="shared" ca="1" si="146"/>
        <v/>
      </c>
      <c r="V1448" s="342" t="str">
        <f t="shared" ca="1" si="147"/>
        <v/>
      </c>
      <c r="W1448" s="139"/>
      <c r="Y1448" s="1"/>
    </row>
    <row r="1449" spans="3:25" ht="12" customHeight="1">
      <c r="C1449" s="343" t="str">
        <f t="shared" ca="1" si="142"/>
        <v/>
      </c>
      <c r="D1449" s="124" t="str">
        <f t="shared" ca="1" si="143"/>
        <v/>
      </c>
      <c r="E1449" s="124" t="str">
        <f t="shared" ca="1" si="144"/>
        <v/>
      </c>
      <c r="F1449" s="172" t="str">
        <f ca="1">IF(C1449="","",[1]!S_DQ_CLOSE(D1449,TODAY(),1))</f>
        <v/>
      </c>
      <c r="G1449" s="173" t="str">
        <f ca="1">IF(C1449="","",[1]!s_pq_pctchange(D1449,TODAY()-$G$12,TODAY())/100)</f>
        <v/>
      </c>
      <c r="H1449" s="249" t="str">
        <f ca="1">IF(C1449="","",IF($H$11="收入",[1]!S_STM07_IS(D1449,9,$G$5,$H$13)/$E$5,[1]!S_STM07_IS(D1449,48,$G$5,$H$13)/$E$5))</f>
        <v/>
      </c>
      <c r="I1449" s="249" t="str">
        <f ca="1">IF(C1449="","",IF($I$11="毛利率",([1]!S_STM07_IS(D1449,9,$G$5,$H$13)-[1]!S_STM07_IS(D1449,10,$G$5,$H$13))/[1]!S_STM07_IS(D1449,9,$G$5,$H$13),[1]!S_STM07_IS(D1449,14,$G$5,$H$13)/$E$5))</f>
        <v/>
      </c>
      <c r="J1449" s="249" t="str">
        <f ca="1">IF(C1449="","",IF($J$11="营业利润率",[1]!S_STM07_IS(D1449,48,$G$5,$H$13)/[1]!S_STM07_IS(D1449,9,$G$5,$H$13),([1]!S_STM07_CS(D1449,87,$G$5,$H$13)+[1]!S_STM07_CS(D1449,88,$G$5,$H$13)+[1]!S_STM07_CS(D1449,89,$G$5,$H$13))/$E$5))</f>
        <v/>
      </c>
      <c r="K1449" s="249" t="str">
        <f ca="1">IF(C1449="","",IF($K$11="净利润率",[1]!S_STM07_IS(D1449,61,$G$5,$H$13)/[1]!S_STM07_IS(D1449,9,$G$5,$H$13),[1]!S_STM07_IS(D1449,55,$G$5,$H$13)/$E$5))</f>
        <v/>
      </c>
      <c r="L1449" s="249" t="str">
        <f ca="1">IF(C1449="","",IF($L$11="ROA",[1]!S_STM07_IS(D1449,61,$G$5,$H$13)/[1]!S_STM07_BS(D1449,74,$G$5,$H$13),1-[1]!S_STM07_IS(D1449,61,$G$5,$H$13)/[1]!S_STM07_IS(D1449,55,$G$5,$H$13)))</f>
        <v/>
      </c>
      <c r="M1449" s="249" t="str">
        <f ca="1">IF(C1449="","",IF($M$11="ROE",[1]!S_STM07_IS(D1449,61,$G$5,$H$13)/[1]!S_STM07_BS(D1449,141,$G$5,$H$13),([1]!S_STM07_BS(D1449,25,$G$5,$H$13)-[1]!S_STM07_BS(D1449,93,$G$5,$H$13))/$E$5))</f>
        <v/>
      </c>
      <c r="N1449" s="250" t="str">
        <f ca="1">IF(C1449="","",IF($N$11="EPS",[1]!S_STM07_IS(D1449,61,$G$5,$H$13)/IF([1]!S_SHARE_TOTAL(D1449,$G$5)=0,[1]!S_SHARE_TOTAL(D1449,[1]!s_ipo_listeddate(D1449)),[1]!S_SHARE_TOTAL(D1449,$G$5)),([1]!S_STM07_BS(D1449,75,$G$5,$H$13)+[1]!S_STM07_BS(D1449,88,$G$5,$H$13)+[1]!S_STM07_BS(D1449,94,$G$5,$H$13)+[1]!S_STM07_BS(D1449,95,$G$5,$H$13))/$E$5))</f>
        <v/>
      </c>
      <c r="O1449" s="250" t="str">
        <f ca="1">IF(C1449="","",IF($O$11="BPS",[1]!S_STM07_BS(D1449,141,$G$5,$H$13)/IF([1]!S_SHARE_TOTAL(D1449,$G$5)=0,[1]!S_SHARE_TOTAL(D1449,[1]!s_ipo_listeddate(D1449)),[1]!S_SHARE_TOTAL(D1449,$G$5)),[1]!S_STM07_CS(D1449,49,$G$5,$H$13)/$E$5))</f>
        <v/>
      </c>
      <c r="P1449" s="250" t="str">
        <f ca="1">IF(C1449="","",IF($P$11="CFPS",[1]!S_STM07_CS(D1449,84,$G$5,$H$13)/IF([1]!S_SHARE_TOTAL(D1449,$G$5)=0,[1]!S_SHARE_TOTAL(D1449,[1]!s_ipo_listeddate(D1449)),[1]!S_SHARE_TOTAL(D1449,$G$5)),[1]!S_STM07_CS(D1449,84,$G$5,$H$13)/$E$5))</f>
        <v/>
      </c>
      <c r="Q1449" s="198" t="str">
        <f ca="1">IF(C1449="","",F1449/([1]!S_STM07_IS(D1449,61,$G$5,$H$13)/IF([1]!S_SHARE_TOTAL(D1449,$G$5)=0,[1]!S_SHARE_TOTAL(D1449,[1]!s_ipo_listeddate(D1449)),[1]!S_SHARE_TOTAL(D1449,$G$5))))</f>
        <v/>
      </c>
      <c r="R1449" s="198" t="str">
        <f ca="1">IF(C1449="","",F1449/([1]!S_STM07_BS(D1449,141,$G$5,$H$13)/IF([1]!S_SHARE_TOTAL(D1449,$G$5)=0,[1]!S_SHARE_TOTAL(D1449,[1]!s_ipo_listeddate(D1449)),[1]!S_SHARE_TOTAL(D1449,$G$5))))</f>
        <v/>
      </c>
      <c r="S1449" s="249" t="str">
        <f ca="1">IF(C1449="","",[1]!S_SHARE_TOTAL(D1449,TODAY())/$E$5)</f>
        <v/>
      </c>
      <c r="T1449" s="249" t="str">
        <f t="shared" ca="1" si="145"/>
        <v/>
      </c>
      <c r="U1449" s="172" t="str">
        <f t="shared" ca="1" si="146"/>
        <v/>
      </c>
      <c r="V1449" s="343" t="str">
        <f t="shared" ca="1" si="147"/>
        <v/>
      </c>
      <c r="W1449" s="139"/>
      <c r="Y1449" s="1"/>
    </row>
    <row r="1450" spans="3:25" ht="12" customHeight="1">
      <c r="C1450" s="342" t="str">
        <f t="shared" ca="1" si="142"/>
        <v/>
      </c>
      <c r="D1450" s="153" t="str">
        <f t="shared" ca="1" si="143"/>
        <v/>
      </c>
      <c r="E1450" s="153" t="str">
        <f t="shared" ca="1" si="144"/>
        <v/>
      </c>
      <c r="F1450" s="170" t="str">
        <f ca="1">IF(C1450="","",[1]!S_DQ_CLOSE(D1450,TODAY(),1))</f>
        <v/>
      </c>
      <c r="G1450" s="171" t="str">
        <f ca="1">IF(C1450="","",[1]!s_pq_pctchange(D1450,TODAY()-$G$12,TODAY())/100)</f>
        <v/>
      </c>
      <c r="H1450" s="247" t="str">
        <f ca="1">IF(C1450="","",IF($H$11="收入",[1]!S_STM07_IS(D1450,9,$G$5,$H$13)/$E$5,[1]!S_STM07_IS(D1450,48,$G$5,$H$13)/$E$5))</f>
        <v/>
      </c>
      <c r="I1450" s="247" t="str">
        <f ca="1">IF(C1450="","",IF($I$11="毛利率",([1]!S_STM07_IS(D1450,9,$G$5,$H$13)-[1]!S_STM07_IS(D1450,10,$G$5,$H$13))/[1]!S_STM07_IS(D1450,9,$G$5,$H$13),[1]!S_STM07_IS(D1450,14,$G$5,$H$13)/$E$5))</f>
        <v/>
      </c>
      <c r="J1450" s="247" t="str">
        <f ca="1">IF(C1450="","",IF($J$11="营业利润率",[1]!S_STM07_IS(D1450,48,$G$5,$H$13)/[1]!S_STM07_IS(D1450,9,$G$5,$H$13),([1]!S_STM07_CS(D1450,87,$G$5,$H$13)+[1]!S_STM07_CS(D1450,88,$G$5,$H$13)+[1]!S_STM07_CS(D1450,89,$G$5,$H$13))/$E$5))</f>
        <v/>
      </c>
      <c r="K1450" s="247" t="str">
        <f ca="1">IF(C1450="","",IF($K$11="净利润率",[1]!S_STM07_IS(D1450,61,$G$5,$H$13)/[1]!S_STM07_IS(D1450,9,$G$5,$H$13),[1]!S_STM07_IS(D1450,55,$G$5,$H$13)/$E$5))</f>
        <v/>
      </c>
      <c r="L1450" s="247" t="str">
        <f ca="1">IF(C1450="","",IF($L$11="ROA",[1]!S_STM07_IS(D1450,61,$G$5,$H$13)/[1]!S_STM07_BS(D1450,74,$G$5,$H$13),1-[1]!S_STM07_IS(D1450,61,$G$5,$H$13)/[1]!S_STM07_IS(D1450,55,$G$5,$H$13)))</f>
        <v/>
      </c>
      <c r="M1450" s="247" t="str">
        <f ca="1">IF(C1450="","",IF($M$11="ROE",[1]!S_STM07_IS(D1450,61,$G$5,$H$13)/[1]!S_STM07_BS(D1450,141,$G$5,$H$13),([1]!S_STM07_BS(D1450,25,$G$5,$H$13)-[1]!S_STM07_BS(D1450,93,$G$5,$H$13))/$E$5))</f>
        <v/>
      </c>
      <c r="N1450" s="247" t="str">
        <f ca="1">IF(C1450="","",IF($N$11="EPS",[1]!S_STM07_IS(D1450,61,$G$5,$H$13)/IF([1]!S_SHARE_TOTAL(D1450,$G$5)=0,[1]!S_SHARE_TOTAL(D1450,[1]!s_ipo_listeddate(D1450)),[1]!S_SHARE_TOTAL(D1450,$G$5)),([1]!S_STM07_BS(D1450,75,$G$5,$H$13)+[1]!S_STM07_BS(D1450,88,$G$5,$H$13)+[1]!S_STM07_BS(D1450,94,$G$5,$H$13)+[1]!S_STM07_BS(D1450,95,$G$5,$H$13))/$E$5))</f>
        <v/>
      </c>
      <c r="O1450" s="247" t="str">
        <f ca="1">IF(C1450="","",IF($O$11="BPS",[1]!S_STM07_BS(D1450,141,$G$5,$H$13)/IF([1]!S_SHARE_TOTAL(D1450,$G$5)=0,[1]!S_SHARE_TOTAL(D1450,[1]!s_ipo_listeddate(D1450)),[1]!S_SHARE_TOTAL(D1450,$G$5)),[1]!S_STM07_CS(D1450,49,$G$5,$H$13)/$E$5))</f>
        <v/>
      </c>
      <c r="P1450" s="247" t="str">
        <f ca="1">IF(C1450="","",IF($P$11="CFPS",[1]!S_STM07_CS(D1450,84,$G$5,$H$13)/IF([1]!S_SHARE_TOTAL(D1450,$G$5)=0,[1]!S_SHARE_TOTAL(D1450,[1]!s_ipo_listeddate(D1450)),[1]!S_SHARE_TOTAL(D1450,$G$5)),[1]!S_STM07_CS(D1450,84,$G$5,$H$13)/$E$5))</f>
        <v/>
      </c>
      <c r="Q1450" s="248" t="str">
        <f ca="1">IF(C1450="","",F1450/([1]!S_STM07_IS(D1450,61,$G$5,$H$13)/IF([1]!S_SHARE_TOTAL(D1450,$G$5)=0,[1]!S_SHARE_TOTAL(D1450,[1]!s_ipo_listeddate(D1450)),[1]!S_SHARE_TOTAL(D1450,$G$5))))</f>
        <v/>
      </c>
      <c r="R1450" s="248" t="str">
        <f ca="1">IF(C1450="","",F1450/([1]!S_STM07_BS(D1450,141,$G$5,$H$13)/IF([1]!S_SHARE_TOTAL(D1450,$G$5)=0,[1]!S_SHARE_TOTAL(D1450,[1]!s_ipo_listeddate(D1450)),[1]!S_SHARE_TOTAL(D1450,$G$5))))</f>
        <v/>
      </c>
      <c r="S1450" s="247" t="str">
        <f ca="1">IF(C1450="","",[1]!S_SHARE_TOTAL(D1450,TODAY())/$E$5)</f>
        <v/>
      </c>
      <c r="T1450" s="247" t="str">
        <f t="shared" ca="1" si="145"/>
        <v/>
      </c>
      <c r="U1450" s="218" t="str">
        <f t="shared" ca="1" si="146"/>
        <v/>
      </c>
      <c r="V1450" s="342" t="str">
        <f t="shared" ca="1" si="147"/>
        <v/>
      </c>
      <c r="W1450" s="139"/>
      <c r="Y1450" s="1"/>
    </row>
    <row r="1451" spans="3:25" ht="12" customHeight="1">
      <c r="C1451" s="343" t="str">
        <f t="shared" ca="1" si="142"/>
        <v/>
      </c>
      <c r="D1451" s="124" t="str">
        <f t="shared" ca="1" si="143"/>
        <v/>
      </c>
      <c r="E1451" s="124" t="str">
        <f t="shared" ca="1" si="144"/>
        <v/>
      </c>
      <c r="F1451" s="172" t="str">
        <f ca="1">IF(C1451="","",[1]!S_DQ_CLOSE(D1451,TODAY(),1))</f>
        <v/>
      </c>
      <c r="G1451" s="173" t="str">
        <f ca="1">IF(C1451="","",[1]!s_pq_pctchange(D1451,TODAY()-$G$12,TODAY())/100)</f>
        <v/>
      </c>
      <c r="H1451" s="249" t="str">
        <f ca="1">IF(C1451="","",IF($H$11="收入",[1]!S_STM07_IS(D1451,9,$G$5,$H$13)/$E$5,[1]!S_STM07_IS(D1451,48,$G$5,$H$13)/$E$5))</f>
        <v/>
      </c>
      <c r="I1451" s="249" t="str">
        <f ca="1">IF(C1451="","",IF($I$11="毛利率",([1]!S_STM07_IS(D1451,9,$G$5,$H$13)-[1]!S_STM07_IS(D1451,10,$G$5,$H$13))/[1]!S_STM07_IS(D1451,9,$G$5,$H$13),[1]!S_STM07_IS(D1451,14,$G$5,$H$13)/$E$5))</f>
        <v/>
      </c>
      <c r="J1451" s="249" t="str">
        <f ca="1">IF(C1451="","",IF($J$11="营业利润率",[1]!S_STM07_IS(D1451,48,$G$5,$H$13)/[1]!S_STM07_IS(D1451,9,$G$5,$H$13),([1]!S_STM07_CS(D1451,87,$G$5,$H$13)+[1]!S_STM07_CS(D1451,88,$G$5,$H$13)+[1]!S_STM07_CS(D1451,89,$G$5,$H$13))/$E$5))</f>
        <v/>
      </c>
      <c r="K1451" s="249" t="str">
        <f ca="1">IF(C1451="","",IF($K$11="净利润率",[1]!S_STM07_IS(D1451,61,$G$5,$H$13)/[1]!S_STM07_IS(D1451,9,$G$5,$H$13),[1]!S_STM07_IS(D1451,55,$G$5,$H$13)/$E$5))</f>
        <v/>
      </c>
      <c r="L1451" s="249" t="str">
        <f ca="1">IF(C1451="","",IF($L$11="ROA",[1]!S_STM07_IS(D1451,61,$G$5,$H$13)/[1]!S_STM07_BS(D1451,74,$G$5,$H$13),1-[1]!S_STM07_IS(D1451,61,$G$5,$H$13)/[1]!S_STM07_IS(D1451,55,$G$5,$H$13)))</f>
        <v/>
      </c>
      <c r="M1451" s="249" t="str">
        <f ca="1">IF(C1451="","",IF($M$11="ROE",[1]!S_STM07_IS(D1451,61,$G$5,$H$13)/[1]!S_STM07_BS(D1451,141,$G$5,$H$13),([1]!S_STM07_BS(D1451,25,$G$5,$H$13)-[1]!S_STM07_BS(D1451,93,$G$5,$H$13))/$E$5))</f>
        <v/>
      </c>
      <c r="N1451" s="250" t="str">
        <f ca="1">IF(C1451="","",IF($N$11="EPS",[1]!S_STM07_IS(D1451,61,$G$5,$H$13)/IF([1]!S_SHARE_TOTAL(D1451,$G$5)=0,[1]!S_SHARE_TOTAL(D1451,[1]!s_ipo_listeddate(D1451)),[1]!S_SHARE_TOTAL(D1451,$G$5)),([1]!S_STM07_BS(D1451,75,$G$5,$H$13)+[1]!S_STM07_BS(D1451,88,$G$5,$H$13)+[1]!S_STM07_BS(D1451,94,$G$5,$H$13)+[1]!S_STM07_BS(D1451,95,$G$5,$H$13))/$E$5))</f>
        <v/>
      </c>
      <c r="O1451" s="250" t="str">
        <f ca="1">IF(C1451="","",IF($O$11="BPS",[1]!S_STM07_BS(D1451,141,$G$5,$H$13)/IF([1]!S_SHARE_TOTAL(D1451,$G$5)=0,[1]!S_SHARE_TOTAL(D1451,[1]!s_ipo_listeddate(D1451)),[1]!S_SHARE_TOTAL(D1451,$G$5)),[1]!S_STM07_CS(D1451,49,$G$5,$H$13)/$E$5))</f>
        <v/>
      </c>
      <c r="P1451" s="250" t="str">
        <f ca="1">IF(C1451="","",IF($P$11="CFPS",[1]!S_STM07_CS(D1451,84,$G$5,$H$13)/IF([1]!S_SHARE_TOTAL(D1451,$G$5)=0,[1]!S_SHARE_TOTAL(D1451,[1]!s_ipo_listeddate(D1451)),[1]!S_SHARE_TOTAL(D1451,$G$5)),[1]!S_STM07_CS(D1451,84,$G$5,$H$13)/$E$5))</f>
        <v/>
      </c>
      <c r="Q1451" s="198" t="str">
        <f ca="1">IF(C1451="","",F1451/([1]!S_STM07_IS(D1451,61,$G$5,$H$13)/IF([1]!S_SHARE_TOTAL(D1451,$G$5)=0,[1]!S_SHARE_TOTAL(D1451,[1]!s_ipo_listeddate(D1451)),[1]!S_SHARE_TOTAL(D1451,$G$5))))</f>
        <v/>
      </c>
      <c r="R1451" s="198" t="str">
        <f ca="1">IF(C1451="","",F1451/([1]!S_STM07_BS(D1451,141,$G$5,$H$13)/IF([1]!S_SHARE_TOTAL(D1451,$G$5)=0,[1]!S_SHARE_TOTAL(D1451,[1]!s_ipo_listeddate(D1451)),[1]!S_SHARE_TOTAL(D1451,$G$5))))</f>
        <v/>
      </c>
      <c r="S1451" s="249" t="str">
        <f ca="1">IF(C1451="","",[1]!S_SHARE_TOTAL(D1451,TODAY())/$E$5)</f>
        <v/>
      </c>
      <c r="T1451" s="249" t="str">
        <f t="shared" ca="1" si="145"/>
        <v/>
      </c>
      <c r="U1451" s="172" t="str">
        <f t="shared" ca="1" si="146"/>
        <v/>
      </c>
      <c r="V1451" s="343" t="str">
        <f t="shared" ca="1" si="147"/>
        <v/>
      </c>
      <c r="W1451" s="139"/>
      <c r="Y1451" s="1"/>
    </row>
    <row r="1452" spans="3:25" ht="12" customHeight="1">
      <c r="C1452" s="342" t="str">
        <f t="shared" ca="1" si="142"/>
        <v/>
      </c>
      <c r="D1452" s="153" t="str">
        <f t="shared" ca="1" si="143"/>
        <v/>
      </c>
      <c r="E1452" s="153" t="str">
        <f t="shared" ca="1" si="144"/>
        <v/>
      </c>
      <c r="F1452" s="170" t="str">
        <f ca="1">IF(C1452="","",[1]!S_DQ_CLOSE(D1452,TODAY(),1))</f>
        <v/>
      </c>
      <c r="G1452" s="171" t="str">
        <f ca="1">IF(C1452="","",[1]!s_pq_pctchange(D1452,TODAY()-$G$12,TODAY())/100)</f>
        <v/>
      </c>
      <c r="H1452" s="247" t="str">
        <f ca="1">IF(C1452="","",IF($H$11="收入",[1]!S_STM07_IS(D1452,9,$G$5,$H$13)/$E$5,[1]!S_STM07_IS(D1452,48,$G$5,$H$13)/$E$5))</f>
        <v/>
      </c>
      <c r="I1452" s="247" t="str">
        <f ca="1">IF(C1452="","",IF($I$11="毛利率",([1]!S_STM07_IS(D1452,9,$G$5,$H$13)-[1]!S_STM07_IS(D1452,10,$G$5,$H$13))/[1]!S_STM07_IS(D1452,9,$G$5,$H$13),[1]!S_STM07_IS(D1452,14,$G$5,$H$13)/$E$5))</f>
        <v/>
      </c>
      <c r="J1452" s="247" t="str">
        <f ca="1">IF(C1452="","",IF($J$11="营业利润率",[1]!S_STM07_IS(D1452,48,$G$5,$H$13)/[1]!S_STM07_IS(D1452,9,$G$5,$H$13),([1]!S_STM07_CS(D1452,87,$G$5,$H$13)+[1]!S_STM07_CS(D1452,88,$G$5,$H$13)+[1]!S_STM07_CS(D1452,89,$G$5,$H$13))/$E$5))</f>
        <v/>
      </c>
      <c r="K1452" s="247" t="str">
        <f ca="1">IF(C1452="","",IF($K$11="净利润率",[1]!S_STM07_IS(D1452,61,$G$5,$H$13)/[1]!S_STM07_IS(D1452,9,$G$5,$H$13),[1]!S_STM07_IS(D1452,55,$G$5,$H$13)/$E$5))</f>
        <v/>
      </c>
      <c r="L1452" s="247" t="str">
        <f ca="1">IF(C1452="","",IF($L$11="ROA",[1]!S_STM07_IS(D1452,61,$G$5,$H$13)/[1]!S_STM07_BS(D1452,74,$G$5,$H$13),1-[1]!S_STM07_IS(D1452,61,$G$5,$H$13)/[1]!S_STM07_IS(D1452,55,$G$5,$H$13)))</f>
        <v/>
      </c>
      <c r="M1452" s="247" t="str">
        <f ca="1">IF(C1452="","",IF($M$11="ROE",[1]!S_STM07_IS(D1452,61,$G$5,$H$13)/[1]!S_STM07_BS(D1452,141,$G$5,$H$13),([1]!S_STM07_BS(D1452,25,$G$5,$H$13)-[1]!S_STM07_BS(D1452,93,$G$5,$H$13))/$E$5))</f>
        <v/>
      </c>
      <c r="N1452" s="247" t="str">
        <f ca="1">IF(C1452="","",IF($N$11="EPS",[1]!S_STM07_IS(D1452,61,$G$5,$H$13)/IF([1]!S_SHARE_TOTAL(D1452,$G$5)=0,[1]!S_SHARE_TOTAL(D1452,[1]!s_ipo_listeddate(D1452)),[1]!S_SHARE_TOTAL(D1452,$G$5)),([1]!S_STM07_BS(D1452,75,$G$5,$H$13)+[1]!S_STM07_BS(D1452,88,$G$5,$H$13)+[1]!S_STM07_BS(D1452,94,$G$5,$H$13)+[1]!S_STM07_BS(D1452,95,$G$5,$H$13))/$E$5))</f>
        <v/>
      </c>
      <c r="O1452" s="247" t="str">
        <f ca="1">IF(C1452="","",IF($O$11="BPS",[1]!S_STM07_BS(D1452,141,$G$5,$H$13)/IF([1]!S_SHARE_TOTAL(D1452,$G$5)=0,[1]!S_SHARE_TOTAL(D1452,[1]!s_ipo_listeddate(D1452)),[1]!S_SHARE_TOTAL(D1452,$G$5)),[1]!S_STM07_CS(D1452,49,$G$5,$H$13)/$E$5))</f>
        <v/>
      </c>
      <c r="P1452" s="247" t="str">
        <f ca="1">IF(C1452="","",IF($P$11="CFPS",[1]!S_STM07_CS(D1452,84,$G$5,$H$13)/IF([1]!S_SHARE_TOTAL(D1452,$G$5)=0,[1]!S_SHARE_TOTAL(D1452,[1]!s_ipo_listeddate(D1452)),[1]!S_SHARE_TOTAL(D1452,$G$5)),[1]!S_STM07_CS(D1452,84,$G$5,$H$13)/$E$5))</f>
        <v/>
      </c>
      <c r="Q1452" s="248" t="str">
        <f ca="1">IF(C1452="","",F1452/([1]!S_STM07_IS(D1452,61,$G$5,$H$13)/IF([1]!S_SHARE_TOTAL(D1452,$G$5)=0,[1]!S_SHARE_TOTAL(D1452,[1]!s_ipo_listeddate(D1452)),[1]!S_SHARE_TOTAL(D1452,$G$5))))</f>
        <v/>
      </c>
      <c r="R1452" s="248" t="str">
        <f ca="1">IF(C1452="","",F1452/([1]!S_STM07_BS(D1452,141,$G$5,$H$13)/IF([1]!S_SHARE_TOTAL(D1452,$G$5)=0,[1]!S_SHARE_TOTAL(D1452,[1]!s_ipo_listeddate(D1452)),[1]!S_SHARE_TOTAL(D1452,$G$5))))</f>
        <v/>
      </c>
      <c r="S1452" s="247" t="str">
        <f ca="1">IF(C1452="","",[1]!S_SHARE_TOTAL(D1452,TODAY())/$E$5)</f>
        <v/>
      </c>
      <c r="T1452" s="247" t="str">
        <f t="shared" ca="1" si="145"/>
        <v/>
      </c>
      <c r="U1452" s="218" t="str">
        <f t="shared" ca="1" si="146"/>
        <v/>
      </c>
      <c r="V1452" s="342" t="str">
        <f t="shared" ca="1" si="147"/>
        <v/>
      </c>
      <c r="W1452" s="139"/>
      <c r="Y1452" s="1"/>
    </row>
    <row r="1453" spans="3:25" ht="12" customHeight="1">
      <c r="C1453" s="343" t="str">
        <f t="shared" ca="1" si="142"/>
        <v/>
      </c>
      <c r="D1453" s="124" t="str">
        <f t="shared" ca="1" si="143"/>
        <v/>
      </c>
      <c r="E1453" s="124" t="str">
        <f t="shared" ca="1" si="144"/>
        <v/>
      </c>
      <c r="F1453" s="172" t="str">
        <f ca="1">IF(C1453="","",[1]!S_DQ_CLOSE(D1453,TODAY(),1))</f>
        <v/>
      </c>
      <c r="G1453" s="173" t="str">
        <f ca="1">IF(C1453="","",[1]!s_pq_pctchange(D1453,TODAY()-$G$12,TODAY())/100)</f>
        <v/>
      </c>
      <c r="H1453" s="249" t="str">
        <f ca="1">IF(C1453="","",IF($H$11="收入",[1]!S_STM07_IS(D1453,9,$G$5,$H$13)/$E$5,[1]!S_STM07_IS(D1453,48,$G$5,$H$13)/$E$5))</f>
        <v/>
      </c>
      <c r="I1453" s="249" t="str">
        <f ca="1">IF(C1453="","",IF($I$11="毛利率",([1]!S_STM07_IS(D1453,9,$G$5,$H$13)-[1]!S_STM07_IS(D1453,10,$G$5,$H$13))/[1]!S_STM07_IS(D1453,9,$G$5,$H$13),[1]!S_STM07_IS(D1453,14,$G$5,$H$13)/$E$5))</f>
        <v/>
      </c>
      <c r="J1453" s="249" t="str">
        <f ca="1">IF(C1453="","",IF($J$11="营业利润率",[1]!S_STM07_IS(D1453,48,$G$5,$H$13)/[1]!S_STM07_IS(D1453,9,$G$5,$H$13),([1]!S_STM07_CS(D1453,87,$G$5,$H$13)+[1]!S_STM07_CS(D1453,88,$G$5,$H$13)+[1]!S_STM07_CS(D1453,89,$G$5,$H$13))/$E$5))</f>
        <v/>
      </c>
      <c r="K1453" s="249" t="str">
        <f ca="1">IF(C1453="","",IF($K$11="净利润率",[1]!S_STM07_IS(D1453,61,$G$5,$H$13)/[1]!S_STM07_IS(D1453,9,$G$5,$H$13),[1]!S_STM07_IS(D1453,55,$G$5,$H$13)/$E$5))</f>
        <v/>
      </c>
      <c r="L1453" s="249" t="str">
        <f ca="1">IF(C1453="","",IF($L$11="ROA",[1]!S_STM07_IS(D1453,61,$G$5,$H$13)/[1]!S_STM07_BS(D1453,74,$G$5,$H$13),1-[1]!S_STM07_IS(D1453,61,$G$5,$H$13)/[1]!S_STM07_IS(D1453,55,$G$5,$H$13)))</f>
        <v/>
      </c>
      <c r="M1453" s="249" t="str">
        <f ca="1">IF(C1453="","",IF($M$11="ROE",[1]!S_STM07_IS(D1453,61,$G$5,$H$13)/[1]!S_STM07_BS(D1453,141,$G$5,$H$13),([1]!S_STM07_BS(D1453,25,$G$5,$H$13)-[1]!S_STM07_BS(D1453,93,$G$5,$H$13))/$E$5))</f>
        <v/>
      </c>
      <c r="N1453" s="250" t="str">
        <f ca="1">IF(C1453="","",IF($N$11="EPS",[1]!S_STM07_IS(D1453,61,$G$5,$H$13)/IF([1]!S_SHARE_TOTAL(D1453,$G$5)=0,[1]!S_SHARE_TOTAL(D1453,[1]!s_ipo_listeddate(D1453)),[1]!S_SHARE_TOTAL(D1453,$G$5)),([1]!S_STM07_BS(D1453,75,$G$5,$H$13)+[1]!S_STM07_BS(D1453,88,$G$5,$H$13)+[1]!S_STM07_BS(D1453,94,$G$5,$H$13)+[1]!S_STM07_BS(D1453,95,$G$5,$H$13))/$E$5))</f>
        <v/>
      </c>
      <c r="O1453" s="250" t="str">
        <f ca="1">IF(C1453="","",IF($O$11="BPS",[1]!S_STM07_BS(D1453,141,$G$5,$H$13)/IF([1]!S_SHARE_TOTAL(D1453,$G$5)=0,[1]!S_SHARE_TOTAL(D1453,[1]!s_ipo_listeddate(D1453)),[1]!S_SHARE_TOTAL(D1453,$G$5)),[1]!S_STM07_CS(D1453,49,$G$5,$H$13)/$E$5))</f>
        <v/>
      </c>
      <c r="P1453" s="250" t="str">
        <f ca="1">IF(C1453="","",IF($P$11="CFPS",[1]!S_STM07_CS(D1453,84,$G$5,$H$13)/IF([1]!S_SHARE_TOTAL(D1453,$G$5)=0,[1]!S_SHARE_TOTAL(D1453,[1]!s_ipo_listeddate(D1453)),[1]!S_SHARE_TOTAL(D1453,$G$5)),[1]!S_STM07_CS(D1453,84,$G$5,$H$13)/$E$5))</f>
        <v/>
      </c>
      <c r="Q1453" s="198" t="str">
        <f ca="1">IF(C1453="","",F1453/([1]!S_STM07_IS(D1453,61,$G$5,$H$13)/IF([1]!S_SHARE_TOTAL(D1453,$G$5)=0,[1]!S_SHARE_TOTAL(D1453,[1]!s_ipo_listeddate(D1453)),[1]!S_SHARE_TOTAL(D1453,$G$5))))</f>
        <v/>
      </c>
      <c r="R1453" s="198" t="str">
        <f ca="1">IF(C1453="","",F1453/([1]!S_STM07_BS(D1453,141,$G$5,$H$13)/IF([1]!S_SHARE_TOTAL(D1453,$G$5)=0,[1]!S_SHARE_TOTAL(D1453,[1]!s_ipo_listeddate(D1453)),[1]!S_SHARE_TOTAL(D1453,$G$5))))</f>
        <v/>
      </c>
      <c r="S1453" s="249" t="str">
        <f ca="1">IF(C1453="","",[1]!S_SHARE_TOTAL(D1453,TODAY())/$E$5)</f>
        <v/>
      </c>
      <c r="T1453" s="249" t="str">
        <f t="shared" ca="1" si="145"/>
        <v/>
      </c>
      <c r="U1453" s="172" t="str">
        <f t="shared" ca="1" si="146"/>
        <v/>
      </c>
      <c r="V1453" s="343" t="str">
        <f t="shared" ca="1" si="147"/>
        <v/>
      </c>
      <c r="W1453" s="139"/>
      <c r="Y1453" s="1"/>
    </row>
    <row r="1454" spans="3:25" ht="12" customHeight="1">
      <c r="C1454" s="342" t="str">
        <f t="shared" ca="1" si="142"/>
        <v/>
      </c>
      <c r="D1454" s="153" t="str">
        <f t="shared" ca="1" si="143"/>
        <v/>
      </c>
      <c r="E1454" s="153" t="str">
        <f t="shared" ca="1" si="144"/>
        <v/>
      </c>
      <c r="F1454" s="170" t="str">
        <f ca="1">IF(C1454="","",[1]!S_DQ_CLOSE(D1454,TODAY(),1))</f>
        <v/>
      </c>
      <c r="G1454" s="171" t="str">
        <f ca="1">IF(C1454="","",[1]!s_pq_pctchange(D1454,TODAY()-$G$12,TODAY())/100)</f>
        <v/>
      </c>
      <c r="H1454" s="247" t="str">
        <f ca="1">IF(C1454="","",IF($H$11="收入",[1]!S_STM07_IS(D1454,9,$G$5,$H$13)/$E$5,[1]!S_STM07_IS(D1454,48,$G$5,$H$13)/$E$5))</f>
        <v/>
      </c>
      <c r="I1454" s="247" t="str">
        <f ca="1">IF(C1454="","",IF($I$11="毛利率",([1]!S_STM07_IS(D1454,9,$G$5,$H$13)-[1]!S_STM07_IS(D1454,10,$G$5,$H$13))/[1]!S_STM07_IS(D1454,9,$G$5,$H$13),[1]!S_STM07_IS(D1454,14,$G$5,$H$13)/$E$5))</f>
        <v/>
      </c>
      <c r="J1454" s="247" t="str">
        <f ca="1">IF(C1454="","",IF($J$11="营业利润率",[1]!S_STM07_IS(D1454,48,$G$5,$H$13)/[1]!S_STM07_IS(D1454,9,$G$5,$H$13),([1]!S_STM07_CS(D1454,87,$G$5,$H$13)+[1]!S_STM07_CS(D1454,88,$G$5,$H$13)+[1]!S_STM07_CS(D1454,89,$G$5,$H$13))/$E$5))</f>
        <v/>
      </c>
      <c r="K1454" s="247" t="str">
        <f ca="1">IF(C1454="","",IF($K$11="净利润率",[1]!S_STM07_IS(D1454,61,$G$5,$H$13)/[1]!S_STM07_IS(D1454,9,$G$5,$H$13),[1]!S_STM07_IS(D1454,55,$G$5,$H$13)/$E$5))</f>
        <v/>
      </c>
      <c r="L1454" s="247" t="str">
        <f ca="1">IF(C1454="","",IF($L$11="ROA",[1]!S_STM07_IS(D1454,61,$G$5,$H$13)/[1]!S_STM07_BS(D1454,74,$G$5,$H$13),1-[1]!S_STM07_IS(D1454,61,$G$5,$H$13)/[1]!S_STM07_IS(D1454,55,$G$5,$H$13)))</f>
        <v/>
      </c>
      <c r="M1454" s="247" t="str">
        <f ca="1">IF(C1454="","",IF($M$11="ROE",[1]!S_STM07_IS(D1454,61,$G$5,$H$13)/[1]!S_STM07_BS(D1454,141,$G$5,$H$13),([1]!S_STM07_BS(D1454,25,$G$5,$H$13)-[1]!S_STM07_BS(D1454,93,$G$5,$H$13))/$E$5))</f>
        <v/>
      </c>
      <c r="N1454" s="247" t="str">
        <f ca="1">IF(C1454="","",IF($N$11="EPS",[1]!S_STM07_IS(D1454,61,$G$5,$H$13)/IF([1]!S_SHARE_TOTAL(D1454,$G$5)=0,[1]!S_SHARE_TOTAL(D1454,[1]!s_ipo_listeddate(D1454)),[1]!S_SHARE_TOTAL(D1454,$G$5)),([1]!S_STM07_BS(D1454,75,$G$5,$H$13)+[1]!S_STM07_BS(D1454,88,$G$5,$H$13)+[1]!S_STM07_BS(D1454,94,$G$5,$H$13)+[1]!S_STM07_BS(D1454,95,$G$5,$H$13))/$E$5))</f>
        <v/>
      </c>
      <c r="O1454" s="247" t="str">
        <f ca="1">IF(C1454="","",IF($O$11="BPS",[1]!S_STM07_BS(D1454,141,$G$5,$H$13)/IF([1]!S_SHARE_TOTAL(D1454,$G$5)=0,[1]!S_SHARE_TOTAL(D1454,[1]!s_ipo_listeddate(D1454)),[1]!S_SHARE_TOTAL(D1454,$G$5)),[1]!S_STM07_CS(D1454,49,$G$5,$H$13)/$E$5))</f>
        <v/>
      </c>
      <c r="P1454" s="247" t="str">
        <f ca="1">IF(C1454="","",IF($P$11="CFPS",[1]!S_STM07_CS(D1454,84,$G$5,$H$13)/IF([1]!S_SHARE_TOTAL(D1454,$G$5)=0,[1]!S_SHARE_TOTAL(D1454,[1]!s_ipo_listeddate(D1454)),[1]!S_SHARE_TOTAL(D1454,$G$5)),[1]!S_STM07_CS(D1454,84,$G$5,$H$13)/$E$5))</f>
        <v/>
      </c>
      <c r="Q1454" s="248" t="str">
        <f ca="1">IF(C1454="","",F1454/([1]!S_STM07_IS(D1454,61,$G$5,$H$13)/IF([1]!S_SHARE_TOTAL(D1454,$G$5)=0,[1]!S_SHARE_TOTAL(D1454,[1]!s_ipo_listeddate(D1454)),[1]!S_SHARE_TOTAL(D1454,$G$5))))</f>
        <v/>
      </c>
      <c r="R1454" s="248" t="str">
        <f ca="1">IF(C1454="","",F1454/([1]!S_STM07_BS(D1454,141,$G$5,$H$13)/IF([1]!S_SHARE_TOTAL(D1454,$G$5)=0,[1]!S_SHARE_TOTAL(D1454,[1]!s_ipo_listeddate(D1454)),[1]!S_SHARE_TOTAL(D1454,$G$5))))</f>
        <v/>
      </c>
      <c r="S1454" s="247" t="str">
        <f ca="1">IF(C1454="","",[1]!S_SHARE_TOTAL(D1454,TODAY())/$E$5)</f>
        <v/>
      </c>
      <c r="T1454" s="247" t="str">
        <f t="shared" ca="1" si="145"/>
        <v/>
      </c>
      <c r="U1454" s="218" t="str">
        <f t="shared" ca="1" si="146"/>
        <v/>
      </c>
      <c r="V1454" s="342" t="str">
        <f t="shared" ca="1" si="147"/>
        <v/>
      </c>
      <c r="W1454" s="139"/>
      <c r="Y1454" s="1"/>
    </row>
    <row r="1455" spans="3:25" ht="12" customHeight="1">
      <c r="C1455" s="343" t="str">
        <f t="shared" ca="1" si="142"/>
        <v/>
      </c>
      <c r="D1455" s="124" t="str">
        <f t="shared" ca="1" si="143"/>
        <v/>
      </c>
      <c r="E1455" s="124" t="str">
        <f t="shared" ca="1" si="144"/>
        <v/>
      </c>
      <c r="F1455" s="172" t="str">
        <f ca="1">IF(C1455="","",[1]!S_DQ_CLOSE(D1455,TODAY(),1))</f>
        <v/>
      </c>
      <c r="G1455" s="173" t="str">
        <f ca="1">IF(C1455="","",[1]!s_pq_pctchange(D1455,TODAY()-$G$12,TODAY())/100)</f>
        <v/>
      </c>
      <c r="H1455" s="249" t="str">
        <f ca="1">IF(C1455="","",IF($H$11="收入",[1]!S_STM07_IS(D1455,9,$G$5,$H$13)/$E$5,[1]!S_STM07_IS(D1455,48,$G$5,$H$13)/$E$5))</f>
        <v/>
      </c>
      <c r="I1455" s="249" t="str">
        <f ca="1">IF(C1455="","",IF($I$11="毛利率",([1]!S_STM07_IS(D1455,9,$G$5,$H$13)-[1]!S_STM07_IS(D1455,10,$G$5,$H$13))/[1]!S_STM07_IS(D1455,9,$G$5,$H$13),[1]!S_STM07_IS(D1455,14,$G$5,$H$13)/$E$5))</f>
        <v/>
      </c>
      <c r="J1455" s="249" t="str">
        <f ca="1">IF(C1455="","",IF($J$11="营业利润率",[1]!S_STM07_IS(D1455,48,$G$5,$H$13)/[1]!S_STM07_IS(D1455,9,$G$5,$H$13),([1]!S_STM07_CS(D1455,87,$G$5,$H$13)+[1]!S_STM07_CS(D1455,88,$G$5,$H$13)+[1]!S_STM07_CS(D1455,89,$G$5,$H$13))/$E$5))</f>
        <v/>
      </c>
      <c r="K1455" s="249" t="str">
        <f ca="1">IF(C1455="","",IF($K$11="净利润率",[1]!S_STM07_IS(D1455,61,$G$5,$H$13)/[1]!S_STM07_IS(D1455,9,$G$5,$H$13),[1]!S_STM07_IS(D1455,55,$G$5,$H$13)/$E$5))</f>
        <v/>
      </c>
      <c r="L1455" s="249" t="str">
        <f ca="1">IF(C1455="","",IF($L$11="ROA",[1]!S_STM07_IS(D1455,61,$G$5,$H$13)/[1]!S_STM07_BS(D1455,74,$G$5,$H$13),1-[1]!S_STM07_IS(D1455,61,$G$5,$H$13)/[1]!S_STM07_IS(D1455,55,$G$5,$H$13)))</f>
        <v/>
      </c>
      <c r="M1455" s="249" t="str">
        <f ca="1">IF(C1455="","",IF($M$11="ROE",[1]!S_STM07_IS(D1455,61,$G$5,$H$13)/[1]!S_STM07_BS(D1455,141,$G$5,$H$13),([1]!S_STM07_BS(D1455,25,$G$5,$H$13)-[1]!S_STM07_BS(D1455,93,$G$5,$H$13))/$E$5))</f>
        <v/>
      </c>
      <c r="N1455" s="250" t="str">
        <f ca="1">IF(C1455="","",IF($N$11="EPS",[1]!S_STM07_IS(D1455,61,$G$5,$H$13)/IF([1]!S_SHARE_TOTAL(D1455,$G$5)=0,[1]!S_SHARE_TOTAL(D1455,[1]!s_ipo_listeddate(D1455)),[1]!S_SHARE_TOTAL(D1455,$G$5)),([1]!S_STM07_BS(D1455,75,$G$5,$H$13)+[1]!S_STM07_BS(D1455,88,$G$5,$H$13)+[1]!S_STM07_BS(D1455,94,$G$5,$H$13)+[1]!S_STM07_BS(D1455,95,$G$5,$H$13))/$E$5))</f>
        <v/>
      </c>
      <c r="O1455" s="250" t="str">
        <f ca="1">IF(C1455="","",IF($O$11="BPS",[1]!S_STM07_BS(D1455,141,$G$5,$H$13)/IF([1]!S_SHARE_TOTAL(D1455,$G$5)=0,[1]!S_SHARE_TOTAL(D1455,[1]!s_ipo_listeddate(D1455)),[1]!S_SHARE_TOTAL(D1455,$G$5)),[1]!S_STM07_CS(D1455,49,$G$5,$H$13)/$E$5))</f>
        <v/>
      </c>
      <c r="P1455" s="250" t="str">
        <f ca="1">IF(C1455="","",IF($P$11="CFPS",[1]!S_STM07_CS(D1455,84,$G$5,$H$13)/IF([1]!S_SHARE_TOTAL(D1455,$G$5)=0,[1]!S_SHARE_TOTAL(D1455,[1]!s_ipo_listeddate(D1455)),[1]!S_SHARE_TOTAL(D1455,$G$5)),[1]!S_STM07_CS(D1455,84,$G$5,$H$13)/$E$5))</f>
        <v/>
      </c>
      <c r="Q1455" s="198" t="str">
        <f ca="1">IF(C1455="","",F1455/([1]!S_STM07_IS(D1455,61,$G$5,$H$13)/IF([1]!S_SHARE_TOTAL(D1455,$G$5)=0,[1]!S_SHARE_TOTAL(D1455,[1]!s_ipo_listeddate(D1455)),[1]!S_SHARE_TOTAL(D1455,$G$5))))</f>
        <v/>
      </c>
      <c r="R1455" s="198" t="str">
        <f ca="1">IF(C1455="","",F1455/([1]!S_STM07_BS(D1455,141,$G$5,$H$13)/IF([1]!S_SHARE_TOTAL(D1455,$G$5)=0,[1]!S_SHARE_TOTAL(D1455,[1]!s_ipo_listeddate(D1455)),[1]!S_SHARE_TOTAL(D1455,$G$5))))</f>
        <v/>
      </c>
      <c r="S1455" s="249" t="str">
        <f ca="1">IF(C1455="","",[1]!S_SHARE_TOTAL(D1455,TODAY())/$E$5)</f>
        <v/>
      </c>
      <c r="T1455" s="249" t="str">
        <f t="shared" ca="1" si="145"/>
        <v/>
      </c>
      <c r="U1455" s="172" t="str">
        <f t="shared" ca="1" si="146"/>
        <v/>
      </c>
      <c r="V1455" s="343" t="str">
        <f t="shared" ca="1" si="147"/>
        <v/>
      </c>
      <c r="W1455" s="139"/>
      <c r="Y1455" s="1"/>
    </row>
    <row r="1456" spans="3:25" ht="12" customHeight="1">
      <c r="C1456" s="342" t="str">
        <f t="shared" ca="1" si="142"/>
        <v/>
      </c>
      <c r="D1456" s="153" t="str">
        <f t="shared" ca="1" si="143"/>
        <v/>
      </c>
      <c r="E1456" s="153" t="str">
        <f t="shared" ca="1" si="144"/>
        <v/>
      </c>
      <c r="F1456" s="170" t="str">
        <f ca="1">IF(C1456="","",[1]!S_DQ_CLOSE(D1456,TODAY(),1))</f>
        <v/>
      </c>
      <c r="G1456" s="171" t="str">
        <f ca="1">IF(C1456="","",[1]!s_pq_pctchange(D1456,TODAY()-$G$12,TODAY())/100)</f>
        <v/>
      </c>
      <c r="H1456" s="247" t="str">
        <f ca="1">IF(C1456="","",IF($H$11="收入",[1]!S_STM07_IS(D1456,9,$G$5,$H$13)/$E$5,[1]!S_STM07_IS(D1456,48,$G$5,$H$13)/$E$5))</f>
        <v/>
      </c>
      <c r="I1456" s="247" t="str">
        <f ca="1">IF(C1456="","",IF($I$11="毛利率",([1]!S_STM07_IS(D1456,9,$G$5,$H$13)-[1]!S_STM07_IS(D1456,10,$G$5,$H$13))/[1]!S_STM07_IS(D1456,9,$G$5,$H$13),[1]!S_STM07_IS(D1456,14,$G$5,$H$13)/$E$5))</f>
        <v/>
      </c>
      <c r="J1456" s="247" t="str">
        <f ca="1">IF(C1456="","",IF($J$11="营业利润率",[1]!S_STM07_IS(D1456,48,$G$5,$H$13)/[1]!S_STM07_IS(D1456,9,$G$5,$H$13),([1]!S_STM07_CS(D1456,87,$G$5,$H$13)+[1]!S_STM07_CS(D1456,88,$G$5,$H$13)+[1]!S_STM07_CS(D1456,89,$G$5,$H$13))/$E$5))</f>
        <v/>
      </c>
      <c r="K1456" s="247" t="str">
        <f ca="1">IF(C1456="","",IF($K$11="净利润率",[1]!S_STM07_IS(D1456,61,$G$5,$H$13)/[1]!S_STM07_IS(D1456,9,$G$5,$H$13),[1]!S_STM07_IS(D1456,55,$G$5,$H$13)/$E$5))</f>
        <v/>
      </c>
      <c r="L1456" s="247" t="str">
        <f ca="1">IF(C1456="","",IF($L$11="ROA",[1]!S_STM07_IS(D1456,61,$G$5,$H$13)/[1]!S_STM07_BS(D1456,74,$G$5,$H$13),1-[1]!S_STM07_IS(D1456,61,$G$5,$H$13)/[1]!S_STM07_IS(D1456,55,$G$5,$H$13)))</f>
        <v/>
      </c>
      <c r="M1456" s="247" t="str">
        <f ca="1">IF(C1456="","",IF($M$11="ROE",[1]!S_STM07_IS(D1456,61,$G$5,$H$13)/[1]!S_STM07_BS(D1456,141,$G$5,$H$13),([1]!S_STM07_BS(D1456,25,$G$5,$H$13)-[1]!S_STM07_BS(D1456,93,$G$5,$H$13))/$E$5))</f>
        <v/>
      </c>
      <c r="N1456" s="247" t="str">
        <f ca="1">IF(C1456="","",IF($N$11="EPS",[1]!S_STM07_IS(D1456,61,$G$5,$H$13)/IF([1]!S_SHARE_TOTAL(D1456,$G$5)=0,[1]!S_SHARE_TOTAL(D1456,[1]!s_ipo_listeddate(D1456)),[1]!S_SHARE_TOTAL(D1456,$G$5)),([1]!S_STM07_BS(D1456,75,$G$5,$H$13)+[1]!S_STM07_BS(D1456,88,$G$5,$H$13)+[1]!S_STM07_BS(D1456,94,$G$5,$H$13)+[1]!S_STM07_BS(D1456,95,$G$5,$H$13))/$E$5))</f>
        <v/>
      </c>
      <c r="O1456" s="247" t="str">
        <f ca="1">IF(C1456="","",IF($O$11="BPS",[1]!S_STM07_BS(D1456,141,$G$5,$H$13)/IF([1]!S_SHARE_TOTAL(D1456,$G$5)=0,[1]!S_SHARE_TOTAL(D1456,[1]!s_ipo_listeddate(D1456)),[1]!S_SHARE_TOTAL(D1456,$G$5)),[1]!S_STM07_CS(D1456,49,$G$5,$H$13)/$E$5))</f>
        <v/>
      </c>
      <c r="P1456" s="247" t="str">
        <f ca="1">IF(C1456="","",IF($P$11="CFPS",[1]!S_STM07_CS(D1456,84,$G$5,$H$13)/IF([1]!S_SHARE_TOTAL(D1456,$G$5)=0,[1]!S_SHARE_TOTAL(D1456,[1]!s_ipo_listeddate(D1456)),[1]!S_SHARE_TOTAL(D1456,$G$5)),[1]!S_STM07_CS(D1456,84,$G$5,$H$13)/$E$5))</f>
        <v/>
      </c>
      <c r="Q1456" s="248" t="str">
        <f ca="1">IF(C1456="","",F1456/([1]!S_STM07_IS(D1456,61,$G$5,$H$13)/IF([1]!S_SHARE_TOTAL(D1456,$G$5)=0,[1]!S_SHARE_TOTAL(D1456,[1]!s_ipo_listeddate(D1456)),[1]!S_SHARE_TOTAL(D1456,$G$5))))</f>
        <v/>
      </c>
      <c r="R1456" s="248" t="str">
        <f ca="1">IF(C1456="","",F1456/([1]!S_STM07_BS(D1456,141,$G$5,$H$13)/IF([1]!S_SHARE_TOTAL(D1456,$G$5)=0,[1]!S_SHARE_TOTAL(D1456,[1]!s_ipo_listeddate(D1456)),[1]!S_SHARE_TOTAL(D1456,$G$5))))</f>
        <v/>
      </c>
      <c r="S1456" s="247" t="str">
        <f ca="1">IF(C1456="","",[1]!S_SHARE_TOTAL(D1456,TODAY())/$E$5)</f>
        <v/>
      </c>
      <c r="T1456" s="247" t="str">
        <f t="shared" ca="1" si="145"/>
        <v/>
      </c>
      <c r="U1456" s="218" t="str">
        <f t="shared" ca="1" si="146"/>
        <v/>
      </c>
      <c r="V1456" s="342" t="str">
        <f t="shared" ca="1" si="147"/>
        <v/>
      </c>
      <c r="W1456" s="139"/>
      <c r="Y1456" s="1"/>
    </row>
    <row r="1457" spans="3:25" ht="12" customHeight="1">
      <c r="C1457" s="343" t="str">
        <f t="shared" ca="1" si="142"/>
        <v/>
      </c>
      <c r="D1457" s="124" t="str">
        <f t="shared" ca="1" si="143"/>
        <v/>
      </c>
      <c r="E1457" s="124" t="str">
        <f t="shared" ca="1" si="144"/>
        <v/>
      </c>
      <c r="F1457" s="172" t="str">
        <f ca="1">IF(C1457="","",[1]!S_DQ_CLOSE(D1457,TODAY(),1))</f>
        <v/>
      </c>
      <c r="G1457" s="173" t="str">
        <f ca="1">IF(C1457="","",[1]!s_pq_pctchange(D1457,TODAY()-$G$12,TODAY())/100)</f>
        <v/>
      </c>
      <c r="H1457" s="249" t="str">
        <f ca="1">IF(C1457="","",IF($H$11="收入",[1]!S_STM07_IS(D1457,9,$G$5,$H$13)/$E$5,[1]!S_STM07_IS(D1457,48,$G$5,$H$13)/$E$5))</f>
        <v/>
      </c>
      <c r="I1457" s="249" t="str">
        <f ca="1">IF(C1457="","",IF($I$11="毛利率",([1]!S_STM07_IS(D1457,9,$G$5,$H$13)-[1]!S_STM07_IS(D1457,10,$G$5,$H$13))/[1]!S_STM07_IS(D1457,9,$G$5,$H$13),[1]!S_STM07_IS(D1457,14,$G$5,$H$13)/$E$5))</f>
        <v/>
      </c>
      <c r="J1457" s="249" t="str">
        <f ca="1">IF(C1457="","",IF($J$11="营业利润率",[1]!S_STM07_IS(D1457,48,$G$5,$H$13)/[1]!S_STM07_IS(D1457,9,$G$5,$H$13),([1]!S_STM07_CS(D1457,87,$G$5,$H$13)+[1]!S_STM07_CS(D1457,88,$G$5,$H$13)+[1]!S_STM07_CS(D1457,89,$G$5,$H$13))/$E$5))</f>
        <v/>
      </c>
      <c r="K1457" s="249" t="str">
        <f ca="1">IF(C1457="","",IF($K$11="净利润率",[1]!S_STM07_IS(D1457,61,$G$5,$H$13)/[1]!S_STM07_IS(D1457,9,$G$5,$H$13),[1]!S_STM07_IS(D1457,55,$G$5,$H$13)/$E$5))</f>
        <v/>
      </c>
      <c r="L1457" s="249" t="str">
        <f ca="1">IF(C1457="","",IF($L$11="ROA",[1]!S_STM07_IS(D1457,61,$G$5,$H$13)/[1]!S_STM07_BS(D1457,74,$G$5,$H$13),1-[1]!S_STM07_IS(D1457,61,$G$5,$H$13)/[1]!S_STM07_IS(D1457,55,$G$5,$H$13)))</f>
        <v/>
      </c>
      <c r="M1457" s="249" t="str">
        <f ca="1">IF(C1457="","",IF($M$11="ROE",[1]!S_STM07_IS(D1457,61,$G$5,$H$13)/[1]!S_STM07_BS(D1457,141,$G$5,$H$13),([1]!S_STM07_BS(D1457,25,$G$5,$H$13)-[1]!S_STM07_BS(D1457,93,$G$5,$H$13))/$E$5))</f>
        <v/>
      </c>
      <c r="N1457" s="250" t="str">
        <f ca="1">IF(C1457="","",IF($N$11="EPS",[1]!S_STM07_IS(D1457,61,$G$5,$H$13)/IF([1]!S_SHARE_TOTAL(D1457,$G$5)=0,[1]!S_SHARE_TOTAL(D1457,[1]!s_ipo_listeddate(D1457)),[1]!S_SHARE_TOTAL(D1457,$G$5)),([1]!S_STM07_BS(D1457,75,$G$5,$H$13)+[1]!S_STM07_BS(D1457,88,$G$5,$H$13)+[1]!S_STM07_BS(D1457,94,$G$5,$H$13)+[1]!S_STM07_BS(D1457,95,$G$5,$H$13))/$E$5))</f>
        <v/>
      </c>
      <c r="O1457" s="250" t="str">
        <f ca="1">IF(C1457="","",IF($O$11="BPS",[1]!S_STM07_BS(D1457,141,$G$5,$H$13)/IF([1]!S_SHARE_TOTAL(D1457,$G$5)=0,[1]!S_SHARE_TOTAL(D1457,[1]!s_ipo_listeddate(D1457)),[1]!S_SHARE_TOTAL(D1457,$G$5)),[1]!S_STM07_CS(D1457,49,$G$5,$H$13)/$E$5))</f>
        <v/>
      </c>
      <c r="P1457" s="250" t="str">
        <f ca="1">IF(C1457="","",IF($P$11="CFPS",[1]!S_STM07_CS(D1457,84,$G$5,$H$13)/IF([1]!S_SHARE_TOTAL(D1457,$G$5)=0,[1]!S_SHARE_TOTAL(D1457,[1]!s_ipo_listeddate(D1457)),[1]!S_SHARE_TOTAL(D1457,$G$5)),[1]!S_STM07_CS(D1457,84,$G$5,$H$13)/$E$5))</f>
        <v/>
      </c>
      <c r="Q1457" s="198" t="str">
        <f ca="1">IF(C1457="","",F1457/([1]!S_STM07_IS(D1457,61,$G$5,$H$13)/IF([1]!S_SHARE_TOTAL(D1457,$G$5)=0,[1]!S_SHARE_TOTAL(D1457,[1]!s_ipo_listeddate(D1457)),[1]!S_SHARE_TOTAL(D1457,$G$5))))</f>
        <v/>
      </c>
      <c r="R1457" s="198" t="str">
        <f ca="1">IF(C1457="","",F1457/([1]!S_STM07_BS(D1457,141,$G$5,$H$13)/IF([1]!S_SHARE_TOTAL(D1457,$G$5)=0,[1]!S_SHARE_TOTAL(D1457,[1]!s_ipo_listeddate(D1457)),[1]!S_SHARE_TOTAL(D1457,$G$5))))</f>
        <v/>
      </c>
      <c r="S1457" s="249" t="str">
        <f ca="1">IF(C1457="","",[1]!S_SHARE_TOTAL(D1457,TODAY())/$E$5)</f>
        <v/>
      </c>
      <c r="T1457" s="249" t="str">
        <f t="shared" ca="1" si="145"/>
        <v/>
      </c>
      <c r="U1457" s="172" t="str">
        <f t="shared" ca="1" si="146"/>
        <v/>
      </c>
      <c r="V1457" s="343" t="str">
        <f t="shared" ca="1" si="147"/>
        <v/>
      </c>
      <c r="W1457" s="139"/>
      <c r="Y1457" s="1"/>
    </row>
    <row r="1458" spans="3:25" ht="12" customHeight="1">
      <c r="C1458" s="342" t="str">
        <f t="shared" ca="1" si="142"/>
        <v/>
      </c>
      <c r="D1458" s="153" t="str">
        <f t="shared" ca="1" si="143"/>
        <v/>
      </c>
      <c r="E1458" s="153" t="str">
        <f t="shared" ca="1" si="144"/>
        <v/>
      </c>
      <c r="F1458" s="170" t="str">
        <f ca="1">IF(C1458="","",[1]!S_DQ_CLOSE(D1458,TODAY(),1))</f>
        <v/>
      </c>
      <c r="G1458" s="171" t="str">
        <f ca="1">IF(C1458="","",[1]!s_pq_pctchange(D1458,TODAY()-$G$12,TODAY())/100)</f>
        <v/>
      </c>
      <c r="H1458" s="247" t="str">
        <f ca="1">IF(C1458="","",IF($H$11="收入",[1]!S_STM07_IS(D1458,9,$G$5,$H$13)/$E$5,[1]!S_STM07_IS(D1458,48,$G$5,$H$13)/$E$5))</f>
        <v/>
      </c>
      <c r="I1458" s="247" t="str">
        <f ca="1">IF(C1458="","",IF($I$11="毛利率",([1]!S_STM07_IS(D1458,9,$G$5,$H$13)-[1]!S_STM07_IS(D1458,10,$G$5,$H$13))/[1]!S_STM07_IS(D1458,9,$G$5,$H$13),[1]!S_STM07_IS(D1458,14,$G$5,$H$13)/$E$5))</f>
        <v/>
      </c>
      <c r="J1458" s="247" t="str">
        <f ca="1">IF(C1458="","",IF($J$11="营业利润率",[1]!S_STM07_IS(D1458,48,$G$5,$H$13)/[1]!S_STM07_IS(D1458,9,$G$5,$H$13),([1]!S_STM07_CS(D1458,87,$G$5,$H$13)+[1]!S_STM07_CS(D1458,88,$G$5,$H$13)+[1]!S_STM07_CS(D1458,89,$G$5,$H$13))/$E$5))</f>
        <v/>
      </c>
      <c r="K1458" s="247" t="str">
        <f ca="1">IF(C1458="","",IF($K$11="净利润率",[1]!S_STM07_IS(D1458,61,$G$5,$H$13)/[1]!S_STM07_IS(D1458,9,$G$5,$H$13),[1]!S_STM07_IS(D1458,55,$G$5,$H$13)/$E$5))</f>
        <v/>
      </c>
      <c r="L1458" s="247" t="str">
        <f ca="1">IF(C1458="","",IF($L$11="ROA",[1]!S_STM07_IS(D1458,61,$G$5,$H$13)/[1]!S_STM07_BS(D1458,74,$G$5,$H$13),1-[1]!S_STM07_IS(D1458,61,$G$5,$H$13)/[1]!S_STM07_IS(D1458,55,$G$5,$H$13)))</f>
        <v/>
      </c>
      <c r="M1458" s="247" t="str">
        <f ca="1">IF(C1458="","",IF($M$11="ROE",[1]!S_STM07_IS(D1458,61,$G$5,$H$13)/[1]!S_STM07_BS(D1458,141,$G$5,$H$13),([1]!S_STM07_BS(D1458,25,$G$5,$H$13)-[1]!S_STM07_BS(D1458,93,$G$5,$H$13))/$E$5))</f>
        <v/>
      </c>
      <c r="N1458" s="247" t="str">
        <f ca="1">IF(C1458="","",IF($N$11="EPS",[1]!S_STM07_IS(D1458,61,$G$5,$H$13)/IF([1]!S_SHARE_TOTAL(D1458,$G$5)=0,[1]!S_SHARE_TOTAL(D1458,[1]!s_ipo_listeddate(D1458)),[1]!S_SHARE_TOTAL(D1458,$G$5)),([1]!S_STM07_BS(D1458,75,$G$5,$H$13)+[1]!S_STM07_BS(D1458,88,$G$5,$H$13)+[1]!S_STM07_BS(D1458,94,$G$5,$H$13)+[1]!S_STM07_BS(D1458,95,$G$5,$H$13))/$E$5))</f>
        <v/>
      </c>
      <c r="O1458" s="247" t="str">
        <f ca="1">IF(C1458="","",IF($O$11="BPS",[1]!S_STM07_BS(D1458,141,$G$5,$H$13)/IF([1]!S_SHARE_TOTAL(D1458,$G$5)=0,[1]!S_SHARE_TOTAL(D1458,[1]!s_ipo_listeddate(D1458)),[1]!S_SHARE_TOTAL(D1458,$G$5)),[1]!S_STM07_CS(D1458,49,$G$5,$H$13)/$E$5))</f>
        <v/>
      </c>
      <c r="P1458" s="247" t="str">
        <f ca="1">IF(C1458="","",IF($P$11="CFPS",[1]!S_STM07_CS(D1458,84,$G$5,$H$13)/IF([1]!S_SHARE_TOTAL(D1458,$G$5)=0,[1]!S_SHARE_TOTAL(D1458,[1]!s_ipo_listeddate(D1458)),[1]!S_SHARE_TOTAL(D1458,$G$5)),[1]!S_STM07_CS(D1458,84,$G$5,$H$13)/$E$5))</f>
        <v/>
      </c>
      <c r="Q1458" s="248" t="str">
        <f ca="1">IF(C1458="","",F1458/([1]!S_STM07_IS(D1458,61,$G$5,$H$13)/IF([1]!S_SHARE_TOTAL(D1458,$G$5)=0,[1]!S_SHARE_TOTAL(D1458,[1]!s_ipo_listeddate(D1458)),[1]!S_SHARE_TOTAL(D1458,$G$5))))</f>
        <v/>
      </c>
      <c r="R1458" s="248" t="str">
        <f ca="1">IF(C1458="","",F1458/([1]!S_STM07_BS(D1458,141,$G$5,$H$13)/IF([1]!S_SHARE_TOTAL(D1458,$G$5)=0,[1]!S_SHARE_TOTAL(D1458,[1]!s_ipo_listeddate(D1458)),[1]!S_SHARE_TOTAL(D1458,$G$5))))</f>
        <v/>
      </c>
      <c r="S1458" s="247" t="str">
        <f ca="1">IF(C1458="","",[1]!S_SHARE_TOTAL(D1458,TODAY())/$E$5)</f>
        <v/>
      </c>
      <c r="T1458" s="247" t="str">
        <f t="shared" ca="1" si="145"/>
        <v/>
      </c>
      <c r="U1458" s="218" t="str">
        <f t="shared" ca="1" si="146"/>
        <v/>
      </c>
      <c r="V1458" s="342" t="str">
        <f t="shared" ca="1" si="147"/>
        <v/>
      </c>
      <c r="W1458" s="139"/>
      <c r="Y1458" s="1"/>
    </row>
    <row r="1459" spans="3:25" ht="12" customHeight="1">
      <c r="C1459" s="343" t="str">
        <f t="shared" ca="1" si="142"/>
        <v/>
      </c>
      <c r="D1459" s="124" t="str">
        <f t="shared" ca="1" si="143"/>
        <v/>
      </c>
      <c r="E1459" s="124" t="str">
        <f t="shared" ca="1" si="144"/>
        <v/>
      </c>
      <c r="F1459" s="172" t="str">
        <f ca="1">IF(C1459="","",[1]!S_DQ_CLOSE(D1459,TODAY(),1))</f>
        <v/>
      </c>
      <c r="G1459" s="173" t="str">
        <f ca="1">IF(C1459="","",[1]!s_pq_pctchange(D1459,TODAY()-$G$12,TODAY())/100)</f>
        <v/>
      </c>
      <c r="H1459" s="249" t="str">
        <f ca="1">IF(C1459="","",IF($H$11="收入",[1]!S_STM07_IS(D1459,9,$G$5,$H$13)/$E$5,[1]!S_STM07_IS(D1459,48,$G$5,$H$13)/$E$5))</f>
        <v/>
      </c>
      <c r="I1459" s="249" t="str">
        <f ca="1">IF(C1459="","",IF($I$11="毛利率",([1]!S_STM07_IS(D1459,9,$G$5,$H$13)-[1]!S_STM07_IS(D1459,10,$G$5,$H$13))/[1]!S_STM07_IS(D1459,9,$G$5,$H$13),[1]!S_STM07_IS(D1459,14,$G$5,$H$13)/$E$5))</f>
        <v/>
      </c>
      <c r="J1459" s="249" t="str">
        <f ca="1">IF(C1459="","",IF($J$11="营业利润率",[1]!S_STM07_IS(D1459,48,$G$5,$H$13)/[1]!S_STM07_IS(D1459,9,$G$5,$H$13),([1]!S_STM07_CS(D1459,87,$G$5,$H$13)+[1]!S_STM07_CS(D1459,88,$G$5,$H$13)+[1]!S_STM07_CS(D1459,89,$G$5,$H$13))/$E$5))</f>
        <v/>
      </c>
      <c r="K1459" s="249" t="str">
        <f ca="1">IF(C1459="","",IF($K$11="净利润率",[1]!S_STM07_IS(D1459,61,$G$5,$H$13)/[1]!S_STM07_IS(D1459,9,$G$5,$H$13),[1]!S_STM07_IS(D1459,55,$G$5,$H$13)/$E$5))</f>
        <v/>
      </c>
      <c r="L1459" s="249" t="str">
        <f ca="1">IF(C1459="","",IF($L$11="ROA",[1]!S_STM07_IS(D1459,61,$G$5,$H$13)/[1]!S_STM07_BS(D1459,74,$G$5,$H$13),1-[1]!S_STM07_IS(D1459,61,$G$5,$H$13)/[1]!S_STM07_IS(D1459,55,$G$5,$H$13)))</f>
        <v/>
      </c>
      <c r="M1459" s="249" t="str">
        <f ca="1">IF(C1459="","",IF($M$11="ROE",[1]!S_STM07_IS(D1459,61,$G$5,$H$13)/[1]!S_STM07_BS(D1459,141,$G$5,$H$13),([1]!S_STM07_BS(D1459,25,$G$5,$H$13)-[1]!S_STM07_BS(D1459,93,$G$5,$H$13))/$E$5))</f>
        <v/>
      </c>
      <c r="N1459" s="250" t="str">
        <f ca="1">IF(C1459="","",IF($N$11="EPS",[1]!S_STM07_IS(D1459,61,$G$5,$H$13)/IF([1]!S_SHARE_TOTAL(D1459,$G$5)=0,[1]!S_SHARE_TOTAL(D1459,[1]!s_ipo_listeddate(D1459)),[1]!S_SHARE_TOTAL(D1459,$G$5)),([1]!S_STM07_BS(D1459,75,$G$5,$H$13)+[1]!S_STM07_BS(D1459,88,$G$5,$H$13)+[1]!S_STM07_BS(D1459,94,$G$5,$H$13)+[1]!S_STM07_BS(D1459,95,$G$5,$H$13))/$E$5))</f>
        <v/>
      </c>
      <c r="O1459" s="250" t="str">
        <f ca="1">IF(C1459="","",IF($O$11="BPS",[1]!S_STM07_BS(D1459,141,$G$5,$H$13)/IF([1]!S_SHARE_TOTAL(D1459,$G$5)=0,[1]!S_SHARE_TOTAL(D1459,[1]!s_ipo_listeddate(D1459)),[1]!S_SHARE_TOTAL(D1459,$G$5)),[1]!S_STM07_CS(D1459,49,$G$5,$H$13)/$E$5))</f>
        <v/>
      </c>
      <c r="P1459" s="250" t="str">
        <f ca="1">IF(C1459="","",IF($P$11="CFPS",[1]!S_STM07_CS(D1459,84,$G$5,$H$13)/IF([1]!S_SHARE_TOTAL(D1459,$G$5)=0,[1]!S_SHARE_TOTAL(D1459,[1]!s_ipo_listeddate(D1459)),[1]!S_SHARE_TOTAL(D1459,$G$5)),[1]!S_STM07_CS(D1459,84,$G$5,$H$13)/$E$5))</f>
        <v/>
      </c>
      <c r="Q1459" s="198" t="str">
        <f ca="1">IF(C1459="","",F1459/([1]!S_STM07_IS(D1459,61,$G$5,$H$13)/IF([1]!S_SHARE_TOTAL(D1459,$G$5)=0,[1]!S_SHARE_TOTAL(D1459,[1]!s_ipo_listeddate(D1459)),[1]!S_SHARE_TOTAL(D1459,$G$5))))</f>
        <v/>
      </c>
      <c r="R1459" s="198" t="str">
        <f ca="1">IF(C1459="","",F1459/([1]!S_STM07_BS(D1459,141,$G$5,$H$13)/IF([1]!S_SHARE_TOTAL(D1459,$G$5)=0,[1]!S_SHARE_TOTAL(D1459,[1]!s_ipo_listeddate(D1459)),[1]!S_SHARE_TOTAL(D1459,$G$5))))</f>
        <v/>
      </c>
      <c r="S1459" s="249" t="str">
        <f ca="1">IF(C1459="","",[1]!S_SHARE_TOTAL(D1459,TODAY())/$E$5)</f>
        <v/>
      </c>
      <c r="T1459" s="249" t="str">
        <f t="shared" ca="1" si="145"/>
        <v/>
      </c>
      <c r="U1459" s="172" t="str">
        <f t="shared" ca="1" si="146"/>
        <v/>
      </c>
      <c r="V1459" s="343" t="str">
        <f t="shared" ca="1" si="147"/>
        <v/>
      </c>
      <c r="W1459" s="139"/>
      <c r="Y1459" s="1"/>
    </row>
    <row r="1460" spans="3:25" ht="12" customHeight="1">
      <c r="C1460" s="342" t="str">
        <f t="shared" ca="1" si="142"/>
        <v/>
      </c>
      <c r="D1460" s="153" t="str">
        <f t="shared" ca="1" si="143"/>
        <v/>
      </c>
      <c r="E1460" s="153" t="str">
        <f t="shared" ca="1" si="144"/>
        <v/>
      </c>
      <c r="F1460" s="170" t="str">
        <f ca="1">IF(C1460="","",[1]!S_DQ_CLOSE(D1460,TODAY(),1))</f>
        <v/>
      </c>
      <c r="G1460" s="171" t="str">
        <f ca="1">IF(C1460="","",[1]!s_pq_pctchange(D1460,TODAY()-$G$12,TODAY())/100)</f>
        <v/>
      </c>
      <c r="H1460" s="247" t="str">
        <f ca="1">IF(C1460="","",IF($H$11="收入",[1]!S_STM07_IS(D1460,9,$G$5,$H$13)/$E$5,[1]!S_STM07_IS(D1460,48,$G$5,$H$13)/$E$5))</f>
        <v/>
      </c>
      <c r="I1460" s="247" t="str">
        <f ca="1">IF(C1460="","",IF($I$11="毛利率",([1]!S_STM07_IS(D1460,9,$G$5,$H$13)-[1]!S_STM07_IS(D1460,10,$G$5,$H$13))/[1]!S_STM07_IS(D1460,9,$G$5,$H$13),[1]!S_STM07_IS(D1460,14,$G$5,$H$13)/$E$5))</f>
        <v/>
      </c>
      <c r="J1460" s="247" t="str">
        <f ca="1">IF(C1460="","",IF($J$11="营业利润率",[1]!S_STM07_IS(D1460,48,$G$5,$H$13)/[1]!S_STM07_IS(D1460,9,$G$5,$H$13),([1]!S_STM07_CS(D1460,87,$G$5,$H$13)+[1]!S_STM07_CS(D1460,88,$G$5,$H$13)+[1]!S_STM07_CS(D1460,89,$G$5,$H$13))/$E$5))</f>
        <v/>
      </c>
      <c r="K1460" s="247" t="str">
        <f ca="1">IF(C1460="","",IF($K$11="净利润率",[1]!S_STM07_IS(D1460,61,$G$5,$H$13)/[1]!S_STM07_IS(D1460,9,$G$5,$H$13),[1]!S_STM07_IS(D1460,55,$G$5,$H$13)/$E$5))</f>
        <v/>
      </c>
      <c r="L1460" s="247" t="str">
        <f ca="1">IF(C1460="","",IF($L$11="ROA",[1]!S_STM07_IS(D1460,61,$G$5,$H$13)/[1]!S_STM07_BS(D1460,74,$G$5,$H$13),1-[1]!S_STM07_IS(D1460,61,$G$5,$H$13)/[1]!S_STM07_IS(D1460,55,$G$5,$H$13)))</f>
        <v/>
      </c>
      <c r="M1460" s="247" t="str">
        <f ca="1">IF(C1460="","",IF($M$11="ROE",[1]!S_STM07_IS(D1460,61,$G$5,$H$13)/[1]!S_STM07_BS(D1460,141,$G$5,$H$13),([1]!S_STM07_BS(D1460,25,$G$5,$H$13)-[1]!S_STM07_BS(D1460,93,$G$5,$H$13))/$E$5))</f>
        <v/>
      </c>
      <c r="N1460" s="247" t="str">
        <f ca="1">IF(C1460="","",IF($N$11="EPS",[1]!S_STM07_IS(D1460,61,$G$5,$H$13)/IF([1]!S_SHARE_TOTAL(D1460,$G$5)=0,[1]!S_SHARE_TOTAL(D1460,[1]!s_ipo_listeddate(D1460)),[1]!S_SHARE_TOTAL(D1460,$G$5)),([1]!S_STM07_BS(D1460,75,$G$5,$H$13)+[1]!S_STM07_BS(D1460,88,$G$5,$H$13)+[1]!S_STM07_BS(D1460,94,$G$5,$H$13)+[1]!S_STM07_BS(D1460,95,$G$5,$H$13))/$E$5))</f>
        <v/>
      </c>
      <c r="O1460" s="247" t="str">
        <f ca="1">IF(C1460="","",IF($O$11="BPS",[1]!S_STM07_BS(D1460,141,$G$5,$H$13)/IF([1]!S_SHARE_TOTAL(D1460,$G$5)=0,[1]!S_SHARE_TOTAL(D1460,[1]!s_ipo_listeddate(D1460)),[1]!S_SHARE_TOTAL(D1460,$G$5)),[1]!S_STM07_CS(D1460,49,$G$5,$H$13)/$E$5))</f>
        <v/>
      </c>
      <c r="P1460" s="247" t="str">
        <f ca="1">IF(C1460="","",IF($P$11="CFPS",[1]!S_STM07_CS(D1460,84,$G$5,$H$13)/IF([1]!S_SHARE_TOTAL(D1460,$G$5)=0,[1]!S_SHARE_TOTAL(D1460,[1]!s_ipo_listeddate(D1460)),[1]!S_SHARE_TOTAL(D1460,$G$5)),[1]!S_STM07_CS(D1460,84,$G$5,$H$13)/$E$5))</f>
        <v/>
      </c>
      <c r="Q1460" s="248" t="str">
        <f ca="1">IF(C1460="","",F1460/([1]!S_STM07_IS(D1460,61,$G$5,$H$13)/IF([1]!S_SHARE_TOTAL(D1460,$G$5)=0,[1]!S_SHARE_TOTAL(D1460,[1]!s_ipo_listeddate(D1460)),[1]!S_SHARE_TOTAL(D1460,$G$5))))</f>
        <v/>
      </c>
      <c r="R1460" s="248" t="str">
        <f ca="1">IF(C1460="","",F1460/([1]!S_STM07_BS(D1460,141,$G$5,$H$13)/IF([1]!S_SHARE_TOTAL(D1460,$G$5)=0,[1]!S_SHARE_TOTAL(D1460,[1]!s_ipo_listeddate(D1460)),[1]!S_SHARE_TOTAL(D1460,$G$5))))</f>
        <v/>
      </c>
      <c r="S1460" s="247" t="str">
        <f ca="1">IF(C1460="","",[1]!S_SHARE_TOTAL(D1460,TODAY())/$E$5)</f>
        <v/>
      </c>
      <c r="T1460" s="247" t="str">
        <f t="shared" ca="1" si="145"/>
        <v/>
      </c>
      <c r="U1460" s="218" t="str">
        <f t="shared" ca="1" si="146"/>
        <v/>
      </c>
      <c r="V1460" s="342" t="str">
        <f t="shared" ca="1" si="147"/>
        <v/>
      </c>
      <c r="W1460" s="139"/>
      <c r="Y1460" s="1"/>
    </row>
    <row r="1461" spans="3:25" ht="12" customHeight="1">
      <c r="C1461" s="343" t="str">
        <f t="shared" ca="1" si="142"/>
        <v/>
      </c>
      <c r="D1461" s="124" t="str">
        <f t="shared" ca="1" si="143"/>
        <v/>
      </c>
      <c r="E1461" s="124" t="str">
        <f t="shared" ca="1" si="144"/>
        <v/>
      </c>
      <c r="F1461" s="172" t="str">
        <f ca="1">IF(C1461="","",[1]!S_DQ_CLOSE(D1461,TODAY(),1))</f>
        <v/>
      </c>
      <c r="G1461" s="173" t="str">
        <f ca="1">IF(C1461="","",[1]!s_pq_pctchange(D1461,TODAY()-$G$12,TODAY())/100)</f>
        <v/>
      </c>
      <c r="H1461" s="249" t="str">
        <f ca="1">IF(C1461="","",IF($H$11="收入",[1]!S_STM07_IS(D1461,9,$G$5,$H$13)/$E$5,[1]!S_STM07_IS(D1461,48,$G$5,$H$13)/$E$5))</f>
        <v/>
      </c>
      <c r="I1461" s="249" t="str">
        <f ca="1">IF(C1461="","",IF($I$11="毛利率",([1]!S_STM07_IS(D1461,9,$G$5,$H$13)-[1]!S_STM07_IS(D1461,10,$G$5,$H$13))/[1]!S_STM07_IS(D1461,9,$G$5,$H$13),[1]!S_STM07_IS(D1461,14,$G$5,$H$13)/$E$5))</f>
        <v/>
      </c>
      <c r="J1461" s="249" t="str">
        <f ca="1">IF(C1461="","",IF($J$11="营业利润率",[1]!S_STM07_IS(D1461,48,$G$5,$H$13)/[1]!S_STM07_IS(D1461,9,$G$5,$H$13),([1]!S_STM07_CS(D1461,87,$G$5,$H$13)+[1]!S_STM07_CS(D1461,88,$G$5,$H$13)+[1]!S_STM07_CS(D1461,89,$G$5,$H$13))/$E$5))</f>
        <v/>
      </c>
      <c r="K1461" s="249" t="str">
        <f ca="1">IF(C1461="","",IF($K$11="净利润率",[1]!S_STM07_IS(D1461,61,$G$5,$H$13)/[1]!S_STM07_IS(D1461,9,$G$5,$H$13),[1]!S_STM07_IS(D1461,55,$G$5,$H$13)/$E$5))</f>
        <v/>
      </c>
      <c r="L1461" s="249" t="str">
        <f ca="1">IF(C1461="","",IF($L$11="ROA",[1]!S_STM07_IS(D1461,61,$G$5,$H$13)/[1]!S_STM07_BS(D1461,74,$G$5,$H$13),1-[1]!S_STM07_IS(D1461,61,$G$5,$H$13)/[1]!S_STM07_IS(D1461,55,$G$5,$H$13)))</f>
        <v/>
      </c>
      <c r="M1461" s="249" t="str">
        <f ca="1">IF(C1461="","",IF($M$11="ROE",[1]!S_STM07_IS(D1461,61,$G$5,$H$13)/[1]!S_STM07_BS(D1461,141,$G$5,$H$13),([1]!S_STM07_BS(D1461,25,$G$5,$H$13)-[1]!S_STM07_BS(D1461,93,$G$5,$H$13))/$E$5))</f>
        <v/>
      </c>
      <c r="N1461" s="250" t="str">
        <f ca="1">IF(C1461="","",IF($N$11="EPS",[1]!S_STM07_IS(D1461,61,$G$5,$H$13)/IF([1]!S_SHARE_TOTAL(D1461,$G$5)=0,[1]!S_SHARE_TOTAL(D1461,[1]!s_ipo_listeddate(D1461)),[1]!S_SHARE_TOTAL(D1461,$G$5)),([1]!S_STM07_BS(D1461,75,$G$5,$H$13)+[1]!S_STM07_BS(D1461,88,$G$5,$H$13)+[1]!S_STM07_BS(D1461,94,$G$5,$H$13)+[1]!S_STM07_BS(D1461,95,$G$5,$H$13))/$E$5))</f>
        <v/>
      </c>
      <c r="O1461" s="250" t="str">
        <f ca="1">IF(C1461="","",IF($O$11="BPS",[1]!S_STM07_BS(D1461,141,$G$5,$H$13)/IF([1]!S_SHARE_TOTAL(D1461,$G$5)=0,[1]!S_SHARE_TOTAL(D1461,[1]!s_ipo_listeddate(D1461)),[1]!S_SHARE_TOTAL(D1461,$G$5)),[1]!S_STM07_CS(D1461,49,$G$5,$H$13)/$E$5))</f>
        <v/>
      </c>
      <c r="P1461" s="250" t="str">
        <f ca="1">IF(C1461="","",IF($P$11="CFPS",[1]!S_STM07_CS(D1461,84,$G$5,$H$13)/IF([1]!S_SHARE_TOTAL(D1461,$G$5)=0,[1]!S_SHARE_TOTAL(D1461,[1]!s_ipo_listeddate(D1461)),[1]!S_SHARE_TOTAL(D1461,$G$5)),[1]!S_STM07_CS(D1461,84,$G$5,$H$13)/$E$5))</f>
        <v/>
      </c>
      <c r="Q1461" s="198" t="str">
        <f ca="1">IF(C1461="","",F1461/([1]!S_STM07_IS(D1461,61,$G$5,$H$13)/IF([1]!S_SHARE_TOTAL(D1461,$G$5)=0,[1]!S_SHARE_TOTAL(D1461,[1]!s_ipo_listeddate(D1461)),[1]!S_SHARE_TOTAL(D1461,$G$5))))</f>
        <v/>
      </c>
      <c r="R1461" s="198" t="str">
        <f ca="1">IF(C1461="","",F1461/([1]!S_STM07_BS(D1461,141,$G$5,$H$13)/IF([1]!S_SHARE_TOTAL(D1461,$G$5)=0,[1]!S_SHARE_TOTAL(D1461,[1]!s_ipo_listeddate(D1461)),[1]!S_SHARE_TOTAL(D1461,$G$5))))</f>
        <v/>
      </c>
      <c r="S1461" s="249" t="str">
        <f ca="1">IF(C1461="","",[1]!S_SHARE_TOTAL(D1461,TODAY())/$E$5)</f>
        <v/>
      </c>
      <c r="T1461" s="249" t="str">
        <f t="shared" ca="1" si="145"/>
        <v/>
      </c>
      <c r="U1461" s="172" t="str">
        <f t="shared" ca="1" si="146"/>
        <v/>
      </c>
      <c r="V1461" s="343" t="str">
        <f t="shared" ca="1" si="147"/>
        <v/>
      </c>
      <c r="W1461" s="139"/>
      <c r="Y1461" s="1"/>
    </row>
    <row r="1462" spans="3:25" ht="12" customHeight="1">
      <c r="C1462" s="342" t="str">
        <f t="shared" ca="1" si="142"/>
        <v/>
      </c>
      <c r="D1462" s="153" t="str">
        <f t="shared" ca="1" si="143"/>
        <v/>
      </c>
      <c r="E1462" s="153" t="str">
        <f t="shared" ca="1" si="144"/>
        <v/>
      </c>
      <c r="F1462" s="170" t="str">
        <f ca="1">IF(C1462="","",[1]!S_DQ_CLOSE(D1462,TODAY(),1))</f>
        <v/>
      </c>
      <c r="G1462" s="171" t="str">
        <f ca="1">IF(C1462="","",[1]!s_pq_pctchange(D1462,TODAY()-$G$12,TODAY())/100)</f>
        <v/>
      </c>
      <c r="H1462" s="247" t="str">
        <f ca="1">IF(C1462="","",IF($H$11="收入",[1]!S_STM07_IS(D1462,9,$G$5,$H$13)/$E$5,[1]!S_STM07_IS(D1462,48,$G$5,$H$13)/$E$5))</f>
        <v/>
      </c>
      <c r="I1462" s="247" t="str">
        <f ca="1">IF(C1462="","",IF($I$11="毛利率",([1]!S_STM07_IS(D1462,9,$G$5,$H$13)-[1]!S_STM07_IS(D1462,10,$G$5,$H$13))/[1]!S_STM07_IS(D1462,9,$G$5,$H$13),[1]!S_STM07_IS(D1462,14,$G$5,$H$13)/$E$5))</f>
        <v/>
      </c>
      <c r="J1462" s="247" t="str">
        <f ca="1">IF(C1462="","",IF($J$11="营业利润率",[1]!S_STM07_IS(D1462,48,$G$5,$H$13)/[1]!S_STM07_IS(D1462,9,$G$5,$H$13),([1]!S_STM07_CS(D1462,87,$G$5,$H$13)+[1]!S_STM07_CS(D1462,88,$G$5,$H$13)+[1]!S_STM07_CS(D1462,89,$G$5,$H$13))/$E$5))</f>
        <v/>
      </c>
      <c r="K1462" s="247" t="str">
        <f ca="1">IF(C1462="","",IF($K$11="净利润率",[1]!S_STM07_IS(D1462,61,$G$5,$H$13)/[1]!S_STM07_IS(D1462,9,$G$5,$H$13),[1]!S_STM07_IS(D1462,55,$G$5,$H$13)/$E$5))</f>
        <v/>
      </c>
      <c r="L1462" s="247" t="str">
        <f ca="1">IF(C1462="","",IF($L$11="ROA",[1]!S_STM07_IS(D1462,61,$G$5,$H$13)/[1]!S_STM07_BS(D1462,74,$G$5,$H$13),1-[1]!S_STM07_IS(D1462,61,$G$5,$H$13)/[1]!S_STM07_IS(D1462,55,$G$5,$H$13)))</f>
        <v/>
      </c>
      <c r="M1462" s="247" t="str">
        <f ca="1">IF(C1462="","",IF($M$11="ROE",[1]!S_STM07_IS(D1462,61,$G$5,$H$13)/[1]!S_STM07_BS(D1462,141,$G$5,$H$13),([1]!S_STM07_BS(D1462,25,$G$5,$H$13)-[1]!S_STM07_BS(D1462,93,$G$5,$H$13))/$E$5))</f>
        <v/>
      </c>
      <c r="N1462" s="247" t="str">
        <f ca="1">IF(C1462="","",IF($N$11="EPS",[1]!S_STM07_IS(D1462,61,$G$5,$H$13)/IF([1]!S_SHARE_TOTAL(D1462,$G$5)=0,[1]!S_SHARE_TOTAL(D1462,[1]!s_ipo_listeddate(D1462)),[1]!S_SHARE_TOTAL(D1462,$G$5)),([1]!S_STM07_BS(D1462,75,$G$5,$H$13)+[1]!S_STM07_BS(D1462,88,$G$5,$H$13)+[1]!S_STM07_BS(D1462,94,$G$5,$H$13)+[1]!S_STM07_BS(D1462,95,$G$5,$H$13))/$E$5))</f>
        <v/>
      </c>
      <c r="O1462" s="247" t="str">
        <f ca="1">IF(C1462="","",IF($O$11="BPS",[1]!S_STM07_BS(D1462,141,$G$5,$H$13)/IF([1]!S_SHARE_TOTAL(D1462,$G$5)=0,[1]!S_SHARE_TOTAL(D1462,[1]!s_ipo_listeddate(D1462)),[1]!S_SHARE_TOTAL(D1462,$G$5)),[1]!S_STM07_CS(D1462,49,$G$5,$H$13)/$E$5))</f>
        <v/>
      </c>
      <c r="P1462" s="247" t="str">
        <f ca="1">IF(C1462="","",IF($P$11="CFPS",[1]!S_STM07_CS(D1462,84,$G$5,$H$13)/IF([1]!S_SHARE_TOTAL(D1462,$G$5)=0,[1]!S_SHARE_TOTAL(D1462,[1]!s_ipo_listeddate(D1462)),[1]!S_SHARE_TOTAL(D1462,$G$5)),[1]!S_STM07_CS(D1462,84,$G$5,$H$13)/$E$5))</f>
        <v/>
      </c>
      <c r="Q1462" s="248" t="str">
        <f ca="1">IF(C1462="","",F1462/([1]!S_STM07_IS(D1462,61,$G$5,$H$13)/IF([1]!S_SHARE_TOTAL(D1462,$G$5)=0,[1]!S_SHARE_TOTAL(D1462,[1]!s_ipo_listeddate(D1462)),[1]!S_SHARE_TOTAL(D1462,$G$5))))</f>
        <v/>
      </c>
      <c r="R1462" s="248" t="str">
        <f ca="1">IF(C1462="","",F1462/([1]!S_STM07_BS(D1462,141,$G$5,$H$13)/IF([1]!S_SHARE_TOTAL(D1462,$G$5)=0,[1]!S_SHARE_TOTAL(D1462,[1]!s_ipo_listeddate(D1462)),[1]!S_SHARE_TOTAL(D1462,$G$5))))</f>
        <v/>
      </c>
      <c r="S1462" s="247" t="str">
        <f ca="1">IF(C1462="","",[1]!S_SHARE_TOTAL(D1462,TODAY())/$E$5)</f>
        <v/>
      </c>
      <c r="T1462" s="247" t="str">
        <f t="shared" ca="1" si="145"/>
        <v/>
      </c>
      <c r="U1462" s="218" t="str">
        <f t="shared" ca="1" si="146"/>
        <v/>
      </c>
      <c r="V1462" s="342" t="str">
        <f t="shared" ca="1" si="147"/>
        <v/>
      </c>
      <c r="W1462" s="139"/>
      <c r="Y1462" s="1"/>
    </row>
    <row r="1463" spans="3:25" ht="12" customHeight="1">
      <c r="C1463" s="343" t="str">
        <f t="shared" ca="1" si="142"/>
        <v/>
      </c>
      <c r="D1463" s="124" t="str">
        <f t="shared" ca="1" si="143"/>
        <v/>
      </c>
      <c r="E1463" s="124" t="str">
        <f t="shared" ca="1" si="144"/>
        <v/>
      </c>
      <c r="F1463" s="172" t="str">
        <f ca="1">IF(C1463="","",[1]!S_DQ_CLOSE(D1463,TODAY(),1))</f>
        <v/>
      </c>
      <c r="G1463" s="173" t="str">
        <f ca="1">IF(C1463="","",[1]!s_pq_pctchange(D1463,TODAY()-$G$12,TODAY())/100)</f>
        <v/>
      </c>
      <c r="H1463" s="249" t="str">
        <f ca="1">IF(C1463="","",IF($H$11="收入",[1]!S_STM07_IS(D1463,9,$G$5,$H$13)/$E$5,[1]!S_STM07_IS(D1463,48,$G$5,$H$13)/$E$5))</f>
        <v/>
      </c>
      <c r="I1463" s="249" t="str">
        <f ca="1">IF(C1463="","",IF($I$11="毛利率",([1]!S_STM07_IS(D1463,9,$G$5,$H$13)-[1]!S_STM07_IS(D1463,10,$G$5,$H$13))/[1]!S_STM07_IS(D1463,9,$G$5,$H$13),[1]!S_STM07_IS(D1463,14,$G$5,$H$13)/$E$5))</f>
        <v/>
      </c>
      <c r="J1463" s="249" t="str">
        <f ca="1">IF(C1463="","",IF($J$11="营业利润率",[1]!S_STM07_IS(D1463,48,$G$5,$H$13)/[1]!S_STM07_IS(D1463,9,$G$5,$H$13),([1]!S_STM07_CS(D1463,87,$G$5,$H$13)+[1]!S_STM07_CS(D1463,88,$G$5,$H$13)+[1]!S_STM07_CS(D1463,89,$G$5,$H$13))/$E$5))</f>
        <v/>
      </c>
      <c r="K1463" s="249" t="str">
        <f ca="1">IF(C1463="","",IF($K$11="净利润率",[1]!S_STM07_IS(D1463,61,$G$5,$H$13)/[1]!S_STM07_IS(D1463,9,$G$5,$H$13),[1]!S_STM07_IS(D1463,55,$G$5,$H$13)/$E$5))</f>
        <v/>
      </c>
      <c r="L1463" s="249" t="str">
        <f ca="1">IF(C1463="","",IF($L$11="ROA",[1]!S_STM07_IS(D1463,61,$G$5,$H$13)/[1]!S_STM07_BS(D1463,74,$G$5,$H$13),1-[1]!S_STM07_IS(D1463,61,$G$5,$H$13)/[1]!S_STM07_IS(D1463,55,$G$5,$H$13)))</f>
        <v/>
      </c>
      <c r="M1463" s="249" t="str">
        <f ca="1">IF(C1463="","",IF($M$11="ROE",[1]!S_STM07_IS(D1463,61,$G$5,$H$13)/[1]!S_STM07_BS(D1463,141,$G$5,$H$13),([1]!S_STM07_BS(D1463,25,$G$5,$H$13)-[1]!S_STM07_BS(D1463,93,$G$5,$H$13))/$E$5))</f>
        <v/>
      </c>
      <c r="N1463" s="250" t="str">
        <f ca="1">IF(C1463="","",IF($N$11="EPS",[1]!S_STM07_IS(D1463,61,$G$5,$H$13)/IF([1]!S_SHARE_TOTAL(D1463,$G$5)=0,[1]!S_SHARE_TOTAL(D1463,[1]!s_ipo_listeddate(D1463)),[1]!S_SHARE_TOTAL(D1463,$G$5)),([1]!S_STM07_BS(D1463,75,$G$5,$H$13)+[1]!S_STM07_BS(D1463,88,$G$5,$H$13)+[1]!S_STM07_BS(D1463,94,$G$5,$H$13)+[1]!S_STM07_BS(D1463,95,$G$5,$H$13))/$E$5))</f>
        <v/>
      </c>
      <c r="O1463" s="250" t="str">
        <f ca="1">IF(C1463="","",IF($O$11="BPS",[1]!S_STM07_BS(D1463,141,$G$5,$H$13)/IF([1]!S_SHARE_TOTAL(D1463,$G$5)=0,[1]!S_SHARE_TOTAL(D1463,[1]!s_ipo_listeddate(D1463)),[1]!S_SHARE_TOTAL(D1463,$G$5)),[1]!S_STM07_CS(D1463,49,$G$5,$H$13)/$E$5))</f>
        <v/>
      </c>
      <c r="P1463" s="250" t="str">
        <f ca="1">IF(C1463="","",IF($P$11="CFPS",[1]!S_STM07_CS(D1463,84,$G$5,$H$13)/IF([1]!S_SHARE_TOTAL(D1463,$G$5)=0,[1]!S_SHARE_TOTAL(D1463,[1]!s_ipo_listeddate(D1463)),[1]!S_SHARE_TOTAL(D1463,$G$5)),[1]!S_STM07_CS(D1463,84,$G$5,$H$13)/$E$5))</f>
        <v/>
      </c>
      <c r="Q1463" s="198" t="str">
        <f ca="1">IF(C1463="","",F1463/([1]!S_STM07_IS(D1463,61,$G$5,$H$13)/IF([1]!S_SHARE_TOTAL(D1463,$G$5)=0,[1]!S_SHARE_TOTAL(D1463,[1]!s_ipo_listeddate(D1463)),[1]!S_SHARE_TOTAL(D1463,$G$5))))</f>
        <v/>
      </c>
      <c r="R1463" s="198" t="str">
        <f ca="1">IF(C1463="","",F1463/([1]!S_STM07_BS(D1463,141,$G$5,$H$13)/IF([1]!S_SHARE_TOTAL(D1463,$G$5)=0,[1]!S_SHARE_TOTAL(D1463,[1]!s_ipo_listeddate(D1463)),[1]!S_SHARE_TOTAL(D1463,$G$5))))</f>
        <v/>
      </c>
      <c r="S1463" s="249" t="str">
        <f ca="1">IF(C1463="","",[1]!S_SHARE_TOTAL(D1463,TODAY())/$E$5)</f>
        <v/>
      </c>
      <c r="T1463" s="249" t="str">
        <f t="shared" ca="1" si="145"/>
        <v/>
      </c>
      <c r="U1463" s="172" t="str">
        <f t="shared" ca="1" si="146"/>
        <v/>
      </c>
      <c r="V1463" s="343" t="str">
        <f t="shared" ca="1" si="147"/>
        <v/>
      </c>
      <c r="W1463" s="139"/>
      <c r="Y1463" s="1"/>
    </row>
    <row r="1464" spans="3:25" ht="12" customHeight="1">
      <c r="C1464" s="342" t="str">
        <f t="shared" ca="1" si="142"/>
        <v/>
      </c>
      <c r="D1464" s="153" t="str">
        <f t="shared" ca="1" si="143"/>
        <v/>
      </c>
      <c r="E1464" s="153" t="str">
        <f t="shared" ca="1" si="144"/>
        <v/>
      </c>
      <c r="F1464" s="170" t="str">
        <f ca="1">IF(C1464="","",[1]!S_DQ_CLOSE(D1464,TODAY(),1))</f>
        <v/>
      </c>
      <c r="G1464" s="171" t="str">
        <f ca="1">IF(C1464="","",[1]!s_pq_pctchange(D1464,TODAY()-$G$12,TODAY())/100)</f>
        <v/>
      </c>
      <c r="H1464" s="247" t="str">
        <f ca="1">IF(C1464="","",IF($H$11="收入",[1]!S_STM07_IS(D1464,9,$G$5,$H$13)/$E$5,[1]!S_STM07_IS(D1464,48,$G$5,$H$13)/$E$5))</f>
        <v/>
      </c>
      <c r="I1464" s="247" t="str">
        <f ca="1">IF(C1464="","",IF($I$11="毛利率",([1]!S_STM07_IS(D1464,9,$G$5,$H$13)-[1]!S_STM07_IS(D1464,10,$G$5,$H$13))/[1]!S_STM07_IS(D1464,9,$G$5,$H$13),[1]!S_STM07_IS(D1464,14,$G$5,$H$13)/$E$5))</f>
        <v/>
      </c>
      <c r="J1464" s="247" t="str">
        <f ca="1">IF(C1464="","",IF($J$11="营业利润率",[1]!S_STM07_IS(D1464,48,$G$5,$H$13)/[1]!S_STM07_IS(D1464,9,$G$5,$H$13),([1]!S_STM07_CS(D1464,87,$G$5,$H$13)+[1]!S_STM07_CS(D1464,88,$G$5,$H$13)+[1]!S_STM07_CS(D1464,89,$G$5,$H$13))/$E$5))</f>
        <v/>
      </c>
      <c r="K1464" s="247" t="str">
        <f ca="1">IF(C1464="","",IF($K$11="净利润率",[1]!S_STM07_IS(D1464,61,$G$5,$H$13)/[1]!S_STM07_IS(D1464,9,$G$5,$H$13),[1]!S_STM07_IS(D1464,55,$G$5,$H$13)/$E$5))</f>
        <v/>
      </c>
      <c r="L1464" s="247" t="str">
        <f ca="1">IF(C1464="","",IF($L$11="ROA",[1]!S_STM07_IS(D1464,61,$G$5,$H$13)/[1]!S_STM07_BS(D1464,74,$G$5,$H$13),1-[1]!S_STM07_IS(D1464,61,$G$5,$H$13)/[1]!S_STM07_IS(D1464,55,$G$5,$H$13)))</f>
        <v/>
      </c>
      <c r="M1464" s="247" t="str">
        <f ca="1">IF(C1464="","",IF($M$11="ROE",[1]!S_STM07_IS(D1464,61,$G$5,$H$13)/[1]!S_STM07_BS(D1464,141,$G$5,$H$13),([1]!S_STM07_BS(D1464,25,$G$5,$H$13)-[1]!S_STM07_BS(D1464,93,$G$5,$H$13))/$E$5))</f>
        <v/>
      </c>
      <c r="N1464" s="247" t="str">
        <f ca="1">IF(C1464="","",IF($N$11="EPS",[1]!S_STM07_IS(D1464,61,$G$5,$H$13)/IF([1]!S_SHARE_TOTAL(D1464,$G$5)=0,[1]!S_SHARE_TOTAL(D1464,[1]!s_ipo_listeddate(D1464)),[1]!S_SHARE_TOTAL(D1464,$G$5)),([1]!S_STM07_BS(D1464,75,$G$5,$H$13)+[1]!S_STM07_BS(D1464,88,$G$5,$H$13)+[1]!S_STM07_BS(D1464,94,$G$5,$H$13)+[1]!S_STM07_BS(D1464,95,$G$5,$H$13))/$E$5))</f>
        <v/>
      </c>
      <c r="O1464" s="247" t="str">
        <f ca="1">IF(C1464="","",IF($O$11="BPS",[1]!S_STM07_BS(D1464,141,$G$5,$H$13)/IF([1]!S_SHARE_TOTAL(D1464,$G$5)=0,[1]!S_SHARE_TOTAL(D1464,[1]!s_ipo_listeddate(D1464)),[1]!S_SHARE_TOTAL(D1464,$G$5)),[1]!S_STM07_CS(D1464,49,$G$5,$H$13)/$E$5))</f>
        <v/>
      </c>
      <c r="P1464" s="247" t="str">
        <f ca="1">IF(C1464="","",IF($P$11="CFPS",[1]!S_STM07_CS(D1464,84,$G$5,$H$13)/IF([1]!S_SHARE_TOTAL(D1464,$G$5)=0,[1]!S_SHARE_TOTAL(D1464,[1]!s_ipo_listeddate(D1464)),[1]!S_SHARE_TOTAL(D1464,$G$5)),[1]!S_STM07_CS(D1464,84,$G$5,$H$13)/$E$5))</f>
        <v/>
      </c>
      <c r="Q1464" s="248" t="str">
        <f ca="1">IF(C1464="","",F1464/([1]!S_STM07_IS(D1464,61,$G$5,$H$13)/IF([1]!S_SHARE_TOTAL(D1464,$G$5)=0,[1]!S_SHARE_TOTAL(D1464,[1]!s_ipo_listeddate(D1464)),[1]!S_SHARE_TOTAL(D1464,$G$5))))</f>
        <v/>
      </c>
      <c r="R1464" s="248" t="str">
        <f ca="1">IF(C1464="","",F1464/([1]!S_STM07_BS(D1464,141,$G$5,$H$13)/IF([1]!S_SHARE_TOTAL(D1464,$G$5)=0,[1]!S_SHARE_TOTAL(D1464,[1]!s_ipo_listeddate(D1464)),[1]!S_SHARE_TOTAL(D1464,$G$5))))</f>
        <v/>
      </c>
      <c r="S1464" s="247" t="str">
        <f ca="1">IF(C1464="","",[1]!S_SHARE_TOTAL(D1464,TODAY())/$E$5)</f>
        <v/>
      </c>
      <c r="T1464" s="247" t="str">
        <f t="shared" ca="1" si="145"/>
        <v/>
      </c>
      <c r="U1464" s="218" t="str">
        <f t="shared" ca="1" si="146"/>
        <v/>
      </c>
      <c r="V1464" s="342" t="str">
        <f t="shared" ca="1" si="147"/>
        <v/>
      </c>
      <c r="W1464" s="139"/>
      <c r="Y1464" s="1"/>
    </row>
    <row r="1465" spans="3:25" ht="12" customHeight="1">
      <c r="C1465" s="343" t="str">
        <f t="shared" ca="1" si="142"/>
        <v/>
      </c>
      <c r="D1465" s="124" t="str">
        <f t="shared" ca="1" si="143"/>
        <v/>
      </c>
      <c r="E1465" s="124" t="str">
        <f t="shared" ca="1" si="144"/>
        <v/>
      </c>
      <c r="F1465" s="172" t="str">
        <f ca="1">IF(C1465="","",[1]!S_DQ_CLOSE(D1465,TODAY(),1))</f>
        <v/>
      </c>
      <c r="G1465" s="173" t="str">
        <f ca="1">IF(C1465="","",[1]!s_pq_pctchange(D1465,TODAY()-$G$12,TODAY())/100)</f>
        <v/>
      </c>
      <c r="H1465" s="249" t="str">
        <f ca="1">IF(C1465="","",IF($H$11="收入",[1]!S_STM07_IS(D1465,9,$G$5,$H$13)/$E$5,[1]!S_STM07_IS(D1465,48,$G$5,$H$13)/$E$5))</f>
        <v/>
      </c>
      <c r="I1465" s="249" t="str">
        <f ca="1">IF(C1465="","",IF($I$11="毛利率",([1]!S_STM07_IS(D1465,9,$G$5,$H$13)-[1]!S_STM07_IS(D1465,10,$G$5,$H$13))/[1]!S_STM07_IS(D1465,9,$G$5,$H$13),[1]!S_STM07_IS(D1465,14,$G$5,$H$13)/$E$5))</f>
        <v/>
      </c>
      <c r="J1465" s="249" t="str">
        <f ca="1">IF(C1465="","",IF($J$11="营业利润率",[1]!S_STM07_IS(D1465,48,$G$5,$H$13)/[1]!S_STM07_IS(D1465,9,$G$5,$H$13),([1]!S_STM07_CS(D1465,87,$G$5,$H$13)+[1]!S_STM07_CS(D1465,88,$G$5,$H$13)+[1]!S_STM07_CS(D1465,89,$G$5,$H$13))/$E$5))</f>
        <v/>
      </c>
      <c r="K1465" s="249" t="str">
        <f ca="1">IF(C1465="","",IF($K$11="净利润率",[1]!S_STM07_IS(D1465,61,$G$5,$H$13)/[1]!S_STM07_IS(D1465,9,$G$5,$H$13),[1]!S_STM07_IS(D1465,55,$G$5,$H$13)/$E$5))</f>
        <v/>
      </c>
      <c r="L1465" s="249" t="str">
        <f ca="1">IF(C1465="","",IF($L$11="ROA",[1]!S_STM07_IS(D1465,61,$G$5,$H$13)/[1]!S_STM07_BS(D1465,74,$G$5,$H$13),1-[1]!S_STM07_IS(D1465,61,$G$5,$H$13)/[1]!S_STM07_IS(D1465,55,$G$5,$H$13)))</f>
        <v/>
      </c>
      <c r="M1465" s="249" t="str">
        <f ca="1">IF(C1465="","",IF($M$11="ROE",[1]!S_STM07_IS(D1465,61,$G$5,$H$13)/[1]!S_STM07_BS(D1465,141,$G$5,$H$13),([1]!S_STM07_BS(D1465,25,$G$5,$H$13)-[1]!S_STM07_BS(D1465,93,$G$5,$H$13))/$E$5))</f>
        <v/>
      </c>
      <c r="N1465" s="250" t="str">
        <f ca="1">IF(C1465="","",IF($N$11="EPS",[1]!S_STM07_IS(D1465,61,$G$5,$H$13)/IF([1]!S_SHARE_TOTAL(D1465,$G$5)=0,[1]!S_SHARE_TOTAL(D1465,[1]!s_ipo_listeddate(D1465)),[1]!S_SHARE_TOTAL(D1465,$G$5)),([1]!S_STM07_BS(D1465,75,$G$5,$H$13)+[1]!S_STM07_BS(D1465,88,$G$5,$H$13)+[1]!S_STM07_BS(D1465,94,$G$5,$H$13)+[1]!S_STM07_BS(D1465,95,$G$5,$H$13))/$E$5))</f>
        <v/>
      </c>
      <c r="O1465" s="250" t="str">
        <f ca="1">IF(C1465="","",IF($O$11="BPS",[1]!S_STM07_BS(D1465,141,$G$5,$H$13)/IF([1]!S_SHARE_TOTAL(D1465,$G$5)=0,[1]!S_SHARE_TOTAL(D1465,[1]!s_ipo_listeddate(D1465)),[1]!S_SHARE_TOTAL(D1465,$G$5)),[1]!S_STM07_CS(D1465,49,$G$5,$H$13)/$E$5))</f>
        <v/>
      </c>
      <c r="P1465" s="250" t="str">
        <f ca="1">IF(C1465="","",IF($P$11="CFPS",[1]!S_STM07_CS(D1465,84,$G$5,$H$13)/IF([1]!S_SHARE_TOTAL(D1465,$G$5)=0,[1]!S_SHARE_TOTAL(D1465,[1]!s_ipo_listeddate(D1465)),[1]!S_SHARE_TOTAL(D1465,$G$5)),[1]!S_STM07_CS(D1465,84,$G$5,$H$13)/$E$5))</f>
        <v/>
      </c>
      <c r="Q1465" s="198" t="str">
        <f ca="1">IF(C1465="","",F1465/([1]!S_STM07_IS(D1465,61,$G$5,$H$13)/IF([1]!S_SHARE_TOTAL(D1465,$G$5)=0,[1]!S_SHARE_TOTAL(D1465,[1]!s_ipo_listeddate(D1465)),[1]!S_SHARE_TOTAL(D1465,$G$5))))</f>
        <v/>
      </c>
      <c r="R1465" s="198" t="str">
        <f ca="1">IF(C1465="","",F1465/([1]!S_STM07_BS(D1465,141,$G$5,$H$13)/IF([1]!S_SHARE_TOTAL(D1465,$G$5)=0,[1]!S_SHARE_TOTAL(D1465,[1]!s_ipo_listeddate(D1465)),[1]!S_SHARE_TOTAL(D1465,$G$5))))</f>
        <v/>
      </c>
      <c r="S1465" s="249" t="str">
        <f ca="1">IF(C1465="","",[1]!S_SHARE_TOTAL(D1465,TODAY())/$E$5)</f>
        <v/>
      </c>
      <c r="T1465" s="249" t="str">
        <f t="shared" ca="1" si="145"/>
        <v/>
      </c>
      <c r="U1465" s="172" t="str">
        <f t="shared" ca="1" si="146"/>
        <v/>
      </c>
      <c r="V1465" s="343" t="str">
        <f t="shared" ca="1" si="147"/>
        <v/>
      </c>
      <c r="W1465" s="139"/>
      <c r="Y1465" s="1"/>
    </row>
    <row r="1466" spans="3:25" ht="12" customHeight="1">
      <c r="C1466" s="342" t="str">
        <f t="shared" ca="1" si="142"/>
        <v/>
      </c>
      <c r="D1466" s="153" t="str">
        <f t="shared" ca="1" si="143"/>
        <v/>
      </c>
      <c r="E1466" s="153" t="str">
        <f t="shared" ca="1" si="144"/>
        <v/>
      </c>
      <c r="F1466" s="170" t="str">
        <f ca="1">IF(C1466="","",[1]!S_DQ_CLOSE(D1466,TODAY(),1))</f>
        <v/>
      </c>
      <c r="G1466" s="171" t="str">
        <f ca="1">IF(C1466="","",[1]!s_pq_pctchange(D1466,TODAY()-$G$12,TODAY())/100)</f>
        <v/>
      </c>
      <c r="H1466" s="247" t="str">
        <f ca="1">IF(C1466="","",IF($H$11="收入",[1]!S_STM07_IS(D1466,9,$G$5,$H$13)/$E$5,[1]!S_STM07_IS(D1466,48,$G$5,$H$13)/$E$5))</f>
        <v/>
      </c>
      <c r="I1466" s="247" t="str">
        <f ca="1">IF(C1466="","",IF($I$11="毛利率",([1]!S_STM07_IS(D1466,9,$G$5,$H$13)-[1]!S_STM07_IS(D1466,10,$G$5,$H$13))/[1]!S_STM07_IS(D1466,9,$G$5,$H$13),[1]!S_STM07_IS(D1466,14,$G$5,$H$13)/$E$5))</f>
        <v/>
      </c>
      <c r="J1466" s="247" t="str">
        <f ca="1">IF(C1466="","",IF($J$11="营业利润率",[1]!S_STM07_IS(D1466,48,$G$5,$H$13)/[1]!S_STM07_IS(D1466,9,$G$5,$H$13),([1]!S_STM07_CS(D1466,87,$G$5,$H$13)+[1]!S_STM07_CS(D1466,88,$G$5,$H$13)+[1]!S_STM07_CS(D1466,89,$G$5,$H$13))/$E$5))</f>
        <v/>
      </c>
      <c r="K1466" s="247" t="str">
        <f ca="1">IF(C1466="","",IF($K$11="净利润率",[1]!S_STM07_IS(D1466,61,$G$5,$H$13)/[1]!S_STM07_IS(D1466,9,$G$5,$H$13),[1]!S_STM07_IS(D1466,55,$G$5,$H$13)/$E$5))</f>
        <v/>
      </c>
      <c r="L1466" s="247" t="str">
        <f ca="1">IF(C1466="","",IF($L$11="ROA",[1]!S_STM07_IS(D1466,61,$G$5,$H$13)/[1]!S_STM07_BS(D1466,74,$G$5,$H$13),1-[1]!S_STM07_IS(D1466,61,$G$5,$H$13)/[1]!S_STM07_IS(D1466,55,$G$5,$H$13)))</f>
        <v/>
      </c>
      <c r="M1466" s="247" t="str">
        <f ca="1">IF(C1466="","",IF($M$11="ROE",[1]!S_STM07_IS(D1466,61,$G$5,$H$13)/[1]!S_STM07_BS(D1466,141,$G$5,$H$13),([1]!S_STM07_BS(D1466,25,$G$5,$H$13)-[1]!S_STM07_BS(D1466,93,$G$5,$H$13))/$E$5))</f>
        <v/>
      </c>
      <c r="N1466" s="247" t="str">
        <f ca="1">IF(C1466="","",IF($N$11="EPS",[1]!S_STM07_IS(D1466,61,$G$5,$H$13)/IF([1]!S_SHARE_TOTAL(D1466,$G$5)=0,[1]!S_SHARE_TOTAL(D1466,[1]!s_ipo_listeddate(D1466)),[1]!S_SHARE_TOTAL(D1466,$G$5)),([1]!S_STM07_BS(D1466,75,$G$5,$H$13)+[1]!S_STM07_BS(D1466,88,$G$5,$H$13)+[1]!S_STM07_BS(D1466,94,$G$5,$H$13)+[1]!S_STM07_BS(D1466,95,$G$5,$H$13))/$E$5))</f>
        <v/>
      </c>
      <c r="O1466" s="247" t="str">
        <f ca="1">IF(C1466="","",IF($O$11="BPS",[1]!S_STM07_BS(D1466,141,$G$5,$H$13)/IF([1]!S_SHARE_TOTAL(D1466,$G$5)=0,[1]!S_SHARE_TOTAL(D1466,[1]!s_ipo_listeddate(D1466)),[1]!S_SHARE_TOTAL(D1466,$G$5)),[1]!S_STM07_CS(D1466,49,$G$5,$H$13)/$E$5))</f>
        <v/>
      </c>
      <c r="P1466" s="247" t="str">
        <f ca="1">IF(C1466="","",IF($P$11="CFPS",[1]!S_STM07_CS(D1466,84,$G$5,$H$13)/IF([1]!S_SHARE_TOTAL(D1466,$G$5)=0,[1]!S_SHARE_TOTAL(D1466,[1]!s_ipo_listeddate(D1466)),[1]!S_SHARE_TOTAL(D1466,$G$5)),[1]!S_STM07_CS(D1466,84,$G$5,$H$13)/$E$5))</f>
        <v/>
      </c>
      <c r="Q1466" s="248" t="str">
        <f ca="1">IF(C1466="","",F1466/([1]!S_STM07_IS(D1466,61,$G$5,$H$13)/IF([1]!S_SHARE_TOTAL(D1466,$G$5)=0,[1]!S_SHARE_TOTAL(D1466,[1]!s_ipo_listeddate(D1466)),[1]!S_SHARE_TOTAL(D1466,$G$5))))</f>
        <v/>
      </c>
      <c r="R1466" s="248" t="str">
        <f ca="1">IF(C1466="","",F1466/([1]!S_STM07_BS(D1466,141,$G$5,$H$13)/IF([1]!S_SHARE_TOTAL(D1466,$G$5)=0,[1]!S_SHARE_TOTAL(D1466,[1]!s_ipo_listeddate(D1466)),[1]!S_SHARE_TOTAL(D1466,$G$5))))</f>
        <v/>
      </c>
      <c r="S1466" s="247" t="str">
        <f ca="1">IF(C1466="","",[1]!S_SHARE_TOTAL(D1466,TODAY())/$E$5)</f>
        <v/>
      </c>
      <c r="T1466" s="247" t="str">
        <f t="shared" ca="1" si="145"/>
        <v/>
      </c>
      <c r="U1466" s="218" t="str">
        <f t="shared" ca="1" si="146"/>
        <v/>
      </c>
      <c r="V1466" s="342" t="str">
        <f t="shared" ca="1" si="147"/>
        <v/>
      </c>
      <c r="W1466" s="139"/>
      <c r="Y1466" s="1"/>
    </row>
    <row r="1467" spans="3:25" ht="12" customHeight="1">
      <c r="C1467" s="343" t="str">
        <f t="shared" ca="1" si="142"/>
        <v/>
      </c>
      <c r="D1467" s="124" t="str">
        <f t="shared" ca="1" si="143"/>
        <v/>
      </c>
      <c r="E1467" s="124" t="str">
        <f t="shared" ca="1" si="144"/>
        <v/>
      </c>
      <c r="F1467" s="172" t="str">
        <f ca="1">IF(C1467="","",[1]!S_DQ_CLOSE(D1467,TODAY(),1))</f>
        <v/>
      </c>
      <c r="G1467" s="173" t="str">
        <f ca="1">IF(C1467="","",[1]!s_pq_pctchange(D1467,TODAY()-$G$12,TODAY())/100)</f>
        <v/>
      </c>
      <c r="H1467" s="249" t="str">
        <f ca="1">IF(C1467="","",IF($H$11="收入",[1]!S_STM07_IS(D1467,9,$G$5,$H$13)/$E$5,[1]!S_STM07_IS(D1467,48,$G$5,$H$13)/$E$5))</f>
        <v/>
      </c>
      <c r="I1467" s="249" t="str">
        <f ca="1">IF(C1467="","",IF($I$11="毛利率",([1]!S_STM07_IS(D1467,9,$G$5,$H$13)-[1]!S_STM07_IS(D1467,10,$G$5,$H$13))/[1]!S_STM07_IS(D1467,9,$G$5,$H$13),[1]!S_STM07_IS(D1467,14,$G$5,$H$13)/$E$5))</f>
        <v/>
      </c>
      <c r="J1467" s="249" t="str">
        <f ca="1">IF(C1467="","",IF($J$11="营业利润率",[1]!S_STM07_IS(D1467,48,$G$5,$H$13)/[1]!S_STM07_IS(D1467,9,$G$5,$H$13),([1]!S_STM07_CS(D1467,87,$G$5,$H$13)+[1]!S_STM07_CS(D1467,88,$G$5,$H$13)+[1]!S_STM07_CS(D1467,89,$G$5,$H$13))/$E$5))</f>
        <v/>
      </c>
      <c r="K1467" s="249" t="str">
        <f ca="1">IF(C1467="","",IF($K$11="净利润率",[1]!S_STM07_IS(D1467,61,$G$5,$H$13)/[1]!S_STM07_IS(D1467,9,$G$5,$H$13),[1]!S_STM07_IS(D1467,55,$G$5,$H$13)/$E$5))</f>
        <v/>
      </c>
      <c r="L1467" s="249" t="str">
        <f ca="1">IF(C1467="","",IF($L$11="ROA",[1]!S_STM07_IS(D1467,61,$G$5,$H$13)/[1]!S_STM07_BS(D1467,74,$G$5,$H$13),1-[1]!S_STM07_IS(D1467,61,$G$5,$H$13)/[1]!S_STM07_IS(D1467,55,$G$5,$H$13)))</f>
        <v/>
      </c>
      <c r="M1467" s="249" t="str">
        <f ca="1">IF(C1467="","",IF($M$11="ROE",[1]!S_STM07_IS(D1467,61,$G$5,$H$13)/[1]!S_STM07_BS(D1467,141,$G$5,$H$13),([1]!S_STM07_BS(D1467,25,$G$5,$H$13)-[1]!S_STM07_BS(D1467,93,$G$5,$H$13))/$E$5))</f>
        <v/>
      </c>
      <c r="N1467" s="250" t="str">
        <f ca="1">IF(C1467="","",IF($N$11="EPS",[1]!S_STM07_IS(D1467,61,$G$5,$H$13)/IF([1]!S_SHARE_TOTAL(D1467,$G$5)=0,[1]!S_SHARE_TOTAL(D1467,[1]!s_ipo_listeddate(D1467)),[1]!S_SHARE_TOTAL(D1467,$G$5)),([1]!S_STM07_BS(D1467,75,$G$5,$H$13)+[1]!S_STM07_BS(D1467,88,$G$5,$H$13)+[1]!S_STM07_BS(D1467,94,$G$5,$H$13)+[1]!S_STM07_BS(D1467,95,$G$5,$H$13))/$E$5))</f>
        <v/>
      </c>
      <c r="O1467" s="250" t="str">
        <f ca="1">IF(C1467="","",IF($O$11="BPS",[1]!S_STM07_BS(D1467,141,$G$5,$H$13)/IF([1]!S_SHARE_TOTAL(D1467,$G$5)=0,[1]!S_SHARE_TOTAL(D1467,[1]!s_ipo_listeddate(D1467)),[1]!S_SHARE_TOTAL(D1467,$G$5)),[1]!S_STM07_CS(D1467,49,$G$5,$H$13)/$E$5))</f>
        <v/>
      </c>
      <c r="P1467" s="250" t="str">
        <f ca="1">IF(C1467="","",IF($P$11="CFPS",[1]!S_STM07_CS(D1467,84,$G$5,$H$13)/IF([1]!S_SHARE_TOTAL(D1467,$G$5)=0,[1]!S_SHARE_TOTAL(D1467,[1]!s_ipo_listeddate(D1467)),[1]!S_SHARE_TOTAL(D1467,$G$5)),[1]!S_STM07_CS(D1467,84,$G$5,$H$13)/$E$5))</f>
        <v/>
      </c>
      <c r="Q1467" s="198" t="str">
        <f ca="1">IF(C1467="","",F1467/([1]!S_STM07_IS(D1467,61,$G$5,$H$13)/IF([1]!S_SHARE_TOTAL(D1467,$G$5)=0,[1]!S_SHARE_TOTAL(D1467,[1]!s_ipo_listeddate(D1467)),[1]!S_SHARE_TOTAL(D1467,$G$5))))</f>
        <v/>
      </c>
      <c r="R1467" s="198" t="str">
        <f ca="1">IF(C1467="","",F1467/([1]!S_STM07_BS(D1467,141,$G$5,$H$13)/IF([1]!S_SHARE_TOTAL(D1467,$G$5)=0,[1]!S_SHARE_TOTAL(D1467,[1]!s_ipo_listeddate(D1467)),[1]!S_SHARE_TOTAL(D1467,$G$5))))</f>
        <v/>
      </c>
      <c r="S1467" s="249" t="str">
        <f ca="1">IF(C1467="","",[1]!S_SHARE_TOTAL(D1467,TODAY())/$E$5)</f>
        <v/>
      </c>
      <c r="T1467" s="249" t="str">
        <f t="shared" ca="1" si="145"/>
        <v/>
      </c>
      <c r="U1467" s="172" t="str">
        <f t="shared" ca="1" si="146"/>
        <v/>
      </c>
      <c r="V1467" s="343" t="str">
        <f t="shared" ca="1" si="147"/>
        <v/>
      </c>
      <c r="W1467" s="139"/>
      <c r="Y1467" s="1"/>
    </row>
    <row r="1468" spans="3:25" ht="12" customHeight="1">
      <c r="C1468" s="342" t="str">
        <f t="shared" ca="1" si="142"/>
        <v/>
      </c>
      <c r="D1468" s="153" t="str">
        <f t="shared" ca="1" si="143"/>
        <v/>
      </c>
      <c r="E1468" s="153" t="str">
        <f t="shared" ca="1" si="144"/>
        <v/>
      </c>
      <c r="F1468" s="170" t="str">
        <f ca="1">IF(C1468="","",[1]!S_DQ_CLOSE(D1468,TODAY(),1))</f>
        <v/>
      </c>
      <c r="G1468" s="171" t="str">
        <f ca="1">IF(C1468="","",[1]!s_pq_pctchange(D1468,TODAY()-$G$12,TODAY())/100)</f>
        <v/>
      </c>
      <c r="H1468" s="247" t="str">
        <f ca="1">IF(C1468="","",IF($H$11="收入",[1]!S_STM07_IS(D1468,9,$G$5,$H$13)/$E$5,[1]!S_STM07_IS(D1468,48,$G$5,$H$13)/$E$5))</f>
        <v/>
      </c>
      <c r="I1468" s="247" t="str">
        <f ca="1">IF(C1468="","",IF($I$11="毛利率",([1]!S_STM07_IS(D1468,9,$G$5,$H$13)-[1]!S_STM07_IS(D1468,10,$G$5,$H$13))/[1]!S_STM07_IS(D1468,9,$G$5,$H$13),[1]!S_STM07_IS(D1468,14,$G$5,$H$13)/$E$5))</f>
        <v/>
      </c>
      <c r="J1468" s="247" t="str">
        <f ca="1">IF(C1468="","",IF($J$11="营业利润率",[1]!S_STM07_IS(D1468,48,$G$5,$H$13)/[1]!S_STM07_IS(D1468,9,$G$5,$H$13),([1]!S_STM07_CS(D1468,87,$G$5,$H$13)+[1]!S_STM07_CS(D1468,88,$G$5,$H$13)+[1]!S_STM07_CS(D1468,89,$G$5,$H$13))/$E$5))</f>
        <v/>
      </c>
      <c r="K1468" s="247" t="str">
        <f ca="1">IF(C1468="","",IF($K$11="净利润率",[1]!S_STM07_IS(D1468,61,$G$5,$H$13)/[1]!S_STM07_IS(D1468,9,$G$5,$H$13),[1]!S_STM07_IS(D1468,55,$G$5,$H$13)/$E$5))</f>
        <v/>
      </c>
      <c r="L1468" s="247" t="str">
        <f ca="1">IF(C1468="","",IF($L$11="ROA",[1]!S_STM07_IS(D1468,61,$G$5,$H$13)/[1]!S_STM07_BS(D1468,74,$G$5,$H$13),1-[1]!S_STM07_IS(D1468,61,$G$5,$H$13)/[1]!S_STM07_IS(D1468,55,$G$5,$H$13)))</f>
        <v/>
      </c>
      <c r="M1468" s="247" t="str">
        <f ca="1">IF(C1468="","",IF($M$11="ROE",[1]!S_STM07_IS(D1468,61,$G$5,$H$13)/[1]!S_STM07_BS(D1468,141,$G$5,$H$13),([1]!S_STM07_BS(D1468,25,$G$5,$H$13)-[1]!S_STM07_BS(D1468,93,$G$5,$H$13))/$E$5))</f>
        <v/>
      </c>
      <c r="N1468" s="247" t="str">
        <f ca="1">IF(C1468="","",IF($N$11="EPS",[1]!S_STM07_IS(D1468,61,$G$5,$H$13)/IF([1]!S_SHARE_TOTAL(D1468,$G$5)=0,[1]!S_SHARE_TOTAL(D1468,[1]!s_ipo_listeddate(D1468)),[1]!S_SHARE_TOTAL(D1468,$G$5)),([1]!S_STM07_BS(D1468,75,$G$5,$H$13)+[1]!S_STM07_BS(D1468,88,$G$5,$H$13)+[1]!S_STM07_BS(D1468,94,$G$5,$H$13)+[1]!S_STM07_BS(D1468,95,$G$5,$H$13))/$E$5))</f>
        <v/>
      </c>
      <c r="O1468" s="247" t="str">
        <f ca="1">IF(C1468="","",IF($O$11="BPS",[1]!S_STM07_BS(D1468,141,$G$5,$H$13)/IF([1]!S_SHARE_TOTAL(D1468,$G$5)=0,[1]!S_SHARE_TOTAL(D1468,[1]!s_ipo_listeddate(D1468)),[1]!S_SHARE_TOTAL(D1468,$G$5)),[1]!S_STM07_CS(D1468,49,$G$5,$H$13)/$E$5))</f>
        <v/>
      </c>
      <c r="P1468" s="247" t="str">
        <f ca="1">IF(C1468="","",IF($P$11="CFPS",[1]!S_STM07_CS(D1468,84,$G$5,$H$13)/IF([1]!S_SHARE_TOTAL(D1468,$G$5)=0,[1]!S_SHARE_TOTAL(D1468,[1]!s_ipo_listeddate(D1468)),[1]!S_SHARE_TOTAL(D1468,$G$5)),[1]!S_STM07_CS(D1468,84,$G$5,$H$13)/$E$5))</f>
        <v/>
      </c>
      <c r="Q1468" s="248" t="str">
        <f ca="1">IF(C1468="","",F1468/([1]!S_STM07_IS(D1468,61,$G$5,$H$13)/IF([1]!S_SHARE_TOTAL(D1468,$G$5)=0,[1]!S_SHARE_TOTAL(D1468,[1]!s_ipo_listeddate(D1468)),[1]!S_SHARE_TOTAL(D1468,$G$5))))</f>
        <v/>
      </c>
      <c r="R1468" s="248" t="str">
        <f ca="1">IF(C1468="","",F1468/([1]!S_STM07_BS(D1468,141,$G$5,$H$13)/IF([1]!S_SHARE_TOTAL(D1468,$G$5)=0,[1]!S_SHARE_TOTAL(D1468,[1]!s_ipo_listeddate(D1468)),[1]!S_SHARE_TOTAL(D1468,$G$5))))</f>
        <v/>
      </c>
      <c r="S1468" s="247" t="str">
        <f ca="1">IF(C1468="","",[1]!S_SHARE_TOTAL(D1468,TODAY())/$E$5)</f>
        <v/>
      </c>
      <c r="T1468" s="247" t="str">
        <f t="shared" ca="1" si="145"/>
        <v/>
      </c>
      <c r="U1468" s="218" t="str">
        <f t="shared" ca="1" si="146"/>
        <v/>
      </c>
      <c r="V1468" s="342" t="str">
        <f t="shared" ca="1" si="147"/>
        <v/>
      </c>
      <c r="W1468" s="139"/>
      <c r="Y1468" s="1"/>
    </row>
    <row r="1469" spans="3:25" ht="12" customHeight="1">
      <c r="C1469" s="343" t="str">
        <f t="shared" ca="1" si="142"/>
        <v/>
      </c>
      <c r="D1469" s="124" t="str">
        <f t="shared" ca="1" si="143"/>
        <v/>
      </c>
      <c r="E1469" s="124" t="str">
        <f t="shared" ca="1" si="144"/>
        <v/>
      </c>
      <c r="F1469" s="172" t="str">
        <f ca="1">IF(C1469="","",[1]!S_DQ_CLOSE(D1469,TODAY(),1))</f>
        <v/>
      </c>
      <c r="G1469" s="173" t="str">
        <f ca="1">IF(C1469="","",[1]!s_pq_pctchange(D1469,TODAY()-$G$12,TODAY())/100)</f>
        <v/>
      </c>
      <c r="H1469" s="249" t="str">
        <f ca="1">IF(C1469="","",IF($H$11="收入",[1]!S_STM07_IS(D1469,9,$G$5,$H$13)/$E$5,[1]!S_STM07_IS(D1469,48,$G$5,$H$13)/$E$5))</f>
        <v/>
      </c>
      <c r="I1469" s="249" t="str">
        <f ca="1">IF(C1469="","",IF($I$11="毛利率",([1]!S_STM07_IS(D1469,9,$G$5,$H$13)-[1]!S_STM07_IS(D1469,10,$G$5,$H$13))/[1]!S_STM07_IS(D1469,9,$G$5,$H$13),[1]!S_STM07_IS(D1469,14,$G$5,$H$13)/$E$5))</f>
        <v/>
      </c>
      <c r="J1469" s="249" t="str">
        <f ca="1">IF(C1469="","",IF($J$11="营业利润率",[1]!S_STM07_IS(D1469,48,$G$5,$H$13)/[1]!S_STM07_IS(D1469,9,$G$5,$H$13),([1]!S_STM07_CS(D1469,87,$G$5,$H$13)+[1]!S_STM07_CS(D1469,88,$G$5,$H$13)+[1]!S_STM07_CS(D1469,89,$G$5,$H$13))/$E$5))</f>
        <v/>
      </c>
      <c r="K1469" s="249" t="str">
        <f ca="1">IF(C1469="","",IF($K$11="净利润率",[1]!S_STM07_IS(D1469,61,$G$5,$H$13)/[1]!S_STM07_IS(D1469,9,$G$5,$H$13),[1]!S_STM07_IS(D1469,55,$G$5,$H$13)/$E$5))</f>
        <v/>
      </c>
      <c r="L1469" s="249" t="str">
        <f ca="1">IF(C1469="","",IF($L$11="ROA",[1]!S_STM07_IS(D1469,61,$G$5,$H$13)/[1]!S_STM07_BS(D1469,74,$G$5,$H$13),1-[1]!S_STM07_IS(D1469,61,$G$5,$H$13)/[1]!S_STM07_IS(D1469,55,$G$5,$H$13)))</f>
        <v/>
      </c>
      <c r="M1469" s="249" t="str">
        <f ca="1">IF(C1469="","",IF($M$11="ROE",[1]!S_STM07_IS(D1469,61,$G$5,$H$13)/[1]!S_STM07_BS(D1469,141,$G$5,$H$13),([1]!S_STM07_BS(D1469,25,$G$5,$H$13)-[1]!S_STM07_BS(D1469,93,$G$5,$H$13))/$E$5))</f>
        <v/>
      </c>
      <c r="N1469" s="250" t="str">
        <f ca="1">IF(C1469="","",IF($N$11="EPS",[1]!S_STM07_IS(D1469,61,$G$5,$H$13)/IF([1]!S_SHARE_TOTAL(D1469,$G$5)=0,[1]!S_SHARE_TOTAL(D1469,[1]!s_ipo_listeddate(D1469)),[1]!S_SHARE_TOTAL(D1469,$G$5)),([1]!S_STM07_BS(D1469,75,$G$5,$H$13)+[1]!S_STM07_BS(D1469,88,$G$5,$H$13)+[1]!S_STM07_BS(D1469,94,$G$5,$H$13)+[1]!S_STM07_BS(D1469,95,$G$5,$H$13))/$E$5))</f>
        <v/>
      </c>
      <c r="O1469" s="250" t="str">
        <f ca="1">IF(C1469="","",IF($O$11="BPS",[1]!S_STM07_BS(D1469,141,$G$5,$H$13)/IF([1]!S_SHARE_TOTAL(D1469,$G$5)=0,[1]!S_SHARE_TOTAL(D1469,[1]!s_ipo_listeddate(D1469)),[1]!S_SHARE_TOTAL(D1469,$G$5)),[1]!S_STM07_CS(D1469,49,$G$5,$H$13)/$E$5))</f>
        <v/>
      </c>
      <c r="P1469" s="250" t="str">
        <f ca="1">IF(C1469="","",IF($P$11="CFPS",[1]!S_STM07_CS(D1469,84,$G$5,$H$13)/IF([1]!S_SHARE_TOTAL(D1469,$G$5)=0,[1]!S_SHARE_TOTAL(D1469,[1]!s_ipo_listeddate(D1469)),[1]!S_SHARE_TOTAL(D1469,$G$5)),[1]!S_STM07_CS(D1469,84,$G$5,$H$13)/$E$5))</f>
        <v/>
      </c>
      <c r="Q1469" s="198" t="str">
        <f ca="1">IF(C1469="","",F1469/([1]!S_STM07_IS(D1469,61,$G$5,$H$13)/IF([1]!S_SHARE_TOTAL(D1469,$G$5)=0,[1]!S_SHARE_TOTAL(D1469,[1]!s_ipo_listeddate(D1469)),[1]!S_SHARE_TOTAL(D1469,$G$5))))</f>
        <v/>
      </c>
      <c r="R1469" s="198" t="str">
        <f ca="1">IF(C1469="","",F1469/([1]!S_STM07_BS(D1469,141,$G$5,$H$13)/IF([1]!S_SHARE_TOTAL(D1469,$G$5)=0,[1]!S_SHARE_TOTAL(D1469,[1]!s_ipo_listeddate(D1469)),[1]!S_SHARE_TOTAL(D1469,$G$5))))</f>
        <v/>
      </c>
      <c r="S1469" s="249" t="str">
        <f ca="1">IF(C1469="","",[1]!S_SHARE_TOTAL(D1469,TODAY())/$E$5)</f>
        <v/>
      </c>
      <c r="T1469" s="249" t="str">
        <f t="shared" ca="1" si="145"/>
        <v/>
      </c>
      <c r="U1469" s="172" t="str">
        <f t="shared" ca="1" si="146"/>
        <v/>
      </c>
      <c r="V1469" s="343" t="str">
        <f t="shared" ca="1" si="147"/>
        <v/>
      </c>
      <c r="W1469" s="139"/>
      <c r="Y1469" s="1"/>
    </row>
    <row r="1470" spans="3:25" ht="12" customHeight="1">
      <c r="C1470" s="342" t="str">
        <f t="shared" ca="1" si="142"/>
        <v/>
      </c>
      <c r="D1470" s="153" t="str">
        <f t="shared" ca="1" si="143"/>
        <v/>
      </c>
      <c r="E1470" s="153" t="str">
        <f t="shared" ca="1" si="144"/>
        <v/>
      </c>
      <c r="F1470" s="170" t="str">
        <f ca="1">IF(C1470="","",[1]!S_DQ_CLOSE(D1470,TODAY(),1))</f>
        <v/>
      </c>
      <c r="G1470" s="171" t="str">
        <f ca="1">IF(C1470="","",[1]!s_pq_pctchange(D1470,TODAY()-$G$12,TODAY())/100)</f>
        <v/>
      </c>
      <c r="H1470" s="247" t="str">
        <f ca="1">IF(C1470="","",IF($H$11="收入",[1]!S_STM07_IS(D1470,9,$G$5,$H$13)/$E$5,[1]!S_STM07_IS(D1470,48,$G$5,$H$13)/$E$5))</f>
        <v/>
      </c>
      <c r="I1470" s="247" t="str">
        <f ca="1">IF(C1470="","",IF($I$11="毛利率",([1]!S_STM07_IS(D1470,9,$G$5,$H$13)-[1]!S_STM07_IS(D1470,10,$G$5,$H$13))/[1]!S_STM07_IS(D1470,9,$G$5,$H$13),[1]!S_STM07_IS(D1470,14,$G$5,$H$13)/$E$5))</f>
        <v/>
      </c>
      <c r="J1470" s="247" t="str">
        <f ca="1">IF(C1470="","",IF($J$11="营业利润率",[1]!S_STM07_IS(D1470,48,$G$5,$H$13)/[1]!S_STM07_IS(D1470,9,$G$5,$H$13),([1]!S_STM07_CS(D1470,87,$G$5,$H$13)+[1]!S_STM07_CS(D1470,88,$G$5,$H$13)+[1]!S_STM07_CS(D1470,89,$G$5,$H$13))/$E$5))</f>
        <v/>
      </c>
      <c r="K1470" s="247" t="str">
        <f ca="1">IF(C1470="","",IF($K$11="净利润率",[1]!S_STM07_IS(D1470,61,$G$5,$H$13)/[1]!S_STM07_IS(D1470,9,$G$5,$H$13),[1]!S_STM07_IS(D1470,55,$G$5,$H$13)/$E$5))</f>
        <v/>
      </c>
      <c r="L1470" s="247" t="str">
        <f ca="1">IF(C1470="","",IF($L$11="ROA",[1]!S_STM07_IS(D1470,61,$G$5,$H$13)/[1]!S_STM07_BS(D1470,74,$G$5,$H$13),1-[1]!S_STM07_IS(D1470,61,$G$5,$H$13)/[1]!S_STM07_IS(D1470,55,$G$5,$H$13)))</f>
        <v/>
      </c>
      <c r="M1470" s="247" t="str">
        <f ca="1">IF(C1470="","",IF($M$11="ROE",[1]!S_STM07_IS(D1470,61,$G$5,$H$13)/[1]!S_STM07_BS(D1470,141,$G$5,$H$13),([1]!S_STM07_BS(D1470,25,$G$5,$H$13)-[1]!S_STM07_BS(D1470,93,$G$5,$H$13))/$E$5))</f>
        <v/>
      </c>
      <c r="N1470" s="247" t="str">
        <f ca="1">IF(C1470="","",IF($N$11="EPS",[1]!S_STM07_IS(D1470,61,$G$5,$H$13)/IF([1]!S_SHARE_TOTAL(D1470,$G$5)=0,[1]!S_SHARE_TOTAL(D1470,[1]!s_ipo_listeddate(D1470)),[1]!S_SHARE_TOTAL(D1470,$G$5)),([1]!S_STM07_BS(D1470,75,$G$5,$H$13)+[1]!S_STM07_BS(D1470,88,$G$5,$H$13)+[1]!S_STM07_BS(D1470,94,$G$5,$H$13)+[1]!S_STM07_BS(D1470,95,$G$5,$H$13))/$E$5))</f>
        <v/>
      </c>
      <c r="O1470" s="247" t="str">
        <f ca="1">IF(C1470="","",IF($O$11="BPS",[1]!S_STM07_BS(D1470,141,$G$5,$H$13)/IF([1]!S_SHARE_TOTAL(D1470,$G$5)=0,[1]!S_SHARE_TOTAL(D1470,[1]!s_ipo_listeddate(D1470)),[1]!S_SHARE_TOTAL(D1470,$G$5)),[1]!S_STM07_CS(D1470,49,$G$5,$H$13)/$E$5))</f>
        <v/>
      </c>
      <c r="P1470" s="247" t="str">
        <f ca="1">IF(C1470="","",IF($P$11="CFPS",[1]!S_STM07_CS(D1470,84,$G$5,$H$13)/IF([1]!S_SHARE_TOTAL(D1470,$G$5)=0,[1]!S_SHARE_TOTAL(D1470,[1]!s_ipo_listeddate(D1470)),[1]!S_SHARE_TOTAL(D1470,$G$5)),[1]!S_STM07_CS(D1470,84,$G$5,$H$13)/$E$5))</f>
        <v/>
      </c>
      <c r="Q1470" s="248" t="str">
        <f ca="1">IF(C1470="","",F1470/([1]!S_STM07_IS(D1470,61,$G$5,$H$13)/IF([1]!S_SHARE_TOTAL(D1470,$G$5)=0,[1]!S_SHARE_TOTAL(D1470,[1]!s_ipo_listeddate(D1470)),[1]!S_SHARE_TOTAL(D1470,$G$5))))</f>
        <v/>
      </c>
      <c r="R1470" s="248" t="str">
        <f ca="1">IF(C1470="","",F1470/([1]!S_STM07_BS(D1470,141,$G$5,$H$13)/IF([1]!S_SHARE_TOTAL(D1470,$G$5)=0,[1]!S_SHARE_TOTAL(D1470,[1]!s_ipo_listeddate(D1470)),[1]!S_SHARE_TOTAL(D1470,$G$5))))</f>
        <v/>
      </c>
      <c r="S1470" s="247" t="str">
        <f ca="1">IF(C1470="","",[1]!S_SHARE_TOTAL(D1470,TODAY())/$E$5)</f>
        <v/>
      </c>
      <c r="T1470" s="247" t="str">
        <f t="shared" ca="1" si="145"/>
        <v/>
      </c>
      <c r="U1470" s="218" t="str">
        <f t="shared" ca="1" si="146"/>
        <v/>
      </c>
      <c r="V1470" s="342" t="str">
        <f t="shared" ca="1" si="147"/>
        <v/>
      </c>
      <c r="W1470" s="139"/>
      <c r="Y1470" s="1"/>
    </row>
    <row r="1471" spans="3:25" ht="12" customHeight="1">
      <c r="C1471" s="343" t="str">
        <f t="shared" ca="1" si="142"/>
        <v/>
      </c>
      <c r="D1471" s="124" t="str">
        <f t="shared" ca="1" si="143"/>
        <v/>
      </c>
      <c r="E1471" s="124" t="str">
        <f t="shared" ca="1" si="144"/>
        <v/>
      </c>
      <c r="F1471" s="172" t="str">
        <f ca="1">IF(C1471="","",[1]!S_DQ_CLOSE(D1471,TODAY(),1))</f>
        <v/>
      </c>
      <c r="G1471" s="173" t="str">
        <f ca="1">IF(C1471="","",[1]!s_pq_pctchange(D1471,TODAY()-$G$12,TODAY())/100)</f>
        <v/>
      </c>
      <c r="H1471" s="249" t="str">
        <f ca="1">IF(C1471="","",IF($H$11="收入",[1]!S_STM07_IS(D1471,9,$G$5,$H$13)/$E$5,[1]!S_STM07_IS(D1471,48,$G$5,$H$13)/$E$5))</f>
        <v/>
      </c>
      <c r="I1471" s="249" t="str">
        <f ca="1">IF(C1471="","",IF($I$11="毛利率",([1]!S_STM07_IS(D1471,9,$G$5,$H$13)-[1]!S_STM07_IS(D1471,10,$G$5,$H$13))/[1]!S_STM07_IS(D1471,9,$G$5,$H$13),[1]!S_STM07_IS(D1471,14,$G$5,$H$13)/$E$5))</f>
        <v/>
      </c>
      <c r="J1471" s="249" t="str">
        <f ca="1">IF(C1471="","",IF($J$11="营业利润率",[1]!S_STM07_IS(D1471,48,$G$5,$H$13)/[1]!S_STM07_IS(D1471,9,$G$5,$H$13),([1]!S_STM07_CS(D1471,87,$G$5,$H$13)+[1]!S_STM07_CS(D1471,88,$G$5,$H$13)+[1]!S_STM07_CS(D1471,89,$G$5,$H$13))/$E$5))</f>
        <v/>
      </c>
      <c r="K1471" s="249" t="str">
        <f ca="1">IF(C1471="","",IF($K$11="净利润率",[1]!S_STM07_IS(D1471,61,$G$5,$H$13)/[1]!S_STM07_IS(D1471,9,$G$5,$H$13),[1]!S_STM07_IS(D1471,55,$G$5,$H$13)/$E$5))</f>
        <v/>
      </c>
      <c r="L1471" s="249" t="str">
        <f ca="1">IF(C1471="","",IF($L$11="ROA",[1]!S_STM07_IS(D1471,61,$G$5,$H$13)/[1]!S_STM07_BS(D1471,74,$G$5,$H$13),1-[1]!S_STM07_IS(D1471,61,$G$5,$H$13)/[1]!S_STM07_IS(D1471,55,$G$5,$H$13)))</f>
        <v/>
      </c>
      <c r="M1471" s="249" t="str">
        <f ca="1">IF(C1471="","",IF($M$11="ROE",[1]!S_STM07_IS(D1471,61,$G$5,$H$13)/[1]!S_STM07_BS(D1471,141,$G$5,$H$13),([1]!S_STM07_BS(D1471,25,$G$5,$H$13)-[1]!S_STM07_BS(D1471,93,$G$5,$H$13))/$E$5))</f>
        <v/>
      </c>
      <c r="N1471" s="250" t="str">
        <f ca="1">IF(C1471="","",IF($N$11="EPS",[1]!S_STM07_IS(D1471,61,$G$5,$H$13)/IF([1]!S_SHARE_TOTAL(D1471,$G$5)=0,[1]!S_SHARE_TOTAL(D1471,[1]!s_ipo_listeddate(D1471)),[1]!S_SHARE_TOTAL(D1471,$G$5)),([1]!S_STM07_BS(D1471,75,$G$5,$H$13)+[1]!S_STM07_BS(D1471,88,$G$5,$H$13)+[1]!S_STM07_BS(D1471,94,$G$5,$H$13)+[1]!S_STM07_BS(D1471,95,$G$5,$H$13))/$E$5))</f>
        <v/>
      </c>
      <c r="O1471" s="250" t="str">
        <f ca="1">IF(C1471="","",IF($O$11="BPS",[1]!S_STM07_BS(D1471,141,$G$5,$H$13)/IF([1]!S_SHARE_TOTAL(D1471,$G$5)=0,[1]!S_SHARE_TOTAL(D1471,[1]!s_ipo_listeddate(D1471)),[1]!S_SHARE_TOTAL(D1471,$G$5)),[1]!S_STM07_CS(D1471,49,$G$5,$H$13)/$E$5))</f>
        <v/>
      </c>
      <c r="P1471" s="250" t="str">
        <f ca="1">IF(C1471="","",IF($P$11="CFPS",[1]!S_STM07_CS(D1471,84,$G$5,$H$13)/IF([1]!S_SHARE_TOTAL(D1471,$G$5)=0,[1]!S_SHARE_TOTAL(D1471,[1]!s_ipo_listeddate(D1471)),[1]!S_SHARE_TOTAL(D1471,$G$5)),[1]!S_STM07_CS(D1471,84,$G$5,$H$13)/$E$5))</f>
        <v/>
      </c>
      <c r="Q1471" s="198" t="str">
        <f ca="1">IF(C1471="","",F1471/([1]!S_STM07_IS(D1471,61,$G$5,$H$13)/IF([1]!S_SHARE_TOTAL(D1471,$G$5)=0,[1]!S_SHARE_TOTAL(D1471,[1]!s_ipo_listeddate(D1471)),[1]!S_SHARE_TOTAL(D1471,$G$5))))</f>
        <v/>
      </c>
      <c r="R1471" s="198" t="str">
        <f ca="1">IF(C1471="","",F1471/([1]!S_STM07_BS(D1471,141,$G$5,$H$13)/IF([1]!S_SHARE_TOTAL(D1471,$G$5)=0,[1]!S_SHARE_TOTAL(D1471,[1]!s_ipo_listeddate(D1471)),[1]!S_SHARE_TOTAL(D1471,$G$5))))</f>
        <v/>
      </c>
      <c r="S1471" s="249" t="str">
        <f ca="1">IF(C1471="","",[1]!S_SHARE_TOTAL(D1471,TODAY())/$E$5)</f>
        <v/>
      </c>
      <c r="T1471" s="249" t="str">
        <f t="shared" ca="1" si="145"/>
        <v/>
      </c>
      <c r="U1471" s="172" t="str">
        <f t="shared" ca="1" si="146"/>
        <v/>
      </c>
      <c r="V1471" s="343" t="str">
        <f t="shared" ca="1" si="147"/>
        <v/>
      </c>
      <c r="W1471" s="139"/>
      <c r="Y1471" s="1"/>
    </row>
    <row r="1472" spans="3:25" ht="12" customHeight="1">
      <c r="C1472" s="342" t="str">
        <f t="shared" ca="1" si="142"/>
        <v/>
      </c>
      <c r="D1472" s="153" t="str">
        <f t="shared" ca="1" si="143"/>
        <v/>
      </c>
      <c r="E1472" s="153" t="str">
        <f t="shared" ca="1" si="144"/>
        <v/>
      </c>
      <c r="F1472" s="170" t="str">
        <f ca="1">IF(C1472="","",[1]!S_DQ_CLOSE(D1472,TODAY(),1))</f>
        <v/>
      </c>
      <c r="G1472" s="171" t="str">
        <f ca="1">IF(C1472="","",[1]!s_pq_pctchange(D1472,TODAY()-$G$12,TODAY())/100)</f>
        <v/>
      </c>
      <c r="H1472" s="247" t="str">
        <f ca="1">IF(C1472="","",IF($H$11="收入",[1]!S_STM07_IS(D1472,9,$G$5,$H$13)/$E$5,[1]!S_STM07_IS(D1472,48,$G$5,$H$13)/$E$5))</f>
        <v/>
      </c>
      <c r="I1472" s="247" t="str">
        <f ca="1">IF(C1472="","",IF($I$11="毛利率",([1]!S_STM07_IS(D1472,9,$G$5,$H$13)-[1]!S_STM07_IS(D1472,10,$G$5,$H$13))/[1]!S_STM07_IS(D1472,9,$G$5,$H$13),[1]!S_STM07_IS(D1472,14,$G$5,$H$13)/$E$5))</f>
        <v/>
      </c>
      <c r="J1472" s="247" t="str">
        <f ca="1">IF(C1472="","",IF($J$11="营业利润率",[1]!S_STM07_IS(D1472,48,$G$5,$H$13)/[1]!S_STM07_IS(D1472,9,$G$5,$H$13),([1]!S_STM07_CS(D1472,87,$G$5,$H$13)+[1]!S_STM07_CS(D1472,88,$G$5,$H$13)+[1]!S_STM07_CS(D1472,89,$G$5,$H$13))/$E$5))</f>
        <v/>
      </c>
      <c r="K1472" s="247" t="str">
        <f ca="1">IF(C1472="","",IF($K$11="净利润率",[1]!S_STM07_IS(D1472,61,$G$5,$H$13)/[1]!S_STM07_IS(D1472,9,$G$5,$H$13),[1]!S_STM07_IS(D1472,55,$G$5,$H$13)/$E$5))</f>
        <v/>
      </c>
      <c r="L1472" s="247" t="str">
        <f ca="1">IF(C1472="","",IF($L$11="ROA",[1]!S_STM07_IS(D1472,61,$G$5,$H$13)/[1]!S_STM07_BS(D1472,74,$G$5,$H$13),1-[1]!S_STM07_IS(D1472,61,$G$5,$H$13)/[1]!S_STM07_IS(D1472,55,$G$5,$H$13)))</f>
        <v/>
      </c>
      <c r="M1472" s="247" t="str">
        <f ca="1">IF(C1472="","",IF($M$11="ROE",[1]!S_STM07_IS(D1472,61,$G$5,$H$13)/[1]!S_STM07_BS(D1472,141,$G$5,$H$13),([1]!S_STM07_BS(D1472,25,$G$5,$H$13)-[1]!S_STM07_BS(D1472,93,$G$5,$H$13))/$E$5))</f>
        <v/>
      </c>
      <c r="N1472" s="247" t="str">
        <f ca="1">IF(C1472="","",IF($N$11="EPS",[1]!S_STM07_IS(D1472,61,$G$5,$H$13)/IF([1]!S_SHARE_TOTAL(D1472,$G$5)=0,[1]!S_SHARE_TOTAL(D1472,[1]!s_ipo_listeddate(D1472)),[1]!S_SHARE_TOTAL(D1472,$G$5)),([1]!S_STM07_BS(D1472,75,$G$5,$H$13)+[1]!S_STM07_BS(D1472,88,$G$5,$H$13)+[1]!S_STM07_BS(D1472,94,$G$5,$H$13)+[1]!S_STM07_BS(D1472,95,$G$5,$H$13))/$E$5))</f>
        <v/>
      </c>
      <c r="O1472" s="247" t="str">
        <f ca="1">IF(C1472="","",IF($O$11="BPS",[1]!S_STM07_BS(D1472,141,$G$5,$H$13)/IF([1]!S_SHARE_TOTAL(D1472,$G$5)=0,[1]!S_SHARE_TOTAL(D1472,[1]!s_ipo_listeddate(D1472)),[1]!S_SHARE_TOTAL(D1472,$G$5)),[1]!S_STM07_CS(D1472,49,$G$5,$H$13)/$E$5))</f>
        <v/>
      </c>
      <c r="P1472" s="247" t="str">
        <f ca="1">IF(C1472="","",IF($P$11="CFPS",[1]!S_STM07_CS(D1472,84,$G$5,$H$13)/IF([1]!S_SHARE_TOTAL(D1472,$G$5)=0,[1]!S_SHARE_TOTAL(D1472,[1]!s_ipo_listeddate(D1472)),[1]!S_SHARE_TOTAL(D1472,$G$5)),[1]!S_STM07_CS(D1472,84,$G$5,$H$13)/$E$5))</f>
        <v/>
      </c>
      <c r="Q1472" s="248" t="str">
        <f ca="1">IF(C1472="","",F1472/([1]!S_STM07_IS(D1472,61,$G$5,$H$13)/IF([1]!S_SHARE_TOTAL(D1472,$G$5)=0,[1]!S_SHARE_TOTAL(D1472,[1]!s_ipo_listeddate(D1472)),[1]!S_SHARE_TOTAL(D1472,$G$5))))</f>
        <v/>
      </c>
      <c r="R1472" s="248" t="str">
        <f ca="1">IF(C1472="","",F1472/([1]!S_STM07_BS(D1472,141,$G$5,$H$13)/IF([1]!S_SHARE_TOTAL(D1472,$G$5)=0,[1]!S_SHARE_TOTAL(D1472,[1]!s_ipo_listeddate(D1472)),[1]!S_SHARE_TOTAL(D1472,$G$5))))</f>
        <v/>
      </c>
      <c r="S1472" s="247" t="str">
        <f ca="1">IF(C1472="","",[1]!S_SHARE_TOTAL(D1472,TODAY())/$E$5)</f>
        <v/>
      </c>
      <c r="T1472" s="247" t="str">
        <f t="shared" ca="1" si="145"/>
        <v/>
      </c>
      <c r="U1472" s="218" t="str">
        <f t="shared" ca="1" si="146"/>
        <v/>
      </c>
      <c r="V1472" s="342" t="str">
        <f t="shared" ca="1" si="147"/>
        <v/>
      </c>
      <c r="W1472" s="139"/>
      <c r="Y1472" s="1"/>
    </row>
    <row r="1473" spans="3:25" ht="12" customHeight="1">
      <c r="C1473" s="343" t="str">
        <f t="shared" ca="1" si="142"/>
        <v/>
      </c>
      <c r="D1473" s="124" t="str">
        <f t="shared" ca="1" si="143"/>
        <v/>
      </c>
      <c r="E1473" s="124" t="str">
        <f t="shared" ca="1" si="144"/>
        <v/>
      </c>
      <c r="F1473" s="172" t="str">
        <f ca="1">IF(C1473="","",[1]!S_DQ_CLOSE(D1473,TODAY(),1))</f>
        <v/>
      </c>
      <c r="G1473" s="173" t="str">
        <f ca="1">IF(C1473="","",[1]!s_pq_pctchange(D1473,TODAY()-$G$12,TODAY())/100)</f>
        <v/>
      </c>
      <c r="H1473" s="249" t="str">
        <f ca="1">IF(C1473="","",IF($H$11="收入",[1]!S_STM07_IS(D1473,9,$G$5,$H$13)/$E$5,[1]!S_STM07_IS(D1473,48,$G$5,$H$13)/$E$5))</f>
        <v/>
      </c>
      <c r="I1473" s="249" t="str">
        <f ca="1">IF(C1473="","",IF($I$11="毛利率",([1]!S_STM07_IS(D1473,9,$G$5,$H$13)-[1]!S_STM07_IS(D1473,10,$G$5,$H$13))/[1]!S_STM07_IS(D1473,9,$G$5,$H$13),[1]!S_STM07_IS(D1473,14,$G$5,$H$13)/$E$5))</f>
        <v/>
      </c>
      <c r="J1473" s="249" t="str">
        <f ca="1">IF(C1473="","",IF($J$11="营业利润率",[1]!S_STM07_IS(D1473,48,$G$5,$H$13)/[1]!S_STM07_IS(D1473,9,$G$5,$H$13),([1]!S_STM07_CS(D1473,87,$G$5,$H$13)+[1]!S_STM07_CS(D1473,88,$G$5,$H$13)+[1]!S_STM07_CS(D1473,89,$G$5,$H$13))/$E$5))</f>
        <v/>
      </c>
      <c r="K1473" s="249" t="str">
        <f ca="1">IF(C1473="","",IF($K$11="净利润率",[1]!S_STM07_IS(D1473,61,$G$5,$H$13)/[1]!S_STM07_IS(D1473,9,$G$5,$H$13),[1]!S_STM07_IS(D1473,55,$G$5,$H$13)/$E$5))</f>
        <v/>
      </c>
      <c r="L1473" s="249" t="str">
        <f ca="1">IF(C1473="","",IF($L$11="ROA",[1]!S_STM07_IS(D1473,61,$G$5,$H$13)/[1]!S_STM07_BS(D1473,74,$G$5,$H$13),1-[1]!S_STM07_IS(D1473,61,$G$5,$H$13)/[1]!S_STM07_IS(D1473,55,$G$5,$H$13)))</f>
        <v/>
      </c>
      <c r="M1473" s="249" t="str">
        <f ca="1">IF(C1473="","",IF($M$11="ROE",[1]!S_STM07_IS(D1473,61,$G$5,$H$13)/[1]!S_STM07_BS(D1473,141,$G$5,$H$13),([1]!S_STM07_BS(D1473,25,$G$5,$H$13)-[1]!S_STM07_BS(D1473,93,$G$5,$H$13))/$E$5))</f>
        <v/>
      </c>
      <c r="N1473" s="250" t="str">
        <f ca="1">IF(C1473="","",IF($N$11="EPS",[1]!S_STM07_IS(D1473,61,$G$5,$H$13)/IF([1]!S_SHARE_TOTAL(D1473,$G$5)=0,[1]!S_SHARE_TOTAL(D1473,[1]!s_ipo_listeddate(D1473)),[1]!S_SHARE_TOTAL(D1473,$G$5)),([1]!S_STM07_BS(D1473,75,$G$5,$H$13)+[1]!S_STM07_BS(D1473,88,$G$5,$H$13)+[1]!S_STM07_BS(D1473,94,$G$5,$H$13)+[1]!S_STM07_BS(D1473,95,$G$5,$H$13))/$E$5))</f>
        <v/>
      </c>
      <c r="O1473" s="250" t="str">
        <f ca="1">IF(C1473="","",IF($O$11="BPS",[1]!S_STM07_BS(D1473,141,$G$5,$H$13)/IF([1]!S_SHARE_TOTAL(D1473,$G$5)=0,[1]!S_SHARE_TOTAL(D1473,[1]!s_ipo_listeddate(D1473)),[1]!S_SHARE_TOTAL(D1473,$G$5)),[1]!S_STM07_CS(D1473,49,$G$5,$H$13)/$E$5))</f>
        <v/>
      </c>
      <c r="P1473" s="250" t="str">
        <f ca="1">IF(C1473="","",IF($P$11="CFPS",[1]!S_STM07_CS(D1473,84,$G$5,$H$13)/IF([1]!S_SHARE_TOTAL(D1473,$G$5)=0,[1]!S_SHARE_TOTAL(D1473,[1]!s_ipo_listeddate(D1473)),[1]!S_SHARE_TOTAL(D1473,$G$5)),[1]!S_STM07_CS(D1473,84,$G$5,$H$13)/$E$5))</f>
        <v/>
      </c>
      <c r="Q1473" s="198" t="str">
        <f ca="1">IF(C1473="","",F1473/([1]!S_STM07_IS(D1473,61,$G$5,$H$13)/IF([1]!S_SHARE_TOTAL(D1473,$G$5)=0,[1]!S_SHARE_TOTAL(D1473,[1]!s_ipo_listeddate(D1473)),[1]!S_SHARE_TOTAL(D1473,$G$5))))</f>
        <v/>
      </c>
      <c r="R1473" s="198" t="str">
        <f ca="1">IF(C1473="","",F1473/([1]!S_STM07_BS(D1473,141,$G$5,$H$13)/IF([1]!S_SHARE_TOTAL(D1473,$G$5)=0,[1]!S_SHARE_TOTAL(D1473,[1]!s_ipo_listeddate(D1473)),[1]!S_SHARE_TOTAL(D1473,$G$5))))</f>
        <v/>
      </c>
      <c r="S1473" s="249" t="str">
        <f ca="1">IF(C1473="","",[1]!S_SHARE_TOTAL(D1473,TODAY())/$E$5)</f>
        <v/>
      </c>
      <c r="T1473" s="249" t="str">
        <f t="shared" ca="1" si="145"/>
        <v/>
      </c>
      <c r="U1473" s="172" t="str">
        <f t="shared" ca="1" si="146"/>
        <v/>
      </c>
      <c r="V1473" s="343" t="str">
        <f t="shared" ca="1" si="147"/>
        <v/>
      </c>
      <c r="W1473" s="139"/>
      <c r="Y1473" s="1"/>
    </row>
    <row r="1474" spans="3:25" ht="12" customHeight="1">
      <c r="C1474" s="342" t="str">
        <f t="shared" ca="1" si="142"/>
        <v/>
      </c>
      <c r="D1474" s="153" t="str">
        <f t="shared" ca="1" si="143"/>
        <v/>
      </c>
      <c r="E1474" s="153" t="str">
        <f t="shared" ca="1" si="144"/>
        <v/>
      </c>
      <c r="F1474" s="170" t="str">
        <f ca="1">IF(C1474="","",[1]!S_DQ_CLOSE(D1474,TODAY(),1))</f>
        <v/>
      </c>
      <c r="G1474" s="171" t="str">
        <f ca="1">IF(C1474="","",[1]!s_pq_pctchange(D1474,TODAY()-$G$12,TODAY())/100)</f>
        <v/>
      </c>
      <c r="H1474" s="247" t="str">
        <f ca="1">IF(C1474="","",IF($H$11="收入",[1]!S_STM07_IS(D1474,9,$G$5,$H$13)/$E$5,[1]!S_STM07_IS(D1474,48,$G$5,$H$13)/$E$5))</f>
        <v/>
      </c>
      <c r="I1474" s="247" t="str">
        <f ca="1">IF(C1474="","",IF($I$11="毛利率",([1]!S_STM07_IS(D1474,9,$G$5,$H$13)-[1]!S_STM07_IS(D1474,10,$G$5,$H$13))/[1]!S_STM07_IS(D1474,9,$G$5,$H$13),[1]!S_STM07_IS(D1474,14,$G$5,$H$13)/$E$5))</f>
        <v/>
      </c>
      <c r="J1474" s="247" t="str">
        <f ca="1">IF(C1474="","",IF($J$11="营业利润率",[1]!S_STM07_IS(D1474,48,$G$5,$H$13)/[1]!S_STM07_IS(D1474,9,$G$5,$H$13),([1]!S_STM07_CS(D1474,87,$G$5,$H$13)+[1]!S_STM07_CS(D1474,88,$G$5,$H$13)+[1]!S_STM07_CS(D1474,89,$G$5,$H$13))/$E$5))</f>
        <v/>
      </c>
      <c r="K1474" s="247" t="str">
        <f ca="1">IF(C1474="","",IF($K$11="净利润率",[1]!S_STM07_IS(D1474,61,$G$5,$H$13)/[1]!S_STM07_IS(D1474,9,$G$5,$H$13),[1]!S_STM07_IS(D1474,55,$G$5,$H$13)/$E$5))</f>
        <v/>
      </c>
      <c r="L1474" s="247" t="str">
        <f ca="1">IF(C1474="","",IF($L$11="ROA",[1]!S_STM07_IS(D1474,61,$G$5,$H$13)/[1]!S_STM07_BS(D1474,74,$G$5,$H$13),1-[1]!S_STM07_IS(D1474,61,$G$5,$H$13)/[1]!S_STM07_IS(D1474,55,$G$5,$H$13)))</f>
        <v/>
      </c>
      <c r="M1474" s="247" t="str">
        <f ca="1">IF(C1474="","",IF($M$11="ROE",[1]!S_STM07_IS(D1474,61,$G$5,$H$13)/[1]!S_STM07_BS(D1474,141,$G$5,$H$13),([1]!S_STM07_BS(D1474,25,$G$5,$H$13)-[1]!S_STM07_BS(D1474,93,$G$5,$H$13))/$E$5))</f>
        <v/>
      </c>
      <c r="N1474" s="247" t="str">
        <f ca="1">IF(C1474="","",IF($N$11="EPS",[1]!S_STM07_IS(D1474,61,$G$5,$H$13)/IF([1]!S_SHARE_TOTAL(D1474,$G$5)=0,[1]!S_SHARE_TOTAL(D1474,[1]!s_ipo_listeddate(D1474)),[1]!S_SHARE_TOTAL(D1474,$G$5)),([1]!S_STM07_BS(D1474,75,$G$5,$H$13)+[1]!S_STM07_BS(D1474,88,$G$5,$H$13)+[1]!S_STM07_BS(D1474,94,$G$5,$H$13)+[1]!S_STM07_BS(D1474,95,$G$5,$H$13))/$E$5))</f>
        <v/>
      </c>
      <c r="O1474" s="247" t="str">
        <f ca="1">IF(C1474="","",IF($O$11="BPS",[1]!S_STM07_BS(D1474,141,$G$5,$H$13)/IF([1]!S_SHARE_TOTAL(D1474,$G$5)=0,[1]!S_SHARE_TOTAL(D1474,[1]!s_ipo_listeddate(D1474)),[1]!S_SHARE_TOTAL(D1474,$G$5)),[1]!S_STM07_CS(D1474,49,$G$5,$H$13)/$E$5))</f>
        <v/>
      </c>
      <c r="P1474" s="247" t="str">
        <f ca="1">IF(C1474="","",IF($P$11="CFPS",[1]!S_STM07_CS(D1474,84,$G$5,$H$13)/IF([1]!S_SHARE_TOTAL(D1474,$G$5)=0,[1]!S_SHARE_TOTAL(D1474,[1]!s_ipo_listeddate(D1474)),[1]!S_SHARE_TOTAL(D1474,$G$5)),[1]!S_STM07_CS(D1474,84,$G$5,$H$13)/$E$5))</f>
        <v/>
      </c>
      <c r="Q1474" s="248" t="str">
        <f ca="1">IF(C1474="","",F1474/([1]!S_STM07_IS(D1474,61,$G$5,$H$13)/IF([1]!S_SHARE_TOTAL(D1474,$G$5)=0,[1]!S_SHARE_TOTAL(D1474,[1]!s_ipo_listeddate(D1474)),[1]!S_SHARE_TOTAL(D1474,$G$5))))</f>
        <v/>
      </c>
      <c r="R1474" s="248" t="str">
        <f ca="1">IF(C1474="","",F1474/([1]!S_STM07_BS(D1474,141,$G$5,$H$13)/IF([1]!S_SHARE_TOTAL(D1474,$G$5)=0,[1]!S_SHARE_TOTAL(D1474,[1]!s_ipo_listeddate(D1474)),[1]!S_SHARE_TOTAL(D1474,$G$5))))</f>
        <v/>
      </c>
      <c r="S1474" s="247" t="str">
        <f ca="1">IF(C1474="","",[1]!S_SHARE_TOTAL(D1474,TODAY())/$E$5)</f>
        <v/>
      </c>
      <c r="T1474" s="247" t="str">
        <f t="shared" ca="1" si="145"/>
        <v/>
      </c>
      <c r="U1474" s="218" t="str">
        <f t="shared" ca="1" si="146"/>
        <v/>
      </c>
      <c r="V1474" s="342" t="str">
        <f t="shared" ca="1" si="147"/>
        <v/>
      </c>
      <c r="W1474" s="139"/>
      <c r="Y1474" s="1"/>
    </row>
    <row r="1475" spans="3:25" ht="12" customHeight="1">
      <c r="C1475" s="343" t="str">
        <f t="shared" ca="1" si="142"/>
        <v/>
      </c>
      <c r="D1475" s="124" t="str">
        <f t="shared" ca="1" si="143"/>
        <v/>
      </c>
      <c r="E1475" s="124" t="str">
        <f t="shared" ca="1" si="144"/>
        <v/>
      </c>
      <c r="F1475" s="172" t="str">
        <f ca="1">IF(C1475="","",[1]!S_DQ_CLOSE(D1475,TODAY(),1))</f>
        <v/>
      </c>
      <c r="G1475" s="173" t="str">
        <f ca="1">IF(C1475="","",[1]!s_pq_pctchange(D1475,TODAY()-$G$12,TODAY())/100)</f>
        <v/>
      </c>
      <c r="H1475" s="249" t="str">
        <f ca="1">IF(C1475="","",IF($H$11="收入",[1]!S_STM07_IS(D1475,9,$G$5,$H$13)/$E$5,[1]!S_STM07_IS(D1475,48,$G$5,$H$13)/$E$5))</f>
        <v/>
      </c>
      <c r="I1475" s="249" t="str">
        <f ca="1">IF(C1475="","",IF($I$11="毛利率",([1]!S_STM07_IS(D1475,9,$G$5,$H$13)-[1]!S_STM07_IS(D1475,10,$G$5,$H$13))/[1]!S_STM07_IS(D1475,9,$G$5,$H$13),[1]!S_STM07_IS(D1475,14,$G$5,$H$13)/$E$5))</f>
        <v/>
      </c>
      <c r="J1475" s="249" t="str">
        <f ca="1">IF(C1475="","",IF($J$11="营业利润率",[1]!S_STM07_IS(D1475,48,$G$5,$H$13)/[1]!S_STM07_IS(D1475,9,$G$5,$H$13),([1]!S_STM07_CS(D1475,87,$G$5,$H$13)+[1]!S_STM07_CS(D1475,88,$G$5,$H$13)+[1]!S_STM07_CS(D1475,89,$G$5,$H$13))/$E$5))</f>
        <v/>
      </c>
      <c r="K1475" s="249" t="str">
        <f ca="1">IF(C1475="","",IF($K$11="净利润率",[1]!S_STM07_IS(D1475,61,$G$5,$H$13)/[1]!S_STM07_IS(D1475,9,$G$5,$H$13),[1]!S_STM07_IS(D1475,55,$G$5,$H$13)/$E$5))</f>
        <v/>
      </c>
      <c r="L1475" s="249" t="str">
        <f ca="1">IF(C1475="","",IF($L$11="ROA",[1]!S_STM07_IS(D1475,61,$G$5,$H$13)/[1]!S_STM07_BS(D1475,74,$G$5,$H$13),1-[1]!S_STM07_IS(D1475,61,$G$5,$H$13)/[1]!S_STM07_IS(D1475,55,$G$5,$H$13)))</f>
        <v/>
      </c>
      <c r="M1475" s="249" t="str">
        <f ca="1">IF(C1475="","",IF($M$11="ROE",[1]!S_STM07_IS(D1475,61,$G$5,$H$13)/[1]!S_STM07_BS(D1475,141,$G$5,$H$13),([1]!S_STM07_BS(D1475,25,$G$5,$H$13)-[1]!S_STM07_BS(D1475,93,$G$5,$H$13))/$E$5))</f>
        <v/>
      </c>
      <c r="N1475" s="250" t="str">
        <f ca="1">IF(C1475="","",IF($N$11="EPS",[1]!S_STM07_IS(D1475,61,$G$5,$H$13)/IF([1]!S_SHARE_TOTAL(D1475,$G$5)=0,[1]!S_SHARE_TOTAL(D1475,[1]!s_ipo_listeddate(D1475)),[1]!S_SHARE_TOTAL(D1475,$G$5)),([1]!S_STM07_BS(D1475,75,$G$5,$H$13)+[1]!S_STM07_BS(D1475,88,$G$5,$H$13)+[1]!S_STM07_BS(D1475,94,$G$5,$H$13)+[1]!S_STM07_BS(D1475,95,$G$5,$H$13))/$E$5))</f>
        <v/>
      </c>
      <c r="O1475" s="250" t="str">
        <f ca="1">IF(C1475="","",IF($O$11="BPS",[1]!S_STM07_BS(D1475,141,$G$5,$H$13)/IF([1]!S_SHARE_TOTAL(D1475,$G$5)=0,[1]!S_SHARE_TOTAL(D1475,[1]!s_ipo_listeddate(D1475)),[1]!S_SHARE_TOTAL(D1475,$G$5)),[1]!S_STM07_CS(D1475,49,$G$5,$H$13)/$E$5))</f>
        <v/>
      </c>
      <c r="P1475" s="250" t="str">
        <f ca="1">IF(C1475="","",IF($P$11="CFPS",[1]!S_STM07_CS(D1475,84,$G$5,$H$13)/IF([1]!S_SHARE_TOTAL(D1475,$G$5)=0,[1]!S_SHARE_TOTAL(D1475,[1]!s_ipo_listeddate(D1475)),[1]!S_SHARE_TOTAL(D1475,$G$5)),[1]!S_STM07_CS(D1475,84,$G$5,$H$13)/$E$5))</f>
        <v/>
      </c>
      <c r="Q1475" s="198" t="str">
        <f ca="1">IF(C1475="","",F1475/([1]!S_STM07_IS(D1475,61,$G$5,$H$13)/IF([1]!S_SHARE_TOTAL(D1475,$G$5)=0,[1]!S_SHARE_TOTAL(D1475,[1]!s_ipo_listeddate(D1475)),[1]!S_SHARE_TOTAL(D1475,$G$5))))</f>
        <v/>
      </c>
      <c r="R1475" s="198" t="str">
        <f ca="1">IF(C1475="","",F1475/([1]!S_STM07_BS(D1475,141,$G$5,$H$13)/IF([1]!S_SHARE_TOTAL(D1475,$G$5)=0,[1]!S_SHARE_TOTAL(D1475,[1]!s_ipo_listeddate(D1475)),[1]!S_SHARE_TOTAL(D1475,$G$5))))</f>
        <v/>
      </c>
      <c r="S1475" s="249" t="str">
        <f ca="1">IF(C1475="","",[1]!S_SHARE_TOTAL(D1475,TODAY())/$E$5)</f>
        <v/>
      </c>
      <c r="T1475" s="249" t="str">
        <f t="shared" ca="1" si="145"/>
        <v/>
      </c>
      <c r="U1475" s="172" t="str">
        <f t="shared" ca="1" si="146"/>
        <v/>
      </c>
      <c r="V1475" s="343" t="str">
        <f t="shared" ca="1" si="147"/>
        <v/>
      </c>
      <c r="W1475" s="139"/>
      <c r="Y1475" s="1"/>
    </row>
    <row r="1476" spans="3:25" ht="12" customHeight="1">
      <c r="C1476" s="342" t="str">
        <f t="shared" ca="1" si="142"/>
        <v/>
      </c>
      <c r="D1476" s="153" t="str">
        <f t="shared" ca="1" si="143"/>
        <v/>
      </c>
      <c r="E1476" s="153" t="str">
        <f t="shared" ca="1" si="144"/>
        <v/>
      </c>
      <c r="F1476" s="170" t="str">
        <f ca="1">IF(C1476="","",[1]!S_DQ_CLOSE(D1476,TODAY(),1))</f>
        <v/>
      </c>
      <c r="G1476" s="171" t="str">
        <f ca="1">IF(C1476="","",[1]!s_pq_pctchange(D1476,TODAY()-$G$12,TODAY())/100)</f>
        <v/>
      </c>
      <c r="H1476" s="247" t="str">
        <f ca="1">IF(C1476="","",IF($H$11="收入",[1]!S_STM07_IS(D1476,9,$G$5,$H$13)/$E$5,[1]!S_STM07_IS(D1476,48,$G$5,$H$13)/$E$5))</f>
        <v/>
      </c>
      <c r="I1476" s="247" t="str">
        <f ca="1">IF(C1476="","",IF($I$11="毛利率",([1]!S_STM07_IS(D1476,9,$G$5,$H$13)-[1]!S_STM07_IS(D1476,10,$G$5,$H$13))/[1]!S_STM07_IS(D1476,9,$G$5,$H$13),[1]!S_STM07_IS(D1476,14,$G$5,$H$13)/$E$5))</f>
        <v/>
      </c>
      <c r="J1476" s="247" t="str">
        <f ca="1">IF(C1476="","",IF($J$11="营业利润率",[1]!S_STM07_IS(D1476,48,$G$5,$H$13)/[1]!S_STM07_IS(D1476,9,$G$5,$H$13),([1]!S_STM07_CS(D1476,87,$G$5,$H$13)+[1]!S_STM07_CS(D1476,88,$G$5,$H$13)+[1]!S_STM07_CS(D1476,89,$G$5,$H$13))/$E$5))</f>
        <v/>
      </c>
      <c r="K1476" s="247" t="str">
        <f ca="1">IF(C1476="","",IF($K$11="净利润率",[1]!S_STM07_IS(D1476,61,$G$5,$H$13)/[1]!S_STM07_IS(D1476,9,$G$5,$H$13),[1]!S_STM07_IS(D1476,55,$G$5,$H$13)/$E$5))</f>
        <v/>
      </c>
      <c r="L1476" s="247" t="str">
        <f ca="1">IF(C1476="","",IF($L$11="ROA",[1]!S_STM07_IS(D1476,61,$G$5,$H$13)/[1]!S_STM07_BS(D1476,74,$G$5,$H$13),1-[1]!S_STM07_IS(D1476,61,$G$5,$H$13)/[1]!S_STM07_IS(D1476,55,$G$5,$H$13)))</f>
        <v/>
      </c>
      <c r="M1476" s="247" t="str">
        <f ca="1">IF(C1476="","",IF($M$11="ROE",[1]!S_STM07_IS(D1476,61,$G$5,$H$13)/[1]!S_STM07_BS(D1476,141,$G$5,$H$13),([1]!S_STM07_BS(D1476,25,$G$5,$H$13)-[1]!S_STM07_BS(D1476,93,$G$5,$H$13))/$E$5))</f>
        <v/>
      </c>
      <c r="N1476" s="247" t="str">
        <f ca="1">IF(C1476="","",IF($N$11="EPS",[1]!S_STM07_IS(D1476,61,$G$5,$H$13)/IF([1]!S_SHARE_TOTAL(D1476,$G$5)=0,[1]!S_SHARE_TOTAL(D1476,[1]!s_ipo_listeddate(D1476)),[1]!S_SHARE_TOTAL(D1476,$G$5)),([1]!S_STM07_BS(D1476,75,$G$5,$H$13)+[1]!S_STM07_BS(D1476,88,$G$5,$H$13)+[1]!S_STM07_BS(D1476,94,$G$5,$H$13)+[1]!S_STM07_BS(D1476,95,$G$5,$H$13))/$E$5))</f>
        <v/>
      </c>
      <c r="O1476" s="247" t="str">
        <f ca="1">IF(C1476="","",IF($O$11="BPS",[1]!S_STM07_BS(D1476,141,$G$5,$H$13)/IF([1]!S_SHARE_TOTAL(D1476,$G$5)=0,[1]!S_SHARE_TOTAL(D1476,[1]!s_ipo_listeddate(D1476)),[1]!S_SHARE_TOTAL(D1476,$G$5)),[1]!S_STM07_CS(D1476,49,$G$5,$H$13)/$E$5))</f>
        <v/>
      </c>
      <c r="P1476" s="247" t="str">
        <f ca="1">IF(C1476="","",IF($P$11="CFPS",[1]!S_STM07_CS(D1476,84,$G$5,$H$13)/IF([1]!S_SHARE_TOTAL(D1476,$G$5)=0,[1]!S_SHARE_TOTAL(D1476,[1]!s_ipo_listeddate(D1476)),[1]!S_SHARE_TOTAL(D1476,$G$5)),[1]!S_STM07_CS(D1476,84,$G$5,$H$13)/$E$5))</f>
        <v/>
      </c>
      <c r="Q1476" s="248" t="str">
        <f ca="1">IF(C1476="","",F1476/([1]!S_STM07_IS(D1476,61,$G$5,$H$13)/IF([1]!S_SHARE_TOTAL(D1476,$G$5)=0,[1]!S_SHARE_TOTAL(D1476,[1]!s_ipo_listeddate(D1476)),[1]!S_SHARE_TOTAL(D1476,$G$5))))</f>
        <v/>
      </c>
      <c r="R1476" s="248" t="str">
        <f ca="1">IF(C1476="","",F1476/([1]!S_STM07_BS(D1476,141,$G$5,$H$13)/IF([1]!S_SHARE_TOTAL(D1476,$G$5)=0,[1]!S_SHARE_TOTAL(D1476,[1]!s_ipo_listeddate(D1476)),[1]!S_SHARE_TOTAL(D1476,$G$5))))</f>
        <v/>
      </c>
      <c r="S1476" s="247" t="str">
        <f ca="1">IF(C1476="","",[1]!S_SHARE_TOTAL(D1476,TODAY())/$E$5)</f>
        <v/>
      </c>
      <c r="T1476" s="247" t="str">
        <f t="shared" ca="1" si="145"/>
        <v/>
      </c>
      <c r="U1476" s="218" t="str">
        <f t="shared" ca="1" si="146"/>
        <v/>
      </c>
      <c r="V1476" s="342" t="str">
        <f t="shared" ca="1" si="147"/>
        <v/>
      </c>
      <c r="W1476" s="139"/>
      <c r="Y1476" s="1"/>
    </row>
    <row r="1477" spans="3:25" ht="12" customHeight="1">
      <c r="C1477" s="343" t="str">
        <f t="shared" ca="1" si="142"/>
        <v/>
      </c>
      <c r="D1477" s="124" t="str">
        <f t="shared" ca="1" si="143"/>
        <v/>
      </c>
      <c r="E1477" s="124" t="str">
        <f t="shared" ca="1" si="144"/>
        <v/>
      </c>
      <c r="F1477" s="172" t="str">
        <f ca="1">IF(C1477="","",[1]!S_DQ_CLOSE(D1477,TODAY(),1))</f>
        <v/>
      </c>
      <c r="G1477" s="173" t="str">
        <f ca="1">IF(C1477="","",[1]!s_pq_pctchange(D1477,TODAY()-$G$12,TODAY())/100)</f>
        <v/>
      </c>
      <c r="H1477" s="249" t="str">
        <f ca="1">IF(C1477="","",IF($H$11="收入",[1]!S_STM07_IS(D1477,9,$G$5,$H$13)/$E$5,[1]!S_STM07_IS(D1477,48,$G$5,$H$13)/$E$5))</f>
        <v/>
      </c>
      <c r="I1477" s="249" t="str">
        <f ca="1">IF(C1477="","",IF($I$11="毛利率",([1]!S_STM07_IS(D1477,9,$G$5,$H$13)-[1]!S_STM07_IS(D1477,10,$G$5,$H$13))/[1]!S_STM07_IS(D1477,9,$G$5,$H$13),[1]!S_STM07_IS(D1477,14,$G$5,$H$13)/$E$5))</f>
        <v/>
      </c>
      <c r="J1477" s="249" t="str">
        <f ca="1">IF(C1477="","",IF($J$11="营业利润率",[1]!S_STM07_IS(D1477,48,$G$5,$H$13)/[1]!S_STM07_IS(D1477,9,$G$5,$H$13),([1]!S_STM07_CS(D1477,87,$G$5,$H$13)+[1]!S_STM07_CS(D1477,88,$G$5,$H$13)+[1]!S_STM07_CS(D1477,89,$G$5,$H$13))/$E$5))</f>
        <v/>
      </c>
      <c r="K1477" s="249" t="str">
        <f ca="1">IF(C1477="","",IF($K$11="净利润率",[1]!S_STM07_IS(D1477,61,$G$5,$H$13)/[1]!S_STM07_IS(D1477,9,$G$5,$H$13),[1]!S_STM07_IS(D1477,55,$G$5,$H$13)/$E$5))</f>
        <v/>
      </c>
      <c r="L1477" s="249" t="str">
        <f ca="1">IF(C1477="","",IF($L$11="ROA",[1]!S_STM07_IS(D1477,61,$G$5,$H$13)/[1]!S_STM07_BS(D1477,74,$G$5,$H$13),1-[1]!S_STM07_IS(D1477,61,$G$5,$H$13)/[1]!S_STM07_IS(D1477,55,$G$5,$H$13)))</f>
        <v/>
      </c>
      <c r="M1477" s="249" t="str">
        <f ca="1">IF(C1477="","",IF($M$11="ROE",[1]!S_STM07_IS(D1477,61,$G$5,$H$13)/[1]!S_STM07_BS(D1477,141,$G$5,$H$13),([1]!S_STM07_BS(D1477,25,$G$5,$H$13)-[1]!S_STM07_BS(D1477,93,$G$5,$H$13))/$E$5))</f>
        <v/>
      </c>
      <c r="N1477" s="250" t="str">
        <f ca="1">IF(C1477="","",IF($N$11="EPS",[1]!S_STM07_IS(D1477,61,$G$5,$H$13)/IF([1]!S_SHARE_TOTAL(D1477,$G$5)=0,[1]!S_SHARE_TOTAL(D1477,[1]!s_ipo_listeddate(D1477)),[1]!S_SHARE_TOTAL(D1477,$G$5)),([1]!S_STM07_BS(D1477,75,$G$5,$H$13)+[1]!S_STM07_BS(D1477,88,$G$5,$H$13)+[1]!S_STM07_BS(D1477,94,$G$5,$H$13)+[1]!S_STM07_BS(D1477,95,$G$5,$H$13))/$E$5))</f>
        <v/>
      </c>
      <c r="O1477" s="250" t="str">
        <f ca="1">IF(C1477="","",IF($O$11="BPS",[1]!S_STM07_BS(D1477,141,$G$5,$H$13)/IF([1]!S_SHARE_TOTAL(D1477,$G$5)=0,[1]!S_SHARE_TOTAL(D1477,[1]!s_ipo_listeddate(D1477)),[1]!S_SHARE_TOTAL(D1477,$G$5)),[1]!S_STM07_CS(D1477,49,$G$5,$H$13)/$E$5))</f>
        <v/>
      </c>
      <c r="P1477" s="250" t="str">
        <f ca="1">IF(C1477="","",IF($P$11="CFPS",[1]!S_STM07_CS(D1477,84,$G$5,$H$13)/IF([1]!S_SHARE_TOTAL(D1477,$G$5)=0,[1]!S_SHARE_TOTAL(D1477,[1]!s_ipo_listeddate(D1477)),[1]!S_SHARE_TOTAL(D1477,$G$5)),[1]!S_STM07_CS(D1477,84,$G$5,$H$13)/$E$5))</f>
        <v/>
      </c>
      <c r="Q1477" s="198" t="str">
        <f ca="1">IF(C1477="","",F1477/([1]!S_STM07_IS(D1477,61,$G$5,$H$13)/IF([1]!S_SHARE_TOTAL(D1477,$G$5)=0,[1]!S_SHARE_TOTAL(D1477,[1]!s_ipo_listeddate(D1477)),[1]!S_SHARE_TOTAL(D1477,$G$5))))</f>
        <v/>
      </c>
      <c r="R1477" s="198" t="str">
        <f ca="1">IF(C1477="","",F1477/([1]!S_STM07_BS(D1477,141,$G$5,$H$13)/IF([1]!S_SHARE_TOTAL(D1477,$G$5)=0,[1]!S_SHARE_TOTAL(D1477,[1]!s_ipo_listeddate(D1477)),[1]!S_SHARE_TOTAL(D1477,$G$5))))</f>
        <v/>
      </c>
      <c r="S1477" s="249" t="str">
        <f ca="1">IF(C1477="","",[1]!S_SHARE_TOTAL(D1477,TODAY())/$E$5)</f>
        <v/>
      </c>
      <c r="T1477" s="249" t="str">
        <f t="shared" ca="1" si="145"/>
        <v/>
      </c>
      <c r="U1477" s="172" t="str">
        <f t="shared" ca="1" si="146"/>
        <v/>
      </c>
      <c r="V1477" s="343" t="str">
        <f t="shared" ca="1" si="147"/>
        <v/>
      </c>
      <c r="W1477" s="139"/>
      <c r="Y1477" s="1"/>
    </row>
    <row r="1478" spans="3:25" ht="12" customHeight="1">
      <c r="C1478" s="342" t="str">
        <f t="shared" ca="1" si="142"/>
        <v/>
      </c>
      <c r="D1478" s="153" t="str">
        <f t="shared" ca="1" si="143"/>
        <v/>
      </c>
      <c r="E1478" s="153" t="str">
        <f t="shared" ca="1" si="144"/>
        <v/>
      </c>
      <c r="F1478" s="170" t="str">
        <f ca="1">IF(C1478="","",[1]!S_DQ_CLOSE(D1478,TODAY(),1))</f>
        <v/>
      </c>
      <c r="G1478" s="171" t="str">
        <f ca="1">IF(C1478="","",[1]!s_pq_pctchange(D1478,TODAY()-$G$12,TODAY())/100)</f>
        <v/>
      </c>
      <c r="H1478" s="247" t="str">
        <f ca="1">IF(C1478="","",IF($H$11="收入",[1]!S_STM07_IS(D1478,9,$G$5,$H$13)/$E$5,[1]!S_STM07_IS(D1478,48,$G$5,$H$13)/$E$5))</f>
        <v/>
      </c>
      <c r="I1478" s="247" t="str">
        <f ca="1">IF(C1478="","",IF($I$11="毛利率",([1]!S_STM07_IS(D1478,9,$G$5,$H$13)-[1]!S_STM07_IS(D1478,10,$G$5,$H$13))/[1]!S_STM07_IS(D1478,9,$G$5,$H$13),[1]!S_STM07_IS(D1478,14,$G$5,$H$13)/$E$5))</f>
        <v/>
      </c>
      <c r="J1478" s="247" t="str">
        <f ca="1">IF(C1478="","",IF($J$11="营业利润率",[1]!S_STM07_IS(D1478,48,$G$5,$H$13)/[1]!S_STM07_IS(D1478,9,$G$5,$H$13),([1]!S_STM07_CS(D1478,87,$G$5,$H$13)+[1]!S_STM07_CS(D1478,88,$G$5,$H$13)+[1]!S_STM07_CS(D1478,89,$G$5,$H$13))/$E$5))</f>
        <v/>
      </c>
      <c r="K1478" s="247" t="str">
        <f ca="1">IF(C1478="","",IF($K$11="净利润率",[1]!S_STM07_IS(D1478,61,$G$5,$H$13)/[1]!S_STM07_IS(D1478,9,$G$5,$H$13),[1]!S_STM07_IS(D1478,55,$G$5,$H$13)/$E$5))</f>
        <v/>
      </c>
      <c r="L1478" s="247" t="str">
        <f ca="1">IF(C1478="","",IF($L$11="ROA",[1]!S_STM07_IS(D1478,61,$G$5,$H$13)/[1]!S_STM07_BS(D1478,74,$G$5,$H$13),1-[1]!S_STM07_IS(D1478,61,$G$5,$H$13)/[1]!S_STM07_IS(D1478,55,$G$5,$H$13)))</f>
        <v/>
      </c>
      <c r="M1478" s="247" t="str">
        <f ca="1">IF(C1478="","",IF($M$11="ROE",[1]!S_STM07_IS(D1478,61,$G$5,$H$13)/[1]!S_STM07_BS(D1478,141,$G$5,$H$13),([1]!S_STM07_BS(D1478,25,$G$5,$H$13)-[1]!S_STM07_BS(D1478,93,$G$5,$H$13))/$E$5))</f>
        <v/>
      </c>
      <c r="N1478" s="247" t="str">
        <f ca="1">IF(C1478="","",IF($N$11="EPS",[1]!S_STM07_IS(D1478,61,$G$5,$H$13)/IF([1]!S_SHARE_TOTAL(D1478,$G$5)=0,[1]!S_SHARE_TOTAL(D1478,[1]!s_ipo_listeddate(D1478)),[1]!S_SHARE_TOTAL(D1478,$G$5)),([1]!S_STM07_BS(D1478,75,$G$5,$H$13)+[1]!S_STM07_BS(D1478,88,$G$5,$H$13)+[1]!S_STM07_BS(D1478,94,$G$5,$H$13)+[1]!S_STM07_BS(D1478,95,$G$5,$H$13))/$E$5))</f>
        <v/>
      </c>
      <c r="O1478" s="247" t="str">
        <f ca="1">IF(C1478="","",IF($O$11="BPS",[1]!S_STM07_BS(D1478,141,$G$5,$H$13)/IF([1]!S_SHARE_TOTAL(D1478,$G$5)=0,[1]!S_SHARE_TOTAL(D1478,[1]!s_ipo_listeddate(D1478)),[1]!S_SHARE_TOTAL(D1478,$G$5)),[1]!S_STM07_CS(D1478,49,$G$5,$H$13)/$E$5))</f>
        <v/>
      </c>
      <c r="P1478" s="247" t="str">
        <f ca="1">IF(C1478="","",IF($P$11="CFPS",[1]!S_STM07_CS(D1478,84,$G$5,$H$13)/IF([1]!S_SHARE_TOTAL(D1478,$G$5)=0,[1]!S_SHARE_TOTAL(D1478,[1]!s_ipo_listeddate(D1478)),[1]!S_SHARE_TOTAL(D1478,$G$5)),[1]!S_STM07_CS(D1478,84,$G$5,$H$13)/$E$5))</f>
        <v/>
      </c>
      <c r="Q1478" s="248" t="str">
        <f ca="1">IF(C1478="","",F1478/([1]!S_STM07_IS(D1478,61,$G$5,$H$13)/IF([1]!S_SHARE_TOTAL(D1478,$G$5)=0,[1]!S_SHARE_TOTAL(D1478,[1]!s_ipo_listeddate(D1478)),[1]!S_SHARE_TOTAL(D1478,$G$5))))</f>
        <v/>
      </c>
      <c r="R1478" s="248" t="str">
        <f ca="1">IF(C1478="","",F1478/([1]!S_STM07_BS(D1478,141,$G$5,$H$13)/IF([1]!S_SHARE_TOTAL(D1478,$G$5)=0,[1]!S_SHARE_TOTAL(D1478,[1]!s_ipo_listeddate(D1478)),[1]!S_SHARE_TOTAL(D1478,$G$5))))</f>
        <v/>
      </c>
      <c r="S1478" s="247" t="str">
        <f ca="1">IF(C1478="","",[1]!S_SHARE_TOTAL(D1478,TODAY())/$E$5)</f>
        <v/>
      </c>
      <c r="T1478" s="247" t="str">
        <f t="shared" ca="1" si="145"/>
        <v/>
      </c>
      <c r="U1478" s="218" t="str">
        <f t="shared" ca="1" si="146"/>
        <v/>
      </c>
      <c r="V1478" s="342" t="str">
        <f t="shared" ca="1" si="147"/>
        <v/>
      </c>
      <c r="W1478" s="139"/>
      <c r="Y1478" s="1"/>
    </row>
    <row r="1479" spans="3:25" ht="12" customHeight="1">
      <c r="C1479" s="343" t="str">
        <f t="shared" ca="1" si="142"/>
        <v/>
      </c>
      <c r="D1479" s="124" t="str">
        <f t="shared" ca="1" si="143"/>
        <v/>
      </c>
      <c r="E1479" s="124" t="str">
        <f t="shared" ca="1" si="144"/>
        <v/>
      </c>
      <c r="F1479" s="172" t="str">
        <f ca="1">IF(C1479="","",[1]!S_DQ_CLOSE(D1479,TODAY(),1))</f>
        <v/>
      </c>
      <c r="G1479" s="173" t="str">
        <f ca="1">IF(C1479="","",[1]!s_pq_pctchange(D1479,TODAY()-$G$12,TODAY())/100)</f>
        <v/>
      </c>
      <c r="H1479" s="249" t="str">
        <f ca="1">IF(C1479="","",IF($H$11="收入",[1]!S_STM07_IS(D1479,9,$G$5,$H$13)/$E$5,[1]!S_STM07_IS(D1479,48,$G$5,$H$13)/$E$5))</f>
        <v/>
      </c>
      <c r="I1479" s="249" t="str">
        <f ca="1">IF(C1479="","",IF($I$11="毛利率",([1]!S_STM07_IS(D1479,9,$G$5,$H$13)-[1]!S_STM07_IS(D1479,10,$G$5,$H$13))/[1]!S_STM07_IS(D1479,9,$G$5,$H$13),[1]!S_STM07_IS(D1479,14,$G$5,$H$13)/$E$5))</f>
        <v/>
      </c>
      <c r="J1479" s="249" t="str">
        <f ca="1">IF(C1479="","",IF($J$11="营业利润率",[1]!S_STM07_IS(D1479,48,$G$5,$H$13)/[1]!S_STM07_IS(D1479,9,$G$5,$H$13),([1]!S_STM07_CS(D1479,87,$G$5,$H$13)+[1]!S_STM07_CS(D1479,88,$G$5,$H$13)+[1]!S_STM07_CS(D1479,89,$G$5,$H$13))/$E$5))</f>
        <v/>
      </c>
      <c r="K1479" s="249" t="str">
        <f ca="1">IF(C1479="","",IF($K$11="净利润率",[1]!S_STM07_IS(D1479,61,$G$5,$H$13)/[1]!S_STM07_IS(D1479,9,$G$5,$H$13),[1]!S_STM07_IS(D1479,55,$G$5,$H$13)/$E$5))</f>
        <v/>
      </c>
      <c r="L1479" s="249" t="str">
        <f ca="1">IF(C1479="","",IF($L$11="ROA",[1]!S_STM07_IS(D1479,61,$G$5,$H$13)/[1]!S_STM07_BS(D1479,74,$G$5,$H$13),1-[1]!S_STM07_IS(D1479,61,$G$5,$H$13)/[1]!S_STM07_IS(D1479,55,$G$5,$H$13)))</f>
        <v/>
      </c>
      <c r="M1479" s="249" t="str">
        <f ca="1">IF(C1479="","",IF($M$11="ROE",[1]!S_STM07_IS(D1479,61,$G$5,$H$13)/[1]!S_STM07_BS(D1479,141,$G$5,$H$13),([1]!S_STM07_BS(D1479,25,$G$5,$H$13)-[1]!S_STM07_BS(D1479,93,$G$5,$H$13))/$E$5))</f>
        <v/>
      </c>
      <c r="N1479" s="250" t="str">
        <f ca="1">IF(C1479="","",IF($N$11="EPS",[1]!S_STM07_IS(D1479,61,$G$5,$H$13)/IF([1]!S_SHARE_TOTAL(D1479,$G$5)=0,[1]!S_SHARE_TOTAL(D1479,[1]!s_ipo_listeddate(D1479)),[1]!S_SHARE_TOTAL(D1479,$G$5)),([1]!S_STM07_BS(D1479,75,$G$5,$H$13)+[1]!S_STM07_BS(D1479,88,$G$5,$H$13)+[1]!S_STM07_BS(D1479,94,$G$5,$H$13)+[1]!S_STM07_BS(D1479,95,$G$5,$H$13))/$E$5))</f>
        <v/>
      </c>
      <c r="O1479" s="250" t="str">
        <f ca="1">IF(C1479="","",IF($O$11="BPS",[1]!S_STM07_BS(D1479,141,$G$5,$H$13)/IF([1]!S_SHARE_TOTAL(D1479,$G$5)=0,[1]!S_SHARE_TOTAL(D1479,[1]!s_ipo_listeddate(D1479)),[1]!S_SHARE_TOTAL(D1479,$G$5)),[1]!S_STM07_CS(D1479,49,$G$5,$H$13)/$E$5))</f>
        <v/>
      </c>
      <c r="P1479" s="250" t="str">
        <f ca="1">IF(C1479="","",IF($P$11="CFPS",[1]!S_STM07_CS(D1479,84,$G$5,$H$13)/IF([1]!S_SHARE_TOTAL(D1479,$G$5)=0,[1]!S_SHARE_TOTAL(D1479,[1]!s_ipo_listeddate(D1479)),[1]!S_SHARE_TOTAL(D1479,$G$5)),[1]!S_STM07_CS(D1479,84,$G$5,$H$13)/$E$5))</f>
        <v/>
      </c>
      <c r="Q1479" s="198" t="str">
        <f ca="1">IF(C1479="","",F1479/([1]!S_STM07_IS(D1479,61,$G$5,$H$13)/IF([1]!S_SHARE_TOTAL(D1479,$G$5)=0,[1]!S_SHARE_TOTAL(D1479,[1]!s_ipo_listeddate(D1479)),[1]!S_SHARE_TOTAL(D1479,$G$5))))</f>
        <v/>
      </c>
      <c r="R1479" s="198" t="str">
        <f ca="1">IF(C1479="","",F1479/([1]!S_STM07_BS(D1479,141,$G$5,$H$13)/IF([1]!S_SHARE_TOTAL(D1479,$G$5)=0,[1]!S_SHARE_TOTAL(D1479,[1]!s_ipo_listeddate(D1479)),[1]!S_SHARE_TOTAL(D1479,$G$5))))</f>
        <v/>
      </c>
      <c r="S1479" s="249" t="str">
        <f ca="1">IF(C1479="","",[1]!S_SHARE_TOTAL(D1479,TODAY())/$E$5)</f>
        <v/>
      </c>
      <c r="T1479" s="249" t="str">
        <f t="shared" ca="1" si="145"/>
        <v/>
      </c>
      <c r="U1479" s="172" t="str">
        <f t="shared" ca="1" si="146"/>
        <v/>
      </c>
      <c r="V1479" s="343" t="str">
        <f t="shared" ca="1" si="147"/>
        <v/>
      </c>
      <c r="W1479" s="139"/>
      <c r="Y1479" s="1"/>
    </row>
    <row r="1480" spans="3:25" ht="12" customHeight="1">
      <c r="C1480" s="342" t="str">
        <f t="shared" ca="1" si="142"/>
        <v/>
      </c>
      <c r="D1480" s="153" t="str">
        <f t="shared" ca="1" si="143"/>
        <v/>
      </c>
      <c r="E1480" s="153" t="str">
        <f t="shared" ca="1" si="144"/>
        <v/>
      </c>
      <c r="F1480" s="170" t="str">
        <f ca="1">IF(C1480="","",[1]!S_DQ_CLOSE(D1480,TODAY(),1))</f>
        <v/>
      </c>
      <c r="G1480" s="171" t="str">
        <f ca="1">IF(C1480="","",[1]!s_pq_pctchange(D1480,TODAY()-$G$12,TODAY())/100)</f>
        <v/>
      </c>
      <c r="H1480" s="247" t="str">
        <f ca="1">IF(C1480="","",IF($H$11="收入",[1]!S_STM07_IS(D1480,9,$G$5,$H$13)/$E$5,[1]!S_STM07_IS(D1480,48,$G$5,$H$13)/$E$5))</f>
        <v/>
      </c>
      <c r="I1480" s="247" t="str">
        <f ca="1">IF(C1480="","",IF($I$11="毛利率",([1]!S_STM07_IS(D1480,9,$G$5,$H$13)-[1]!S_STM07_IS(D1480,10,$G$5,$H$13))/[1]!S_STM07_IS(D1480,9,$G$5,$H$13),[1]!S_STM07_IS(D1480,14,$G$5,$H$13)/$E$5))</f>
        <v/>
      </c>
      <c r="J1480" s="247" t="str">
        <f ca="1">IF(C1480="","",IF($J$11="营业利润率",[1]!S_STM07_IS(D1480,48,$G$5,$H$13)/[1]!S_STM07_IS(D1480,9,$G$5,$H$13),([1]!S_STM07_CS(D1480,87,$G$5,$H$13)+[1]!S_STM07_CS(D1480,88,$G$5,$H$13)+[1]!S_STM07_CS(D1480,89,$G$5,$H$13))/$E$5))</f>
        <v/>
      </c>
      <c r="K1480" s="247" t="str">
        <f ca="1">IF(C1480="","",IF($K$11="净利润率",[1]!S_STM07_IS(D1480,61,$G$5,$H$13)/[1]!S_STM07_IS(D1480,9,$G$5,$H$13),[1]!S_STM07_IS(D1480,55,$G$5,$H$13)/$E$5))</f>
        <v/>
      </c>
      <c r="L1480" s="247" t="str">
        <f ca="1">IF(C1480="","",IF($L$11="ROA",[1]!S_STM07_IS(D1480,61,$G$5,$H$13)/[1]!S_STM07_BS(D1480,74,$G$5,$H$13),1-[1]!S_STM07_IS(D1480,61,$G$5,$H$13)/[1]!S_STM07_IS(D1480,55,$G$5,$H$13)))</f>
        <v/>
      </c>
      <c r="M1480" s="247" t="str">
        <f ca="1">IF(C1480="","",IF($M$11="ROE",[1]!S_STM07_IS(D1480,61,$G$5,$H$13)/[1]!S_STM07_BS(D1480,141,$G$5,$H$13),([1]!S_STM07_BS(D1480,25,$G$5,$H$13)-[1]!S_STM07_BS(D1480,93,$G$5,$H$13))/$E$5))</f>
        <v/>
      </c>
      <c r="N1480" s="247" t="str">
        <f ca="1">IF(C1480="","",IF($N$11="EPS",[1]!S_STM07_IS(D1480,61,$G$5,$H$13)/IF([1]!S_SHARE_TOTAL(D1480,$G$5)=0,[1]!S_SHARE_TOTAL(D1480,[1]!s_ipo_listeddate(D1480)),[1]!S_SHARE_TOTAL(D1480,$G$5)),([1]!S_STM07_BS(D1480,75,$G$5,$H$13)+[1]!S_STM07_BS(D1480,88,$G$5,$H$13)+[1]!S_STM07_BS(D1480,94,$G$5,$H$13)+[1]!S_STM07_BS(D1480,95,$G$5,$H$13))/$E$5))</f>
        <v/>
      </c>
      <c r="O1480" s="247" t="str">
        <f ca="1">IF(C1480="","",IF($O$11="BPS",[1]!S_STM07_BS(D1480,141,$G$5,$H$13)/IF([1]!S_SHARE_TOTAL(D1480,$G$5)=0,[1]!S_SHARE_TOTAL(D1480,[1]!s_ipo_listeddate(D1480)),[1]!S_SHARE_TOTAL(D1480,$G$5)),[1]!S_STM07_CS(D1480,49,$G$5,$H$13)/$E$5))</f>
        <v/>
      </c>
      <c r="P1480" s="247" t="str">
        <f ca="1">IF(C1480="","",IF($P$11="CFPS",[1]!S_STM07_CS(D1480,84,$G$5,$H$13)/IF([1]!S_SHARE_TOTAL(D1480,$G$5)=0,[1]!S_SHARE_TOTAL(D1480,[1]!s_ipo_listeddate(D1480)),[1]!S_SHARE_TOTAL(D1480,$G$5)),[1]!S_STM07_CS(D1480,84,$G$5,$H$13)/$E$5))</f>
        <v/>
      </c>
      <c r="Q1480" s="248" t="str">
        <f ca="1">IF(C1480="","",F1480/([1]!S_STM07_IS(D1480,61,$G$5,$H$13)/IF([1]!S_SHARE_TOTAL(D1480,$G$5)=0,[1]!S_SHARE_TOTAL(D1480,[1]!s_ipo_listeddate(D1480)),[1]!S_SHARE_TOTAL(D1480,$G$5))))</f>
        <v/>
      </c>
      <c r="R1480" s="248" t="str">
        <f ca="1">IF(C1480="","",F1480/([1]!S_STM07_BS(D1480,141,$G$5,$H$13)/IF([1]!S_SHARE_TOTAL(D1480,$G$5)=0,[1]!S_SHARE_TOTAL(D1480,[1]!s_ipo_listeddate(D1480)),[1]!S_SHARE_TOTAL(D1480,$G$5))))</f>
        <v/>
      </c>
      <c r="S1480" s="247" t="str">
        <f ca="1">IF(C1480="","",[1]!S_SHARE_TOTAL(D1480,TODAY())/$E$5)</f>
        <v/>
      </c>
      <c r="T1480" s="247" t="str">
        <f t="shared" ca="1" si="145"/>
        <v/>
      </c>
      <c r="U1480" s="218" t="str">
        <f t="shared" ca="1" si="146"/>
        <v/>
      </c>
      <c r="V1480" s="342" t="str">
        <f t="shared" ca="1" si="147"/>
        <v/>
      </c>
      <c r="W1480" s="139"/>
      <c r="Y1480" s="1"/>
    </row>
    <row r="1481" spans="3:25" ht="12" customHeight="1">
      <c r="C1481" s="343" t="str">
        <f t="shared" ca="1" si="142"/>
        <v/>
      </c>
      <c r="D1481" s="124" t="str">
        <f t="shared" ca="1" si="143"/>
        <v/>
      </c>
      <c r="E1481" s="124" t="str">
        <f t="shared" ca="1" si="144"/>
        <v/>
      </c>
      <c r="F1481" s="172" t="str">
        <f ca="1">IF(C1481="","",[1]!S_DQ_CLOSE(D1481,TODAY(),1))</f>
        <v/>
      </c>
      <c r="G1481" s="173" t="str">
        <f ca="1">IF(C1481="","",[1]!s_pq_pctchange(D1481,TODAY()-$G$12,TODAY())/100)</f>
        <v/>
      </c>
      <c r="H1481" s="249" t="str">
        <f ca="1">IF(C1481="","",IF($H$11="收入",[1]!S_STM07_IS(D1481,9,$G$5,$H$13)/$E$5,[1]!S_STM07_IS(D1481,48,$G$5,$H$13)/$E$5))</f>
        <v/>
      </c>
      <c r="I1481" s="249" t="str">
        <f ca="1">IF(C1481="","",IF($I$11="毛利率",([1]!S_STM07_IS(D1481,9,$G$5,$H$13)-[1]!S_STM07_IS(D1481,10,$G$5,$H$13))/[1]!S_STM07_IS(D1481,9,$G$5,$H$13),[1]!S_STM07_IS(D1481,14,$G$5,$H$13)/$E$5))</f>
        <v/>
      </c>
      <c r="J1481" s="249" t="str">
        <f ca="1">IF(C1481="","",IF($J$11="营业利润率",[1]!S_STM07_IS(D1481,48,$G$5,$H$13)/[1]!S_STM07_IS(D1481,9,$G$5,$H$13),([1]!S_STM07_CS(D1481,87,$G$5,$H$13)+[1]!S_STM07_CS(D1481,88,$G$5,$H$13)+[1]!S_STM07_CS(D1481,89,$G$5,$H$13))/$E$5))</f>
        <v/>
      </c>
      <c r="K1481" s="249" t="str">
        <f ca="1">IF(C1481="","",IF($K$11="净利润率",[1]!S_STM07_IS(D1481,61,$G$5,$H$13)/[1]!S_STM07_IS(D1481,9,$G$5,$H$13),[1]!S_STM07_IS(D1481,55,$G$5,$H$13)/$E$5))</f>
        <v/>
      </c>
      <c r="L1481" s="249" t="str">
        <f ca="1">IF(C1481="","",IF($L$11="ROA",[1]!S_STM07_IS(D1481,61,$G$5,$H$13)/[1]!S_STM07_BS(D1481,74,$G$5,$H$13),1-[1]!S_STM07_IS(D1481,61,$G$5,$H$13)/[1]!S_STM07_IS(D1481,55,$G$5,$H$13)))</f>
        <v/>
      </c>
      <c r="M1481" s="249" t="str">
        <f ca="1">IF(C1481="","",IF($M$11="ROE",[1]!S_STM07_IS(D1481,61,$G$5,$H$13)/[1]!S_STM07_BS(D1481,141,$G$5,$H$13),([1]!S_STM07_BS(D1481,25,$G$5,$H$13)-[1]!S_STM07_BS(D1481,93,$G$5,$H$13))/$E$5))</f>
        <v/>
      </c>
      <c r="N1481" s="250" t="str">
        <f ca="1">IF(C1481="","",IF($N$11="EPS",[1]!S_STM07_IS(D1481,61,$G$5,$H$13)/IF([1]!S_SHARE_TOTAL(D1481,$G$5)=0,[1]!S_SHARE_TOTAL(D1481,[1]!s_ipo_listeddate(D1481)),[1]!S_SHARE_TOTAL(D1481,$G$5)),([1]!S_STM07_BS(D1481,75,$G$5,$H$13)+[1]!S_STM07_BS(D1481,88,$G$5,$H$13)+[1]!S_STM07_BS(D1481,94,$G$5,$H$13)+[1]!S_STM07_BS(D1481,95,$G$5,$H$13))/$E$5))</f>
        <v/>
      </c>
      <c r="O1481" s="250" t="str">
        <f ca="1">IF(C1481="","",IF($O$11="BPS",[1]!S_STM07_BS(D1481,141,$G$5,$H$13)/IF([1]!S_SHARE_TOTAL(D1481,$G$5)=0,[1]!S_SHARE_TOTAL(D1481,[1]!s_ipo_listeddate(D1481)),[1]!S_SHARE_TOTAL(D1481,$G$5)),[1]!S_STM07_CS(D1481,49,$G$5,$H$13)/$E$5))</f>
        <v/>
      </c>
      <c r="P1481" s="250" t="str">
        <f ca="1">IF(C1481="","",IF($P$11="CFPS",[1]!S_STM07_CS(D1481,84,$G$5,$H$13)/IF([1]!S_SHARE_TOTAL(D1481,$G$5)=0,[1]!S_SHARE_TOTAL(D1481,[1]!s_ipo_listeddate(D1481)),[1]!S_SHARE_TOTAL(D1481,$G$5)),[1]!S_STM07_CS(D1481,84,$G$5,$H$13)/$E$5))</f>
        <v/>
      </c>
      <c r="Q1481" s="198" t="str">
        <f ca="1">IF(C1481="","",F1481/([1]!S_STM07_IS(D1481,61,$G$5,$H$13)/IF([1]!S_SHARE_TOTAL(D1481,$G$5)=0,[1]!S_SHARE_TOTAL(D1481,[1]!s_ipo_listeddate(D1481)),[1]!S_SHARE_TOTAL(D1481,$G$5))))</f>
        <v/>
      </c>
      <c r="R1481" s="198" t="str">
        <f ca="1">IF(C1481="","",F1481/([1]!S_STM07_BS(D1481,141,$G$5,$H$13)/IF([1]!S_SHARE_TOTAL(D1481,$G$5)=0,[1]!S_SHARE_TOTAL(D1481,[1]!s_ipo_listeddate(D1481)),[1]!S_SHARE_TOTAL(D1481,$G$5))))</f>
        <v/>
      </c>
      <c r="S1481" s="249" t="str">
        <f ca="1">IF(C1481="","",[1]!S_SHARE_TOTAL(D1481,TODAY())/$E$5)</f>
        <v/>
      </c>
      <c r="T1481" s="249" t="str">
        <f t="shared" ca="1" si="145"/>
        <v/>
      </c>
      <c r="U1481" s="172" t="str">
        <f t="shared" ca="1" si="146"/>
        <v/>
      </c>
      <c r="V1481" s="343" t="str">
        <f t="shared" ca="1" si="147"/>
        <v/>
      </c>
      <c r="W1481" s="139"/>
      <c r="Y1481" s="1"/>
    </row>
    <row r="1482" spans="3:25" ht="12" customHeight="1">
      <c r="C1482" s="342" t="str">
        <f t="shared" ca="1" si="142"/>
        <v/>
      </c>
      <c r="D1482" s="153" t="str">
        <f t="shared" ca="1" si="143"/>
        <v/>
      </c>
      <c r="E1482" s="153" t="str">
        <f t="shared" ca="1" si="144"/>
        <v/>
      </c>
      <c r="F1482" s="170" t="str">
        <f ca="1">IF(C1482="","",[1]!S_DQ_CLOSE(D1482,TODAY(),1))</f>
        <v/>
      </c>
      <c r="G1482" s="171" t="str">
        <f ca="1">IF(C1482="","",[1]!s_pq_pctchange(D1482,TODAY()-$G$12,TODAY())/100)</f>
        <v/>
      </c>
      <c r="H1482" s="247" t="str">
        <f ca="1">IF(C1482="","",IF($H$11="收入",[1]!S_STM07_IS(D1482,9,$G$5,$H$13)/$E$5,[1]!S_STM07_IS(D1482,48,$G$5,$H$13)/$E$5))</f>
        <v/>
      </c>
      <c r="I1482" s="247" t="str">
        <f ca="1">IF(C1482="","",IF($I$11="毛利率",([1]!S_STM07_IS(D1482,9,$G$5,$H$13)-[1]!S_STM07_IS(D1482,10,$G$5,$H$13))/[1]!S_STM07_IS(D1482,9,$G$5,$H$13),[1]!S_STM07_IS(D1482,14,$G$5,$H$13)/$E$5))</f>
        <v/>
      </c>
      <c r="J1482" s="247" t="str">
        <f ca="1">IF(C1482="","",IF($J$11="营业利润率",[1]!S_STM07_IS(D1482,48,$G$5,$H$13)/[1]!S_STM07_IS(D1482,9,$G$5,$H$13),([1]!S_STM07_CS(D1482,87,$G$5,$H$13)+[1]!S_STM07_CS(D1482,88,$G$5,$H$13)+[1]!S_STM07_CS(D1482,89,$G$5,$H$13))/$E$5))</f>
        <v/>
      </c>
      <c r="K1482" s="247" t="str">
        <f ca="1">IF(C1482="","",IF($K$11="净利润率",[1]!S_STM07_IS(D1482,61,$G$5,$H$13)/[1]!S_STM07_IS(D1482,9,$G$5,$H$13),[1]!S_STM07_IS(D1482,55,$G$5,$H$13)/$E$5))</f>
        <v/>
      </c>
      <c r="L1482" s="247" t="str">
        <f ca="1">IF(C1482="","",IF($L$11="ROA",[1]!S_STM07_IS(D1482,61,$G$5,$H$13)/[1]!S_STM07_BS(D1482,74,$G$5,$H$13),1-[1]!S_STM07_IS(D1482,61,$G$5,$H$13)/[1]!S_STM07_IS(D1482,55,$G$5,$H$13)))</f>
        <v/>
      </c>
      <c r="M1482" s="247" t="str">
        <f ca="1">IF(C1482="","",IF($M$11="ROE",[1]!S_STM07_IS(D1482,61,$G$5,$H$13)/[1]!S_STM07_BS(D1482,141,$G$5,$H$13),([1]!S_STM07_BS(D1482,25,$G$5,$H$13)-[1]!S_STM07_BS(D1482,93,$G$5,$H$13))/$E$5))</f>
        <v/>
      </c>
      <c r="N1482" s="247" t="str">
        <f ca="1">IF(C1482="","",IF($N$11="EPS",[1]!S_STM07_IS(D1482,61,$G$5,$H$13)/IF([1]!S_SHARE_TOTAL(D1482,$G$5)=0,[1]!S_SHARE_TOTAL(D1482,[1]!s_ipo_listeddate(D1482)),[1]!S_SHARE_TOTAL(D1482,$G$5)),([1]!S_STM07_BS(D1482,75,$G$5,$H$13)+[1]!S_STM07_BS(D1482,88,$G$5,$H$13)+[1]!S_STM07_BS(D1482,94,$G$5,$H$13)+[1]!S_STM07_BS(D1482,95,$G$5,$H$13))/$E$5))</f>
        <v/>
      </c>
      <c r="O1482" s="247" t="str">
        <f ca="1">IF(C1482="","",IF($O$11="BPS",[1]!S_STM07_BS(D1482,141,$G$5,$H$13)/IF([1]!S_SHARE_TOTAL(D1482,$G$5)=0,[1]!S_SHARE_TOTAL(D1482,[1]!s_ipo_listeddate(D1482)),[1]!S_SHARE_TOTAL(D1482,$G$5)),[1]!S_STM07_CS(D1482,49,$G$5,$H$13)/$E$5))</f>
        <v/>
      </c>
      <c r="P1482" s="247" t="str">
        <f ca="1">IF(C1482="","",IF($P$11="CFPS",[1]!S_STM07_CS(D1482,84,$G$5,$H$13)/IF([1]!S_SHARE_TOTAL(D1482,$G$5)=0,[1]!S_SHARE_TOTAL(D1482,[1]!s_ipo_listeddate(D1482)),[1]!S_SHARE_TOTAL(D1482,$G$5)),[1]!S_STM07_CS(D1482,84,$G$5,$H$13)/$E$5))</f>
        <v/>
      </c>
      <c r="Q1482" s="248" t="str">
        <f ca="1">IF(C1482="","",F1482/([1]!S_STM07_IS(D1482,61,$G$5,$H$13)/IF([1]!S_SHARE_TOTAL(D1482,$G$5)=0,[1]!S_SHARE_TOTAL(D1482,[1]!s_ipo_listeddate(D1482)),[1]!S_SHARE_TOTAL(D1482,$G$5))))</f>
        <v/>
      </c>
      <c r="R1482" s="248" t="str">
        <f ca="1">IF(C1482="","",F1482/([1]!S_STM07_BS(D1482,141,$G$5,$H$13)/IF([1]!S_SHARE_TOTAL(D1482,$G$5)=0,[1]!S_SHARE_TOTAL(D1482,[1]!s_ipo_listeddate(D1482)),[1]!S_SHARE_TOTAL(D1482,$G$5))))</f>
        <v/>
      </c>
      <c r="S1482" s="247" t="str">
        <f ca="1">IF(C1482="","",[1]!S_SHARE_TOTAL(D1482,TODAY())/$E$5)</f>
        <v/>
      </c>
      <c r="T1482" s="247" t="str">
        <f t="shared" ca="1" si="145"/>
        <v/>
      </c>
      <c r="U1482" s="218" t="str">
        <f t="shared" ca="1" si="146"/>
        <v/>
      </c>
      <c r="V1482" s="342" t="str">
        <f t="shared" ca="1" si="147"/>
        <v/>
      </c>
      <c r="W1482" s="139"/>
      <c r="Y1482" s="1"/>
    </row>
    <row r="1483" spans="3:25" ht="12" customHeight="1">
      <c r="C1483" s="343" t="str">
        <f t="shared" ca="1" si="142"/>
        <v/>
      </c>
      <c r="D1483" s="124" t="str">
        <f t="shared" ca="1" si="143"/>
        <v/>
      </c>
      <c r="E1483" s="124" t="str">
        <f t="shared" ca="1" si="144"/>
        <v/>
      </c>
      <c r="F1483" s="172" t="str">
        <f ca="1">IF(C1483="","",[1]!S_DQ_CLOSE(D1483,TODAY(),1))</f>
        <v/>
      </c>
      <c r="G1483" s="173" t="str">
        <f ca="1">IF(C1483="","",[1]!s_pq_pctchange(D1483,TODAY()-$G$12,TODAY())/100)</f>
        <v/>
      </c>
      <c r="H1483" s="249" t="str">
        <f ca="1">IF(C1483="","",IF($H$11="收入",[1]!S_STM07_IS(D1483,9,$G$5,$H$13)/$E$5,[1]!S_STM07_IS(D1483,48,$G$5,$H$13)/$E$5))</f>
        <v/>
      </c>
      <c r="I1483" s="249" t="str">
        <f ca="1">IF(C1483="","",IF($I$11="毛利率",([1]!S_STM07_IS(D1483,9,$G$5,$H$13)-[1]!S_STM07_IS(D1483,10,$G$5,$H$13))/[1]!S_STM07_IS(D1483,9,$G$5,$H$13),[1]!S_STM07_IS(D1483,14,$G$5,$H$13)/$E$5))</f>
        <v/>
      </c>
      <c r="J1483" s="249" t="str">
        <f ca="1">IF(C1483="","",IF($J$11="营业利润率",[1]!S_STM07_IS(D1483,48,$G$5,$H$13)/[1]!S_STM07_IS(D1483,9,$G$5,$H$13),([1]!S_STM07_CS(D1483,87,$G$5,$H$13)+[1]!S_STM07_CS(D1483,88,$G$5,$H$13)+[1]!S_STM07_CS(D1483,89,$G$5,$H$13))/$E$5))</f>
        <v/>
      </c>
      <c r="K1483" s="249" t="str">
        <f ca="1">IF(C1483="","",IF($K$11="净利润率",[1]!S_STM07_IS(D1483,61,$G$5,$H$13)/[1]!S_STM07_IS(D1483,9,$G$5,$H$13),[1]!S_STM07_IS(D1483,55,$G$5,$H$13)/$E$5))</f>
        <v/>
      </c>
      <c r="L1483" s="249" t="str">
        <f ca="1">IF(C1483="","",IF($L$11="ROA",[1]!S_STM07_IS(D1483,61,$G$5,$H$13)/[1]!S_STM07_BS(D1483,74,$G$5,$H$13),1-[1]!S_STM07_IS(D1483,61,$G$5,$H$13)/[1]!S_STM07_IS(D1483,55,$G$5,$H$13)))</f>
        <v/>
      </c>
      <c r="M1483" s="249" t="str">
        <f ca="1">IF(C1483="","",IF($M$11="ROE",[1]!S_STM07_IS(D1483,61,$G$5,$H$13)/[1]!S_STM07_BS(D1483,141,$G$5,$H$13),([1]!S_STM07_BS(D1483,25,$G$5,$H$13)-[1]!S_STM07_BS(D1483,93,$G$5,$H$13))/$E$5))</f>
        <v/>
      </c>
      <c r="N1483" s="250" t="str">
        <f ca="1">IF(C1483="","",IF($N$11="EPS",[1]!S_STM07_IS(D1483,61,$G$5,$H$13)/IF([1]!S_SHARE_TOTAL(D1483,$G$5)=0,[1]!S_SHARE_TOTAL(D1483,[1]!s_ipo_listeddate(D1483)),[1]!S_SHARE_TOTAL(D1483,$G$5)),([1]!S_STM07_BS(D1483,75,$G$5,$H$13)+[1]!S_STM07_BS(D1483,88,$G$5,$H$13)+[1]!S_STM07_BS(D1483,94,$G$5,$H$13)+[1]!S_STM07_BS(D1483,95,$G$5,$H$13))/$E$5))</f>
        <v/>
      </c>
      <c r="O1483" s="250" t="str">
        <f ca="1">IF(C1483="","",IF($O$11="BPS",[1]!S_STM07_BS(D1483,141,$G$5,$H$13)/IF([1]!S_SHARE_TOTAL(D1483,$G$5)=0,[1]!S_SHARE_TOTAL(D1483,[1]!s_ipo_listeddate(D1483)),[1]!S_SHARE_TOTAL(D1483,$G$5)),[1]!S_STM07_CS(D1483,49,$G$5,$H$13)/$E$5))</f>
        <v/>
      </c>
      <c r="P1483" s="250" t="str">
        <f ca="1">IF(C1483="","",IF($P$11="CFPS",[1]!S_STM07_CS(D1483,84,$G$5,$H$13)/IF([1]!S_SHARE_TOTAL(D1483,$G$5)=0,[1]!S_SHARE_TOTAL(D1483,[1]!s_ipo_listeddate(D1483)),[1]!S_SHARE_TOTAL(D1483,$G$5)),[1]!S_STM07_CS(D1483,84,$G$5,$H$13)/$E$5))</f>
        <v/>
      </c>
      <c r="Q1483" s="198" t="str">
        <f ca="1">IF(C1483="","",F1483/([1]!S_STM07_IS(D1483,61,$G$5,$H$13)/IF([1]!S_SHARE_TOTAL(D1483,$G$5)=0,[1]!S_SHARE_TOTAL(D1483,[1]!s_ipo_listeddate(D1483)),[1]!S_SHARE_TOTAL(D1483,$G$5))))</f>
        <v/>
      </c>
      <c r="R1483" s="198" t="str">
        <f ca="1">IF(C1483="","",F1483/([1]!S_STM07_BS(D1483,141,$G$5,$H$13)/IF([1]!S_SHARE_TOTAL(D1483,$G$5)=0,[1]!S_SHARE_TOTAL(D1483,[1]!s_ipo_listeddate(D1483)),[1]!S_SHARE_TOTAL(D1483,$G$5))))</f>
        <v/>
      </c>
      <c r="S1483" s="249" t="str">
        <f ca="1">IF(C1483="","",[1]!S_SHARE_TOTAL(D1483,TODAY())/$E$5)</f>
        <v/>
      </c>
      <c r="T1483" s="249" t="str">
        <f t="shared" ca="1" si="145"/>
        <v/>
      </c>
      <c r="U1483" s="172" t="str">
        <f t="shared" ca="1" si="146"/>
        <v/>
      </c>
      <c r="V1483" s="343" t="str">
        <f t="shared" ca="1" si="147"/>
        <v/>
      </c>
      <c r="W1483" s="139"/>
      <c r="Y1483" s="1"/>
    </row>
    <row r="1484" spans="3:25" ht="12" customHeight="1">
      <c r="C1484" s="342" t="str">
        <f t="shared" ca="1" si="142"/>
        <v/>
      </c>
      <c r="D1484" s="153" t="str">
        <f t="shared" ca="1" si="143"/>
        <v/>
      </c>
      <c r="E1484" s="153" t="str">
        <f t="shared" ca="1" si="144"/>
        <v/>
      </c>
      <c r="F1484" s="170" t="str">
        <f ca="1">IF(C1484="","",[1]!S_DQ_CLOSE(D1484,TODAY(),1))</f>
        <v/>
      </c>
      <c r="G1484" s="171" t="str">
        <f ca="1">IF(C1484="","",[1]!s_pq_pctchange(D1484,TODAY()-$G$12,TODAY())/100)</f>
        <v/>
      </c>
      <c r="H1484" s="247" t="str">
        <f ca="1">IF(C1484="","",IF($H$11="收入",[1]!S_STM07_IS(D1484,9,$G$5,$H$13)/$E$5,[1]!S_STM07_IS(D1484,48,$G$5,$H$13)/$E$5))</f>
        <v/>
      </c>
      <c r="I1484" s="247" t="str">
        <f ca="1">IF(C1484="","",IF($I$11="毛利率",([1]!S_STM07_IS(D1484,9,$G$5,$H$13)-[1]!S_STM07_IS(D1484,10,$G$5,$H$13))/[1]!S_STM07_IS(D1484,9,$G$5,$H$13),[1]!S_STM07_IS(D1484,14,$G$5,$H$13)/$E$5))</f>
        <v/>
      </c>
      <c r="J1484" s="247" t="str">
        <f ca="1">IF(C1484="","",IF($J$11="营业利润率",[1]!S_STM07_IS(D1484,48,$G$5,$H$13)/[1]!S_STM07_IS(D1484,9,$G$5,$H$13),([1]!S_STM07_CS(D1484,87,$G$5,$H$13)+[1]!S_STM07_CS(D1484,88,$G$5,$H$13)+[1]!S_STM07_CS(D1484,89,$G$5,$H$13))/$E$5))</f>
        <v/>
      </c>
      <c r="K1484" s="247" t="str">
        <f ca="1">IF(C1484="","",IF($K$11="净利润率",[1]!S_STM07_IS(D1484,61,$G$5,$H$13)/[1]!S_STM07_IS(D1484,9,$G$5,$H$13),[1]!S_STM07_IS(D1484,55,$G$5,$H$13)/$E$5))</f>
        <v/>
      </c>
      <c r="L1484" s="247" t="str">
        <f ca="1">IF(C1484="","",IF($L$11="ROA",[1]!S_STM07_IS(D1484,61,$G$5,$H$13)/[1]!S_STM07_BS(D1484,74,$G$5,$H$13),1-[1]!S_STM07_IS(D1484,61,$G$5,$H$13)/[1]!S_STM07_IS(D1484,55,$G$5,$H$13)))</f>
        <v/>
      </c>
      <c r="M1484" s="247" t="str">
        <f ca="1">IF(C1484="","",IF($M$11="ROE",[1]!S_STM07_IS(D1484,61,$G$5,$H$13)/[1]!S_STM07_BS(D1484,141,$G$5,$H$13),([1]!S_STM07_BS(D1484,25,$G$5,$H$13)-[1]!S_STM07_BS(D1484,93,$G$5,$H$13))/$E$5))</f>
        <v/>
      </c>
      <c r="N1484" s="247" t="str">
        <f ca="1">IF(C1484="","",IF($N$11="EPS",[1]!S_STM07_IS(D1484,61,$G$5,$H$13)/IF([1]!S_SHARE_TOTAL(D1484,$G$5)=0,[1]!S_SHARE_TOTAL(D1484,[1]!s_ipo_listeddate(D1484)),[1]!S_SHARE_TOTAL(D1484,$G$5)),([1]!S_STM07_BS(D1484,75,$G$5,$H$13)+[1]!S_STM07_BS(D1484,88,$G$5,$H$13)+[1]!S_STM07_BS(D1484,94,$G$5,$H$13)+[1]!S_STM07_BS(D1484,95,$G$5,$H$13))/$E$5))</f>
        <v/>
      </c>
      <c r="O1484" s="247" t="str">
        <f ca="1">IF(C1484="","",IF($O$11="BPS",[1]!S_STM07_BS(D1484,141,$G$5,$H$13)/IF([1]!S_SHARE_TOTAL(D1484,$G$5)=0,[1]!S_SHARE_TOTAL(D1484,[1]!s_ipo_listeddate(D1484)),[1]!S_SHARE_TOTAL(D1484,$G$5)),[1]!S_STM07_CS(D1484,49,$G$5,$H$13)/$E$5))</f>
        <v/>
      </c>
      <c r="P1484" s="247" t="str">
        <f ca="1">IF(C1484="","",IF($P$11="CFPS",[1]!S_STM07_CS(D1484,84,$G$5,$H$13)/IF([1]!S_SHARE_TOTAL(D1484,$G$5)=0,[1]!S_SHARE_TOTAL(D1484,[1]!s_ipo_listeddate(D1484)),[1]!S_SHARE_TOTAL(D1484,$G$5)),[1]!S_STM07_CS(D1484,84,$G$5,$H$13)/$E$5))</f>
        <v/>
      </c>
      <c r="Q1484" s="248" t="str">
        <f ca="1">IF(C1484="","",F1484/([1]!S_STM07_IS(D1484,61,$G$5,$H$13)/IF([1]!S_SHARE_TOTAL(D1484,$G$5)=0,[1]!S_SHARE_TOTAL(D1484,[1]!s_ipo_listeddate(D1484)),[1]!S_SHARE_TOTAL(D1484,$G$5))))</f>
        <v/>
      </c>
      <c r="R1484" s="248" t="str">
        <f ca="1">IF(C1484="","",F1484/([1]!S_STM07_BS(D1484,141,$G$5,$H$13)/IF([1]!S_SHARE_TOTAL(D1484,$G$5)=0,[1]!S_SHARE_TOTAL(D1484,[1]!s_ipo_listeddate(D1484)),[1]!S_SHARE_TOTAL(D1484,$G$5))))</f>
        <v/>
      </c>
      <c r="S1484" s="247" t="str">
        <f ca="1">IF(C1484="","",[1]!S_SHARE_TOTAL(D1484,TODAY())/$E$5)</f>
        <v/>
      </c>
      <c r="T1484" s="247" t="str">
        <f t="shared" ca="1" si="145"/>
        <v/>
      </c>
      <c r="U1484" s="218" t="str">
        <f t="shared" ca="1" si="146"/>
        <v/>
      </c>
      <c r="V1484" s="342" t="str">
        <f t="shared" ca="1" si="147"/>
        <v/>
      </c>
      <c r="W1484" s="139"/>
      <c r="Y1484" s="1"/>
    </row>
    <row r="1485" spans="3:25" ht="12" customHeight="1">
      <c r="C1485" s="343" t="str">
        <f t="shared" ca="1" si="142"/>
        <v/>
      </c>
      <c r="D1485" s="124" t="str">
        <f t="shared" ca="1" si="143"/>
        <v/>
      </c>
      <c r="E1485" s="124" t="str">
        <f t="shared" ca="1" si="144"/>
        <v/>
      </c>
      <c r="F1485" s="172" t="str">
        <f ca="1">IF(C1485="","",[1]!S_DQ_CLOSE(D1485,TODAY(),1))</f>
        <v/>
      </c>
      <c r="G1485" s="173" t="str">
        <f ca="1">IF(C1485="","",[1]!s_pq_pctchange(D1485,TODAY()-$G$12,TODAY())/100)</f>
        <v/>
      </c>
      <c r="H1485" s="249" t="str">
        <f ca="1">IF(C1485="","",IF($H$11="收入",[1]!S_STM07_IS(D1485,9,$G$5,$H$13)/$E$5,[1]!S_STM07_IS(D1485,48,$G$5,$H$13)/$E$5))</f>
        <v/>
      </c>
      <c r="I1485" s="249" t="str">
        <f ca="1">IF(C1485="","",IF($I$11="毛利率",([1]!S_STM07_IS(D1485,9,$G$5,$H$13)-[1]!S_STM07_IS(D1485,10,$G$5,$H$13))/[1]!S_STM07_IS(D1485,9,$G$5,$H$13),[1]!S_STM07_IS(D1485,14,$G$5,$H$13)/$E$5))</f>
        <v/>
      </c>
      <c r="J1485" s="249" t="str">
        <f ca="1">IF(C1485="","",IF($J$11="营业利润率",[1]!S_STM07_IS(D1485,48,$G$5,$H$13)/[1]!S_STM07_IS(D1485,9,$G$5,$H$13),([1]!S_STM07_CS(D1485,87,$G$5,$H$13)+[1]!S_STM07_CS(D1485,88,$G$5,$H$13)+[1]!S_STM07_CS(D1485,89,$G$5,$H$13))/$E$5))</f>
        <v/>
      </c>
      <c r="K1485" s="249" t="str">
        <f ca="1">IF(C1485="","",IF($K$11="净利润率",[1]!S_STM07_IS(D1485,61,$G$5,$H$13)/[1]!S_STM07_IS(D1485,9,$G$5,$H$13),[1]!S_STM07_IS(D1485,55,$G$5,$H$13)/$E$5))</f>
        <v/>
      </c>
      <c r="L1485" s="249" t="str">
        <f ca="1">IF(C1485="","",IF($L$11="ROA",[1]!S_STM07_IS(D1485,61,$G$5,$H$13)/[1]!S_STM07_BS(D1485,74,$G$5,$H$13),1-[1]!S_STM07_IS(D1485,61,$G$5,$H$13)/[1]!S_STM07_IS(D1485,55,$G$5,$H$13)))</f>
        <v/>
      </c>
      <c r="M1485" s="249" t="str">
        <f ca="1">IF(C1485="","",IF($M$11="ROE",[1]!S_STM07_IS(D1485,61,$G$5,$H$13)/[1]!S_STM07_BS(D1485,141,$G$5,$H$13),([1]!S_STM07_BS(D1485,25,$G$5,$H$13)-[1]!S_STM07_BS(D1485,93,$G$5,$H$13))/$E$5))</f>
        <v/>
      </c>
      <c r="N1485" s="250" t="str">
        <f ca="1">IF(C1485="","",IF($N$11="EPS",[1]!S_STM07_IS(D1485,61,$G$5,$H$13)/IF([1]!S_SHARE_TOTAL(D1485,$G$5)=0,[1]!S_SHARE_TOTAL(D1485,[1]!s_ipo_listeddate(D1485)),[1]!S_SHARE_TOTAL(D1485,$G$5)),([1]!S_STM07_BS(D1485,75,$G$5,$H$13)+[1]!S_STM07_BS(D1485,88,$G$5,$H$13)+[1]!S_STM07_BS(D1485,94,$G$5,$H$13)+[1]!S_STM07_BS(D1485,95,$G$5,$H$13))/$E$5))</f>
        <v/>
      </c>
      <c r="O1485" s="250" t="str">
        <f ca="1">IF(C1485="","",IF($O$11="BPS",[1]!S_STM07_BS(D1485,141,$G$5,$H$13)/IF([1]!S_SHARE_TOTAL(D1485,$G$5)=0,[1]!S_SHARE_TOTAL(D1485,[1]!s_ipo_listeddate(D1485)),[1]!S_SHARE_TOTAL(D1485,$G$5)),[1]!S_STM07_CS(D1485,49,$G$5,$H$13)/$E$5))</f>
        <v/>
      </c>
      <c r="P1485" s="250" t="str">
        <f ca="1">IF(C1485="","",IF($P$11="CFPS",[1]!S_STM07_CS(D1485,84,$G$5,$H$13)/IF([1]!S_SHARE_TOTAL(D1485,$G$5)=0,[1]!S_SHARE_TOTAL(D1485,[1]!s_ipo_listeddate(D1485)),[1]!S_SHARE_TOTAL(D1485,$G$5)),[1]!S_STM07_CS(D1485,84,$G$5,$H$13)/$E$5))</f>
        <v/>
      </c>
      <c r="Q1485" s="198" t="str">
        <f ca="1">IF(C1485="","",F1485/([1]!S_STM07_IS(D1485,61,$G$5,$H$13)/IF([1]!S_SHARE_TOTAL(D1485,$G$5)=0,[1]!S_SHARE_TOTAL(D1485,[1]!s_ipo_listeddate(D1485)),[1]!S_SHARE_TOTAL(D1485,$G$5))))</f>
        <v/>
      </c>
      <c r="R1485" s="198" t="str">
        <f ca="1">IF(C1485="","",F1485/([1]!S_STM07_BS(D1485,141,$G$5,$H$13)/IF([1]!S_SHARE_TOTAL(D1485,$G$5)=0,[1]!S_SHARE_TOTAL(D1485,[1]!s_ipo_listeddate(D1485)),[1]!S_SHARE_TOTAL(D1485,$G$5))))</f>
        <v/>
      </c>
      <c r="S1485" s="249" t="str">
        <f ca="1">IF(C1485="","",[1]!S_SHARE_TOTAL(D1485,TODAY())/$E$5)</f>
        <v/>
      </c>
      <c r="T1485" s="249" t="str">
        <f t="shared" ca="1" si="145"/>
        <v/>
      </c>
      <c r="U1485" s="172" t="str">
        <f t="shared" ca="1" si="146"/>
        <v/>
      </c>
      <c r="V1485" s="343" t="str">
        <f t="shared" ca="1" si="147"/>
        <v/>
      </c>
      <c r="W1485" s="139"/>
      <c r="Y1485" s="1"/>
    </row>
    <row r="1486" spans="3:25" ht="12" customHeight="1">
      <c r="C1486" s="342" t="str">
        <f t="shared" ref="C1486:C1549" ca="1" si="148">IF(ROW()-13&lt;=MAX(series),ROW()-13,"")</f>
        <v/>
      </c>
      <c r="D1486" s="153" t="str">
        <f t="shared" ca="1" si="143"/>
        <v/>
      </c>
      <c r="E1486" s="153" t="str">
        <f t="shared" ca="1" si="144"/>
        <v/>
      </c>
      <c r="F1486" s="170" t="str">
        <f ca="1">IF(C1486="","",[1]!S_DQ_CLOSE(D1486,TODAY(),1))</f>
        <v/>
      </c>
      <c r="G1486" s="171" t="str">
        <f ca="1">IF(C1486="","",[1]!s_pq_pctchange(D1486,TODAY()-$G$12,TODAY())/100)</f>
        <v/>
      </c>
      <c r="H1486" s="247" t="str">
        <f ca="1">IF(C1486="","",IF($H$11="收入",[1]!S_STM07_IS(D1486,9,$G$5,$H$13)/$E$5,[1]!S_STM07_IS(D1486,48,$G$5,$H$13)/$E$5))</f>
        <v/>
      </c>
      <c r="I1486" s="247" t="str">
        <f ca="1">IF(C1486="","",IF($I$11="毛利率",([1]!S_STM07_IS(D1486,9,$G$5,$H$13)-[1]!S_STM07_IS(D1486,10,$G$5,$H$13))/[1]!S_STM07_IS(D1486,9,$G$5,$H$13),[1]!S_STM07_IS(D1486,14,$G$5,$H$13)/$E$5))</f>
        <v/>
      </c>
      <c r="J1486" s="247" t="str">
        <f ca="1">IF(C1486="","",IF($J$11="营业利润率",[1]!S_STM07_IS(D1486,48,$G$5,$H$13)/[1]!S_STM07_IS(D1486,9,$G$5,$H$13),([1]!S_STM07_CS(D1486,87,$G$5,$H$13)+[1]!S_STM07_CS(D1486,88,$G$5,$H$13)+[1]!S_STM07_CS(D1486,89,$G$5,$H$13))/$E$5))</f>
        <v/>
      </c>
      <c r="K1486" s="247" t="str">
        <f ca="1">IF(C1486="","",IF($K$11="净利润率",[1]!S_STM07_IS(D1486,61,$G$5,$H$13)/[1]!S_STM07_IS(D1486,9,$G$5,$H$13),[1]!S_STM07_IS(D1486,55,$G$5,$H$13)/$E$5))</f>
        <v/>
      </c>
      <c r="L1486" s="247" t="str">
        <f ca="1">IF(C1486="","",IF($L$11="ROA",[1]!S_STM07_IS(D1486,61,$G$5,$H$13)/[1]!S_STM07_BS(D1486,74,$G$5,$H$13),1-[1]!S_STM07_IS(D1486,61,$G$5,$H$13)/[1]!S_STM07_IS(D1486,55,$G$5,$H$13)))</f>
        <v/>
      </c>
      <c r="M1486" s="247" t="str">
        <f ca="1">IF(C1486="","",IF($M$11="ROE",[1]!S_STM07_IS(D1486,61,$G$5,$H$13)/[1]!S_STM07_BS(D1486,141,$G$5,$H$13),([1]!S_STM07_BS(D1486,25,$G$5,$H$13)-[1]!S_STM07_BS(D1486,93,$G$5,$H$13))/$E$5))</f>
        <v/>
      </c>
      <c r="N1486" s="247" t="str">
        <f ca="1">IF(C1486="","",IF($N$11="EPS",[1]!S_STM07_IS(D1486,61,$G$5,$H$13)/IF([1]!S_SHARE_TOTAL(D1486,$G$5)=0,[1]!S_SHARE_TOTAL(D1486,[1]!s_ipo_listeddate(D1486)),[1]!S_SHARE_TOTAL(D1486,$G$5)),([1]!S_STM07_BS(D1486,75,$G$5,$H$13)+[1]!S_STM07_BS(D1486,88,$G$5,$H$13)+[1]!S_STM07_BS(D1486,94,$G$5,$H$13)+[1]!S_STM07_BS(D1486,95,$G$5,$H$13))/$E$5))</f>
        <v/>
      </c>
      <c r="O1486" s="247" t="str">
        <f ca="1">IF(C1486="","",IF($O$11="BPS",[1]!S_STM07_BS(D1486,141,$G$5,$H$13)/IF([1]!S_SHARE_TOTAL(D1486,$G$5)=0,[1]!S_SHARE_TOTAL(D1486,[1]!s_ipo_listeddate(D1486)),[1]!S_SHARE_TOTAL(D1486,$G$5)),[1]!S_STM07_CS(D1486,49,$G$5,$H$13)/$E$5))</f>
        <v/>
      </c>
      <c r="P1486" s="247" t="str">
        <f ca="1">IF(C1486="","",IF($P$11="CFPS",[1]!S_STM07_CS(D1486,84,$G$5,$H$13)/IF([1]!S_SHARE_TOTAL(D1486,$G$5)=0,[1]!S_SHARE_TOTAL(D1486,[1]!s_ipo_listeddate(D1486)),[1]!S_SHARE_TOTAL(D1486,$G$5)),[1]!S_STM07_CS(D1486,84,$G$5,$H$13)/$E$5))</f>
        <v/>
      </c>
      <c r="Q1486" s="248" t="str">
        <f ca="1">IF(C1486="","",F1486/([1]!S_STM07_IS(D1486,61,$G$5,$H$13)/IF([1]!S_SHARE_TOTAL(D1486,$G$5)=0,[1]!S_SHARE_TOTAL(D1486,[1]!s_ipo_listeddate(D1486)),[1]!S_SHARE_TOTAL(D1486,$G$5))))</f>
        <v/>
      </c>
      <c r="R1486" s="248" t="str">
        <f ca="1">IF(C1486="","",F1486/([1]!S_STM07_BS(D1486,141,$G$5,$H$13)/IF([1]!S_SHARE_TOTAL(D1486,$G$5)=0,[1]!S_SHARE_TOTAL(D1486,[1]!s_ipo_listeddate(D1486)),[1]!S_SHARE_TOTAL(D1486,$G$5))))</f>
        <v/>
      </c>
      <c r="S1486" s="247" t="str">
        <f ca="1">IF(C1486="","",[1]!S_SHARE_TOTAL(D1486,TODAY())/$E$5)</f>
        <v/>
      </c>
      <c r="T1486" s="247" t="str">
        <f t="shared" ca="1" si="145"/>
        <v/>
      </c>
      <c r="U1486" s="218" t="str">
        <f t="shared" ca="1" si="146"/>
        <v/>
      </c>
      <c r="V1486" s="342" t="str">
        <f t="shared" ca="1" si="147"/>
        <v/>
      </c>
      <c r="W1486" s="139"/>
      <c r="Y1486" s="1"/>
    </row>
    <row r="1487" spans="3:25" ht="12" customHeight="1">
      <c r="C1487" s="343" t="str">
        <f t="shared" ca="1" si="148"/>
        <v/>
      </c>
      <c r="D1487" s="124" t="str">
        <f t="shared" ca="1" si="143"/>
        <v/>
      </c>
      <c r="E1487" s="124" t="str">
        <f t="shared" ca="1" si="144"/>
        <v/>
      </c>
      <c r="F1487" s="172" t="str">
        <f ca="1">IF(C1487="","",[1]!S_DQ_CLOSE(D1487,TODAY(),1))</f>
        <v/>
      </c>
      <c r="G1487" s="173" t="str">
        <f ca="1">IF(C1487="","",[1]!s_pq_pctchange(D1487,TODAY()-$G$12,TODAY())/100)</f>
        <v/>
      </c>
      <c r="H1487" s="249" t="str">
        <f ca="1">IF(C1487="","",IF($H$11="收入",[1]!S_STM07_IS(D1487,9,$G$5,$H$13)/$E$5,[1]!S_STM07_IS(D1487,48,$G$5,$H$13)/$E$5))</f>
        <v/>
      </c>
      <c r="I1487" s="249" t="str">
        <f ca="1">IF(C1487="","",IF($I$11="毛利率",([1]!S_STM07_IS(D1487,9,$G$5,$H$13)-[1]!S_STM07_IS(D1487,10,$G$5,$H$13))/[1]!S_STM07_IS(D1487,9,$G$5,$H$13),[1]!S_STM07_IS(D1487,14,$G$5,$H$13)/$E$5))</f>
        <v/>
      </c>
      <c r="J1487" s="249" t="str">
        <f ca="1">IF(C1487="","",IF($J$11="营业利润率",[1]!S_STM07_IS(D1487,48,$G$5,$H$13)/[1]!S_STM07_IS(D1487,9,$G$5,$H$13),([1]!S_STM07_CS(D1487,87,$G$5,$H$13)+[1]!S_STM07_CS(D1487,88,$G$5,$H$13)+[1]!S_STM07_CS(D1487,89,$G$5,$H$13))/$E$5))</f>
        <v/>
      </c>
      <c r="K1487" s="249" t="str">
        <f ca="1">IF(C1487="","",IF($K$11="净利润率",[1]!S_STM07_IS(D1487,61,$G$5,$H$13)/[1]!S_STM07_IS(D1487,9,$G$5,$H$13),[1]!S_STM07_IS(D1487,55,$G$5,$H$13)/$E$5))</f>
        <v/>
      </c>
      <c r="L1487" s="249" t="str">
        <f ca="1">IF(C1487="","",IF($L$11="ROA",[1]!S_STM07_IS(D1487,61,$G$5,$H$13)/[1]!S_STM07_BS(D1487,74,$G$5,$H$13),1-[1]!S_STM07_IS(D1487,61,$G$5,$H$13)/[1]!S_STM07_IS(D1487,55,$G$5,$H$13)))</f>
        <v/>
      </c>
      <c r="M1487" s="249" t="str">
        <f ca="1">IF(C1487="","",IF($M$11="ROE",[1]!S_STM07_IS(D1487,61,$G$5,$H$13)/[1]!S_STM07_BS(D1487,141,$G$5,$H$13),([1]!S_STM07_BS(D1487,25,$G$5,$H$13)-[1]!S_STM07_BS(D1487,93,$G$5,$H$13))/$E$5))</f>
        <v/>
      </c>
      <c r="N1487" s="250" t="str">
        <f ca="1">IF(C1487="","",IF($N$11="EPS",[1]!S_STM07_IS(D1487,61,$G$5,$H$13)/IF([1]!S_SHARE_TOTAL(D1487,$G$5)=0,[1]!S_SHARE_TOTAL(D1487,[1]!s_ipo_listeddate(D1487)),[1]!S_SHARE_TOTAL(D1487,$G$5)),([1]!S_STM07_BS(D1487,75,$G$5,$H$13)+[1]!S_STM07_BS(D1487,88,$G$5,$H$13)+[1]!S_STM07_BS(D1487,94,$G$5,$H$13)+[1]!S_STM07_BS(D1487,95,$G$5,$H$13))/$E$5))</f>
        <v/>
      </c>
      <c r="O1487" s="250" t="str">
        <f ca="1">IF(C1487="","",IF($O$11="BPS",[1]!S_STM07_BS(D1487,141,$G$5,$H$13)/IF([1]!S_SHARE_TOTAL(D1487,$G$5)=0,[1]!S_SHARE_TOTAL(D1487,[1]!s_ipo_listeddate(D1487)),[1]!S_SHARE_TOTAL(D1487,$G$5)),[1]!S_STM07_CS(D1487,49,$G$5,$H$13)/$E$5))</f>
        <v/>
      </c>
      <c r="P1487" s="250" t="str">
        <f ca="1">IF(C1487="","",IF($P$11="CFPS",[1]!S_STM07_CS(D1487,84,$G$5,$H$13)/IF([1]!S_SHARE_TOTAL(D1487,$G$5)=0,[1]!S_SHARE_TOTAL(D1487,[1]!s_ipo_listeddate(D1487)),[1]!S_SHARE_TOTAL(D1487,$G$5)),[1]!S_STM07_CS(D1487,84,$G$5,$H$13)/$E$5))</f>
        <v/>
      </c>
      <c r="Q1487" s="198" t="str">
        <f ca="1">IF(C1487="","",F1487/([1]!S_STM07_IS(D1487,61,$G$5,$H$13)/IF([1]!S_SHARE_TOTAL(D1487,$G$5)=0,[1]!S_SHARE_TOTAL(D1487,[1]!s_ipo_listeddate(D1487)),[1]!S_SHARE_TOTAL(D1487,$G$5))))</f>
        <v/>
      </c>
      <c r="R1487" s="198" t="str">
        <f ca="1">IF(C1487="","",F1487/([1]!S_STM07_BS(D1487,141,$G$5,$H$13)/IF([1]!S_SHARE_TOTAL(D1487,$G$5)=0,[1]!S_SHARE_TOTAL(D1487,[1]!s_ipo_listeddate(D1487)),[1]!S_SHARE_TOTAL(D1487,$G$5))))</f>
        <v/>
      </c>
      <c r="S1487" s="249" t="str">
        <f ca="1">IF(C1487="","",[1]!S_SHARE_TOTAL(D1487,TODAY())/$E$5)</f>
        <v/>
      </c>
      <c r="T1487" s="249" t="str">
        <f t="shared" ca="1" si="145"/>
        <v/>
      </c>
      <c r="U1487" s="172" t="str">
        <f t="shared" ca="1" si="146"/>
        <v/>
      </c>
      <c r="V1487" s="343" t="str">
        <f t="shared" ca="1" si="147"/>
        <v/>
      </c>
      <c r="W1487" s="139"/>
      <c r="Y1487" s="1"/>
    </row>
    <row r="1488" spans="3:25" ht="12" customHeight="1">
      <c r="C1488" s="342" t="str">
        <f t="shared" ca="1" si="148"/>
        <v/>
      </c>
      <c r="D1488" s="153" t="str">
        <f t="shared" ca="1" si="143"/>
        <v/>
      </c>
      <c r="E1488" s="153" t="str">
        <f t="shared" ca="1" si="144"/>
        <v/>
      </c>
      <c r="F1488" s="170" t="str">
        <f ca="1">IF(C1488="","",[1]!S_DQ_CLOSE(D1488,TODAY(),1))</f>
        <v/>
      </c>
      <c r="G1488" s="171" t="str">
        <f ca="1">IF(C1488="","",[1]!s_pq_pctchange(D1488,TODAY()-$G$12,TODAY())/100)</f>
        <v/>
      </c>
      <c r="H1488" s="247" t="str">
        <f ca="1">IF(C1488="","",IF($H$11="收入",[1]!S_STM07_IS(D1488,9,$G$5,$H$13)/$E$5,[1]!S_STM07_IS(D1488,48,$G$5,$H$13)/$E$5))</f>
        <v/>
      </c>
      <c r="I1488" s="247" t="str">
        <f ca="1">IF(C1488="","",IF($I$11="毛利率",([1]!S_STM07_IS(D1488,9,$G$5,$H$13)-[1]!S_STM07_IS(D1488,10,$G$5,$H$13))/[1]!S_STM07_IS(D1488,9,$G$5,$H$13),[1]!S_STM07_IS(D1488,14,$G$5,$H$13)/$E$5))</f>
        <v/>
      </c>
      <c r="J1488" s="247" t="str">
        <f ca="1">IF(C1488="","",IF($J$11="营业利润率",[1]!S_STM07_IS(D1488,48,$G$5,$H$13)/[1]!S_STM07_IS(D1488,9,$G$5,$H$13),([1]!S_STM07_CS(D1488,87,$G$5,$H$13)+[1]!S_STM07_CS(D1488,88,$G$5,$H$13)+[1]!S_STM07_CS(D1488,89,$G$5,$H$13))/$E$5))</f>
        <v/>
      </c>
      <c r="K1488" s="247" t="str">
        <f ca="1">IF(C1488="","",IF($K$11="净利润率",[1]!S_STM07_IS(D1488,61,$G$5,$H$13)/[1]!S_STM07_IS(D1488,9,$G$5,$H$13),[1]!S_STM07_IS(D1488,55,$G$5,$H$13)/$E$5))</f>
        <v/>
      </c>
      <c r="L1488" s="247" t="str">
        <f ca="1">IF(C1488="","",IF($L$11="ROA",[1]!S_STM07_IS(D1488,61,$G$5,$H$13)/[1]!S_STM07_BS(D1488,74,$G$5,$H$13),1-[1]!S_STM07_IS(D1488,61,$G$5,$H$13)/[1]!S_STM07_IS(D1488,55,$G$5,$H$13)))</f>
        <v/>
      </c>
      <c r="M1488" s="247" t="str">
        <f ca="1">IF(C1488="","",IF($M$11="ROE",[1]!S_STM07_IS(D1488,61,$G$5,$H$13)/[1]!S_STM07_BS(D1488,141,$G$5,$H$13),([1]!S_STM07_BS(D1488,25,$G$5,$H$13)-[1]!S_STM07_BS(D1488,93,$G$5,$H$13))/$E$5))</f>
        <v/>
      </c>
      <c r="N1488" s="247" t="str">
        <f ca="1">IF(C1488="","",IF($N$11="EPS",[1]!S_STM07_IS(D1488,61,$G$5,$H$13)/IF([1]!S_SHARE_TOTAL(D1488,$G$5)=0,[1]!S_SHARE_TOTAL(D1488,[1]!s_ipo_listeddate(D1488)),[1]!S_SHARE_TOTAL(D1488,$G$5)),([1]!S_STM07_BS(D1488,75,$G$5,$H$13)+[1]!S_STM07_BS(D1488,88,$G$5,$H$13)+[1]!S_STM07_BS(D1488,94,$G$5,$H$13)+[1]!S_STM07_BS(D1488,95,$G$5,$H$13))/$E$5))</f>
        <v/>
      </c>
      <c r="O1488" s="247" t="str">
        <f ca="1">IF(C1488="","",IF($O$11="BPS",[1]!S_STM07_BS(D1488,141,$G$5,$H$13)/IF([1]!S_SHARE_TOTAL(D1488,$G$5)=0,[1]!S_SHARE_TOTAL(D1488,[1]!s_ipo_listeddate(D1488)),[1]!S_SHARE_TOTAL(D1488,$G$5)),[1]!S_STM07_CS(D1488,49,$G$5,$H$13)/$E$5))</f>
        <v/>
      </c>
      <c r="P1488" s="247" t="str">
        <f ca="1">IF(C1488="","",IF($P$11="CFPS",[1]!S_STM07_CS(D1488,84,$G$5,$H$13)/IF([1]!S_SHARE_TOTAL(D1488,$G$5)=0,[1]!S_SHARE_TOTAL(D1488,[1]!s_ipo_listeddate(D1488)),[1]!S_SHARE_TOTAL(D1488,$G$5)),[1]!S_STM07_CS(D1488,84,$G$5,$H$13)/$E$5))</f>
        <v/>
      </c>
      <c r="Q1488" s="248" t="str">
        <f ca="1">IF(C1488="","",F1488/([1]!S_STM07_IS(D1488,61,$G$5,$H$13)/IF([1]!S_SHARE_TOTAL(D1488,$G$5)=0,[1]!S_SHARE_TOTAL(D1488,[1]!s_ipo_listeddate(D1488)),[1]!S_SHARE_TOTAL(D1488,$G$5))))</f>
        <v/>
      </c>
      <c r="R1488" s="248" t="str">
        <f ca="1">IF(C1488="","",F1488/([1]!S_STM07_BS(D1488,141,$G$5,$H$13)/IF([1]!S_SHARE_TOTAL(D1488,$G$5)=0,[1]!S_SHARE_TOTAL(D1488,[1]!s_ipo_listeddate(D1488)),[1]!S_SHARE_TOTAL(D1488,$G$5))))</f>
        <v/>
      </c>
      <c r="S1488" s="247" t="str">
        <f ca="1">IF(C1488="","",[1]!S_SHARE_TOTAL(D1488,TODAY())/$E$5)</f>
        <v/>
      </c>
      <c r="T1488" s="247" t="str">
        <f t="shared" ca="1" si="145"/>
        <v/>
      </c>
      <c r="U1488" s="218" t="str">
        <f t="shared" ca="1" si="146"/>
        <v/>
      </c>
      <c r="V1488" s="342" t="str">
        <f t="shared" ca="1" si="147"/>
        <v/>
      </c>
      <c r="W1488" s="139"/>
      <c r="Y1488" s="1"/>
    </row>
    <row r="1489" spans="3:25" ht="12" customHeight="1">
      <c r="C1489" s="343" t="str">
        <f t="shared" ca="1" si="148"/>
        <v/>
      </c>
      <c r="D1489" s="124" t="str">
        <f t="shared" ca="1" si="143"/>
        <v/>
      </c>
      <c r="E1489" s="124" t="str">
        <f t="shared" ca="1" si="144"/>
        <v/>
      </c>
      <c r="F1489" s="172" t="str">
        <f ca="1">IF(C1489="","",[1]!S_DQ_CLOSE(D1489,TODAY(),1))</f>
        <v/>
      </c>
      <c r="G1489" s="173" t="str">
        <f ca="1">IF(C1489="","",[1]!s_pq_pctchange(D1489,TODAY()-$G$12,TODAY())/100)</f>
        <v/>
      </c>
      <c r="H1489" s="249" t="str">
        <f ca="1">IF(C1489="","",IF($H$11="收入",[1]!S_STM07_IS(D1489,9,$G$5,$H$13)/$E$5,[1]!S_STM07_IS(D1489,48,$G$5,$H$13)/$E$5))</f>
        <v/>
      </c>
      <c r="I1489" s="249" t="str">
        <f ca="1">IF(C1489="","",IF($I$11="毛利率",([1]!S_STM07_IS(D1489,9,$G$5,$H$13)-[1]!S_STM07_IS(D1489,10,$G$5,$H$13))/[1]!S_STM07_IS(D1489,9,$G$5,$H$13),[1]!S_STM07_IS(D1489,14,$G$5,$H$13)/$E$5))</f>
        <v/>
      </c>
      <c r="J1489" s="249" t="str">
        <f ca="1">IF(C1489="","",IF($J$11="营业利润率",[1]!S_STM07_IS(D1489,48,$G$5,$H$13)/[1]!S_STM07_IS(D1489,9,$G$5,$H$13),([1]!S_STM07_CS(D1489,87,$G$5,$H$13)+[1]!S_STM07_CS(D1489,88,$G$5,$H$13)+[1]!S_STM07_CS(D1489,89,$G$5,$H$13))/$E$5))</f>
        <v/>
      </c>
      <c r="K1489" s="249" t="str">
        <f ca="1">IF(C1489="","",IF($K$11="净利润率",[1]!S_STM07_IS(D1489,61,$G$5,$H$13)/[1]!S_STM07_IS(D1489,9,$G$5,$H$13),[1]!S_STM07_IS(D1489,55,$G$5,$H$13)/$E$5))</f>
        <v/>
      </c>
      <c r="L1489" s="249" t="str">
        <f ca="1">IF(C1489="","",IF($L$11="ROA",[1]!S_STM07_IS(D1489,61,$G$5,$H$13)/[1]!S_STM07_BS(D1489,74,$G$5,$H$13),1-[1]!S_STM07_IS(D1489,61,$G$5,$H$13)/[1]!S_STM07_IS(D1489,55,$G$5,$H$13)))</f>
        <v/>
      </c>
      <c r="M1489" s="249" t="str">
        <f ca="1">IF(C1489="","",IF($M$11="ROE",[1]!S_STM07_IS(D1489,61,$G$5,$H$13)/[1]!S_STM07_BS(D1489,141,$G$5,$H$13),([1]!S_STM07_BS(D1489,25,$G$5,$H$13)-[1]!S_STM07_BS(D1489,93,$G$5,$H$13))/$E$5))</f>
        <v/>
      </c>
      <c r="N1489" s="250" t="str">
        <f ca="1">IF(C1489="","",IF($N$11="EPS",[1]!S_STM07_IS(D1489,61,$G$5,$H$13)/IF([1]!S_SHARE_TOTAL(D1489,$G$5)=0,[1]!S_SHARE_TOTAL(D1489,[1]!s_ipo_listeddate(D1489)),[1]!S_SHARE_TOTAL(D1489,$G$5)),([1]!S_STM07_BS(D1489,75,$G$5,$H$13)+[1]!S_STM07_BS(D1489,88,$G$5,$H$13)+[1]!S_STM07_BS(D1489,94,$G$5,$H$13)+[1]!S_STM07_BS(D1489,95,$G$5,$H$13))/$E$5))</f>
        <v/>
      </c>
      <c r="O1489" s="250" t="str">
        <f ca="1">IF(C1489="","",IF($O$11="BPS",[1]!S_STM07_BS(D1489,141,$G$5,$H$13)/IF([1]!S_SHARE_TOTAL(D1489,$G$5)=0,[1]!S_SHARE_TOTAL(D1489,[1]!s_ipo_listeddate(D1489)),[1]!S_SHARE_TOTAL(D1489,$G$5)),[1]!S_STM07_CS(D1489,49,$G$5,$H$13)/$E$5))</f>
        <v/>
      </c>
      <c r="P1489" s="250" t="str">
        <f ca="1">IF(C1489="","",IF($P$11="CFPS",[1]!S_STM07_CS(D1489,84,$G$5,$H$13)/IF([1]!S_SHARE_TOTAL(D1489,$G$5)=0,[1]!S_SHARE_TOTAL(D1489,[1]!s_ipo_listeddate(D1489)),[1]!S_SHARE_TOTAL(D1489,$G$5)),[1]!S_STM07_CS(D1489,84,$G$5,$H$13)/$E$5))</f>
        <v/>
      </c>
      <c r="Q1489" s="198" t="str">
        <f ca="1">IF(C1489="","",F1489/([1]!S_STM07_IS(D1489,61,$G$5,$H$13)/IF([1]!S_SHARE_TOTAL(D1489,$G$5)=0,[1]!S_SHARE_TOTAL(D1489,[1]!s_ipo_listeddate(D1489)),[1]!S_SHARE_TOTAL(D1489,$G$5))))</f>
        <v/>
      </c>
      <c r="R1489" s="198" t="str">
        <f ca="1">IF(C1489="","",F1489/([1]!S_STM07_BS(D1489,141,$G$5,$H$13)/IF([1]!S_SHARE_TOTAL(D1489,$G$5)=0,[1]!S_SHARE_TOTAL(D1489,[1]!s_ipo_listeddate(D1489)),[1]!S_SHARE_TOTAL(D1489,$G$5))))</f>
        <v/>
      </c>
      <c r="S1489" s="249" t="str">
        <f ca="1">IF(C1489="","",[1]!S_SHARE_TOTAL(D1489,TODAY())/$E$5)</f>
        <v/>
      </c>
      <c r="T1489" s="249" t="str">
        <f t="shared" ca="1" si="145"/>
        <v/>
      </c>
      <c r="U1489" s="172" t="str">
        <f t="shared" ca="1" si="146"/>
        <v/>
      </c>
      <c r="V1489" s="343" t="str">
        <f t="shared" ca="1" si="147"/>
        <v/>
      </c>
      <c r="W1489" s="139"/>
      <c r="Y1489" s="1"/>
    </row>
    <row r="1490" spans="3:25" ht="12" customHeight="1">
      <c r="C1490" s="342" t="str">
        <f t="shared" ca="1" si="148"/>
        <v/>
      </c>
      <c r="D1490" s="153" t="str">
        <f t="shared" ca="1" si="143"/>
        <v/>
      </c>
      <c r="E1490" s="153" t="str">
        <f t="shared" ca="1" si="144"/>
        <v/>
      </c>
      <c r="F1490" s="170" t="str">
        <f ca="1">IF(C1490="","",[1]!S_DQ_CLOSE(D1490,TODAY(),1))</f>
        <v/>
      </c>
      <c r="G1490" s="171" t="str">
        <f ca="1">IF(C1490="","",[1]!s_pq_pctchange(D1490,TODAY()-$G$12,TODAY())/100)</f>
        <v/>
      </c>
      <c r="H1490" s="247" t="str">
        <f ca="1">IF(C1490="","",IF($H$11="收入",[1]!S_STM07_IS(D1490,9,$G$5,$H$13)/$E$5,[1]!S_STM07_IS(D1490,48,$G$5,$H$13)/$E$5))</f>
        <v/>
      </c>
      <c r="I1490" s="247" t="str">
        <f ca="1">IF(C1490="","",IF($I$11="毛利率",([1]!S_STM07_IS(D1490,9,$G$5,$H$13)-[1]!S_STM07_IS(D1490,10,$G$5,$H$13))/[1]!S_STM07_IS(D1490,9,$G$5,$H$13),[1]!S_STM07_IS(D1490,14,$G$5,$H$13)/$E$5))</f>
        <v/>
      </c>
      <c r="J1490" s="247" t="str">
        <f ca="1">IF(C1490="","",IF($J$11="营业利润率",[1]!S_STM07_IS(D1490,48,$G$5,$H$13)/[1]!S_STM07_IS(D1490,9,$G$5,$H$13),([1]!S_STM07_CS(D1490,87,$G$5,$H$13)+[1]!S_STM07_CS(D1490,88,$G$5,$H$13)+[1]!S_STM07_CS(D1490,89,$G$5,$H$13))/$E$5))</f>
        <v/>
      </c>
      <c r="K1490" s="247" t="str">
        <f ca="1">IF(C1490="","",IF($K$11="净利润率",[1]!S_STM07_IS(D1490,61,$G$5,$H$13)/[1]!S_STM07_IS(D1490,9,$G$5,$H$13),[1]!S_STM07_IS(D1490,55,$G$5,$H$13)/$E$5))</f>
        <v/>
      </c>
      <c r="L1490" s="247" t="str">
        <f ca="1">IF(C1490="","",IF($L$11="ROA",[1]!S_STM07_IS(D1490,61,$G$5,$H$13)/[1]!S_STM07_BS(D1490,74,$G$5,$H$13),1-[1]!S_STM07_IS(D1490,61,$G$5,$H$13)/[1]!S_STM07_IS(D1490,55,$G$5,$H$13)))</f>
        <v/>
      </c>
      <c r="M1490" s="247" t="str">
        <f ca="1">IF(C1490="","",IF($M$11="ROE",[1]!S_STM07_IS(D1490,61,$G$5,$H$13)/[1]!S_STM07_BS(D1490,141,$G$5,$H$13),([1]!S_STM07_BS(D1490,25,$G$5,$H$13)-[1]!S_STM07_BS(D1490,93,$G$5,$H$13))/$E$5))</f>
        <v/>
      </c>
      <c r="N1490" s="247" t="str">
        <f ca="1">IF(C1490="","",IF($N$11="EPS",[1]!S_STM07_IS(D1490,61,$G$5,$H$13)/IF([1]!S_SHARE_TOTAL(D1490,$G$5)=0,[1]!S_SHARE_TOTAL(D1490,[1]!s_ipo_listeddate(D1490)),[1]!S_SHARE_TOTAL(D1490,$G$5)),([1]!S_STM07_BS(D1490,75,$G$5,$H$13)+[1]!S_STM07_BS(D1490,88,$G$5,$H$13)+[1]!S_STM07_BS(D1490,94,$G$5,$H$13)+[1]!S_STM07_BS(D1490,95,$G$5,$H$13))/$E$5))</f>
        <v/>
      </c>
      <c r="O1490" s="247" t="str">
        <f ca="1">IF(C1490="","",IF($O$11="BPS",[1]!S_STM07_BS(D1490,141,$G$5,$H$13)/IF([1]!S_SHARE_TOTAL(D1490,$G$5)=0,[1]!S_SHARE_TOTAL(D1490,[1]!s_ipo_listeddate(D1490)),[1]!S_SHARE_TOTAL(D1490,$G$5)),[1]!S_STM07_CS(D1490,49,$G$5,$H$13)/$E$5))</f>
        <v/>
      </c>
      <c r="P1490" s="247" t="str">
        <f ca="1">IF(C1490="","",IF($P$11="CFPS",[1]!S_STM07_CS(D1490,84,$G$5,$H$13)/IF([1]!S_SHARE_TOTAL(D1490,$G$5)=0,[1]!S_SHARE_TOTAL(D1490,[1]!s_ipo_listeddate(D1490)),[1]!S_SHARE_TOTAL(D1490,$G$5)),[1]!S_STM07_CS(D1490,84,$G$5,$H$13)/$E$5))</f>
        <v/>
      </c>
      <c r="Q1490" s="248" t="str">
        <f ca="1">IF(C1490="","",F1490/([1]!S_STM07_IS(D1490,61,$G$5,$H$13)/IF([1]!S_SHARE_TOTAL(D1490,$G$5)=0,[1]!S_SHARE_TOTAL(D1490,[1]!s_ipo_listeddate(D1490)),[1]!S_SHARE_TOTAL(D1490,$G$5))))</f>
        <v/>
      </c>
      <c r="R1490" s="248" t="str">
        <f ca="1">IF(C1490="","",F1490/([1]!S_STM07_BS(D1490,141,$G$5,$H$13)/IF([1]!S_SHARE_TOTAL(D1490,$G$5)=0,[1]!S_SHARE_TOTAL(D1490,[1]!s_ipo_listeddate(D1490)),[1]!S_SHARE_TOTAL(D1490,$G$5))))</f>
        <v/>
      </c>
      <c r="S1490" s="247" t="str">
        <f ca="1">IF(C1490="","",[1]!S_SHARE_TOTAL(D1490,TODAY())/$E$5)</f>
        <v/>
      </c>
      <c r="T1490" s="247" t="str">
        <f t="shared" ca="1" si="145"/>
        <v/>
      </c>
      <c r="U1490" s="218" t="str">
        <f t="shared" ca="1" si="146"/>
        <v/>
      </c>
      <c r="V1490" s="342" t="str">
        <f t="shared" ca="1" si="147"/>
        <v/>
      </c>
      <c r="W1490" s="139"/>
      <c r="Y1490" s="1"/>
    </row>
    <row r="1491" spans="3:25" ht="12" customHeight="1">
      <c r="C1491" s="343" t="str">
        <f t="shared" ca="1" si="148"/>
        <v/>
      </c>
      <c r="D1491" s="124" t="str">
        <f t="shared" ca="1" si="143"/>
        <v/>
      </c>
      <c r="E1491" s="124" t="str">
        <f t="shared" ca="1" si="144"/>
        <v/>
      </c>
      <c r="F1491" s="172" t="str">
        <f ca="1">IF(C1491="","",[1]!S_DQ_CLOSE(D1491,TODAY(),1))</f>
        <v/>
      </c>
      <c r="G1491" s="173" t="str">
        <f ca="1">IF(C1491="","",[1]!s_pq_pctchange(D1491,TODAY()-$G$12,TODAY())/100)</f>
        <v/>
      </c>
      <c r="H1491" s="249" t="str">
        <f ca="1">IF(C1491="","",IF($H$11="收入",[1]!S_STM07_IS(D1491,9,$G$5,$H$13)/$E$5,[1]!S_STM07_IS(D1491,48,$G$5,$H$13)/$E$5))</f>
        <v/>
      </c>
      <c r="I1491" s="249" t="str">
        <f ca="1">IF(C1491="","",IF($I$11="毛利率",([1]!S_STM07_IS(D1491,9,$G$5,$H$13)-[1]!S_STM07_IS(D1491,10,$G$5,$H$13))/[1]!S_STM07_IS(D1491,9,$G$5,$H$13),[1]!S_STM07_IS(D1491,14,$G$5,$H$13)/$E$5))</f>
        <v/>
      </c>
      <c r="J1491" s="249" t="str">
        <f ca="1">IF(C1491="","",IF($J$11="营业利润率",[1]!S_STM07_IS(D1491,48,$G$5,$H$13)/[1]!S_STM07_IS(D1491,9,$G$5,$H$13),([1]!S_STM07_CS(D1491,87,$G$5,$H$13)+[1]!S_STM07_CS(D1491,88,$G$5,$H$13)+[1]!S_STM07_CS(D1491,89,$G$5,$H$13))/$E$5))</f>
        <v/>
      </c>
      <c r="K1491" s="249" t="str">
        <f ca="1">IF(C1491="","",IF($K$11="净利润率",[1]!S_STM07_IS(D1491,61,$G$5,$H$13)/[1]!S_STM07_IS(D1491,9,$G$5,$H$13),[1]!S_STM07_IS(D1491,55,$G$5,$H$13)/$E$5))</f>
        <v/>
      </c>
      <c r="L1491" s="249" t="str">
        <f ca="1">IF(C1491="","",IF($L$11="ROA",[1]!S_STM07_IS(D1491,61,$G$5,$H$13)/[1]!S_STM07_BS(D1491,74,$G$5,$H$13),1-[1]!S_STM07_IS(D1491,61,$G$5,$H$13)/[1]!S_STM07_IS(D1491,55,$G$5,$H$13)))</f>
        <v/>
      </c>
      <c r="M1491" s="249" t="str">
        <f ca="1">IF(C1491="","",IF($M$11="ROE",[1]!S_STM07_IS(D1491,61,$G$5,$H$13)/[1]!S_STM07_BS(D1491,141,$G$5,$H$13),([1]!S_STM07_BS(D1491,25,$G$5,$H$13)-[1]!S_STM07_BS(D1491,93,$G$5,$H$13))/$E$5))</f>
        <v/>
      </c>
      <c r="N1491" s="250" t="str">
        <f ca="1">IF(C1491="","",IF($N$11="EPS",[1]!S_STM07_IS(D1491,61,$G$5,$H$13)/IF([1]!S_SHARE_TOTAL(D1491,$G$5)=0,[1]!S_SHARE_TOTAL(D1491,[1]!s_ipo_listeddate(D1491)),[1]!S_SHARE_TOTAL(D1491,$G$5)),([1]!S_STM07_BS(D1491,75,$G$5,$H$13)+[1]!S_STM07_BS(D1491,88,$G$5,$H$13)+[1]!S_STM07_BS(D1491,94,$G$5,$H$13)+[1]!S_STM07_BS(D1491,95,$G$5,$H$13))/$E$5))</f>
        <v/>
      </c>
      <c r="O1491" s="250" t="str">
        <f ca="1">IF(C1491="","",IF($O$11="BPS",[1]!S_STM07_BS(D1491,141,$G$5,$H$13)/IF([1]!S_SHARE_TOTAL(D1491,$G$5)=0,[1]!S_SHARE_TOTAL(D1491,[1]!s_ipo_listeddate(D1491)),[1]!S_SHARE_TOTAL(D1491,$G$5)),[1]!S_STM07_CS(D1491,49,$G$5,$H$13)/$E$5))</f>
        <v/>
      </c>
      <c r="P1491" s="250" t="str">
        <f ca="1">IF(C1491="","",IF($P$11="CFPS",[1]!S_STM07_CS(D1491,84,$G$5,$H$13)/IF([1]!S_SHARE_TOTAL(D1491,$G$5)=0,[1]!S_SHARE_TOTAL(D1491,[1]!s_ipo_listeddate(D1491)),[1]!S_SHARE_TOTAL(D1491,$G$5)),[1]!S_STM07_CS(D1491,84,$G$5,$H$13)/$E$5))</f>
        <v/>
      </c>
      <c r="Q1491" s="198" t="str">
        <f ca="1">IF(C1491="","",F1491/([1]!S_STM07_IS(D1491,61,$G$5,$H$13)/IF([1]!S_SHARE_TOTAL(D1491,$G$5)=0,[1]!S_SHARE_TOTAL(D1491,[1]!s_ipo_listeddate(D1491)),[1]!S_SHARE_TOTAL(D1491,$G$5))))</f>
        <v/>
      </c>
      <c r="R1491" s="198" t="str">
        <f ca="1">IF(C1491="","",F1491/([1]!S_STM07_BS(D1491,141,$G$5,$H$13)/IF([1]!S_SHARE_TOTAL(D1491,$G$5)=0,[1]!S_SHARE_TOTAL(D1491,[1]!s_ipo_listeddate(D1491)),[1]!S_SHARE_TOTAL(D1491,$G$5))))</f>
        <v/>
      </c>
      <c r="S1491" s="249" t="str">
        <f ca="1">IF(C1491="","",[1]!S_SHARE_TOTAL(D1491,TODAY())/$E$5)</f>
        <v/>
      </c>
      <c r="T1491" s="249" t="str">
        <f t="shared" ca="1" si="145"/>
        <v/>
      </c>
      <c r="U1491" s="172" t="str">
        <f t="shared" ca="1" si="146"/>
        <v/>
      </c>
      <c r="V1491" s="343" t="str">
        <f t="shared" ca="1" si="147"/>
        <v/>
      </c>
      <c r="W1491" s="139"/>
      <c r="Y1491" s="1"/>
    </row>
    <row r="1492" spans="3:25" ht="12" customHeight="1">
      <c r="C1492" s="342" t="str">
        <f t="shared" ca="1" si="148"/>
        <v/>
      </c>
      <c r="D1492" s="153" t="str">
        <f t="shared" ca="1" si="143"/>
        <v/>
      </c>
      <c r="E1492" s="153" t="str">
        <f t="shared" ca="1" si="144"/>
        <v/>
      </c>
      <c r="F1492" s="170" t="str">
        <f ca="1">IF(C1492="","",[1]!S_DQ_CLOSE(D1492,TODAY(),1))</f>
        <v/>
      </c>
      <c r="G1492" s="171" t="str">
        <f ca="1">IF(C1492="","",[1]!s_pq_pctchange(D1492,TODAY()-$G$12,TODAY())/100)</f>
        <v/>
      </c>
      <c r="H1492" s="247" t="str">
        <f ca="1">IF(C1492="","",IF($H$11="收入",[1]!S_STM07_IS(D1492,9,$G$5,$H$13)/$E$5,[1]!S_STM07_IS(D1492,48,$G$5,$H$13)/$E$5))</f>
        <v/>
      </c>
      <c r="I1492" s="247" t="str">
        <f ca="1">IF(C1492="","",IF($I$11="毛利率",([1]!S_STM07_IS(D1492,9,$G$5,$H$13)-[1]!S_STM07_IS(D1492,10,$G$5,$H$13))/[1]!S_STM07_IS(D1492,9,$G$5,$H$13),[1]!S_STM07_IS(D1492,14,$G$5,$H$13)/$E$5))</f>
        <v/>
      </c>
      <c r="J1492" s="247" t="str">
        <f ca="1">IF(C1492="","",IF($J$11="营业利润率",[1]!S_STM07_IS(D1492,48,$G$5,$H$13)/[1]!S_STM07_IS(D1492,9,$G$5,$H$13),([1]!S_STM07_CS(D1492,87,$G$5,$H$13)+[1]!S_STM07_CS(D1492,88,$G$5,$H$13)+[1]!S_STM07_CS(D1492,89,$G$5,$H$13))/$E$5))</f>
        <v/>
      </c>
      <c r="K1492" s="247" t="str">
        <f ca="1">IF(C1492="","",IF($K$11="净利润率",[1]!S_STM07_IS(D1492,61,$G$5,$H$13)/[1]!S_STM07_IS(D1492,9,$G$5,$H$13),[1]!S_STM07_IS(D1492,55,$G$5,$H$13)/$E$5))</f>
        <v/>
      </c>
      <c r="L1492" s="247" t="str">
        <f ca="1">IF(C1492="","",IF($L$11="ROA",[1]!S_STM07_IS(D1492,61,$G$5,$H$13)/[1]!S_STM07_BS(D1492,74,$G$5,$H$13),1-[1]!S_STM07_IS(D1492,61,$G$5,$H$13)/[1]!S_STM07_IS(D1492,55,$G$5,$H$13)))</f>
        <v/>
      </c>
      <c r="M1492" s="247" t="str">
        <f ca="1">IF(C1492="","",IF($M$11="ROE",[1]!S_STM07_IS(D1492,61,$G$5,$H$13)/[1]!S_STM07_BS(D1492,141,$G$5,$H$13),([1]!S_STM07_BS(D1492,25,$G$5,$H$13)-[1]!S_STM07_BS(D1492,93,$G$5,$H$13))/$E$5))</f>
        <v/>
      </c>
      <c r="N1492" s="247" t="str">
        <f ca="1">IF(C1492="","",IF($N$11="EPS",[1]!S_STM07_IS(D1492,61,$G$5,$H$13)/IF([1]!S_SHARE_TOTAL(D1492,$G$5)=0,[1]!S_SHARE_TOTAL(D1492,[1]!s_ipo_listeddate(D1492)),[1]!S_SHARE_TOTAL(D1492,$G$5)),([1]!S_STM07_BS(D1492,75,$G$5,$H$13)+[1]!S_STM07_BS(D1492,88,$G$5,$H$13)+[1]!S_STM07_BS(D1492,94,$G$5,$H$13)+[1]!S_STM07_BS(D1492,95,$G$5,$H$13))/$E$5))</f>
        <v/>
      </c>
      <c r="O1492" s="247" t="str">
        <f ca="1">IF(C1492="","",IF($O$11="BPS",[1]!S_STM07_BS(D1492,141,$G$5,$H$13)/IF([1]!S_SHARE_TOTAL(D1492,$G$5)=0,[1]!S_SHARE_TOTAL(D1492,[1]!s_ipo_listeddate(D1492)),[1]!S_SHARE_TOTAL(D1492,$G$5)),[1]!S_STM07_CS(D1492,49,$G$5,$H$13)/$E$5))</f>
        <v/>
      </c>
      <c r="P1492" s="247" t="str">
        <f ca="1">IF(C1492="","",IF($P$11="CFPS",[1]!S_STM07_CS(D1492,84,$G$5,$H$13)/IF([1]!S_SHARE_TOTAL(D1492,$G$5)=0,[1]!S_SHARE_TOTAL(D1492,[1]!s_ipo_listeddate(D1492)),[1]!S_SHARE_TOTAL(D1492,$G$5)),[1]!S_STM07_CS(D1492,84,$G$5,$H$13)/$E$5))</f>
        <v/>
      </c>
      <c r="Q1492" s="248" t="str">
        <f ca="1">IF(C1492="","",F1492/([1]!S_STM07_IS(D1492,61,$G$5,$H$13)/IF([1]!S_SHARE_TOTAL(D1492,$G$5)=0,[1]!S_SHARE_TOTAL(D1492,[1]!s_ipo_listeddate(D1492)),[1]!S_SHARE_TOTAL(D1492,$G$5))))</f>
        <v/>
      </c>
      <c r="R1492" s="248" t="str">
        <f ca="1">IF(C1492="","",F1492/([1]!S_STM07_BS(D1492,141,$G$5,$H$13)/IF([1]!S_SHARE_TOTAL(D1492,$G$5)=0,[1]!S_SHARE_TOTAL(D1492,[1]!s_ipo_listeddate(D1492)),[1]!S_SHARE_TOTAL(D1492,$G$5))))</f>
        <v/>
      </c>
      <c r="S1492" s="247" t="str">
        <f ca="1">IF(C1492="","",[1]!S_SHARE_TOTAL(D1492,TODAY())/$E$5)</f>
        <v/>
      </c>
      <c r="T1492" s="247" t="str">
        <f t="shared" ca="1" si="145"/>
        <v/>
      </c>
      <c r="U1492" s="218" t="str">
        <f t="shared" ca="1" si="146"/>
        <v/>
      </c>
      <c r="V1492" s="342" t="str">
        <f t="shared" ca="1" si="147"/>
        <v/>
      </c>
      <c r="W1492" s="139"/>
      <c r="Y1492" s="1"/>
    </row>
    <row r="1493" spans="3:25" ht="12" customHeight="1">
      <c r="C1493" s="343" t="str">
        <f t="shared" ca="1" si="148"/>
        <v/>
      </c>
      <c r="D1493" s="124" t="str">
        <f t="shared" ca="1" si="143"/>
        <v/>
      </c>
      <c r="E1493" s="124" t="str">
        <f t="shared" ca="1" si="144"/>
        <v/>
      </c>
      <c r="F1493" s="172" t="str">
        <f ca="1">IF(C1493="","",[1]!S_DQ_CLOSE(D1493,TODAY(),1))</f>
        <v/>
      </c>
      <c r="G1493" s="173" t="str">
        <f ca="1">IF(C1493="","",[1]!s_pq_pctchange(D1493,TODAY()-$G$12,TODAY())/100)</f>
        <v/>
      </c>
      <c r="H1493" s="249" t="str">
        <f ca="1">IF(C1493="","",IF($H$11="收入",[1]!S_STM07_IS(D1493,9,$G$5,$H$13)/$E$5,[1]!S_STM07_IS(D1493,48,$G$5,$H$13)/$E$5))</f>
        <v/>
      </c>
      <c r="I1493" s="249" t="str">
        <f ca="1">IF(C1493="","",IF($I$11="毛利率",([1]!S_STM07_IS(D1493,9,$G$5,$H$13)-[1]!S_STM07_IS(D1493,10,$G$5,$H$13))/[1]!S_STM07_IS(D1493,9,$G$5,$H$13),[1]!S_STM07_IS(D1493,14,$G$5,$H$13)/$E$5))</f>
        <v/>
      </c>
      <c r="J1493" s="249" t="str">
        <f ca="1">IF(C1493="","",IF($J$11="营业利润率",[1]!S_STM07_IS(D1493,48,$G$5,$H$13)/[1]!S_STM07_IS(D1493,9,$G$5,$H$13),([1]!S_STM07_CS(D1493,87,$G$5,$H$13)+[1]!S_STM07_CS(D1493,88,$G$5,$H$13)+[1]!S_STM07_CS(D1493,89,$G$5,$H$13))/$E$5))</f>
        <v/>
      </c>
      <c r="K1493" s="249" t="str">
        <f ca="1">IF(C1493="","",IF($K$11="净利润率",[1]!S_STM07_IS(D1493,61,$G$5,$H$13)/[1]!S_STM07_IS(D1493,9,$G$5,$H$13),[1]!S_STM07_IS(D1493,55,$G$5,$H$13)/$E$5))</f>
        <v/>
      </c>
      <c r="L1493" s="249" t="str">
        <f ca="1">IF(C1493="","",IF($L$11="ROA",[1]!S_STM07_IS(D1493,61,$G$5,$H$13)/[1]!S_STM07_BS(D1493,74,$G$5,$H$13),1-[1]!S_STM07_IS(D1493,61,$G$5,$H$13)/[1]!S_STM07_IS(D1493,55,$G$5,$H$13)))</f>
        <v/>
      </c>
      <c r="M1493" s="249" t="str">
        <f ca="1">IF(C1493="","",IF($M$11="ROE",[1]!S_STM07_IS(D1493,61,$G$5,$H$13)/[1]!S_STM07_BS(D1493,141,$G$5,$H$13),([1]!S_STM07_BS(D1493,25,$G$5,$H$13)-[1]!S_STM07_BS(D1493,93,$G$5,$H$13))/$E$5))</f>
        <v/>
      </c>
      <c r="N1493" s="250" t="str">
        <f ca="1">IF(C1493="","",IF($N$11="EPS",[1]!S_STM07_IS(D1493,61,$G$5,$H$13)/IF([1]!S_SHARE_TOTAL(D1493,$G$5)=0,[1]!S_SHARE_TOTAL(D1493,[1]!s_ipo_listeddate(D1493)),[1]!S_SHARE_TOTAL(D1493,$G$5)),([1]!S_STM07_BS(D1493,75,$G$5,$H$13)+[1]!S_STM07_BS(D1493,88,$G$5,$H$13)+[1]!S_STM07_BS(D1493,94,$G$5,$H$13)+[1]!S_STM07_BS(D1493,95,$G$5,$H$13))/$E$5))</f>
        <v/>
      </c>
      <c r="O1493" s="250" t="str">
        <f ca="1">IF(C1493="","",IF($O$11="BPS",[1]!S_STM07_BS(D1493,141,$G$5,$H$13)/IF([1]!S_SHARE_TOTAL(D1493,$G$5)=0,[1]!S_SHARE_TOTAL(D1493,[1]!s_ipo_listeddate(D1493)),[1]!S_SHARE_TOTAL(D1493,$G$5)),[1]!S_STM07_CS(D1493,49,$G$5,$H$13)/$E$5))</f>
        <v/>
      </c>
      <c r="P1493" s="250" t="str">
        <f ca="1">IF(C1493="","",IF($P$11="CFPS",[1]!S_STM07_CS(D1493,84,$G$5,$H$13)/IF([1]!S_SHARE_TOTAL(D1493,$G$5)=0,[1]!S_SHARE_TOTAL(D1493,[1]!s_ipo_listeddate(D1493)),[1]!S_SHARE_TOTAL(D1493,$G$5)),[1]!S_STM07_CS(D1493,84,$G$5,$H$13)/$E$5))</f>
        <v/>
      </c>
      <c r="Q1493" s="198" t="str">
        <f ca="1">IF(C1493="","",F1493/([1]!S_STM07_IS(D1493,61,$G$5,$H$13)/IF([1]!S_SHARE_TOTAL(D1493,$G$5)=0,[1]!S_SHARE_TOTAL(D1493,[1]!s_ipo_listeddate(D1493)),[1]!S_SHARE_TOTAL(D1493,$G$5))))</f>
        <v/>
      </c>
      <c r="R1493" s="198" t="str">
        <f ca="1">IF(C1493="","",F1493/([1]!S_STM07_BS(D1493,141,$G$5,$H$13)/IF([1]!S_SHARE_TOTAL(D1493,$G$5)=0,[1]!S_SHARE_TOTAL(D1493,[1]!s_ipo_listeddate(D1493)),[1]!S_SHARE_TOTAL(D1493,$G$5))))</f>
        <v/>
      </c>
      <c r="S1493" s="249" t="str">
        <f ca="1">IF(C1493="","",[1]!S_SHARE_TOTAL(D1493,TODAY())/$E$5)</f>
        <v/>
      </c>
      <c r="T1493" s="249" t="str">
        <f t="shared" ca="1" si="145"/>
        <v/>
      </c>
      <c r="U1493" s="172" t="str">
        <f t="shared" ca="1" si="146"/>
        <v/>
      </c>
      <c r="V1493" s="343" t="str">
        <f t="shared" ca="1" si="147"/>
        <v/>
      </c>
      <c r="W1493" s="139"/>
      <c r="Y1493" s="1"/>
    </row>
    <row r="1494" spans="3:25" ht="12" customHeight="1">
      <c r="C1494" s="342" t="str">
        <f t="shared" ca="1" si="148"/>
        <v/>
      </c>
      <c r="D1494" s="153" t="str">
        <f t="shared" ca="1" si="143"/>
        <v/>
      </c>
      <c r="E1494" s="153" t="str">
        <f t="shared" ca="1" si="144"/>
        <v/>
      </c>
      <c r="F1494" s="170" t="str">
        <f ca="1">IF(C1494="","",[1]!S_DQ_CLOSE(D1494,TODAY(),1))</f>
        <v/>
      </c>
      <c r="G1494" s="171" t="str">
        <f ca="1">IF(C1494="","",[1]!s_pq_pctchange(D1494,TODAY()-$G$12,TODAY())/100)</f>
        <v/>
      </c>
      <c r="H1494" s="247" t="str">
        <f ca="1">IF(C1494="","",IF($H$11="收入",[1]!S_STM07_IS(D1494,9,$G$5,$H$13)/$E$5,[1]!S_STM07_IS(D1494,48,$G$5,$H$13)/$E$5))</f>
        <v/>
      </c>
      <c r="I1494" s="247" t="str">
        <f ca="1">IF(C1494="","",IF($I$11="毛利率",([1]!S_STM07_IS(D1494,9,$G$5,$H$13)-[1]!S_STM07_IS(D1494,10,$G$5,$H$13))/[1]!S_STM07_IS(D1494,9,$G$5,$H$13),[1]!S_STM07_IS(D1494,14,$G$5,$H$13)/$E$5))</f>
        <v/>
      </c>
      <c r="J1494" s="247" t="str">
        <f ca="1">IF(C1494="","",IF($J$11="营业利润率",[1]!S_STM07_IS(D1494,48,$G$5,$H$13)/[1]!S_STM07_IS(D1494,9,$G$5,$H$13),([1]!S_STM07_CS(D1494,87,$G$5,$H$13)+[1]!S_STM07_CS(D1494,88,$G$5,$H$13)+[1]!S_STM07_CS(D1494,89,$G$5,$H$13))/$E$5))</f>
        <v/>
      </c>
      <c r="K1494" s="247" t="str">
        <f ca="1">IF(C1494="","",IF($K$11="净利润率",[1]!S_STM07_IS(D1494,61,$G$5,$H$13)/[1]!S_STM07_IS(D1494,9,$G$5,$H$13),[1]!S_STM07_IS(D1494,55,$G$5,$H$13)/$E$5))</f>
        <v/>
      </c>
      <c r="L1494" s="247" t="str">
        <f ca="1">IF(C1494="","",IF($L$11="ROA",[1]!S_STM07_IS(D1494,61,$G$5,$H$13)/[1]!S_STM07_BS(D1494,74,$G$5,$H$13),1-[1]!S_STM07_IS(D1494,61,$G$5,$H$13)/[1]!S_STM07_IS(D1494,55,$G$5,$H$13)))</f>
        <v/>
      </c>
      <c r="M1494" s="247" t="str">
        <f ca="1">IF(C1494="","",IF($M$11="ROE",[1]!S_STM07_IS(D1494,61,$G$5,$H$13)/[1]!S_STM07_BS(D1494,141,$G$5,$H$13),([1]!S_STM07_BS(D1494,25,$G$5,$H$13)-[1]!S_STM07_BS(D1494,93,$G$5,$H$13))/$E$5))</f>
        <v/>
      </c>
      <c r="N1494" s="247" t="str">
        <f ca="1">IF(C1494="","",IF($N$11="EPS",[1]!S_STM07_IS(D1494,61,$G$5,$H$13)/IF([1]!S_SHARE_TOTAL(D1494,$G$5)=0,[1]!S_SHARE_TOTAL(D1494,[1]!s_ipo_listeddate(D1494)),[1]!S_SHARE_TOTAL(D1494,$G$5)),([1]!S_STM07_BS(D1494,75,$G$5,$H$13)+[1]!S_STM07_BS(D1494,88,$G$5,$H$13)+[1]!S_STM07_BS(D1494,94,$G$5,$H$13)+[1]!S_STM07_BS(D1494,95,$G$5,$H$13))/$E$5))</f>
        <v/>
      </c>
      <c r="O1494" s="247" t="str">
        <f ca="1">IF(C1494="","",IF($O$11="BPS",[1]!S_STM07_BS(D1494,141,$G$5,$H$13)/IF([1]!S_SHARE_TOTAL(D1494,$G$5)=0,[1]!S_SHARE_TOTAL(D1494,[1]!s_ipo_listeddate(D1494)),[1]!S_SHARE_TOTAL(D1494,$G$5)),[1]!S_STM07_CS(D1494,49,$G$5,$H$13)/$E$5))</f>
        <v/>
      </c>
      <c r="P1494" s="247" t="str">
        <f ca="1">IF(C1494="","",IF($P$11="CFPS",[1]!S_STM07_CS(D1494,84,$G$5,$H$13)/IF([1]!S_SHARE_TOTAL(D1494,$G$5)=0,[1]!S_SHARE_TOTAL(D1494,[1]!s_ipo_listeddate(D1494)),[1]!S_SHARE_TOTAL(D1494,$G$5)),[1]!S_STM07_CS(D1494,84,$G$5,$H$13)/$E$5))</f>
        <v/>
      </c>
      <c r="Q1494" s="248" t="str">
        <f ca="1">IF(C1494="","",F1494/([1]!S_STM07_IS(D1494,61,$G$5,$H$13)/IF([1]!S_SHARE_TOTAL(D1494,$G$5)=0,[1]!S_SHARE_TOTAL(D1494,[1]!s_ipo_listeddate(D1494)),[1]!S_SHARE_TOTAL(D1494,$G$5))))</f>
        <v/>
      </c>
      <c r="R1494" s="248" t="str">
        <f ca="1">IF(C1494="","",F1494/([1]!S_STM07_BS(D1494,141,$G$5,$H$13)/IF([1]!S_SHARE_TOTAL(D1494,$G$5)=0,[1]!S_SHARE_TOTAL(D1494,[1]!s_ipo_listeddate(D1494)),[1]!S_SHARE_TOTAL(D1494,$G$5))))</f>
        <v/>
      </c>
      <c r="S1494" s="247" t="str">
        <f ca="1">IF(C1494="","",[1]!S_SHARE_TOTAL(D1494,TODAY())/$E$5)</f>
        <v/>
      </c>
      <c r="T1494" s="247" t="str">
        <f t="shared" ca="1" si="145"/>
        <v/>
      </c>
      <c r="U1494" s="218" t="str">
        <f t="shared" ca="1" si="146"/>
        <v/>
      </c>
      <c r="V1494" s="342" t="str">
        <f t="shared" ca="1" si="147"/>
        <v/>
      </c>
      <c r="W1494" s="139"/>
      <c r="Y1494" s="1"/>
    </row>
    <row r="1495" spans="3:25" ht="12" customHeight="1">
      <c r="C1495" s="343" t="str">
        <f t="shared" ca="1" si="148"/>
        <v/>
      </c>
      <c r="D1495" s="124" t="str">
        <f t="shared" ca="1" si="143"/>
        <v/>
      </c>
      <c r="E1495" s="124" t="str">
        <f t="shared" ca="1" si="144"/>
        <v/>
      </c>
      <c r="F1495" s="172" t="str">
        <f ca="1">IF(C1495="","",[1]!S_DQ_CLOSE(D1495,TODAY(),1))</f>
        <v/>
      </c>
      <c r="G1495" s="173" t="str">
        <f ca="1">IF(C1495="","",[1]!s_pq_pctchange(D1495,TODAY()-$G$12,TODAY())/100)</f>
        <v/>
      </c>
      <c r="H1495" s="249" t="str">
        <f ca="1">IF(C1495="","",IF($H$11="收入",[1]!S_STM07_IS(D1495,9,$G$5,$H$13)/$E$5,[1]!S_STM07_IS(D1495,48,$G$5,$H$13)/$E$5))</f>
        <v/>
      </c>
      <c r="I1495" s="249" t="str">
        <f ca="1">IF(C1495="","",IF($I$11="毛利率",([1]!S_STM07_IS(D1495,9,$G$5,$H$13)-[1]!S_STM07_IS(D1495,10,$G$5,$H$13))/[1]!S_STM07_IS(D1495,9,$G$5,$H$13),[1]!S_STM07_IS(D1495,14,$G$5,$H$13)/$E$5))</f>
        <v/>
      </c>
      <c r="J1495" s="249" t="str">
        <f ca="1">IF(C1495="","",IF($J$11="营业利润率",[1]!S_STM07_IS(D1495,48,$G$5,$H$13)/[1]!S_STM07_IS(D1495,9,$G$5,$H$13),([1]!S_STM07_CS(D1495,87,$G$5,$H$13)+[1]!S_STM07_CS(D1495,88,$G$5,$H$13)+[1]!S_STM07_CS(D1495,89,$G$5,$H$13))/$E$5))</f>
        <v/>
      </c>
      <c r="K1495" s="249" t="str">
        <f ca="1">IF(C1495="","",IF($K$11="净利润率",[1]!S_STM07_IS(D1495,61,$G$5,$H$13)/[1]!S_STM07_IS(D1495,9,$G$5,$H$13),[1]!S_STM07_IS(D1495,55,$G$5,$H$13)/$E$5))</f>
        <v/>
      </c>
      <c r="L1495" s="249" t="str">
        <f ca="1">IF(C1495="","",IF($L$11="ROA",[1]!S_STM07_IS(D1495,61,$G$5,$H$13)/[1]!S_STM07_BS(D1495,74,$G$5,$H$13),1-[1]!S_STM07_IS(D1495,61,$G$5,$H$13)/[1]!S_STM07_IS(D1495,55,$G$5,$H$13)))</f>
        <v/>
      </c>
      <c r="M1495" s="249" t="str">
        <f ca="1">IF(C1495="","",IF($M$11="ROE",[1]!S_STM07_IS(D1495,61,$G$5,$H$13)/[1]!S_STM07_BS(D1495,141,$G$5,$H$13),([1]!S_STM07_BS(D1495,25,$G$5,$H$13)-[1]!S_STM07_BS(D1495,93,$G$5,$H$13))/$E$5))</f>
        <v/>
      </c>
      <c r="N1495" s="250" t="str">
        <f ca="1">IF(C1495="","",IF($N$11="EPS",[1]!S_STM07_IS(D1495,61,$G$5,$H$13)/IF([1]!S_SHARE_TOTAL(D1495,$G$5)=0,[1]!S_SHARE_TOTAL(D1495,[1]!s_ipo_listeddate(D1495)),[1]!S_SHARE_TOTAL(D1495,$G$5)),([1]!S_STM07_BS(D1495,75,$G$5,$H$13)+[1]!S_STM07_BS(D1495,88,$G$5,$H$13)+[1]!S_STM07_BS(D1495,94,$G$5,$H$13)+[1]!S_STM07_BS(D1495,95,$G$5,$H$13))/$E$5))</f>
        <v/>
      </c>
      <c r="O1495" s="250" t="str">
        <f ca="1">IF(C1495="","",IF($O$11="BPS",[1]!S_STM07_BS(D1495,141,$G$5,$H$13)/IF([1]!S_SHARE_TOTAL(D1495,$G$5)=0,[1]!S_SHARE_TOTAL(D1495,[1]!s_ipo_listeddate(D1495)),[1]!S_SHARE_TOTAL(D1495,$G$5)),[1]!S_STM07_CS(D1495,49,$G$5,$H$13)/$E$5))</f>
        <v/>
      </c>
      <c r="P1495" s="250" t="str">
        <f ca="1">IF(C1495="","",IF($P$11="CFPS",[1]!S_STM07_CS(D1495,84,$G$5,$H$13)/IF([1]!S_SHARE_TOTAL(D1495,$G$5)=0,[1]!S_SHARE_TOTAL(D1495,[1]!s_ipo_listeddate(D1495)),[1]!S_SHARE_TOTAL(D1495,$G$5)),[1]!S_STM07_CS(D1495,84,$G$5,$H$13)/$E$5))</f>
        <v/>
      </c>
      <c r="Q1495" s="198" t="str">
        <f ca="1">IF(C1495="","",F1495/([1]!S_STM07_IS(D1495,61,$G$5,$H$13)/IF([1]!S_SHARE_TOTAL(D1495,$G$5)=0,[1]!S_SHARE_TOTAL(D1495,[1]!s_ipo_listeddate(D1495)),[1]!S_SHARE_TOTAL(D1495,$G$5))))</f>
        <v/>
      </c>
      <c r="R1495" s="198" t="str">
        <f ca="1">IF(C1495="","",F1495/([1]!S_STM07_BS(D1495,141,$G$5,$H$13)/IF([1]!S_SHARE_TOTAL(D1495,$G$5)=0,[1]!S_SHARE_TOTAL(D1495,[1]!s_ipo_listeddate(D1495)),[1]!S_SHARE_TOTAL(D1495,$G$5))))</f>
        <v/>
      </c>
      <c r="S1495" s="249" t="str">
        <f ca="1">IF(C1495="","",[1]!S_SHARE_TOTAL(D1495,TODAY())/$E$5)</f>
        <v/>
      </c>
      <c r="T1495" s="249" t="str">
        <f t="shared" ca="1" si="145"/>
        <v/>
      </c>
      <c r="U1495" s="172" t="str">
        <f t="shared" ca="1" si="146"/>
        <v/>
      </c>
      <c r="V1495" s="343" t="str">
        <f t="shared" ca="1" si="147"/>
        <v/>
      </c>
      <c r="W1495" s="139"/>
      <c r="Y1495" s="1"/>
    </row>
    <row r="1496" spans="3:25" ht="12" customHeight="1">
      <c r="C1496" s="342" t="str">
        <f t="shared" ca="1" si="148"/>
        <v/>
      </c>
      <c r="D1496" s="153" t="str">
        <f t="shared" ca="1" si="143"/>
        <v/>
      </c>
      <c r="E1496" s="153" t="str">
        <f t="shared" ca="1" si="144"/>
        <v/>
      </c>
      <c r="F1496" s="170" t="str">
        <f ca="1">IF(C1496="","",[1]!S_DQ_CLOSE(D1496,TODAY(),1))</f>
        <v/>
      </c>
      <c r="G1496" s="171" t="str">
        <f ca="1">IF(C1496="","",[1]!s_pq_pctchange(D1496,TODAY()-$G$12,TODAY())/100)</f>
        <v/>
      </c>
      <c r="H1496" s="247" t="str">
        <f ca="1">IF(C1496="","",IF($H$11="收入",[1]!S_STM07_IS(D1496,9,$G$5,$H$13)/$E$5,[1]!S_STM07_IS(D1496,48,$G$5,$H$13)/$E$5))</f>
        <v/>
      </c>
      <c r="I1496" s="247" t="str">
        <f ca="1">IF(C1496="","",IF($I$11="毛利率",([1]!S_STM07_IS(D1496,9,$G$5,$H$13)-[1]!S_STM07_IS(D1496,10,$G$5,$H$13))/[1]!S_STM07_IS(D1496,9,$G$5,$H$13),[1]!S_STM07_IS(D1496,14,$G$5,$H$13)/$E$5))</f>
        <v/>
      </c>
      <c r="J1496" s="247" t="str">
        <f ca="1">IF(C1496="","",IF($J$11="营业利润率",[1]!S_STM07_IS(D1496,48,$G$5,$H$13)/[1]!S_STM07_IS(D1496,9,$G$5,$H$13),([1]!S_STM07_CS(D1496,87,$G$5,$H$13)+[1]!S_STM07_CS(D1496,88,$G$5,$H$13)+[1]!S_STM07_CS(D1496,89,$G$5,$H$13))/$E$5))</f>
        <v/>
      </c>
      <c r="K1496" s="247" t="str">
        <f ca="1">IF(C1496="","",IF($K$11="净利润率",[1]!S_STM07_IS(D1496,61,$G$5,$H$13)/[1]!S_STM07_IS(D1496,9,$G$5,$H$13),[1]!S_STM07_IS(D1496,55,$G$5,$H$13)/$E$5))</f>
        <v/>
      </c>
      <c r="L1496" s="247" t="str">
        <f ca="1">IF(C1496="","",IF($L$11="ROA",[1]!S_STM07_IS(D1496,61,$G$5,$H$13)/[1]!S_STM07_BS(D1496,74,$G$5,$H$13),1-[1]!S_STM07_IS(D1496,61,$G$5,$H$13)/[1]!S_STM07_IS(D1496,55,$G$5,$H$13)))</f>
        <v/>
      </c>
      <c r="M1496" s="247" t="str">
        <f ca="1">IF(C1496="","",IF($M$11="ROE",[1]!S_STM07_IS(D1496,61,$G$5,$H$13)/[1]!S_STM07_BS(D1496,141,$G$5,$H$13),([1]!S_STM07_BS(D1496,25,$G$5,$H$13)-[1]!S_STM07_BS(D1496,93,$G$5,$H$13))/$E$5))</f>
        <v/>
      </c>
      <c r="N1496" s="247" t="str">
        <f ca="1">IF(C1496="","",IF($N$11="EPS",[1]!S_STM07_IS(D1496,61,$G$5,$H$13)/IF([1]!S_SHARE_TOTAL(D1496,$G$5)=0,[1]!S_SHARE_TOTAL(D1496,[1]!s_ipo_listeddate(D1496)),[1]!S_SHARE_TOTAL(D1496,$G$5)),([1]!S_STM07_BS(D1496,75,$G$5,$H$13)+[1]!S_STM07_BS(D1496,88,$G$5,$H$13)+[1]!S_STM07_BS(D1496,94,$G$5,$H$13)+[1]!S_STM07_BS(D1496,95,$G$5,$H$13))/$E$5))</f>
        <v/>
      </c>
      <c r="O1496" s="247" t="str">
        <f ca="1">IF(C1496="","",IF($O$11="BPS",[1]!S_STM07_BS(D1496,141,$G$5,$H$13)/IF([1]!S_SHARE_TOTAL(D1496,$G$5)=0,[1]!S_SHARE_TOTAL(D1496,[1]!s_ipo_listeddate(D1496)),[1]!S_SHARE_TOTAL(D1496,$G$5)),[1]!S_STM07_CS(D1496,49,$G$5,$H$13)/$E$5))</f>
        <v/>
      </c>
      <c r="P1496" s="247" t="str">
        <f ca="1">IF(C1496="","",IF($P$11="CFPS",[1]!S_STM07_CS(D1496,84,$G$5,$H$13)/IF([1]!S_SHARE_TOTAL(D1496,$G$5)=0,[1]!S_SHARE_TOTAL(D1496,[1]!s_ipo_listeddate(D1496)),[1]!S_SHARE_TOTAL(D1496,$G$5)),[1]!S_STM07_CS(D1496,84,$G$5,$H$13)/$E$5))</f>
        <v/>
      </c>
      <c r="Q1496" s="248" t="str">
        <f ca="1">IF(C1496="","",F1496/([1]!S_STM07_IS(D1496,61,$G$5,$H$13)/IF([1]!S_SHARE_TOTAL(D1496,$G$5)=0,[1]!S_SHARE_TOTAL(D1496,[1]!s_ipo_listeddate(D1496)),[1]!S_SHARE_TOTAL(D1496,$G$5))))</f>
        <v/>
      </c>
      <c r="R1496" s="248" t="str">
        <f ca="1">IF(C1496="","",F1496/([1]!S_STM07_BS(D1496,141,$G$5,$H$13)/IF([1]!S_SHARE_TOTAL(D1496,$G$5)=0,[1]!S_SHARE_TOTAL(D1496,[1]!s_ipo_listeddate(D1496)),[1]!S_SHARE_TOTAL(D1496,$G$5))))</f>
        <v/>
      </c>
      <c r="S1496" s="247" t="str">
        <f ca="1">IF(C1496="","",[1]!S_SHARE_TOTAL(D1496,TODAY())/$E$5)</f>
        <v/>
      </c>
      <c r="T1496" s="247" t="str">
        <f t="shared" ca="1" si="145"/>
        <v/>
      </c>
      <c r="U1496" s="218" t="str">
        <f t="shared" ca="1" si="146"/>
        <v/>
      </c>
      <c r="V1496" s="342" t="str">
        <f t="shared" ca="1" si="147"/>
        <v/>
      </c>
      <c r="W1496" s="139"/>
      <c r="Y1496" s="1"/>
    </row>
    <row r="1497" spans="3:25" ht="12" customHeight="1">
      <c r="C1497" s="343" t="str">
        <f t="shared" ca="1" si="148"/>
        <v/>
      </c>
      <c r="D1497" s="124" t="str">
        <f t="shared" ref="D1497:D1500" ca="1" si="149">IF(C1497="","",VLOOKUP(C1497,comppool,2,FALSE))</f>
        <v/>
      </c>
      <c r="E1497" s="124" t="str">
        <f t="shared" ref="E1497:E1500" ca="1" si="150">IF(C1497="","",VLOOKUP(C1497,comppool,3,FALSE))</f>
        <v/>
      </c>
      <c r="F1497" s="172" t="str">
        <f ca="1">IF(C1497="","",[1]!S_DQ_CLOSE(D1497,TODAY(),1))</f>
        <v/>
      </c>
      <c r="G1497" s="173" t="str">
        <f ca="1">IF(C1497="","",[1]!s_pq_pctchange(D1497,TODAY()-$G$12,TODAY())/100)</f>
        <v/>
      </c>
      <c r="H1497" s="249" t="str">
        <f ca="1">IF(C1497="","",IF($H$11="收入",[1]!S_STM07_IS(D1497,9,$G$5,$H$13)/$E$5,[1]!S_STM07_IS(D1497,48,$G$5,$H$13)/$E$5))</f>
        <v/>
      </c>
      <c r="I1497" s="249" t="str">
        <f ca="1">IF(C1497="","",IF($I$11="毛利率",([1]!S_STM07_IS(D1497,9,$G$5,$H$13)-[1]!S_STM07_IS(D1497,10,$G$5,$H$13))/[1]!S_STM07_IS(D1497,9,$G$5,$H$13),[1]!S_STM07_IS(D1497,14,$G$5,$H$13)/$E$5))</f>
        <v/>
      </c>
      <c r="J1497" s="249" t="str">
        <f ca="1">IF(C1497="","",IF($J$11="营业利润率",[1]!S_STM07_IS(D1497,48,$G$5,$H$13)/[1]!S_STM07_IS(D1497,9,$G$5,$H$13),([1]!S_STM07_CS(D1497,87,$G$5,$H$13)+[1]!S_STM07_CS(D1497,88,$G$5,$H$13)+[1]!S_STM07_CS(D1497,89,$G$5,$H$13))/$E$5))</f>
        <v/>
      </c>
      <c r="K1497" s="249" t="str">
        <f ca="1">IF(C1497="","",IF($K$11="净利润率",[1]!S_STM07_IS(D1497,61,$G$5,$H$13)/[1]!S_STM07_IS(D1497,9,$G$5,$H$13),[1]!S_STM07_IS(D1497,55,$G$5,$H$13)/$E$5))</f>
        <v/>
      </c>
      <c r="L1497" s="249" t="str">
        <f ca="1">IF(C1497="","",IF($L$11="ROA",[1]!S_STM07_IS(D1497,61,$G$5,$H$13)/[1]!S_STM07_BS(D1497,74,$G$5,$H$13),1-[1]!S_STM07_IS(D1497,61,$G$5,$H$13)/[1]!S_STM07_IS(D1497,55,$G$5,$H$13)))</f>
        <v/>
      </c>
      <c r="M1497" s="249" t="str">
        <f ca="1">IF(C1497="","",IF($M$11="ROE",[1]!S_STM07_IS(D1497,61,$G$5,$H$13)/[1]!S_STM07_BS(D1497,141,$G$5,$H$13),([1]!S_STM07_BS(D1497,25,$G$5,$H$13)-[1]!S_STM07_BS(D1497,93,$G$5,$H$13))/$E$5))</f>
        <v/>
      </c>
      <c r="N1497" s="250" t="str">
        <f ca="1">IF(C1497="","",IF($N$11="EPS",[1]!S_STM07_IS(D1497,61,$G$5,$H$13)/IF([1]!S_SHARE_TOTAL(D1497,$G$5)=0,[1]!S_SHARE_TOTAL(D1497,[1]!s_ipo_listeddate(D1497)),[1]!S_SHARE_TOTAL(D1497,$G$5)),([1]!S_STM07_BS(D1497,75,$G$5,$H$13)+[1]!S_STM07_BS(D1497,88,$G$5,$H$13)+[1]!S_STM07_BS(D1497,94,$G$5,$H$13)+[1]!S_STM07_BS(D1497,95,$G$5,$H$13))/$E$5))</f>
        <v/>
      </c>
      <c r="O1497" s="250" t="str">
        <f ca="1">IF(C1497="","",IF($O$11="BPS",[1]!S_STM07_BS(D1497,141,$G$5,$H$13)/IF([1]!S_SHARE_TOTAL(D1497,$G$5)=0,[1]!S_SHARE_TOTAL(D1497,[1]!s_ipo_listeddate(D1497)),[1]!S_SHARE_TOTAL(D1497,$G$5)),[1]!S_STM07_CS(D1497,49,$G$5,$H$13)/$E$5))</f>
        <v/>
      </c>
      <c r="P1497" s="250" t="str">
        <f ca="1">IF(C1497="","",IF($P$11="CFPS",[1]!S_STM07_CS(D1497,84,$G$5,$H$13)/IF([1]!S_SHARE_TOTAL(D1497,$G$5)=0,[1]!S_SHARE_TOTAL(D1497,[1]!s_ipo_listeddate(D1497)),[1]!S_SHARE_TOTAL(D1497,$G$5)),[1]!S_STM07_CS(D1497,84,$G$5,$H$13)/$E$5))</f>
        <v/>
      </c>
      <c r="Q1497" s="198" t="str">
        <f ca="1">IF(C1497="","",F1497/([1]!S_STM07_IS(D1497,61,$G$5,$H$13)/IF([1]!S_SHARE_TOTAL(D1497,$G$5)=0,[1]!S_SHARE_TOTAL(D1497,[1]!s_ipo_listeddate(D1497)),[1]!S_SHARE_TOTAL(D1497,$G$5))))</f>
        <v/>
      </c>
      <c r="R1497" s="198" t="str">
        <f ca="1">IF(C1497="","",F1497/([1]!S_STM07_BS(D1497,141,$G$5,$H$13)/IF([1]!S_SHARE_TOTAL(D1497,$G$5)=0,[1]!S_SHARE_TOTAL(D1497,[1]!s_ipo_listeddate(D1497)),[1]!S_SHARE_TOTAL(D1497,$G$5))))</f>
        <v/>
      </c>
      <c r="S1497" s="249" t="str">
        <f ca="1">IF(C1497="","",[1]!S_SHARE_TOTAL(D1497,TODAY())/$E$5)</f>
        <v/>
      </c>
      <c r="T1497" s="249" t="str">
        <f t="shared" ref="T1497:T1500" ca="1" si="151">IF(C1497="","",F1497*S1497)</f>
        <v/>
      </c>
      <c r="U1497" s="172" t="str">
        <f t="shared" ref="U1497:U1500" ca="1" si="152">IF(C1497="","",HLOOKUP($V$12,$G$11:$T$20003,ROW()-ROW($G$11)+1,FALSE))</f>
        <v/>
      </c>
      <c r="V1497" s="343" t="str">
        <f t="shared" ref="V1497:V1500" ca="1" si="153">IF(C1497="","",RANK(U1497,U:U,0))</f>
        <v/>
      </c>
      <c r="W1497" s="139"/>
      <c r="Y1497" s="1"/>
    </row>
    <row r="1498" spans="3:25" ht="12" customHeight="1">
      <c r="C1498" s="342" t="str">
        <f t="shared" ca="1" si="148"/>
        <v/>
      </c>
      <c r="D1498" s="153" t="str">
        <f t="shared" ca="1" si="149"/>
        <v/>
      </c>
      <c r="E1498" s="153" t="str">
        <f t="shared" ca="1" si="150"/>
        <v/>
      </c>
      <c r="F1498" s="170" t="str">
        <f ca="1">IF(C1498="","",[1]!S_DQ_CLOSE(D1498,TODAY(),1))</f>
        <v/>
      </c>
      <c r="G1498" s="171" t="str">
        <f ca="1">IF(C1498="","",[1]!s_pq_pctchange(D1498,TODAY()-$G$12,TODAY())/100)</f>
        <v/>
      </c>
      <c r="H1498" s="247" t="str">
        <f ca="1">IF(C1498="","",IF($H$11="收入",[1]!S_STM07_IS(D1498,9,$G$5,$H$13)/$E$5,[1]!S_STM07_IS(D1498,48,$G$5,$H$13)/$E$5))</f>
        <v/>
      </c>
      <c r="I1498" s="247" t="str">
        <f ca="1">IF(C1498="","",IF($I$11="毛利率",([1]!S_STM07_IS(D1498,9,$G$5,$H$13)-[1]!S_STM07_IS(D1498,10,$G$5,$H$13))/[1]!S_STM07_IS(D1498,9,$G$5,$H$13),[1]!S_STM07_IS(D1498,14,$G$5,$H$13)/$E$5))</f>
        <v/>
      </c>
      <c r="J1498" s="247" t="str">
        <f ca="1">IF(C1498="","",IF($J$11="营业利润率",[1]!S_STM07_IS(D1498,48,$G$5,$H$13)/[1]!S_STM07_IS(D1498,9,$G$5,$H$13),([1]!S_STM07_CS(D1498,87,$G$5,$H$13)+[1]!S_STM07_CS(D1498,88,$G$5,$H$13)+[1]!S_STM07_CS(D1498,89,$G$5,$H$13))/$E$5))</f>
        <v/>
      </c>
      <c r="K1498" s="247" t="str">
        <f ca="1">IF(C1498="","",IF($K$11="净利润率",[1]!S_STM07_IS(D1498,61,$G$5,$H$13)/[1]!S_STM07_IS(D1498,9,$G$5,$H$13),[1]!S_STM07_IS(D1498,55,$G$5,$H$13)/$E$5))</f>
        <v/>
      </c>
      <c r="L1498" s="247" t="str">
        <f ca="1">IF(C1498="","",IF($L$11="ROA",[1]!S_STM07_IS(D1498,61,$G$5,$H$13)/[1]!S_STM07_BS(D1498,74,$G$5,$H$13),1-[1]!S_STM07_IS(D1498,61,$G$5,$H$13)/[1]!S_STM07_IS(D1498,55,$G$5,$H$13)))</f>
        <v/>
      </c>
      <c r="M1498" s="247" t="str">
        <f ca="1">IF(C1498="","",IF($M$11="ROE",[1]!S_STM07_IS(D1498,61,$G$5,$H$13)/[1]!S_STM07_BS(D1498,141,$G$5,$H$13),([1]!S_STM07_BS(D1498,25,$G$5,$H$13)-[1]!S_STM07_BS(D1498,93,$G$5,$H$13))/$E$5))</f>
        <v/>
      </c>
      <c r="N1498" s="247" t="str">
        <f ca="1">IF(C1498="","",IF($N$11="EPS",[1]!S_STM07_IS(D1498,61,$G$5,$H$13)/IF([1]!S_SHARE_TOTAL(D1498,$G$5)=0,[1]!S_SHARE_TOTAL(D1498,[1]!s_ipo_listeddate(D1498)),[1]!S_SHARE_TOTAL(D1498,$G$5)),([1]!S_STM07_BS(D1498,75,$G$5,$H$13)+[1]!S_STM07_BS(D1498,88,$G$5,$H$13)+[1]!S_STM07_BS(D1498,94,$G$5,$H$13)+[1]!S_STM07_BS(D1498,95,$G$5,$H$13))/$E$5))</f>
        <v/>
      </c>
      <c r="O1498" s="247" t="str">
        <f ca="1">IF(C1498="","",IF($O$11="BPS",[1]!S_STM07_BS(D1498,141,$G$5,$H$13)/IF([1]!S_SHARE_TOTAL(D1498,$G$5)=0,[1]!S_SHARE_TOTAL(D1498,[1]!s_ipo_listeddate(D1498)),[1]!S_SHARE_TOTAL(D1498,$G$5)),[1]!S_STM07_CS(D1498,49,$G$5,$H$13)/$E$5))</f>
        <v/>
      </c>
      <c r="P1498" s="247" t="str">
        <f ca="1">IF(C1498="","",IF($P$11="CFPS",[1]!S_STM07_CS(D1498,84,$G$5,$H$13)/IF([1]!S_SHARE_TOTAL(D1498,$G$5)=0,[1]!S_SHARE_TOTAL(D1498,[1]!s_ipo_listeddate(D1498)),[1]!S_SHARE_TOTAL(D1498,$G$5)),[1]!S_STM07_CS(D1498,84,$G$5,$H$13)/$E$5))</f>
        <v/>
      </c>
      <c r="Q1498" s="248" t="str">
        <f ca="1">IF(C1498="","",F1498/([1]!S_STM07_IS(D1498,61,$G$5,$H$13)/IF([1]!S_SHARE_TOTAL(D1498,$G$5)=0,[1]!S_SHARE_TOTAL(D1498,[1]!s_ipo_listeddate(D1498)),[1]!S_SHARE_TOTAL(D1498,$G$5))))</f>
        <v/>
      </c>
      <c r="R1498" s="248" t="str">
        <f ca="1">IF(C1498="","",F1498/([1]!S_STM07_BS(D1498,141,$G$5,$H$13)/IF([1]!S_SHARE_TOTAL(D1498,$G$5)=0,[1]!S_SHARE_TOTAL(D1498,[1]!s_ipo_listeddate(D1498)),[1]!S_SHARE_TOTAL(D1498,$G$5))))</f>
        <v/>
      </c>
      <c r="S1498" s="247" t="str">
        <f ca="1">IF(C1498="","",[1]!S_SHARE_TOTAL(D1498,TODAY())/$E$5)</f>
        <v/>
      </c>
      <c r="T1498" s="247" t="str">
        <f t="shared" ca="1" si="151"/>
        <v/>
      </c>
      <c r="U1498" s="218" t="str">
        <f t="shared" ca="1" si="152"/>
        <v/>
      </c>
      <c r="V1498" s="342" t="str">
        <f t="shared" ca="1" si="153"/>
        <v/>
      </c>
      <c r="W1498" s="139"/>
      <c r="Y1498" s="1"/>
    </row>
    <row r="1499" spans="3:25" ht="12" customHeight="1">
      <c r="C1499" s="343" t="str">
        <f t="shared" ca="1" si="148"/>
        <v/>
      </c>
      <c r="D1499" s="124" t="str">
        <f t="shared" ca="1" si="149"/>
        <v/>
      </c>
      <c r="E1499" s="124" t="str">
        <f t="shared" ca="1" si="150"/>
        <v/>
      </c>
      <c r="F1499" s="172" t="str">
        <f ca="1">IF(C1499="","",[1]!S_DQ_CLOSE(D1499,TODAY(),1))</f>
        <v/>
      </c>
      <c r="G1499" s="173" t="str">
        <f ca="1">IF(C1499="","",[1]!s_pq_pctchange(D1499,TODAY()-$G$12,TODAY())/100)</f>
        <v/>
      </c>
      <c r="H1499" s="249" t="str">
        <f ca="1">IF(C1499="","",IF($H$11="收入",[1]!S_STM07_IS(D1499,9,$G$5,$H$13)/$E$5,[1]!S_STM07_IS(D1499,48,$G$5,$H$13)/$E$5))</f>
        <v/>
      </c>
      <c r="I1499" s="249" t="str">
        <f ca="1">IF(C1499="","",IF($I$11="毛利率",([1]!S_STM07_IS(D1499,9,$G$5,$H$13)-[1]!S_STM07_IS(D1499,10,$G$5,$H$13))/[1]!S_STM07_IS(D1499,9,$G$5,$H$13),[1]!S_STM07_IS(D1499,14,$G$5,$H$13)/$E$5))</f>
        <v/>
      </c>
      <c r="J1499" s="249" t="str">
        <f ca="1">IF(C1499="","",IF($J$11="营业利润率",[1]!S_STM07_IS(D1499,48,$G$5,$H$13)/[1]!S_STM07_IS(D1499,9,$G$5,$H$13),([1]!S_STM07_CS(D1499,87,$G$5,$H$13)+[1]!S_STM07_CS(D1499,88,$G$5,$H$13)+[1]!S_STM07_CS(D1499,89,$G$5,$H$13))/$E$5))</f>
        <v/>
      </c>
      <c r="K1499" s="249" t="str">
        <f ca="1">IF(C1499="","",IF($K$11="净利润率",[1]!S_STM07_IS(D1499,61,$G$5,$H$13)/[1]!S_STM07_IS(D1499,9,$G$5,$H$13),[1]!S_STM07_IS(D1499,55,$G$5,$H$13)/$E$5))</f>
        <v/>
      </c>
      <c r="L1499" s="249" t="str">
        <f ca="1">IF(C1499="","",IF($L$11="ROA",[1]!S_STM07_IS(D1499,61,$G$5,$H$13)/[1]!S_STM07_BS(D1499,74,$G$5,$H$13),1-[1]!S_STM07_IS(D1499,61,$G$5,$H$13)/[1]!S_STM07_IS(D1499,55,$G$5,$H$13)))</f>
        <v/>
      </c>
      <c r="M1499" s="249" t="str">
        <f ca="1">IF(C1499="","",IF($M$11="ROE",[1]!S_STM07_IS(D1499,61,$G$5,$H$13)/[1]!S_STM07_BS(D1499,141,$G$5,$H$13),([1]!S_STM07_BS(D1499,25,$G$5,$H$13)-[1]!S_STM07_BS(D1499,93,$G$5,$H$13))/$E$5))</f>
        <v/>
      </c>
      <c r="N1499" s="250" t="str">
        <f ca="1">IF(C1499="","",IF($N$11="EPS",[1]!S_STM07_IS(D1499,61,$G$5,$H$13)/IF([1]!S_SHARE_TOTAL(D1499,$G$5)=0,[1]!S_SHARE_TOTAL(D1499,[1]!s_ipo_listeddate(D1499)),[1]!S_SHARE_TOTAL(D1499,$G$5)),([1]!S_STM07_BS(D1499,75,$G$5,$H$13)+[1]!S_STM07_BS(D1499,88,$G$5,$H$13)+[1]!S_STM07_BS(D1499,94,$G$5,$H$13)+[1]!S_STM07_BS(D1499,95,$G$5,$H$13))/$E$5))</f>
        <v/>
      </c>
      <c r="O1499" s="250" t="str">
        <f ca="1">IF(C1499="","",IF($O$11="BPS",[1]!S_STM07_BS(D1499,141,$G$5,$H$13)/IF([1]!S_SHARE_TOTAL(D1499,$G$5)=0,[1]!S_SHARE_TOTAL(D1499,[1]!s_ipo_listeddate(D1499)),[1]!S_SHARE_TOTAL(D1499,$G$5)),[1]!S_STM07_CS(D1499,49,$G$5,$H$13)/$E$5))</f>
        <v/>
      </c>
      <c r="P1499" s="250" t="str">
        <f ca="1">IF(C1499="","",IF($P$11="CFPS",[1]!S_STM07_CS(D1499,84,$G$5,$H$13)/IF([1]!S_SHARE_TOTAL(D1499,$G$5)=0,[1]!S_SHARE_TOTAL(D1499,[1]!s_ipo_listeddate(D1499)),[1]!S_SHARE_TOTAL(D1499,$G$5)),[1]!S_STM07_CS(D1499,84,$G$5,$H$13)/$E$5))</f>
        <v/>
      </c>
      <c r="Q1499" s="198" t="str">
        <f ca="1">IF(C1499="","",F1499/([1]!S_STM07_IS(D1499,61,$G$5,$H$13)/IF([1]!S_SHARE_TOTAL(D1499,$G$5)=0,[1]!S_SHARE_TOTAL(D1499,[1]!s_ipo_listeddate(D1499)),[1]!S_SHARE_TOTAL(D1499,$G$5))))</f>
        <v/>
      </c>
      <c r="R1499" s="198" t="str">
        <f ca="1">IF(C1499="","",F1499/([1]!S_STM07_BS(D1499,141,$G$5,$H$13)/IF([1]!S_SHARE_TOTAL(D1499,$G$5)=0,[1]!S_SHARE_TOTAL(D1499,[1]!s_ipo_listeddate(D1499)),[1]!S_SHARE_TOTAL(D1499,$G$5))))</f>
        <v/>
      </c>
      <c r="S1499" s="249" t="str">
        <f ca="1">IF(C1499="","",[1]!S_SHARE_TOTAL(D1499,TODAY())/$E$5)</f>
        <v/>
      </c>
      <c r="T1499" s="249" t="str">
        <f t="shared" ca="1" si="151"/>
        <v/>
      </c>
      <c r="U1499" s="172" t="str">
        <f t="shared" ca="1" si="152"/>
        <v/>
      </c>
      <c r="V1499" s="343" t="str">
        <f t="shared" ca="1" si="153"/>
        <v/>
      </c>
      <c r="W1499" s="139"/>
      <c r="Y1499" s="1"/>
    </row>
    <row r="1500" spans="3:25" ht="12" customHeight="1">
      <c r="C1500" s="342" t="str">
        <f t="shared" ca="1" si="148"/>
        <v/>
      </c>
      <c r="D1500" s="153" t="str">
        <f t="shared" ca="1" si="149"/>
        <v/>
      </c>
      <c r="E1500" s="153" t="str">
        <f t="shared" ca="1" si="150"/>
        <v/>
      </c>
      <c r="F1500" s="170" t="str">
        <f ca="1">IF(C1500="","",[1]!S_DQ_CLOSE(D1500,TODAY(),1))</f>
        <v/>
      </c>
      <c r="G1500" s="171" t="str">
        <f ca="1">IF(C1500="","",[1]!s_pq_pctchange(D1500,TODAY()-$G$12,TODAY())/100)</f>
        <v/>
      </c>
      <c r="H1500" s="247" t="str">
        <f ca="1">IF(C1500="","",IF($H$11="收入",[1]!S_STM07_IS(D1500,9,$G$5,$H$13)/$E$5,[1]!S_STM07_IS(D1500,48,$G$5,$H$13)/$E$5))</f>
        <v/>
      </c>
      <c r="I1500" s="247" t="str">
        <f ca="1">IF(C1500="","",IF($I$11="毛利率",([1]!S_STM07_IS(D1500,9,$G$5,$H$13)-[1]!S_STM07_IS(D1500,10,$G$5,$H$13))/[1]!S_STM07_IS(D1500,9,$G$5,$H$13),[1]!S_STM07_IS(D1500,14,$G$5,$H$13)/$E$5))</f>
        <v/>
      </c>
      <c r="J1500" s="247" t="str">
        <f ca="1">IF(C1500="","",IF($J$11="营业利润率",[1]!S_STM07_IS(D1500,48,$G$5,$H$13)/[1]!S_STM07_IS(D1500,9,$G$5,$H$13),([1]!S_STM07_CS(D1500,87,$G$5,$H$13)+[1]!S_STM07_CS(D1500,88,$G$5,$H$13)+[1]!S_STM07_CS(D1500,89,$G$5,$H$13))/$E$5))</f>
        <v/>
      </c>
      <c r="K1500" s="247" t="str">
        <f ca="1">IF(C1500="","",IF($K$11="净利润率",[1]!S_STM07_IS(D1500,61,$G$5,$H$13)/[1]!S_STM07_IS(D1500,9,$G$5,$H$13),[1]!S_STM07_IS(D1500,55,$G$5,$H$13)/$E$5))</f>
        <v/>
      </c>
      <c r="L1500" s="247" t="str">
        <f ca="1">IF(C1500="","",IF($L$11="ROA",[1]!S_STM07_IS(D1500,61,$G$5,$H$13)/[1]!S_STM07_BS(D1500,74,$G$5,$H$13),1-[1]!S_STM07_IS(D1500,61,$G$5,$H$13)/[1]!S_STM07_IS(D1500,55,$G$5,$H$13)))</f>
        <v/>
      </c>
      <c r="M1500" s="247" t="str">
        <f ca="1">IF(C1500="","",IF($M$11="ROE",[1]!S_STM07_IS(D1500,61,$G$5,$H$13)/[1]!S_STM07_BS(D1500,141,$G$5,$H$13),([1]!S_STM07_BS(D1500,25,$G$5,$H$13)-[1]!S_STM07_BS(D1500,93,$G$5,$H$13))/$E$5))</f>
        <v/>
      </c>
      <c r="N1500" s="247" t="str">
        <f ca="1">IF(C1500="","",IF($N$11="EPS",[1]!S_STM07_IS(D1500,61,$G$5,$H$13)/IF([1]!S_SHARE_TOTAL(D1500,$G$5)=0,[1]!S_SHARE_TOTAL(D1500,[1]!s_ipo_listeddate(D1500)),[1]!S_SHARE_TOTAL(D1500,$G$5)),([1]!S_STM07_BS(D1500,75,$G$5,$H$13)+[1]!S_STM07_BS(D1500,88,$G$5,$H$13)+[1]!S_STM07_BS(D1500,94,$G$5,$H$13)+[1]!S_STM07_BS(D1500,95,$G$5,$H$13))/$E$5))</f>
        <v/>
      </c>
      <c r="O1500" s="247" t="str">
        <f ca="1">IF(C1500="","",IF($O$11="BPS",[1]!S_STM07_BS(D1500,141,$G$5,$H$13)/IF([1]!S_SHARE_TOTAL(D1500,$G$5)=0,[1]!S_SHARE_TOTAL(D1500,[1]!s_ipo_listeddate(D1500)),[1]!S_SHARE_TOTAL(D1500,$G$5)),[1]!S_STM07_CS(D1500,49,$G$5,$H$13)/$E$5))</f>
        <v/>
      </c>
      <c r="P1500" s="247" t="str">
        <f ca="1">IF(C1500="","",IF($P$11="CFPS",[1]!S_STM07_CS(D1500,84,$G$5,$H$13)/IF([1]!S_SHARE_TOTAL(D1500,$G$5)=0,[1]!S_SHARE_TOTAL(D1500,[1]!s_ipo_listeddate(D1500)),[1]!S_SHARE_TOTAL(D1500,$G$5)),[1]!S_STM07_CS(D1500,84,$G$5,$H$13)/$E$5))</f>
        <v/>
      </c>
      <c r="Q1500" s="248" t="str">
        <f ca="1">IF(C1500="","",F1500/([1]!S_STM07_IS(D1500,61,$G$5,$H$13)/IF([1]!S_SHARE_TOTAL(D1500,$G$5)=0,[1]!S_SHARE_TOTAL(D1500,[1]!s_ipo_listeddate(D1500)),[1]!S_SHARE_TOTAL(D1500,$G$5))))</f>
        <v/>
      </c>
      <c r="R1500" s="248" t="str">
        <f ca="1">IF(C1500="","",F1500/([1]!S_STM07_BS(D1500,141,$G$5,$H$13)/IF([1]!S_SHARE_TOTAL(D1500,$G$5)=0,[1]!S_SHARE_TOTAL(D1500,[1]!s_ipo_listeddate(D1500)),[1]!S_SHARE_TOTAL(D1500,$G$5))))</f>
        <v/>
      </c>
      <c r="S1500" s="247" t="str">
        <f ca="1">IF(C1500="","",[1]!S_SHARE_TOTAL(D1500,TODAY())/$E$5)</f>
        <v/>
      </c>
      <c r="T1500" s="247" t="str">
        <f t="shared" ca="1" si="151"/>
        <v/>
      </c>
      <c r="U1500" s="218" t="str">
        <f t="shared" ca="1" si="152"/>
        <v/>
      </c>
      <c r="V1500" s="342" t="str">
        <f t="shared" ca="1" si="153"/>
        <v/>
      </c>
      <c r="W1500" s="139"/>
      <c r="Y1500" s="1"/>
    </row>
    <row r="1501" spans="3:25" ht="12" customHeight="1">
      <c r="C1501" s="343" t="str">
        <f t="shared" ca="1" si="148"/>
        <v/>
      </c>
      <c r="D1501" s="124"/>
      <c r="E1501" s="124"/>
      <c r="F1501" s="172"/>
      <c r="G1501" s="173"/>
      <c r="H1501" s="249"/>
      <c r="I1501" s="249"/>
      <c r="J1501" s="249"/>
      <c r="K1501" s="249"/>
      <c r="L1501" s="249"/>
      <c r="M1501" s="249"/>
      <c r="N1501" s="250"/>
      <c r="O1501" s="250"/>
      <c r="P1501" s="250"/>
      <c r="Q1501" s="198"/>
      <c r="R1501" s="198"/>
      <c r="S1501" s="249"/>
      <c r="T1501" s="249"/>
      <c r="U1501" s="172"/>
      <c r="V1501" s="343"/>
      <c r="W1501" s="139"/>
      <c r="Y1501" s="1"/>
    </row>
    <row r="1502" spans="3:25" ht="12" customHeight="1">
      <c r="C1502" s="342" t="str">
        <f t="shared" ca="1" si="148"/>
        <v/>
      </c>
      <c r="D1502" s="153"/>
      <c r="E1502" s="153"/>
      <c r="F1502" s="170"/>
      <c r="G1502" s="171"/>
      <c r="H1502" s="247"/>
      <c r="I1502" s="247"/>
      <c r="J1502" s="247"/>
      <c r="K1502" s="247"/>
      <c r="L1502" s="247"/>
      <c r="M1502" s="247"/>
      <c r="N1502" s="247"/>
      <c r="O1502" s="247"/>
      <c r="P1502" s="247"/>
      <c r="Q1502" s="248"/>
      <c r="R1502" s="248"/>
      <c r="S1502" s="247"/>
      <c r="T1502" s="247"/>
      <c r="U1502" s="218"/>
      <c r="V1502" s="342"/>
      <c r="W1502" s="139"/>
      <c r="Y1502" s="1"/>
    </row>
    <row r="1503" spans="3:25" ht="12" customHeight="1">
      <c r="C1503" s="343" t="str">
        <f t="shared" ca="1" si="148"/>
        <v/>
      </c>
      <c r="D1503" s="124"/>
      <c r="E1503" s="124"/>
      <c r="F1503" s="172"/>
      <c r="G1503" s="173"/>
      <c r="H1503" s="249"/>
      <c r="I1503" s="249"/>
      <c r="J1503" s="249"/>
      <c r="K1503" s="249"/>
      <c r="L1503" s="249"/>
      <c r="M1503" s="249"/>
      <c r="N1503" s="250"/>
      <c r="O1503" s="250"/>
      <c r="P1503" s="250"/>
      <c r="Q1503" s="198"/>
      <c r="R1503" s="198"/>
      <c r="S1503" s="249"/>
      <c r="T1503" s="249"/>
      <c r="U1503" s="172"/>
      <c r="V1503" s="343"/>
      <c r="W1503" s="139"/>
      <c r="Y1503" s="1"/>
    </row>
    <row r="1504" spans="3:25" ht="12" customHeight="1">
      <c r="C1504" s="342" t="str">
        <f t="shared" ca="1" si="148"/>
        <v/>
      </c>
      <c r="D1504" s="153"/>
      <c r="E1504" s="153"/>
      <c r="F1504" s="170"/>
      <c r="G1504" s="171"/>
      <c r="H1504" s="247"/>
      <c r="I1504" s="247"/>
      <c r="J1504" s="247"/>
      <c r="K1504" s="247"/>
      <c r="L1504" s="247"/>
      <c r="M1504" s="247"/>
      <c r="N1504" s="247"/>
      <c r="O1504" s="247"/>
      <c r="P1504" s="247"/>
      <c r="Q1504" s="248"/>
      <c r="R1504" s="248"/>
      <c r="S1504" s="247"/>
      <c r="T1504" s="247"/>
      <c r="U1504" s="218"/>
      <c r="V1504" s="342"/>
      <c r="W1504" s="139"/>
      <c r="Y1504" s="1"/>
    </row>
    <row r="1505" spans="3:25" ht="12" customHeight="1">
      <c r="C1505" s="343" t="str">
        <f t="shared" ca="1" si="148"/>
        <v/>
      </c>
      <c r="D1505" s="124"/>
      <c r="E1505" s="124"/>
      <c r="F1505" s="172"/>
      <c r="G1505" s="173"/>
      <c r="H1505" s="249"/>
      <c r="I1505" s="249"/>
      <c r="J1505" s="249"/>
      <c r="K1505" s="249"/>
      <c r="L1505" s="249"/>
      <c r="M1505" s="249"/>
      <c r="N1505" s="250"/>
      <c r="O1505" s="250"/>
      <c r="P1505" s="250"/>
      <c r="Q1505" s="198"/>
      <c r="R1505" s="198"/>
      <c r="S1505" s="249"/>
      <c r="T1505" s="249"/>
      <c r="U1505" s="172"/>
      <c r="V1505" s="343"/>
      <c r="W1505" s="139"/>
      <c r="Y1505" s="1"/>
    </row>
    <row r="1506" spans="3:25" ht="12" customHeight="1">
      <c r="C1506" s="342" t="str">
        <f t="shared" ca="1" si="148"/>
        <v/>
      </c>
      <c r="D1506" s="153"/>
      <c r="E1506" s="153"/>
      <c r="F1506" s="170"/>
      <c r="G1506" s="171"/>
      <c r="H1506" s="247"/>
      <c r="I1506" s="247"/>
      <c r="J1506" s="247"/>
      <c r="K1506" s="247"/>
      <c r="L1506" s="247"/>
      <c r="M1506" s="247"/>
      <c r="N1506" s="247"/>
      <c r="O1506" s="247"/>
      <c r="P1506" s="247"/>
      <c r="Q1506" s="248"/>
      <c r="R1506" s="248"/>
      <c r="S1506" s="247"/>
      <c r="T1506" s="247"/>
      <c r="U1506" s="218"/>
      <c r="V1506" s="342"/>
      <c r="W1506" s="139"/>
      <c r="Y1506" s="1"/>
    </row>
    <row r="1507" spans="3:25" ht="12" customHeight="1">
      <c r="C1507" s="343" t="str">
        <f t="shared" ca="1" si="148"/>
        <v/>
      </c>
      <c r="D1507" s="124"/>
      <c r="E1507" s="124"/>
      <c r="F1507" s="172"/>
      <c r="G1507" s="173"/>
      <c r="H1507" s="249"/>
      <c r="I1507" s="249"/>
      <c r="J1507" s="249"/>
      <c r="K1507" s="249"/>
      <c r="L1507" s="249"/>
      <c r="M1507" s="249"/>
      <c r="N1507" s="250"/>
      <c r="O1507" s="250"/>
      <c r="P1507" s="250"/>
      <c r="Q1507" s="198"/>
      <c r="R1507" s="198"/>
      <c r="S1507" s="249"/>
      <c r="T1507" s="249"/>
      <c r="U1507" s="172"/>
      <c r="V1507" s="343"/>
      <c r="W1507" s="139"/>
      <c r="Y1507" s="1"/>
    </row>
    <row r="1508" spans="3:25" ht="12" customHeight="1">
      <c r="C1508" s="342" t="str">
        <f t="shared" ca="1" si="148"/>
        <v/>
      </c>
      <c r="D1508" s="153"/>
      <c r="E1508" s="153"/>
      <c r="F1508" s="170"/>
      <c r="G1508" s="171"/>
      <c r="H1508" s="247"/>
      <c r="I1508" s="247"/>
      <c r="J1508" s="247"/>
      <c r="K1508" s="247"/>
      <c r="L1508" s="247"/>
      <c r="M1508" s="247"/>
      <c r="N1508" s="247"/>
      <c r="O1508" s="247"/>
      <c r="P1508" s="247"/>
      <c r="Q1508" s="248"/>
      <c r="R1508" s="248"/>
      <c r="S1508" s="247"/>
      <c r="T1508" s="247"/>
      <c r="U1508" s="218"/>
      <c r="V1508" s="342"/>
      <c r="W1508" s="139"/>
      <c r="Y1508" s="1"/>
    </row>
    <row r="1509" spans="3:25" ht="12" customHeight="1">
      <c r="C1509" s="343" t="str">
        <f t="shared" ca="1" si="148"/>
        <v/>
      </c>
      <c r="D1509" s="124"/>
      <c r="E1509" s="124"/>
      <c r="F1509" s="172"/>
      <c r="G1509" s="173"/>
      <c r="H1509" s="249"/>
      <c r="I1509" s="249"/>
      <c r="J1509" s="249"/>
      <c r="K1509" s="249"/>
      <c r="L1509" s="249"/>
      <c r="M1509" s="249"/>
      <c r="N1509" s="250"/>
      <c r="O1509" s="250"/>
      <c r="P1509" s="250"/>
      <c r="Q1509" s="198"/>
      <c r="R1509" s="198"/>
      <c r="S1509" s="249"/>
      <c r="T1509" s="249"/>
      <c r="U1509" s="172"/>
      <c r="V1509" s="343"/>
      <c r="W1509" s="139"/>
      <c r="Y1509" s="1"/>
    </row>
    <row r="1510" spans="3:25" ht="12" customHeight="1">
      <c r="C1510" s="342" t="str">
        <f t="shared" ca="1" si="148"/>
        <v/>
      </c>
      <c r="D1510" s="153"/>
      <c r="E1510" s="153"/>
      <c r="F1510" s="170"/>
      <c r="G1510" s="171"/>
      <c r="H1510" s="247"/>
      <c r="I1510" s="247"/>
      <c r="J1510" s="247"/>
      <c r="K1510" s="247"/>
      <c r="L1510" s="247"/>
      <c r="M1510" s="247"/>
      <c r="N1510" s="247"/>
      <c r="O1510" s="247"/>
      <c r="P1510" s="247"/>
      <c r="Q1510" s="248"/>
      <c r="R1510" s="248"/>
      <c r="S1510" s="247"/>
      <c r="T1510" s="247"/>
      <c r="U1510" s="218"/>
      <c r="V1510" s="342"/>
      <c r="W1510" s="139"/>
      <c r="Y1510" s="1"/>
    </row>
    <row r="1511" spans="3:25" ht="12" customHeight="1">
      <c r="C1511" s="343" t="str">
        <f t="shared" ca="1" si="148"/>
        <v/>
      </c>
      <c r="D1511" s="124"/>
      <c r="E1511" s="124"/>
      <c r="F1511" s="172"/>
      <c r="G1511" s="173"/>
      <c r="H1511" s="249"/>
      <c r="I1511" s="249"/>
      <c r="J1511" s="249"/>
      <c r="K1511" s="249"/>
      <c r="L1511" s="249"/>
      <c r="M1511" s="249"/>
      <c r="N1511" s="250"/>
      <c r="O1511" s="250"/>
      <c r="P1511" s="250"/>
      <c r="Q1511" s="198"/>
      <c r="R1511" s="198"/>
      <c r="S1511" s="249"/>
      <c r="T1511" s="249"/>
      <c r="U1511" s="172"/>
      <c r="V1511" s="343"/>
      <c r="W1511" s="139"/>
      <c r="Y1511" s="1"/>
    </row>
    <row r="1512" spans="3:25" ht="12" customHeight="1">
      <c r="C1512" s="342" t="str">
        <f t="shared" ca="1" si="148"/>
        <v/>
      </c>
      <c r="D1512" s="153"/>
      <c r="E1512" s="153"/>
      <c r="F1512" s="170"/>
      <c r="G1512" s="171"/>
      <c r="H1512" s="247"/>
      <c r="I1512" s="247"/>
      <c r="J1512" s="247"/>
      <c r="K1512" s="247"/>
      <c r="L1512" s="247"/>
      <c r="M1512" s="247"/>
      <c r="N1512" s="247"/>
      <c r="O1512" s="247"/>
      <c r="P1512" s="247"/>
      <c r="Q1512" s="248"/>
      <c r="R1512" s="248"/>
      <c r="S1512" s="247"/>
      <c r="T1512" s="247"/>
      <c r="U1512" s="218"/>
      <c r="V1512" s="342"/>
      <c r="W1512" s="139"/>
      <c r="Y1512" s="1"/>
    </row>
    <row r="1513" spans="3:25" ht="12" customHeight="1">
      <c r="C1513" s="343" t="str">
        <f t="shared" ca="1" si="148"/>
        <v/>
      </c>
      <c r="D1513" s="124"/>
      <c r="E1513" s="124"/>
      <c r="F1513" s="172"/>
      <c r="G1513" s="173"/>
      <c r="H1513" s="249"/>
      <c r="I1513" s="249"/>
      <c r="J1513" s="249"/>
      <c r="K1513" s="249"/>
      <c r="L1513" s="249"/>
      <c r="M1513" s="249"/>
      <c r="N1513" s="250"/>
      <c r="O1513" s="250"/>
      <c r="P1513" s="250"/>
      <c r="Q1513" s="198"/>
      <c r="R1513" s="198"/>
      <c r="S1513" s="249"/>
      <c r="T1513" s="249"/>
      <c r="U1513" s="172"/>
      <c r="V1513" s="343"/>
      <c r="W1513" s="139"/>
      <c r="Y1513" s="1"/>
    </row>
    <row r="1514" spans="3:25" ht="12" customHeight="1">
      <c r="C1514" s="342" t="str">
        <f t="shared" ca="1" si="148"/>
        <v/>
      </c>
      <c r="D1514" s="153"/>
      <c r="E1514" s="153"/>
      <c r="F1514" s="170"/>
      <c r="G1514" s="171"/>
      <c r="H1514" s="247"/>
      <c r="I1514" s="247"/>
      <c r="J1514" s="247"/>
      <c r="K1514" s="247"/>
      <c r="L1514" s="247"/>
      <c r="M1514" s="247"/>
      <c r="N1514" s="247"/>
      <c r="O1514" s="247"/>
      <c r="P1514" s="247"/>
      <c r="Q1514" s="248"/>
      <c r="R1514" s="248"/>
      <c r="S1514" s="247"/>
      <c r="T1514" s="247"/>
      <c r="U1514" s="218"/>
      <c r="V1514" s="342"/>
      <c r="W1514" s="139"/>
      <c r="Y1514" s="1"/>
    </row>
    <row r="1515" spans="3:25" ht="12" customHeight="1">
      <c r="C1515" s="343" t="str">
        <f t="shared" ca="1" si="148"/>
        <v/>
      </c>
      <c r="D1515" s="124"/>
      <c r="E1515" s="124"/>
      <c r="F1515" s="172"/>
      <c r="G1515" s="173"/>
      <c r="H1515" s="249"/>
      <c r="I1515" s="249"/>
      <c r="J1515" s="249"/>
      <c r="K1515" s="249"/>
      <c r="L1515" s="249"/>
      <c r="M1515" s="249"/>
      <c r="N1515" s="250"/>
      <c r="O1515" s="250"/>
      <c r="P1515" s="250"/>
      <c r="Q1515" s="198"/>
      <c r="R1515" s="198"/>
      <c r="S1515" s="249"/>
      <c r="T1515" s="249"/>
      <c r="U1515" s="172"/>
      <c r="V1515" s="343"/>
      <c r="W1515" s="139"/>
      <c r="Y1515" s="1"/>
    </row>
    <row r="1516" spans="3:25" ht="12" customHeight="1">
      <c r="C1516" s="342" t="str">
        <f t="shared" ca="1" si="148"/>
        <v/>
      </c>
      <c r="D1516" s="153"/>
      <c r="E1516" s="153"/>
      <c r="F1516" s="170"/>
      <c r="G1516" s="171"/>
      <c r="H1516" s="247"/>
      <c r="I1516" s="247"/>
      <c r="J1516" s="247"/>
      <c r="K1516" s="247"/>
      <c r="L1516" s="247"/>
      <c r="M1516" s="247"/>
      <c r="N1516" s="247"/>
      <c r="O1516" s="247"/>
      <c r="P1516" s="247"/>
      <c r="Q1516" s="248"/>
      <c r="R1516" s="248"/>
      <c r="S1516" s="247"/>
      <c r="T1516" s="247"/>
      <c r="U1516" s="218"/>
      <c r="V1516" s="342"/>
      <c r="W1516" s="139"/>
      <c r="Y1516" s="1"/>
    </row>
    <row r="1517" spans="3:25" ht="12" customHeight="1">
      <c r="C1517" s="343" t="str">
        <f t="shared" ca="1" si="148"/>
        <v/>
      </c>
      <c r="D1517" s="124"/>
      <c r="E1517" s="124"/>
      <c r="F1517" s="172"/>
      <c r="G1517" s="173"/>
      <c r="H1517" s="249"/>
      <c r="I1517" s="249"/>
      <c r="J1517" s="249"/>
      <c r="K1517" s="249"/>
      <c r="L1517" s="249"/>
      <c r="M1517" s="249"/>
      <c r="N1517" s="250"/>
      <c r="O1517" s="250"/>
      <c r="P1517" s="250"/>
      <c r="Q1517" s="198"/>
      <c r="R1517" s="198"/>
      <c r="S1517" s="249"/>
      <c r="T1517" s="249"/>
      <c r="U1517" s="172"/>
      <c r="V1517" s="343"/>
      <c r="W1517" s="139"/>
      <c r="Y1517" s="1"/>
    </row>
    <row r="1518" spans="3:25" ht="12" customHeight="1">
      <c r="C1518" s="342" t="str">
        <f t="shared" ca="1" si="148"/>
        <v/>
      </c>
      <c r="D1518" s="153"/>
      <c r="E1518" s="153"/>
      <c r="F1518" s="170"/>
      <c r="G1518" s="171"/>
      <c r="H1518" s="247"/>
      <c r="I1518" s="247"/>
      <c r="J1518" s="247"/>
      <c r="K1518" s="247"/>
      <c r="L1518" s="247"/>
      <c r="M1518" s="247"/>
      <c r="N1518" s="247"/>
      <c r="O1518" s="247"/>
      <c r="P1518" s="247"/>
      <c r="Q1518" s="248"/>
      <c r="R1518" s="248"/>
      <c r="S1518" s="247"/>
      <c r="T1518" s="247"/>
      <c r="U1518" s="218"/>
      <c r="V1518" s="342"/>
      <c r="W1518" s="139"/>
      <c r="Y1518" s="1"/>
    </row>
    <row r="1519" spans="3:25" ht="12" customHeight="1">
      <c r="C1519" s="343" t="str">
        <f t="shared" ca="1" si="148"/>
        <v/>
      </c>
      <c r="D1519" s="124"/>
      <c r="E1519" s="124"/>
      <c r="F1519" s="172"/>
      <c r="G1519" s="173"/>
      <c r="H1519" s="249"/>
      <c r="I1519" s="249"/>
      <c r="J1519" s="249"/>
      <c r="K1519" s="249"/>
      <c r="L1519" s="249"/>
      <c r="M1519" s="249"/>
      <c r="N1519" s="250"/>
      <c r="O1519" s="250"/>
      <c r="P1519" s="250"/>
      <c r="Q1519" s="198"/>
      <c r="R1519" s="198"/>
      <c r="S1519" s="249"/>
      <c r="T1519" s="249"/>
      <c r="U1519" s="172"/>
      <c r="V1519" s="343"/>
      <c r="W1519" s="139"/>
      <c r="Y1519" s="1"/>
    </row>
    <row r="1520" spans="3:25" ht="12" customHeight="1">
      <c r="C1520" s="342" t="str">
        <f t="shared" ca="1" si="148"/>
        <v/>
      </c>
      <c r="D1520" s="153"/>
      <c r="E1520" s="153"/>
      <c r="F1520" s="170"/>
      <c r="G1520" s="171"/>
      <c r="H1520" s="247"/>
      <c r="I1520" s="247"/>
      <c r="J1520" s="247"/>
      <c r="K1520" s="247"/>
      <c r="L1520" s="247"/>
      <c r="M1520" s="247"/>
      <c r="N1520" s="247"/>
      <c r="O1520" s="247"/>
      <c r="P1520" s="247"/>
      <c r="Q1520" s="248"/>
      <c r="R1520" s="248"/>
      <c r="S1520" s="247"/>
      <c r="T1520" s="247"/>
      <c r="U1520" s="218"/>
      <c r="V1520" s="342"/>
      <c r="W1520" s="139"/>
      <c r="Y1520" s="1"/>
    </row>
    <row r="1521" spans="3:25" ht="12" customHeight="1">
      <c r="C1521" s="343" t="str">
        <f t="shared" ca="1" si="148"/>
        <v/>
      </c>
      <c r="D1521" s="124"/>
      <c r="E1521" s="124"/>
      <c r="F1521" s="172"/>
      <c r="G1521" s="173"/>
      <c r="H1521" s="249"/>
      <c r="I1521" s="249"/>
      <c r="J1521" s="249"/>
      <c r="K1521" s="249"/>
      <c r="L1521" s="249"/>
      <c r="M1521" s="249"/>
      <c r="N1521" s="250"/>
      <c r="O1521" s="250"/>
      <c r="P1521" s="250"/>
      <c r="Q1521" s="198"/>
      <c r="R1521" s="198"/>
      <c r="S1521" s="249"/>
      <c r="T1521" s="249"/>
      <c r="U1521" s="172"/>
      <c r="V1521" s="343"/>
      <c r="W1521" s="139"/>
      <c r="Y1521" s="1"/>
    </row>
    <row r="1522" spans="3:25" ht="12" customHeight="1">
      <c r="C1522" s="342" t="str">
        <f t="shared" ca="1" si="148"/>
        <v/>
      </c>
      <c r="D1522" s="153"/>
      <c r="E1522" s="153"/>
      <c r="F1522" s="170"/>
      <c r="G1522" s="171"/>
      <c r="H1522" s="247"/>
      <c r="I1522" s="247"/>
      <c r="J1522" s="247"/>
      <c r="K1522" s="247"/>
      <c r="L1522" s="247"/>
      <c r="M1522" s="247"/>
      <c r="N1522" s="247"/>
      <c r="O1522" s="247"/>
      <c r="P1522" s="247"/>
      <c r="Q1522" s="248"/>
      <c r="R1522" s="248"/>
      <c r="S1522" s="247"/>
      <c r="T1522" s="247"/>
      <c r="U1522" s="218"/>
      <c r="V1522" s="342"/>
      <c r="W1522" s="139"/>
      <c r="Y1522" s="1"/>
    </row>
    <row r="1523" spans="3:25" ht="12" customHeight="1">
      <c r="C1523" s="343" t="str">
        <f t="shared" ca="1" si="148"/>
        <v/>
      </c>
      <c r="D1523" s="124"/>
      <c r="E1523" s="124"/>
      <c r="F1523" s="172"/>
      <c r="G1523" s="173"/>
      <c r="H1523" s="249"/>
      <c r="I1523" s="249"/>
      <c r="J1523" s="249"/>
      <c r="K1523" s="249"/>
      <c r="L1523" s="249"/>
      <c r="M1523" s="249"/>
      <c r="N1523" s="250"/>
      <c r="O1523" s="250"/>
      <c r="P1523" s="250"/>
      <c r="Q1523" s="198"/>
      <c r="R1523" s="198"/>
      <c r="S1523" s="249"/>
      <c r="T1523" s="249"/>
      <c r="U1523" s="172"/>
      <c r="V1523" s="343"/>
      <c r="W1523" s="139"/>
      <c r="Y1523" s="1"/>
    </row>
    <row r="1524" spans="3:25" ht="12" customHeight="1">
      <c r="C1524" s="342" t="str">
        <f t="shared" ca="1" si="148"/>
        <v/>
      </c>
      <c r="D1524" s="153"/>
      <c r="E1524" s="153"/>
      <c r="F1524" s="170"/>
      <c r="G1524" s="171"/>
      <c r="H1524" s="247"/>
      <c r="I1524" s="247"/>
      <c r="J1524" s="247"/>
      <c r="K1524" s="247"/>
      <c r="L1524" s="247"/>
      <c r="M1524" s="247"/>
      <c r="N1524" s="247"/>
      <c r="O1524" s="247"/>
      <c r="P1524" s="247"/>
      <c r="Q1524" s="248"/>
      <c r="R1524" s="248"/>
      <c r="S1524" s="247"/>
      <c r="T1524" s="247"/>
      <c r="U1524" s="218"/>
      <c r="V1524" s="342"/>
      <c r="W1524" s="139"/>
      <c r="Y1524" s="1"/>
    </row>
    <row r="1525" spans="3:25" ht="12" customHeight="1">
      <c r="C1525" s="343" t="str">
        <f t="shared" ca="1" si="148"/>
        <v/>
      </c>
      <c r="D1525" s="124"/>
      <c r="E1525" s="124"/>
      <c r="F1525" s="172"/>
      <c r="G1525" s="173"/>
      <c r="H1525" s="249"/>
      <c r="I1525" s="249"/>
      <c r="J1525" s="249"/>
      <c r="K1525" s="249"/>
      <c r="L1525" s="249"/>
      <c r="M1525" s="249"/>
      <c r="N1525" s="250"/>
      <c r="O1525" s="250"/>
      <c r="P1525" s="250"/>
      <c r="Q1525" s="198"/>
      <c r="R1525" s="198"/>
      <c r="S1525" s="249"/>
      <c r="T1525" s="249"/>
      <c r="U1525" s="172"/>
      <c r="V1525" s="343"/>
      <c r="W1525" s="139"/>
      <c r="Y1525" s="1"/>
    </row>
    <row r="1526" spans="3:25" ht="12" customHeight="1">
      <c r="C1526" s="342" t="str">
        <f t="shared" ca="1" si="148"/>
        <v/>
      </c>
      <c r="D1526" s="153"/>
      <c r="E1526" s="153"/>
      <c r="F1526" s="170"/>
      <c r="G1526" s="171"/>
      <c r="H1526" s="247"/>
      <c r="I1526" s="247"/>
      <c r="J1526" s="247"/>
      <c r="K1526" s="247"/>
      <c r="L1526" s="247"/>
      <c r="M1526" s="247"/>
      <c r="N1526" s="247"/>
      <c r="O1526" s="247"/>
      <c r="P1526" s="247"/>
      <c r="Q1526" s="248"/>
      <c r="R1526" s="248"/>
      <c r="S1526" s="247"/>
      <c r="T1526" s="247"/>
      <c r="U1526" s="218"/>
      <c r="V1526" s="342"/>
      <c r="W1526" s="139"/>
      <c r="Y1526" s="1"/>
    </row>
    <row r="1527" spans="3:25" ht="12" customHeight="1">
      <c r="C1527" s="343" t="str">
        <f t="shared" ca="1" si="148"/>
        <v/>
      </c>
      <c r="D1527" s="124"/>
      <c r="E1527" s="124"/>
      <c r="F1527" s="172"/>
      <c r="G1527" s="173"/>
      <c r="H1527" s="249"/>
      <c r="I1527" s="249"/>
      <c r="J1527" s="249"/>
      <c r="K1527" s="249"/>
      <c r="L1527" s="249"/>
      <c r="M1527" s="249"/>
      <c r="N1527" s="250"/>
      <c r="O1527" s="250"/>
      <c r="P1527" s="250"/>
      <c r="Q1527" s="198"/>
      <c r="R1527" s="198"/>
      <c r="S1527" s="249"/>
      <c r="T1527" s="249"/>
      <c r="U1527" s="172"/>
      <c r="V1527" s="343"/>
      <c r="W1527" s="139"/>
      <c r="Y1527" s="1"/>
    </row>
    <row r="1528" spans="3:25" ht="12" customHeight="1">
      <c r="C1528" s="342" t="str">
        <f t="shared" ca="1" si="148"/>
        <v/>
      </c>
      <c r="D1528" s="153"/>
      <c r="E1528" s="153"/>
      <c r="F1528" s="170"/>
      <c r="G1528" s="171"/>
      <c r="H1528" s="247"/>
      <c r="I1528" s="247"/>
      <c r="J1528" s="247"/>
      <c r="K1528" s="247"/>
      <c r="L1528" s="247"/>
      <c r="M1528" s="247"/>
      <c r="N1528" s="247"/>
      <c r="O1528" s="247"/>
      <c r="P1528" s="247"/>
      <c r="Q1528" s="248"/>
      <c r="R1528" s="248"/>
      <c r="S1528" s="247"/>
      <c r="T1528" s="247"/>
      <c r="U1528" s="218"/>
      <c r="V1528" s="342"/>
      <c r="W1528" s="139"/>
      <c r="Y1528" s="1"/>
    </row>
    <row r="1529" spans="3:25" ht="12" customHeight="1">
      <c r="C1529" s="343" t="str">
        <f t="shared" ca="1" si="148"/>
        <v/>
      </c>
      <c r="D1529" s="124"/>
      <c r="E1529" s="124"/>
      <c r="F1529" s="172"/>
      <c r="G1529" s="173"/>
      <c r="H1529" s="249"/>
      <c r="I1529" s="249"/>
      <c r="J1529" s="249"/>
      <c r="K1529" s="249"/>
      <c r="L1529" s="249"/>
      <c r="M1529" s="249"/>
      <c r="N1529" s="250"/>
      <c r="O1529" s="250"/>
      <c r="P1529" s="250"/>
      <c r="Q1529" s="198"/>
      <c r="R1529" s="198"/>
      <c r="S1529" s="249"/>
      <c r="T1529" s="249"/>
      <c r="U1529" s="172"/>
      <c r="V1529" s="343"/>
      <c r="W1529" s="139"/>
      <c r="Y1529" s="1"/>
    </row>
    <row r="1530" spans="3:25" ht="12" customHeight="1">
      <c r="C1530" s="342" t="str">
        <f t="shared" ca="1" si="148"/>
        <v/>
      </c>
      <c r="D1530" s="153"/>
      <c r="E1530" s="153"/>
      <c r="F1530" s="170"/>
      <c r="G1530" s="171"/>
      <c r="H1530" s="247"/>
      <c r="I1530" s="247"/>
      <c r="J1530" s="247"/>
      <c r="K1530" s="247"/>
      <c r="L1530" s="247"/>
      <c r="M1530" s="247"/>
      <c r="N1530" s="247"/>
      <c r="O1530" s="247"/>
      <c r="P1530" s="247"/>
      <c r="Q1530" s="248"/>
      <c r="R1530" s="248"/>
      <c r="S1530" s="247"/>
      <c r="T1530" s="247"/>
      <c r="U1530" s="218"/>
      <c r="V1530" s="342"/>
      <c r="W1530" s="139"/>
      <c r="Y1530" s="1"/>
    </row>
    <row r="1531" spans="3:25" ht="12" customHeight="1">
      <c r="C1531" s="343" t="str">
        <f t="shared" ca="1" si="148"/>
        <v/>
      </c>
      <c r="D1531" s="124"/>
      <c r="E1531" s="124"/>
      <c r="F1531" s="172"/>
      <c r="G1531" s="173"/>
      <c r="H1531" s="249"/>
      <c r="I1531" s="249"/>
      <c r="J1531" s="249"/>
      <c r="K1531" s="249"/>
      <c r="L1531" s="249"/>
      <c r="M1531" s="249"/>
      <c r="N1531" s="250"/>
      <c r="O1531" s="250"/>
      <c r="P1531" s="250"/>
      <c r="Q1531" s="198"/>
      <c r="R1531" s="198"/>
      <c r="S1531" s="249"/>
      <c r="T1531" s="249"/>
      <c r="U1531" s="172"/>
      <c r="V1531" s="343"/>
      <c r="W1531" s="139"/>
      <c r="Y1531" s="1"/>
    </row>
    <row r="1532" spans="3:25" ht="12" customHeight="1">
      <c r="C1532" s="342" t="str">
        <f t="shared" ca="1" si="148"/>
        <v/>
      </c>
      <c r="D1532" s="153"/>
      <c r="E1532" s="153"/>
      <c r="F1532" s="170"/>
      <c r="G1532" s="171"/>
      <c r="H1532" s="247"/>
      <c r="I1532" s="247"/>
      <c r="J1532" s="247"/>
      <c r="K1532" s="247"/>
      <c r="L1532" s="247"/>
      <c r="M1532" s="247"/>
      <c r="N1532" s="247"/>
      <c r="O1532" s="247"/>
      <c r="P1532" s="247"/>
      <c r="Q1532" s="248"/>
      <c r="R1532" s="248"/>
      <c r="S1532" s="247"/>
      <c r="T1532" s="247"/>
      <c r="U1532" s="218"/>
      <c r="V1532" s="342"/>
      <c r="W1532" s="139"/>
      <c r="Y1532" s="1"/>
    </row>
    <row r="1533" spans="3:25" ht="12" customHeight="1">
      <c r="C1533" s="343" t="str">
        <f t="shared" ca="1" si="148"/>
        <v/>
      </c>
      <c r="D1533" s="124"/>
      <c r="E1533" s="124"/>
      <c r="F1533" s="172"/>
      <c r="G1533" s="173"/>
      <c r="H1533" s="249"/>
      <c r="I1533" s="249"/>
      <c r="J1533" s="249"/>
      <c r="K1533" s="249"/>
      <c r="L1533" s="249"/>
      <c r="M1533" s="249"/>
      <c r="N1533" s="250"/>
      <c r="O1533" s="250"/>
      <c r="P1533" s="250"/>
      <c r="Q1533" s="198"/>
      <c r="R1533" s="198"/>
      <c r="S1533" s="249"/>
      <c r="T1533" s="249"/>
      <c r="U1533" s="172"/>
      <c r="V1533" s="343"/>
      <c r="W1533" s="139"/>
      <c r="Y1533" s="1"/>
    </row>
    <row r="1534" spans="3:25" ht="12" customHeight="1">
      <c r="C1534" s="342" t="str">
        <f t="shared" ca="1" si="148"/>
        <v/>
      </c>
      <c r="D1534" s="153"/>
      <c r="E1534" s="153"/>
      <c r="F1534" s="170"/>
      <c r="G1534" s="171"/>
      <c r="H1534" s="247"/>
      <c r="I1534" s="247"/>
      <c r="J1534" s="247"/>
      <c r="K1534" s="247"/>
      <c r="L1534" s="247"/>
      <c r="M1534" s="247"/>
      <c r="N1534" s="247"/>
      <c r="O1534" s="247"/>
      <c r="P1534" s="247"/>
      <c r="Q1534" s="248"/>
      <c r="R1534" s="248"/>
      <c r="S1534" s="247"/>
      <c r="T1534" s="247"/>
      <c r="U1534" s="218"/>
      <c r="V1534" s="342"/>
      <c r="W1534" s="139"/>
      <c r="Y1534" s="1"/>
    </row>
    <row r="1535" spans="3:25" ht="12" customHeight="1">
      <c r="C1535" s="343" t="str">
        <f t="shared" ca="1" si="148"/>
        <v/>
      </c>
      <c r="D1535" s="124"/>
      <c r="E1535" s="124"/>
      <c r="F1535" s="172"/>
      <c r="G1535" s="173"/>
      <c r="H1535" s="249"/>
      <c r="I1535" s="249"/>
      <c r="J1535" s="249"/>
      <c r="K1535" s="249"/>
      <c r="L1535" s="249"/>
      <c r="M1535" s="249"/>
      <c r="N1535" s="250"/>
      <c r="O1535" s="250"/>
      <c r="P1535" s="250"/>
      <c r="Q1535" s="198"/>
      <c r="R1535" s="198"/>
      <c r="S1535" s="249"/>
      <c r="T1535" s="249"/>
      <c r="U1535" s="172"/>
      <c r="V1535" s="343"/>
      <c r="W1535" s="139"/>
      <c r="Y1535" s="1"/>
    </row>
    <row r="1536" spans="3:25" ht="12" customHeight="1">
      <c r="C1536" s="342" t="str">
        <f t="shared" ca="1" si="148"/>
        <v/>
      </c>
      <c r="D1536" s="153"/>
      <c r="E1536" s="153"/>
      <c r="F1536" s="170"/>
      <c r="G1536" s="171"/>
      <c r="H1536" s="247"/>
      <c r="I1536" s="247"/>
      <c r="J1536" s="247"/>
      <c r="K1536" s="247"/>
      <c r="L1536" s="247"/>
      <c r="M1536" s="247"/>
      <c r="N1536" s="247"/>
      <c r="O1536" s="247"/>
      <c r="P1536" s="247"/>
      <c r="Q1536" s="248"/>
      <c r="R1536" s="248"/>
      <c r="S1536" s="247"/>
      <c r="T1536" s="247"/>
      <c r="U1536" s="218"/>
      <c r="V1536" s="342"/>
      <c r="W1536" s="139"/>
      <c r="Y1536" s="1"/>
    </row>
    <row r="1537" spans="3:25" ht="12" customHeight="1">
      <c r="C1537" s="343" t="str">
        <f t="shared" ca="1" si="148"/>
        <v/>
      </c>
      <c r="D1537" s="124"/>
      <c r="E1537" s="124"/>
      <c r="F1537" s="172"/>
      <c r="G1537" s="173"/>
      <c r="H1537" s="249"/>
      <c r="I1537" s="249"/>
      <c r="J1537" s="249"/>
      <c r="K1537" s="249"/>
      <c r="L1537" s="249"/>
      <c r="M1537" s="249"/>
      <c r="N1537" s="250"/>
      <c r="O1537" s="250"/>
      <c r="P1537" s="250"/>
      <c r="Q1537" s="198"/>
      <c r="R1537" s="198"/>
      <c r="S1537" s="249"/>
      <c r="T1537" s="249"/>
      <c r="U1537" s="172"/>
      <c r="V1537" s="343"/>
      <c r="W1537" s="139"/>
      <c r="Y1537" s="1"/>
    </row>
    <row r="1538" spans="3:25" ht="12" customHeight="1">
      <c r="C1538" s="342" t="str">
        <f t="shared" ca="1" si="148"/>
        <v/>
      </c>
      <c r="D1538" s="153"/>
      <c r="E1538" s="153"/>
      <c r="F1538" s="170"/>
      <c r="G1538" s="171"/>
      <c r="H1538" s="247"/>
      <c r="I1538" s="247"/>
      <c r="J1538" s="247"/>
      <c r="K1538" s="247"/>
      <c r="L1538" s="247"/>
      <c r="M1538" s="247"/>
      <c r="N1538" s="247"/>
      <c r="O1538" s="247"/>
      <c r="P1538" s="247"/>
      <c r="Q1538" s="248"/>
      <c r="R1538" s="248"/>
      <c r="S1538" s="247"/>
      <c r="T1538" s="247"/>
      <c r="U1538" s="218"/>
      <c r="V1538" s="342"/>
      <c r="W1538" s="139"/>
      <c r="Y1538" s="1"/>
    </row>
    <row r="1539" spans="3:25" ht="12" customHeight="1">
      <c r="C1539" s="343" t="str">
        <f t="shared" ca="1" si="148"/>
        <v/>
      </c>
      <c r="D1539" s="124"/>
      <c r="E1539" s="124"/>
      <c r="F1539" s="172"/>
      <c r="G1539" s="173"/>
      <c r="H1539" s="249"/>
      <c r="I1539" s="249"/>
      <c r="J1539" s="249"/>
      <c r="K1539" s="249"/>
      <c r="L1539" s="249"/>
      <c r="M1539" s="249"/>
      <c r="N1539" s="250"/>
      <c r="O1539" s="250"/>
      <c r="P1539" s="250"/>
      <c r="Q1539" s="198"/>
      <c r="R1539" s="198"/>
      <c r="S1539" s="249"/>
      <c r="T1539" s="249"/>
      <c r="U1539" s="172"/>
      <c r="V1539" s="343"/>
      <c r="W1539" s="139"/>
      <c r="Y1539" s="1"/>
    </row>
    <row r="1540" spans="3:25" ht="12" customHeight="1">
      <c r="C1540" s="342" t="str">
        <f t="shared" ca="1" si="148"/>
        <v/>
      </c>
      <c r="D1540" s="153"/>
      <c r="E1540" s="153"/>
      <c r="F1540" s="170"/>
      <c r="G1540" s="171"/>
      <c r="H1540" s="247"/>
      <c r="I1540" s="247"/>
      <c r="J1540" s="247"/>
      <c r="K1540" s="247"/>
      <c r="L1540" s="247"/>
      <c r="M1540" s="247"/>
      <c r="N1540" s="247"/>
      <c r="O1540" s="247"/>
      <c r="P1540" s="247"/>
      <c r="Q1540" s="248"/>
      <c r="R1540" s="248"/>
      <c r="S1540" s="247"/>
      <c r="T1540" s="247"/>
      <c r="U1540" s="218"/>
      <c r="V1540" s="342"/>
      <c r="W1540" s="139"/>
      <c r="Y1540" s="1"/>
    </row>
    <row r="1541" spans="3:25" ht="12" customHeight="1">
      <c r="C1541" s="343" t="str">
        <f t="shared" ca="1" si="148"/>
        <v/>
      </c>
      <c r="D1541" s="124"/>
      <c r="E1541" s="124"/>
      <c r="F1541" s="172"/>
      <c r="G1541" s="173"/>
      <c r="H1541" s="249"/>
      <c r="I1541" s="249"/>
      <c r="J1541" s="249"/>
      <c r="K1541" s="249"/>
      <c r="L1541" s="249"/>
      <c r="M1541" s="249"/>
      <c r="N1541" s="250"/>
      <c r="O1541" s="250"/>
      <c r="P1541" s="250"/>
      <c r="Q1541" s="198"/>
      <c r="R1541" s="198"/>
      <c r="S1541" s="249"/>
      <c r="T1541" s="249"/>
      <c r="U1541" s="172"/>
      <c r="V1541" s="343"/>
      <c r="W1541" s="139"/>
      <c r="Y1541" s="1"/>
    </row>
    <row r="1542" spans="3:25" ht="12" customHeight="1">
      <c r="C1542" s="342" t="str">
        <f t="shared" ca="1" si="148"/>
        <v/>
      </c>
      <c r="D1542" s="153"/>
      <c r="E1542" s="153"/>
      <c r="F1542" s="170"/>
      <c r="G1542" s="171"/>
      <c r="H1542" s="247"/>
      <c r="I1542" s="247"/>
      <c r="J1542" s="247"/>
      <c r="K1542" s="247"/>
      <c r="L1542" s="247"/>
      <c r="M1542" s="247"/>
      <c r="N1542" s="247"/>
      <c r="O1542" s="247"/>
      <c r="P1542" s="247"/>
      <c r="Q1542" s="248"/>
      <c r="R1542" s="248"/>
      <c r="S1542" s="247"/>
      <c r="T1542" s="247"/>
      <c r="U1542" s="218"/>
      <c r="V1542" s="342"/>
      <c r="W1542" s="139"/>
      <c r="Y1542" s="1"/>
    </row>
    <row r="1543" spans="3:25" ht="12" customHeight="1">
      <c r="C1543" s="343" t="str">
        <f t="shared" ca="1" si="148"/>
        <v/>
      </c>
      <c r="D1543" s="124"/>
      <c r="E1543" s="124"/>
      <c r="F1543" s="172"/>
      <c r="G1543" s="173"/>
      <c r="H1543" s="249"/>
      <c r="I1543" s="249"/>
      <c r="J1543" s="249"/>
      <c r="K1543" s="249"/>
      <c r="L1543" s="249"/>
      <c r="M1543" s="249"/>
      <c r="N1543" s="250"/>
      <c r="O1543" s="250"/>
      <c r="P1543" s="250"/>
      <c r="Q1543" s="198"/>
      <c r="R1543" s="198"/>
      <c r="S1543" s="249"/>
      <c r="T1543" s="249"/>
      <c r="U1543" s="172"/>
      <c r="V1543" s="343"/>
      <c r="W1543" s="139"/>
      <c r="Y1543" s="1"/>
    </row>
    <row r="1544" spans="3:25" ht="12" customHeight="1">
      <c r="C1544" s="342" t="str">
        <f t="shared" ca="1" si="148"/>
        <v/>
      </c>
      <c r="D1544" s="153"/>
      <c r="E1544" s="153"/>
      <c r="F1544" s="170"/>
      <c r="G1544" s="171"/>
      <c r="H1544" s="247"/>
      <c r="I1544" s="247"/>
      <c r="J1544" s="247"/>
      <c r="K1544" s="247"/>
      <c r="L1544" s="247"/>
      <c r="M1544" s="247"/>
      <c r="N1544" s="247"/>
      <c r="O1544" s="247"/>
      <c r="P1544" s="247"/>
      <c r="Q1544" s="248"/>
      <c r="R1544" s="248"/>
      <c r="S1544" s="247"/>
      <c r="T1544" s="247"/>
      <c r="U1544" s="218"/>
      <c r="V1544" s="342"/>
      <c r="W1544" s="139"/>
      <c r="Y1544" s="1"/>
    </row>
    <row r="1545" spans="3:25" ht="12" customHeight="1">
      <c r="C1545" s="343" t="str">
        <f t="shared" ca="1" si="148"/>
        <v/>
      </c>
      <c r="D1545" s="124"/>
      <c r="E1545" s="124"/>
      <c r="F1545" s="172"/>
      <c r="G1545" s="173"/>
      <c r="H1545" s="249"/>
      <c r="I1545" s="249"/>
      <c r="J1545" s="249"/>
      <c r="K1545" s="249"/>
      <c r="L1545" s="249"/>
      <c r="M1545" s="249"/>
      <c r="N1545" s="250"/>
      <c r="O1545" s="250"/>
      <c r="P1545" s="250"/>
      <c r="Q1545" s="198"/>
      <c r="R1545" s="198"/>
      <c r="S1545" s="249"/>
      <c r="T1545" s="249"/>
      <c r="U1545" s="172"/>
      <c r="V1545" s="343"/>
      <c r="W1545" s="139"/>
      <c r="Y1545" s="1"/>
    </row>
    <row r="1546" spans="3:25" ht="12" customHeight="1">
      <c r="C1546" s="342" t="str">
        <f t="shared" ca="1" si="148"/>
        <v/>
      </c>
      <c r="D1546" s="153"/>
      <c r="E1546" s="153"/>
      <c r="F1546" s="170"/>
      <c r="G1546" s="171"/>
      <c r="H1546" s="247"/>
      <c r="I1546" s="247"/>
      <c r="J1546" s="247"/>
      <c r="K1546" s="247"/>
      <c r="L1546" s="247"/>
      <c r="M1546" s="247"/>
      <c r="N1546" s="247"/>
      <c r="O1546" s="247"/>
      <c r="P1546" s="247"/>
      <c r="Q1546" s="248"/>
      <c r="R1546" s="248"/>
      <c r="S1546" s="247"/>
      <c r="T1546" s="247"/>
      <c r="U1546" s="218"/>
      <c r="V1546" s="342"/>
      <c r="W1546" s="139"/>
      <c r="Y1546" s="1"/>
    </row>
    <row r="1547" spans="3:25" ht="12" customHeight="1">
      <c r="C1547" s="343" t="str">
        <f t="shared" ca="1" si="148"/>
        <v/>
      </c>
      <c r="D1547" s="124"/>
      <c r="E1547" s="124"/>
      <c r="F1547" s="172"/>
      <c r="G1547" s="173"/>
      <c r="H1547" s="249"/>
      <c r="I1547" s="249"/>
      <c r="J1547" s="249"/>
      <c r="K1547" s="249"/>
      <c r="L1547" s="249"/>
      <c r="M1547" s="249"/>
      <c r="N1547" s="250"/>
      <c r="O1547" s="250"/>
      <c r="P1547" s="250"/>
      <c r="Q1547" s="198"/>
      <c r="R1547" s="198"/>
      <c r="S1547" s="249"/>
      <c r="T1547" s="249"/>
      <c r="U1547" s="172"/>
      <c r="V1547" s="343"/>
      <c r="W1547" s="139"/>
      <c r="Y1547" s="1"/>
    </row>
    <row r="1548" spans="3:25" ht="12" customHeight="1">
      <c r="C1548" s="342" t="str">
        <f t="shared" ca="1" si="148"/>
        <v/>
      </c>
      <c r="D1548" s="153"/>
      <c r="E1548" s="153"/>
      <c r="F1548" s="170"/>
      <c r="G1548" s="171"/>
      <c r="H1548" s="247"/>
      <c r="I1548" s="247"/>
      <c r="J1548" s="247"/>
      <c r="K1548" s="247"/>
      <c r="L1548" s="247"/>
      <c r="M1548" s="247"/>
      <c r="N1548" s="247"/>
      <c r="O1548" s="247"/>
      <c r="P1548" s="247"/>
      <c r="Q1548" s="248"/>
      <c r="R1548" s="248"/>
      <c r="S1548" s="247"/>
      <c r="T1548" s="247"/>
      <c r="U1548" s="218"/>
      <c r="V1548" s="342"/>
      <c r="W1548" s="139"/>
      <c r="Y1548" s="1"/>
    </row>
    <row r="1549" spans="3:25" ht="12" customHeight="1">
      <c r="C1549" s="343" t="str">
        <f t="shared" ca="1" si="148"/>
        <v/>
      </c>
      <c r="D1549" s="124"/>
      <c r="E1549" s="124"/>
      <c r="F1549" s="172"/>
      <c r="G1549" s="173"/>
      <c r="H1549" s="249"/>
      <c r="I1549" s="249"/>
      <c r="J1549" s="249"/>
      <c r="K1549" s="249"/>
      <c r="L1549" s="249"/>
      <c r="M1549" s="249"/>
      <c r="N1549" s="250"/>
      <c r="O1549" s="250"/>
      <c r="P1549" s="250"/>
      <c r="Q1549" s="198"/>
      <c r="R1549" s="198"/>
      <c r="S1549" s="249"/>
      <c r="T1549" s="249"/>
      <c r="U1549" s="172"/>
      <c r="V1549" s="343"/>
      <c r="W1549" s="139"/>
      <c r="Y1549" s="1"/>
    </row>
    <row r="1550" spans="3:25" ht="12" customHeight="1">
      <c r="C1550" s="342" t="str">
        <f t="shared" ref="C1550:C1613" ca="1" si="154">IF(ROW()-13&lt;=MAX(series),ROW()-13,"")</f>
        <v/>
      </c>
      <c r="D1550" s="153"/>
      <c r="E1550" s="153"/>
      <c r="F1550" s="170"/>
      <c r="G1550" s="171"/>
      <c r="H1550" s="247"/>
      <c r="I1550" s="247"/>
      <c r="J1550" s="247"/>
      <c r="K1550" s="247"/>
      <c r="L1550" s="247"/>
      <c r="M1550" s="247"/>
      <c r="N1550" s="247"/>
      <c r="O1550" s="247"/>
      <c r="P1550" s="247"/>
      <c r="Q1550" s="248"/>
      <c r="R1550" s="248"/>
      <c r="S1550" s="247"/>
      <c r="T1550" s="247"/>
      <c r="U1550" s="218"/>
      <c r="V1550" s="342"/>
      <c r="W1550" s="139"/>
      <c r="Y1550" s="1"/>
    </row>
    <row r="1551" spans="3:25" ht="12" customHeight="1">
      <c r="C1551" s="343" t="str">
        <f t="shared" ca="1" si="154"/>
        <v/>
      </c>
      <c r="D1551" s="124"/>
      <c r="E1551" s="124"/>
      <c r="F1551" s="172"/>
      <c r="G1551" s="173"/>
      <c r="H1551" s="249"/>
      <c r="I1551" s="249"/>
      <c r="J1551" s="249"/>
      <c r="K1551" s="249"/>
      <c r="L1551" s="249"/>
      <c r="M1551" s="249"/>
      <c r="N1551" s="250"/>
      <c r="O1551" s="250"/>
      <c r="P1551" s="250"/>
      <c r="Q1551" s="198"/>
      <c r="R1551" s="198"/>
      <c r="S1551" s="249"/>
      <c r="T1551" s="249"/>
      <c r="U1551" s="172"/>
      <c r="V1551" s="343"/>
      <c r="W1551" s="139"/>
      <c r="Y1551" s="1"/>
    </row>
    <row r="1552" spans="3:25" ht="12" customHeight="1">
      <c r="C1552" s="342" t="str">
        <f t="shared" ca="1" si="154"/>
        <v/>
      </c>
      <c r="D1552" s="153"/>
      <c r="E1552" s="153"/>
      <c r="F1552" s="170"/>
      <c r="G1552" s="171"/>
      <c r="H1552" s="247"/>
      <c r="I1552" s="247"/>
      <c r="J1552" s="247"/>
      <c r="K1552" s="247"/>
      <c r="L1552" s="247"/>
      <c r="M1552" s="247"/>
      <c r="N1552" s="247"/>
      <c r="O1552" s="247"/>
      <c r="P1552" s="247"/>
      <c r="Q1552" s="248"/>
      <c r="R1552" s="248"/>
      <c r="S1552" s="247"/>
      <c r="T1552" s="247"/>
      <c r="U1552" s="218"/>
      <c r="V1552" s="342"/>
      <c r="W1552" s="139"/>
      <c r="Y1552" s="1"/>
    </row>
    <row r="1553" spans="3:25" ht="12" customHeight="1">
      <c r="C1553" s="343" t="str">
        <f t="shared" ca="1" si="154"/>
        <v/>
      </c>
      <c r="D1553" s="124"/>
      <c r="E1553" s="124"/>
      <c r="F1553" s="172"/>
      <c r="G1553" s="173"/>
      <c r="H1553" s="249"/>
      <c r="I1553" s="249"/>
      <c r="J1553" s="249"/>
      <c r="K1553" s="249"/>
      <c r="L1553" s="249"/>
      <c r="M1553" s="249"/>
      <c r="N1553" s="250"/>
      <c r="O1553" s="250"/>
      <c r="P1553" s="250"/>
      <c r="Q1553" s="198"/>
      <c r="R1553" s="198"/>
      <c r="S1553" s="249"/>
      <c r="T1553" s="249"/>
      <c r="U1553" s="172"/>
      <c r="V1553" s="343"/>
      <c r="W1553" s="139"/>
      <c r="Y1553" s="1"/>
    </row>
    <row r="1554" spans="3:25" ht="12" customHeight="1">
      <c r="C1554" s="342" t="str">
        <f t="shared" ca="1" si="154"/>
        <v/>
      </c>
      <c r="D1554" s="153"/>
      <c r="E1554" s="153"/>
      <c r="F1554" s="170"/>
      <c r="G1554" s="171"/>
      <c r="H1554" s="247"/>
      <c r="I1554" s="247"/>
      <c r="J1554" s="247"/>
      <c r="K1554" s="247"/>
      <c r="L1554" s="247"/>
      <c r="M1554" s="247"/>
      <c r="N1554" s="247"/>
      <c r="O1554" s="247"/>
      <c r="P1554" s="247"/>
      <c r="Q1554" s="248"/>
      <c r="R1554" s="248"/>
      <c r="S1554" s="247"/>
      <c r="T1554" s="247"/>
      <c r="U1554" s="218"/>
      <c r="V1554" s="342"/>
      <c r="W1554" s="139"/>
      <c r="Y1554" s="1"/>
    </row>
    <row r="1555" spans="3:25" ht="12" customHeight="1">
      <c r="C1555" s="343" t="str">
        <f t="shared" ca="1" si="154"/>
        <v/>
      </c>
      <c r="D1555" s="124"/>
      <c r="E1555" s="124"/>
      <c r="F1555" s="172"/>
      <c r="G1555" s="173"/>
      <c r="H1555" s="249"/>
      <c r="I1555" s="249"/>
      <c r="J1555" s="249"/>
      <c r="K1555" s="249"/>
      <c r="L1555" s="249"/>
      <c r="M1555" s="249"/>
      <c r="N1555" s="250"/>
      <c r="O1555" s="250"/>
      <c r="P1555" s="250"/>
      <c r="Q1555" s="198"/>
      <c r="R1555" s="198"/>
      <c r="S1555" s="249"/>
      <c r="T1555" s="249"/>
      <c r="U1555" s="172"/>
      <c r="V1555" s="343"/>
      <c r="W1555" s="139"/>
      <c r="Y1555" s="1"/>
    </row>
    <row r="1556" spans="3:25" ht="12" customHeight="1">
      <c r="C1556" s="342" t="str">
        <f t="shared" ca="1" si="154"/>
        <v/>
      </c>
      <c r="D1556" s="153"/>
      <c r="E1556" s="153"/>
      <c r="F1556" s="170"/>
      <c r="G1556" s="171"/>
      <c r="H1556" s="247"/>
      <c r="I1556" s="247"/>
      <c r="J1556" s="247"/>
      <c r="K1556" s="247"/>
      <c r="L1556" s="247"/>
      <c r="M1556" s="247"/>
      <c r="N1556" s="247"/>
      <c r="O1556" s="247"/>
      <c r="P1556" s="247"/>
      <c r="Q1556" s="248"/>
      <c r="R1556" s="248"/>
      <c r="S1556" s="247"/>
      <c r="T1556" s="247"/>
      <c r="U1556" s="218"/>
      <c r="V1556" s="342"/>
      <c r="W1556" s="139"/>
      <c r="Y1556" s="1"/>
    </row>
    <row r="1557" spans="3:25" ht="12" customHeight="1">
      <c r="C1557" s="343" t="str">
        <f t="shared" ca="1" si="154"/>
        <v/>
      </c>
      <c r="D1557" s="124"/>
      <c r="E1557" s="124"/>
      <c r="F1557" s="172"/>
      <c r="G1557" s="173"/>
      <c r="H1557" s="249"/>
      <c r="I1557" s="249"/>
      <c r="J1557" s="249"/>
      <c r="K1557" s="249"/>
      <c r="L1557" s="249"/>
      <c r="M1557" s="249"/>
      <c r="N1557" s="250"/>
      <c r="O1557" s="250"/>
      <c r="P1557" s="250"/>
      <c r="Q1557" s="198"/>
      <c r="R1557" s="198"/>
      <c r="S1557" s="249"/>
      <c r="T1557" s="249"/>
      <c r="U1557" s="172"/>
      <c r="V1557" s="343"/>
      <c r="W1557" s="139"/>
      <c r="Y1557" s="1"/>
    </row>
    <row r="1558" spans="3:25" ht="12" customHeight="1">
      <c r="C1558" s="342" t="str">
        <f t="shared" ca="1" si="154"/>
        <v/>
      </c>
      <c r="D1558" s="153"/>
      <c r="E1558" s="153"/>
      <c r="F1558" s="170"/>
      <c r="G1558" s="171"/>
      <c r="H1558" s="247"/>
      <c r="I1558" s="247"/>
      <c r="J1558" s="247"/>
      <c r="K1558" s="247"/>
      <c r="L1558" s="247"/>
      <c r="M1558" s="247"/>
      <c r="N1558" s="247"/>
      <c r="O1558" s="247"/>
      <c r="P1558" s="247"/>
      <c r="Q1558" s="248"/>
      <c r="R1558" s="248"/>
      <c r="S1558" s="247"/>
      <c r="T1558" s="247"/>
      <c r="U1558" s="218"/>
      <c r="V1558" s="342"/>
      <c r="W1558" s="139"/>
      <c r="Y1558" s="1"/>
    </row>
    <row r="1559" spans="3:25" ht="12" customHeight="1">
      <c r="C1559" s="343" t="str">
        <f t="shared" ca="1" si="154"/>
        <v/>
      </c>
      <c r="D1559" s="124"/>
      <c r="E1559" s="124"/>
      <c r="F1559" s="172"/>
      <c r="G1559" s="173"/>
      <c r="H1559" s="249"/>
      <c r="I1559" s="249"/>
      <c r="J1559" s="249"/>
      <c r="K1559" s="249"/>
      <c r="L1559" s="249"/>
      <c r="M1559" s="249"/>
      <c r="N1559" s="250"/>
      <c r="O1559" s="250"/>
      <c r="P1559" s="250"/>
      <c r="Q1559" s="198"/>
      <c r="R1559" s="198"/>
      <c r="S1559" s="249"/>
      <c r="T1559" s="249"/>
      <c r="U1559" s="172"/>
      <c r="V1559" s="343"/>
      <c r="W1559" s="139"/>
      <c r="Y1559" s="1"/>
    </row>
    <row r="1560" spans="3:25" ht="12" customHeight="1">
      <c r="C1560" s="342" t="str">
        <f t="shared" ca="1" si="154"/>
        <v/>
      </c>
      <c r="D1560" s="153"/>
      <c r="E1560" s="153"/>
      <c r="F1560" s="170"/>
      <c r="G1560" s="171"/>
      <c r="H1560" s="247"/>
      <c r="I1560" s="247"/>
      <c r="J1560" s="247"/>
      <c r="K1560" s="247"/>
      <c r="L1560" s="247"/>
      <c r="M1560" s="247"/>
      <c r="N1560" s="247"/>
      <c r="O1560" s="247"/>
      <c r="P1560" s="247"/>
      <c r="Q1560" s="248"/>
      <c r="R1560" s="248"/>
      <c r="S1560" s="247"/>
      <c r="T1560" s="247"/>
      <c r="U1560" s="218"/>
      <c r="V1560" s="342"/>
      <c r="W1560" s="139"/>
      <c r="Y1560" s="1"/>
    </row>
    <row r="1561" spans="3:25" ht="12" customHeight="1">
      <c r="C1561" s="343" t="str">
        <f t="shared" ca="1" si="154"/>
        <v/>
      </c>
      <c r="D1561" s="124"/>
      <c r="E1561" s="124"/>
      <c r="F1561" s="172"/>
      <c r="G1561" s="173"/>
      <c r="H1561" s="249"/>
      <c r="I1561" s="249"/>
      <c r="J1561" s="249"/>
      <c r="K1561" s="249"/>
      <c r="L1561" s="249"/>
      <c r="M1561" s="249"/>
      <c r="N1561" s="250"/>
      <c r="O1561" s="250"/>
      <c r="P1561" s="250"/>
      <c r="Q1561" s="198"/>
      <c r="R1561" s="198"/>
      <c r="S1561" s="249"/>
      <c r="T1561" s="249"/>
      <c r="U1561" s="172"/>
      <c r="V1561" s="343"/>
      <c r="W1561" s="139"/>
      <c r="Y1561" s="1"/>
    </row>
    <row r="1562" spans="3:25" ht="12" customHeight="1">
      <c r="C1562" s="342" t="str">
        <f t="shared" ca="1" si="154"/>
        <v/>
      </c>
      <c r="D1562" s="153"/>
      <c r="E1562" s="153"/>
      <c r="F1562" s="170"/>
      <c r="G1562" s="171"/>
      <c r="H1562" s="247"/>
      <c r="I1562" s="247"/>
      <c r="J1562" s="247"/>
      <c r="K1562" s="247"/>
      <c r="L1562" s="247"/>
      <c r="M1562" s="247"/>
      <c r="N1562" s="247"/>
      <c r="O1562" s="247"/>
      <c r="P1562" s="247"/>
      <c r="Q1562" s="248"/>
      <c r="R1562" s="248"/>
      <c r="S1562" s="247"/>
      <c r="T1562" s="247"/>
      <c r="U1562" s="218"/>
      <c r="V1562" s="342"/>
      <c r="W1562" s="139"/>
      <c r="Y1562" s="1"/>
    </row>
    <row r="1563" spans="3:25" ht="12" customHeight="1">
      <c r="C1563" s="343" t="str">
        <f t="shared" ca="1" si="154"/>
        <v/>
      </c>
      <c r="D1563" s="124"/>
      <c r="E1563" s="124"/>
      <c r="F1563" s="172"/>
      <c r="G1563" s="173"/>
      <c r="H1563" s="249"/>
      <c r="I1563" s="249"/>
      <c r="J1563" s="249"/>
      <c r="K1563" s="249"/>
      <c r="L1563" s="249"/>
      <c r="M1563" s="249"/>
      <c r="N1563" s="250"/>
      <c r="O1563" s="250"/>
      <c r="P1563" s="250"/>
      <c r="Q1563" s="198"/>
      <c r="R1563" s="198"/>
      <c r="S1563" s="249"/>
      <c r="T1563" s="249"/>
      <c r="U1563" s="172"/>
      <c r="V1563" s="343"/>
      <c r="W1563" s="139"/>
      <c r="Y1563" s="1"/>
    </row>
    <row r="1564" spans="3:25" ht="12" customHeight="1">
      <c r="C1564" s="342" t="str">
        <f t="shared" ca="1" si="154"/>
        <v/>
      </c>
      <c r="D1564" s="153"/>
      <c r="E1564" s="153"/>
      <c r="F1564" s="170"/>
      <c r="G1564" s="171"/>
      <c r="H1564" s="247"/>
      <c r="I1564" s="247"/>
      <c r="J1564" s="247"/>
      <c r="K1564" s="247"/>
      <c r="L1564" s="247"/>
      <c r="M1564" s="247"/>
      <c r="N1564" s="247"/>
      <c r="O1564" s="247"/>
      <c r="P1564" s="247"/>
      <c r="Q1564" s="248"/>
      <c r="R1564" s="248"/>
      <c r="S1564" s="247"/>
      <c r="T1564" s="247"/>
      <c r="U1564" s="218"/>
      <c r="V1564" s="342"/>
      <c r="W1564" s="139"/>
      <c r="Y1564" s="1"/>
    </row>
    <row r="1565" spans="3:25" ht="12" customHeight="1">
      <c r="C1565" s="343" t="str">
        <f t="shared" ca="1" si="154"/>
        <v/>
      </c>
      <c r="D1565" s="124"/>
      <c r="E1565" s="124"/>
      <c r="F1565" s="172"/>
      <c r="G1565" s="173"/>
      <c r="H1565" s="249"/>
      <c r="I1565" s="249"/>
      <c r="J1565" s="249"/>
      <c r="K1565" s="249"/>
      <c r="L1565" s="249"/>
      <c r="M1565" s="249"/>
      <c r="N1565" s="250"/>
      <c r="O1565" s="250"/>
      <c r="P1565" s="250"/>
      <c r="Q1565" s="198"/>
      <c r="R1565" s="198"/>
      <c r="S1565" s="249"/>
      <c r="T1565" s="249"/>
      <c r="U1565" s="172"/>
      <c r="V1565" s="343"/>
      <c r="W1565" s="139"/>
      <c r="Y1565" s="1"/>
    </row>
    <row r="1566" spans="3:25" ht="12" customHeight="1">
      <c r="C1566" s="342" t="str">
        <f t="shared" ca="1" si="154"/>
        <v/>
      </c>
      <c r="D1566" s="153"/>
      <c r="E1566" s="153"/>
      <c r="F1566" s="170"/>
      <c r="G1566" s="171"/>
      <c r="H1566" s="247"/>
      <c r="I1566" s="247"/>
      <c r="J1566" s="247"/>
      <c r="K1566" s="247"/>
      <c r="L1566" s="247"/>
      <c r="M1566" s="247"/>
      <c r="N1566" s="247"/>
      <c r="O1566" s="247"/>
      <c r="P1566" s="247"/>
      <c r="Q1566" s="248"/>
      <c r="R1566" s="248"/>
      <c r="S1566" s="247"/>
      <c r="T1566" s="247"/>
      <c r="U1566" s="218"/>
      <c r="V1566" s="342"/>
      <c r="W1566" s="139"/>
      <c r="Y1566" s="1"/>
    </row>
    <row r="1567" spans="3:25" ht="12" customHeight="1">
      <c r="C1567" s="343" t="str">
        <f t="shared" ca="1" si="154"/>
        <v/>
      </c>
      <c r="D1567" s="124"/>
      <c r="E1567" s="124"/>
      <c r="F1567" s="172"/>
      <c r="G1567" s="173"/>
      <c r="H1567" s="249"/>
      <c r="I1567" s="249"/>
      <c r="J1567" s="249"/>
      <c r="K1567" s="249"/>
      <c r="L1567" s="249"/>
      <c r="M1567" s="249"/>
      <c r="N1567" s="250"/>
      <c r="O1567" s="250"/>
      <c r="P1567" s="250"/>
      <c r="Q1567" s="198"/>
      <c r="R1567" s="198"/>
      <c r="S1567" s="249"/>
      <c r="T1567" s="249"/>
      <c r="U1567" s="172"/>
      <c r="V1567" s="343"/>
      <c r="W1567" s="139"/>
      <c r="Y1567" s="1"/>
    </row>
    <row r="1568" spans="3:25" ht="12" customHeight="1">
      <c r="C1568" s="342" t="str">
        <f t="shared" ca="1" si="154"/>
        <v/>
      </c>
      <c r="D1568" s="153"/>
      <c r="E1568" s="153"/>
      <c r="F1568" s="170"/>
      <c r="G1568" s="171"/>
      <c r="H1568" s="247"/>
      <c r="I1568" s="247"/>
      <c r="J1568" s="247"/>
      <c r="K1568" s="247"/>
      <c r="L1568" s="247"/>
      <c r="M1568" s="247"/>
      <c r="N1568" s="247"/>
      <c r="O1568" s="247"/>
      <c r="P1568" s="247"/>
      <c r="Q1568" s="248"/>
      <c r="R1568" s="248"/>
      <c r="S1568" s="247"/>
      <c r="T1568" s="247"/>
      <c r="U1568" s="218"/>
      <c r="V1568" s="342"/>
      <c r="W1568" s="139"/>
      <c r="Y1568" s="1"/>
    </row>
    <row r="1569" spans="3:25" ht="12" customHeight="1">
      <c r="C1569" s="343" t="str">
        <f t="shared" ca="1" si="154"/>
        <v/>
      </c>
      <c r="D1569" s="124"/>
      <c r="E1569" s="124"/>
      <c r="F1569" s="172"/>
      <c r="G1569" s="173"/>
      <c r="H1569" s="249"/>
      <c r="I1569" s="249"/>
      <c r="J1569" s="249"/>
      <c r="K1569" s="249"/>
      <c r="L1569" s="249"/>
      <c r="M1569" s="249"/>
      <c r="N1569" s="250"/>
      <c r="O1569" s="250"/>
      <c r="P1569" s="250"/>
      <c r="Q1569" s="198"/>
      <c r="R1569" s="198"/>
      <c r="S1569" s="249"/>
      <c r="T1569" s="249"/>
      <c r="U1569" s="172"/>
      <c r="V1569" s="343"/>
      <c r="W1569" s="139"/>
      <c r="Y1569" s="1"/>
    </row>
    <row r="1570" spans="3:25" ht="12" customHeight="1">
      <c r="C1570" s="342" t="str">
        <f t="shared" ca="1" si="154"/>
        <v/>
      </c>
      <c r="D1570" s="153"/>
      <c r="E1570" s="153"/>
      <c r="F1570" s="170"/>
      <c r="G1570" s="171"/>
      <c r="H1570" s="247"/>
      <c r="I1570" s="247"/>
      <c r="J1570" s="247"/>
      <c r="K1570" s="247"/>
      <c r="L1570" s="247"/>
      <c r="M1570" s="247"/>
      <c r="N1570" s="247"/>
      <c r="O1570" s="247"/>
      <c r="P1570" s="247"/>
      <c r="Q1570" s="248"/>
      <c r="R1570" s="248"/>
      <c r="S1570" s="247"/>
      <c r="T1570" s="247"/>
      <c r="U1570" s="218"/>
      <c r="V1570" s="342"/>
      <c r="W1570" s="139"/>
      <c r="Y1570" s="1"/>
    </row>
    <row r="1571" spans="3:25" ht="12" customHeight="1">
      <c r="C1571" s="343" t="str">
        <f t="shared" ca="1" si="154"/>
        <v/>
      </c>
      <c r="D1571" s="124"/>
      <c r="E1571" s="124"/>
      <c r="F1571" s="172"/>
      <c r="G1571" s="173"/>
      <c r="H1571" s="249"/>
      <c r="I1571" s="249"/>
      <c r="J1571" s="249"/>
      <c r="K1571" s="249"/>
      <c r="L1571" s="249"/>
      <c r="M1571" s="249"/>
      <c r="N1571" s="250"/>
      <c r="O1571" s="250"/>
      <c r="P1571" s="250"/>
      <c r="Q1571" s="198"/>
      <c r="R1571" s="198"/>
      <c r="S1571" s="249"/>
      <c r="T1571" s="249"/>
      <c r="U1571" s="172"/>
      <c r="V1571" s="343"/>
      <c r="W1571" s="139"/>
      <c r="Y1571" s="1"/>
    </row>
    <row r="1572" spans="3:25" ht="12" customHeight="1">
      <c r="C1572" s="342" t="str">
        <f t="shared" ca="1" si="154"/>
        <v/>
      </c>
      <c r="D1572" s="153"/>
      <c r="E1572" s="153"/>
      <c r="F1572" s="170"/>
      <c r="G1572" s="171"/>
      <c r="H1572" s="247"/>
      <c r="I1572" s="247"/>
      <c r="J1572" s="247"/>
      <c r="K1572" s="247"/>
      <c r="L1572" s="247"/>
      <c r="M1572" s="247"/>
      <c r="N1572" s="247"/>
      <c r="O1572" s="247"/>
      <c r="P1572" s="247"/>
      <c r="Q1572" s="248"/>
      <c r="R1572" s="248"/>
      <c r="S1572" s="247"/>
      <c r="T1572" s="247"/>
      <c r="U1572" s="218"/>
      <c r="V1572" s="342"/>
      <c r="W1572" s="139"/>
      <c r="Y1572" s="1"/>
    </row>
    <row r="1573" spans="3:25" ht="12" customHeight="1">
      <c r="C1573" s="343" t="str">
        <f t="shared" ca="1" si="154"/>
        <v/>
      </c>
      <c r="D1573" s="124"/>
      <c r="E1573" s="124"/>
      <c r="F1573" s="172"/>
      <c r="G1573" s="173"/>
      <c r="H1573" s="249"/>
      <c r="I1573" s="249"/>
      <c r="J1573" s="249"/>
      <c r="K1573" s="249"/>
      <c r="L1573" s="249"/>
      <c r="M1573" s="249"/>
      <c r="N1573" s="250"/>
      <c r="O1573" s="250"/>
      <c r="P1573" s="250"/>
      <c r="Q1573" s="198"/>
      <c r="R1573" s="198"/>
      <c r="S1573" s="249"/>
      <c r="T1573" s="249"/>
      <c r="U1573" s="172"/>
      <c r="V1573" s="343"/>
      <c r="W1573" s="139"/>
      <c r="Y1573" s="1"/>
    </row>
    <row r="1574" spans="3:25" ht="12" customHeight="1">
      <c r="C1574" s="342" t="str">
        <f t="shared" ca="1" si="154"/>
        <v/>
      </c>
      <c r="D1574" s="153"/>
      <c r="E1574" s="153"/>
      <c r="F1574" s="170"/>
      <c r="G1574" s="171"/>
      <c r="H1574" s="247"/>
      <c r="I1574" s="247"/>
      <c r="J1574" s="247"/>
      <c r="K1574" s="247"/>
      <c r="L1574" s="247"/>
      <c r="M1574" s="247"/>
      <c r="N1574" s="247"/>
      <c r="O1574" s="247"/>
      <c r="P1574" s="247"/>
      <c r="Q1574" s="248"/>
      <c r="R1574" s="248"/>
      <c r="S1574" s="247"/>
      <c r="T1574" s="247"/>
      <c r="U1574" s="218"/>
      <c r="V1574" s="342"/>
      <c r="W1574" s="139"/>
      <c r="Y1574" s="1"/>
    </row>
    <row r="1575" spans="3:25" ht="12" customHeight="1">
      <c r="C1575" s="343" t="str">
        <f t="shared" ca="1" si="154"/>
        <v/>
      </c>
      <c r="D1575" s="124"/>
      <c r="E1575" s="124"/>
      <c r="F1575" s="172"/>
      <c r="G1575" s="173"/>
      <c r="H1575" s="249"/>
      <c r="I1575" s="249"/>
      <c r="J1575" s="249"/>
      <c r="K1575" s="249"/>
      <c r="L1575" s="249"/>
      <c r="M1575" s="249"/>
      <c r="N1575" s="250"/>
      <c r="O1575" s="250"/>
      <c r="P1575" s="250"/>
      <c r="Q1575" s="198"/>
      <c r="R1575" s="198"/>
      <c r="S1575" s="249"/>
      <c r="T1575" s="249"/>
      <c r="U1575" s="172"/>
      <c r="V1575" s="343"/>
      <c r="W1575" s="139"/>
      <c r="Y1575" s="1"/>
    </row>
    <row r="1576" spans="3:25" ht="12" customHeight="1">
      <c r="C1576" s="342" t="str">
        <f t="shared" ca="1" si="154"/>
        <v/>
      </c>
      <c r="D1576" s="153"/>
      <c r="E1576" s="153"/>
      <c r="F1576" s="170"/>
      <c r="G1576" s="171"/>
      <c r="H1576" s="247"/>
      <c r="I1576" s="247"/>
      <c r="J1576" s="247"/>
      <c r="K1576" s="247"/>
      <c r="L1576" s="247"/>
      <c r="M1576" s="247"/>
      <c r="N1576" s="247"/>
      <c r="O1576" s="247"/>
      <c r="P1576" s="247"/>
      <c r="Q1576" s="248"/>
      <c r="R1576" s="248"/>
      <c r="S1576" s="247"/>
      <c r="T1576" s="247"/>
      <c r="U1576" s="218"/>
      <c r="V1576" s="342"/>
      <c r="W1576" s="139"/>
      <c r="Y1576" s="1"/>
    </row>
    <row r="1577" spans="3:25" ht="12" customHeight="1">
      <c r="C1577" s="343" t="str">
        <f t="shared" ca="1" si="154"/>
        <v/>
      </c>
      <c r="D1577" s="124"/>
      <c r="E1577" s="124"/>
      <c r="F1577" s="172"/>
      <c r="G1577" s="173"/>
      <c r="H1577" s="249"/>
      <c r="I1577" s="249"/>
      <c r="J1577" s="249"/>
      <c r="K1577" s="249"/>
      <c r="L1577" s="249"/>
      <c r="M1577" s="249"/>
      <c r="N1577" s="250"/>
      <c r="O1577" s="250"/>
      <c r="P1577" s="250"/>
      <c r="Q1577" s="198"/>
      <c r="R1577" s="198"/>
      <c r="S1577" s="249"/>
      <c r="T1577" s="249"/>
      <c r="U1577" s="172"/>
      <c r="V1577" s="343"/>
      <c r="W1577" s="139"/>
      <c r="Y1577" s="1"/>
    </row>
    <row r="1578" spans="3:25" ht="12" customHeight="1">
      <c r="C1578" s="342" t="str">
        <f t="shared" ca="1" si="154"/>
        <v/>
      </c>
      <c r="D1578" s="153"/>
      <c r="E1578" s="153"/>
      <c r="F1578" s="170"/>
      <c r="G1578" s="171"/>
      <c r="H1578" s="247"/>
      <c r="I1578" s="247"/>
      <c r="J1578" s="247"/>
      <c r="K1578" s="247"/>
      <c r="L1578" s="247"/>
      <c r="M1578" s="247"/>
      <c r="N1578" s="247"/>
      <c r="O1578" s="247"/>
      <c r="P1578" s="247"/>
      <c r="Q1578" s="248"/>
      <c r="R1578" s="248"/>
      <c r="S1578" s="247"/>
      <c r="T1578" s="247"/>
      <c r="U1578" s="218"/>
      <c r="V1578" s="342"/>
      <c r="W1578" s="139"/>
      <c r="Y1578" s="1"/>
    </row>
    <row r="1579" spans="3:25" ht="12" customHeight="1">
      <c r="C1579" s="343" t="str">
        <f t="shared" ca="1" si="154"/>
        <v/>
      </c>
      <c r="D1579" s="124"/>
      <c r="E1579" s="124"/>
      <c r="F1579" s="172"/>
      <c r="G1579" s="173"/>
      <c r="H1579" s="249"/>
      <c r="I1579" s="249"/>
      <c r="J1579" s="249"/>
      <c r="K1579" s="249"/>
      <c r="L1579" s="249"/>
      <c r="M1579" s="249"/>
      <c r="N1579" s="250"/>
      <c r="O1579" s="250"/>
      <c r="P1579" s="250"/>
      <c r="Q1579" s="198"/>
      <c r="R1579" s="198"/>
      <c r="S1579" s="249"/>
      <c r="T1579" s="249"/>
      <c r="U1579" s="172"/>
      <c r="V1579" s="343"/>
      <c r="W1579" s="139"/>
      <c r="Y1579" s="1"/>
    </row>
    <row r="1580" spans="3:25" ht="12" customHeight="1">
      <c r="C1580" s="342" t="str">
        <f t="shared" ca="1" si="154"/>
        <v/>
      </c>
      <c r="D1580" s="153"/>
      <c r="E1580" s="153"/>
      <c r="F1580" s="170"/>
      <c r="G1580" s="171"/>
      <c r="H1580" s="247"/>
      <c r="I1580" s="247"/>
      <c r="J1580" s="247"/>
      <c r="K1580" s="247"/>
      <c r="L1580" s="247"/>
      <c r="M1580" s="247"/>
      <c r="N1580" s="247"/>
      <c r="O1580" s="247"/>
      <c r="P1580" s="247"/>
      <c r="Q1580" s="248"/>
      <c r="R1580" s="248"/>
      <c r="S1580" s="247"/>
      <c r="T1580" s="247"/>
      <c r="U1580" s="218"/>
      <c r="V1580" s="342"/>
      <c r="W1580" s="139"/>
      <c r="Y1580" s="1"/>
    </row>
    <row r="1581" spans="3:25" ht="12" customHeight="1">
      <c r="C1581" s="343" t="str">
        <f t="shared" ca="1" si="154"/>
        <v/>
      </c>
      <c r="D1581" s="124"/>
      <c r="E1581" s="124"/>
      <c r="F1581" s="172"/>
      <c r="G1581" s="173"/>
      <c r="H1581" s="249"/>
      <c r="I1581" s="249"/>
      <c r="J1581" s="249"/>
      <c r="K1581" s="249"/>
      <c r="L1581" s="249"/>
      <c r="M1581" s="249"/>
      <c r="N1581" s="250"/>
      <c r="O1581" s="250"/>
      <c r="P1581" s="250"/>
      <c r="Q1581" s="198"/>
      <c r="R1581" s="198"/>
      <c r="S1581" s="249"/>
      <c r="T1581" s="249"/>
      <c r="U1581" s="172"/>
      <c r="V1581" s="343"/>
      <c r="W1581" s="139"/>
      <c r="Y1581" s="1"/>
    </row>
    <row r="1582" spans="3:25" ht="12" customHeight="1">
      <c r="C1582" s="342" t="str">
        <f t="shared" ca="1" si="154"/>
        <v/>
      </c>
      <c r="D1582" s="153"/>
      <c r="E1582" s="153"/>
      <c r="F1582" s="170"/>
      <c r="G1582" s="171"/>
      <c r="H1582" s="247"/>
      <c r="I1582" s="247"/>
      <c r="J1582" s="247"/>
      <c r="K1582" s="247"/>
      <c r="L1582" s="247"/>
      <c r="M1582" s="247"/>
      <c r="N1582" s="247"/>
      <c r="O1582" s="247"/>
      <c r="P1582" s="247"/>
      <c r="Q1582" s="248"/>
      <c r="R1582" s="248"/>
      <c r="S1582" s="247"/>
      <c r="T1582" s="247"/>
      <c r="U1582" s="218"/>
      <c r="V1582" s="342"/>
      <c r="W1582" s="139"/>
      <c r="Y1582" s="1"/>
    </row>
    <row r="1583" spans="3:25" ht="12" customHeight="1">
      <c r="C1583" s="343" t="str">
        <f t="shared" ca="1" si="154"/>
        <v/>
      </c>
      <c r="D1583" s="124"/>
      <c r="E1583" s="124"/>
      <c r="F1583" s="172"/>
      <c r="G1583" s="173"/>
      <c r="H1583" s="249"/>
      <c r="I1583" s="249"/>
      <c r="J1583" s="249"/>
      <c r="K1583" s="249"/>
      <c r="L1583" s="249"/>
      <c r="M1583" s="249"/>
      <c r="N1583" s="250"/>
      <c r="O1583" s="250"/>
      <c r="P1583" s="250"/>
      <c r="Q1583" s="198"/>
      <c r="R1583" s="198"/>
      <c r="S1583" s="249"/>
      <c r="T1583" s="249"/>
      <c r="U1583" s="172"/>
      <c r="V1583" s="343"/>
      <c r="W1583" s="139"/>
      <c r="Y1583" s="1"/>
    </row>
    <row r="1584" spans="3:25" ht="12" customHeight="1">
      <c r="C1584" s="342" t="str">
        <f t="shared" ca="1" si="154"/>
        <v/>
      </c>
      <c r="D1584" s="153"/>
      <c r="E1584" s="153"/>
      <c r="F1584" s="170"/>
      <c r="G1584" s="171"/>
      <c r="H1584" s="247"/>
      <c r="I1584" s="247"/>
      <c r="J1584" s="247"/>
      <c r="K1584" s="247"/>
      <c r="L1584" s="247"/>
      <c r="M1584" s="247"/>
      <c r="N1584" s="247"/>
      <c r="O1584" s="247"/>
      <c r="P1584" s="247"/>
      <c r="Q1584" s="248"/>
      <c r="R1584" s="248"/>
      <c r="S1584" s="247"/>
      <c r="T1584" s="247"/>
      <c r="U1584" s="218"/>
      <c r="V1584" s="342"/>
      <c r="W1584" s="139"/>
      <c r="Y1584" s="1"/>
    </row>
    <row r="1585" spans="3:25" ht="12" customHeight="1">
      <c r="C1585" s="343" t="str">
        <f t="shared" ca="1" si="154"/>
        <v/>
      </c>
      <c r="D1585" s="124"/>
      <c r="E1585" s="124"/>
      <c r="F1585" s="172"/>
      <c r="G1585" s="173"/>
      <c r="H1585" s="249"/>
      <c r="I1585" s="249"/>
      <c r="J1585" s="249"/>
      <c r="K1585" s="249"/>
      <c r="L1585" s="249"/>
      <c r="M1585" s="249"/>
      <c r="N1585" s="250"/>
      <c r="O1585" s="250"/>
      <c r="P1585" s="250"/>
      <c r="Q1585" s="198"/>
      <c r="R1585" s="198"/>
      <c r="S1585" s="249"/>
      <c r="T1585" s="249"/>
      <c r="U1585" s="172"/>
      <c r="V1585" s="343"/>
      <c r="W1585" s="139"/>
      <c r="Y1585" s="1"/>
    </row>
    <row r="1586" spans="3:25" ht="12" customHeight="1">
      <c r="C1586" s="342" t="str">
        <f t="shared" ca="1" si="154"/>
        <v/>
      </c>
      <c r="D1586" s="153"/>
      <c r="E1586" s="153"/>
      <c r="F1586" s="170"/>
      <c r="G1586" s="171"/>
      <c r="H1586" s="247"/>
      <c r="I1586" s="247"/>
      <c r="J1586" s="247"/>
      <c r="K1586" s="247"/>
      <c r="L1586" s="247"/>
      <c r="M1586" s="247"/>
      <c r="N1586" s="247"/>
      <c r="O1586" s="247"/>
      <c r="P1586" s="247"/>
      <c r="Q1586" s="248"/>
      <c r="R1586" s="248"/>
      <c r="S1586" s="247"/>
      <c r="T1586" s="247"/>
      <c r="U1586" s="218"/>
      <c r="V1586" s="342"/>
      <c r="W1586" s="139"/>
      <c r="Y1586" s="1"/>
    </row>
    <row r="1587" spans="3:25" ht="12" customHeight="1">
      <c r="C1587" s="343" t="str">
        <f t="shared" ca="1" si="154"/>
        <v/>
      </c>
      <c r="D1587" s="124"/>
      <c r="E1587" s="124"/>
      <c r="F1587" s="172"/>
      <c r="G1587" s="173"/>
      <c r="H1587" s="249"/>
      <c r="I1587" s="249"/>
      <c r="J1587" s="249"/>
      <c r="K1587" s="249"/>
      <c r="L1587" s="249"/>
      <c r="M1587" s="249"/>
      <c r="N1587" s="250"/>
      <c r="O1587" s="250"/>
      <c r="P1587" s="250"/>
      <c r="Q1587" s="198"/>
      <c r="R1587" s="198"/>
      <c r="S1587" s="249"/>
      <c r="T1587" s="249"/>
      <c r="U1587" s="172"/>
      <c r="V1587" s="343"/>
      <c r="W1587" s="139"/>
      <c r="Y1587" s="1"/>
    </row>
    <row r="1588" spans="3:25" ht="12" customHeight="1">
      <c r="C1588" s="342" t="str">
        <f t="shared" ca="1" si="154"/>
        <v/>
      </c>
      <c r="D1588" s="153"/>
      <c r="E1588" s="153"/>
      <c r="F1588" s="170"/>
      <c r="G1588" s="171"/>
      <c r="H1588" s="247"/>
      <c r="I1588" s="247"/>
      <c r="J1588" s="247"/>
      <c r="K1588" s="247"/>
      <c r="L1588" s="247"/>
      <c r="M1588" s="247"/>
      <c r="N1588" s="247"/>
      <c r="O1588" s="247"/>
      <c r="P1588" s="247"/>
      <c r="Q1588" s="248"/>
      <c r="R1588" s="248"/>
      <c r="S1588" s="247"/>
      <c r="T1588" s="247"/>
      <c r="U1588" s="218"/>
      <c r="V1588" s="342"/>
      <c r="W1588" s="139"/>
      <c r="Y1588" s="1"/>
    </row>
    <row r="1589" spans="3:25" ht="12" customHeight="1">
      <c r="C1589" s="343" t="str">
        <f t="shared" ca="1" si="154"/>
        <v/>
      </c>
      <c r="D1589" s="124"/>
      <c r="E1589" s="124"/>
      <c r="F1589" s="172"/>
      <c r="G1589" s="173"/>
      <c r="H1589" s="249"/>
      <c r="I1589" s="249"/>
      <c r="J1589" s="249"/>
      <c r="K1589" s="249"/>
      <c r="L1589" s="249"/>
      <c r="M1589" s="249"/>
      <c r="N1589" s="250"/>
      <c r="O1589" s="250"/>
      <c r="P1589" s="250"/>
      <c r="Q1589" s="198"/>
      <c r="R1589" s="198"/>
      <c r="S1589" s="249"/>
      <c r="T1589" s="249"/>
      <c r="U1589" s="172"/>
      <c r="V1589" s="343"/>
      <c r="W1589" s="139"/>
      <c r="Y1589" s="1"/>
    </row>
    <row r="1590" spans="3:25" ht="12" customHeight="1">
      <c r="C1590" s="342" t="str">
        <f t="shared" ca="1" si="154"/>
        <v/>
      </c>
      <c r="D1590" s="153"/>
      <c r="E1590" s="153"/>
      <c r="F1590" s="170"/>
      <c r="G1590" s="171"/>
      <c r="H1590" s="247"/>
      <c r="I1590" s="247"/>
      <c r="J1590" s="247"/>
      <c r="K1590" s="247"/>
      <c r="L1590" s="247"/>
      <c r="M1590" s="247"/>
      <c r="N1590" s="247"/>
      <c r="O1590" s="247"/>
      <c r="P1590" s="247"/>
      <c r="Q1590" s="248"/>
      <c r="R1590" s="248"/>
      <c r="S1590" s="247"/>
      <c r="T1590" s="247"/>
      <c r="U1590" s="218"/>
      <c r="V1590" s="342"/>
      <c r="W1590" s="139"/>
      <c r="Y1590" s="1"/>
    </row>
    <row r="1591" spans="3:25" ht="12" customHeight="1">
      <c r="C1591" s="343" t="str">
        <f t="shared" ca="1" si="154"/>
        <v/>
      </c>
      <c r="D1591" s="124"/>
      <c r="E1591" s="124"/>
      <c r="F1591" s="172"/>
      <c r="G1591" s="173"/>
      <c r="H1591" s="249"/>
      <c r="I1591" s="249"/>
      <c r="J1591" s="249"/>
      <c r="K1591" s="249"/>
      <c r="L1591" s="249"/>
      <c r="M1591" s="249"/>
      <c r="N1591" s="250"/>
      <c r="O1591" s="250"/>
      <c r="P1591" s="250"/>
      <c r="Q1591" s="198"/>
      <c r="R1591" s="198"/>
      <c r="S1591" s="249"/>
      <c r="T1591" s="249"/>
      <c r="U1591" s="172"/>
      <c r="V1591" s="343"/>
      <c r="W1591" s="139"/>
      <c r="Y1591" s="1"/>
    </row>
    <row r="1592" spans="3:25" ht="12" customHeight="1">
      <c r="C1592" s="342" t="str">
        <f t="shared" ca="1" si="154"/>
        <v/>
      </c>
      <c r="D1592" s="153"/>
      <c r="E1592" s="153"/>
      <c r="F1592" s="170"/>
      <c r="G1592" s="171"/>
      <c r="H1592" s="247"/>
      <c r="I1592" s="247"/>
      <c r="J1592" s="247"/>
      <c r="K1592" s="247"/>
      <c r="L1592" s="247"/>
      <c r="M1592" s="247"/>
      <c r="N1592" s="247"/>
      <c r="O1592" s="247"/>
      <c r="P1592" s="247"/>
      <c r="Q1592" s="248"/>
      <c r="R1592" s="248"/>
      <c r="S1592" s="247"/>
      <c r="T1592" s="247"/>
      <c r="U1592" s="218"/>
      <c r="V1592" s="342"/>
      <c r="W1592" s="139"/>
      <c r="Y1592" s="1"/>
    </row>
    <row r="1593" spans="3:25" ht="12" customHeight="1">
      <c r="C1593" s="343" t="str">
        <f t="shared" ca="1" si="154"/>
        <v/>
      </c>
      <c r="D1593" s="124"/>
      <c r="E1593" s="124"/>
      <c r="F1593" s="172"/>
      <c r="G1593" s="173"/>
      <c r="H1593" s="249"/>
      <c r="I1593" s="249"/>
      <c r="J1593" s="249"/>
      <c r="K1593" s="249"/>
      <c r="L1593" s="249"/>
      <c r="M1593" s="249"/>
      <c r="N1593" s="250"/>
      <c r="O1593" s="250"/>
      <c r="P1593" s="250"/>
      <c r="Q1593" s="198"/>
      <c r="R1593" s="198"/>
      <c r="S1593" s="249"/>
      <c r="T1593" s="249"/>
      <c r="U1593" s="172"/>
      <c r="V1593" s="343"/>
      <c r="W1593" s="139"/>
      <c r="Y1593" s="1"/>
    </row>
    <row r="1594" spans="3:25" ht="12" customHeight="1">
      <c r="C1594" s="342" t="str">
        <f t="shared" ca="1" si="154"/>
        <v/>
      </c>
      <c r="D1594" s="153"/>
      <c r="E1594" s="153"/>
      <c r="F1594" s="170"/>
      <c r="G1594" s="171"/>
      <c r="H1594" s="247"/>
      <c r="I1594" s="247"/>
      <c r="J1594" s="247"/>
      <c r="K1594" s="247"/>
      <c r="L1594" s="247"/>
      <c r="M1594" s="247"/>
      <c r="N1594" s="247"/>
      <c r="O1594" s="247"/>
      <c r="P1594" s="247"/>
      <c r="Q1594" s="248"/>
      <c r="R1594" s="248"/>
      <c r="S1594" s="247"/>
      <c r="T1594" s="247"/>
      <c r="U1594" s="218"/>
      <c r="V1594" s="342"/>
      <c r="W1594" s="139"/>
      <c r="Y1594" s="1"/>
    </row>
    <row r="1595" spans="3:25" ht="12" customHeight="1">
      <c r="C1595" s="343" t="str">
        <f t="shared" ca="1" si="154"/>
        <v/>
      </c>
      <c r="D1595" s="124"/>
      <c r="E1595" s="124"/>
      <c r="F1595" s="172"/>
      <c r="G1595" s="173"/>
      <c r="H1595" s="249"/>
      <c r="I1595" s="249"/>
      <c r="J1595" s="249"/>
      <c r="K1595" s="249"/>
      <c r="L1595" s="249"/>
      <c r="M1595" s="249"/>
      <c r="N1595" s="250"/>
      <c r="O1595" s="250"/>
      <c r="P1595" s="250"/>
      <c r="Q1595" s="198"/>
      <c r="R1595" s="198"/>
      <c r="S1595" s="249"/>
      <c r="T1595" s="249"/>
      <c r="U1595" s="172"/>
      <c r="V1595" s="343"/>
      <c r="W1595" s="139"/>
      <c r="Y1595" s="1"/>
    </row>
    <row r="1596" spans="3:25" ht="12" customHeight="1">
      <c r="C1596" s="342" t="str">
        <f t="shared" ca="1" si="154"/>
        <v/>
      </c>
      <c r="D1596" s="153"/>
      <c r="E1596" s="153"/>
      <c r="F1596" s="170"/>
      <c r="G1596" s="171"/>
      <c r="H1596" s="247"/>
      <c r="I1596" s="247"/>
      <c r="J1596" s="247"/>
      <c r="K1596" s="247"/>
      <c r="L1596" s="247"/>
      <c r="M1596" s="247"/>
      <c r="N1596" s="247"/>
      <c r="O1596" s="247"/>
      <c r="P1596" s="247"/>
      <c r="Q1596" s="248"/>
      <c r="R1596" s="248"/>
      <c r="S1596" s="247"/>
      <c r="T1596" s="247"/>
      <c r="U1596" s="218"/>
      <c r="V1596" s="342"/>
      <c r="W1596" s="139"/>
      <c r="Y1596" s="1"/>
    </row>
    <row r="1597" spans="3:25" ht="12" customHeight="1">
      <c r="C1597" s="343" t="str">
        <f t="shared" ca="1" si="154"/>
        <v/>
      </c>
      <c r="D1597" s="124"/>
      <c r="E1597" s="124"/>
      <c r="F1597" s="172"/>
      <c r="G1597" s="173"/>
      <c r="H1597" s="249"/>
      <c r="I1597" s="249"/>
      <c r="J1597" s="249"/>
      <c r="K1597" s="249"/>
      <c r="L1597" s="249"/>
      <c r="M1597" s="249"/>
      <c r="N1597" s="250"/>
      <c r="O1597" s="250"/>
      <c r="P1597" s="250"/>
      <c r="Q1597" s="198"/>
      <c r="R1597" s="198"/>
      <c r="S1597" s="249"/>
      <c r="T1597" s="249"/>
      <c r="U1597" s="172"/>
      <c r="V1597" s="343"/>
      <c r="W1597" s="139"/>
      <c r="Y1597" s="1"/>
    </row>
    <row r="1598" spans="3:25" ht="12" customHeight="1">
      <c r="C1598" s="342" t="str">
        <f t="shared" ca="1" si="154"/>
        <v/>
      </c>
      <c r="D1598" s="153"/>
      <c r="E1598" s="153"/>
      <c r="F1598" s="170"/>
      <c r="G1598" s="171"/>
      <c r="H1598" s="247"/>
      <c r="I1598" s="247"/>
      <c r="J1598" s="247"/>
      <c r="K1598" s="247"/>
      <c r="L1598" s="247"/>
      <c r="M1598" s="247"/>
      <c r="N1598" s="247"/>
      <c r="O1598" s="247"/>
      <c r="P1598" s="247"/>
      <c r="Q1598" s="248"/>
      <c r="R1598" s="248"/>
      <c r="S1598" s="247"/>
      <c r="T1598" s="247"/>
      <c r="U1598" s="218"/>
      <c r="V1598" s="342"/>
      <c r="W1598" s="139"/>
      <c r="Y1598" s="1"/>
    </row>
    <row r="1599" spans="3:25" ht="12" customHeight="1">
      <c r="C1599" s="343" t="str">
        <f t="shared" ca="1" si="154"/>
        <v/>
      </c>
      <c r="D1599" s="124"/>
      <c r="E1599" s="124"/>
      <c r="F1599" s="172"/>
      <c r="G1599" s="173"/>
      <c r="H1599" s="249"/>
      <c r="I1599" s="249"/>
      <c r="J1599" s="249"/>
      <c r="K1599" s="249"/>
      <c r="L1599" s="249"/>
      <c r="M1599" s="249"/>
      <c r="N1599" s="250"/>
      <c r="O1599" s="250"/>
      <c r="P1599" s="250"/>
      <c r="Q1599" s="198"/>
      <c r="R1599" s="198"/>
      <c r="S1599" s="249"/>
      <c r="T1599" s="249"/>
      <c r="U1599" s="172"/>
      <c r="V1599" s="343"/>
      <c r="W1599" s="139"/>
      <c r="Y1599" s="1"/>
    </row>
    <row r="1600" spans="3:25" ht="12" customHeight="1">
      <c r="C1600" s="342" t="str">
        <f t="shared" ca="1" si="154"/>
        <v/>
      </c>
      <c r="D1600" s="153"/>
      <c r="E1600" s="153"/>
      <c r="F1600" s="170"/>
      <c r="G1600" s="171"/>
      <c r="H1600" s="247"/>
      <c r="I1600" s="247"/>
      <c r="J1600" s="247"/>
      <c r="K1600" s="247"/>
      <c r="L1600" s="247"/>
      <c r="M1600" s="247"/>
      <c r="N1600" s="247"/>
      <c r="O1600" s="247"/>
      <c r="P1600" s="247"/>
      <c r="Q1600" s="248"/>
      <c r="R1600" s="248"/>
      <c r="S1600" s="247"/>
      <c r="T1600" s="247"/>
      <c r="U1600" s="218"/>
      <c r="V1600" s="342"/>
      <c r="W1600" s="139"/>
      <c r="Y1600" s="1"/>
    </row>
    <row r="1601" spans="3:25" ht="12" customHeight="1">
      <c r="C1601" s="343" t="str">
        <f t="shared" ca="1" si="154"/>
        <v/>
      </c>
      <c r="D1601" s="124"/>
      <c r="E1601" s="124"/>
      <c r="F1601" s="172"/>
      <c r="G1601" s="173"/>
      <c r="H1601" s="249"/>
      <c r="I1601" s="249"/>
      <c r="J1601" s="249"/>
      <c r="K1601" s="249"/>
      <c r="L1601" s="249"/>
      <c r="M1601" s="249"/>
      <c r="N1601" s="250"/>
      <c r="O1601" s="250"/>
      <c r="P1601" s="250"/>
      <c r="Q1601" s="198"/>
      <c r="R1601" s="198"/>
      <c r="S1601" s="249"/>
      <c r="T1601" s="249"/>
      <c r="U1601" s="172"/>
      <c r="V1601" s="343"/>
      <c r="W1601" s="139"/>
      <c r="Y1601" s="1"/>
    </row>
    <row r="1602" spans="3:25" ht="12" customHeight="1">
      <c r="C1602" s="342" t="str">
        <f t="shared" ca="1" si="154"/>
        <v/>
      </c>
      <c r="D1602" s="153"/>
      <c r="E1602" s="153"/>
      <c r="F1602" s="170"/>
      <c r="G1602" s="171"/>
      <c r="H1602" s="247"/>
      <c r="I1602" s="247"/>
      <c r="J1602" s="247"/>
      <c r="K1602" s="247"/>
      <c r="L1602" s="247"/>
      <c r="M1602" s="247"/>
      <c r="N1602" s="247"/>
      <c r="O1602" s="247"/>
      <c r="P1602" s="247"/>
      <c r="Q1602" s="248"/>
      <c r="R1602" s="248"/>
      <c r="S1602" s="247"/>
      <c r="T1602" s="247"/>
      <c r="U1602" s="218"/>
      <c r="V1602" s="342"/>
      <c r="W1602" s="139"/>
      <c r="Y1602" s="1"/>
    </row>
    <row r="1603" spans="3:25" ht="12" customHeight="1">
      <c r="C1603" s="343" t="str">
        <f t="shared" ca="1" si="154"/>
        <v/>
      </c>
      <c r="D1603" s="124"/>
      <c r="E1603" s="124"/>
      <c r="F1603" s="172"/>
      <c r="G1603" s="173"/>
      <c r="H1603" s="249"/>
      <c r="I1603" s="249"/>
      <c r="J1603" s="249"/>
      <c r="K1603" s="249"/>
      <c r="L1603" s="249"/>
      <c r="M1603" s="249"/>
      <c r="N1603" s="250"/>
      <c r="O1603" s="250"/>
      <c r="P1603" s="250"/>
      <c r="Q1603" s="198"/>
      <c r="R1603" s="198"/>
      <c r="S1603" s="249"/>
      <c r="T1603" s="249"/>
      <c r="U1603" s="172"/>
      <c r="V1603" s="343"/>
      <c r="W1603" s="139"/>
      <c r="Y1603" s="1"/>
    </row>
    <row r="1604" spans="3:25" ht="12" customHeight="1">
      <c r="C1604" s="342" t="str">
        <f t="shared" ca="1" si="154"/>
        <v/>
      </c>
      <c r="D1604" s="153"/>
      <c r="E1604" s="153"/>
      <c r="F1604" s="170"/>
      <c r="G1604" s="171"/>
      <c r="H1604" s="247"/>
      <c r="I1604" s="247"/>
      <c r="J1604" s="247"/>
      <c r="K1604" s="247"/>
      <c r="L1604" s="247"/>
      <c r="M1604" s="247"/>
      <c r="N1604" s="247"/>
      <c r="O1604" s="247"/>
      <c r="P1604" s="247"/>
      <c r="Q1604" s="248"/>
      <c r="R1604" s="248"/>
      <c r="S1604" s="247"/>
      <c r="T1604" s="247"/>
      <c r="U1604" s="218"/>
      <c r="V1604" s="342"/>
      <c r="W1604" s="139"/>
      <c r="Y1604" s="1"/>
    </row>
    <row r="1605" spans="3:25" ht="12" customHeight="1">
      <c r="C1605" s="343" t="str">
        <f t="shared" ca="1" si="154"/>
        <v/>
      </c>
      <c r="D1605" s="124"/>
      <c r="E1605" s="124"/>
      <c r="F1605" s="172"/>
      <c r="G1605" s="173"/>
      <c r="H1605" s="249"/>
      <c r="I1605" s="249"/>
      <c r="J1605" s="249"/>
      <c r="K1605" s="249"/>
      <c r="L1605" s="249"/>
      <c r="M1605" s="249"/>
      <c r="N1605" s="250"/>
      <c r="O1605" s="250"/>
      <c r="P1605" s="250"/>
      <c r="Q1605" s="198"/>
      <c r="R1605" s="198"/>
      <c r="S1605" s="249"/>
      <c r="T1605" s="249"/>
      <c r="U1605" s="172"/>
      <c r="V1605" s="343"/>
      <c r="W1605" s="139"/>
      <c r="Y1605" s="1"/>
    </row>
    <row r="1606" spans="3:25" ht="12" customHeight="1">
      <c r="C1606" s="342" t="str">
        <f t="shared" ca="1" si="154"/>
        <v/>
      </c>
      <c r="D1606" s="153"/>
      <c r="E1606" s="153"/>
      <c r="F1606" s="170"/>
      <c r="G1606" s="171"/>
      <c r="H1606" s="247"/>
      <c r="I1606" s="247"/>
      <c r="J1606" s="247"/>
      <c r="K1606" s="247"/>
      <c r="L1606" s="247"/>
      <c r="M1606" s="247"/>
      <c r="N1606" s="247"/>
      <c r="O1606" s="247"/>
      <c r="P1606" s="247"/>
      <c r="Q1606" s="248"/>
      <c r="R1606" s="248"/>
      <c r="S1606" s="247"/>
      <c r="T1606" s="247"/>
      <c r="U1606" s="218"/>
      <c r="V1606" s="342"/>
      <c r="W1606" s="139"/>
      <c r="Y1606" s="1"/>
    </row>
    <row r="1607" spans="3:25" ht="12" customHeight="1">
      <c r="C1607" s="343" t="str">
        <f t="shared" ca="1" si="154"/>
        <v/>
      </c>
      <c r="D1607" s="124"/>
      <c r="E1607" s="124"/>
      <c r="F1607" s="172"/>
      <c r="G1607" s="173"/>
      <c r="H1607" s="249"/>
      <c r="I1607" s="249"/>
      <c r="J1607" s="249"/>
      <c r="K1607" s="249"/>
      <c r="L1607" s="249"/>
      <c r="M1607" s="249"/>
      <c r="N1607" s="250"/>
      <c r="O1607" s="250"/>
      <c r="P1607" s="250"/>
      <c r="Q1607" s="198"/>
      <c r="R1607" s="198"/>
      <c r="S1607" s="249"/>
      <c r="T1607" s="249"/>
      <c r="U1607" s="172"/>
      <c r="V1607" s="343"/>
      <c r="W1607" s="139"/>
      <c r="Y1607" s="1"/>
    </row>
    <row r="1608" spans="3:25" ht="12" customHeight="1">
      <c r="C1608" s="342" t="str">
        <f t="shared" ca="1" si="154"/>
        <v/>
      </c>
      <c r="D1608" s="153"/>
      <c r="E1608" s="153"/>
      <c r="F1608" s="170"/>
      <c r="G1608" s="171"/>
      <c r="H1608" s="247"/>
      <c r="I1608" s="247"/>
      <c r="J1608" s="247"/>
      <c r="K1608" s="247"/>
      <c r="L1608" s="247"/>
      <c r="M1608" s="247"/>
      <c r="N1608" s="247"/>
      <c r="O1608" s="247"/>
      <c r="P1608" s="247"/>
      <c r="Q1608" s="248"/>
      <c r="R1608" s="248"/>
      <c r="S1608" s="247"/>
      <c r="T1608" s="247"/>
      <c r="U1608" s="218"/>
      <c r="V1608" s="342"/>
      <c r="W1608" s="139"/>
      <c r="Y1608" s="1"/>
    </row>
    <row r="1609" spans="3:25" ht="12" customHeight="1">
      <c r="C1609" s="343" t="str">
        <f t="shared" ca="1" si="154"/>
        <v/>
      </c>
      <c r="D1609" s="124"/>
      <c r="E1609" s="124"/>
      <c r="F1609" s="172"/>
      <c r="G1609" s="173"/>
      <c r="H1609" s="249"/>
      <c r="I1609" s="249"/>
      <c r="J1609" s="249"/>
      <c r="K1609" s="249"/>
      <c r="L1609" s="249"/>
      <c r="M1609" s="249"/>
      <c r="N1609" s="250"/>
      <c r="O1609" s="250"/>
      <c r="P1609" s="250"/>
      <c r="Q1609" s="198"/>
      <c r="R1609" s="198"/>
      <c r="S1609" s="249"/>
      <c r="T1609" s="249"/>
      <c r="U1609" s="172"/>
      <c r="V1609" s="343"/>
      <c r="W1609" s="139"/>
      <c r="Y1609" s="1"/>
    </row>
    <row r="1610" spans="3:25" ht="12" customHeight="1">
      <c r="C1610" s="342" t="str">
        <f t="shared" ca="1" si="154"/>
        <v/>
      </c>
      <c r="D1610" s="153"/>
      <c r="E1610" s="153"/>
      <c r="F1610" s="170"/>
      <c r="G1610" s="171"/>
      <c r="H1610" s="247"/>
      <c r="I1610" s="247"/>
      <c r="J1610" s="247"/>
      <c r="K1610" s="247"/>
      <c r="L1610" s="247"/>
      <c r="M1610" s="247"/>
      <c r="N1610" s="247"/>
      <c r="O1610" s="247"/>
      <c r="P1610" s="247"/>
      <c r="Q1610" s="248"/>
      <c r="R1610" s="248"/>
      <c r="S1610" s="247"/>
      <c r="T1610" s="247"/>
      <c r="U1610" s="218"/>
      <c r="V1610" s="342"/>
      <c r="W1610" s="139"/>
      <c r="Y1610" s="1"/>
    </row>
    <row r="1611" spans="3:25" ht="12" customHeight="1">
      <c r="C1611" s="343" t="str">
        <f t="shared" ca="1" si="154"/>
        <v/>
      </c>
      <c r="D1611" s="124"/>
      <c r="E1611" s="124"/>
      <c r="F1611" s="172"/>
      <c r="G1611" s="173"/>
      <c r="H1611" s="249"/>
      <c r="I1611" s="249"/>
      <c r="J1611" s="249"/>
      <c r="K1611" s="249"/>
      <c r="L1611" s="249"/>
      <c r="M1611" s="249"/>
      <c r="N1611" s="250"/>
      <c r="O1611" s="250"/>
      <c r="P1611" s="250"/>
      <c r="Q1611" s="198"/>
      <c r="R1611" s="198"/>
      <c r="S1611" s="249"/>
      <c r="T1611" s="249"/>
      <c r="U1611" s="172"/>
      <c r="V1611" s="343"/>
      <c r="W1611" s="139"/>
      <c r="Y1611" s="1"/>
    </row>
    <row r="1612" spans="3:25" ht="12" customHeight="1">
      <c r="C1612" s="342" t="str">
        <f t="shared" ca="1" si="154"/>
        <v/>
      </c>
      <c r="D1612" s="153"/>
      <c r="E1612" s="153"/>
      <c r="F1612" s="170"/>
      <c r="G1612" s="171"/>
      <c r="H1612" s="247"/>
      <c r="I1612" s="247"/>
      <c r="J1612" s="247"/>
      <c r="K1612" s="247"/>
      <c r="L1612" s="247"/>
      <c r="M1612" s="247"/>
      <c r="N1612" s="247"/>
      <c r="O1612" s="247"/>
      <c r="P1612" s="247"/>
      <c r="Q1612" s="248"/>
      <c r="R1612" s="248"/>
      <c r="S1612" s="247"/>
      <c r="T1612" s="247"/>
      <c r="U1612" s="218"/>
      <c r="V1612" s="342"/>
      <c r="W1612" s="139"/>
      <c r="Y1612" s="1"/>
    </row>
    <row r="1613" spans="3:25" ht="12" customHeight="1">
      <c r="C1613" s="343" t="str">
        <f t="shared" ca="1" si="154"/>
        <v/>
      </c>
      <c r="D1613" s="124"/>
      <c r="E1613" s="124"/>
      <c r="F1613" s="172"/>
      <c r="G1613" s="173"/>
      <c r="H1613" s="249"/>
      <c r="I1613" s="249"/>
      <c r="J1613" s="249"/>
      <c r="K1613" s="249"/>
      <c r="L1613" s="249"/>
      <c r="M1613" s="249"/>
      <c r="N1613" s="250"/>
      <c r="O1613" s="250"/>
      <c r="P1613" s="250"/>
      <c r="Q1613" s="198"/>
      <c r="R1613" s="198"/>
      <c r="S1613" s="249"/>
      <c r="T1613" s="249"/>
      <c r="U1613" s="172"/>
      <c r="V1613" s="343"/>
      <c r="W1613" s="139"/>
      <c r="Y1613" s="1"/>
    </row>
    <row r="1614" spans="3:25" ht="12" customHeight="1">
      <c r="C1614" s="342" t="str">
        <f t="shared" ref="C1614:C1677" ca="1" si="155">IF(ROW()-13&lt;=MAX(series),ROW()-13,"")</f>
        <v/>
      </c>
      <c r="D1614" s="153"/>
      <c r="E1614" s="153"/>
      <c r="F1614" s="170"/>
      <c r="G1614" s="171"/>
      <c r="H1614" s="247"/>
      <c r="I1614" s="247"/>
      <c r="J1614" s="247"/>
      <c r="K1614" s="247"/>
      <c r="L1614" s="247"/>
      <c r="M1614" s="247"/>
      <c r="N1614" s="247"/>
      <c r="O1614" s="247"/>
      <c r="P1614" s="247"/>
      <c r="Q1614" s="248"/>
      <c r="R1614" s="248"/>
      <c r="S1614" s="247"/>
      <c r="T1614" s="247"/>
      <c r="U1614" s="218"/>
      <c r="V1614" s="342"/>
      <c r="W1614" s="139"/>
      <c r="Y1614" s="1"/>
    </row>
    <row r="1615" spans="3:25" ht="12" customHeight="1">
      <c r="C1615" s="343" t="str">
        <f t="shared" ca="1" si="155"/>
        <v/>
      </c>
      <c r="D1615" s="124"/>
      <c r="E1615" s="124"/>
      <c r="F1615" s="172"/>
      <c r="G1615" s="173"/>
      <c r="H1615" s="249"/>
      <c r="I1615" s="249"/>
      <c r="J1615" s="249"/>
      <c r="K1615" s="249"/>
      <c r="L1615" s="249"/>
      <c r="M1615" s="249"/>
      <c r="N1615" s="250"/>
      <c r="O1615" s="250"/>
      <c r="P1615" s="250"/>
      <c r="Q1615" s="198"/>
      <c r="R1615" s="198"/>
      <c r="S1615" s="249"/>
      <c r="T1615" s="249"/>
      <c r="U1615" s="172"/>
      <c r="V1615" s="343"/>
      <c r="W1615" s="139"/>
      <c r="Y1615" s="1"/>
    </row>
    <row r="1616" spans="3:25" ht="12" customHeight="1">
      <c r="C1616" s="342" t="str">
        <f t="shared" ca="1" si="155"/>
        <v/>
      </c>
      <c r="D1616" s="153"/>
      <c r="E1616" s="153"/>
      <c r="F1616" s="170"/>
      <c r="G1616" s="171"/>
      <c r="H1616" s="247"/>
      <c r="I1616" s="247"/>
      <c r="J1616" s="247"/>
      <c r="K1616" s="247"/>
      <c r="L1616" s="247"/>
      <c r="M1616" s="247"/>
      <c r="N1616" s="247"/>
      <c r="O1616" s="247"/>
      <c r="P1616" s="247"/>
      <c r="Q1616" s="248"/>
      <c r="R1616" s="248"/>
      <c r="S1616" s="247"/>
      <c r="T1616" s="247"/>
      <c r="U1616" s="218"/>
      <c r="V1616" s="342"/>
      <c r="W1616" s="139"/>
      <c r="Y1616" s="1"/>
    </row>
    <row r="1617" spans="3:25" ht="12" customHeight="1">
      <c r="C1617" s="343" t="str">
        <f t="shared" ca="1" si="155"/>
        <v/>
      </c>
      <c r="D1617" s="124"/>
      <c r="E1617" s="124"/>
      <c r="F1617" s="172"/>
      <c r="G1617" s="173"/>
      <c r="H1617" s="249"/>
      <c r="I1617" s="249"/>
      <c r="J1617" s="249"/>
      <c r="K1617" s="249"/>
      <c r="L1617" s="249"/>
      <c r="M1617" s="249"/>
      <c r="N1617" s="250"/>
      <c r="O1617" s="250"/>
      <c r="P1617" s="250"/>
      <c r="Q1617" s="198"/>
      <c r="R1617" s="198"/>
      <c r="S1617" s="249"/>
      <c r="T1617" s="249"/>
      <c r="U1617" s="172"/>
      <c r="V1617" s="343"/>
      <c r="W1617" s="139"/>
      <c r="Y1617" s="1"/>
    </row>
    <row r="1618" spans="3:25" ht="12" customHeight="1">
      <c r="C1618" s="342" t="str">
        <f t="shared" ca="1" si="155"/>
        <v/>
      </c>
      <c r="D1618" s="153"/>
      <c r="E1618" s="153"/>
      <c r="F1618" s="170"/>
      <c r="G1618" s="171"/>
      <c r="H1618" s="247"/>
      <c r="I1618" s="247"/>
      <c r="J1618" s="247"/>
      <c r="K1618" s="247"/>
      <c r="L1618" s="247"/>
      <c r="M1618" s="247"/>
      <c r="N1618" s="247"/>
      <c r="O1618" s="247"/>
      <c r="P1618" s="247"/>
      <c r="Q1618" s="248"/>
      <c r="R1618" s="248"/>
      <c r="S1618" s="247"/>
      <c r="T1618" s="247"/>
      <c r="U1618" s="218"/>
      <c r="V1618" s="342"/>
      <c r="W1618" s="139"/>
      <c r="Y1618" s="1"/>
    </row>
    <row r="1619" spans="3:25" ht="12" customHeight="1">
      <c r="C1619" s="343" t="str">
        <f t="shared" ca="1" si="155"/>
        <v/>
      </c>
      <c r="D1619" s="124"/>
      <c r="E1619" s="124"/>
      <c r="F1619" s="172"/>
      <c r="G1619" s="173"/>
      <c r="H1619" s="249"/>
      <c r="I1619" s="249"/>
      <c r="J1619" s="249"/>
      <c r="K1619" s="249"/>
      <c r="L1619" s="249"/>
      <c r="M1619" s="249"/>
      <c r="N1619" s="250"/>
      <c r="O1619" s="250"/>
      <c r="P1619" s="250"/>
      <c r="Q1619" s="198"/>
      <c r="R1619" s="198"/>
      <c r="S1619" s="249"/>
      <c r="T1619" s="249"/>
      <c r="U1619" s="172"/>
      <c r="V1619" s="343"/>
      <c r="W1619" s="139"/>
      <c r="Y1619" s="1"/>
    </row>
    <row r="1620" spans="3:25" ht="12" customHeight="1">
      <c r="C1620" s="342" t="str">
        <f t="shared" ca="1" si="155"/>
        <v/>
      </c>
      <c r="D1620" s="153"/>
      <c r="E1620" s="153"/>
      <c r="F1620" s="170"/>
      <c r="G1620" s="171"/>
      <c r="H1620" s="247"/>
      <c r="I1620" s="247"/>
      <c r="J1620" s="247"/>
      <c r="K1620" s="247"/>
      <c r="L1620" s="247"/>
      <c r="M1620" s="247"/>
      <c r="N1620" s="247"/>
      <c r="O1620" s="247"/>
      <c r="P1620" s="247"/>
      <c r="Q1620" s="248"/>
      <c r="R1620" s="248"/>
      <c r="S1620" s="247"/>
      <c r="T1620" s="247"/>
      <c r="U1620" s="218"/>
      <c r="V1620" s="342"/>
      <c r="W1620" s="139"/>
      <c r="Y1620" s="1"/>
    </row>
    <row r="1621" spans="3:25" ht="12" customHeight="1">
      <c r="C1621" s="343" t="str">
        <f t="shared" ca="1" si="155"/>
        <v/>
      </c>
      <c r="D1621" s="124"/>
      <c r="E1621" s="124"/>
      <c r="F1621" s="172"/>
      <c r="G1621" s="173"/>
      <c r="H1621" s="249"/>
      <c r="I1621" s="249"/>
      <c r="J1621" s="249"/>
      <c r="K1621" s="249"/>
      <c r="L1621" s="249"/>
      <c r="M1621" s="249"/>
      <c r="N1621" s="250"/>
      <c r="O1621" s="250"/>
      <c r="P1621" s="250"/>
      <c r="Q1621" s="198"/>
      <c r="R1621" s="198"/>
      <c r="S1621" s="249"/>
      <c r="T1621" s="249"/>
      <c r="U1621" s="172"/>
      <c r="V1621" s="343"/>
      <c r="W1621" s="139"/>
      <c r="Y1621" s="1"/>
    </row>
    <row r="1622" spans="3:25" ht="12" customHeight="1">
      <c r="C1622" s="342" t="str">
        <f t="shared" ca="1" si="155"/>
        <v/>
      </c>
      <c r="D1622" s="153"/>
      <c r="E1622" s="153"/>
      <c r="F1622" s="170"/>
      <c r="G1622" s="171"/>
      <c r="H1622" s="247"/>
      <c r="I1622" s="247"/>
      <c r="J1622" s="247"/>
      <c r="K1622" s="247"/>
      <c r="L1622" s="247"/>
      <c r="M1622" s="247"/>
      <c r="N1622" s="247"/>
      <c r="O1622" s="247"/>
      <c r="P1622" s="247"/>
      <c r="Q1622" s="248"/>
      <c r="R1622" s="248"/>
      <c r="S1622" s="247"/>
      <c r="T1622" s="247"/>
      <c r="U1622" s="218"/>
      <c r="V1622" s="342"/>
      <c r="W1622" s="139"/>
      <c r="Y1622" s="1"/>
    </row>
    <row r="1623" spans="3:25" ht="12" customHeight="1">
      <c r="C1623" s="343" t="str">
        <f t="shared" ca="1" si="155"/>
        <v/>
      </c>
      <c r="D1623" s="124"/>
      <c r="E1623" s="124"/>
      <c r="F1623" s="172"/>
      <c r="G1623" s="173"/>
      <c r="H1623" s="249"/>
      <c r="I1623" s="249"/>
      <c r="J1623" s="249"/>
      <c r="K1623" s="249"/>
      <c r="L1623" s="249"/>
      <c r="M1623" s="249"/>
      <c r="N1623" s="250"/>
      <c r="O1623" s="250"/>
      <c r="P1623" s="250"/>
      <c r="Q1623" s="198"/>
      <c r="R1623" s="198"/>
      <c r="S1623" s="249"/>
      <c r="T1623" s="249"/>
      <c r="U1623" s="172"/>
      <c r="V1623" s="343"/>
      <c r="W1623" s="139"/>
      <c r="Y1623" s="1"/>
    </row>
    <row r="1624" spans="3:25" ht="12" customHeight="1">
      <c r="C1624" s="342" t="str">
        <f t="shared" ca="1" si="155"/>
        <v/>
      </c>
      <c r="D1624" s="153"/>
      <c r="E1624" s="153"/>
      <c r="F1624" s="170"/>
      <c r="G1624" s="171"/>
      <c r="H1624" s="247"/>
      <c r="I1624" s="247"/>
      <c r="J1624" s="247"/>
      <c r="K1624" s="247"/>
      <c r="L1624" s="247"/>
      <c r="M1624" s="247"/>
      <c r="N1624" s="247"/>
      <c r="O1624" s="247"/>
      <c r="P1624" s="247"/>
      <c r="Q1624" s="248"/>
      <c r="R1624" s="248"/>
      <c r="S1624" s="247"/>
      <c r="T1624" s="247"/>
      <c r="U1624" s="218"/>
      <c r="V1624" s="342"/>
      <c r="W1624" s="139"/>
      <c r="Y1624" s="1"/>
    </row>
    <row r="1625" spans="3:25" ht="12" customHeight="1">
      <c r="C1625" s="343" t="str">
        <f t="shared" ca="1" si="155"/>
        <v/>
      </c>
      <c r="D1625" s="124"/>
      <c r="E1625" s="124"/>
      <c r="F1625" s="172"/>
      <c r="G1625" s="173"/>
      <c r="H1625" s="249"/>
      <c r="I1625" s="249"/>
      <c r="J1625" s="249"/>
      <c r="K1625" s="249"/>
      <c r="L1625" s="249"/>
      <c r="M1625" s="249"/>
      <c r="N1625" s="250"/>
      <c r="O1625" s="250"/>
      <c r="P1625" s="250"/>
      <c r="Q1625" s="198"/>
      <c r="R1625" s="198"/>
      <c r="S1625" s="249"/>
      <c r="T1625" s="249"/>
      <c r="U1625" s="172"/>
      <c r="V1625" s="343"/>
      <c r="W1625" s="139"/>
      <c r="Y1625" s="1"/>
    </row>
    <row r="1626" spans="3:25" ht="12" customHeight="1">
      <c r="C1626" s="342" t="str">
        <f t="shared" ca="1" si="155"/>
        <v/>
      </c>
      <c r="D1626" s="153"/>
      <c r="E1626" s="153"/>
      <c r="F1626" s="170"/>
      <c r="G1626" s="171"/>
      <c r="H1626" s="247"/>
      <c r="I1626" s="247"/>
      <c r="J1626" s="247"/>
      <c r="K1626" s="247"/>
      <c r="L1626" s="247"/>
      <c r="M1626" s="247"/>
      <c r="N1626" s="247"/>
      <c r="O1626" s="247"/>
      <c r="P1626" s="247"/>
      <c r="Q1626" s="248"/>
      <c r="R1626" s="248"/>
      <c r="S1626" s="247"/>
      <c r="T1626" s="247"/>
      <c r="U1626" s="218"/>
      <c r="V1626" s="342"/>
      <c r="W1626" s="139"/>
      <c r="Y1626" s="1"/>
    </row>
    <row r="1627" spans="3:25" ht="12" customHeight="1">
      <c r="C1627" s="343" t="str">
        <f t="shared" ca="1" si="155"/>
        <v/>
      </c>
      <c r="D1627" s="124"/>
      <c r="E1627" s="124"/>
      <c r="F1627" s="172"/>
      <c r="G1627" s="173"/>
      <c r="H1627" s="249"/>
      <c r="I1627" s="249"/>
      <c r="J1627" s="249"/>
      <c r="K1627" s="249"/>
      <c r="L1627" s="249"/>
      <c r="M1627" s="249"/>
      <c r="N1627" s="250"/>
      <c r="O1627" s="250"/>
      <c r="P1627" s="250"/>
      <c r="Q1627" s="198"/>
      <c r="R1627" s="198"/>
      <c r="S1627" s="249"/>
      <c r="T1627" s="249"/>
      <c r="U1627" s="172"/>
      <c r="V1627" s="343"/>
      <c r="W1627" s="139"/>
      <c r="Y1627" s="1"/>
    </row>
    <row r="1628" spans="3:25" ht="12" customHeight="1">
      <c r="C1628" s="342" t="str">
        <f t="shared" ca="1" si="155"/>
        <v/>
      </c>
      <c r="D1628" s="153"/>
      <c r="E1628" s="153"/>
      <c r="F1628" s="170"/>
      <c r="G1628" s="171"/>
      <c r="H1628" s="247"/>
      <c r="I1628" s="247"/>
      <c r="J1628" s="247"/>
      <c r="K1628" s="247"/>
      <c r="L1628" s="247"/>
      <c r="M1628" s="247"/>
      <c r="N1628" s="247"/>
      <c r="O1628" s="247"/>
      <c r="P1628" s="247"/>
      <c r="Q1628" s="248"/>
      <c r="R1628" s="248"/>
      <c r="S1628" s="247"/>
      <c r="T1628" s="247"/>
      <c r="U1628" s="218"/>
      <c r="V1628" s="342"/>
      <c r="W1628" s="139"/>
      <c r="Y1628" s="1"/>
    </row>
    <row r="1629" spans="3:25" ht="12" customHeight="1">
      <c r="C1629" s="343" t="str">
        <f t="shared" ca="1" si="155"/>
        <v/>
      </c>
      <c r="D1629" s="124"/>
      <c r="E1629" s="124"/>
      <c r="F1629" s="172"/>
      <c r="G1629" s="173"/>
      <c r="H1629" s="249"/>
      <c r="I1629" s="249"/>
      <c r="J1629" s="249"/>
      <c r="K1629" s="249"/>
      <c r="L1629" s="249"/>
      <c r="M1629" s="249"/>
      <c r="N1629" s="250"/>
      <c r="O1629" s="250"/>
      <c r="P1629" s="250"/>
      <c r="Q1629" s="198"/>
      <c r="R1629" s="198"/>
      <c r="S1629" s="249"/>
      <c r="T1629" s="249"/>
      <c r="U1629" s="172"/>
      <c r="V1629" s="343"/>
      <c r="W1629" s="139"/>
      <c r="Y1629" s="1"/>
    </row>
    <row r="1630" spans="3:25" ht="12" customHeight="1">
      <c r="C1630" s="342" t="str">
        <f t="shared" ca="1" si="155"/>
        <v/>
      </c>
      <c r="D1630" s="153"/>
      <c r="E1630" s="153"/>
      <c r="F1630" s="170"/>
      <c r="G1630" s="171"/>
      <c r="H1630" s="247"/>
      <c r="I1630" s="247"/>
      <c r="J1630" s="247"/>
      <c r="K1630" s="247"/>
      <c r="L1630" s="247"/>
      <c r="M1630" s="247"/>
      <c r="N1630" s="247"/>
      <c r="O1630" s="247"/>
      <c r="P1630" s="247"/>
      <c r="Q1630" s="248"/>
      <c r="R1630" s="248"/>
      <c r="S1630" s="247"/>
      <c r="T1630" s="247"/>
      <c r="U1630" s="218"/>
      <c r="V1630" s="342"/>
      <c r="W1630" s="139"/>
      <c r="Y1630" s="1"/>
    </row>
    <row r="1631" spans="3:25" ht="12" customHeight="1">
      <c r="C1631" s="343" t="str">
        <f t="shared" ca="1" si="155"/>
        <v/>
      </c>
      <c r="D1631" s="124"/>
      <c r="E1631" s="124"/>
      <c r="F1631" s="172"/>
      <c r="G1631" s="173"/>
      <c r="H1631" s="249"/>
      <c r="I1631" s="249"/>
      <c r="J1631" s="249"/>
      <c r="K1631" s="249"/>
      <c r="L1631" s="249"/>
      <c r="M1631" s="249"/>
      <c r="N1631" s="250"/>
      <c r="O1631" s="250"/>
      <c r="P1631" s="250"/>
      <c r="Q1631" s="198"/>
      <c r="R1631" s="198"/>
      <c r="S1631" s="249"/>
      <c r="T1631" s="249"/>
      <c r="U1631" s="172"/>
      <c r="V1631" s="343"/>
      <c r="W1631" s="139"/>
      <c r="Y1631" s="1"/>
    </row>
    <row r="1632" spans="3:25" ht="12" customHeight="1">
      <c r="C1632" s="342" t="str">
        <f t="shared" ca="1" si="155"/>
        <v/>
      </c>
      <c r="D1632" s="153"/>
      <c r="E1632" s="153"/>
      <c r="F1632" s="170"/>
      <c r="G1632" s="171"/>
      <c r="H1632" s="247"/>
      <c r="I1632" s="247"/>
      <c r="J1632" s="247"/>
      <c r="K1632" s="247"/>
      <c r="L1632" s="247"/>
      <c r="M1632" s="247"/>
      <c r="N1632" s="247"/>
      <c r="O1632" s="247"/>
      <c r="P1632" s="247"/>
      <c r="Q1632" s="248"/>
      <c r="R1632" s="248"/>
      <c r="S1632" s="247"/>
      <c r="T1632" s="247"/>
      <c r="U1632" s="218"/>
      <c r="V1632" s="342"/>
      <c r="W1632" s="139"/>
      <c r="Y1632" s="1"/>
    </row>
    <row r="1633" spans="3:25" ht="12" customHeight="1">
      <c r="C1633" s="343" t="str">
        <f t="shared" ca="1" si="155"/>
        <v/>
      </c>
      <c r="D1633" s="124"/>
      <c r="E1633" s="124"/>
      <c r="F1633" s="172"/>
      <c r="G1633" s="173"/>
      <c r="H1633" s="249"/>
      <c r="I1633" s="249"/>
      <c r="J1633" s="249"/>
      <c r="K1633" s="249"/>
      <c r="L1633" s="249"/>
      <c r="M1633" s="249"/>
      <c r="N1633" s="250"/>
      <c r="O1633" s="250"/>
      <c r="P1633" s="250"/>
      <c r="Q1633" s="198"/>
      <c r="R1633" s="198"/>
      <c r="S1633" s="249"/>
      <c r="T1633" s="249"/>
      <c r="U1633" s="172"/>
      <c r="V1633" s="343"/>
      <c r="W1633" s="139"/>
      <c r="Y1633" s="1"/>
    </row>
    <row r="1634" spans="3:25" ht="12" customHeight="1">
      <c r="C1634" s="342" t="str">
        <f t="shared" ca="1" si="155"/>
        <v/>
      </c>
      <c r="D1634" s="153"/>
      <c r="E1634" s="153"/>
      <c r="F1634" s="170"/>
      <c r="G1634" s="171"/>
      <c r="H1634" s="247"/>
      <c r="I1634" s="247"/>
      <c r="J1634" s="247"/>
      <c r="K1634" s="247"/>
      <c r="L1634" s="247"/>
      <c r="M1634" s="247"/>
      <c r="N1634" s="247"/>
      <c r="O1634" s="247"/>
      <c r="P1634" s="247"/>
      <c r="Q1634" s="248"/>
      <c r="R1634" s="248"/>
      <c r="S1634" s="247"/>
      <c r="T1634" s="247"/>
      <c r="U1634" s="218"/>
      <c r="V1634" s="342"/>
      <c r="W1634" s="139"/>
      <c r="Y1634" s="1"/>
    </row>
    <row r="1635" spans="3:25" ht="12" customHeight="1">
      <c r="C1635" s="343" t="str">
        <f t="shared" ca="1" si="155"/>
        <v/>
      </c>
      <c r="D1635" s="124"/>
      <c r="E1635" s="124"/>
      <c r="F1635" s="172"/>
      <c r="G1635" s="173"/>
      <c r="H1635" s="249"/>
      <c r="I1635" s="249"/>
      <c r="J1635" s="249"/>
      <c r="K1635" s="249"/>
      <c r="L1635" s="249"/>
      <c r="M1635" s="249"/>
      <c r="N1635" s="250"/>
      <c r="O1635" s="250"/>
      <c r="P1635" s="250"/>
      <c r="Q1635" s="198"/>
      <c r="R1635" s="198"/>
      <c r="S1635" s="249"/>
      <c r="T1635" s="249"/>
      <c r="U1635" s="172"/>
      <c r="V1635" s="343"/>
      <c r="W1635" s="139"/>
      <c r="Y1635" s="1"/>
    </row>
    <row r="1636" spans="3:25" ht="12" customHeight="1">
      <c r="C1636" s="342" t="str">
        <f t="shared" ca="1" si="155"/>
        <v/>
      </c>
      <c r="D1636" s="153"/>
      <c r="E1636" s="153"/>
      <c r="F1636" s="170"/>
      <c r="G1636" s="171"/>
      <c r="H1636" s="247"/>
      <c r="I1636" s="247"/>
      <c r="J1636" s="247"/>
      <c r="K1636" s="247"/>
      <c r="L1636" s="247"/>
      <c r="M1636" s="247"/>
      <c r="N1636" s="247"/>
      <c r="O1636" s="247"/>
      <c r="P1636" s="247"/>
      <c r="Q1636" s="248"/>
      <c r="R1636" s="248"/>
      <c r="S1636" s="247"/>
      <c r="T1636" s="247"/>
      <c r="U1636" s="218"/>
      <c r="V1636" s="342"/>
      <c r="W1636" s="139"/>
      <c r="Y1636" s="1"/>
    </row>
    <row r="1637" spans="3:25" ht="12" customHeight="1">
      <c r="C1637" s="343" t="str">
        <f t="shared" ca="1" si="155"/>
        <v/>
      </c>
      <c r="D1637" s="124"/>
      <c r="E1637" s="124"/>
      <c r="F1637" s="172"/>
      <c r="G1637" s="173"/>
      <c r="H1637" s="249"/>
      <c r="I1637" s="249"/>
      <c r="J1637" s="249"/>
      <c r="K1637" s="249"/>
      <c r="L1637" s="249"/>
      <c r="M1637" s="249"/>
      <c r="N1637" s="250"/>
      <c r="O1637" s="250"/>
      <c r="P1637" s="250"/>
      <c r="Q1637" s="198"/>
      <c r="R1637" s="198"/>
      <c r="S1637" s="249"/>
      <c r="T1637" s="249"/>
      <c r="U1637" s="172"/>
      <c r="V1637" s="343"/>
      <c r="W1637" s="139"/>
      <c r="Y1637" s="1"/>
    </row>
    <row r="1638" spans="3:25" ht="12" customHeight="1">
      <c r="C1638" s="342" t="str">
        <f t="shared" ca="1" si="155"/>
        <v/>
      </c>
      <c r="D1638" s="153"/>
      <c r="E1638" s="153"/>
      <c r="F1638" s="170"/>
      <c r="G1638" s="171"/>
      <c r="H1638" s="247"/>
      <c r="I1638" s="247"/>
      <c r="J1638" s="247"/>
      <c r="K1638" s="247"/>
      <c r="L1638" s="247"/>
      <c r="M1638" s="247"/>
      <c r="N1638" s="247"/>
      <c r="O1638" s="247"/>
      <c r="P1638" s="247"/>
      <c r="Q1638" s="248"/>
      <c r="R1638" s="248"/>
      <c r="S1638" s="247"/>
      <c r="T1638" s="247"/>
      <c r="U1638" s="218"/>
      <c r="V1638" s="342"/>
      <c r="W1638" s="139"/>
      <c r="Y1638" s="1"/>
    </row>
    <row r="1639" spans="3:25" ht="12" customHeight="1">
      <c r="C1639" s="343" t="str">
        <f t="shared" ca="1" si="155"/>
        <v/>
      </c>
      <c r="D1639" s="124"/>
      <c r="E1639" s="124"/>
      <c r="F1639" s="172"/>
      <c r="G1639" s="173"/>
      <c r="H1639" s="249"/>
      <c r="I1639" s="249"/>
      <c r="J1639" s="249"/>
      <c r="K1639" s="249"/>
      <c r="L1639" s="249"/>
      <c r="M1639" s="249"/>
      <c r="N1639" s="250"/>
      <c r="O1639" s="250"/>
      <c r="P1639" s="250"/>
      <c r="Q1639" s="198"/>
      <c r="R1639" s="198"/>
      <c r="S1639" s="249"/>
      <c r="T1639" s="249"/>
      <c r="U1639" s="172"/>
      <c r="V1639" s="343"/>
      <c r="W1639" s="139"/>
      <c r="Y1639" s="1"/>
    </row>
    <row r="1640" spans="3:25" ht="12" customHeight="1">
      <c r="C1640" s="342" t="str">
        <f t="shared" ca="1" si="155"/>
        <v/>
      </c>
      <c r="D1640" s="153"/>
      <c r="E1640" s="153"/>
      <c r="F1640" s="170"/>
      <c r="G1640" s="171"/>
      <c r="H1640" s="247"/>
      <c r="I1640" s="247"/>
      <c r="J1640" s="247"/>
      <c r="K1640" s="247"/>
      <c r="L1640" s="247"/>
      <c r="M1640" s="247"/>
      <c r="N1640" s="247"/>
      <c r="O1640" s="247"/>
      <c r="P1640" s="247"/>
      <c r="Q1640" s="248"/>
      <c r="R1640" s="248"/>
      <c r="S1640" s="247"/>
      <c r="T1640" s="247"/>
      <c r="U1640" s="218"/>
      <c r="V1640" s="342"/>
      <c r="W1640" s="139"/>
      <c r="Y1640" s="1"/>
    </row>
    <row r="1641" spans="3:25" ht="12" customHeight="1">
      <c r="C1641" s="343" t="str">
        <f t="shared" ca="1" si="155"/>
        <v/>
      </c>
      <c r="D1641" s="124"/>
      <c r="E1641" s="124"/>
      <c r="F1641" s="172"/>
      <c r="G1641" s="173"/>
      <c r="H1641" s="249"/>
      <c r="I1641" s="249"/>
      <c r="J1641" s="249"/>
      <c r="K1641" s="249"/>
      <c r="L1641" s="249"/>
      <c r="M1641" s="249"/>
      <c r="N1641" s="250"/>
      <c r="O1641" s="250"/>
      <c r="P1641" s="250"/>
      <c r="Q1641" s="198"/>
      <c r="R1641" s="198"/>
      <c r="S1641" s="249"/>
      <c r="T1641" s="249"/>
      <c r="U1641" s="172"/>
      <c r="V1641" s="343"/>
      <c r="W1641" s="139"/>
      <c r="Y1641" s="1"/>
    </row>
    <row r="1642" spans="3:25" ht="12" customHeight="1">
      <c r="C1642" s="342" t="str">
        <f t="shared" ca="1" si="155"/>
        <v/>
      </c>
      <c r="D1642" s="153"/>
      <c r="E1642" s="153"/>
      <c r="F1642" s="170"/>
      <c r="G1642" s="171"/>
      <c r="H1642" s="247"/>
      <c r="I1642" s="247"/>
      <c r="J1642" s="247"/>
      <c r="K1642" s="247"/>
      <c r="L1642" s="247"/>
      <c r="M1642" s="247"/>
      <c r="N1642" s="247"/>
      <c r="O1642" s="247"/>
      <c r="P1642" s="247"/>
      <c r="Q1642" s="248"/>
      <c r="R1642" s="248"/>
      <c r="S1642" s="247"/>
      <c r="T1642" s="247"/>
      <c r="U1642" s="218"/>
      <c r="V1642" s="342"/>
      <c r="W1642" s="139"/>
      <c r="Y1642" s="1"/>
    </row>
    <row r="1643" spans="3:25" ht="12" customHeight="1">
      <c r="C1643" s="343" t="str">
        <f t="shared" ca="1" si="155"/>
        <v/>
      </c>
      <c r="D1643" s="124"/>
      <c r="E1643" s="124"/>
      <c r="F1643" s="172"/>
      <c r="G1643" s="173"/>
      <c r="H1643" s="249"/>
      <c r="I1643" s="249"/>
      <c r="J1643" s="249"/>
      <c r="K1643" s="249"/>
      <c r="L1643" s="249"/>
      <c r="M1643" s="249"/>
      <c r="N1643" s="250"/>
      <c r="O1643" s="250"/>
      <c r="P1643" s="250"/>
      <c r="Q1643" s="198"/>
      <c r="R1643" s="198"/>
      <c r="S1643" s="249"/>
      <c r="T1643" s="249"/>
      <c r="U1643" s="172"/>
      <c r="V1643" s="343"/>
      <c r="W1643" s="139"/>
      <c r="Y1643" s="1"/>
    </row>
    <row r="1644" spans="3:25" ht="12" customHeight="1">
      <c r="C1644" s="342" t="str">
        <f t="shared" ca="1" si="155"/>
        <v/>
      </c>
      <c r="D1644" s="153"/>
      <c r="E1644" s="153"/>
      <c r="F1644" s="170"/>
      <c r="G1644" s="171"/>
      <c r="H1644" s="247"/>
      <c r="I1644" s="247"/>
      <c r="J1644" s="247"/>
      <c r="K1644" s="247"/>
      <c r="L1644" s="247"/>
      <c r="M1644" s="247"/>
      <c r="N1644" s="247"/>
      <c r="O1644" s="247"/>
      <c r="P1644" s="247"/>
      <c r="Q1644" s="248"/>
      <c r="R1644" s="248"/>
      <c r="S1644" s="247"/>
      <c r="T1644" s="247"/>
      <c r="U1644" s="218"/>
      <c r="V1644" s="342"/>
      <c r="W1644" s="139"/>
      <c r="Y1644" s="1"/>
    </row>
    <row r="1645" spans="3:25" ht="12" customHeight="1">
      <c r="C1645" s="343" t="str">
        <f t="shared" ca="1" si="155"/>
        <v/>
      </c>
      <c r="D1645" s="124"/>
      <c r="E1645" s="124"/>
      <c r="F1645" s="172"/>
      <c r="G1645" s="173"/>
      <c r="H1645" s="249"/>
      <c r="I1645" s="249"/>
      <c r="J1645" s="249"/>
      <c r="K1645" s="249"/>
      <c r="L1645" s="249"/>
      <c r="M1645" s="249"/>
      <c r="N1645" s="250"/>
      <c r="O1645" s="250"/>
      <c r="P1645" s="250"/>
      <c r="Q1645" s="198"/>
      <c r="R1645" s="198"/>
      <c r="S1645" s="249"/>
      <c r="T1645" s="249"/>
      <c r="U1645" s="172"/>
      <c r="V1645" s="343"/>
      <c r="W1645" s="139"/>
      <c r="Y1645" s="1"/>
    </row>
    <row r="1646" spans="3:25" ht="12" customHeight="1">
      <c r="C1646" s="342" t="str">
        <f t="shared" ca="1" si="155"/>
        <v/>
      </c>
      <c r="D1646" s="153"/>
      <c r="E1646" s="153"/>
      <c r="F1646" s="170"/>
      <c r="G1646" s="171"/>
      <c r="H1646" s="247"/>
      <c r="I1646" s="247"/>
      <c r="J1646" s="247"/>
      <c r="K1646" s="247"/>
      <c r="L1646" s="247"/>
      <c r="M1646" s="247"/>
      <c r="N1646" s="247"/>
      <c r="O1646" s="247"/>
      <c r="P1646" s="247"/>
      <c r="Q1646" s="248"/>
      <c r="R1646" s="248"/>
      <c r="S1646" s="247"/>
      <c r="T1646" s="247"/>
      <c r="U1646" s="218"/>
      <c r="V1646" s="342"/>
      <c r="W1646" s="139"/>
      <c r="Y1646" s="1"/>
    </row>
    <row r="1647" spans="3:25" ht="12" customHeight="1">
      <c r="C1647" s="343" t="str">
        <f t="shared" ca="1" si="155"/>
        <v/>
      </c>
      <c r="D1647" s="124"/>
      <c r="E1647" s="124"/>
      <c r="F1647" s="172"/>
      <c r="G1647" s="173"/>
      <c r="H1647" s="249"/>
      <c r="I1647" s="249"/>
      <c r="J1647" s="249"/>
      <c r="K1647" s="249"/>
      <c r="L1647" s="249"/>
      <c r="M1647" s="249"/>
      <c r="N1647" s="250"/>
      <c r="O1647" s="250"/>
      <c r="P1647" s="250"/>
      <c r="Q1647" s="198"/>
      <c r="R1647" s="198"/>
      <c r="S1647" s="249"/>
      <c r="T1647" s="249"/>
      <c r="U1647" s="172"/>
      <c r="V1647" s="343"/>
      <c r="W1647" s="139"/>
      <c r="Y1647" s="1"/>
    </row>
    <row r="1648" spans="3:25" ht="12" customHeight="1">
      <c r="C1648" s="342" t="str">
        <f t="shared" ca="1" si="155"/>
        <v/>
      </c>
      <c r="D1648" s="153"/>
      <c r="E1648" s="153"/>
      <c r="F1648" s="170"/>
      <c r="G1648" s="171"/>
      <c r="H1648" s="247"/>
      <c r="I1648" s="247"/>
      <c r="J1648" s="247"/>
      <c r="K1648" s="247"/>
      <c r="L1648" s="247"/>
      <c r="M1648" s="247"/>
      <c r="N1648" s="247"/>
      <c r="O1648" s="247"/>
      <c r="P1648" s="247"/>
      <c r="Q1648" s="248"/>
      <c r="R1648" s="248"/>
      <c r="S1648" s="247"/>
      <c r="T1648" s="247"/>
      <c r="U1648" s="218"/>
      <c r="V1648" s="342"/>
      <c r="W1648" s="139"/>
      <c r="Y1648" s="1"/>
    </row>
    <row r="1649" spans="3:25" ht="12" customHeight="1">
      <c r="C1649" s="343" t="str">
        <f t="shared" ca="1" si="155"/>
        <v/>
      </c>
      <c r="D1649" s="124"/>
      <c r="E1649" s="124"/>
      <c r="F1649" s="172"/>
      <c r="G1649" s="173"/>
      <c r="H1649" s="249"/>
      <c r="I1649" s="249"/>
      <c r="J1649" s="249"/>
      <c r="K1649" s="249"/>
      <c r="L1649" s="249"/>
      <c r="M1649" s="249"/>
      <c r="N1649" s="250"/>
      <c r="O1649" s="250"/>
      <c r="P1649" s="250"/>
      <c r="Q1649" s="198"/>
      <c r="R1649" s="198"/>
      <c r="S1649" s="249"/>
      <c r="T1649" s="249"/>
      <c r="U1649" s="172"/>
      <c r="V1649" s="343"/>
      <c r="W1649" s="139"/>
      <c r="Y1649" s="1"/>
    </row>
    <row r="1650" spans="3:25" ht="12" customHeight="1">
      <c r="C1650" s="342" t="str">
        <f t="shared" ca="1" si="155"/>
        <v/>
      </c>
      <c r="D1650" s="153"/>
      <c r="E1650" s="153"/>
      <c r="F1650" s="170"/>
      <c r="G1650" s="171"/>
      <c r="H1650" s="247"/>
      <c r="I1650" s="247"/>
      <c r="J1650" s="247"/>
      <c r="K1650" s="247"/>
      <c r="L1650" s="247"/>
      <c r="M1650" s="247"/>
      <c r="N1650" s="247"/>
      <c r="O1650" s="247"/>
      <c r="P1650" s="247"/>
      <c r="Q1650" s="248"/>
      <c r="R1650" s="248"/>
      <c r="S1650" s="247"/>
      <c r="T1650" s="247"/>
      <c r="U1650" s="218"/>
      <c r="V1650" s="342"/>
      <c r="W1650" s="139"/>
      <c r="Y1650" s="1"/>
    </row>
    <row r="1651" spans="3:25" ht="12" customHeight="1">
      <c r="C1651" s="343" t="str">
        <f t="shared" ca="1" si="155"/>
        <v/>
      </c>
      <c r="D1651" s="124"/>
      <c r="E1651" s="124"/>
      <c r="F1651" s="172"/>
      <c r="G1651" s="173"/>
      <c r="H1651" s="249"/>
      <c r="I1651" s="249"/>
      <c r="J1651" s="249"/>
      <c r="K1651" s="249"/>
      <c r="L1651" s="249"/>
      <c r="M1651" s="249"/>
      <c r="N1651" s="250"/>
      <c r="O1651" s="250"/>
      <c r="P1651" s="250"/>
      <c r="Q1651" s="198"/>
      <c r="R1651" s="198"/>
      <c r="S1651" s="249"/>
      <c r="T1651" s="249"/>
      <c r="U1651" s="172"/>
      <c r="V1651" s="343"/>
      <c r="W1651" s="139"/>
      <c r="Y1651" s="1"/>
    </row>
    <row r="1652" spans="3:25" ht="12" customHeight="1">
      <c r="C1652" s="342" t="str">
        <f t="shared" ca="1" si="155"/>
        <v/>
      </c>
      <c r="D1652" s="153"/>
      <c r="E1652" s="153"/>
      <c r="F1652" s="170"/>
      <c r="G1652" s="171"/>
      <c r="H1652" s="247"/>
      <c r="I1652" s="247"/>
      <c r="J1652" s="247"/>
      <c r="K1652" s="247"/>
      <c r="L1652" s="247"/>
      <c r="M1652" s="247"/>
      <c r="N1652" s="247"/>
      <c r="O1652" s="247"/>
      <c r="P1652" s="247"/>
      <c r="Q1652" s="248"/>
      <c r="R1652" s="248"/>
      <c r="S1652" s="247"/>
      <c r="T1652" s="247"/>
      <c r="U1652" s="218"/>
      <c r="V1652" s="342"/>
      <c r="W1652" s="139"/>
      <c r="Y1652" s="1"/>
    </row>
    <row r="1653" spans="3:25" ht="12" customHeight="1">
      <c r="C1653" s="343" t="str">
        <f t="shared" ca="1" si="155"/>
        <v/>
      </c>
      <c r="D1653" s="124"/>
      <c r="E1653" s="124"/>
      <c r="F1653" s="172"/>
      <c r="G1653" s="173"/>
      <c r="H1653" s="249"/>
      <c r="I1653" s="249"/>
      <c r="J1653" s="249"/>
      <c r="K1653" s="249"/>
      <c r="L1653" s="249"/>
      <c r="M1653" s="249"/>
      <c r="N1653" s="250"/>
      <c r="O1653" s="250"/>
      <c r="P1653" s="250"/>
      <c r="Q1653" s="198"/>
      <c r="R1653" s="198"/>
      <c r="S1653" s="249"/>
      <c r="T1653" s="249"/>
      <c r="U1653" s="172"/>
      <c r="V1653" s="343"/>
      <c r="W1653" s="139"/>
      <c r="Y1653" s="1"/>
    </row>
    <row r="1654" spans="3:25" ht="12" customHeight="1">
      <c r="C1654" s="342" t="str">
        <f t="shared" ca="1" si="155"/>
        <v/>
      </c>
      <c r="D1654" s="153"/>
      <c r="E1654" s="153"/>
      <c r="F1654" s="170"/>
      <c r="G1654" s="171"/>
      <c r="H1654" s="247"/>
      <c r="I1654" s="247"/>
      <c r="J1654" s="247"/>
      <c r="K1654" s="247"/>
      <c r="L1654" s="247"/>
      <c r="M1654" s="247"/>
      <c r="N1654" s="247"/>
      <c r="O1654" s="247"/>
      <c r="P1654" s="247"/>
      <c r="Q1654" s="248"/>
      <c r="R1654" s="248"/>
      <c r="S1654" s="247"/>
      <c r="T1654" s="247"/>
      <c r="U1654" s="218"/>
      <c r="V1654" s="342"/>
      <c r="W1654" s="139"/>
      <c r="Y1654" s="1"/>
    </row>
    <row r="1655" spans="3:25" ht="12" customHeight="1">
      <c r="C1655" s="343" t="str">
        <f t="shared" ca="1" si="155"/>
        <v/>
      </c>
      <c r="D1655" s="124"/>
      <c r="E1655" s="124"/>
      <c r="F1655" s="172"/>
      <c r="G1655" s="173"/>
      <c r="H1655" s="249"/>
      <c r="I1655" s="249"/>
      <c r="J1655" s="249"/>
      <c r="K1655" s="249"/>
      <c r="L1655" s="249"/>
      <c r="M1655" s="249"/>
      <c r="N1655" s="250"/>
      <c r="O1655" s="250"/>
      <c r="P1655" s="250"/>
      <c r="Q1655" s="198"/>
      <c r="R1655" s="198"/>
      <c r="S1655" s="249"/>
      <c r="T1655" s="249"/>
      <c r="U1655" s="172"/>
      <c r="V1655" s="343"/>
      <c r="W1655" s="139"/>
      <c r="Y1655" s="1"/>
    </row>
    <row r="1656" spans="3:25" ht="12" customHeight="1">
      <c r="C1656" s="342" t="str">
        <f t="shared" ca="1" si="155"/>
        <v/>
      </c>
      <c r="D1656" s="153"/>
      <c r="E1656" s="153"/>
      <c r="F1656" s="170"/>
      <c r="G1656" s="171"/>
      <c r="H1656" s="247"/>
      <c r="I1656" s="247"/>
      <c r="J1656" s="247"/>
      <c r="K1656" s="247"/>
      <c r="L1656" s="247"/>
      <c r="M1656" s="247"/>
      <c r="N1656" s="247"/>
      <c r="O1656" s="247"/>
      <c r="P1656" s="247"/>
      <c r="Q1656" s="248"/>
      <c r="R1656" s="248"/>
      <c r="S1656" s="247"/>
      <c r="T1656" s="247"/>
      <c r="U1656" s="218"/>
      <c r="V1656" s="342"/>
      <c r="W1656" s="139"/>
      <c r="Y1656" s="1"/>
    </row>
    <row r="1657" spans="3:25" ht="12" customHeight="1">
      <c r="C1657" s="343" t="str">
        <f t="shared" ca="1" si="155"/>
        <v/>
      </c>
      <c r="D1657" s="124"/>
      <c r="E1657" s="124"/>
      <c r="F1657" s="172"/>
      <c r="G1657" s="173"/>
      <c r="H1657" s="249"/>
      <c r="I1657" s="249"/>
      <c r="J1657" s="249"/>
      <c r="K1657" s="249"/>
      <c r="L1657" s="249"/>
      <c r="M1657" s="249"/>
      <c r="N1657" s="250"/>
      <c r="O1657" s="250"/>
      <c r="P1657" s="250"/>
      <c r="Q1657" s="198"/>
      <c r="R1657" s="198"/>
      <c r="S1657" s="249"/>
      <c r="T1657" s="249"/>
      <c r="U1657" s="172"/>
      <c r="V1657" s="343"/>
      <c r="W1657" s="139"/>
      <c r="Y1657" s="1"/>
    </row>
    <row r="1658" spans="3:25" ht="12" customHeight="1">
      <c r="C1658" s="342" t="str">
        <f t="shared" ca="1" si="155"/>
        <v/>
      </c>
      <c r="D1658" s="153"/>
      <c r="E1658" s="153"/>
      <c r="F1658" s="170"/>
      <c r="G1658" s="171"/>
      <c r="H1658" s="247"/>
      <c r="I1658" s="247"/>
      <c r="J1658" s="247"/>
      <c r="K1658" s="247"/>
      <c r="L1658" s="247"/>
      <c r="M1658" s="247"/>
      <c r="N1658" s="247"/>
      <c r="O1658" s="247"/>
      <c r="P1658" s="247"/>
      <c r="Q1658" s="248"/>
      <c r="R1658" s="248"/>
      <c r="S1658" s="247"/>
      <c r="T1658" s="247"/>
      <c r="U1658" s="218"/>
      <c r="V1658" s="342"/>
      <c r="W1658" s="139"/>
      <c r="Y1658" s="1"/>
    </row>
    <row r="1659" spans="3:25" ht="12" customHeight="1">
      <c r="C1659" s="343" t="str">
        <f t="shared" ca="1" si="155"/>
        <v/>
      </c>
      <c r="D1659" s="124"/>
      <c r="E1659" s="124"/>
      <c r="F1659" s="172"/>
      <c r="G1659" s="173"/>
      <c r="H1659" s="249"/>
      <c r="I1659" s="249"/>
      <c r="J1659" s="249"/>
      <c r="K1659" s="249"/>
      <c r="L1659" s="249"/>
      <c r="M1659" s="249"/>
      <c r="N1659" s="250"/>
      <c r="O1659" s="250"/>
      <c r="P1659" s="250"/>
      <c r="Q1659" s="198"/>
      <c r="R1659" s="198"/>
      <c r="S1659" s="249"/>
      <c r="T1659" s="249"/>
      <c r="U1659" s="172"/>
      <c r="V1659" s="343"/>
      <c r="W1659" s="139"/>
      <c r="Y1659" s="1"/>
    </row>
    <row r="1660" spans="3:25" ht="12" customHeight="1">
      <c r="C1660" s="342" t="str">
        <f t="shared" ca="1" si="155"/>
        <v/>
      </c>
      <c r="D1660" s="153"/>
      <c r="E1660" s="153"/>
      <c r="F1660" s="170"/>
      <c r="G1660" s="171"/>
      <c r="H1660" s="247"/>
      <c r="I1660" s="247"/>
      <c r="J1660" s="247"/>
      <c r="K1660" s="247"/>
      <c r="L1660" s="247"/>
      <c r="M1660" s="247"/>
      <c r="N1660" s="247"/>
      <c r="O1660" s="247"/>
      <c r="P1660" s="247"/>
      <c r="Q1660" s="248"/>
      <c r="R1660" s="248"/>
      <c r="S1660" s="247"/>
      <c r="T1660" s="247"/>
      <c r="U1660" s="218"/>
      <c r="V1660" s="342"/>
      <c r="W1660" s="139"/>
      <c r="Y1660" s="1"/>
    </row>
    <row r="1661" spans="3:25" ht="12" customHeight="1">
      <c r="C1661" s="343" t="str">
        <f t="shared" ca="1" si="155"/>
        <v/>
      </c>
      <c r="D1661" s="124"/>
      <c r="E1661" s="124"/>
      <c r="F1661" s="172"/>
      <c r="G1661" s="173"/>
      <c r="H1661" s="249"/>
      <c r="I1661" s="249"/>
      <c r="J1661" s="249"/>
      <c r="K1661" s="249"/>
      <c r="L1661" s="249"/>
      <c r="M1661" s="249"/>
      <c r="N1661" s="250"/>
      <c r="O1661" s="250"/>
      <c r="P1661" s="250"/>
      <c r="Q1661" s="198"/>
      <c r="R1661" s="198"/>
      <c r="S1661" s="249"/>
      <c r="T1661" s="249"/>
      <c r="U1661" s="172"/>
      <c r="V1661" s="343"/>
      <c r="W1661" s="139"/>
      <c r="Y1661" s="1"/>
    </row>
    <row r="1662" spans="3:25" ht="12" customHeight="1">
      <c r="C1662" s="342" t="str">
        <f t="shared" ca="1" si="155"/>
        <v/>
      </c>
      <c r="D1662" s="153"/>
      <c r="E1662" s="153"/>
      <c r="F1662" s="170"/>
      <c r="G1662" s="171"/>
      <c r="H1662" s="247"/>
      <c r="I1662" s="247"/>
      <c r="J1662" s="247"/>
      <c r="K1662" s="247"/>
      <c r="L1662" s="247"/>
      <c r="M1662" s="247"/>
      <c r="N1662" s="247"/>
      <c r="O1662" s="247"/>
      <c r="P1662" s="247"/>
      <c r="Q1662" s="248"/>
      <c r="R1662" s="248"/>
      <c r="S1662" s="247"/>
      <c r="T1662" s="247"/>
      <c r="U1662" s="218"/>
      <c r="V1662" s="342"/>
      <c r="W1662" s="139"/>
      <c r="Y1662" s="1"/>
    </row>
    <row r="1663" spans="3:25" ht="12" customHeight="1">
      <c r="C1663" s="343" t="str">
        <f t="shared" ca="1" si="155"/>
        <v/>
      </c>
      <c r="D1663" s="124"/>
      <c r="E1663" s="124"/>
      <c r="F1663" s="172"/>
      <c r="G1663" s="173"/>
      <c r="H1663" s="249"/>
      <c r="I1663" s="249"/>
      <c r="J1663" s="249"/>
      <c r="K1663" s="249"/>
      <c r="L1663" s="249"/>
      <c r="M1663" s="249"/>
      <c r="N1663" s="250"/>
      <c r="O1663" s="250"/>
      <c r="P1663" s="250"/>
      <c r="Q1663" s="198"/>
      <c r="R1663" s="198"/>
      <c r="S1663" s="249"/>
      <c r="T1663" s="249"/>
      <c r="U1663" s="172"/>
      <c r="V1663" s="343"/>
      <c r="W1663" s="139"/>
      <c r="Y1663" s="1"/>
    </row>
    <row r="1664" spans="3:25" ht="12" customHeight="1">
      <c r="C1664" s="342" t="str">
        <f t="shared" ca="1" si="155"/>
        <v/>
      </c>
      <c r="D1664" s="153"/>
      <c r="E1664" s="153"/>
      <c r="F1664" s="170"/>
      <c r="G1664" s="171"/>
      <c r="H1664" s="247"/>
      <c r="I1664" s="247"/>
      <c r="J1664" s="247"/>
      <c r="K1664" s="247"/>
      <c r="L1664" s="247"/>
      <c r="M1664" s="247"/>
      <c r="N1664" s="247"/>
      <c r="O1664" s="247"/>
      <c r="P1664" s="247"/>
      <c r="Q1664" s="248"/>
      <c r="R1664" s="248"/>
      <c r="S1664" s="247"/>
      <c r="T1664" s="247"/>
      <c r="U1664" s="218"/>
      <c r="V1664" s="342"/>
      <c r="W1664" s="139"/>
      <c r="Y1664" s="1"/>
    </row>
    <row r="1665" spans="3:25" ht="12" customHeight="1">
      <c r="C1665" s="343" t="str">
        <f t="shared" ca="1" si="155"/>
        <v/>
      </c>
      <c r="D1665" s="124"/>
      <c r="E1665" s="124"/>
      <c r="F1665" s="172"/>
      <c r="G1665" s="173"/>
      <c r="H1665" s="249"/>
      <c r="I1665" s="249"/>
      <c r="J1665" s="249"/>
      <c r="K1665" s="249"/>
      <c r="L1665" s="249"/>
      <c r="M1665" s="249"/>
      <c r="N1665" s="250"/>
      <c r="O1665" s="250"/>
      <c r="P1665" s="250"/>
      <c r="Q1665" s="198"/>
      <c r="R1665" s="198"/>
      <c r="S1665" s="249"/>
      <c r="T1665" s="249"/>
      <c r="U1665" s="172"/>
      <c r="V1665" s="343"/>
      <c r="W1665" s="139"/>
      <c r="Y1665" s="1"/>
    </row>
    <row r="1666" spans="3:25" ht="12" customHeight="1">
      <c r="C1666" s="342" t="str">
        <f t="shared" ca="1" si="155"/>
        <v/>
      </c>
      <c r="D1666" s="153"/>
      <c r="E1666" s="153"/>
      <c r="F1666" s="170"/>
      <c r="G1666" s="171"/>
      <c r="H1666" s="247"/>
      <c r="I1666" s="247"/>
      <c r="J1666" s="247"/>
      <c r="K1666" s="247"/>
      <c r="L1666" s="247"/>
      <c r="M1666" s="247"/>
      <c r="N1666" s="247"/>
      <c r="O1666" s="247"/>
      <c r="P1666" s="247"/>
      <c r="Q1666" s="248"/>
      <c r="R1666" s="248"/>
      <c r="S1666" s="247"/>
      <c r="T1666" s="247"/>
      <c r="U1666" s="218"/>
      <c r="V1666" s="342"/>
      <c r="W1666" s="139"/>
      <c r="Y1666" s="1"/>
    </row>
    <row r="1667" spans="3:25" ht="12" customHeight="1">
      <c r="C1667" s="343" t="str">
        <f t="shared" ca="1" si="155"/>
        <v/>
      </c>
      <c r="D1667" s="124"/>
      <c r="E1667" s="124"/>
      <c r="F1667" s="172"/>
      <c r="G1667" s="173"/>
      <c r="H1667" s="249"/>
      <c r="I1667" s="249"/>
      <c r="J1667" s="249"/>
      <c r="K1667" s="249"/>
      <c r="L1667" s="249"/>
      <c r="M1667" s="249"/>
      <c r="N1667" s="250"/>
      <c r="O1667" s="250"/>
      <c r="P1667" s="250"/>
      <c r="Q1667" s="198"/>
      <c r="R1667" s="198"/>
      <c r="S1667" s="249"/>
      <c r="T1667" s="249"/>
      <c r="U1667" s="172"/>
      <c r="V1667" s="343"/>
      <c r="W1667" s="139"/>
      <c r="Y1667" s="1"/>
    </row>
    <row r="1668" spans="3:25" ht="12" customHeight="1">
      <c r="C1668" s="342" t="str">
        <f t="shared" ca="1" si="155"/>
        <v/>
      </c>
      <c r="D1668" s="153"/>
      <c r="E1668" s="153"/>
      <c r="F1668" s="170"/>
      <c r="G1668" s="171"/>
      <c r="H1668" s="247"/>
      <c r="I1668" s="247"/>
      <c r="J1668" s="247"/>
      <c r="K1668" s="247"/>
      <c r="L1668" s="247"/>
      <c r="M1668" s="247"/>
      <c r="N1668" s="247"/>
      <c r="O1668" s="247"/>
      <c r="P1668" s="247"/>
      <c r="Q1668" s="248"/>
      <c r="R1668" s="248"/>
      <c r="S1668" s="247"/>
      <c r="T1668" s="247"/>
      <c r="U1668" s="218"/>
      <c r="V1668" s="342"/>
      <c r="W1668" s="139"/>
      <c r="Y1668" s="1"/>
    </row>
    <row r="1669" spans="3:25" ht="12" customHeight="1">
      <c r="C1669" s="343" t="str">
        <f t="shared" ca="1" si="155"/>
        <v/>
      </c>
      <c r="D1669" s="124"/>
      <c r="E1669" s="124"/>
      <c r="F1669" s="172"/>
      <c r="G1669" s="173"/>
      <c r="H1669" s="249"/>
      <c r="I1669" s="249"/>
      <c r="J1669" s="249"/>
      <c r="K1669" s="249"/>
      <c r="L1669" s="249"/>
      <c r="M1669" s="249"/>
      <c r="N1669" s="250"/>
      <c r="O1669" s="250"/>
      <c r="P1669" s="250"/>
      <c r="Q1669" s="198"/>
      <c r="R1669" s="198"/>
      <c r="S1669" s="249"/>
      <c r="T1669" s="249"/>
      <c r="U1669" s="172"/>
      <c r="V1669" s="343"/>
      <c r="W1669" s="139"/>
      <c r="Y1669" s="1"/>
    </row>
    <row r="1670" spans="3:25" ht="12" customHeight="1">
      <c r="C1670" s="342" t="str">
        <f t="shared" ca="1" si="155"/>
        <v/>
      </c>
      <c r="D1670" s="153"/>
      <c r="E1670" s="153"/>
      <c r="F1670" s="170"/>
      <c r="G1670" s="171"/>
      <c r="H1670" s="247"/>
      <c r="I1670" s="247"/>
      <c r="J1670" s="247"/>
      <c r="K1670" s="247"/>
      <c r="L1670" s="247"/>
      <c r="M1670" s="247"/>
      <c r="N1670" s="247"/>
      <c r="O1670" s="247"/>
      <c r="P1670" s="247"/>
      <c r="Q1670" s="248"/>
      <c r="R1670" s="248"/>
      <c r="S1670" s="247"/>
      <c r="T1670" s="247"/>
      <c r="U1670" s="218"/>
      <c r="V1670" s="342"/>
      <c r="W1670" s="139"/>
      <c r="Y1670" s="1"/>
    </row>
    <row r="1671" spans="3:25" ht="12" customHeight="1">
      <c r="C1671" s="343" t="str">
        <f t="shared" ca="1" si="155"/>
        <v/>
      </c>
      <c r="D1671" s="124"/>
      <c r="E1671" s="124"/>
      <c r="F1671" s="172"/>
      <c r="G1671" s="173"/>
      <c r="H1671" s="249"/>
      <c r="I1671" s="249"/>
      <c r="J1671" s="249"/>
      <c r="K1671" s="249"/>
      <c r="L1671" s="249"/>
      <c r="M1671" s="249"/>
      <c r="N1671" s="250"/>
      <c r="O1671" s="250"/>
      <c r="P1671" s="250"/>
      <c r="Q1671" s="198"/>
      <c r="R1671" s="198"/>
      <c r="S1671" s="249"/>
      <c r="T1671" s="249"/>
      <c r="U1671" s="172"/>
      <c r="V1671" s="343"/>
      <c r="W1671" s="139"/>
      <c r="Y1671" s="1"/>
    </row>
    <row r="1672" spans="3:25" ht="12" customHeight="1">
      <c r="C1672" s="342" t="str">
        <f t="shared" ca="1" si="155"/>
        <v/>
      </c>
      <c r="D1672" s="153"/>
      <c r="E1672" s="153"/>
      <c r="F1672" s="170"/>
      <c r="G1672" s="171"/>
      <c r="H1672" s="247"/>
      <c r="I1672" s="247"/>
      <c r="J1672" s="247"/>
      <c r="K1672" s="247"/>
      <c r="L1672" s="247"/>
      <c r="M1672" s="247"/>
      <c r="N1672" s="247"/>
      <c r="O1672" s="247"/>
      <c r="P1672" s="247"/>
      <c r="Q1672" s="248"/>
      <c r="R1672" s="248"/>
      <c r="S1672" s="247"/>
      <c r="T1672" s="247"/>
      <c r="U1672" s="218"/>
      <c r="V1672" s="342"/>
      <c r="W1672" s="139"/>
      <c r="Y1672" s="1"/>
    </row>
    <row r="1673" spans="3:25" ht="12" customHeight="1">
      <c r="C1673" s="343" t="str">
        <f t="shared" ca="1" si="155"/>
        <v/>
      </c>
      <c r="D1673" s="124"/>
      <c r="E1673" s="124"/>
      <c r="F1673" s="172"/>
      <c r="G1673" s="173"/>
      <c r="H1673" s="249"/>
      <c r="I1673" s="249"/>
      <c r="J1673" s="249"/>
      <c r="K1673" s="249"/>
      <c r="L1673" s="249"/>
      <c r="M1673" s="249"/>
      <c r="N1673" s="250"/>
      <c r="O1673" s="250"/>
      <c r="P1673" s="250"/>
      <c r="Q1673" s="198"/>
      <c r="R1673" s="198"/>
      <c r="S1673" s="249"/>
      <c r="T1673" s="249"/>
      <c r="U1673" s="172"/>
      <c r="V1673" s="343"/>
      <c r="W1673" s="139"/>
      <c r="Y1673" s="1"/>
    </row>
    <row r="1674" spans="3:25" ht="12" customHeight="1">
      <c r="C1674" s="342" t="str">
        <f t="shared" ca="1" si="155"/>
        <v/>
      </c>
      <c r="D1674" s="153"/>
      <c r="E1674" s="153"/>
      <c r="F1674" s="170"/>
      <c r="G1674" s="171"/>
      <c r="H1674" s="247"/>
      <c r="I1674" s="247"/>
      <c r="J1674" s="247"/>
      <c r="K1674" s="247"/>
      <c r="L1674" s="247"/>
      <c r="M1674" s="247"/>
      <c r="N1674" s="247"/>
      <c r="O1674" s="247"/>
      <c r="P1674" s="247"/>
      <c r="Q1674" s="248"/>
      <c r="R1674" s="248"/>
      <c r="S1674" s="247"/>
      <c r="T1674" s="247"/>
      <c r="U1674" s="218"/>
      <c r="V1674" s="342"/>
      <c r="W1674" s="139"/>
      <c r="Y1674" s="1"/>
    </row>
    <row r="1675" spans="3:25" ht="12" customHeight="1">
      <c r="C1675" s="343" t="str">
        <f t="shared" ca="1" si="155"/>
        <v/>
      </c>
      <c r="D1675" s="124"/>
      <c r="E1675" s="124"/>
      <c r="F1675" s="172"/>
      <c r="G1675" s="173"/>
      <c r="H1675" s="249"/>
      <c r="I1675" s="249"/>
      <c r="J1675" s="249"/>
      <c r="K1675" s="249"/>
      <c r="L1675" s="249"/>
      <c r="M1675" s="249"/>
      <c r="N1675" s="250"/>
      <c r="O1675" s="250"/>
      <c r="P1675" s="250"/>
      <c r="Q1675" s="198"/>
      <c r="R1675" s="198"/>
      <c r="S1675" s="249"/>
      <c r="T1675" s="249"/>
      <c r="U1675" s="172"/>
      <c r="V1675" s="343"/>
      <c r="W1675" s="139"/>
      <c r="Y1675" s="1"/>
    </row>
    <row r="1676" spans="3:25" ht="12" customHeight="1">
      <c r="C1676" s="342" t="str">
        <f t="shared" ca="1" si="155"/>
        <v/>
      </c>
      <c r="D1676" s="153"/>
      <c r="E1676" s="153"/>
      <c r="F1676" s="170"/>
      <c r="G1676" s="171"/>
      <c r="H1676" s="247"/>
      <c r="I1676" s="247"/>
      <c r="J1676" s="247"/>
      <c r="K1676" s="247"/>
      <c r="L1676" s="247"/>
      <c r="M1676" s="247"/>
      <c r="N1676" s="247"/>
      <c r="O1676" s="247"/>
      <c r="P1676" s="247"/>
      <c r="Q1676" s="248"/>
      <c r="R1676" s="248"/>
      <c r="S1676" s="247"/>
      <c r="T1676" s="247"/>
      <c r="U1676" s="218"/>
      <c r="V1676" s="342"/>
      <c r="W1676" s="139"/>
      <c r="Y1676" s="1"/>
    </row>
    <row r="1677" spans="3:25" ht="12" customHeight="1">
      <c r="C1677" s="343" t="str">
        <f t="shared" ca="1" si="155"/>
        <v/>
      </c>
      <c r="D1677" s="124"/>
      <c r="E1677" s="124"/>
      <c r="F1677" s="172"/>
      <c r="G1677" s="173"/>
      <c r="H1677" s="249"/>
      <c r="I1677" s="249"/>
      <c r="J1677" s="249"/>
      <c r="K1677" s="249"/>
      <c r="L1677" s="249"/>
      <c r="M1677" s="249"/>
      <c r="N1677" s="250"/>
      <c r="O1677" s="250"/>
      <c r="P1677" s="250"/>
      <c r="Q1677" s="198"/>
      <c r="R1677" s="198"/>
      <c r="S1677" s="249"/>
      <c r="T1677" s="249"/>
      <c r="U1677" s="172"/>
      <c r="V1677" s="343"/>
      <c r="W1677" s="139"/>
      <c r="Y1677" s="1"/>
    </row>
    <row r="1678" spans="3:25" ht="12" customHeight="1">
      <c r="C1678" s="342" t="str">
        <f t="shared" ref="C1678:C1741" ca="1" si="156">IF(ROW()-13&lt;=MAX(series),ROW()-13,"")</f>
        <v/>
      </c>
      <c r="D1678" s="153"/>
      <c r="E1678" s="153"/>
      <c r="F1678" s="170"/>
      <c r="G1678" s="171"/>
      <c r="H1678" s="247"/>
      <c r="I1678" s="247"/>
      <c r="J1678" s="247"/>
      <c r="K1678" s="247"/>
      <c r="L1678" s="247"/>
      <c r="M1678" s="247"/>
      <c r="N1678" s="247"/>
      <c r="O1678" s="247"/>
      <c r="P1678" s="247"/>
      <c r="Q1678" s="248"/>
      <c r="R1678" s="248"/>
      <c r="S1678" s="247"/>
      <c r="T1678" s="247"/>
      <c r="U1678" s="218"/>
      <c r="V1678" s="342"/>
      <c r="W1678" s="139"/>
      <c r="Y1678" s="1"/>
    </row>
    <row r="1679" spans="3:25" ht="12" customHeight="1">
      <c r="C1679" s="343" t="str">
        <f t="shared" ca="1" si="156"/>
        <v/>
      </c>
      <c r="D1679" s="124"/>
      <c r="E1679" s="124"/>
      <c r="F1679" s="172"/>
      <c r="G1679" s="173"/>
      <c r="H1679" s="249"/>
      <c r="I1679" s="249"/>
      <c r="J1679" s="249"/>
      <c r="K1679" s="249"/>
      <c r="L1679" s="249"/>
      <c r="M1679" s="249"/>
      <c r="N1679" s="250"/>
      <c r="O1679" s="250"/>
      <c r="P1679" s="250"/>
      <c r="Q1679" s="198"/>
      <c r="R1679" s="198"/>
      <c r="S1679" s="249"/>
      <c r="T1679" s="249"/>
      <c r="U1679" s="172"/>
      <c r="V1679" s="343"/>
      <c r="W1679" s="139"/>
      <c r="Y1679" s="1"/>
    </row>
    <row r="1680" spans="3:25" ht="12" customHeight="1">
      <c r="C1680" s="342" t="str">
        <f t="shared" ca="1" si="156"/>
        <v/>
      </c>
      <c r="D1680" s="153"/>
      <c r="E1680" s="153"/>
      <c r="F1680" s="170"/>
      <c r="G1680" s="171"/>
      <c r="H1680" s="247"/>
      <c r="I1680" s="247"/>
      <c r="J1680" s="247"/>
      <c r="K1680" s="247"/>
      <c r="L1680" s="247"/>
      <c r="M1680" s="247"/>
      <c r="N1680" s="247"/>
      <c r="O1680" s="247"/>
      <c r="P1680" s="247"/>
      <c r="Q1680" s="248"/>
      <c r="R1680" s="248"/>
      <c r="S1680" s="247"/>
      <c r="T1680" s="247"/>
      <c r="U1680" s="218"/>
      <c r="V1680" s="342"/>
      <c r="W1680" s="139"/>
      <c r="Y1680" s="1"/>
    </row>
    <row r="1681" spans="3:25" ht="12" customHeight="1">
      <c r="C1681" s="343" t="str">
        <f t="shared" ca="1" si="156"/>
        <v/>
      </c>
      <c r="D1681" s="124"/>
      <c r="E1681" s="124"/>
      <c r="F1681" s="172"/>
      <c r="G1681" s="173"/>
      <c r="H1681" s="249"/>
      <c r="I1681" s="249"/>
      <c r="J1681" s="249"/>
      <c r="K1681" s="249"/>
      <c r="L1681" s="249"/>
      <c r="M1681" s="249"/>
      <c r="N1681" s="250"/>
      <c r="O1681" s="250"/>
      <c r="P1681" s="250"/>
      <c r="Q1681" s="198"/>
      <c r="R1681" s="198"/>
      <c r="S1681" s="249"/>
      <c r="T1681" s="249"/>
      <c r="U1681" s="172"/>
      <c r="V1681" s="343"/>
      <c r="W1681" s="139"/>
      <c r="Y1681" s="1"/>
    </row>
    <row r="1682" spans="3:25" ht="12" customHeight="1">
      <c r="C1682" s="342" t="str">
        <f t="shared" ca="1" si="156"/>
        <v/>
      </c>
      <c r="D1682" s="153"/>
      <c r="E1682" s="153"/>
      <c r="F1682" s="170"/>
      <c r="G1682" s="171"/>
      <c r="H1682" s="247"/>
      <c r="I1682" s="247"/>
      <c r="J1682" s="247"/>
      <c r="K1682" s="247"/>
      <c r="L1682" s="247"/>
      <c r="M1682" s="247"/>
      <c r="N1682" s="247"/>
      <c r="O1682" s="247"/>
      <c r="P1682" s="247"/>
      <c r="Q1682" s="248"/>
      <c r="R1682" s="248"/>
      <c r="S1682" s="247"/>
      <c r="T1682" s="247"/>
      <c r="U1682" s="218"/>
      <c r="V1682" s="342"/>
      <c r="W1682" s="139"/>
      <c r="Y1682" s="1"/>
    </row>
    <row r="1683" spans="3:25" ht="12" customHeight="1">
      <c r="C1683" s="343" t="str">
        <f t="shared" ca="1" si="156"/>
        <v/>
      </c>
      <c r="D1683" s="124"/>
      <c r="E1683" s="124"/>
      <c r="F1683" s="172"/>
      <c r="G1683" s="173"/>
      <c r="H1683" s="249"/>
      <c r="I1683" s="249"/>
      <c r="J1683" s="249"/>
      <c r="K1683" s="249"/>
      <c r="L1683" s="249"/>
      <c r="M1683" s="249"/>
      <c r="N1683" s="250"/>
      <c r="O1683" s="250"/>
      <c r="P1683" s="250"/>
      <c r="Q1683" s="198"/>
      <c r="R1683" s="198"/>
      <c r="S1683" s="249"/>
      <c r="T1683" s="249"/>
      <c r="U1683" s="172"/>
      <c r="V1683" s="343"/>
      <c r="W1683" s="139"/>
      <c r="Y1683" s="1"/>
    </row>
    <row r="1684" spans="3:25" ht="12" customHeight="1">
      <c r="C1684" s="342" t="str">
        <f t="shared" ca="1" si="156"/>
        <v/>
      </c>
      <c r="D1684" s="153"/>
      <c r="E1684" s="153"/>
      <c r="F1684" s="170"/>
      <c r="G1684" s="171"/>
      <c r="H1684" s="247"/>
      <c r="I1684" s="247"/>
      <c r="J1684" s="247"/>
      <c r="K1684" s="247"/>
      <c r="L1684" s="247"/>
      <c r="M1684" s="247"/>
      <c r="N1684" s="247"/>
      <c r="O1684" s="247"/>
      <c r="P1684" s="247"/>
      <c r="Q1684" s="248"/>
      <c r="R1684" s="248"/>
      <c r="S1684" s="247"/>
      <c r="T1684" s="247"/>
      <c r="U1684" s="218"/>
      <c r="V1684" s="342"/>
      <c r="W1684" s="139"/>
      <c r="Y1684" s="1"/>
    </row>
    <row r="1685" spans="3:25" ht="12" customHeight="1">
      <c r="C1685" s="343" t="str">
        <f t="shared" ca="1" si="156"/>
        <v/>
      </c>
      <c r="D1685" s="124"/>
      <c r="E1685" s="124"/>
      <c r="F1685" s="172"/>
      <c r="G1685" s="173"/>
      <c r="H1685" s="249"/>
      <c r="I1685" s="249"/>
      <c r="J1685" s="249"/>
      <c r="K1685" s="249"/>
      <c r="L1685" s="249"/>
      <c r="M1685" s="249"/>
      <c r="N1685" s="250"/>
      <c r="O1685" s="250"/>
      <c r="P1685" s="250"/>
      <c r="Q1685" s="198"/>
      <c r="R1685" s="198"/>
      <c r="S1685" s="249"/>
      <c r="T1685" s="249"/>
      <c r="U1685" s="172"/>
      <c r="V1685" s="343"/>
      <c r="W1685" s="139"/>
      <c r="Y1685" s="1"/>
    </row>
    <row r="1686" spans="3:25" ht="12" customHeight="1">
      <c r="C1686" s="342" t="str">
        <f t="shared" ca="1" si="156"/>
        <v/>
      </c>
      <c r="D1686" s="153"/>
      <c r="E1686" s="153"/>
      <c r="F1686" s="170"/>
      <c r="G1686" s="171"/>
      <c r="H1686" s="247"/>
      <c r="I1686" s="247"/>
      <c r="J1686" s="247"/>
      <c r="K1686" s="247"/>
      <c r="L1686" s="247"/>
      <c r="M1686" s="247"/>
      <c r="N1686" s="247"/>
      <c r="O1686" s="247"/>
      <c r="P1686" s="247"/>
      <c r="Q1686" s="248"/>
      <c r="R1686" s="248"/>
      <c r="S1686" s="247"/>
      <c r="T1686" s="247"/>
      <c r="U1686" s="218"/>
      <c r="V1686" s="342"/>
      <c r="W1686" s="139"/>
      <c r="Y1686" s="1"/>
    </row>
    <row r="1687" spans="3:25" ht="12" customHeight="1">
      <c r="C1687" s="343" t="str">
        <f t="shared" ca="1" si="156"/>
        <v/>
      </c>
      <c r="D1687" s="124"/>
      <c r="E1687" s="124"/>
      <c r="F1687" s="172"/>
      <c r="G1687" s="173"/>
      <c r="H1687" s="249"/>
      <c r="I1687" s="249"/>
      <c r="J1687" s="249"/>
      <c r="K1687" s="249"/>
      <c r="L1687" s="249"/>
      <c r="M1687" s="249"/>
      <c r="N1687" s="250"/>
      <c r="O1687" s="250"/>
      <c r="P1687" s="250"/>
      <c r="Q1687" s="198"/>
      <c r="R1687" s="198"/>
      <c r="S1687" s="249"/>
      <c r="T1687" s="249"/>
      <c r="U1687" s="172"/>
      <c r="V1687" s="343"/>
      <c r="W1687" s="139"/>
      <c r="Y1687" s="1"/>
    </row>
    <row r="1688" spans="3:25" ht="12" customHeight="1">
      <c r="C1688" s="342" t="str">
        <f t="shared" ca="1" si="156"/>
        <v/>
      </c>
      <c r="D1688" s="153"/>
      <c r="E1688" s="153"/>
      <c r="F1688" s="170"/>
      <c r="G1688" s="171"/>
      <c r="H1688" s="247"/>
      <c r="I1688" s="247"/>
      <c r="J1688" s="247"/>
      <c r="K1688" s="247"/>
      <c r="L1688" s="247"/>
      <c r="M1688" s="247"/>
      <c r="N1688" s="247"/>
      <c r="O1688" s="247"/>
      <c r="P1688" s="247"/>
      <c r="Q1688" s="248"/>
      <c r="R1688" s="248"/>
      <c r="S1688" s="247"/>
      <c r="T1688" s="247"/>
      <c r="U1688" s="218"/>
      <c r="V1688" s="342"/>
      <c r="W1688" s="139"/>
      <c r="Y1688" s="1"/>
    </row>
    <row r="1689" spans="3:25" ht="12" customHeight="1">
      <c r="C1689" s="343" t="str">
        <f t="shared" ca="1" si="156"/>
        <v/>
      </c>
      <c r="D1689" s="124"/>
      <c r="E1689" s="124"/>
      <c r="F1689" s="172"/>
      <c r="G1689" s="173"/>
      <c r="H1689" s="249"/>
      <c r="I1689" s="249"/>
      <c r="J1689" s="249"/>
      <c r="K1689" s="249"/>
      <c r="L1689" s="249"/>
      <c r="M1689" s="249"/>
      <c r="N1689" s="250"/>
      <c r="O1689" s="250"/>
      <c r="P1689" s="250"/>
      <c r="Q1689" s="198"/>
      <c r="R1689" s="198"/>
      <c r="S1689" s="249"/>
      <c r="T1689" s="249"/>
      <c r="U1689" s="172"/>
      <c r="V1689" s="343"/>
      <c r="W1689" s="139"/>
      <c r="Y1689" s="1"/>
    </row>
    <row r="1690" spans="3:25" ht="12" customHeight="1">
      <c r="C1690" s="342" t="str">
        <f t="shared" ca="1" si="156"/>
        <v/>
      </c>
      <c r="D1690" s="153"/>
      <c r="E1690" s="153"/>
      <c r="F1690" s="170"/>
      <c r="G1690" s="171"/>
      <c r="H1690" s="247"/>
      <c r="I1690" s="247"/>
      <c r="J1690" s="247"/>
      <c r="K1690" s="247"/>
      <c r="L1690" s="247"/>
      <c r="M1690" s="247"/>
      <c r="N1690" s="247"/>
      <c r="O1690" s="247"/>
      <c r="P1690" s="247"/>
      <c r="Q1690" s="248"/>
      <c r="R1690" s="248"/>
      <c r="S1690" s="247"/>
      <c r="T1690" s="247"/>
      <c r="U1690" s="218"/>
      <c r="V1690" s="342"/>
      <c r="W1690" s="139"/>
      <c r="Y1690" s="1"/>
    </row>
    <row r="1691" spans="3:25" ht="12" customHeight="1">
      <c r="C1691" s="343" t="str">
        <f t="shared" ca="1" si="156"/>
        <v/>
      </c>
      <c r="D1691" s="124"/>
      <c r="E1691" s="124"/>
      <c r="F1691" s="172"/>
      <c r="G1691" s="173"/>
      <c r="H1691" s="249"/>
      <c r="I1691" s="249"/>
      <c r="J1691" s="249"/>
      <c r="K1691" s="249"/>
      <c r="L1691" s="249"/>
      <c r="M1691" s="249"/>
      <c r="N1691" s="250"/>
      <c r="O1691" s="250"/>
      <c r="P1691" s="250"/>
      <c r="Q1691" s="198"/>
      <c r="R1691" s="198"/>
      <c r="S1691" s="249"/>
      <c r="T1691" s="249"/>
      <c r="U1691" s="172"/>
      <c r="V1691" s="343"/>
      <c r="W1691" s="139"/>
      <c r="Y1691" s="1"/>
    </row>
    <row r="1692" spans="3:25" ht="12" customHeight="1">
      <c r="C1692" s="342" t="str">
        <f t="shared" ca="1" si="156"/>
        <v/>
      </c>
      <c r="D1692" s="153"/>
      <c r="E1692" s="153"/>
      <c r="F1692" s="170"/>
      <c r="G1692" s="171"/>
      <c r="H1692" s="247"/>
      <c r="I1692" s="247"/>
      <c r="J1692" s="247"/>
      <c r="K1692" s="247"/>
      <c r="L1692" s="247"/>
      <c r="M1692" s="247"/>
      <c r="N1692" s="247"/>
      <c r="O1692" s="247"/>
      <c r="P1692" s="247"/>
      <c r="Q1692" s="248"/>
      <c r="R1692" s="248"/>
      <c r="S1692" s="247"/>
      <c r="T1692" s="247"/>
      <c r="U1692" s="218"/>
      <c r="V1692" s="342"/>
      <c r="W1692" s="139"/>
      <c r="Y1692" s="1"/>
    </row>
    <row r="1693" spans="3:25" ht="12" customHeight="1">
      <c r="C1693" s="343" t="str">
        <f t="shared" ca="1" si="156"/>
        <v/>
      </c>
      <c r="D1693" s="124"/>
      <c r="E1693" s="124"/>
      <c r="F1693" s="172"/>
      <c r="G1693" s="173"/>
      <c r="H1693" s="249"/>
      <c r="I1693" s="249"/>
      <c r="J1693" s="249"/>
      <c r="K1693" s="249"/>
      <c r="L1693" s="249"/>
      <c r="M1693" s="249"/>
      <c r="N1693" s="250"/>
      <c r="O1693" s="250"/>
      <c r="P1693" s="250"/>
      <c r="Q1693" s="198"/>
      <c r="R1693" s="198"/>
      <c r="S1693" s="249"/>
      <c r="T1693" s="249"/>
      <c r="U1693" s="172"/>
      <c r="V1693" s="343"/>
      <c r="W1693" s="139"/>
      <c r="Y1693" s="1"/>
    </row>
    <row r="1694" spans="3:25" ht="12" customHeight="1">
      <c r="C1694" s="342" t="str">
        <f t="shared" ca="1" si="156"/>
        <v/>
      </c>
      <c r="D1694" s="153"/>
      <c r="E1694" s="153"/>
      <c r="F1694" s="170"/>
      <c r="G1694" s="171"/>
      <c r="H1694" s="247"/>
      <c r="I1694" s="247"/>
      <c r="J1694" s="247"/>
      <c r="K1694" s="247"/>
      <c r="L1694" s="247"/>
      <c r="M1694" s="247"/>
      <c r="N1694" s="247"/>
      <c r="O1694" s="247"/>
      <c r="P1694" s="247"/>
      <c r="Q1694" s="248"/>
      <c r="R1694" s="248"/>
      <c r="S1694" s="247"/>
      <c r="T1694" s="247"/>
      <c r="U1694" s="218"/>
      <c r="V1694" s="342"/>
      <c r="W1694" s="139"/>
      <c r="Y1694" s="1"/>
    </row>
    <row r="1695" spans="3:25" ht="12" customHeight="1">
      <c r="C1695" s="343" t="str">
        <f t="shared" ca="1" si="156"/>
        <v/>
      </c>
      <c r="D1695" s="124"/>
      <c r="E1695" s="124"/>
      <c r="F1695" s="172"/>
      <c r="G1695" s="173"/>
      <c r="H1695" s="249"/>
      <c r="I1695" s="249"/>
      <c r="J1695" s="249"/>
      <c r="K1695" s="249"/>
      <c r="L1695" s="249"/>
      <c r="M1695" s="249"/>
      <c r="N1695" s="250"/>
      <c r="O1695" s="250"/>
      <c r="P1695" s="250"/>
      <c r="Q1695" s="198"/>
      <c r="R1695" s="198"/>
      <c r="S1695" s="249"/>
      <c r="T1695" s="249"/>
      <c r="U1695" s="172"/>
      <c r="V1695" s="343"/>
      <c r="W1695" s="139"/>
      <c r="Y1695" s="1"/>
    </row>
    <row r="1696" spans="3:25" ht="12" customHeight="1">
      <c r="C1696" s="342" t="str">
        <f t="shared" ca="1" si="156"/>
        <v/>
      </c>
      <c r="D1696" s="153"/>
      <c r="E1696" s="153"/>
      <c r="F1696" s="170"/>
      <c r="G1696" s="171"/>
      <c r="H1696" s="247"/>
      <c r="I1696" s="247"/>
      <c r="J1696" s="247"/>
      <c r="K1696" s="247"/>
      <c r="L1696" s="247"/>
      <c r="M1696" s="247"/>
      <c r="N1696" s="247"/>
      <c r="O1696" s="247"/>
      <c r="P1696" s="247"/>
      <c r="Q1696" s="248"/>
      <c r="R1696" s="248"/>
      <c r="S1696" s="247"/>
      <c r="T1696" s="247"/>
      <c r="U1696" s="218"/>
      <c r="V1696" s="342"/>
      <c r="W1696" s="139"/>
      <c r="Y1696" s="1"/>
    </row>
    <row r="1697" spans="3:25" ht="12" customHeight="1">
      <c r="C1697" s="343" t="str">
        <f t="shared" ca="1" si="156"/>
        <v/>
      </c>
      <c r="D1697" s="124"/>
      <c r="E1697" s="124"/>
      <c r="F1697" s="172"/>
      <c r="G1697" s="173"/>
      <c r="H1697" s="249"/>
      <c r="I1697" s="249"/>
      <c r="J1697" s="249"/>
      <c r="K1697" s="249"/>
      <c r="L1697" s="249"/>
      <c r="M1697" s="249"/>
      <c r="N1697" s="250"/>
      <c r="O1697" s="250"/>
      <c r="P1697" s="250"/>
      <c r="Q1697" s="198"/>
      <c r="R1697" s="198"/>
      <c r="S1697" s="249"/>
      <c r="T1697" s="249"/>
      <c r="U1697" s="172"/>
      <c r="V1697" s="343"/>
      <c r="W1697" s="139"/>
      <c r="Y1697" s="1"/>
    </row>
    <row r="1698" spans="3:25" ht="12" customHeight="1">
      <c r="C1698" s="342" t="str">
        <f t="shared" ca="1" si="156"/>
        <v/>
      </c>
      <c r="D1698" s="153"/>
      <c r="E1698" s="153"/>
      <c r="F1698" s="170"/>
      <c r="G1698" s="171"/>
      <c r="H1698" s="247"/>
      <c r="I1698" s="247"/>
      <c r="J1698" s="247"/>
      <c r="K1698" s="247"/>
      <c r="L1698" s="247"/>
      <c r="M1698" s="247"/>
      <c r="N1698" s="247"/>
      <c r="O1698" s="247"/>
      <c r="P1698" s="247"/>
      <c r="Q1698" s="248"/>
      <c r="R1698" s="248"/>
      <c r="S1698" s="247"/>
      <c r="T1698" s="247"/>
      <c r="U1698" s="218"/>
      <c r="V1698" s="342"/>
      <c r="W1698" s="139"/>
      <c r="Y1698" s="1"/>
    </row>
    <row r="1699" spans="3:25" ht="12" customHeight="1">
      <c r="C1699" s="343" t="str">
        <f t="shared" ca="1" si="156"/>
        <v/>
      </c>
      <c r="D1699" s="124"/>
      <c r="E1699" s="124"/>
      <c r="F1699" s="172"/>
      <c r="G1699" s="173"/>
      <c r="H1699" s="249"/>
      <c r="I1699" s="249"/>
      <c r="J1699" s="249"/>
      <c r="K1699" s="249"/>
      <c r="L1699" s="249"/>
      <c r="M1699" s="249"/>
      <c r="N1699" s="250"/>
      <c r="O1699" s="250"/>
      <c r="P1699" s="250"/>
      <c r="Q1699" s="198"/>
      <c r="R1699" s="198"/>
      <c r="S1699" s="249"/>
      <c r="T1699" s="249"/>
      <c r="U1699" s="172"/>
      <c r="V1699" s="343"/>
      <c r="W1699" s="139"/>
      <c r="Y1699" s="1"/>
    </row>
    <row r="1700" spans="3:25" ht="12" customHeight="1">
      <c r="C1700" s="342" t="str">
        <f t="shared" ca="1" si="156"/>
        <v/>
      </c>
      <c r="D1700" s="153"/>
      <c r="E1700" s="153"/>
      <c r="F1700" s="170"/>
      <c r="G1700" s="171"/>
      <c r="H1700" s="247"/>
      <c r="I1700" s="247"/>
      <c r="J1700" s="247"/>
      <c r="K1700" s="247"/>
      <c r="L1700" s="247"/>
      <c r="M1700" s="247"/>
      <c r="N1700" s="247"/>
      <c r="O1700" s="247"/>
      <c r="P1700" s="247"/>
      <c r="Q1700" s="248"/>
      <c r="R1700" s="248"/>
      <c r="S1700" s="247"/>
      <c r="T1700" s="247"/>
      <c r="U1700" s="218"/>
      <c r="V1700" s="342"/>
      <c r="W1700" s="139"/>
      <c r="Y1700" s="1"/>
    </row>
    <row r="1701" spans="3:25" ht="12" customHeight="1">
      <c r="C1701" s="343" t="str">
        <f t="shared" ca="1" si="156"/>
        <v/>
      </c>
      <c r="D1701" s="124"/>
      <c r="E1701" s="124"/>
      <c r="F1701" s="172"/>
      <c r="G1701" s="173"/>
      <c r="H1701" s="249"/>
      <c r="I1701" s="249"/>
      <c r="J1701" s="249"/>
      <c r="K1701" s="249"/>
      <c r="L1701" s="249"/>
      <c r="M1701" s="249"/>
      <c r="N1701" s="250"/>
      <c r="O1701" s="250"/>
      <c r="P1701" s="250"/>
      <c r="Q1701" s="198"/>
      <c r="R1701" s="198"/>
      <c r="S1701" s="249"/>
      <c r="T1701" s="249"/>
      <c r="U1701" s="172"/>
      <c r="V1701" s="343"/>
      <c r="W1701" s="139"/>
      <c r="Y1701" s="1"/>
    </row>
    <row r="1702" spans="3:25" ht="12" customHeight="1">
      <c r="C1702" s="342" t="str">
        <f t="shared" ca="1" si="156"/>
        <v/>
      </c>
      <c r="D1702" s="153"/>
      <c r="E1702" s="153"/>
      <c r="F1702" s="170"/>
      <c r="G1702" s="171"/>
      <c r="H1702" s="247"/>
      <c r="I1702" s="247"/>
      <c r="J1702" s="247"/>
      <c r="K1702" s="247"/>
      <c r="L1702" s="247"/>
      <c r="M1702" s="247"/>
      <c r="N1702" s="247"/>
      <c r="O1702" s="247"/>
      <c r="P1702" s="247"/>
      <c r="Q1702" s="248"/>
      <c r="R1702" s="248"/>
      <c r="S1702" s="247"/>
      <c r="T1702" s="247"/>
      <c r="U1702" s="218"/>
      <c r="V1702" s="342"/>
      <c r="W1702" s="139"/>
      <c r="Y1702" s="1"/>
    </row>
    <row r="1703" spans="3:25" ht="12" customHeight="1">
      <c r="C1703" s="343" t="str">
        <f t="shared" ca="1" si="156"/>
        <v/>
      </c>
      <c r="D1703" s="124"/>
      <c r="E1703" s="124"/>
      <c r="F1703" s="172"/>
      <c r="G1703" s="173"/>
      <c r="H1703" s="249"/>
      <c r="I1703" s="249"/>
      <c r="J1703" s="249"/>
      <c r="K1703" s="249"/>
      <c r="L1703" s="249"/>
      <c r="M1703" s="249"/>
      <c r="N1703" s="250"/>
      <c r="O1703" s="250"/>
      <c r="P1703" s="250"/>
      <c r="Q1703" s="198"/>
      <c r="R1703" s="198"/>
      <c r="S1703" s="249"/>
      <c r="T1703" s="249"/>
      <c r="U1703" s="172"/>
      <c r="V1703" s="343"/>
      <c r="W1703" s="139"/>
      <c r="Y1703" s="1"/>
    </row>
    <row r="1704" spans="3:25" ht="12" customHeight="1">
      <c r="C1704" s="342" t="str">
        <f t="shared" ca="1" si="156"/>
        <v/>
      </c>
      <c r="D1704" s="153"/>
      <c r="E1704" s="153"/>
      <c r="F1704" s="170"/>
      <c r="G1704" s="171"/>
      <c r="H1704" s="247"/>
      <c r="I1704" s="247"/>
      <c r="J1704" s="247"/>
      <c r="K1704" s="247"/>
      <c r="L1704" s="247"/>
      <c r="M1704" s="247"/>
      <c r="N1704" s="247"/>
      <c r="O1704" s="247"/>
      <c r="P1704" s="247"/>
      <c r="Q1704" s="248"/>
      <c r="R1704" s="248"/>
      <c r="S1704" s="247"/>
      <c r="T1704" s="247"/>
      <c r="U1704" s="218"/>
      <c r="V1704" s="342"/>
      <c r="W1704" s="139"/>
      <c r="Y1704" s="1"/>
    </row>
    <row r="1705" spans="3:25" ht="12" customHeight="1">
      <c r="C1705" s="343" t="str">
        <f t="shared" ca="1" si="156"/>
        <v/>
      </c>
      <c r="D1705" s="124"/>
      <c r="E1705" s="124"/>
      <c r="F1705" s="172"/>
      <c r="G1705" s="173"/>
      <c r="H1705" s="249"/>
      <c r="I1705" s="249"/>
      <c r="J1705" s="249"/>
      <c r="K1705" s="249"/>
      <c r="L1705" s="249"/>
      <c r="M1705" s="249"/>
      <c r="N1705" s="250"/>
      <c r="O1705" s="250"/>
      <c r="P1705" s="250"/>
      <c r="Q1705" s="198"/>
      <c r="R1705" s="198"/>
      <c r="S1705" s="249"/>
      <c r="T1705" s="249"/>
      <c r="U1705" s="172"/>
      <c r="V1705" s="343"/>
      <c r="W1705" s="139"/>
      <c r="Y1705" s="1"/>
    </row>
    <row r="1706" spans="3:25" ht="12" customHeight="1">
      <c r="C1706" s="342" t="str">
        <f t="shared" ca="1" si="156"/>
        <v/>
      </c>
      <c r="D1706" s="153"/>
      <c r="E1706" s="153"/>
      <c r="F1706" s="170"/>
      <c r="G1706" s="171"/>
      <c r="H1706" s="247"/>
      <c r="I1706" s="247"/>
      <c r="J1706" s="247"/>
      <c r="K1706" s="247"/>
      <c r="L1706" s="247"/>
      <c r="M1706" s="247"/>
      <c r="N1706" s="247"/>
      <c r="O1706" s="247"/>
      <c r="P1706" s="247"/>
      <c r="Q1706" s="248"/>
      <c r="R1706" s="248"/>
      <c r="S1706" s="247"/>
      <c r="T1706" s="247"/>
      <c r="U1706" s="218"/>
      <c r="V1706" s="342"/>
      <c r="W1706" s="139"/>
      <c r="Y1706" s="1"/>
    </row>
    <row r="1707" spans="3:25" ht="12" customHeight="1">
      <c r="C1707" s="343" t="str">
        <f t="shared" ca="1" si="156"/>
        <v/>
      </c>
      <c r="D1707" s="124"/>
      <c r="E1707" s="124"/>
      <c r="F1707" s="172"/>
      <c r="G1707" s="173"/>
      <c r="H1707" s="249"/>
      <c r="I1707" s="249"/>
      <c r="J1707" s="249"/>
      <c r="K1707" s="249"/>
      <c r="L1707" s="249"/>
      <c r="M1707" s="249"/>
      <c r="N1707" s="250"/>
      <c r="O1707" s="250"/>
      <c r="P1707" s="250"/>
      <c r="Q1707" s="198"/>
      <c r="R1707" s="198"/>
      <c r="S1707" s="249"/>
      <c r="T1707" s="249"/>
      <c r="U1707" s="172"/>
      <c r="V1707" s="343"/>
      <c r="W1707" s="139"/>
      <c r="Y1707" s="1"/>
    </row>
    <row r="1708" spans="3:25" ht="12" customHeight="1">
      <c r="C1708" s="342" t="str">
        <f t="shared" ca="1" si="156"/>
        <v/>
      </c>
      <c r="D1708" s="153"/>
      <c r="E1708" s="153"/>
      <c r="F1708" s="170"/>
      <c r="G1708" s="171"/>
      <c r="H1708" s="247"/>
      <c r="I1708" s="247"/>
      <c r="J1708" s="247"/>
      <c r="K1708" s="247"/>
      <c r="L1708" s="247"/>
      <c r="M1708" s="247"/>
      <c r="N1708" s="247"/>
      <c r="O1708" s="247"/>
      <c r="P1708" s="247"/>
      <c r="Q1708" s="248"/>
      <c r="R1708" s="248"/>
      <c r="S1708" s="247"/>
      <c r="T1708" s="247"/>
      <c r="U1708" s="218"/>
      <c r="V1708" s="342"/>
      <c r="W1708" s="139"/>
      <c r="Y1708" s="1"/>
    </row>
    <row r="1709" spans="3:25" ht="12" customHeight="1">
      <c r="C1709" s="343" t="str">
        <f t="shared" ca="1" si="156"/>
        <v/>
      </c>
      <c r="D1709" s="124"/>
      <c r="E1709" s="124"/>
      <c r="F1709" s="172"/>
      <c r="G1709" s="173"/>
      <c r="H1709" s="249"/>
      <c r="I1709" s="249"/>
      <c r="J1709" s="249"/>
      <c r="K1709" s="249"/>
      <c r="L1709" s="249"/>
      <c r="M1709" s="249"/>
      <c r="N1709" s="250"/>
      <c r="O1709" s="250"/>
      <c r="P1709" s="250"/>
      <c r="Q1709" s="198"/>
      <c r="R1709" s="198"/>
      <c r="S1709" s="249"/>
      <c r="T1709" s="249"/>
      <c r="U1709" s="172"/>
      <c r="V1709" s="343"/>
      <c r="W1709" s="139"/>
      <c r="Y1709" s="1"/>
    </row>
    <row r="1710" spans="3:25" ht="12" customHeight="1">
      <c r="C1710" s="342" t="str">
        <f t="shared" ca="1" si="156"/>
        <v/>
      </c>
      <c r="D1710" s="153"/>
      <c r="E1710" s="153"/>
      <c r="F1710" s="170"/>
      <c r="G1710" s="171"/>
      <c r="H1710" s="247"/>
      <c r="I1710" s="247"/>
      <c r="J1710" s="247"/>
      <c r="K1710" s="247"/>
      <c r="L1710" s="247"/>
      <c r="M1710" s="247"/>
      <c r="N1710" s="247"/>
      <c r="O1710" s="247"/>
      <c r="P1710" s="247"/>
      <c r="Q1710" s="248"/>
      <c r="R1710" s="248"/>
      <c r="S1710" s="247"/>
      <c r="T1710" s="247"/>
      <c r="U1710" s="218"/>
      <c r="V1710" s="342"/>
      <c r="W1710" s="139"/>
      <c r="Y1710" s="1"/>
    </row>
    <row r="1711" spans="3:25" ht="12" customHeight="1">
      <c r="C1711" s="343" t="str">
        <f t="shared" ca="1" si="156"/>
        <v/>
      </c>
      <c r="D1711" s="124"/>
      <c r="E1711" s="124"/>
      <c r="F1711" s="172"/>
      <c r="G1711" s="173"/>
      <c r="H1711" s="249"/>
      <c r="I1711" s="249"/>
      <c r="J1711" s="249"/>
      <c r="K1711" s="249"/>
      <c r="L1711" s="249"/>
      <c r="M1711" s="249"/>
      <c r="N1711" s="250"/>
      <c r="O1711" s="250"/>
      <c r="P1711" s="250"/>
      <c r="Q1711" s="198"/>
      <c r="R1711" s="198"/>
      <c r="S1711" s="249"/>
      <c r="T1711" s="249"/>
      <c r="U1711" s="172"/>
      <c r="V1711" s="343"/>
      <c r="W1711" s="139"/>
      <c r="Y1711" s="1"/>
    </row>
    <row r="1712" spans="3:25" ht="12" customHeight="1">
      <c r="C1712" s="342" t="str">
        <f t="shared" ca="1" si="156"/>
        <v/>
      </c>
      <c r="D1712" s="153"/>
      <c r="E1712" s="153"/>
      <c r="F1712" s="170"/>
      <c r="G1712" s="171"/>
      <c r="H1712" s="247"/>
      <c r="I1712" s="247"/>
      <c r="J1712" s="247"/>
      <c r="K1712" s="247"/>
      <c r="L1712" s="247"/>
      <c r="M1712" s="247"/>
      <c r="N1712" s="247"/>
      <c r="O1712" s="247"/>
      <c r="P1712" s="247"/>
      <c r="Q1712" s="248"/>
      <c r="R1712" s="248"/>
      <c r="S1712" s="247"/>
      <c r="T1712" s="247"/>
      <c r="U1712" s="218"/>
      <c r="V1712" s="342"/>
      <c r="W1712" s="139"/>
      <c r="Y1712" s="1"/>
    </row>
    <row r="1713" spans="3:25" ht="12" customHeight="1">
      <c r="C1713" s="343" t="str">
        <f t="shared" ca="1" si="156"/>
        <v/>
      </c>
      <c r="D1713" s="124"/>
      <c r="E1713" s="124"/>
      <c r="F1713" s="172"/>
      <c r="G1713" s="173"/>
      <c r="H1713" s="249"/>
      <c r="I1713" s="249"/>
      <c r="J1713" s="249"/>
      <c r="K1713" s="249"/>
      <c r="L1713" s="249"/>
      <c r="M1713" s="249"/>
      <c r="N1713" s="250"/>
      <c r="O1713" s="250"/>
      <c r="P1713" s="250"/>
      <c r="Q1713" s="198"/>
      <c r="R1713" s="198"/>
      <c r="S1713" s="249"/>
      <c r="T1713" s="249"/>
      <c r="U1713" s="172"/>
      <c r="V1713" s="343"/>
      <c r="W1713" s="139"/>
      <c r="Y1713" s="1"/>
    </row>
    <row r="1714" spans="3:25" ht="12" customHeight="1">
      <c r="C1714" s="342" t="str">
        <f t="shared" ca="1" si="156"/>
        <v/>
      </c>
      <c r="D1714" s="153"/>
      <c r="E1714" s="153"/>
      <c r="F1714" s="170"/>
      <c r="G1714" s="171"/>
      <c r="H1714" s="247"/>
      <c r="I1714" s="247"/>
      <c r="J1714" s="247"/>
      <c r="K1714" s="247"/>
      <c r="L1714" s="247"/>
      <c r="M1714" s="247"/>
      <c r="N1714" s="247"/>
      <c r="O1714" s="247"/>
      <c r="P1714" s="247"/>
      <c r="Q1714" s="248"/>
      <c r="R1714" s="248"/>
      <c r="S1714" s="247"/>
      <c r="T1714" s="247"/>
      <c r="U1714" s="218"/>
      <c r="V1714" s="342"/>
      <c r="W1714" s="139"/>
      <c r="Y1714" s="1"/>
    </row>
    <row r="1715" spans="3:25" ht="12" customHeight="1">
      <c r="C1715" s="343" t="str">
        <f t="shared" ca="1" si="156"/>
        <v/>
      </c>
      <c r="D1715" s="124"/>
      <c r="E1715" s="124"/>
      <c r="F1715" s="172"/>
      <c r="G1715" s="173"/>
      <c r="H1715" s="249"/>
      <c r="I1715" s="249"/>
      <c r="J1715" s="249"/>
      <c r="K1715" s="249"/>
      <c r="L1715" s="249"/>
      <c r="M1715" s="249"/>
      <c r="N1715" s="250"/>
      <c r="O1715" s="250"/>
      <c r="P1715" s="250"/>
      <c r="Q1715" s="198"/>
      <c r="R1715" s="198"/>
      <c r="S1715" s="249"/>
      <c r="T1715" s="249"/>
      <c r="U1715" s="172"/>
      <c r="V1715" s="343"/>
      <c r="W1715" s="139"/>
      <c r="Y1715" s="1"/>
    </row>
    <row r="1716" spans="3:25" ht="12" customHeight="1">
      <c r="C1716" s="342" t="str">
        <f t="shared" ca="1" si="156"/>
        <v/>
      </c>
      <c r="D1716" s="153"/>
      <c r="E1716" s="153"/>
      <c r="F1716" s="170"/>
      <c r="G1716" s="171"/>
      <c r="H1716" s="247"/>
      <c r="I1716" s="247"/>
      <c r="J1716" s="247"/>
      <c r="K1716" s="247"/>
      <c r="L1716" s="247"/>
      <c r="M1716" s="247"/>
      <c r="N1716" s="247"/>
      <c r="O1716" s="247"/>
      <c r="P1716" s="247"/>
      <c r="Q1716" s="248"/>
      <c r="R1716" s="248"/>
      <c r="S1716" s="247"/>
      <c r="T1716" s="247"/>
      <c r="U1716" s="218"/>
      <c r="V1716" s="342"/>
      <c r="W1716" s="139"/>
      <c r="Y1716" s="1"/>
    </row>
    <row r="1717" spans="3:25" ht="12" customHeight="1">
      <c r="C1717" s="343" t="str">
        <f t="shared" ca="1" si="156"/>
        <v/>
      </c>
      <c r="D1717" s="124"/>
      <c r="E1717" s="124"/>
      <c r="F1717" s="172"/>
      <c r="G1717" s="173"/>
      <c r="H1717" s="249"/>
      <c r="I1717" s="249"/>
      <c r="J1717" s="249"/>
      <c r="K1717" s="249"/>
      <c r="L1717" s="249"/>
      <c r="M1717" s="249"/>
      <c r="N1717" s="250"/>
      <c r="O1717" s="250"/>
      <c r="P1717" s="250"/>
      <c r="Q1717" s="198"/>
      <c r="R1717" s="198"/>
      <c r="S1717" s="249"/>
      <c r="T1717" s="249"/>
      <c r="U1717" s="172"/>
      <c r="V1717" s="343"/>
      <c r="W1717" s="139"/>
      <c r="Y1717" s="1"/>
    </row>
    <row r="1718" spans="3:25" ht="12" customHeight="1">
      <c r="C1718" s="342" t="str">
        <f t="shared" ca="1" si="156"/>
        <v/>
      </c>
      <c r="D1718" s="153"/>
      <c r="E1718" s="153"/>
      <c r="F1718" s="170"/>
      <c r="G1718" s="171"/>
      <c r="H1718" s="247"/>
      <c r="I1718" s="247"/>
      <c r="J1718" s="247"/>
      <c r="K1718" s="247"/>
      <c r="L1718" s="247"/>
      <c r="M1718" s="247"/>
      <c r="N1718" s="247"/>
      <c r="O1718" s="247"/>
      <c r="P1718" s="247"/>
      <c r="Q1718" s="248"/>
      <c r="R1718" s="248"/>
      <c r="S1718" s="247"/>
      <c r="T1718" s="247"/>
      <c r="U1718" s="218"/>
      <c r="V1718" s="342"/>
      <c r="W1718" s="139"/>
      <c r="Y1718" s="1"/>
    </row>
    <row r="1719" spans="3:25" ht="12" customHeight="1">
      <c r="C1719" s="343" t="str">
        <f t="shared" ca="1" si="156"/>
        <v/>
      </c>
      <c r="D1719" s="124"/>
      <c r="E1719" s="124"/>
      <c r="F1719" s="172"/>
      <c r="G1719" s="173"/>
      <c r="H1719" s="249"/>
      <c r="I1719" s="249"/>
      <c r="J1719" s="249"/>
      <c r="K1719" s="249"/>
      <c r="L1719" s="249"/>
      <c r="M1719" s="249"/>
      <c r="N1719" s="250"/>
      <c r="O1719" s="250"/>
      <c r="P1719" s="250"/>
      <c r="Q1719" s="198"/>
      <c r="R1719" s="198"/>
      <c r="S1719" s="249"/>
      <c r="T1719" s="249"/>
      <c r="U1719" s="172"/>
      <c r="V1719" s="343"/>
      <c r="W1719" s="139"/>
      <c r="Y1719" s="1"/>
    </row>
    <row r="1720" spans="3:25" ht="12" customHeight="1">
      <c r="C1720" s="342" t="str">
        <f t="shared" ca="1" si="156"/>
        <v/>
      </c>
      <c r="D1720" s="153"/>
      <c r="E1720" s="153"/>
      <c r="F1720" s="170"/>
      <c r="G1720" s="171"/>
      <c r="H1720" s="247"/>
      <c r="I1720" s="247"/>
      <c r="J1720" s="247"/>
      <c r="K1720" s="247"/>
      <c r="L1720" s="247"/>
      <c r="M1720" s="247"/>
      <c r="N1720" s="247"/>
      <c r="O1720" s="247"/>
      <c r="P1720" s="247"/>
      <c r="Q1720" s="248"/>
      <c r="R1720" s="248"/>
      <c r="S1720" s="247"/>
      <c r="T1720" s="247"/>
      <c r="U1720" s="218"/>
      <c r="V1720" s="342"/>
      <c r="W1720" s="139"/>
      <c r="Y1720" s="1"/>
    </row>
    <row r="1721" spans="3:25" ht="12" customHeight="1">
      <c r="C1721" s="343" t="str">
        <f t="shared" ca="1" si="156"/>
        <v/>
      </c>
      <c r="D1721" s="124"/>
      <c r="E1721" s="124"/>
      <c r="F1721" s="172"/>
      <c r="G1721" s="173"/>
      <c r="H1721" s="249"/>
      <c r="I1721" s="249"/>
      <c r="J1721" s="249"/>
      <c r="K1721" s="249"/>
      <c r="L1721" s="249"/>
      <c r="M1721" s="249"/>
      <c r="N1721" s="250"/>
      <c r="O1721" s="250"/>
      <c r="P1721" s="250"/>
      <c r="Q1721" s="198"/>
      <c r="R1721" s="198"/>
      <c r="S1721" s="249"/>
      <c r="T1721" s="249"/>
      <c r="U1721" s="172"/>
      <c r="V1721" s="343"/>
      <c r="W1721" s="139"/>
      <c r="Y1721" s="1"/>
    </row>
    <row r="1722" spans="3:25" ht="12" customHeight="1">
      <c r="C1722" s="342" t="str">
        <f t="shared" ca="1" si="156"/>
        <v/>
      </c>
      <c r="D1722" s="153"/>
      <c r="E1722" s="153"/>
      <c r="F1722" s="170"/>
      <c r="G1722" s="171"/>
      <c r="H1722" s="247"/>
      <c r="I1722" s="247"/>
      <c r="J1722" s="247"/>
      <c r="K1722" s="247"/>
      <c r="L1722" s="247"/>
      <c r="M1722" s="247"/>
      <c r="N1722" s="247"/>
      <c r="O1722" s="247"/>
      <c r="P1722" s="247"/>
      <c r="Q1722" s="248"/>
      <c r="R1722" s="248"/>
      <c r="S1722" s="247"/>
      <c r="T1722" s="247"/>
      <c r="U1722" s="218"/>
      <c r="V1722" s="342"/>
      <c r="W1722" s="139"/>
      <c r="Y1722" s="1"/>
    </row>
    <row r="1723" spans="3:25" ht="12" customHeight="1">
      <c r="C1723" s="343" t="str">
        <f t="shared" ca="1" si="156"/>
        <v/>
      </c>
      <c r="D1723" s="124"/>
      <c r="E1723" s="124"/>
      <c r="F1723" s="172"/>
      <c r="G1723" s="173"/>
      <c r="H1723" s="249"/>
      <c r="I1723" s="249"/>
      <c r="J1723" s="249"/>
      <c r="K1723" s="249"/>
      <c r="L1723" s="249"/>
      <c r="M1723" s="249"/>
      <c r="N1723" s="250"/>
      <c r="O1723" s="250"/>
      <c r="P1723" s="250"/>
      <c r="Q1723" s="198"/>
      <c r="R1723" s="198"/>
      <c r="S1723" s="249"/>
      <c r="T1723" s="249"/>
      <c r="U1723" s="172"/>
      <c r="V1723" s="343"/>
      <c r="W1723" s="139"/>
      <c r="Y1723" s="1"/>
    </row>
    <row r="1724" spans="3:25" ht="12" customHeight="1">
      <c r="C1724" s="342" t="str">
        <f t="shared" ca="1" si="156"/>
        <v/>
      </c>
      <c r="D1724" s="153"/>
      <c r="E1724" s="153"/>
      <c r="F1724" s="170"/>
      <c r="G1724" s="171"/>
      <c r="H1724" s="247"/>
      <c r="I1724" s="247"/>
      <c r="J1724" s="247"/>
      <c r="K1724" s="247"/>
      <c r="L1724" s="247"/>
      <c r="M1724" s="247"/>
      <c r="N1724" s="247"/>
      <c r="O1724" s="247"/>
      <c r="P1724" s="247"/>
      <c r="Q1724" s="248"/>
      <c r="R1724" s="248"/>
      <c r="S1724" s="247"/>
      <c r="T1724" s="247"/>
      <c r="U1724" s="218"/>
      <c r="V1724" s="342"/>
      <c r="W1724" s="139"/>
      <c r="Y1724" s="1"/>
    </row>
    <row r="1725" spans="3:25" ht="12" customHeight="1">
      <c r="C1725" s="343" t="str">
        <f t="shared" ca="1" si="156"/>
        <v/>
      </c>
      <c r="D1725" s="124"/>
      <c r="E1725" s="124"/>
      <c r="F1725" s="172"/>
      <c r="G1725" s="173"/>
      <c r="H1725" s="249"/>
      <c r="I1725" s="249"/>
      <c r="J1725" s="249"/>
      <c r="K1725" s="249"/>
      <c r="L1725" s="249"/>
      <c r="M1725" s="249"/>
      <c r="N1725" s="250"/>
      <c r="O1725" s="250"/>
      <c r="P1725" s="250"/>
      <c r="Q1725" s="198"/>
      <c r="R1725" s="198"/>
      <c r="S1725" s="249"/>
      <c r="T1725" s="249"/>
      <c r="U1725" s="172"/>
      <c r="V1725" s="343"/>
      <c r="W1725" s="139"/>
      <c r="Y1725" s="1"/>
    </row>
    <row r="1726" spans="3:25" ht="12" customHeight="1">
      <c r="C1726" s="342" t="str">
        <f t="shared" ca="1" si="156"/>
        <v/>
      </c>
      <c r="D1726" s="153"/>
      <c r="E1726" s="153"/>
      <c r="F1726" s="170"/>
      <c r="G1726" s="171"/>
      <c r="H1726" s="247"/>
      <c r="I1726" s="247"/>
      <c r="J1726" s="247"/>
      <c r="K1726" s="247"/>
      <c r="L1726" s="247"/>
      <c r="M1726" s="247"/>
      <c r="N1726" s="247"/>
      <c r="O1726" s="247"/>
      <c r="P1726" s="247"/>
      <c r="Q1726" s="248"/>
      <c r="R1726" s="248"/>
      <c r="S1726" s="247"/>
      <c r="T1726" s="247"/>
      <c r="U1726" s="218"/>
      <c r="V1726" s="342"/>
      <c r="W1726" s="139"/>
      <c r="Y1726" s="1"/>
    </row>
    <row r="1727" spans="3:25" ht="12" customHeight="1">
      <c r="C1727" s="343" t="str">
        <f t="shared" ca="1" si="156"/>
        <v/>
      </c>
      <c r="D1727" s="124"/>
      <c r="E1727" s="124"/>
      <c r="F1727" s="172"/>
      <c r="G1727" s="173"/>
      <c r="H1727" s="249"/>
      <c r="I1727" s="249"/>
      <c r="J1727" s="249"/>
      <c r="K1727" s="249"/>
      <c r="L1727" s="249"/>
      <c r="M1727" s="249"/>
      <c r="N1727" s="250"/>
      <c r="O1727" s="250"/>
      <c r="P1727" s="250"/>
      <c r="Q1727" s="198"/>
      <c r="R1727" s="198"/>
      <c r="S1727" s="249"/>
      <c r="T1727" s="249"/>
      <c r="U1727" s="172"/>
      <c r="V1727" s="343"/>
      <c r="W1727" s="139"/>
      <c r="Y1727" s="1"/>
    </row>
    <row r="1728" spans="3:25" ht="12" customHeight="1">
      <c r="C1728" s="342" t="str">
        <f t="shared" ca="1" si="156"/>
        <v/>
      </c>
      <c r="D1728" s="153"/>
      <c r="E1728" s="153"/>
      <c r="F1728" s="170"/>
      <c r="G1728" s="171"/>
      <c r="H1728" s="247"/>
      <c r="I1728" s="247"/>
      <c r="J1728" s="247"/>
      <c r="K1728" s="247"/>
      <c r="L1728" s="247"/>
      <c r="M1728" s="247"/>
      <c r="N1728" s="247"/>
      <c r="O1728" s="247"/>
      <c r="P1728" s="247"/>
      <c r="Q1728" s="248"/>
      <c r="R1728" s="248"/>
      <c r="S1728" s="247"/>
      <c r="T1728" s="247"/>
      <c r="U1728" s="218"/>
      <c r="V1728" s="342"/>
      <c r="W1728" s="139"/>
      <c r="Y1728" s="1"/>
    </row>
    <row r="1729" spans="3:25" ht="12" customHeight="1">
      <c r="C1729" s="343" t="str">
        <f t="shared" ca="1" si="156"/>
        <v/>
      </c>
      <c r="D1729" s="124"/>
      <c r="E1729" s="124"/>
      <c r="F1729" s="172"/>
      <c r="G1729" s="173"/>
      <c r="H1729" s="249"/>
      <c r="I1729" s="249"/>
      <c r="J1729" s="249"/>
      <c r="K1729" s="249"/>
      <c r="L1729" s="249"/>
      <c r="M1729" s="249"/>
      <c r="N1729" s="250"/>
      <c r="O1729" s="250"/>
      <c r="P1729" s="250"/>
      <c r="Q1729" s="198"/>
      <c r="R1729" s="198"/>
      <c r="S1729" s="249"/>
      <c r="T1729" s="249"/>
      <c r="U1729" s="172"/>
      <c r="V1729" s="343"/>
      <c r="W1729" s="139"/>
      <c r="Y1729" s="1"/>
    </row>
    <row r="1730" spans="3:25" ht="12" customHeight="1">
      <c r="C1730" s="342" t="str">
        <f t="shared" ca="1" si="156"/>
        <v/>
      </c>
      <c r="D1730" s="153"/>
      <c r="E1730" s="153"/>
      <c r="F1730" s="170"/>
      <c r="G1730" s="171"/>
      <c r="H1730" s="247"/>
      <c r="I1730" s="247"/>
      <c r="J1730" s="247"/>
      <c r="K1730" s="247"/>
      <c r="L1730" s="247"/>
      <c r="M1730" s="247"/>
      <c r="N1730" s="247"/>
      <c r="O1730" s="247"/>
      <c r="P1730" s="247"/>
      <c r="Q1730" s="248"/>
      <c r="R1730" s="248"/>
      <c r="S1730" s="247"/>
      <c r="T1730" s="247"/>
      <c r="U1730" s="218"/>
      <c r="V1730" s="342"/>
      <c r="W1730" s="139"/>
      <c r="Y1730" s="1"/>
    </row>
    <row r="1731" spans="3:25" ht="12" customHeight="1">
      <c r="C1731" s="343" t="str">
        <f t="shared" ca="1" si="156"/>
        <v/>
      </c>
      <c r="D1731" s="124"/>
      <c r="E1731" s="124"/>
      <c r="F1731" s="172"/>
      <c r="G1731" s="173"/>
      <c r="H1731" s="249"/>
      <c r="I1731" s="249"/>
      <c r="J1731" s="249"/>
      <c r="K1731" s="249"/>
      <c r="L1731" s="249"/>
      <c r="M1731" s="249"/>
      <c r="N1731" s="250"/>
      <c r="O1731" s="250"/>
      <c r="P1731" s="250"/>
      <c r="Q1731" s="198"/>
      <c r="R1731" s="198"/>
      <c r="S1731" s="249"/>
      <c r="T1731" s="249"/>
      <c r="U1731" s="172"/>
      <c r="V1731" s="343"/>
      <c r="W1731" s="139"/>
      <c r="Y1731" s="1"/>
    </row>
    <row r="1732" spans="3:25" ht="12" customHeight="1">
      <c r="C1732" s="342" t="str">
        <f t="shared" ca="1" si="156"/>
        <v/>
      </c>
      <c r="D1732" s="153"/>
      <c r="E1732" s="153"/>
      <c r="F1732" s="170"/>
      <c r="G1732" s="171"/>
      <c r="H1732" s="247"/>
      <c r="I1732" s="247"/>
      <c r="J1732" s="247"/>
      <c r="K1732" s="247"/>
      <c r="L1732" s="247"/>
      <c r="M1732" s="247"/>
      <c r="N1732" s="247"/>
      <c r="O1732" s="247"/>
      <c r="P1732" s="247"/>
      <c r="Q1732" s="248"/>
      <c r="R1732" s="248"/>
      <c r="S1732" s="247"/>
      <c r="T1732" s="247"/>
      <c r="U1732" s="218"/>
      <c r="V1732" s="342"/>
      <c r="W1732" s="139"/>
      <c r="Y1732" s="1"/>
    </row>
    <row r="1733" spans="3:25" ht="12" customHeight="1">
      <c r="C1733" s="343" t="str">
        <f t="shared" ca="1" si="156"/>
        <v/>
      </c>
      <c r="D1733" s="124"/>
      <c r="E1733" s="124"/>
      <c r="F1733" s="172"/>
      <c r="G1733" s="173"/>
      <c r="H1733" s="249"/>
      <c r="I1733" s="249"/>
      <c r="J1733" s="249"/>
      <c r="K1733" s="249"/>
      <c r="L1733" s="249"/>
      <c r="M1733" s="249"/>
      <c r="N1733" s="250"/>
      <c r="O1733" s="250"/>
      <c r="P1733" s="250"/>
      <c r="Q1733" s="198"/>
      <c r="R1733" s="198"/>
      <c r="S1733" s="249"/>
      <c r="T1733" s="249"/>
      <c r="U1733" s="172"/>
      <c r="V1733" s="343"/>
      <c r="W1733" s="139"/>
      <c r="Y1733" s="1"/>
    </row>
    <row r="1734" spans="3:25" ht="12" customHeight="1">
      <c r="C1734" s="342" t="str">
        <f t="shared" ca="1" si="156"/>
        <v/>
      </c>
      <c r="D1734" s="153"/>
      <c r="E1734" s="153"/>
      <c r="F1734" s="170"/>
      <c r="G1734" s="171"/>
      <c r="H1734" s="247"/>
      <c r="I1734" s="247"/>
      <c r="J1734" s="247"/>
      <c r="K1734" s="247"/>
      <c r="L1734" s="247"/>
      <c r="M1734" s="247"/>
      <c r="N1734" s="247"/>
      <c r="O1734" s="247"/>
      <c r="P1734" s="247"/>
      <c r="Q1734" s="248"/>
      <c r="R1734" s="248"/>
      <c r="S1734" s="247"/>
      <c r="T1734" s="247"/>
      <c r="U1734" s="218"/>
      <c r="V1734" s="342"/>
      <c r="W1734" s="139"/>
      <c r="Y1734" s="1"/>
    </row>
    <row r="1735" spans="3:25" ht="12" customHeight="1">
      <c r="C1735" s="343" t="str">
        <f t="shared" ca="1" si="156"/>
        <v/>
      </c>
      <c r="D1735" s="124"/>
      <c r="E1735" s="124"/>
      <c r="F1735" s="172"/>
      <c r="G1735" s="173"/>
      <c r="H1735" s="249"/>
      <c r="I1735" s="249"/>
      <c r="J1735" s="249"/>
      <c r="K1735" s="249"/>
      <c r="L1735" s="249"/>
      <c r="M1735" s="249"/>
      <c r="N1735" s="250"/>
      <c r="O1735" s="250"/>
      <c r="P1735" s="250"/>
      <c r="Q1735" s="198"/>
      <c r="R1735" s="198"/>
      <c r="S1735" s="249"/>
      <c r="T1735" s="249"/>
      <c r="U1735" s="172"/>
      <c r="V1735" s="343"/>
      <c r="W1735" s="139"/>
      <c r="Y1735" s="1"/>
    </row>
    <row r="1736" spans="3:25" ht="12" customHeight="1">
      <c r="C1736" s="342" t="str">
        <f t="shared" ca="1" si="156"/>
        <v/>
      </c>
      <c r="D1736" s="153"/>
      <c r="E1736" s="153"/>
      <c r="F1736" s="170"/>
      <c r="G1736" s="171"/>
      <c r="H1736" s="247"/>
      <c r="I1736" s="247"/>
      <c r="J1736" s="247"/>
      <c r="K1736" s="247"/>
      <c r="L1736" s="247"/>
      <c r="M1736" s="247"/>
      <c r="N1736" s="247"/>
      <c r="O1736" s="247"/>
      <c r="P1736" s="247"/>
      <c r="Q1736" s="248"/>
      <c r="R1736" s="248"/>
      <c r="S1736" s="247"/>
      <c r="T1736" s="247"/>
      <c r="U1736" s="218"/>
      <c r="V1736" s="342"/>
      <c r="W1736" s="139"/>
      <c r="Y1736" s="1"/>
    </row>
    <row r="1737" spans="3:25" ht="12" customHeight="1">
      <c r="C1737" s="343" t="str">
        <f t="shared" ca="1" si="156"/>
        <v/>
      </c>
      <c r="D1737" s="124"/>
      <c r="E1737" s="124"/>
      <c r="F1737" s="172"/>
      <c r="G1737" s="173"/>
      <c r="H1737" s="249"/>
      <c r="I1737" s="249"/>
      <c r="J1737" s="249"/>
      <c r="K1737" s="249"/>
      <c r="L1737" s="249"/>
      <c r="M1737" s="249"/>
      <c r="N1737" s="250"/>
      <c r="O1737" s="250"/>
      <c r="P1737" s="250"/>
      <c r="Q1737" s="198"/>
      <c r="R1737" s="198"/>
      <c r="S1737" s="249"/>
      <c r="T1737" s="249"/>
      <c r="U1737" s="172"/>
      <c r="V1737" s="343"/>
      <c r="W1737" s="139"/>
      <c r="Y1737" s="1"/>
    </row>
    <row r="1738" spans="3:25" ht="12" customHeight="1">
      <c r="C1738" s="342" t="str">
        <f t="shared" ca="1" si="156"/>
        <v/>
      </c>
      <c r="D1738" s="153"/>
      <c r="E1738" s="153"/>
      <c r="F1738" s="170"/>
      <c r="G1738" s="171"/>
      <c r="H1738" s="247"/>
      <c r="I1738" s="247"/>
      <c r="J1738" s="247"/>
      <c r="K1738" s="247"/>
      <c r="L1738" s="247"/>
      <c r="M1738" s="247"/>
      <c r="N1738" s="247"/>
      <c r="O1738" s="247"/>
      <c r="P1738" s="247"/>
      <c r="Q1738" s="248"/>
      <c r="R1738" s="248"/>
      <c r="S1738" s="247"/>
      <c r="T1738" s="247"/>
      <c r="U1738" s="218"/>
      <c r="V1738" s="342"/>
      <c r="W1738" s="139"/>
      <c r="Y1738" s="1"/>
    </row>
    <row r="1739" spans="3:25" ht="12" customHeight="1">
      <c r="C1739" s="343" t="str">
        <f t="shared" ca="1" si="156"/>
        <v/>
      </c>
      <c r="D1739" s="124"/>
      <c r="E1739" s="124"/>
      <c r="F1739" s="172"/>
      <c r="G1739" s="173"/>
      <c r="H1739" s="249"/>
      <c r="I1739" s="249"/>
      <c r="J1739" s="249"/>
      <c r="K1739" s="249"/>
      <c r="L1739" s="249"/>
      <c r="M1739" s="249"/>
      <c r="N1739" s="250"/>
      <c r="O1739" s="250"/>
      <c r="P1739" s="250"/>
      <c r="Q1739" s="198"/>
      <c r="R1739" s="198"/>
      <c r="S1739" s="249"/>
      <c r="T1739" s="249"/>
      <c r="U1739" s="172"/>
      <c r="V1739" s="343"/>
      <c r="W1739" s="139"/>
      <c r="Y1739" s="1"/>
    </row>
    <row r="1740" spans="3:25" ht="12" customHeight="1">
      <c r="C1740" s="342" t="str">
        <f t="shared" ca="1" si="156"/>
        <v/>
      </c>
      <c r="D1740" s="153"/>
      <c r="E1740" s="153"/>
      <c r="F1740" s="170"/>
      <c r="G1740" s="171"/>
      <c r="H1740" s="247"/>
      <c r="I1740" s="247"/>
      <c r="J1740" s="247"/>
      <c r="K1740" s="247"/>
      <c r="L1740" s="247"/>
      <c r="M1740" s="247"/>
      <c r="N1740" s="247"/>
      <c r="O1740" s="247"/>
      <c r="P1740" s="247"/>
      <c r="Q1740" s="248"/>
      <c r="R1740" s="248"/>
      <c r="S1740" s="247"/>
      <c r="T1740" s="247"/>
      <c r="U1740" s="218"/>
      <c r="V1740" s="342"/>
      <c r="W1740" s="139"/>
      <c r="Y1740" s="1"/>
    </row>
    <row r="1741" spans="3:25" ht="12" customHeight="1">
      <c r="C1741" s="343" t="str">
        <f t="shared" ca="1" si="156"/>
        <v/>
      </c>
      <c r="D1741" s="124"/>
      <c r="E1741" s="124"/>
      <c r="F1741" s="172"/>
      <c r="G1741" s="173"/>
      <c r="H1741" s="249"/>
      <c r="I1741" s="249"/>
      <c r="J1741" s="249"/>
      <c r="K1741" s="249"/>
      <c r="L1741" s="249"/>
      <c r="M1741" s="249"/>
      <c r="N1741" s="250"/>
      <c r="O1741" s="250"/>
      <c r="P1741" s="250"/>
      <c r="Q1741" s="198"/>
      <c r="R1741" s="198"/>
      <c r="S1741" s="249"/>
      <c r="T1741" s="249"/>
      <c r="U1741" s="172"/>
      <c r="V1741" s="343"/>
      <c r="W1741" s="139"/>
      <c r="Y1741" s="1"/>
    </row>
    <row r="1742" spans="3:25" ht="12" customHeight="1">
      <c r="C1742" s="342" t="str">
        <f t="shared" ref="C1742:C1805" ca="1" si="157">IF(ROW()-13&lt;=MAX(series),ROW()-13,"")</f>
        <v/>
      </c>
      <c r="D1742" s="153"/>
      <c r="E1742" s="153"/>
      <c r="F1742" s="170"/>
      <c r="G1742" s="171"/>
      <c r="H1742" s="247"/>
      <c r="I1742" s="247"/>
      <c r="J1742" s="247"/>
      <c r="K1742" s="247"/>
      <c r="L1742" s="247"/>
      <c r="M1742" s="247"/>
      <c r="N1742" s="247"/>
      <c r="O1742" s="247"/>
      <c r="P1742" s="247"/>
      <c r="Q1742" s="248"/>
      <c r="R1742" s="248"/>
      <c r="S1742" s="247"/>
      <c r="T1742" s="247"/>
      <c r="U1742" s="218"/>
      <c r="V1742" s="342"/>
      <c r="W1742" s="139"/>
      <c r="Y1742" s="1"/>
    </row>
    <row r="1743" spans="3:25" ht="12" customHeight="1">
      <c r="C1743" s="343" t="str">
        <f t="shared" ca="1" si="157"/>
        <v/>
      </c>
      <c r="D1743" s="124"/>
      <c r="E1743" s="124"/>
      <c r="F1743" s="172"/>
      <c r="G1743" s="173"/>
      <c r="H1743" s="249"/>
      <c r="I1743" s="249"/>
      <c r="J1743" s="249"/>
      <c r="K1743" s="249"/>
      <c r="L1743" s="249"/>
      <c r="M1743" s="249"/>
      <c r="N1743" s="250"/>
      <c r="O1743" s="250"/>
      <c r="P1743" s="250"/>
      <c r="Q1743" s="198"/>
      <c r="R1743" s="198"/>
      <c r="S1743" s="249"/>
      <c r="T1743" s="249"/>
      <c r="U1743" s="172"/>
      <c r="V1743" s="343"/>
      <c r="W1743" s="139"/>
      <c r="Y1743" s="1"/>
    </row>
    <row r="1744" spans="3:25" ht="12" customHeight="1">
      <c r="C1744" s="342" t="str">
        <f t="shared" ca="1" si="157"/>
        <v/>
      </c>
      <c r="D1744" s="153"/>
      <c r="E1744" s="153"/>
      <c r="F1744" s="170"/>
      <c r="G1744" s="171"/>
      <c r="H1744" s="247"/>
      <c r="I1744" s="247"/>
      <c r="J1744" s="247"/>
      <c r="K1744" s="247"/>
      <c r="L1744" s="247"/>
      <c r="M1744" s="247"/>
      <c r="N1744" s="247"/>
      <c r="O1744" s="247"/>
      <c r="P1744" s="247"/>
      <c r="Q1744" s="248"/>
      <c r="R1744" s="248"/>
      <c r="S1744" s="247"/>
      <c r="T1744" s="247"/>
      <c r="U1744" s="218"/>
      <c r="V1744" s="342"/>
      <c r="W1744" s="139"/>
      <c r="Y1744" s="1"/>
    </row>
    <row r="1745" spans="3:25" ht="12" customHeight="1">
      <c r="C1745" s="343" t="str">
        <f t="shared" ca="1" si="157"/>
        <v/>
      </c>
      <c r="D1745" s="124"/>
      <c r="E1745" s="124"/>
      <c r="F1745" s="172"/>
      <c r="G1745" s="173"/>
      <c r="H1745" s="249"/>
      <c r="I1745" s="249"/>
      <c r="J1745" s="249"/>
      <c r="K1745" s="249"/>
      <c r="L1745" s="249"/>
      <c r="M1745" s="249"/>
      <c r="N1745" s="250"/>
      <c r="O1745" s="250"/>
      <c r="P1745" s="250"/>
      <c r="Q1745" s="198"/>
      <c r="R1745" s="198"/>
      <c r="S1745" s="249"/>
      <c r="T1745" s="249"/>
      <c r="U1745" s="172"/>
      <c r="V1745" s="343"/>
      <c r="W1745" s="139"/>
      <c r="Y1745" s="1"/>
    </row>
    <row r="1746" spans="3:25" ht="12" customHeight="1">
      <c r="C1746" s="342" t="str">
        <f t="shared" ca="1" si="157"/>
        <v/>
      </c>
      <c r="D1746" s="153"/>
      <c r="E1746" s="153"/>
      <c r="F1746" s="170"/>
      <c r="G1746" s="171"/>
      <c r="H1746" s="247"/>
      <c r="I1746" s="247"/>
      <c r="J1746" s="247"/>
      <c r="K1746" s="247"/>
      <c r="L1746" s="247"/>
      <c r="M1746" s="247"/>
      <c r="N1746" s="247"/>
      <c r="O1746" s="247"/>
      <c r="P1746" s="247"/>
      <c r="Q1746" s="248"/>
      <c r="R1746" s="248"/>
      <c r="S1746" s="247"/>
      <c r="T1746" s="247"/>
      <c r="U1746" s="218"/>
      <c r="V1746" s="342"/>
      <c r="W1746" s="139"/>
      <c r="Y1746" s="1"/>
    </row>
    <row r="1747" spans="3:25" ht="12" customHeight="1">
      <c r="C1747" s="343" t="str">
        <f t="shared" ca="1" si="157"/>
        <v/>
      </c>
      <c r="D1747" s="124"/>
      <c r="E1747" s="124"/>
      <c r="F1747" s="172"/>
      <c r="G1747" s="173"/>
      <c r="H1747" s="249"/>
      <c r="I1747" s="249"/>
      <c r="J1747" s="249"/>
      <c r="K1747" s="249"/>
      <c r="L1747" s="249"/>
      <c r="M1747" s="249"/>
      <c r="N1747" s="250"/>
      <c r="O1747" s="250"/>
      <c r="P1747" s="250"/>
      <c r="Q1747" s="198"/>
      <c r="R1747" s="198"/>
      <c r="S1747" s="249"/>
      <c r="T1747" s="249"/>
      <c r="U1747" s="172"/>
      <c r="V1747" s="343"/>
      <c r="W1747" s="139"/>
      <c r="Y1747" s="1"/>
    </row>
    <row r="1748" spans="3:25" ht="12" customHeight="1">
      <c r="C1748" s="342" t="str">
        <f t="shared" ca="1" si="157"/>
        <v/>
      </c>
      <c r="D1748" s="153"/>
      <c r="E1748" s="153"/>
      <c r="F1748" s="170"/>
      <c r="G1748" s="171"/>
      <c r="H1748" s="247"/>
      <c r="I1748" s="247"/>
      <c r="J1748" s="247"/>
      <c r="K1748" s="247"/>
      <c r="L1748" s="247"/>
      <c r="M1748" s="247"/>
      <c r="N1748" s="247"/>
      <c r="O1748" s="247"/>
      <c r="P1748" s="247"/>
      <c r="Q1748" s="248"/>
      <c r="R1748" s="248"/>
      <c r="S1748" s="247"/>
      <c r="T1748" s="247"/>
      <c r="U1748" s="218"/>
      <c r="V1748" s="342"/>
      <c r="W1748" s="139"/>
      <c r="Y1748" s="1"/>
    </row>
    <row r="1749" spans="3:25" ht="12" customHeight="1">
      <c r="C1749" s="343" t="str">
        <f t="shared" ca="1" si="157"/>
        <v/>
      </c>
      <c r="D1749" s="124"/>
      <c r="E1749" s="124"/>
      <c r="F1749" s="172"/>
      <c r="G1749" s="173"/>
      <c r="H1749" s="249"/>
      <c r="I1749" s="249"/>
      <c r="J1749" s="249"/>
      <c r="K1749" s="249"/>
      <c r="L1749" s="249"/>
      <c r="M1749" s="249"/>
      <c r="N1749" s="250"/>
      <c r="O1749" s="250"/>
      <c r="P1749" s="250"/>
      <c r="Q1749" s="198"/>
      <c r="R1749" s="198"/>
      <c r="S1749" s="249"/>
      <c r="T1749" s="249"/>
      <c r="U1749" s="172"/>
      <c r="V1749" s="343"/>
      <c r="W1749" s="139"/>
      <c r="Y1749" s="1"/>
    </row>
    <row r="1750" spans="3:25" ht="12" customHeight="1">
      <c r="C1750" s="342" t="str">
        <f t="shared" ca="1" si="157"/>
        <v/>
      </c>
      <c r="D1750" s="153"/>
      <c r="E1750" s="153"/>
      <c r="F1750" s="170"/>
      <c r="G1750" s="171"/>
      <c r="H1750" s="247"/>
      <c r="I1750" s="247"/>
      <c r="J1750" s="247"/>
      <c r="K1750" s="247"/>
      <c r="L1750" s="247"/>
      <c r="M1750" s="247"/>
      <c r="N1750" s="247"/>
      <c r="O1750" s="247"/>
      <c r="P1750" s="247"/>
      <c r="Q1750" s="248"/>
      <c r="R1750" s="248"/>
      <c r="S1750" s="247"/>
      <c r="T1750" s="247"/>
      <c r="U1750" s="218"/>
      <c r="V1750" s="342"/>
      <c r="W1750" s="139"/>
      <c r="Y1750" s="1"/>
    </row>
    <row r="1751" spans="3:25" ht="12" customHeight="1">
      <c r="C1751" s="343" t="str">
        <f t="shared" ca="1" si="157"/>
        <v/>
      </c>
      <c r="D1751" s="124"/>
      <c r="E1751" s="124"/>
      <c r="F1751" s="172"/>
      <c r="G1751" s="173"/>
      <c r="H1751" s="249"/>
      <c r="I1751" s="249"/>
      <c r="J1751" s="249"/>
      <c r="K1751" s="249"/>
      <c r="L1751" s="249"/>
      <c r="M1751" s="249"/>
      <c r="N1751" s="250"/>
      <c r="O1751" s="250"/>
      <c r="P1751" s="250"/>
      <c r="Q1751" s="198"/>
      <c r="R1751" s="198"/>
      <c r="S1751" s="249"/>
      <c r="T1751" s="249"/>
      <c r="U1751" s="172"/>
      <c r="V1751" s="343"/>
      <c r="W1751" s="139"/>
      <c r="Y1751" s="1"/>
    </row>
    <row r="1752" spans="3:25" ht="12" customHeight="1">
      <c r="C1752" s="342" t="str">
        <f t="shared" ca="1" si="157"/>
        <v/>
      </c>
      <c r="D1752" s="153"/>
      <c r="E1752" s="153"/>
      <c r="F1752" s="170"/>
      <c r="G1752" s="171"/>
      <c r="H1752" s="247"/>
      <c r="I1752" s="247"/>
      <c r="J1752" s="247"/>
      <c r="K1752" s="247"/>
      <c r="L1752" s="247"/>
      <c r="M1752" s="247"/>
      <c r="N1752" s="247"/>
      <c r="O1752" s="247"/>
      <c r="P1752" s="247"/>
      <c r="Q1752" s="248"/>
      <c r="R1752" s="248"/>
      <c r="S1752" s="247"/>
      <c r="T1752" s="247"/>
      <c r="U1752" s="218"/>
      <c r="V1752" s="342"/>
      <c r="W1752" s="139"/>
      <c r="Y1752" s="1"/>
    </row>
    <row r="1753" spans="3:25" ht="12" customHeight="1">
      <c r="C1753" s="343" t="str">
        <f t="shared" ca="1" si="157"/>
        <v/>
      </c>
      <c r="D1753" s="124"/>
      <c r="E1753" s="124"/>
      <c r="F1753" s="172"/>
      <c r="G1753" s="173"/>
      <c r="H1753" s="249"/>
      <c r="I1753" s="249"/>
      <c r="J1753" s="249"/>
      <c r="K1753" s="249"/>
      <c r="L1753" s="249"/>
      <c r="M1753" s="249"/>
      <c r="N1753" s="250"/>
      <c r="O1753" s="250"/>
      <c r="P1753" s="250"/>
      <c r="Q1753" s="198"/>
      <c r="R1753" s="198"/>
      <c r="S1753" s="249"/>
      <c r="T1753" s="249"/>
      <c r="U1753" s="172"/>
      <c r="V1753" s="343"/>
      <c r="W1753" s="139"/>
      <c r="Y1753" s="1"/>
    </row>
    <row r="1754" spans="3:25" ht="12" customHeight="1">
      <c r="C1754" s="342" t="str">
        <f t="shared" ca="1" si="157"/>
        <v/>
      </c>
      <c r="D1754" s="153"/>
      <c r="E1754" s="153"/>
      <c r="F1754" s="170"/>
      <c r="G1754" s="171"/>
      <c r="H1754" s="247"/>
      <c r="I1754" s="247"/>
      <c r="J1754" s="247"/>
      <c r="K1754" s="247"/>
      <c r="L1754" s="247"/>
      <c r="M1754" s="247"/>
      <c r="N1754" s="247"/>
      <c r="O1754" s="247"/>
      <c r="P1754" s="247"/>
      <c r="Q1754" s="248"/>
      <c r="R1754" s="248"/>
      <c r="S1754" s="247"/>
      <c r="T1754" s="247"/>
      <c r="U1754" s="218"/>
      <c r="V1754" s="342"/>
      <c r="W1754" s="139"/>
      <c r="Y1754" s="1"/>
    </row>
    <row r="1755" spans="3:25" ht="12" customHeight="1">
      <c r="C1755" s="343" t="str">
        <f t="shared" ca="1" si="157"/>
        <v/>
      </c>
      <c r="D1755" s="124"/>
      <c r="E1755" s="124"/>
      <c r="F1755" s="172"/>
      <c r="G1755" s="173"/>
      <c r="H1755" s="249"/>
      <c r="I1755" s="249"/>
      <c r="J1755" s="249"/>
      <c r="K1755" s="249"/>
      <c r="L1755" s="249"/>
      <c r="M1755" s="249"/>
      <c r="N1755" s="250"/>
      <c r="O1755" s="250"/>
      <c r="P1755" s="250"/>
      <c r="Q1755" s="198"/>
      <c r="R1755" s="198"/>
      <c r="S1755" s="249"/>
      <c r="T1755" s="249"/>
      <c r="U1755" s="172"/>
      <c r="V1755" s="343"/>
      <c r="W1755" s="139"/>
      <c r="Y1755" s="1"/>
    </row>
    <row r="1756" spans="3:25" ht="12" customHeight="1">
      <c r="C1756" s="342" t="str">
        <f t="shared" ca="1" si="157"/>
        <v/>
      </c>
      <c r="D1756" s="153"/>
      <c r="E1756" s="153"/>
      <c r="F1756" s="170"/>
      <c r="G1756" s="171"/>
      <c r="H1756" s="247"/>
      <c r="I1756" s="247"/>
      <c r="J1756" s="247"/>
      <c r="K1756" s="247"/>
      <c r="L1756" s="247"/>
      <c r="M1756" s="247"/>
      <c r="N1756" s="247"/>
      <c r="O1756" s="247"/>
      <c r="P1756" s="247"/>
      <c r="Q1756" s="248"/>
      <c r="R1756" s="248"/>
      <c r="S1756" s="247"/>
      <c r="T1756" s="247"/>
      <c r="U1756" s="218"/>
      <c r="V1756" s="342"/>
      <c r="W1756" s="139"/>
      <c r="Y1756" s="1"/>
    </row>
    <row r="1757" spans="3:25" ht="12" customHeight="1">
      <c r="C1757" s="343" t="str">
        <f t="shared" ca="1" si="157"/>
        <v/>
      </c>
      <c r="D1757" s="124"/>
      <c r="E1757" s="124"/>
      <c r="F1757" s="172"/>
      <c r="G1757" s="173"/>
      <c r="H1757" s="249"/>
      <c r="I1757" s="249"/>
      <c r="J1757" s="249"/>
      <c r="K1757" s="249"/>
      <c r="L1757" s="249"/>
      <c r="M1757" s="249"/>
      <c r="N1757" s="250"/>
      <c r="O1757" s="250"/>
      <c r="P1757" s="250"/>
      <c r="Q1757" s="198"/>
      <c r="R1757" s="198"/>
      <c r="S1757" s="249"/>
      <c r="T1757" s="249"/>
      <c r="U1757" s="172"/>
      <c r="V1757" s="343"/>
      <c r="W1757" s="139"/>
      <c r="Y1757" s="1"/>
    </row>
    <row r="1758" spans="3:25" ht="12" customHeight="1">
      <c r="C1758" s="342" t="str">
        <f t="shared" ca="1" si="157"/>
        <v/>
      </c>
      <c r="D1758" s="153"/>
      <c r="E1758" s="153"/>
      <c r="F1758" s="170"/>
      <c r="G1758" s="171"/>
      <c r="H1758" s="247"/>
      <c r="I1758" s="247"/>
      <c r="J1758" s="247"/>
      <c r="K1758" s="247"/>
      <c r="L1758" s="247"/>
      <c r="M1758" s="247"/>
      <c r="N1758" s="247"/>
      <c r="O1758" s="247"/>
      <c r="P1758" s="247"/>
      <c r="Q1758" s="248"/>
      <c r="R1758" s="248"/>
      <c r="S1758" s="247"/>
      <c r="T1758" s="247"/>
      <c r="U1758" s="218"/>
      <c r="V1758" s="342"/>
      <c r="W1758" s="139"/>
      <c r="Y1758" s="1"/>
    </row>
    <row r="1759" spans="3:25" ht="12" customHeight="1">
      <c r="C1759" s="343" t="str">
        <f t="shared" ca="1" si="157"/>
        <v/>
      </c>
      <c r="D1759" s="124"/>
      <c r="E1759" s="124"/>
      <c r="F1759" s="172"/>
      <c r="G1759" s="173"/>
      <c r="H1759" s="249"/>
      <c r="I1759" s="249"/>
      <c r="J1759" s="249"/>
      <c r="K1759" s="249"/>
      <c r="L1759" s="249"/>
      <c r="M1759" s="249"/>
      <c r="N1759" s="250"/>
      <c r="O1759" s="250"/>
      <c r="P1759" s="250"/>
      <c r="Q1759" s="198"/>
      <c r="R1759" s="198"/>
      <c r="S1759" s="249"/>
      <c r="T1759" s="249"/>
      <c r="U1759" s="172"/>
      <c r="V1759" s="343"/>
      <c r="W1759" s="139"/>
      <c r="Y1759" s="1"/>
    </row>
    <row r="1760" spans="3:25" ht="12" customHeight="1">
      <c r="C1760" s="342" t="str">
        <f t="shared" ca="1" si="157"/>
        <v/>
      </c>
      <c r="D1760" s="153"/>
      <c r="E1760" s="153"/>
      <c r="F1760" s="170"/>
      <c r="G1760" s="171"/>
      <c r="H1760" s="247"/>
      <c r="I1760" s="247"/>
      <c r="J1760" s="247"/>
      <c r="K1760" s="247"/>
      <c r="L1760" s="247"/>
      <c r="M1760" s="247"/>
      <c r="N1760" s="247"/>
      <c r="O1760" s="247"/>
      <c r="P1760" s="247"/>
      <c r="Q1760" s="248"/>
      <c r="R1760" s="248"/>
      <c r="S1760" s="247"/>
      <c r="T1760" s="247"/>
      <c r="U1760" s="218"/>
      <c r="V1760" s="342"/>
      <c r="W1760" s="139"/>
      <c r="Y1760" s="1"/>
    </row>
    <row r="1761" spans="3:25" ht="12" customHeight="1">
      <c r="C1761" s="343" t="str">
        <f t="shared" ca="1" si="157"/>
        <v/>
      </c>
      <c r="D1761" s="124"/>
      <c r="E1761" s="124"/>
      <c r="F1761" s="172"/>
      <c r="G1761" s="173"/>
      <c r="H1761" s="249"/>
      <c r="I1761" s="249"/>
      <c r="J1761" s="249"/>
      <c r="K1761" s="249"/>
      <c r="L1761" s="249"/>
      <c r="M1761" s="249"/>
      <c r="N1761" s="250"/>
      <c r="O1761" s="250"/>
      <c r="P1761" s="250"/>
      <c r="Q1761" s="198"/>
      <c r="R1761" s="198"/>
      <c r="S1761" s="249"/>
      <c r="T1761" s="249"/>
      <c r="U1761" s="172"/>
      <c r="V1761" s="343"/>
      <c r="W1761" s="139"/>
      <c r="Y1761" s="1"/>
    </row>
    <row r="1762" spans="3:25" ht="12" customHeight="1">
      <c r="C1762" s="342" t="str">
        <f t="shared" ca="1" si="157"/>
        <v/>
      </c>
      <c r="D1762" s="153"/>
      <c r="E1762" s="153"/>
      <c r="F1762" s="170"/>
      <c r="G1762" s="171"/>
      <c r="H1762" s="247"/>
      <c r="I1762" s="247"/>
      <c r="J1762" s="247"/>
      <c r="K1762" s="247"/>
      <c r="L1762" s="247"/>
      <c r="M1762" s="247"/>
      <c r="N1762" s="247"/>
      <c r="O1762" s="247"/>
      <c r="P1762" s="247"/>
      <c r="Q1762" s="248"/>
      <c r="R1762" s="248"/>
      <c r="S1762" s="247"/>
      <c r="T1762" s="247"/>
      <c r="U1762" s="218"/>
      <c r="V1762" s="342"/>
      <c r="W1762" s="139"/>
      <c r="Y1762" s="1"/>
    </row>
    <row r="1763" spans="3:25" ht="12" customHeight="1">
      <c r="C1763" s="343" t="str">
        <f t="shared" ca="1" si="157"/>
        <v/>
      </c>
      <c r="D1763" s="124"/>
      <c r="E1763" s="124"/>
      <c r="F1763" s="172"/>
      <c r="G1763" s="173"/>
      <c r="H1763" s="249"/>
      <c r="I1763" s="249"/>
      <c r="J1763" s="249"/>
      <c r="K1763" s="249"/>
      <c r="L1763" s="249"/>
      <c r="M1763" s="249"/>
      <c r="N1763" s="250"/>
      <c r="O1763" s="250"/>
      <c r="P1763" s="250"/>
      <c r="Q1763" s="198"/>
      <c r="R1763" s="198"/>
      <c r="S1763" s="249"/>
      <c r="T1763" s="249"/>
      <c r="U1763" s="172"/>
      <c r="V1763" s="343"/>
      <c r="W1763" s="139"/>
      <c r="Y1763" s="1"/>
    </row>
    <row r="1764" spans="3:25" ht="12" customHeight="1">
      <c r="C1764" s="342" t="str">
        <f t="shared" ca="1" si="157"/>
        <v/>
      </c>
      <c r="D1764" s="153"/>
      <c r="E1764" s="153"/>
      <c r="F1764" s="170"/>
      <c r="G1764" s="171"/>
      <c r="H1764" s="247"/>
      <c r="I1764" s="247"/>
      <c r="J1764" s="247"/>
      <c r="K1764" s="247"/>
      <c r="L1764" s="247"/>
      <c r="M1764" s="247"/>
      <c r="N1764" s="247"/>
      <c r="O1764" s="247"/>
      <c r="P1764" s="247"/>
      <c r="Q1764" s="248"/>
      <c r="R1764" s="248"/>
      <c r="S1764" s="247"/>
      <c r="T1764" s="247"/>
      <c r="U1764" s="218"/>
      <c r="V1764" s="342"/>
      <c r="W1764" s="139"/>
      <c r="Y1764" s="1"/>
    </row>
    <row r="1765" spans="3:25" ht="12" customHeight="1">
      <c r="C1765" s="343" t="str">
        <f t="shared" ca="1" si="157"/>
        <v/>
      </c>
      <c r="D1765" s="124"/>
      <c r="E1765" s="124"/>
      <c r="F1765" s="172"/>
      <c r="G1765" s="173"/>
      <c r="H1765" s="249"/>
      <c r="I1765" s="249"/>
      <c r="J1765" s="249"/>
      <c r="K1765" s="249"/>
      <c r="L1765" s="249"/>
      <c r="M1765" s="249"/>
      <c r="N1765" s="250"/>
      <c r="O1765" s="250"/>
      <c r="P1765" s="250"/>
      <c r="Q1765" s="198"/>
      <c r="R1765" s="198"/>
      <c r="S1765" s="249"/>
      <c r="T1765" s="249"/>
      <c r="U1765" s="172"/>
      <c r="V1765" s="343"/>
      <c r="W1765" s="139"/>
      <c r="Y1765" s="1"/>
    </row>
    <row r="1766" spans="3:25" ht="12" customHeight="1">
      <c r="C1766" s="342" t="str">
        <f t="shared" ca="1" si="157"/>
        <v/>
      </c>
      <c r="D1766" s="153"/>
      <c r="E1766" s="153"/>
      <c r="F1766" s="170"/>
      <c r="G1766" s="171"/>
      <c r="H1766" s="247"/>
      <c r="I1766" s="247"/>
      <c r="J1766" s="247"/>
      <c r="K1766" s="247"/>
      <c r="L1766" s="247"/>
      <c r="M1766" s="247"/>
      <c r="N1766" s="247"/>
      <c r="O1766" s="247"/>
      <c r="P1766" s="247"/>
      <c r="Q1766" s="248"/>
      <c r="R1766" s="248"/>
      <c r="S1766" s="247"/>
      <c r="T1766" s="247"/>
      <c r="U1766" s="218"/>
      <c r="V1766" s="342"/>
      <c r="W1766" s="139"/>
      <c r="Y1766" s="1"/>
    </row>
    <row r="1767" spans="3:25" ht="12" customHeight="1">
      <c r="C1767" s="343" t="str">
        <f t="shared" ca="1" si="157"/>
        <v/>
      </c>
      <c r="D1767" s="124"/>
      <c r="E1767" s="124"/>
      <c r="F1767" s="172"/>
      <c r="G1767" s="173"/>
      <c r="H1767" s="249"/>
      <c r="I1767" s="249"/>
      <c r="J1767" s="249"/>
      <c r="K1767" s="249"/>
      <c r="L1767" s="249"/>
      <c r="M1767" s="249"/>
      <c r="N1767" s="250"/>
      <c r="O1767" s="250"/>
      <c r="P1767" s="250"/>
      <c r="Q1767" s="198"/>
      <c r="R1767" s="198"/>
      <c r="S1767" s="249"/>
      <c r="T1767" s="249"/>
      <c r="U1767" s="172"/>
      <c r="V1767" s="343"/>
      <c r="W1767" s="139"/>
      <c r="Y1767" s="1"/>
    </row>
    <row r="1768" spans="3:25" ht="12" customHeight="1">
      <c r="C1768" s="342" t="str">
        <f t="shared" ca="1" si="157"/>
        <v/>
      </c>
      <c r="D1768" s="153"/>
      <c r="E1768" s="153"/>
      <c r="F1768" s="170"/>
      <c r="G1768" s="171"/>
      <c r="H1768" s="247"/>
      <c r="I1768" s="247"/>
      <c r="J1768" s="247"/>
      <c r="K1768" s="247"/>
      <c r="L1768" s="247"/>
      <c r="M1768" s="247"/>
      <c r="N1768" s="247"/>
      <c r="O1768" s="247"/>
      <c r="P1768" s="247"/>
      <c r="Q1768" s="248"/>
      <c r="R1768" s="248"/>
      <c r="S1768" s="247"/>
      <c r="T1768" s="247"/>
      <c r="U1768" s="218"/>
      <c r="V1768" s="342"/>
      <c r="W1768" s="139"/>
      <c r="Y1768" s="1"/>
    </row>
    <row r="1769" spans="3:25" ht="12" customHeight="1">
      <c r="C1769" s="343" t="str">
        <f t="shared" ca="1" si="157"/>
        <v/>
      </c>
      <c r="D1769" s="124"/>
      <c r="E1769" s="124"/>
      <c r="F1769" s="172"/>
      <c r="G1769" s="173"/>
      <c r="H1769" s="249"/>
      <c r="I1769" s="249"/>
      <c r="J1769" s="249"/>
      <c r="K1769" s="249"/>
      <c r="L1769" s="249"/>
      <c r="M1769" s="249"/>
      <c r="N1769" s="250"/>
      <c r="O1769" s="250"/>
      <c r="P1769" s="250"/>
      <c r="Q1769" s="198"/>
      <c r="R1769" s="198"/>
      <c r="S1769" s="249"/>
      <c r="T1769" s="249"/>
      <c r="U1769" s="172"/>
      <c r="V1769" s="343"/>
      <c r="W1769" s="139"/>
      <c r="Y1769" s="1"/>
    </row>
    <row r="1770" spans="3:25" ht="12" customHeight="1">
      <c r="C1770" s="342" t="str">
        <f t="shared" ca="1" si="157"/>
        <v/>
      </c>
      <c r="D1770" s="153"/>
      <c r="E1770" s="153"/>
      <c r="F1770" s="170"/>
      <c r="G1770" s="171"/>
      <c r="H1770" s="247"/>
      <c r="I1770" s="247"/>
      <c r="J1770" s="247"/>
      <c r="K1770" s="247"/>
      <c r="L1770" s="247"/>
      <c r="M1770" s="247"/>
      <c r="N1770" s="247"/>
      <c r="O1770" s="247"/>
      <c r="P1770" s="247"/>
      <c r="Q1770" s="248"/>
      <c r="R1770" s="248"/>
      <c r="S1770" s="247"/>
      <c r="T1770" s="247"/>
      <c r="U1770" s="218"/>
      <c r="V1770" s="342"/>
      <c r="W1770" s="139"/>
      <c r="Y1770" s="1"/>
    </row>
    <row r="1771" spans="3:25" ht="12" customHeight="1">
      <c r="C1771" s="343" t="str">
        <f t="shared" ca="1" si="157"/>
        <v/>
      </c>
      <c r="D1771" s="124"/>
      <c r="E1771" s="124"/>
      <c r="F1771" s="172"/>
      <c r="G1771" s="173"/>
      <c r="H1771" s="249"/>
      <c r="I1771" s="249"/>
      <c r="J1771" s="249"/>
      <c r="K1771" s="249"/>
      <c r="L1771" s="249"/>
      <c r="M1771" s="249"/>
      <c r="N1771" s="250"/>
      <c r="O1771" s="250"/>
      <c r="P1771" s="250"/>
      <c r="Q1771" s="198"/>
      <c r="R1771" s="198"/>
      <c r="S1771" s="249"/>
      <c r="T1771" s="249"/>
      <c r="U1771" s="172"/>
      <c r="V1771" s="343"/>
      <c r="W1771" s="139"/>
      <c r="Y1771" s="1"/>
    </row>
    <row r="1772" spans="3:25" ht="12" customHeight="1">
      <c r="C1772" s="342" t="str">
        <f t="shared" ca="1" si="157"/>
        <v/>
      </c>
      <c r="D1772" s="153"/>
      <c r="E1772" s="153"/>
      <c r="F1772" s="170"/>
      <c r="G1772" s="171"/>
      <c r="H1772" s="247"/>
      <c r="I1772" s="247"/>
      <c r="J1772" s="247"/>
      <c r="K1772" s="247"/>
      <c r="L1772" s="247"/>
      <c r="M1772" s="247"/>
      <c r="N1772" s="247"/>
      <c r="O1772" s="247"/>
      <c r="P1772" s="247"/>
      <c r="Q1772" s="248"/>
      <c r="R1772" s="248"/>
      <c r="S1772" s="247"/>
      <c r="T1772" s="247"/>
      <c r="U1772" s="218"/>
      <c r="V1772" s="342"/>
      <c r="W1772" s="139"/>
      <c r="Y1772" s="1"/>
    </row>
    <row r="1773" spans="3:25" ht="12" customHeight="1">
      <c r="C1773" s="343" t="str">
        <f t="shared" ca="1" si="157"/>
        <v/>
      </c>
      <c r="D1773" s="124"/>
      <c r="E1773" s="124"/>
      <c r="F1773" s="172"/>
      <c r="G1773" s="173"/>
      <c r="H1773" s="249"/>
      <c r="I1773" s="249"/>
      <c r="J1773" s="249"/>
      <c r="K1773" s="249"/>
      <c r="L1773" s="249"/>
      <c r="M1773" s="249"/>
      <c r="N1773" s="250"/>
      <c r="O1773" s="250"/>
      <c r="P1773" s="250"/>
      <c r="Q1773" s="198"/>
      <c r="R1773" s="198"/>
      <c r="S1773" s="249"/>
      <c r="T1773" s="249"/>
      <c r="U1773" s="172"/>
      <c r="V1773" s="343"/>
      <c r="W1773" s="139"/>
      <c r="Y1773" s="1"/>
    </row>
    <row r="1774" spans="3:25" ht="12" customHeight="1">
      <c r="C1774" s="342" t="str">
        <f t="shared" ca="1" si="157"/>
        <v/>
      </c>
      <c r="D1774" s="153"/>
      <c r="E1774" s="153"/>
      <c r="F1774" s="170"/>
      <c r="G1774" s="171"/>
      <c r="H1774" s="247"/>
      <c r="I1774" s="247"/>
      <c r="J1774" s="247"/>
      <c r="K1774" s="247"/>
      <c r="L1774" s="247"/>
      <c r="M1774" s="247"/>
      <c r="N1774" s="247"/>
      <c r="O1774" s="247"/>
      <c r="P1774" s="247"/>
      <c r="Q1774" s="248"/>
      <c r="R1774" s="248"/>
      <c r="S1774" s="247"/>
      <c r="T1774" s="247"/>
      <c r="U1774" s="218"/>
      <c r="V1774" s="342"/>
      <c r="W1774" s="139"/>
      <c r="Y1774" s="1"/>
    </row>
    <row r="1775" spans="3:25" ht="12" customHeight="1">
      <c r="C1775" s="343" t="str">
        <f t="shared" ca="1" si="157"/>
        <v/>
      </c>
      <c r="D1775" s="124"/>
      <c r="E1775" s="124"/>
      <c r="F1775" s="172"/>
      <c r="G1775" s="173"/>
      <c r="H1775" s="249"/>
      <c r="I1775" s="249"/>
      <c r="J1775" s="249"/>
      <c r="K1775" s="249"/>
      <c r="L1775" s="249"/>
      <c r="M1775" s="249"/>
      <c r="N1775" s="250"/>
      <c r="O1775" s="250"/>
      <c r="P1775" s="250"/>
      <c r="Q1775" s="198"/>
      <c r="R1775" s="198"/>
      <c r="S1775" s="249"/>
      <c r="T1775" s="249"/>
      <c r="U1775" s="172"/>
      <c r="V1775" s="343"/>
      <c r="W1775" s="139"/>
      <c r="Y1775" s="1"/>
    </row>
    <row r="1776" spans="3:25" ht="12" customHeight="1">
      <c r="C1776" s="342" t="str">
        <f t="shared" ca="1" si="157"/>
        <v/>
      </c>
      <c r="D1776" s="153"/>
      <c r="E1776" s="153"/>
      <c r="F1776" s="170"/>
      <c r="G1776" s="171"/>
      <c r="H1776" s="247"/>
      <c r="I1776" s="247"/>
      <c r="J1776" s="247"/>
      <c r="K1776" s="247"/>
      <c r="L1776" s="247"/>
      <c r="M1776" s="247"/>
      <c r="N1776" s="247"/>
      <c r="O1776" s="247"/>
      <c r="P1776" s="247"/>
      <c r="Q1776" s="248"/>
      <c r="R1776" s="248"/>
      <c r="S1776" s="247"/>
      <c r="T1776" s="247"/>
      <c r="U1776" s="218"/>
      <c r="V1776" s="342"/>
      <c r="W1776" s="139"/>
      <c r="Y1776" s="1"/>
    </row>
    <row r="1777" spans="3:25" ht="12" customHeight="1">
      <c r="C1777" s="343" t="str">
        <f t="shared" ca="1" si="157"/>
        <v/>
      </c>
      <c r="D1777" s="124"/>
      <c r="E1777" s="124"/>
      <c r="F1777" s="172"/>
      <c r="G1777" s="173"/>
      <c r="H1777" s="249"/>
      <c r="I1777" s="249"/>
      <c r="J1777" s="249"/>
      <c r="K1777" s="249"/>
      <c r="L1777" s="249"/>
      <c r="M1777" s="249"/>
      <c r="N1777" s="250"/>
      <c r="O1777" s="250"/>
      <c r="P1777" s="250"/>
      <c r="Q1777" s="198"/>
      <c r="R1777" s="198"/>
      <c r="S1777" s="249"/>
      <c r="T1777" s="249"/>
      <c r="U1777" s="172"/>
      <c r="V1777" s="343"/>
      <c r="W1777" s="139"/>
      <c r="Y1777" s="1"/>
    </row>
    <row r="1778" spans="3:25" ht="12" customHeight="1">
      <c r="C1778" s="342" t="str">
        <f t="shared" ca="1" si="157"/>
        <v/>
      </c>
      <c r="D1778" s="153"/>
      <c r="E1778" s="153"/>
      <c r="F1778" s="170"/>
      <c r="G1778" s="171"/>
      <c r="H1778" s="247"/>
      <c r="I1778" s="247"/>
      <c r="J1778" s="247"/>
      <c r="K1778" s="247"/>
      <c r="L1778" s="247"/>
      <c r="M1778" s="247"/>
      <c r="N1778" s="247"/>
      <c r="O1778" s="247"/>
      <c r="P1778" s="247"/>
      <c r="Q1778" s="248"/>
      <c r="R1778" s="248"/>
      <c r="S1778" s="247"/>
      <c r="T1778" s="247"/>
      <c r="U1778" s="218"/>
      <c r="V1778" s="342"/>
      <c r="W1778" s="139"/>
      <c r="Y1778" s="1"/>
    </row>
    <row r="1779" spans="3:25" ht="12" customHeight="1">
      <c r="C1779" s="343" t="str">
        <f t="shared" ca="1" si="157"/>
        <v/>
      </c>
      <c r="D1779" s="124"/>
      <c r="E1779" s="124"/>
      <c r="F1779" s="172"/>
      <c r="G1779" s="173"/>
      <c r="H1779" s="249"/>
      <c r="I1779" s="249"/>
      <c r="J1779" s="249"/>
      <c r="K1779" s="249"/>
      <c r="L1779" s="249"/>
      <c r="M1779" s="249"/>
      <c r="N1779" s="250"/>
      <c r="O1779" s="250"/>
      <c r="P1779" s="250"/>
      <c r="Q1779" s="198"/>
      <c r="R1779" s="198"/>
      <c r="S1779" s="249"/>
      <c r="T1779" s="249"/>
      <c r="U1779" s="172"/>
      <c r="V1779" s="343"/>
      <c r="W1779" s="139"/>
      <c r="Y1779" s="1"/>
    </row>
    <row r="1780" spans="3:25" ht="12" customHeight="1">
      <c r="C1780" s="342" t="str">
        <f t="shared" ca="1" si="157"/>
        <v/>
      </c>
      <c r="D1780" s="153"/>
      <c r="E1780" s="153"/>
      <c r="F1780" s="170"/>
      <c r="G1780" s="171"/>
      <c r="H1780" s="247"/>
      <c r="I1780" s="247"/>
      <c r="J1780" s="247"/>
      <c r="K1780" s="247"/>
      <c r="L1780" s="247"/>
      <c r="M1780" s="247"/>
      <c r="N1780" s="247"/>
      <c r="O1780" s="247"/>
      <c r="P1780" s="247"/>
      <c r="Q1780" s="248"/>
      <c r="R1780" s="248"/>
      <c r="S1780" s="247"/>
      <c r="T1780" s="247"/>
      <c r="U1780" s="218"/>
      <c r="V1780" s="342"/>
      <c r="W1780" s="139"/>
      <c r="Y1780" s="1"/>
    </row>
    <row r="1781" spans="3:25" ht="12" customHeight="1">
      <c r="C1781" s="343" t="str">
        <f t="shared" ca="1" si="157"/>
        <v/>
      </c>
      <c r="D1781" s="124"/>
      <c r="E1781" s="124"/>
      <c r="F1781" s="172"/>
      <c r="G1781" s="173"/>
      <c r="H1781" s="249"/>
      <c r="I1781" s="249"/>
      <c r="J1781" s="249"/>
      <c r="K1781" s="249"/>
      <c r="L1781" s="249"/>
      <c r="M1781" s="249"/>
      <c r="N1781" s="250"/>
      <c r="O1781" s="250"/>
      <c r="P1781" s="250"/>
      <c r="Q1781" s="198"/>
      <c r="R1781" s="198"/>
      <c r="S1781" s="249"/>
      <c r="T1781" s="249"/>
      <c r="U1781" s="172"/>
      <c r="V1781" s="343"/>
      <c r="W1781" s="139"/>
      <c r="Y1781" s="1"/>
    </row>
    <row r="1782" spans="3:25" ht="12" customHeight="1">
      <c r="C1782" s="342" t="str">
        <f t="shared" ca="1" si="157"/>
        <v/>
      </c>
      <c r="D1782" s="153"/>
      <c r="E1782" s="153"/>
      <c r="F1782" s="170"/>
      <c r="G1782" s="171"/>
      <c r="H1782" s="247"/>
      <c r="I1782" s="247"/>
      <c r="J1782" s="247"/>
      <c r="K1782" s="247"/>
      <c r="L1782" s="247"/>
      <c r="M1782" s="247"/>
      <c r="N1782" s="247"/>
      <c r="O1782" s="247"/>
      <c r="P1782" s="247"/>
      <c r="Q1782" s="248"/>
      <c r="R1782" s="248"/>
      <c r="S1782" s="247"/>
      <c r="T1782" s="247"/>
      <c r="U1782" s="218"/>
      <c r="V1782" s="342"/>
      <c r="W1782" s="139"/>
      <c r="Y1782" s="1"/>
    </row>
    <row r="1783" spans="3:25" ht="12" customHeight="1">
      <c r="C1783" s="343" t="str">
        <f t="shared" ca="1" si="157"/>
        <v/>
      </c>
      <c r="D1783" s="124"/>
      <c r="E1783" s="124"/>
      <c r="F1783" s="172"/>
      <c r="G1783" s="173"/>
      <c r="H1783" s="249"/>
      <c r="I1783" s="249"/>
      <c r="J1783" s="249"/>
      <c r="K1783" s="249"/>
      <c r="L1783" s="249"/>
      <c r="M1783" s="249"/>
      <c r="N1783" s="250"/>
      <c r="O1783" s="250"/>
      <c r="P1783" s="250"/>
      <c r="Q1783" s="198"/>
      <c r="R1783" s="198"/>
      <c r="S1783" s="249"/>
      <c r="T1783" s="249"/>
      <c r="U1783" s="172"/>
      <c r="V1783" s="343"/>
      <c r="W1783" s="139"/>
      <c r="Y1783" s="1"/>
    </row>
    <row r="1784" spans="3:25" ht="12" customHeight="1">
      <c r="C1784" s="342" t="str">
        <f t="shared" ca="1" si="157"/>
        <v/>
      </c>
      <c r="D1784" s="153"/>
      <c r="E1784" s="153"/>
      <c r="F1784" s="170"/>
      <c r="G1784" s="171"/>
      <c r="H1784" s="247"/>
      <c r="I1784" s="247"/>
      <c r="J1784" s="247"/>
      <c r="K1784" s="247"/>
      <c r="L1784" s="247"/>
      <c r="M1784" s="247"/>
      <c r="N1784" s="247"/>
      <c r="O1784" s="247"/>
      <c r="P1784" s="247"/>
      <c r="Q1784" s="248"/>
      <c r="R1784" s="248"/>
      <c r="S1784" s="247"/>
      <c r="T1784" s="247"/>
      <c r="U1784" s="218"/>
      <c r="V1784" s="342"/>
      <c r="W1784" s="139"/>
      <c r="Y1784" s="1"/>
    </row>
    <row r="1785" spans="3:25" ht="12" customHeight="1">
      <c r="C1785" s="343" t="str">
        <f t="shared" ca="1" si="157"/>
        <v/>
      </c>
      <c r="D1785" s="124"/>
      <c r="E1785" s="124"/>
      <c r="F1785" s="172"/>
      <c r="G1785" s="173"/>
      <c r="H1785" s="249"/>
      <c r="I1785" s="249"/>
      <c r="J1785" s="249"/>
      <c r="K1785" s="249"/>
      <c r="L1785" s="249"/>
      <c r="M1785" s="249"/>
      <c r="N1785" s="250"/>
      <c r="O1785" s="250"/>
      <c r="P1785" s="250"/>
      <c r="Q1785" s="198"/>
      <c r="R1785" s="198"/>
      <c r="S1785" s="249"/>
      <c r="T1785" s="249"/>
      <c r="U1785" s="172"/>
      <c r="V1785" s="343"/>
      <c r="W1785" s="139"/>
      <c r="Y1785" s="1"/>
    </row>
    <row r="1786" spans="3:25" ht="12" customHeight="1">
      <c r="C1786" s="342" t="str">
        <f t="shared" ca="1" si="157"/>
        <v/>
      </c>
      <c r="D1786" s="153"/>
      <c r="E1786" s="153"/>
      <c r="F1786" s="170"/>
      <c r="G1786" s="171"/>
      <c r="H1786" s="247"/>
      <c r="I1786" s="247"/>
      <c r="J1786" s="247"/>
      <c r="K1786" s="247"/>
      <c r="L1786" s="247"/>
      <c r="M1786" s="247"/>
      <c r="N1786" s="247"/>
      <c r="O1786" s="247"/>
      <c r="P1786" s="247"/>
      <c r="Q1786" s="248"/>
      <c r="R1786" s="248"/>
      <c r="S1786" s="247"/>
      <c r="T1786" s="247"/>
      <c r="U1786" s="218"/>
      <c r="V1786" s="342"/>
      <c r="W1786" s="139"/>
      <c r="Y1786" s="1"/>
    </row>
    <row r="1787" spans="3:25" ht="12" customHeight="1">
      <c r="C1787" s="343" t="str">
        <f t="shared" ca="1" si="157"/>
        <v/>
      </c>
      <c r="D1787" s="124"/>
      <c r="E1787" s="124"/>
      <c r="F1787" s="172"/>
      <c r="G1787" s="173"/>
      <c r="H1787" s="249"/>
      <c r="I1787" s="249"/>
      <c r="J1787" s="249"/>
      <c r="K1787" s="249"/>
      <c r="L1787" s="249"/>
      <c r="M1787" s="249"/>
      <c r="N1787" s="250"/>
      <c r="O1787" s="250"/>
      <c r="P1787" s="250"/>
      <c r="Q1787" s="198"/>
      <c r="R1787" s="198"/>
      <c r="S1787" s="249"/>
      <c r="T1787" s="249"/>
      <c r="U1787" s="172"/>
      <c r="V1787" s="343"/>
      <c r="W1787" s="139"/>
      <c r="Y1787" s="1"/>
    </row>
    <row r="1788" spans="3:25" ht="12" customHeight="1">
      <c r="C1788" s="342" t="str">
        <f t="shared" ca="1" si="157"/>
        <v/>
      </c>
      <c r="D1788" s="153"/>
      <c r="E1788" s="153"/>
      <c r="F1788" s="170"/>
      <c r="G1788" s="171"/>
      <c r="H1788" s="247"/>
      <c r="I1788" s="247"/>
      <c r="J1788" s="247"/>
      <c r="K1788" s="247"/>
      <c r="L1788" s="247"/>
      <c r="M1788" s="247"/>
      <c r="N1788" s="247"/>
      <c r="O1788" s="247"/>
      <c r="P1788" s="247"/>
      <c r="Q1788" s="248"/>
      <c r="R1788" s="248"/>
      <c r="S1788" s="247"/>
      <c r="T1788" s="247"/>
      <c r="U1788" s="218"/>
      <c r="V1788" s="342"/>
      <c r="W1788" s="139"/>
      <c r="Y1788" s="1"/>
    </row>
    <row r="1789" spans="3:25" ht="12" customHeight="1">
      <c r="C1789" s="343" t="str">
        <f t="shared" ca="1" si="157"/>
        <v/>
      </c>
      <c r="D1789" s="124"/>
      <c r="E1789" s="124"/>
      <c r="F1789" s="172"/>
      <c r="G1789" s="173"/>
      <c r="H1789" s="249"/>
      <c r="I1789" s="249"/>
      <c r="J1789" s="249"/>
      <c r="K1789" s="249"/>
      <c r="L1789" s="249"/>
      <c r="M1789" s="249"/>
      <c r="N1789" s="250"/>
      <c r="O1789" s="250"/>
      <c r="P1789" s="250"/>
      <c r="Q1789" s="198"/>
      <c r="R1789" s="198"/>
      <c r="S1789" s="249"/>
      <c r="T1789" s="249"/>
      <c r="U1789" s="172"/>
      <c r="V1789" s="343"/>
      <c r="W1789" s="139"/>
      <c r="Y1789" s="1"/>
    </row>
    <row r="1790" spans="3:25" ht="12" customHeight="1">
      <c r="C1790" s="342" t="str">
        <f t="shared" ca="1" si="157"/>
        <v/>
      </c>
      <c r="D1790" s="153"/>
      <c r="E1790" s="153"/>
      <c r="F1790" s="170"/>
      <c r="G1790" s="171"/>
      <c r="H1790" s="247"/>
      <c r="I1790" s="247"/>
      <c r="J1790" s="247"/>
      <c r="K1790" s="247"/>
      <c r="L1790" s="247"/>
      <c r="M1790" s="247"/>
      <c r="N1790" s="247"/>
      <c r="O1790" s="247"/>
      <c r="P1790" s="247"/>
      <c r="Q1790" s="248"/>
      <c r="R1790" s="248"/>
      <c r="S1790" s="247"/>
      <c r="T1790" s="247"/>
      <c r="U1790" s="218"/>
      <c r="V1790" s="342"/>
      <c r="W1790" s="139"/>
      <c r="Y1790" s="1"/>
    </row>
    <row r="1791" spans="3:25" ht="12" customHeight="1">
      <c r="C1791" s="343" t="str">
        <f t="shared" ca="1" si="157"/>
        <v/>
      </c>
      <c r="D1791" s="124"/>
      <c r="E1791" s="124"/>
      <c r="F1791" s="172"/>
      <c r="G1791" s="173"/>
      <c r="H1791" s="249"/>
      <c r="I1791" s="249"/>
      <c r="J1791" s="249"/>
      <c r="K1791" s="249"/>
      <c r="L1791" s="249"/>
      <c r="M1791" s="249"/>
      <c r="N1791" s="250"/>
      <c r="O1791" s="250"/>
      <c r="P1791" s="250"/>
      <c r="Q1791" s="198"/>
      <c r="R1791" s="198"/>
      <c r="S1791" s="249"/>
      <c r="T1791" s="249"/>
      <c r="U1791" s="172"/>
      <c r="V1791" s="343"/>
      <c r="W1791" s="139"/>
      <c r="Y1791" s="1"/>
    </row>
    <row r="1792" spans="3:25" ht="12" customHeight="1">
      <c r="C1792" s="342" t="str">
        <f t="shared" ca="1" si="157"/>
        <v/>
      </c>
      <c r="D1792" s="153"/>
      <c r="E1792" s="153"/>
      <c r="F1792" s="170"/>
      <c r="G1792" s="171"/>
      <c r="H1792" s="247"/>
      <c r="I1792" s="247"/>
      <c r="J1792" s="247"/>
      <c r="K1792" s="247"/>
      <c r="L1792" s="247"/>
      <c r="M1792" s="247"/>
      <c r="N1792" s="247"/>
      <c r="O1792" s="247"/>
      <c r="P1792" s="247"/>
      <c r="Q1792" s="248"/>
      <c r="R1792" s="248"/>
      <c r="S1792" s="247"/>
      <c r="T1792" s="247"/>
      <c r="U1792" s="218"/>
      <c r="V1792" s="342"/>
      <c r="W1792" s="139"/>
      <c r="Y1792" s="1"/>
    </row>
    <row r="1793" spans="3:25" ht="12" customHeight="1">
      <c r="C1793" s="343" t="str">
        <f t="shared" ca="1" si="157"/>
        <v/>
      </c>
      <c r="D1793" s="124"/>
      <c r="E1793" s="124"/>
      <c r="F1793" s="172"/>
      <c r="G1793" s="173"/>
      <c r="H1793" s="249"/>
      <c r="I1793" s="249"/>
      <c r="J1793" s="249"/>
      <c r="K1793" s="249"/>
      <c r="L1793" s="249"/>
      <c r="M1793" s="249"/>
      <c r="N1793" s="250"/>
      <c r="O1793" s="250"/>
      <c r="P1793" s="250"/>
      <c r="Q1793" s="198"/>
      <c r="R1793" s="198"/>
      <c r="S1793" s="249"/>
      <c r="T1793" s="249"/>
      <c r="U1793" s="172"/>
      <c r="V1793" s="343"/>
      <c r="W1793" s="139"/>
      <c r="Y1793" s="1"/>
    </row>
    <row r="1794" spans="3:25" ht="12" customHeight="1">
      <c r="C1794" s="342" t="str">
        <f t="shared" ca="1" si="157"/>
        <v/>
      </c>
      <c r="D1794" s="153"/>
      <c r="E1794" s="153"/>
      <c r="F1794" s="170"/>
      <c r="G1794" s="171"/>
      <c r="H1794" s="247"/>
      <c r="I1794" s="247"/>
      <c r="J1794" s="247"/>
      <c r="K1794" s="247"/>
      <c r="L1794" s="247"/>
      <c r="M1794" s="247"/>
      <c r="N1794" s="247"/>
      <c r="O1794" s="247"/>
      <c r="P1794" s="247"/>
      <c r="Q1794" s="248"/>
      <c r="R1794" s="248"/>
      <c r="S1794" s="247"/>
      <c r="T1794" s="247"/>
      <c r="U1794" s="218"/>
      <c r="V1794" s="342"/>
      <c r="W1794" s="139"/>
      <c r="Y1794" s="1"/>
    </row>
    <row r="1795" spans="3:25" ht="12" customHeight="1">
      <c r="C1795" s="343" t="str">
        <f t="shared" ca="1" si="157"/>
        <v/>
      </c>
      <c r="D1795" s="124"/>
      <c r="E1795" s="124"/>
      <c r="F1795" s="172"/>
      <c r="G1795" s="173"/>
      <c r="H1795" s="249"/>
      <c r="I1795" s="249"/>
      <c r="J1795" s="249"/>
      <c r="K1795" s="249"/>
      <c r="L1795" s="249"/>
      <c r="M1795" s="249"/>
      <c r="N1795" s="250"/>
      <c r="O1795" s="250"/>
      <c r="P1795" s="250"/>
      <c r="Q1795" s="198"/>
      <c r="R1795" s="198"/>
      <c r="S1795" s="249"/>
      <c r="T1795" s="249"/>
      <c r="U1795" s="172"/>
      <c r="V1795" s="343"/>
      <c r="W1795" s="139"/>
      <c r="Y1795" s="1"/>
    </row>
    <row r="1796" spans="3:25" ht="12" customHeight="1">
      <c r="C1796" s="342" t="str">
        <f t="shared" ca="1" si="157"/>
        <v/>
      </c>
      <c r="D1796" s="153"/>
      <c r="E1796" s="153"/>
      <c r="F1796" s="170"/>
      <c r="G1796" s="171"/>
      <c r="H1796" s="247"/>
      <c r="I1796" s="247"/>
      <c r="J1796" s="247"/>
      <c r="K1796" s="247"/>
      <c r="L1796" s="247"/>
      <c r="M1796" s="247"/>
      <c r="N1796" s="247"/>
      <c r="O1796" s="247"/>
      <c r="P1796" s="247"/>
      <c r="Q1796" s="248"/>
      <c r="R1796" s="248"/>
      <c r="S1796" s="247"/>
      <c r="T1796" s="247"/>
      <c r="U1796" s="218"/>
      <c r="V1796" s="342"/>
      <c r="W1796" s="139"/>
      <c r="Y1796" s="1"/>
    </row>
    <row r="1797" spans="3:25" ht="12" customHeight="1">
      <c r="C1797" s="343" t="str">
        <f t="shared" ca="1" si="157"/>
        <v/>
      </c>
      <c r="D1797" s="124"/>
      <c r="E1797" s="124"/>
      <c r="F1797" s="172"/>
      <c r="G1797" s="173"/>
      <c r="H1797" s="249"/>
      <c r="I1797" s="249"/>
      <c r="J1797" s="249"/>
      <c r="K1797" s="249"/>
      <c r="L1797" s="249"/>
      <c r="M1797" s="249"/>
      <c r="N1797" s="250"/>
      <c r="O1797" s="250"/>
      <c r="P1797" s="250"/>
      <c r="Q1797" s="198"/>
      <c r="R1797" s="198"/>
      <c r="S1797" s="249"/>
      <c r="T1797" s="249"/>
      <c r="U1797" s="172"/>
      <c r="V1797" s="343"/>
      <c r="W1797" s="139"/>
      <c r="Y1797" s="1"/>
    </row>
    <row r="1798" spans="3:25" ht="12" customHeight="1">
      <c r="C1798" s="342" t="str">
        <f t="shared" ca="1" si="157"/>
        <v/>
      </c>
      <c r="D1798" s="153"/>
      <c r="E1798" s="153"/>
      <c r="F1798" s="170"/>
      <c r="G1798" s="171"/>
      <c r="H1798" s="247"/>
      <c r="I1798" s="247"/>
      <c r="J1798" s="247"/>
      <c r="K1798" s="247"/>
      <c r="L1798" s="247"/>
      <c r="M1798" s="247"/>
      <c r="N1798" s="247"/>
      <c r="O1798" s="247"/>
      <c r="P1798" s="247"/>
      <c r="Q1798" s="248"/>
      <c r="R1798" s="248"/>
      <c r="S1798" s="247"/>
      <c r="T1798" s="247"/>
      <c r="U1798" s="218"/>
      <c r="V1798" s="342"/>
      <c r="W1798" s="139"/>
      <c r="Y1798" s="1"/>
    </row>
    <row r="1799" spans="3:25" ht="12" customHeight="1">
      <c r="C1799" s="343" t="str">
        <f t="shared" ca="1" si="157"/>
        <v/>
      </c>
      <c r="D1799" s="124"/>
      <c r="E1799" s="124"/>
      <c r="F1799" s="172"/>
      <c r="G1799" s="173"/>
      <c r="H1799" s="249"/>
      <c r="I1799" s="249"/>
      <c r="J1799" s="249"/>
      <c r="K1799" s="249"/>
      <c r="L1799" s="249"/>
      <c r="M1799" s="249"/>
      <c r="N1799" s="250"/>
      <c r="O1799" s="250"/>
      <c r="P1799" s="250"/>
      <c r="Q1799" s="198"/>
      <c r="R1799" s="198"/>
      <c r="S1799" s="249"/>
      <c r="T1799" s="249"/>
      <c r="U1799" s="172"/>
      <c r="V1799" s="343"/>
      <c r="W1799" s="139"/>
      <c r="Y1799" s="1"/>
    </row>
    <row r="1800" spans="3:25" ht="12" customHeight="1">
      <c r="C1800" s="342" t="str">
        <f t="shared" ca="1" si="157"/>
        <v/>
      </c>
      <c r="D1800" s="153"/>
      <c r="E1800" s="153"/>
      <c r="F1800" s="170"/>
      <c r="G1800" s="171"/>
      <c r="H1800" s="247"/>
      <c r="I1800" s="247"/>
      <c r="J1800" s="247"/>
      <c r="K1800" s="247"/>
      <c r="L1800" s="247"/>
      <c r="M1800" s="247"/>
      <c r="N1800" s="247"/>
      <c r="O1800" s="247"/>
      <c r="P1800" s="247"/>
      <c r="Q1800" s="248"/>
      <c r="R1800" s="248"/>
      <c r="S1800" s="247"/>
      <c r="T1800" s="247"/>
      <c r="U1800" s="218"/>
      <c r="V1800" s="342"/>
      <c r="W1800" s="139"/>
      <c r="Y1800" s="1"/>
    </row>
    <row r="1801" spans="3:25" ht="12" customHeight="1">
      <c r="C1801" s="343" t="str">
        <f t="shared" ca="1" si="157"/>
        <v/>
      </c>
      <c r="D1801" s="124"/>
      <c r="E1801" s="124"/>
      <c r="F1801" s="172"/>
      <c r="G1801" s="173"/>
      <c r="H1801" s="249"/>
      <c r="I1801" s="249"/>
      <c r="J1801" s="249"/>
      <c r="K1801" s="249"/>
      <c r="L1801" s="249"/>
      <c r="M1801" s="249"/>
      <c r="N1801" s="250"/>
      <c r="O1801" s="250"/>
      <c r="P1801" s="250"/>
      <c r="Q1801" s="198"/>
      <c r="R1801" s="198"/>
      <c r="S1801" s="249"/>
      <c r="T1801" s="249"/>
      <c r="U1801" s="172"/>
      <c r="V1801" s="343"/>
      <c r="W1801" s="139"/>
      <c r="Y1801" s="1"/>
    </row>
    <row r="1802" spans="3:25" ht="12" customHeight="1">
      <c r="C1802" s="342" t="str">
        <f t="shared" ca="1" si="157"/>
        <v/>
      </c>
      <c r="D1802" s="153"/>
      <c r="E1802" s="153"/>
      <c r="F1802" s="170"/>
      <c r="G1802" s="171"/>
      <c r="H1802" s="247"/>
      <c r="I1802" s="247"/>
      <c r="J1802" s="247"/>
      <c r="K1802" s="247"/>
      <c r="L1802" s="247"/>
      <c r="M1802" s="247"/>
      <c r="N1802" s="247"/>
      <c r="O1802" s="247"/>
      <c r="P1802" s="247"/>
      <c r="Q1802" s="248"/>
      <c r="R1802" s="248"/>
      <c r="S1802" s="247"/>
      <c r="T1802" s="247"/>
      <c r="U1802" s="218"/>
      <c r="V1802" s="342"/>
      <c r="W1802" s="139"/>
      <c r="Y1802" s="1"/>
    </row>
    <row r="1803" spans="3:25" ht="12" customHeight="1">
      <c r="C1803" s="343" t="str">
        <f t="shared" ca="1" si="157"/>
        <v/>
      </c>
      <c r="D1803" s="124"/>
      <c r="E1803" s="124"/>
      <c r="F1803" s="172"/>
      <c r="G1803" s="173"/>
      <c r="H1803" s="249"/>
      <c r="I1803" s="249"/>
      <c r="J1803" s="249"/>
      <c r="K1803" s="249"/>
      <c r="L1803" s="249"/>
      <c r="M1803" s="249"/>
      <c r="N1803" s="250"/>
      <c r="O1803" s="250"/>
      <c r="P1803" s="250"/>
      <c r="Q1803" s="198"/>
      <c r="R1803" s="198"/>
      <c r="S1803" s="249"/>
      <c r="T1803" s="249"/>
      <c r="U1803" s="172"/>
      <c r="V1803" s="343"/>
      <c r="W1803" s="139"/>
      <c r="Y1803" s="1"/>
    </row>
    <row r="1804" spans="3:25" ht="12" customHeight="1">
      <c r="C1804" s="342" t="str">
        <f t="shared" ca="1" si="157"/>
        <v/>
      </c>
      <c r="D1804" s="153"/>
      <c r="E1804" s="153"/>
      <c r="F1804" s="170"/>
      <c r="G1804" s="171"/>
      <c r="H1804" s="247"/>
      <c r="I1804" s="247"/>
      <c r="J1804" s="247"/>
      <c r="K1804" s="247"/>
      <c r="L1804" s="247"/>
      <c r="M1804" s="247"/>
      <c r="N1804" s="247"/>
      <c r="O1804" s="247"/>
      <c r="P1804" s="247"/>
      <c r="Q1804" s="248"/>
      <c r="R1804" s="248"/>
      <c r="S1804" s="247"/>
      <c r="T1804" s="247"/>
      <c r="U1804" s="218"/>
      <c r="V1804" s="342"/>
      <c r="W1804" s="139"/>
      <c r="Y1804" s="1"/>
    </row>
    <row r="1805" spans="3:25" ht="12" customHeight="1">
      <c r="C1805" s="343" t="str">
        <f t="shared" ca="1" si="157"/>
        <v/>
      </c>
      <c r="D1805" s="124"/>
      <c r="E1805" s="124"/>
      <c r="F1805" s="172"/>
      <c r="G1805" s="173"/>
      <c r="H1805" s="249"/>
      <c r="I1805" s="249"/>
      <c r="J1805" s="249"/>
      <c r="K1805" s="249"/>
      <c r="L1805" s="249"/>
      <c r="M1805" s="249"/>
      <c r="N1805" s="250"/>
      <c r="O1805" s="250"/>
      <c r="P1805" s="250"/>
      <c r="Q1805" s="198"/>
      <c r="R1805" s="198"/>
      <c r="S1805" s="249"/>
      <c r="T1805" s="249"/>
      <c r="U1805" s="172"/>
      <c r="V1805" s="343"/>
      <c r="W1805" s="139"/>
      <c r="Y1805" s="1"/>
    </row>
    <row r="1806" spans="3:25" ht="12" customHeight="1">
      <c r="C1806" s="342" t="str">
        <f t="shared" ref="C1806:C1869" ca="1" si="158">IF(ROW()-13&lt;=MAX(series),ROW()-13,"")</f>
        <v/>
      </c>
      <c r="D1806" s="153"/>
      <c r="E1806" s="153"/>
      <c r="F1806" s="170"/>
      <c r="G1806" s="171"/>
      <c r="H1806" s="247"/>
      <c r="I1806" s="247"/>
      <c r="J1806" s="247"/>
      <c r="K1806" s="247"/>
      <c r="L1806" s="247"/>
      <c r="M1806" s="247"/>
      <c r="N1806" s="247"/>
      <c r="O1806" s="247"/>
      <c r="P1806" s="247"/>
      <c r="Q1806" s="248"/>
      <c r="R1806" s="248"/>
      <c r="S1806" s="247"/>
      <c r="T1806" s="247"/>
      <c r="U1806" s="218"/>
      <c r="V1806" s="342"/>
      <c r="W1806" s="139"/>
      <c r="Y1806" s="1"/>
    </row>
    <row r="1807" spans="3:25" ht="12" customHeight="1">
      <c r="C1807" s="343" t="str">
        <f t="shared" ca="1" si="158"/>
        <v/>
      </c>
      <c r="D1807" s="124"/>
      <c r="E1807" s="124"/>
      <c r="F1807" s="172"/>
      <c r="G1807" s="173"/>
      <c r="H1807" s="249"/>
      <c r="I1807" s="249"/>
      <c r="J1807" s="249"/>
      <c r="K1807" s="249"/>
      <c r="L1807" s="249"/>
      <c r="M1807" s="249"/>
      <c r="N1807" s="250"/>
      <c r="O1807" s="250"/>
      <c r="P1807" s="250"/>
      <c r="Q1807" s="198"/>
      <c r="R1807" s="198"/>
      <c r="S1807" s="249"/>
      <c r="T1807" s="249"/>
      <c r="U1807" s="172"/>
      <c r="V1807" s="343"/>
      <c r="W1807" s="139"/>
      <c r="Y1807" s="1"/>
    </row>
    <row r="1808" spans="3:25" ht="12" customHeight="1">
      <c r="C1808" s="342" t="str">
        <f t="shared" ca="1" si="158"/>
        <v/>
      </c>
      <c r="D1808" s="153"/>
      <c r="E1808" s="153"/>
      <c r="F1808" s="170"/>
      <c r="G1808" s="171"/>
      <c r="H1808" s="247"/>
      <c r="I1808" s="247"/>
      <c r="J1808" s="247"/>
      <c r="K1808" s="247"/>
      <c r="L1808" s="247"/>
      <c r="M1808" s="247"/>
      <c r="N1808" s="247"/>
      <c r="O1808" s="247"/>
      <c r="P1808" s="247"/>
      <c r="Q1808" s="248"/>
      <c r="R1808" s="248"/>
      <c r="S1808" s="247"/>
      <c r="T1808" s="247"/>
      <c r="U1808" s="218"/>
      <c r="V1808" s="342"/>
      <c r="W1808" s="139"/>
      <c r="Y1808" s="1"/>
    </row>
    <row r="1809" spans="3:25" ht="12" customHeight="1">
      <c r="C1809" s="343" t="str">
        <f t="shared" ca="1" si="158"/>
        <v/>
      </c>
      <c r="D1809" s="124"/>
      <c r="E1809" s="124"/>
      <c r="F1809" s="172"/>
      <c r="G1809" s="173"/>
      <c r="H1809" s="249"/>
      <c r="I1809" s="249"/>
      <c r="J1809" s="249"/>
      <c r="K1809" s="249"/>
      <c r="L1809" s="249"/>
      <c r="M1809" s="249"/>
      <c r="N1809" s="250"/>
      <c r="O1809" s="250"/>
      <c r="P1809" s="250"/>
      <c r="Q1809" s="198"/>
      <c r="R1809" s="198"/>
      <c r="S1809" s="249"/>
      <c r="T1809" s="249"/>
      <c r="U1809" s="172"/>
      <c r="V1809" s="343"/>
      <c r="W1809" s="139"/>
      <c r="Y1809" s="1"/>
    </row>
    <row r="1810" spans="3:25" ht="12" customHeight="1">
      <c r="C1810" s="342" t="str">
        <f t="shared" ca="1" si="158"/>
        <v/>
      </c>
      <c r="D1810" s="153"/>
      <c r="E1810" s="153"/>
      <c r="F1810" s="170"/>
      <c r="G1810" s="171"/>
      <c r="H1810" s="247"/>
      <c r="I1810" s="247"/>
      <c r="J1810" s="247"/>
      <c r="K1810" s="247"/>
      <c r="L1810" s="247"/>
      <c r="M1810" s="247"/>
      <c r="N1810" s="247"/>
      <c r="O1810" s="247"/>
      <c r="P1810" s="247"/>
      <c r="Q1810" s="248"/>
      <c r="R1810" s="248"/>
      <c r="S1810" s="247"/>
      <c r="T1810" s="247"/>
      <c r="U1810" s="218"/>
      <c r="V1810" s="342"/>
      <c r="W1810" s="139"/>
      <c r="Y1810" s="1"/>
    </row>
    <row r="1811" spans="3:25" ht="12" customHeight="1">
      <c r="C1811" s="343" t="str">
        <f t="shared" ca="1" si="158"/>
        <v/>
      </c>
      <c r="D1811" s="124"/>
      <c r="E1811" s="124"/>
      <c r="F1811" s="172"/>
      <c r="G1811" s="173"/>
      <c r="H1811" s="249"/>
      <c r="I1811" s="249"/>
      <c r="J1811" s="249"/>
      <c r="K1811" s="249"/>
      <c r="L1811" s="249"/>
      <c r="M1811" s="249"/>
      <c r="N1811" s="250"/>
      <c r="O1811" s="250"/>
      <c r="P1811" s="250"/>
      <c r="Q1811" s="198"/>
      <c r="R1811" s="198"/>
      <c r="S1811" s="249"/>
      <c r="T1811" s="249"/>
      <c r="U1811" s="172"/>
      <c r="V1811" s="343"/>
      <c r="W1811" s="139"/>
      <c r="Y1811" s="1"/>
    </row>
    <row r="1812" spans="3:25" ht="12" customHeight="1">
      <c r="C1812" s="342" t="str">
        <f t="shared" ca="1" si="158"/>
        <v/>
      </c>
      <c r="D1812" s="153"/>
      <c r="E1812" s="153"/>
      <c r="F1812" s="170"/>
      <c r="G1812" s="171"/>
      <c r="H1812" s="247"/>
      <c r="I1812" s="247"/>
      <c r="J1812" s="247"/>
      <c r="K1812" s="247"/>
      <c r="L1812" s="247"/>
      <c r="M1812" s="247"/>
      <c r="N1812" s="247"/>
      <c r="O1812" s="247"/>
      <c r="P1812" s="247"/>
      <c r="Q1812" s="248"/>
      <c r="R1812" s="248"/>
      <c r="S1812" s="247"/>
      <c r="T1812" s="247"/>
      <c r="U1812" s="218"/>
      <c r="V1812" s="342"/>
      <c r="W1812" s="139"/>
      <c r="Y1812" s="1"/>
    </row>
    <row r="1813" spans="3:25" ht="12" customHeight="1">
      <c r="C1813" s="343" t="str">
        <f t="shared" ca="1" si="158"/>
        <v/>
      </c>
      <c r="D1813" s="124"/>
      <c r="E1813" s="124"/>
      <c r="F1813" s="172"/>
      <c r="G1813" s="173"/>
      <c r="H1813" s="249"/>
      <c r="I1813" s="249"/>
      <c r="J1813" s="249"/>
      <c r="K1813" s="249"/>
      <c r="L1813" s="249"/>
      <c r="M1813" s="249"/>
      <c r="N1813" s="250"/>
      <c r="O1813" s="250"/>
      <c r="P1813" s="250"/>
      <c r="Q1813" s="198"/>
      <c r="R1813" s="198"/>
      <c r="S1813" s="249"/>
      <c r="T1813" s="249"/>
      <c r="U1813" s="172"/>
      <c r="V1813" s="343"/>
      <c r="W1813" s="139"/>
      <c r="Y1813" s="1"/>
    </row>
    <row r="1814" spans="3:25" ht="12" customHeight="1">
      <c r="C1814" s="342" t="str">
        <f t="shared" ca="1" si="158"/>
        <v/>
      </c>
      <c r="D1814" s="153"/>
      <c r="E1814" s="153"/>
      <c r="F1814" s="170"/>
      <c r="G1814" s="171"/>
      <c r="H1814" s="247"/>
      <c r="I1814" s="247"/>
      <c r="J1814" s="247"/>
      <c r="K1814" s="247"/>
      <c r="L1814" s="247"/>
      <c r="M1814" s="247"/>
      <c r="N1814" s="247"/>
      <c r="O1814" s="247"/>
      <c r="P1814" s="247"/>
      <c r="Q1814" s="248"/>
      <c r="R1814" s="248"/>
      <c r="S1814" s="247"/>
      <c r="T1814" s="247"/>
      <c r="U1814" s="218"/>
      <c r="V1814" s="342"/>
      <c r="W1814" s="139"/>
      <c r="Y1814" s="1"/>
    </row>
    <row r="1815" spans="3:25" ht="12" customHeight="1">
      <c r="C1815" s="343" t="str">
        <f t="shared" ca="1" si="158"/>
        <v/>
      </c>
      <c r="D1815" s="124"/>
      <c r="E1815" s="124"/>
      <c r="F1815" s="172"/>
      <c r="G1815" s="173"/>
      <c r="H1815" s="249"/>
      <c r="I1815" s="249"/>
      <c r="J1815" s="249"/>
      <c r="K1815" s="249"/>
      <c r="L1815" s="249"/>
      <c r="M1815" s="249"/>
      <c r="N1815" s="250"/>
      <c r="O1815" s="250"/>
      <c r="P1815" s="250"/>
      <c r="Q1815" s="198"/>
      <c r="R1815" s="198"/>
      <c r="S1815" s="249"/>
      <c r="T1815" s="249"/>
      <c r="U1815" s="172"/>
      <c r="V1815" s="343"/>
      <c r="W1815" s="139"/>
      <c r="Y1815" s="1"/>
    </row>
    <row r="1816" spans="3:25" ht="12" customHeight="1">
      <c r="C1816" s="342" t="str">
        <f t="shared" ca="1" si="158"/>
        <v/>
      </c>
      <c r="D1816" s="153"/>
      <c r="E1816" s="153"/>
      <c r="F1816" s="170"/>
      <c r="G1816" s="171"/>
      <c r="H1816" s="247"/>
      <c r="I1816" s="247"/>
      <c r="J1816" s="247"/>
      <c r="K1816" s="247"/>
      <c r="L1816" s="247"/>
      <c r="M1816" s="247"/>
      <c r="N1816" s="247"/>
      <c r="O1816" s="247"/>
      <c r="P1816" s="247"/>
      <c r="Q1816" s="248"/>
      <c r="R1816" s="248"/>
      <c r="S1816" s="247"/>
      <c r="T1816" s="247"/>
      <c r="U1816" s="218"/>
      <c r="V1816" s="342"/>
      <c r="W1816" s="139"/>
      <c r="Y1816" s="1"/>
    </row>
    <row r="1817" spans="3:25" ht="12" customHeight="1">
      <c r="C1817" s="343" t="str">
        <f t="shared" ca="1" si="158"/>
        <v/>
      </c>
      <c r="D1817" s="124"/>
      <c r="E1817" s="124"/>
      <c r="F1817" s="172"/>
      <c r="G1817" s="173"/>
      <c r="H1817" s="249"/>
      <c r="I1817" s="249"/>
      <c r="J1817" s="249"/>
      <c r="K1817" s="249"/>
      <c r="L1817" s="249"/>
      <c r="M1817" s="249"/>
      <c r="N1817" s="250"/>
      <c r="O1817" s="250"/>
      <c r="P1817" s="250"/>
      <c r="Q1817" s="198"/>
      <c r="R1817" s="198"/>
      <c r="S1817" s="249"/>
      <c r="T1817" s="249"/>
      <c r="U1817" s="172"/>
      <c r="V1817" s="343"/>
      <c r="W1817" s="139"/>
      <c r="Y1817" s="1"/>
    </row>
    <row r="1818" spans="3:25" ht="12" customHeight="1">
      <c r="C1818" s="342" t="str">
        <f t="shared" ca="1" si="158"/>
        <v/>
      </c>
      <c r="D1818" s="153"/>
      <c r="E1818" s="153"/>
      <c r="F1818" s="170"/>
      <c r="G1818" s="171"/>
      <c r="H1818" s="247"/>
      <c r="I1818" s="247"/>
      <c r="J1818" s="247"/>
      <c r="K1818" s="247"/>
      <c r="L1818" s="247"/>
      <c r="M1818" s="247"/>
      <c r="N1818" s="247"/>
      <c r="O1818" s="247"/>
      <c r="P1818" s="247"/>
      <c r="Q1818" s="248"/>
      <c r="R1818" s="248"/>
      <c r="S1818" s="247"/>
      <c r="T1818" s="247"/>
      <c r="U1818" s="218"/>
      <c r="V1818" s="342"/>
      <c r="W1818" s="139"/>
      <c r="Y1818" s="1"/>
    </row>
    <row r="1819" spans="3:25" ht="12" customHeight="1">
      <c r="C1819" s="343" t="str">
        <f t="shared" ca="1" si="158"/>
        <v/>
      </c>
      <c r="D1819" s="124"/>
      <c r="E1819" s="124"/>
      <c r="F1819" s="172"/>
      <c r="G1819" s="173"/>
      <c r="H1819" s="249"/>
      <c r="I1819" s="249"/>
      <c r="J1819" s="249"/>
      <c r="K1819" s="249"/>
      <c r="L1819" s="249"/>
      <c r="M1819" s="249"/>
      <c r="N1819" s="250"/>
      <c r="O1819" s="250"/>
      <c r="P1819" s="250"/>
      <c r="Q1819" s="198"/>
      <c r="R1819" s="198"/>
      <c r="S1819" s="249"/>
      <c r="T1819" s="249"/>
      <c r="U1819" s="172"/>
      <c r="V1819" s="343"/>
      <c r="W1819" s="139"/>
      <c r="Y1819" s="1"/>
    </row>
    <row r="1820" spans="3:25" ht="12" customHeight="1">
      <c r="C1820" s="342" t="str">
        <f t="shared" ca="1" si="158"/>
        <v/>
      </c>
      <c r="D1820" s="153"/>
      <c r="E1820" s="153"/>
      <c r="F1820" s="170"/>
      <c r="G1820" s="171"/>
      <c r="H1820" s="247"/>
      <c r="I1820" s="247"/>
      <c r="J1820" s="247"/>
      <c r="K1820" s="247"/>
      <c r="L1820" s="247"/>
      <c r="M1820" s="247"/>
      <c r="N1820" s="247"/>
      <c r="O1820" s="247"/>
      <c r="P1820" s="247"/>
      <c r="Q1820" s="248"/>
      <c r="R1820" s="248"/>
      <c r="S1820" s="247"/>
      <c r="T1820" s="247"/>
      <c r="U1820" s="218"/>
      <c r="V1820" s="342"/>
      <c r="W1820" s="139"/>
      <c r="Y1820" s="1"/>
    </row>
    <row r="1821" spans="3:25" ht="12" customHeight="1">
      <c r="C1821" s="343" t="str">
        <f t="shared" ca="1" si="158"/>
        <v/>
      </c>
      <c r="D1821" s="124"/>
      <c r="E1821" s="124"/>
      <c r="F1821" s="172"/>
      <c r="G1821" s="173"/>
      <c r="H1821" s="249"/>
      <c r="I1821" s="249"/>
      <c r="J1821" s="249"/>
      <c r="K1821" s="249"/>
      <c r="L1821" s="249"/>
      <c r="M1821" s="249"/>
      <c r="N1821" s="250"/>
      <c r="O1821" s="250"/>
      <c r="P1821" s="250"/>
      <c r="Q1821" s="198"/>
      <c r="R1821" s="198"/>
      <c r="S1821" s="249"/>
      <c r="T1821" s="249"/>
      <c r="U1821" s="172"/>
      <c r="V1821" s="343"/>
      <c r="W1821" s="139"/>
      <c r="Y1821" s="1"/>
    </row>
    <row r="1822" spans="3:25" ht="12" customHeight="1">
      <c r="C1822" s="342" t="str">
        <f t="shared" ca="1" si="158"/>
        <v/>
      </c>
      <c r="D1822" s="153"/>
      <c r="E1822" s="153"/>
      <c r="F1822" s="170"/>
      <c r="G1822" s="171"/>
      <c r="H1822" s="247"/>
      <c r="I1822" s="247"/>
      <c r="J1822" s="247"/>
      <c r="K1822" s="247"/>
      <c r="L1822" s="247"/>
      <c r="M1822" s="247"/>
      <c r="N1822" s="247"/>
      <c r="O1822" s="247"/>
      <c r="P1822" s="247"/>
      <c r="Q1822" s="248"/>
      <c r="R1822" s="248"/>
      <c r="S1822" s="247"/>
      <c r="T1822" s="247"/>
      <c r="U1822" s="218"/>
      <c r="V1822" s="342"/>
      <c r="W1822" s="139"/>
      <c r="Y1822" s="1"/>
    </row>
    <row r="1823" spans="3:25" ht="12" customHeight="1">
      <c r="C1823" s="343" t="str">
        <f t="shared" ca="1" si="158"/>
        <v/>
      </c>
      <c r="D1823" s="124"/>
      <c r="E1823" s="124"/>
      <c r="F1823" s="172"/>
      <c r="G1823" s="173"/>
      <c r="H1823" s="249"/>
      <c r="I1823" s="249"/>
      <c r="J1823" s="249"/>
      <c r="K1823" s="249"/>
      <c r="L1823" s="249"/>
      <c r="M1823" s="249"/>
      <c r="N1823" s="250"/>
      <c r="O1823" s="250"/>
      <c r="P1823" s="250"/>
      <c r="Q1823" s="198"/>
      <c r="R1823" s="198"/>
      <c r="S1823" s="249"/>
      <c r="T1823" s="249"/>
      <c r="U1823" s="172"/>
      <c r="V1823" s="343"/>
      <c r="W1823" s="139"/>
      <c r="Y1823" s="1"/>
    </row>
    <row r="1824" spans="3:25" ht="12" customHeight="1">
      <c r="C1824" s="342" t="str">
        <f t="shared" ca="1" si="158"/>
        <v/>
      </c>
      <c r="D1824" s="153"/>
      <c r="E1824" s="153"/>
      <c r="F1824" s="170"/>
      <c r="G1824" s="171"/>
      <c r="H1824" s="247"/>
      <c r="I1824" s="247"/>
      <c r="J1824" s="247"/>
      <c r="K1824" s="247"/>
      <c r="L1824" s="247"/>
      <c r="M1824" s="247"/>
      <c r="N1824" s="247"/>
      <c r="O1824" s="247"/>
      <c r="P1824" s="247"/>
      <c r="Q1824" s="248"/>
      <c r="R1824" s="248"/>
      <c r="S1824" s="247"/>
      <c r="T1824" s="247"/>
      <c r="U1824" s="218"/>
      <c r="V1824" s="342"/>
      <c r="W1824" s="139"/>
      <c r="Y1824" s="1"/>
    </row>
    <row r="1825" spans="3:25" ht="12" customHeight="1">
      <c r="C1825" s="343" t="str">
        <f t="shared" ca="1" si="158"/>
        <v/>
      </c>
      <c r="D1825" s="124"/>
      <c r="E1825" s="124"/>
      <c r="F1825" s="172"/>
      <c r="G1825" s="173"/>
      <c r="H1825" s="249"/>
      <c r="I1825" s="249"/>
      <c r="J1825" s="249"/>
      <c r="K1825" s="249"/>
      <c r="L1825" s="249"/>
      <c r="M1825" s="249"/>
      <c r="N1825" s="250"/>
      <c r="O1825" s="250"/>
      <c r="P1825" s="250"/>
      <c r="Q1825" s="198"/>
      <c r="R1825" s="198"/>
      <c r="S1825" s="249"/>
      <c r="T1825" s="249"/>
      <c r="U1825" s="172"/>
      <c r="V1825" s="343"/>
      <c r="W1825" s="139"/>
      <c r="Y1825" s="1"/>
    </row>
    <row r="1826" spans="3:25" ht="12" customHeight="1">
      <c r="C1826" s="342" t="str">
        <f t="shared" ca="1" si="158"/>
        <v/>
      </c>
      <c r="D1826" s="153"/>
      <c r="E1826" s="153"/>
      <c r="F1826" s="170"/>
      <c r="G1826" s="171"/>
      <c r="H1826" s="247"/>
      <c r="I1826" s="247"/>
      <c r="J1826" s="247"/>
      <c r="K1826" s="247"/>
      <c r="L1826" s="247"/>
      <c r="M1826" s="247"/>
      <c r="N1826" s="247"/>
      <c r="O1826" s="247"/>
      <c r="P1826" s="247"/>
      <c r="Q1826" s="248"/>
      <c r="R1826" s="248"/>
      <c r="S1826" s="247"/>
      <c r="T1826" s="247"/>
      <c r="U1826" s="218"/>
      <c r="V1826" s="342"/>
      <c r="W1826" s="139"/>
      <c r="Y1826" s="1"/>
    </row>
    <row r="1827" spans="3:25" ht="12" customHeight="1">
      <c r="C1827" s="343" t="str">
        <f t="shared" ca="1" si="158"/>
        <v/>
      </c>
      <c r="D1827" s="124"/>
      <c r="E1827" s="124"/>
      <c r="F1827" s="172"/>
      <c r="G1827" s="173"/>
      <c r="H1827" s="249"/>
      <c r="I1827" s="249"/>
      <c r="J1827" s="249"/>
      <c r="K1827" s="249"/>
      <c r="L1827" s="249"/>
      <c r="M1827" s="249"/>
      <c r="N1827" s="250"/>
      <c r="O1827" s="250"/>
      <c r="P1827" s="250"/>
      <c r="Q1827" s="198"/>
      <c r="R1827" s="198"/>
      <c r="S1827" s="249"/>
      <c r="T1827" s="249"/>
      <c r="U1827" s="172"/>
      <c r="V1827" s="343"/>
      <c r="W1827" s="139"/>
      <c r="Y1827" s="1"/>
    </row>
    <row r="1828" spans="3:25" ht="12" customHeight="1">
      <c r="C1828" s="342" t="str">
        <f t="shared" ca="1" si="158"/>
        <v/>
      </c>
      <c r="D1828" s="153"/>
      <c r="E1828" s="153"/>
      <c r="F1828" s="170"/>
      <c r="G1828" s="171"/>
      <c r="H1828" s="247"/>
      <c r="I1828" s="247"/>
      <c r="J1828" s="247"/>
      <c r="K1828" s="247"/>
      <c r="L1828" s="247"/>
      <c r="M1828" s="247"/>
      <c r="N1828" s="247"/>
      <c r="O1828" s="247"/>
      <c r="P1828" s="247"/>
      <c r="Q1828" s="248"/>
      <c r="R1828" s="248"/>
      <c r="S1828" s="247"/>
      <c r="T1828" s="247"/>
      <c r="U1828" s="218"/>
      <c r="V1828" s="342"/>
      <c r="W1828" s="139"/>
      <c r="Y1828" s="1"/>
    </row>
    <row r="1829" spans="3:25" ht="12" customHeight="1">
      <c r="C1829" s="343" t="str">
        <f t="shared" ca="1" si="158"/>
        <v/>
      </c>
      <c r="D1829" s="124"/>
      <c r="E1829" s="124"/>
      <c r="F1829" s="172"/>
      <c r="G1829" s="173"/>
      <c r="H1829" s="249"/>
      <c r="I1829" s="249"/>
      <c r="J1829" s="249"/>
      <c r="K1829" s="249"/>
      <c r="L1829" s="249"/>
      <c r="M1829" s="249"/>
      <c r="N1829" s="250"/>
      <c r="O1829" s="250"/>
      <c r="P1829" s="250"/>
      <c r="Q1829" s="198"/>
      <c r="R1829" s="198"/>
      <c r="S1829" s="249"/>
      <c r="T1829" s="249"/>
      <c r="U1829" s="172"/>
      <c r="V1829" s="343"/>
      <c r="W1829" s="139"/>
      <c r="Y1829" s="1"/>
    </row>
    <row r="1830" spans="3:25" ht="12" customHeight="1">
      <c r="C1830" s="342" t="str">
        <f t="shared" ca="1" si="158"/>
        <v/>
      </c>
      <c r="D1830" s="153"/>
      <c r="E1830" s="153"/>
      <c r="F1830" s="170"/>
      <c r="G1830" s="171"/>
      <c r="H1830" s="247"/>
      <c r="I1830" s="247"/>
      <c r="J1830" s="247"/>
      <c r="K1830" s="247"/>
      <c r="L1830" s="247"/>
      <c r="M1830" s="247"/>
      <c r="N1830" s="247"/>
      <c r="O1830" s="247"/>
      <c r="P1830" s="247"/>
      <c r="Q1830" s="248"/>
      <c r="R1830" s="248"/>
      <c r="S1830" s="247"/>
      <c r="T1830" s="247"/>
      <c r="U1830" s="218"/>
      <c r="V1830" s="342"/>
      <c r="W1830" s="139"/>
      <c r="Y1830" s="1"/>
    </row>
    <row r="1831" spans="3:25" ht="12" customHeight="1">
      <c r="C1831" s="343" t="str">
        <f t="shared" ca="1" si="158"/>
        <v/>
      </c>
      <c r="D1831" s="124"/>
      <c r="E1831" s="124"/>
      <c r="F1831" s="172"/>
      <c r="G1831" s="173"/>
      <c r="H1831" s="249"/>
      <c r="I1831" s="249"/>
      <c r="J1831" s="249"/>
      <c r="K1831" s="249"/>
      <c r="L1831" s="249"/>
      <c r="M1831" s="249"/>
      <c r="N1831" s="250"/>
      <c r="O1831" s="250"/>
      <c r="P1831" s="250"/>
      <c r="Q1831" s="198"/>
      <c r="R1831" s="198"/>
      <c r="S1831" s="249"/>
      <c r="T1831" s="249"/>
      <c r="U1831" s="172"/>
      <c r="V1831" s="343"/>
      <c r="W1831" s="139"/>
      <c r="Y1831" s="1"/>
    </row>
    <row r="1832" spans="3:25" ht="12" customHeight="1">
      <c r="C1832" s="342" t="str">
        <f t="shared" ca="1" si="158"/>
        <v/>
      </c>
      <c r="D1832" s="153"/>
      <c r="E1832" s="153"/>
      <c r="F1832" s="170"/>
      <c r="G1832" s="171"/>
      <c r="H1832" s="247"/>
      <c r="I1832" s="247"/>
      <c r="J1832" s="247"/>
      <c r="K1832" s="247"/>
      <c r="L1832" s="247"/>
      <c r="M1832" s="247"/>
      <c r="N1832" s="247"/>
      <c r="O1832" s="247"/>
      <c r="P1832" s="247"/>
      <c r="Q1832" s="248"/>
      <c r="R1832" s="248"/>
      <c r="S1832" s="247"/>
      <c r="T1832" s="247"/>
      <c r="U1832" s="218"/>
      <c r="V1832" s="342"/>
      <c r="W1832" s="139"/>
      <c r="Y1832" s="1"/>
    </row>
    <row r="1833" spans="3:25" ht="12" customHeight="1">
      <c r="C1833" s="343" t="str">
        <f t="shared" ca="1" si="158"/>
        <v/>
      </c>
      <c r="D1833" s="124"/>
      <c r="E1833" s="124"/>
      <c r="F1833" s="172"/>
      <c r="G1833" s="173"/>
      <c r="H1833" s="249"/>
      <c r="I1833" s="249"/>
      <c r="J1833" s="249"/>
      <c r="K1833" s="249"/>
      <c r="L1833" s="249"/>
      <c r="M1833" s="249"/>
      <c r="N1833" s="250"/>
      <c r="O1833" s="250"/>
      <c r="P1833" s="250"/>
      <c r="Q1833" s="198"/>
      <c r="R1833" s="198"/>
      <c r="S1833" s="249"/>
      <c r="T1833" s="249"/>
      <c r="U1833" s="172"/>
      <c r="V1833" s="343"/>
      <c r="W1833" s="139"/>
      <c r="Y1833" s="1"/>
    </row>
    <row r="1834" spans="3:25" ht="12" customHeight="1">
      <c r="C1834" s="342" t="str">
        <f t="shared" ca="1" si="158"/>
        <v/>
      </c>
      <c r="D1834" s="153"/>
      <c r="E1834" s="153"/>
      <c r="F1834" s="170"/>
      <c r="G1834" s="171"/>
      <c r="H1834" s="247"/>
      <c r="I1834" s="247"/>
      <c r="J1834" s="247"/>
      <c r="K1834" s="247"/>
      <c r="L1834" s="247"/>
      <c r="M1834" s="247"/>
      <c r="N1834" s="247"/>
      <c r="O1834" s="247"/>
      <c r="P1834" s="247"/>
      <c r="Q1834" s="248"/>
      <c r="R1834" s="248"/>
      <c r="S1834" s="247"/>
      <c r="T1834" s="247"/>
      <c r="U1834" s="218"/>
      <c r="V1834" s="342"/>
      <c r="W1834" s="139"/>
      <c r="Y1834" s="1"/>
    </row>
    <row r="1835" spans="3:25" ht="12" customHeight="1">
      <c r="C1835" s="343" t="str">
        <f t="shared" ca="1" si="158"/>
        <v/>
      </c>
      <c r="D1835" s="124"/>
      <c r="E1835" s="124"/>
      <c r="F1835" s="172"/>
      <c r="G1835" s="173"/>
      <c r="H1835" s="249"/>
      <c r="I1835" s="249"/>
      <c r="J1835" s="249"/>
      <c r="K1835" s="249"/>
      <c r="L1835" s="249"/>
      <c r="M1835" s="249"/>
      <c r="N1835" s="250"/>
      <c r="O1835" s="250"/>
      <c r="P1835" s="250"/>
      <c r="Q1835" s="198"/>
      <c r="R1835" s="198"/>
      <c r="S1835" s="249"/>
      <c r="T1835" s="249"/>
      <c r="U1835" s="172"/>
      <c r="V1835" s="343"/>
      <c r="W1835" s="139"/>
      <c r="Y1835" s="1"/>
    </row>
    <row r="1836" spans="3:25" ht="12" customHeight="1">
      <c r="C1836" s="342" t="str">
        <f t="shared" ca="1" si="158"/>
        <v/>
      </c>
      <c r="D1836" s="153"/>
      <c r="E1836" s="153"/>
      <c r="F1836" s="170"/>
      <c r="G1836" s="171"/>
      <c r="H1836" s="247"/>
      <c r="I1836" s="247"/>
      <c r="J1836" s="247"/>
      <c r="K1836" s="247"/>
      <c r="L1836" s="247"/>
      <c r="M1836" s="247"/>
      <c r="N1836" s="247"/>
      <c r="O1836" s="247"/>
      <c r="P1836" s="247"/>
      <c r="Q1836" s="248"/>
      <c r="R1836" s="248"/>
      <c r="S1836" s="247"/>
      <c r="T1836" s="247"/>
      <c r="U1836" s="218"/>
      <c r="V1836" s="342"/>
      <c r="W1836" s="139"/>
      <c r="Y1836" s="1"/>
    </row>
    <row r="1837" spans="3:25" ht="12" customHeight="1">
      <c r="C1837" s="343" t="str">
        <f t="shared" ca="1" si="158"/>
        <v/>
      </c>
      <c r="D1837" s="124"/>
      <c r="E1837" s="124"/>
      <c r="F1837" s="172"/>
      <c r="G1837" s="173"/>
      <c r="H1837" s="249"/>
      <c r="I1837" s="249"/>
      <c r="J1837" s="249"/>
      <c r="K1837" s="249"/>
      <c r="L1837" s="249"/>
      <c r="M1837" s="249"/>
      <c r="N1837" s="250"/>
      <c r="O1837" s="250"/>
      <c r="P1837" s="250"/>
      <c r="Q1837" s="198"/>
      <c r="R1837" s="198"/>
      <c r="S1837" s="249"/>
      <c r="T1837" s="249"/>
      <c r="U1837" s="172"/>
      <c r="V1837" s="343"/>
      <c r="W1837" s="139"/>
      <c r="Y1837" s="1"/>
    </row>
    <row r="1838" spans="3:25" ht="12" customHeight="1">
      <c r="C1838" s="342" t="str">
        <f t="shared" ca="1" si="158"/>
        <v/>
      </c>
      <c r="D1838" s="153"/>
      <c r="E1838" s="153"/>
      <c r="F1838" s="170"/>
      <c r="G1838" s="171"/>
      <c r="H1838" s="247"/>
      <c r="I1838" s="247"/>
      <c r="J1838" s="247"/>
      <c r="K1838" s="247"/>
      <c r="L1838" s="247"/>
      <c r="M1838" s="247"/>
      <c r="N1838" s="247"/>
      <c r="O1838" s="247"/>
      <c r="P1838" s="247"/>
      <c r="Q1838" s="248"/>
      <c r="R1838" s="248"/>
      <c r="S1838" s="247"/>
      <c r="T1838" s="247"/>
      <c r="U1838" s="218"/>
      <c r="V1838" s="342"/>
      <c r="W1838" s="139"/>
      <c r="Y1838" s="1"/>
    </row>
    <row r="1839" spans="3:25" ht="12" customHeight="1">
      <c r="C1839" s="343" t="str">
        <f t="shared" ca="1" si="158"/>
        <v/>
      </c>
      <c r="D1839" s="124"/>
      <c r="E1839" s="124"/>
      <c r="F1839" s="172"/>
      <c r="G1839" s="173"/>
      <c r="H1839" s="249"/>
      <c r="I1839" s="249"/>
      <c r="J1839" s="249"/>
      <c r="K1839" s="249"/>
      <c r="L1839" s="249"/>
      <c r="M1839" s="249"/>
      <c r="N1839" s="250"/>
      <c r="O1839" s="250"/>
      <c r="P1839" s="250"/>
      <c r="Q1839" s="198"/>
      <c r="R1839" s="198"/>
      <c r="S1839" s="249"/>
      <c r="T1839" s="249"/>
      <c r="U1839" s="172"/>
      <c r="V1839" s="343"/>
      <c r="W1839" s="139"/>
      <c r="Y1839" s="1"/>
    </row>
    <row r="1840" spans="3:25" ht="12" customHeight="1">
      <c r="C1840" s="342" t="str">
        <f t="shared" ca="1" si="158"/>
        <v/>
      </c>
      <c r="D1840" s="153"/>
      <c r="E1840" s="153"/>
      <c r="F1840" s="170"/>
      <c r="G1840" s="171"/>
      <c r="H1840" s="247"/>
      <c r="I1840" s="247"/>
      <c r="J1840" s="247"/>
      <c r="K1840" s="247"/>
      <c r="L1840" s="247"/>
      <c r="M1840" s="247"/>
      <c r="N1840" s="247"/>
      <c r="O1840" s="247"/>
      <c r="P1840" s="247"/>
      <c r="Q1840" s="248"/>
      <c r="R1840" s="248"/>
      <c r="S1840" s="247"/>
      <c r="T1840" s="247"/>
      <c r="U1840" s="218"/>
      <c r="V1840" s="342"/>
      <c r="W1840" s="139"/>
      <c r="Y1840" s="1"/>
    </row>
    <row r="1841" spans="3:25" ht="12" customHeight="1">
      <c r="C1841" s="343" t="str">
        <f t="shared" ca="1" si="158"/>
        <v/>
      </c>
      <c r="D1841" s="124"/>
      <c r="E1841" s="124"/>
      <c r="F1841" s="172"/>
      <c r="G1841" s="173"/>
      <c r="H1841" s="249"/>
      <c r="I1841" s="249"/>
      <c r="J1841" s="249"/>
      <c r="K1841" s="249"/>
      <c r="L1841" s="249"/>
      <c r="M1841" s="249"/>
      <c r="N1841" s="250"/>
      <c r="O1841" s="250"/>
      <c r="P1841" s="250"/>
      <c r="Q1841" s="198"/>
      <c r="R1841" s="198"/>
      <c r="S1841" s="249"/>
      <c r="T1841" s="249"/>
      <c r="U1841" s="172"/>
      <c r="V1841" s="343"/>
      <c r="W1841" s="139"/>
      <c r="Y1841" s="1"/>
    </row>
    <row r="1842" spans="3:25" ht="12" customHeight="1">
      <c r="C1842" s="342" t="str">
        <f t="shared" ca="1" si="158"/>
        <v/>
      </c>
      <c r="D1842" s="153"/>
      <c r="E1842" s="153"/>
      <c r="F1842" s="170"/>
      <c r="G1842" s="171"/>
      <c r="H1842" s="247"/>
      <c r="I1842" s="247"/>
      <c r="J1842" s="247"/>
      <c r="K1842" s="247"/>
      <c r="L1842" s="247"/>
      <c r="M1842" s="247"/>
      <c r="N1842" s="247"/>
      <c r="O1842" s="247"/>
      <c r="P1842" s="247"/>
      <c r="Q1842" s="248"/>
      <c r="R1842" s="248"/>
      <c r="S1842" s="247"/>
      <c r="T1842" s="247"/>
      <c r="U1842" s="218"/>
      <c r="V1842" s="342"/>
      <c r="W1842" s="139"/>
      <c r="Y1842" s="1"/>
    </row>
    <row r="1843" spans="3:25" ht="12" customHeight="1">
      <c r="C1843" s="343" t="str">
        <f t="shared" ca="1" si="158"/>
        <v/>
      </c>
      <c r="D1843" s="124"/>
      <c r="E1843" s="124"/>
      <c r="F1843" s="172"/>
      <c r="G1843" s="173"/>
      <c r="H1843" s="249"/>
      <c r="I1843" s="249"/>
      <c r="J1843" s="249"/>
      <c r="K1843" s="249"/>
      <c r="L1843" s="249"/>
      <c r="M1843" s="249"/>
      <c r="N1843" s="250"/>
      <c r="O1843" s="250"/>
      <c r="P1843" s="250"/>
      <c r="Q1843" s="198"/>
      <c r="R1843" s="198"/>
      <c r="S1843" s="249"/>
      <c r="T1843" s="249"/>
      <c r="U1843" s="172"/>
      <c r="V1843" s="343"/>
      <c r="W1843" s="139"/>
      <c r="Y1843" s="1"/>
    </row>
    <row r="1844" spans="3:25" ht="12" customHeight="1">
      <c r="C1844" s="342" t="str">
        <f t="shared" ca="1" si="158"/>
        <v/>
      </c>
      <c r="D1844" s="153"/>
      <c r="E1844" s="153"/>
      <c r="F1844" s="170"/>
      <c r="G1844" s="171"/>
      <c r="H1844" s="247"/>
      <c r="I1844" s="247"/>
      <c r="J1844" s="247"/>
      <c r="K1844" s="247"/>
      <c r="L1844" s="247"/>
      <c r="M1844" s="247"/>
      <c r="N1844" s="247"/>
      <c r="O1844" s="247"/>
      <c r="P1844" s="247"/>
      <c r="Q1844" s="248"/>
      <c r="R1844" s="248"/>
      <c r="S1844" s="247"/>
      <c r="T1844" s="247"/>
      <c r="U1844" s="218"/>
      <c r="V1844" s="342"/>
      <c r="W1844" s="139"/>
      <c r="Y1844" s="1"/>
    </row>
    <row r="1845" spans="3:25" ht="12" customHeight="1">
      <c r="C1845" s="343" t="str">
        <f t="shared" ca="1" si="158"/>
        <v/>
      </c>
      <c r="D1845" s="124"/>
      <c r="E1845" s="124"/>
      <c r="F1845" s="172"/>
      <c r="G1845" s="173"/>
      <c r="H1845" s="249"/>
      <c r="I1845" s="249"/>
      <c r="J1845" s="249"/>
      <c r="K1845" s="249"/>
      <c r="L1845" s="249"/>
      <c r="M1845" s="249"/>
      <c r="N1845" s="250"/>
      <c r="O1845" s="250"/>
      <c r="P1845" s="250"/>
      <c r="Q1845" s="198"/>
      <c r="R1845" s="198"/>
      <c r="S1845" s="249"/>
      <c r="T1845" s="249"/>
      <c r="U1845" s="172"/>
      <c r="V1845" s="343"/>
      <c r="W1845" s="139"/>
      <c r="Y1845" s="1"/>
    </row>
    <row r="1846" spans="3:25" ht="12" customHeight="1">
      <c r="C1846" s="342" t="str">
        <f t="shared" ca="1" si="158"/>
        <v/>
      </c>
      <c r="D1846" s="153"/>
      <c r="E1846" s="153"/>
      <c r="F1846" s="170"/>
      <c r="G1846" s="171"/>
      <c r="H1846" s="247"/>
      <c r="I1846" s="247"/>
      <c r="J1846" s="247"/>
      <c r="K1846" s="247"/>
      <c r="L1846" s="247"/>
      <c r="M1846" s="247"/>
      <c r="N1846" s="247"/>
      <c r="O1846" s="247"/>
      <c r="P1846" s="247"/>
      <c r="Q1846" s="248"/>
      <c r="R1846" s="248"/>
      <c r="S1846" s="247"/>
      <c r="T1846" s="247"/>
      <c r="U1846" s="218"/>
      <c r="V1846" s="342"/>
      <c r="W1846" s="139"/>
      <c r="Y1846" s="1"/>
    </row>
    <row r="1847" spans="3:25" ht="12" customHeight="1">
      <c r="C1847" s="343" t="str">
        <f t="shared" ca="1" si="158"/>
        <v/>
      </c>
      <c r="D1847" s="124"/>
      <c r="E1847" s="124"/>
      <c r="F1847" s="172"/>
      <c r="G1847" s="173"/>
      <c r="H1847" s="249"/>
      <c r="I1847" s="249"/>
      <c r="J1847" s="249"/>
      <c r="K1847" s="249"/>
      <c r="L1847" s="249"/>
      <c r="M1847" s="249"/>
      <c r="N1847" s="250"/>
      <c r="O1847" s="250"/>
      <c r="P1847" s="250"/>
      <c r="Q1847" s="198"/>
      <c r="R1847" s="198"/>
      <c r="S1847" s="249"/>
      <c r="T1847" s="249"/>
      <c r="U1847" s="172"/>
      <c r="V1847" s="343"/>
      <c r="W1847" s="139"/>
      <c r="Y1847" s="1"/>
    </row>
    <row r="1848" spans="3:25" ht="12" customHeight="1">
      <c r="C1848" s="342" t="str">
        <f t="shared" ca="1" si="158"/>
        <v/>
      </c>
      <c r="D1848" s="153"/>
      <c r="E1848" s="153"/>
      <c r="F1848" s="170"/>
      <c r="G1848" s="171"/>
      <c r="H1848" s="247"/>
      <c r="I1848" s="247"/>
      <c r="J1848" s="247"/>
      <c r="K1848" s="247"/>
      <c r="L1848" s="247"/>
      <c r="M1848" s="247"/>
      <c r="N1848" s="247"/>
      <c r="O1848" s="247"/>
      <c r="P1848" s="247"/>
      <c r="Q1848" s="248"/>
      <c r="R1848" s="248"/>
      <c r="S1848" s="247"/>
      <c r="T1848" s="247"/>
      <c r="U1848" s="218"/>
      <c r="V1848" s="342"/>
      <c r="W1848" s="139"/>
      <c r="Y1848" s="1"/>
    </row>
    <row r="1849" spans="3:25" ht="12" customHeight="1">
      <c r="C1849" s="343" t="str">
        <f t="shared" ca="1" si="158"/>
        <v/>
      </c>
      <c r="D1849" s="124"/>
      <c r="E1849" s="124"/>
      <c r="F1849" s="172"/>
      <c r="G1849" s="173"/>
      <c r="H1849" s="249"/>
      <c r="I1849" s="249"/>
      <c r="J1849" s="249"/>
      <c r="K1849" s="249"/>
      <c r="L1849" s="249"/>
      <c r="M1849" s="249"/>
      <c r="N1849" s="250"/>
      <c r="O1849" s="250"/>
      <c r="P1849" s="250"/>
      <c r="Q1849" s="198"/>
      <c r="R1849" s="198"/>
      <c r="S1849" s="249"/>
      <c r="T1849" s="249"/>
      <c r="U1849" s="172"/>
      <c r="V1849" s="343"/>
      <c r="W1849" s="139"/>
      <c r="Y1849" s="1"/>
    </row>
    <row r="1850" spans="3:25" ht="12" customHeight="1">
      <c r="C1850" s="342" t="str">
        <f t="shared" ca="1" si="158"/>
        <v/>
      </c>
      <c r="D1850" s="153"/>
      <c r="E1850" s="153"/>
      <c r="F1850" s="170"/>
      <c r="G1850" s="171"/>
      <c r="H1850" s="247"/>
      <c r="I1850" s="247"/>
      <c r="J1850" s="247"/>
      <c r="K1850" s="247"/>
      <c r="L1850" s="247"/>
      <c r="M1850" s="247"/>
      <c r="N1850" s="247"/>
      <c r="O1850" s="247"/>
      <c r="P1850" s="247"/>
      <c r="Q1850" s="248"/>
      <c r="R1850" s="248"/>
      <c r="S1850" s="247"/>
      <c r="T1850" s="247"/>
      <c r="U1850" s="218"/>
      <c r="V1850" s="342"/>
      <c r="W1850" s="139"/>
      <c r="Y1850" s="1"/>
    </row>
    <row r="1851" spans="3:25" ht="12" customHeight="1">
      <c r="C1851" s="343" t="str">
        <f t="shared" ca="1" si="158"/>
        <v/>
      </c>
      <c r="D1851" s="124"/>
      <c r="E1851" s="124"/>
      <c r="F1851" s="172"/>
      <c r="G1851" s="173"/>
      <c r="H1851" s="249"/>
      <c r="I1851" s="249"/>
      <c r="J1851" s="249"/>
      <c r="K1851" s="249"/>
      <c r="L1851" s="249"/>
      <c r="M1851" s="249"/>
      <c r="N1851" s="250"/>
      <c r="O1851" s="250"/>
      <c r="P1851" s="250"/>
      <c r="Q1851" s="198"/>
      <c r="R1851" s="198"/>
      <c r="S1851" s="249"/>
      <c r="T1851" s="249"/>
      <c r="U1851" s="172"/>
      <c r="V1851" s="343"/>
      <c r="W1851" s="139"/>
      <c r="Y1851" s="1"/>
    </row>
    <row r="1852" spans="3:25" ht="12" customHeight="1">
      <c r="C1852" s="342" t="str">
        <f t="shared" ca="1" si="158"/>
        <v/>
      </c>
      <c r="D1852" s="153"/>
      <c r="E1852" s="153"/>
      <c r="F1852" s="170"/>
      <c r="G1852" s="171"/>
      <c r="H1852" s="247"/>
      <c r="I1852" s="247"/>
      <c r="J1852" s="247"/>
      <c r="K1852" s="247"/>
      <c r="L1852" s="247"/>
      <c r="M1852" s="247"/>
      <c r="N1852" s="247"/>
      <c r="O1852" s="247"/>
      <c r="P1852" s="247"/>
      <c r="Q1852" s="248"/>
      <c r="R1852" s="248"/>
      <c r="S1852" s="247"/>
      <c r="T1852" s="247"/>
      <c r="U1852" s="218"/>
      <c r="V1852" s="342"/>
      <c r="W1852" s="139"/>
      <c r="Y1852" s="1"/>
    </row>
    <row r="1853" spans="3:25" ht="12" customHeight="1">
      <c r="C1853" s="343" t="str">
        <f t="shared" ca="1" si="158"/>
        <v/>
      </c>
      <c r="D1853" s="124"/>
      <c r="E1853" s="124"/>
      <c r="F1853" s="172"/>
      <c r="G1853" s="173"/>
      <c r="H1853" s="249"/>
      <c r="I1853" s="249"/>
      <c r="J1853" s="249"/>
      <c r="K1853" s="249"/>
      <c r="L1853" s="249"/>
      <c r="M1853" s="249"/>
      <c r="N1853" s="250"/>
      <c r="O1853" s="250"/>
      <c r="P1853" s="250"/>
      <c r="Q1853" s="198"/>
      <c r="R1853" s="198"/>
      <c r="S1853" s="249"/>
      <c r="T1853" s="249"/>
      <c r="U1853" s="172"/>
      <c r="V1853" s="343"/>
      <c r="W1853" s="139"/>
      <c r="Y1853" s="1"/>
    </row>
    <row r="1854" spans="3:25" ht="12" customHeight="1">
      <c r="C1854" s="342" t="str">
        <f t="shared" ca="1" si="158"/>
        <v/>
      </c>
      <c r="D1854" s="153"/>
      <c r="E1854" s="153"/>
      <c r="F1854" s="170"/>
      <c r="G1854" s="171"/>
      <c r="H1854" s="247"/>
      <c r="I1854" s="247"/>
      <c r="J1854" s="247"/>
      <c r="K1854" s="247"/>
      <c r="L1854" s="247"/>
      <c r="M1854" s="247"/>
      <c r="N1854" s="247"/>
      <c r="O1854" s="247"/>
      <c r="P1854" s="247"/>
      <c r="Q1854" s="248"/>
      <c r="R1854" s="248"/>
      <c r="S1854" s="247"/>
      <c r="T1854" s="247"/>
      <c r="U1854" s="218"/>
      <c r="V1854" s="342"/>
      <c r="W1854" s="139"/>
      <c r="Y1854" s="1"/>
    </row>
    <row r="1855" spans="3:25" ht="12" customHeight="1">
      <c r="C1855" s="343" t="str">
        <f t="shared" ca="1" si="158"/>
        <v/>
      </c>
      <c r="D1855" s="124"/>
      <c r="E1855" s="124"/>
      <c r="F1855" s="172"/>
      <c r="G1855" s="173"/>
      <c r="H1855" s="249"/>
      <c r="I1855" s="249"/>
      <c r="J1855" s="249"/>
      <c r="K1855" s="249"/>
      <c r="L1855" s="249"/>
      <c r="M1855" s="249"/>
      <c r="N1855" s="250"/>
      <c r="O1855" s="250"/>
      <c r="P1855" s="250"/>
      <c r="Q1855" s="198"/>
      <c r="R1855" s="198"/>
      <c r="S1855" s="249"/>
      <c r="T1855" s="249"/>
      <c r="U1855" s="172"/>
      <c r="V1855" s="343"/>
      <c r="W1855" s="139"/>
      <c r="Y1855" s="1"/>
    </row>
    <row r="1856" spans="3:25" ht="12" customHeight="1">
      <c r="C1856" s="342" t="str">
        <f t="shared" ca="1" si="158"/>
        <v/>
      </c>
      <c r="D1856" s="153"/>
      <c r="E1856" s="153"/>
      <c r="F1856" s="170"/>
      <c r="G1856" s="171"/>
      <c r="H1856" s="247"/>
      <c r="I1856" s="247"/>
      <c r="J1856" s="247"/>
      <c r="K1856" s="247"/>
      <c r="L1856" s="247"/>
      <c r="M1856" s="247"/>
      <c r="N1856" s="247"/>
      <c r="O1856" s="247"/>
      <c r="P1856" s="247"/>
      <c r="Q1856" s="248"/>
      <c r="R1856" s="248"/>
      <c r="S1856" s="247"/>
      <c r="T1856" s="247"/>
      <c r="U1856" s="218"/>
      <c r="V1856" s="342"/>
      <c r="W1856" s="139"/>
      <c r="Y1856" s="1"/>
    </row>
    <row r="1857" spans="3:25" ht="12" customHeight="1">
      <c r="C1857" s="343" t="str">
        <f t="shared" ca="1" si="158"/>
        <v/>
      </c>
      <c r="D1857" s="124"/>
      <c r="E1857" s="124"/>
      <c r="F1857" s="172"/>
      <c r="G1857" s="173"/>
      <c r="H1857" s="249"/>
      <c r="I1857" s="249"/>
      <c r="J1857" s="249"/>
      <c r="K1857" s="249"/>
      <c r="L1857" s="249"/>
      <c r="M1857" s="249"/>
      <c r="N1857" s="250"/>
      <c r="O1857" s="250"/>
      <c r="P1857" s="250"/>
      <c r="Q1857" s="198"/>
      <c r="R1857" s="198"/>
      <c r="S1857" s="249"/>
      <c r="T1857" s="249"/>
      <c r="U1857" s="172"/>
      <c r="V1857" s="343"/>
      <c r="W1857" s="139"/>
      <c r="Y1857" s="1"/>
    </row>
    <row r="1858" spans="3:25" ht="12" customHeight="1">
      <c r="C1858" s="342" t="str">
        <f t="shared" ca="1" si="158"/>
        <v/>
      </c>
      <c r="D1858" s="153"/>
      <c r="E1858" s="153"/>
      <c r="F1858" s="170"/>
      <c r="G1858" s="171"/>
      <c r="H1858" s="247"/>
      <c r="I1858" s="247"/>
      <c r="J1858" s="247"/>
      <c r="K1858" s="247"/>
      <c r="L1858" s="247"/>
      <c r="M1858" s="247"/>
      <c r="N1858" s="247"/>
      <c r="O1858" s="247"/>
      <c r="P1858" s="247"/>
      <c r="Q1858" s="248"/>
      <c r="R1858" s="248"/>
      <c r="S1858" s="247"/>
      <c r="T1858" s="247"/>
      <c r="U1858" s="218"/>
      <c r="V1858" s="342"/>
      <c r="W1858" s="139"/>
      <c r="Y1858" s="1"/>
    </row>
    <row r="1859" spans="3:25" ht="12" customHeight="1">
      <c r="C1859" s="343" t="str">
        <f t="shared" ca="1" si="158"/>
        <v/>
      </c>
      <c r="D1859" s="124"/>
      <c r="E1859" s="124"/>
      <c r="F1859" s="172"/>
      <c r="G1859" s="173"/>
      <c r="H1859" s="249"/>
      <c r="I1859" s="249"/>
      <c r="J1859" s="249"/>
      <c r="K1859" s="249"/>
      <c r="L1859" s="249"/>
      <c r="M1859" s="249"/>
      <c r="N1859" s="250"/>
      <c r="O1859" s="250"/>
      <c r="P1859" s="250"/>
      <c r="Q1859" s="198"/>
      <c r="R1859" s="198"/>
      <c r="S1859" s="249"/>
      <c r="T1859" s="249"/>
      <c r="U1859" s="172"/>
      <c r="V1859" s="343"/>
      <c r="W1859" s="139"/>
      <c r="Y1859" s="1"/>
    </row>
    <row r="1860" spans="3:25" ht="12" customHeight="1">
      <c r="C1860" s="342" t="str">
        <f t="shared" ca="1" si="158"/>
        <v/>
      </c>
      <c r="D1860" s="153"/>
      <c r="E1860" s="153"/>
      <c r="F1860" s="170"/>
      <c r="G1860" s="171"/>
      <c r="H1860" s="247"/>
      <c r="I1860" s="247"/>
      <c r="J1860" s="247"/>
      <c r="K1860" s="247"/>
      <c r="L1860" s="247"/>
      <c r="M1860" s="247"/>
      <c r="N1860" s="247"/>
      <c r="O1860" s="247"/>
      <c r="P1860" s="247"/>
      <c r="Q1860" s="248"/>
      <c r="R1860" s="248"/>
      <c r="S1860" s="247"/>
      <c r="T1860" s="247"/>
      <c r="U1860" s="218"/>
      <c r="V1860" s="342"/>
      <c r="W1860" s="139"/>
      <c r="Y1860" s="1"/>
    </row>
    <row r="1861" spans="3:25" ht="12" customHeight="1">
      <c r="C1861" s="343" t="str">
        <f t="shared" ca="1" si="158"/>
        <v/>
      </c>
      <c r="D1861" s="124"/>
      <c r="E1861" s="124"/>
      <c r="F1861" s="172"/>
      <c r="G1861" s="173"/>
      <c r="H1861" s="249"/>
      <c r="I1861" s="249"/>
      <c r="J1861" s="249"/>
      <c r="K1861" s="249"/>
      <c r="L1861" s="249"/>
      <c r="M1861" s="249"/>
      <c r="N1861" s="250"/>
      <c r="O1861" s="250"/>
      <c r="P1861" s="250"/>
      <c r="Q1861" s="198"/>
      <c r="R1861" s="198"/>
      <c r="S1861" s="249"/>
      <c r="T1861" s="249"/>
      <c r="U1861" s="172"/>
      <c r="V1861" s="343"/>
      <c r="W1861" s="139"/>
      <c r="Y1861" s="1"/>
    </row>
    <row r="1862" spans="3:25" ht="12" customHeight="1">
      <c r="C1862" s="342" t="str">
        <f t="shared" ca="1" si="158"/>
        <v/>
      </c>
      <c r="D1862" s="153"/>
      <c r="E1862" s="153"/>
      <c r="F1862" s="170"/>
      <c r="G1862" s="171"/>
      <c r="H1862" s="247"/>
      <c r="I1862" s="247"/>
      <c r="J1862" s="247"/>
      <c r="K1862" s="247"/>
      <c r="L1862" s="247"/>
      <c r="M1862" s="247"/>
      <c r="N1862" s="247"/>
      <c r="O1862" s="247"/>
      <c r="P1862" s="247"/>
      <c r="Q1862" s="248"/>
      <c r="R1862" s="248"/>
      <c r="S1862" s="247"/>
      <c r="T1862" s="247"/>
      <c r="U1862" s="218"/>
      <c r="V1862" s="342"/>
      <c r="W1862" s="139"/>
      <c r="Y1862" s="1"/>
    </row>
    <row r="1863" spans="3:25" ht="12" customHeight="1">
      <c r="C1863" s="343" t="str">
        <f t="shared" ca="1" si="158"/>
        <v/>
      </c>
      <c r="D1863" s="124"/>
      <c r="E1863" s="124"/>
      <c r="F1863" s="172"/>
      <c r="G1863" s="173"/>
      <c r="H1863" s="249"/>
      <c r="I1863" s="249"/>
      <c r="J1863" s="249"/>
      <c r="K1863" s="249"/>
      <c r="L1863" s="249"/>
      <c r="M1863" s="249"/>
      <c r="N1863" s="250"/>
      <c r="O1863" s="250"/>
      <c r="P1863" s="250"/>
      <c r="Q1863" s="198"/>
      <c r="R1863" s="198"/>
      <c r="S1863" s="249"/>
      <c r="T1863" s="249"/>
      <c r="U1863" s="172"/>
      <c r="V1863" s="343"/>
      <c r="W1863" s="139"/>
      <c r="Y1863" s="1"/>
    </row>
    <row r="1864" spans="3:25" ht="12" customHeight="1">
      <c r="C1864" s="342" t="str">
        <f t="shared" ca="1" si="158"/>
        <v/>
      </c>
      <c r="D1864" s="153"/>
      <c r="E1864" s="153"/>
      <c r="F1864" s="170"/>
      <c r="G1864" s="171"/>
      <c r="H1864" s="247"/>
      <c r="I1864" s="247"/>
      <c r="J1864" s="247"/>
      <c r="K1864" s="247"/>
      <c r="L1864" s="247"/>
      <c r="M1864" s="247"/>
      <c r="N1864" s="247"/>
      <c r="O1864" s="247"/>
      <c r="P1864" s="247"/>
      <c r="Q1864" s="248"/>
      <c r="R1864" s="248"/>
      <c r="S1864" s="247"/>
      <c r="T1864" s="247"/>
      <c r="U1864" s="218"/>
      <c r="V1864" s="342"/>
      <c r="W1864" s="139"/>
      <c r="Y1864" s="1"/>
    </row>
    <row r="1865" spans="3:25" ht="12" customHeight="1">
      <c r="C1865" s="343" t="str">
        <f t="shared" ca="1" si="158"/>
        <v/>
      </c>
      <c r="D1865" s="124"/>
      <c r="E1865" s="124"/>
      <c r="F1865" s="172"/>
      <c r="G1865" s="173"/>
      <c r="H1865" s="249"/>
      <c r="I1865" s="249"/>
      <c r="J1865" s="249"/>
      <c r="K1865" s="249"/>
      <c r="L1865" s="249"/>
      <c r="M1865" s="249"/>
      <c r="N1865" s="250"/>
      <c r="O1865" s="250"/>
      <c r="P1865" s="250"/>
      <c r="Q1865" s="198"/>
      <c r="R1865" s="198"/>
      <c r="S1865" s="249"/>
      <c r="T1865" s="249"/>
      <c r="U1865" s="172"/>
      <c r="V1865" s="343"/>
      <c r="W1865" s="139"/>
      <c r="Y1865" s="1"/>
    </row>
    <row r="1866" spans="3:25" ht="12" customHeight="1">
      <c r="C1866" s="342" t="str">
        <f t="shared" ca="1" si="158"/>
        <v/>
      </c>
      <c r="D1866" s="153"/>
      <c r="E1866" s="153"/>
      <c r="F1866" s="170"/>
      <c r="G1866" s="171"/>
      <c r="H1866" s="247"/>
      <c r="I1866" s="247"/>
      <c r="J1866" s="247"/>
      <c r="K1866" s="247"/>
      <c r="L1866" s="247"/>
      <c r="M1866" s="247"/>
      <c r="N1866" s="247"/>
      <c r="O1866" s="247"/>
      <c r="P1866" s="247"/>
      <c r="Q1866" s="248"/>
      <c r="R1866" s="248"/>
      <c r="S1866" s="247"/>
      <c r="T1866" s="247"/>
      <c r="U1866" s="218"/>
      <c r="V1866" s="342"/>
      <c r="W1866" s="139"/>
      <c r="Y1866" s="1"/>
    </row>
    <row r="1867" spans="3:25" ht="12" customHeight="1">
      <c r="C1867" s="343" t="str">
        <f t="shared" ca="1" si="158"/>
        <v/>
      </c>
      <c r="D1867" s="124"/>
      <c r="E1867" s="124"/>
      <c r="F1867" s="172"/>
      <c r="G1867" s="173"/>
      <c r="H1867" s="249"/>
      <c r="I1867" s="249"/>
      <c r="J1867" s="249"/>
      <c r="K1867" s="249"/>
      <c r="L1867" s="249"/>
      <c r="M1867" s="249"/>
      <c r="N1867" s="250"/>
      <c r="O1867" s="250"/>
      <c r="P1867" s="250"/>
      <c r="Q1867" s="198"/>
      <c r="R1867" s="198"/>
      <c r="S1867" s="249"/>
      <c r="T1867" s="249"/>
      <c r="U1867" s="172"/>
      <c r="V1867" s="343"/>
      <c r="W1867" s="139"/>
      <c r="Y1867" s="1"/>
    </row>
    <row r="1868" spans="3:25" ht="12" customHeight="1">
      <c r="C1868" s="342" t="str">
        <f t="shared" ca="1" si="158"/>
        <v/>
      </c>
      <c r="D1868" s="153"/>
      <c r="E1868" s="153"/>
      <c r="F1868" s="170"/>
      <c r="G1868" s="171"/>
      <c r="H1868" s="247"/>
      <c r="I1868" s="247"/>
      <c r="J1868" s="247"/>
      <c r="K1868" s="247"/>
      <c r="L1868" s="247"/>
      <c r="M1868" s="247"/>
      <c r="N1868" s="247"/>
      <c r="O1868" s="247"/>
      <c r="P1868" s="247"/>
      <c r="Q1868" s="248"/>
      <c r="R1868" s="248"/>
      <c r="S1868" s="247"/>
      <c r="T1868" s="247"/>
      <c r="U1868" s="218"/>
      <c r="V1868" s="342"/>
      <c r="W1868" s="139"/>
      <c r="Y1868" s="1"/>
    </row>
    <row r="1869" spans="3:25" ht="12" customHeight="1">
      <c r="C1869" s="343" t="str">
        <f t="shared" ca="1" si="158"/>
        <v/>
      </c>
      <c r="D1869" s="124"/>
      <c r="E1869" s="124"/>
      <c r="F1869" s="172"/>
      <c r="G1869" s="173"/>
      <c r="H1869" s="249"/>
      <c r="I1869" s="249"/>
      <c r="J1869" s="249"/>
      <c r="K1869" s="249"/>
      <c r="L1869" s="249"/>
      <c r="M1869" s="249"/>
      <c r="N1869" s="250"/>
      <c r="O1869" s="250"/>
      <c r="P1869" s="250"/>
      <c r="Q1869" s="198"/>
      <c r="R1869" s="198"/>
      <c r="S1869" s="249"/>
      <c r="T1869" s="249"/>
      <c r="U1869" s="172"/>
      <c r="V1869" s="343"/>
      <c r="W1869" s="139"/>
      <c r="Y1869" s="1"/>
    </row>
    <row r="1870" spans="3:25" ht="12" customHeight="1">
      <c r="C1870" s="342" t="str">
        <f t="shared" ref="C1870:C1933" ca="1" si="159">IF(ROW()-13&lt;=MAX(series),ROW()-13,"")</f>
        <v/>
      </c>
      <c r="D1870" s="153"/>
      <c r="E1870" s="153"/>
      <c r="F1870" s="170"/>
      <c r="G1870" s="171"/>
      <c r="H1870" s="247"/>
      <c r="I1870" s="247"/>
      <c r="J1870" s="247"/>
      <c r="K1870" s="247"/>
      <c r="L1870" s="247"/>
      <c r="M1870" s="247"/>
      <c r="N1870" s="247"/>
      <c r="O1870" s="247"/>
      <c r="P1870" s="247"/>
      <c r="Q1870" s="248"/>
      <c r="R1870" s="248"/>
      <c r="S1870" s="247"/>
      <c r="T1870" s="247"/>
      <c r="U1870" s="218"/>
      <c r="V1870" s="342"/>
      <c r="W1870" s="139"/>
      <c r="Y1870" s="1"/>
    </row>
    <row r="1871" spans="3:25" ht="12" customHeight="1">
      <c r="C1871" s="343" t="str">
        <f t="shared" ca="1" si="159"/>
        <v/>
      </c>
      <c r="D1871" s="124"/>
      <c r="E1871" s="124"/>
      <c r="F1871" s="172"/>
      <c r="G1871" s="173"/>
      <c r="H1871" s="249"/>
      <c r="I1871" s="249"/>
      <c r="J1871" s="249"/>
      <c r="K1871" s="249"/>
      <c r="L1871" s="249"/>
      <c r="M1871" s="249"/>
      <c r="N1871" s="250"/>
      <c r="O1871" s="250"/>
      <c r="P1871" s="250"/>
      <c r="Q1871" s="198"/>
      <c r="R1871" s="198"/>
      <c r="S1871" s="249"/>
      <c r="T1871" s="249"/>
      <c r="U1871" s="172"/>
      <c r="V1871" s="343"/>
      <c r="W1871" s="139"/>
      <c r="Y1871" s="1"/>
    </row>
    <row r="1872" spans="3:25" ht="12" customHeight="1">
      <c r="C1872" s="342" t="str">
        <f t="shared" ca="1" si="159"/>
        <v/>
      </c>
      <c r="D1872" s="153"/>
      <c r="E1872" s="153"/>
      <c r="F1872" s="170"/>
      <c r="G1872" s="171"/>
      <c r="H1872" s="247"/>
      <c r="I1872" s="247"/>
      <c r="J1872" s="247"/>
      <c r="K1872" s="247"/>
      <c r="L1872" s="247"/>
      <c r="M1872" s="247"/>
      <c r="N1872" s="247"/>
      <c r="O1872" s="247"/>
      <c r="P1872" s="247"/>
      <c r="Q1872" s="248"/>
      <c r="R1872" s="248"/>
      <c r="S1872" s="247"/>
      <c r="T1872" s="247"/>
      <c r="U1872" s="218"/>
      <c r="V1872" s="342"/>
      <c r="W1872" s="139"/>
      <c r="Y1872" s="1"/>
    </row>
    <row r="1873" spans="3:25" ht="12" customHeight="1">
      <c r="C1873" s="343" t="str">
        <f t="shared" ca="1" si="159"/>
        <v/>
      </c>
      <c r="D1873" s="124"/>
      <c r="E1873" s="124"/>
      <c r="F1873" s="172"/>
      <c r="G1873" s="173"/>
      <c r="H1873" s="249"/>
      <c r="I1873" s="249"/>
      <c r="J1873" s="249"/>
      <c r="K1873" s="249"/>
      <c r="L1873" s="249"/>
      <c r="M1873" s="249"/>
      <c r="N1873" s="250"/>
      <c r="O1873" s="250"/>
      <c r="P1873" s="250"/>
      <c r="Q1873" s="198"/>
      <c r="R1873" s="198"/>
      <c r="S1873" s="249"/>
      <c r="T1873" s="249"/>
      <c r="U1873" s="172"/>
      <c r="V1873" s="343"/>
      <c r="W1873" s="139"/>
      <c r="Y1873" s="1"/>
    </row>
    <row r="1874" spans="3:25" ht="12" customHeight="1">
      <c r="C1874" s="342" t="str">
        <f t="shared" ca="1" si="159"/>
        <v/>
      </c>
      <c r="D1874" s="153"/>
      <c r="E1874" s="153"/>
      <c r="F1874" s="170"/>
      <c r="G1874" s="171"/>
      <c r="H1874" s="247"/>
      <c r="I1874" s="247"/>
      <c r="J1874" s="247"/>
      <c r="K1874" s="247"/>
      <c r="L1874" s="247"/>
      <c r="M1874" s="247"/>
      <c r="N1874" s="247"/>
      <c r="O1874" s="247"/>
      <c r="P1874" s="247"/>
      <c r="Q1874" s="248"/>
      <c r="R1874" s="248"/>
      <c r="S1874" s="247"/>
      <c r="T1874" s="247"/>
      <c r="U1874" s="218"/>
      <c r="V1874" s="342"/>
      <c r="W1874" s="139"/>
      <c r="Y1874" s="1"/>
    </row>
    <row r="1875" spans="3:25" ht="12" customHeight="1">
      <c r="C1875" s="343" t="str">
        <f t="shared" ca="1" si="159"/>
        <v/>
      </c>
      <c r="D1875" s="124"/>
      <c r="E1875" s="124"/>
      <c r="F1875" s="172"/>
      <c r="G1875" s="173"/>
      <c r="H1875" s="249"/>
      <c r="I1875" s="249"/>
      <c r="J1875" s="249"/>
      <c r="K1875" s="249"/>
      <c r="L1875" s="249"/>
      <c r="M1875" s="249"/>
      <c r="N1875" s="250"/>
      <c r="O1875" s="250"/>
      <c r="P1875" s="250"/>
      <c r="Q1875" s="198"/>
      <c r="R1875" s="198"/>
      <c r="S1875" s="249"/>
      <c r="T1875" s="249"/>
      <c r="U1875" s="172"/>
      <c r="V1875" s="343"/>
      <c r="W1875" s="139"/>
      <c r="Y1875" s="1"/>
    </row>
    <row r="1876" spans="3:25" ht="12" customHeight="1">
      <c r="C1876" s="342" t="str">
        <f t="shared" ca="1" si="159"/>
        <v/>
      </c>
      <c r="D1876" s="153"/>
      <c r="E1876" s="153"/>
      <c r="F1876" s="170"/>
      <c r="G1876" s="171"/>
      <c r="H1876" s="247"/>
      <c r="I1876" s="247"/>
      <c r="J1876" s="247"/>
      <c r="K1876" s="247"/>
      <c r="L1876" s="247"/>
      <c r="M1876" s="247"/>
      <c r="N1876" s="247"/>
      <c r="O1876" s="247"/>
      <c r="P1876" s="247"/>
      <c r="Q1876" s="248"/>
      <c r="R1876" s="248"/>
      <c r="S1876" s="247"/>
      <c r="T1876" s="247"/>
      <c r="U1876" s="218"/>
      <c r="V1876" s="342"/>
      <c r="W1876" s="139"/>
      <c r="Y1876" s="1"/>
    </row>
    <row r="1877" spans="3:25" ht="12" customHeight="1">
      <c r="C1877" s="343" t="str">
        <f t="shared" ca="1" si="159"/>
        <v/>
      </c>
      <c r="D1877" s="124"/>
      <c r="E1877" s="124"/>
      <c r="F1877" s="172"/>
      <c r="G1877" s="173"/>
      <c r="H1877" s="249"/>
      <c r="I1877" s="249"/>
      <c r="J1877" s="249"/>
      <c r="K1877" s="249"/>
      <c r="L1877" s="249"/>
      <c r="M1877" s="249"/>
      <c r="N1877" s="250"/>
      <c r="O1877" s="250"/>
      <c r="P1877" s="250"/>
      <c r="Q1877" s="198"/>
      <c r="R1877" s="198"/>
      <c r="S1877" s="249"/>
      <c r="T1877" s="249"/>
      <c r="U1877" s="172"/>
      <c r="V1877" s="343"/>
      <c r="W1877" s="139"/>
      <c r="Y1877" s="1"/>
    </row>
    <row r="1878" spans="3:25" ht="12" customHeight="1">
      <c r="C1878" s="342" t="str">
        <f t="shared" ca="1" si="159"/>
        <v/>
      </c>
      <c r="D1878" s="153"/>
      <c r="E1878" s="153"/>
      <c r="F1878" s="170"/>
      <c r="G1878" s="171"/>
      <c r="H1878" s="247"/>
      <c r="I1878" s="247"/>
      <c r="J1878" s="247"/>
      <c r="K1878" s="247"/>
      <c r="L1878" s="247"/>
      <c r="M1878" s="247"/>
      <c r="N1878" s="247"/>
      <c r="O1878" s="247"/>
      <c r="P1878" s="247"/>
      <c r="Q1878" s="248"/>
      <c r="R1878" s="248"/>
      <c r="S1878" s="247"/>
      <c r="T1878" s="247"/>
      <c r="U1878" s="218"/>
      <c r="V1878" s="342"/>
      <c r="W1878" s="139"/>
      <c r="Y1878" s="1"/>
    </row>
    <row r="1879" spans="3:25" ht="12" customHeight="1">
      <c r="C1879" s="343" t="str">
        <f t="shared" ca="1" si="159"/>
        <v/>
      </c>
      <c r="D1879" s="124"/>
      <c r="E1879" s="124"/>
      <c r="F1879" s="172"/>
      <c r="G1879" s="173"/>
      <c r="H1879" s="249"/>
      <c r="I1879" s="249"/>
      <c r="J1879" s="249"/>
      <c r="K1879" s="249"/>
      <c r="L1879" s="249"/>
      <c r="M1879" s="249"/>
      <c r="N1879" s="250"/>
      <c r="O1879" s="250"/>
      <c r="P1879" s="250"/>
      <c r="Q1879" s="198"/>
      <c r="R1879" s="198"/>
      <c r="S1879" s="249"/>
      <c r="T1879" s="249"/>
      <c r="U1879" s="172"/>
      <c r="V1879" s="343"/>
      <c r="W1879" s="139"/>
      <c r="Y1879" s="1"/>
    </row>
    <row r="1880" spans="3:25" ht="12" customHeight="1">
      <c r="C1880" s="342" t="str">
        <f t="shared" ca="1" si="159"/>
        <v/>
      </c>
      <c r="D1880" s="153"/>
      <c r="E1880" s="153"/>
      <c r="F1880" s="170"/>
      <c r="G1880" s="171"/>
      <c r="H1880" s="247"/>
      <c r="I1880" s="247"/>
      <c r="J1880" s="247"/>
      <c r="K1880" s="247"/>
      <c r="L1880" s="247"/>
      <c r="M1880" s="247"/>
      <c r="N1880" s="247"/>
      <c r="O1880" s="247"/>
      <c r="P1880" s="247"/>
      <c r="Q1880" s="248"/>
      <c r="R1880" s="248"/>
      <c r="S1880" s="247"/>
      <c r="T1880" s="247"/>
      <c r="U1880" s="218"/>
      <c r="V1880" s="342"/>
      <c r="W1880" s="139"/>
      <c r="Y1880" s="1"/>
    </row>
    <row r="1881" spans="3:25" ht="12" customHeight="1">
      <c r="C1881" s="343" t="str">
        <f t="shared" ca="1" si="159"/>
        <v/>
      </c>
      <c r="D1881" s="124"/>
      <c r="E1881" s="124"/>
      <c r="F1881" s="172"/>
      <c r="G1881" s="173"/>
      <c r="H1881" s="249"/>
      <c r="I1881" s="249"/>
      <c r="J1881" s="249"/>
      <c r="K1881" s="249"/>
      <c r="L1881" s="249"/>
      <c r="M1881" s="249"/>
      <c r="N1881" s="250"/>
      <c r="O1881" s="250"/>
      <c r="P1881" s="250"/>
      <c r="Q1881" s="198"/>
      <c r="R1881" s="198"/>
      <c r="S1881" s="249"/>
      <c r="T1881" s="249"/>
      <c r="U1881" s="172"/>
      <c r="V1881" s="343"/>
      <c r="W1881" s="139"/>
      <c r="Y1881" s="1"/>
    </row>
    <row r="1882" spans="3:25" ht="12" customHeight="1">
      <c r="C1882" s="342" t="str">
        <f t="shared" ca="1" si="159"/>
        <v/>
      </c>
      <c r="D1882" s="153"/>
      <c r="E1882" s="153"/>
      <c r="F1882" s="170"/>
      <c r="G1882" s="171"/>
      <c r="H1882" s="247"/>
      <c r="I1882" s="247"/>
      <c r="J1882" s="247"/>
      <c r="K1882" s="247"/>
      <c r="L1882" s="247"/>
      <c r="M1882" s="247"/>
      <c r="N1882" s="247"/>
      <c r="O1882" s="247"/>
      <c r="P1882" s="247"/>
      <c r="Q1882" s="248"/>
      <c r="R1882" s="248"/>
      <c r="S1882" s="247"/>
      <c r="T1882" s="247"/>
      <c r="U1882" s="218"/>
      <c r="V1882" s="342"/>
      <c r="W1882" s="139"/>
      <c r="Y1882" s="1"/>
    </row>
    <row r="1883" spans="3:25" ht="12" customHeight="1">
      <c r="C1883" s="343" t="str">
        <f t="shared" ca="1" si="159"/>
        <v/>
      </c>
      <c r="D1883" s="124"/>
      <c r="E1883" s="124"/>
      <c r="F1883" s="172"/>
      <c r="G1883" s="173"/>
      <c r="H1883" s="249"/>
      <c r="I1883" s="249"/>
      <c r="J1883" s="249"/>
      <c r="K1883" s="249"/>
      <c r="L1883" s="249"/>
      <c r="M1883" s="249"/>
      <c r="N1883" s="250"/>
      <c r="O1883" s="250"/>
      <c r="P1883" s="250"/>
      <c r="Q1883" s="198"/>
      <c r="R1883" s="198"/>
      <c r="S1883" s="249"/>
      <c r="T1883" s="249"/>
      <c r="U1883" s="172"/>
      <c r="V1883" s="343"/>
      <c r="W1883" s="139"/>
      <c r="Y1883" s="1"/>
    </row>
    <row r="1884" spans="3:25" ht="12" customHeight="1">
      <c r="C1884" s="342" t="str">
        <f t="shared" ca="1" si="159"/>
        <v/>
      </c>
      <c r="D1884" s="153"/>
      <c r="E1884" s="153"/>
      <c r="F1884" s="170"/>
      <c r="G1884" s="171"/>
      <c r="H1884" s="247"/>
      <c r="I1884" s="247"/>
      <c r="J1884" s="247"/>
      <c r="K1884" s="247"/>
      <c r="L1884" s="247"/>
      <c r="M1884" s="247"/>
      <c r="N1884" s="247"/>
      <c r="O1884" s="247"/>
      <c r="P1884" s="247"/>
      <c r="Q1884" s="248"/>
      <c r="R1884" s="248"/>
      <c r="S1884" s="247"/>
      <c r="T1884" s="247"/>
      <c r="U1884" s="218"/>
      <c r="V1884" s="342"/>
      <c r="W1884" s="139"/>
      <c r="Y1884" s="1"/>
    </row>
    <row r="1885" spans="3:25" ht="12" customHeight="1">
      <c r="C1885" s="343" t="str">
        <f t="shared" ca="1" si="159"/>
        <v/>
      </c>
      <c r="D1885" s="124"/>
      <c r="E1885" s="124"/>
      <c r="F1885" s="172"/>
      <c r="G1885" s="173"/>
      <c r="H1885" s="249"/>
      <c r="I1885" s="249"/>
      <c r="J1885" s="249"/>
      <c r="K1885" s="249"/>
      <c r="L1885" s="249"/>
      <c r="M1885" s="249"/>
      <c r="N1885" s="250"/>
      <c r="O1885" s="250"/>
      <c r="P1885" s="250"/>
      <c r="Q1885" s="198"/>
      <c r="R1885" s="198"/>
      <c r="S1885" s="249"/>
      <c r="T1885" s="249"/>
      <c r="U1885" s="172"/>
      <c r="V1885" s="343"/>
      <c r="W1885" s="139"/>
      <c r="Y1885" s="1"/>
    </row>
    <row r="1886" spans="3:25" ht="12" customHeight="1">
      <c r="C1886" s="342" t="str">
        <f t="shared" ca="1" si="159"/>
        <v/>
      </c>
      <c r="D1886" s="153"/>
      <c r="E1886" s="153"/>
      <c r="F1886" s="170"/>
      <c r="G1886" s="171"/>
      <c r="H1886" s="247"/>
      <c r="I1886" s="247"/>
      <c r="J1886" s="247"/>
      <c r="K1886" s="247"/>
      <c r="L1886" s="247"/>
      <c r="M1886" s="247"/>
      <c r="N1886" s="247"/>
      <c r="O1886" s="247"/>
      <c r="P1886" s="247"/>
      <c r="Q1886" s="248"/>
      <c r="R1886" s="248"/>
      <c r="S1886" s="247"/>
      <c r="T1886" s="247"/>
      <c r="U1886" s="218"/>
      <c r="V1886" s="342"/>
      <c r="W1886" s="139"/>
      <c r="Y1886" s="1"/>
    </row>
    <row r="1887" spans="3:25" ht="12" customHeight="1">
      <c r="C1887" s="343" t="str">
        <f t="shared" ca="1" si="159"/>
        <v/>
      </c>
      <c r="D1887" s="124"/>
      <c r="E1887" s="124"/>
      <c r="F1887" s="172"/>
      <c r="G1887" s="173"/>
      <c r="H1887" s="249"/>
      <c r="I1887" s="249"/>
      <c r="J1887" s="249"/>
      <c r="K1887" s="249"/>
      <c r="L1887" s="249"/>
      <c r="M1887" s="249"/>
      <c r="N1887" s="250"/>
      <c r="O1887" s="250"/>
      <c r="P1887" s="250"/>
      <c r="Q1887" s="198"/>
      <c r="R1887" s="198"/>
      <c r="S1887" s="249"/>
      <c r="T1887" s="249"/>
      <c r="U1887" s="172"/>
      <c r="V1887" s="343"/>
      <c r="W1887" s="139"/>
      <c r="Y1887" s="1"/>
    </row>
    <row r="1888" spans="3:25" ht="12" customHeight="1">
      <c r="C1888" s="342" t="str">
        <f t="shared" ca="1" si="159"/>
        <v/>
      </c>
      <c r="D1888" s="153"/>
      <c r="E1888" s="153"/>
      <c r="F1888" s="170"/>
      <c r="G1888" s="171"/>
      <c r="H1888" s="247"/>
      <c r="I1888" s="247"/>
      <c r="J1888" s="247"/>
      <c r="K1888" s="247"/>
      <c r="L1888" s="247"/>
      <c r="M1888" s="247"/>
      <c r="N1888" s="247"/>
      <c r="O1888" s="247"/>
      <c r="P1888" s="247"/>
      <c r="Q1888" s="248"/>
      <c r="R1888" s="248"/>
      <c r="S1888" s="247"/>
      <c r="T1888" s="247"/>
      <c r="U1888" s="218"/>
      <c r="V1888" s="342"/>
      <c r="W1888" s="139"/>
      <c r="Y1888" s="1"/>
    </row>
    <row r="1889" spans="3:25" ht="12" customHeight="1">
      <c r="C1889" s="343" t="str">
        <f t="shared" ca="1" si="159"/>
        <v/>
      </c>
      <c r="D1889" s="124"/>
      <c r="E1889" s="124"/>
      <c r="F1889" s="172"/>
      <c r="G1889" s="173"/>
      <c r="H1889" s="249"/>
      <c r="I1889" s="249"/>
      <c r="J1889" s="249"/>
      <c r="K1889" s="249"/>
      <c r="L1889" s="249"/>
      <c r="M1889" s="249"/>
      <c r="N1889" s="250"/>
      <c r="O1889" s="250"/>
      <c r="P1889" s="250"/>
      <c r="Q1889" s="198"/>
      <c r="R1889" s="198"/>
      <c r="S1889" s="249"/>
      <c r="T1889" s="249"/>
      <c r="U1889" s="172"/>
      <c r="V1889" s="343"/>
      <c r="W1889" s="139"/>
      <c r="Y1889" s="1"/>
    </row>
    <row r="1890" spans="3:25" ht="12" customHeight="1">
      <c r="C1890" s="342" t="str">
        <f t="shared" ca="1" si="159"/>
        <v/>
      </c>
      <c r="D1890" s="153"/>
      <c r="E1890" s="153"/>
      <c r="F1890" s="170"/>
      <c r="G1890" s="171"/>
      <c r="H1890" s="247"/>
      <c r="I1890" s="247"/>
      <c r="J1890" s="247"/>
      <c r="K1890" s="247"/>
      <c r="L1890" s="247"/>
      <c r="M1890" s="247"/>
      <c r="N1890" s="247"/>
      <c r="O1890" s="247"/>
      <c r="P1890" s="247"/>
      <c r="Q1890" s="248"/>
      <c r="R1890" s="248"/>
      <c r="S1890" s="247"/>
      <c r="T1890" s="247"/>
      <c r="U1890" s="218"/>
      <c r="V1890" s="342"/>
      <c r="W1890" s="139"/>
      <c r="Y1890" s="1"/>
    </row>
    <row r="1891" spans="3:25" ht="12" customHeight="1">
      <c r="C1891" s="343" t="str">
        <f t="shared" ca="1" si="159"/>
        <v/>
      </c>
      <c r="D1891" s="124"/>
      <c r="E1891" s="124"/>
      <c r="F1891" s="172"/>
      <c r="G1891" s="173"/>
      <c r="H1891" s="249"/>
      <c r="I1891" s="249"/>
      <c r="J1891" s="249"/>
      <c r="K1891" s="249"/>
      <c r="L1891" s="249"/>
      <c r="M1891" s="249"/>
      <c r="N1891" s="250"/>
      <c r="O1891" s="250"/>
      <c r="P1891" s="250"/>
      <c r="Q1891" s="198"/>
      <c r="R1891" s="198"/>
      <c r="S1891" s="249"/>
      <c r="T1891" s="249"/>
      <c r="U1891" s="172"/>
      <c r="V1891" s="343"/>
      <c r="W1891" s="139"/>
      <c r="Y1891" s="1"/>
    </row>
    <row r="1892" spans="3:25" ht="12" customHeight="1">
      <c r="C1892" s="342" t="str">
        <f t="shared" ca="1" si="159"/>
        <v/>
      </c>
      <c r="D1892" s="153"/>
      <c r="E1892" s="153"/>
      <c r="F1892" s="170"/>
      <c r="G1892" s="171"/>
      <c r="H1892" s="247"/>
      <c r="I1892" s="247"/>
      <c r="J1892" s="247"/>
      <c r="K1892" s="247"/>
      <c r="L1892" s="247"/>
      <c r="M1892" s="247"/>
      <c r="N1892" s="247"/>
      <c r="O1892" s="247"/>
      <c r="P1892" s="247"/>
      <c r="Q1892" s="248"/>
      <c r="R1892" s="248"/>
      <c r="S1892" s="247"/>
      <c r="T1892" s="247"/>
      <c r="U1892" s="218"/>
      <c r="V1892" s="342"/>
      <c r="W1892" s="139"/>
      <c r="Y1892" s="1"/>
    </row>
    <row r="1893" spans="3:25" ht="12" customHeight="1">
      <c r="C1893" s="343" t="str">
        <f t="shared" ca="1" si="159"/>
        <v/>
      </c>
      <c r="D1893" s="124"/>
      <c r="E1893" s="124"/>
      <c r="F1893" s="172"/>
      <c r="G1893" s="173"/>
      <c r="H1893" s="249"/>
      <c r="I1893" s="249"/>
      <c r="J1893" s="249"/>
      <c r="K1893" s="249"/>
      <c r="L1893" s="249"/>
      <c r="M1893" s="249"/>
      <c r="N1893" s="250"/>
      <c r="O1893" s="250"/>
      <c r="P1893" s="250"/>
      <c r="Q1893" s="198"/>
      <c r="R1893" s="198"/>
      <c r="S1893" s="249"/>
      <c r="T1893" s="249"/>
      <c r="U1893" s="172"/>
      <c r="V1893" s="343"/>
      <c r="W1893" s="139"/>
      <c r="Y1893" s="1"/>
    </row>
    <row r="1894" spans="3:25" ht="12" customHeight="1">
      <c r="C1894" s="342" t="str">
        <f t="shared" ca="1" si="159"/>
        <v/>
      </c>
      <c r="D1894" s="153"/>
      <c r="E1894" s="153"/>
      <c r="F1894" s="170"/>
      <c r="G1894" s="171"/>
      <c r="H1894" s="247"/>
      <c r="I1894" s="247"/>
      <c r="J1894" s="247"/>
      <c r="K1894" s="247"/>
      <c r="L1894" s="247"/>
      <c r="M1894" s="247"/>
      <c r="N1894" s="247"/>
      <c r="O1894" s="247"/>
      <c r="P1894" s="247"/>
      <c r="Q1894" s="248"/>
      <c r="R1894" s="248"/>
      <c r="S1894" s="247"/>
      <c r="T1894" s="247"/>
      <c r="U1894" s="218"/>
      <c r="V1894" s="342"/>
      <c r="W1894" s="139"/>
      <c r="Y1894" s="1"/>
    </row>
    <row r="1895" spans="3:25" ht="12" customHeight="1">
      <c r="C1895" s="343" t="str">
        <f t="shared" ca="1" si="159"/>
        <v/>
      </c>
      <c r="D1895" s="124"/>
      <c r="E1895" s="124"/>
      <c r="F1895" s="172"/>
      <c r="G1895" s="173"/>
      <c r="H1895" s="249"/>
      <c r="I1895" s="249"/>
      <c r="J1895" s="249"/>
      <c r="K1895" s="249"/>
      <c r="L1895" s="249"/>
      <c r="M1895" s="249"/>
      <c r="N1895" s="250"/>
      <c r="O1895" s="250"/>
      <c r="P1895" s="250"/>
      <c r="Q1895" s="198"/>
      <c r="R1895" s="198"/>
      <c r="S1895" s="249"/>
      <c r="T1895" s="249"/>
      <c r="U1895" s="172"/>
      <c r="V1895" s="343"/>
      <c r="W1895" s="139"/>
      <c r="Y1895" s="1"/>
    </row>
    <row r="1896" spans="3:25" ht="12" customHeight="1">
      <c r="C1896" s="342" t="str">
        <f t="shared" ca="1" si="159"/>
        <v/>
      </c>
      <c r="D1896" s="153"/>
      <c r="E1896" s="153"/>
      <c r="F1896" s="170"/>
      <c r="G1896" s="171"/>
      <c r="H1896" s="247"/>
      <c r="I1896" s="247"/>
      <c r="J1896" s="247"/>
      <c r="K1896" s="247"/>
      <c r="L1896" s="247"/>
      <c r="M1896" s="247"/>
      <c r="N1896" s="247"/>
      <c r="O1896" s="247"/>
      <c r="P1896" s="247"/>
      <c r="Q1896" s="248"/>
      <c r="R1896" s="248"/>
      <c r="S1896" s="247"/>
      <c r="T1896" s="247"/>
      <c r="U1896" s="218"/>
      <c r="V1896" s="342"/>
      <c r="W1896" s="139"/>
      <c r="Y1896" s="1"/>
    </row>
    <row r="1897" spans="3:25" ht="12" customHeight="1">
      <c r="C1897" s="343" t="str">
        <f t="shared" ca="1" si="159"/>
        <v/>
      </c>
      <c r="D1897" s="124"/>
      <c r="E1897" s="124"/>
      <c r="F1897" s="172"/>
      <c r="G1897" s="173"/>
      <c r="H1897" s="249"/>
      <c r="I1897" s="249"/>
      <c r="J1897" s="249"/>
      <c r="K1897" s="249"/>
      <c r="L1897" s="249"/>
      <c r="M1897" s="249"/>
      <c r="N1897" s="250"/>
      <c r="O1897" s="250"/>
      <c r="P1897" s="250"/>
      <c r="Q1897" s="198"/>
      <c r="R1897" s="198"/>
      <c r="S1897" s="249"/>
      <c r="T1897" s="249"/>
      <c r="U1897" s="172"/>
      <c r="V1897" s="343"/>
      <c r="W1897" s="139"/>
      <c r="Y1897" s="1"/>
    </row>
    <row r="1898" spans="3:25" ht="12" customHeight="1">
      <c r="C1898" s="342" t="str">
        <f t="shared" ca="1" si="159"/>
        <v/>
      </c>
      <c r="D1898" s="153"/>
      <c r="E1898" s="153"/>
      <c r="F1898" s="170"/>
      <c r="G1898" s="171"/>
      <c r="H1898" s="247"/>
      <c r="I1898" s="247"/>
      <c r="J1898" s="247"/>
      <c r="K1898" s="247"/>
      <c r="L1898" s="247"/>
      <c r="M1898" s="247"/>
      <c r="N1898" s="247"/>
      <c r="O1898" s="247"/>
      <c r="P1898" s="247"/>
      <c r="Q1898" s="248"/>
      <c r="R1898" s="248"/>
      <c r="S1898" s="247"/>
      <c r="T1898" s="247"/>
      <c r="U1898" s="218"/>
      <c r="V1898" s="342"/>
      <c r="W1898" s="139"/>
      <c r="Y1898" s="1"/>
    </row>
    <row r="1899" spans="3:25" ht="12" customHeight="1">
      <c r="C1899" s="343" t="str">
        <f t="shared" ca="1" si="159"/>
        <v/>
      </c>
      <c r="D1899" s="124"/>
      <c r="E1899" s="124"/>
      <c r="F1899" s="172"/>
      <c r="G1899" s="173"/>
      <c r="H1899" s="249"/>
      <c r="I1899" s="249"/>
      <c r="J1899" s="249"/>
      <c r="K1899" s="249"/>
      <c r="L1899" s="249"/>
      <c r="M1899" s="249"/>
      <c r="N1899" s="250"/>
      <c r="O1899" s="250"/>
      <c r="P1899" s="250"/>
      <c r="Q1899" s="198"/>
      <c r="R1899" s="198"/>
      <c r="S1899" s="249"/>
      <c r="T1899" s="249"/>
      <c r="U1899" s="172"/>
      <c r="V1899" s="343"/>
      <c r="W1899" s="139"/>
      <c r="Y1899" s="1"/>
    </row>
    <row r="1900" spans="3:25" ht="12" customHeight="1">
      <c r="C1900" s="342" t="str">
        <f t="shared" ca="1" si="159"/>
        <v/>
      </c>
      <c r="D1900" s="153"/>
      <c r="E1900" s="153"/>
      <c r="F1900" s="170"/>
      <c r="G1900" s="171"/>
      <c r="H1900" s="247"/>
      <c r="I1900" s="247"/>
      <c r="J1900" s="247"/>
      <c r="K1900" s="247"/>
      <c r="L1900" s="247"/>
      <c r="M1900" s="247"/>
      <c r="N1900" s="247"/>
      <c r="O1900" s="247"/>
      <c r="P1900" s="247"/>
      <c r="Q1900" s="248"/>
      <c r="R1900" s="248"/>
      <c r="S1900" s="247"/>
      <c r="T1900" s="247"/>
      <c r="U1900" s="218"/>
      <c r="V1900" s="342"/>
      <c r="W1900" s="139"/>
      <c r="Y1900" s="1"/>
    </row>
    <row r="1901" spans="3:25" ht="12" customHeight="1">
      <c r="C1901" s="343" t="str">
        <f t="shared" ca="1" si="159"/>
        <v/>
      </c>
      <c r="D1901" s="124"/>
      <c r="E1901" s="124"/>
      <c r="F1901" s="172"/>
      <c r="G1901" s="173"/>
      <c r="H1901" s="249"/>
      <c r="I1901" s="249"/>
      <c r="J1901" s="249"/>
      <c r="K1901" s="249"/>
      <c r="L1901" s="249"/>
      <c r="M1901" s="249"/>
      <c r="N1901" s="250"/>
      <c r="O1901" s="250"/>
      <c r="P1901" s="250"/>
      <c r="Q1901" s="198"/>
      <c r="R1901" s="198"/>
      <c r="S1901" s="249"/>
      <c r="T1901" s="249"/>
      <c r="U1901" s="172"/>
      <c r="V1901" s="343"/>
      <c r="W1901" s="139"/>
      <c r="Y1901" s="1"/>
    </row>
    <row r="1902" spans="3:25" ht="12" customHeight="1">
      <c r="C1902" s="342" t="str">
        <f t="shared" ca="1" si="159"/>
        <v/>
      </c>
      <c r="D1902" s="153"/>
      <c r="E1902" s="153"/>
      <c r="F1902" s="170"/>
      <c r="G1902" s="171"/>
      <c r="H1902" s="247"/>
      <c r="I1902" s="247"/>
      <c r="J1902" s="247"/>
      <c r="K1902" s="247"/>
      <c r="L1902" s="247"/>
      <c r="M1902" s="247"/>
      <c r="N1902" s="247"/>
      <c r="O1902" s="247"/>
      <c r="P1902" s="247"/>
      <c r="Q1902" s="248"/>
      <c r="R1902" s="248"/>
      <c r="S1902" s="247"/>
      <c r="T1902" s="247"/>
      <c r="U1902" s="218"/>
      <c r="V1902" s="342"/>
      <c r="W1902" s="139"/>
      <c r="Y1902" s="1"/>
    </row>
    <row r="1903" spans="3:25" ht="12" customHeight="1">
      <c r="C1903" s="343" t="str">
        <f t="shared" ca="1" si="159"/>
        <v/>
      </c>
      <c r="D1903" s="124"/>
      <c r="E1903" s="124"/>
      <c r="F1903" s="172"/>
      <c r="G1903" s="173"/>
      <c r="H1903" s="249"/>
      <c r="I1903" s="249"/>
      <c r="J1903" s="249"/>
      <c r="K1903" s="249"/>
      <c r="L1903" s="249"/>
      <c r="M1903" s="249"/>
      <c r="N1903" s="250"/>
      <c r="O1903" s="250"/>
      <c r="P1903" s="250"/>
      <c r="Q1903" s="198"/>
      <c r="R1903" s="198"/>
      <c r="S1903" s="249"/>
      <c r="T1903" s="249"/>
      <c r="U1903" s="172"/>
      <c r="V1903" s="343"/>
      <c r="W1903" s="139"/>
      <c r="Y1903" s="1"/>
    </row>
    <row r="1904" spans="3:25" ht="12" customHeight="1">
      <c r="C1904" s="342" t="str">
        <f t="shared" ca="1" si="159"/>
        <v/>
      </c>
      <c r="D1904" s="153"/>
      <c r="E1904" s="153"/>
      <c r="F1904" s="170"/>
      <c r="G1904" s="171"/>
      <c r="H1904" s="247"/>
      <c r="I1904" s="247"/>
      <c r="J1904" s="247"/>
      <c r="K1904" s="247"/>
      <c r="L1904" s="247"/>
      <c r="M1904" s="247"/>
      <c r="N1904" s="247"/>
      <c r="O1904" s="247"/>
      <c r="P1904" s="247"/>
      <c r="Q1904" s="248"/>
      <c r="R1904" s="248"/>
      <c r="S1904" s="247"/>
      <c r="T1904" s="247"/>
      <c r="U1904" s="218"/>
      <c r="V1904" s="342"/>
      <c r="W1904" s="139"/>
      <c r="Y1904" s="1"/>
    </row>
    <row r="1905" spans="3:25" ht="12" customHeight="1">
      <c r="C1905" s="343" t="str">
        <f t="shared" ca="1" si="159"/>
        <v/>
      </c>
      <c r="D1905" s="124"/>
      <c r="E1905" s="124"/>
      <c r="F1905" s="172"/>
      <c r="G1905" s="173"/>
      <c r="H1905" s="249"/>
      <c r="I1905" s="249"/>
      <c r="J1905" s="249"/>
      <c r="K1905" s="249"/>
      <c r="L1905" s="249"/>
      <c r="M1905" s="249"/>
      <c r="N1905" s="250"/>
      <c r="O1905" s="250"/>
      <c r="P1905" s="250"/>
      <c r="Q1905" s="198"/>
      <c r="R1905" s="198"/>
      <c r="S1905" s="249"/>
      <c r="T1905" s="249"/>
      <c r="U1905" s="172"/>
      <c r="V1905" s="343"/>
      <c r="W1905" s="139"/>
      <c r="Y1905" s="1"/>
    </row>
    <row r="1906" spans="3:25" ht="12" customHeight="1">
      <c r="C1906" s="342" t="str">
        <f t="shared" ca="1" si="159"/>
        <v/>
      </c>
      <c r="D1906" s="153"/>
      <c r="E1906" s="153"/>
      <c r="F1906" s="170"/>
      <c r="G1906" s="171"/>
      <c r="H1906" s="247"/>
      <c r="I1906" s="247"/>
      <c r="J1906" s="247"/>
      <c r="K1906" s="247"/>
      <c r="L1906" s="247"/>
      <c r="M1906" s="247"/>
      <c r="N1906" s="247"/>
      <c r="O1906" s="247"/>
      <c r="P1906" s="247"/>
      <c r="Q1906" s="248"/>
      <c r="R1906" s="248"/>
      <c r="S1906" s="247"/>
      <c r="T1906" s="247"/>
      <c r="U1906" s="218"/>
      <c r="V1906" s="342"/>
      <c r="W1906" s="139"/>
      <c r="Y1906" s="1"/>
    </row>
    <row r="1907" spans="3:25" ht="12" customHeight="1">
      <c r="C1907" s="343" t="str">
        <f t="shared" ca="1" si="159"/>
        <v/>
      </c>
      <c r="D1907" s="124"/>
      <c r="E1907" s="124"/>
      <c r="F1907" s="172"/>
      <c r="G1907" s="173"/>
      <c r="H1907" s="249"/>
      <c r="I1907" s="249"/>
      <c r="J1907" s="249"/>
      <c r="K1907" s="249"/>
      <c r="L1907" s="249"/>
      <c r="M1907" s="249"/>
      <c r="N1907" s="250"/>
      <c r="O1907" s="250"/>
      <c r="P1907" s="250"/>
      <c r="Q1907" s="198"/>
      <c r="R1907" s="198"/>
      <c r="S1907" s="249"/>
      <c r="T1907" s="249"/>
      <c r="U1907" s="172"/>
      <c r="V1907" s="343"/>
      <c r="W1907" s="139"/>
      <c r="Y1907" s="1"/>
    </row>
    <row r="1908" spans="3:25" ht="12" customHeight="1">
      <c r="C1908" s="342" t="str">
        <f t="shared" ca="1" si="159"/>
        <v/>
      </c>
      <c r="D1908" s="153"/>
      <c r="E1908" s="153"/>
      <c r="F1908" s="170"/>
      <c r="G1908" s="171"/>
      <c r="H1908" s="247"/>
      <c r="I1908" s="247"/>
      <c r="J1908" s="247"/>
      <c r="K1908" s="247"/>
      <c r="L1908" s="247"/>
      <c r="M1908" s="247"/>
      <c r="N1908" s="247"/>
      <c r="O1908" s="247"/>
      <c r="P1908" s="247"/>
      <c r="Q1908" s="248"/>
      <c r="R1908" s="248"/>
      <c r="S1908" s="247"/>
      <c r="T1908" s="247"/>
      <c r="U1908" s="218"/>
      <c r="V1908" s="342"/>
      <c r="W1908" s="139"/>
      <c r="Y1908" s="1"/>
    </row>
    <row r="1909" spans="3:25" ht="12" customHeight="1">
      <c r="C1909" s="343" t="str">
        <f t="shared" ca="1" si="159"/>
        <v/>
      </c>
      <c r="D1909" s="124"/>
      <c r="E1909" s="124"/>
      <c r="F1909" s="172"/>
      <c r="G1909" s="173"/>
      <c r="H1909" s="249"/>
      <c r="I1909" s="249"/>
      <c r="J1909" s="249"/>
      <c r="K1909" s="249"/>
      <c r="L1909" s="249"/>
      <c r="M1909" s="249"/>
      <c r="N1909" s="250"/>
      <c r="O1909" s="250"/>
      <c r="P1909" s="250"/>
      <c r="Q1909" s="198"/>
      <c r="R1909" s="198"/>
      <c r="S1909" s="249"/>
      <c r="T1909" s="249"/>
      <c r="U1909" s="172"/>
      <c r="V1909" s="343"/>
      <c r="W1909" s="139"/>
      <c r="Y1909" s="1"/>
    </row>
    <row r="1910" spans="3:25" ht="12" customHeight="1">
      <c r="C1910" s="342" t="str">
        <f t="shared" ca="1" si="159"/>
        <v/>
      </c>
      <c r="D1910" s="153"/>
      <c r="E1910" s="153"/>
      <c r="F1910" s="170"/>
      <c r="G1910" s="171"/>
      <c r="H1910" s="247"/>
      <c r="I1910" s="247"/>
      <c r="J1910" s="247"/>
      <c r="K1910" s="247"/>
      <c r="L1910" s="247"/>
      <c r="M1910" s="247"/>
      <c r="N1910" s="247"/>
      <c r="O1910" s="247"/>
      <c r="P1910" s="247"/>
      <c r="Q1910" s="248"/>
      <c r="R1910" s="248"/>
      <c r="S1910" s="247"/>
      <c r="T1910" s="247"/>
      <c r="U1910" s="218"/>
      <c r="V1910" s="342"/>
      <c r="W1910" s="139"/>
      <c r="Y1910" s="1"/>
    </row>
    <row r="1911" spans="3:25" ht="12" customHeight="1">
      <c r="C1911" s="343" t="str">
        <f t="shared" ca="1" si="159"/>
        <v/>
      </c>
      <c r="D1911" s="124"/>
      <c r="E1911" s="124"/>
      <c r="F1911" s="172"/>
      <c r="G1911" s="173"/>
      <c r="H1911" s="249"/>
      <c r="I1911" s="249"/>
      <c r="J1911" s="249"/>
      <c r="K1911" s="249"/>
      <c r="L1911" s="249"/>
      <c r="M1911" s="249"/>
      <c r="N1911" s="250"/>
      <c r="O1911" s="250"/>
      <c r="P1911" s="250"/>
      <c r="Q1911" s="198"/>
      <c r="R1911" s="198"/>
      <c r="S1911" s="249"/>
      <c r="T1911" s="249"/>
      <c r="U1911" s="172"/>
      <c r="V1911" s="343"/>
      <c r="W1911" s="139"/>
      <c r="Y1911" s="1"/>
    </row>
    <row r="1912" spans="3:25" ht="12" customHeight="1">
      <c r="C1912" s="342" t="str">
        <f t="shared" ca="1" si="159"/>
        <v/>
      </c>
      <c r="D1912" s="153"/>
      <c r="E1912" s="153"/>
      <c r="F1912" s="170"/>
      <c r="G1912" s="171"/>
      <c r="H1912" s="247"/>
      <c r="I1912" s="247"/>
      <c r="J1912" s="247"/>
      <c r="K1912" s="247"/>
      <c r="L1912" s="247"/>
      <c r="M1912" s="247"/>
      <c r="N1912" s="247"/>
      <c r="O1912" s="247"/>
      <c r="P1912" s="247"/>
      <c r="Q1912" s="248"/>
      <c r="R1912" s="248"/>
      <c r="S1912" s="247"/>
      <c r="T1912" s="247"/>
      <c r="U1912" s="218"/>
      <c r="V1912" s="342"/>
      <c r="W1912" s="139"/>
      <c r="Y1912" s="1"/>
    </row>
    <row r="1913" spans="3:25" ht="12" customHeight="1">
      <c r="C1913" s="343" t="str">
        <f t="shared" ca="1" si="159"/>
        <v/>
      </c>
      <c r="D1913" s="124"/>
      <c r="E1913" s="124"/>
      <c r="F1913" s="172"/>
      <c r="G1913" s="173"/>
      <c r="H1913" s="249"/>
      <c r="I1913" s="249"/>
      <c r="J1913" s="249"/>
      <c r="K1913" s="249"/>
      <c r="L1913" s="249"/>
      <c r="M1913" s="249"/>
      <c r="N1913" s="250"/>
      <c r="O1913" s="250"/>
      <c r="P1913" s="250"/>
      <c r="Q1913" s="198"/>
      <c r="R1913" s="198"/>
      <c r="S1913" s="249"/>
      <c r="T1913" s="249"/>
      <c r="U1913" s="172"/>
      <c r="V1913" s="343"/>
      <c r="W1913" s="139"/>
      <c r="Y1913" s="1"/>
    </row>
    <row r="1914" spans="3:25" ht="12" customHeight="1">
      <c r="C1914" s="342" t="str">
        <f t="shared" ca="1" si="159"/>
        <v/>
      </c>
      <c r="D1914" s="153"/>
      <c r="E1914" s="153"/>
      <c r="F1914" s="170"/>
      <c r="G1914" s="171"/>
      <c r="H1914" s="247"/>
      <c r="I1914" s="247"/>
      <c r="J1914" s="247"/>
      <c r="K1914" s="247"/>
      <c r="L1914" s="247"/>
      <c r="M1914" s="247"/>
      <c r="N1914" s="247"/>
      <c r="O1914" s="247"/>
      <c r="P1914" s="247"/>
      <c r="Q1914" s="248"/>
      <c r="R1914" s="248"/>
      <c r="S1914" s="247"/>
      <c r="T1914" s="247"/>
      <c r="U1914" s="218"/>
      <c r="V1914" s="342"/>
      <c r="W1914" s="139"/>
      <c r="Y1914" s="1"/>
    </row>
    <row r="1915" spans="3:25" ht="12" customHeight="1">
      <c r="C1915" s="343" t="str">
        <f t="shared" ca="1" si="159"/>
        <v/>
      </c>
      <c r="D1915" s="124"/>
      <c r="E1915" s="124"/>
      <c r="F1915" s="172"/>
      <c r="G1915" s="173"/>
      <c r="H1915" s="249"/>
      <c r="I1915" s="249"/>
      <c r="J1915" s="249"/>
      <c r="K1915" s="249"/>
      <c r="L1915" s="249"/>
      <c r="M1915" s="249"/>
      <c r="N1915" s="250"/>
      <c r="O1915" s="250"/>
      <c r="P1915" s="250"/>
      <c r="Q1915" s="198"/>
      <c r="R1915" s="198"/>
      <c r="S1915" s="249"/>
      <c r="T1915" s="249"/>
      <c r="U1915" s="172"/>
      <c r="V1915" s="343"/>
      <c r="W1915" s="139"/>
      <c r="Y1915" s="1"/>
    </row>
    <row r="1916" spans="3:25" ht="12" customHeight="1">
      <c r="C1916" s="342" t="str">
        <f t="shared" ca="1" si="159"/>
        <v/>
      </c>
      <c r="D1916" s="153"/>
      <c r="E1916" s="153"/>
      <c r="F1916" s="170"/>
      <c r="G1916" s="171"/>
      <c r="H1916" s="247"/>
      <c r="I1916" s="247"/>
      <c r="J1916" s="247"/>
      <c r="K1916" s="247"/>
      <c r="L1916" s="247"/>
      <c r="M1916" s="247"/>
      <c r="N1916" s="247"/>
      <c r="O1916" s="247"/>
      <c r="P1916" s="247"/>
      <c r="Q1916" s="248"/>
      <c r="R1916" s="248"/>
      <c r="S1916" s="247"/>
      <c r="T1916" s="247"/>
      <c r="U1916" s="218"/>
      <c r="V1916" s="342"/>
      <c r="W1916" s="139"/>
      <c r="Y1916" s="1"/>
    </row>
    <row r="1917" spans="3:25" ht="12" customHeight="1">
      <c r="C1917" s="343" t="str">
        <f t="shared" ca="1" si="159"/>
        <v/>
      </c>
      <c r="D1917" s="124"/>
      <c r="E1917" s="124"/>
      <c r="F1917" s="172"/>
      <c r="G1917" s="173"/>
      <c r="H1917" s="249"/>
      <c r="I1917" s="249"/>
      <c r="J1917" s="249"/>
      <c r="K1917" s="249"/>
      <c r="L1917" s="249"/>
      <c r="M1917" s="249"/>
      <c r="N1917" s="250"/>
      <c r="O1917" s="250"/>
      <c r="P1917" s="250"/>
      <c r="Q1917" s="198"/>
      <c r="R1917" s="198"/>
      <c r="S1917" s="249"/>
      <c r="T1917" s="249"/>
      <c r="U1917" s="172"/>
      <c r="V1917" s="343"/>
      <c r="W1917" s="139"/>
      <c r="Y1917" s="1"/>
    </row>
    <row r="1918" spans="3:25" ht="12" customHeight="1">
      <c r="C1918" s="342" t="str">
        <f t="shared" ca="1" si="159"/>
        <v/>
      </c>
      <c r="D1918" s="153"/>
      <c r="E1918" s="153"/>
      <c r="F1918" s="170"/>
      <c r="G1918" s="171"/>
      <c r="H1918" s="247"/>
      <c r="I1918" s="247"/>
      <c r="J1918" s="247"/>
      <c r="K1918" s="247"/>
      <c r="L1918" s="247"/>
      <c r="M1918" s="247"/>
      <c r="N1918" s="247"/>
      <c r="O1918" s="247"/>
      <c r="P1918" s="247"/>
      <c r="Q1918" s="248"/>
      <c r="R1918" s="248"/>
      <c r="S1918" s="247"/>
      <c r="T1918" s="247"/>
      <c r="U1918" s="218"/>
      <c r="V1918" s="342"/>
      <c r="W1918" s="139"/>
      <c r="Y1918" s="1"/>
    </row>
    <row r="1919" spans="3:25" ht="12" customHeight="1">
      <c r="C1919" s="343" t="str">
        <f t="shared" ca="1" si="159"/>
        <v/>
      </c>
      <c r="D1919" s="124"/>
      <c r="E1919" s="124"/>
      <c r="F1919" s="172"/>
      <c r="G1919" s="173"/>
      <c r="H1919" s="249"/>
      <c r="I1919" s="249"/>
      <c r="J1919" s="249"/>
      <c r="K1919" s="249"/>
      <c r="L1919" s="249"/>
      <c r="M1919" s="249"/>
      <c r="N1919" s="250"/>
      <c r="O1919" s="250"/>
      <c r="P1919" s="250"/>
      <c r="Q1919" s="198"/>
      <c r="R1919" s="198"/>
      <c r="S1919" s="249"/>
      <c r="T1919" s="249"/>
      <c r="U1919" s="172"/>
      <c r="V1919" s="343"/>
      <c r="W1919" s="139"/>
      <c r="Y1919" s="1"/>
    </row>
    <row r="1920" spans="3:25" ht="12" customHeight="1">
      <c r="C1920" s="342" t="str">
        <f t="shared" ca="1" si="159"/>
        <v/>
      </c>
      <c r="D1920" s="153"/>
      <c r="E1920" s="153"/>
      <c r="F1920" s="170"/>
      <c r="G1920" s="171"/>
      <c r="H1920" s="247"/>
      <c r="I1920" s="247"/>
      <c r="J1920" s="247"/>
      <c r="K1920" s="247"/>
      <c r="L1920" s="247"/>
      <c r="M1920" s="247"/>
      <c r="N1920" s="247"/>
      <c r="O1920" s="247"/>
      <c r="P1920" s="247"/>
      <c r="Q1920" s="248"/>
      <c r="R1920" s="248"/>
      <c r="S1920" s="247"/>
      <c r="T1920" s="247"/>
      <c r="U1920" s="218"/>
      <c r="V1920" s="342"/>
      <c r="W1920" s="139"/>
      <c r="Y1920" s="1"/>
    </row>
    <row r="1921" spans="3:25" ht="12" customHeight="1">
      <c r="C1921" s="343" t="str">
        <f t="shared" ca="1" si="159"/>
        <v/>
      </c>
      <c r="D1921" s="124"/>
      <c r="E1921" s="124"/>
      <c r="F1921" s="172"/>
      <c r="G1921" s="173"/>
      <c r="H1921" s="249"/>
      <c r="I1921" s="249"/>
      <c r="J1921" s="249"/>
      <c r="K1921" s="249"/>
      <c r="L1921" s="249"/>
      <c r="M1921" s="249"/>
      <c r="N1921" s="250"/>
      <c r="O1921" s="250"/>
      <c r="P1921" s="250"/>
      <c r="Q1921" s="198"/>
      <c r="R1921" s="198"/>
      <c r="S1921" s="249"/>
      <c r="T1921" s="249"/>
      <c r="U1921" s="172"/>
      <c r="V1921" s="343"/>
      <c r="W1921" s="139"/>
      <c r="Y1921" s="1"/>
    </row>
    <row r="1922" spans="3:25" ht="12" customHeight="1">
      <c r="C1922" s="342" t="str">
        <f t="shared" ca="1" si="159"/>
        <v/>
      </c>
      <c r="D1922" s="153"/>
      <c r="E1922" s="153"/>
      <c r="F1922" s="170"/>
      <c r="G1922" s="171"/>
      <c r="H1922" s="247"/>
      <c r="I1922" s="247"/>
      <c r="J1922" s="247"/>
      <c r="K1922" s="247"/>
      <c r="L1922" s="247"/>
      <c r="M1922" s="247"/>
      <c r="N1922" s="247"/>
      <c r="O1922" s="247"/>
      <c r="P1922" s="247"/>
      <c r="Q1922" s="248"/>
      <c r="R1922" s="248"/>
      <c r="S1922" s="247"/>
      <c r="T1922" s="247"/>
      <c r="U1922" s="218"/>
      <c r="V1922" s="342"/>
      <c r="W1922" s="139"/>
      <c r="Y1922" s="1"/>
    </row>
    <row r="1923" spans="3:25" ht="12" customHeight="1">
      <c r="C1923" s="343" t="str">
        <f t="shared" ca="1" si="159"/>
        <v/>
      </c>
      <c r="D1923" s="124"/>
      <c r="E1923" s="124"/>
      <c r="F1923" s="172"/>
      <c r="G1923" s="173"/>
      <c r="H1923" s="249"/>
      <c r="I1923" s="249"/>
      <c r="J1923" s="249"/>
      <c r="K1923" s="249"/>
      <c r="L1923" s="249"/>
      <c r="M1923" s="249"/>
      <c r="N1923" s="250"/>
      <c r="O1923" s="250"/>
      <c r="P1923" s="250"/>
      <c r="Q1923" s="198"/>
      <c r="R1923" s="198"/>
      <c r="S1923" s="249"/>
      <c r="T1923" s="249"/>
      <c r="U1923" s="172"/>
      <c r="V1923" s="343"/>
      <c r="W1923" s="139"/>
      <c r="Y1923" s="1"/>
    </row>
    <row r="1924" spans="3:25" ht="12" customHeight="1">
      <c r="C1924" s="342" t="str">
        <f t="shared" ca="1" si="159"/>
        <v/>
      </c>
      <c r="D1924" s="153"/>
      <c r="E1924" s="153"/>
      <c r="F1924" s="170"/>
      <c r="G1924" s="171"/>
      <c r="H1924" s="247"/>
      <c r="I1924" s="247"/>
      <c r="J1924" s="247"/>
      <c r="K1924" s="247"/>
      <c r="L1924" s="247"/>
      <c r="M1924" s="247"/>
      <c r="N1924" s="247"/>
      <c r="O1924" s="247"/>
      <c r="P1924" s="247"/>
      <c r="Q1924" s="248"/>
      <c r="R1924" s="248"/>
      <c r="S1924" s="247"/>
      <c r="T1924" s="247"/>
      <c r="U1924" s="218"/>
      <c r="V1924" s="342"/>
      <c r="W1924" s="139"/>
      <c r="Y1924" s="1"/>
    </row>
    <row r="1925" spans="3:25" ht="12" customHeight="1">
      <c r="C1925" s="343" t="str">
        <f t="shared" ca="1" si="159"/>
        <v/>
      </c>
      <c r="D1925" s="124"/>
      <c r="E1925" s="124"/>
      <c r="F1925" s="172"/>
      <c r="G1925" s="173"/>
      <c r="H1925" s="249"/>
      <c r="I1925" s="249"/>
      <c r="J1925" s="249"/>
      <c r="K1925" s="249"/>
      <c r="L1925" s="249"/>
      <c r="M1925" s="249"/>
      <c r="N1925" s="250"/>
      <c r="O1925" s="250"/>
      <c r="P1925" s="250"/>
      <c r="Q1925" s="198"/>
      <c r="R1925" s="198"/>
      <c r="S1925" s="249"/>
      <c r="T1925" s="249"/>
      <c r="U1925" s="172"/>
      <c r="V1925" s="343"/>
      <c r="W1925" s="139"/>
      <c r="Y1925" s="1"/>
    </row>
    <row r="1926" spans="3:25" ht="12" customHeight="1">
      <c r="C1926" s="342" t="str">
        <f t="shared" ca="1" si="159"/>
        <v/>
      </c>
      <c r="D1926" s="153"/>
      <c r="E1926" s="153"/>
      <c r="F1926" s="170"/>
      <c r="G1926" s="171"/>
      <c r="H1926" s="247"/>
      <c r="I1926" s="247"/>
      <c r="J1926" s="247"/>
      <c r="K1926" s="247"/>
      <c r="L1926" s="247"/>
      <c r="M1926" s="247"/>
      <c r="N1926" s="247"/>
      <c r="O1926" s="247"/>
      <c r="P1926" s="247"/>
      <c r="Q1926" s="248"/>
      <c r="R1926" s="248"/>
      <c r="S1926" s="247"/>
      <c r="T1926" s="247"/>
      <c r="U1926" s="218"/>
      <c r="V1926" s="342"/>
      <c r="W1926" s="139"/>
      <c r="Y1926" s="1"/>
    </row>
    <row r="1927" spans="3:25" ht="12" customHeight="1">
      <c r="C1927" s="343" t="str">
        <f t="shared" ca="1" si="159"/>
        <v/>
      </c>
      <c r="D1927" s="124"/>
      <c r="E1927" s="124"/>
      <c r="F1927" s="172"/>
      <c r="G1927" s="173"/>
      <c r="H1927" s="249"/>
      <c r="I1927" s="249"/>
      <c r="J1927" s="249"/>
      <c r="K1927" s="249"/>
      <c r="L1927" s="249"/>
      <c r="M1927" s="249"/>
      <c r="N1927" s="250"/>
      <c r="O1927" s="250"/>
      <c r="P1927" s="250"/>
      <c r="Q1927" s="198"/>
      <c r="R1927" s="198"/>
      <c r="S1927" s="249"/>
      <c r="T1927" s="249"/>
      <c r="U1927" s="172"/>
      <c r="V1927" s="343"/>
      <c r="W1927" s="139"/>
      <c r="Y1927" s="1"/>
    </row>
    <row r="1928" spans="3:25" ht="12" customHeight="1">
      <c r="C1928" s="342" t="str">
        <f t="shared" ca="1" si="159"/>
        <v/>
      </c>
      <c r="D1928" s="153"/>
      <c r="E1928" s="153"/>
      <c r="F1928" s="170"/>
      <c r="G1928" s="171"/>
      <c r="H1928" s="247"/>
      <c r="I1928" s="247"/>
      <c r="J1928" s="247"/>
      <c r="K1928" s="247"/>
      <c r="L1928" s="247"/>
      <c r="M1928" s="247"/>
      <c r="N1928" s="247"/>
      <c r="O1928" s="247"/>
      <c r="P1928" s="247"/>
      <c r="Q1928" s="248"/>
      <c r="R1928" s="248"/>
      <c r="S1928" s="247"/>
      <c r="T1928" s="247"/>
      <c r="U1928" s="218"/>
      <c r="V1928" s="342"/>
      <c r="W1928" s="139"/>
      <c r="Y1928" s="1"/>
    </row>
    <row r="1929" spans="3:25" ht="12" customHeight="1">
      <c r="C1929" s="343" t="str">
        <f t="shared" ca="1" si="159"/>
        <v/>
      </c>
      <c r="D1929" s="124"/>
      <c r="E1929" s="124"/>
      <c r="F1929" s="172"/>
      <c r="G1929" s="173"/>
      <c r="H1929" s="249"/>
      <c r="I1929" s="249"/>
      <c r="J1929" s="249"/>
      <c r="K1929" s="249"/>
      <c r="L1929" s="249"/>
      <c r="M1929" s="249"/>
      <c r="N1929" s="250"/>
      <c r="O1929" s="250"/>
      <c r="P1929" s="250"/>
      <c r="Q1929" s="198"/>
      <c r="R1929" s="198"/>
      <c r="S1929" s="249"/>
      <c r="T1929" s="249"/>
      <c r="U1929" s="172"/>
      <c r="V1929" s="343"/>
      <c r="W1929" s="139"/>
      <c r="Y1929" s="1"/>
    </row>
    <row r="1930" spans="3:25" ht="12" customHeight="1">
      <c r="C1930" s="342" t="str">
        <f t="shared" ca="1" si="159"/>
        <v/>
      </c>
      <c r="D1930" s="153"/>
      <c r="E1930" s="153"/>
      <c r="F1930" s="170"/>
      <c r="G1930" s="171"/>
      <c r="H1930" s="247"/>
      <c r="I1930" s="247"/>
      <c r="J1930" s="247"/>
      <c r="K1930" s="247"/>
      <c r="L1930" s="247"/>
      <c r="M1930" s="247"/>
      <c r="N1930" s="247"/>
      <c r="O1930" s="247"/>
      <c r="P1930" s="247"/>
      <c r="Q1930" s="248"/>
      <c r="R1930" s="248"/>
      <c r="S1930" s="247"/>
      <c r="T1930" s="247"/>
      <c r="U1930" s="218"/>
      <c r="V1930" s="342"/>
      <c r="W1930" s="139"/>
      <c r="Y1930" s="1"/>
    </row>
    <row r="1931" spans="3:25" ht="12" customHeight="1">
      <c r="C1931" s="343" t="str">
        <f t="shared" ca="1" si="159"/>
        <v/>
      </c>
      <c r="D1931" s="124"/>
      <c r="E1931" s="124"/>
      <c r="F1931" s="172"/>
      <c r="G1931" s="173"/>
      <c r="H1931" s="249"/>
      <c r="I1931" s="249"/>
      <c r="J1931" s="249"/>
      <c r="K1931" s="249"/>
      <c r="L1931" s="249"/>
      <c r="M1931" s="249"/>
      <c r="N1931" s="250"/>
      <c r="O1931" s="250"/>
      <c r="P1931" s="250"/>
      <c r="Q1931" s="198"/>
      <c r="R1931" s="198"/>
      <c r="S1931" s="249"/>
      <c r="T1931" s="249"/>
      <c r="U1931" s="172"/>
      <c r="V1931" s="343"/>
      <c r="W1931" s="139"/>
      <c r="Y1931" s="1"/>
    </row>
    <row r="1932" spans="3:25" ht="12" customHeight="1">
      <c r="C1932" s="342" t="str">
        <f t="shared" ca="1" si="159"/>
        <v/>
      </c>
      <c r="D1932" s="153"/>
      <c r="E1932" s="153"/>
      <c r="F1932" s="170"/>
      <c r="G1932" s="171"/>
      <c r="H1932" s="247"/>
      <c r="I1932" s="247"/>
      <c r="J1932" s="247"/>
      <c r="K1932" s="247"/>
      <c r="L1932" s="247"/>
      <c r="M1932" s="247"/>
      <c r="N1932" s="247"/>
      <c r="O1932" s="247"/>
      <c r="P1932" s="247"/>
      <c r="Q1932" s="248"/>
      <c r="R1932" s="248"/>
      <c r="S1932" s="247"/>
      <c r="T1932" s="247"/>
      <c r="U1932" s="218"/>
      <c r="V1932" s="342"/>
      <c r="W1932" s="139"/>
      <c r="Y1932" s="1"/>
    </row>
    <row r="1933" spans="3:25" ht="12" customHeight="1">
      <c r="C1933" s="343" t="str">
        <f t="shared" ca="1" si="159"/>
        <v/>
      </c>
      <c r="D1933" s="124"/>
      <c r="E1933" s="124"/>
      <c r="F1933" s="172"/>
      <c r="G1933" s="173"/>
      <c r="H1933" s="249"/>
      <c r="I1933" s="249"/>
      <c r="J1933" s="249"/>
      <c r="K1933" s="249"/>
      <c r="L1933" s="249"/>
      <c r="M1933" s="249"/>
      <c r="N1933" s="250"/>
      <c r="O1933" s="250"/>
      <c r="P1933" s="250"/>
      <c r="Q1933" s="198"/>
      <c r="R1933" s="198"/>
      <c r="S1933" s="249"/>
      <c r="T1933" s="249"/>
      <c r="U1933" s="172"/>
      <c r="V1933" s="343"/>
      <c r="W1933" s="139"/>
      <c r="Y1933" s="1"/>
    </row>
    <row r="1934" spans="3:25" ht="12" customHeight="1">
      <c r="C1934" s="342" t="str">
        <f t="shared" ref="C1934:C1997" ca="1" si="160">IF(ROW()-13&lt;=MAX(series),ROW()-13,"")</f>
        <v/>
      </c>
      <c r="D1934" s="153"/>
      <c r="E1934" s="153"/>
      <c r="F1934" s="170"/>
      <c r="G1934" s="171"/>
      <c r="H1934" s="247"/>
      <c r="I1934" s="247"/>
      <c r="J1934" s="247"/>
      <c r="K1934" s="247"/>
      <c r="L1934" s="247"/>
      <c r="M1934" s="247"/>
      <c r="N1934" s="247"/>
      <c r="O1934" s="247"/>
      <c r="P1934" s="247"/>
      <c r="Q1934" s="248"/>
      <c r="R1934" s="248"/>
      <c r="S1934" s="247"/>
      <c r="T1934" s="247"/>
      <c r="U1934" s="218"/>
      <c r="V1934" s="342"/>
      <c r="W1934" s="139"/>
      <c r="Y1934" s="1"/>
    </row>
    <row r="1935" spans="3:25" ht="12" customHeight="1">
      <c r="C1935" s="343" t="str">
        <f t="shared" ca="1" si="160"/>
        <v/>
      </c>
      <c r="D1935" s="124"/>
      <c r="E1935" s="124"/>
      <c r="F1935" s="172"/>
      <c r="G1935" s="173"/>
      <c r="H1935" s="249"/>
      <c r="I1935" s="249"/>
      <c r="J1935" s="249"/>
      <c r="K1935" s="249"/>
      <c r="L1935" s="249"/>
      <c r="M1935" s="249"/>
      <c r="N1935" s="250"/>
      <c r="O1935" s="250"/>
      <c r="P1935" s="250"/>
      <c r="Q1935" s="198"/>
      <c r="R1935" s="198"/>
      <c r="S1935" s="249"/>
      <c r="T1935" s="249"/>
      <c r="U1935" s="172"/>
      <c r="V1935" s="343"/>
      <c r="W1935" s="139"/>
      <c r="Y1935" s="1"/>
    </row>
    <row r="1936" spans="3:25" ht="12" customHeight="1">
      <c r="C1936" s="342" t="str">
        <f t="shared" ca="1" si="160"/>
        <v/>
      </c>
      <c r="D1936" s="153"/>
      <c r="E1936" s="153"/>
      <c r="F1936" s="170"/>
      <c r="G1936" s="171"/>
      <c r="H1936" s="247"/>
      <c r="I1936" s="247"/>
      <c r="J1936" s="247"/>
      <c r="K1936" s="247"/>
      <c r="L1936" s="247"/>
      <c r="M1936" s="247"/>
      <c r="N1936" s="247"/>
      <c r="O1936" s="247"/>
      <c r="P1936" s="247"/>
      <c r="Q1936" s="248"/>
      <c r="R1936" s="248"/>
      <c r="S1936" s="247"/>
      <c r="T1936" s="247"/>
      <c r="U1936" s="218"/>
      <c r="V1936" s="342"/>
      <c r="W1936" s="139"/>
      <c r="Y1936" s="1"/>
    </row>
    <row r="1937" spans="3:25" ht="12" customHeight="1">
      <c r="C1937" s="343" t="str">
        <f t="shared" ca="1" si="160"/>
        <v/>
      </c>
      <c r="D1937" s="124"/>
      <c r="E1937" s="124"/>
      <c r="F1937" s="172"/>
      <c r="G1937" s="173"/>
      <c r="H1937" s="249"/>
      <c r="I1937" s="249"/>
      <c r="J1937" s="249"/>
      <c r="K1937" s="249"/>
      <c r="L1937" s="249"/>
      <c r="M1937" s="249"/>
      <c r="N1937" s="250"/>
      <c r="O1937" s="250"/>
      <c r="P1937" s="250"/>
      <c r="Q1937" s="198"/>
      <c r="R1937" s="198"/>
      <c r="S1937" s="249"/>
      <c r="T1937" s="249"/>
      <c r="U1937" s="172"/>
      <c r="V1937" s="343"/>
      <c r="W1937" s="139"/>
      <c r="Y1937" s="1"/>
    </row>
    <row r="1938" spans="3:25" ht="12" customHeight="1">
      <c r="C1938" s="342" t="str">
        <f t="shared" ca="1" si="160"/>
        <v/>
      </c>
      <c r="D1938" s="153"/>
      <c r="E1938" s="153"/>
      <c r="F1938" s="170"/>
      <c r="G1938" s="171"/>
      <c r="H1938" s="247"/>
      <c r="I1938" s="247"/>
      <c r="J1938" s="247"/>
      <c r="K1938" s="247"/>
      <c r="L1938" s="247"/>
      <c r="M1938" s="247"/>
      <c r="N1938" s="247"/>
      <c r="O1938" s="247"/>
      <c r="P1938" s="247"/>
      <c r="Q1938" s="248"/>
      <c r="R1938" s="248"/>
      <c r="S1938" s="247"/>
      <c r="T1938" s="247"/>
      <c r="U1938" s="218"/>
      <c r="V1938" s="342"/>
      <c r="W1938" s="139"/>
      <c r="Y1938" s="1"/>
    </row>
    <row r="1939" spans="3:25" ht="12" customHeight="1">
      <c r="C1939" s="343" t="str">
        <f t="shared" ca="1" si="160"/>
        <v/>
      </c>
      <c r="D1939" s="124"/>
      <c r="E1939" s="124"/>
      <c r="F1939" s="172"/>
      <c r="G1939" s="173"/>
      <c r="H1939" s="249"/>
      <c r="I1939" s="249"/>
      <c r="J1939" s="249"/>
      <c r="K1939" s="249"/>
      <c r="L1939" s="249"/>
      <c r="M1939" s="249"/>
      <c r="N1939" s="250"/>
      <c r="O1939" s="250"/>
      <c r="P1939" s="250"/>
      <c r="Q1939" s="198"/>
      <c r="R1939" s="198"/>
      <c r="S1939" s="249"/>
      <c r="T1939" s="249"/>
      <c r="U1939" s="172"/>
      <c r="V1939" s="343"/>
      <c r="W1939" s="139"/>
      <c r="Y1939" s="1"/>
    </row>
    <row r="1940" spans="3:25" ht="12" customHeight="1">
      <c r="C1940" s="342" t="str">
        <f t="shared" ca="1" si="160"/>
        <v/>
      </c>
      <c r="D1940" s="153"/>
      <c r="E1940" s="153"/>
      <c r="F1940" s="170"/>
      <c r="G1940" s="171"/>
      <c r="H1940" s="247"/>
      <c r="I1940" s="247"/>
      <c r="J1940" s="247"/>
      <c r="K1940" s="247"/>
      <c r="L1940" s="247"/>
      <c r="M1940" s="247"/>
      <c r="N1940" s="247"/>
      <c r="O1940" s="247"/>
      <c r="P1940" s="247"/>
      <c r="Q1940" s="248"/>
      <c r="R1940" s="248"/>
      <c r="S1940" s="247"/>
      <c r="T1940" s="247"/>
      <c r="U1940" s="218"/>
      <c r="V1940" s="342"/>
      <c r="W1940" s="139"/>
      <c r="Y1940" s="1"/>
    </row>
    <row r="1941" spans="3:25" ht="12" customHeight="1">
      <c r="C1941" s="343" t="str">
        <f t="shared" ca="1" si="160"/>
        <v/>
      </c>
      <c r="D1941" s="124"/>
      <c r="E1941" s="124"/>
      <c r="F1941" s="172"/>
      <c r="G1941" s="173"/>
      <c r="H1941" s="249"/>
      <c r="I1941" s="249"/>
      <c r="J1941" s="249"/>
      <c r="K1941" s="249"/>
      <c r="L1941" s="249"/>
      <c r="M1941" s="249"/>
      <c r="N1941" s="250"/>
      <c r="O1941" s="250"/>
      <c r="P1941" s="250"/>
      <c r="Q1941" s="198"/>
      <c r="R1941" s="198"/>
      <c r="S1941" s="249"/>
      <c r="T1941" s="249"/>
      <c r="U1941" s="172"/>
      <c r="V1941" s="343"/>
      <c r="W1941" s="139"/>
      <c r="Y1941" s="1"/>
    </row>
    <row r="1942" spans="3:25" ht="12" customHeight="1">
      <c r="C1942" s="342" t="str">
        <f t="shared" ca="1" si="160"/>
        <v/>
      </c>
      <c r="D1942" s="153"/>
      <c r="E1942" s="153"/>
      <c r="F1942" s="170"/>
      <c r="G1942" s="171"/>
      <c r="H1942" s="247"/>
      <c r="I1942" s="247"/>
      <c r="J1942" s="247"/>
      <c r="K1942" s="247"/>
      <c r="L1942" s="247"/>
      <c r="M1942" s="247"/>
      <c r="N1942" s="247"/>
      <c r="O1942" s="247"/>
      <c r="P1942" s="247"/>
      <c r="Q1942" s="248"/>
      <c r="R1942" s="248"/>
      <c r="S1942" s="247"/>
      <c r="T1942" s="247"/>
      <c r="U1942" s="218"/>
      <c r="V1942" s="342"/>
      <c r="W1942" s="139"/>
      <c r="Y1942" s="1"/>
    </row>
    <row r="1943" spans="3:25" ht="12" customHeight="1">
      <c r="C1943" s="343" t="str">
        <f t="shared" ca="1" si="160"/>
        <v/>
      </c>
      <c r="D1943" s="124"/>
      <c r="E1943" s="124"/>
      <c r="F1943" s="172"/>
      <c r="G1943" s="173"/>
      <c r="H1943" s="249"/>
      <c r="I1943" s="249"/>
      <c r="J1943" s="249"/>
      <c r="K1943" s="249"/>
      <c r="L1943" s="249"/>
      <c r="M1943" s="249"/>
      <c r="N1943" s="250"/>
      <c r="O1943" s="250"/>
      <c r="P1943" s="250"/>
      <c r="Q1943" s="198"/>
      <c r="R1943" s="198"/>
      <c r="S1943" s="249"/>
      <c r="T1943" s="249"/>
      <c r="U1943" s="172"/>
      <c r="V1943" s="343"/>
      <c r="W1943" s="139"/>
      <c r="Y1943" s="1"/>
    </row>
    <row r="1944" spans="3:25" ht="12" customHeight="1">
      <c r="C1944" s="342" t="str">
        <f t="shared" ca="1" si="160"/>
        <v/>
      </c>
      <c r="D1944" s="153"/>
      <c r="E1944" s="153"/>
      <c r="F1944" s="170"/>
      <c r="G1944" s="171"/>
      <c r="H1944" s="247"/>
      <c r="I1944" s="247"/>
      <c r="J1944" s="247"/>
      <c r="K1944" s="247"/>
      <c r="L1944" s="247"/>
      <c r="M1944" s="247"/>
      <c r="N1944" s="247"/>
      <c r="O1944" s="247"/>
      <c r="P1944" s="247"/>
      <c r="Q1944" s="248"/>
      <c r="R1944" s="248"/>
      <c r="S1944" s="247"/>
      <c r="T1944" s="247"/>
      <c r="U1944" s="218"/>
      <c r="V1944" s="342"/>
      <c r="W1944" s="139"/>
      <c r="Y1944" s="1"/>
    </row>
    <row r="1945" spans="3:25" ht="12" customHeight="1">
      <c r="C1945" s="343" t="str">
        <f t="shared" ca="1" si="160"/>
        <v/>
      </c>
      <c r="D1945" s="124"/>
      <c r="E1945" s="124"/>
      <c r="F1945" s="172"/>
      <c r="G1945" s="173"/>
      <c r="H1945" s="249"/>
      <c r="I1945" s="249"/>
      <c r="J1945" s="249"/>
      <c r="K1945" s="249"/>
      <c r="L1945" s="249"/>
      <c r="M1945" s="249"/>
      <c r="N1945" s="250"/>
      <c r="O1945" s="250"/>
      <c r="P1945" s="250"/>
      <c r="Q1945" s="198"/>
      <c r="R1945" s="198"/>
      <c r="S1945" s="249"/>
      <c r="T1945" s="249"/>
      <c r="U1945" s="172"/>
      <c r="V1945" s="343"/>
      <c r="W1945" s="139"/>
      <c r="Y1945" s="1"/>
    </row>
    <row r="1946" spans="3:25" ht="12" customHeight="1">
      <c r="C1946" s="342" t="str">
        <f t="shared" ca="1" si="160"/>
        <v/>
      </c>
      <c r="D1946" s="153"/>
      <c r="E1946" s="153"/>
      <c r="F1946" s="170"/>
      <c r="G1946" s="171"/>
      <c r="H1946" s="247"/>
      <c r="I1946" s="247"/>
      <c r="J1946" s="247"/>
      <c r="K1946" s="247"/>
      <c r="L1946" s="247"/>
      <c r="M1946" s="247"/>
      <c r="N1946" s="247"/>
      <c r="O1946" s="247"/>
      <c r="P1946" s="247"/>
      <c r="Q1946" s="248"/>
      <c r="R1946" s="248"/>
      <c r="S1946" s="247"/>
      <c r="T1946" s="247"/>
      <c r="U1946" s="218"/>
      <c r="V1946" s="342"/>
      <c r="W1946" s="139"/>
      <c r="Y1946" s="1"/>
    </row>
    <row r="1947" spans="3:25" ht="12" customHeight="1">
      <c r="C1947" s="343" t="str">
        <f t="shared" ca="1" si="160"/>
        <v/>
      </c>
      <c r="D1947" s="124"/>
      <c r="E1947" s="124"/>
      <c r="F1947" s="172"/>
      <c r="G1947" s="173"/>
      <c r="H1947" s="249"/>
      <c r="I1947" s="249"/>
      <c r="J1947" s="249"/>
      <c r="K1947" s="249"/>
      <c r="L1947" s="249"/>
      <c r="M1947" s="249"/>
      <c r="N1947" s="250"/>
      <c r="O1947" s="250"/>
      <c r="P1947" s="250"/>
      <c r="Q1947" s="198"/>
      <c r="R1947" s="198"/>
      <c r="S1947" s="249"/>
      <c r="T1947" s="249"/>
      <c r="U1947" s="172"/>
      <c r="V1947" s="343"/>
      <c r="W1947" s="139"/>
      <c r="Y1947" s="1"/>
    </row>
    <row r="1948" spans="3:25" ht="12" customHeight="1">
      <c r="C1948" s="342" t="str">
        <f t="shared" ca="1" si="160"/>
        <v/>
      </c>
      <c r="D1948" s="153"/>
      <c r="E1948" s="153"/>
      <c r="F1948" s="170"/>
      <c r="G1948" s="171"/>
      <c r="H1948" s="247"/>
      <c r="I1948" s="247"/>
      <c r="J1948" s="247"/>
      <c r="K1948" s="247"/>
      <c r="L1948" s="247"/>
      <c r="M1948" s="247"/>
      <c r="N1948" s="247"/>
      <c r="O1948" s="247"/>
      <c r="P1948" s="247"/>
      <c r="Q1948" s="248"/>
      <c r="R1948" s="248"/>
      <c r="S1948" s="247"/>
      <c r="T1948" s="247"/>
      <c r="U1948" s="218"/>
      <c r="V1948" s="342"/>
      <c r="W1948" s="139"/>
      <c r="Y1948" s="1"/>
    </row>
    <row r="1949" spans="3:25" ht="12" customHeight="1">
      <c r="C1949" s="343" t="str">
        <f t="shared" ca="1" si="160"/>
        <v/>
      </c>
      <c r="D1949" s="124"/>
      <c r="E1949" s="124"/>
      <c r="F1949" s="172"/>
      <c r="G1949" s="173"/>
      <c r="H1949" s="249"/>
      <c r="I1949" s="249"/>
      <c r="J1949" s="249"/>
      <c r="K1949" s="249"/>
      <c r="L1949" s="249"/>
      <c r="M1949" s="249"/>
      <c r="N1949" s="250"/>
      <c r="O1949" s="250"/>
      <c r="P1949" s="250"/>
      <c r="Q1949" s="198"/>
      <c r="R1949" s="198"/>
      <c r="S1949" s="249"/>
      <c r="T1949" s="249"/>
      <c r="U1949" s="172"/>
      <c r="V1949" s="343"/>
      <c r="W1949" s="139"/>
      <c r="Y1949" s="1"/>
    </row>
    <row r="1950" spans="3:25" ht="12" customHeight="1">
      <c r="C1950" s="342" t="str">
        <f t="shared" ca="1" si="160"/>
        <v/>
      </c>
      <c r="D1950" s="153"/>
      <c r="E1950" s="153"/>
      <c r="F1950" s="170"/>
      <c r="G1950" s="171"/>
      <c r="H1950" s="247"/>
      <c r="I1950" s="247"/>
      <c r="J1950" s="247"/>
      <c r="K1950" s="247"/>
      <c r="L1950" s="247"/>
      <c r="M1950" s="247"/>
      <c r="N1950" s="247"/>
      <c r="O1950" s="247"/>
      <c r="P1950" s="247"/>
      <c r="Q1950" s="248"/>
      <c r="R1950" s="248"/>
      <c r="S1950" s="247"/>
      <c r="T1950" s="247"/>
      <c r="U1950" s="218"/>
      <c r="V1950" s="342"/>
      <c r="W1950" s="139"/>
      <c r="Y1950" s="1"/>
    </row>
    <row r="1951" spans="3:25" ht="12" customHeight="1">
      <c r="C1951" s="343" t="str">
        <f t="shared" ca="1" si="160"/>
        <v/>
      </c>
      <c r="D1951" s="124"/>
      <c r="E1951" s="124"/>
      <c r="F1951" s="172"/>
      <c r="G1951" s="173"/>
      <c r="H1951" s="249"/>
      <c r="I1951" s="249"/>
      <c r="J1951" s="249"/>
      <c r="K1951" s="249"/>
      <c r="L1951" s="249"/>
      <c r="M1951" s="249"/>
      <c r="N1951" s="250"/>
      <c r="O1951" s="250"/>
      <c r="P1951" s="250"/>
      <c r="Q1951" s="198"/>
      <c r="R1951" s="198"/>
      <c r="S1951" s="249"/>
      <c r="T1951" s="249"/>
      <c r="U1951" s="172"/>
      <c r="V1951" s="343"/>
      <c r="W1951" s="139"/>
      <c r="Y1951" s="1"/>
    </row>
    <row r="1952" spans="3:25" ht="12" customHeight="1">
      <c r="C1952" s="342" t="str">
        <f t="shared" ca="1" si="160"/>
        <v/>
      </c>
      <c r="D1952" s="153"/>
      <c r="E1952" s="153"/>
      <c r="F1952" s="170"/>
      <c r="G1952" s="171"/>
      <c r="H1952" s="247"/>
      <c r="I1952" s="247"/>
      <c r="J1952" s="247"/>
      <c r="K1952" s="247"/>
      <c r="L1952" s="247"/>
      <c r="M1952" s="247"/>
      <c r="N1952" s="247"/>
      <c r="O1952" s="247"/>
      <c r="P1952" s="247"/>
      <c r="Q1952" s="248"/>
      <c r="R1952" s="248"/>
      <c r="S1952" s="247"/>
      <c r="T1952" s="247"/>
      <c r="U1952" s="218"/>
      <c r="V1952" s="342"/>
      <c r="W1952" s="139"/>
      <c r="Y1952" s="1"/>
    </row>
    <row r="1953" spans="3:25" ht="12" customHeight="1">
      <c r="C1953" s="343" t="str">
        <f t="shared" ca="1" si="160"/>
        <v/>
      </c>
      <c r="D1953" s="124"/>
      <c r="E1953" s="124"/>
      <c r="F1953" s="172"/>
      <c r="G1953" s="173"/>
      <c r="H1953" s="249"/>
      <c r="I1953" s="249"/>
      <c r="J1953" s="249"/>
      <c r="K1953" s="249"/>
      <c r="L1953" s="249"/>
      <c r="M1953" s="249"/>
      <c r="N1953" s="250"/>
      <c r="O1953" s="250"/>
      <c r="P1953" s="250"/>
      <c r="Q1953" s="198"/>
      <c r="R1953" s="198"/>
      <c r="S1953" s="249"/>
      <c r="T1953" s="249"/>
      <c r="U1953" s="172"/>
      <c r="V1953" s="343"/>
      <c r="W1953" s="139"/>
      <c r="Y1953" s="1"/>
    </row>
    <row r="1954" spans="3:25" ht="12" customHeight="1">
      <c r="C1954" s="342" t="str">
        <f t="shared" ca="1" si="160"/>
        <v/>
      </c>
      <c r="D1954" s="153"/>
      <c r="E1954" s="153"/>
      <c r="F1954" s="170"/>
      <c r="G1954" s="171"/>
      <c r="H1954" s="247"/>
      <c r="I1954" s="247"/>
      <c r="J1954" s="247"/>
      <c r="K1954" s="247"/>
      <c r="L1954" s="247"/>
      <c r="M1954" s="247"/>
      <c r="N1954" s="247"/>
      <c r="O1954" s="247"/>
      <c r="P1954" s="247"/>
      <c r="Q1954" s="248"/>
      <c r="R1954" s="248"/>
      <c r="S1954" s="247"/>
      <c r="T1954" s="247"/>
      <c r="U1954" s="218"/>
      <c r="V1954" s="342"/>
      <c r="W1954" s="139"/>
      <c r="Y1954" s="1"/>
    </row>
    <row r="1955" spans="3:25" ht="12" customHeight="1">
      <c r="C1955" s="343" t="str">
        <f t="shared" ca="1" si="160"/>
        <v/>
      </c>
      <c r="D1955" s="124"/>
      <c r="E1955" s="124"/>
      <c r="F1955" s="172"/>
      <c r="G1955" s="173"/>
      <c r="H1955" s="249"/>
      <c r="I1955" s="249"/>
      <c r="J1955" s="249"/>
      <c r="K1955" s="249"/>
      <c r="L1955" s="249"/>
      <c r="M1955" s="249"/>
      <c r="N1955" s="250"/>
      <c r="O1955" s="250"/>
      <c r="P1955" s="250"/>
      <c r="Q1955" s="198"/>
      <c r="R1955" s="198"/>
      <c r="S1955" s="249"/>
      <c r="T1955" s="249"/>
      <c r="U1955" s="172"/>
      <c r="V1955" s="343"/>
      <c r="W1955" s="139"/>
      <c r="Y1955" s="1"/>
    </row>
    <row r="1956" spans="3:25" ht="12" customHeight="1">
      <c r="C1956" s="342" t="str">
        <f t="shared" ca="1" si="160"/>
        <v/>
      </c>
      <c r="D1956" s="153"/>
      <c r="E1956" s="153"/>
      <c r="F1956" s="170"/>
      <c r="G1956" s="171"/>
      <c r="H1956" s="247"/>
      <c r="I1956" s="247"/>
      <c r="J1956" s="247"/>
      <c r="K1956" s="247"/>
      <c r="L1956" s="247"/>
      <c r="M1956" s="247"/>
      <c r="N1956" s="247"/>
      <c r="O1956" s="247"/>
      <c r="P1956" s="247"/>
      <c r="Q1956" s="248"/>
      <c r="R1956" s="248"/>
      <c r="S1956" s="247"/>
      <c r="T1956" s="247"/>
      <c r="U1956" s="218"/>
      <c r="V1956" s="342"/>
      <c r="W1956" s="139"/>
      <c r="Y1956" s="1"/>
    </row>
    <row r="1957" spans="3:25" ht="12" customHeight="1">
      <c r="C1957" s="343" t="str">
        <f t="shared" ca="1" si="160"/>
        <v/>
      </c>
      <c r="D1957" s="124"/>
      <c r="E1957" s="124"/>
      <c r="F1957" s="172"/>
      <c r="G1957" s="173"/>
      <c r="H1957" s="249"/>
      <c r="I1957" s="249"/>
      <c r="J1957" s="249"/>
      <c r="K1957" s="249"/>
      <c r="L1957" s="249"/>
      <c r="M1957" s="249"/>
      <c r="N1957" s="250"/>
      <c r="O1957" s="250"/>
      <c r="P1957" s="250"/>
      <c r="Q1957" s="198"/>
      <c r="R1957" s="198"/>
      <c r="S1957" s="249"/>
      <c r="T1957" s="249"/>
      <c r="U1957" s="172"/>
      <c r="V1957" s="343"/>
      <c r="W1957" s="139"/>
      <c r="Y1957" s="1"/>
    </row>
    <row r="1958" spans="3:25" ht="12" customHeight="1">
      <c r="C1958" s="342" t="str">
        <f t="shared" ca="1" si="160"/>
        <v/>
      </c>
      <c r="D1958" s="153"/>
      <c r="E1958" s="153"/>
      <c r="F1958" s="170"/>
      <c r="G1958" s="171"/>
      <c r="H1958" s="247"/>
      <c r="I1958" s="247"/>
      <c r="J1958" s="247"/>
      <c r="K1958" s="247"/>
      <c r="L1958" s="247"/>
      <c r="M1958" s="247"/>
      <c r="N1958" s="247"/>
      <c r="O1958" s="247"/>
      <c r="P1958" s="247"/>
      <c r="Q1958" s="248"/>
      <c r="R1958" s="248"/>
      <c r="S1958" s="247"/>
      <c r="T1958" s="247"/>
      <c r="U1958" s="218"/>
      <c r="V1958" s="342"/>
      <c r="W1958" s="139"/>
      <c r="Y1958" s="1"/>
    </row>
    <row r="1959" spans="3:25" ht="12" customHeight="1">
      <c r="C1959" s="343" t="str">
        <f t="shared" ca="1" si="160"/>
        <v/>
      </c>
      <c r="D1959" s="124"/>
      <c r="E1959" s="124"/>
      <c r="F1959" s="172"/>
      <c r="G1959" s="173"/>
      <c r="H1959" s="249"/>
      <c r="I1959" s="249"/>
      <c r="J1959" s="249"/>
      <c r="K1959" s="249"/>
      <c r="L1959" s="249"/>
      <c r="M1959" s="249"/>
      <c r="N1959" s="250"/>
      <c r="O1959" s="250"/>
      <c r="P1959" s="250"/>
      <c r="Q1959" s="198"/>
      <c r="R1959" s="198"/>
      <c r="S1959" s="249"/>
      <c r="T1959" s="249"/>
      <c r="U1959" s="172"/>
      <c r="V1959" s="343"/>
      <c r="W1959" s="139"/>
      <c r="Y1959" s="1"/>
    </row>
    <row r="1960" spans="3:25" ht="12" customHeight="1">
      <c r="C1960" s="342" t="str">
        <f t="shared" ca="1" si="160"/>
        <v/>
      </c>
      <c r="D1960" s="153"/>
      <c r="E1960" s="153"/>
      <c r="F1960" s="170"/>
      <c r="G1960" s="171"/>
      <c r="H1960" s="247"/>
      <c r="I1960" s="247"/>
      <c r="J1960" s="247"/>
      <c r="K1960" s="247"/>
      <c r="L1960" s="247"/>
      <c r="M1960" s="247"/>
      <c r="N1960" s="247"/>
      <c r="O1960" s="247"/>
      <c r="P1960" s="247"/>
      <c r="Q1960" s="248"/>
      <c r="R1960" s="248"/>
      <c r="S1960" s="247"/>
      <c r="T1960" s="247"/>
      <c r="U1960" s="218"/>
      <c r="V1960" s="342"/>
      <c r="W1960" s="139"/>
      <c r="Y1960" s="1"/>
    </row>
    <row r="1961" spans="3:25" ht="12" customHeight="1">
      <c r="C1961" s="343" t="str">
        <f t="shared" ca="1" si="160"/>
        <v/>
      </c>
      <c r="D1961" s="124"/>
      <c r="E1961" s="124"/>
      <c r="F1961" s="172"/>
      <c r="G1961" s="173"/>
      <c r="H1961" s="249"/>
      <c r="I1961" s="249"/>
      <c r="J1961" s="249"/>
      <c r="K1961" s="249"/>
      <c r="L1961" s="249"/>
      <c r="M1961" s="249"/>
      <c r="N1961" s="250"/>
      <c r="O1961" s="250"/>
      <c r="P1961" s="250"/>
      <c r="Q1961" s="198"/>
      <c r="R1961" s="198"/>
      <c r="S1961" s="249"/>
      <c r="T1961" s="249"/>
      <c r="U1961" s="172"/>
      <c r="V1961" s="343"/>
      <c r="W1961" s="139"/>
      <c r="Y1961" s="1"/>
    </row>
    <row r="1962" spans="3:25" ht="12" customHeight="1">
      <c r="C1962" s="342" t="str">
        <f t="shared" ca="1" si="160"/>
        <v/>
      </c>
      <c r="D1962" s="153"/>
      <c r="E1962" s="153"/>
      <c r="F1962" s="170"/>
      <c r="G1962" s="171"/>
      <c r="H1962" s="247"/>
      <c r="I1962" s="247"/>
      <c r="J1962" s="247"/>
      <c r="K1962" s="247"/>
      <c r="L1962" s="247"/>
      <c r="M1962" s="247"/>
      <c r="N1962" s="247"/>
      <c r="O1962" s="247"/>
      <c r="P1962" s="247"/>
      <c r="Q1962" s="248"/>
      <c r="R1962" s="248"/>
      <c r="S1962" s="247"/>
      <c r="T1962" s="247"/>
      <c r="U1962" s="218"/>
      <c r="V1962" s="342"/>
      <c r="W1962" s="139"/>
      <c r="Y1962" s="1"/>
    </row>
    <row r="1963" spans="3:25" ht="12" customHeight="1">
      <c r="C1963" s="343" t="str">
        <f t="shared" ca="1" si="160"/>
        <v/>
      </c>
      <c r="D1963" s="124"/>
      <c r="E1963" s="124"/>
      <c r="F1963" s="172"/>
      <c r="G1963" s="173"/>
      <c r="H1963" s="249"/>
      <c r="I1963" s="249"/>
      <c r="J1963" s="249"/>
      <c r="K1963" s="249"/>
      <c r="L1963" s="249"/>
      <c r="M1963" s="249"/>
      <c r="N1963" s="250"/>
      <c r="O1963" s="250"/>
      <c r="P1963" s="250"/>
      <c r="Q1963" s="198"/>
      <c r="R1963" s="198"/>
      <c r="S1963" s="249"/>
      <c r="T1963" s="249"/>
      <c r="U1963" s="172"/>
      <c r="V1963" s="343"/>
      <c r="W1963" s="139"/>
      <c r="Y1963" s="1"/>
    </row>
    <row r="1964" spans="3:25" ht="12" customHeight="1">
      <c r="C1964" s="342" t="str">
        <f t="shared" ca="1" si="160"/>
        <v/>
      </c>
      <c r="D1964" s="153"/>
      <c r="E1964" s="153"/>
      <c r="F1964" s="170"/>
      <c r="G1964" s="171"/>
      <c r="H1964" s="247"/>
      <c r="I1964" s="247"/>
      <c r="J1964" s="247"/>
      <c r="K1964" s="247"/>
      <c r="L1964" s="247"/>
      <c r="M1964" s="247"/>
      <c r="N1964" s="247"/>
      <c r="O1964" s="247"/>
      <c r="P1964" s="247"/>
      <c r="Q1964" s="248"/>
      <c r="R1964" s="248"/>
      <c r="S1964" s="247"/>
      <c r="T1964" s="247"/>
      <c r="U1964" s="218"/>
      <c r="V1964" s="342"/>
      <c r="W1964" s="139"/>
      <c r="Y1964" s="1"/>
    </row>
    <row r="1965" spans="3:25" ht="12" customHeight="1">
      <c r="C1965" s="343" t="str">
        <f t="shared" ca="1" si="160"/>
        <v/>
      </c>
      <c r="D1965" s="124"/>
      <c r="E1965" s="124"/>
      <c r="F1965" s="172"/>
      <c r="G1965" s="173"/>
      <c r="H1965" s="249"/>
      <c r="I1965" s="249"/>
      <c r="J1965" s="249"/>
      <c r="K1965" s="249"/>
      <c r="L1965" s="249"/>
      <c r="M1965" s="249"/>
      <c r="N1965" s="250"/>
      <c r="O1965" s="250"/>
      <c r="P1965" s="250"/>
      <c r="Q1965" s="198"/>
      <c r="R1965" s="198"/>
      <c r="S1965" s="249"/>
      <c r="T1965" s="249"/>
      <c r="U1965" s="172"/>
      <c r="V1965" s="343"/>
      <c r="W1965" s="139"/>
      <c r="Y1965" s="1"/>
    </row>
    <row r="1966" spans="3:25" ht="12" customHeight="1">
      <c r="C1966" s="342" t="str">
        <f t="shared" ca="1" si="160"/>
        <v/>
      </c>
      <c r="D1966" s="153"/>
      <c r="E1966" s="153"/>
      <c r="F1966" s="170"/>
      <c r="G1966" s="171"/>
      <c r="H1966" s="247"/>
      <c r="I1966" s="247"/>
      <c r="J1966" s="247"/>
      <c r="K1966" s="247"/>
      <c r="L1966" s="247"/>
      <c r="M1966" s="247"/>
      <c r="N1966" s="247"/>
      <c r="O1966" s="247"/>
      <c r="P1966" s="247"/>
      <c r="Q1966" s="248"/>
      <c r="R1966" s="248"/>
      <c r="S1966" s="247"/>
      <c r="T1966" s="247"/>
      <c r="U1966" s="218"/>
      <c r="V1966" s="342"/>
      <c r="W1966" s="139"/>
      <c r="Y1966" s="1"/>
    </row>
    <row r="1967" spans="3:25" ht="12" customHeight="1">
      <c r="C1967" s="343" t="str">
        <f t="shared" ca="1" si="160"/>
        <v/>
      </c>
      <c r="D1967" s="124"/>
      <c r="E1967" s="124"/>
      <c r="F1967" s="172"/>
      <c r="G1967" s="173"/>
      <c r="H1967" s="249"/>
      <c r="I1967" s="249"/>
      <c r="J1967" s="249"/>
      <c r="K1967" s="249"/>
      <c r="L1967" s="249"/>
      <c r="M1967" s="249"/>
      <c r="N1967" s="250"/>
      <c r="O1967" s="250"/>
      <c r="P1967" s="250"/>
      <c r="Q1967" s="198"/>
      <c r="R1967" s="198"/>
      <c r="S1967" s="249"/>
      <c r="T1967" s="249"/>
      <c r="U1967" s="172"/>
      <c r="V1967" s="343"/>
      <c r="W1967" s="139"/>
      <c r="Y1967" s="1"/>
    </row>
    <row r="1968" spans="3:25" ht="12" customHeight="1">
      <c r="C1968" s="342" t="str">
        <f t="shared" ca="1" si="160"/>
        <v/>
      </c>
      <c r="D1968" s="153"/>
      <c r="E1968" s="153"/>
      <c r="F1968" s="170"/>
      <c r="G1968" s="171"/>
      <c r="H1968" s="247"/>
      <c r="I1968" s="247"/>
      <c r="J1968" s="247"/>
      <c r="K1968" s="247"/>
      <c r="L1968" s="247"/>
      <c r="M1968" s="247"/>
      <c r="N1968" s="247"/>
      <c r="O1968" s="247"/>
      <c r="P1968" s="247"/>
      <c r="Q1968" s="248"/>
      <c r="R1968" s="248"/>
      <c r="S1968" s="247"/>
      <c r="T1968" s="247"/>
      <c r="U1968" s="218"/>
      <c r="V1968" s="342"/>
      <c r="W1968" s="139"/>
      <c r="Y1968" s="1"/>
    </row>
    <row r="1969" spans="3:25" ht="12" customHeight="1">
      <c r="C1969" s="343" t="str">
        <f t="shared" ca="1" si="160"/>
        <v/>
      </c>
      <c r="D1969" s="124"/>
      <c r="E1969" s="124"/>
      <c r="F1969" s="172"/>
      <c r="G1969" s="173"/>
      <c r="H1969" s="249"/>
      <c r="I1969" s="249"/>
      <c r="J1969" s="249"/>
      <c r="K1969" s="249"/>
      <c r="L1969" s="249"/>
      <c r="M1969" s="249"/>
      <c r="N1969" s="250"/>
      <c r="O1969" s="250"/>
      <c r="P1969" s="250"/>
      <c r="Q1969" s="198"/>
      <c r="R1969" s="198"/>
      <c r="S1969" s="249"/>
      <c r="T1969" s="249"/>
      <c r="U1969" s="172"/>
      <c r="V1969" s="343"/>
      <c r="W1969" s="139"/>
      <c r="Y1969" s="1"/>
    </row>
    <row r="1970" spans="3:25" ht="12" customHeight="1">
      <c r="C1970" s="342" t="str">
        <f t="shared" ca="1" si="160"/>
        <v/>
      </c>
      <c r="D1970" s="153"/>
      <c r="E1970" s="153"/>
      <c r="F1970" s="170"/>
      <c r="G1970" s="171"/>
      <c r="H1970" s="247"/>
      <c r="I1970" s="247"/>
      <c r="J1970" s="247"/>
      <c r="K1970" s="247"/>
      <c r="L1970" s="247"/>
      <c r="M1970" s="247"/>
      <c r="N1970" s="247"/>
      <c r="O1970" s="247"/>
      <c r="P1970" s="247"/>
      <c r="Q1970" s="248"/>
      <c r="R1970" s="248"/>
      <c r="S1970" s="247"/>
      <c r="T1970" s="247"/>
      <c r="U1970" s="218"/>
      <c r="V1970" s="342"/>
      <c r="W1970" s="139"/>
      <c r="Y1970" s="1"/>
    </row>
    <row r="1971" spans="3:25" ht="12" customHeight="1">
      <c r="C1971" s="343" t="str">
        <f t="shared" ca="1" si="160"/>
        <v/>
      </c>
      <c r="D1971" s="124"/>
      <c r="E1971" s="124"/>
      <c r="F1971" s="172"/>
      <c r="G1971" s="173"/>
      <c r="H1971" s="249"/>
      <c r="I1971" s="249"/>
      <c r="J1971" s="249"/>
      <c r="K1971" s="249"/>
      <c r="L1971" s="249"/>
      <c r="M1971" s="249"/>
      <c r="N1971" s="250"/>
      <c r="O1971" s="250"/>
      <c r="P1971" s="250"/>
      <c r="Q1971" s="198"/>
      <c r="R1971" s="198"/>
      <c r="S1971" s="249"/>
      <c r="T1971" s="249"/>
      <c r="U1971" s="172"/>
      <c r="V1971" s="343"/>
      <c r="W1971" s="139"/>
      <c r="Y1971" s="1"/>
    </row>
    <row r="1972" spans="3:25" ht="12" customHeight="1">
      <c r="C1972" s="342" t="str">
        <f t="shared" ca="1" si="160"/>
        <v/>
      </c>
      <c r="D1972" s="153"/>
      <c r="E1972" s="153"/>
      <c r="F1972" s="170"/>
      <c r="G1972" s="171"/>
      <c r="H1972" s="247"/>
      <c r="I1972" s="247"/>
      <c r="J1972" s="247"/>
      <c r="K1972" s="247"/>
      <c r="L1972" s="247"/>
      <c r="M1972" s="247"/>
      <c r="N1972" s="247"/>
      <c r="O1972" s="247"/>
      <c r="P1972" s="247"/>
      <c r="Q1972" s="248"/>
      <c r="R1972" s="248"/>
      <c r="S1972" s="247"/>
      <c r="T1972" s="247"/>
      <c r="U1972" s="218"/>
      <c r="V1972" s="342"/>
      <c r="W1972" s="139"/>
      <c r="Y1972" s="1"/>
    </row>
    <row r="1973" spans="3:25" ht="12" customHeight="1">
      <c r="C1973" s="343" t="str">
        <f t="shared" ca="1" si="160"/>
        <v/>
      </c>
      <c r="D1973" s="124"/>
      <c r="E1973" s="124"/>
      <c r="F1973" s="172"/>
      <c r="G1973" s="173"/>
      <c r="H1973" s="249"/>
      <c r="I1973" s="249"/>
      <c r="J1973" s="249"/>
      <c r="K1973" s="249"/>
      <c r="L1973" s="249"/>
      <c r="M1973" s="249"/>
      <c r="N1973" s="250"/>
      <c r="O1973" s="250"/>
      <c r="P1973" s="250"/>
      <c r="Q1973" s="198"/>
      <c r="R1973" s="198"/>
      <c r="S1973" s="249"/>
      <c r="T1973" s="249"/>
      <c r="U1973" s="172"/>
      <c r="V1973" s="343"/>
      <c r="W1973" s="139"/>
      <c r="Y1973" s="1"/>
    </row>
    <row r="1974" spans="3:25" ht="12" customHeight="1">
      <c r="C1974" s="342" t="str">
        <f t="shared" ca="1" si="160"/>
        <v/>
      </c>
      <c r="D1974" s="153"/>
      <c r="E1974" s="153"/>
      <c r="F1974" s="170"/>
      <c r="G1974" s="171"/>
      <c r="H1974" s="247"/>
      <c r="I1974" s="247"/>
      <c r="J1974" s="247"/>
      <c r="K1974" s="247"/>
      <c r="L1974" s="247"/>
      <c r="M1974" s="247"/>
      <c r="N1974" s="247"/>
      <c r="O1974" s="247"/>
      <c r="P1974" s="247"/>
      <c r="Q1974" s="248"/>
      <c r="R1974" s="248"/>
      <c r="S1974" s="247"/>
      <c r="T1974" s="247"/>
      <c r="U1974" s="218"/>
      <c r="V1974" s="342"/>
      <c r="W1974" s="139"/>
      <c r="Y1974" s="1"/>
    </row>
    <row r="1975" spans="3:25" ht="12" customHeight="1">
      <c r="C1975" s="343" t="str">
        <f t="shared" ca="1" si="160"/>
        <v/>
      </c>
      <c r="D1975" s="124"/>
      <c r="E1975" s="124"/>
      <c r="F1975" s="172"/>
      <c r="G1975" s="173"/>
      <c r="H1975" s="249"/>
      <c r="I1975" s="249"/>
      <c r="J1975" s="249"/>
      <c r="K1975" s="249"/>
      <c r="L1975" s="249"/>
      <c r="M1975" s="249"/>
      <c r="N1975" s="250"/>
      <c r="O1975" s="250"/>
      <c r="P1975" s="250"/>
      <c r="Q1975" s="198"/>
      <c r="R1975" s="198"/>
      <c r="S1975" s="249"/>
      <c r="T1975" s="249"/>
      <c r="U1975" s="172"/>
      <c r="V1975" s="343"/>
      <c r="W1975" s="139"/>
      <c r="Y1975" s="1"/>
    </row>
    <row r="1976" spans="3:25" ht="12" customHeight="1">
      <c r="C1976" s="342" t="str">
        <f t="shared" ca="1" si="160"/>
        <v/>
      </c>
      <c r="D1976" s="153"/>
      <c r="E1976" s="153"/>
      <c r="F1976" s="170"/>
      <c r="G1976" s="171"/>
      <c r="H1976" s="247"/>
      <c r="I1976" s="247"/>
      <c r="J1976" s="247"/>
      <c r="K1976" s="247"/>
      <c r="L1976" s="247"/>
      <c r="M1976" s="247"/>
      <c r="N1976" s="247"/>
      <c r="O1976" s="247"/>
      <c r="P1976" s="247"/>
      <c r="Q1976" s="248"/>
      <c r="R1976" s="248"/>
      <c r="S1976" s="247"/>
      <c r="T1976" s="247"/>
      <c r="U1976" s="218"/>
      <c r="V1976" s="342"/>
      <c r="W1976" s="139"/>
      <c r="Y1976" s="1"/>
    </row>
    <row r="1977" spans="3:25" ht="12" customHeight="1">
      <c r="C1977" s="343" t="str">
        <f t="shared" ca="1" si="160"/>
        <v/>
      </c>
      <c r="D1977" s="124"/>
      <c r="E1977" s="124"/>
      <c r="F1977" s="172"/>
      <c r="G1977" s="173"/>
      <c r="H1977" s="249"/>
      <c r="I1977" s="249"/>
      <c r="J1977" s="249"/>
      <c r="K1977" s="249"/>
      <c r="L1977" s="249"/>
      <c r="M1977" s="249"/>
      <c r="N1977" s="250"/>
      <c r="O1977" s="250"/>
      <c r="P1977" s="250"/>
      <c r="Q1977" s="198"/>
      <c r="R1977" s="198"/>
      <c r="S1977" s="249"/>
      <c r="T1977" s="249"/>
      <c r="U1977" s="172"/>
      <c r="V1977" s="343"/>
      <c r="W1977" s="139"/>
      <c r="Y1977" s="1"/>
    </row>
    <row r="1978" spans="3:25" ht="12" customHeight="1">
      <c r="C1978" s="342" t="str">
        <f t="shared" ca="1" si="160"/>
        <v/>
      </c>
      <c r="D1978" s="153"/>
      <c r="E1978" s="153"/>
      <c r="F1978" s="170"/>
      <c r="G1978" s="171"/>
      <c r="H1978" s="247"/>
      <c r="I1978" s="247"/>
      <c r="J1978" s="247"/>
      <c r="K1978" s="247"/>
      <c r="L1978" s="247"/>
      <c r="M1978" s="247"/>
      <c r="N1978" s="247"/>
      <c r="O1978" s="247"/>
      <c r="P1978" s="247"/>
      <c r="Q1978" s="248"/>
      <c r="R1978" s="248"/>
      <c r="S1978" s="247"/>
      <c r="T1978" s="247"/>
      <c r="U1978" s="218"/>
      <c r="V1978" s="342"/>
      <c r="W1978" s="139"/>
      <c r="Y1978" s="1"/>
    </row>
    <row r="1979" spans="3:25" ht="12" customHeight="1">
      <c r="C1979" s="343" t="str">
        <f t="shared" ca="1" si="160"/>
        <v/>
      </c>
      <c r="D1979" s="124"/>
      <c r="E1979" s="124"/>
      <c r="F1979" s="172"/>
      <c r="G1979" s="173"/>
      <c r="H1979" s="249"/>
      <c r="I1979" s="249"/>
      <c r="J1979" s="249"/>
      <c r="K1979" s="249"/>
      <c r="L1979" s="249"/>
      <c r="M1979" s="249"/>
      <c r="N1979" s="250"/>
      <c r="O1979" s="250"/>
      <c r="P1979" s="250"/>
      <c r="Q1979" s="198"/>
      <c r="R1979" s="198"/>
      <c r="S1979" s="249"/>
      <c r="T1979" s="249"/>
      <c r="U1979" s="172"/>
      <c r="V1979" s="343"/>
      <c r="W1979" s="139"/>
      <c r="Y1979" s="1"/>
    </row>
    <row r="1980" spans="3:25" ht="12" customHeight="1">
      <c r="C1980" s="342" t="str">
        <f t="shared" ca="1" si="160"/>
        <v/>
      </c>
      <c r="D1980" s="153"/>
      <c r="E1980" s="153"/>
      <c r="F1980" s="170"/>
      <c r="G1980" s="171"/>
      <c r="H1980" s="247"/>
      <c r="I1980" s="247"/>
      <c r="J1980" s="247"/>
      <c r="K1980" s="247"/>
      <c r="L1980" s="247"/>
      <c r="M1980" s="247"/>
      <c r="N1980" s="247"/>
      <c r="O1980" s="247"/>
      <c r="P1980" s="247"/>
      <c r="Q1980" s="248"/>
      <c r="R1980" s="248"/>
      <c r="S1980" s="247"/>
      <c r="T1980" s="247"/>
      <c r="U1980" s="218"/>
      <c r="V1980" s="342"/>
      <c r="W1980" s="139"/>
      <c r="Y1980" s="1"/>
    </row>
    <row r="1981" spans="3:25" ht="12" customHeight="1">
      <c r="C1981" s="343" t="str">
        <f t="shared" ca="1" si="160"/>
        <v/>
      </c>
      <c r="D1981" s="124"/>
      <c r="E1981" s="124"/>
      <c r="F1981" s="172"/>
      <c r="G1981" s="173"/>
      <c r="H1981" s="249"/>
      <c r="I1981" s="249"/>
      <c r="J1981" s="249"/>
      <c r="K1981" s="249"/>
      <c r="L1981" s="249"/>
      <c r="M1981" s="249"/>
      <c r="N1981" s="250"/>
      <c r="O1981" s="250"/>
      <c r="P1981" s="250"/>
      <c r="Q1981" s="198"/>
      <c r="R1981" s="198"/>
      <c r="S1981" s="249"/>
      <c r="T1981" s="249"/>
      <c r="U1981" s="172"/>
      <c r="V1981" s="343"/>
      <c r="W1981" s="139"/>
      <c r="Y1981" s="1"/>
    </row>
    <row r="1982" spans="3:25" ht="12" customHeight="1">
      <c r="C1982" s="342" t="str">
        <f t="shared" ca="1" si="160"/>
        <v/>
      </c>
      <c r="D1982" s="153"/>
      <c r="E1982" s="153"/>
      <c r="F1982" s="170"/>
      <c r="G1982" s="171"/>
      <c r="H1982" s="247"/>
      <c r="I1982" s="247"/>
      <c r="J1982" s="247"/>
      <c r="K1982" s="247"/>
      <c r="L1982" s="247"/>
      <c r="M1982" s="247"/>
      <c r="N1982" s="247"/>
      <c r="O1982" s="247"/>
      <c r="P1982" s="247"/>
      <c r="Q1982" s="248"/>
      <c r="R1982" s="248"/>
      <c r="S1982" s="247"/>
      <c r="T1982" s="247"/>
      <c r="U1982" s="218"/>
      <c r="V1982" s="342"/>
      <c r="W1982" s="139"/>
    </row>
    <row r="1983" spans="3:25" ht="12" customHeight="1">
      <c r="C1983" s="343" t="str">
        <f t="shared" ca="1" si="160"/>
        <v/>
      </c>
      <c r="D1983" s="124"/>
      <c r="E1983" s="124"/>
      <c r="F1983" s="172"/>
      <c r="G1983" s="173"/>
      <c r="H1983" s="249"/>
      <c r="I1983" s="249"/>
      <c r="J1983" s="249"/>
      <c r="K1983" s="249"/>
      <c r="L1983" s="249"/>
      <c r="M1983" s="249"/>
      <c r="N1983" s="250"/>
      <c r="O1983" s="250"/>
      <c r="P1983" s="250"/>
      <c r="Q1983" s="198"/>
      <c r="R1983" s="198"/>
      <c r="S1983" s="249"/>
      <c r="T1983" s="249"/>
      <c r="U1983" s="172"/>
      <c r="V1983" s="343"/>
      <c r="W1983" s="139"/>
      <c r="Y1983" s="1"/>
    </row>
    <row r="1984" spans="3:25" ht="12" customHeight="1">
      <c r="C1984" s="342" t="str">
        <f t="shared" ca="1" si="160"/>
        <v/>
      </c>
      <c r="D1984" s="153"/>
      <c r="E1984" s="153"/>
      <c r="F1984" s="170"/>
      <c r="G1984" s="171"/>
      <c r="H1984" s="247"/>
      <c r="I1984" s="247"/>
      <c r="J1984" s="247"/>
      <c r="K1984" s="247"/>
      <c r="L1984" s="247"/>
      <c r="M1984" s="247"/>
      <c r="N1984" s="247"/>
      <c r="O1984" s="247"/>
      <c r="P1984" s="247"/>
      <c r="Q1984" s="248"/>
      <c r="R1984" s="248"/>
      <c r="S1984" s="247"/>
      <c r="T1984" s="247"/>
      <c r="U1984" s="218"/>
      <c r="V1984" s="342"/>
      <c r="W1984" s="139"/>
      <c r="Y1984" s="1"/>
    </row>
    <row r="1985" spans="3:25" ht="12" customHeight="1">
      <c r="C1985" s="343" t="str">
        <f t="shared" ca="1" si="160"/>
        <v/>
      </c>
      <c r="D1985" s="124"/>
      <c r="E1985" s="124"/>
      <c r="F1985" s="172"/>
      <c r="G1985" s="173"/>
      <c r="H1985" s="249"/>
      <c r="I1985" s="249"/>
      <c r="J1985" s="249"/>
      <c r="K1985" s="249"/>
      <c r="L1985" s="249"/>
      <c r="M1985" s="249"/>
      <c r="N1985" s="250"/>
      <c r="O1985" s="250"/>
      <c r="P1985" s="250"/>
      <c r="Q1985" s="198"/>
      <c r="R1985" s="198"/>
      <c r="S1985" s="249"/>
      <c r="T1985" s="249"/>
      <c r="U1985" s="172"/>
      <c r="V1985" s="343"/>
      <c r="W1985" s="139"/>
      <c r="Y1985" s="1"/>
    </row>
    <row r="1986" spans="3:25" ht="12" customHeight="1">
      <c r="C1986" s="342" t="str">
        <f t="shared" ca="1" si="160"/>
        <v/>
      </c>
      <c r="D1986" s="153"/>
      <c r="E1986" s="153"/>
      <c r="F1986" s="170"/>
      <c r="G1986" s="171"/>
      <c r="H1986" s="247"/>
      <c r="I1986" s="247"/>
      <c r="J1986" s="247"/>
      <c r="K1986" s="247"/>
      <c r="L1986" s="247"/>
      <c r="M1986" s="247"/>
      <c r="N1986" s="247"/>
      <c r="O1986" s="247"/>
      <c r="P1986" s="247"/>
      <c r="Q1986" s="248"/>
      <c r="R1986" s="248"/>
      <c r="S1986" s="247"/>
      <c r="T1986" s="247"/>
      <c r="U1986" s="218"/>
      <c r="V1986" s="342"/>
    </row>
    <row r="1987" spans="3:25" ht="12" customHeight="1">
      <c r="C1987" s="343" t="str">
        <f t="shared" ca="1" si="160"/>
        <v/>
      </c>
      <c r="D1987" s="124"/>
      <c r="E1987" s="124"/>
      <c r="F1987" s="172"/>
      <c r="G1987" s="173"/>
      <c r="H1987" s="249"/>
      <c r="I1987" s="249"/>
      <c r="J1987" s="249"/>
      <c r="K1987" s="249"/>
      <c r="L1987" s="249"/>
      <c r="M1987" s="249"/>
      <c r="N1987" s="250"/>
      <c r="O1987" s="250"/>
      <c r="P1987" s="250"/>
      <c r="Q1987" s="198"/>
      <c r="R1987" s="198"/>
      <c r="S1987" s="249"/>
      <c r="T1987" s="249"/>
      <c r="U1987" s="172"/>
      <c r="V1987" s="343"/>
    </row>
    <row r="1988" spans="3:25" ht="12" customHeight="1">
      <c r="C1988" s="342" t="str">
        <f t="shared" ca="1" si="160"/>
        <v/>
      </c>
      <c r="D1988" s="153"/>
      <c r="E1988" s="153"/>
      <c r="F1988" s="170"/>
      <c r="G1988" s="171"/>
      <c r="H1988" s="247"/>
      <c r="I1988" s="247"/>
      <c r="J1988" s="247"/>
      <c r="K1988" s="247"/>
      <c r="L1988" s="247"/>
      <c r="M1988" s="247"/>
      <c r="N1988" s="247"/>
      <c r="O1988" s="247"/>
      <c r="P1988" s="247"/>
      <c r="Q1988" s="248"/>
      <c r="R1988" s="248"/>
      <c r="S1988" s="247"/>
      <c r="T1988" s="247"/>
      <c r="U1988" s="218"/>
      <c r="V1988" s="342"/>
    </row>
    <row r="1989" spans="3:25" ht="12" customHeight="1">
      <c r="C1989" s="343" t="str">
        <f t="shared" ca="1" si="160"/>
        <v/>
      </c>
      <c r="D1989" s="124"/>
      <c r="E1989" s="124"/>
      <c r="F1989" s="172"/>
      <c r="G1989" s="173"/>
      <c r="H1989" s="249"/>
      <c r="I1989" s="249"/>
      <c r="J1989" s="249"/>
      <c r="K1989" s="249"/>
      <c r="L1989" s="249"/>
      <c r="M1989" s="249"/>
      <c r="N1989" s="250"/>
      <c r="O1989" s="250"/>
      <c r="P1989" s="250"/>
      <c r="Q1989" s="198"/>
      <c r="R1989" s="198"/>
      <c r="S1989" s="249"/>
      <c r="T1989" s="249"/>
      <c r="U1989" s="172"/>
      <c r="V1989" s="343"/>
    </row>
    <row r="1990" spans="3:25" ht="12" customHeight="1">
      <c r="C1990" s="342" t="str">
        <f t="shared" ca="1" si="160"/>
        <v/>
      </c>
      <c r="D1990" s="153"/>
      <c r="E1990" s="153"/>
      <c r="F1990" s="170"/>
      <c r="G1990" s="171"/>
      <c r="H1990" s="247"/>
      <c r="I1990" s="247"/>
      <c r="J1990" s="247"/>
      <c r="K1990" s="247"/>
      <c r="L1990" s="247"/>
      <c r="M1990" s="247"/>
      <c r="N1990" s="247"/>
      <c r="O1990" s="247"/>
      <c r="P1990" s="247"/>
      <c r="Q1990" s="248"/>
      <c r="R1990" s="248"/>
      <c r="S1990" s="247"/>
      <c r="T1990" s="247"/>
      <c r="U1990" s="218"/>
      <c r="V1990" s="342"/>
    </row>
    <row r="1991" spans="3:25" ht="12" customHeight="1">
      <c r="C1991" s="343" t="str">
        <f t="shared" ca="1" si="160"/>
        <v/>
      </c>
      <c r="D1991" s="124"/>
      <c r="E1991" s="124"/>
      <c r="F1991" s="172"/>
      <c r="G1991" s="173"/>
      <c r="H1991" s="249"/>
      <c r="I1991" s="249"/>
      <c r="J1991" s="249"/>
      <c r="K1991" s="249"/>
      <c r="L1991" s="249"/>
      <c r="M1991" s="249"/>
      <c r="N1991" s="250"/>
      <c r="O1991" s="250"/>
      <c r="P1991" s="250"/>
      <c r="Q1991" s="198"/>
      <c r="R1991" s="198"/>
      <c r="S1991" s="249"/>
      <c r="T1991" s="249"/>
      <c r="U1991" s="172"/>
      <c r="V1991" s="343"/>
    </row>
    <row r="1992" spans="3:25" ht="12" customHeight="1">
      <c r="C1992" s="342" t="str">
        <f t="shared" ca="1" si="160"/>
        <v/>
      </c>
      <c r="D1992" s="153"/>
      <c r="E1992" s="153"/>
      <c r="F1992" s="170"/>
      <c r="G1992" s="171"/>
      <c r="H1992" s="247"/>
      <c r="I1992" s="247"/>
      <c r="J1992" s="247"/>
      <c r="K1992" s="247"/>
      <c r="L1992" s="247"/>
      <c r="M1992" s="247"/>
      <c r="N1992" s="247"/>
      <c r="O1992" s="247"/>
      <c r="P1992" s="247"/>
      <c r="Q1992" s="248"/>
      <c r="R1992" s="248"/>
      <c r="S1992" s="247"/>
      <c r="T1992" s="247"/>
      <c r="U1992" s="218"/>
      <c r="V1992" s="342"/>
    </row>
    <row r="1993" spans="3:25" ht="12" customHeight="1">
      <c r="C1993" s="343" t="str">
        <f t="shared" ca="1" si="160"/>
        <v/>
      </c>
      <c r="D1993" s="124"/>
      <c r="E1993" s="124"/>
      <c r="F1993" s="172"/>
      <c r="G1993" s="173"/>
      <c r="H1993" s="249"/>
      <c r="I1993" s="249"/>
      <c r="J1993" s="249"/>
      <c r="K1993" s="249"/>
      <c r="L1993" s="249"/>
      <c r="M1993" s="249"/>
      <c r="N1993" s="250"/>
      <c r="O1993" s="250"/>
      <c r="P1993" s="250"/>
      <c r="Q1993" s="198"/>
      <c r="R1993" s="198"/>
      <c r="S1993" s="249"/>
      <c r="T1993" s="249"/>
      <c r="U1993" s="172"/>
      <c r="V1993" s="343"/>
    </row>
    <row r="1994" spans="3:25" ht="12" customHeight="1">
      <c r="C1994" s="342" t="str">
        <f t="shared" ca="1" si="160"/>
        <v/>
      </c>
      <c r="D1994" s="153"/>
      <c r="E1994" s="153"/>
      <c r="F1994" s="170"/>
      <c r="G1994" s="171"/>
      <c r="H1994" s="247"/>
      <c r="I1994" s="247"/>
      <c r="J1994" s="247"/>
      <c r="K1994" s="247"/>
      <c r="L1994" s="247"/>
      <c r="M1994" s="247"/>
      <c r="N1994" s="247"/>
      <c r="O1994" s="247"/>
      <c r="P1994" s="247"/>
      <c r="Q1994" s="248"/>
      <c r="R1994" s="248"/>
      <c r="S1994" s="247"/>
      <c r="T1994" s="247"/>
      <c r="U1994" s="218"/>
      <c r="V1994" s="342"/>
    </row>
    <row r="1995" spans="3:25" ht="12" customHeight="1">
      <c r="C1995" s="343" t="str">
        <f t="shared" ca="1" si="160"/>
        <v/>
      </c>
      <c r="D1995" s="124"/>
      <c r="E1995" s="124"/>
      <c r="F1995" s="172"/>
      <c r="G1995" s="173"/>
      <c r="H1995" s="249"/>
      <c r="I1995" s="249"/>
      <c r="J1995" s="249"/>
      <c r="K1995" s="249"/>
      <c r="L1995" s="249"/>
      <c r="M1995" s="249"/>
      <c r="N1995" s="250"/>
      <c r="O1995" s="250"/>
      <c r="P1995" s="250"/>
      <c r="Q1995" s="198"/>
      <c r="R1995" s="198"/>
      <c r="S1995" s="249"/>
      <c r="T1995" s="249"/>
      <c r="U1995" s="172"/>
      <c r="V1995" s="343"/>
    </row>
    <row r="1996" spans="3:25" ht="12" customHeight="1">
      <c r="C1996" s="342" t="str">
        <f t="shared" ca="1" si="160"/>
        <v/>
      </c>
      <c r="D1996" s="153"/>
      <c r="E1996" s="153"/>
      <c r="F1996" s="170"/>
      <c r="G1996" s="171"/>
      <c r="H1996" s="247"/>
      <c r="I1996" s="247"/>
      <c r="J1996" s="247"/>
      <c r="K1996" s="247"/>
      <c r="L1996" s="247"/>
      <c r="M1996" s="247"/>
      <c r="N1996" s="247"/>
      <c r="O1996" s="247"/>
      <c r="P1996" s="247"/>
      <c r="Q1996" s="248"/>
      <c r="R1996" s="248"/>
      <c r="S1996" s="247"/>
      <c r="T1996" s="247"/>
      <c r="U1996" s="218"/>
      <c r="V1996" s="342"/>
    </row>
    <row r="1997" spans="3:25" ht="12" customHeight="1">
      <c r="C1997" s="343" t="str">
        <f t="shared" ca="1" si="160"/>
        <v/>
      </c>
      <c r="D1997" s="124"/>
      <c r="E1997" s="124"/>
      <c r="F1997" s="172"/>
      <c r="G1997" s="173"/>
      <c r="H1997" s="249"/>
      <c r="I1997" s="249"/>
      <c r="J1997" s="249"/>
      <c r="K1997" s="249"/>
      <c r="L1997" s="249"/>
      <c r="M1997" s="249"/>
      <c r="N1997" s="250"/>
      <c r="O1997" s="250"/>
      <c r="P1997" s="250"/>
      <c r="Q1997" s="198"/>
      <c r="R1997" s="198"/>
      <c r="S1997" s="249"/>
      <c r="T1997" s="249"/>
      <c r="U1997" s="172"/>
      <c r="V1997" s="343"/>
    </row>
    <row r="1998" spans="3:25" ht="12" customHeight="1">
      <c r="C1998" s="342" t="str">
        <f t="shared" ref="C1998:C2061" ca="1" si="161">IF(ROW()-13&lt;=MAX(series),ROW()-13,"")</f>
        <v/>
      </c>
      <c r="D1998" s="153"/>
      <c r="E1998" s="153"/>
      <c r="F1998" s="170"/>
      <c r="G1998" s="171"/>
      <c r="H1998" s="247"/>
      <c r="I1998" s="247"/>
      <c r="J1998" s="247"/>
      <c r="K1998" s="247"/>
      <c r="L1998" s="247"/>
      <c r="M1998" s="247"/>
      <c r="N1998" s="247"/>
      <c r="O1998" s="247"/>
      <c r="P1998" s="247"/>
      <c r="Q1998" s="248"/>
      <c r="R1998" s="248"/>
      <c r="S1998" s="247"/>
      <c r="T1998" s="247"/>
      <c r="U1998" s="218"/>
      <c r="V1998" s="342"/>
    </row>
    <row r="1999" spans="3:25" ht="12" customHeight="1">
      <c r="C1999" s="343" t="str">
        <f t="shared" ca="1" si="161"/>
        <v/>
      </c>
      <c r="D1999" s="124"/>
      <c r="E1999" s="124"/>
      <c r="F1999" s="172"/>
      <c r="G1999" s="173"/>
      <c r="H1999" s="249"/>
      <c r="I1999" s="249"/>
      <c r="J1999" s="249"/>
      <c r="K1999" s="249"/>
      <c r="L1999" s="249"/>
      <c r="M1999" s="249"/>
      <c r="N1999" s="250"/>
      <c r="O1999" s="250"/>
      <c r="P1999" s="250"/>
      <c r="Q1999" s="198"/>
      <c r="R1999" s="198"/>
      <c r="S1999" s="249"/>
      <c r="T1999" s="249"/>
      <c r="U1999" s="172"/>
      <c r="V1999" s="343"/>
    </row>
    <row r="2000" spans="3:25" ht="12" customHeight="1">
      <c r="C2000" s="342" t="str">
        <f t="shared" ca="1" si="161"/>
        <v/>
      </c>
      <c r="D2000" s="153"/>
      <c r="E2000" s="153"/>
      <c r="F2000" s="170"/>
      <c r="G2000" s="171"/>
      <c r="H2000" s="247"/>
      <c r="I2000" s="247"/>
      <c r="J2000" s="247"/>
      <c r="K2000" s="247"/>
      <c r="L2000" s="247"/>
      <c r="M2000" s="247"/>
      <c r="N2000" s="247"/>
      <c r="O2000" s="247"/>
      <c r="P2000" s="247"/>
      <c r="Q2000" s="248"/>
      <c r="R2000" s="248"/>
      <c r="S2000" s="247"/>
      <c r="T2000" s="247"/>
      <c r="U2000" s="218"/>
      <c r="V2000" s="342"/>
    </row>
    <row r="2001" spans="3:22" ht="12" customHeight="1">
      <c r="C2001" s="343" t="str">
        <f t="shared" ca="1" si="161"/>
        <v/>
      </c>
      <c r="D2001" s="124"/>
      <c r="E2001" s="124"/>
      <c r="F2001" s="172"/>
      <c r="G2001" s="173"/>
      <c r="H2001" s="249"/>
      <c r="I2001" s="249"/>
      <c r="J2001" s="249"/>
      <c r="K2001" s="249"/>
      <c r="L2001" s="249"/>
      <c r="M2001" s="249"/>
      <c r="N2001" s="250"/>
      <c r="O2001" s="250"/>
      <c r="P2001" s="250"/>
      <c r="Q2001" s="198"/>
      <c r="R2001" s="198"/>
      <c r="S2001" s="249"/>
      <c r="T2001" s="249"/>
      <c r="U2001" s="172"/>
      <c r="V2001" s="343"/>
    </row>
    <row r="2002" spans="3:22" ht="12" customHeight="1">
      <c r="C2002" s="342" t="str">
        <f t="shared" ca="1" si="161"/>
        <v/>
      </c>
      <c r="D2002" s="153"/>
      <c r="E2002" s="153"/>
      <c r="F2002" s="170"/>
      <c r="G2002" s="171"/>
      <c r="H2002" s="247"/>
      <c r="I2002" s="247"/>
      <c r="J2002" s="247"/>
      <c r="K2002" s="247"/>
      <c r="L2002" s="247"/>
      <c r="M2002" s="247"/>
      <c r="N2002" s="247"/>
      <c r="O2002" s="247"/>
      <c r="P2002" s="247"/>
      <c r="Q2002" s="248"/>
      <c r="R2002" s="248"/>
      <c r="S2002" s="247"/>
      <c r="T2002" s="247"/>
      <c r="U2002" s="218"/>
      <c r="V2002" s="342"/>
    </row>
    <row r="2003" spans="3:22" ht="12" customHeight="1">
      <c r="C2003" s="343" t="str">
        <f t="shared" ca="1" si="161"/>
        <v/>
      </c>
      <c r="D2003" s="124"/>
      <c r="E2003" s="124"/>
      <c r="F2003" s="172"/>
      <c r="G2003" s="173"/>
      <c r="H2003" s="249"/>
      <c r="I2003" s="249"/>
      <c r="J2003" s="249"/>
      <c r="K2003" s="249"/>
      <c r="L2003" s="249"/>
      <c r="M2003" s="249"/>
      <c r="N2003" s="250"/>
      <c r="O2003" s="250"/>
      <c r="P2003" s="250"/>
      <c r="Q2003" s="198"/>
      <c r="R2003" s="198"/>
      <c r="S2003" s="249"/>
      <c r="T2003" s="249"/>
      <c r="U2003" s="172"/>
      <c r="V2003" s="343"/>
    </row>
    <row r="2004" spans="3:22" ht="12" customHeight="1">
      <c r="C2004" s="342" t="str">
        <f t="shared" ca="1" si="161"/>
        <v/>
      </c>
      <c r="D2004" s="153"/>
      <c r="E2004" s="153"/>
      <c r="F2004" s="170"/>
      <c r="G2004" s="171"/>
      <c r="H2004" s="247"/>
      <c r="I2004" s="247"/>
      <c r="J2004" s="247"/>
      <c r="K2004" s="247"/>
      <c r="L2004" s="247"/>
      <c r="M2004" s="247"/>
      <c r="N2004" s="247"/>
      <c r="O2004" s="247"/>
      <c r="P2004" s="247"/>
      <c r="Q2004" s="248"/>
      <c r="R2004" s="248"/>
      <c r="S2004" s="247"/>
      <c r="T2004" s="247"/>
      <c r="U2004" s="218"/>
      <c r="V2004" s="342"/>
    </row>
    <row r="2005" spans="3:22" ht="12" customHeight="1">
      <c r="C2005" s="343" t="str">
        <f t="shared" ca="1" si="161"/>
        <v/>
      </c>
      <c r="D2005" s="124"/>
      <c r="E2005" s="124"/>
      <c r="F2005" s="172"/>
      <c r="G2005" s="173"/>
      <c r="H2005" s="249"/>
      <c r="I2005" s="249"/>
      <c r="J2005" s="249"/>
      <c r="K2005" s="249"/>
      <c r="L2005" s="249"/>
      <c r="M2005" s="249"/>
      <c r="N2005" s="250"/>
      <c r="O2005" s="250"/>
      <c r="P2005" s="250"/>
      <c r="Q2005" s="198"/>
      <c r="R2005" s="198"/>
      <c r="S2005" s="249"/>
      <c r="T2005" s="249"/>
      <c r="U2005" s="172"/>
      <c r="V2005" s="343"/>
    </row>
    <row r="2006" spans="3:22" ht="12" customHeight="1">
      <c r="C2006" s="342" t="str">
        <f t="shared" ca="1" si="161"/>
        <v/>
      </c>
      <c r="D2006" s="153"/>
      <c r="E2006" s="153"/>
      <c r="F2006" s="170"/>
      <c r="G2006" s="171"/>
      <c r="H2006" s="247"/>
      <c r="I2006" s="247"/>
      <c r="J2006" s="247"/>
      <c r="K2006" s="247"/>
      <c r="L2006" s="247"/>
      <c r="M2006" s="247"/>
      <c r="N2006" s="247"/>
      <c r="O2006" s="247"/>
      <c r="P2006" s="247"/>
      <c r="Q2006" s="248"/>
      <c r="R2006" s="248"/>
      <c r="S2006" s="247"/>
      <c r="T2006" s="247"/>
      <c r="U2006" s="218"/>
      <c r="V2006" s="342"/>
    </row>
    <row r="2007" spans="3:22" ht="12" customHeight="1">
      <c r="C2007" s="343" t="str">
        <f t="shared" ca="1" si="161"/>
        <v/>
      </c>
      <c r="D2007" s="124"/>
      <c r="E2007" s="124"/>
      <c r="F2007" s="172"/>
      <c r="G2007" s="173"/>
      <c r="H2007" s="249"/>
      <c r="I2007" s="249"/>
      <c r="J2007" s="249"/>
      <c r="K2007" s="249"/>
      <c r="L2007" s="249"/>
      <c r="M2007" s="249"/>
      <c r="N2007" s="250"/>
      <c r="O2007" s="250"/>
      <c r="P2007" s="250"/>
      <c r="Q2007" s="198"/>
      <c r="R2007" s="198"/>
      <c r="S2007" s="249"/>
      <c r="T2007" s="249"/>
      <c r="U2007" s="172"/>
      <c r="V2007" s="343"/>
    </row>
    <row r="2008" spans="3:22" ht="12" customHeight="1">
      <c r="C2008" s="342" t="str">
        <f t="shared" ca="1" si="161"/>
        <v/>
      </c>
      <c r="D2008" s="153"/>
      <c r="E2008" s="153"/>
      <c r="F2008" s="170"/>
      <c r="G2008" s="171"/>
      <c r="H2008" s="247"/>
      <c r="I2008" s="247"/>
      <c r="J2008" s="247"/>
      <c r="K2008" s="247"/>
      <c r="L2008" s="247"/>
      <c r="M2008" s="247"/>
      <c r="N2008" s="247"/>
      <c r="O2008" s="247"/>
      <c r="P2008" s="247"/>
      <c r="Q2008" s="248"/>
      <c r="R2008" s="248"/>
      <c r="S2008" s="247"/>
      <c r="T2008" s="247"/>
      <c r="U2008" s="218"/>
      <c r="V2008" s="342"/>
    </row>
    <row r="2009" spans="3:22" ht="12" customHeight="1">
      <c r="C2009" s="343" t="str">
        <f t="shared" ca="1" si="161"/>
        <v/>
      </c>
      <c r="D2009" s="124"/>
      <c r="E2009" s="124"/>
      <c r="F2009" s="172"/>
      <c r="G2009" s="173"/>
      <c r="H2009" s="249"/>
      <c r="I2009" s="249"/>
      <c r="J2009" s="249"/>
      <c r="K2009" s="249"/>
      <c r="L2009" s="249"/>
      <c r="M2009" s="249"/>
      <c r="N2009" s="250"/>
      <c r="O2009" s="250"/>
      <c r="P2009" s="250"/>
      <c r="Q2009" s="198"/>
      <c r="R2009" s="198"/>
      <c r="S2009" s="249"/>
      <c r="T2009" s="249"/>
      <c r="U2009" s="172"/>
      <c r="V2009" s="343"/>
    </row>
    <row r="2010" spans="3:22" ht="12" customHeight="1">
      <c r="C2010" s="342" t="str">
        <f t="shared" ca="1" si="161"/>
        <v/>
      </c>
      <c r="D2010" s="153"/>
      <c r="E2010" s="153"/>
      <c r="F2010" s="170"/>
      <c r="G2010" s="171"/>
      <c r="H2010" s="247"/>
      <c r="I2010" s="247"/>
      <c r="J2010" s="247"/>
      <c r="K2010" s="247"/>
      <c r="L2010" s="247"/>
      <c r="M2010" s="247"/>
      <c r="N2010" s="247"/>
      <c r="O2010" s="247"/>
      <c r="P2010" s="247"/>
      <c r="Q2010" s="248"/>
      <c r="R2010" s="248"/>
      <c r="S2010" s="247"/>
      <c r="T2010" s="247"/>
      <c r="U2010" s="218"/>
      <c r="V2010" s="342"/>
    </row>
    <row r="2011" spans="3:22" ht="12" customHeight="1">
      <c r="C2011" s="343" t="str">
        <f t="shared" ca="1" si="161"/>
        <v/>
      </c>
      <c r="D2011" s="124"/>
      <c r="E2011" s="124"/>
      <c r="F2011" s="172"/>
      <c r="G2011" s="173"/>
      <c r="H2011" s="249"/>
      <c r="I2011" s="249"/>
      <c r="J2011" s="249"/>
      <c r="K2011" s="249"/>
      <c r="L2011" s="249"/>
      <c r="M2011" s="249"/>
      <c r="N2011" s="250"/>
      <c r="O2011" s="250"/>
      <c r="P2011" s="250"/>
      <c r="Q2011" s="198"/>
      <c r="R2011" s="198"/>
      <c r="S2011" s="249"/>
      <c r="T2011" s="249"/>
      <c r="U2011" s="172"/>
      <c r="V2011" s="343"/>
    </row>
    <row r="2012" spans="3:22" ht="12" customHeight="1">
      <c r="C2012" s="342" t="str">
        <f t="shared" ca="1" si="161"/>
        <v/>
      </c>
      <c r="D2012" s="153"/>
      <c r="E2012" s="153"/>
      <c r="F2012" s="170"/>
      <c r="G2012" s="171"/>
      <c r="H2012" s="247"/>
      <c r="I2012" s="247"/>
      <c r="J2012" s="247"/>
      <c r="K2012" s="247"/>
      <c r="L2012" s="247"/>
      <c r="M2012" s="247"/>
      <c r="N2012" s="247"/>
      <c r="O2012" s="247"/>
      <c r="P2012" s="247"/>
      <c r="Q2012" s="248"/>
      <c r="R2012" s="248"/>
      <c r="S2012" s="247"/>
      <c r="T2012" s="247"/>
      <c r="U2012" s="218"/>
      <c r="V2012" s="342"/>
    </row>
    <row r="2013" spans="3:22" ht="12" customHeight="1">
      <c r="C2013" s="343" t="str">
        <f t="shared" ca="1" si="161"/>
        <v/>
      </c>
      <c r="D2013" s="124"/>
      <c r="E2013" s="124"/>
      <c r="F2013" s="172"/>
      <c r="G2013" s="173"/>
      <c r="H2013" s="249"/>
      <c r="I2013" s="249"/>
      <c r="J2013" s="249"/>
      <c r="K2013" s="249"/>
      <c r="L2013" s="249"/>
      <c r="M2013" s="249"/>
      <c r="N2013" s="250"/>
      <c r="O2013" s="250"/>
      <c r="P2013" s="250"/>
      <c r="Q2013" s="198"/>
      <c r="R2013" s="198"/>
      <c r="S2013" s="249"/>
      <c r="T2013" s="249"/>
      <c r="U2013" s="172"/>
      <c r="V2013" s="343"/>
    </row>
    <row r="2014" spans="3:22" ht="12" customHeight="1">
      <c r="C2014" s="342" t="str">
        <f t="shared" ca="1" si="161"/>
        <v/>
      </c>
      <c r="D2014" s="153"/>
      <c r="E2014" s="153"/>
      <c r="F2014" s="170"/>
      <c r="G2014" s="171"/>
      <c r="H2014" s="247"/>
      <c r="I2014" s="247"/>
      <c r="J2014" s="247"/>
      <c r="K2014" s="247"/>
      <c r="L2014" s="247"/>
      <c r="M2014" s="247"/>
      <c r="N2014" s="247"/>
      <c r="O2014" s="247"/>
      <c r="P2014" s="247"/>
      <c r="Q2014" s="248"/>
      <c r="R2014" s="248"/>
      <c r="S2014" s="247"/>
      <c r="T2014" s="247"/>
      <c r="U2014" s="218"/>
      <c r="V2014" s="342"/>
    </row>
    <row r="2015" spans="3:22" ht="12" customHeight="1">
      <c r="C2015" s="343" t="str">
        <f t="shared" ca="1" si="161"/>
        <v/>
      </c>
      <c r="D2015" s="124"/>
      <c r="E2015" s="124"/>
      <c r="F2015" s="172"/>
      <c r="G2015" s="173"/>
      <c r="H2015" s="249"/>
      <c r="I2015" s="249"/>
      <c r="J2015" s="249"/>
      <c r="K2015" s="249"/>
      <c r="L2015" s="249"/>
      <c r="M2015" s="249"/>
      <c r="N2015" s="250"/>
      <c r="O2015" s="250"/>
      <c r="P2015" s="250"/>
      <c r="Q2015" s="198"/>
      <c r="R2015" s="198"/>
      <c r="S2015" s="249"/>
      <c r="T2015" s="249"/>
      <c r="U2015" s="172"/>
      <c r="V2015" s="343"/>
    </row>
    <row r="2016" spans="3:22" ht="12" customHeight="1">
      <c r="C2016" s="342" t="str">
        <f t="shared" ca="1" si="161"/>
        <v/>
      </c>
      <c r="D2016" s="153"/>
      <c r="E2016" s="153"/>
      <c r="F2016" s="170"/>
      <c r="G2016" s="171"/>
      <c r="H2016" s="247"/>
      <c r="I2016" s="247"/>
      <c r="J2016" s="247"/>
      <c r="K2016" s="247"/>
      <c r="L2016" s="247"/>
      <c r="M2016" s="247"/>
      <c r="N2016" s="247"/>
      <c r="O2016" s="247"/>
      <c r="P2016" s="247"/>
      <c r="Q2016" s="248"/>
      <c r="R2016" s="248"/>
      <c r="S2016" s="247"/>
      <c r="T2016" s="247"/>
      <c r="U2016" s="218"/>
      <c r="V2016" s="342"/>
    </row>
    <row r="2017" spans="3:22" ht="12" customHeight="1">
      <c r="C2017" s="343" t="str">
        <f t="shared" ca="1" si="161"/>
        <v/>
      </c>
      <c r="D2017" s="124"/>
      <c r="E2017" s="124"/>
      <c r="F2017" s="172"/>
      <c r="G2017" s="173"/>
      <c r="H2017" s="249"/>
      <c r="I2017" s="249"/>
      <c r="J2017" s="249"/>
      <c r="K2017" s="249"/>
      <c r="L2017" s="249"/>
      <c r="M2017" s="249"/>
      <c r="N2017" s="250"/>
      <c r="O2017" s="250"/>
      <c r="P2017" s="250"/>
      <c r="Q2017" s="198"/>
      <c r="R2017" s="198"/>
      <c r="S2017" s="249"/>
      <c r="T2017" s="249"/>
      <c r="U2017" s="172"/>
      <c r="V2017" s="343"/>
    </row>
    <row r="2018" spans="3:22" ht="12" customHeight="1">
      <c r="C2018" s="342" t="str">
        <f t="shared" ca="1" si="161"/>
        <v/>
      </c>
      <c r="D2018" s="153"/>
      <c r="E2018" s="153"/>
      <c r="F2018" s="170"/>
      <c r="G2018" s="171"/>
      <c r="H2018" s="247"/>
      <c r="I2018" s="247"/>
      <c r="J2018" s="247"/>
      <c r="K2018" s="247"/>
      <c r="L2018" s="247"/>
      <c r="M2018" s="247"/>
      <c r="N2018" s="247"/>
      <c r="O2018" s="247"/>
      <c r="P2018" s="247"/>
      <c r="Q2018" s="248"/>
      <c r="R2018" s="248"/>
      <c r="S2018" s="247"/>
      <c r="T2018" s="247"/>
      <c r="U2018" s="218"/>
      <c r="V2018" s="342"/>
    </row>
    <row r="2019" spans="3:22" ht="12" customHeight="1">
      <c r="C2019" s="343" t="str">
        <f t="shared" ca="1" si="161"/>
        <v/>
      </c>
      <c r="D2019" s="124"/>
      <c r="E2019" s="124"/>
      <c r="F2019" s="172"/>
      <c r="G2019" s="173"/>
      <c r="H2019" s="249"/>
      <c r="I2019" s="249"/>
      <c r="J2019" s="249"/>
      <c r="K2019" s="249"/>
      <c r="L2019" s="249"/>
      <c r="M2019" s="249"/>
      <c r="N2019" s="250"/>
      <c r="O2019" s="250"/>
      <c r="P2019" s="250"/>
      <c r="Q2019" s="198"/>
      <c r="R2019" s="198"/>
      <c r="S2019" s="249"/>
      <c r="T2019" s="249"/>
      <c r="U2019" s="172"/>
      <c r="V2019" s="343"/>
    </row>
    <row r="2020" spans="3:22" ht="12" customHeight="1">
      <c r="C2020" s="342" t="str">
        <f t="shared" ca="1" si="161"/>
        <v/>
      </c>
      <c r="D2020" s="153"/>
      <c r="E2020" s="153"/>
      <c r="F2020" s="170"/>
      <c r="G2020" s="171"/>
      <c r="H2020" s="247"/>
      <c r="I2020" s="247"/>
      <c r="J2020" s="247"/>
      <c r="K2020" s="247"/>
      <c r="L2020" s="247"/>
      <c r="M2020" s="247"/>
      <c r="N2020" s="247"/>
      <c r="O2020" s="247"/>
      <c r="P2020" s="247"/>
      <c r="Q2020" s="248"/>
      <c r="R2020" s="248"/>
      <c r="S2020" s="247"/>
      <c r="T2020" s="247"/>
      <c r="U2020" s="218"/>
      <c r="V2020" s="342"/>
    </row>
    <row r="2021" spans="3:22" ht="12" customHeight="1">
      <c r="C2021" s="343" t="str">
        <f t="shared" ca="1" si="161"/>
        <v/>
      </c>
      <c r="D2021" s="124"/>
      <c r="E2021" s="124"/>
      <c r="F2021" s="172"/>
      <c r="G2021" s="173"/>
      <c r="H2021" s="249"/>
      <c r="I2021" s="249"/>
      <c r="J2021" s="249"/>
      <c r="K2021" s="249"/>
      <c r="L2021" s="249"/>
      <c r="M2021" s="249"/>
      <c r="N2021" s="250"/>
      <c r="O2021" s="250"/>
      <c r="P2021" s="250"/>
      <c r="Q2021" s="198"/>
      <c r="R2021" s="198"/>
      <c r="S2021" s="249"/>
      <c r="T2021" s="249"/>
      <c r="U2021" s="172"/>
      <c r="V2021" s="343"/>
    </row>
    <row r="2022" spans="3:22" ht="12" customHeight="1">
      <c r="C2022" s="342" t="str">
        <f t="shared" ca="1" si="161"/>
        <v/>
      </c>
      <c r="D2022" s="153"/>
      <c r="E2022" s="153"/>
      <c r="F2022" s="170"/>
      <c r="G2022" s="171"/>
      <c r="H2022" s="247"/>
      <c r="I2022" s="247"/>
      <c r="J2022" s="247"/>
      <c r="K2022" s="247"/>
      <c r="L2022" s="247"/>
      <c r="M2022" s="247"/>
      <c r="N2022" s="247"/>
      <c r="O2022" s="247"/>
      <c r="P2022" s="247"/>
      <c r="Q2022" s="248"/>
      <c r="R2022" s="248"/>
      <c r="S2022" s="247"/>
      <c r="T2022" s="247"/>
      <c r="U2022" s="218"/>
      <c r="V2022" s="342"/>
    </row>
    <row r="2023" spans="3:22" ht="12" customHeight="1">
      <c r="C2023" s="343" t="str">
        <f t="shared" ca="1" si="161"/>
        <v/>
      </c>
      <c r="D2023" s="124"/>
      <c r="E2023" s="124"/>
      <c r="F2023" s="172"/>
      <c r="G2023" s="173"/>
      <c r="H2023" s="249"/>
      <c r="I2023" s="249"/>
      <c r="J2023" s="249"/>
      <c r="K2023" s="249"/>
      <c r="L2023" s="249"/>
      <c r="M2023" s="249"/>
      <c r="N2023" s="250"/>
      <c r="O2023" s="250"/>
      <c r="P2023" s="250"/>
      <c r="Q2023" s="198"/>
      <c r="R2023" s="198"/>
      <c r="S2023" s="249"/>
      <c r="T2023" s="249"/>
      <c r="U2023" s="172"/>
      <c r="V2023" s="343"/>
    </row>
    <row r="2024" spans="3:22" ht="12" customHeight="1">
      <c r="C2024" s="342" t="str">
        <f t="shared" ca="1" si="161"/>
        <v/>
      </c>
      <c r="D2024" s="153"/>
      <c r="E2024" s="153"/>
      <c r="F2024" s="170"/>
      <c r="G2024" s="171"/>
      <c r="H2024" s="247"/>
      <c r="I2024" s="247"/>
      <c r="J2024" s="247"/>
      <c r="K2024" s="247"/>
      <c r="L2024" s="247"/>
      <c r="M2024" s="247"/>
      <c r="N2024" s="247"/>
      <c r="O2024" s="247"/>
      <c r="P2024" s="247"/>
      <c r="Q2024" s="248"/>
      <c r="R2024" s="248"/>
      <c r="S2024" s="247"/>
      <c r="T2024" s="247"/>
      <c r="U2024" s="218"/>
      <c r="V2024" s="342"/>
    </row>
    <row r="2025" spans="3:22" ht="12" customHeight="1">
      <c r="C2025" s="343" t="str">
        <f t="shared" ca="1" si="161"/>
        <v/>
      </c>
      <c r="D2025" s="124"/>
      <c r="E2025" s="124"/>
      <c r="F2025" s="172"/>
      <c r="G2025" s="173"/>
      <c r="H2025" s="249"/>
      <c r="I2025" s="249"/>
      <c r="J2025" s="249"/>
      <c r="K2025" s="249"/>
      <c r="L2025" s="249"/>
      <c r="M2025" s="249"/>
      <c r="N2025" s="250"/>
      <c r="O2025" s="250"/>
      <c r="P2025" s="250"/>
      <c r="Q2025" s="198"/>
      <c r="R2025" s="198"/>
      <c r="S2025" s="249"/>
      <c r="T2025" s="249"/>
      <c r="U2025" s="172"/>
      <c r="V2025" s="343"/>
    </row>
    <row r="2026" spans="3:22" ht="12" customHeight="1">
      <c r="C2026" s="342" t="str">
        <f t="shared" ca="1" si="161"/>
        <v/>
      </c>
      <c r="D2026" s="153"/>
      <c r="E2026" s="153"/>
      <c r="F2026" s="170"/>
      <c r="G2026" s="171"/>
      <c r="H2026" s="247"/>
      <c r="I2026" s="247"/>
      <c r="J2026" s="247"/>
      <c r="K2026" s="247"/>
      <c r="L2026" s="247"/>
      <c r="M2026" s="247"/>
      <c r="N2026" s="247"/>
      <c r="O2026" s="247"/>
      <c r="P2026" s="247"/>
      <c r="Q2026" s="248"/>
      <c r="R2026" s="248"/>
      <c r="S2026" s="247"/>
      <c r="T2026" s="247"/>
      <c r="U2026" s="218"/>
      <c r="V2026" s="342"/>
    </row>
    <row r="2027" spans="3:22" ht="12" customHeight="1">
      <c r="C2027" s="343" t="str">
        <f t="shared" ca="1" si="161"/>
        <v/>
      </c>
      <c r="D2027" s="124"/>
      <c r="E2027" s="124"/>
      <c r="F2027" s="172"/>
      <c r="G2027" s="173"/>
      <c r="H2027" s="249"/>
      <c r="I2027" s="249"/>
      <c r="J2027" s="249"/>
      <c r="K2027" s="249"/>
      <c r="L2027" s="249"/>
      <c r="M2027" s="249"/>
      <c r="N2027" s="250"/>
      <c r="O2027" s="250"/>
      <c r="P2027" s="250"/>
      <c r="Q2027" s="198"/>
      <c r="R2027" s="198"/>
      <c r="S2027" s="249"/>
      <c r="T2027" s="249"/>
      <c r="U2027" s="172"/>
      <c r="V2027" s="343"/>
    </row>
    <row r="2028" spans="3:22" ht="12" customHeight="1">
      <c r="C2028" s="342" t="str">
        <f t="shared" ca="1" si="161"/>
        <v/>
      </c>
      <c r="D2028" s="153"/>
      <c r="E2028" s="153"/>
      <c r="F2028" s="170"/>
      <c r="G2028" s="171"/>
      <c r="H2028" s="247"/>
      <c r="I2028" s="247"/>
      <c r="J2028" s="247"/>
      <c r="K2028" s="247"/>
      <c r="L2028" s="247"/>
      <c r="M2028" s="247"/>
      <c r="N2028" s="247"/>
      <c r="O2028" s="247"/>
      <c r="P2028" s="247"/>
      <c r="Q2028" s="248"/>
      <c r="R2028" s="248"/>
      <c r="S2028" s="247"/>
      <c r="T2028" s="247"/>
      <c r="U2028" s="218"/>
      <c r="V2028" s="342"/>
    </row>
    <row r="2029" spans="3:22" ht="12" customHeight="1">
      <c r="C2029" s="343" t="str">
        <f t="shared" ca="1" si="161"/>
        <v/>
      </c>
      <c r="D2029" s="124"/>
      <c r="E2029" s="124"/>
      <c r="F2029" s="172"/>
      <c r="G2029" s="173"/>
      <c r="H2029" s="249"/>
      <c r="I2029" s="249"/>
      <c r="J2029" s="249"/>
      <c r="K2029" s="249"/>
      <c r="L2029" s="249"/>
      <c r="M2029" s="249"/>
      <c r="N2029" s="250"/>
      <c r="O2029" s="250"/>
      <c r="P2029" s="250"/>
      <c r="Q2029" s="198"/>
      <c r="R2029" s="198"/>
      <c r="S2029" s="249"/>
      <c r="T2029" s="249"/>
      <c r="U2029" s="172"/>
      <c r="V2029" s="343"/>
    </row>
    <row r="2030" spans="3:22" ht="12" customHeight="1">
      <c r="C2030" s="342" t="str">
        <f t="shared" ca="1" si="161"/>
        <v/>
      </c>
      <c r="D2030" s="153"/>
      <c r="E2030" s="153"/>
      <c r="F2030" s="170"/>
      <c r="G2030" s="171"/>
      <c r="H2030" s="247"/>
      <c r="I2030" s="247"/>
      <c r="J2030" s="247"/>
      <c r="K2030" s="247"/>
      <c r="L2030" s="247"/>
      <c r="M2030" s="247"/>
      <c r="N2030" s="247"/>
      <c r="O2030" s="247"/>
      <c r="P2030" s="247"/>
      <c r="Q2030" s="248"/>
      <c r="R2030" s="248"/>
      <c r="S2030" s="247"/>
      <c r="T2030" s="247"/>
      <c r="U2030" s="218"/>
      <c r="V2030" s="342"/>
    </row>
    <row r="2031" spans="3:22" ht="12" customHeight="1">
      <c r="C2031" s="343" t="str">
        <f t="shared" ca="1" si="161"/>
        <v/>
      </c>
      <c r="D2031" s="124"/>
      <c r="E2031" s="124"/>
      <c r="F2031" s="172"/>
      <c r="G2031" s="173"/>
      <c r="H2031" s="249"/>
      <c r="I2031" s="249"/>
      <c r="J2031" s="249"/>
      <c r="K2031" s="249"/>
      <c r="L2031" s="249"/>
      <c r="M2031" s="249"/>
      <c r="N2031" s="250"/>
      <c r="O2031" s="250"/>
      <c r="P2031" s="250"/>
      <c r="Q2031" s="198"/>
      <c r="R2031" s="198"/>
      <c r="S2031" s="249"/>
      <c r="T2031" s="249"/>
      <c r="U2031" s="172"/>
      <c r="V2031" s="343"/>
    </row>
    <row r="2032" spans="3:22" ht="12" customHeight="1">
      <c r="C2032" s="342" t="str">
        <f t="shared" ca="1" si="161"/>
        <v/>
      </c>
      <c r="D2032" s="153"/>
      <c r="E2032" s="153"/>
      <c r="F2032" s="170"/>
      <c r="G2032" s="171"/>
      <c r="H2032" s="247"/>
      <c r="I2032" s="247"/>
      <c r="J2032" s="247"/>
      <c r="K2032" s="247"/>
      <c r="L2032" s="247"/>
      <c r="M2032" s="247"/>
      <c r="N2032" s="247"/>
      <c r="O2032" s="247"/>
      <c r="P2032" s="247"/>
      <c r="Q2032" s="248"/>
      <c r="R2032" s="248"/>
      <c r="S2032" s="247"/>
      <c r="T2032" s="247"/>
      <c r="U2032" s="218"/>
      <c r="V2032" s="342"/>
    </row>
    <row r="2033" spans="3:22" ht="12" customHeight="1">
      <c r="C2033" s="343" t="str">
        <f t="shared" ca="1" si="161"/>
        <v/>
      </c>
      <c r="D2033" s="124"/>
      <c r="E2033" s="124"/>
      <c r="F2033" s="172"/>
      <c r="G2033" s="173"/>
      <c r="H2033" s="249"/>
      <c r="I2033" s="249"/>
      <c r="J2033" s="249"/>
      <c r="K2033" s="249"/>
      <c r="L2033" s="249"/>
      <c r="M2033" s="249"/>
      <c r="N2033" s="250"/>
      <c r="O2033" s="250"/>
      <c r="P2033" s="250"/>
      <c r="Q2033" s="198"/>
      <c r="R2033" s="198"/>
      <c r="S2033" s="249"/>
      <c r="T2033" s="249"/>
      <c r="U2033" s="172"/>
      <c r="V2033" s="343"/>
    </row>
    <row r="2034" spans="3:22" ht="12" customHeight="1">
      <c r="C2034" s="342" t="str">
        <f t="shared" ca="1" si="161"/>
        <v/>
      </c>
      <c r="D2034" s="153"/>
      <c r="E2034" s="153"/>
      <c r="F2034" s="170"/>
      <c r="G2034" s="171"/>
      <c r="H2034" s="247"/>
      <c r="I2034" s="247"/>
      <c r="J2034" s="247"/>
      <c r="K2034" s="247"/>
      <c r="L2034" s="247"/>
      <c r="M2034" s="247"/>
      <c r="N2034" s="247"/>
      <c r="O2034" s="247"/>
      <c r="P2034" s="247"/>
      <c r="Q2034" s="248"/>
      <c r="R2034" s="248"/>
      <c r="S2034" s="247"/>
      <c r="T2034" s="247"/>
      <c r="U2034" s="218"/>
      <c r="V2034" s="342"/>
    </row>
    <row r="2035" spans="3:22" ht="12" customHeight="1">
      <c r="C2035" s="343" t="str">
        <f t="shared" ca="1" si="161"/>
        <v/>
      </c>
      <c r="D2035" s="124"/>
      <c r="E2035" s="124"/>
      <c r="F2035" s="172"/>
      <c r="G2035" s="173"/>
      <c r="H2035" s="249"/>
      <c r="I2035" s="249"/>
      <c r="J2035" s="249"/>
      <c r="K2035" s="249"/>
      <c r="L2035" s="249"/>
      <c r="M2035" s="249"/>
      <c r="N2035" s="250"/>
      <c r="O2035" s="250"/>
      <c r="P2035" s="250"/>
      <c r="Q2035" s="198"/>
      <c r="R2035" s="198"/>
      <c r="S2035" s="249"/>
      <c r="T2035" s="249"/>
      <c r="U2035" s="172"/>
      <c r="V2035" s="343"/>
    </row>
    <row r="2036" spans="3:22" ht="12" customHeight="1">
      <c r="C2036" s="342" t="str">
        <f t="shared" ca="1" si="161"/>
        <v/>
      </c>
      <c r="D2036" s="153"/>
      <c r="E2036" s="153"/>
      <c r="F2036" s="170"/>
      <c r="G2036" s="171"/>
      <c r="H2036" s="247"/>
      <c r="I2036" s="247"/>
      <c r="J2036" s="247"/>
      <c r="K2036" s="247"/>
      <c r="L2036" s="247"/>
      <c r="M2036" s="247"/>
      <c r="N2036" s="247"/>
      <c r="O2036" s="247"/>
      <c r="P2036" s="247"/>
      <c r="Q2036" s="248"/>
      <c r="R2036" s="248"/>
      <c r="S2036" s="247"/>
      <c r="T2036" s="247"/>
      <c r="U2036" s="218"/>
      <c r="V2036" s="342"/>
    </row>
    <row r="2037" spans="3:22" ht="12" customHeight="1">
      <c r="C2037" s="343" t="str">
        <f t="shared" ca="1" si="161"/>
        <v/>
      </c>
      <c r="D2037" s="124"/>
      <c r="E2037" s="124"/>
      <c r="F2037" s="172"/>
      <c r="G2037" s="173"/>
      <c r="H2037" s="249"/>
      <c r="I2037" s="249"/>
      <c r="J2037" s="249"/>
      <c r="K2037" s="249"/>
      <c r="L2037" s="249"/>
      <c r="M2037" s="249"/>
      <c r="N2037" s="250"/>
      <c r="O2037" s="250"/>
      <c r="P2037" s="250"/>
      <c r="Q2037" s="198"/>
      <c r="R2037" s="198"/>
      <c r="S2037" s="249"/>
      <c r="T2037" s="249"/>
      <c r="U2037" s="172"/>
      <c r="V2037" s="343"/>
    </row>
    <row r="2038" spans="3:22" ht="12" customHeight="1">
      <c r="C2038" s="342" t="str">
        <f t="shared" ca="1" si="161"/>
        <v/>
      </c>
      <c r="D2038" s="153"/>
      <c r="E2038" s="153"/>
      <c r="F2038" s="170"/>
      <c r="G2038" s="171"/>
      <c r="H2038" s="247"/>
      <c r="I2038" s="247"/>
      <c r="J2038" s="247"/>
      <c r="K2038" s="247"/>
      <c r="L2038" s="247"/>
      <c r="M2038" s="247"/>
      <c r="N2038" s="247"/>
      <c r="O2038" s="247"/>
      <c r="P2038" s="247"/>
      <c r="Q2038" s="248"/>
      <c r="R2038" s="248"/>
      <c r="S2038" s="247"/>
      <c r="T2038" s="247"/>
      <c r="U2038" s="218"/>
      <c r="V2038" s="342"/>
    </row>
    <row r="2039" spans="3:22" ht="12" customHeight="1">
      <c r="C2039" s="343" t="str">
        <f t="shared" ca="1" si="161"/>
        <v/>
      </c>
      <c r="D2039" s="124"/>
      <c r="E2039" s="124"/>
      <c r="F2039" s="172"/>
      <c r="G2039" s="173"/>
      <c r="H2039" s="249"/>
      <c r="I2039" s="249"/>
      <c r="J2039" s="249"/>
      <c r="K2039" s="249"/>
      <c r="L2039" s="249"/>
      <c r="M2039" s="249"/>
      <c r="N2039" s="250"/>
      <c r="O2039" s="250"/>
      <c r="P2039" s="250"/>
      <c r="Q2039" s="198"/>
      <c r="R2039" s="198"/>
      <c r="S2039" s="249"/>
      <c r="T2039" s="249"/>
      <c r="U2039" s="172"/>
      <c r="V2039" s="343"/>
    </row>
    <row r="2040" spans="3:22" ht="12" customHeight="1">
      <c r="C2040" s="342" t="str">
        <f t="shared" ca="1" si="161"/>
        <v/>
      </c>
      <c r="D2040" s="153"/>
      <c r="E2040" s="153"/>
      <c r="F2040" s="170"/>
      <c r="G2040" s="171"/>
      <c r="H2040" s="247"/>
      <c r="I2040" s="247"/>
      <c r="J2040" s="247"/>
      <c r="K2040" s="247"/>
      <c r="L2040" s="247"/>
      <c r="M2040" s="247"/>
      <c r="N2040" s="247"/>
      <c r="O2040" s="247"/>
      <c r="P2040" s="247"/>
      <c r="Q2040" s="248"/>
      <c r="R2040" s="248"/>
      <c r="S2040" s="247"/>
      <c r="T2040" s="247"/>
      <c r="U2040" s="218"/>
      <c r="V2040" s="342"/>
    </row>
    <row r="2041" spans="3:22" ht="12" customHeight="1">
      <c r="C2041" s="343" t="str">
        <f t="shared" ca="1" si="161"/>
        <v/>
      </c>
      <c r="D2041" s="124"/>
      <c r="E2041" s="124"/>
      <c r="F2041" s="172"/>
      <c r="G2041" s="173"/>
      <c r="H2041" s="249"/>
      <c r="I2041" s="249"/>
      <c r="J2041" s="249"/>
      <c r="K2041" s="249"/>
      <c r="L2041" s="249"/>
      <c r="M2041" s="249"/>
      <c r="N2041" s="250"/>
      <c r="O2041" s="250"/>
      <c r="P2041" s="250"/>
      <c r="Q2041" s="198"/>
      <c r="R2041" s="198"/>
      <c r="S2041" s="249"/>
      <c r="T2041" s="249"/>
      <c r="U2041" s="172"/>
      <c r="V2041" s="343"/>
    </row>
    <row r="2042" spans="3:22" ht="12" customHeight="1">
      <c r="C2042" s="342" t="str">
        <f t="shared" ca="1" si="161"/>
        <v/>
      </c>
      <c r="D2042" s="153"/>
      <c r="E2042" s="153"/>
      <c r="F2042" s="170"/>
      <c r="G2042" s="171"/>
      <c r="H2042" s="247"/>
      <c r="I2042" s="247"/>
      <c r="J2042" s="247"/>
      <c r="K2042" s="247"/>
      <c r="L2042" s="247"/>
      <c r="M2042" s="247"/>
      <c r="N2042" s="247"/>
      <c r="O2042" s="247"/>
      <c r="P2042" s="247"/>
      <c r="Q2042" s="248"/>
      <c r="R2042" s="248"/>
      <c r="S2042" s="247"/>
      <c r="T2042" s="247"/>
      <c r="U2042" s="218"/>
      <c r="V2042" s="342"/>
    </row>
    <row r="2043" spans="3:22" ht="12" customHeight="1">
      <c r="C2043" s="343" t="str">
        <f t="shared" ca="1" si="161"/>
        <v/>
      </c>
      <c r="D2043" s="124"/>
      <c r="E2043" s="124"/>
      <c r="F2043" s="172"/>
      <c r="G2043" s="173"/>
      <c r="H2043" s="249"/>
      <c r="I2043" s="249"/>
      <c r="J2043" s="249"/>
      <c r="K2043" s="249"/>
      <c r="L2043" s="249"/>
      <c r="M2043" s="249"/>
      <c r="N2043" s="250"/>
      <c r="O2043" s="250"/>
      <c r="P2043" s="250"/>
      <c r="Q2043" s="198"/>
      <c r="R2043" s="198"/>
      <c r="S2043" s="249"/>
      <c r="T2043" s="249"/>
      <c r="U2043" s="172"/>
      <c r="V2043" s="343"/>
    </row>
    <row r="2044" spans="3:22" ht="12" customHeight="1">
      <c r="C2044" s="342" t="str">
        <f t="shared" ca="1" si="161"/>
        <v/>
      </c>
      <c r="D2044" s="153"/>
      <c r="E2044" s="153"/>
      <c r="F2044" s="170"/>
      <c r="G2044" s="171"/>
      <c r="H2044" s="247"/>
      <c r="I2044" s="247"/>
      <c r="J2044" s="247"/>
      <c r="K2044" s="247"/>
      <c r="L2044" s="247"/>
      <c r="M2044" s="247"/>
      <c r="N2044" s="247"/>
      <c r="O2044" s="247"/>
      <c r="P2044" s="247"/>
      <c r="Q2044" s="248"/>
      <c r="R2044" s="248"/>
      <c r="S2044" s="247"/>
      <c r="T2044" s="247"/>
      <c r="U2044" s="218"/>
      <c r="V2044" s="342"/>
    </row>
    <row r="2045" spans="3:22" ht="12" customHeight="1">
      <c r="C2045" s="343" t="str">
        <f t="shared" ca="1" si="161"/>
        <v/>
      </c>
      <c r="D2045" s="124"/>
      <c r="E2045" s="124"/>
      <c r="F2045" s="172"/>
      <c r="G2045" s="173"/>
      <c r="H2045" s="249"/>
      <c r="I2045" s="249"/>
      <c r="J2045" s="249"/>
      <c r="K2045" s="249"/>
      <c r="L2045" s="249"/>
      <c r="M2045" s="249"/>
      <c r="N2045" s="250"/>
      <c r="O2045" s="250"/>
      <c r="P2045" s="250"/>
      <c r="Q2045" s="198"/>
      <c r="R2045" s="198"/>
      <c r="S2045" s="249"/>
      <c r="T2045" s="249"/>
      <c r="U2045" s="172"/>
      <c r="V2045" s="343"/>
    </row>
    <row r="2046" spans="3:22" ht="12" customHeight="1">
      <c r="C2046" s="342" t="str">
        <f t="shared" ca="1" si="161"/>
        <v/>
      </c>
      <c r="D2046" s="153"/>
      <c r="E2046" s="153"/>
      <c r="F2046" s="170"/>
      <c r="G2046" s="171"/>
      <c r="H2046" s="247"/>
      <c r="I2046" s="247"/>
      <c r="J2046" s="247"/>
      <c r="K2046" s="247"/>
      <c r="L2046" s="247"/>
      <c r="M2046" s="247"/>
      <c r="N2046" s="247"/>
      <c r="O2046" s="247"/>
      <c r="P2046" s="247"/>
      <c r="Q2046" s="248"/>
      <c r="R2046" s="248"/>
      <c r="S2046" s="247"/>
      <c r="T2046" s="247"/>
      <c r="U2046" s="218"/>
      <c r="V2046" s="342"/>
    </row>
    <row r="2047" spans="3:22" ht="12" customHeight="1">
      <c r="C2047" s="343" t="str">
        <f t="shared" ca="1" si="161"/>
        <v/>
      </c>
      <c r="D2047" s="124"/>
      <c r="E2047" s="124"/>
      <c r="F2047" s="172"/>
      <c r="G2047" s="173"/>
      <c r="H2047" s="249"/>
      <c r="I2047" s="249"/>
      <c r="J2047" s="249"/>
      <c r="K2047" s="249"/>
      <c r="L2047" s="249"/>
      <c r="M2047" s="249"/>
      <c r="N2047" s="250"/>
      <c r="O2047" s="250"/>
      <c r="P2047" s="250"/>
      <c r="Q2047" s="198"/>
      <c r="R2047" s="198"/>
      <c r="S2047" s="249"/>
      <c r="T2047" s="249"/>
      <c r="U2047" s="172"/>
      <c r="V2047" s="343"/>
    </row>
    <row r="2048" spans="3:22" ht="12" customHeight="1">
      <c r="C2048" s="342" t="str">
        <f t="shared" ca="1" si="161"/>
        <v/>
      </c>
      <c r="D2048" s="153"/>
      <c r="E2048" s="153"/>
      <c r="F2048" s="170"/>
      <c r="G2048" s="171"/>
      <c r="H2048" s="247"/>
      <c r="I2048" s="247"/>
      <c r="J2048" s="247"/>
      <c r="K2048" s="247"/>
      <c r="L2048" s="247"/>
      <c r="M2048" s="247"/>
      <c r="N2048" s="247"/>
      <c r="O2048" s="247"/>
      <c r="P2048" s="247"/>
      <c r="Q2048" s="248"/>
      <c r="R2048" s="248"/>
      <c r="S2048" s="247"/>
      <c r="T2048" s="247"/>
      <c r="U2048" s="218"/>
      <c r="V2048" s="342"/>
    </row>
    <row r="2049" spans="3:22" ht="12" customHeight="1">
      <c r="C2049" s="343" t="str">
        <f t="shared" ca="1" si="161"/>
        <v/>
      </c>
      <c r="D2049" s="124"/>
      <c r="E2049" s="124"/>
      <c r="F2049" s="172"/>
      <c r="G2049" s="173"/>
      <c r="H2049" s="249"/>
      <c r="I2049" s="249"/>
      <c r="J2049" s="249"/>
      <c r="K2049" s="249"/>
      <c r="L2049" s="249"/>
      <c r="M2049" s="249"/>
      <c r="N2049" s="250"/>
      <c r="O2049" s="250"/>
      <c r="P2049" s="250"/>
      <c r="Q2049" s="198"/>
      <c r="R2049" s="198"/>
      <c r="S2049" s="249"/>
      <c r="T2049" s="249"/>
      <c r="U2049" s="172"/>
      <c r="V2049" s="343"/>
    </row>
    <row r="2050" spans="3:22" ht="12" customHeight="1">
      <c r="C2050" s="342" t="str">
        <f t="shared" ca="1" si="161"/>
        <v/>
      </c>
      <c r="D2050" s="153"/>
      <c r="E2050" s="153"/>
      <c r="F2050" s="170"/>
      <c r="G2050" s="171"/>
      <c r="H2050" s="247"/>
      <c r="I2050" s="247"/>
      <c r="J2050" s="247"/>
      <c r="K2050" s="247"/>
      <c r="L2050" s="247"/>
      <c r="M2050" s="247"/>
      <c r="N2050" s="247"/>
      <c r="O2050" s="247"/>
      <c r="P2050" s="247"/>
      <c r="Q2050" s="248"/>
      <c r="R2050" s="248"/>
      <c r="S2050" s="247"/>
      <c r="T2050" s="247"/>
      <c r="U2050" s="218"/>
      <c r="V2050" s="342"/>
    </row>
    <row r="2051" spans="3:22" ht="12" customHeight="1">
      <c r="C2051" s="343" t="str">
        <f t="shared" ca="1" si="161"/>
        <v/>
      </c>
      <c r="D2051" s="124"/>
      <c r="E2051" s="124"/>
      <c r="F2051" s="172"/>
      <c r="G2051" s="173"/>
      <c r="H2051" s="249"/>
      <c r="I2051" s="249"/>
      <c r="J2051" s="249"/>
      <c r="K2051" s="249"/>
      <c r="L2051" s="249"/>
      <c r="M2051" s="249"/>
      <c r="N2051" s="250"/>
      <c r="O2051" s="250"/>
      <c r="P2051" s="250"/>
      <c r="Q2051" s="198"/>
      <c r="R2051" s="198"/>
      <c r="S2051" s="249"/>
      <c r="T2051" s="249"/>
      <c r="U2051" s="172"/>
      <c r="V2051" s="343"/>
    </row>
    <row r="2052" spans="3:22" ht="12" customHeight="1">
      <c r="C2052" s="342" t="str">
        <f t="shared" ca="1" si="161"/>
        <v/>
      </c>
      <c r="D2052" s="153"/>
      <c r="E2052" s="153"/>
      <c r="F2052" s="170"/>
      <c r="G2052" s="171"/>
      <c r="H2052" s="247"/>
      <c r="I2052" s="247"/>
      <c r="J2052" s="247"/>
      <c r="K2052" s="247"/>
      <c r="L2052" s="247"/>
      <c r="M2052" s="247"/>
      <c r="N2052" s="247"/>
      <c r="O2052" s="247"/>
      <c r="P2052" s="247"/>
      <c r="Q2052" s="248"/>
      <c r="R2052" s="248"/>
      <c r="S2052" s="247"/>
      <c r="T2052" s="247"/>
      <c r="U2052" s="218"/>
      <c r="V2052" s="342"/>
    </row>
    <row r="2053" spans="3:22" ht="12" customHeight="1">
      <c r="C2053" s="343" t="str">
        <f t="shared" ca="1" si="161"/>
        <v/>
      </c>
      <c r="D2053" s="124"/>
      <c r="E2053" s="124"/>
      <c r="F2053" s="172"/>
      <c r="G2053" s="173"/>
      <c r="H2053" s="249"/>
      <c r="I2053" s="249"/>
      <c r="J2053" s="249"/>
      <c r="K2053" s="249"/>
      <c r="L2053" s="249"/>
      <c r="M2053" s="249"/>
      <c r="N2053" s="250"/>
      <c r="O2053" s="250"/>
      <c r="P2053" s="250"/>
      <c r="Q2053" s="198"/>
      <c r="R2053" s="198"/>
      <c r="S2053" s="249"/>
      <c r="T2053" s="249"/>
      <c r="U2053" s="172"/>
      <c r="V2053" s="343"/>
    </row>
    <row r="2054" spans="3:22" ht="12" customHeight="1">
      <c r="C2054" s="342" t="str">
        <f t="shared" ca="1" si="161"/>
        <v/>
      </c>
      <c r="D2054" s="153"/>
      <c r="E2054" s="153"/>
      <c r="F2054" s="170"/>
      <c r="G2054" s="171"/>
      <c r="H2054" s="247"/>
      <c r="I2054" s="247"/>
      <c r="J2054" s="247"/>
      <c r="K2054" s="247"/>
      <c r="L2054" s="247"/>
      <c r="M2054" s="247"/>
      <c r="N2054" s="247"/>
      <c r="O2054" s="247"/>
      <c r="P2054" s="247"/>
      <c r="Q2054" s="248"/>
      <c r="R2054" s="248"/>
      <c r="S2054" s="247"/>
      <c r="T2054" s="247"/>
      <c r="U2054" s="218"/>
      <c r="V2054" s="342"/>
    </row>
    <row r="2055" spans="3:22" ht="12" customHeight="1">
      <c r="C2055" s="343" t="str">
        <f t="shared" ca="1" si="161"/>
        <v/>
      </c>
      <c r="D2055" s="124"/>
      <c r="E2055" s="124"/>
      <c r="F2055" s="172"/>
      <c r="G2055" s="173"/>
      <c r="H2055" s="249"/>
      <c r="I2055" s="249"/>
      <c r="J2055" s="249"/>
      <c r="K2055" s="249"/>
      <c r="L2055" s="249"/>
      <c r="M2055" s="249"/>
      <c r="N2055" s="250"/>
      <c r="O2055" s="250"/>
      <c r="P2055" s="250"/>
      <c r="Q2055" s="198"/>
      <c r="R2055" s="198"/>
      <c r="S2055" s="249"/>
      <c r="T2055" s="249"/>
      <c r="U2055" s="172"/>
      <c r="V2055" s="343"/>
    </row>
    <row r="2056" spans="3:22" ht="12" customHeight="1">
      <c r="C2056" s="342" t="str">
        <f t="shared" ca="1" si="161"/>
        <v/>
      </c>
      <c r="D2056" s="153"/>
      <c r="E2056" s="153"/>
      <c r="F2056" s="170"/>
      <c r="G2056" s="171"/>
      <c r="H2056" s="247"/>
      <c r="I2056" s="247"/>
      <c r="J2056" s="247"/>
      <c r="K2056" s="247"/>
      <c r="L2056" s="247"/>
      <c r="M2056" s="247"/>
      <c r="N2056" s="247"/>
      <c r="O2056" s="247"/>
      <c r="P2056" s="247"/>
      <c r="Q2056" s="248"/>
      <c r="R2056" s="248"/>
      <c r="S2056" s="247"/>
      <c r="T2056" s="247"/>
      <c r="U2056" s="218"/>
      <c r="V2056" s="342"/>
    </row>
    <row r="2057" spans="3:22" ht="12" customHeight="1">
      <c r="C2057" s="343" t="str">
        <f t="shared" ca="1" si="161"/>
        <v/>
      </c>
      <c r="D2057" s="124"/>
      <c r="E2057" s="124"/>
      <c r="F2057" s="172"/>
      <c r="G2057" s="173"/>
      <c r="H2057" s="249"/>
      <c r="I2057" s="249"/>
      <c r="J2057" s="249"/>
      <c r="K2057" s="249"/>
      <c r="L2057" s="249"/>
      <c r="M2057" s="249"/>
      <c r="N2057" s="250"/>
      <c r="O2057" s="250"/>
      <c r="P2057" s="250"/>
      <c r="Q2057" s="198"/>
      <c r="R2057" s="198"/>
      <c r="S2057" s="249"/>
      <c r="T2057" s="249"/>
      <c r="U2057" s="172"/>
      <c r="V2057" s="343"/>
    </row>
    <row r="2058" spans="3:22" ht="12" customHeight="1">
      <c r="C2058" s="342" t="str">
        <f t="shared" ca="1" si="161"/>
        <v/>
      </c>
      <c r="D2058" s="153"/>
      <c r="E2058" s="153"/>
      <c r="F2058" s="170"/>
      <c r="G2058" s="171"/>
      <c r="H2058" s="247"/>
      <c r="I2058" s="247"/>
      <c r="J2058" s="247"/>
      <c r="K2058" s="247"/>
      <c r="L2058" s="247"/>
      <c r="M2058" s="247"/>
      <c r="N2058" s="247"/>
      <c r="O2058" s="247"/>
      <c r="P2058" s="247"/>
      <c r="Q2058" s="248"/>
      <c r="R2058" s="248"/>
      <c r="S2058" s="247"/>
      <c r="T2058" s="247"/>
      <c r="U2058" s="218"/>
      <c r="V2058" s="342"/>
    </row>
    <row r="2059" spans="3:22" ht="12" customHeight="1">
      <c r="C2059" s="343" t="str">
        <f t="shared" ca="1" si="161"/>
        <v/>
      </c>
      <c r="D2059" s="124"/>
      <c r="E2059" s="124"/>
      <c r="F2059" s="172"/>
      <c r="G2059" s="173"/>
      <c r="H2059" s="249"/>
      <c r="I2059" s="249"/>
      <c r="J2059" s="249"/>
      <c r="K2059" s="249"/>
      <c r="L2059" s="249"/>
      <c r="M2059" s="249"/>
      <c r="N2059" s="250"/>
      <c r="O2059" s="250"/>
      <c r="P2059" s="250"/>
      <c r="Q2059" s="198"/>
      <c r="R2059" s="198"/>
      <c r="S2059" s="249"/>
      <c r="T2059" s="249"/>
      <c r="U2059" s="172"/>
      <c r="V2059" s="343"/>
    </row>
    <row r="2060" spans="3:22" ht="12" customHeight="1">
      <c r="C2060" s="342" t="str">
        <f t="shared" ca="1" si="161"/>
        <v/>
      </c>
      <c r="D2060" s="153"/>
      <c r="E2060" s="153"/>
      <c r="F2060" s="170"/>
      <c r="G2060" s="171"/>
      <c r="H2060" s="247"/>
      <c r="I2060" s="247"/>
      <c r="J2060" s="247"/>
      <c r="K2060" s="247"/>
      <c r="L2060" s="247"/>
      <c r="M2060" s="247"/>
      <c r="N2060" s="247"/>
      <c r="O2060" s="247"/>
      <c r="P2060" s="247"/>
      <c r="Q2060" s="248"/>
      <c r="R2060" s="248"/>
      <c r="S2060" s="247"/>
      <c r="T2060" s="247"/>
      <c r="U2060" s="218"/>
      <c r="V2060" s="342"/>
    </row>
    <row r="2061" spans="3:22" ht="12" customHeight="1">
      <c r="C2061" s="343" t="str">
        <f t="shared" ca="1" si="161"/>
        <v/>
      </c>
      <c r="D2061" s="124"/>
      <c r="E2061" s="124"/>
      <c r="F2061" s="172"/>
      <c r="G2061" s="173"/>
      <c r="H2061" s="249"/>
      <c r="I2061" s="249"/>
      <c r="J2061" s="249"/>
      <c r="K2061" s="249"/>
      <c r="L2061" s="249"/>
      <c r="M2061" s="249"/>
      <c r="N2061" s="250"/>
      <c r="O2061" s="250"/>
      <c r="P2061" s="250"/>
      <c r="Q2061" s="198"/>
      <c r="R2061" s="198"/>
      <c r="S2061" s="249"/>
      <c r="T2061" s="249"/>
      <c r="U2061" s="172"/>
      <c r="V2061" s="343"/>
    </row>
    <row r="2062" spans="3:22" ht="12" customHeight="1">
      <c r="C2062" s="342" t="str">
        <f t="shared" ref="C2062:C2125" ca="1" si="162">IF(ROW()-13&lt;=MAX(series),ROW()-13,"")</f>
        <v/>
      </c>
      <c r="D2062" s="153"/>
      <c r="E2062" s="153"/>
      <c r="F2062" s="170"/>
      <c r="G2062" s="171"/>
      <c r="H2062" s="247"/>
      <c r="I2062" s="247"/>
      <c r="J2062" s="247"/>
      <c r="K2062" s="247"/>
      <c r="L2062" s="247"/>
      <c r="M2062" s="247"/>
      <c r="N2062" s="247"/>
      <c r="O2062" s="247"/>
      <c r="P2062" s="247"/>
      <c r="Q2062" s="248"/>
      <c r="R2062" s="248"/>
      <c r="S2062" s="247"/>
      <c r="T2062" s="247"/>
      <c r="U2062" s="218"/>
      <c r="V2062" s="342"/>
    </row>
    <row r="2063" spans="3:22" ht="12" customHeight="1">
      <c r="C2063" s="343" t="str">
        <f t="shared" ca="1" si="162"/>
        <v/>
      </c>
      <c r="D2063" s="124"/>
      <c r="E2063" s="124"/>
      <c r="F2063" s="172"/>
      <c r="G2063" s="173"/>
      <c r="H2063" s="249"/>
      <c r="I2063" s="249"/>
      <c r="J2063" s="249"/>
      <c r="K2063" s="249"/>
      <c r="L2063" s="249"/>
      <c r="M2063" s="249"/>
      <c r="N2063" s="250"/>
      <c r="O2063" s="250"/>
      <c r="P2063" s="250"/>
      <c r="Q2063" s="198"/>
      <c r="R2063" s="198"/>
      <c r="S2063" s="249"/>
      <c r="T2063" s="249"/>
      <c r="U2063" s="172"/>
      <c r="V2063" s="343"/>
    </row>
    <row r="2064" spans="3:22" ht="12" customHeight="1">
      <c r="C2064" s="342" t="str">
        <f t="shared" ca="1" si="162"/>
        <v/>
      </c>
      <c r="D2064" s="153"/>
      <c r="E2064" s="153"/>
      <c r="F2064" s="170"/>
      <c r="G2064" s="171"/>
      <c r="H2064" s="247"/>
      <c r="I2064" s="247"/>
      <c r="J2064" s="247"/>
      <c r="K2064" s="247"/>
      <c r="L2064" s="247"/>
      <c r="M2064" s="247"/>
      <c r="N2064" s="247"/>
      <c r="O2064" s="247"/>
      <c r="P2064" s="247"/>
      <c r="Q2064" s="248"/>
      <c r="R2064" s="248"/>
      <c r="S2064" s="247"/>
      <c r="T2064" s="247"/>
      <c r="U2064" s="218"/>
      <c r="V2064" s="342"/>
    </row>
    <row r="2065" spans="3:22" ht="12" customHeight="1">
      <c r="C2065" s="343" t="str">
        <f t="shared" ca="1" si="162"/>
        <v/>
      </c>
      <c r="D2065" s="124"/>
      <c r="E2065" s="124"/>
      <c r="F2065" s="172"/>
      <c r="G2065" s="173"/>
      <c r="H2065" s="249"/>
      <c r="I2065" s="249"/>
      <c r="J2065" s="249"/>
      <c r="K2065" s="249"/>
      <c r="L2065" s="249"/>
      <c r="M2065" s="249"/>
      <c r="N2065" s="250"/>
      <c r="O2065" s="250"/>
      <c r="P2065" s="250"/>
      <c r="Q2065" s="198"/>
      <c r="R2065" s="198"/>
      <c r="S2065" s="249"/>
      <c r="T2065" s="249"/>
      <c r="U2065" s="172"/>
      <c r="V2065" s="343"/>
    </row>
    <row r="2066" spans="3:22" ht="12" customHeight="1">
      <c r="C2066" s="342" t="str">
        <f t="shared" ca="1" si="162"/>
        <v/>
      </c>
      <c r="D2066" s="153"/>
      <c r="E2066" s="153"/>
      <c r="F2066" s="170"/>
      <c r="G2066" s="171"/>
      <c r="H2066" s="247"/>
      <c r="I2066" s="247"/>
      <c r="J2066" s="247"/>
      <c r="K2066" s="247"/>
      <c r="L2066" s="247"/>
      <c r="M2066" s="247"/>
      <c r="N2066" s="247"/>
      <c r="O2066" s="247"/>
      <c r="P2066" s="247"/>
      <c r="Q2066" s="248"/>
      <c r="R2066" s="248"/>
      <c r="S2066" s="247"/>
      <c r="T2066" s="247"/>
      <c r="U2066" s="218"/>
      <c r="V2066" s="342"/>
    </row>
    <row r="2067" spans="3:22" ht="12" customHeight="1">
      <c r="C2067" s="343" t="str">
        <f t="shared" ca="1" si="162"/>
        <v/>
      </c>
      <c r="D2067" s="124"/>
      <c r="E2067" s="124"/>
      <c r="F2067" s="172"/>
      <c r="G2067" s="173"/>
      <c r="H2067" s="249"/>
      <c r="I2067" s="249"/>
      <c r="J2067" s="249"/>
      <c r="K2067" s="249"/>
      <c r="L2067" s="249"/>
      <c r="M2067" s="249"/>
      <c r="N2067" s="250"/>
      <c r="O2067" s="250"/>
      <c r="P2067" s="250"/>
      <c r="Q2067" s="198"/>
      <c r="R2067" s="198"/>
      <c r="S2067" s="249"/>
      <c r="T2067" s="249"/>
      <c r="U2067" s="172"/>
      <c r="V2067" s="343"/>
    </row>
    <row r="2068" spans="3:22" ht="12" customHeight="1">
      <c r="C2068" s="342" t="str">
        <f t="shared" ca="1" si="162"/>
        <v/>
      </c>
      <c r="D2068" s="153"/>
      <c r="E2068" s="153"/>
      <c r="F2068" s="170"/>
      <c r="G2068" s="171"/>
      <c r="H2068" s="247"/>
      <c r="I2068" s="247"/>
      <c r="J2068" s="247"/>
      <c r="K2068" s="247"/>
      <c r="L2068" s="247"/>
      <c r="M2068" s="247"/>
      <c r="N2068" s="247"/>
      <c r="O2068" s="247"/>
      <c r="P2068" s="247"/>
      <c r="Q2068" s="248"/>
      <c r="R2068" s="248"/>
      <c r="S2068" s="247"/>
      <c r="T2068" s="247"/>
      <c r="U2068" s="218"/>
      <c r="V2068" s="342"/>
    </row>
    <row r="2069" spans="3:22" ht="12" customHeight="1">
      <c r="C2069" s="343" t="str">
        <f t="shared" ca="1" si="162"/>
        <v/>
      </c>
      <c r="D2069" s="124"/>
      <c r="E2069" s="124"/>
      <c r="F2069" s="172"/>
      <c r="G2069" s="173"/>
      <c r="H2069" s="249"/>
      <c r="I2069" s="249"/>
      <c r="J2069" s="249"/>
      <c r="K2069" s="249"/>
      <c r="L2069" s="249"/>
      <c r="M2069" s="249"/>
      <c r="N2069" s="250"/>
      <c r="O2069" s="250"/>
      <c r="P2069" s="250"/>
      <c r="Q2069" s="198"/>
      <c r="R2069" s="198"/>
      <c r="S2069" s="249"/>
      <c r="T2069" s="249"/>
      <c r="U2069" s="172"/>
      <c r="V2069" s="343"/>
    </row>
    <row r="2070" spans="3:22" ht="12" customHeight="1">
      <c r="C2070" s="342" t="str">
        <f t="shared" ca="1" si="162"/>
        <v/>
      </c>
      <c r="D2070" s="153"/>
      <c r="E2070" s="153"/>
      <c r="F2070" s="170"/>
      <c r="G2070" s="171"/>
      <c r="H2070" s="247"/>
      <c r="I2070" s="247"/>
      <c r="J2070" s="247"/>
      <c r="K2070" s="247"/>
      <c r="L2070" s="247"/>
      <c r="M2070" s="247"/>
      <c r="N2070" s="247"/>
      <c r="O2070" s="247"/>
      <c r="P2070" s="247"/>
      <c r="Q2070" s="248"/>
      <c r="R2070" s="248"/>
      <c r="S2070" s="247"/>
      <c r="T2070" s="247"/>
      <c r="U2070" s="218"/>
      <c r="V2070" s="342"/>
    </row>
    <row r="2071" spans="3:22" ht="12" customHeight="1">
      <c r="C2071" s="343" t="str">
        <f t="shared" ca="1" si="162"/>
        <v/>
      </c>
      <c r="D2071" s="124"/>
      <c r="E2071" s="124"/>
      <c r="F2071" s="172"/>
      <c r="G2071" s="173"/>
      <c r="H2071" s="249"/>
      <c r="I2071" s="249"/>
      <c r="J2071" s="249"/>
      <c r="K2071" s="249"/>
      <c r="L2071" s="249"/>
      <c r="M2071" s="249"/>
      <c r="N2071" s="250"/>
      <c r="O2071" s="250"/>
      <c r="P2071" s="250"/>
      <c r="Q2071" s="198"/>
      <c r="R2071" s="198"/>
      <c r="S2071" s="249"/>
      <c r="T2071" s="249"/>
      <c r="U2071" s="172"/>
      <c r="V2071" s="343"/>
    </row>
    <row r="2072" spans="3:22" ht="12" customHeight="1">
      <c r="C2072" s="342" t="str">
        <f t="shared" ca="1" si="162"/>
        <v/>
      </c>
      <c r="D2072" s="153"/>
      <c r="E2072" s="153"/>
      <c r="F2072" s="170"/>
      <c r="G2072" s="171"/>
      <c r="H2072" s="247"/>
      <c r="I2072" s="247"/>
      <c r="J2072" s="247"/>
      <c r="K2072" s="247"/>
      <c r="L2072" s="247"/>
      <c r="M2072" s="247"/>
      <c r="N2072" s="247"/>
      <c r="O2072" s="247"/>
      <c r="P2072" s="247"/>
      <c r="Q2072" s="248"/>
      <c r="R2072" s="248"/>
      <c r="S2072" s="247"/>
      <c r="T2072" s="247"/>
      <c r="U2072" s="218"/>
      <c r="V2072" s="342"/>
    </row>
    <row r="2073" spans="3:22" ht="12" customHeight="1">
      <c r="C2073" s="343" t="str">
        <f t="shared" ca="1" si="162"/>
        <v/>
      </c>
      <c r="D2073" s="124"/>
      <c r="E2073" s="124"/>
      <c r="F2073" s="172"/>
      <c r="G2073" s="173"/>
      <c r="H2073" s="249"/>
      <c r="I2073" s="249"/>
      <c r="J2073" s="249"/>
      <c r="K2073" s="249"/>
      <c r="L2073" s="249"/>
      <c r="M2073" s="249"/>
      <c r="N2073" s="250"/>
      <c r="O2073" s="250"/>
      <c r="P2073" s="250"/>
      <c r="Q2073" s="198"/>
      <c r="R2073" s="198"/>
      <c r="S2073" s="249"/>
      <c r="T2073" s="249"/>
      <c r="U2073" s="172"/>
      <c r="V2073" s="343"/>
    </row>
    <row r="2074" spans="3:22" ht="12" customHeight="1">
      <c r="C2074" s="342" t="str">
        <f t="shared" ca="1" si="162"/>
        <v/>
      </c>
      <c r="D2074" s="153"/>
      <c r="E2074" s="153"/>
      <c r="F2074" s="170"/>
      <c r="G2074" s="171"/>
      <c r="H2074" s="247"/>
      <c r="I2074" s="247"/>
      <c r="J2074" s="247"/>
      <c r="K2074" s="247"/>
      <c r="L2074" s="247"/>
      <c r="M2074" s="247"/>
      <c r="N2074" s="247"/>
      <c r="O2074" s="247"/>
      <c r="P2074" s="247"/>
      <c r="Q2074" s="248"/>
      <c r="R2074" s="248"/>
      <c r="S2074" s="247"/>
      <c r="T2074" s="247"/>
      <c r="U2074" s="218"/>
      <c r="V2074" s="342"/>
    </row>
    <row r="2075" spans="3:22" ht="12" customHeight="1">
      <c r="C2075" s="343" t="str">
        <f t="shared" ca="1" si="162"/>
        <v/>
      </c>
      <c r="D2075" s="124"/>
      <c r="E2075" s="124"/>
      <c r="F2075" s="172"/>
      <c r="G2075" s="173"/>
      <c r="H2075" s="249"/>
      <c r="I2075" s="249"/>
      <c r="J2075" s="249"/>
      <c r="K2075" s="249"/>
      <c r="L2075" s="249"/>
      <c r="M2075" s="249"/>
      <c r="N2075" s="250"/>
      <c r="O2075" s="250"/>
      <c r="P2075" s="250"/>
      <c r="Q2075" s="198"/>
      <c r="R2075" s="198"/>
      <c r="S2075" s="249"/>
      <c r="T2075" s="249"/>
      <c r="U2075" s="172"/>
      <c r="V2075" s="343"/>
    </row>
    <row r="2076" spans="3:22" ht="12" customHeight="1">
      <c r="C2076" s="342" t="str">
        <f t="shared" ca="1" si="162"/>
        <v/>
      </c>
      <c r="D2076" s="153"/>
      <c r="E2076" s="153"/>
      <c r="F2076" s="170"/>
      <c r="G2076" s="171"/>
      <c r="H2076" s="247"/>
      <c r="I2076" s="247"/>
      <c r="J2076" s="247"/>
      <c r="K2076" s="247"/>
      <c r="L2076" s="247"/>
      <c r="M2076" s="247"/>
      <c r="N2076" s="247"/>
      <c r="O2076" s="247"/>
      <c r="P2076" s="247"/>
      <c r="Q2076" s="248"/>
      <c r="R2076" s="248"/>
      <c r="S2076" s="247"/>
      <c r="T2076" s="247"/>
      <c r="U2076" s="218"/>
      <c r="V2076" s="342"/>
    </row>
    <row r="2077" spans="3:22" ht="12" customHeight="1">
      <c r="C2077" s="343" t="str">
        <f t="shared" ca="1" si="162"/>
        <v/>
      </c>
      <c r="D2077" s="124"/>
      <c r="E2077" s="124"/>
      <c r="F2077" s="172"/>
      <c r="G2077" s="173"/>
      <c r="H2077" s="249"/>
      <c r="I2077" s="249"/>
      <c r="J2077" s="249"/>
      <c r="K2077" s="249"/>
      <c r="L2077" s="249"/>
      <c r="M2077" s="249"/>
      <c r="N2077" s="250"/>
      <c r="O2077" s="250"/>
      <c r="P2077" s="250"/>
      <c r="Q2077" s="198"/>
      <c r="R2077" s="198"/>
      <c r="S2077" s="249"/>
      <c r="T2077" s="249"/>
      <c r="U2077" s="172"/>
      <c r="V2077" s="343"/>
    </row>
    <row r="2078" spans="3:22" ht="12" customHeight="1">
      <c r="C2078" s="342" t="str">
        <f t="shared" ca="1" si="162"/>
        <v/>
      </c>
      <c r="D2078" s="153"/>
      <c r="E2078" s="153"/>
      <c r="F2078" s="170"/>
      <c r="G2078" s="171"/>
      <c r="H2078" s="247"/>
      <c r="I2078" s="247"/>
      <c r="J2078" s="247"/>
      <c r="K2078" s="247"/>
      <c r="L2078" s="247"/>
      <c r="M2078" s="247"/>
      <c r="N2078" s="247"/>
      <c r="O2078" s="247"/>
      <c r="P2078" s="247"/>
      <c r="Q2078" s="248"/>
      <c r="R2078" s="248"/>
      <c r="S2078" s="247"/>
      <c r="T2078" s="247"/>
      <c r="U2078" s="218"/>
      <c r="V2078" s="342"/>
    </row>
    <row r="2079" spans="3:22" ht="12" customHeight="1">
      <c r="C2079" s="343" t="str">
        <f t="shared" ca="1" si="162"/>
        <v/>
      </c>
      <c r="D2079" s="124"/>
      <c r="E2079" s="124"/>
      <c r="F2079" s="172"/>
      <c r="G2079" s="173"/>
      <c r="H2079" s="249"/>
      <c r="I2079" s="249"/>
      <c r="J2079" s="249"/>
      <c r="K2079" s="249"/>
      <c r="L2079" s="249"/>
      <c r="M2079" s="249"/>
      <c r="N2079" s="250"/>
      <c r="O2079" s="250"/>
      <c r="P2079" s="250"/>
      <c r="Q2079" s="198"/>
      <c r="R2079" s="198"/>
      <c r="S2079" s="249"/>
      <c r="T2079" s="249"/>
      <c r="U2079" s="172"/>
      <c r="V2079" s="343"/>
    </row>
    <row r="2080" spans="3:22" ht="12" customHeight="1">
      <c r="C2080" s="342" t="str">
        <f t="shared" ca="1" si="162"/>
        <v/>
      </c>
      <c r="D2080" s="153"/>
      <c r="E2080" s="153"/>
      <c r="F2080" s="170"/>
      <c r="G2080" s="171"/>
      <c r="H2080" s="247"/>
      <c r="I2080" s="247"/>
      <c r="J2080" s="247"/>
      <c r="K2080" s="247"/>
      <c r="L2080" s="247"/>
      <c r="M2080" s="247"/>
      <c r="N2080" s="247"/>
      <c r="O2080" s="247"/>
      <c r="P2080" s="247"/>
      <c r="Q2080" s="248"/>
      <c r="R2080" s="248"/>
      <c r="S2080" s="247"/>
      <c r="T2080" s="247"/>
      <c r="U2080" s="218"/>
      <c r="V2080" s="342"/>
    </row>
    <row r="2081" spans="3:22" ht="12" customHeight="1">
      <c r="C2081" s="343" t="str">
        <f t="shared" ca="1" si="162"/>
        <v/>
      </c>
      <c r="D2081" s="124"/>
      <c r="E2081" s="124"/>
      <c r="F2081" s="172"/>
      <c r="G2081" s="173"/>
      <c r="H2081" s="249"/>
      <c r="I2081" s="249"/>
      <c r="J2081" s="249"/>
      <c r="K2081" s="249"/>
      <c r="L2081" s="249"/>
      <c r="M2081" s="249"/>
      <c r="N2081" s="250"/>
      <c r="O2081" s="250"/>
      <c r="P2081" s="250"/>
      <c r="Q2081" s="198"/>
      <c r="R2081" s="198"/>
      <c r="S2081" s="249"/>
      <c r="T2081" s="249"/>
      <c r="U2081" s="172"/>
      <c r="V2081" s="343"/>
    </row>
    <row r="2082" spans="3:22" ht="12" customHeight="1">
      <c r="C2082" s="342" t="str">
        <f t="shared" ca="1" si="162"/>
        <v/>
      </c>
      <c r="D2082" s="153"/>
      <c r="E2082" s="153"/>
      <c r="F2082" s="170"/>
      <c r="G2082" s="171"/>
      <c r="H2082" s="247"/>
      <c r="I2082" s="247"/>
      <c r="J2082" s="247"/>
      <c r="K2082" s="247"/>
      <c r="L2082" s="247"/>
      <c r="M2082" s="247"/>
      <c r="N2082" s="247"/>
      <c r="O2082" s="247"/>
      <c r="P2082" s="247"/>
      <c r="Q2082" s="248"/>
      <c r="R2082" s="248"/>
      <c r="S2082" s="247"/>
      <c r="T2082" s="247"/>
      <c r="U2082" s="218"/>
      <c r="V2082" s="342"/>
    </row>
    <row r="2083" spans="3:22" ht="12" customHeight="1">
      <c r="C2083" s="343" t="str">
        <f t="shared" ca="1" si="162"/>
        <v/>
      </c>
      <c r="D2083" s="124"/>
      <c r="E2083" s="124"/>
      <c r="F2083" s="172"/>
      <c r="G2083" s="173"/>
      <c r="H2083" s="249"/>
      <c r="I2083" s="249"/>
      <c r="J2083" s="249"/>
      <c r="K2083" s="249"/>
      <c r="L2083" s="249"/>
      <c r="M2083" s="249"/>
      <c r="N2083" s="250"/>
      <c r="O2083" s="250"/>
      <c r="P2083" s="250"/>
      <c r="Q2083" s="198"/>
      <c r="R2083" s="198"/>
      <c r="S2083" s="249"/>
      <c r="T2083" s="249"/>
      <c r="U2083" s="172"/>
      <c r="V2083" s="343"/>
    </row>
    <row r="2084" spans="3:22" ht="12" customHeight="1">
      <c r="C2084" s="342" t="str">
        <f t="shared" ca="1" si="162"/>
        <v/>
      </c>
      <c r="D2084" s="153"/>
      <c r="E2084" s="153"/>
      <c r="F2084" s="170"/>
      <c r="G2084" s="171"/>
      <c r="H2084" s="247"/>
      <c r="I2084" s="247"/>
      <c r="J2084" s="247"/>
      <c r="K2084" s="247"/>
      <c r="L2084" s="247"/>
      <c r="M2084" s="247"/>
      <c r="N2084" s="247"/>
      <c r="O2084" s="247"/>
      <c r="P2084" s="247"/>
      <c r="Q2084" s="248"/>
      <c r="R2084" s="248"/>
      <c r="S2084" s="247"/>
      <c r="T2084" s="247"/>
      <c r="U2084" s="218"/>
      <c r="V2084" s="342"/>
    </row>
    <row r="2085" spans="3:22" ht="12" customHeight="1">
      <c r="C2085" s="343" t="str">
        <f t="shared" ca="1" si="162"/>
        <v/>
      </c>
      <c r="D2085" s="124"/>
      <c r="E2085" s="124"/>
      <c r="F2085" s="172"/>
      <c r="G2085" s="173"/>
      <c r="H2085" s="249"/>
      <c r="I2085" s="249"/>
      <c r="J2085" s="249"/>
      <c r="K2085" s="249"/>
      <c r="L2085" s="249"/>
      <c r="M2085" s="249"/>
      <c r="N2085" s="250"/>
      <c r="O2085" s="250"/>
      <c r="P2085" s="250"/>
      <c r="Q2085" s="198"/>
      <c r="R2085" s="198"/>
      <c r="S2085" s="249"/>
      <c r="T2085" s="249"/>
      <c r="U2085" s="172"/>
      <c r="V2085" s="343"/>
    </row>
    <row r="2086" spans="3:22" ht="12" customHeight="1">
      <c r="C2086" s="342" t="str">
        <f t="shared" ca="1" si="162"/>
        <v/>
      </c>
      <c r="D2086" s="153"/>
      <c r="E2086" s="153"/>
      <c r="F2086" s="170"/>
      <c r="G2086" s="171"/>
      <c r="H2086" s="247"/>
      <c r="I2086" s="247"/>
      <c r="J2086" s="247"/>
      <c r="K2086" s="247"/>
      <c r="L2086" s="247"/>
      <c r="M2086" s="247"/>
      <c r="N2086" s="247"/>
      <c r="O2086" s="247"/>
      <c r="P2086" s="247"/>
      <c r="Q2086" s="248"/>
      <c r="R2086" s="248"/>
      <c r="S2086" s="247"/>
      <c r="T2086" s="247"/>
      <c r="U2086" s="218"/>
      <c r="V2086" s="342"/>
    </row>
    <row r="2087" spans="3:22" ht="12" customHeight="1">
      <c r="C2087" s="343" t="str">
        <f t="shared" ca="1" si="162"/>
        <v/>
      </c>
      <c r="D2087" s="124"/>
      <c r="E2087" s="124"/>
      <c r="F2087" s="172"/>
      <c r="G2087" s="173"/>
      <c r="H2087" s="249"/>
      <c r="I2087" s="249"/>
      <c r="J2087" s="249"/>
      <c r="K2087" s="249"/>
      <c r="L2087" s="249"/>
      <c r="M2087" s="249"/>
      <c r="N2087" s="250"/>
      <c r="O2087" s="250"/>
      <c r="P2087" s="250"/>
      <c r="Q2087" s="198"/>
      <c r="R2087" s="198"/>
      <c r="S2087" s="249"/>
      <c r="T2087" s="249"/>
      <c r="U2087" s="172"/>
      <c r="V2087" s="343"/>
    </row>
    <row r="2088" spans="3:22" ht="12" customHeight="1">
      <c r="C2088" s="342" t="str">
        <f t="shared" ca="1" si="162"/>
        <v/>
      </c>
      <c r="D2088" s="153"/>
      <c r="E2088" s="153"/>
      <c r="F2088" s="170"/>
      <c r="G2088" s="171"/>
      <c r="H2088" s="247"/>
      <c r="I2088" s="247"/>
      <c r="J2088" s="247"/>
      <c r="K2088" s="247"/>
      <c r="L2088" s="247"/>
      <c r="M2088" s="247"/>
      <c r="N2088" s="247"/>
      <c r="O2088" s="247"/>
      <c r="P2088" s="247"/>
      <c r="Q2088" s="248"/>
      <c r="R2088" s="248"/>
      <c r="S2088" s="247"/>
      <c r="T2088" s="247"/>
      <c r="U2088" s="218"/>
      <c r="V2088" s="342"/>
    </row>
    <row r="2089" spans="3:22" ht="12" customHeight="1">
      <c r="C2089" s="343" t="str">
        <f t="shared" ca="1" si="162"/>
        <v/>
      </c>
      <c r="D2089" s="124"/>
      <c r="E2089" s="124"/>
      <c r="F2089" s="172"/>
      <c r="G2089" s="173"/>
      <c r="H2089" s="249"/>
      <c r="I2089" s="249"/>
      <c r="J2089" s="249"/>
      <c r="K2089" s="249"/>
      <c r="L2089" s="249"/>
      <c r="M2089" s="249"/>
      <c r="N2089" s="250"/>
      <c r="O2089" s="250"/>
      <c r="P2089" s="250"/>
      <c r="Q2089" s="198"/>
      <c r="R2089" s="198"/>
      <c r="S2089" s="249"/>
      <c r="T2089" s="249"/>
      <c r="U2089" s="172"/>
      <c r="V2089" s="343"/>
    </row>
    <row r="2090" spans="3:22" ht="12" customHeight="1">
      <c r="C2090" s="342" t="str">
        <f t="shared" ca="1" si="162"/>
        <v/>
      </c>
      <c r="D2090" s="153"/>
      <c r="E2090" s="153"/>
      <c r="F2090" s="170"/>
      <c r="G2090" s="171"/>
      <c r="H2090" s="247"/>
      <c r="I2090" s="247"/>
      <c r="J2090" s="247"/>
      <c r="K2090" s="247"/>
      <c r="L2090" s="247"/>
      <c r="M2090" s="247"/>
      <c r="N2090" s="247"/>
      <c r="O2090" s="247"/>
      <c r="P2090" s="247"/>
      <c r="Q2090" s="248"/>
      <c r="R2090" s="248"/>
      <c r="S2090" s="247"/>
      <c r="T2090" s="247"/>
      <c r="U2090" s="218"/>
      <c r="V2090" s="342"/>
    </row>
    <row r="2091" spans="3:22" ht="12" customHeight="1">
      <c r="C2091" s="343" t="str">
        <f t="shared" ca="1" si="162"/>
        <v/>
      </c>
      <c r="D2091" s="124"/>
      <c r="E2091" s="124"/>
      <c r="F2091" s="172"/>
      <c r="G2091" s="173"/>
      <c r="H2091" s="249"/>
      <c r="I2091" s="249"/>
      <c r="J2091" s="249"/>
      <c r="K2091" s="249"/>
      <c r="L2091" s="249"/>
      <c r="M2091" s="249"/>
      <c r="N2091" s="250"/>
      <c r="O2091" s="250"/>
      <c r="P2091" s="250"/>
      <c r="Q2091" s="198"/>
      <c r="R2091" s="198"/>
      <c r="S2091" s="249"/>
      <c r="T2091" s="249"/>
      <c r="U2091" s="172"/>
      <c r="V2091" s="343"/>
    </row>
    <row r="2092" spans="3:22" ht="12" customHeight="1">
      <c r="C2092" s="342" t="str">
        <f t="shared" ca="1" si="162"/>
        <v/>
      </c>
      <c r="D2092" s="153"/>
      <c r="E2092" s="153"/>
      <c r="F2092" s="170"/>
      <c r="G2092" s="171"/>
      <c r="H2092" s="247"/>
      <c r="I2092" s="247"/>
      <c r="J2092" s="247"/>
      <c r="K2092" s="247"/>
      <c r="L2092" s="247"/>
      <c r="M2092" s="247"/>
      <c r="N2092" s="247"/>
      <c r="O2092" s="247"/>
      <c r="P2092" s="247"/>
      <c r="Q2092" s="248"/>
      <c r="R2092" s="248"/>
      <c r="S2092" s="247"/>
      <c r="T2092" s="247"/>
      <c r="U2092" s="218"/>
      <c r="V2092" s="342"/>
    </row>
    <row r="2093" spans="3:22" ht="12" customHeight="1">
      <c r="C2093" s="343" t="str">
        <f t="shared" ca="1" si="162"/>
        <v/>
      </c>
      <c r="D2093" s="124"/>
      <c r="E2093" s="124"/>
      <c r="F2093" s="172"/>
      <c r="G2093" s="173"/>
      <c r="H2093" s="249"/>
      <c r="I2093" s="249"/>
      <c r="J2093" s="249"/>
      <c r="K2093" s="249"/>
      <c r="L2093" s="249"/>
      <c r="M2093" s="249"/>
      <c r="N2093" s="250"/>
      <c r="O2093" s="250"/>
      <c r="P2093" s="250"/>
      <c r="Q2093" s="198"/>
      <c r="R2093" s="198"/>
      <c r="S2093" s="249"/>
      <c r="T2093" s="249"/>
      <c r="U2093" s="172"/>
      <c r="V2093" s="343"/>
    </row>
    <row r="2094" spans="3:22" ht="12" customHeight="1">
      <c r="C2094" s="342" t="str">
        <f t="shared" ca="1" si="162"/>
        <v/>
      </c>
      <c r="D2094" s="153"/>
      <c r="E2094" s="153"/>
      <c r="F2094" s="170"/>
      <c r="G2094" s="171"/>
      <c r="H2094" s="247"/>
      <c r="I2094" s="247"/>
      <c r="J2094" s="247"/>
      <c r="K2094" s="247"/>
      <c r="L2094" s="247"/>
      <c r="M2094" s="247"/>
      <c r="N2094" s="247"/>
      <c r="O2094" s="247"/>
      <c r="P2094" s="247"/>
      <c r="Q2094" s="248"/>
      <c r="R2094" s="248"/>
      <c r="S2094" s="247"/>
      <c r="T2094" s="247"/>
      <c r="U2094" s="218"/>
      <c r="V2094" s="342"/>
    </row>
    <row r="2095" spans="3:22" ht="12" customHeight="1">
      <c r="C2095" s="343" t="str">
        <f t="shared" ca="1" si="162"/>
        <v/>
      </c>
      <c r="D2095" s="124"/>
      <c r="E2095" s="124"/>
      <c r="F2095" s="172"/>
      <c r="G2095" s="173"/>
      <c r="H2095" s="249"/>
      <c r="I2095" s="249"/>
      <c r="J2095" s="249"/>
      <c r="K2095" s="249"/>
      <c r="L2095" s="249"/>
      <c r="M2095" s="249"/>
      <c r="N2095" s="250"/>
      <c r="O2095" s="250"/>
      <c r="P2095" s="250"/>
      <c r="Q2095" s="198"/>
      <c r="R2095" s="198"/>
      <c r="S2095" s="249"/>
      <c r="T2095" s="249"/>
      <c r="U2095" s="172"/>
      <c r="V2095" s="343"/>
    </row>
    <row r="2096" spans="3:22" ht="12" customHeight="1">
      <c r="C2096" s="342" t="str">
        <f t="shared" ca="1" si="162"/>
        <v/>
      </c>
      <c r="D2096" s="153"/>
      <c r="E2096" s="153"/>
      <c r="F2096" s="170"/>
      <c r="G2096" s="171"/>
      <c r="H2096" s="247"/>
      <c r="I2096" s="247"/>
      <c r="J2096" s="247"/>
      <c r="K2096" s="247"/>
      <c r="L2096" s="247"/>
      <c r="M2096" s="247"/>
      <c r="N2096" s="247"/>
      <c r="O2096" s="247"/>
      <c r="P2096" s="247"/>
      <c r="Q2096" s="248"/>
      <c r="R2096" s="248"/>
      <c r="S2096" s="247"/>
      <c r="T2096" s="247"/>
      <c r="U2096" s="218"/>
      <c r="V2096" s="342"/>
    </row>
    <row r="2097" spans="3:22" ht="12" customHeight="1">
      <c r="C2097" s="343" t="str">
        <f t="shared" ca="1" si="162"/>
        <v/>
      </c>
      <c r="D2097" s="124"/>
      <c r="E2097" s="124"/>
      <c r="F2097" s="172"/>
      <c r="G2097" s="173"/>
      <c r="H2097" s="249"/>
      <c r="I2097" s="249"/>
      <c r="J2097" s="249"/>
      <c r="K2097" s="249"/>
      <c r="L2097" s="249"/>
      <c r="M2097" s="249"/>
      <c r="N2097" s="250"/>
      <c r="O2097" s="250"/>
      <c r="P2097" s="250"/>
      <c r="Q2097" s="198"/>
      <c r="R2097" s="198"/>
      <c r="S2097" s="249"/>
      <c r="T2097" s="249"/>
      <c r="U2097" s="172"/>
      <c r="V2097" s="343"/>
    </row>
    <row r="2098" spans="3:22" ht="12" customHeight="1">
      <c r="C2098" s="342" t="str">
        <f t="shared" ca="1" si="162"/>
        <v/>
      </c>
      <c r="D2098" s="153"/>
      <c r="E2098" s="153"/>
      <c r="F2098" s="170"/>
      <c r="G2098" s="171"/>
      <c r="H2098" s="247"/>
      <c r="I2098" s="247"/>
      <c r="J2098" s="247"/>
      <c r="K2098" s="247"/>
      <c r="L2098" s="247"/>
      <c r="M2098" s="247"/>
      <c r="N2098" s="247"/>
      <c r="O2098" s="247"/>
      <c r="P2098" s="247"/>
      <c r="Q2098" s="248"/>
      <c r="R2098" s="248"/>
      <c r="S2098" s="247"/>
      <c r="T2098" s="247"/>
      <c r="U2098" s="218"/>
      <c r="V2098" s="342"/>
    </row>
    <row r="2099" spans="3:22" ht="12" customHeight="1">
      <c r="C2099" s="343" t="str">
        <f t="shared" ca="1" si="162"/>
        <v/>
      </c>
      <c r="D2099" s="124"/>
      <c r="E2099" s="124"/>
      <c r="F2099" s="172"/>
      <c r="G2099" s="173"/>
      <c r="H2099" s="249"/>
      <c r="I2099" s="249"/>
      <c r="J2099" s="249"/>
      <c r="K2099" s="249"/>
      <c r="L2099" s="249"/>
      <c r="M2099" s="249"/>
      <c r="N2099" s="250"/>
      <c r="O2099" s="250"/>
      <c r="P2099" s="250"/>
      <c r="Q2099" s="198"/>
      <c r="R2099" s="198"/>
      <c r="S2099" s="249"/>
      <c r="T2099" s="249"/>
      <c r="U2099" s="172"/>
      <c r="V2099" s="343"/>
    </row>
    <row r="2100" spans="3:22" ht="12" customHeight="1">
      <c r="C2100" s="342" t="str">
        <f t="shared" ca="1" si="162"/>
        <v/>
      </c>
      <c r="D2100" s="153"/>
      <c r="E2100" s="153"/>
      <c r="F2100" s="170"/>
      <c r="G2100" s="171"/>
      <c r="H2100" s="247"/>
      <c r="I2100" s="247"/>
      <c r="J2100" s="247"/>
      <c r="K2100" s="247"/>
      <c r="L2100" s="247"/>
      <c r="M2100" s="247"/>
      <c r="N2100" s="247"/>
      <c r="O2100" s="247"/>
      <c r="P2100" s="247"/>
      <c r="Q2100" s="248"/>
      <c r="R2100" s="248"/>
      <c r="S2100" s="247"/>
      <c r="T2100" s="247"/>
      <c r="U2100" s="218"/>
      <c r="V2100" s="342"/>
    </row>
    <row r="2101" spans="3:22" ht="12" customHeight="1">
      <c r="C2101" s="343" t="str">
        <f t="shared" ca="1" si="162"/>
        <v/>
      </c>
      <c r="D2101" s="124"/>
      <c r="E2101" s="124"/>
      <c r="F2101" s="172"/>
      <c r="G2101" s="173"/>
      <c r="H2101" s="249"/>
      <c r="I2101" s="249"/>
      <c r="J2101" s="249"/>
      <c r="K2101" s="249"/>
      <c r="L2101" s="249"/>
      <c r="M2101" s="249"/>
      <c r="N2101" s="250"/>
      <c r="O2101" s="250"/>
      <c r="P2101" s="250"/>
      <c r="Q2101" s="198"/>
      <c r="R2101" s="198"/>
      <c r="S2101" s="249"/>
      <c r="T2101" s="249"/>
      <c r="U2101" s="172"/>
      <c r="V2101" s="343"/>
    </row>
    <row r="2102" spans="3:22" ht="12" customHeight="1">
      <c r="C2102" s="342" t="str">
        <f t="shared" ca="1" si="162"/>
        <v/>
      </c>
      <c r="D2102" s="153"/>
      <c r="E2102" s="153"/>
      <c r="F2102" s="170"/>
      <c r="G2102" s="171"/>
      <c r="H2102" s="247"/>
      <c r="I2102" s="247"/>
      <c r="J2102" s="247"/>
      <c r="K2102" s="247"/>
      <c r="L2102" s="247"/>
      <c r="M2102" s="247"/>
      <c r="N2102" s="247"/>
      <c r="O2102" s="247"/>
      <c r="P2102" s="247"/>
      <c r="Q2102" s="248"/>
      <c r="R2102" s="248"/>
      <c r="S2102" s="247"/>
      <c r="T2102" s="247"/>
      <c r="U2102" s="218"/>
      <c r="V2102" s="342"/>
    </row>
    <row r="2103" spans="3:22" ht="12" customHeight="1">
      <c r="C2103" s="343" t="str">
        <f t="shared" ca="1" si="162"/>
        <v/>
      </c>
      <c r="D2103" s="124"/>
      <c r="E2103" s="124"/>
      <c r="F2103" s="172"/>
      <c r="G2103" s="173"/>
      <c r="H2103" s="249"/>
      <c r="I2103" s="249"/>
      <c r="J2103" s="249"/>
      <c r="K2103" s="249"/>
      <c r="L2103" s="249"/>
      <c r="M2103" s="249"/>
      <c r="N2103" s="250"/>
      <c r="O2103" s="250"/>
      <c r="P2103" s="250"/>
      <c r="Q2103" s="198"/>
      <c r="R2103" s="198"/>
      <c r="S2103" s="249"/>
      <c r="T2103" s="249"/>
      <c r="U2103" s="172"/>
      <c r="V2103" s="343"/>
    </row>
    <row r="2104" spans="3:22" ht="12" customHeight="1">
      <c r="C2104" s="342" t="str">
        <f t="shared" ca="1" si="162"/>
        <v/>
      </c>
      <c r="D2104" s="153"/>
      <c r="E2104" s="153"/>
      <c r="F2104" s="170"/>
      <c r="G2104" s="171"/>
      <c r="H2104" s="247"/>
      <c r="I2104" s="247"/>
      <c r="J2104" s="247"/>
      <c r="K2104" s="247"/>
      <c r="L2104" s="247"/>
      <c r="M2104" s="247"/>
      <c r="N2104" s="247"/>
      <c r="O2104" s="247"/>
      <c r="P2104" s="247"/>
      <c r="Q2104" s="248"/>
      <c r="R2104" s="248"/>
      <c r="S2104" s="247"/>
      <c r="T2104" s="247"/>
      <c r="U2104" s="218"/>
      <c r="V2104" s="342"/>
    </row>
    <row r="2105" spans="3:22" ht="12" customHeight="1">
      <c r="C2105" s="343" t="str">
        <f t="shared" ca="1" si="162"/>
        <v/>
      </c>
      <c r="D2105" s="124"/>
      <c r="E2105" s="124"/>
      <c r="F2105" s="172"/>
      <c r="G2105" s="173"/>
      <c r="H2105" s="249"/>
      <c r="I2105" s="249"/>
      <c r="J2105" s="249"/>
      <c r="K2105" s="249"/>
      <c r="L2105" s="249"/>
      <c r="M2105" s="249"/>
      <c r="N2105" s="250"/>
      <c r="O2105" s="250"/>
      <c r="P2105" s="250"/>
      <c r="Q2105" s="198"/>
      <c r="R2105" s="198"/>
      <c r="S2105" s="249"/>
      <c r="T2105" s="249"/>
      <c r="U2105" s="172"/>
      <c r="V2105" s="343"/>
    </row>
    <row r="2106" spans="3:22" ht="12" customHeight="1">
      <c r="C2106" s="342" t="str">
        <f t="shared" ca="1" si="162"/>
        <v/>
      </c>
      <c r="D2106" s="153"/>
      <c r="E2106" s="153"/>
      <c r="F2106" s="170"/>
      <c r="G2106" s="171"/>
      <c r="H2106" s="247"/>
      <c r="I2106" s="247"/>
      <c r="J2106" s="247"/>
      <c r="K2106" s="247"/>
      <c r="L2106" s="247"/>
      <c r="M2106" s="247"/>
      <c r="N2106" s="247"/>
      <c r="O2106" s="247"/>
      <c r="P2106" s="247"/>
      <c r="Q2106" s="248"/>
      <c r="R2106" s="248"/>
      <c r="S2106" s="247"/>
      <c r="T2106" s="247"/>
      <c r="U2106" s="218"/>
      <c r="V2106" s="342"/>
    </row>
    <row r="2107" spans="3:22" ht="12" customHeight="1">
      <c r="C2107" s="343" t="str">
        <f t="shared" ca="1" si="162"/>
        <v/>
      </c>
      <c r="D2107" s="124"/>
      <c r="E2107" s="124"/>
      <c r="F2107" s="172"/>
      <c r="G2107" s="173"/>
      <c r="H2107" s="249"/>
      <c r="I2107" s="249"/>
      <c r="J2107" s="249"/>
      <c r="K2107" s="249"/>
      <c r="L2107" s="249"/>
      <c r="M2107" s="249"/>
      <c r="N2107" s="250"/>
      <c r="O2107" s="250"/>
      <c r="P2107" s="250"/>
      <c r="Q2107" s="198"/>
      <c r="R2107" s="198"/>
      <c r="S2107" s="249"/>
      <c r="T2107" s="249"/>
      <c r="U2107" s="172"/>
      <c r="V2107" s="343"/>
    </row>
    <row r="2108" spans="3:22" ht="12" customHeight="1">
      <c r="C2108" s="342" t="str">
        <f t="shared" ca="1" si="162"/>
        <v/>
      </c>
      <c r="D2108" s="153"/>
      <c r="E2108" s="153"/>
      <c r="F2108" s="170"/>
      <c r="G2108" s="171"/>
      <c r="H2108" s="247"/>
      <c r="I2108" s="247"/>
      <c r="J2108" s="247"/>
      <c r="K2108" s="247"/>
      <c r="L2108" s="247"/>
      <c r="M2108" s="247"/>
      <c r="N2108" s="247"/>
      <c r="O2108" s="247"/>
      <c r="P2108" s="247"/>
      <c r="Q2108" s="248"/>
      <c r="R2108" s="248"/>
      <c r="S2108" s="247"/>
      <c r="T2108" s="247"/>
      <c r="U2108" s="218"/>
      <c r="V2108" s="342"/>
    </row>
    <row r="2109" spans="3:22" ht="12" customHeight="1">
      <c r="C2109" s="343" t="str">
        <f t="shared" ca="1" si="162"/>
        <v/>
      </c>
      <c r="D2109" s="124"/>
      <c r="E2109" s="124"/>
      <c r="F2109" s="172"/>
      <c r="G2109" s="173"/>
      <c r="H2109" s="249"/>
      <c r="I2109" s="249"/>
      <c r="J2109" s="249"/>
      <c r="K2109" s="249"/>
      <c r="L2109" s="249"/>
      <c r="M2109" s="249"/>
      <c r="N2109" s="250"/>
      <c r="O2109" s="250"/>
      <c r="P2109" s="250"/>
      <c r="Q2109" s="198"/>
      <c r="R2109" s="198"/>
      <c r="S2109" s="249"/>
      <c r="T2109" s="249"/>
      <c r="U2109" s="172"/>
      <c r="V2109" s="343"/>
    </row>
    <row r="2110" spans="3:22" ht="12" customHeight="1">
      <c r="C2110" s="342" t="str">
        <f t="shared" ca="1" si="162"/>
        <v/>
      </c>
      <c r="D2110" s="153"/>
      <c r="E2110" s="153"/>
      <c r="F2110" s="170"/>
      <c r="G2110" s="171"/>
      <c r="H2110" s="247"/>
      <c r="I2110" s="247"/>
      <c r="J2110" s="247"/>
      <c r="K2110" s="247"/>
      <c r="L2110" s="247"/>
      <c r="M2110" s="247"/>
      <c r="N2110" s="247"/>
      <c r="O2110" s="247"/>
      <c r="P2110" s="247"/>
      <c r="Q2110" s="248"/>
      <c r="R2110" s="248"/>
      <c r="S2110" s="247"/>
      <c r="T2110" s="247"/>
      <c r="U2110" s="218"/>
      <c r="V2110" s="342"/>
    </row>
    <row r="2111" spans="3:22" ht="12" customHeight="1">
      <c r="C2111" s="343" t="str">
        <f t="shared" ca="1" si="162"/>
        <v/>
      </c>
      <c r="D2111" s="124"/>
      <c r="E2111" s="124"/>
      <c r="F2111" s="172"/>
      <c r="G2111" s="173"/>
      <c r="H2111" s="249"/>
      <c r="I2111" s="249"/>
      <c r="J2111" s="249"/>
      <c r="K2111" s="249"/>
      <c r="L2111" s="249"/>
      <c r="M2111" s="249"/>
      <c r="N2111" s="250"/>
      <c r="O2111" s="250"/>
      <c r="P2111" s="250"/>
      <c r="Q2111" s="198"/>
      <c r="R2111" s="198"/>
      <c r="S2111" s="249"/>
      <c r="T2111" s="249"/>
      <c r="U2111" s="172"/>
      <c r="V2111" s="343"/>
    </row>
    <row r="2112" spans="3:22" ht="12" customHeight="1">
      <c r="C2112" s="342" t="str">
        <f t="shared" ca="1" si="162"/>
        <v/>
      </c>
      <c r="D2112" s="153"/>
      <c r="E2112" s="153"/>
      <c r="F2112" s="170"/>
      <c r="G2112" s="171"/>
      <c r="H2112" s="247"/>
      <c r="I2112" s="247"/>
      <c r="J2112" s="247"/>
      <c r="K2112" s="247"/>
      <c r="L2112" s="247"/>
      <c r="M2112" s="247"/>
      <c r="N2112" s="247"/>
      <c r="O2112" s="247"/>
      <c r="P2112" s="247"/>
      <c r="Q2112" s="248"/>
      <c r="R2112" s="248"/>
      <c r="S2112" s="247"/>
      <c r="T2112" s="247"/>
      <c r="U2112" s="218"/>
      <c r="V2112" s="342"/>
    </row>
    <row r="2113" spans="3:22" ht="12" customHeight="1">
      <c r="C2113" s="343" t="str">
        <f t="shared" ca="1" si="162"/>
        <v/>
      </c>
      <c r="D2113" s="124"/>
      <c r="E2113" s="124"/>
      <c r="F2113" s="172"/>
      <c r="G2113" s="173"/>
      <c r="H2113" s="249"/>
      <c r="I2113" s="249"/>
      <c r="J2113" s="249"/>
      <c r="K2113" s="249"/>
      <c r="L2113" s="249"/>
      <c r="M2113" s="249"/>
      <c r="N2113" s="250"/>
      <c r="O2113" s="250"/>
      <c r="P2113" s="250"/>
      <c r="Q2113" s="198"/>
      <c r="R2113" s="198"/>
      <c r="S2113" s="249"/>
      <c r="T2113" s="249"/>
      <c r="U2113" s="172"/>
      <c r="V2113" s="343"/>
    </row>
    <row r="2114" spans="3:22" ht="12" customHeight="1">
      <c r="C2114" s="342" t="str">
        <f t="shared" ca="1" si="162"/>
        <v/>
      </c>
      <c r="D2114" s="153"/>
      <c r="E2114" s="153"/>
      <c r="F2114" s="170"/>
      <c r="G2114" s="171"/>
      <c r="H2114" s="247"/>
      <c r="I2114" s="247"/>
      <c r="J2114" s="247"/>
      <c r="K2114" s="247"/>
      <c r="L2114" s="247"/>
      <c r="M2114" s="247"/>
      <c r="N2114" s="247"/>
      <c r="O2114" s="247"/>
      <c r="P2114" s="247"/>
      <c r="Q2114" s="248"/>
      <c r="R2114" s="248"/>
      <c r="S2114" s="247"/>
      <c r="T2114" s="247"/>
      <c r="U2114" s="218"/>
      <c r="V2114" s="342"/>
    </row>
    <row r="2115" spans="3:22" ht="12" customHeight="1">
      <c r="C2115" s="343" t="str">
        <f t="shared" ca="1" si="162"/>
        <v/>
      </c>
      <c r="D2115" s="124"/>
      <c r="E2115" s="124"/>
      <c r="F2115" s="172"/>
      <c r="G2115" s="173"/>
      <c r="H2115" s="249"/>
      <c r="I2115" s="249"/>
      <c r="J2115" s="249"/>
      <c r="K2115" s="249"/>
      <c r="L2115" s="249"/>
      <c r="M2115" s="249"/>
      <c r="N2115" s="250"/>
      <c r="O2115" s="250"/>
      <c r="P2115" s="250"/>
      <c r="Q2115" s="198"/>
      <c r="R2115" s="198"/>
      <c r="S2115" s="249"/>
      <c r="T2115" s="249"/>
      <c r="U2115" s="172"/>
      <c r="V2115" s="343"/>
    </row>
    <row r="2116" spans="3:22" ht="12" customHeight="1">
      <c r="C2116" s="342" t="str">
        <f t="shared" ca="1" si="162"/>
        <v/>
      </c>
      <c r="D2116" s="153"/>
      <c r="E2116" s="153"/>
      <c r="F2116" s="170"/>
      <c r="G2116" s="171"/>
      <c r="H2116" s="247"/>
      <c r="I2116" s="247"/>
      <c r="J2116" s="247"/>
      <c r="K2116" s="247"/>
      <c r="L2116" s="247"/>
      <c r="M2116" s="247"/>
      <c r="N2116" s="247"/>
      <c r="O2116" s="247"/>
      <c r="P2116" s="247"/>
      <c r="Q2116" s="248"/>
      <c r="R2116" s="248"/>
      <c r="S2116" s="247"/>
      <c r="T2116" s="247"/>
      <c r="U2116" s="218"/>
      <c r="V2116" s="342"/>
    </row>
    <row r="2117" spans="3:22" ht="12" customHeight="1">
      <c r="C2117" s="343" t="str">
        <f t="shared" ca="1" si="162"/>
        <v/>
      </c>
      <c r="D2117" s="124"/>
      <c r="E2117" s="124"/>
      <c r="F2117" s="172"/>
      <c r="G2117" s="173"/>
      <c r="H2117" s="249"/>
      <c r="I2117" s="249"/>
      <c r="J2117" s="249"/>
      <c r="K2117" s="249"/>
      <c r="L2117" s="249"/>
      <c r="M2117" s="249"/>
      <c r="N2117" s="250"/>
      <c r="O2117" s="250"/>
      <c r="P2117" s="250"/>
      <c r="Q2117" s="198"/>
      <c r="R2117" s="198"/>
      <c r="S2117" s="249"/>
      <c r="T2117" s="249"/>
      <c r="U2117" s="172"/>
      <c r="V2117" s="343"/>
    </row>
    <row r="2118" spans="3:22" ht="12" customHeight="1">
      <c r="C2118" s="342" t="str">
        <f t="shared" ca="1" si="162"/>
        <v/>
      </c>
      <c r="D2118" s="153"/>
      <c r="E2118" s="153"/>
      <c r="F2118" s="170"/>
      <c r="G2118" s="171"/>
      <c r="H2118" s="247"/>
      <c r="I2118" s="247"/>
      <c r="J2118" s="247"/>
      <c r="K2118" s="247"/>
      <c r="L2118" s="247"/>
      <c r="M2118" s="247"/>
      <c r="N2118" s="247"/>
      <c r="O2118" s="247"/>
      <c r="P2118" s="247"/>
      <c r="Q2118" s="248"/>
      <c r="R2118" s="248"/>
      <c r="S2118" s="247"/>
      <c r="T2118" s="247"/>
      <c r="U2118" s="218"/>
      <c r="V2118" s="342"/>
    </row>
    <row r="2119" spans="3:22" ht="12" customHeight="1">
      <c r="C2119" s="343" t="str">
        <f t="shared" ca="1" si="162"/>
        <v/>
      </c>
      <c r="D2119" s="124"/>
      <c r="E2119" s="124"/>
      <c r="F2119" s="172"/>
      <c r="G2119" s="173"/>
      <c r="H2119" s="249"/>
      <c r="I2119" s="249"/>
      <c r="J2119" s="249"/>
      <c r="K2119" s="249"/>
      <c r="L2119" s="249"/>
      <c r="M2119" s="249"/>
      <c r="N2119" s="250"/>
      <c r="O2119" s="250"/>
      <c r="P2119" s="250"/>
      <c r="Q2119" s="198"/>
      <c r="R2119" s="198"/>
      <c r="S2119" s="249"/>
      <c r="T2119" s="249"/>
      <c r="U2119" s="172"/>
      <c r="V2119" s="343"/>
    </row>
    <row r="2120" spans="3:22" ht="12" customHeight="1">
      <c r="C2120" s="342" t="str">
        <f t="shared" ca="1" si="162"/>
        <v/>
      </c>
      <c r="D2120" s="153"/>
      <c r="E2120" s="153"/>
      <c r="F2120" s="170"/>
      <c r="G2120" s="171"/>
      <c r="H2120" s="247"/>
      <c r="I2120" s="247"/>
      <c r="J2120" s="247"/>
      <c r="K2120" s="247"/>
      <c r="L2120" s="247"/>
      <c r="M2120" s="247"/>
      <c r="N2120" s="247"/>
      <c r="O2120" s="247"/>
      <c r="P2120" s="247"/>
      <c r="Q2120" s="248"/>
      <c r="R2120" s="248"/>
      <c r="S2120" s="247"/>
      <c r="T2120" s="247"/>
      <c r="U2120" s="218"/>
      <c r="V2120" s="342"/>
    </row>
    <row r="2121" spans="3:22" ht="12" customHeight="1">
      <c r="C2121" s="343" t="str">
        <f t="shared" ca="1" si="162"/>
        <v/>
      </c>
      <c r="D2121" s="124"/>
      <c r="E2121" s="124"/>
      <c r="F2121" s="172"/>
      <c r="G2121" s="173"/>
      <c r="H2121" s="249"/>
      <c r="I2121" s="249"/>
      <c r="J2121" s="249"/>
      <c r="K2121" s="249"/>
      <c r="L2121" s="249"/>
      <c r="M2121" s="249"/>
      <c r="N2121" s="250"/>
      <c r="O2121" s="250"/>
      <c r="P2121" s="250"/>
      <c r="Q2121" s="198"/>
      <c r="R2121" s="198"/>
      <c r="S2121" s="249"/>
      <c r="T2121" s="249"/>
      <c r="U2121" s="172"/>
      <c r="V2121" s="343"/>
    </row>
    <row r="2122" spans="3:22" ht="12" customHeight="1">
      <c r="C2122" s="342" t="str">
        <f t="shared" ca="1" si="162"/>
        <v/>
      </c>
      <c r="D2122" s="153"/>
      <c r="E2122" s="153"/>
      <c r="F2122" s="170"/>
      <c r="G2122" s="171"/>
      <c r="H2122" s="247"/>
      <c r="I2122" s="247"/>
      <c r="J2122" s="247"/>
      <c r="K2122" s="247"/>
      <c r="L2122" s="247"/>
      <c r="M2122" s="247"/>
      <c r="N2122" s="247"/>
      <c r="O2122" s="247"/>
      <c r="P2122" s="247"/>
      <c r="Q2122" s="248"/>
      <c r="R2122" s="248"/>
      <c r="S2122" s="247"/>
      <c r="T2122" s="247"/>
      <c r="U2122" s="218"/>
      <c r="V2122" s="342"/>
    </row>
    <row r="2123" spans="3:22" ht="12" customHeight="1">
      <c r="C2123" s="343" t="str">
        <f t="shared" ca="1" si="162"/>
        <v/>
      </c>
      <c r="D2123" s="124"/>
      <c r="E2123" s="124"/>
      <c r="F2123" s="172"/>
      <c r="G2123" s="173"/>
      <c r="H2123" s="249"/>
      <c r="I2123" s="249"/>
      <c r="J2123" s="249"/>
      <c r="K2123" s="249"/>
      <c r="L2123" s="249"/>
      <c r="M2123" s="249"/>
      <c r="N2123" s="250"/>
      <c r="O2123" s="250"/>
      <c r="P2123" s="250"/>
      <c r="Q2123" s="198"/>
      <c r="R2123" s="198"/>
      <c r="S2123" s="249"/>
      <c r="T2123" s="249"/>
      <c r="U2123" s="172"/>
      <c r="V2123" s="343"/>
    </row>
    <row r="2124" spans="3:22" ht="12" customHeight="1">
      <c r="C2124" s="342" t="str">
        <f t="shared" ca="1" si="162"/>
        <v/>
      </c>
      <c r="D2124" s="153"/>
      <c r="E2124" s="153"/>
      <c r="F2124" s="170"/>
      <c r="G2124" s="171"/>
      <c r="H2124" s="247"/>
      <c r="I2124" s="247"/>
      <c r="J2124" s="247"/>
      <c r="K2124" s="247"/>
      <c r="L2124" s="247"/>
      <c r="M2124" s="247"/>
      <c r="N2124" s="247"/>
      <c r="O2124" s="247"/>
      <c r="P2124" s="247"/>
      <c r="Q2124" s="248"/>
      <c r="R2124" s="248"/>
      <c r="S2124" s="247"/>
      <c r="T2124" s="247"/>
      <c r="U2124" s="218"/>
      <c r="V2124" s="342"/>
    </row>
    <row r="2125" spans="3:22" ht="12" customHeight="1">
      <c r="C2125" s="343" t="str">
        <f t="shared" ca="1" si="162"/>
        <v/>
      </c>
      <c r="D2125" s="124"/>
      <c r="E2125" s="124"/>
      <c r="F2125" s="172"/>
      <c r="G2125" s="173"/>
      <c r="H2125" s="249"/>
      <c r="I2125" s="249"/>
      <c r="J2125" s="249"/>
      <c r="K2125" s="249"/>
      <c r="L2125" s="249"/>
      <c r="M2125" s="249"/>
      <c r="N2125" s="250"/>
      <c r="O2125" s="250"/>
      <c r="P2125" s="250"/>
      <c r="Q2125" s="198"/>
      <c r="R2125" s="198"/>
      <c r="S2125" s="249"/>
      <c r="T2125" s="249"/>
      <c r="U2125" s="172"/>
      <c r="V2125" s="343"/>
    </row>
    <row r="2126" spans="3:22" ht="12" customHeight="1">
      <c r="C2126" s="342" t="str">
        <f t="shared" ref="C2126:C2172" ca="1" si="163">IF(ROW()-13&lt;=MAX(series),ROW()-13,"")</f>
        <v/>
      </c>
      <c r="D2126" s="153"/>
      <c r="E2126" s="153"/>
      <c r="F2126" s="170"/>
      <c r="G2126" s="171"/>
      <c r="H2126" s="247"/>
      <c r="I2126" s="247"/>
      <c r="J2126" s="247"/>
      <c r="K2126" s="247"/>
      <c r="L2126" s="247"/>
      <c r="M2126" s="247"/>
      <c r="N2126" s="247"/>
      <c r="O2126" s="247"/>
      <c r="P2126" s="247"/>
      <c r="Q2126" s="248"/>
      <c r="R2126" s="248"/>
      <c r="S2126" s="247"/>
      <c r="T2126" s="247"/>
      <c r="U2126" s="218"/>
      <c r="V2126" s="342"/>
    </row>
    <row r="2127" spans="3:22" ht="12" customHeight="1">
      <c r="C2127" s="343" t="str">
        <f t="shared" ca="1" si="163"/>
        <v/>
      </c>
      <c r="D2127" s="124"/>
      <c r="E2127" s="124"/>
      <c r="F2127" s="172"/>
      <c r="G2127" s="173"/>
      <c r="H2127" s="249"/>
      <c r="I2127" s="249"/>
      <c r="J2127" s="249"/>
      <c r="K2127" s="249"/>
      <c r="L2127" s="249"/>
      <c r="M2127" s="249"/>
      <c r="N2127" s="250"/>
      <c r="O2127" s="250"/>
      <c r="P2127" s="250"/>
      <c r="Q2127" s="198"/>
      <c r="R2127" s="198"/>
      <c r="S2127" s="249"/>
      <c r="T2127" s="249"/>
      <c r="U2127" s="172"/>
      <c r="V2127" s="343"/>
    </row>
    <row r="2128" spans="3:22" ht="12" customHeight="1">
      <c r="C2128" s="342" t="str">
        <f t="shared" ca="1" si="163"/>
        <v/>
      </c>
      <c r="D2128" s="153"/>
      <c r="E2128" s="153"/>
      <c r="F2128" s="170"/>
      <c r="G2128" s="171"/>
      <c r="H2128" s="247"/>
      <c r="I2128" s="247"/>
      <c r="J2128" s="247"/>
      <c r="K2128" s="247"/>
      <c r="L2128" s="247"/>
      <c r="M2128" s="247"/>
      <c r="N2128" s="247"/>
      <c r="O2128" s="247"/>
      <c r="P2128" s="247"/>
      <c r="Q2128" s="248"/>
      <c r="R2128" s="248"/>
      <c r="S2128" s="247"/>
      <c r="T2128" s="247"/>
      <c r="U2128" s="218"/>
      <c r="V2128" s="342"/>
    </row>
    <row r="2129" spans="3:22" ht="12" customHeight="1">
      <c r="C2129" s="343" t="str">
        <f t="shared" ca="1" si="163"/>
        <v/>
      </c>
      <c r="D2129" s="124"/>
      <c r="E2129" s="124"/>
      <c r="F2129" s="172"/>
      <c r="G2129" s="173"/>
      <c r="H2129" s="249"/>
      <c r="I2129" s="249"/>
      <c r="J2129" s="249"/>
      <c r="K2129" s="249"/>
      <c r="L2129" s="249"/>
      <c r="M2129" s="249"/>
      <c r="N2129" s="250"/>
      <c r="O2129" s="250"/>
      <c r="P2129" s="250"/>
      <c r="Q2129" s="198"/>
      <c r="R2129" s="198"/>
      <c r="S2129" s="249"/>
      <c r="T2129" s="249"/>
      <c r="U2129" s="172"/>
      <c r="V2129" s="343"/>
    </row>
    <row r="2130" spans="3:22" ht="12" customHeight="1">
      <c r="C2130" s="342" t="str">
        <f t="shared" ca="1" si="163"/>
        <v/>
      </c>
      <c r="D2130" s="153"/>
      <c r="E2130" s="153"/>
      <c r="F2130" s="170"/>
      <c r="G2130" s="171"/>
      <c r="H2130" s="247"/>
      <c r="I2130" s="247"/>
      <c r="J2130" s="247"/>
      <c r="K2130" s="247"/>
      <c r="L2130" s="247"/>
      <c r="M2130" s="247"/>
      <c r="N2130" s="247"/>
      <c r="O2130" s="247"/>
      <c r="P2130" s="247"/>
      <c r="Q2130" s="248"/>
      <c r="R2130" s="248"/>
      <c r="S2130" s="247"/>
      <c r="T2130" s="247"/>
      <c r="U2130" s="218"/>
      <c r="V2130" s="342"/>
    </row>
    <row r="2131" spans="3:22" ht="12" customHeight="1">
      <c r="C2131" s="343" t="str">
        <f t="shared" ca="1" si="163"/>
        <v/>
      </c>
      <c r="D2131" s="124"/>
      <c r="E2131" s="124"/>
      <c r="F2131" s="172"/>
      <c r="G2131" s="173"/>
      <c r="H2131" s="249"/>
      <c r="I2131" s="249"/>
      <c r="J2131" s="249"/>
      <c r="K2131" s="249"/>
      <c r="L2131" s="249"/>
      <c r="M2131" s="249"/>
      <c r="N2131" s="250"/>
      <c r="O2131" s="250"/>
      <c r="P2131" s="250"/>
      <c r="Q2131" s="198"/>
      <c r="R2131" s="198"/>
      <c r="S2131" s="249"/>
      <c r="T2131" s="249"/>
      <c r="U2131" s="172"/>
      <c r="V2131" s="343"/>
    </row>
    <row r="2132" spans="3:22" ht="12" customHeight="1">
      <c r="C2132" s="342" t="str">
        <f t="shared" ca="1" si="163"/>
        <v/>
      </c>
      <c r="D2132" s="153"/>
      <c r="E2132" s="153"/>
      <c r="F2132" s="170"/>
      <c r="G2132" s="171"/>
      <c r="H2132" s="247"/>
      <c r="I2132" s="247"/>
      <c r="J2132" s="247"/>
      <c r="K2132" s="247"/>
      <c r="L2132" s="247"/>
      <c r="M2132" s="247"/>
      <c r="N2132" s="247"/>
      <c r="O2132" s="247"/>
      <c r="P2132" s="247"/>
      <c r="Q2132" s="248"/>
      <c r="R2132" s="248"/>
      <c r="S2132" s="247"/>
      <c r="T2132" s="247"/>
      <c r="U2132" s="218"/>
      <c r="V2132" s="342"/>
    </row>
    <row r="2133" spans="3:22" ht="12" customHeight="1">
      <c r="C2133" s="343" t="str">
        <f t="shared" ca="1" si="163"/>
        <v/>
      </c>
      <c r="D2133" s="124"/>
      <c r="E2133" s="124"/>
      <c r="F2133" s="172"/>
      <c r="G2133" s="173"/>
      <c r="H2133" s="249"/>
      <c r="I2133" s="249"/>
      <c r="J2133" s="249"/>
      <c r="K2133" s="249"/>
      <c r="L2133" s="249"/>
      <c r="M2133" s="249"/>
      <c r="N2133" s="250"/>
      <c r="O2133" s="250"/>
      <c r="P2133" s="250"/>
      <c r="Q2133" s="198"/>
      <c r="R2133" s="198"/>
      <c r="S2133" s="249"/>
      <c r="T2133" s="249"/>
      <c r="U2133" s="172"/>
      <c r="V2133" s="343"/>
    </row>
    <row r="2134" spans="3:22" ht="12" customHeight="1">
      <c r="C2134" s="342" t="str">
        <f t="shared" ca="1" si="163"/>
        <v/>
      </c>
      <c r="D2134" s="153"/>
      <c r="E2134" s="153"/>
      <c r="F2134" s="170"/>
      <c r="G2134" s="171"/>
      <c r="H2134" s="247"/>
      <c r="I2134" s="247"/>
      <c r="J2134" s="247"/>
      <c r="K2134" s="247"/>
      <c r="L2134" s="247"/>
      <c r="M2134" s="247"/>
      <c r="N2134" s="247"/>
      <c r="O2134" s="247"/>
      <c r="P2134" s="247"/>
      <c r="Q2134" s="248"/>
      <c r="R2134" s="248"/>
      <c r="S2134" s="247"/>
      <c r="T2134" s="247"/>
      <c r="U2134" s="218"/>
      <c r="V2134" s="342"/>
    </row>
    <row r="2135" spans="3:22" ht="12" customHeight="1">
      <c r="C2135" s="343" t="str">
        <f t="shared" ca="1" si="163"/>
        <v/>
      </c>
      <c r="D2135" s="124"/>
      <c r="E2135" s="124"/>
      <c r="F2135" s="172"/>
      <c r="G2135" s="173"/>
      <c r="H2135" s="249"/>
      <c r="I2135" s="249"/>
      <c r="J2135" s="249"/>
      <c r="K2135" s="249"/>
      <c r="L2135" s="249"/>
      <c r="M2135" s="249"/>
      <c r="N2135" s="250"/>
      <c r="O2135" s="250"/>
      <c r="P2135" s="250"/>
      <c r="Q2135" s="198"/>
      <c r="R2135" s="198"/>
      <c r="S2135" s="249"/>
      <c r="T2135" s="249"/>
      <c r="U2135" s="172"/>
      <c r="V2135" s="343"/>
    </row>
    <row r="2136" spans="3:22" ht="12" customHeight="1">
      <c r="C2136" s="342" t="str">
        <f t="shared" ca="1" si="163"/>
        <v/>
      </c>
      <c r="D2136" s="153"/>
      <c r="E2136" s="153"/>
      <c r="F2136" s="170"/>
      <c r="G2136" s="171"/>
      <c r="H2136" s="247"/>
      <c r="I2136" s="247"/>
      <c r="J2136" s="247"/>
      <c r="K2136" s="247"/>
      <c r="L2136" s="247"/>
      <c r="M2136" s="247"/>
      <c r="N2136" s="247"/>
      <c r="O2136" s="247"/>
      <c r="P2136" s="247"/>
      <c r="Q2136" s="248"/>
      <c r="R2136" s="248"/>
      <c r="S2136" s="247"/>
      <c r="T2136" s="247"/>
      <c r="U2136" s="218"/>
      <c r="V2136" s="342"/>
    </row>
    <row r="2137" spans="3:22" ht="12" customHeight="1">
      <c r="C2137" s="343" t="str">
        <f t="shared" ca="1" si="163"/>
        <v/>
      </c>
      <c r="D2137" s="124"/>
      <c r="E2137" s="124"/>
      <c r="F2137" s="172"/>
      <c r="G2137" s="173"/>
      <c r="H2137" s="249"/>
      <c r="I2137" s="249"/>
      <c r="J2137" s="249"/>
      <c r="K2137" s="249"/>
      <c r="L2137" s="249"/>
      <c r="M2137" s="249"/>
      <c r="N2137" s="250"/>
      <c r="O2137" s="250"/>
      <c r="P2137" s="250"/>
      <c r="Q2137" s="198"/>
      <c r="R2137" s="198"/>
      <c r="S2137" s="249"/>
      <c r="T2137" s="249"/>
      <c r="U2137" s="172"/>
      <c r="V2137" s="343"/>
    </row>
    <row r="2138" spans="3:22" ht="12" customHeight="1">
      <c r="C2138" s="342" t="str">
        <f t="shared" ca="1" si="163"/>
        <v/>
      </c>
      <c r="D2138" s="153"/>
      <c r="E2138" s="153"/>
      <c r="F2138" s="170"/>
      <c r="G2138" s="171"/>
      <c r="H2138" s="247"/>
      <c r="I2138" s="247"/>
      <c r="J2138" s="247"/>
      <c r="K2138" s="247"/>
      <c r="L2138" s="247"/>
      <c r="M2138" s="247"/>
      <c r="N2138" s="247"/>
      <c r="O2138" s="247"/>
      <c r="P2138" s="247"/>
      <c r="Q2138" s="248"/>
      <c r="R2138" s="248"/>
      <c r="S2138" s="247"/>
      <c r="T2138" s="247"/>
      <c r="U2138" s="218"/>
      <c r="V2138" s="342"/>
    </row>
    <row r="2139" spans="3:22" ht="12" customHeight="1">
      <c r="C2139" s="343" t="str">
        <f t="shared" ca="1" si="163"/>
        <v/>
      </c>
      <c r="D2139" s="124"/>
      <c r="E2139" s="124"/>
      <c r="F2139" s="172"/>
      <c r="G2139" s="173"/>
      <c r="H2139" s="249"/>
      <c r="I2139" s="249"/>
      <c r="J2139" s="249"/>
      <c r="K2139" s="249"/>
      <c r="L2139" s="249"/>
      <c r="M2139" s="249"/>
      <c r="N2139" s="250"/>
      <c r="O2139" s="250"/>
      <c r="P2139" s="250"/>
      <c r="Q2139" s="198"/>
      <c r="R2139" s="198"/>
      <c r="S2139" s="249"/>
      <c r="T2139" s="249"/>
      <c r="U2139" s="172"/>
      <c r="V2139" s="343"/>
    </row>
    <row r="2140" spans="3:22" ht="12" customHeight="1">
      <c r="C2140" s="342" t="str">
        <f t="shared" ca="1" si="163"/>
        <v/>
      </c>
      <c r="D2140" s="153"/>
      <c r="E2140" s="153"/>
      <c r="F2140" s="170"/>
      <c r="G2140" s="171"/>
      <c r="H2140" s="247"/>
      <c r="I2140" s="247"/>
      <c r="J2140" s="247"/>
      <c r="K2140" s="247"/>
      <c r="L2140" s="247"/>
      <c r="M2140" s="247"/>
      <c r="N2140" s="247"/>
      <c r="O2140" s="247"/>
      <c r="P2140" s="247"/>
      <c r="Q2140" s="248"/>
      <c r="R2140" s="248"/>
      <c r="S2140" s="247"/>
      <c r="T2140" s="247"/>
      <c r="U2140" s="218"/>
      <c r="V2140" s="342"/>
    </row>
    <row r="2141" spans="3:22" ht="12" customHeight="1">
      <c r="C2141" s="343" t="str">
        <f t="shared" ca="1" si="163"/>
        <v/>
      </c>
      <c r="D2141" s="124"/>
      <c r="E2141" s="124"/>
      <c r="F2141" s="172"/>
      <c r="G2141" s="173"/>
      <c r="H2141" s="249"/>
      <c r="I2141" s="249"/>
      <c r="J2141" s="249"/>
      <c r="K2141" s="249"/>
      <c r="L2141" s="249"/>
      <c r="M2141" s="249"/>
      <c r="N2141" s="250"/>
      <c r="O2141" s="250"/>
      <c r="P2141" s="250"/>
      <c r="Q2141" s="198"/>
      <c r="R2141" s="198"/>
      <c r="S2141" s="249"/>
      <c r="T2141" s="249"/>
      <c r="U2141" s="172"/>
      <c r="V2141" s="343"/>
    </row>
    <row r="2142" spans="3:22" ht="12" customHeight="1">
      <c r="C2142" s="342" t="str">
        <f t="shared" ca="1" si="163"/>
        <v/>
      </c>
      <c r="D2142" s="153"/>
      <c r="E2142" s="153"/>
      <c r="F2142" s="170"/>
      <c r="G2142" s="171"/>
      <c r="H2142" s="247"/>
      <c r="I2142" s="247"/>
      <c r="J2142" s="247"/>
      <c r="K2142" s="247"/>
      <c r="L2142" s="247"/>
      <c r="M2142" s="247"/>
      <c r="N2142" s="247"/>
      <c r="O2142" s="247"/>
      <c r="P2142" s="247"/>
      <c r="Q2142" s="248"/>
      <c r="R2142" s="248"/>
      <c r="S2142" s="247"/>
      <c r="T2142" s="247"/>
      <c r="U2142" s="218"/>
      <c r="V2142" s="342"/>
    </row>
    <row r="2143" spans="3:22" ht="12" customHeight="1">
      <c r="C2143" s="343" t="str">
        <f t="shared" ca="1" si="163"/>
        <v/>
      </c>
      <c r="D2143" s="124"/>
      <c r="E2143" s="124"/>
      <c r="F2143" s="172"/>
      <c r="G2143" s="173"/>
      <c r="H2143" s="249"/>
      <c r="I2143" s="249"/>
      <c r="J2143" s="249"/>
      <c r="K2143" s="249"/>
      <c r="L2143" s="249"/>
      <c r="M2143" s="249"/>
      <c r="N2143" s="250"/>
      <c r="O2143" s="250"/>
      <c r="P2143" s="250"/>
      <c r="Q2143" s="198"/>
      <c r="R2143" s="198"/>
      <c r="S2143" s="249"/>
      <c r="T2143" s="249"/>
      <c r="U2143" s="172"/>
      <c r="V2143" s="343"/>
    </row>
    <row r="2144" spans="3:22" ht="12" customHeight="1">
      <c r="C2144" s="342" t="str">
        <f t="shared" ca="1" si="163"/>
        <v/>
      </c>
      <c r="D2144" s="153"/>
      <c r="E2144" s="153"/>
      <c r="F2144" s="170"/>
      <c r="G2144" s="171"/>
      <c r="H2144" s="247"/>
      <c r="I2144" s="247"/>
      <c r="J2144" s="247"/>
      <c r="K2144" s="247"/>
      <c r="L2144" s="247"/>
      <c r="M2144" s="247"/>
      <c r="N2144" s="247"/>
      <c r="O2144" s="247"/>
      <c r="P2144" s="247"/>
      <c r="Q2144" s="248"/>
      <c r="R2144" s="248"/>
      <c r="S2144" s="247"/>
      <c r="T2144" s="247"/>
      <c r="U2144" s="218"/>
      <c r="V2144" s="342"/>
    </row>
    <row r="2145" spans="3:22" ht="12" customHeight="1">
      <c r="C2145" s="343" t="str">
        <f t="shared" ca="1" si="163"/>
        <v/>
      </c>
      <c r="D2145" s="124"/>
      <c r="E2145" s="124"/>
      <c r="F2145" s="172"/>
      <c r="G2145" s="173"/>
      <c r="H2145" s="249"/>
      <c r="I2145" s="249"/>
      <c r="J2145" s="249"/>
      <c r="K2145" s="249"/>
      <c r="L2145" s="249"/>
      <c r="M2145" s="249"/>
      <c r="N2145" s="250"/>
      <c r="O2145" s="250"/>
      <c r="P2145" s="250"/>
      <c r="Q2145" s="198"/>
      <c r="R2145" s="198"/>
      <c r="S2145" s="249"/>
      <c r="T2145" s="249"/>
      <c r="U2145" s="172"/>
      <c r="V2145" s="343"/>
    </row>
    <row r="2146" spans="3:22" ht="12" customHeight="1">
      <c r="C2146" s="342" t="str">
        <f t="shared" ca="1" si="163"/>
        <v/>
      </c>
      <c r="D2146" s="153"/>
      <c r="E2146" s="153"/>
      <c r="F2146" s="170"/>
      <c r="G2146" s="171"/>
      <c r="H2146" s="247"/>
      <c r="I2146" s="247"/>
      <c r="J2146" s="247"/>
      <c r="K2146" s="247"/>
      <c r="L2146" s="247"/>
      <c r="M2146" s="247"/>
      <c r="N2146" s="247"/>
      <c r="O2146" s="247"/>
      <c r="P2146" s="247"/>
      <c r="Q2146" s="248"/>
      <c r="R2146" s="248"/>
      <c r="S2146" s="247"/>
      <c r="T2146" s="247"/>
      <c r="U2146" s="218"/>
      <c r="V2146" s="342"/>
    </row>
    <row r="2147" spans="3:22" ht="12" customHeight="1">
      <c r="C2147" s="343" t="str">
        <f t="shared" ca="1" si="163"/>
        <v/>
      </c>
      <c r="D2147" s="124"/>
      <c r="E2147" s="124"/>
      <c r="F2147" s="172"/>
      <c r="G2147" s="173"/>
      <c r="H2147" s="249"/>
      <c r="I2147" s="249"/>
      <c r="J2147" s="249"/>
      <c r="K2147" s="249"/>
      <c r="L2147" s="249"/>
      <c r="M2147" s="249"/>
      <c r="N2147" s="250"/>
      <c r="O2147" s="250"/>
      <c r="P2147" s="250"/>
      <c r="Q2147" s="198"/>
      <c r="R2147" s="198"/>
      <c r="S2147" s="249"/>
      <c r="T2147" s="249"/>
      <c r="U2147" s="172"/>
      <c r="V2147" s="343"/>
    </row>
    <row r="2148" spans="3:22" ht="12" customHeight="1">
      <c r="C2148" s="342" t="str">
        <f t="shared" ca="1" si="163"/>
        <v/>
      </c>
      <c r="D2148" s="153"/>
      <c r="E2148" s="153"/>
      <c r="F2148" s="170"/>
      <c r="G2148" s="171"/>
      <c r="H2148" s="247"/>
      <c r="I2148" s="247"/>
      <c r="J2148" s="247"/>
      <c r="K2148" s="247"/>
      <c r="L2148" s="247"/>
      <c r="M2148" s="247"/>
      <c r="N2148" s="247"/>
      <c r="O2148" s="247"/>
      <c r="P2148" s="247"/>
      <c r="Q2148" s="248"/>
      <c r="R2148" s="248"/>
      <c r="S2148" s="247"/>
      <c r="T2148" s="247"/>
      <c r="U2148" s="218"/>
      <c r="V2148" s="342"/>
    </row>
    <row r="2149" spans="3:22" ht="12" customHeight="1">
      <c r="C2149" s="343" t="str">
        <f t="shared" ca="1" si="163"/>
        <v/>
      </c>
      <c r="D2149" s="124"/>
      <c r="E2149" s="124"/>
      <c r="F2149" s="172"/>
      <c r="G2149" s="173"/>
      <c r="H2149" s="249"/>
      <c r="I2149" s="249"/>
      <c r="J2149" s="249"/>
      <c r="K2149" s="249"/>
      <c r="L2149" s="249"/>
      <c r="M2149" s="249"/>
      <c r="N2149" s="250"/>
      <c r="O2149" s="250"/>
      <c r="P2149" s="250"/>
      <c r="Q2149" s="198"/>
      <c r="R2149" s="198"/>
      <c r="S2149" s="249"/>
      <c r="T2149" s="249"/>
      <c r="U2149" s="172"/>
      <c r="V2149" s="343"/>
    </row>
    <row r="2150" spans="3:22" ht="12" customHeight="1">
      <c r="C2150" s="342" t="str">
        <f t="shared" ca="1" si="163"/>
        <v/>
      </c>
      <c r="D2150" s="153"/>
      <c r="E2150" s="153"/>
      <c r="F2150" s="170"/>
      <c r="G2150" s="171"/>
      <c r="H2150" s="247"/>
      <c r="I2150" s="247"/>
      <c r="J2150" s="247"/>
      <c r="K2150" s="247"/>
      <c r="L2150" s="247"/>
      <c r="M2150" s="247"/>
      <c r="N2150" s="247"/>
      <c r="O2150" s="247"/>
      <c r="P2150" s="247"/>
      <c r="Q2150" s="248"/>
      <c r="R2150" s="248"/>
      <c r="S2150" s="247"/>
      <c r="T2150" s="247"/>
      <c r="U2150" s="218"/>
      <c r="V2150" s="342"/>
    </row>
    <row r="2151" spans="3:22" ht="12" customHeight="1">
      <c r="C2151" s="343" t="str">
        <f t="shared" ca="1" si="163"/>
        <v/>
      </c>
      <c r="D2151" s="124"/>
      <c r="E2151" s="124"/>
      <c r="F2151" s="172"/>
      <c r="G2151" s="173"/>
      <c r="H2151" s="249"/>
      <c r="I2151" s="249"/>
      <c r="J2151" s="249"/>
      <c r="K2151" s="249"/>
      <c r="L2151" s="249"/>
      <c r="M2151" s="249"/>
      <c r="N2151" s="250"/>
      <c r="O2151" s="250"/>
      <c r="P2151" s="250"/>
      <c r="Q2151" s="198"/>
      <c r="R2151" s="198"/>
      <c r="S2151" s="249"/>
      <c r="T2151" s="249"/>
      <c r="U2151" s="172"/>
      <c r="V2151" s="343"/>
    </row>
    <row r="2152" spans="3:22" ht="12" customHeight="1">
      <c r="C2152" s="342" t="str">
        <f t="shared" ca="1" si="163"/>
        <v/>
      </c>
      <c r="D2152" s="153"/>
      <c r="E2152" s="153"/>
      <c r="F2152" s="170"/>
      <c r="G2152" s="171"/>
      <c r="H2152" s="247"/>
      <c r="I2152" s="247"/>
      <c r="J2152" s="247"/>
      <c r="K2152" s="247"/>
      <c r="L2152" s="247"/>
      <c r="M2152" s="247"/>
      <c r="N2152" s="247"/>
      <c r="O2152" s="247"/>
      <c r="P2152" s="247"/>
      <c r="Q2152" s="248"/>
      <c r="R2152" s="248"/>
      <c r="S2152" s="247"/>
      <c r="T2152" s="247"/>
      <c r="U2152" s="218"/>
      <c r="V2152" s="342"/>
    </row>
    <row r="2153" spans="3:22" ht="12" customHeight="1">
      <c r="C2153" s="343" t="str">
        <f t="shared" ca="1" si="163"/>
        <v/>
      </c>
      <c r="D2153" s="124"/>
      <c r="E2153" s="124"/>
      <c r="F2153" s="172"/>
      <c r="G2153" s="173"/>
      <c r="H2153" s="249"/>
      <c r="I2153" s="249"/>
      <c r="J2153" s="249"/>
      <c r="K2153" s="249"/>
      <c r="L2153" s="249"/>
      <c r="M2153" s="249"/>
      <c r="N2153" s="250"/>
      <c r="O2153" s="250"/>
      <c r="P2153" s="250"/>
      <c r="Q2153" s="198"/>
      <c r="R2153" s="198"/>
      <c r="S2153" s="249"/>
      <c r="T2153" s="249"/>
      <c r="U2153" s="172"/>
      <c r="V2153" s="343"/>
    </row>
    <row r="2154" spans="3:22" ht="12" customHeight="1">
      <c r="C2154" s="342" t="str">
        <f t="shared" ca="1" si="163"/>
        <v/>
      </c>
      <c r="D2154" s="153"/>
      <c r="E2154" s="153"/>
      <c r="F2154" s="170"/>
      <c r="G2154" s="171"/>
      <c r="H2154" s="247"/>
      <c r="I2154" s="247"/>
      <c r="J2154" s="247"/>
      <c r="K2154" s="247"/>
      <c r="L2154" s="247"/>
      <c r="M2154" s="247"/>
      <c r="N2154" s="247"/>
      <c r="O2154" s="247"/>
      <c r="P2154" s="247"/>
      <c r="Q2154" s="248"/>
      <c r="R2154" s="248"/>
      <c r="S2154" s="247"/>
      <c r="T2154" s="247"/>
      <c r="U2154" s="218"/>
      <c r="V2154" s="342"/>
    </row>
    <row r="2155" spans="3:22" ht="12" customHeight="1">
      <c r="C2155" s="343" t="str">
        <f t="shared" ca="1" si="163"/>
        <v/>
      </c>
      <c r="D2155" s="124"/>
      <c r="E2155" s="124"/>
      <c r="F2155" s="172"/>
      <c r="G2155" s="173"/>
      <c r="H2155" s="249"/>
      <c r="I2155" s="249"/>
      <c r="J2155" s="249"/>
      <c r="K2155" s="249"/>
      <c r="L2155" s="249"/>
      <c r="M2155" s="249"/>
      <c r="N2155" s="250"/>
      <c r="O2155" s="250"/>
      <c r="P2155" s="250"/>
      <c r="Q2155" s="198"/>
      <c r="R2155" s="198"/>
      <c r="S2155" s="249"/>
      <c r="T2155" s="249"/>
      <c r="U2155" s="172"/>
      <c r="V2155" s="343"/>
    </row>
    <row r="2156" spans="3:22" ht="12" customHeight="1">
      <c r="C2156" s="342" t="str">
        <f t="shared" ca="1" si="163"/>
        <v/>
      </c>
      <c r="D2156" s="153"/>
      <c r="E2156" s="153"/>
      <c r="F2156" s="170"/>
      <c r="G2156" s="171"/>
      <c r="H2156" s="247"/>
      <c r="I2156" s="247"/>
      <c r="J2156" s="247"/>
      <c r="K2156" s="247"/>
      <c r="L2156" s="247"/>
      <c r="M2156" s="247"/>
      <c r="N2156" s="247"/>
      <c r="O2156" s="247"/>
      <c r="P2156" s="247"/>
      <c r="Q2156" s="248"/>
      <c r="R2156" s="248"/>
      <c r="S2156" s="247"/>
      <c r="T2156" s="247"/>
      <c r="U2156" s="218"/>
      <c r="V2156" s="342"/>
    </row>
    <row r="2157" spans="3:22" ht="12" customHeight="1">
      <c r="C2157" s="343" t="str">
        <f t="shared" ca="1" si="163"/>
        <v/>
      </c>
      <c r="D2157" s="124"/>
      <c r="E2157" s="124"/>
      <c r="F2157" s="172"/>
      <c r="G2157" s="173"/>
      <c r="H2157" s="249"/>
      <c r="I2157" s="249"/>
      <c r="J2157" s="249"/>
      <c r="K2157" s="249"/>
      <c r="L2157" s="249"/>
      <c r="M2157" s="249"/>
      <c r="N2157" s="250"/>
      <c r="O2157" s="250"/>
      <c r="P2157" s="250"/>
      <c r="Q2157" s="198"/>
      <c r="R2157" s="198"/>
      <c r="S2157" s="249"/>
      <c r="T2157" s="249"/>
      <c r="U2157" s="172"/>
      <c r="V2157" s="343"/>
    </row>
    <row r="2158" spans="3:22" ht="12" customHeight="1">
      <c r="C2158" s="342" t="str">
        <f t="shared" ca="1" si="163"/>
        <v/>
      </c>
      <c r="D2158" s="153"/>
      <c r="E2158" s="153"/>
      <c r="F2158" s="170"/>
      <c r="G2158" s="171"/>
      <c r="H2158" s="247"/>
      <c r="I2158" s="247"/>
      <c r="J2158" s="247"/>
      <c r="K2158" s="247"/>
      <c r="L2158" s="247"/>
      <c r="M2158" s="247"/>
      <c r="N2158" s="247"/>
      <c r="O2158" s="247"/>
      <c r="P2158" s="247"/>
      <c r="Q2158" s="248"/>
      <c r="R2158" s="248"/>
      <c r="S2158" s="247"/>
      <c r="T2158" s="247"/>
      <c r="U2158" s="218"/>
      <c r="V2158" s="342"/>
    </row>
    <row r="2159" spans="3:22" ht="12" customHeight="1">
      <c r="C2159" s="343" t="str">
        <f t="shared" ca="1" si="163"/>
        <v/>
      </c>
      <c r="D2159" s="124"/>
      <c r="E2159" s="124"/>
      <c r="F2159" s="172"/>
      <c r="G2159" s="173"/>
      <c r="H2159" s="249"/>
      <c r="I2159" s="249"/>
      <c r="J2159" s="249"/>
      <c r="K2159" s="249"/>
      <c r="L2159" s="249"/>
      <c r="M2159" s="249"/>
      <c r="N2159" s="250"/>
      <c r="O2159" s="250"/>
      <c r="P2159" s="250"/>
      <c r="Q2159" s="198"/>
      <c r="R2159" s="198"/>
      <c r="S2159" s="249"/>
      <c r="T2159" s="249"/>
      <c r="U2159" s="172"/>
      <c r="V2159" s="343"/>
    </row>
    <row r="2160" spans="3:22" ht="12" customHeight="1">
      <c r="C2160" s="342" t="str">
        <f t="shared" ca="1" si="163"/>
        <v/>
      </c>
      <c r="D2160" s="153"/>
      <c r="E2160" s="153"/>
      <c r="F2160" s="170"/>
      <c r="G2160" s="171"/>
      <c r="H2160" s="247"/>
      <c r="I2160" s="247"/>
      <c r="J2160" s="247"/>
      <c r="K2160" s="247"/>
      <c r="L2160" s="247"/>
      <c r="M2160" s="247"/>
      <c r="N2160" s="247"/>
      <c r="O2160" s="247"/>
      <c r="P2160" s="247"/>
      <c r="Q2160" s="248"/>
      <c r="R2160" s="248"/>
      <c r="S2160" s="247"/>
      <c r="T2160" s="247"/>
      <c r="U2160" s="218"/>
      <c r="V2160" s="342"/>
    </row>
    <row r="2161" spans="3:22" ht="12" customHeight="1">
      <c r="C2161" s="343" t="str">
        <f t="shared" ca="1" si="163"/>
        <v/>
      </c>
      <c r="D2161" s="124"/>
      <c r="E2161" s="124"/>
      <c r="F2161" s="172"/>
      <c r="G2161" s="173"/>
      <c r="H2161" s="249"/>
      <c r="I2161" s="249"/>
      <c r="J2161" s="249"/>
      <c r="K2161" s="249"/>
      <c r="L2161" s="249"/>
      <c r="M2161" s="249"/>
      <c r="N2161" s="250"/>
      <c r="O2161" s="250"/>
      <c r="P2161" s="250"/>
      <c r="Q2161" s="198"/>
      <c r="R2161" s="198"/>
      <c r="S2161" s="249"/>
      <c r="T2161" s="249"/>
      <c r="U2161" s="172"/>
      <c r="V2161" s="343"/>
    </row>
    <row r="2162" spans="3:22" ht="12" customHeight="1">
      <c r="C2162" s="342" t="str">
        <f t="shared" ca="1" si="163"/>
        <v/>
      </c>
      <c r="D2162" s="153"/>
      <c r="E2162" s="153"/>
      <c r="F2162" s="170"/>
      <c r="G2162" s="171"/>
      <c r="H2162" s="247"/>
      <c r="I2162" s="247"/>
      <c r="J2162" s="247"/>
      <c r="K2162" s="247"/>
      <c r="L2162" s="247"/>
      <c r="M2162" s="247"/>
      <c r="N2162" s="247"/>
      <c r="O2162" s="247"/>
      <c r="P2162" s="247"/>
      <c r="Q2162" s="248"/>
      <c r="R2162" s="248"/>
      <c r="S2162" s="247"/>
      <c r="T2162" s="247"/>
      <c r="U2162" s="218"/>
      <c r="V2162" s="342"/>
    </row>
    <row r="2163" spans="3:22" ht="12" customHeight="1">
      <c r="C2163" s="343" t="str">
        <f t="shared" ca="1" si="163"/>
        <v/>
      </c>
      <c r="D2163" s="124"/>
      <c r="E2163" s="124"/>
      <c r="F2163" s="172"/>
      <c r="G2163" s="173"/>
      <c r="H2163" s="249"/>
      <c r="I2163" s="249"/>
      <c r="J2163" s="249"/>
      <c r="K2163" s="249"/>
      <c r="L2163" s="249"/>
      <c r="M2163" s="249"/>
      <c r="N2163" s="250"/>
      <c r="O2163" s="250"/>
      <c r="P2163" s="250"/>
      <c r="Q2163" s="198"/>
      <c r="R2163" s="198"/>
      <c r="S2163" s="249"/>
      <c r="T2163" s="249"/>
      <c r="U2163" s="172"/>
      <c r="V2163" s="343"/>
    </row>
    <row r="2164" spans="3:22" ht="12" customHeight="1">
      <c r="C2164" s="342" t="str">
        <f t="shared" ca="1" si="163"/>
        <v/>
      </c>
      <c r="D2164" s="153"/>
      <c r="E2164" s="153"/>
      <c r="F2164" s="170"/>
      <c r="G2164" s="171"/>
      <c r="H2164" s="247"/>
      <c r="I2164" s="247"/>
      <c r="J2164" s="247"/>
      <c r="K2164" s="247"/>
      <c r="L2164" s="247"/>
      <c r="M2164" s="247"/>
      <c r="N2164" s="247"/>
      <c r="O2164" s="247"/>
      <c r="P2164" s="247"/>
      <c r="Q2164" s="248"/>
      <c r="R2164" s="248"/>
      <c r="S2164" s="247"/>
      <c r="T2164" s="247"/>
      <c r="U2164" s="218"/>
      <c r="V2164" s="342"/>
    </row>
    <row r="2165" spans="3:22" ht="12" customHeight="1">
      <c r="C2165" s="343" t="str">
        <f t="shared" ca="1" si="163"/>
        <v/>
      </c>
      <c r="D2165" s="124"/>
      <c r="E2165" s="124"/>
      <c r="F2165" s="172"/>
      <c r="G2165" s="173"/>
      <c r="H2165" s="249"/>
      <c r="I2165" s="249"/>
      <c r="J2165" s="249"/>
      <c r="K2165" s="249"/>
      <c r="L2165" s="249"/>
      <c r="M2165" s="249"/>
      <c r="N2165" s="250"/>
      <c r="O2165" s="250"/>
      <c r="P2165" s="250"/>
      <c r="Q2165" s="198"/>
      <c r="R2165" s="198"/>
      <c r="S2165" s="249"/>
      <c r="T2165" s="249"/>
      <c r="U2165" s="172"/>
      <c r="V2165" s="343"/>
    </row>
    <row r="2166" spans="3:22" ht="12" customHeight="1">
      <c r="C2166" s="342" t="str">
        <f t="shared" ca="1" si="163"/>
        <v/>
      </c>
      <c r="D2166" s="153"/>
      <c r="E2166" s="153"/>
      <c r="F2166" s="170"/>
      <c r="G2166" s="171"/>
      <c r="H2166" s="247"/>
      <c r="I2166" s="247"/>
      <c r="J2166" s="247"/>
      <c r="K2166" s="247"/>
      <c r="L2166" s="247"/>
      <c r="M2166" s="247"/>
      <c r="N2166" s="247"/>
      <c r="O2166" s="247"/>
      <c r="P2166" s="247"/>
      <c r="Q2166" s="248"/>
      <c r="R2166" s="248"/>
      <c r="S2166" s="247"/>
      <c r="T2166" s="247"/>
      <c r="U2166" s="218"/>
      <c r="V2166" s="342"/>
    </row>
    <row r="2167" spans="3:22" ht="12" customHeight="1">
      <c r="C2167" s="343" t="str">
        <f t="shared" ca="1" si="163"/>
        <v/>
      </c>
      <c r="D2167" s="124"/>
      <c r="E2167" s="124"/>
      <c r="F2167" s="172"/>
      <c r="G2167" s="173"/>
      <c r="H2167" s="249"/>
      <c r="I2167" s="249"/>
      <c r="J2167" s="249"/>
      <c r="K2167" s="249"/>
      <c r="L2167" s="249"/>
      <c r="M2167" s="249"/>
      <c r="N2167" s="250"/>
      <c r="O2167" s="250"/>
      <c r="P2167" s="250"/>
      <c r="Q2167" s="198"/>
      <c r="R2167" s="198"/>
      <c r="S2167" s="249"/>
      <c r="T2167" s="249"/>
      <c r="U2167" s="172"/>
      <c r="V2167" s="343"/>
    </row>
    <row r="2168" spans="3:22" ht="12" customHeight="1">
      <c r="C2168" s="342" t="str">
        <f t="shared" ca="1" si="163"/>
        <v/>
      </c>
      <c r="D2168" s="153"/>
      <c r="E2168" s="153"/>
      <c r="F2168" s="170"/>
      <c r="G2168" s="171"/>
      <c r="H2168" s="247"/>
      <c r="I2168" s="247"/>
      <c r="J2168" s="247"/>
      <c r="K2168" s="247"/>
      <c r="L2168" s="247"/>
      <c r="M2168" s="247"/>
      <c r="N2168" s="247"/>
      <c r="O2168" s="247"/>
      <c r="P2168" s="247"/>
      <c r="Q2168" s="248"/>
      <c r="R2168" s="248"/>
      <c r="S2168" s="247"/>
      <c r="T2168" s="247"/>
      <c r="U2168" s="218"/>
      <c r="V2168" s="342"/>
    </row>
    <row r="2169" spans="3:22" ht="12" customHeight="1">
      <c r="C2169" s="343" t="str">
        <f t="shared" ca="1" si="163"/>
        <v/>
      </c>
      <c r="D2169" s="124"/>
      <c r="E2169" s="124"/>
      <c r="F2169" s="172"/>
      <c r="G2169" s="173"/>
      <c r="H2169" s="249"/>
      <c r="I2169" s="249"/>
      <c r="J2169" s="249"/>
      <c r="K2169" s="249"/>
      <c r="L2169" s="249"/>
      <c r="M2169" s="249"/>
      <c r="N2169" s="250"/>
      <c r="O2169" s="250"/>
      <c r="P2169" s="250"/>
      <c r="Q2169" s="198"/>
      <c r="R2169" s="198"/>
      <c r="S2169" s="249"/>
      <c r="T2169" s="249"/>
      <c r="U2169" s="172"/>
      <c r="V2169" s="343"/>
    </row>
    <row r="2170" spans="3:22" ht="12" customHeight="1">
      <c r="C2170" s="342" t="str">
        <f t="shared" ca="1" si="163"/>
        <v/>
      </c>
      <c r="D2170" s="153"/>
      <c r="E2170" s="153"/>
      <c r="F2170" s="170"/>
      <c r="G2170" s="171"/>
      <c r="H2170" s="247"/>
      <c r="I2170" s="247"/>
      <c r="J2170" s="247"/>
      <c r="K2170" s="247"/>
      <c r="L2170" s="247"/>
      <c r="M2170" s="247"/>
      <c r="N2170" s="247"/>
      <c r="O2170" s="247"/>
      <c r="P2170" s="247"/>
      <c r="Q2170" s="248"/>
      <c r="R2170" s="248"/>
      <c r="S2170" s="247"/>
      <c r="T2170" s="247"/>
      <c r="U2170" s="218"/>
      <c r="V2170" s="342"/>
    </row>
    <row r="2171" spans="3:22" ht="12" customHeight="1">
      <c r="C2171" s="343" t="str">
        <f t="shared" ca="1" si="163"/>
        <v/>
      </c>
      <c r="D2171" s="124"/>
      <c r="E2171" s="124"/>
      <c r="F2171" s="172"/>
      <c r="G2171" s="173"/>
      <c r="H2171" s="249"/>
      <c r="I2171" s="249"/>
      <c r="J2171" s="249"/>
      <c r="K2171" s="249"/>
      <c r="L2171" s="249"/>
      <c r="M2171" s="249"/>
      <c r="N2171" s="250"/>
      <c r="O2171" s="250"/>
      <c r="P2171" s="250"/>
      <c r="Q2171" s="198"/>
      <c r="R2171" s="198"/>
      <c r="S2171" s="249"/>
      <c r="T2171" s="249"/>
      <c r="U2171" s="172"/>
      <c r="V2171" s="343"/>
    </row>
    <row r="2172" spans="3:22" ht="12" customHeight="1">
      <c r="C2172" s="342" t="str">
        <f t="shared" ca="1" si="163"/>
        <v/>
      </c>
      <c r="D2172" s="153"/>
      <c r="E2172" s="153"/>
      <c r="F2172" s="170"/>
      <c r="G2172" s="171"/>
      <c r="H2172" s="247"/>
      <c r="I2172" s="247"/>
      <c r="J2172" s="247"/>
      <c r="K2172" s="247"/>
      <c r="L2172" s="247"/>
      <c r="M2172" s="247"/>
      <c r="N2172" s="247"/>
      <c r="O2172" s="247"/>
      <c r="P2172" s="247"/>
      <c r="Q2172" s="248"/>
      <c r="R2172" s="248"/>
      <c r="S2172" s="247"/>
      <c r="T2172" s="247"/>
      <c r="U2172" s="218"/>
      <c r="V2172" s="342"/>
    </row>
    <row r="2173" spans="3:22" ht="12" customHeight="1">
      <c r="C2173" s="160"/>
      <c r="D2173" s="124"/>
      <c r="E2173" s="124"/>
      <c r="F2173" s="172"/>
      <c r="G2173" s="173"/>
      <c r="H2173" s="249"/>
      <c r="I2173" s="249"/>
      <c r="J2173" s="249"/>
      <c r="K2173" s="249"/>
      <c r="L2173" s="249"/>
      <c r="M2173" s="249"/>
      <c r="N2173" s="250"/>
      <c r="O2173" s="250"/>
      <c r="P2173" s="250"/>
      <c r="Q2173" s="198"/>
      <c r="R2173" s="198"/>
      <c r="S2173" s="249"/>
      <c r="T2173" s="249"/>
      <c r="U2173" s="172"/>
      <c r="V2173" s="249"/>
    </row>
  </sheetData>
  <mergeCells count="17">
    <mergeCell ref="D1:S1"/>
    <mergeCell ref="T11:T12"/>
    <mergeCell ref="C11:C13"/>
    <mergeCell ref="D11:D13"/>
    <mergeCell ref="E11:E13"/>
    <mergeCell ref="F11:F13"/>
    <mergeCell ref="S11:S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</mergeCells>
  <phoneticPr fontId="24" type="noConversion"/>
  <conditionalFormatting sqref="E4:E7">
    <cfRule type="expression" dxfId="560" priority="937">
      <formula>$J$11="营业利润率"</formula>
    </cfRule>
  </conditionalFormatting>
  <conditionalFormatting sqref="G14:G15 G2174:G1048576">
    <cfRule type="colorScale" priority="57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:G39">
    <cfRule type="colorScale" priority="56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:G53">
    <cfRule type="colorScale" priority="55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4:G55">
    <cfRule type="colorScale" priority="55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:G79">
    <cfRule type="colorScale" priority="55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0:G91">
    <cfRule type="colorScale" priority="55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2:G93">
    <cfRule type="colorScale" priority="54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4:G117">
    <cfRule type="colorScale" priority="54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8:G131">
    <cfRule type="colorScale" priority="54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2:G133">
    <cfRule type="colorScale" priority="54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4:G157">
    <cfRule type="colorScale" priority="53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:G169">
    <cfRule type="colorScale" priority="53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:G171">
    <cfRule type="colorScale" priority="53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2:G195">
    <cfRule type="colorScale" priority="53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6:G209">
    <cfRule type="colorScale" priority="52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0:G211">
    <cfRule type="colorScale" priority="52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2:G235">
    <cfRule type="colorScale" priority="52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36:G247">
    <cfRule type="colorScale" priority="52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48:G249">
    <cfRule type="colorScale" priority="51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50:G273">
    <cfRule type="colorScale" priority="51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74:G287">
    <cfRule type="colorScale" priority="51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88:G289">
    <cfRule type="colorScale" priority="51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90:G313">
    <cfRule type="colorScale" priority="51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14:G325">
    <cfRule type="colorScale" priority="50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26:G327">
    <cfRule type="colorScale" priority="50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28:G351">
    <cfRule type="colorScale" priority="50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52:G365">
    <cfRule type="colorScale" priority="50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66:G367">
    <cfRule type="colorScale" priority="49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68:G391">
    <cfRule type="colorScale" priority="49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92:G403">
    <cfRule type="colorScale" priority="49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4:G405">
    <cfRule type="colorScale" priority="49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6:G429">
    <cfRule type="colorScale" priority="48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30:G443">
    <cfRule type="colorScale" priority="48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4:G445">
    <cfRule type="colorScale" priority="48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6:G447">
    <cfRule type="colorScale" priority="41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8:G471">
    <cfRule type="colorScale" priority="41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72:G485">
    <cfRule type="colorScale" priority="41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86:G487">
    <cfRule type="colorScale" priority="41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88:G511">
    <cfRule type="colorScale" priority="40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12:G523">
    <cfRule type="colorScale" priority="40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24:G525">
    <cfRule type="colorScale" priority="40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26:G549">
    <cfRule type="colorScale" priority="40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50:G563">
    <cfRule type="colorScale" priority="39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4:G565">
    <cfRule type="colorScale" priority="39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6:G589">
    <cfRule type="colorScale" priority="39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90:G601">
    <cfRule type="colorScale" priority="39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02:G603">
    <cfRule type="colorScale" priority="39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04:G627">
    <cfRule type="colorScale" priority="38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28:G641">
    <cfRule type="colorScale" priority="38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42:G643">
    <cfRule type="colorScale" priority="38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44:G667">
    <cfRule type="colorScale" priority="38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68:G679">
    <cfRule type="colorScale" priority="37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80:G681">
    <cfRule type="colorScale" priority="37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82:G705">
    <cfRule type="colorScale" priority="37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06:G719">
    <cfRule type="colorScale" priority="37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20:G721">
    <cfRule type="colorScale" priority="36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22:G745">
    <cfRule type="colorScale" priority="36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46:G757">
    <cfRule type="colorScale" priority="36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58:G759">
    <cfRule type="colorScale" priority="36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60:G783">
    <cfRule type="colorScale" priority="35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84:G797">
    <cfRule type="colorScale" priority="35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98:G799">
    <cfRule type="colorScale" priority="35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00:G823">
    <cfRule type="colorScale" priority="35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24:G835">
    <cfRule type="colorScale" priority="34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36:G837">
    <cfRule type="colorScale" priority="34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38:G861">
    <cfRule type="colorScale" priority="34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62:G875">
    <cfRule type="colorScale" priority="34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76:G877">
    <cfRule type="colorScale" priority="33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78:G879">
    <cfRule type="colorScale" priority="33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80:G903">
    <cfRule type="colorScale" priority="33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04:G917">
    <cfRule type="colorScale" priority="33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18:G919">
    <cfRule type="colorScale" priority="33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20:G943">
    <cfRule type="colorScale" priority="32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44:G955">
    <cfRule type="colorScale" priority="32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56:G957">
    <cfRule type="colorScale" priority="32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58:G981">
    <cfRule type="colorScale" priority="32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82:G995">
    <cfRule type="colorScale" priority="31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96:G997">
    <cfRule type="colorScale" priority="31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98:G1021">
    <cfRule type="colorScale" priority="31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22:G1033">
    <cfRule type="colorScale" priority="31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34:G1035">
    <cfRule type="colorScale" priority="30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36:G1059">
    <cfRule type="colorScale" priority="30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60:G1073">
    <cfRule type="colorScale" priority="30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74:G1075">
    <cfRule type="colorScale" priority="30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76:G1099">
    <cfRule type="colorScale" priority="29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00:G1111">
    <cfRule type="colorScale" priority="29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12:G1113">
    <cfRule type="colorScale" priority="29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14:G1137">
    <cfRule type="colorScale" priority="29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38:G1151">
    <cfRule type="colorScale" priority="28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52:G1153">
    <cfRule type="colorScale" priority="28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54:G1177">
    <cfRule type="colorScale" priority="28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78:G1189">
    <cfRule type="colorScale" priority="28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90:G1191">
    <cfRule type="colorScale" priority="27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92:G1215">
    <cfRule type="colorScale" priority="27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16:G1229">
    <cfRule type="colorScale" priority="27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30:G1231">
    <cfRule type="colorScale" priority="27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32:G1255">
    <cfRule type="colorScale" priority="27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56:G1267">
    <cfRule type="colorScale" priority="26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68:G1269">
    <cfRule type="colorScale" priority="26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70:G1293">
    <cfRule type="colorScale" priority="26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94:G1307">
    <cfRule type="colorScale" priority="26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08:G1309">
    <cfRule type="colorScale" priority="25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10:G1311">
    <cfRule type="colorScale" priority="25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12:G1335">
    <cfRule type="colorScale" priority="25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36:G1349">
    <cfRule type="colorScale" priority="25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50:G1351">
    <cfRule type="colorScale" priority="24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52:G1375">
    <cfRule type="colorScale" priority="24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76:G1387">
    <cfRule type="colorScale" priority="24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88:G1389">
    <cfRule type="colorScale" priority="24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90:G1413">
    <cfRule type="colorScale" priority="23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14:G1427">
    <cfRule type="colorScale" priority="23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28:G1429">
    <cfRule type="colorScale" priority="23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30:G1453">
    <cfRule type="colorScale" priority="23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54:G1465">
    <cfRule type="colorScale" priority="22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66:G1467">
    <cfRule type="colorScale" priority="22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68:G1491">
    <cfRule type="colorScale" priority="22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92:G1505">
    <cfRule type="colorScale" priority="22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06:G1507">
    <cfRule type="colorScale" priority="21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08:G1531">
    <cfRule type="colorScale" priority="21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32:G1543">
    <cfRule type="colorScale" priority="21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44:G1545">
    <cfRule type="colorScale" priority="21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46:G1569">
    <cfRule type="colorScale" priority="21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70:G1583">
    <cfRule type="colorScale" priority="20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4:G1585">
    <cfRule type="colorScale" priority="20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6:G1609">
    <cfRule type="colorScale" priority="20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10:G1621">
    <cfRule type="colorScale" priority="20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22:G1623">
    <cfRule type="colorScale" priority="19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24:G1647">
    <cfRule type="colorScale" priority="19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48:G1661">
    <cfRule type="colorScale" priority="19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62:G1663">
    <cfRule type="colorScale" priority="19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64:G1687">
    <cfRule type="colorScale" priority="18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88:G1699">
    <cfRule type="colorScale" priority="18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0:G1701">
    <cfRule type="colorScale" priority="18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2:G1725">
    <cfRule type="colorScale" priority="18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26:G1739">
    <cfRule type="colorScale" priority="17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0:G1741">
    <cfRule type="colorScale" priority="17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2:G1743">
    <cfRule type="colorScale" priority="17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4:G1767">
    <cfRule type="colorScale" priority="17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68:G1781">
    <cfRule type="colorScale" priority="16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82:G1783">
    <cfRule type="colorScale" priority="16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84:G1807">
    <cfRule type="colorScale" priority="16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08:G1819">
    <cfRule type="colorScale" priority="16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20:G1821">
    <cfRule type="colorScale" priority="15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22:G1845">
    <cfRule type="colorScale" priority="15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46:G1859">
    <cfRule type="colorScale" priority="15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60:G1861">
    <cfRule type="colorScale" priority="15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62:G1885">
    <cfRule type="colorScale" priority="15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86:G1897">
    <cfRule type="colorScale" priority="14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98:G1899">
    <cfRule type="colorScale" priority="14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00:G1923">
    <cfRule type="colorScale" priority="14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24:G1937">
    <cfRule type="colorScale" priority="14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38:G1939">
    <cfRule type="colorScale" priority="13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40:G1963">
    <cfRule type="colorScale" priority="13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64:G1975">
    <cfRule type="colorScale" priority="13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76:G1977">
    <cfRule type="colorScale" priority="13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78:G2001">
    <cfRule type="colorScale" priority="12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02:G2015">
    <cfRule type="colorScale" priority="12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16:G2017">
    <cfRule type="colorScale" priority="12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18:G2041">
    <cfRule type="colorScale" priority="12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42:G2053">
    <cfRule type="colorScale" priority="11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54:G2055">
    <cfRule type="colorScale" priority="11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56:G2079">
    <cfRule type="colorScale" priority="11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80:G2093">
    <cfRule type="colorScale" priority="11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94:G2095">
    <cfRule type="colorScale" priority="10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96:G2119">
    <cfRule type="colorScale" priority="10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20:G2131">
    <cfRule type="colorScale" priority="10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32:G2133">
    <cfRule type="colorScale" priority="10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34:G2157">
    <cfRule type="colorScale" priority="9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58:G2171">
    <cfRule type="colorScale" priority="9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72:G2173">
    <cfRule type="colorScale" priority="9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 M2">
    <cfRule type="colorScale" priority="56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">
    <cfRule type="colorScale" priority="56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:I3 I8 M8 I11 M11">
    <cfRule type="expression" dxfId="559" priority="5733">
      <formula>$M$11="ROE"</formula>
    </cfRule>
  </conditionalFormatting>
  <conditionalFormatting sqref="I2:I5">
    <cfRule type="expression" dxfId="558" priority="5627">
      <formula>$K$9="净利润率"</formula>
    </cfRule>
  </conditionalFormatting>
  <conditionalFormatting sqref="I3:I9 I11:I15 I2174:I1048576">
    <cfRule type="colorScale" priority="5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:I7">
    <cfRule type="expression" dxfId="557" priority="5666">
      <formula>$O$11="BPS"</formula>
    </cfRule>
    <cfRule type="expression" dxfId="556" priority="5672">
      <formula>$O$11="BPS"</formula>
    </cfRule>
  </conditionalFormatting>
  <conditionalFormatting sqref="I5:I7">
    <cfRule type="expression" dxfId="555" priority="5669">
      <formula>$K$11="净利润率"</formula>
    </cfRule>
  </conditionalFormatting>
  <conditionalFormatting sqref="I10">
    <cfRule type="colorScale" priority="5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:I15 M8:M9 M3 I3 I8:I9 I11:T11 M13:M15 M2174:M1048576 I2174:I1048576">
    <cfRule type="colorScale" priority="57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:I1048576 M13:M1048576">
    <cfRule type="expression" dxfId="554" priority="958">
      <formula>$I$11="毛利率"</formula>
    </cfRule>
  </conditionalFormatting>
  <conditionalFormatting sqref="I13:I1048576">
    <cfRule type="expression" dxfId="553" priority="941">
      <formula>$M$11="ROE"</formula>
    </cfRule>
  </conditionalFormatting>
  <conditionalFormatting sqref="I14:I15">
    <cfRule type="colorScale" priority="5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:I39 M16:M39">
    <cfRule type="colorScale" priority="56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:I39">
    <cfRule type="colorScale" priority="5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:I53 M40:M53">
    <cfRule type="colorScale" priority="55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:I53">
    <cfRule type="colorScale" priority="5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4:I55 M54:M55">
    <cfRule type="colorScale" priority="55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4:I55">
    <cfRule type="colorScale" priority="5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:I79 M56:M79">
    <cfRule type="colorScale" priority="55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:I79">
    <cfRule type="colorScale" priority="5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0:I91 M80:M91">
    <cfRule type="colorScale" priority="55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0:I91">
    <cfRule type="colorScale" priority="5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2:I93 M92:M93">
    <cfRule type="colorScale" priority="54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2:I93">
    <cfRule type="colorScale" priority="5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4:I117 M94:M117">
    <cfRule type="colorScale" priority="54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4:I117">
    <cfRule type="colorScale" priority="5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8:I131 M118:M131">
    <cfRule type="colorScale" priority="54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8:I131">
    <cfRule type="colorScale" priority="5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2:I133 M132:M133">
    <cfRule type="colorScale" priority="54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2:I133">
    <cfRule type="colorScale" priority="5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4:I157 M134:M157">
    <cfRule type="colorScale" priority="53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4:I157">
    <cfRule type="colorScale" priority="5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:I169 M158:M169">
    <cfRule type="colorScale" priority="53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:I169">
    <cfRule type="colorScale" priority="5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:I171 M170:M171">
    <cfRule type="colorScale" priority="53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:I171">
    <cfRule type="colorScale" priority="5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2:I195 M172:M195">
    <cfRule type="colorScale" priority="53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2:I195">
    <cfRule type="colorScale" priority="5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6:I209 M196:M209">
    <cfRule type="colorScale" priority="52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6:I209">
    <cfRule type="colorScale" priority="5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0:I211 M210:M211">
    <cfRule type="colorScale" priority="52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0:I211">
    <cfRule type="colorScale" priority="5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2:I235 M212:M235">
    <cfRule type="colorScale" priority="52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2:I235">
    <cfRule type="colorScale" priority="5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36:I247 M236:M247">
    <cfRule type="colorScale" priority="52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36:I247">
    <cfRule type="colorScale" priority="5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48:I249 M248:M249">
    <cfRule type="colorScale" priority="51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48:I249">
    <cfRule type="colorScale" priority="5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50:I273 M250:M273">
    <cfRule type="colorScale" priority="51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50:I273">
    <cfRule type="colorScale" priority="5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74:I287 M274:M287">
    <cfRule type="colorScale" priority="51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74:I287">
    <cfRule type="colorScale" priority="5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88:I289 M288:M289">
    <cfRule type="colorScale" priority="51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88:I289">
    <cfRule type="colorScale" priority="5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90:I313 M290:M313">
    <cfRule type="colorScale" priority="51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90:I313">
    <cfRule type="colorScale" priority="5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14:I325 M314:M325">
    <cfRule type="colorScale" priority="50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14:I325">
    <cfRule type="colorScale" priority="50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26:I327 M326:M327">
    <cfRule type="colorScale" priority="50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26:I327">
    <cfRule type="colorScale" priority="50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28:I351 M328:M351">
    <cfRule type="colorScale" priority="50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28:I351">
    <cfRule type="colorScale" priority="50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52:I365 M352:M365">
    <cfRule type="colorScale" priority="50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52:I365">
    <cfRule type="colorScale" priority="50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66:I367 M366:M367">
    <cfRule type="colorScale" priority="49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66:I367">
    <cfRule type="colorScale" priority="49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68:I391 M368:M391">
    <cfRule type="colorScale" priority="49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68:I391">
    <cfRule type="colorScale" priority="49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92:I403 M392:M403">
    <cfRule type="colorScale" priority="49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92:I403">
    <cfRule type="colorScale" priority="4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4:I405 M404:M405">
    <cfRule type="colorScale" priority="49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4:I405">
    <cfRule type="colorScale" priority="4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6:I429 M406:M429">
    <cfRule type="colorScale" priority="48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6:I429">
    <cfRule type="colorScale" priority="4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30:I443 M430:M443">
    <cfRule type="colorScale" priority="48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30:I443">
    <cfRule type="colorScale" priority="4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4:I445 M444:M445">
    <cfRule type="colorScale" priority="48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4:I445">
    <cfRule type="colorScale" priority="4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6:I447 M446:M447">
    <cfRule type="colorScale" priority="41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6:I447">
    <cfRule type="colorScale" priority="4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8:I471 M448:M471">
    <cfRule type="colorScale" priority="41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8:I471">
    <cfRule type="colorScale" priority="4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72:I485 M472:M485">
    <cfRule type="colorScale" priority="41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72:I485">
    <cfRule type="colorScale" priority="4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86:I487 M486:M487">
    <cfRule type="colorScale" priority="41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86:I487">
    <cfRule type="colorScale" priority="4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88:I511 M488:M511">
    <cfRule type="colorScale" priority="40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88:I511">
    <cfRule type="colorScale" priority="40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12:I523 M512:M523">
    <cfRule type="colorScale" priority="40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12:I523">
    <cfRule type="colorScale" priority="40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24:I525 M524:M525">
    <cfRule type="colorScale" priority="40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24:I525">
    <cfRule type="colorScale" priority="40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26:I549 M526:M549">
    <cfRule type="colorScale" priority="40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26:I549">
    <cfRule type="colorScale" priority="40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50:I563 M550:M563">
    <cfRule type="colorScale" priority="39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50:I563">
    <cfRule type="colorScale" priority="3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4:I565 M564:M565">
    <cfRule type="colorScale" priority="39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4:I565">
    <cfRule type="colorScale" priority="39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6:I589 M566:M589">
    <cfRule type="colorScale" priority="39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6:I589">
    <cfRule type="colorScale" priority="39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90:I601 M590:M601">
    <cfRule type="colorScale" priority="39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90:I601">
    <cfRule type="colorScale" priority="3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02:I603 M602:M603">
    <cfRule type="colorScale" priority="39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02:I603">
    <cfRule type="colorScale" priority="3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04:I627 M604:M627">
    <cfRule type="colorScale" priority="38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04:I627">
    <cfRule type="colorScale" priority="38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28:I641 M628:M641">
    <cfRule type="colorScale" priority="38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28:I641">
    <cfRule type="colorScale" priority="3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42:I643 M642:M643">
    <cfRule type="colorScale" priority="38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42:I643">
    <cfRule type="colorScale" priority="38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44:I667 M644:M667">
    <cfRule type="colorScale" priority="38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44:I667">
    <cfRule type="colorScale" priority="38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68:I679 M668:M679">
    <cfRule type="colorScale" priority="37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68:I679">
    <cfRule type="colorScale" priority="37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80:I681 M680:M681">
    <cfRule type="colorScale" priority="37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80:I681">
    <cfRule type="colorScale" priority="37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82:I705 M682:M705">
    <cfRule type="colorScale" priority="37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82:I705">
    <cfRule type="colorScale" priority="37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06:I719 M706:M719">
    <cfRule type="colorScale" priority="37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06:I719">
    <cfRule type="colorScale" priority="3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20:I721 M720:M721">
    <cfRule type="colorScale" priority="36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20:I721">
    <cfRule type="colorScale" priority="36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22:I745 M722:M745">
    <cfRule type="colorScale" priority="36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22:I745">
    <cfRule type="colorScale" priority="36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46:I757 M746:M757">
    <cfRule type="colorScale" priority="36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46:I757">
    <cfRule type="colorScale" priority="36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58:I759 M758:M759">
    <cfRule type="colorScale" priority="36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58:I759">
    <cfRule type="colorScale" priority="36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60:I783 M760:M783">
    <cfRule type="colorScale" priority="35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60:I783">
    <cfRule type="colorScale" priority="35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84:I797 M784:M797">
    <cfRule type="colorScale" priority="35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84:I797">
    <cfRule type="colorScale" priority="35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98:I799 M798:M799">
    <cfRule type="colorScale" priority="35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98:I799">
    <cfRule type="colorScale" priority="35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00:I823 M800:M823">
    <cfRule type="colorScale" priority="35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00:I823">
    <cfRule type="colorScale" priority="35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24:I835 M824:M835">
    <cfRule type="colorScale" priority="34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24:I835">
    <cfRule type="colorScale" priority="34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36:I837 M836:M837">
    <cfRule type="colorScale" priority="34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36:I837">
    <cfRule type="colorScale" priority="34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38:I861 M838:M861">
    <cfRule type="colorScale" priority="34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38:I861">
    <cfRule type="colorScale" priority="34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62:I875 M862:M875">
    <cfRule type="colorScale" priority="34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62:I875">
    <cfRule type="colorScale" priority="3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76:I877 M876:M877">
    <cfRule type="colorScale" priority="33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76:I877">
    <cfRule type="colorScale" priority="33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78:I879 M878:M879">
    <cfRule type="colorScale" priority="33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78:I879">
    <cfRule type="colorScale" priority="33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80:I903 M880:M903">
    <cfRule type="colorScale" priority="33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80:I903">
    <cfRule type="colorScale" priority="33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04:I917 M904:M917">
    <cfRule type="colorScale" priority="33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04:I917">
    <cfRule type="colorScale" priority="33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18:I919 M918:M919">
    <cfRule type="colorScale" priority="33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18:I919">
    <cfRule type="colorScale" priority="32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20:I943 M920:M943">
    <cfRule type="colorScale" priority="32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20:I943">
    <cfRule type="colorScale" priority="32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44:I955 M944:M955">
    <cfRule type="colorScale" priority="32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44:I955">
    <cfRule type="colorScale" priority="32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56:I957 M956:M957">
    <cfRule type="colorScale" priority="32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56:I957">
    <cfRule type="colorScale" priority="32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58:I981 M958:M981">
    <cfRule type="colorScale" priority="32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58:I981">
    <cfRule type="colorScale" priority="31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82:I995 M982:M995">
    <cfRule type="colorScale" priority="31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82:I995">
    <cfRule type="colorScale" priority="31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96:I997 M996:M997">
    <cfRule type="colorScale" priority="31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96:I997">
    <cfRule type="colorScale" priority="3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98:I1021 M998:M1021">
    <cfRule type="colorScale" priority="31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98:I1021">
    <cfRule type="colorScale" priority="31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22:I1033 M1022:M1033">
    <cfRule type="colorScale" priority="31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22:I1033">
    <cfRule type="colorScale" priority="31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34:I1035 M1034:M1035">
    <cfRule type="colorScale" priority="30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34:I1035">
    <cfRule type="colorScale" priority="30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36:I1059 M1036:M1059">
    <cfRule type="colorScale" priority="30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36:I1059">
    <cfRule type="colorScale" priority="3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60:I1073 M1060:M1073">
    <cfRule type="colorScale" priority="30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60:I1073">
    <cfRule type="colorScale" priority="3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74:I1075 M1074:M1075">
    <cfRule type="colorScale" priority="30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74:I1075">
    <cfRule type="colorScale" priority="30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76:I1099 M1076:M1099">
    <cfRule type="colorScale" priority="29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76:I1099">
    <cfRule type="colorScale" priority="29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00:I1111 M1100:M1111">
    <cfRule type="colorScale" priority="29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00:I1111">
    <cfRule type="colorScale" priority="2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12:I1113 M1112:M1113">
    <cfRule type="colorScale" priority="29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12:I1113">
    <cfRule type="colorScale" priority="29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14:I1137 M1114:M1137">
    <cfRule type="colorScale" priority="29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14:I1137">
    <cfRule type="colorScale" priority="2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38:I1151 M1138:M1151">
    <cfRule type="colorScale" priority="28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38:I1151">
    <cfRule type="colorScale" priority="28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52:I1153 M1152:M1153">
    <cfRule type="colorScale" priority="28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52:I1153">
    <cfRule type="colorScale" priority="2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54:I1177 M1154:M1177">
    <cfRule type="colorScale" priority="28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54:I1177">
    <cfRule type="colorScale" priority="28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78:I1189 M1178:M1189">
    <cfRule type="colorScale" priority="28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78:I1189">
    <cfRule type="colorScale" priority="28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90:I1191 M1190:M1191">
    <cfRule type="colorScale" priority="27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90:I1191">
    <cfRule type="colorScale" priority="27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92:I1215 M1192:M1215">
    <cfRule type="colorScale" priority="27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92:I1215">
    <cfRule type="colorScale" priority="27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16:I1229 M1216:M1229">
    <cfRule type="colorScale" priority="27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16:I1229">
    <cfRule type="colorScale" priority="2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30:I1231 M1230:M1231">
    <cfRule type="colorScale" priority="27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30:I1231">
    <cfRule type="colorScale" priority="2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32:I1255 M1232:M1255">
    <cfRule type="colorScale" priority="27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32:I1255">
    <cfRule type="colorScale" priority="26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56:I1267 M1256:M1267">
    <cfRule type="colorScale" priority="26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56:I1267">
    <cfRule type="colorScale" priority="26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68:I1269 M1268:M1269">
    <cfRule type="colorScale" priority="26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68:I1269">
    <cfRule type="colorScale" priority="26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70:I1293 M1270:M1293">
    <cfRule type="colorScale" priority="26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70:I1293">
    <cfRule type="colorScale" priority="26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94:I1307 M1294:M1307">
    <cfRule type="colorScale" priority="26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94:I1307">
    <cfRule type="colorScale" priority="2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08:I1309 M1308:M1309">
    <cfRule type="colorScale" priority="25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08:I1309">
    <cfRule type="colorScale" priority="2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10:I1311 M1310:M1311">
    <cfRule type="colorScale" priority="25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10:I1311">
    <cfRule type="colorScale" priority="2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12:I1335 M1312:M1335">
    <cfRule type="colorScale" priority="25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12:I1335">
    <cfRule type="colorScale" priority="2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36:I1349 M1336:M1349">
    <cfRule type="colorScale" priority="25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36:I1349">
    <cfRule type="colorScale" priority="2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50:I1351 M1350:M1351">
    <cfRule type="colorScale" priority="24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50:I1351">
    <cfRule type="colorScale" priority="2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52:I1375 M1352:M1375">
    <cfRule type="colorScale" priority="24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52:I1375">
    <cfRule type="colorScale" priority="2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76:I1387 M1376:M1387">
    <cfRule type="colorScale" priority="24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76:I1387">
    <cfRule type="colorScale" priority="2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88:I1389 M1388:M1389">
    <cfRule type="colorScale" priority="24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88:I1389">
    <cfRule type="colorScale" priority="2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90:I1413 M1390:M1413">
    <cfRule type="colorScale" priority="23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90:I1413">
    <cfRule type="colorScale" priority="2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14:I1427 M1414:M1427">
    <cfRule type="colorScale" priority="23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14:I1427">
    <cfRule type="colorScale" priority="2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28:I1429 M1428:M1429">
    <cfRule type="colorScale" priority="23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28:I1429">
    <cfRule type="colorScale" priority="2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30:I1453 M1430:M1453">
    <cfRule type="colorScale" priority="23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30:I1453">
    <cfRule type="colorScale" priority="2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54:I1465 M1454:M1465">
    <cfRule type="colorScale" priority="22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54:I1465">
    <cfRule type="colorScale" priority="2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66:I1467 M1466:M1467">
    <cfRule type="colorScale" priority="22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66:I1467">
    <cfRule type="colorScale" priority="2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68:I1491 M1468:M1491">
    <cfRule type="colorScale" priority="22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68:I1491">
    <cfRule type="colorScale" priority="2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92:I1505 M1492:M1505">
    <cfRule type="colorScale" priority="22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92:I1505">
    <cfRule type="colorScale" priority="2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06:I1507 M1506:M1507">
    <cfRule type="colorScale" priority="21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06:I1507">
    <cfRule type="colorScale" priority="2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08:I1531 M1508:M1531">
    <cfRule type="colorScale" priority="21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08:I1531">
    <cfRule type="colorScale" priority="2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32:I1543 M1532:M1543">
    <cfRule type="colorScale" priority="21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32:I1543">
    <cfRule type="colorScale" priority="2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44:I1545 M1544:M1545">
    <cfRule type="colorScale" priority="21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44:I1545">
    <cfRule type="colorScale" priority="2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46:I1569 M1546:M1569">
    <cfRule type="colorScale" priority="21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46:I1569">
    <cfRule type="colorScale" priority="20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70:I1583 M1570:M1583">
    <cfRule type="colorScale" priority="20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70:I1583">
    <cfRule type="colorScale" priority="2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4:I1585 M1584:M1585">
    <cfRule type="colorScale" priority="20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4:I1585">
    <cfRule type="colorScale" priority="2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6:I1609 M1586:M1609">
    <cfRule type="colorScale" priority="20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6:I1609">
    <cfRule type="colorScale" priority="20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10:I1621 M1610:M1621">
    <cfRule type="colorScale" priority="20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10:I1621">
    <cfRule type="colorScale" priority="20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22:I1623 M1622:M1623">
    <cfRule type="colorScale" priority="19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22:I1623">
    <cfRule type="colorScale" priority="19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24:I1647 M1624:M1647">
    <cfRule type="colorScale" priority="19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24:I1647">
    <cfRule type="colorScale" priority="19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48:I1661 M1648:M1661">
    <cfRule type="colorScale" priority="19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48:I1661">
    <cfRule type="colorScale" priority="1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62:I1663 M1662:M1663">
    <cfRule type="colorScale" priority="19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62:I1663">
    <cfRule type="colorScale" priority="1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64:I1687 M1664:M1687">
    <cfRule type="colorScale" priority="18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64:I1687">
    <cfRule type="colorScale" priority="1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88:I1699 M1688:M1699">
    <cfRule type="colorScale" priority="18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88:I1699">
    <cfRule type="colorScale" priority="1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0:I1701 M1700:M1701">
    <cfRule type="colorScale" priority="18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0:I1701">
    <cfRule type="colorScale" priority="1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2:I1725 M1702:M1725">
    <cfRule type="colorScale" priority="18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2:I1725">
    <cfRule type="colorScale" priority="18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26:I1739 M1726:M1739">
    <cfRule type="colorScale" priority="17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26:I1739">
    <cfRule type="colorScale" priority="17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0:I1741 M1740:M1741">
    <cfRule type="colorScale" priority="17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0:I1741">
    <cfRule type="colorScale" priority="1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2:I1743 M1742:M1743">
    <cfRule type="colorScale" priority="17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2:I1743">
    <cfRule type="colorScale" priority="1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4:I1767 M1744:M1767">
    <cfRule type="colorScale" priority="17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4:I1767">
    <cfRule type="colorScale" priority="17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68:I1781 M1768:M1781">
    <cfRule type="colorScale" priority="16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68:I1781">
    <cfRule type="colorScale" priority="16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82:I1783 M1782:M1783">
    <cfRule type="colorScale" priority="16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82:I1783">
    <cfRule type="colorScale" priority="1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84:I1807 M1784:M1807">
    <cfRule type="colorScale" priority="16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84:I1807">
    <cfRule type="colorScale" priority="16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08:I1819 M1808:M1819">
    <cfRule type="colorScale" priority="16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08:I1819">
    <cfRule type="colorScale" priority="16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20:I1821 M1820:M1821">
    <cfRule type="colorScale" priority="15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20:I1821">
    <cfRule type="colorScale" priority="1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22:I1845 M1822:M1845">
    <cfRule type="colorScale" priority="15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22:I1845">
    <cfRule type="colorScale" priority="15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46:I1859 M1846:M1859">
    <cfRule type="colorScale" priority="15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46:I1859">
    <cfRule type="colorScale" priority="15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60:I1861 M1860:M1861">
    <cfRule type="colorScale" priority="15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60:I1861">
    <cfRule type="colorScale" priority="1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62:I1885 M1862:M1885">
    <cfRule type="colorScale" priority="15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62:I1885">
    <cfRule type="colorScale" priority="14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86:I1897 M1886:M1897">
    <cfRule type="colorScale" priority="14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86:I1897">
    <cfRule type="colorScale" priority="14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98:I1899 M1898:M1899">
    <cfRule type="colorScale" priority="14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98:I1899">
    <cfRule type="colorScale" priority="14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00:I1923 M1900:M1923">
    <cfRule type="colorScale" priority="14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00:I1923">
    <cfRule type="colorScale" priority="1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24:I1937 M1924:M1937">
    <cfRule type="colorScale" priority="14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24:I1937">
    <cfRule type="colorScale" priority="1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38:I1939 M1938:M1939">
    <cfRule type="colorScale" priority="13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38:I1939">
    <cfRule type="colorScale" priority="13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40:I1963 M1940:M1963">
    <cfRule type="colorScale" priority="13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40:I1963">
    <cfRule type="colorScale" priority="13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64:I1975 M1964:M1975">
    <cfRule type="colorScale" priority="13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64:I1975">
    <cfRule type="colorScale" priority="13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76:I1977 M1976:M1977">
    <cfRule type="colorScale" priority="13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76:I1977">
    <cfRule type="colorScale" priority="13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78:I2001 M1978:M2001">
    <cfRule type="colorScale" priority="12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78:I2001">
    <cfRule type="colorScale" priority="12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02:I2015 M2002:M2015">
    <cfRule type="colorScale" priority="12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02:I2015">
    <cfRule type="colorScale" priority="12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16:I2017 M2016:M2017">
    <cfRule type="colorScale" priority="12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16:I2017">
    <cfRule type="colorScale" priority="1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18:I2041 M2018:M2041">
    <cfRule type="colorScale" priority="12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18:I2041">
    <cfRule type="colorScale" priority="12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42:I2053 M2042:M2053">
    <cfRule type="colorScale" priority="11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42:I2053">
    <cfRule type="colorScale" priority="1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54:I2055 M2054:M2055">
    <cfRule type="colorScale" priority="11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54:I2055">
    <cfRule type="colorScale" priority="1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56:I2079 M2056:M2079">
    <cfRule type="colorScale" priority="11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56:I2079">
    <cfRule type="colorScale" priority="1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80:I2093 M2080:M2093">
    <cfRule type="colorScale" priority="11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80:I2093">
    <cfRule type="colorScale" priority="1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94:I2095 M2094:M2095">
    <cfRule type="colorScale" priority="10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94:I2095">
    <cfRule type="colorScale" priority="10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96:I2119 M2096:M2119">
    <cfRule type="colorScale" priority="10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96:I2119">
    <cfRule type="colorScale" priority="10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20:I2131 M2120:M2131">
    <cfRule type="colorScale" priority="10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20:I2131">
    <cfRule type="colorScale" priority="10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32:I2133 M2132:M2133">
    <cfRule type="colorScale" priority="10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32:I2133">
    <cfRule type="colorScale" priority="1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34:I2157 M2134:M2157">
    <cfRule type="colorScale" priority="9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34:I2157">
    <cfRule type="colorScale" priority="9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58:I2171 M2158:M2171">
    <cfRule type="colorScale" priority="9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58:I2171">
    <cfRule type="colorScale" priority="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72:I2173 M2172:M2173">
    <cfRule type="colorScale" priority="9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72:I2173">
    <cfRule type="colorScale" priority="9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:T11 I2:I3 I8 M8">
    <cfRule type="expression" dxfId="552" priority="5736">
      <formula>$I$11="毛利率"</formula>
    </cfRule>
  </conditionalFormatting>
  <conditionalFormatting sqref="J14:J15">
    <cfRule type="colorScale" priority="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:J1500">
    <cfRule type="expression" dxfId="551" priority="2">
      <formula>$M$11="ROE"</formula>
    </cfRule>
    <cfRule type="expression" dxfId="550" priority="8">
      <formula>$I$11="毛利率"</formula>
    </cfRule>
  </conditionalFormatting>
  <conditionalFormatting sqref="J16:J39">
    <cfRule type="colorScale" priority="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0:J53">
    <cfRule type="colorScale" priority="9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4:J55">
    <cfRule type="colorScale" priority="9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6:J79">
    <cfRule type="colorScale" priority="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80:J91">
    <cfRule type="colorScale" priority="8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2:J93">
    <cfRule type="colorScale" priority="8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4:J117">
    <cfRule type="colorScale" priority="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8:J131">
    <cfRule type="colorScale" priority="8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2:J133">
    <cfRule type="colorScale" priority="8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34:J157">
    <cfRule type="colorScale" priority="8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58:J169">
    <cfRule type="colorScale" priority="8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70:J171">
    <cfRule type="colorScale" priority="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72:J195">
    <cfRule type="colorScale" priority="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96:J209">
    <cfRule type="colorScale" priority="8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10:J211">
    <cfRule type="colorScale" priority="8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12:J235">
    <cfRule type="colorScale" priority="8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36:J247">
    <cfRule type="colorScale" priority="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48:J249">
    <cfRule type="colorScale" priority="7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50:J273">
    <cfRule type="colorScale" priority="7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74:J287">
    <cfRule type="colorScale" priority="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288:J289">
    <cfRule type="colorScale" priority="7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90:J313">
    <cfRule type="colorScale" priority="7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14:J325">
    <cfRule type="colorScale" priority="7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26:J327">
    <cfRule type="colorScale" priority="7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28:J351">
    <cfRule type="colorScale" priority="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52:J365">
    <cfRule type="colorScale" priority="7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66:J367">
    <cfRule type="colorScale" priority="7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68:J391">
    <cfRule type="colorScale" priority="7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92:J403">
    <cfRule type="colorScale" priority="6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404:J405">
    <cfRule type="colorScale" priority="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06:J429">
    <cfRule type="colorScale" priority="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30:J443">
    <cfRule type="colorScale" priority="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4:J445">
    <cfRule type="colorScale" priority="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6:J447">
    <cfRule type="colorScale" priority="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8:J471">
    <cfRule type="colorScale" priority="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472:J485">
    <cfRule type="colorScale" priority="6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86:J487">
    <cfRule type="colorScale" priority="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88:J511">
    <cfRule type="colorScale" priority="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12:J523">
    <cfRule type="colorScale" priority="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24:J525">
    <cfRule type="colorScale" priority="6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26:J549">
    <cfRule type="colorScale" priority="6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50:J563">
    <cfRule type="colorScale" priority="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64:J565">
    <cfRule type="colorScale" priority="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66:J589">
    <cfRule type="colorScale" priority="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90:J601">
    <cfRule type="colorScale" priority="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02:J603">
    <cfRule type="colorScale" priority="5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04:J627">
    <cfRule type="colorScale" priority="5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28:J641">
    <cfRule type="colorScale" priority="5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42:J643">
    <cfRule type="colorScale" priority="5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44:J667">
    <cfRule type="colorScale" priority="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68:J679">
    <cfRule type="colorScale" priority="5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80:J681">
    <cfRule type="colorScale" priority="5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82:J705">
    <cfRule type="colorScale" priority="5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06:J719">
    <cfRule type="colorScale" priority="4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20:J721">
    <cfRule type="colorScale" priority="4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22:J745">
    <cfRule type="colorScale" priority="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46:J757">
    <cfRule type="colorScale" priority="4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58:J759">
    <cfRule type="colorScale" priority="4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60:J783">
    <cfRule type="colorScale" priority="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84:J797">
    <cfRule type="colorScale" priority="4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98:J799">
    <cfRule type="colorScale" priority="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800:J823">
    <cfRule type="colorScale" priority="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24:J835">
    <cfRule type="colorScale" priority="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836:J837">
    <cfRule type="colorScale" priority="4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38:J861">
    <cfRule type="colorScale" priority="4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62:J875">
    <cfRule type="colorScale" priority="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76:J877">
    <cfRule type="colorScale" priority="3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78:J879">
    <cfRule type="colorScale" priority="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880:J903">
    <cfRule type="colorScale" priority="3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04:J917">
    <cfRule type="colorScale" priority="3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918:J919">
    <cfRule type="colorScale" priority="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20:J943">
    <cfRule type="colorScale" priority="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44:J955">
    <cfRule type="colorScale" priority="3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56:J957">
    <cfRule type="colorScale" priority="3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58:J981">
    <cfRule type="colorScale" priority="3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82:J995">
    <cfRule type="colorScale" priority="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96:J997">
    <cfRule type="colorScale" priority="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98:J1021">
    <cfRule type="colorScale" priority="3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22:J1033">
    <cfRule type="colorScale" priority="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34:J1035">
    <cfRule type="colorScale" priority="2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36:J1059">
    <cfRule type="colorScale" priority="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060:J1073">
    <cfRule type="colorScale" priority="2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74:J1075">
    <cfRule type="colorScale" priority="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76:J1099">
    <cfRule type="colorScale" priority="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00:J1111">
    <cfRule type="colorScale" priority="2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12:J1113">
    <cfRule type="colorScale" priority="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14:J1137">
    <cfRule type="colorScale" priority="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38:J1151">
    <cfRule type="colorScale" priority="2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52:J1153">
    <cfRule type="colorScale" priority="2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54:J1177">
    <cfRule type="colorScale" priority="2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78:J1189">
    <cfRule type="colorScale" priority="2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90:J1191">
    <cfRule type="colorScale" priority="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92:J1215">
    <cfRule type="colorScale" priority="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16:J1229">
    <cfRule type="colorScale" priority="1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30:J1231">
    <cfRule type="colorScale" priority="1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32:J1255">
    <cfRule type="colorScale" priority="1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56:J1267">
    <cfRule type="colorScale" priority="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68:J1269">
    <cfRule type="colorScale" priority="1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270:J1293">
    <cfRule type="colorScale" priority="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94:J1307">
    <cfRule type="colorScale" priority="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08:J1309">
    <cfRule type="colorScale" priority="1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10:J1311">
    <cfRule type="colorScale" priority="1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12:J1335">
    <cfRule type="colorScale" priority="1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336:J1349">
    <cfRule type="colorScale" priority="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50:J1351">
    <cfRule type="colorScale" priority="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52:J1375">
    <cfRule type="colorScale" priority="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76:J1387">
    <cfRule type="colorScale" priority="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88:J1389">
    <cfRule type="colorScale" priority="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390:J1413">
    <cfRule type="colorScale" priority="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14:J1427">
    <cfRule type="colorScale" priority="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28:J1429">
    <cfRule type="colorScale" priority="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30:J1453">
    <cfRule type="colorScale" priority="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54:J1465">
    <cfRule type="colorScale" priority="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66:J1467">
    <cfRule type="colorScale" priority="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68:J1491">
    <cfRule type="colorScale" priority="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92:J1500">
    <cfRule type="colorScale" priority="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501:J2173">
    <cfRule type="expression" dxfId="549" priority="946">
      <formula>$K$11="净利润率"</formula>
    </cfRule>
  </conditionalFormatting>
  <conditionalFormatting sqref="J2:K3">
    <cfRule type="expression" dxfId="548" priority="5647">
      <formula>$J$11="营业利润率"</formula>
    </cfRule>
  </conditionalFormatting>
  <conditionalFormatting sqref="J2:K5">
    <cfRule type="expression" dxfId="547" priority="5625">
      <formula>$I$9="毛利率"</formula>
    </cfRule>
  </conditionalFormatting>
  <conditionalFormatting sqref="J4:K7">
    <cfRule type="expression" dxfId="546" priority="5657">
      <formula>$L$11="所得税"</formula>
    </cfRule>
    <cfRule type="expression" dxfId="545" priority="5658">
      <formula>$L$11="ROA"</formula>
    </cfRule>
  </conditionalFormatting>
  <conditionalFormatting sqref="J4:L7">
    <cfRule type="expression" dxfId="544" priority="5653">
      <formula>$M$11="ROE"</formula>
    </cfRule>
  </conditionalFormatting>
  <conditionalFormatting sqref="J11:L11">
    <cfRule type="expression" dxfId="543" priority="5652">
      <formula>$K$11="净利润率"</formula>
    </cfRule>
  </conditionalFormatting>
  <conditionalFormatting sqref="K16:K2173">
    <cfRule type="expression" dxfId="542" priority="939">
      <formula>$K$11="净利润率"</formula>
    </cfRule>
  </conditionalFormatting>
  <conditionalFormatting sqref="L2:L3">
    <cfRule type="expression" dxfId="541" priority="5649">
      <formula>$L$11="所得税"</formula>
    </cfRule>
    <cfRule type="expression" dxfId="540" priority="5650">
      <formula>$L$11="ROA"</formula>
    </cfRule>
  </conditionalFormatting>
  <conditionalFormatting sqref="L2:L5">
    <cfRule type="expression" dxfId="539" priority="5631">
      <formula>$J$9="营业利润率"</formula>
    </cfRule>
  </conditionalFormatting>
  <conditionalFormatting sqref="L8 L11">
    <cfRule type="expression" dxfId="538" priority="5746">
      <formula>$L$11="ROA"</formula>
    </cfRule>
    <cfRule type="expression" dxfId="537" priority="5745">
      <formula>$L$11="所得税"</formula>
    </cfRule>
  </conditionalFormatting>
  <conditionalFormatting sqref="L13:L1048576">
    <cfRule type="expression" dxfId="536" priority="961">
      <formula>$L$11="所得税"</formula>
    </cfRule>
    <cfRule type="expression" dxfId="535" priority="962">
      <formula>$L$11="ROA"</formula>
    </cfRule>
  </conditionalFormatting>
  <conditionalFormatting sqref="M2">
    <cfRule type="colorScale" priority="56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:M3">
    <cfRule type="expression" dxfId="534" priority="5645">
      <formula>$M$11="ROE"</formula>
    </cfRule>
    <cfRule type="expression" dxfId="533" priority="5646">
      <formula>$I$11="毛利率"</formula>
    </cfRule>
  </conditionalFormatting>
  <conditionalFormatting sqref="M2:M5">
    <cfRule type="expression" dxfId="532" priority="5630">
      <formula>$K$9="净利润率"</formula>
    </cfRule>
  </conditionalFormatting>
  <conditionalFormatting sqref="M3:M9 M11:M15 M2174:M1048576">
    <cfRule type="colorScale" priority="57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:M7 O8">
    <cfRule type="expression" dxfId="531" priority="5724">
      <formula>$O$11="BPS"</formula>
    </cfRule>
  </conditionalFormatting>
  <conditionalFormatting sqref="M4:M7">
    <cfRule type="expression" dxfId="530" priority="5690">
      <formula>$O$11="BPS"</formula>
    </cfRule>
  </conditionalFormatting>
  <conditionalFormatting sqref="M5:M7">
    <cfRule type="expression" dxfId="529" priority="5693">
      <formula>$K$11="净利润率"</formula>
    </cfRule>
  </conditionalFormatting>
  <conditionalFormatting sqref="M10 I10">
    <cfRule type="colorScale" priority="56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M10">
    <cfRule type="colorScale" priority="5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:M1048576">
    <cfRule type="expression" dxfId="528" priority="944">
      <formula>$M$11="ROE"</formula>
    </cfRule>
  </conditionalFormatting>
  <conditionalFormatting sqref="M14:M15">
    <cfRule type="colorScale" priority="5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:M39">
    <cfRule type="colorScale" priority="56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:M53">
    <cfRule type="colorScale" priority="55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4:M55">
    <cfRule type="colorScale" priority="55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:M79">
    <cfRule type="colorScale" priority="55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0:M91">
    <cfRule type="colorScale" priority="55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2:M93">
    <cfRule type="colorScale" priority="54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4:M117">
    <cfRule type="colorScale" priority="54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8:M131">
    <cfRule type="colorScale" priority="54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2:M133">
    <cfRule type="colorScale" priority="54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4:M157">
    <cfRule type="colorScale" priority="53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:M169">
    <cfRule type="colorScale" priority="53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:M171">
    <cfRule type="colorScale" priority="53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2:M195">
    <cfRule type="colorScale" priority="53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6:M209">
    <cfRule type="colorScale" priority="52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0:M211">
    <cfRule type="colorScale" priority="52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2:M235">
    <cfRule type="colorScale" priority="52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36:M247">
    <cfRule type="colorScale" priority="52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48:M249">
    <cfRule type="colorScale" priority="51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50:M273">
    <cfRule type="colorScale" priority="51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74:M287">
    <cfRule type="colorScale" priority="51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88:M289">
    <cfRule type="colorScale" priority="51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90:M313">
    <cfRule type="colorScale" priority="51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14:M325">
    <cfRule type="colorScale" priority="50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26:M327">
    <cfRule type="colorScale" priority="50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28:M351">
    <cfRule type="colorScale" priority="50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52:M365">
    <cfRule type="colorScale" priority="49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66:M367">
    <cfRule type="colorScale" priority="49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68:M391">
    <cfRule type="colorScale" priority="49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92:M403">
    <cfRule type="colorScale" priority="49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4:M405">
    <cfRule type="colorScale" priority="49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6:M429">
    <cfRule type="colorScale" priority="48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30:M443">
    <cfRule type="colorScale" priority="48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4:M445">
    <cfRule type="colorScale" priority="48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6:M447">
    <cfRule type="colorScale" priority="41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8:M471">
    <cfRule type="colorScale" priority="41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72:M485">
    <cfRule type="colorScale" priority="41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86:M487">
    <cfRule type="colorScale" priority="41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88:M511">
    <cfRule type="colorScale" priority="40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12:M523">
    <cfRule type="colorScale" priority="40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24:M525">
    <cfRule type="colorScale" priority="40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26:M549">
    <cfRule type="colorScale" priority="40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50:M563">
    <cfRule type="colorScale" priority="39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4:M565">
    <cfRule type="colorScale" priority="39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6:M589">
    <cfRule type="colorScale" priority="39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90:M601">
    <cfRule type="colorScale" priority="39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02:M603">
    <cfRule type="colorScale" priority="39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04:M627">
    <cfRule type="colorScale" priority="38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28:M641">
    <cfRule type="colorScale" priority="38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42:M643">
    <cfRule type="colorScale" priority="38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44:M667">
    <cfRule type="colorScale" priority="37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68:M679">
    <cfRule type="colorScale" priority="37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80:M681">
    <cfRule type="colorScale" priority="37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82:M705">
    <cfRule type="colorScale" priority="37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06:M719">
    <cfRule type="colorScale" priority="37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20:M721">
    <cfRule type="colorScale" priority="36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22:M745">
    <cfRule type="colorScale" priority="36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46:M757">
    <cfRule type="colorScale" priority="36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58:M759">
    <cfRule type="colorScale" priority="36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60:M783">
    <cfRule type="colorScale" priority="35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84:M797">
    <cfRule type="colorScale" priority="35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98:M799">
    <cfRule type="colorScale" priority="35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00:M823">
    <cfRule type="colorScale" priority="35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24:M835">
    <cfRule type="colorScale" priority="34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36:M837">
    <cfRule type="colorScale" priority="34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38:M861">
    <cfRule type="colorScale" priority="34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62:M875">
    <cfRule type="colorScale" priority="34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76:M877">
    <cfRule type="colorScale" priority="33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78:M879">
    <cfRule type="colorScale" priority="33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80:M903">
    <cfRule type="colorScale" priority="33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04:M917">
    <cfRule type="colorScale" priority="33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18:M919">
    <cfRule type="colorScale" priority="32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20:M943">
    <cfRule type="colorScale" priority="32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44:M955">
    <cfRule type="colorScale" priority="32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56:M957">
    <cfRule type="colorScale" priority="32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58:M981">
    <cfRule type="colorScale" priority="31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82:M995">
    <cfRule type="colorScale" priority="31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96:M997">
    <cfRule type="colorScale" priority="31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98:M1021">
    <cfRule type="colorScale" priority="31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22:M1033">
    <cfRule type="colorScale" priority="31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34:M1035">
    <cfRule type="colorScale" priority="30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36:M1059">
    <cfRule type="colorScale" priority="30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60:M1073">
    <cfRule type="colorScale" priority="30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74:M1075">
    <cfRule type="colorScale" priority="30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76:M1099">
    <cfRule type="colorScale" priority="29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00:M1111">
    <cfRule type="colorScale" priority="29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12:M1113">
    <cfRule type="colorScale" priority="29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14:M1137">
    <cfRule type="colorScale" priority="29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38:M1151">
    <cfRule type="colorScale" priority="28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52:M1153">
    <cfRule type="colorScale" priority="28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54:M1177">
    <cfRule type="colorScale" priority="28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78:M1189">
    <cfRule type="colorScale" priority="28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90:M1191">
    <cfRule type="colorScale" priority="27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92:M1215">
    <cfRule type="colorScale" priority="27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16:M1229">
    <cfRule type="colorScale" priority="27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30:M1231">
    <cfRule type="colorScale" priority="27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32:M1255">
    <cfRule type="colorScale" priority="27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56:M1267">
    <cfRule type="colorScale" priority="26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68:M1269">
    <cfRule type="colorScale" priority="26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70:M1293">
    <cfRule type="colorScale" priority="26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94:M1307">
    <cfRule type="colorScale" priority="25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08:M1309">
    <cfRule type="colorScale" priority="25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10:M1311">
    <cfRule type="colorScale" priority="25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12:M1335">
    <cfRule type="colorScale" priority="25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36:M1349">
    <cfRule type="colorScale" priority="25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50:M1351">
    <cfRule type="colorScale" priority="24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52:M1375">
    <cfRule type="colorScale" priority="24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76:M1387">
    <cfRule type="colorScale" priority="24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88:M1389">
    <cfRule type="colorScale" priority="24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90:M1413">
    <cfRule type="colorScale" priority="23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14:M1427">
    <cfRule type="colorScale" priority="23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28:M1429">
    <cfRule type="colorScale" priority="23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30:M1453">
    <cfRule type="colorScale" priority="23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54:M1465">
    <cfRule type="colorScale" priority="22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66:M1467">
    <cfRule type="colorScale" priority="22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68:M1491">
    <cfRule type="colorScale" priority="22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92:M1505">
    <cfRule type="colorScale" priority="22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06:M1507">
    <cfRule type="colorScale" priority="21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08:M1531">
    <cfRule type="colorScale" priority="21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32:M1543">
    <cfRule type="colorScale" priority="21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44:M1545">
    <cfRule type="colorScale" priority="21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46:M1569">
    <cfRule type="colorScale" priority="20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70:M1583">
    <cfRule type="colorScale" priority="20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4:M1585">
    <cfRule type="colorScale" priority="20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6:M1609">
    <cfRule type="colorScale" priority="20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10:M1621">
    <cfRule type="colorScale" priority="19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22:M1623">
    <cfRule type="colorScale" priority="19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24:M1647">
    <cfRule type="colorScale" priority="19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48:M1661">
    <cfRule type="colorScale" priority="19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62:M1663">
    <cfRule type="colorScale" priority="19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64:M1687">
    <cfRule type="colorScale" priority="18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88:M1699">
    <cfRule type="colorScale" priority="18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0:M1701">
    <cfRule type="colorScale" priority="18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2:M1725">
    <cfRule type="colorScale" priority="18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26:M1739">
    <cfRule type="colorScale" priority="17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0:M1741">
    <cfRule type="colorScale" priority="17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2:M1743">
    <cfRule type="colorScale" priority="17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4:M1767">
    <cfRule type="colorScale" priority="17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68:M1781">
    <cfRule type="colorScale" priority="16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82:M1783">
    <cfRule type="colorScale" priority="16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84:M1807">
    <cfRule type="colorScale" priority="16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08:M1819">
    <cfRule type="colorScale" priority="16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20:M1821">
    <cfRule type="colorScale" priority="15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22:M1845">
    <cfRule type="colorScale" priority="15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46:M1859">
    <cfRule type="colorScale" priority="15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60:M1861">
    <cfRule type="colorScale" priority="15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62:M1885">
    <cfRule type="colorScale" priority="15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86:M1897">
    <cfRule type="colorScale" priority="14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98:M1899">
    <cfRule type="colorScale" priority="14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00:M1923">
    <cfRule type="colorScale" priority="14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24:M1937">
    <cfRule type="colorScale" priority="14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38:M1939">
    <cfRule type="colorScale" priority="13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40:M1963">
    <cfRule type="colorScale" priority="13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64:M1975">
    <cfRule type="colorScale" priority="13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76:M1977">
    <cfRule type="colorScale" priority="13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78:M2001">
    <cfRule type="colorScale" priority="12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02:M2015">
    <cfRule type="colorScale" priority="12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16:M2017">
    <cfRule type="colorScale" priority="12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18:M2041">
    <cfRule type="colorScale" priority="12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42:M2053">
    <cfRule type="colorScale" priority="11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54:M2055">
    <cfRule type="colorScale" priority="11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56:M2079">
    <cfRule type="colorScale" priority="11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80:M2093">
    <cfRule type="colorScale" priority="11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94:M2095">
    <cfRule type="colorScale" priority="10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96:M2119">
    <cfRule type="colorScale" priority="10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20:M2131">
    <cfRule type="colorScale" priority="10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32:M2133">
    <cfRule type="colorScale" priority="10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34:M2157">
    <cfRule type="colorScale" priority="9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58:M2171">
    <cfRule type="colorScale" priority="9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72:M2173">
    <cfRule type="colorScale" priority="9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N2:N3">
    <cfRule type="expression" dxfId="527" priority="5648">
      <formula>$K$11="净利润率"</formula>
    </cfRule>
    <cfRule type="expression" dxfId="526" priority="5644">
      <formula>$N$11="EPS"</formula>
    </cfRule>
  </conditionalFormatting>
  <conditionalFormatting sqref="N2:N5">
    <cfRule type="expression" dxfId="525" priority="5628">
      <formula>$L$9="所得税"</formula>
    </cfRule>
    <cfRule type="expression" dxfId="524" priority="5629">
      <formula>$L$9="ROA"</formula>
    </cfRule>
  </conditionalFormatting>
  <conditionalFormatting sqref="N4:N7 P8">
    <cfRule type="expression" dxfId="523" priority="5727">
      <formula>$P$11="CFPS"</formula>
    </cfRule>
  </conditionalFormatting>
  <conditionalFormatting sqref="N4:N7">
    <cfRule type="expression" dxfId="522" priority="5683">
      <formula>$M$11="ROE"</formula>
    </cfRule>
    <cfRule type="expression" dxfId="521" priority="5685">
      <formula>$L$11="所得税"</formula>
    </cfRule>
    <cfRule type="expression" dxfId="520" priority="5686">
      <formula>$L$11="ROA"</formula>
    </cfRule>
  </conditionalFormatting>
  <conditionalFormatting sqref="N8 N13:N15 I5:I7 J2:L3 J8:L8 J13:L13">
    <cfRule type="expression" dxfId="519" priority="5742">
      <formula>$K$11="净利润率"</formula>
    </cfRule>
  </conditionalFormatting>
  <conditionalFormatting sqref="N8 N11:O11 N13:N15 N2:N3 H4:H7 G7 J8:K8 J11:K11 R11 T11 J13:K13">
    <cfRule type="expression" dxfId="518" priority="5739">
      <formula>$J$11="营业利润率"</formula>
    </cfRule>
  </conditionalFormatting>
  <conditionalFormatting sqref="N11">
    <cfRule type="expression" dxfId="517" priority="5682">
      <formula>$K$11="净利润率"</formula>
    </cfRule>
  </conditionalFormatting>
  <conditionalFormatting sqref="N11:N15 L4:L7 N8">
    <cfRule type="expression" dxfId="516" priority="5730">
      <formula>$N$11="EPS"</formula>
    </cfRule>
  </conditionalFormatting>
  <conditionalFormatting sqref="N14:N39">
    <cfRule type="expression" dxfId="515" priority="5616">
      <formula>$K$11="净利润率"</formula>
    </cfRule>
  </conditionalFormatting>
  <conditionalFormatting sqref="N16:N39">
    <cfRule type="expression" dxfId="514" priority="5612">
      <formula>$N$11="EPS"</formula>
    </cfRule>
    <cfRule type="expression" dxfId="513" priority="5615">
      <formula>$J$11="营业利润率"</formula>
    </cfRule>
  </conditionalFormatting>
  <conditionalFormatting sqref="N16:N53">
    <cfRule type="expression" dxfId="512" priority="5592">
      <formula>$K$11="净利润率"</formula>
    </cfRule>
  </conditionalFormatting>
  <conditionalFormatting sqref="N40:N53">
    <cfRule type="expression" dxfId="511" priority="5588">
      <formula>$N$11="EPS"</formula>
    </cfRule>
    <cfRule type="expression" dxfId="510" priority="5591">
      <formula>$J$11="营业利润率"</formula>
    </cfRule>
  </conditionalFormatting>
  <conditionalFormatting sqref="N40:N55">
    <cfRule type="expression" dxfId="509" priority="5568">
      <formula>$K$11="净利润率"</formula>
    </cfRule>
  </conditionalFormatting>
  <conditionalFormatting sqref="N54:N55">
    <cfRule type="expression" dxfId="508" priority="5567">
      <formula>$J$11="营业利润率"</formula>
    </cfRule>
    <cfRule type="expression" dxfId="507" priority="5564">
      <formula>$N$11="EPS"</formula>
    </cfRule>
  </conditionalFormatting>
  <conditionalFormatting sqref="N54:N79">
    <cfRule type="expression" dxfId="506" priority="5544">
      <formula>$K$11="净利润率"</formula>
    </cfRule>
  </conditionalFormatting>
  <conditionalFormatting sqref="N56:N79">
    <cfRule type="expression" dxfId="505" priority="5543">
      <formula>$J$11="营业利润率"</formula>
    </cfRule>
    <cfRule type="expression" dxfId="504" priority="5540">
      <formula>$N$11="EPS"</formula>
    </cfRule>
  </conditionalFormatting>
  <conditionalFormatting sqref="N56:N91">
    <cfRule type="expression" dxfId="503" priority="5520">
      <formula>$K$11="净利润率"</formula>
    </cfRule>
  </conditionalFormatting>
  <conditionalFormatting sqref="N80:N91">
    <cfRule type="expression" dxfId="502" priority="5519">
      <formula>$J$11="营业利润率"</formula>
    </cfRule>
    <cfRule type="expression" dxfId="501" priority="5516">
      <formula>$N$11="EPS"</formula>
    </cfRule>
  </conditionalFormatting>
  <conditionalFormatting sqref="N80:N93">
    <cfRule type="expression" dxfId="500" priority="5496">
      <formula>$K$11="净利润率"</formula>
    </cfRule>
  </conditionalFormatting>
  <conditionalFormatting sqref="N92:N93">
    <cfRule type="expression" dxfId="499" priority="5492">
      <formula>$N$11="EPS"</formula>
    </cfRule>
    <cfRule type="expression" dxfId="498" priority="5495">
      <formula>$J$11="营业利润率"</formula>
    </cfRule>
  </conditionalFormatting>
  <conditionalFormatting sqref="N92:N117">
    <cfRule type="expression" dxfId="497" priority="5472">
      <formula>$K$11="净利润率"</formula>
    </cfRule>
  </conditionalFormatting>
  <conditionalFormatting sqref="N94:N117">
    <cfRule type="expression" dxfId="496" priority="5468">
      <formula>$N$11="EPS"</formula>
    </cfRule>
    <cfRule type="expression" dxfId="495" priority="5471">
      <formula>$J$11="营业利润率"</formula>
    </cfRule>
  </conditionalFormatting>
  <conditionalFormatting sqref="N94:N131">
    <cfRule type="expression" dxfId="494" priority="5448">
      <formula>$K$11="净利润率"</formula>
    </cfRule>
  </conditionalFormatting>
  <conditionalFormatting sqref="N118:N131">
    <cfRule type="expression" dxfId="493" priority="5447">
      <formula>$J$11="营业利润率"</formula>
    </cfRule>
    <cfRule type="expression" dxfId="492" priority="5444">
      <formula>$N$11="EPS"</formula>
    </cfRule>
  </conditionalFormatting>
  <conditionalFormatting sqref="N118:N133">
    <cfRule type="expression" dxfId="491" priority="5424">
      <formula>$K$11="净利润率"</formula>
    </cfRule>
  </conditionalFormatting>
  <conditionalFormatting sqref="N132:N133">
    <cfRule type="expression" dxfId="490" priority="5423">
      <formula>$J$11="营业利润率"</formula>
    </cfRule>
    <cfRule type="expression" dxfId="489" priority="5420">
      <formula>$N$11="EPS"</formula>
    </cfRule>
  </conditionalFormatting>
  <conditionalFormatting sqref="N132:N157">
    <cfRule type="expression" dxfId="488" priority="5400">
      <formula>$K$11="净利润率"</formula>
    </cfRule>
  </conditionalFormatting>
  <conditionalFormatting sqref="N134:N157">
    <cfRule type="expression" dxfId="487" priority="5399">
      <formula>$J$11="营业利润率"</formula>
    </cfRule>
    <cfRule type="expression" dxfId="486" priority="5396">
      <formula>$N$11="EPS"</formula>
    </cfRule>
  </conditionalFormatting>
  <conditionalFormatting sqref="N134:N169">
    <cfRule type="expression" dxfId="485" priority="5376">
      <formula>$K$11="净利润率"</formula>
    </cfRule>
  </conditionalFormatting>
  <conditionalFormatting sqref="N158:N169">
    <cfRule type="expression" dxfId="484" priority="5375">
      <formula>$J$11="营业利润率"</formula>
    </cfRule>
    <cfRule type="expression" dxfId="483" priority="5372">
      <formula>$N$11="EPS"</formula>
    </cfRule>
  </conditionalFormatting>
  <conditionalFormatting sqref="N158:N171">
    <cfRule type="expression" dxfId="482" priority="5352">
      <formula>$K$11="净利润率"</formula>
    </cfRule>
  </conditionalFormatting>
  <conditionalFormatting sqref="N170:N171">
    <cfRule type="expression" dxfId="481" priority="5348">
      <formula>$N$11="EPS"</formula>
    </cfRule>
    <cfRule type="expression" dxfId="480" priority="5351">
      <formula>$J$11="营业利润率"</formula>
    </cfRule>
  </conditionalFormatting>
  <conditionalFormatting sqref="N170:N195">
    <cfRule type="expression" dxfId="479" priority="5328">
      <formula>$K$11="净利润率"</formula>
    </cfRule>
  </conditionalFormatting>
  <conditionalFormatting sqref="N172:N195">
    <cfRule type="expression" dxfId="478" priority="5327">
      <formula>$J$11="营业利润率"</formula>
    </cfRule>
    <cfRule type="expression" dxfId="477" priority="5324">
      <formula>$N$11="EPS"</formula>
    </cfRule>
  </conditionalFormatting>
  <conditionalFormatting sqref="N172:N209">
    <cfRule type="expression" dxfId="476" priority="5304">
      <formula>$K$11="净利润率"</formula>
    </cfRule>
  </conditionalFormatting>
  <conditionalFormatting sqref="N196:N209">
    <cfRule type="expression" dxfId="475" priority="5303">
      <formula>$J$11="营业利润率"</formula>
    </cfRule>
    <cfRule type="expression" dxfId="474" priority="5300">
      <formula>$N$11="EPS"</formula>
    </cfRule>
  </conditionalFormatting>
  <conditionalFormatting sqref="N196:N211">
    <cfRule type="expression" dxfId="473" priority="5280">
      <formula>$K$11="净利润率"</formula>
    </cfRule>
  </conditionalFormatting>
  <conditionalFormatting sqref="N210:N211">
    <cfRule type="expression" dxfId="472" priority="5279">
      <formula>$J$11="营业利润率"</formula>
    </cfRule>
    <cfRule type="expression" dxfId="471" priority="5276">
      <formula>$N$11="EPS"</formula>
    </cfRule>
  </conditionalFormatting>
  <conditionalFormatting sqref="N210:N235">
    <cfRule type="expression" dxfId="470" priority="5256">
      <formula>$K$11="净利润率"</formula>
    </cfRule>
  </conditionalFormatting>
  <conditionalFormatting sqref="N212:N235">
    <cfRule type="expression" dxfId="469" priority="5252">
      <formula>$N$11="EPS"</formula>
    </cfRule>
    <cfRule type="expression" dxfId="468" priority="5255">
      <formula>$J$11="营业利润率"</formula>
    </cfRule>
  </conditionalFormatting>
  <conditionalFormatting sqref="N212:N247">
    <cfRule type="expression" dxfId="467" priority="5232">
      <formula>$K$11="净利润率"</formula>
    </cfRule>
  </conditionalFormatting>
  <conditionalFormatting sqref="N236:N247">
    <cfRule type="expression" dxfId="466" priority="5231">
      <formula>$J$11="营业利润率"</formula>
    </cfRule>
    <cfRule type="expression" dxfId="465" priority="5228">
      <formula>$N$11="EPS"</formula>
    </cfRule>
  </conditionalFormatting>
  <conditionalFormatting sqref="N236:N249">
    <cfRule type="expression" dxfId="464" priority="5208">
      <formula>$K$11="净利润率"</formula>
    </cfRule>
  </conditionalFormatting>
  <conditionalFormatting sqref="N248:N249">
    <cfRule type="expression" dxfId="463" priority="5207">
      <formula>$J$11="营业利润率"</formula>
    </cfRule>
    <cfRule type="expression" dxfId="462" priority="5204">
      <formula>$N$11="EPS"</formula>
    </cfRule>
  </conditionalFormatting>
  <conditionalFormatting sqref="N248:N273">
    <cfRule type="expression" dxfId="461" priority="5184">
      <formula>$K$11="净利润率"</formula>
    </cfRule>
  </conditionalFormatting>
  <conditionalFormatting sqref="N250:N273">
    <cfRule type="expression" dxfId="460" priority="5180">
      <formula>$N$11="EPS"</formula>
    </cfRule>
    <cfRule type="expression" dxfId="459" priority="5183">
      <formula>$J$11="营业利润率"</formula>
    </cfRule>
  </conditionalFormatting>
  <conditionalFormatting sqref="N250:N287">
    <cfRule type="expression" dxfId="458" priority="5160">
      <formula>$K$11="净利润率"</formula>
    </cfRule>
  </conditionalFormatting>
  <conditionalFormatting sqref="N274:N287">
    <cfRule type="expression" dxfId="457" priority="5156">
      <formula>$N$11="EPS"</formula>
    </cfRule>
    <cfRule type="expression" dxfId="456" priority="5159">
      <formula>$J$11="营业利润率"</formula>
    </cfRule>
  </conditionalFormatting>
  <conditionalFormatting sqref="N274:N289">
    <cfRule type="expression" dxfId="455" priority="5136">
      <formula>$K$11="净利润率"</formula>
    </cfRule>
  </conditionalFormatting>
  <conditionalFormatting sqref="N288:N289">
    <cfRule type="expression" dxfId="454" priority="5132">
      <formula>$N$11="EPS"</formula>
    </cfRule>
    <cfRule type="expression" dxfId="453" priority="5135">
      <formula>$J$11="营业利润率"</formula>
    </cfRule>
  </conditionalFormatting>
  <conditionalFormatting sqref="N288:N313">
    <cfRule type="expression" dxfId="452" priority="5112">
      <formula>$K$11="净利润率"</formula>
    </cfRule>
  </conditionalFormatting>
  <conditionalFormatting sqref="N290:N313">
    <cfRule type="expression" dxfId="451" priority="5108">
      <formula>$N$11="EPS"</formula>
    </cfRule>
    <cfRule type="expression" dxfId="450" priority="5111">
      <formula>$J$11="营业利润率"</formula>
    </cfRule>
  </conditionalFormatting>
  <conditionalFormatting sqref="N290:N325">
    <cfRule type="expression" dxfId="449" priority="5088">
      <formula>$K$11="净利润率"</formula>
    </cfRule>
  </conditionalFormatting>
  <conditionalFormatting sqref="N314:N325">
    <cfRule type="expression" dxfId="448" priority="5087">
      <formula>$J$11="营业利润率"</formula>
    </cfRule>
    <cfRule type="expression" dxfId="447" priority="5084">
      <formula>$N$11="EPS"</formula>
    </cfRule>
  </conditionalFormatting>
  <conditionalFormatting sqref="N314:N327">
    <cfRule type="expression" dxfId="446" priority="5064">
      <formula>$K$11="净利润率"</formula>
    </cfRule>
  </conditionalFormatting>
  <conditionalFormatting sqref="N326:N327">
    <cfRule type="expression" dxfId="445" priority="5060">
      <formula>$N$11="EPS"</formula>
    </cfRule>
    <cfRule type="expression" dxfId="444" priority="5063">
      <formula>$J$11="营业利润率"</formula>
    </cfRule>
  </conditionalFormatting>
  <conditionalFormatting sqref="N326:N351">
    <cfRule type="expression" dxfId="443" priority="5040">
      <formula>$K$11="净利润率"</formula>
    </cfRule>
  </conditionalFormatting>
  <conditionalFormatting sqref="N328:N351">
    <cfRule type="expression" dxfId="442" priority="5036">
      <formula>$N$11="EPS"</formula>
    </cfRule>
    <cfRule type="expression" dxfId="441" priority="5039">
      <formula>$J$11="营业利润率"</formula>
    </cfRule>
  </conditionalFormatting>
  <conditionalFormatting sqref="N328:N365">
    <cfRule type="expression" dxfId="440" priority="5016">
      <formula>$K$11="净利润率"</formula>
    </cfRule>
  </conditionalFormatting>
  <conditionalFormatting sqref="N352:N365">
    <cfRule type="expression" dxfId="439" priority="5015">
      <formula>$J$11="营业利润率"</formula>
    </cfRule>
    <cfRule type="expression" dxfId="438" priority="5012">
      <formula>$N$11="EPS"</formula>
    </cfRule>
  </conditionalFormatting>
  <conditionalFormatting sqref="N352:N367">
    <cfRule type="expression" dxfId="437" priority="4992">
      <formula>$K$11="净利润率"</formula>
    </cfRule>
  </conditionalFormatting>
  <conditionalFormatting sqref="N366:N367">
    <cfRule type="expression" dxfId="436" priority="4988">
      <formula>$N$11="EPS"</formula>
    </cfRule>
    <cfRule type="expression" dxfId="435" priority="4991">
      <formula>$J$11="营业利润率"</formula>
    </cfRule>
  </conditionalFormatting>
  <conditionalFormatting sqref="N366:N391">
    <cfRule type="expression" dxfId="434" priority="4968">
      <formula>$K$11="净利润率"</formula>
    </cfRule>
  </conditionalFormatting>
  <conditionalFormatting sqref="N368:N391">
    <cfRule type="expression" dxfId="433" priority="4967">
      <formula>$J$11="营业利润率"</formula>
    </cfRule>
    <cfRule type="expression" dxfId="432" priority="4964">
      <formula>$N$11="EPS"</formula>
    </cfRule>
  </conditionalFormatting>
  <conditionalFormatting sqref="N368:N403">
    <cfRule type="expression" dxfId="431" priority="4944">
      <formula>$K$11="净利润率"</formula>
    </cfRule>
  </conditionalFormatting>
  <conditionalFormatting sqref="N392:N403">
    <cfRule type="expression" dxfId="430" priority="4940">
      <formula>$N$11="EPS"</formula>
    </cfRule>
    <cfRule type="expression" dxfId="429" priority="4943">
      <formula>$J$11="营业利润率"</formula>
    </cfRule>
  </conditionalFormatting>
  <conditionalFormatting sqref="N392:N405">
    <cfRule type="expression" dxfId="428" priority="4920">
      <formula>$K$11="净利润率"</formula>
    </cfRule>
  </conditionalFormatting>
  <conditionalFormatting sqref="N404:N405">
    <cfRule type="expression" dxfId="427" priority="4919">
      <formula>$J$11="营业利润率"</formula>
    </cfRule>
    <cfRule type="expression" dxfId="426" priority="4916">
      <formula>$N$11="EPS"</formula>
    </cfRule>
  </conditionalFormatting>
  <conditionalFormatting sqref="N404:N429">
    <cfRule type="expression" dxfId="425" priority="4896">
      <formula>$K$11="净利润率"</formula>
    </cfRule>
  </conditionalFormatting>
  <conditionalFormatting sqref="N406:N429">
    <cfRule type="expression" dxfId="424" priority="4892">
      <formula>$N$11="EPS"</formula>
    </cfRule>
    <cfRule type="expression" dxfId="423" priority="4895">
      <formula>$J$11="营业利润率"</formula>
    </cfRule>
  </conditionalFormatting>
  <conditionalFormatting sqref="N406:N443">
    <cfRule type="expression" dxfId="422" priority="4872">
      <formula>$K$11="净利润率"</formula>
    </cfRule>
  </conditionalFormatting>
  <conditionalFormatting sqref="N430:N443">
    <cfRule type="expression" dxfId="421" priority="4868">
      <formula>$N$11="EPS"</formula>
    </cfRule>
    <cfRule type="expression" dxfId="420" priority="4871">
      <formula>$J$11="营业利润率"</formula>
    </cfRule>
  </conditionalFormatting>
  <conditionalFormatting sqref="N430:N445">
    <cfRule type="expression" dxfId="419" priority="4848">
      <formula>$K$11="净利润率"</formula>
    </cfRule>
  </conditionalFormatting>
  <conditionalFormatting sqref="N444:N445">
    <cfRule type="expression" dxfId="418" priority="4847">
      <formula>$J$11="营业利润率"</formula>
    </cfRule>
    <cfRule type="expression" dxfId="417" priority="4844">
      <formula>$N$11="EPS"</formula>
    </cfRule>
  </conditionalFormatting>
  <conditionalFormatting sqref="N444:N447">
    <cfRule type="expression" dxfId="416" priority="4200">
      <formula>$K$11="净利润率"</formula>
    </cfRule>
  </conditionalFormatting>
  <conditionalFormatting sqref="N446:N447">
    <cfRule type="expression" dxfId="415" priority="4196">
      <formula>$N$11="EPS"</formula>
    </cfRule>
    <cfRule type="expression" dxfId="414" priority="4199">
      <formula>$J$11="营业利润率"</formula>
    </cfRule>
  </conditionalFormatting>
  <conditionalFormatting sqref="N446:N471">
    <cfRule type="expression" dxfId="413" priority="4176">
      <formula>$K$11="净利润率"</formula>
    </cfRule>
  </conditionalFormatting>
  <conditionalFormatting sqref="N448:N471">
    <cfRule type="expression" dxfId="412" priority="4172">
      <formula>$N$11="EPS"</formula>
    </cfRule>
    <cfRule type="expression" dxfId="411" priority="4175">
      <formula>$J$11="营业利润率"</formula>
    </cfRule>
  </conditionalFormatting>
  <conditionalFormatting sqref="N448:N485">
    <cfRule type="expression" dxfId="410" priority="4152">
      <formula>$K$11="净利润率"</formula>
    </cfRule>
  </conditionalFormatting>
  <conditionalFormatting sqref="N472:N485">
    <cfRule type="expression" dxfId="409" priority="4151">
      <formula>$J$11="营业利润率"</formula>
    </cfRule>
    <cfRule type="expression" dxfId="408" priority="4148">
      <formula>$N$11="EPS"</formula>
    </cfRule>
  </conditionalFormatting>
  <conditionalFormatting sqref="N472:N487">
    <cfRule type="expression" dxfId="407" priority="4128">
      <formula>$K$11="净利润率"</formula>
    </cfRule>
  </conditionalFormatting>
  <conditionalFormatting sqref="N486:N487">
    <cfRule type="expression" dxfId="406" priority="4124">
      <formula>$N$11="EPS"</formula>
    </cfRule>
    <cfRule type="expression" dxfId="405" priority="4127">
      <formula>$J$11="营业利润率"</formula>
    </cfRule>
  </conditionalFormatting>
  <conditionalFormatting sqref="N486:N511">
    <cfRule type="expression" dxfId="404" priority="4104">
      <formula>$K$11="净利润率"</formula>
    </cfRule>
  </conditionalFormatting>
  <conditionalFormatting sqref="N488:N511">
    <cfRule type="expression" dxfId="403" priority="4103">
      <formula>$J$11="营业利润率"</formula>
    </cfRule>
    <cfRule type="expression" dxfId="402" priority="4100">
      <formula>$N$11="EPS"</formula>
    </cfRule>
  </conditionalFormatting>
  <conditionalFormatting sqref="N488:N523">
    <cfRule type="expression" dxfId="401" priority="4080">
      <formula>$K$11="净利润率"</formula>
    </cfRule>
  </conditionalFormatting>
  <conditionalFormatting sqref="N512:N523">
    <cfRule type="expression" dxfId="400" priority="4076">
      <formula>$N$11="EPS"</formula>
    </cfRule>
    <cfRule type="expression" dxfId="399" priority="4079">
      <formula>$J$11="营业利润率"</formula>
    </cfRule>
  </conditionalFormatting>
  <conditionalFormatting sqref="N512:N525">
    <cfRule type="expression" dxfId="398" priority="4056">
      <formula>$K$11="净利润率"</formula>
    </cfRule>
  </conditionalFormatting>
  <conditionalFormatting sqref="N524:N525">
    <cfRule type="expression" dxfId="397" priority="4052">
      <formula>$N$11="EPS"</formula>
    </cfRule>
    <cfRule type="expression" dxfId="396" priority="4055">
      <formula>$J$11="营业利润率"</formula>
    </cfRule>
  </conditionalFormatting>
  <conditionalFormatting sqref="N524:N549">
    <cfRule type="expression" dxfId="395" priority="4032">
      <formula>$K$11="净利润率"</formula>
    </cfRule>
  </conditionalFormatting>
  <conditionalFormatting sqref="N526:N549">
    <cfRule type="expression" dxfId="394" priority="4031">
      <formula>$J$11="营业利润率"</formula>
    </cfRule>
    <cfRule type="expression" dxfId="393" priority="4028">
      <formula>$N$11="EPS"</formula>
    </cfRule>
  </conditionalFormatting>
  <conditionalFormatting sqref="N526:N563">
    <cfRule type="expression" dxfId="392" priority="4008">
      <formula>$K$11="净利润率"</formula>
    </cfRule>
  </conditionalFormatting>
  <conditionalFormatting sqref="N550:N563">
    <cfRule type="expression" dxfId="391" priority="4007">
      <formula>$J$11="营业利润率"</formula>
    </cfRule>
    <cfRule type="expression" dxfId="390" priority="4004">
      <formula>$N$11="EPS"</formula>
    </cfRule>
  </conditionalFormatting>
  <conditionalFormatting sqref="N550:N565">
    <cfRule type="expression" dxfId="389" priority="3984">
      <formula>$K$11="净利润率"</formula>
    </cfRule>
  </conditionalFormatting>
  <conditionalFormatting sqref="N564:N565">
    <cfRule type="expression" dxfId="388" priority="3983">
      <formula>$J$11="营业利润率"</formula>
    </cfRule>
    <cfRule type="expression" dxfId="387" priority="3980">
      <formula>$N$11="EPS"</formula>
    </cfRule>
  </conditionalFormatting>
  <conditionalFormatting sqref="N564:N589">
    <cfRule type="expression" dxfId="386" priority="3960">
      <formula>$K$11="净利润率"</formula>
    </cfRule>
  </conditionalFormatting>
  <conditionalFormatting sqref="N566:N589">
    <cfRule type="expression" dxfId="385" priority="3959">
      <formula>$J$11="营业利润率"</formula>
    </cfRule>
    <cfRule type="expression" dxfId="384" priority="3956">
      <formula>$N$11="EPS"</formula>
    </cfRule>
  </conditionalFormatting>
  <conditionalFormatting sqref="N566:N601">
    <cfRule type="expression" dxfId="383" priority="3936">
      <formula>$K$11="净利润率"</formula>
    </cfRule>
  </conditionalFormatting>
  <conditionalFormatting sqref="N590:N601">
    <cfRule type="expression" dxfId="382" priority="3932">
      <formula>$N$11="EPS"</formula>
    </cfRule>
    <cfRule type="expression" dxfId="381" priority="3935">
      <formula>$J$11="营业利润率"</formula>
    </cfRule>
  </conditionalFormatting>
  <conditionalFormatting sqref="N590:N603">
    <cfRule type="expression" dxfId="380" priority="3912">
      <formula>$K$11="净利润率"</formula>
    </cfRule>
  </conditionalFormatting>
  <conditionalFormatting sqref="N602:N603">
    <cfRule type="expression" dxfId="379" priority="3911">
      <formula>$J$11="营业利润率"</formula>
    </cfRule>
    <cfRule type="expression" dxfId="378" priority="3908">
      <formula>$N$11="EPS"</formula>
    </cfRule>
  </conditionalFormatting>
  <conditionalFormatting sqref="N602:N627">
    <cfRule type="expression" dxfId="377" priority="3888">
      <formula>$K$11="净利润率"</formula>
    </cfRule>
  </conditionalFormatting>
  <conditionalFormatting sqref="N604:N627">
    <cfRule type="expression" dxfId="376" priority="3887">
      <formula>$J$11="营业利润率"</formula>
    </cfRule>
    <cfRule type="expression" dxfId="375" priority="3884">
      <formula>$N$11="EPS"</formula>
    </cfRule>
  </conditionalFormatting>
  <conditionalFormatting sqref="N604:N641">
    <cfRule type="expression" dxfId="374" priority="3864">
      <formula>$K$11="净利润率"</formula>
    </cfRule>
  </conditionalFormatting>
  <conditionalFormatting sqref="N628:N641">
    <cfRule type="expression" dxfId="373" priority="3860">
      <formula>$N$11="EPS"</formula>
    </cfRule>
    <cfRule type="expression" dxfId="372" priority="3863">
      <formula>$J$11="营业利润率"</formula>
    </cfRule>
  </conditionalFormatting>
  <conditionalFormatting sqref="N628:N643">
    <cfRule type="expression" dxfId="371" priority="3840">
      <formula>$K$11="净利润率"</formula>
    </cfRule>
  </conditionalFormatting>
  <conditionalFormatting sqref="N642:N643">
    <cfRule type="expression" dxfId="370" priority="3839">
      <formula>$J$11="营业利润率"</formula>
    </cfRule>
    <cfRule type="expression" dxfId="369" priority="3836">
      <formula>$N$11="EPS"</formula>
    </cfRule>
  </conditionalFormatting>
  <conditionalFormatting sqref="N642:N667">
    <cfRule type="expression" dxfId="368" priority="3816">
      <formula>$K$11="净利润率"</formula>
    </cfRule>
  </conditionalFormatting>
  <conditionalFormatting sqref="N644:N667">
    <cfRule type="expression" dxfId="367" priority="3812">
      <formula>$N$11="EPS"</formula>
    </cfRule>
    <cfRule type="expression" dxfId="366" priority="3815">
      <formula>$J$11="营业利润率"</formula>
    </cfRule>
  </conditionalFormatting>
  <conditionalFormatting sqref="N644:N679">
    <cfRule type="expression" dxfId="365" priority="3792">
      <formula>$K$11="净利润率"</formula>
    </cfRule>
  </conditionalFormatting>
  <conditionalFormatting sqref="N668:N679">
    <cfRule type="expression" dxfId="364" priority="3788">
      <formula>$N$11="EPS"</formula>
    </cfRule>
    <cfRule type="expression" dxfId="363" priority="3791">
      <formula>$J$11="营业利润率"</formula>
    </cfRule>
  </conditionalFormatting>
  <conditionalFormatting sqref="N668:N681">
    <cfRule type="expression" dxfId="362" priority="3768">
      <formula>$K$11="净利润率"</formula>
    </cfRule>
  </conditionalFormatting>
  <conditionalFormatting sqref="N680:N681">
    <cfRule type="expression" dxfId="361" priority="3767">
      <formula>$J$11="营业利润率"</formula>
    </cfRule>
    <cfRule type="expression" dxfId="360" priority="3764">
      <formula>$N$11="EPS"</formula>
    </cfRule>
  </conditionalFormatting>
  <conditionalFormatting sqref="N680:N705">
    <cfRule type="expression" dxfId="359" priority="3744">
      <formula>$K$11="净利润率"</formula>
    </cfRule>
  </conditionalFormatting>
  <conditionalFormatting sqref="N682:N705">
    <cfRule type="expression" dxfId="358" priority="3743">
      <formula>$J$11="营业利润率"</formula>
    </cfRule>
    <cfRule type="expression" dxfId="357" priority="3740">
      <formula>$N$11="EPS"</formula>
    </cfRule>
  </conditionalFormatting>
  <conditionalFormatting sqref="N682:N719">
    <cfRule type="expression" dxfId="356" priority="3720">
      <formula>$K$11="净利润率"</formula>
    </cfRule>
  </conditionalFormatting>
  <conditionalFormatting sqref="N706:N719">
    <cfRule type="expression" dxfId="355" priority="3716">
      <formula>$N$11="EPS"</formula>
    </cfRule>
    <cfRule type="expression" dxfId="354" priority="3719">
      <formula>$J$11="营业利润率"</formula>
    </cfRule>
  </conditionalFormatting>
  <conditionalFormatting sqref="N706:N721">
    <cfRule type="expression" dxfId="353" priority="3696">
      <formula>$K$11="净利润率"</formula>
    </cfRule>
  </conditionalFormatting>
  <conditionalFormatting sqref="N720:N721">
    <cfRule type="expression" dxfId="352" priority="3692">
      <formula>$N$11="EPS"</formula>
    </cfRule>
    <cfRule type="expression" dxfId="351" priority="3695">
      <formula>$J$11="营业利润率"</formula>
    </cfRule>
  </conditionalFormatting>
  <conditionalFormatting sqref="N720:N745">
    <cfRule type="expression" dxfId="350" priority="3672">
      <formula>$K$11="净利润率"</formula>
    </cfRule>
  </conditionalFormatting>
  <conditionalFormatting sqref="N722:N745">
    <cfRule type="expression" dxfId="349" priority="3671">
      <formula>$J$11="营业利润率"</formula>
    </cfRule>
    <cfRule type="expression" dxfId="348" priority="3668">
      <formula>$N$11="EPS"</formula>
    </cfRule>
  </conditionalFormatting>
  <conditionalFormatting sqref="N722:N757">
    <cfRule type="expression" dxfId="347" priority="3648">
      <formula>$K$11="净利润率"</formula>
    </cfRule>
  </conditionalFormatting>
  <conditionalFormatting sqref="N746:N757">
    <cfRule type="expression" dxfId="346" priority="3647">
      <formula>$J$11="营业利润率"</formula>
    </cfRule>
    <cfRule type="expression" dxfId="345" priority="3644">
      <formula>$N$11="EPS"</formula>
    </cfRule>
  </conditionalFormatting>
  <conditionalFormatting sqref="N746:N759">
    <cfRule type="expression" dxfId="344" priority="3624">
      <formula>$K$11="净利润率"</formula>
    </cfRule>
  </conditionalFormatting>
  <conditionalFormatting sqref="N758:N759">
    <cfRule type="expression" dxfId="343" priority="3623">
      <formula>$J$11="营业利润率"</formula>
    </cfRule>
    <cfRule type="expression" dxfId="342" priority="3620">
      <formula>$N$11="EPS"</formula>
    </cfRule>
  </conditionalFormatting>
  <conditionalFormatting sqref="N758:N783">
    <cfRule type="expression" dxfId="341" priority="3600">
      <formula>$K$11="净利润率"</formula>
    </cfRule>
  </conditionalFormatting>
  <conditionalFormatting sqref="N760:N783">
    <cfRule type="expression" dxfId="340" priority="3599">
      <formula>$J$11="营业利润率"</formula>
    </cfRule>
    <cfRule type="expression" dxfId="339" priority="3596">
      <formula>$N$11="EPS"</formula>
    </cfRule>
  </conditionalFormatting>
  <conditionalFormatting sqref="N760:N797">
    <cfRule type="expression" dxfId="338" priority="3576">
      <formula>$K$11="净利润率"</formula>
    </cfRule>
  </conditionalFormatting>
  <conditionalFormatting sqref="N784:N797">
    <cfRule type="expression" dxfId="337" priority="3572">
      <formula>$N$11="EPS"</formula>
    </cfRule>
    <cfRule type="expression" dxfId="336" priority="3575">
      <formula>$J$11="营业利润率"</formula>
    </cfRule>
  </conditionalFormatting>
  <conditionalFormatting sqref="N784:N799">
    <cfRule type="expression" dxfId="335" priority="3552">
      <formula>$K$11="净利润率"</formula>
    </cfRule>
  </conditionalFormatting>
  <conditionalFormatting sqref="N798:N799">
    <cfRule type="expression" dxfId="334" priority="3548">
      <formula>$N$11="EPS"</formula>
    </cfRule>
    <cfRule type="expression" dxfId="333" priority="3551">
      <formula>$J$11="营业利润率"</formula>
    </cfRule>
  </conditionalFormatting>
  <conditionalFormatting sqref="N798:N823">
    <cfRule type="expression" dxfId="332" priority="3528">
      <formula>$K$11="净利润率"</formula>
    </cfRule>
  </conditionalFormatting>
  <conditionalFormatting sqref="N800:N823">
    <cfRule type="expression" dxfId="331" priority="3527">
      <formula>$J$11="营业利润率"</formula>
    </cfRule>
    <cfRule type="expression" dxfId="330" priority="3524">
      <formula>$N$11="EPS"</formula>
    </cfRule>
  </conditionalFormatting>
  <conditionalFormatting sqref="N800:N835">
    <cfRule type="expression" dxfId="329" priority="3504">
      <formula>$K$11="净利润率"</formula>
    </cfRule>
  </conditionalFormatting>
  <conditionalFormatting sqref="N824:N835">
    <cfRule type="expression" dxfId="328" priority="3500">
      <formula>$N$11="EPS"</formula>
    </cfRule>
    <cfRule type="expression" dxfId="327" priority="3503">
      <formula>$J$11="营业利润率"</formula>
    </cfRule>
  </conditionalFormatting>
  <conditionalFormatting sqref="N824:N837">
    <cfRule type="expression" dxfId="326" priority="3480">
      <formula>$K$11="净利润率"</formula>
    </cfRule>
  </conditionalFormatting>
  <conditionalFormatting sqref="N836:N837">
    <cfRule type="expression" dxfId="325" priority="3476">
      <formula>$N$11="EPS"</formula>
    </cfRule>
    <cfRule type="expression" dxfId="324" priority="3479">
      <formula>$J$11="营业利润率"</formula>
    </cfRule>
  </conditionalFormatting>
  <conditionalFormatting sqref="N836:N861">
    <cfRule type="expression" dxfId="323" priority="3456">
      <formula>$K$11="净利润率"</formula>
    </cfRule>
  </conditionalFormatting>
  <conditionalFormatting sqref="N838:N861">
    <cfRule type="expression" dxfId="322" priority="3455">
      <formula>$J$11="营业利润率"</formula>
    </cfRule>
    <cfRule type="expression" dxfId="321" priority="3452">
      <formula>$N$11="EPS"</formula>
    </cfRule>
  </conditionalFormatting>
  <conditionalFormatting sqref="N838:N875">
    <cfRule type="expression" dxfId="320" priority="3432">
      <formula>$K$11="净利润率"</formula>
    </cfRule>
  </conditionalFormatting>
  <conditionalFormatting sqref="N862:N875">
    <cfRule type="expression" dxfId="319" priority="3428">
      <formula>$N$11="EPS"</formula>
    </cfRule>
    <cfRule type="expression" dxfId="318" priority="3431">
      <formula>$J$11="营业利润率"</formula>
    </cfRule>
  </conditionalFormatting>
  <conditionalFormatting sqref="N862:N877">
    <cfRule type="expression" dxfId="317" priority="3408">
      <formula>$K$11="净利润率"</formula>
    </cfRule>
  </conditionalFormatting>
  <conditionalFormatting sqref="N876:N877">
    <cfRule type="expression" dxfId="316" priority="3404">
      <formula>$N$11="EPS"</formula>
    </cfRule>
    <cfRule type="expression" dxfId="315" priority="3407">
      <formula>$J$11="营业利润率"</formula>
    </cfRule>
  </conditionalFormatting>
  <conditionalFormatting sqref="N876:N879">
    <cfRule type="expression" dxfId="314" priority="3384">
      <formula>$K$11="净利润率"</formula>
    </cfRule>
  </conditionalFormatting>
  <conditionalFormatting sqref="N878:N879">
    <cfRule type="expression" dxfId="313" priority="3383">
      <formula>$J$11="营业利润率"</formula>
    </cfRule>
    <cfRule type="expression" dxfId="312" priority="3380">
      <formula>$N$11="EPS"</formula>
    </cfRule>
  </conditionalFormatting>
  <conditionalFormatting sqref="N878:N903">
    <cfRule type="expression" dxfId="311" priority="3360">
      <formula>$K$11="净利润率"</formula>
    </cfRule>
  </conditionalFormatting>
  <conditionalFormatting sqref="N880:N903">
    <cfRule type="expression" dxfId="310" priority="3359">
      <formula>$J$11="营业利润率"</formula>
    </cfRule>
    <cfRule type="expression" dxfId="309" priority="3356">
      <formula>$N$11="EPS"</formula>
    </cfRule>
  </conditionalFormatting>
  <conditionalFormatting sqref="N880:N917">
    <cfRule type="expression" dxfId="308" priority="3336">
      <formula>$K$11="净利润率"</formula>
    </cfRule>
  </conditionalFormatting>
  <conditionalFormatting sqref="N904:N917">
    <cfRule type="expression" dxfId="307" priority="3335">
      <formula>$J$11="营业利润率"</formula>
    </cfRule>
    <cfRule type="expression" dxfId="306" priority="3332">
      <formula>$N$11="EPS"</formula>
    </cfRule>
  </conditionalFormatting>
  <conditionalFormatting sqref="N904:N919">
    <cfRule type="expression" dxfId="305" priority="3312">
      <formula>$K$11="净利润率"</formula>
    </cfRule>
  </conditionalFormatting>
  <conditionalFormatting sqref="N918:N919">
    <cfRule type="expression" dxfId="304" priority="3311">
      <formula>$J$11="营业利润率"</formula>
    </cfRule>
    <cfRule type="expression" dxfId="303" priority="3308">
      <formula>$N$11="EPS"</formula>
    </cfRule>
  </conditionalFormatting>
  <conditionalFormatting sqref="N918:N943">
    <cfRule type="expression" dxfId="302" priority="3288">
      <formula>$K$11="净利润率"</formula>
    </cfRule>
  </conditionalFormatting>
  <conditionalFormatting sqref="N920:N943">
    <cfRule type="expression" dxfId="301" priority="3284">
      <formula>$N$11="EPS"</formula>
    </cfRule>
    <cfRule type="expression" dxfId="300" priority="3287">
      <formula>$J$11="营业利润率"</formula>
    </cfRule>
  </conditionalFormatting>
  <conditionalFormatting sqref="N920:N955">
    <cfRule type="expression" dxfId="299" priority="3264">
      <formula>$K$11="净利润率"</formula>
    </cfRule>
  </conditionalFormatting>
  <conditionalFormatting sqref="N944:N955">
    <cfRule type="expression" dxfId="298" priority="3263">
      <formula>$J$11="营业利润率"</formula>
    </cfRule>
    <cfRule type="expression" dxfId="297" priority="3260">
      <formula>$N$11="EPS"</formula>
    </cfRule>
  </conditionalFormatting>
  <conditionalFormatting sqref="N944:N957">
    <cfRule type="expression" dxfId="296" priority="3240">
      <formula>$K$11="净利润率"</formula>
    </cfRule>
  </conditionalFormatting>
  <conditionalFormatting sqref="N956:N957">
    <cfRule type="expression" dxfId="295" priority="3239">
      <formula>$J$11="营业利润率"</formula>
    </cfRule>
    <cfRule type="expression" dxfId="294" priority="3236">
      <formula>$N$11="EPS"</formula>
    </cfRule>
  </conditionalFormatting>
  <conditionalFormatting sqref="N956:N981">
    <cfRule type="expression" dxfId="293" priority="3216">
      <formula>$K$11="净利润率"</formula>
    </cfRule>
  </conditionalFormatting>
  <conditionalFormatting sqref="N958:N981">
    <cfRule type="expression" dxfId="292" priority="3212">
      <formula>$N$11="EPS"</formula>
    </cfRule>
    <cfRule type="expression" dxfId="291" priority="3215">
      <formula>$J$11="营业利润率"</formula>
    </cfRule>
  </conditionalFormatting>
  <conditionalFormatting sqref="N958:N995">
    <cfRule type="expression" dxfId="290" priority="3192">
      <formula>$K$11="净利润率"</formula>
    </cfRule>
  </conditionalFormatting>
  <conditionalFormatting sqref="N982:N995">
    <cfRule type="expression" dxfId="289" priority="3191">
      <formula>$J$11="营业利润率"</formula>
    </cfRule>
    <cfRule type="expression" dxfId="288" priority="3188">
      <formula>$N$11="EPS"</formula>
    </cfRule>
  </conditionalFormatting>
  <conditionalFormatting sqref="N982:N997">
    <cfRule type="expression" dxfId="287" priority="3168">
      <formula>$K$11="净利润率"</formula>
    </cfRule>
  </conditionalFormatting>
  <conditionalFormatting sqref="N996:N997">
    <cfRule type="expression" dxfId="286" priority="3164">
      <formula>$N$11="EPS"</formula>
    </cfRule>
    <cfRule type="expression" dxfId="285" priority="3167">
      <formula>$J$11="营业利润率"</formula>
    </cfRule>
  </conditionalFormatting>
  <conditionalFormatting sqref="N996:N1021">
    <cfRule type="expression" dxfId="284" priority="3144">
      <formula>$K$11="净利润率"</formula>
    </cfRule>
  </conditionalFormatting>
  <conditionalFormatting sqref="N998:N1021">
    <cfRule type="expression" dxfId="283" priority="3143">
      <formula>$J$11="营业利润率"</formula>
    </cfRule>
    <cfRule type="expression" dxfId="282" priority="3140">
      <formula>$N$11="EPS"</formula>
    </cfRule>
  </conditionalFormatting>
  <conditionalFormatting sqref="N998:N1033">
    <cfRule type="expression" dxfId="281" priority="3120">
      <formula>$K$11="净利润率"</formula>
    </cfRule>
  </conditionalFormatting>
  <conditionalFormatting sqref="N1022:N1033">
    <cfRule type="expression" dxfId="280" priority="3116">
      <formula>$N$11="EPS"</formula>
    </cfRule>
    <cfRule type="expression" dxfId="279" priority="3119">
      <formula>$J$11="营业利润率"</formula>
    </cfRule>
  </conditionalFormatting>
  <conditionalFormatting sqref="N1022:N1035">
    <cfRule type="expression" dxfId="278" priority="3096">
      <formula>$K$11="净利润率"</formula>
    </cfRule>
  </conditionalFormatting>
  <conditionalFormatting sqref="N1034:N1035">
    <cfRule type="expression" dxfId="277" priority="3092">
      <formula>$N$11="EPS"</formula>
    </cfRule>
    <cfRule type="expression" dxfId="276" priority="3095">
      <formula>$J$11="营业利润率"</formula>
    </cfRule>
  </conditionalFormatting>
  <conditionalFormatting sqref="N1034:N1059">
    <cfRule type="expression" dxfId="275" priority="3072">
      <formula>$K$11="净利润率"</formula>
    </cfRule>
  </conditionalFormatting>
  <conditionalFormatting sqref="N1036:N1059">
    <cfRule type="expression" dxfId="274" priority="3071">
      <formula>$J$11="营业利润率"</formula>
    </cfRule>
    <cfRule type="expression" dxfId="273" priority="3068">
      <formula>$N$11="EPS"</formula>
    </cfRule>
  </conditionalFormatting>
  <conditionalFormatting sqref="N1036:N1073">
    <cfRule type="expression" dxfId="272" priority="3048">
      <formula>$K$11="净利润率"</formula>
    </cfRule>
  </conditionalFormatting>
  <conditionalFormatting sqref="N1060:N1073">
    <cfRule type="expression" dxfId="271" priority="3047">
      <formula>$J$11="营业利润率"</formula>
    </cfRule>
    <cfRule type="expression" dxfId="270" priority="3044">
      <formula>$N$11="EPS"</formula>
    </cfRule>
  </conditionalFormatting>
  <conditionalFormatting sqref="N1060:N1075">
    <cfRule type="expression" dxfId="269" priority="3024">
      <formula>$K$11="净利润率"</formula>
    </cfRule>
  </conditionalFormatting>
  <conditionalFormatting sqref="N1074:N1075">
    <cfRule type="expression" dxfId="268" priority="3023">
      <formula>$J$11="营业利润率"</formula>
    </cfRule>
    <cfRule type="expression" dxfId="267" priority="3020">
      <formula>$N$11="EPS"</formula>
    </cfRule>
  </conditionalFormatting>
  <conditionalFormatting sqref="N1074:N1099">
    <cfRule type="expression" dxfId="266" priority="3000">
      <formula>$K$11="净利润率"</formula>
    </cfRule>
  </conditionalFormatting>
  <conditionalFormatting sqref="N1076:N1099">
    <cfRule type="expression" dxfId="265" priority="2996">
      <formula>$N$11="EPS"</formula>
    </cfRule>
    <cfRule type="expression" dxfId="264" priority="2999">
      <formula>$J$11="营业利润率"</formula>
    </cfRule>
  </conditionalFormatting>
  <conditionalFormatting sqref="N1076:N1111">
    <cfRule type="expression" dxfId="263" priority="2976">
      <formula>$K$11="净利润率"</formula>
    </cfRule>
  </conditionalFormatting>
  <conditionalFormatting sqref="N1100:N1111">
    <cfRule type="expression" dxfId="262" priority="2975">
      <formula>$J$11="营业利润率"</formula>
    </cfRule>
    <cfRule type="expression" dxfId="261" priority="2972">
      <formula>$N$11="EPS"</formula>
    </cfRule>
  </conditionalFormatting>
  <conditionalFormatting sqref="N1100:N1113">
    <cfRule type="expression" dxfId="260" priority="2952">
      <formula>$K$11="净利润率"</formula>
    </cfRule>
  </conditionalFormatting>
  <conditionalFormatting sqref="N1112:N1113">
    <cfRule type="expression" dxfId="259" priority="2948">
      <formula>$N$11="EPS"</formula>
    </cfRule>
    <cfRule type="expression" dxfId="258" priority="2951">
      <formula>$J$11="营业利润率"</formula>
    </cfRule>
  </conditionalFormatting>
  <conditionalFormatting sqref="N1112:N1137">
    <cfRule type="expression" dxfId="257" priority="2928">
      <formula>$K$11="净利润率"</formula>
    </cfRule>
  </conditionalFormatting>
  <conditionalFormatting sqref="N1114:N1137">
    <cfRule type="expression" dxfId="256" priority="2924">
      <formula>$N$11="EPS"</formula>
    </cfRule>
    <cfRule type="expression" dxfId="255" priority="2927">
      <formula>$J$11="营业利润率"</formula>
    </cfRule>
  </conditionalFormatting>
  <conditionalFormatting sqref="N1114:N1151">
    <cfRule type="expression" dxfId="254" priority="2904">
      <formula>$K$11="净利润率"</formula>
    </cfRule>
  </conditionalFormatting>
  <conditionalFormatting sqref="N1138:N1151">
    <cfRule type="expression" dxfId="253" priority="2900">
      <formula>$N$11="EPS"</formula>
    </cfRule>
    <cfRule type="expression" dxfId="252" priority="2903">
      <formula>$J$11="营业利润率"</formula>
    </cfRule>
  </conditionalFormatting>
  <conditionalFormatting sqref="N1138:N1153">
    <cfRule type="expression" dxfId="251" priority="2880">
      <formula>$K$11="净利润率"</formula>
    </cfRule>
  </conditionalFormatting>
  <conditionalFormatting sqref="N1152:N1153">
    <cfRule type="expression" dxfId="250" priority="2876">
      <formula>$N$11="EPS"</formula>
    </cfRule>
    <cfRule type="expression" dxfId="249" priority="2879">
      <formula>$J$11="营业利润率"</formula>
    </cfRule>
  </conditionalFormatting>
  <conditionalFormatting sqref="N1152:N1177">
    <cfRule type="expression" dxfId="248" priority="2856">
      <formula>$K$11="净利润率"</formula>
    </cfRule>
  </conditionalFormatting>
  <conditionalFormatting sqref="N1154:N1177">
    <cfRule type="expression" dxfId="247" priority="2855">
      <formula>$J$11="营业利润率"</formula>
    </cfRule>
    <cfRule type="expression" dxfId="246" priority="2852">
      <formula>$N$11="EPS"</formula>
    </cfRule>
  </conditionalFormatting>
  <conditionalFormatting sqref="N1154:N1189">
    <cfRule type="expression" dxfId="245" priority="2832">
      <formula>$K$11="净利润率"</formula>
    </cfRule>
  </conditionalFormatting>
  <conditionalFormatting sqref="N1178:N1189">
    <cfRule type="expression" dxfId="244" priority="2831">
      <formula>$J$11="营业利润率"</formula>
    </cfRule>
    <cfRule type="expression" dxfId="243" priority="2828">
      <formula>$N$11="EPS"</formula>
    </cfRule>
  </conditionalFormatting>
  <conditionalFormatting sqref="N1178:N1191">
    <cfRule type="expression" dxfId="242" priority="2808">
      <formula>$K$11="净利润率"</formula>
    </cfRule>
  </conditionalFormatting>
  <conditionalFormatting sqref="N1190:N1191">
    <cfRule type="expression" dxfId="241" priority="2807">
      <formula>$J$11="营业利润率"</formula>
    </cfRule>
    <cfRule type="expression" dxfId="240" priority="2804">
      <formula>$N$11="EPS"</formula>
    </cfRule>
  </conditionalFormatting>
  <conditionalFormatting sqref="N1190:N1215">
    <cfRule type="expression" dxfId="239" priority="2784">
      <formula>$K$11="净利润率"</formula>
    </cfRule>
  </conditionalFormatting>
  <conditionalFormatting sqref="N1192:N1215">
    <cfRule type="expression" dxfId="238" priority="2783">
      <formula>$J$11="营业利润率"</formula>
    </cfRule>
    <cfRule type="expression" dxfId="237" priority="2780">
      <formula>$N$11="EPS"</formula>
    </cfRule>
  </conditionalFormatting>
  <conditionalFormatting sqref="N1192:N1229">
    <cfRule type="expression" dxfId="236" priority="2760">
      <formula>$K$11="净利润率"</formula>
    </cfRule>
  </conditionalFormatting>
  <conditionalFormatting sqref="N1216:N1229">
    <cfRule type="expression" dxfId="235" priority="2756">
      <formula>$N$11="EPS"</formula>
    </cfRule>
    <cfRule type="expression" dxfId="234" priority="2759">
      <formula>$J$11="营业利润率"</formula>
    </cfRule>
  </conditionalFormatting>
  <conditionalFormatting sqref="N1216:N1231">
    <cfRule type="expression" dxfId="233" priority="2736">
      <formula>$K$11="净利润率"</formula>
    </cfRule>
  </conditionalFormatting>
  <conditionalFormatting sqref="N1230:N1231">
    <cfRule type="expression" dxfId="232" priority="2732">
      <formula>$N$11="EPS"</formula>
    </cfRule>
    <cfRule type="expression" dxfId="231" priority="2735">
      <formula>$J$11="营业利润率"</formula>
    </cfRule>
  </conditionalFormatting>
  <conditionalFormatting sqref="N1230:N1255">
    <cfRule type="expression" dxfId="230" priority="2712">
      <formula>$K$11="净利润率"</formula>
    </cfRule>
  </conditionalFormatting>
  <conditionalFormatting sqref="N1232:N1255">
    <cfRule type="expression" dxfId="229" priority="2711">
      <formula>$J$11="营业利润率"</formula>
    </cfRule>
    <cfRule type="expression" dxfId="228" priority="2708">
      <formula>$N$11="EPS"</formula>
    </cfRule>
  </conditionalFormatting>
  <conditionalFormatting sqref="N1232:N1267">
    <cfRule type="expression" dxfId="227" priority="2688">
      <formula>$K$11="净利润率"</formula>
    </cfRule>
  </conditionalFormatting>
  <conditionalFormatting sqref="N1256:N1267">
    <cfRule type="expression" dxfId="226" priority="2687">
      <formula>$J$11="营业利润率"</formula>
    </cfRule>
    <cfRule type="expression" dxfId="225" priority="2684">
      <formula>$N$11="EPS"</formula>
    </cfRule>
  </conditionalFormatting>
  <conditionalFormatting sqref="N1256:N1269">
    <cfRule type="expression" dxfId="224" priority="2664">
      <formula>$K$11="净利润率"</formula>
    </cfRule>
  </conditionalFormatting>
  <conditionalFormatting sqref="N1268:N1269">
    <cfRule type="expression" dxfId="223" priority="2663">
      <formula>$J$11="营业利润率"</formula>
    </cfRule>
    <cfRule type="expression" dxfId="222" priority="2660">
      <formula>$N$11="EPS"</formula>
    </cfRule>
  </conditionalFormatting>
  <conditionalFormatting sqref="N1268:N1293">
    <cfRule type="expression" dxfId="221" priority="2640">
      <formula>$K$11="净利润率"</formula>
    </cfRule>
  </conditionalFormatting>
  <conditionalFormatting sqref="N1270:N1293">
    <cfRule type="expression" dxfId="220" priority="2636">
      <formula>$N$11="EPS"</formula>
    </cfRule>
    <cfRule type="expression" dxfId="219" priority="2639">
      <formula>$J$11="营业利润率"</formula>
    </cfRule>
  </conditionalFormatting>
  <conditionalFormatting sqref="N1270:N1307">
    <cfRule type="expression" dxfId="218" priority="2616">
      <formula>$K$11="净利润率"</formula>
    </cfRule>
  </conditionalFormatting>
  <conditionalFormatting sqref="N1294:N1307">
    <cfRule type="expression" dxfId="217" priority="2615">
      <formula>$J$11="营业利润率"</formula>
    </cfRule>
    <cfRule type="expression" dxfId="216" priority="2612">
      <formula>$N$11="EPS"</formula>
    </cfRule>
  </conditionalFormatting>
  <conditionalFormatting sqref="N1294:N1309">
    <cfRule type="expression" dxfId="215" priority="2592">
      <formula>$K$11="净利润率"</formula>
    </cfRule>
  </conditionalFormatting>
  <conditionalFormatting sqref="N1308:N1309">
    <cfRule type="expression" dxfId="214" priority="2591">
      <formula>$J$11="营业利润率"</formula>
    </cfRule>
    <cfRule type="expression" dxfId="213" priority="2588">
      <formula>$N$11="EPS"</formula>
    </cfRule>
  </conditionalFormatting>
  <conditionalFormatting sqref="N1308:N1311">
    <cfRule type="expression" dxfId="212" priority="2568">
      <formula>$K$11="净利润率"</formula>
    </cfRule>
  </conditionalFormatting>
  <conditionalFormatting sqref="N1310:N1311">
    <cfRule type="expression" dxfId="211" priority="2564">
      <formula>$N$11="EPS"</formula>
    </cfRule>
    <cfRule type="expression" dxfId="210" priority="2567">
      <formula>$J$11="营业利润率"</formula>
    </cfRule>
  </conditionalFormatting>
  <conditionalFormatting sqref="N1310:N1335">
    <cfRule type="expression" dxfId="209" priority="2544">
      <formula>$K$11="净利润率"</formula>
    </cfRule>
  </conditionalFormatting>
  <conditionalFormatting sqref="N1312:N1335">
    <cfRule type="expression" dxfId="208" priority="2540">
      <formula>$N$11="EPS"</formula>
    </cfRule>
    <cfRule type="expression" dxfId="207" priority="2543">
      <formula>$J$11="营业利润率"</formula>
    </cfRule>
  </conditionalFormatting>
  <conditionalFormatting sqref="N1312:N1349">
    <cfRule type="expression" dxfId="206" priority="2520">
      <formula>$K$11="净利润率"</formula>
    </cfRule>
  </conditionalFormatting>
  <conditionalFormatting sqref="N1336:N1349">
    <cfRule type="expression" dxfId="205" priority="2516">
      <formula>$N$11="EPS"</formula>
    </cfRule>
    <cfRule type="expression" dxfId="204" priority="2519">
      <formula>$J$11="营业利润率"</formula>
    </cfRule>
  </conditionalFormatting>
  <conditionalFormatting sqref="N1336:N1351">
    <cfRule type="expression" dxfId="203" priority="2496">
      <formula>$K$11="净利润率"</formula>
    </cfRule>
  </conditionalFormatting>
  <conditionalFormatting sqref="N1350:N1351">
    <cfRule type="expression" dxfId="202" priority="2495">
      <formula>$J$11="营业利润率"</formula>
    </cfRule>
    <cfRule type="expression" dxfId="201" priority="2492">
      <formula>$N$11="EPS"</formula>
    </cfRule>
  </conditionalFormatting>
  <conditionalFormatting sqref="N1350:N1375">
    <cfRule type="expression" dxfId="200" priority="2472">
      <formula>$K$11="净利润率"</formula>
    </cfRule>
  </conditionalFormatting>
  <conditionalFormatting sqref="N1352:N1375">
    <cfRule type="expression" dxfId="199" priority="2471">
      <formula>$J$11="营业利润率"</formula>
    </cfRule>
    <cfRule type="expression" dxfId="198" priority="2468">
      <formula>$N$11="EPS"</formula>
    </cfRule>
  </conditionalFormatting>
  <conditionalFormatting sqref="N1352:N1387">
    <cfRule type="expression" dxfId="197" priority="2448">
      <formula>$K$11="净利润率"</formula>
    </cfRule>
  </conditionalFormatting>
  <conditionalFormatting sqref="N1376:N1387">
    <cfRule type="expression" dxfId="196" priority="2447">
      <formula>$J$11="营业利润率"</formula>
    </cfRule>
    <cfRule type="expression" dxfId="195" priority="2444">
      <formula>$N$11="EPS"</formula>
    </cfRule>
  </conditionalFormatting>
  <conditionalFormatting sqref="N1376:N1389">
    <cfRule type="expression" dxfId="194" priority="2424">
      <formula>$K$11="净利润率"</formula>
    </cfRule>
  </conditionalFormatting>
  <conditionalFormatting sqref="N1388:N1389">
    <cfRule type="expression" dxfId="193" priority="2423">
      <formula>$J$11="营业利润率"</formula>
    </cfRule>
    <cfRule type="expression" dxfId="192" priority="2420">
      <formula>$N$11="EPS"</formula>
    </cfRule>
  </conditionalFormatting>
  <conditionalFormatting sqref="N1388:N1413">
    <cfRule type="expression" dxfId="191" priority="2400">
      <formula>$K$11="净利润率"</formula>
    </cfRule>
  </conditionalFormatting>
  <conditionalFormatting sqref="N1390:N1413">
    <cfRule type="expression" dxfId="190" priority="2399">
      <formula>$J$11="营业利润率"</formula>
    </cfRule>
    <cfRule type="expression" dxfId="189" priority="2396">
      <formula>$N$11="EPS"</formula>
    </cfRule>
  </conditionalFormatting>
  <conditionalFormatting sqref="N1390:N1427">
    <cfRule type="expression" dxfId="188" priority="2376">
      <formula>$K$11="净利润率"</formula>
    </cfRule>
  </conditionalFormatting>
  <conditionalFormatting sqref="N1414:N1427">
    <cfRule type="expression" dxfId="187" priority="2372">
      <formula>$N$11="EPS"</formula>
    </cfRule>
    <cfRule type="expression" dxfId="186" priority="2375">
      <formula>$J$11="营业利润率"</formula>
    </cfRule>
  </conditionalFormatting>
  <conditionalFormatting sqref="N1414:N1429">
    <cfRule type="expression" dxfId="185" priority="2352">
      <formula>$K$11="净利润率"</formula>
    </cfRule>
  </conditionalFormatting>
  <conditionalFormatting sqref="N1428:N1429">
    <cfRule type="expression" dxfId="184" priority="2351">
      <formula>$J$11="营业利润率"</formula>
    </cfRule>
    <cfRule type="expression" dxfId="183" priority="2348">
      <formula>$N$11="EPS"</formula>
    </cfRule>
  </conditionalFormatting>
  <conditionalFormatting sqref="N1428:N1453">
    <cfRule type="expression" dxfId="182" priority="2328">
      <formula>$K$11="净利润率"</formula>
    </cfRule>
  </conditionalFormatting>
  <conditionalFormatting sqref="N1430:N1453">
    <cfRule type="expression" dxfId="181" priority="2327">
      <formula>$J$11="营业利润率"</formula>
    </cfRule>
    <cfRule type="expression" dxfId="180" priority="2324">
      <formula>$N$11="EPS"</formula>
    </cfRule>
  </conditionalFormatting>
  <conditionalFormatting sqref="N1430:N1465">
    <cfRule type="expression" dxfId="179" priority="2304">
      <formula>$K$11="净利润率"</formula>
    </cfRule>
  </conditionalFormatting>
  <conditionalFormatting sqref="N1454:N1465">
    <cfRule type="expression" dxfId="178" priority="2300">
      <formula>$N$11="EPS"</formula>
    </cfRule>
    <cfRule type="expression" dxfId="177" priority="2303">
      <formula>$J$11="营业利润率"</formula>
    </cfRule>
  </conditionalFormatting>
  <conditionalFormatting sqref="N1454:N1467">
    <cfRule type="expression" dxfId="176" priority="2280">
      <formula>$K$11="净利润率"</formula>
    </cfRule>
  </conditionalFormatting>
  <conditionalFormatting sqref="N1466:N1467">
    <cfRule type="expression" dxfId="175" priority="2279">
      <formula>$J$11="营业利润率"</formula>
    </cfRule>
    <cfRule type="expression" dxfId="174" priority="2276">
      <formula>$N$11="EPS"</formula>
    </cfRule>
  </conditionalFormatting>
  <conditionalFormatting sqref="N1466:N1491">
    <cfRule type="expression" dxfId="173" priority="2256">
      <formula>$K$11="净利润率"</formula>
    </cfRule>
  </conditionalFormatting>
  <conditionalFormatting sqref="N1468:N1491">
    <cfRule type="expression" dxfId="172" priority="2255">
      <formula>$J$11="营业利润率"</formula>
    </cfRule>
    <cfRule type="expression" dxfId="171" priority="2252">
      <formula>$N$11="EPS"</formula>
    </cfRule>
  </conditionalFormatting>
  <conditionalFormatting sqref="N1468:N1505 K14:L1500">
    <cfRule type="expression" dxfId="170" priority="2232">
      <formula>$K$11="净利润率"</formula>
    </cfRule>
  </conditionalFormatting>
  <conditionalFormatting sqref="N1492:N1505 K14:K1500">
    <cfRule type="expression" dxfId="169" priority="2231">
      <formula>$J$11="营业利润率"</formula>
    </cfRule>
  </conditionalFormatting>
  <conditionalFormatting sqref="N1492:N1505">
    <cfRule type="expression" dxfId="168" priority="2228">
      <formula>$N$11="EPS"</formula>
    </cfRule>
  </conditionalFormatting>
  <conditionalFormatting sqref="N1492:N1507">
    <cfRule type="expression" dxfId="167" priority="2208">
      <formula>$K$11="净利润率"</formula>
    </cfRule>
  </conditionalFormatting>
  <conditionalFormatting sqref="N1506:N1507">
    <cfRule type="expression" dxfId="166" priority="2204">
      <formula>$N$11="EPS"</formula>
    </cfRule>
    <cfRule type="expression" dxfId="165" priority="2207">
      <formula>$J$11="营业利润率"</formula>
    </cfRule>
  </conditionalFormatting>
  <conditionalFormatting sqref="N1506:N1531">
    <cfRule type="expression" dxfId="164" priority="2184">
      <formula>$K$11="净利润率"</formula>
    </cfRule>
  </conditionalFormatting>
  <conditionalFormatting sqref="N1508:N1531">
    <cfRule type="expression" dxfId="163" priority="2180">
      <formula>$N$11="EPS"</formula>
    </cfRule>
    <cfRule type="expression" dxfId="162" priority="2183">
      <formula>$J$11="营业利润率"</formula>
    </cfRule>
  </conditionalFormatting>
  <conditionalFormatting sqref="N1508:N1543">
    <cfRule type="expression" dxfId="161" priority="2160">
      <formula>$K$11="净利润率"</formula>
    </cfRule>
  </conditionalFormatting>
  <conditionalFormatting sqref="N1532:N1543">
    <cfRule type="expression" dxfId="160" priority="2156">
      <formula>$N$11="EPS"</formula>
    </cfRule>
    <cfRule type="expression" dxfId="159" priority="2159">
      <formula>$J$11="营业利润率"</formula>
    </cfRule>
  </conditionalFormatting>
  <conditionalFormatting sqref="N1532:N1545">
    <cfRule type="expression" dxfId="158" priority="2136">
      <formula>$K$11="净利润率"</formula>
    </cfRule>
  </conditionalFormatting>
  <conditionalFormatting sqref="N1544:N1545">
    <cfRule type="expression" dxfId="157" priority="2135">
      <formula>$J$11="营业利润率"</formula>
    </cfRule>
    <cfRule type="expression" dxfId="156" priority="2132">
      <formula>$N$11="EPS"</formula>
    </cfRule>
  </conditionalFormatting>
  <conditionalFormatting sqref="N1544:N1569">
    <cfRule type="expression" dxfId="155" priority="2112">
      <formula>$K$11="净利润率"</formula>
    </cfRule>
  </conditionalFormatting>
  <conditionalFormatting sqref="N1546:N1569">
    <cfRule type="expression" dxfId="154" priority="2111">
      <formula>$J$11="营业利润率"</formula>
    </cfRule>
    <cfRule type="expression" dxfId="153" priority="2108">
      <formula>$N$11="EPS"</formula>
    </cfRule>
  </conditionalFormatting>
  <conditionalFormatting sqref="N1546:N1583">
    <cfRule type="expression" dxfId="152" priority="2088">
      <formula>$K$11="净利润率"</formula>
    </cfRule>
  </conditionalFormatting>
  <conditionalFormatting sqref="N1570:N1583">
    <cfRule type="expression" dxfId="151" priority="2087">
      <formula>$J$11="营业利润率"</formula>
    </cfRule>
    <cfRule type="expression" dxfId="150" priority="2084">
      <formula>$N$11="EPS"</formula>
    </cfRule>
  </conditionalFormatting>
  <conditionalFormatting sqref="N1570:N1585">
    <cfRule type="expression" dxfId="149" priority="2064">
      <formula>$K$11="净利润率"</formula>
    </cfRule>
  </conditionalFormatting>
  <conditionalFormatting sqref="N1584:N1585">
    <cfRule type="expression" dxfId="148" priority="2060">
      <formula>$N$11="EPS"</formula>
    </cfRule>
    <cfRule type="expression" dxfId="147" priority="2063">
      <formula>$J$11="营业利润率"</formula>
    </cfRule>
  </conditionalFormatting>
  <conditionalFormatting sqref="N1584:N1609">
    <cfRule type="expression" dxfId="146" priority="2040">
      <formula>$K$11="净利润率"</formula>
    </cfRule>
  </conditionalFormatting>
  <conditionalFormatting sqref="N1586:N1609">
    <cfRule type="expression" dxfId="145" priority="2036">
      <formula>$N$11="EPS"</formula>
    </cfRule>
    <cfRule type="expression" dxfId="144" priority="2039">
      <formula>$J$11="营业利润率"</formula>
    </cfRule>
  </conditionalFormatting>
  <conditionalFormatting sqref="N1586:N1621">
    <cfRule type="expression" dxfId="143" priority="2016">
      <formula>$K$11="净利润率"</formula>
    </cfRule>
  </conditionalFormatting>
  <conditionalFormatting sqref="N1610:N1621">
    <cfRule type="expression" dxfId="142" priority="2015">
      <formula>$J$11="营业利润率"</formula>
    </cfRule>
    <cfRule type="expression" dxfId="141" priority="2012">
      <formula>$N$11="EPS"</formula>
    </cfRule>
  </conditionalFormatting>
  <conditionalFormatting sqref="N1610:N1623">
    <cfRule type="expression" dxfId="140" priority="1992">
      <formula>$K$11="净利润率"</formula>
    </cfRule>
  </conditionalFormatting>
  <conditionalFormatting sqref="N1622:N1623">
    <cfRule type="expression" dxfId="139" priority="1991">
      <formula>$J$11="营业利润率"</formula>
    </cfRule>
    <cfRule type="expression" dxfId="138" priority="1988">
      <formula>$N$11="EPS"</formula>
    </cfRule>
  </conditionalFormatting>
  <conditionalFormatting sqref="N1622:N1647">
    <cfRule type="expression" dxfId="137" priority="1968">
      <formula>$K$11="净利润率"</formula>
    </cfRule>
  </conditionalFormatting>
  <conditionalFormatting sqref="N1624:N1647">
    <cfRule type="expression" dxfId="136" priority="1964">
      <formula>$N$11="EPS"</formula>
    </cfRule>
    <cfRule type="expression" dxfId="135" priority="1967">
      <formula>$J$11="营业利润率"</formula>
    </cfRule>
  </conditionalFormatting>
  <conditionalFormatting sqref="N1624:N1661">
    <cfRule type="expression" dxfId="134" priority="1944">
      <formula>$K$11="净利润率"</formula>
    </cfRule>
  </conditionalFormatting>
  <conditionalFormatting sqref="N1648:N1661">
    <cfRule type="expression" dxfId="133" priority="1943">
      <formula>$J$11="营业利润率"</formula>
    </cfRule>
    <cfRule type="expression" dxfId="132" priority="1940">
      <formula>$N$11="EPS"</formula>
    </cfRule>
  </conditionalFormatting>
  <conditionalFormatting sqref="N1648:N1663">
    <cfRule type="expression" dxfId="131" priority="1920">
      <formula>$K$11="净利润率"</formula>
    </cfRule>
  </conditionalFormatting>
  <conditionalFormatting sqref="N1662:N1663">
    <cfRule type="expression" dxfId="130" priority="1919">
      <formula>$J$11="营业利润率"</formula>
    </cfRule>
    <cfRule type="expression" dxfId="129" priority="1916">
      <formula>$N$11="EPS"</formula>
    </cfRule>
  </conditionalFormatting>
  <conditionalFormatting sqref="N1662:N1687">
    <cfRule type="expression" dxfId="128" priority="1896">
      <formula>$K$11="净利润率"</formula>
    </cfRule>
  </conditionalFormatting>
  <conditionalFormatting sqref="N1664:N1687">
    <cfRule type="expression" dxfId="127" priority="1892">
      <formula>$N$11="EPS"</formula>
    </cfRule>
    <cfRule type="expression" dxfId="126" priority="1895">
      <formula>$J$11="营业利润率"</formula>
    </cfRule>
  </conditionalFormatting>
  <conditionalFormatting sqref="N1664:N1699">
    <cfRule type="expression" dxfId="125" priority="1872">
      <formula>$K$11="净利润率"</formula>
    </cfRule>
  </conditionalFormatting>
  <conditionalFormatting sqref="N1688:N1699">
    <cfRule type="expression" dxfId="124" priority="1871">
      <formula>$J$11="营业利润率"</formula>
    </cfRule>
    <cfRule type="expression" dxfId="123" priority="1868">
      <formula>$N$11="EPS"</formula>
    </cfRule>
  </conditionalFormatting>
  <conditionalFormatting sqref="N1688:N1701">
    <cfRule type="expression" dxfId="122" priority="1848">
      <formula>$K$11="净利润率"</formula>
    </cfRule>
  </conditionalFormatting>
  <conditionalFormatting sqref="N1700:N1701">
    <cfRule type="expression" dxfId="121" priority="1844">
      <formula>$N$11="EPS"</formula>
    </cfRule>
    <cfRule type="expression" dxfId="120" priority="1847">
      <formula>$J$11="营业利润率"</formula>
    </cfRule>
  </conditionalFormatting>
  <conditionalFormatting sqref="N1700:N1725">
    <cfRule type="expression" dxfId="119" priority="1824">
      <formula>$K$11="净利润率"</formula>
    </cfRule>
  </conditionalFormatting>
  <conditionalFormatting sqref="N1702:N1725">
    <cfRule type="expression" dxfId="118" priority="1820">
      <formula>$N$11="EPS"</formula>
    </cfRule>
    <cfRule type="expression" dxfId="117" priority="1823">
      <formula>$J$11="营业利润率"</formula>
    </cfRule>
  </conditionalFormatting>
  <conditionalFormatting sqref="N1702:N1739">
    <cfRule type="expression" dxfId="116" priority="1800">
      <formula>$K$11="净利润率"</formula>
    </cfRule>
  </conditionalFormatting>
  <conditionalFormatting sqref="N1726:N1739">
    <cfRule type="expression" dxfId="115" priority="1799">
      <formula>$J$11="营业利润率"</formula>
    </cfRule>
    <cfRule type="expression" dxfId="114" priority="1796">
      <formula>$N$11="EPS"</formula>
    </cfRule>
  </conditionalFormatting>
  <conditionalFormatting sqref="N1726:N1741">
    <cfRule type="expression" dxfId="113" priority="1776">
      <formula>$K$11="净利润率"</formula>
    </cfRule>
  </conditionalFormatting>
  <conditionalFormatting sqref="N1740:N1741">
    <cfRule type="expression" dxfId="112" priority="1772">
      <formula>$N$11="EPS"</formula>
    </cfRule>
    <cfRule type="expression" dxfId="111" priority="1775">
      <formula>$J$11="营业利润率"</formula>
    </cfRule>
  </conditionalFormatting>
  <conditionalFormatting sqref="N1740:N1743">
    <cfRule type="expression" dxfId="110" priority="1752">
      <formula>$K$11="净利润率"</formula>
    </cfRule>
  </conditionalFormatting>
  <conditionalFormatting sqref="N1742:N1743">
    <cfRule type="expression" dxfId="109" priority="1751">
      <formula>$J$11="营业利润率"</formula>
    </cfRule>
    <cfRule type="expression" dxfId="108" priority="1748">
      <formula>$N$11="EPS"</formula>
    </cfRule>
  </conditionalFormatting>
  <conditionalFormatting sqref="N1742:N1767">
    <cfRule type="expression" dxfId="107" priority="1728">
      <formula>$K$11="净利润率"</formula>
    </cfRule>
  </conditionalFormatting>
  <conditionalFormatting sqref="N1744:N1767">
    <cfRule type="expression" dxfId="106" priority="1724">
      <formula>$N$11="EPS"</formula>
    </cfRule>
    <cfRule type="expression" dxfId="105" priority="1727">
      <formula>$J$11="营业利润率"</formula>
    </cfRule>
  </conditionalFormatting>
  <conditionalFormatting sqref="N1744:N1781">
    <cfRule type="expression" dxfId="104" priority="1704">
      <formula>$K$11="净利润率"</formula>
    </cfRule>
  </conditionalFormatting>
  <conditionalFormatting sqref="N1768:N1781">
    <cfRule type="expression" dxfId="103" priority="1703">
      <formula>$J$11="营业利润率"</formula>
    </cfRule>
    <cfRule type="expression" dxfId="102" priority="1700">
      <formula>$N$11="EPS"</formula>
    </cfRule>
  </conditionalFormatting>
  <conditionalFormatting sqref="N1768:N1783">
    <cfRule type="expression" dxfId="101" priority="1680">
      <formula>$K$11="净利润率"</formula>
    </cfRule>
  </conditionalFormatting>
  <conditionalFormatting sqref="N1782:N1783">
    <cfRule type="expression" dxfId="100" priority="1676">
      <formula>$N$11="EPS"</formula>
    </cfRule>
    <cfRule type="expression" dxfId="99" priority="1679">
      <formula>$J$11="营业利润率"</formula>
    </cfRule>
  </conditionalFormatting>
  <conditionalFormatting sqref="N1782:N1807">
    <cfRule type="expression" dxfId="98" priority="1656">
      <formula>$K$11="净利润率"</formula>
    </cfRule>
  </conditionalFormatting>
  <conditionalFormatting sqref="N1784:N1807">
    <cfRule type="expression" dxfId="97" priority="1655">
      <formula>$J$11="营业利润率"</formula>
    </cfRule>
    <cfRule type="expression" dxfId="96" priority="1652">
      <formula>$N$11="EPS"</formula>
    </cfRule>
  </conditionalFormatting>
  <conditionalFormatting sqref="N1784:N1819">
    <cfRule type="expression" dxfId="95" priority="1632">
      <formula>$K$11="净利润率"</formula>
    </cfRule>
  </conditionalFormatting>
  <conditionalFormatting sqref="N1808:N1819">
    <cfRule type="expression" dxfId="94" priority="1628">
      <formula>$N$11="EPS"</formula>
    </cfRule>
    <cfRule type="expression" dxfId="93" priority="1631">
      <formula>$J$11="营业利润率"</formula>
    </cfRule>
  </conditionalFormatting>
  <conditionalFormatting sqref="N1808:N1821">
    <cfRule type="expression" dxfId="92" priority="1608">
      <formula>$K$11="净利润率"</formula>
    </cfRule>
  </conditionalFormatting>
  <conditionalFormatting sqref="N1820:N1821">
    <cfRule type="expression" dxfId="91" priority="1604">
      <formula>$N$11="EPS"</formula>
    </cfRule>
    <cfRule type="expression" dxfId="90" priority="1607">
      <formula>$J$11="营业利润率"</formula>
    </cfRule>
  </conditionalFormatting>
  <conditionalFormatting sqref="N1820:N1845">
    <cfRule type="expression" dxfId="89" priority="1584">
      <formula>$K$11="净利润率"</formula>
    </cfRule>
  </conditionalFormatting>
  <conditionalFormatting sqref="N1822:N1845">
    <cfRule type="expression" dxfId="88" priority="1580">
      <formula>$N$11="EPS"</formula>
    </cfRule>
    <cfRule type="expression" dxfId="87" priority="1583">
      <formula>$J$11="营业利润率"</formula>
    </cfRule>
  </conditionalFormatting>
  <conditionalFormatting sqref="N1822:N1859">
    <cfRule type="expression" dxfId="86" priority="1560">
      <formula>$K$11="净利润率"</formula>
    </cfRule>
  </conditionalFormatting>
  <conditionalFormatting sqref="N1846:N1859">
    <cfRule type="expression" dxfId="85" priority="1556">
      <formula>$N$11="EPS"</formula>
    </cfRule>
    <cfRule type="expression" dxfId="84" priority="1559">
      <formula>$J$11="营业利润率"</formula>
    </cfRule>
  </conditionalFormatting>
  <conditionalFormatting sqref="N1846:N1861">
    <cfRule type="expression" dxfId="83" priority="1536">
      <formula>$K$11="净利润率"</formula>
    </cfRule>
  </conditionalFormatting>
  <conditionalFormatting sqref="N1860:N1861">
    <cfRule type="expression" dxfId="82" priority="1535">
      <formula>$J$11="营业利润率"</formula>
    </cfRule>
    <cfRule type="expression" dxfId="81" priority="1532">
      <formula>$N$11="EPS"</formula>
    </cfRule>
  </conditionalFormatting>
  <conditionalFormatting sqref="N1860:N1885">
    <cfRule type="expression" dxfId="80" priority="1512">
      <formula>$K$11="净利润率"</formula>
    </cfRule>
  </conditionalFormatting>
  <conditionalFormatting sqref="N1862:N1885">
    <cfRule type="expression" dxfId="79" priority="1511">
      <formula>$J$11="营业利润率"</formula>
    </cfRule>
    <cfRule type="expression" dxfId="78" priority="1508">
      <formula>$N$11="EPS"</formula>
    </cfRule>
  </conditionalFormatting>
  <conditionalFormatting sqref="N1862:N1897">
    <cfRule type="expression" dxfId="77" priority="1488">
      <formula>$K$11="净利润率"</formula>
    </cfRule>
  </conditionalFormatting>
  <conditionalFormatting sqref="N1886:N1897">
    <cfRule type="expression" dxfId="76" priority="1484">
      <formula>$N$11="EPS"</formula>
    </cfRule>
    <cfRule type="expression" dxfId="75" priority="1487">
      <formula>$J$11="营业利润率"</formula>
    </cfRule>
  </conditionalFormatting>
  <conditionalFormatting sqref="N1886:N1899">
    <cfRule type="expression" dxfId="74" priority="1464">
      <formula>$K$11="净利润率"</formula>
    </cfRule>
  </conditionalFormatting>
  <conditionalFormatting sqref="N1898:N1899">
    <cfRule type="expression" dxfId="73" priority="1463">
      <formula>$J$11="营业利润率"</formula>
    </cfRule>
    <cfRule type="expression" dxfId="72" priority="1460">
      <formula>$N$11="EPS"</formula>
    </cfRule>
  </conditionalFormatting>
  <conditionalFormatting sqref="N1898:N1923">
    <cfRule type="expression" dxfId="71" priority="1440">
      <formula>$K$11="净利润率"</formula>
    </cfRule>
  </conditionalFormatting>
  <conditionalFormatting sqref="N1900:N1923">
    <cfRule type="expression" dxfId="70" priority="1436">
      <formula>$N$11="EPS"</formula>
    </cfRule>
    <cfRule type="expression" dxfId="69" priority="1439">
      <formula>$J$11="营业利润率"</formula>
    </cfRule>
  </conditionalFormatting>
  <conditionalFormatting sqref="N1900:N1937">
    <cfRule type="expression" dxfId="68" priority="1416">
      <formula>$K$11="净利润率"</formula>
    </cfRule>
  </conditionalFormatting>
  <conditionalFormatting sqref="N1924:N1937">
    <cfRule type="expression" dxfId="67" priority="1415">
      <formula>$J$11="营业利润率"</formula>
    </cfRule>
    <cfRule type="expression" dxfId="66" priority="1412">
      <formula>$N$11="EPS"</formula>
    </cfRule>
  </conditionalFormatting>
  <conditionalFormatting sqref="N1924:N1939">
    <cfRule type="expression" dxfId="65" priority="1392">
      <formula>$K$11="净利润率"</formula>
    </cfRule>
  </conditionalFormatting>
  <conditionalFormatting sqref="N1938:N1939">
    <cfRule type="expression" dxfId="64" priority="1391">
      <formula>$J$11="营业利润率"</formula>
    </cfRule>
    <cfRule type="expression" dxfId="63" priority="1388">
      <formula>$N$11="EPS"</formula>
    </cfRule>
  </conditionalFormatting>
  <conditionalFormatting sqref="N1938:N1963">
    <cfRule type="expression" dxfId="62" priority="1368">
      <formula>$K$11="净利润率"</formula>
    </cfRule>
  </conditionalFormatting>
  <conditionalFormatting sqref="N1940:N1963">
    <cfRule type="expression" dxfId="61" priority="1367">
      <formula>$J$11="营业利润率"</formula>
    </cfRule>
    <cfRule type="expression" dxfId="60" priority="1364">
      <formula>$N$11="EPS"</formula>
    </cfRule>
  </conditionalFormatting>
  <conditionalFormatting sqref="N1940:N1975">
    <cfRule type="expression" dxfId="59" priority="1344">
      <formula>$K$11="净利润率"</formula>
    </cfRule>
  </conditionalFormatting>
  <conditionalFormatting sqref="N1964:N1975">
    <cfRule type="expression" dxfId="58" priority="1340">
      <formula>$N$11="EPS"</formula>
    </cfRule>
    <cfRule type="expression" dxfId="57" priority="1343">
      <formula>$J$11="营业利润率"</formula>
    </cfRule>
  </conditionalFormatting>
  <conditionalFormatting sqref="N1964:N1977">
    <cfRule type="expression" dxfId="56" priority="1320">
      <formula>$K$11="净利润率"</formula>
    </cfRule>
  </conditionalFormatting>
  <conditionalFormatting sqref="N1976:N1977">
    <cfRule type="expression" dxfId="55" priority="1316">
      <formula>$N$11="EPS"</formula>
    </cfRule>
    <cfRule type="expression" dxfId="54" priority="1319">
      <formula>$J$11="营业利润率"</formula>
    </cfRule>
  </conditionalFormatting>
  <conditionalFormatting sqref="N1976:N2001">
    <cfRule type="expression" dxfId="53" priority="1296">
      <formula>$K$11="净利润率"</formula>
    </cfRule>
  </conditionalFormatting>
  <conditionalFormatting sqref="N1978:N2001">
    <cfRule type="expression" dxfId="52" priority="1292">
      <formula>$N$11="EPS"</formula>
    </cfRule>
    <cfRule type="expression" dxfId="51" priority="1295">
      <formula>$J$11="营业利润率"</formula>
    </cfRule>
  </conditionalFormatting>
  <conditionalFormatting sqref="N1978:N2015">
    <cfRule type="expression" dxfId="50" priority="1272">
      <formula>$K$11="净利润率"</formula>
    </cfRule>
  </conditionalFormatting>
  <conditionalFormatting sqref="N2002:N2015">
    <cfRule type="expression" dxfId="49" priority="1271">
      <formula>$J$11="营业利润率"</formula>
    </cfRule>
    <cfRule type="expression" dxfId="48" priority="1268">
      <formula>$N$11="EPS"</formula>
    </cfRule>
  </conditionalFormatting>
  <conditionalFormatting sqref="N2002:N2017">
    <cfRule type="expression" dxfId="47" priority="1248">
      <formula>$K$11="净利润率"</formula>
    </cfRule>
  </conditionalFormatting>
  <conditionalFormatting sqref="N2016:N2017">
    <cfRule type="expression" dxfId="46" priority="1244">
      <formula>$N$11="EPS"</formula>
    </cfRule>
    <cfRule type="expression" dxfId="45" priority="1247">
      <formula>$J$11="营业利润率"</formula>
    </cfRule>
  </conditionalFormatting>
  <conditionalFormatting sqref="N2016:N2041">
    <cfRule type="expression" dxfId="44" priority="1224">
      <formula>$K$11="净利润率"</formula>
    </cfRule>
  </conditionalFormatting>
  <conditionalFormatting sqref="N2018:N2041">
    <cfRule type="expression" dxfId="43" priority="1223">
      <formula>$J$11="营业利润率"</formula>
    </cfRule>
    <cfRule type="expression" dxfId="42" priority="1220">
      <formula>$N$11="EPS"</formula>
    </cfRule>
  </conditionalFormatting>
  <conditionalFormatting sqref="N2018:N2053">
    <cfRule type="expression" dxfId="41" priority="1200">
      <formula>$K$11="净利润率"</formula>
    </cfRule>
  </conditionalFormatting>
  <conditionalFormatting sqref="N2042:N2053">
    <cfRule type="expression" dxfId="40" priority="1199">
      <formula>$J$11="营业利润率"</formula>
    </cfRule>
    <cfRule type="expression" dxfId="39" priority="1196">
      <formula>$N$11="EPS"</formula>
    </cfRule>
  </conditionalFormatting>
  <conditionalFormatting sqref="N2042:N2055">
    <cfRule type="expression" dxfId="38" priority="1176">
      <formula>$K$11="净利润率"</formula>
    </cfRule>
  </conditionalFormatting>
  <conditionalFormatting sqref="N2054:N2055">
    <cfRule type="expression" dxfId="37" priority="1172">
      <formula>$N$11="EPS"</formula>
    </cfRule>
    <cfRule type="expression" dxfId="36" priority="1175">
      <formula>$J$11="营业利润率"</formula>
    </cfRule>
  </conditionalFormatting>
  <conditionalFormatting sqref="N2054:N2079">
    <cfRule type="expression" dxfId="35" priority="1152">
      <formula>$K$11="净利润率"</formula>
    </cfRule>
  </conditionalFormatting>
  <conditionalFormatting sqref="N2056:N2079">
    <cfRule type="expression" dxfId="34" priority="1151">
      <formula>$J$11="营业利润率"</formula>
    </cfRule>
    <cfRule type="expression" dxfId="33" priority="1148">
      <formula>$N$11="EPS"</formula>
    </cfRule>
  </conditionalFormatting>
  <conditionalFormatting sqref="N2056:N2093">
    <cfRule type="expression" dxfId="32" priority="1128">
      <formula>$K$11="净利润率"</formula>
    </cfRule>
  </conditionalFormatting>
  <conditionalFormatting sqref="N2080:N2093">
    <cfRule type="expression" dxfId="31" priority="1127">
      <formula>$J$11="营业利润率"</formula>
    </cfRule>
    <cfRule type="expression" dxfId="30" priority="1124">
      <formula>$N$11="EPS"</formula>
    </cfRule>
  </conditionalFormatting>
  <conditionalFormatting sqref="N2080:N2095">
    <cfRule type="expression" dxfId="29" priority="1104">
      <formula>$K$11="净利润率"</formula>
    </cfRule>
  </conditionalFormatting>
  <conditionalFormatting sqref="N2094:N2095">
    <cfRule type="expression" dxfId="28" priority="1103">
      <formula>$J$11="营业利润率"</formula>
    </cfRule>
    <cfRule type="expression" dxfId="27" priority="1100">
      <formula>$N$11="EPS"</formula>
    </cfRule>
  </conditionalFormatting>
  <conditionalFormatting sqref="N2094:N2119">
    <cfRule type="expression" dxfId="26" priority="1080">
      <formula>$K$11="净利润率"</formula>
    </cfRule>
  </conditionalFormatting>
  <conditionalFormatting sqref="N2096:N2119">
    <cfRule type="expression" dxfId="25" priority="1076">
      <formula>$N$11="EPS"</formula>
    </cfRule>
    <cfRule type="expression" dxfId="24" priority="1079">
      <formula>$J$11="营业利润率"</formula>
    </cfRule>
  </conditionalFormatting>
  <conditionalFormatting sqref="N2096:N2131">
    <cfRule type="expression" dxfId="23" priority="1056">
      <formula>$K$11="净利润率"</formula>
    </cfRule>
  </conditionalFormatting>
  <conditionalFormatting sqref="N2120:N2131">
    <cfRule type="expression" dxfId="22" priority="1055">
      <formula>$J$11="营业利润率"</formula>
    </cfRule>
    <cfRule type="expression" dxfId="21" priority="1052">
      <formula>$N$11="EPS"</formula>
    </cfRule>
  </conditionalFormatting>
  <conditionalFormatting sqref="N2120:N2133">
    <cfRule type="expression" dxfId="20" priority="1032">
      <formula>$K$11="净利润率"</formula>
    </cfRule>
  </conditionalFormatting>
  <conditionalFormatting sqref="N2132:N2133">
    <cfRule type="expression" dxfId="19" priority="1031">
      <formula>$J$11="营业利润率"</formula>
    </cfRule>
    <cfRule type="expression" dxfId="18" priority="1028">
      <formula>$N$11="EPS"</formula>
    </cfRule>
  </conditionalFormatting>
  <conditionalFormatting sqref="N2132:N2157">
    <cfRule type="expression" dxfId="17" priority="1008">
      <formula>$K$11="净利润率"</formula>
    </cfRule>
  </conditionalFormatting>
  <conditionalFormatting sqref="N2134:N2157">
    <cfRule type="expression" dxfId="16" priority="1007">
      <formula>$J$11="营业利润率"</formula>
    </cfRule>
    <cfRule type="expression" dxfId="15" priority="1004">
      <formula>$N$11="EPS"</formula>
    </cfRule>
  </conditionalFormatting>
  <conditionalFormatting sqref="N2134:N2171">
    <cfRule type="expression" dxfId="14" priority="984">
      <formula>$K$11="净利润率"</formula>
    </cfRule>
  </conditionalFormatting>
  <conditionalFormatting sqref="N2158:N2171">
    <cfRule type="expression" dxfId="13" priority="983">
      <formula>$J$11="营业利润率"</formula>
    </cfRule>
    <cfRule type="expression" dxfId="12" priority="980">
      <formula>$N$11="EPS"</formula>
    </cfRule>
  </conditionalFormatting>
  <conditionalFormatting sqref="N2158:N1048576 J1501:L1048576">
    <cfRule type="expression" dxfId="11" priority="960">
      <formula>$K$11="净利润率"</formula>
    </cfRule>
  </conditionalFormatting>
  <conditionalFormatting sqref="N2172:N2173">
    <cfRule type="expression" dxfId="10" priority="942">
      <formula>$K$11="净利润率"</formula>
    </cfRule>
  </conditionalFormatting>
  <conditionalFormatting sqref="N2172:N1048576 J1501:K1048576">
    <cfRule type="expression" dxfId="9" priority="959">
      <formula>$J$11="营业利润率"</formula>
    </cfRule>
  </conditionalFormatting>
  <conditionalFormatting sqref="N2172:N1048576">
    <cfRule type="expression" dxfId="8" priority="956">
      <formula>$N$11="EPS"</formula>
    </cfRule>
  </conditionalFormatting>
  <conditionalFormatting sqref="O2:O3">
    <cfRule type="expression" dxfId="7" priority="5642">
      <formula>$O$11="BPS"</formula>
    </cfRule>
  </conditionalFormatting>
  <conditionalFormatting sqref="O2:O5">
    <cfRule type="expression" dxfId="6" priority="5633">
      <formula>$M$9="ROE"</formula>
    </cfRule>
  </conditionalFormatting>
  <conditionalFormatting sqref="O11:O1048576">
    <cfRule type="expression" dxfId="5" priority="954">
      <formula>$O$11="BPS"</formula>
    </cfRule>
  </conditionalFormatting>
  <conditionalFormatting sqref="P2:P3">
    <cfRule type="expression" dxfId="4" priority="5643">
      <formula>$P$11="CFPS"</formula>
    </cfRule>
  </conditionalFormatting>
  <conditionalFormatting sqref="P2:P5">
    <cfRule type="expression" dxfId="3" priority="5634">
      <formula>$N$9="EPS"</formula>
    </cfRule>
  </conditionalFormatting>
  <conditionalFormatting sqref="P11:P1048576">
    <cfRule type="expression" dxfId="2" priority="955">
      <formula>$P$11="CFPS"</formula>
    </cfRule>
  </conditionalFormatting>
  <conditionalFormatting sqref="Q2">
    <cfRule type="colorScale" priority="5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:Q5">
    <cfRule type="expression" dxfId="1" priority="5636">
      <formula>$O$9="BPS"</formula>
    </cfRule>
  </conditionalFormatting>
  <conditionalFormatting sqref="Q8:Q9 O4:O7 Q3 Q11:Q15 Q2174:Q1048576">
    <cfRule type="colorScale" priority="5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">
    <cfRule type="colorScale" priority="56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:Q39">
    <cfRule type="colorScale" priority="5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:Q53">
    <cfRule type="colorScale" priority="5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4:Q55">
    <cfRule type="colorScale" priority="5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:Q79">
    <cfRule type="colorScale" priority="5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0:Q91">
    <cfRule type="colorScale" priority="5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2:Q93">
    <cfRule type="colorScale" priority="5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4:Q117">
    <cfRule type="colorScale" priority="5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8:Q131">
    <cfRule type="colorScale" priority="5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2:Q133">
    <cfRule type="colorScale" priority="5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4:Q157">
    <cfRule type="colorScale" priority="5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:Q169">
    <cfRule type="colorScale" priority="5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:Q171">
    <cfRule type="colorScale" priority="5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2:Q195">
    <cfRule type="colorScale" priority="5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6:Q209">
    <cfRule type="colorScale" priority="5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0:Q211">
    <cfRule type="colorScale" priority="5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2:Q235">
    <cfRule type="colorScale" priority="5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36:Q247">
    <cfRule type="colorScale" priority="5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48:Q249">
    <cfRule type="colorScale" priority="5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50:Q273">
    <cfRule type="colorScale" priority="5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74:Q287">
    <cfRule type="colorScale" priority="5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88:Q289">
    <cfRule type="colorScale" priority="5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90:Q313">
    <cfRule type="colorScale" priority="5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14:Q325">
    <cfRule type="colorScale" priority="5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26:Q327">
    <cfRule type="colorScale" priority="5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28:Q351">
    <cfRule type="colorScale" priority="5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52:Q365">
    <cfRule type="colorScale" priority="5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66:Q367">
    <cfRule type="colorScale" priority="4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68:Q391">
    <cfRule type="colorScale" priority="4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92:Q403">
    <cfRule type="colorScale" priority="4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4:Q405">
    <cfRule type="colorScale" priority="4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6:Q429">
    <cfRule type="colorScale" priority="4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30:Q443">
    <cfRule type="colorScale" priority="4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4:Q445">
    <cfRule type="colorScale" priority="4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6:Q447">
    <cfRule type="colorScale" priority="4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8:Q471">
    <cfRule type="colorScale" priority="4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72:Q485">
    <cfRule type="colorScale" priority="4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86:Q487">
    <cfRule type="colorScale" priority="4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88:Q511">
    <cfRule type="colorScale" priority="4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12:Q523">
    <cfRule type="colorScale" priority="4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24:Q525">
    <cfRule type="colorScale" priority="4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26:Q549">
    <cfRule type="colorScale" priority="4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50:Q563">
    <cfRule type="colorScale" priority="4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4:Q565">
    <cfRule type="colorScale" priority="3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6:Q589">
    <cfRule type="colorScale" priority="3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90:Q601">
    <cfRule type="colorScale" priority="3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02:Q603">
    <cfRule type="colorScale" priority="3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04:Q627">
    <cfRule type="colorScale" priority="3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28:Q641">
    <cfRule type="colorScale" priority="3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42:Q643">
    <cfRule type="colorScale" priority="3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44:Q667">
    <cfRule type="colorScale" priority="3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68:Q679">
    <cfRule type="colorScale" priority="3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80:Q681">
    <cfRule type="colorScale" priority="3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82:Q705">
    <cfRule type="colorScale" priority="3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06:Q719">
    <cfRule type="colorScale" priority="3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20:Q721">
    <cfRule type="colorScale" priority="3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22:Q745">
    <cfRule type="colorScale" priority="3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46:Q757">
    <cfRule type="colorScale" priority="3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58:Q759">
    <cfRule type="colorScale" priority="3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60:Q783">
    <cfRule type="colorScale" priority="3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84:Q797">
    <cfRule type="colorScale" priority="3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98:Q799">
    <cfRule type="colorScale" priority="3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00:Q823">
    <cfRule type="colorScale" priority="3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24:Q835">
    <cfRule type="colorScale" priority="3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36:Q837">
    <cfRule type="colorScale" priority="3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38:Q861">
    <cfRule type="colorScale" priority="3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62:Q875">
    <cfRule type="colorScale" priority="3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76:Q877">
    <cfRule type="colorScale" priority="3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78:Q879">
    <cfRule type="colorScale" priority="3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80:Q903">
    <cfRule type="colorScale" priority="3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04:Q917">
    <cfRule type="colorScale" priority="3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18:Q919">
    <cfRule type="colorScale" priority="3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20:Q943">
    <cfRule type="colorScale" priority="3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44:Q955">
    <cfRule type="colorScale" priority="3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56:Q957">
    <cfRule type="colorScale" priority="3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58:Q981">
    <cfRule type="colorScale" priority="3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82:Q995">
    <cfRule type="colorScale" priority="3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96:Q997">
    <cfRule type="colorScale" priority="3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98:Q1021">
    <cfRule type="colorScale" priority="3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22:Q1033">
    <cfRule type="colorScale" priority="3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34:Q1035">
    <cfRule type="colorScale" priority="3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36:Q1059">
    <cfRule type="colorScale" priority="3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60:Q1073">
    <cfRule type="colorScale" priority="3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74:Q1075">
    <cfRule type="colorScale" priority="3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76:Q1099">
    <cfRule type="colorScale" priority="2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00:Q1111">
    <cfRule type="colorScale" priority="2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12:Q1113">
    <cfRule type="colorScale" priority="2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14:Q1137">
    <cfRule type="colorScale" priority="2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38:Q1151">
    <cfRule type="colorScale" priority="2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52:Q1153">
    <cfRule type="colorScale" priority="2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54:Q1177">
    <cfRule type="colorScale" priority="2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78:Q1189">
    <cfRule type="colorScale" priority="2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90:Q1191">
    <cfRule type="colorScale" priority="2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92:Q1215">
    <cfRule type="colorScale" priority="2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16:Q1229">
    <cfRule type="colorScale" priority="2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30:Q1231">
    <cfRule type="colorScale" priority="2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32:Q1255">
    <cfRule type="colorScale" priority="2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56:Q1267">
    <cfRule type="colorScale" priority="2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68:Q1269">
    <cfRule type="colorScale" priority="2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70:Q1293">
    <cfRule type="colorScale" priority="2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94:Q1307">
    <cfRule type="colorScale" priority="2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08:Q1309">
    <cfRule type="colorScale" priority="2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10:Q1311">
    <cfRule type="colorScale" priority="2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12:Q1335">
    <cfRule type="colorScale" priority="2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36:Q1349">
    <cfRule type="colorScale" priority="2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50:Q1351">
    <cfRule type="colorScale" priority="2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52:Q1375">
    <cfRule type="colorScale" priority="2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76:Q1387">
    <cfRule type="colorScale" priority="2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88:Q1389">
    <cfRule type="colorScale" priority="2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90:Q1413">
    <cfRule type="colorScale" priority="2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14:Q1427">
    <cfRule type="colorScale" priority="2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28:Q1429">
    <cfRule type="colorScale" priority="2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30:Q1453">
    <cfRule type="colorScale" priority="2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54:Q1465">
    <cfRule type="colorScale" priority="2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66:Q1467">
    <cfRule type="colorScale" priority="2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68:Q1491">
    <cfRule type="colorScale" priority="2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92:Q1505">
    <cfRule type="colorScale" priority="2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06:Q1507">
    <cfRule type="colorScale" priority="2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08:Q1531">
    <cfRule type="colorScale" priority="2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32:Q1543">
    <cfRule type="colorScale" priority="2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44:Q1545">
    <cfRule type="colorScale" priority="2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46:Q1569">
    <cfRule type="colorScale" priority="2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70:Q1583">
    <cfRule type="colorScale" priority="2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4:Q1585">
    <cfRule type="colorScale" priority="2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6:Q1609">
    <cfRule type="colorScale" priority="2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10:Q1621">
    <cfRule type="colorScale" priority="2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22:Q1623">
    <cfRule type="colorScale" priority="1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24:Q1647">
    <cfRule type="colorScale" priority="1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48:Q1661">
    <cfRule type="colorScale" priority="1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62:Q1663">
    <cfRule type="colorScale" priority="1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64:Q1687">
    <cfRule type="colorScale" priority="1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88:Q1699">
    <cfRule type="colorScale" priority="1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0:Q1701">
    <cfRule type="colorScale" priority="1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2:Q1725">
    <cfRule type="colorScale" priority="1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26:Q1739">
    <cfRule type="colorScale" priority="1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0:Q1741">
    <cfRule type="colorScale" priority="1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2:Q1743">
    <cfRule type="colorScale" priority="1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4:Q1767">
    <cfRule type="colorScale" priority="1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68:Q1781">
    <cfRule type="colorScale" priority="1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82:Q1783">
    <cfRule type="colorScale" priority="1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84:Q1807">
    <cfRule type="colorScale" priority="1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08:Q1819">
    <cfRule type="colorScale" priority="1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20:Q1821">
    <cfRule type="colorScale" priority="1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22:Q1845">
    <cfRule type="colorScale" priority="1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46:Q1859">
    <cfRule type="colorScale" priority="1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60:Q1861">
    <cfRule type="colorScale" priority="1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62:Q1885">
    <cfRule type="colorScale" priority="1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86:Q1897">
    <cfRule type="colorScale" priority="1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98:Q1899">
    <cfRule type="colorScale" priority="1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00:Q1923">
    <cfRule type="colorScale" priority="1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24:Q1937">
    <cfRule type="colorScale" priority="1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38:Q1939">
    <cfRule type="colorScale" priority="1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40:Q1963">
    <cfRule type="colorScale" priority="1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64:Q1975">
    <cfRule type="colorScale" priority="1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76:Q1977">
    <cfRule type="colorScale" priority="1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78:Q2001">
    <cfRule type="colorScale" priority="1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02:Q2015">
    <cfRule type="colorScale" priority="1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16:Q2017">
    <cfRule type="colorScale" priority="1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18:Q2041">
    <cfRule type="colorScale" priority="1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42:Q2053">
    <cfRule type="colorScale" priority="1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54:Q2055">
    <cfRule type="colorScale" priority="1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56:Q2079">
    <cfRule type="colorScale" priority="1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80:Q2093">
    <cfRule type="colorScale" priority="1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94:Q2095">
    <cfRule type="colorScale" priority="1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96:Q2119">
    <cfRule type="colorScale" priority="1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20:Q2131">
    <cfRule type="colorScale" priority="1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32:Q2133">
    <cfRule type="colorScale" priority="1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34:Q2157">
    <cfRule type="colorScale" priority="1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58:Q2171">
    <cfRule type="colorScale" priority="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72:Q2173">
    <cfRule type="colorScale" priority="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R2:R5">
    <cfRule type="expression" dxfId="0" priority="5635">
      <formula>$P$9="CFPS"</formula>
    </cfRule>
  </conditionalFormatting>
  <conditionalFormatting sqref="S2">
    <cfRule type="colorScale" priority="56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">
    <cfRule type="colorScale" priority="56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:S15 S8:S9 Q4:Q7 S3 S11 S2174:S1048576">
    <cfRule type="colorScale" priority="57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:S39">
    <cfRule type="colorScale" priority="56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:S53">
    <cfRule type="colorScale" priority="55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4:S55">
    <cfRule type="colorScale" priority="55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:S79">
    <cfRule type="colorScale" priority="55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0:S91">
    <cfRule type="colorScale" priority="55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2:S93">
    <cfRule type="colorScale" priority="54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4:S117">
    <cfRule type="colorScale" priority="54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8:S131">
    <cfRule type="colorScale" priority="54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2:S133">
    <cfRule type="colorScale" priority="54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4:S157">
    <cfRule type="colorScale" priority="53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:S169">
    <cfRule type="colorScale" priority="53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:S171">
    <cfRule type="colorScale" priority="53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2:S195">
    <cfRule type="colorScale" priority="53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6:S209">
    <cfRule type="colorScale" priority="52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0:S211">
    <cfRule type="colorScale" priority="52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2:S235">
    <cfRule type="colorScale" priority="52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36:S247">
    <cfRule type="colorScale" priority="52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48:S249">
    <cfRule type="colorScale" priority="52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50:S273">
    <cfRule type="colorScale" priority="51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74:S287">
    <cfRule type="colorScale" priority="51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88:S289">
    <cfRule type="colorScale" priority="51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90:S313">
    <cfRule type="colorScale" priority="51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14:S325">
    <cfRule type="colorScale" priority="50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26:S327">
    <cfRule type="colorScale" priority="50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28:S351">
    <cfRule type="colorScale" priority="50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52:S365">
    <cfRule type="colorScale" priority="50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66:S367">
    <cfRule type="colorScale" priority="49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68:S391">
    <cfRule type="colorScale" priority="49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92:S403">
    <cfRule type="colorScale" priority="49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4:S405">
    <cfRule type="colorScale" priority="49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6:S429">
    <cfRule type="colorScale" priority="48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30:S443">
    <cfRule type="colorScale" priority="48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4:S445">
    <cfRule type="colorScale" priority="48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6:S447">
    <cfRule type="colorScale" priority="41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8:S471">
    <cfRule type="colorScale" priority="41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72:S485">
    <cfRule type="colorScale" priority="41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86:S487">
    <cfRule type="colorScale" priority="41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88:S511">
    <cfRule type="colorScale" priority="40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12:S523">
    <cfRule type="colorScale" priority="40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24:S525">
    <cfRule type="colorScale" priority="40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26:S549">
    <cfRule type="colorScale" priority="40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50:S563">
    <cfRule type="colorScale" priority="40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4:S565">
    <cfRule type="colorScale" priority="39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6:S589">
    <cfRule type="colorScale" priority="39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90:S601">
    <cfRule type="colorScale" priority="39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02:S603">
    <cfRule type="colorScale" priority="39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04:S627">
    <cfRule type="colorScale" priority="38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28:S641">
    <cfRule type="colorScale" priority="38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42:S643">
    <cfRule type="colorScale" priority="38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44:S667">
    <cfRule type="colorScale" priority="38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68:S679">
    <cfRule type="colorScale" priority="37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80:S681">
    <cfRule type="colorScale" priority="37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82:S705">
    <cfRule type="colorScale" priority="37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06:S719">
    <cfRule type="colorScale" priority="37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20:S721">
    <cfRule type="colorScale" priority="36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22:S745">
    <cfRule type="colorScale" priority="36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46:S757">
    <cfRule type="colorScale" priority="36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58:S759">
    <cfRule type="colorScale" priority="36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60:S783">
    <cfRule type="colorScale" priority="35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84:S797">
    <cfRule type="colorScale" priority="35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98:S799">
    <cfRule type="colorScale" priority="35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00:S823">
    <cfRule type="colorScale" priority="35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24:S835">
    <cfRule type="colorScale" priority="34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36:S837">
    <cfRule type="colorScale" priority="34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38:S861">
    <cfRule type="colorScale" priority="34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62:S875">
    <cfRule type="colorScale" priority="34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76:S877">
    <cfRule type="colorScale" priority="34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78:S879">
    <cfRule type="colorScale" priority="33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80:S903">
    <cfRule type="colorScale" priority="33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04:S917">
    <cfRule type="colorScale" priority="33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18:S919">
    <cfRule type="colorScale" priority="33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20:S943">
    <cfRule type="colorScale" priority="32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44:S955">
    <cfRule type="colorScale" priority="32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56:S957">
    <cfRule type="colorScale" priority="32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58:S981">
    <cfRule type="colorScale" priority="32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82:S995">
    <cfRule type="colorScale" priority="31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96:S997">
    <cfRule type="colorScale" priority="31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98:S1021">
    <cfRule type="colorScale" priority="31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22:S1033">
    <cfRule type="colorScale" priority="31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34:S1035">
    <cfRule type="colorScale" priority="30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36:S1059">
    <cfRule type="colorScale" priority="30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60:S1073">
    <cfRule type="colorScale" priority="30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74:S1075">
    <cfRule type="colorScale" priority="30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76:S1099">
    <cfRule type="colorScale" priority="29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00:S1111">
    <cfRule type="colorScale" priority="29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12:S1113">
    <cfRule type="colorScale" priority="29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14:S1137">
    <cfRule type="colorScale" priority="29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38:S1151">
    <cfRule type="colorScale" priority="28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52:S1153">
    <cfRule type="colorScale" priority="28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54:S1177">
    <cfRule type="colorScale" priority="28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78:S1189">
    <cfRule type="colorScale" priority="28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90:S1191">
    <cfRule type="colorScale" priority="28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92:S1215">
    <cfRule type="colorScale" priority="27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16:S1229">
    <cfRule type="colorScale" priority="27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30:S1231">
    <cfRule type="colorScale" priority="27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32:S1255">
    <cfRule type="colorScale" priority="27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56:S1267">
    <cfRule type="colorScale" priority="26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68:S1269">
    <cfRule type="colorScale" priority="26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70:S1293">
    <cfRule type="colorScale" priority="26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94:S1307">
    <cfRule type="colorScale" priority="26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08:S1309">
    <cfRule type="colorScale" priority="25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10:S1311">
    <cfRule type="colorScale" priority="25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12:S1335">
    <cfRule type="colorScale" priority="25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36:S1349">
    <cfRule type="colorScale" priority="25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50:S1351">
    <cfRule type="colorScale" priority="24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52:S1375">
    <cfRule type="colorScale" priority="24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76:S1387">
    <cfRule type="colorScale" priority="24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88:S1389">
    <cfRule type="colorScale" priority="24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90:S1413">
    <cfRule type="colorScale" priority="23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14:S1427">
    <cfRule type="colorScale" priority="23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28:S1429">
    <cfRule type="colorScale" priority="23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30:S1453">
    <cfRule type="colorScale" priority="23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54:S1465">
    <cfRule type="colorScale" priority="22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66:S1467">
    <cfRule type="colorScale" priority="22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68:S1491">
    <cfRule type="colorScale" priority="22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92:S1505">
    <cfRule type="colorScale" priority="22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06:S1507">
    <cfRule type="colorScale" priority="22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08:S1531">
    <cfRule type="colorScale" priority="21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32:S1543">
    <cfRule type="colorScale" priority="21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44:S1545">
    <cfRule type="colorScale" priority="21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46:S1569">
    <cfRule type="colorScale" priority="21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70:S1583">
    <cfRule type="colorScale" priority="20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4:S1585">
    <cfRule type="colorScale" priority="20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6:S1609">
    <cfRule type="colorScale" priority="20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10:S1621">
    <cfRule type="colorScale" priority="20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22:S1623">
    <cfRule type="colorScale" priority="19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24:S1647">
    <cfRule type="colorScale" priority="19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48:S1661">
    <cfRule type="colorScale" priority="19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62:S1663">
    <cfRule type="colorScale" priority="19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64:S1687">
    <cfRule type="colorScale" priority="18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88:S1699">
    <cfRule type="colorScale" priority="18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0:S1701">
    <cfRule type="colorScale" priority="18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2:S1725">
    <cfRule type="colorScale" priority="18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26:S1739">
    <cfRule type="colorScale" priority="17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0:S1741">
    <cfRule type="colorScale" priority="17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2:S1743">
    <cfRule type="colorScale" priority="17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4:S1767">
    <cfRule type="colorScale" priority="17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68:S1781">
    <cfRule type="colorScale" priority="16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82:S1783">
    <cfRule type="colorScale" priority="16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84:S1807">
    <cfRule type="colorScale" priority="16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08:S1819">
    <cfRule type="colorScale" priority="16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20:S1821">
    <cfRule type="colorScale" priority="16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22:S1845">
    <cfRule type="colorScale" priority="15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46:S1859">
    <cfRule type="colorScale" priority="15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60:S1861">
    <cfRule type="colorScale" priority="15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62:S1885">
    <cfRule type="colorScale" priority="15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86:S1897">
    <cfRule type="colorScale" priority="14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98:S1899">
    <cfRule type="colorScale" priority="14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00:S1923">
    <cfRule type="colorScale" priority="14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24:S1937">
    <cfRule type="colorScale" priority="14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38:S1939">
    <cfRule type="colorScale" priority="13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40:S1963">
    <cfRule type="colorScale" priority="13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64:S1975">
    <cfRule type="colorScale" priority="13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76:S1977">
    <cfRule type="colorScale" priority="13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78:S2001">
    <cfRule type="colorScale" priority="12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02:S2015">
    <cfRule type="colorScale" priority="12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16:S2017">
    <cfRule type="colorScale" priority="12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18:S2041">
    <cfRule type="colorScale" priority="12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42:S2053">
    <cfRule type="colorScale" priority="11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54:S2055">
    <cfRule type="colorScale" priority="11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56:S2079">
    <cfRule type="colorScale" priority="11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80:S2093">
    <cfRule type="colorScale" priority="11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94:S2095">
    <cfRule type="colorScale" priority="10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96:S2119">
    <cfRule type="colorScale" priority="10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20:S2131">
    <cfRule type="colorScale" priority="10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32:S2133">
    <cfRule type="colorScale" priority="10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34:S2157">
    <cfRule type="colorScale" priority="10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58:S2171">
    <cfRule type="colorScale" priority="9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72:S2173">
    <cfRule type="colorScale" priority="9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dataValidations count="5">
    <dataValidation type="list" allowBlank="1" showInputMessage="1" showErrorMessage="1" sqref="D5" xr:uid="{00000000-0002-0000-0100-000000000000}">
      <formula1>Unit</formula1>
    </dataValidation>
    <dataValidation type="list" allowBlank="1" showInputMessage="1" showErrorMessage="1" sqref="D6:D7" xr:uid="{00000000-0002-0000-0100-000001000000}">
      <formula1>industrytype</formula1>
    </dataValidation>
    <dataValidation type="list" allowBlank="1" showInputMessage="1" showErrorMessage="1" sqref="H12" xr:uid="{00000000-0002-0000-0100-000002000000}">
      <formula1>reporttype</formula1>
    </dataValidation>
    <dataValidation type="list" allowBlank="1" showInputMessage="1" showErrorMessage="1" sqref="G6" xr:uid="{00000000-0002-0000-0100-000003000000}">
      <formula1>"财务摘要,估值分析"</formula1>
    </dataValidation>
    <dataValidation type="list" allowBlank="1" showInputMessage="1" showErrorMessage="1" sqref="V12:W12" xr:uid="{00000000-0002-0000-0100-000004000000}">
      <formula1>$G$11:$T$11</formula1>
    </dataValidation>
  </dataValidations>
  <pageMargins left="0.7" right="0.7" top="0.75" bottom="0.75" header="0.3" footer="0.3"/>
  <pageSetup paperSize="9" orientation="portrait" horizontalDpi="200" verticalDpi="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63636D"/>
  </sheetPr>
  <dimension ref="A1:AH122"/>
  <sheetViews>
    <sheetView showGridLines="0" topLeftCell="A79" workbookViewId="0">
      <selection activeCell="Y17" sqref="Y17"/>
    </sheetView>
  </sheetViews>
  <sheetFormatPr defaultColWidth="9" defaultRowHeight="12"/>
  <cols>
    <col min="1" max="1" width="2.25" style="28" customWidth="1"/>
    <col min="2" max="2" width="2.125" style="57" customWidth="1"/>
    <col min="3" max="3" width="3.25" style="7" hidden="1" customWidth="1"/>
    <col min="4" max="4" width="9.875" style="2" customWidth="1"/>
    <col min="5" max="5" width="10.125" style="2" customWidth="1"/>
    <col min="6" max="6" width="12.5" style="2" customWidth="1"/>
    <col min="7" max="7" width="11" style="2" customWidth="1"/>
    <col min="8" max="8" width="13.75" style="2" customWidth="1"/>
    <col min="9" max="9" width="15.125" style="2" bestFit="1" customWidth="1"/>
    <col min="10" max="10" width="8" style="3" customWidth="1"/>
    <col min="11" max="11" width="13.5" style="2" customWidth="1"/>
    <col min="12" max="12" width="10.125" style="2" customWidth="1"/>
    <col min="13" max="13" width="18.875" style="2" bestFit="1" customWidth="1"/>
    <col min="14" max="14" width="7.625" style="2" customWidth="1"/>
    <col min="15" max="15" width="7.875" style="2" customWidth="1"/>
    <col min="16" max="16" width="17" style="2" bestFit="1" customWidth="1"/>
    <col min="17" max="17" width="10.25" style="2" hidden="1" customWidth="1"/>
    <col min="18" max="18" width="1.25" style="2" hidden="1" customWidth="1"/>
    <col min="19" max="19" width="5.625" style="2" hidden="1" customWidth="1"/>
    <col min="20" max="20" width="1.75" style="2" hidden="1" customWidth="1"/>
    <col min="21" max="21" width="0.875" style="2" hidden="1" customWidth="1"/>
    <col min="22" max="22" width="10.5" style="2" hidden="1" customWidth="1"/>
    <col min="23" max="23" width="8.25" style="2" hidden="1" customWidth="1"/>
    <col min="24" max="24" width="11.75" style="2" customWidth="1"/>
    <col min="25" max="25" width="12.875" style="2" customWidth="1"/>
    <col min="26" max="26" width="11" style="2" customWidth="1"/>
    <col min="27" max="27" width="9.25" style="2" customWidth="1"/>
    <col min="28" max="28" width="8.75" style="2" customWidth="1"/>
    <col min="29" max="29" width="7.125" style="2" customWidth="1"/>
    <col min="30" max="30" width="1.625" style="57" customWidth="1"/>
    <col min="31" max="31" width="9" style="28"/>
    <col min="32" max="32" width="9" style="2"/>
    <col min="33" max="33" width="10.875" style="2" customWidth="1"/>
    <col min="34" max="16384" width="9" style="2"/>
  </cols>
  <sheetData>
    <row r="1" spans="1:34" s="1" customFormat="1" ht="30" customHeight="1">
      <c r="A1" s="9"/>
      <c r="B1" s="9"/>
      <c r="C1" s="9"/>
      <c r="D1" s="9"/>
      <c r="E1" s="379" t="s">
        <v>350</v>
      </c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79"/>
      <c r="R1" s="379"/>
      <c r="S1" s="379"/>
      <c r="T1" s="379"/>
      <c r="U1" s="379"/>
      <c r="V1" s="379"/>
      <c r="W1" s="379"/>
      <c r="X1" s="379"/>
      <c r="Y1" s="379"/>
      <c r="Z1" s="379"/>
      <c r="AA1" s="379"/>
      <c r="AB1" s="9"/>
      <c r="AC1" s="9"/>
      <c r="AD1" s="9"/>
      <c r="AE1" s="9"/>
    </row>
    <row r="2" spans="1:34" ht="18" customHeight="1" thickBot="1">
      <c r="B2" s="69"/>
      <c r="D2" s="93" t="s">
        <v>75</v>
      </c>
      <c r="E2" s="69"/>
      <c r="F2" s="69"/>
      <c r="G2" s="69"/>
      <c r="H2" s="69"/>
      <c r="I2" s="69"/>
      <c r="J2" s="70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</row>
    <row r="3" spans="1:34">
      <c r="D3" s="64"/>
      <c r="E3" s="57"/>
      <c r="F3" s="57"/>
      <c r="G3" s="57"/>
      <c r="H3" s="57"/>
      <c r="I3" s="57"/>
      <c r="J3" s="59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 spans="1:34" ht="16.5">
      <c r="D4" s="270" t="s">
        <v>154</v>
      </c>
      <c r="E4" s="271" t="s">
        <v>76</v>
      </c>
      <c r="F4" s="65">
        <f>VLOOKUP(E4,参数设置!C16:D108,2,FALSE)</f>
        <v>2</v>
      </c>
      <c r="G4" s="57"/>
      <c r="H4" s="57"/>
      <c r="I4" s="57"/>
      <c r="J4" s="59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</row>
    <row r="5" spans="1:34"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</row>
    <row r="6" spans="1:34" ht="16.5">
      <c r="D6" s="77" t="s">
        <v>77</v>
      </c>
      <c r="E6" s="87" t="str">
        <f>公司分析!D4</f>
        <v>601899.SH</v>
      </c>
      <c r="F6" s="66"/>
      <c r="G6" s="28"/>
      <c r="H6" s="388" t="s">
        <v>212</v>
      </c>
      <c r="I6" s="388"/>
      <c r="J6" s="91" t="s">
        <v>78</v>
      </c>
      <c r="K6" s="94" t="str">
        <f>IF(D4="自选机构","评级次数","评级家数")</f>
        <v>评级家数</v>
      </c>
      <c r="L6" s="57"/>
      <c r="M6" s="57"/>
      <c r="N6" s="57"/>
      <c r="O6" s="32"/>
      <c r="P6" s="59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</row>
    <row r="7" spans="1:34" ht="16.5">
      <c r="D7" s="76" t="s">
        <v>199</v>
      </c>
      <c r="E7" s="75" t="str">
        <f>[1]!S_Info_Name(E6)</f>
        <v>紫金矿业</v>
      </c>
      <c r="F7" s="58"/>
      <c r="G7" s="76" t="s">
        <v>79</v>
      </c>
      <c r="H7" s="389" t="str">
        <f ca="1">DMAX(D14:Q99,H14,R14:S15)&amp;"/"&amp;DMIN(D14:Q99,H14,R14:S15)&amp;"/"&amp;TRUNC(DAVERAGE(D14:Q99,H14,R14:S15),0)</f>
        <v>473769/418387/437571</v>
      </c>
      <c r="I7" s="389"/>
      <c r="J7" s="92" t="s">
        <v>80</v>
      </c>
      <c r="K7" s="89">
        <f ca="1">COUNTIFS($O$15:$O$99,J7,$AB$15:$AB$99,1)</f>
        <v>4</v>
      </c>
      <c r="L7" s="57"/>
      <c r="M7" s="57"/>
      <c r="N7" s="57"/>
      <c r="O7" s="77" t="s">
        <v>81</v>
      </c>
      <c r="P7" s="94" t="str">
        <f>IF(D4="自选机构","次数","家数")</f>
        <v>家数</v>
      </c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</row>
    <row r="8" spans="1:34" ht="16.5">
      <c r="D8" s="77" t="s">
        <v>82</v>
      </c>
      <c r="E8" s="87">
        <f ca="1">YEAR(E9)</f>
        <v>2026</v>
      </c>
      <c r="F8" s="58"/>
      <c r="G8" s="77" t="s">
        <v>83</v>
      </c>
      <c r="H8" s="390" t="str">
        <f ca="1">DMAX(D14:Q99,I14,T14:U15)&amp;"/"&amp;DMIN(D14:Q99,I14,T14:U15)&amp;"/"&amp;TRUNC(DAVERAGE(D14:Q99,I14,T14:U15),0)</f>
        <v>92612/75502/83731</v>
      </c>
      <c r="I8" s="390"/>
      <c r="J8" s="91" t="s">
        <v>84</v>
      </c>
      <c r="K8" s="90">
        <f ca="1">COUNTIFS($O$15:$O$99,J8,$AB$15:$AB$99,1)</f>
        <v>1</v>
      </c>
      <c r="L8" s="57"/>
      <c r="M8" s="57"/>
      <c r="N8" s="57"/>
      <c r="O8" s="76" t="s">
        <v>85</v>
      </c>
      <c r="P8" s="89">
        <f ca="1">COUNTIFS($AA$15:$AA$99,O8,$AB$15:$AB$99,1)</f>
        <v>1</v>
      </c>
      <c r="Q8" s="57"/>
      <c r="R8" s="57"/>
      <c r="S8" s="67"/>
      <c r="T8" s="57"/>
      <c r="U8" s="57"/>
      <c r="V8" s="57"/>
      <c r="W8" s="57"/>
      <c r="X8" s="57"/>
      <c r="Y8" s="57"/>
      <c r="Z8" s="57"/>
      <c r="AA8" s="57"/>
      <c r="AB8" s="57"/>
      <c r="AC8" s="57"/>
    </row>
    <row r="9" spans="1:34" ht="16.5">
      <c r="D9" s="76" t="s">
        <v>86</v>
      </c>
      <c r="E9" s="88">
        <f ca="1">公司分析!D5</f>
        <v>46090</v>
      </c>
      <c r="F9" s="58"/>
      <c r="G9" s="76" t="s">
        <v>87</v>
      </c>
      <c r="H9" s="389" t="str">
        <f ca="1">TRUNC(DMAX(D14:Q99,J14,V14:W15),3)&amp;"/"&amp;TRUNC(DMIN(D14:Q99,J14,V14:W15),3)&amp;"/"&amp;TRUNC(DAVERAGE(D14:Q99,J14,V14:W15),3)</f>
        <v>3.48/2.84/3.15</v>
      </c>
      <c r="I9" s="389"/>
      <c r="J9" s="92" t="s">
        <v>88</v>
      </c>
      <c r="K9" s="89">
        <f ca="1">COUNTIFS($O$15:$O$99,J9,$AB$15:$AB$99,1)</f>
        <v>0</v>
      </c>
      <c r="L9" s="57"/>
      <c r="M9" s="57"/>
      <c r="N9" s="57"/>
      <c r="O9" s="77" t="s">
        <v>89</v>
      </c>
      <c r="P9" s="90">
        <f ca="1">COUNTIFS($AA$15:$AA$99,O9,$AB$15:$AB$99,1)</f>
        <v>0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</row>
    <row r="10" spans="1:34" ht="16.5">
      <c r="D10" s="77" t="s">
        <v>59</v>
      </c>
      <c r="E10" s="87">
        <v>1000000</v>
      </c>
      <c r="F10" s="152">
        <f ca="1">IF(E11="自定义",F11,IF(E11="一个月",E9-30,IF(E11="三个月",E9-90,IF(E11="半年",E9-180,E9-365))))</f>
        <v>46000</v>
      </c>
      <c r="G10" s="77" t="str">
        <f>IF(D4="自选机构","预测次数","预测机构家数")</f>
        <v>预测机构家数</v>
      </c>
      <c r="H10" s="390" t="str">
        <f ca="1">DCOUNT(D14:Q99,H14,R14:S15)&amp;"/"&amp;DCOUNT(D14:Q99,I14,T14:U15)&amp;"/"&amp;DCOUNT(D14:Q99,J14,V14:W15)</f>
        <v>5/5/5</v>
      </c>
      <c r="I10" s="390"/>
      <c r="J10" s="91" t="s">
        <v>90</v>
      </c>
      <c r="K10" s="90">
        <f ca="1">COUNTIFS($O$15:$O$99,J10,$AB$15:$AB$99,1)</f>
        <v>0</v>
      </c>
      <c r="L10" s="57"/>
      <c r="M10" s="57"/>
      <c r="N10" s="57"/>
      <c r="O10" s="76" t="s">
        <v>91</v>
      </c>
      <c r="P10" s="89">
        <f ca="1">COUNTIFS($AA$15:$AA$99,O10,$AB$15:$AB$99,1)</f>
        <v>4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</row>
    <row r="11" spans="1:34" ht="16.5">
      <c r="D11" s="76" t="s">
        <v>168</v>
      </c>
      <c r="E11" s="253" t="s">
        <v>215</v>
      </c>
      <c r="F11" s="68"/>
      <c r="G11" s="76" t="s">
        <v>92</v>
      </c>
      <c r="H11" s="386">
        <f ca="1">MAX(X15:X99)</f>
        <v>46087</v>
      </c>
      <c r="I11" s="387"/>
      <c r="J11" s="92" t="s">
        <v>93</v>
      </c>
      <c r="K11" s="89">
        <f ca="1">COUNTIFS($O$15:$O$99,J11,$AB$15:$AB$99,1)</f>
        <v>0</v>
      </c>
      <c r="L11" s="57"/>
      <c r="M11" s="57"/>
      <c r="N11" s="57"/>
      <c r="O11" s="77" t="s">
        <v>94</v>
      </c>
      <c r="P11" s="90">
        <f ca="1">COUNTIFS($AA$15:$AA$99,O11,$AB$15:$AB$99,1)</f>
        <v>0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</row>
    <row r="12" spans="1:34" ht="12.75" thickBot="1">
      <c r="D12" s="57"/>
      <c r="E12" s="60"/>
      <c r="F12" s="61"/>
      <c r="G12" s="62"/>
      <c r="H12" s="63"/>
      <c r="I12" s="63"/>
      <c r="J12" s="61"/>
      <c r="K12" s="62"/>
      <c r="L12" s="61"/>
      <c r="M12" s="61"/>
      <c r="N12" s="63"/>
      <c r="O12" s="61"/>
      <c r="P12" s="62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</row>
    <row r="13" spans="1:34">
      <c r="B13" s="71"/>
      <c r="C13" s="72"/>
      <c r="D13" s="73"/>
      <c r="E13" s="73"/>
      <c r="F13" s="73"/>
      <c r="G13" s="73"/>
      <c r="H13" s="73"/>
      <c r="I13" s="73"/>
      <c r="J13" s="74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1"/>
    </row>
    <row r="14" spans="1:34" ht="31.5" customHeight="1" thickBot="1">
      <c r="C14" s="8" t="s">
        <v>95</v>
      </c>
      <c r="D14" s="78" t="s">
        <v>211</v>
      </c>
      <c r="E14" s="79" t="s">
        <v>96</v>
      </c>
      <c r="F14" s="80" t="s">
        <v>97</v>
      </c>
      <c r="G14" s="80" t="s">
        <v>200</v>
      </c>
      <c r="H14" s="80" t="s">
        <v>201</v>
      </c>
      <c r="I14" s="80" t="s">
        <v>202</v>
      </c>
      <c r="J14" s="81" t="s">
        <v>203</v>
      </c>
      <c r="K14" s="80" t="s">
        <v>204</v>
      </c>
      <c r="L14" s="82" t="s">
        <v>205</v>
      </c>
      <c r="M14" s="82" t="s">
        <v>206</v>
      </c>
      <c r="N14" s="82" t="s">
        <v>98</v>
      </c>
      <c r="O14" s="82" t="s">
        <v>99</v>
      </c>
      <c r="P14" s="83" t="s">
        <v>207</v>
      </c>
      <c r="Q14" s="84" t="str">
        <f>E11&amp;"内预测"</f>
        <v>三个月内预测</v>
      </c>
      <c r="R14" s="84" t="str">
        <f>Q14</f>
        <v>三个月内预测</v>
      </c>
      <c r="S14" s="84" t="s">
        <v>209</v>
      </c>
      <c r="T14" s="84" t="str">
        <f>Q14</f>
        <v>三个月内预测</v>
      </c>
      <c r="U14" s="84" t="s">
        <v>210</v>
      </c>
      <c r="V14" s="84" t="str">
        <f>Q14</f>
        <v>三个月内预测</v>
      </c>
      <c r="W14" s="84" t="s">
        <v>208</v>
      </c>
      <c r="X14" s="83" t="s">
        <v>100</v>
      </c>
      <c r="Y14" s="83" t="s">
        <v>101</v>
      </c>
      <c r="Z14" s="83" t="s">
        <v>102</v>
      </c>
      <c r="AA14" s="83" t="s">
        <v>103</v>
      </c>
      <c r="AB14" s="83" t="str">
        <f>E11&amp;"内评级"</f>
        <v>三个月内评级</v>
      </c>
      <c r="AC14" s="86" t="s">
        <v>117</v>
      </c>
    </row>
    <row r="15" spans="1:34" ht="17.25" thickTop="1">
      <c r="C15" s="7">
        <f ca="1">E9</f>
        <v>46090</v>
      </c>
      <c r="D15" s="211">
        <v>1</v>
      </c>
      <c r="E15" s="212" t="str">
        <f t="shared" ref="E15:E46" si="0">IF($D$4="自选机构",$E$4,VLOOKUP(D15,Institutionlist,2,FALSE))</f>
        <v>申银万国</v>
      </c>
      <c r="F15" s="213" t="str">
        <f ca="1">IF($D$4="自选机构",[1]!S_EST_ESTANALYST($E$6,$E$8,C15,$F$4),[1]!S_EST_ESTANALYST($E$6,$E$8,$E$9,D15))</f>
        <v>郭中伟</v>
      </c>
      <c r="G15" s="214" t="str">
        <f ca="1">IF($D$4="自选机构",[1]!S_EST_ESTNEWTIME_INST($E$6,$E$8,C15,$F$4),[1]!S_EST_ESTNEWTIME_INST($E$6,$E$8,$E$9,D15))</f>
        <v>2025-10-21</v>
      </c>
      <c r="H15" s="215">
        <f ca="1">IF($D$4="自选机构",[1]!S_EST_SALES_INST($E$6,$E$8,C15,$F$4)/currencyunit,[1]!S_EST_SALES_INST($E$6,$E$8,$E$9,D15)/currencyunit)</f>
        <v>376724</v>
      </c>
      <c r="I15" s="215">
        <f ca="1">IF($D$4="自选机构",[1]!S_EST_NETPROFIT_INST($E$6,$E$8,C15,$F$4)/currencyunit,[1]!S_EST_NETPROFIT_INST($E$6,$E$8,$E$9,D15)/currencyunit)</f>
        <v>63185</v>
      </c>
      <c r="J15" s="213">
        <f ca="1">IF($D$4="自选机构",[1]!S_EST_EPS_INST($E$6,$E$8,C15,$F$4),[1]!S_EST_EPS_INST($E$6,$E$8,$E$9,D15))</f>
        <v>2.38</v>
      </c>
      <c r="K15" s="214" t="str">
        <f ca="1">IF($D$4="自选机构",[1]!S_EST_NEWRATINGTIME_INST($E$6,Y15,$F$4),[1]!S_EST_NEWRATINGTIME_INST($E$6,$E$9,D15))</f>
        <v>2025-10-21</v>
      </c>
      <c r="L15" s="213" t="str">
        <f ca="1">IF($D$4="自选机构",[1]!S_EST_RATINGANALYST($E$6,Y15,$F$4),[1]!S_EST_RATINGANALYST($E$6,$E$9,D15))</f>
        <v>郭中伟</v>
      </c>
      <c r="M15" s="213" t="str">
        <f ca="1">IF($D$4="自选机构",[1]!S_EST_ORGRATING_INST($E$6,Y15,$F$4),[1]!S_EST_ORGRATING_INST($E$6,$E$9,D15))</f>
        <v>申万宏源_买入_1</v>
      </c>
      <c r="N15" s="215">
        <f ca="1">IF($D$4="自选机构",[1]!S_EST_SCORERATING_INST($E$6,Y15,$F$4),[1]!S_EST_SCORERATING_INST($E$6,$E$9,D15))</f>
        <v>1</v>
      </c>
      <c r="O15" s="213" t="str">
        <f ca="1">IF($D$4="自选机构",[1]!S_EST_STDRATING_INST($E$6,Y15,$F$4),[1]!S_EST_STDRATING_INST($E$6,$E$9,D15))</f>
        <v>买入</v>
      </c>
      <c r="P15" s="214" t="str">
        <f>IF($D$4="自选机构",[1]!S_EST_FRSTRATINGTIME_INST($E$6,$F$4),[1]!S_EST_FRSTRATINGTIME_INST($E$6,D15))</f>
        <v>2016-04-11</v>
      </c>
      <c r="Q15" s="153" t="str">
        <f t="shared" ref="Q15:Q78" ca="1" si="1">IF(G15-$F$10&gt;=0,1,"")</f>
        <v/>
      </c>
      <c r="R15" s="153">
        <v>1</v>
      </c>
      <c r="S15" s="153" t="s">
        <v>105</v>
      </c>
      <c r="T15" s="153">
        <v>1</v>
      </c>
      <c r="U15" s="153" t="s">
        <v>104</v>
      </c>
      <c r="V15" s="153">
        <v>1</v>
      </c>
      <c r="W15" s="153" t="s">
        <v>104</v>
      </c>
      <c r="X15" s="216">
        <f t="shared" ref="X15:X46" ca="1" si="2">--G15</f>
        <v>45951</v>
      </c>
      <c r="Y15" s="216">
        <f ca="1">E9</f>
        <v>46090</v>
      </c>
      <c r="Z15" s="217">
        <f ca="1">IF($D$4="自选机构",[1]!S_EST_SCORERATING_INST($E$6,K15-1,$F$4),[1]!S_EST_SCORERATING_INST($E$6,K15-1,D15))</f>
        <v>1</v>
      </c>
      <c r="AA15" s="217" t="str">
        <f t="shared" ref="AA15:AA78" ca="1" si="3">IFERROR(IF(Z15/N15&gt;1,"评级上调",IF(Z15/N15=1,"评级不变",IF(Z15/N15&gt;0,"评级下调","首次评级"))),0)</f>
        <v>评级不变</v>
      </c>
      <c r="AB15" s="153" t="str">
        <f t="shared" ref="AB15:AB46" ca="1" si="4">IF(K15-$F$10&gt;=0,1,"")</f>
        <v/>
      </c>
      <c r="AC15" s="218">
        <f ca="1">IF(ISERROR(AA15),"",IF(AA15="评级不变",0,IF(AA15="评级下调",-1,IF(AA15="评级上调",1,""))))</f>
        <v>0</v>
      </c>
      <c r="AH15" s="4"/>
    </row>
    <row r="16" spans="1:34" ht="16.5">
      <c r="C16" s="7">
        <f t="shared" ref="C16:C79" ca="1" si="5">G15-1</f>
        <v>45950</v>
      </c>
      <c r="D16" s="219">
        <v>2</v>
      </c>
      <c r="E16" s="220" t="str">
        <f t="shared" si="0"/>
        <v>国泰君安</v>
      </c>
      <c r="F16" s="221" t="str">
        <f ca="1">IF($D$4="自选机构",[1]!S_EST_ESTANALYST($E$6,$E$8,C16,$F$4),[1]!S_EST_ESTANALYST($E$6,$E$8,$E$9,D16))</f>
        <v>于嘉懿</v>
      </c>
      <c r="G16" s="222" t="str">
        <f ca="1">IF($D$4="自选机构",[1]!S_EST_ESTNEWTIME_INST($E$6,$E$8,C16,$F$4),[1]!S_EST_ESTNEWTIME_INST($E$6,$E$8,$E$9,D16))</f>
        <v>2025-04-19</v>
      </c>
      <c r="H16" s="223">
        <f ca="1">IF($D$4="自选机构",[1]!S_EST_SALES_INST($E$6,$E$8,C16,$F$4)/currencyunit,[1]!S_EST_SALES_INST($E$6,$E$8,$E$9,D16)/currencyunit)</f>
        <v>422183</v>
      </c>
      <c r="I16" s="223">
        <f ca="1">IF($D$4="自选机构",[1]!S_EST_NETPROFIT_INST($E$6,$E$8,C16,$F$4)/currencyunit,[1]!S_EST_NETPROFIT_INST($E$6,$E$8,$E$9,D16)/currencyunit)</f>
        <v>47918</v>
      </c>
      <c r="J16" s="221">
        <f ca="1">IF($D$4="自选机构",[1]!S_EST_EPS_INST($E$6,$E$8,C16,$F$4),[1]!S_EST_EPS_INST($E$6,$E$8,$E$9,D16))</f>
        <v>1.8</v>
      </c>
      <c r="K16" s="222">
        <f ca="1">IF($D$4="自选机构",[1]!S_EST_NEWRATINGTIME_INST($E$6,Y16,$F$4),[1]!S_EST_NEWRATINGTIME_INST($E$6,$E$9,D16))</f>
        <v>0</v>
      </c>
      <c r="L16" s="221">
        <f ca="1">IF($D$4="自选机构",[1]!S_EST_RATINGANALYST($E$6,Y16,$F$4),[1]!S_EST_RATINGANALYST($E$6,$E$9,D16))</f>
        <v>0</v>
      </c>
      <c r="M16" s="221">
        <f ca="1">IF($D$4="自选机构",[1]!S_EST_ORGRATING_INST($E$6,Y16,$F$4),[1]!S_EST_ORGRATING_INST($E$6,$E$9,D16))</f>
        <v>0</v>
      </c>
      <c r="N16" s="223">
        <f ca="1">IF($D$4="自选机构",[1]!S_EST_SCORERATING_INST($E$6,Y16,$F$4),[1]!S_EST_SCORERATING_INST($E$6,$E$9,D16))</f>
        <v>0</v>
      </c>
      <c r="O16" s="221">
        <f ca="1">IF($D$4="自选机构",[1]!S_EST_STDRATING_INST($E$6,Y16,$F$4),[1]!S_EST_STDRATING_INST($E$6,$E$9,D16))</f>
        <v>0</v>
      </c>
      <c r="P16" s="222" t="str">
        <f>IF($D$4="自选机构",[1]!S_EST_FRSTRATINGTIME_INST($E$6,$F$4),[1]!S_EST_FRSTRATINGTIME_INST($E$6,D16))</f>
        <v>2017-07-03</v>
      </c>
      <c r="Q16" s="224" t="str">
        <f t="shared" ca="1" si="1"/>
        <v/>
      </c>
      <c r="R16" s="224"/>
      <c r="S16" s="224"/>
      <c r="T16" s="224"/>
      <c r="U16" s="224"/>
      <c r="V16" s="224"/>
      <c r="W16" s="224"/>
      <c r="X16" s="225">
        <f t="shared" ca="1" si="2"/>
        <v>45766</v>
      </c>
      <c r="Y16" s="225">
        <f t="shared" ref="Y16:Y47" ca="1" si="6">K15-1</f>
        <v>45950</v>
      </c>
      <c r="Z16" s="226">
        <f ca="1">IF($D$4="自选机构",[1]!S_EST_SCORERATING_INST($E$6,K16-1,$F$4),[1]!S_EST_SCORERATING_INST($E$6,K16-1,D16))</f>
        <v>0</v>
      </c>
      <c r="AA16" s="226">
        <f t="shared" ca="1" si="3"/>
        <v>0</v>
      </c>
      <c r="AB16" s="224" t="str">
        <f t="shared" ca="1" si="4"/>
        <v/>
      </c>
      <c r="AC16" s="227" t="str">
        <f t="shared" ref="AC16:AC78" ca="1" si="7">IF(ISERROR(AA16),"",IF(AA16="评级不变",0,IF(AA16="评级下调",-1,IF(AA16="评级上调",1,""))))</f>
        <v/>
      </c>
    </row>
    <row r="17" spans="3:30" ht="16.5">
      <c r="C17" s="7">
        <f t="shared" ca="1" si="5"/>
        <v>45765</v>
      </c>
      <c r="D17" s="211">
        <v>3</v>
      </c>
      <c r="E17" s="212" t="str">
        <f t="shared" si="0"/>
        <v>中银国际</v>
      </c>
      <c r="F17" s="213">
        <f ca="1">IF($D$4="自选机构",[1]!S_EST_ESTANALYST($E$6,$E$8,C17,$F$4),[1]!S_EST_ESTANALYST($E$6,$E$8,$E$9,D17))</f>
        <v>0</v>
      </c>
      <c r="G17" s="214">
        <f ca="1">IF($D$4="自选机构",[1]!S_EST_ESTNEWTIME_INST($E$6,$E$8,C17,$F$4),[1]!S_EST_ESTNEWTIME_INST($E$6,$E$8,$E$9,D17))</f>
        <v>0</v>
      </c>
      <c r="H17" s="215">
        <f ca="1">IF($D$4="自选机构",[1]!S_EST_SALES_INST($E$6,$E$8,C17,$F$4)/currencyunit,[1]!S_EST_SALES_INST($E$6,$E$8,$E$9,D17)/currencyunit)</f>
        <v>0</v>
      </c>
      <c r="I17" s="215">
        <f ca="1">IF($D$4="自选机构",[1]!S_EST_NETPROFIT_INST($E$6,$E$8,C17,$F$4)/currencyunit,[1]!S_EST_NETPROFIT_INST($E$6,$E$8,$E$9,D17)/currencyunit)</f>
        <v>0</v>
      </c>
      <c r="J17" s="213">
        <f ca="1">IF($D$4="自选机构",[1]!S_EST_EPS_INST($E$6,$E$8,C17,$F$4),[1]!S_EST_EPS_INST($E$6,$E$8,$E$9,D17))</f>
        <v>0</v>
      </c>
      <c r="K17" s="214">
        <f ca="1">IF($D$4="自选机构",[1]!S_EST_NEWRATINGTIME_INST($E$6,Y17,$F$4),[1]!S_EST_NEWRATINGTIME_INST($E$6,$E$9,D17))</f>
        <v>0</v>
      </c>
      <c r="L17" s="213">
        <f ca="1">IF($D$4="自选机构",[1]!S_EST_RATINGANALYST($E$6,Y17,$F$4),[1]!S_EST_RATINGANALYST($E$6,$E$9,D17))</f>
        <v>0</v>
      </c>
      <c r="M17" s="213">
        <f ca="1">IF($D$4="自选机构",[1]!S_EST_ORGRATING_INST($E$6,Y17,$F$4),[1]!S_EST_ORGRATING_INST($E$6,$E$9,D17))</f>
        <v>0</v>
      </c>
      <c r="N17" s="215">
        <f ca="1">IF($D$4="自选机构",[1]!S_EST_SCORERATING_INST($E$6,Y17,$F$4),[1]!S_EST_SCORERATING_INST($E$6,$E$9,D17))</f>
        <v>0</v>
      </c>
      <c r="O17" s="213">
        <f ca="1">IF($D$4="自选机构",[1]!S_EST_STDRATING_INST($E$6,Y17,$F$4),[1]!S_EST_STDRATING_INST($E$6,$E$9,D17))</f>
        <v>0</v>
      </c>
      <c r="P17" s="214" t="str">
        <f>IF($D$4="自选机构",[1]!S_EST_FRSTRATINGTIME_INST($E$6,$F$4),[1]!S_EST_FRSTRATINGTIME_INST($E$6,D17))</f>
        <v>2008-07-29</v>
      </c>
      <c r="Q17" s="153" t="str">
        <f t="shared" ca="1" si="1"/>
        <v/>
      </c>
      <c r="R17" s="153"/>
      <c r="S17" s="153"/>
      <c r="T17" s="153"/>
      <c r="U17" s="153"/>
      <c r="V17" s="153"/>
      <c r="W17" s="153"/>
      <c r="X17" s="216">
        <f ca="1">--G17</f>
        <v>0</v>
      </c>
      <c r="Y17" s="216">
        <f t="shared" ca="1" si="6"/>
        <v>-1</v>
      </c>
      <c r="Z17" s="217">
        <f ca="1">IF($D$4="自选机构",[1]!S_EST_SCORERATING_INST($E$6,K17-1,$F$4),[1]!S_EST_SCORERATING_INST($E$6,K17-1,D17))</f>
        <v>0</v>
      </c>
      <c r="AA17" s="217">
        <f t="shared" ca="1" si="3"/>
        <v>0</v>
      </c>
      <c r="AB17" s="153" t="str">
        <f t="shared" ca="1" si="4"/>
        <v/>
      </c>
      <c r="AC17" s="218" t="str">
        <f t="shared" ca="1" si="7"/>
        <v/>
      </c>
      <c r="AD17" s="211"/>
    </row>
    <row r="18" spans="3:30" ht="16.5">
      <c r="C18" s="7">
        <f t="shared" ca="1" si="5"/>
        <v>-1</v>
      </c>
      <c r="D18" s="219">
        <v>4</v>
      </c>
      <c r="E18" s="220" t="str">
        <f t="shared" si="0"/>
        <v>国信证券</v>
      </c>
      <c r="F18" s="221" t="str">
        <f ca="1">IF($D$4="自选机构",[1]!S_EST_ESTANALYST($E$6,$E$8,C18,$F$4),[1]!S_EST_ESTANALYST($E$6,$E$8,$E$9,D18))</f>
        <v>刘孟峦</v>
      </c>
      <c r="G18" s="222" t="str">
        <f ca="1">IF($D$4="自选机构",[1]!S_EST_ESTNEWTIME_INST($E$6,$E$8,C18,$F$4),[1]!S_EST_ESTNEWTIME_INST($E$6,$E$8,$E$9,D18))</f>
        <v>2025-10-22</v>
      </c>
      <c r="H18" s="223">
        <f ca="1">IF($D$4="自选机构",[1]!S_EST_SALES_INST($E$6,$E$8,C18,$F$4)/currencyunit,[1]!S_EST_SALES_INST($E$6,$E$8,$E$9,D18)/currencyunit)</f>
        <v>425704</v>
      </c>
      <c r="I18" s="223">
        <f ca="1">IF($D$4="自选机构",[1]!S_EST_NETPROFIT_INST($E$6,$E$8,C18,$F$4)/currencyunit,[1]!S_EST_NETPROFIT_INST($E$6,$E$8,$E$9,D18)/currencyunit)</f>
        <v>63559</v>
      </c>
      <c r="J18" s="221">
        <f ca="1">IF($D$4="自选机构",[1]!S_EST_EPS_INST($E$6,$E$8,C18,$F$4),[1]!S_EST_EPS_INST($E$6,$E$8,$E$9,D18))</f>
        <v>2.39</v>
      </c>
      <c r="K18" s="222" t="str">
        <f ca="1">IF($D$4="自选机构",[1]!S_EST_NEWRATINGTIME_INST($E$6,Y18,$F$4),[1]!S_EST_NEWRATINGTIME_INST($E$6,$E$9,D18))</f>
        <v>2025-10-22</v>
      </c>
      <c r="L18" s="221" t="str">
        <f ca="1">IF($D$4="自选机构",[1]!S_EST_RATINGANALYST($E$6,Y18,$F$4),[1]!S_EST_RATINGANALYST($E$6,$E$9,D18))</f>
        <v>刘孟峦</v>
      </c>
      <c r="M18" s="221" t="str">
        <f ca="1">IF($D$4="自选机构",[1]!S_EST_ORGRATING_INST($E$6,Y18,$F$4),[1]!S_EST_ORGRATING_INST($E$6,$E$9,D18))</f>
        <v>国信证券_优于大市_2</v>
      </c>
      <c r="N18" s="223">
        <f ca="1">IF($D$4="自选机构",[1]!S_EST_SCORERATING_INST($E$6,Y18,$F$4),[1]!S_EST_SCORERATING_INST($E$6,$E$9,D18))</f>
        <v>2</v>
      </c>
      <c r="O18" s="221" t="str">
        <f ca="1">IF($D$4="自选机构",[1]!S_EST_STDRATING_INST($E$6,Y18,$F$4),[1]!S_EST_STDRATING_INST($E$6,$E$9,D18))</f>
        <v>增持</v>
      </c>
      <c r="P18" s="222" t="str">
        <f>IF($D$4="自选机构",[1]!S_EST_FRSTRATINGTIME_INST($E$6,$F$4),[1]!S_EST_FRSTRATINGTIME_INST($E$6,D18))</f>
        <v>2009-03-23</v>
      </c>
      <c r="Q18" s="224" t="str">
        <f t="shared" ca="1" si="1"/>
        <v/>
      </c>
      <c r="R18" s="224"/>
      <c r="S18" s="224"/>
      <c r="T18" s="224"/>
      <c r="U18" s="224"/>
      <c r="V18" s="224"/>
      <c r="W18" s="224"/>
      <c r="X18" s="225">
        <f ca="1">--G18</f>
        <v>45952</v>
      </c>
      <c r="Y18" s="216">
        <f ca="1">K17-1</f>
        <v>-1</v>
      </c>
      <c r="Z18" s="226">
        <f ca="1">IF($D$4="自选机构",[1]!S_EST_SCORERATING_INST($E$6,K18-1,$F$4),[1]!S_EST_SCORERATING_INST($E$6,K18-1,D18))</f>
        <v>2</v>
      </c>
      <c r="AA18" s="226" t="str">
        <f t="shared" ca="1" si="3"/>
        <v>评级不变</v>
      </c>
      <c r="AB18" s="224" t="str">
        <f t="shared" ca="1" si="4"/>
        <v/>
      </c>
      <c r="AC18" s="227">
        <f t="shared" ca="1" si="7"/>
        <v>0</v>
      </c>
      <c r="AD18" s="219"/>
    </row>
    <row r="19" spans="3:30" ht="16.5">
      <c r="C19" s="7">
        <f t="shared" ca="1" si="5"/>
        <v>45951</v>
      </c>
      <c r="D19" s="211">
        <v>5</v>
      </c>
      <c r="E19" s="212" t="str">
        <f t="shared" si="0"/>
        <v>海通证券</v>
      </c>
      <c r="F19" s="213" t="str">
        <f ca="1">IF($D$4="自选机构",[1]!S_EST_ESTANALYST($E$6,$E$8,C19,$F$4),[1]!S_EST_ESTANALYST($E$6,$E$8,$E$9,D19))</f>
        <v>陈先龙</v>
      </c>
      <c r="G19" s="214" t="str">
        <f ca="1">IF($D$4="自选机构",[1]!S_EST_ESTNEWTIME_INST($E$6,$E$8,C19,$F$4),[1]!S_EST_ESTNEWTIME_INST($E$6,$E$8,$E$9,D19))</f>
        <v>2024-08-26</v>
      </c>
      <c r="H19" s="215">
        <f ca="1">IF($D$4="自选机构",[1]!S_EST_SALES_INST($E$6,$E$8,C19,$F$4)/currencyunit,[1]!S_EST_SALES_INST($E$6,$E$8,$E$9,D19)/currencyunit)</f>
        <v>414161</v>
      </c>
      <c r="I19" s="215">
        <f ca="1">IF($D$4="自选机构",[1]!S_EST_NETPROFIT_INST($E$6,$E$8,C19,$F$4)/currencyunit,[1]!S_EST_NETPROFIT_INST($E$6,$E$8,$E$9,D19)/currencyunit)</f>
        <v>47904</v>
      </c>
      <c r="J19" s="213">
        <f ca="1">IF($D$4="自选机构",[1]!S_EST_EPS_INST($E$6,$E$8,C19,$F$4),[1]!S_EST_EPS_INST($E$6,$E$8,$E$9,D19))</f>
        <v>1.8</v>
      </c>
      <c r="K19" s="214">
        <f ca="1">IF($D$4="自选机构",[1]!S_EST_NEWRATINGTIME_INST($E$6,Y19,$F$4),[1]!S_EST_NEWRATINGTIME_INST($E$6,$E$9,D19))</f>
        <v>0</v>
      </c>
      <c r="L19" s="213">
        <f ca="1">IF($D$4="自选机构",[1]!S_EST_RATINGANALYST($E$6,Y19,$F$4),[1]!S_EST_RATINGANALYST($E$6,$E$9,D19))</f>
        <v>0</v>
      </c>
      <c r="M19" s="213">
        <f ca="1">IF($D$4="自选机构",[1]!S_EST_ORGRATING_INST($E$6,Y19,$F$4),[1]!S_EST_ORGRATING_INST($E$6,$E$9,D19))</f>
        <v>0</v>
      </c>
      <c r="N19" s="215">
        <f ca="1">IF($D$4="自选机构",[1]!S_EST_SCORERATING_INST($E$6,Y19,$F$4),[1]!S_EST_SCORERATING_INST($E$6,$E$9,D19))</f>
        <v>0</v>
      </c>
      <c r="O19" s="213">
        <f ca="1">IF($D$4="自选机构",[1]!S_EST_STDRATING_INST($E$6,Y19,$F$4),[1]!S_EST_STDRATING_INST($E$6,$E$9,D19))</f>
        <v>0</v>
      </c>
      <c r="P19" s="214" t="str">
        <f>IF($D$4="自选机构",[1]!S_EST_FRSTRATINGTIME_INST($E$6,$F$4),[1]!S_EST_FRSTRATINGTIME_INST($E$6,D19))</f>
        <v>2008-12-24</v>
      </c>
      <c r="Q19" s="153" t="str">
        <f t="shared" ca="1" si="1"/>
        <v/>
      </c>
      <c r="R19" s="153"/>
      <c r="S19" s="153"/>
      <c r="T19" s="153"/>
      <c r="U19" s="153"/>
      <c r="V19" s="153"/>
      <c r="W19" s="153"/>
      <c r="X19" s="216">
        <f t="shared" ca="1" si="2"/>
        <v>45530</v>
      </c>
      <c r="Y19" s="216">
        <f t="shared" ca="1" si="6"/>
        <v>45951</v>
      </c>
      <c r="Z19" s="217">
        <f ca="1">IF($D$4="自选机构",[1]!S_EST_SCORERATING_INST($E$6,K19-1,$F$4),[1]!S_EST_SCORERATING_INST($E$6,K19-1,D19))</f>
        <v>0</v>
      </c>
      <c r="AA19" s="217">
        <f t="shared" ca="1" si="3"/>
        <v>0</v>
      </c>
      <c r="AB19" s="153" t="str">
        <f t="shared" ca="1" si="4"/>
        <v/>
      </c>
      <c r="AC19" s="218" t="str">
        <f t="shared" ca="1" si="7"/>
        <v/>
      </c>
      <c r="AD19" s="211"/>
    </row>
    <row r="20" spans="3:30" ht="16.5">
      <c r="C20" s="7">
        <f t="shared" ca="1" si="5"/>
        <v>45529</v>
      </c>
      <c r="D20" s="219">
        <v>6</v>
      </c>
      <c r="E20" s="220" t="str">
        <f t="shared" si="0"/>
        <v>招商证券</v>
      </c>
      <c r="F20" s="221" t="str">
        <f ca="1">IF($D$4="自选机构",[1]!S_EST_ESTANALYST($E$6,$E$8,C20,$F$4),[1]!S_EST_ESTANALYST($E$6,$E$8,$E$9,D20))</f>
        <v>刘伟洁</v>
      </c>
      <c r="G20" s="222" t="str">
        <f ca="1">IF($D$4="自选机构",[1]!S_EST_ESTNEWTIME_INST($E$6,$E$8,C20,$F$4),[1]!S_EST_ESTNEWTIME_INST($E$6,$E$8,$E$9,D20))</f>
        <v>2025-07-01</v>
      </c>
      <c r="H20" s="223">
        <f ca="1">IF($D$4="自选机构",[1]!S_EST_SALES_INST($E$6,$E$8,C20,$F$4)/currencyunit,[1]!S_EST_SALES_INST($E$6,$E$8,$E$9,D20)/currencyunit)</f>
        <v>433312</v>
      </c>
      <c r="I20" s="223">
        <f ca="1">IF($D$4="自选机构",[1]!S_EST_NETPROFIT_INST($E$6,$E$8,C20,$F$4)/currencyunit,[1]!S_EST_NETPROFIT_INST($E$6,$E$8,$E$9,D20)/currencyunit)</f>
        <v>47935</v>
      </c>
      <c r="J20" s="221">
        <f ca="1">IF($D$4="自选机构",[1]!S_EST_EPS_INST($E$6,$E$8,C20,$F$4),[1]!S_EST_EPS_INST($E$6,$E$8,$E$9,D20))</f>
        <v>1.8</v>
      </c>
      <c r="K20" s="222">
        <f ca="1">IF($D$4="自选机构",[1]!S_EST_NEWRATINGTIME_INST($E$6,Y20,$F$4),[1]!S_EST_NEWRATINGTIME_INST($E$6,$E$9,D20))</f>
        <v>0</v>
      </c>
      <c r="L20" s="221">
        <f ca="1">IF($D$4="自选机构",[1]!S_EST_RATINGANALYST($E$6,Y20,$F$4),[1]!S_EST_RATINGANALYST($E$6,$E$9,D20))</f>
        <v>0</v>
      </c>
      <c r="M20" s="221">
        <f ca="1">IF($D$4="自选机构",[1]!S_EST_ORGRATING_INST($E$6,Y20,$F$4),[1]!S_EST_ORGRATING_INST($E$6,$E$9,D20))</f>
        <v>0</v>
      </c>
      <c r="N20" s="223">
        <f ca="1">IF($D$4="自选机构",[1]!S_EST_SCORERATING_INST($E$6,Y20,$F$4),[1]!S_EST_SCORERATING_INST($E$6,$E$9,D20))</f>
        <v>0</v>
      </c>
      <c r="O20" s="221">
        <f ca="1">IF($D$4="自选机构",[1]!S_EST_STDRATING_INST($E$6,Y20,$F$4),[1]!S_EST_STDRATING_INST($E$6,$E$9,D20))</f>
        <v>0</v>
      </c>
      <c r="P20" s="222" t="str">
        <f>IF($D$4="自选机构",[1]!S_EST_FRSTRATINGTIME_INST($E$6,$F$4),[1]!S_EST_FRSTRATINGTIME_INST($E$6,D20))</f>
        <v>2009-07-30</v>
      </c>
      <c r="Q20" s="224" t="str">
        <f t="shared" ca="1" si="1"/>
        <v/>
      </c>
      <c r="R20" s="224"/>
      <c r="S20" s="224"/>
      <c r="T20" s="224"/>
      <c r="U20" s="224"/>
      <c r="V20" s="224"/>
      <c r="W20" s="224"/>
      <c r="X20" s="225">
        <f t="shared" ca="1" si="2"/>
        <v>45839</v>
      </c>
      <c r="Y20" s="225">
        <f t="shared" ca="1" si="6"/>
        <v>-1</v>
      </c>
      <c r="Z20" s="226">
        <f ca="1">IF($D$4="自选机构",[1]!S_EST_SCORERATING_INST($E$6,K20-1,$F$4),[1]!S_EST_SCORERATING_INST($E$6,K20-1,D20))</f>
        <v>0</v>
      </c>
      <c r="AA20" s="226">
        <f t="shared" ca="1" si="3"/>
        <v>0</v>
      </c>
      <c r="AB20" s="224" t="str">
        <f t="shared" ca="1" si="4"/>
        <v/>
      </c>
      <c r="AC20" s="227" t="str">
        <f t="shared" ca="1" si="7"/>
        <v/>
      </c>
      <c r="AD20" s="219"/>
    </row>
    <row r="21" spans="3:30" ht="16.5">
      <c r="C21" s="7">
        <f t="shared" ca="1" si="5"/>
        <v>45838</v>
      </c>
      <c r="D21" s="211">
        <v>7</v>
      </c>
      <c r="E21" s="212" t="str">
        <f t="shared" si="0"/>
        <v>光大证券</v>
      </c>
      <c r="F21" s="213" t="str">
        <f ca="1">IF($D$4="自选机构",[1]!S_EST_ESTANALYST($E$6,$E$8,C21,$F$4),[1]!S_EST_ESTANALYST($E$6,$E$8,$E$9,D21))</f>
        <v>王招华</v>
      </c>
      <c r="G21" s="214" t="str">
        <f ca="1">IF($D$4="自选机构",[1]!S_EST_ESTNEWTIME_INST($E$6,$E$8,C21,$F$4),[1]!S_EST_ESTNEWTIME_INST($E$6,$E$8,$E$9,D21))</f>
        <v>2025-12-31</v>
      </c>
      <c r="H21" s="215">
        <f ca="1">IF($D$4="自选机构",[1]!S_EST_SALES_INST($E$6,$E$8,C21,$F$4)/currencyunit,[1]!S_EST_SALES_INST($E$6,$E$8,$E$9,D21)/currencyunit)</f>
        <v>432421</v>
      </c>
      <c r="I21" s="215">
        <f ca="1">IF($D$4="自选机构",[1]!S_EST_NETPROFIT_INST($E$6,$E$8,C21,$F$4)/currencyunit,[1]!S_EST_NETPROFIT_INST($E$6,$E$8,$E$9,D21)/currencyunit)</f>
        <v>75502</v>
      </c>
      <c r="J21" s="213">
        <f ca="1">IF($D$4="自选机构",[1]!S_EST_EPS_INST($E$6,$E$8,C21,$F$4),[1]!S_EST_EPS_INST($E$6,$E$8,$E$9,D21))</f>
        <v>2.84</v>
      </c>
      <c r="K21" s="214" t="str">
        <f ca="1">IF($D$4="自选机构",[1]!S_EST_NEWRATINGTIME_INST($E$6,Y21,$F$4),[1]!S_EST_NEWRATINGTIME_INST($E$6,$E$9,D21))</f>
        <v>2025-12-31</v>
      </c>
      <c r="L21" s="213" t="str">
        <f ca="1">IF($D$4="自选机构",[1]!S_EST_RATINGANALYST($E$6,Y21,$F$4),[1]!S_EST_RATINGANALYST($E$6,$E$9,D21))</f>
        <v>王招华</v>
      </c>
      <c r="M21" s="213" t="str">
        <f ca="1">IF($D$4="自选机构",[1]!S_EST_ORGRATING_INST($E$6,Y21,$F$4),[1]!S_EST_ORGRATING_INST($E$6,$E$9,D21))</f>
        <v>光大证券_增持_2</v>
      </c>
      <c r="N21" s="215">
        <f ca="1">IF($D$4="自选机构",[1]!S_EST_SCORERATING_INST($E$6,Y21,$F$4),[1]!S_EST_SCORERATING_INST($E$6,$E$9,D21))</f>
        <v>2</v>
      </c>
      <c r="O21" s="213" t="str">
        <f ca="1">IF($D$4="自选机构",[1]!S_EST_STDRATING_INST($E$6,Y21,$F$4),[1]!S_EST_STDRATING_INST($E$6,$E$9,D21))</f>
        <v>增持</v>
      </c>
      <c r="P21" s="214" t="str">
        <f>IF($D$4="自选机构",[1]!S_EST_FRSTRATINGTIME_INST($E$6,$F$4),[1]!S_EST_FRSTRATINGTIME_INST($E$6,D21))</f>
        <v>2008-05-16</v>
      </c>
      <c r="Q21" s="153">
        <f t="shared" ca="1" si="1"/>
        <v>1</v>
      </c>
      <c r="R21" s="153"/>
      <c r="S21" s="153"/>
      <c r="T21" s="153"/>
      <c r="U21" s="153"/>
      <c r="V21" s="153"/>
      <c r="W21" s="153"/>
      <c r="X21" s="216">
        <f t="shared" ca="1" si="2"/>
        <v>46022</v>
      </c>
      <c r="Y21" s="216">
        <f t="shared" ca="1" si="6"/>
        <v>-1</v>
      </c>
      <c r="Z21" s="217">
        <f ca="1">IF($D$4="自选机构",[1]!S_EST_SCORERATING_INST($E$6,K21-1,$F$4),[1]!S_EST_SCORERATING_INST($E$6,K21-1,D21))</f>
        <v>2</v>
      </c>
      <c r="AA21" s="217" t="str">
        <f t="shared" ca="1" si="3"/>
        <v>评级不变</v>
      </c>
      <c r="AB21" s="153">
        <f t="shared" ca="1" si="4"/>
        <v>1</v>
      </c>
      <c r="AC21" s="218">
        <f t="shared" ca="1" si="7"/>
        <v>0</v>
      </c>
      <c r="AD21" s="211"/>
    </row>
    <row r="22" spans="3:30" ht="16.5">
      <c r="C22" s="7">
        <f t="shared" ca="1" si="5"/>
        <v>46021</v>
      </c>
      <c r="D22" s="219">
        <v>8</v>
      </c>
      <c r="E22" s="220" t="str">
        <f t="shared" si="0"/>
        <v>中信证券</v>
      </c>
      <c r="F22" s="221" t="str">
        <f ca="1">IF($D$4="自选机构",[1]!S_EST_ESTANALYST($E$6,$E$8,C22,$F$4),[1]!S_EST_ESTANALYST($E$6,$E$8,$E$9,D22))</f>
        <v>敖翀</v>
      </c>
      <c r="G22" s="222" t="str">
        <f ca="1">IF($D$4="自选机构",[1]!S_EST_ESTNEWTIME_INST($E$6,$E$8,C22,$F$4),[1]!S_EST_ESTNEWTIME_INST($E$6,$E$8,$E$9,D22))</f>
        <v>2026-01-27</v>
      </c>
      <c r="H22" s="223">
        <f ca="1">IF($D$4="自选机构",[1]!S_EST_SALES_INST($E$6,$E$8,C22,$F$4)/currencyunit,[1]!S_EST_SALES_INST($E$6,$E$8,$E$9,D22)/currencyunit)</f>
        <v>440041</v>
      </c>
      <c r="I22" s="223">
        <f ca="1">IF($D$4="自选机构",[1]!S_EST_NETPROFIT_INST($E$6,$E$8,C22,$F$4)/currencyunit,[1]!S_EST_NETPROFIT_INST($E$6,$E$8,$E$9,D22)/currencyunit)</f>
        <v>80263</v>
      </c>
      <c r="J22" s="221">
        <f ca="1">IF($D$4="自选机构",[1]!S_EST_EPS_INST($E$6,$E$8,C22,$F$4),[1]!S_EST_EPS_INST($E$6,$E$8,$E$9,D22))</f>
        <v>3.02</v>
      </c>
      <c r="K22" s="222" t="str">
        <f ca="1">IF($D$4="自选机构",[1]!S_EST_NEWRATINGTIME_INST($E$6,Y22,$F$4),[1]!S_EST_NEWRATINGTIME_INST($E$6,$E$9,D22))</f>
        <v>2026-01-27</v>
      </c>
      <c r="L22" s="221" t="str">
        <f ca="1">IF($D$4="自选机构",[1]!S_EST_RATINGANALYST($E$6,Y22,$F$4),[1]!S_EST_RATINGANALYST($E$6,$E$9,D22))</f>
        <v>敖翀</v>
      </c>
      <c r="M22" s="221" t="str">
        <f ca="1">IF($D$4="自选机构",[1]!S_EST_ORGRATING_INST($E$6,Y22,$F$4),[1]!S_EST_ORGRATING_INST($E$6,$E$9,D22))</f>
        <v>中信证券_买入_1</v>
      </c>
      <c r="N22" s="223">
        <f ca="1">IF($D$4="自选机构",[1]!S_EST_SCORERATING_INST($E$6,Y22,$F$4),[1]!S_EST_SCORERATING_INST($E$6,$E$9,D22))</f>
        <v>1</v>
      </c>
      <c r="O22" s="221" t="str">
        <f ca="1">IF($D$4="自选机构",[1]!S_EST_STDRATING_INST($E$6,Y22,$F$4),[1]!S_EST_STDRATING_INST($E$6,$E$9,D22))</f>
        <v>买入</v>
      </c>
      <c r="P22" s="222" t="str">
        <f>IF($D$4="自选机构",[1]!S_EST_FRSTRATINGTIME_INST($E$6,$F$4),[1]!S_EST_FRSTRATINGTIME_INST($E$6,D22))</f>
        <v>2008-06-26</v>
      </c>
      <c r="Q22" s="224">
        <f t="shared" ca="1" si="1"/>
        <v>1</v>
      </c>
      <c r="R22" s="224"/>
      <c r="S22" s="224"/>
      <c r="T22" s="224"/>
      <c r="U22" s="224"/>
      <c r="V22" s="224"/>
      <c r="W22" s="224"/>
      <c r="X22" s="225">
        <f t="shared" ca="1" si="2"/>
        <v>46049</v>
      </c>
      <c r="Y22" s="225">
        <f t="shared" ca="1" si="6"/>
        <v>46021</v>
      </c>
      <c r="Z22" s="226">
        <f ca="1">IF($D$4="自选机构",[1]!S_EST_SCORERATING_INST($E$6,K22-1,$F$4),[1]!S_EST_SCORERATING_INST($E$6,K22-1,D22))</f>
        <v>1</v>
      </c>
      <c r="AA22" s="226" t="str">
        <f t="shared" ca="1" si="3"/>
        <v>评级不变</v>
      </c>
      <c r="AB22" s="224">
        <f t="shared" ca="1" si="4"/>
        <v>1</v>
      </c>
      <c r="AC22" s="227">
        <f t="shared" ca="1" si="7"/>
        <v>0</v>
      </c>
      <c r="AD22" s="219"/>
    </row>
    <row r="23" spans="3:30" ht="16.5">
      <c r="C23" s="7">
        <f t="shared" ca="1" si="5"/>
        <v>46048</v>
      </c>
      <c r="D23" s="211">
        <v>9</v>
      </c>
      <c r="E23" s="212" t="str">
        <f t="shared" si="0"/>
        <v>国金证券</v>
      </c>
      <c r="F23" s="213">
        <f ca="1">IF($D$4="自选机构",[1]!S_EST_ESTANALYST($E$6,$E$8,C23,$F$4),[1]!S_EST_ESTANALYST($E$6,$E$8,$E$9,D23))</f>
        <v>0</v>
      </c>
      <c r="G23" s="214">
        <f ca="1">IF($D$4="自选机构",[1]!S_EST_ESTNEWTIME_INST($E$6,$E$8,C23,$F$4),[1]!S_EST_ESTNEWTIME_INST($E$6,$E$8,$E$9,D23))</f>
        <v>0</v>
      </c>
      <c r="H23" s="215">
        <f ca="1">IF($D$4="自选机构",[1]!S_EST_SALES_INST($E$6,$E$8,C23,$F$4)/currencyunit,[1]!S_EST_SALES_INST($E$6,$E$8,$E$9,D23)/currencyunit)</f>
        <v>0</v>
      </c>
      <c r="I23" s="215">
        <f ca="1">IF($D$4="自选机构",[1]!S_EST_NETPROFIT_INST($E$6,$E$8,C23,$F$4)/currencyunit,[1]!S_EST_NETPROFIT_INST($E$6,$E$8,$E$9,D23)/currencyunit)</f>
        <v>0</v>
      </c>
      <c r="J23" s="213">
        <f ca="1">IF($D$4="自选机构",[1]!S_EST_EPS_INST($E$6,$E$8,C23,$F$4),[1]!S_EST_EPS_INST($E$6,$E$8,$E$9,D23))</f>
        <v>0</v>
      </c>
      <c r="K23" s="214">
        <f ca="1">IF($D$4="自选机构",[1]!S_EST_NEWRATINGTIME_INST($E$6,Y23,$F$4),[1]!S_EST_NEWRATINGTIME_INST($E$6,$E$9,D23))</f>
        <v>0</v>
      </c>
      <c r="L23" s="213">
        <f ca="1">IF($D$4="自选机构",[1]!S_EST_RATINGANALYST($E$6,Y23,$F$4),[1]!S_EST_RATINGANALYST($E$6,$E$9,D23))</f>
        <v>0</v>
      </c>
      <c r="M23" s="213">
        <f ca="1">IF($D$4="自选机构",[1]!S_EST_ORGRATING_INST($E$6,Y23,$F$4),[1]!S_EST_ORGRATING_INST($E$6,$E$9,D23))</f>
        <v>0</v>
      </c>
      <c r="N23" s="215">
        <f ca="1">IF($D$4="自选机构",[1]!S_EST_SCORERATING_INST($E$6,Y23,$F$4),[1]!S_EST_SCORERATING_INST($E$6,$E$9,D23))</f>
        <v>0</v>
      </c>
      <c r="O23" s="213">
        <f ca="1">IF($D$4="自选机构",[1]!S_EST_STDRATING_INST($E$6,Y23,$F$4),[1]!S_EST_STDRATING_INST($E$6,$E$9,D23))</f>
        <v>0</v>
      </c>
      <c r="P23" s="214">
        <f>IF($D$4="自选机构",[1]!S_EST_FRSTRATINGTIME_INST($E$6,$F$4),[1]!S_EST_FRSTRATINGTIME_INST($E$6,D23))</f>
        <v>0</v>
      </c>
      <c r="Q23" s="153" t="str">
        <f t="shared" ca="1" si="1"/>
        <v/>
      </c>
      <c r="R23" s="153"/>
      <c r="S23" s="153"/>
      <c r="T23" s="153"/>
      <c r="U23" s="153"/>
      <c r="V23" s="153"/>
      <c r="W23" s="153"/>
      <c r="X23" s="216">
        <f t="shared" ca="1" si="2"/>
        <v>0</v>
      </c>
      <c r="Y23" s="216">
        <f t="shared" ca="1" si="6"/>
        <v>46048</v>
      </c>
      <c r="Z23" s="217">
        <f ca="1">IF($D$4="自选机构",[1]!S_EST_SCORERATING_INST($E$6,K23-1,$F$4),[1]!S_EST_SCORERATING_INST($E$6,K23-1,D23))</f>
        <v>0</v>
      </c>
      <c r="AA23" s="217">
        <f t="shared" ca="1" si="3"/>
        <v>0</v>
      </c>
      <c r="AB23" s="153" t="str">
        <f t="shared" ca="1" si="4"/>
        <v/>
      </c>
      <c r="AC23" s="218" t="str">
        <f t="shared" ca="1" si="7"/>
        <v/>
      </c>
      <c r="AD23" s="211"/>
    </row>
    <row r="24" spans="3:30" ht="16.5">
      <c r="C24" s="7">
        <f t="shared" ca="1" si="5"/>
        <v>-1</v>
      </c>
      <c r="D24" s="219">
        <v>10</v>
      </c>
      <c r="E24" s="220" t="str">
        <f t="shared" si="0"/>
        <v>兴业证券</v>
      </c>
      <c r="F24" s="221">
        <f ca="1">IF($D$4="自选机构",[1]!S_EST_ESTANALYST($E$6,$E$8,C24,$F$4),[1]!S_EST_ESTANALYST($E$6,$E$8,$E$9,D24))</f>
        <v>0</v>
      </c>
      <c r="G24" s="222">
        <f ca="1">IF($D$4="自选机构",[1]!S_EST_ESTNEWTIME_INST($E$6,$E$8,C24,$F$4),[1]!S_EST_ESTNEWTIME_INST($E$6,$E$8,$E$9,D24))</f>
        <v>0</v>
      </c>
      <c r="H24" s="223">
        <f ca="1">IF($D$4="自选机构",[1]!S_EST_SALES_INST($E$6,$E$8,C24,$F$4)/currencyunit,[1]!S_EST_SALES_INST($E$6,$E$8,$E$9,D24)/currencyunit)</f>
        <v>0</v>
      </c>
      <c r="I24" s="223">
        <f ca="1">IF($D$4="自选机构",[1]!S_EST_NETPROFIT_INST($E$6,$E$8,C24,$F$4)/currencyunit,[1]!S_EST_NETPROFIT_INST($E$6,$E$8,$E$9,D24)/currencyunit)</f>
        <v>0</v>
      </c>
      <c r="J24" s="221">
        <f ca="1">IF($D$4="自选机构",[1]!S_EST_EPS_INST($E$6,$E$8,C24,$F$4),[1]!S_EST_EPS_INST($E$6,$E$8,$E$9,D24))</f>
        <v>0</v>
      </c>
      <c r="K24" s="222">
        <f ca="1">IF($D$4="自选机构",[1]!S_EST_NEWRATINGTIME_INST($E$6,Y24,$F$4),[1]!S_EST_NEWRATINGTIME_INST($E$6,$E$9,D24))</f>
        <v>0</v>
      </c>
      <c r="L24" s="221">
        <f ca="1">IF($D$4="自选机构",[1]!S_EST_RATINGANALYST($E$6,Y24,$F$4),[1]!S_EST_RATINGANALYST($E$6,$E$9,D24))</f>
        <v>0</v>
      </c>
      <c r="M24" s="221">
        <f ca="1">IF($D$4="自选机构",[1]!S_EST_ORGRATING_INST($E$6,Y24,$F$4),[1]!S_EST_ORGRATING_INST($E$6,$E$9,D24))</f>
        <v>0</v>
      </c>
      <c r="N24" s="223">
        <f ca="1">IF($D$4="自选机构",[1]!S_EST_SCORERATING_INST($E$6,Y24,$F$4),[1]!S_EST_SCORERATING_INST($E$6,$E$9,D24))</f>
        <v>0</v>
      </c>
      <c r="O24" s="221">
        <f ca="1">IF($D$4="自选机构",[1]!S_EST_STDRATING_INST($E$6,Y24,$F$4),[1]!S_EST_STDRATING_INST($E$6,$E$9,D24))</f>
        <v>0</v>
      </c>
      <c r="P24" s="222" t="str">
        <f>IF($D$4="自选机构",[1]!S_EST_FRSTRATINGTIME_INST($E$6,$F$4),[1]!S_EST_FRSTRATINGTIME_INST($E$6,D24))</f>
        <v>2012-04-04</v>
      </c>
      <c r="Q24" s="224" t="str">
        <f t="shared" ca="1" si="1"/>
        <v/>
      </c>
      <c r="R24" s="224"/>
      <c r="S24" s="224"/>
      <c r="T24" s="224"/>
      <c r="U24" s="224"/>
      <c r="V24" s="224"/>
      <c r="W24" s="224"/>
      <c r="X24" s="225">
        <f t="shared" ca="1" si="2"/>
        <v>0</v>
      </c>
      <c r="Y24" s="225">
        <f t="shared" ca="1" si="6"/>
        <v>-1</v>
      </c>
      <c r="Z24" s="226">
        <f ca="1">IF($D$4="自选机构",[1]!S_EST_SCORERATING_INST($E$6,K24-1,$F$4),[1]!S_EST_SCORERATING_INST($E$6,K24-1,D24))</f>
        <v>0</v>
      </c>
      <c r="AA24" s="226">
        <f t="shared" ca="1" si="3"/>
        <v>0</v>
      </c>
      <c r="AB24" s="224" t="str">
        <f t="shared" ca="1" si="4"/>
        <v/>
      </c>
      <c r="AC24" s="227" t="str">
        <f t="shared" ca="1" si="7"/>
        <v/>
      </c>
      <c r="AD24" s="219"/>
    </row>
    <row r="25" spans="3:30" ht="16.5">
      <c r="C25" s="7">
        <f t="shared" ca="1" si="5"/>
        <v>-1</v>
      </c>
      <c r="D25" s="211">
        <v>11</v>
      </c>
      <c r="E25" s="212" t="str">
        <f t="shared" si="0"/>
        <v>东方证券</v>
      </c>
      <c r="F25" s="213" t="str">
        <f ca="1">IF($D$4="自选机构",[1]!S_EST_ESTANALYST($E$6,$E$8,C25,$F$4),[1]!S_EST_ESTANALYST($E$6,$E$8,$E$9,D25))</f>
        <v>刘洋</v>
      </c>
      <c r="G25" s="214" t="str">
        <f ca="1">IF($D$4="自选机构",[1]!S_EST_ESTNEWTIME_INST($E$6,$E$8,C25,$F$4),[1]!S_EST_ESTNEWTIME_INST($E$6,$E$8,$E$9,D25))</f>
        <v>2025-10-20</v>
      </c>
      <c r="H25" s="215">
        <f ca="1">IF($D$4="自选机构",[1]!S_EST_SALES_INST($E$6,$E$8,C25,$F$4)/currencyunit,[1]!S_EST_SALES_INST($E$6,$E$8,$E$9,D25)/currencyunit)</f>
        <v>468920</v>
      </c>
      <c r="I25" s="215">
        <f ca="1">IF($D$4="自选机构",[1]!S_EST_NETPROFIT_INST($E$6,$E$8,C25,$F$4)/currencyunit,[1]!S_EST_NETPROFIT_INST($E$6,$E$8,$E$9,D25)/currencyunit)</f>
        <v>68199</v>
      </c>
      <c r="J25" s="213">
        <f ca="1">IF($D$4="自选机构",[1]!S_EST_EPS_INST($E$6,$E$8,C25,$F$4),[1]!S_EST_EPS_INST($E$6,$E$8,$E$9,D25))</f>
        <v>2.57</v>
      </c>
      <c r="K25" s="214" t="str">
        <f ca="1">IF($D$4="自选机构",[1]!S_EST_NEWRATINGTIME_INST($E$6,Y25,$F$4),[1]!S_EST_NEWRATINGTIME_INST($E$6,$E$9,D25))</f>
        <v>2025-10-20</v>
      </c>
      <c r="L25" s="213" t="str">
        <f ca="1">IF($D$4="自选机构",[1]!S_EST_RATINGANALYST($E$6,Y25,$F$4),[1]!S_EST_RATINGANALYST($E$6,$E$9,D25))</f>
        <v>刘洋</v>
      </c>
      <c r="M25" s="213" t="str">
        <f ca="1">IF($D$4="自选机构",[1]!S_EST_ORGRATING_INST($E$6,Y25,$F$4),[1]!S_EST_ORGRATING_INST($E$6,$E$9,D25))</f>
        <v>东方证券_买入_1</v>
      </c>
      <c r="N25" s="215">
        <f ca="1">IF($D$4="自选机构",[1]!S_EST_SCORERATING_INST($E$6,Y25,$F$4),[1]!S_EST_SCORERATING_INST($E$6,$E$9,D25))</f>
        <v>1</v>
      </c>
      <c r="O25" s="213" t="str">
        <f ca="1">IF($D$4="自选机构",[1]!S_EST_STDRATING_INST($E$6,Y25,$F$4),[1]!S_EST_STDRATING_INST($E$6,$E$9,D25))</f>
        <v>买入</v>
      </c>
      <c r="P25" s="214" t="str">
        <f>IF($D$4="自选机构",[1]!S_EST_FRSTRATINGTIME_INST($E$6,$F$4),[1]!S_EST_FRSTRATINGTIME_INST($E$6,D25))</f>
        <v>2009-11-17</v>
      </c>
      <c r="Q25" s="153" t="str">
        <f t="shared" ca="1" si="1"/>
        <v/>
      </c>
      <c r="R25" s="153"/>
      <c r="S25" s="153"/>
      <c r="T25" s="153"/>
      <c r="U25" s="153"/>
      <c r="V25" s="153"/>
      <c r="W25" s="153"/>
      <c r="X25" s="216">
        <f t="shared" ca="1" si="2"/>
        <v>45950</v>
      </c>
      <c r="Y25" s="216">
        <f t="shared" ca="1" si="6"/>
        <v>-1</v>
      </c>
      <c r="Z25" s="217">
        <f ca="1">IF($D$4="自选机构",[1]!S_EST_SCORERATING_INST($E$6,K25-1,$F$4),[1]!S_EST_SCORERATING_INST($E$6,K25-1,D25))</f>
        <v>1</v>
      </c>
      <c r="AA25" s="217" t="str">
        <f t="shared" ca="1" si="3"/>
        <v>评级不变</v>
      </c>
      <c r="AB25" s="153" t="str">
        <f t="shared" ca="1" si="4"/>
        <v/>
      </c>
      <c r="AC25" s="218">
        <f t="shared" ca="1" si="7"/>
        <v>0</v>
      </c>
      <c r="AD25" s="211"/>
    </row>
    <row r="26" spans="3:30" ht="16.5">
      <c r="C26" s="7">
        <f t="shared" ca="1" si="5"/>
        <v>45949</v>
      </c>
      <c r="D26" s="219">
        <v>12</v>
      </c>
      <c r="E26" s="220" t="str">
        <f t="shared" si="0"/>
        <v>长江证券</v>
      </c>
      <c r="F26" s="221">
        <f ca="1">IF($D$4="自选机构",[1]!S_EST_ESTANALYST($E$6,$E$8,C26,$F$4),[1]!S_EST_ESTANALYST($E$6,$E$8,$E$9,D26))</f>
        <v>0</v>
      </c>
      <c r="G26" s="222">
        <f ca="1">IF($D$4="自选机构",[1]!S_EST_ESTNEWTIME_INST($E$6,$E$8,C26,$F$4),[1]!S_EST_ESTNEWTIME_INST($E$6,$E$8,$E$9,D26))</f>
        <v>0</v>
      </c>
      <c r="H26" s="223">
        <f ca="1">IF($D$4="自选机构",[1]!S_EST_SALES_INST($E$6,$E$8,C26,$F$4)/currencyunit,[1]!S_EST_SALES_INST($E$6,$E$8,$E$9,D26)/currencyunit)</f>
        <v>0</v>
      </c>
      <c r="I26" s="223">
        <f ca="1">IF($D$4="自选机构",[1]!S_EST_NETPROFIT_INST($E$6,$E$8,C26,$F$4)/currencyunit,[1]!S_EST_NETPROFIT_INST($E$6,$E$8,$E$9,D26)/currencyunit)</f>
        <v>0</v>
      </c>
      <c r="J26" s="221">
        <f ca="1">IF($D$4="自选机构",[1]!S_EST_EPS_INST($E$6,$E$8,C26,$F$4),[1]!S_EST_EPS_INST($E$6,$E$8,$E$9,D26))</f>
        <v>0</v>
      </c>
      <c r="K26" s="222">
        <f ca="1">IF($D$4="自选机构",[1]!S_EST_NEWRATINGTIME_INST($E$6,Y26,$F$4),[1]!S_EST_NEWRATINGTIME_INST($E$6,$E$9,D26))</f>
        <v>0</v>
      </c>
      <c r="L26" s="221">
        <f ca="1">IF($D$4="自选机构",[1]!S_EST_RATINGANALYST($E$6,Y26,$F$4),[1]!S_EST_RATINGANALYST($E$6,$E$9,D26))</f>
        <v>0</v>
      </c>
      <c r="M26" s="221">
        <f ca="1">IF($D$4="自选机构",[1]!S_EST_ORGRATING_INST($E$6,Y26,$F$4),[1]!S_EST_ORGRATING_INST($E$6,$E$9,D26))</f>
        <v>0</v>
      </c>
      <c r="N26" s="223">
        <f ca="1">IF($D$4="自选机构",[1]!S_EST_SCORERATING_INST($E$6,Y26,$F$4),[1]!S_EST_SCORERATING_INST($E$6,$E$9,D26))</f>
        <v>0</v>
      </c>
      <c r="O26" s="221">
        <f ca="1">IF($D$4="自选机构",[1]!S_EST_STDRATING_INST($E$6,Y26,$F$4),[1]!S_EST_STDRATING_INST($E$6,$E$9,D26))</f>
        <v>0</v>
      </c>
      <c r="P26" s="222" t="str">
        <f>IF($D$4="自选机构",[1]!S_EST_FRSTRATINGTIME_INST($E$6,$F$4),[1]!S_EST_FRSTRATINGTIME_INST($E$6,D26))</f>
        <v>2008-07-30</v>
      </c>
      <c r="Q26" s="224" t="str">
        <f t="shared" ca="1" si="1"/>
        <v/>
      </c>
      <c r="R26" s="224"/>
      <c r="S26" s="224"/>
      <c r="T26" s="224"/>
      <c r="U26" s="224"/>
      <c r="V26" s="224"/>
      <c r="W26" s="224"/>
      <c r="X26" s="225">
        <f t="shared" ca="1" si="2"/>
        <v>0</v>
      </c>
      <c r="Y26" s="225">
        <f t="shared" ca="1" si="6"/>
        <v>45949</v>
      </c>
      <c r="Z26" s="226">
        <f ca="1">IF($D$4="自选机构",[1]!S_EST_SCORERATING_INST($E$6,K26-1,$F$4),[1]!S_EST_SCORERATING_INST($E$6,K26-1,D26))</f>
        <v>0</v>
      </c>
      <c r="AA26" s="226">
        <f t="shared" ca="1" si="3"/>
        <v>0</v>
      </c>
      <c r="AB26" s="224" t="str">
        <f t="shared" ca="1" si="4"/>
        <v/>
      </c>
      <c r="AC26" s="227" t="str">
        <f t="shared" ca="1" si="7"/>
        <v/>
      </c>
      <c r="AD26" s="219"/>
    </row>
    <row r="27" spans="3:30" ht="16.5">
      <c r="C27" s="7">
        <f t="shared" ca="1" si="5"/>
        <v>-1</v>
      </c>
      <c r="D27" s="211">
        <v>13</v>
      </c>
      <c r="E27" s="212" t="str">
        <f t="shared" si="0"/>
        <v>华泰证券</v>
      </c>
      <c r="F27" s="213" t="str">
        <f ca="1">IF($D$4="自选机构",[1]!S_EST_ESTANALYST($E$6,$E$8,C27,$F$4),[1]!S_EST_ESTANALYST($E$6,$E$8,$E$9,D27))</f>
        <v>李斌</v>
      </c>
      <c r="G27" s="214" t="str">
        <f ca="1">IF($D$4="自选机构",[1]!S_EST_ESTNEWTIME_INST($E$6,$E$8,C27,$F$4),[1]!S_EST_ESTNEWTIME_INST($E$6,$E$8,$E$9,D27))</f>
        <v>2026-03-06</v>
      </c>
      <c r="H27" s="215">
        <f ca="1">IF($D$4="自选机构",[1]!S_EST_SALES_INST($E$6,$E$8,C27,$F$4)/currencyunit,[1]!S_EST_SALES_INST($E$6,$E$8,$E$9,D27)/currencyunit)</f>
        <v>473769</v>
      </c>
      <c r="I27" s="215">
        <f ca="1">IF($D$4="自选机构",[1]!S_EST_NETPROFIT_INST($E$6,$E$8,C27,$F$4)/currencyunit,[1]!S_EST_NETPROFIT_INST($E$6,$E$8,$E$9,D27)/currencyunit)</f>
        <v>80770</v>
      </c>
      <c r="J27" s="213">
        <f ca="1">IF($D$4="自选机构",[1]!S_EST_EPS_INST($E$6,$E$8,C27,$F$4),[1]!S_EST_EPS_INST($E$6,$E$8,$E$9,D27))</f>
        <v>3.04</v>
      </c>
      <c r="K27" s="214" t="str">
        <f ca="1">IF($D$4="自选机构",[1]!S_EST_NEWRATINGTIME_INST($E$6,Y27,$F$4),[1]!S_EST_NEWRATINGTIME_INST($E$6,$E$9,D27))</f>
        <v>2026-03-06</v>
      </c>
      <c r="L27" s="213" t="str">
        <f ca="1">IF($D$4="自选机构",[1]!S_EST_RATINGANALYST($E$6,Y27,$F$4),[1]!S_EST_RATINGANALYST($E$6,$E$9,D27))</f>
        <v>李斌</v>
      </c>
      <c r="M27" s="213" t="str">
        <f ca="1">IF($D$4="自选机构",[1]!S_EST_ORGRATING_INST($E$6,Y27,$F$4),[1]!S_EST_ORGRATING_INST($E$6,$E$9,D27))</f>
        <v>华泰证券_买入_1</v>
      </c>
      <c r="N27" s="215">
        <f ca="1">IF($D$4="自选机构",[1]!S_EST_SCORERATING_INST($E$6,Y27,$F$4),[1]!S_EST_SCORERATING_INST($E$6,$E$9,D27))</f>
        <v>1</v>
      </c>
      <c r="O27" s="213" t="str">
        <f ca="1">IF($D$4="自选机构",[1]!S_EST_STDRATING_INST($E$6,Y27,$F$4),[1]!S_EST_STDRATING_INST($E$6,$E$9,D27))</f>
        <v>买入</v>
      </c>
      <c r="P27" s="214" t="str">
        <f>IF($D$4="自选机构",[1]!S_EST_FRSTRATINGTIME_INST($E$6,$F$4),[1]!S_EST_FRSTRATINGTIME_INST($E$6,D27))</f>
        <v>2009-02-18</v>
      </c>
      <c r="Q27" s="153">
        <f t="shared" ca="1" si="1"/>
        <v>1</v>
      </c>
      <c r="R27" s="153"/>
      <c r="S27" s="153"/>
      <c r="T27" s="153"/>
      <c r="U27" s="153"/>
      <c r="V27" s="153"/>
      <c r="W27" s="153"/>
      <c r="X27" s="216">
        <f t="shared" ca="1" si="2"/>
        <v>46087</v>
      </c>
      <c r="Y27" s="216">
        <f t="shared" ca="1" si="6"/>
        <v>-1</v>
      </c>
      <c r="Z27" s="217">
        <f ca="1">IF($D$4="自选机构",[1]!S_EST_SCORERATING_INST($E$6,K27-1,$F$4),[1]!S_EST_SCORERATING_INST($E$6,K27-1,D27))</f>
        <v>1</v>
      </c>
      <c r="AA27" s="217" t="str">
        <f t="shared" ca="1" si="3"/>
        <v>评级不变</v>
      </c>
      <c r="AB27" s="153">
        <f t="shared" ca="1" si="4"/>
        <v>1</v>
      </c>
      <c r="AC27" s="218">
        <f t="shared" ca="1" si="7"/>
        <v>0</v>
      </c>
      <c r="AD27" s="211"/>
    </row>
    <row r="28" spans="3:30" ht="16.5">
      <c r="C28" s="7">
        <f t="shared" ca="1" si="5"/>
        <v>46086</v>
      </c>
      <c r="D28" s="219">
        <v>14</v>
      </c>
      <c r="E28" s="220" t="str">
        <f t="shared" si="0"/>
        <v>平安证券</v>
      </c>
      <c r="F28" s="221">
        <f ca="1">IF($D$4="自选机构",[1]!S_EST_ESTANALYST($E$6,$E$8,C28,$F$4),[1]!S_EST_ESTANALYST($E$6,$E$8,$E$9,D28))</f>
        <v>0</v>
      </c>
      <c r="G28" s="222">
        <f ca="1">IF($D$4="自选机构",[1]!S_EST_ESTNEWTIME_INST($E$6,$E$8,C28,$F$4),[1]!S_EST_ESTNEWTIME_INST($E$6,$E$8,$E$9,D28))</f>
        <v>0</v>
      </c>
      <c r="H28" s="223">
        <f ca="1">IF($D$4="自选机构",[1]!S_EST_SALES_INST($E$6,$E$8,C28,$F$4)/currencyunit,[1]!S_EST_SALES_INST($E$6,$E$8,$E$9,D28)/currencyunit)</f>
        <v>0</v>
      </c>
      <c r="I28" s="223">
        <f ca="1">IF($D$4="自选机构",[1]!S_EST_NETPROFIT_INST($E$6,$E$8,C28,$F$4)/currencyunit,[1]!S_EST_NETPROFIT_INST($E$6,$E$8,$E$9,D28)/currencyunit)</f>
        <v>0</v>
      </c>
      <c r="J28" s="221">
        <f ca="1">IF($D$4="自选机构",[1]!S_EST_EPS_INST($E$6,$E$8,C28,$F$4),[1]!S_EST_EPS_INST($E$6,$E$8,$E$9,D28))</f>
        <v>0</v>
      </c>
      <c r="K28" s="222">
        <f ca="1">IF($D$4="自选机构",[1]!S_EST_NEWRATINGTIME_INST($E$6,Y28,$F$4),[1]!S_EST_NEWRATINGTIME_INST($E$6,$E$9,D28))</f>
        <v>0</v>
      </c>
      <c r="L28" s="221">
        <f ca="1">IF($D$4="自选机构",[1]!S_EST_RATINGANALYST($E$6,Y28,$F$4),[1]!S_EST_RATINGANALYST($E$6,$E$9,D28))</f>
        <v>0</v>
      </c>
      <c r="M28" s="221">
        <f ca="1">IF($D$4="自选机构",[1]!S_EST_ORGRATING_INST($E$6,Y28,$F$4),[1]!S_EST_ORGRATING_INST($E$6,$E$9,D28))</f>
        <v>0</v>
      </c>
      <c r="N28" s="223">
        <f ca="1">IF($D$4="自选机构",[1]!S_EST_SCORERATING_INST($E$6,Y28,$F$4),[1]!S_EST_SCORERATING_INST($E$6,$E$9,D28))</f>
        <v>0</v>
      </c>
      <c r="O28" s="221">
        <f ca="1">IF($D$4="自选机构",[1]!S_EST_STDRATING_INST($E$6,Y28,$F$4),[1]!S_EST_STDRATING_INST($E$6,$E$9,D28))</f>
        <v>0</v>
      </c>
      <c r="P28" s="222" t="str">
        <f>IF($D$4="自选机构",[1]!S_EST_FRSTRATINGTIME_INST($E$6,$F$4),[1]!S_EST_FRSTRATINGTIME_INST($E$6,D28))</f>
        <v>2018-04-25</v>
      </c>
      <c r="Q28" s="224" t="str">
        <f t="shared" ca="1" si="1"/>
        <v/>
      </c>
      <c r="R28" s="224"/>
      <c r="S28" s="224"/>
      <c r="T28" s="224"/>
      <c r="U28" s="224"/>
      <c r="V28" s="224"/>
      <c r="W28" s="224"/>
      <c r="X28" s="225">
        <f t="shared" ca="1" si="2"/>
        <v>0</v>
      </c>
      <c r="Y28" s="225">
        <f t="shared" ca="1" si="6"/>
        <v>46086</v>
      </c>
      <c r="Z28" s="226">
        <f ca="1">IF($D$4="自选机构",[1]!S_EST_SCORERATING_INST($E$6,K28-1,$F$4),[1]!S_EST_SCORERATING_INST($E$6,K28-1,D28))</f>
        <v>0</v>
      </c>
      <c r="AA28" s="226">
        <f t="shared" ca="1" si="3"/>
        <v>0</v>
      </c>
      <c r="AB28" s="224" t="str">
        <f t="shared" ca="1" si="4"/>
        <v/>
      </c>
      <c r="AC28" s="227" t="str">
        <f t="shared" ca="1" si="7"/>
        <v/>
      </c>
      <c r="AD28" s="219"/>
    </row>
    <row r="29" spans="3:30" ht="16.5">
      <c r="C29" s="7">
        <f t="shared" ca="1" si="5"/>
        <v>-1</v>
      </c>
      <c r="D29" s="211">
        <v>15</v>
      </c>
      <c r="E29" s="212" t="str">
        <f t="shared" si="0"/>
        <v>中信建投</v>
      </c>
      <c r="F29" s="213" t="str">
        <f ca="1">IF($D$4="自选机构",[1]!S_EST_ESTANALYST($E$6,$E$8,C29,$F$4),[1]!S_EST_ESTANALYST($E$6,$E$8,$E$9,D29))</f>
        <v>王介超</v>
      </c>
      <c r="G29" s="214" t="str">
        <f ca="1">IF($D$4="自选机构",[1]!S_EST_ESTNEWTIME_INST($E$6,$E$8,C29,$F$4),[1]!S_EST_ESTNEWTIME_INST($E$6,$E$8,$E$9,D29))</f>
        <v>2025-03-26</v>
      </c>
      <c r="H29" s="215">
        <f ca="1">IF($D$4="自选机构",[1]!S_EST_SALES_INST($E$6,$E$8,C29,$F$4)/currencyunit,[1]!S_EST_SALES_INST($E$6,$E$8,$E$9,D29)/currencyunit)</f>
        <v>399872.3</v>
      </c>
      <c r="I29" s="215">
        <f ca="1">IF($D$4="自选机构",[1]!S_EST_NETPROFIT_INST($E$6,$E$8,C29,$F$4)/currencyunit,[1]!S_EST_NETPROFIT_INST($E$6,$E$8,$E$9,D29)/currencyunit)</f>
        <v>45786.99</v>
      </c>
      <c r="J29" s="213">
        <f ca="1">IF($D$4="自选机构",[1]!S_EST_EPS_INST($E$6,$E$8,C29,$F$4),[1]!S_EST_EPS_INST($E$6,$E$8,$E$9,D29))</f>
        <v>1.72</v>
      </c>
      <c r="K29" s="214">
        <f ca="1">IF($D$4="自选机构",[1]!S_EST_NEWRATINGTIME_INST($E$6,Y29,$F$4),[1]!S_EST_NEWRATINGTIME_INST($E$6,$E$9,D29))</f>
        <v>0</v>
      </c>
      <c r="L29" s="213">
        <f ca="1">IF($D$4="自选机构",[1]!S_EST_RATINGANALYST($E$6,Y29,$F$4),[1]!S_EST_RATINGANALYST($E$6,$E$9,D29))</f>
        <v>0</v>
      </c>
      <c r="M29" s="213">
        <f ca="1">IF($D$4="自选机构",[1]!S_EST_ORGRATING_INST($E$6,Y29,$F$4),[1]!S_EST_ORGRATING_INST($E$6,$E$9,D29))</f>
        <v>0</v>
      </c>
      <c r="N29" s="215">
        <f ca="1">IF($D$4="自选机构",[1]!S_EST_SCORERATING_INST($E$6,Y29,$F$4),[1]!S_EST_SCORERATING_INST($E$6,$E$9,D29))</f>
        <v>0</v>
      </c>
      <c r="O29" s="213">
        <f ca="1">IF($D$4="自选机构",[1]!S_EST_STDRATING_INST($E$6,Y29,$F$4),[1]!S_EST_STDRATING_INST($E$6,$E$9,D29))</f>
        <v>0</v>
      </c>
      <c r="P29" s="214" t="str">
        <f>IF($D$4="自选机构",[1]!S_EST_FRSTRATINGTIME_INST($E$6,$F$4),[1]!S_EST_FRSTRATINGTIME_INST($E$6,D29))</f>
        <v>2008-07-30</v>
      </c>
      <c r="Q29" s="153" t="str">
        <f t="shared" ca="1" si="1"/>
        <v/>
      </c>
      <c r="R29" s="153"/>
      <c r="S29" s="153"/>
      <c r="T29" s="153"/>
      <c r="U29" s="153"/>
      <c r="V29" s="153"/>
      <c r="W29" s="153"/>
      <c r="X29" s="216">
        <f t="shared" ca="1" si="2"/>
        <v>45742</v>
      </c>
      <c r="Y29" s="216">
        <f t="shared" ca="1" si="6"/>
        <v>-1</v>
      </c>
      <c r="Z29" s="217">
        <f ca="1">IF($D$4="自选机构",[1]!S_EST_SCORERATING_INST($E$6,K29-1,$F$4),[1]!S_EST_SCORERATING_INST($E$6,K29-1,D29))</f>
        <v>0</v>
      </c>
      <c r="AA29" s="217">
        <f t="shared" ca="1" si="3"/>
        <v>0</v>
      </c>
      <c r="AB29" s="153" t="str">
        <f t="shared" ca="1" si="4"/>
        <v/>
      </c>
      <c r="AC29" s="218" t="str">
        <f t="shared" ca="1" si="7"/>
        <v/>
      </c>
      <c r="AD29" s="211"/>
    </row>
    <row r="30" spans="3:30" ht="16.5">
      <c r="C30" s="7">
        <f t="shared" ca="1" si="5"/>
        <v>45741</v>
      </c>
      <c r="D30" s="219">
        <v>16</v>
      </c>
      <c r="E30" s="220" t="str">
        <f t="shared" si="0"/>
        <v>中投证券</v>
      </c>
      <c r="F30" s="221">
        <f ca="1">IF($D$4="自选机构",[1]!S_EST_ESTANALYST($E$6,$E$8,C30,$F$4),[1]!S_EST_ESTANALYST($E$6,$E$8,$E$9,D30))</f>
        <v>0</v>
      </c>
      <c r="G30" s="222">
        <f ca="1">IF($D$4="自选机构",[1]!S_EST_ESTNEWTIME_INST($E$6,$E$8,C30,$F$4),[1]!S_EST_ESTNEWTIME_INST($E$6,$E$8,$E$9,D30))</f>
        <v>0</v>
      </c>
      <c r="H30" s="223">
        <f ca="1">IF($D$4="自选机构",[1]!S_EST_SALES_INST($E$6,$E$8,C30,$F$4)/currencyunit,[1]!S_EST_SALES_INST($E$6,$E$8,$E$9,D30)/currencyunit)</f>
        <v>0</v>
      </c>
      <c r="I30" s="223">
        <f ca="1">IF($D$4="自选机构",[1]!S_EST_NETPROFIT_INST($E$6,$E$8,C30,$F$4)/currencyunit,[1]!S_EST_NETPROFIT_INST($E$6,$E$8,$E$9,D30)/currencyunit)</f>
        <v>0</v>
      </c>
      <c r="J30" s="221">
        <f ca="1">IF($D$4="自选机构",[1]!S_EST_EPS_INST($E$6,$E$8,C30,$F$4),[1]!S_EST_EPS_INST($E$6,$E$8,$E$9,D30))</f>
        <v>0</v>
      </c>
      <c r="K30" s="222">
        <f ca="1">IF($D$4="自选机构",[1]!S_EST_NEWRATINGTIME_INST($E$6,Y30,$F$4),[1]!S_EST_NEWRATINGTIME_INST($E$6,$E$9,D30))</f>
        <v>0</v>
      </c>
      <c r="L30" s="221">
        <f ca="1">IF($D$4="自选机构",[1]!S_EST_RATINGANALYST($E$6,Y30,$F$4),[1]!S_EST_RATINGANALYST($E$6,$E$9,D30))</f>
        <v>0</v>
      </c>
      <c r="M30" s="221">
        <f ca="1">IF($D$4="自选机构",[1]!S_EST_ORGRATING_INST($E$6,Y30,$F$4),[1]!S_EST_ORGRATING_INST($E$6,$E$9,D30))</f>
        <v>0</v>
      </c>
      <c r="N30" s="223">
        <f ca="1">IF($D$4="自选机构",[1]!S_EST_SCORERATING_INST($E$6,Y30,$F$4),[1]!S_EST_SCORERATING_INST($E$6,$E$9,D30))</f>
        <v>0</v>
      </c>
      <c r="O30" s="221">
        <f ca="1">IF($D$4="自选机构",[1]!S_EST_STDRATING_INST($E$6,Y30,$F$4),[1]!S_EST_STDRATING_INST($E$6,$E$9,D30))</f>
        <v>0</v>
      </c>
      <c r="P30" s="222">
        <f>IF($D$4="自选机构",[1]!S_EST_FRSTRATINGTIME_INST($E$6,$F$4),[1]!S_EST_FRSTRATINGTIME_INST($E$6,D30))</f>
        <v>0</v>
      </c>
      <c r="Q30" s="224" t="str">
        <f t="shared" ca="1" si="1"/>
        <v/>
      </c>
      <c r="R30" s="224"/>
      <c r="S30" s="224"/>
      <c r="T30" s="224"/>
      <c r="U30" s="224"/>
      <c r="V30" s="224"/>
      <c r="W30" s="224"/>
      <c r="X30" s="225">
        <f t="shared" ca="1" si="2"/>
        <v>0</v>
      </c>
      <c r="Y30" s="225">
        <f t="shared" ca="1" si="6"/>
        <v>-1</v>
      </c>
      <c r="Z30" s="226">
        <f ca="1">IF($D$4="自选机构",[1]!S_EST_SCORERATING_INST($E$6,K30-1,$F$4),[1]!S_EST_SCORERATING_INST($E$6,K30-1,D30))</f>
        <v>0</v>
      </c>
      <c r="AA30" s="226">
        <f t="shared" ca="1" si="3"/>
        <v>0</v>
      </c>
      <c r="AB30" s="224" t="str">
        <f t="shared" ca="1" si="4"/>
        <v/>
      </c>
      <c r="AC30" s="227" t="str">
        <f t="shared" ca="1" si="7"/>
        <v/>
      </c>
      <c r="AD30" s="219"/>
    </row>
    <row r="31" spans="3:30" ht="16.5">
      <c r="C31" s="7">
        <f t="shared" ca="1" si="5"/>
        <v>-1</v>
      </c>
      <c r="D31" s="211">
        <v>17</v>
      </c>
      <c r="E31" s="212" t="str">
        <f t="shared" si="0"/>
        <v>银河证券</v>
      </c>
      <c r="F31" s="213" t="str">
        <f ca="1">IF($D$4="自选机构",[1]!S_EST_ESTANALYST($E$6,$E$8,C31,$F$4),[1]!S_EST_ESTANALYST($E$6,$E$8,$E$9,D31))</f>
        <v>华立</v>
      </c>
      <c r="G31" s="214" t="str">
        <f ca="1">IF($D$4="自选机构",[1]!S_EST_ESTNEWTIME_INST($E$6,$E$8,C31,$F$4),[1]!S_EST_ESTNEWTIME_INST($E$6,$E$8,$E$9,D31))</f>
        <v>2026-01-27</v>
      </c>
      <c r="H31" s="215">
        <f ca="1">IF($D$4="自选机构",[1]!S_EST_SALES_INST($E$6,$E$8,C31,$F$4)/currencyunit,[1]!S_EST_SALES_INST($E$6,$E$8,$E$9,D31)/currencyunit)</f>
        <v>423241</v>
      </c>
      <c r="I31" s="215">
        <f ca="1">IF($D$4="自选机构",[1]!S_EST_NETPROFIT_INST($E$6,$E$8,C31,$F$4)/currencyunit,[1]!S_EST_NETPROFIT_INST($E$6,$E$8,$E$9,D31)/currencyunit)</f>
        <v>89508</v>
      </c>
      <c r="J31" s="213">
        <f ca="1">IF($D$4="自选机构",[1]!S_EST_EPS_INST($E$6,$E$8,C31,$F$4),[1]!S_EST_EPS_INST($E$6,$E$8,$E$9,D31))</f>
        <v>3.37</v>
      </c>
      <c r="K31" s="214" t="str">
        <f ca="1">IF($D$4="自选机构",[1]!S_EST_NEWRATINGTIME_INST($E$6,Y31,$F$4),[1]!S_EST_NEWRATINGTIME_INST($E$6,$E$9,D31))</f>
        <v>2026-01-27</v>
      </c>
      <c r="L31" s="213" t="str">
        <f ca="1">IF($D$4="自选机构",[1]!S_EST_RATINGANALYST($E$6,Y31,$F$4),[1]!S_EST_RATINGANALYST($E$6,$E$9,D31))</f>
        <v>华立</v>
      </c>
      <c r="M31" s="213" t="str">
        <f ca="1">IF($D$4="自选机构",[1]!S_EST_ORGRATING_INST($E$6,Y31,$F$4),[1]!S_EST_ORGRATING_INST($E$6,$E$9,D31))</f>
        <v>银河证券_推荐_1</v>
      </c>
      <c r="N31" s="215">
        <f ca="1">IF($D$4="自选机构",[1]!S_EST_SCORERATING_INST($E$6,Y31,$F$4),[1]!S_EST_SCORERATING_INST($E$6,$E$9,D31))</f>
        <v>1</v>
      </c>
      <c r="O31" s="213" t="str">
        <f ca="1">IF($D$4="自选机构",[1]!S_EST_STDRATING_INST($E$6,Y31,$F$4),[1]!S_EST_STDRATING_INST($E$6,$E$9,D31))</f>
        <v>买入</v>
      </c>
      <c r="P31" s="214" t="str">
        <f>IF($D$4="自选机构",[1]!S_EST_FRSTRATINGTIME_INST($E$6,$F$4),[1]!S_EST_FRSTRATINGTIME_INST($E$6,D31))</f>
        <v>2009-06-16</v>
      </c>
      <c r="Q31" s="153">
        <f t="shared" ca="1" si="1"/>
        <v>1</v>
      </c>
      <c r="R31" s="153"/>
      <c r="S31" s="153"/>
      <c r="T31" s="153"/>
      <c r="U31" s="153"/>
      <c r="V31" s="153"/>
      <c r="W31" s="153"/>
      <c r="X31" s="216">
        <f t="shared" ca="1" si="2"/>
        <v>46049</v>
      </c>
      <c r="Y31" s="216">
        <f t="shared" ca="1" si="6"/>
        <v>-1</v>
      </c>
      <c r="Z31" s="217">
        <f ca="1">IF($D$4="自选机构",[1]!S_EST_SCORERATING_INST($E$6,K31-1,$F$4),[1]!S_EST_SCORERATING_INST($E$6,K31-1,D31))</f>
        <v>1</v>
      </c>
      <c r="AA31" s="217" t="str">
        <f t="shared" ca="1" si="3"/>
        <v>评级不变</v>
      </c>
      <c r="AB31" s="153">
        <f t="shared" ca="1" si="4"/>
        <v>1</v>
      </c>
      <c r="AC31" s="218">
        <f t="shared" ca="1" si="7"/>
        <v>0</v>
      </c>
      <c r="AD31" s="211"/>
    </row>
    <row r="32" spans="3:30" ht="16.5">
      <c r="C32" s="7">
        <f t="shared" ca="1" si="5"/>
        <v>46048</v>
      </c>
      <c r="D32" s="219">
        <v>18</v>
      </c>
      <c r="E32" s="220" t="str">
        <f t="shared" si="0"/>
        <v>上海证券</v>
      </c>
      <c r="F32" s="221" t="str">
        <f ca="1">IF($D$4="自选机构",[1]!S_EST_ESTANALYST($E$6,$E$8,C32,$F$4),[1]!S_EST_ESTANALYST($E$6,$E$8,$E$9,D32))</f>
        <v>于庭泽</v>
      </c>
      <c r="G32" s="222" t="str">
        <f ca="1">IF($D$4="自选机构",[1]!S_EST_ESTNEWTIME_INST($E$6,$E$8,C32,$F$4),[1]!S_EST_ESTNEWTIME_INST($E$6,$E$8,$E$9,D32))</f>
        <v>2024-10-23</v>
      </c>
      <c r="H32" s="223">
        <f ca="1">IF($D$4="自选机构",[1]!S_EST_SALES_INST($E$6,$E$8,C32,$F$4)/currencyunit,[1]!S_EST_SALES_INST($E$6,$E$8,$E$9,D32)/currencyunit)</f>
        <v>386429</v>
      </c>
      <c r="I32" s="223">
        <f ca="1">IF($D$4="自选机构",[1]!S_EST_NETPROFIT_INST($E$6,$E$8,C32,$F$4)/currencyunit,[1]!S_EST_NETPROFIT_INST($E$6,$E$8,$E$9,D32)/currencyunit)</f>
        <v>43395</v>
      </c>
      <c r="J32" s="221">
        <f ca="1">IF($D$4="自选机构",[1]!S_EST_EPS_INST($E$6,$E$8,C32,$F$4),[1]!S_EST_EPS_INST($E$6,$E$8,$E$9,D32))</f>
        <v>1.63</v>
      </c>
      <c r="K32" s="222">
        <f ca="1">IF($D$4="自选机构",[1]!S_EST_NEWRATINGTIME_INST($E$6,Y32,$F$4),[1]!S_EST_NEWRATINGTIME_INST($E$6,$E$9,D32))</f>
        <v>0</v>
      </c>
      <c r="L32" s="221">
        <f ca="1">IF($D$4="自选机构",[1]!S_EST_RATINGANALYST($E$6,Y32,$F$4),[1]!S_EST_RATINGANALYST($E$6,$E$9,D32))</f>
        <v>0</v>
      </c>
      <c r="M32" s="221">
        <f ca="1">IF($D$4="自选机构",[1]!S_EST_ORGRATING_INST($E$6,Y32,$F$4),[1]!S_EST_ORGRATING_INST($E$6,$E$9,D32))</f>
        <v>0</v>
      </c>
      <c r="N32" s="223">
        <f ca="1">IF($D$4="自选机构",[1]!S_EST_SCORERATING_INST($E$6,Y32,$F$4),[1]!S_EST_SCORERATING_INST($E$6,$E$9,D32))</f>
        <v>0</v>
      </c>
      <c r="O32" s="221">
        <f ca="1">IF($D$4="自选机构",[1]!S_EST_STDRATING_INST($E$6,Y32,$F$4),[1]!S_EST_STDRATING_INST($E$6,$E$9,D32))</f>
        <v>0</v>
      </c>
      <c r="P32" s="222" t="str">
        <f>IF($D$4="自选机构",[1]!S_EST_FRSTRATINGTIME_INST($E$6,$F$4),[1]!S_EST_FRSTRATINGTIME_INST($E$6,D32))</f>
        <v>2008-06-19</v>
      </c>
      <c r="Q32" s="224" t="str">
        <f t="shared" ca="1" si="1"/>
        <v/>
      </c>
      <c r="R32" s="224"/>
      <c r="S32" s="224"/>
      <c r="T32" s="224"/>
      <c r="U32" s="224"/>
      <c r="V32" s="224"/>
      <c r="W32" s="224"/>
      <c r="X32" s="225">
        <f t="shared" ca="1" si="2"/>
        <v>45588</v>
      </c>
      <c r="Y32" s="225">
        <f t="shared" ca="1" si="6"/>
        <v>46048</v>
      </c>
      <c r="Z32" s="226">
        <f ca="1">IF($D$4="自选机构",[1]!S_EST_SCORERATING_INST($E$6,K32-1,$F$4),[1]!S_EST_SCORERATING_INST($E$6,K32-1,D32))</f>
        <v>0</v>
      </c>
      <c r="AA32" s="226">
        <f t="shared" ca="1" si="3"/>
        <v>0</v>
      </c>
      <c r="AB32" s="224" t="str">
        <f t="shared" ca="1" si="4"/>
        <v/>
      </c>
      <c r="AC32" s="227" t="str">
        <f t="shared" ca="1" si="7"/>
        <v/>
      </c>
      <c r="AD32" s="219"/>
    </row>
    <row r="33" spans="3:30" ht="16.5">
      <c r="C33" s="7">
        <f t="shared" ca="1" si="5"/>
        <v>45587</v>
      </c>
      <c r="D33" s="211">
        <v>19</v>
      </c>
      <c r="E33" s="212" t="str">
        <f t="shared" si="0"/>
        <v>西南证券</v>
      </c>
      <c r="F33" s="213">
        <f ca="1">IF($D$4="自选机构",[1]!S_EST_ESTANALYST($E$6,$E$8,C33,$F$4),[1]!S_EST_ESTANALYST($E$6,$E$8,$E$9,D33))</f>
        <v>0</v>
      </c>
      <c r="G33" s="214">
        <f ca="1">IF($D$4="自选机构",[1]!S_EST_ESTNEWTIME_INST($E$6,$E$8,C33,$F$4),[1]!S_EST_ESTNEWTIME_INST($E$6,$E$8,$E$9,D33))</f>
        <v>0</v>
      </c>
      <c r="H33" s="215">
        <f ca="1">IF($D$4="自选机构",[1]!S_EST_SALES_INST($E$6,$E$8,C33,$F$4)/currencyunit,[1]!S_EST_SALES_INST($E$6,$E$8,$E$9,D33)/currencyunit)</f>
        <v>0</v>
      </c>
      <c r="I33" s="215">
        <f ca="1">IF($D$4="自选机构",[1]!S_EST_NETPROFIT_INST($E$6,$E$8,C33,$F$4)/currencyunit,[1]!S_EST_NETPROFIT_INST($E$6,$E$8,$E$9,D33)/currencyunit)</f>
        <v>0</v>
      </c>
      <c r="J33" s="213">
        <f ca="1">IF($D$4="自选机构",[1]!S_EST_EPS_INST($E$6,$E$8,C33,$F$4),[1]!S_EST_EPS_INST($E$6,$E$8,$E$9,D33))</f>
        <v>0</v>
      </c>
      <c r="K33" s="214">
        <f ca="1">IF($D$4="自选机构",[1]!S_EST_NEWRATINGTIME_INST($E$6,Y33,$F$4),[1]!S_EST_NEWRATINGTIME_INST($E$6,$E$9,D33))</f>
        <v>0</v>
      </c>
      <c r="L33" s="213">
        <f ca="1">IF($D$4="自选机构",[1]!S_EST_RATINGANALYST($E$6,Y33,$F$4),[1]!S_EST_RATINGANALYST($E$6,$E$9,D33))</f>
        <v>0</v>
      </c>
      <c r="M33" s="213">
        <f ca="1">IF($D$4="自选机构",[1]!S_EST_ORGRATING_INST($E$6,Y33,$F$4),[1]!S_EST_ORGRATING_INST($E$6,$E$9,D33))</f>
        <v>0</v>
      </c>
      <c r="N33" s="215">
        <f ca="1">IF($D$4="自选机构",[1]!S_EST_SCORERATING_INST($E$6,Y33,$F$4),[1]!S_EST_SCORERATING_INST($E$6,$E$9,D33))</f>
        <v>0</v>
      </c>
      <c r="O33" s="213">
        <f ca="1">IF($D$4="自选机构",[1]!S_EST_STDRATING_INST($E$6,Y33,$F$4),[1]!S_EST_STDRATING_INST($E$6,$E$9,D33))</f>
        <v>0</v>
      </c>
      <c r="P33" s="214" t="str">
        <f>IF($D$4="自选机构",[1]!S_EST_FRSTRATINGTIME_INST($E$6,$F$4),[1]!S_EST_FRSTRATINGTIME_INST($E$6,D33))</f>
        <v>2008-05-27</v>
      </c>
      <c r="Q33" s="153" t="str">
        <f t="shared" ca="1" si="1"/>
        <v/>
      </c>
      <c r="R33" s="153"/>
      <c r="S33" s="153"/>
      <c r="T33" s="153"/>
      <c r="U33" s="153"/>
      <c r="V33" s="153"/>
      <c r="W33" s="153"/>
      <c r="X33" s="216">
        <f t="shared" ca="1" si="2"/>
        <v>0</v>
      </c>
      <c r="Y33" s="216">
        <f t="shared" ca="1" si="6"/>
        <v>-1</v>
      </c>
      <c r="Z33" s="217">
        <f ca="1">IF($D$4="自选机构",[1]!S_EST_SCORERATING_INST($E$6,K33-1,$F$4),[1]!S_EST_SCORERATING_INST($E$6,K33-1,D33))</f>
        <v>0</v>
      </c>
      <c r="AA33" s="217">
        <f t="shared" ca="1" si="3"/>
        <v>0</v>
      </c>
      <c r="AB33" s="153" t="str">
        <f t="shared" ca="1" si="4"/>
        <v/>
      </c>
      <c r="AC33" s="218" t="str">
        <f t="shared" ca="1" si="7"/>
        <v/>
      </c>
      <c r="AD33" s="211"/>
    </row>
    <row r="34" spans="3:30" ht="16.5">
      <c r="C34" s="7">
        <f t="shared" ca="1" si="5"/>
        <v>-1</v>
      </c>
      <c r="D34" s="219">
        <v>21</v>
      </c>
      <c r="E34" s="220" t="str">
        <f t="shared" si="0"/>
        <v>华泰联合</v>
      </c>
      <c r="F34" s="221">
        <f ca="1">IF($D$4="自选机构",[1]!S_EST_ESTANALYST($E$6,$E$8,C34,$F$4),[1]!S_EST_ESTANALYST($E$6,$E$8,$E$9,D34))</f>
        <v>0</v>
      </c>
      <c r="G34" s="222">
        <f ca="1">IF($D$4="自选机构",[1]!S_EST_ESTNEWTIME_INST($E$6,$E$8,C34,$F$4),[1]!S_EST_ESTNEWTIME_INST($E$6,$E$8,$E$9,D34))</f>
        <v>0</v>
      </c>
      <c r="H34" s="223">
        <f ca="1">IF($D$4="自选机构",[1]!S_EST_SALES_INST($E$6,$E$8,C34,$F$4)/currencyunit,[1]!S_EST_SALES_INST($E$6,$E$8,$E$9,D34)/currencyunit)</f>
        <v>0</v>
      </c>
      <c r="I34" s="223">
        <f ca="1">IF($D$4="自选机构",[1]!S_EST_NETPROFIT_INST($E$6,$E$8,C34,$F$4)/currencyunit,[1]!S_EST_NETPROFIT_INST($E$6,$E$8,$E$9,D34)/currencyunit)</f>
        <v>0</v>
      </c>
      <c r="J34" s="221">
        <f ca="1">IF($D$4="自选机构",[1]!S_EST_EPS_INST($E$6,$E$8,C34,$F$4),[1]!S_EST_EPS_INST($E$6,$E$8,$E$9,D34))</f>
        <v>0</v>
      </c>
      <c r="K34" s="222">
        <f ca="1">IF($D$4="自选机构",[1]!S_EST_NEWRATINGTIME_INST($E$6,Y34,$F$4),[1]!S_EST_NEWRATINGTIME_INST($E$6,$E$9,D34))</f>
        <v>0</v>
      </c>
      <c r="L34" s="221">
        <f ca="1">IF($D$4="自选机构",[1]!S_EST_RATINGANALYST($E$6,Y34,$F$4),[1]!S_EST_RATINGANALYST($E$6,$E$9,D34))</f>
        <v>0</v>
      </c>
      <c r="M34" s="221">
        <f ca="1">IF($D$4="自选机构",[1]!S_EST_ORGRATING_INST($E$6,Y34,$F$4),[1]!S_EST_ORGRATING_INST($E$6,$E$9,D34))</f>
        <v>0</v>
      </c>
      <c r="N34" s="223">
        <f ca="1">IF($D$4="自选机构",[1]!S_EST_SCORERATING_INST($E$6,Y34,$F$4),[1]!S_EST_SCORERATING_INST($E$6,$E$9,D34))</f>
        <v>0</v>
      </c>
      <c r="O34" s="221">
        <f ca="1">IF($D$4="自选机构",[1]!S_EST_STDRATING_INST($E$6,Y34,$F$4),[1]!S_EST_STDRATING_INST($E$6,$E$9,D34))</f>
        <v>0</v>
      </c>
      <c r="P34" s="222">
        <f>IF($D$4="自选机构",[1]!S_EST_FRSTRATINGTIME_INST($E$6,$F$4),[1]!S_EST_FRSTRATINGTIME_INST($E$6,D34))</f>
        <v>0</v>
      </c>
      <c r="Q34" s="224" t="str">
        <f t="shared" ca="1" si="1"/>
        <v/>
      </c>
      <c r="R34" s="224"/>
      <c r="S34" s="224"/>
      <c r="T34" s="224"/>
      <c r="U34" s="224"/>
      <c r="V34" s="224"/>
      <c r="W34" s="224"/>
      <c r="X34" s="225">
        <f t="shared" ca="1" si="2"/>
        <v>0</v>
      </c>
      <c r="Y34" s="225">
        <f t="shared" ca="1" si="6"/>
        <v>-1</v>
      </c>
      <c r="Z34" s="226">
        <f ca="1">IF($D$4="自选机构",[1]!S_EST_SCORERATING_INST($E$6,K34-1,$F$4),[1]!S_EST_SCORERATING_INST($E$6,K34-1,D34))</f>
        <v>0</v>
      </c>
      <c r="AA34" s="226">
        <f t="shared" ca="1" si="3"/>
        <v>0</v>
      </c>
      <c r="AB34" s="224" t="str">
        <f t="shared" ca="1" si="4"/>
        <v/>
      </c>
      <c r="AC34" s="227" t="str">
        <f t="shared" ca="1" si="7"/>
        <v/>
      </c>
      <c r="AD34" s="219"/>
    </row>
    <row r="35" spans="3:30" ht="16.5">
      <c r="C35" s="7">
        <f t="shared" ca="1" si="5"/>
        <v>-1</v>
      </c>
      <c r="D35" s="211">
        <v>22</v>
      </c>
      <c r="E35" s="212" t="str">
        <f t="shared" si="0"/>
        <v>宏源证券</v>
      </c>
      <c r="F35" s="213">
        <f ca="1">IF($D$4="自选机构",[1]!S_EST_ESTANALYST($E$6,$E$8,C35,$F$4),[1]!S_EST_ESTANALYST($E$6,$E$8,$E$9,D35))</f>
        <v>0</v>
      </c>
      <c r="G35" s="214">
        <f ca="1">IF($D$4="自选机构",[1]!S_EST_ESTNEWTIME_INST($E$6,$E$8,C35,$F$4),[1]!S_EST_ESTNEWTIME_INST($E$6,$E$8,$E$9,D35))</f>
        <v>0</v>
      </c>
      <c r="H35" s="215">
        <f ca="1">IF($D$4="自选机构",[1]!S_EST_SALES_INST($E$6,$E$8,C35,$F$4)/currencyunit,[1]!S_EST_SALES_INST($E$6,$E$8,$E$9,D35)/currencyunit)</f>
        <v>0</v>
      </c>
      <c r="I35" s="215">
        <f ca="1">IF($D$4="自选机构",[1]!S_EST_NETPROFIT_INST($E$6,$E$8,C35,$F$4)/currencyunit,[1]!S_EST_NETPROFIT_INST($E$6,$E$8,$E$9,D35)/currencyunit)</f>
        <v>0</v>
      </c>
      <c r="J35" s="213">
        <f ca="1">IF($D$4="自选机构",[1]!S_EST_EPS_INST($E$6,$E$8,C35,$F$4),[1]!S_EST_EPS_INST($E$6,$E$8,$E$9,D35))</f>
        <v>0</v>
      </c>
      <c r="K35" s="214">
        <f ca="1">IF($D$4="自选机构",[1]!S_EST_NEWRATINGTIME_INST($E$6,Y35,$F$4),[1]!S_EST_NEWRATINGTIME_INST($E$6,$E$9,D35))</f>
        <v>0</v>
      </c>
      <c r="L35" s="213">
        <f ca="1">IF($D$4="自选机构",[1]!S_EST_RATINGANALYST($E$6,Y35,$F$4),[1]!S_EST_RATINGANALYST($E$6,$E$9,D35))</f>
        <v>0</v>
      </c>
      <c r="M35" s="213">
        <f ca="1">IF($D$4="自选机构",[1]!S_EST_ORGRATING_INST($E$6,Y35,$F$4),[1]!S_EST_ORGRATING_INST($E$6,$E$9,D35))</f>
        <v>0</v>
      </c>
      <c r="N35" s="215">
        <f ca="1">IF($D$4="自选机构",[1]!S_EST_SCORERATING_INST($E$6,Y35,$F$4),[1]!S_EST_SCORERATING_INST($E$6,$E$9,D35))</f>
        <v>0</v>
      </c>
      <c r="O35" s="213">
        <f ca="1">IF($D$4="自选机构",[1]!S_EST_STDRATING_INST($E$6,Y35,$F$4),[1]!S_EST_STDRATING_INST($E$6,$E$9,D35))</f>
        <v>0</v>
      </c>
      <c r="P35" s="214">
        <f>IF($D$4="自选机构",[1]!S_EST_FRSTRATINGTIME_INST($E$6,$F$4),[1]!S_EST_FRSTRATINGTIME_INST($E$6,D35))</f>
        <v>0</v>
      </c>
      <c r="Q35" s="153" t="str">
        <f t="shared" ca="1" si="1"/>
        <v/>
      </c>
      <c r="R35" s="153"/>
      <c r="S35" s="153"/>
      <c r="T35" s="153"/>
      <c r="U35" s="153"/>
      <c r="V35" s="153"/>
      <c r="W35" s="153"/>
      <c r="X35" s="216">
        <f t="shared" ca="1" si="2"/>
        <v>0</v>
      </c>
      <c r="Y35" s="216">
        <f t="shared" ca="1" si="6"/>
        <v>-1</v>
      </c>
      <c r="Z35" s="217">
        <f ca="1">IF($D$4="自选机构",[1]!S_EST_SCORERATING_INST($E$6,K35-1,$F$4),[1]!S_EST_SCORERATING_INST($E$6,K35-1,D35))</f>
        <v>0</v>
      </c>
      <c r="AA35" s="217">
        <f t="shared" ca="1" si="3"/>
        <v>0</v>
      </c>
      <c r="AB35" s="153" t="str">
        <f t="shared" ca="1" si="4"/>
        <v/>
      </c>
      <c r="AC35" s="218" t="str">
        <f t="shared" ca="1" si="7"/>
        <v/>
      </c>
      <c r="AD35" s="211"/>
    </row>
    <row r="36" spans="3:30" ht="16.5">
      <c r="C36" s="7">
        <f t="shared" ca="1" si="5"/>
        <v>-1</v>
      </c>
      <c r="D36" s="219">
        <v>23</v>
      </c>
      <c r="E36" s="220" t="str">
        <f t="shared" si="0"/>
        <v>新疆证券</v>
      </c>
      <c r="F36" s="221">
        <f ca="1">IF($D$4="自选机构",[1]!S_EST_ESTANALYST($E$6,$E$8,C36,$F$4),[1]!S_EST_ESTANALYST($E$6,$E$8,$E$9,D36))</f>
        <v>0</v>
      </c>
      <c r="G36" s="222">
        <f ca="1">IF($D$4="自选机构",[1]!S_EST_ESTNEWTIME_INST($E$6,$E$8,C36,$F$4),[1]!S_EST_ESTNEWTIME_INST($E$6,$E$8,$E$9,D36))</f>
        <v>0</v>
      </c>
      <c r="H36" s="223">
        <f ca="1">IF($D$4="自选机构",[1]!S_EST_SALES_INST($E$6,$E$8,C36,$F$4)/currencyunit,[1]!S_EST_SALES_INST($E$6,$E$8,$E$9,D36)/currencyunit)</f>
        <v>0</v>
      </c>
      <c r="I36" s="223">
        <f ca="1">IF($D$4="自选机构",[1]!S_EST_NETPROFIT_INST($E$6,$E$8,C36,$F$4)/currencyunit,[1]!S_EST_NETPROFIT_INST($E$6,$E$8,$E$9,D36)/currencyunit)</f>
        <v>0</v>
      </c>
      <c r="J36" s="221">
        <f ca="1">IF($D$4="自选机构",[1]!S_EST_EPS_INST($E$6,$E$8,C36,$F$4),[1]!S_EST_EPS_INST($E$6,$E$8,$E$9,D36))</f>
        <v>0</v>
      </c>
      <c r="K36" s="222">
        <f ca="1">IF($D$4="自选机构",[1]!S_EST_NEWRATINGTIME_INST($E$6,Y36,$F$4),[1]!S_EST_NEWRATINGTIME_INST($E$6,$E$9,D36))</f>
        <v>0</v>
      </c>
      <c r="L36" s="221">
        <f ca="1">IF($D$4="自选机构",[1]!S_EST_RATINGANALYST($E$6,Y36,$F$4),[1]!S_EST_RATINGANALYST($E$6,$E$9,D36))</f>
        <v>0</v>
      </c>
      <c r="M36" s="221">
        <f ca="1">IF($D$4="自选机构",[1]!S_EST_ORGRATING_INST($E$6,Y36,$F$4),[1]!S_EST_ORGRATING_INST($E$6,$E$9,D36))</f>
        <v>0</v>
      </c>
      <c r="N36" s="223">
        <f ca="1">IF($D$4="自选机构",[1]!S_EST_SCORERATING_INST($E$6,Y36,$F$4),[1]!S_EST_SCORERATING_INST($E$6,$E$9,D36))</f>
        <v>0</v>
      </c>
      <c r="O36" s="221">
        <f ca="1">IF($D$4="自选机构",[1]!S_EST_STDRATING_INST($E$6,Y36,$F$4),[1]!S_EST_STDRATING_INST($E$6,$E$9,D36))</f>
        <v>0</v>
      </c>
      <c r="P36" s="222">
        <f>IF($D$4="自选机构",[1]!S_EST_FRSTRATINGTIME_INST($E$6,$F$4),[1]!S_EST_FRSTRATINGTIME_INST($E$6,D36))</f>
        <v>0</v>
      </c>
      <c r="Q36" s="224" t="str">
        <f t="shared" ca="1" si="1"/>
        <v/>
      </c>
      <c r="R36" s="224"/>
      <c r="S36" s="224"/>
      <c r="T36" s="224"/>
      <c r="U36" s="224"/>
      <c r="V36" s="224"/>
      <c r="W36" s="224"/>
      <c r="X36" s="225">
        <f t="shared" ca="1" si="2"/>
        <v>0</v>
      </c>
      <c r="Y36" s="225">
        <f t="shared" ca="1" si="6"/>
        <v>-1</v>
      </c>
      <c r="Z36" s="226">
        <f ca="1">IF($D$4="自选机构",[1]!S_EST_SCORERATING_INST($E$6,K36-1,$F$4),[1]!S_EST_SCORERATING_INST($E$6,K36-1,D36))</f>
        <v>0</v>
      </c>
      <c r="AA36" s="226">
        <f t="shared" ca="1" si="3"/>
        <v>0</v>
      </c>
      <c r="AB36" s="224" t="str">
        <f t="shared" ca="1" si="4"/>
        <v/>
      </c>
      <c r="AC36" s="227" t="str">
        <f t="shared" ca="1" si="7"/>
        <v/>
      </c>
      <c r="AD36" s="219"/>
    </row>
    <row r="37" spans="3:30" ht="16.5">
      <c r="C37" s="7">
        <f t="shared" ca="1" si="5"/>
        <v>-1</v>
      </c>
      <c r="D37" s="211">
        <v>24</v>
      </c>
      <c r="E37" s="212" t="str">
        <f t="shared" si="0"/>
        <v>东海证券</v>
      </c>
      <c r="F37" s="213">
        <f ca="1">IF($D$4="自选机构",[1]!S_EST_ESTANALYST($E$6,$E$8,C37,$F$4),[1]!S_EST_ESTANALYST($E$6,$E$8,$E$9,D37))</f>
        <v>0</v>
      </c>
      <c r="G37" s="214">
        <f ca="1">IF($D$4="自选机构",[1]!S_EST_ESTNEWTIME_INST($E$6,$E$8,C37,$F$4),[1]!S_EST_ESTNEWTIME_INST($E$6,$E$8,$E$9,D37))</f>
        <v>0</v>
      </c>
      <c r="H37" s="215">
        <f ca="1">IF($D$4="自选机构",[1]!S_EST_SALES_INST($E$6,$E$8,C37,$F$4)/currencyunit,[1]!S_EST_SALES_INST($E$6,$E$8,$E$9,D37)/currencyunit)</f>
        <v>0</v>
      </c>
      <c r="I37" s="215">
        <f ca="1">IF($D$4="自选机构",[1]!S_EST_NETPROFIT_INST($E$6,$E$8,C37,$F$4)/currencyunit,[1]!S_EST_NETPROFIT_INST($E$6,$E$8,$E$9,D37)/currencyunit)</f>
        <v>0</v>
      </c>
      <c r="J37" s="213">
        <f ca="1">IF($D$4="自选机构",[1]!S_EST_EPS_INST($E$6,$E$8,C37,$F$4),[1]!S_EST_EPS_INST($E$6,$E$8,$E$9,D37))</f>
        <v>0</v>
      </c>
      <c r="K37" s="214">
        <f ca="1">IF($D$4="自选机构",[1]!S_EST_NEWRATINGTIME_INST($E$6,Y37,$F$4),[1]!S_EST_NEWRATINGTIME_INST($E$6,$E$9,D37))</f>
        <v>0</v>
      </c>
      <c r="L37" s="213">
        <f ca="1">IF($D$4="自选机构",[1]!S_EST_RATINGANALYST($E$6,Y37,$F$4),[1]!S_EST_RATINGANALYST($E$6,$E$9,D37))</f>
        <v>0</v>
      </c>
      <c r="M37" s="213">
        <f ca="1">IF($D$4="自选机构",[1]!S_EST_ORGRATING_INST($E$6,Y37,$F$4),[1]!S_EST_ORGRATING_INST($E$6,$E$9,D37))</f>
        <v>0</v>
      </c>
      <c r="N37" s="215">
        <f ca="1">IF($D$4="自选机构",[1]!S_EST_SCORERATING_INST($E$6,Y37,$F$4),[1]!S_EST_SCORERATING_INST($E$6,$E$9,D37))</f>
        <v>0</v>
      </c>
      <c r="O37" s="213">
        <f ca="1">IF($D$4="自选机构",[1]!S_EST_STDRATING_INST($E$6,Y37,$F$4),[1]!S_EST_STDRATING_INST($E$6,$E$9,D37))</f>
        <v>0</v>
      </c>
      <c r="P37" s="214" t="str">
        <f>IF($D$4="自选机构",[1]!S_EST_FRSTRATINGTIME_INST($E$6,$F$4),[1]!S_EST_FRSTRATINGTIME_INST($E$6,D37))</f>
        <v>2010-10-11</v>
      </c>
      <c r="Q37" s="153" t="str">
        <f t="shared" ca="1" si="1"/>
        <v/>
      </c>
      <c r="R37" s="153"/>
      <c r="S37" s="153"/>
      <c r="T37" s="153"/>
      <c r="U37" s="153"/>
      <c r="V37" s="153"/>
      <c r="W37" s="153"/>
      <c r="X37" s="216">
        <f t="shared" ca="1" si="2"/>
        <v>0</v>
      </c>
      <c r="Y37" s="216">
        <f t="shared" ca="1" si="6"/>
        <v>-1</v>
      </c>
      <c r="Z37" s="217">
        <f ca="1">IF($D$4="自选机构",[1]!S_EST_SCORERATING_INST($E$6,K37-1,$F$4),[1]!S_EST_SCORERATING_INST($E$6,K37-1,D37))</f>
        <v>0</v>
      </c>
      <c r="AA37" s="217">
        <f t="shared" ca="1" si="3"/>
        <v>0</v>
      </c>
      <c r="AB37" s="153" t="str">
        <f t="shared" ca="1" si="4"/>
        <v/>
      </c>
      <c r="AC37" s="218" t="str">
        <f t="shared" ca="1" si="7"/>
        <v/>
      </c>
      <c r="AD37" s="211"/>
    </row>
    <row r="38" spans="3:30" ht="16.5">
      <c r="C38" s="7">
        <f t="shared" ca="1" si="5"/>
        <v>-1</v>
      </c>
      <c r="D38" s="219">
        <v>25</v>
      </c>
      <c r="E38" s="220" t="str">
        <f t="shared" si="0"/>
        <v>江南证券</v>
      </c>
      <c r="F38" s="221">
        <f ca="1">IF($D$4="自选机构",[1]!S_EST_ESTANALYST($E$6,$E$8,C38,$F$4),[1]!S_EST_ESTANALYST($E$6,$E$8,$E$9,D38))</f>
        <v>0</v>
      </c>
      <c r="G38" s="222">
        <f ca="1">IF($D$4="自选机构",[1]!S_EST_ESTNEWTIME_INST($E$6,$E$8,C38,$F$4),[1]!S_EST_ESTNEWTIME_INST($E$6,$E$8,$E$9,D38))</f>
        <v>0</v>
      </c>
      <c r="H38" s="223">
        <f ca="1">IF($D$4="自选机构",[1]!S_EST_SALES_INST($E$6,$E$8,C38,$F$4)/currencyunit,[1]!S_EST_SALES_INST($E$6,$E$8,$E$9,D38)/currencyunit)</f>
        <v>0</v>
      </c>
      <c r="I38" s="223">
        <f ca="1">IF($D$4="自选机构",[1]!S_EST_NETPROFIT_INST($E$6,$E$8,C38,$F$4)/currencyunit,[1]!S_EST_NETPROFIT_INST($E$6,$E$8,$E$9,D38)/currencyunit)</f>
        <v>0</v>
      </c>
      <c r="J38" s="221">
        <f ca="1">IF($D$4="自选机构",[1]!S_EST_EPS_INST($E$6,$E$8,C38,$F$4),[1]!S_EST_EPS_INST($E$6,$E$8,$E$9,D38))</f>
        <v>0</v>
      </c>
      <c r="K38" s="222">
        <f ca="1">IF($D$4="自选机构",[1]!S_EST_NEWRATINGTIME_INST($E$6,Y38,$F$4),[1]!S_EST_NEWRATINGTIME_INST($E$6,$E$9,D38))</f>
        <v>0</v>
      </c>
      <c r="L38" s="221">
        <f ca="1">IF($D$4="自选机构",[1]!S_EST_RATINGANALYST($E$6,Y38,$F$4),[1]!S_EST_RATINGANALYST($E$6,$E$9,D38))</f>
        <v>0</v>
      </c>
      <c r="M38" s="221">
        <f ca="1">IF($D$4="自选机构",[1]!S_EST_ORGRATING_INST($E$6,Y38,$F$4),[1]!S_EST_ORGRATING_INST($E$6,$E$9,D38))</f>
        <v>0</v>
      </c>
      <c r="N38" s="223">
        <f ca="1">IF($D$4="自选机构",[1]!S_EST_SCORERATING_INST($E$6,Y38,$F$4),[1]!S_EST_SCORERATING_INST($E$6,$E$9,D38))</f>
        <v>0</v>
      </c>
      <c r="O38" s="221">
        <f ca="1">IF($D$4="自选机构",[1]!S_EST_STDRATING_INST($E$6,Y38,$F$4),[1]!S_EST_STDRATING_INST($E$6,$E$9,D38))</f>
        <v>0</v>
      </c>
      <c r="P38" s="222" t="str">
        <f>IF($D$4="自选机构",[1]!S_EST_FRSTRATINGTIME_INST($E$6,$F$4),[1]!S_EST_FRSTRATINGTIME_INST($E$6,D38))</f>
        <v>2012-08-12</v>
      </c>
      <c r="Q38" s="224" t="str">
        <f t="shared" ca="1" si="1"/>
        <v/>
      </c>
      <c r="R38" s="224"/>
      <c r="S38" s="224"/>
      <c r="T38" s="224"/>
      <c r="U38" s="224"/>
      <c r="V38" s="224"/>
      <c r="W38" s="224"/>
      <c r="X38" s="225">
        <f t="shared" ca="1" si="2"/>
        <v>0</v>
      </c>
      <c r="Y38" s="225">
        <f t="shared" ca="1" si="6"/>
        <v>-1</v>
      </c>
      <c r="Z38" s="226">
        <f ca="1">IF($D$4="自选机构",[1]!S_EST_SCORERATING_INST($E$6,K38-1,$F$4),[1]!S_EST_SCORERATING_INST($E$6,K38-1,D38))</f>
        <v>0</v>
      </c>
      <c r="AA38" s="226">
        <f t="shared" ca="1" si="3"/>
        <v>0</v>
      </c>
      <c r="AB38" s="224" t="str">
        <f t="shared" ca="1" si="4"/>
        <v/>
      </c>
      <c r="AC38" s="227" t="str">
        <f t="shared" ca="1" si="7"/>
        <v/>
      </c>
      <c r="AD38" s="219"/>
    </row>
    <row r="39" spans="3:30" ht="16.5">
      <c r="C39" s="7">
        <f t="shared" ca="1" si="5"/>
        <v>-1</v>
      </c>
      <c r="D39" s="211">
        <v>26</v>
      </c>
      <c r="E39" s="212" t="str">
        <f t="shared" si="0"/>
        <v>长城证券</v>
      </c>
      <c r="F39" s="213" t="str">
        <f ca="1">IF($D$4="自选机构",[1]!S_EST_ESTANALYST($E$6,$E$8,C39,$F$4),[1]!S_EST_ESTANALYST($E$6,$E$8,$E$9,D39))</f>
        <v>肖亚平</v>
      </c>
      <c r="G39" s="214" t="str">
        <f ca="1">IF($D$4="自选机构",[1]!S_EST_ESTNEWTIME_INST($E$6,$E$8,C39,$F$4),[1]!S_EST_ESTNEWTIME_INST($E$6,$E$8,$E$9,D39))</f>
        <v>2024-10-23</v>
      </c>
      <c r="H39" s="215">
        <f ca="1">IF($D$4="自选机构",[1]!S_EST_SALES_INST($E$6,$E$8,C39,$F$4)/currencyunit,[1]!S_EST_SALES_INST($E$6,$E$8,$E$9,D39)/currencyunit)</f>
        <v>383703</v>
      </c>
      <c r="I39" s="215">
        <f ca="1">IF($D$4="自选机构",[1]!S_EST_NETPROFIT_INST($E$6,$E$8,C39,$F$4)/currencyunit,[1]!S_EST_NETPROFIT_INST($E$6,$E$8,$E$9,D39)/currencyunit)</f>
        <v>44189</v>
      </c>
      <c r="J39" s="213">
        <f ca="1">IF($D$4="自选机构",[1]!S_EST_EPS_INST($E$6,$E$8,C39,$F$4),[1]!S_EST_EPS_INST($E$6,$E$8,$E$9,D39))</f>
        <v>1.66</v>
      </c>
      <c r="K39" s="214">
        <f ca="1">IF($D$4="自选机构",[1]!S_EST_NEWRATINGTIME_INST($E$6,Y39,$F$4),[1]!S_EST_NEWRATINGTIME_INST($E$6,$E$9,D39))</f>
        <v>0</v>
      </c>
      <c r="L39" s="213">
        <f ca="1">IF($D$4="自选机构",[1]!S_EST_RATINGANALYST($E$6,Y39,$F$4),[1]!S_EST_RATINGANALYST($E$6,$E$9,D39))</f>
        <v>0</v>
      </c>
      <c r="M39" s="213">
        <f ca="1">IF($D$4="自选机构",[1]!S_EST_ORGRATING_INST($E$6,Y39,$F$4),[1]!S_EST_ORGRATING_INST($E$6,$E$9,D39))</f>
        <v>0</v>
      </c>
      <c r="N39" s="215">
        <f ca="1">IF($D$4="自选机构",[1]!S_EST_SCORERATING_INST($E$6,Y39,$F$4),[1]!S_EST_SCORERATING_INST($E$6,$E$9,D39))</f>
        <v>0</v>
      </c>
      <c r="O39" s="213">
        <f ca="1">IF($D$4="自选机构",[1]!S_EST_STDRATING_INST($E$6,Y39,$F$4),[1]!S_EST_STDRATING_INST($E$6,$E$9,D39))</f>
        <v>0</v>
      </c>
      <c r="P39" s="214" t="str">
        <f>IF($D$4="自选机构",[1]!S_EST_FRSTRATINGTIME_INST($E$6,$F$4),[1]!S_EST_FRSTRATINGTIME_INST($E$6,D39))</f>
        <v>2008-07-29</v>
      </c>
      <c r="Q39" s="153" t="str">
        <f t="shared" ca="1" si="1"/>
        <v/>
      </c>
      <c r="R39" s="153"/>
      <c r="S39" s="153"/>
      <c r="T39" s="153"/>
      <c r="U39" s="153"/>
      <c r="V39" s="153"/>
      <c r="W39" s="153"/>
      <c r="X39" s="216">
        <f t="shared" ca="1" si="2"/>
        <v>45588</v>
      </c>
      <c r="Y39" s="216">
        <f t="shared" ca="1" si="6"/>
        <v>-1</v>
      </c>
      <c r="Z39" s="217">
        <f ca="1">IF($D$4="自选机构",[1]!S_EST_SCORERATING_INST($E$6,K39-1,$F$4),[1]!S_EST_SCORERATING_INST($E$6,K39-1,D39))</f>
        <v>0</v>
      </c>
      <c r="AA39" s="217">
        <f t="shared" ca="1" si="3"/>
        <v>0</v>
      </c>
      <c r="AB39" s="153" t="str">
        <f t="shared" ca="1" si="4"/>
        <v/>
      </c>
      <c r="AC39" s="218" t="str">
        <f t="shared" ca="1" si="7"/>
        <v/>
      </c>
      <c r="AD39" s="211"/>
    </row>
    <row r="40" spans="3:30" ht="16.5">
      <c r="C40" s="7">
        <f t="shared" ca="1" si="5"/>
        <v>45587</v>
      </c>
      <c r="D40" s="219">
        <v>27</v>
      </c>
      <c r="E40" s="220" t="str">
        <f t="shared" si="0"/>
        <v>广发证券</v>
      </c>
      <c r="F40" s="221" t="str">
        <f ca="1">IF($D$4="自选机构",[1]!S_EST_ESTANALYST($E$6,$E$8,C40,$F$4),[1]!S_EST_ESTANALYST($E$6,$E$8,$E$9,D40))</f>
        <v>宫帅</v>
      </c>
      <c r="G40" s="222" t="str">
        <f ca="1">IF($D$4="自选机构",[1]!S_EST_ESTNEWTIME_INST($E$6,$E$8,C40,$F$4),[1]!S_EST_ESTNEWTIME_INST($E$6,$E$8,$E$9,D40))</f>
        <v>2025-09-07</v>
      </c>
      <c r="H40" s="223">
        <f ca="1">IF($D$4="自选机构",[1]!S_EST_SALES_INST($E$6,$E$8,C40,$F$4)/currencyunit,[1]!S_EST_SALES_INST($E$6,$E$8,$E$9,D40)/currencyunit)</f>
        <v>370611</v>
      </c>
      <c r="I40" s="223">
        <f ca="1">IF($D$4="自选机构",[1]!S_EST_NETPROFIT_INST($E$6,$E$8,C40,$F$4)/currencyunit,[1]!S_EST_NETPROFIT_INST($E$6,$E$8,$E$9,D40)/currencyunit)</f>
        <v>53910</v>
      </c>
      <c r="J40" s="221">
        <f ca="1">IF($D$4="自选机构",[1]!S_EST_EPS_INST($E$6,$E$8,C40,$F$4),[1]!S_EST_EPS_INST($E$6,$E$8,$E$9,D40))</f>
        <v>2.0299999999999998</v>
      </c>
      <c r="K40" s="222">
        <f ca="1">IF($D$4="自选机构",[1]!S_EST_NEWRATINGTIME_INST($E$6,Y40,$F$4),[1]!S_EST_NEWRATINGTIME_INST($E$6,$E$9,D40))</f>
        <v>0</v>
      </c>
      <c r="L40" s="221">
        <f ca="1">IF($D$4="自选机构",[1]!S_EST_RATINGANALYST($E$6,Y40,$F$4),[1]!S_EST_RATINGANALYST($E$6,$E$9,D40))</f>
        <v>0</v>
      </c>
      <c r="M40" s="221">
        <f ca="1">IF($D$4="自选机构",[1]!S_EST_ORGRATING_INST($E$6,Y40,$F$4),[1]!S_EST_ORGRATING_INST($E$6,$E$9,D40))</f>
        <v>0</v>
      </c>
      <c r="N40" s="223">
        <f ca="1">IF($D$4="自选机构",[1]!S_EST_SCORERATING_INST($E$6,Y40,$F$4),[1]!S_EST_SCORERATING_INST($E$6,$E$9,D40))</f>
        <v>0</v>
      </c>
      <c r="O40" s="221">
        <f ca="1">IF($D$4="自选机构",[1]!S_EST_STDRATING_INST($E$6,Y40,$F$4),[1]!S_EST_STDRATING_INST($E$6,$E$9,D40))</f>
        <v>0</v>
      </c>
      <c r="P40" s="222" t="str">
        <f>IF($D$4="自选机构",[1]!S_EST_FRSTRATINGTIME_INST($E$6,$F$4),[1]!S_EST_FRSTRATINGTIME_INST($E$6,D40))</f>
        <v>2008-07-15</v>
      </c>
      <c r="Q40" s="224" t="str">
        <f t="shared" ca="1" si="1"/>
        <v/>
      </c>
      <c r="R40" s="224"/>
      <c r="S40" s="224"/>
      <c r="T40" s="224"/>
      <c r="U40" s="224"/>
      <c r="V40" s="224"/>
      <c r="W40" s="224"/>
      <c r="X40" s="225">
        <f t="shared" ca="1" si="2"/>
        <v>45907</v>
      </c>
      <c r="Y40" s="225">
        <f t="shared" ca="1" si="6"/>
        <v>-1</v>
      </c>
      <c r="Z40" s="226">
        <f ca="1">IF($D$4="自选机构",[1]!S_EST_SCORERATING_INST($E$6,K40-1,$F$4),[1]!S_EST_SCORERATING_INST($E$6,K40-1,D40))</f>
        <v>0</v>
      </c>
      <c r="AA40" s="226">
        <f t="shared" ca="1" si="3"/>
        <v>0</v>
      </c>
      <c r="AB40" s="224" t="str">
        <f t="shared" ca="1" si="4"/>
        <v/>
      </c>
      <c r="AC40" s="227" t="str">
        <f t="shared" ca="1" si="7"/>
        <v/>
      </c>
      <c r="AD40" s="219"/>
    </row>
    <row r="41" spans="3:30" ht="16.5">
      <c r="C41" s="7">
        <f t="shared" ca="1" si="5"/>
        <v>45906</v>
      </c>
      <c r="D41" s="211">
        <v>28</v>
      </c>
      <c r="E41" s="212" t="str">
        <f t="shared" si="0"/>
        <v>世纪证券</v>
      </c>
      <c r="F41" s="213">
        <f ca="1">IF($D$4="自选机构",[1]!S_EST_ESTANALYST($E$6,$E$8,C41,$F$4),[1]!S_EST_ESTANALYST($E$6,$E$8,$E$9,D41))</f>
        <v>0</v>
      </c>
      <c r="G41" s="214">
        <f ca="1">IF($D$4="自选机构",[1]!S_EST_ESTNEWTIME_INST($E$6,$E$8,C41,$F$4),[1]!S_EST_ESTNEWTIME_INST($E$6,$E$8,$E$9,D41))</f>
        <v>0</v>
      </c>
      <c r="H41" s="215">
        <f ca="1">IF($D$4="自选机构",[1]!S_EST_SALES_INST($E$6,$E$8,C41,$F$4)/currencyunit,[1]!S_EST_SALES_INST($E$6,$E$8,$E$9,D41)/currencyunit)</f>
        <v>0</v>
      </c>
      <c r="I41" s="215">
        <f ca="1">IF($D$4="自选机构",[1]!S_EST_NETPROFIT_INST($E$6,$E$8,C41,$F$4)/currencyunit,[1]!S_EST_NETPROFIT_INST($E$6,$E$8,$E$9,D41)/currencyunit)</f>
        <v>0</v>
      </c>
      <c r="J41" s="213">
        <f ca="1">IF($D$4="自选机构",[1]!S_EST_EPS_INST($E$6,$E$8,C41,$F$4),[1]!S_EST_EPS_INST($E$6,$E$8,$E$9,D41))</f>
        <v>0</v>
      </c>
      <c r="K41" s="214">
        <f ca="1">IF($D$4="自选机构",[1]!S_EST_NEWRATINGTIME_INST($E$6,Y41,$F$4),[1]!S_EST_NEWRATINGTIME_INST($E$6,$E$9,D41))</f>
        <v>0</v>
      </c>
      <c r="L41" s="213">
        <f ca="1">IF($D$4="自选机构",[1]!S_EST_RATINGANALYST($E$6,Y41,$F$4),[1]!S_EST_RATINGANALYST($E$6,$E$9,D41))</f>
        <v>0</v>
      </c>
      <c r="M41" s="213">
        <f ca="1">IF($D$4="自选机构",[1]!S_EST_ORGRATING_INST($E$6,Y41,$F$4),[1]!S_EST_ORGRATING_INST($E$6,$E$9,D41))</f>
        <v>0</v>
      </c>
      <c r="N41" s="215">
        <f ca="1">IF($D$4="自选机构",[1]!S_EST_SCORERATING_INST($E$6,Y41,$F$4),[1]!S_EST_SCORERATING_INST($E$6,$E$9,D41))</f>
        <v>0</v>
      </c>
      <c r="O41" s="213">
        <f ca="1">IF($D$4="自选机构",[1]!S_EST_STDRATING_INST($E$6,Y41,$F$4),[1]!S_EST_STDRATING_INST($E$6,$E$9,D41))</f>
        <v>0</v>
      </c>
      <c r="P41" s="214" t="str">
        <f>IF($D$4="自选机构",[1]!S_EST_FRSTRATINGTIME_INST($E$6,$F$4),[1]!S_EST_FRSTRATINGTIME_INST($E$6,D41))</f>
        <v>2009-03-23</v>
      </c>
      <c r="Q41" s="153" t="str">
        <f t="shared" ca="1" si="1"/>
        <v/>
      </c>
      <c r="R41" s="153"/>
      <c r="S41" s="153"/>
      <c r="T41" s="153"/>
      <c r="U41" s="153"/>
      <c r="V41" s="153"/>
      <c r="W41" s="153"/>
      <c r="X41" s="216">
        <f t="shared" ca="1" si="2"/>
        <v>0</v>
      </c>
      <c r="Y41" s="216">
        <f t="shared" ca="1" si="6"/>
        <v>-1</v>
      </c>
      <c r="Z41" s="217">
        <f ca="1">IF($D$4="自选机构",[1]!S_EST_SCORERATING_INST($E$6,K41-1,$F$4),[1]!S_EST_SCORERATING_INST($E$6,K41-1,D41))</f>
        <v>0</v>
      </c>
      <c r="AA41" s="217">
        <f t="shared" ca="1" si="3"/>
        <v>0</v>
      </c>
      <c r="AB41" s="153" t="str">
        <f t="shared" ca="1" si="4"/>
        <v/>
      </c>
      <c r="AC41" s="218" t="str">
        <f t="shared" ca="1" si="7"/>
        <v/>
      </c>
      <c r="AD41" s="211"/>
    </row>
    <row r="42" spans="3:30" ht="16.5">
      <c r="C42" s="7">
        <f t="shared" ca="1" si="5"/>
        <v>-1</v>
      </c>
      <c r="D42" s="219">
        <v>29</v>
      </c>
      <c r="E42" s="220" t="str">
        <f t="shared" si="0"/>
        <v>华西证券</v>
      </c>
      <c r="F42" s="221">
        <f ca="1">IF($D$4="自选机构",[1]!S_EST_ESTANALYST($E$6,$E$8,C42,$F$4),[1]!S_EST_ESTANALYST($E$6,$E$8,$E$9,D42))</f>
        <v>0</v>
      </c>
      <c r="G42" s="222">
        <f ca="1">IF($D$4="自选机构",[1]!S_EST_ESTNEWTIME_INST($E$6,$E$8,C42,$F$4),[1]!S_EST_ESTNEWTIME_INST($E$6,$E$8,$E$9,D42))</f>
        <v>0</v>
      </c>
      <c r="H42" s="223">
        <f ca="1">IF($D$4="自选机构",[1]!S_EST_SALES_INST($E$6,$E$8,C42,$F$4)/currencyunit,[1]!S_EST_SALES_INST($E$6,$E$8,$E$9,D42)/currencyunit)</f>
        <v>0</v>
      </c>
      <c r="I42" s="223">
        <f ca="1">IF($D$4="自选机构",[1]!S_EST_NETPROFIT_INST($E$6,$E$8,C42,$F$4)/currencyunit,[1]!S_EST_NETPROFIT_INST($E$6,$E$8,$E$9,D42)/currencyunit)</f>
        <v>0</v>
      </c>
      <c r="J42" s="221">
        <f ca="1">IF($D$4="自选机构",[1]!S_EST_EPS_INST($E$6,$E$8,C42,$F$4),[1]!S_EST_EPS_INST($E$6,$E$8,$E$9,D42))</f>
        <v>0</v>
      </c>
      <c r="K42" s="222">
        <f ca="1">IF($D$4="自选机构",[1]!S_EST_NEWRATINGTIME_INST($E$6,Y42,$F$4),[1]!S_EST_NEWRATINGTIME_INST($E$6,$E$9,D42))</f>
        <v>0</v>
      </c>
      <c r="L42" s="221">
        <f ca="1">IF($D$4="自选机构",[1]!S_EST_RATINGANALYST($E$6,Y42,$F$4),[1]!S_EST_RATINGANALYST($E$6,$E$9,D42))</f>
        <v>0</v>
      </c>
      <c r="M42" s="221">
        <f ca="1">IF($D$4="自选机构",[1]!S_EST_ORGRATING_INST($E$6,Y42,$F$4),[1]!S_EST_ORGRATING_INST($E$6,$E$9,D42))</f>
        <v>0</v>
      </c>
      <c r="N42" s="223">
        <f ca="1">IF($D$4="自选机构",[1]!S_EST_SCORERATING_INST($E$6,Y42,$F$4),[1]!S_EST_SCORERATING_INST($E$6,$E$9,D42))</f>
        <v>0</v>
      </c>
      <c r="O42" s="221">
        <f ca="1">IF($D$4="自选机构",[1]!S_EST_STDRATING_INST($E$6,Y42,$F$4),[1]!S_EST_STDRATING_INST($E$6,$E$9,D42))</f>
        <v>0</v>
      </c>
      <c r="P42" s="222">
        <f>IF($D$4="自选机构",[1]!S_EST_FRSTRATINGTIME_INST($E$6,$F$4),[1]!S_EST_FRSTRATINGTIME_INST($E$6,D42))</f>
        <v>0</v>
      </c>
      <c r="Q42" s="224" t="str">
        <f t="shared" ca="1" si="1"/>
        <v/>
      </c>
      <c r="R42" s="224"/>
      <c r="S42" s="224"/>
      <c r="T42" s="224"/>
      <c r="U42" s="224"/>
      <c r="V42" s="224"/>
      <c r="W42" s="224"/>
      <c r="X42" s="225">
        <f t="shared" ca="1" si="2"/>
        <v>0</v>
      </c>
      <c r="Y42" s="225">
        <f t="shared" ca="1" si="6"/>
        <v>-1</v>
      </c>
      <c r="Z42" s="226">
        <f ca="1">IF($D$4="自选机构",[1]!S_EST_SCORERATING_INST($E$6,K42-1,$F$4),[1]!S_EST_SCORERATING_INST($E$6,K42-1,D42))</f>
        <v>0</v>
      </c>
      <c r="AA42" s="226">
        <f t="shared" ca="1" si="3"/>
        <v>0</v>
      </c>
      <c r="AB42" s="224" t="str">
        <f t="shared" ca="1" si="4"/>
        <v/>
      </c>
      <c r="AC42" s="227" t="str">
        <f t="shared" ca="1" si="7"/>
        <v/>
      </c>
      <c r="AD42" s="219"/>
    </row>
    <row r="43" spans="3:30" ht="16.5">
      <c r="C43" s="7">
        <f t="shared" ca="1" si="5"/>
        <v>-1</v>
      </c>
      <c r="D43" s="211">
        <v>30</v>
      </c>
      <c r="E43" s="212" t="str">
        <f t="shared" si="0"/>
        <v>国元证券</v>
      </c>
      <c r="F43" s="213">
        <f ca="1">IF($D$4="自选机构",[1]!S_EST_ESTANALYST($E$6,$E$8,C43,$F$4),[1]!S_EST_ESTANALYST($E$6,$E$8,$E$9,D43))</f>
        <v>0</v>
      </c>
      <c r="G43" s="214">
        <f ca="1">IF($D$4="自选机构",[1]!S_EST_ESTNEWTIME_INST($E$6,$E$8,C43,$F$4),[1]!S_EST_ESTNEWTIME_INST($E$6,$E$8,$E$9,D43))</f>
        <v>0</v>
      </c>
      <c r="H43" s="215">
        <f ca="1">IF($D$4="自选机构",[1]!S_EST_SALES_INST($E$6,$E$8,C43,$F$4)/currencyunit,[1]!S_EST_SALES_INST($E$6,$E$8,$E$9,D43)/currencyunit)</f>
        <v>0</v>
      </c>
      <c r="I43" s="215">
        <f ca="1">IF($D$4="自选机构",[1]!S_EST_NETPROFIT_INST($E$6,$E$8,C43,$F$4)/currencyunit,[1]!S_EST_NETPROFIT_INST($E$6,$E$8,$E$9,D43)/currencyunit)</f>
        <v>0</v>
      </c>
      <c r="J43" s="213">
        <f ca="1">IF($D$4="自选机构",[1]!S_EST_EPS_INST($E$6,$E$8,C43,$F$4),[1]!S_EST_EPS_INST($E$6,$E$8,$E$9,D43))</f>
        <v>0</v>
      </c>
      <c r="K43" s="214">
        <f ca="1">IF($D$4="自选机构",[1]!S_EST_NEWRATINGTIME_INST($E$6,Y43,$F$4),[1]!S_EST_NEWRATINGTIME_INST($E$6,$E$9,D43))</f>
        <v>0</v>
      </c>
      <c r="L43" s="213">
        <f ca="1">IF($D$4="自选机构",[1]!S_EST_RATINGANALYST($E$6,Y43,$F$4),[1]!S_EST_RATINGANALYST($E$6,$E$9,D43))</f>
        <v>0</v>
      </c>
      <c r="M43" s="213">
        <f ca="1">IF($D$4="自选机构",[1]!S_EST_ORGRATING_INST($E$6,Y43,$F$4),[1]!S_EST_ORGRATING_INST($E$6,$E$9,D43))</f>
        <v>0</v>
      </c>
      <c r="N43" s="215">
        <f ca="1">IF($D$4="自选机构",[1]!S_EST_SCORERATING_INST($E$6,Y43,$F$4),[1]!S_EST_SCORERATING_INST($E$6,$E$9,D43))</f>
        <v>0</v>
      </c>
      <c r="O43" s="213">
        <f ca="1">IF($D$4="自选机构",[1]!S_EST_STDRATING_INST($E$6,Y43,$F$4),[1]!S_EST_STDRATING_INST($E$6,$E$9,D43))</f>
        <v>0</v>
      </c>
      <c r="P43" s="214" t="str">
        <f>IF($D$4="自选机构",[1]!S_EST_FRSTRATINGTIME_INST($E$6,$F$4),[1]!S_EST_FRSTRATINGTIME_INST($E$6,D43))</f>
        <v>2009-03-23</v>
      </c>
      <c r="Q43" s="153" t="str">
        <f t="shared" ca="1" si="1"/>
        <v/>
      </c>
      <c r="R43" s="153"/>
      <c r="S43" s="153"/>
      <c r="T43" s="153"/>
      <c r="U43" s="153"/>
      <c r="V43" s="153"/>
      <c r="W43" s="153"/>
      <c r="X43" s="216">
        <f t="shared" ca="1" si="2"/>
        <v>0</v>
      </c>
      <c r="Y43" s="216">
        <f t="shared" ca="1" si="6"/>
        <v>-1</v>
      </c>
      <c r="Z43" s="217">
        <f ca="1">IF($D$4="自选机构",[1]!S_EST_SCORERATING_INST($E$6,K43-1,$F$4),[1]!S_EST_SCORERATING_INST($E$6,K43-1,D43))</f>
        <v>0</v>
      </c>
      <c r="AA43" s="217">
        <f t="shared" ca="1" si="3"/>
        <v>0</v>
      </c>
      <c r="AB43" s="153" t="str">
        <f t="shared" ca="1" si="4"/>
        <v/>
      </c>
      <c r="AC43" s="218" t="str">
        <f t="shared" ca="1" si="7"/>
        <v/>
      </c>
      <c r="AD43" s="211"/>
    </row>
    <row r="44" spans="3:30" ht="16.5">
      <c r="C44" s="7">
        <f t="shared" ca="1" si="5"/>
        <v>-1</v>
      </c>
      <c r="D44" s="219">
        <v>31</v>
      </c>
      <c r="E44" s="220" t="str">
        <f t="shared" si="0"/>
        <v>渤海证券</v>
      </c>
      <c r="F44" s="221">
        <f ca="1">IF($D$4="自选机构",[1]!S_EST_ESTANALYST($E$6,$E$8,C44,$F$4),[1]!S_EST_ESTANALYST($E$6,$E$8,$E$9,D44))</f>
        <v>0</v>
      </c>
      <c r="G44" s="222">
        <f ca="1">IF($D$4="自选机构",[1]!S_EST_ESTNEWTIME_INST($E$6,$E$8,C44,$F$4),[1]!S_EST_ESTNEWTIME_INST($E$6,$E$8,$E$9,D44))</f>
        <v>0</v>
      </c>
      <c r="H44" s="223">
        <f ca="1">IF($D$4="自选机构",[1]!S_EST_SALES_INST($E$6,$E$8,C44,$F$4)/currencyunit,[1]!S_EST_SALES_INST($E$6,$E$8,$E$9,D44)/currencyunit)</f>
        <v>0</v>
      </c>
      <c r="I44" s="223">
        <f ca="1">IF($D$4="自选机构",[1]!S_EST_NETPROFIT_INST($E$6,$E$8,C44,$F$4)/currencyunit,[1]!S_EST_NETPROFIT_INST($E$6,$E$8,$E$9,D44)/currencyunit)</f>
        <v>0</v>
      </c>
      <c r="J44" s="221">
        <f ca="1">IF($D$4="自选机构",[1]!S_EST_EPS_INST($E$6,$E$8,C44,$F$4),[1]!S_EST_EPS_INST($E$6,$E$8,$E$9,D44))</f>
        <v>0</v>
      </c>
      <c r="K44" s="222">
        <f ca="1">IF($D$4="自选机构",[1]!S_EST_NEWRATINGTIME_INST($E$6,Y44,$F$4),[1]!S_EST_NEWRATINGTIME_INST($E$6,$E$9,D44))</f>
        <v>0</v>
      </c>
      <c r="L44" s="221">
        <f ca="1">IF($D$4="自选机构",[1]!S_EST_RATINGANALYST($E$6,Y44,$F$4),[1]!S_EST_RATINGANALYST($E$6,$E$9,D44))</f>
        <v>0</v>
      </c>
      <c r="M44" s="221">
        <f ca="1">IF($D$4="自选机构",[1]!S_EST_ORGRATING_INST($E$6,Y44,$F$4),[1]!S_EST_ORGRATING_INST($E$6,$E$9,D44))</f>
        <v>0</v>
      </c>
      <c r="N44" s="223">
        <f ca="1">IF($D$4="自选机构",[1]!S_EST_SCORERATING_INST($E$6,Y44,$F$4),[1]!S_EST_SCORERATING_INST($E$6,$E$9,D44))</f>
        <v>0</v>
      </c>
      <c r="O44" s="221">
        <f ca="1">IF($D$4="自选机构",[1]!S_EST_STDRATING_INST($E$6,Y44,$F$4),[1]!S_EST_STDRATING_INST($E$6,$E$9,D44))</f>
        <v>0</v>
      </c>
      <c r="P44" s="222" t="str">
        <f>IF($D$4="自选机构",[1]!S_EST_FRSTRATINGTIME_INST($E$6,$F$4),[1]!S_EST_FRSTRATINGTIME_INST($E$6,D44))</f>
        <v>2008-07-29</v>
      </c>
      <c r="Q44" s="224" t="str">
        <f t="shared" ca="1" si="1"/>
        <v/>
      </c>
      <c r="R44" s="224"/>
      <c r="S44" s="224"/>
      <c r="T44" s="224"/>
      <c r="U44" s="224"/>
      <c r="V44" s="224"/>
      <c r="W44" s="224"/>
      <c r="X44" s="225">
        <f t="shared" ca="1" si="2"/>
        <v>0</v>
      </c>
      <c r="Y44" s="225">
        <f t="shared" ca="1" si="6"/>
        <v>-1</v>
      </c>
      <c r="Z44" s="226">
        <f ca="1">IF($D$4="自选机构",[1]!S_EST_SCORERATING_INST($E$6,K44-1,$F$4),[1]!S_EST_SCORERATING_INST($E$6,K44-1,D44))</f>
        <v>0</v>
      </c>
      <c r="AA44" s="226">
        <f t="shared" ca="1" si="3"/>
        <v>0</v>
      </c>
      <c r="AB44" s="224" t="str">
        <f t="shared" ca="1" si="4"/>
        <v/>
      </c>
      <c r="AC44" s="227" t="str">
        <f t="shared" ca="1" si="7"/>
        <v/>
      </c>
      <c r="AD44" s="219"/>
    </row>
    <row r="45" spans="3:30" ht="16.5">
      <c r="C45" s="7">
        <f t="shared" ca="1" si="5"/>
        <v>-1</v>
      </c>
      <c r="D45" s="211">
        <v>32</v>
      </c>
      <c r="E45" s="212" t="str">
        <f t="shared" si="0"/>
        <v>爱建证券</v>
      </c>
      <c r="F45" s="213">
        <f ca="1">IF($D$4="自选机构",[1]!S_EST_ESTANALYST($E$6,$E$8,C45,$F$4),[1]!S_EST_ESTANALYST($E$6,$E$8,$E$9,D45))</f>
        <v>0</v>
      </c>
      <c r="G45" s="214">
        <f ca="1">IF($D$4="自选机构",[1]!S_EST_ESTNEWTIME_INST($E$6,$E$8,C45,$F$4),[1]!S_EST_ESTNEWTIME_INST($E$6,$E$8,$E$9,D45))</f>
        <v>0</v>
      </c>
      <c r="H45" s="215">
        <f ca="1">IF($D$4="自选机构",[1]!S_EST_SALES_INST($E$6,$E$8,C45,$F$4)/currencyunit,[1]!S_EST_SALES_INST($E$6,$E$8,$E$9,D45)/currencyunit)</f>
        <v>0</v>
      </c>
      <c r="I45" s="215">
        <f ca="1">IF($D$4="自选机构",[1]!S_EST_NETPROFIT_INST($E$6,$E$8,C45,$F$4)/currencyunit,[1]!S_EST_NETPROFIT_INST($E$6,$E$8,$E$9,D45)/currencyunit)</f>
        <v>0</v>
      </c>
      <c r="J45" s="213">
        <f ca="1">IF($D$4="自选机构",[1]!S_EST_EPS_INST($E$6,$E$8,C45,$F$4),[1]!S_EST_EPS_INST($E$6,$E$8,$E$9,D45))</f>
        <v>0</v>
      </c>
      <c r="K45" s="214">
        <f ca="1">IF($D$4="自选机构",[1]!S_EST_NEWRATINGTIME_INST($E$6,Y45,$F$4),[1]!S_EST_NEWRATINGTIME_INST($E$6,$E$9,D45))</f>
        <v>0</v>
      </c>
      <c r="L45" s="213">
        <f ca="1">IF($D$4="自选机构",[1]!S_EST_RATINGANALYST($E$6,Y45,$F$4),[1]!S_EST_RATINGANALYST($E$6,$E$9,D45))</f>
        <v>0</v>
      </c>
      <c r="M45" s="213">
        <f ca="1">IF($D$4="自选机构",[1]!S_EST_ORGRATING_INST($E$6,Y45,$F$4),[1]!S_EST_ORGRATING_INST($E$6,$E$9,D45))</f>
        <v>0</v>
      </c>
      <c r="N45" s="215">
        <f ca="1">IF($D$4="自选机构",[1]!S_EST_SCORERATING_INST($E$6,Y45,$F$4),[1]!S_EST_SCORERATING_INST($E$6,$E$9,D45))</f>
        <v>0</v>
      </c>
      <c r="O45" s="213">
        <f ca="1">IF($D$4="自选机构",[1]!S_EST_STDRATING_INST($E$6,Y45,$F$4),[1]!S_EST_STDRATING_INST($E$6,$E$9,D45))</f>
        <v>0</v>
      </c>
      <c r="P45" s="214" t="str">
        <f>IF($D$4="自选机构",[1]!S_EST_FRSTRATINGTIME_INST($E$6,$F$4),[1]!S_EST_FRSTRATINGTIME_INST($E$6,D45))</f>
        <v>2008-07-29</v>
      </c>
      <c r="Q45" s="153" t="str">
        <f t="shared" ca="1" si="1"/>
        <v/>
      </c>
      <c r="R45" s="153"/>
      <c r="S45" s="153"/>
      <c r="T45" s="153"/>
      <c r="U45" s="153"/>
      <c r="V45" s="153"/>
      <c r="W45" s="153"/>
      <c r="X45" s="216">
        <f t="shared" ca="1" si="2"/>
        <v>0</v>
      </c>
      <c r="Y45" s="216">
        <f t="shared" ca="1" si="6"/>
        <v>-1</v>
      </c>
      <c r="Z45" s="217">
        <f ca="1">IF($D$4="自选机构",[1]!S_EST_SCORERATING_INST($E$6,K45-1,$F$4),[1]!S_EST_SCORERATING_INST($E$6,K45-1,D45))</f>
        <v>0</v>
      </c>
      <c r="AA45" s="217">
        <f t="shared" ca="1" si="3"/>
        <v>0</v>
      </c>
      <c r="AB45" s="153" t="str">
        <f t="shared" ca="1" si="4"/>
        <v/>
      </c>
      <c r="AC45" s="218" t="str">
        <f t="shared" ca="1" si="7"/>
        <v/>
      </c>
      <c r="AD45" s="211"/>
    </row>
    <row r="46" spans="3:30" ht="16.5">
      <c r="C46" s="7">
        <f t="shared" ca="1" si="5"/>
        <v>-1</v>
      </c>
      <c r="D46" s="219">
        <v>33</v>
      </c>
      <c r="E46" s="220" t="str">
        <f t="shared" si="0"/>
        <v>安信证券</v>
      </c>
      <c r="F46" s="221">
        <f ca="1">IF($D$4="自选机构",[1]!S_EST_ESTANALYST($E$6,$E$8,C46,$F$4),[1]!S_EST_ESTANALYST($E$6,$E$8,$E$9,D46))</f>
        <v>0</v>
      </c>
      <c r="G46" s="222">
        <f ca="1">IF($D$4="自选机构",[1]!S_EST_ESTNEWTIME_INST($E$6,$E$8,C46,$F$4),[1]!S_EST_ESTNEWTIME_INST($E$6,$E$8,$E$9,D46))</f>
        <v>0</v>
      </c>
      <c r="H46" s="223">
        <f ca="1">IF($D$4="自选机构",[1]!S_EST_SALES_INST($E$6,$E$8,C46,$F$4)/currencyunit,[1]!S_EST_SALES_INST($E$6,$E$8,$E$9,D46)/currencyunit)</f>
        <v>0</v>
      </c>
      <c r="I46" s="223">
        <f ca="1">IF($D$4="自选机构",[1]!S_EST_NETPROFIT_INST($E$6,$E$8,C46,$F$4)/currencyunit,[1]!S_EST_NETPROFIT_INST($E$6,$E$8,$E$9,D46)/currencyunit)</f>
        <v>0</v>
      </c>
      <c r="J46" s="221">
        <f ca="1">IF($D$4="自选机构",[1]!S_EST_EPS_INST($E$6,$E$8,C46,$F$4),[1]!S_EST_EPS_INST($E$6,$E$8,$E$9,D46))</f>
        <v>0</v>
      </c>
      <c r="K46" s="222">
        <f ca="1">IF($D$4="自选机构",[1]!S_EST_NEWRATINGTIME_INST($E$6,Y46,$F$4),[1]!S_EST_NEWRATINGTIME_INST($E$6,$E$9,D46))</f>
        <v>0</v>
      </c>
      <c r="L46" s="221">
        <f ca="1">IF($D$4="自选机构",[1]!S_EST_RATINGANALYST($E$6,Y46,$F$4),[1]!S_EST_RATINGANALYST($E$6,$E$9,D46))</f>
        <v>0</v>
      </c>
      <c r="M46" s="221">
        <f ca="1">IF($D$4="自选机构",[1]!S_EST_ORGRATING_INST($E$6,Y46,$F$4),[1]!S_EST_ORGRATING_INST($E$6,$E$9,D46))</f>
        <v>0</v>
      </c>
      <c r="N46" s="223">
        <f ca="1">IF($D$4="自选机构",[1]!S_EST_SCORERATING_INST($E$6,Y46,$F$4),[1]!S_EST_SCORERATING_INST($E$6,$E$9,D46))</f>
        <v>0</v>
      </c>
      <c r="O46" s="221">
        <f ca="1">IF($D$4="自选机构",[1]!S_EST_STDRATING_INST($E$6,Y46,$F$4),[1]!S_EST_STDRATING_INST($E$6,$E$9,D46))</f>
        <v>0</v>
      </c>
      <c r="P46" s="222" t="str">
        <f>IF($D$4="自选机构",[1]!S_EST_FRSTRATINGTIME_INST($E$6,$F$4),[1]!S_EST_FRSTRATINGTIME_INST($E$6,D46))</f>
        <v>2009-06-03</v>
      </c>
      <c r="Q46" s="224" t="str">
        <f t="shared" ca="1" si="1"/>
        <v/>
      </c>
      <c r="R46" s="224"/>
      <c r="S46" s="224"/>
      <c r="T46" s="224"/>
      <c r="U46" s="224"/>
      <c r="V46" s="224"/>
      <c r="W46" s="224"/>
      <c r="X46" s="225">
        <f t="shared" ca="1" si="2"/>
        <v>0</v>
      </c>
      <c r="Y46" s="225">
        <f t="shared" ca="1" si="6"/>
        <v>-1</v>
      </c>
      <c r="Z46" s="226">
        <f ca="1">IF($D$4="自选机构",[1]!S_EST_SCORERATING_INST($E$6,K46-1,$F$4),[1]!S_EST_SCORERATING_INST($E$6,K46-1,D46))</f>
        <v>0</v>
      </c>
      <c r="AA46" s="226">
        <f t="shared" ca="1" si="3"/>
        <v>0</v>
      </c>
      <c r="AB46" s="224" t="str">
        <f t="shared" ca="1" si="4"/>
        <v/>
      </c>
      <c r="AC46" s="227" t="str">
        <f t="shared" ca="1" si="7"/>
        <v/>
      </c>
      <c r="AD46" s="219"/>
    </row>
    <row r="47" spans="3:30" ht="16.5">
      <c r="C47" s="7">
        <f t="shared" ca="1" si="5"/>
        <v>-1</v>
      </c>
      <c r="D47" s="211">
        <v>34</v>
      </c>
      <c r="E47" s="212" t="str">
        <f t="shared" ref="E47:E78" si="8">IF($D$4="自选机构",$E$4,VLOOKUP(D47,Institutionlist,2,FALSE))</f>
        <v>财富证券</v>
      </c>
      <c r="F47" s="213" t="str">
        <f ca="1">IF($D$4="自选机构",[1]!S_EST_ESTANALYST($E$6,$E$8,C47,$F$4),[1]!S_EST_ESTANALYST($E$6,$E$8,$E$9,D47))</f>
        <v>周策</v>
      </c>
      <c r="G47" s="214" t="str">
        <f ca="1">IF($D$4="自选机构",[1]!S_EST_ESTNEWTIME_INST($E$6,$E$8,C47,$F$4),[1]!S_EST_ESTNEWTIME_INST($E$6,$E$8,$E$9,D47))</f>
        <v>2024-03-25</v>
      </c>
      <c r="H47" s="215">
        <f ca="1">IF($D$4="自选机构",[1]!S_EST_SALES_INST($E$6,$E$8,C47,$F$4)/currencyunit,[1]!S_EST_SALES_INST($E$6,$E$8,$E$9,D47)/currencyunit)</f>
        <v>559568</v>
      </c>
      <c r="I47" s="215">
        <f ca="1">IF($D$4="自选机构",[1]!S_EST_NETPROFIT_INST($E$6,$E$8,C47,$F$4)/currencyunit,[1]!S_EST_NETPROFIT_INST($E$6,$E$8,$E$9,D47)/currencyunit)</f>
        <v>40729</v>
      </c>
      <c r="J47" s="213">
        <f ca="1">IF($D$4="自选机构",[1]!S_EST_EPS_INST($E$6,$E$8,C47,$F$4),[1]!S_EST_EPS_INST($E$6,$E$8,$E$9,D47))</f>
        <v>1.55</v>
      </c>
      <c r="K47" s="214">
        <f ca="1">IF($D$4="自选机构",[1]!S_EST_NEWRATINGTIME_INST($E$6,Y47,$F$4),[1]!S_EST_NEWRATINGTIME_INST($E$6,$E$9,D47))</f>
        <v>0</v>
      </c>
      <c r="L47" s="213">
        <f ca="1">IF($D$4="自选机构",[1]!S_EST_RATINGANALYST($E$6,Y47,$F$4),[1]!S_EST_RATINGANALYST($E$6,$E$9,D47))</f>
        <v>0</v>
      </c>
      <c r="M47" s="213">
        <f ca="1">IF($D$4="自选机构",[1]!S_EST_ORGRATING_INST($E$6,Y47,$F$4),[1]!S_EST_ORGRATING_INST($E$6,$E$9,D47))</f>
        <v>0</v>
      </c>
      <c r="N47" s="215">
        <f ca="1">IF($D$4="自选机构",[1]!S_EST_SCORERATING_INST($E$6,Y47,$F$4),[1]!S_EST_SCORERATING_INST($E$6,$E$9,D47))</f>
        <v>0</v>
      </c>
      <c r="O47" s="213">
        <f ca="1">IF($D$4="自选机构",[1]!S_EST_STDRATING_INST($E$6,Y47,$F$4),[1]!S_EST_STDRATING_INST($E$6,$E$9,D47))</f>
        <v>0</v>
      </c>
      <c r="P47" s="214" t="str">
        <f>IF($D$4="自选机构",[1]!S_EST_FRSTRATINGTIME_INST($E$6,$F$4),[1]!S_EST_FRSTRATINGTIME_INST($E$6,D47))</f>
        <v>2009-03-27</v>
      </c>
      <c r="Q47" s="153" t="str">
        <f t="shared" ca="1" si="1"/>
        <v/>
      </c>
      <c r="R47" s="153"/>
      <c r="S47" s="153"/>
      <c r="T47" s="153"/>
      <c r="U47" s="153"/>
      <c r="V47" s="153"/>
      <c r="W47" s="153"/>
      <c r="X47" s="216">
        <f t="shared" ref="X47:X78" ca="1" si="9">--G47</f>
        <v>45376</v>
      </c>
      <c r="Y47" s="216">
        <f t="shared" ca="1" si="6"/>
        <v>-1</v>
      </c>
      <c r="Z47" s="217">
        <f ca="1">IF($D$4="自选机构",[1]!S_EST_SCORERATING_INST($E$6,K47-1,$F$4),[1]!S_EST_SCORERATING_INST($E$6,K47-1,D47))</f>
        <v>0</v>
      </c>
      <c r="AA47" s="217">
        <f t="shared" ca="1" si="3"/>
        <v>0</v>
      </c>
      <c r="AB47" s="153" t="str">
        <f t="shared" ref="AB47:AB78" ca="1" si="10">IF(K47-$F$10&gt;=0,1,"")</f>
        <v/>
      </c>
      <c r="AC47" s="218" t="str">
        <f t="shared" ca="1" si="7"/>
        <v/>
      </c>
      <c r="AD47" s="211"/>
    </row>
    <row r="48" spans="3:30" ht="16.5">
      <c r="C48" s="7">
        <f t="shared" ca="1" si="5"/>
        <v>45375</v>
      </c>
      <c r="D48" s="219">
        <v>35</v>
      </c>
      <c r="E48" s="220" t="str">
        <f t="shared" si="8"/>
        <v>大通证券</v>
      </c>
      <c r="F48" s="221">
        <f ca="1">IF($D$4="自选机构",[1]!S_EST_ESTANALYST($E$6,$E$8,C48,$F$4),[1]!S_EST_ESTANALYST($E$6,$E$8,$E$9,D48))</f>
        <v>0</v>
      </c>
      <c r="G48" s="222">
        <f ca="1">IF($D$4="自选机构",[1]!S_EST_ESTNEWTIME_INST($E$6,$E$8,C48,$F$4),[1]!S_EST_ESTNEWTIME_INST($E$6,$E$8,$E$9,D48))</f>
        <v>0</v>
      </c>
      <c r="H48" s="223">
        <f ca="1">IF($D$4="自选机构",[1]!S_EST_SALES_INST($E$6,$E$8,C48,$F$4)/currencyunit,[1]!S_EST_SALES_INST($E$6,$E$8,$E$9,D48)/currencyunit)</f>
        <v>0</v>
      </c>
      <c r="I48" s="223">
        <f ca="1">IF($D$4="自选机构",[1]!S_EST_NETPROFIT_INST($E$6,$E$8,C48,$F$4)/currencyunit,[1]!S_EST_NETPROFIT_INST($E$6,$E$8,$E$9,D48)/currencyunit)</f>
        <v>0</v>
      </c>
      <c r="J48" s="221">
        <f ca="1">IF($D$4="自选机构",[1]!S_EST_EPS_INST($E$6,$E$8,C48,$F$4),[1]!S_EST_EPS_INST($E$6,$E$8,$E$9,D48))</f>
        <v>0</v>
      </c>
      <c r="K48" s="222">
        <f ca="1">IF($D$4="自选机构",[1]!S_EST_NEWRATINGTIME_INST($E$6,Y48,$F$4),[1]!S_EST_NEWRATINGTIME_INST($E$6,$E$9,D48))</f>
        <v>0</v>
      </c>
      <c r="L48" s="221">
        <f ca="1">IF($D$4="自选机构",[1]!S_EST_RATINGANALYST($E$6,Y48,$F$4),[1]!S_EST_RATINGANALYST($E$6,$E$9,D48))</f>
        <v>0</v>
      </c>
      <c r="M48" s="221">
        <f ca="1">IF($D$4="自选机构",[1]!S_EST_ORGRATING_INST($E$6,Y48,$F$4),[1]!S_EST_ORGRATING_INST($E$6,$E$9,D48))</f>
        <v>0</v>
      </c>
      <c r="N48" s="223">
        <f ca="1">IF($D$4="自选机构",[1]!S_EST_SCORERATING_INST($E$6,Y48,$F$4),[1]!S_EST_SCORERATING_INST($E$6,$E$9,D48))</f>
        <v>0</v>
      </c>
      <c r="O48" s="221">
        <f ca="1">IF($D$4="自选机构",[1]!S_EST_STDRATING_INST($E$6,Y48,$F$4),[1]!S_EST_STDRATING_INST($E$6,$E$9,D48))</f>
        <v>0</v>
      </c>
      <c r="P48" s="222">
        <f>IF($D$4="自选机构",[1]!S_EST_FRSTRATINGTIME_INST($E$6,$F$4),[1]!S_EST_FRSTRATINGTIME_INST($E$6,D48))</f>
        <v>0</v>
      </c>
      <c r="Q48" s="224" t="str">
        <f t="shared" ca="1" si="1"/>
        <v/>
      </c>
      <c r="R48" s="224"/>
      <c r="S48" s="224"/>
      <c r="T48" s="224"/>
      <c r="U48" s="224"/>
      <c r="V48" s="224"/>
      <c r="W48" s="224"/>
      <c r="X48" s="225">
        <f t="shared" ca="1" si="9"/>
        <v>0</v>
      </c>
      <c r="Y48" s="225">
        <f t="shared" ref="Y48:Y79" ca="1" si="11">K47-1</f>
        <v>-1</v>
      </c>
      <c r="Z48" s="226">
        <f ca="1">IF($D$4="自选机构",[1]!S_EST_SCORERATING_INST($E$6,K48-1,$F$4),[1]!S_EST_SCORERATING_INST($E$6,K48-1,D48))</f>
        <v>0</v>
      </c>
      <c r="AA48" s="226">
        <f t="shared" ca="1" si="3"/>
        <v>0</v>
      </c>
      <c r="AB48" s="224" t="str">
        <f t="shared" ca="1" si="10"/>
        <v/>
      </c>
      <c r="AC48" s="227" t="str">
        <f t="shared" ca="1" si="7"/>
        <v/>
      </c>
      <c r="AD48" s="219"/>
    </row>
    <row r="49" spans="3:30" ht="16.5">
      <c r="C49" s="7">
        <f t="shared" ca="1" si="5"/>
        <v>-1</v>
      </c>
      <c r="D49" s="211">
        <v>36</v>
      </c>
      <c r="E49" s="212" t="str">
        <f t="shared" si="8"/>
        <v>大同证券</v>
      </c>
      <c r="F49" s="213">
        <f ca="1">IF($D$4="自选机构",[1]!S_EST_ESTANALYST($E$6,$E$8,C49,$F$4),[1]!S_EST_ESTANALYST($E$6,$E$8,$E$9,D49))</f>
        <v>0</v>
      </c>
      <c r="G49" s="214">
        <f ca="1">IF($D$4="自选机构",[1]!S_EST_ESTNEWTIME_INST($E$6,$E$8,C49,$F$4),[1]!S_EST_ESTNEWTIME_INST($E$6,$E$8,$E$9,D49))</f>
        <v>0</v>
      </c>
      <c r="H49" s="215">
        <f ca="1">IF($D$4="自选机构",[1]!S_EST_SALES_INST($E$6,$E$8,C49,$F$4)/currencyunit,[1]!S_EST_SALES_INST($E$6,$E$8,$E$9,D49)/currencyunit)</f>
        <v>0</v>
      </c>
      <c r="I49" s="215">
        <f ca="1">IF($D$4="自选机构",[1]!S_EST_NETPROFIT_INST($E$6,$E$8,C49,$F$4)/currencyunit,[1]!S_EST_NETPROFIT_INST($E$6,$E$8,$E$9,D49)/currencyunit)</f>
        <v>0</v>
      </c>
      <c r="J49" s="213">
        <f ca="1">IF($D$4="自选机构",[1]!S_EST_EPS_INST($E$6,$E$8,C49,$F$4),[1]!S_EST_EPS_INST($E$6,$E$8,$E$9,D49))</f>
        <v>0</v>
      </c>
      <c r="K49" s="214">
        <f ca="1">IF($D$4="自选机构",[1]!S_EST_NEWRATINGTIME_INST($E$6,Y49,$F$4),[1]!S_EST_NEWRATINGTIME_INST($E$6,$E$9,D49))</f>
        <v>0</v>
      </c>
      <c r="L49" s="213">
        <f ca="1">IF($D$4="自选机构",[1]!S_EST_RATINGANALYST($E$6,Y49,$F$4),[1]!S_EST_RATINGANALYST($E$6,$E$9,D49))</f>
        <v>0</v>
      </c>
      <c r="M49" s="213">
        <f ca="1">IF($D$4="自选机构",[1]!S_EST_ORGRATING_INST($E$6,Y49,$F$4),[1]!S_EST_ORGRATING_INST($E$6,$E$9,D49))</f>
        <v>0</v>
      </c>
      <c r="N49" s="215">
        <f ca="1">IF($D$4="自选机构",[1]!S_EST_SCORERATING_INST($E$6,Y49,$F$4),[1]!S_EST_SCORERATING_INST($E$6,$E$9,D49))</f>
        <v>0</v>
      </c>
      <c r="O49" s="213">
        <f ca="1">IF($D$4="自选机构",[1]!S_EST_STDRATING_INST($E$6,Y49,$F$4),[1]!S_EST_STDRATING_INST($E$6,$E$9,D49))</f>
        <v>0</v>
      </c>
      <c r="P49" s="214">
        <f>IF($D$4="自选机构",[1]!S_EST_FRSTRATINGTIME_INST($E$6,$F$4),[1]!S_EST_FRSTRATINGTIME_INST($E$6,D49))</f>
        <v>0</v>
      </c>
      <c r="Q49" s="153" t="str">
        <f t="shared" ca="1" si="1"/>
        <v/>
      </c>
      <c r="R49" s="153"/>
      <c r="S49" s="153"/>
      <c r="T49" s="153"/>
      <c r="U49" s="153"/>
      <c r="V49" s="153"/>
      <c r="W49" s="153"/>
      <c r="X49" s="216">
        <f t="shared" ca="1" si="9"/>
        <v>0</v>
      </c>
      <c r="Y49" s="216">
        <f t="shared" ca="1" si="11"/>
        <v>-1</v>
      </c>
      <c r="Z49" s="217">
        <f ca="1">IF($D$4="自选机构",[1]!S_EST_SCORERATING_INST($E$6,K49-1,$F$4),[1]!S_EST_SCORERATING_INST($E$6,K49-1,D49))</f>
        <v>0</v>
      </c>
      <c r="AA49" s="217">
        <f t="shared" ca="1" si="3"/>
        <v>0</v>
      </c>
      <c r="AB49" s="153" t="str">
        <f t="shared" ca="1" si="10"/>
        <v/>
      </c>
      <c r="AC49" s="218" t="str">
        <f t="shared" ca="1" si="7"/>
        <v/>
      </c>
      <c r="AD49" s="211"/>
    </row>
    <row r="50" spans="3:30" ht="16.5">
      <c r="C50" s="7">
        <f t="shared" ca="1" si="5"/>
        <v>-1</v>
      </c>
      <c r="D50" s="219">
        <v>37</v>
      </c>
      <c r="E50" s="220" t="str">
        <f t="shared" si="8"/>
        <v>德邦证券</v>
      </c>
      <c r="F50" s="221" t="str">
        <f ca="1">IF($D$4="自选机构",[1]!S_EST_ESTANALYST($E$6,$E$8,C50,$F$4),[1]!S_EST_ESTANALYST($E$6,$E$8,$E$9,D50))</f>
        <v>翟堃</v>
      </c>
      <c r="G50" s="222" t="str">
        <f ca="1">IF($D$4="自选机构",[1]!S_EST_ESTNEWTIME_INST($E$6,$E$8,C50,$F$4),[1]!S_EST_ESTNEWTIME_INST($E$6,$E$8,$E$9,D50))</f>
        <v>2025-03-24</v>
      </c>
      <c r="H50" s="223">
        <f ca="1">IF($D$4="自选机构",[1]!S_EST_SALES_INST($E$6,$E$8,C50,$F$4)/currencyunit,[1]!S_EST_SALES_INST($E$6,$E$8,$E$9,D50)/currencyunit)</f>
        <v>365629</v>
      </c>
      <c r="I50" s="223">
        <f ca="1">IF($D$4="自选机构",[1]!S_EST_NETPROFIT_INST($E$6,$E$8,C50,$F$4)/currencyunit,[1]!S_EST_NETPROFIT_INST($E$6,$E$8,$E$9,D50)/currencyunit)</f>
        <v>47555</v>
      </c>
      <c r="J50" s="221">
        <f ca="1">IF($D$4="自选机构",[1]!S_EST_EPS_INST($E$6,$E$8,C50,$F$4),[1]!S_EST_EPS_INST($E$6,$E$8,$E$9,D50))</f>
        <v>1.79</v>
      </c>
      <c r="K50" s="222">
        <f ca="1">IF($D$4="自选机构",[1]!S_EST_NEWRATINGTIME_INST($E$6,Y50,$F$4),[1]!S_EST_NEWRATINGTIME_INST($E$6,$E$9,D50))</f>
        <v>0</v>
      </c>
      <c r="L50" s="221">
        <f ca="1">IF($D$4="自选机构",[1]!S_EST_RATINGANALYST($E$6,Y50,$F$4),[1]!S_EST_RATINGANALYST($E$6,$E$9,D50))</f>
        <v>0</v>
      </c>
      <c r="M50" s="221">
        <f ca="1">IF($D$4="自选机构",[1]!S_EST_ORGRATING_INST($E$6,Y50,$F$4),[1]!S_EST_ORGRATING_INST($E$6,$E$9,D50))</f>
        <v>0</v>
      </c>
      <c r="N50" s="223">
        <f ca="1">IF($D$4="自选机构",[1]!S_EST_SCORERATING_INST($E$6,Y50,$F$4),[1]!S_EST_SCORERATING_INST($E$6,$E$9,D50))</f>
        <v>0</v>
      </c>
      <c r="O50" s="221">
        <f ca="1">IF($D$4="自选机构",[1]!S_EST_STDRATING_INST($E$6,Y50,$F$4),[1]!S_EST_STDRATING_INST($E$6,$E$9,D50))</f>
        <v>0</v>
      </c>
      <c r="P50" s="222" t="str">
        <f>IF($D$4="自选机构",[1]!S_EST_FRSTRATINGTIME_INST($E$6,$F$4),[1]!S_EST_FRSTRATINGTIME_INST($E$6,D50))</f>
        <v>2023-06-04</v>
      </c>
      <c r="Q50" s="224" t="str">
        <f t="shared" ca="1" si="1"/>
        <v/>
      </c>
      <c r="R50" s="224"/>
      <c r="S50" s="224"/>
      <c r="T50" s="224"/>
      <c r="U50" s="224"/>
      <c r="V50" s="224"/>
      <c r="W50" s="224"/>
      <c r="X50" s="225">
        <f t="shared" ca="1" si="9"/>
        <v>45740</v>
      </c>
      <c r="Y50" s="225">
        <f t="shared" ca="1" si="11"/>
        <v>-1</v>
      </c>
      <c r="Z50" s="226">
        <f ca="1">IF($D$4="自选机构",[1]!S_EST_SCORERATING_INST($E$6,K50-1,$F$4),[1]!S_EST_SCORERATING_INST($E$6,K50-1,D50))</f>
        <v>0</v>
      </c>
      <c r="AA50" s="226">
        <f t="shared" ca="1" si="3"/>
        <v>0</v>
      </c>
      <c r="AB50" s="224" t="str">
        <f t="shared" ca="1" si="10"/>
        <v/>
      </c>
      <c r="AC50" s="227" t="str">
        <f t="shared" ca="1" si="7"/>
        <v/>
      </c>
      <c r="AD50" s="219"/>
    </row>
    <row r="51" spans="3:30" ht="16.5">
      <c r="C51" s="7">
        <f t="shared" ca="1" si="5"/>
        <v>45739</v>
      </c>
      <c r="D51" s="211">
        <v>38</v>
      </c>
      <c r="E51" s="212" t="str">
        <f t="shared" si="8"/>
        <v>东北证券</v>
      </c>
      <c r="F51" s="213" t="str">
        <f ca="1">IF($D$4="自选机构",[1]!S_EST_ESTANALYST($E$6,$E$8,C51,$F$4),[1]!S_EST_ESTANALYST($E$6,$E$8,$E$9,D51))</f>
        <v>曾智勤</v>
      </c>
      <c r="G51" s="214" t="str">
        <f ca="1">IF($D$4="自选机构",[1]!S_EST_ESTNEWTIME_INST($E$6,$E$8,C51,$F$4),[1]!S_EST_ESTNEWTIME_INST($E$6,$E$8,$E$9,D51))</f>
        <v>2025-09-29</v>
      </c>
      <c r="H51" s="215">
        <f ca="1">IF($D$4="自选机构",[1]!S_EST_SALES_INST($E$6,$E$8,C51,$F$4)/currencyunit,[1]!S_EST_SALES_INST($E$6,$E$8,$E$9,D51)/currencyunit)</f>
        <v>371662</v>
      </c>
      <c r="I51" s="215">
        <f ca="1">IF($D$4="自选机构",[1]!S_EST_NETPROFIT_INST($E$6,$E$8,C51,$F$4)/currencyunit,[1]!S_EST_NETPROFIT_INST($E$6,$E$8,$E$9,D51)/currencyunit)</f>
        <v>57892</v>
      </c>
      <c r="J51" s="213">
        <f ca="1">IF($D$4="自选机构",[1]!S_EST_EPS_INST($E$6,$E$8,C51,$F$4),[1]!S_EST_EPS_INST($E$6,$E$8,$E$9,D51))</f>
        <v>2.1800000000000002</v>
      </c>
      <c r="K51" s="214" t="str">
        <f ca="1">IF($D$4="自选机构",[1]!S_EST_NEWRATINGTIME_INST($E$6,Y51,$F$4),[1]!S_EST_NEWRATINGTIME_INST($E$6,$E$9,D51))</f>
        <v>2025-09-29</v>
      </c>
      <c r="L51" s="213" t="str">
        <f ca="1">IF($D$4="自选机构",[1]!S_EST_RATINGANALYST($E$6,Y51,$F$4),[1]!S_EST_RATINGANALYST($E$6,$E$9,D51))</f>
        <v>曾智勤</v>
      </c>
      <c r="M51" s="213" t="str">
        <f ca="1">IF($D$4="自选机构",[1]!S_EST_ORGRATING_INST($E$6,Y51,$F$4),[1]!S_EST_ORGRATING_INST($E$6,$E$9,D51))</f>
        <v>东北证券_买入_1</v>
      </c>
      <c r="N51" s="215">
        <f ca="1">IF($D$4="自选机构",[1]!S_EST_SCORERATING_INST($E$6,Y51,$F$4),[1]!S_EST_SCORERATING_INST($E$6,$E$9,D51))</f>
        <v>1</v>
      </c>
      <c r="O51" s="213" t="str">
        <f ca="1">IF($D$4="自选机构",[1]!S_EST_STDRATING_INST($E$6,Y51,$F$4),[1]!S_EST_STDRATING_INST($E$6,$E$9,D51))</f>
        <v>买入</v>
      </c>
      <c r="P51" s="214">
        <f>IF($D$4="自选机构",[1]!S_EST_FRSTRATINGTIME_INST($E$6,$F$4),[1]!S_EST_FRSTRATINGTIME_INST($E$6,D51))</f>
        <v>0</v>
      </c>
      <c r="Q51" s="153" t="str">
        <f t="shared" ca="1" si="1"/>
        <v/>
      </c>
      <c r="R51" s="153"/>
      <c r="S51" s="153"/>
      <c r="T51" s="153"/>
      <c r="U51" s="153"/>
      <c r="V51" s="153"/>
      <c r="W51" s="153"/>
      <c r="X51" s="216">
        <f t="shared" ca="1" si="9"/>
        <v>45929</v>
      </c>
      <c r="Y51" s="216">
        <f t="shared" ca="1" si="11"/>
        <v>-1</v>
      </c>
      <c r="Z51" s="217">
        <f ca="1">IF($D$4="自选机构",[1]!S_EST_SCORERATING_INST($E$6,K51-1,$F$4),[1]!S_EST_SCORERATING_INST($E$6,K51-1,D51))</f>
        <v>0</v>
      </c>
      <c r="AA51" s="217" t="str">
        <f t="shared" ca="1" si="3"/>
        <v>首次评级</v>
      </c>
      <c r="AB51" s="153" t="str">
        <f t="shared" ca="1" si="10"/>
        <v/>
      </c>
      <c r="AC51" s="218" t="str">
        <f t="shared" ca="1" si="7"/>
        <v/>
      </c>
      <c r="AD51" s="211"/>
    </row>
    <row r="52" spans="3:30" ht="16.5">
      <c r="C52" s="7">
        <f t="shared" ca="1" si="5"/>
        <v>45928</v>
      </c>
      <c r="D52" s="219">
        <v>39</v>
      </c>
      <c r="E52" s="220" t="str">
        <f t="shared" si="8"/>
        <v>东莞证券</v>
      </c>
      <c r="F52" s="221" t="str">
        <f ca="1">IF($D$4="自选机构",[1]!S_EST_ESTANALYST($E$6,$E$8,C52,$F$4),[1]!S_EST_ESTANALYST($E$6,$E$8,$E$9,D52))</f>
        <v>许正堃</v>
      </c>
      <c r="G52" s="222" t="str">
        <f ca="1">IF($D$4="自选机构",[1]!S_EST_ESTNEWTIME_INST($E$6,$E$8,C52,$F$4),[1]!S_EST_ESTNEWTIME_INST($E$6,$E$8,$E$9,D52))</f>
        <v>2025-09-01</v>
      </c>
      <c r="H52" s="223">
        <f ca="1">IF($D$4="自选机构",[1]!S_EST_SALES_INST($E$6,$E$8,C52,$F$4)/currencyunit,[1]!S_EST_SALES_INST($E$6,$E$8,$E$9,D52)/currencyunit)</f>
        <v>385846.34</v>
      </c>
      <c r="I52" s="223">
        <f ca="1">IF($D$4="自选机构",[1]!S_EST_NETPROFIT_INST($E$6,$E$8,C52,$F$4)/currencyunit,[1]!S_EST_NETPROFIT_INST($E$6,$E$8,$E$9,D52)/currencyunit)</f>
        <v>52694.77</v>
      </c>
      <c r="J52" s="221">
        <f ca="1">IF($D$4="自选机构",[1]!S_EST_EPS_INST($E$6,$E$8,C52,$F$4),[1]!S_EST_EPS_INST($E$6,$E$8,$E$9,D52))</f>
        <v>1.98</v>
      </c>
      <c r="K52" s="222">
        <f ca="1">IF($D$4="自选机构",[1]!S_EST_NEWRATINGTIME_INST($E$6,Y52,$F$4),[1]!S_EST_NEWRATINGTIME_INST($E$6,$E$9,D52))</f>
        <v>0</v>
      </c>
      <c r="L52" s="221">
        <f ca="1">IF($D$4="自选机构",[1]!S_EST_RATINGANALYST($E$6,Y52,$F$4),[1]!S_EST_RATINGANALYST($E$6,$E$9,D52))</f>
        <v>0</v>
      </c>
      <c r="M52" s="221">
        <f ca="1">IF($D$4="自选机构",[1]!S_EST_ORGRATING_INST($E$6,Y52,$F$4),[1]!S_EST_ORGRATING_INST($E$6,$E$9,D52))</f>
        <v>0</v>
      </c>
      <c r="N52" s="223">
        <f ca="1">IF($D$4="自选机构",[1]!S_EST_SCORERATING_INST($E$6,Y52,$F$4),[1]!S_EST_SCORERATING_INST($E$6,$E$9,D52))</f>
        <v>0</v>
      </c>
      <c r="O52" s="221">
        <f ca="1">IF($D$4="自选机构",[1]!S_EST_STDRATING_INST($E$6,Y52,$F$4),[1]!S_EST_STDRATING_INST($E$6,$E$9,D52))</f>
        <v>0</v>
      </c>
      <c r="P52" s="222" t="str">
        <f>IF($D$4="自选机构",[1]!S_EST_FRSTRATINGTIME_INST($E$6,$F$4),[1]!S_EST_FRSTRATINGTIME_INST($E$6,D52))</f>
        <v>2008-10-28</v>
      </c>
      <c r="Q52" s="224" t="str">
        <f t="shared" ca="1" si="1"/>
        <v/>
      </c>
      <c r="R52" s="224"/>
      <c r="S52" s="224"/>
      <c r="T52" s="224"/>
      <c r="U52" s="224"/>
      <c r="V52" s="224"/>
      <c r="W52" s="224"/>
      <c r="X52" s="225">
        <f t="shared" ca="1" si="9"/>
        <v>45901</v>
      </c>
      <c r="Y52" s="225">
        <f t="shared" ca="1" si="11"/>
        <v>45928</v>
      </c>
      <c r="Z52" s="226">
        <f ca="1">IF($D$4="自选机构",[1]!S_EST_SCORERATING_INST($E$6,K52-1,$F$4),[1]!S_EST_SCORERATING_INST($E$6,K52-1,D52))</f>
        <v>0</v>
      </c>
      <c r="AA52" s="226">
        <f t="shared" ca="1" si="3"/>
        <v>0</v>
      </c>
      <c r="AB52" s="224" t="str">
        <f t="shared" ca="1" si="10"/>
        <v/>
      </c>
      <c r="AC52" s="227" t="str">
        <f t="shared" ca="1" si="7"/>
        <v/>
      </c>
      <c r="AD52" s="219"/>
    </row>
    <row r="53" spans="3:30" ht="16.5">
      <c r="C53" s="7">
        <f t="shared" ca="1" si="5"/>
        <v>45900</v>
      </c>
      <c r="D53" s="211">
        <v>40</v>
      </c>
      <c r="E53" s="212" t="str">
        <f t="shared" si="8"/>
        <v>东吴证券</v>
      </c>
      <c r="F53" s="213" t="str">
        <f ca="1">IF($D$4="自选机构",[1]!S_EST_ESTANALYST($E$6,$E$8,C53,$F$4),[1]!S_EST_ESTANALYST($E$6,$E$8,$E$9,D53))</f>
        <v>孟祥文</v>
      </c>
      <c r="G53" s="214" t="str">
        <f ca="1">IF($D$4="自选机构",[1]!S_EST_ESTNEWTIME_INST($E$6,$E$8,C53,$F$4),[1]!S_EST_ESTNEWTIME_INST($E$6,$E$8,$E$9,D53))</f>
        <v>2025-10-21</v>
      </c>
      <c r="H53" s="215">
        <f ca="1">IF($D$4="自选机构",[1]!S_EST_SALES_INST($E$6,$E$8,C53,$F$4)/currencyunit,[1]!S_EST_SALES_INST($E$6,$E$8,$E$9,D53)/currencyunit)</f>
        <v>484923</v>
      </c>
      <c r="I53" s="215">
        <f ca="1">IF($D$4="自选机构",[1]!S_EST_NETPROFIT_INST($E$6,$E$8,C53,$F$4)/currencyunit,[1]!S_EST_NETPROFIT_INST($E$6,$E$8,$E$9,D53)/currencyunit)</f>
        <v>59017</v>
      </c>
      <c r="J53" s="213">
        <f ca="1">IF($D$4="自选机构",[1]!S_EST_EPS_INST($E$6,$E$8,C53,$F$4),[1]!S_EST_EPS_INST($E$6,$E$8,$E$9,D53))</f>
        <v>2.2200000000000002</v>
      </c>
      <c r="K53" s="214" t="str">
        <f ca="1">IF($D$4="自选机构",[1]!S_EST_NEWRATINGTIME_INST($E$6,Y53,$F$4),[1]!S_EST_NEWRATINGTIME_INST($E$6,$E$9,D53))</f>
        <v>2025-10-21</v>
      </c>
      <c r="L53" s="213" t="str">
        <f ca="1">IF($D$4="自选机构",[1]!S_EST_RATINGANALYST($E$6,Y53,$F$4),[1]!S_EST_RATINGANALYST($E$6,$E$9,D53))</f>
        <v>孟祥文</v>
      </c>
      <c r="M53" s="213" t="str">
        <f ca="1">IF($D$4="自选机构",[1]!S_EST_ORGRATING_INST($E$6,Y53,$F$4),[1]!S_EST_ORGRATING_INST($E$6,$E$9,D53))</f>
        <v>东吴证券_买入_1</v>
      </c>
      <c r="N53" s="215">
        <f ca="1">IF($D$4="自选机构",[1]!S_EST_SCORERATING_INST($E$6,Y53,$F$4),[1]!S_EST_SCORERATING_INST($E$6,$E$9,D53))</f>
        <v>1</v>
      </c>
      <c r="O53" s="213" t="str">
        <f ca="1">IF($D$4="自选机构",[1]!S_EST_STDRATING_INST($E$6,Y53,$F$4),[1]!S_EST_STDRATING_INST($E$6,$E$9,D53))</f>
        <v>买入</v>
      </c>
      <c r="P53" s="214" t="str">
        <f>IF($D$4="自选机构",[1]!S_EST_FRSTRATINGTIME_INST($E$6,$F$4),[1]!S_EST_FRSTRATINGTIME_INST($E$6,D53))</f>
        <v>2024-06-26</v>
      </c>
      <c r="Q53" s="153" t="str">
        <f t="shared" ca="1" si="1"/>
        <v/>
      </c>
      <c r="R53" s="153"/>
      <c r="S53" s="153"/>
      <c r="T53" s="153"/>
      <c r="U53" s="153"/>
      <c r="V53" s="153"/>
      <c r="W53" s="153"/>
      <c r="X53" s="216">
        <f t="shared" ca="1" si="9"/>
        <v>45951</v>
      </c>
      <c r="Y53" s="216">
        <f t="shared" ca="1" si="11"/>
        <v>-1</v>
      </c>
      <c r="Z53" s="217">
        <f ca="1">IF($D$4="自选机构",[1]!S_EST_SCORERATING_INST($E$6,K53-1,$F$4),[1]!S_EST_SCORERATING_INST($E$6,K53-1,D53))</f>
        <v>0</v>
      </c>
      <c r="AA53" s="217" t="str">
        <f t="shared" ca="1" si="3"/>
        <v>首次评级</v>
      </c>
      <c r="AB53" s="153" t="str">
        <f t="shared" ca="1" si="10"/>
        <v/>
      </c>
      <c r="AC53" s="218" t="str">
        <f t="shared" ca="1" si="7"/>
        <v/>
      </c>
      <c r="AD53" s="211"/>
    </row>
    <row r="54" spans="3:30" ht="16.5">
      <c r="C54" s="7">
        <f t="shared" ca="1" si="5"/>
        <v>45950</v>
      </c>
      <c r="D54" s="219">
        <v>41</v>
      </c>
      <c r="E54" s="220" t="str">
        <f t="shared" si="8"/>
        <v>东兴证券</v>
      </c>
      <c r="F54" s="221">
        <f ca="1">IF($D$4="自选机构",[1]!S_EST_ESTANALYST($E$6,$E$8,C54,$F$4),[1]!S_EST_ESTANALYST($E$6,$E$8,$E$9,D54))</f>
        <v>0</v>
      </c>
      <c r="G54" s="222">
        <f ca="1">IF($D$4="自选机构",[1]!S_EST_ESTNEWTIME_INST($E$6,$E$8,C54,$F$4),[1]!S_EST_ESTNEWTIME_INST($E$6,$E$8,$E$9,D54))</f>
        <v>0</v>
      </c>
      <c r="H54" s="223">
        <f ca="1">IF($D$4="自选机构",[1]!S_EST_SALES_INST($E$6,$E$8,C54,$F$4)/currencyunit,[1]!S_EST_SALES_INST($E$6,$E$8,$E$9,D54)/currencyunit)</f>
        <v>0</v>
      </c>
      <c r="I54" s="223">
        <f ca="1">IF($D$4="自选机构",[1]!S_EST_NETPROFIT_INST($E$6,$E$8,C54,$F$4)/currencyunit,[1]!S_EST_NETPROFIT_INST($E$6,$E$8,$E$9,D54)/currencyunit)</f>
        <v>0</v>
      </c>
      <c r="J54" s="221">
        <f ca="1">IF($D$4="自选机构",[1]!S_EST_EPS_INST($E$6,$E$8,C54,$F$4),[1]!S_EST_EPS_INST($E$6,$E$8,$E$9,D54))</f>
        <v>0</v>
      </c>
      <c r="K54" s="222">
        <f ca="1">IF($D$4="自选机构",[1]!S_EST_NEWRATINGTIME_INST($E$6,Y54,$F$4),[1]!S_EST_NEWRATINGTIME_INST($E$6,$E$9,D54))</f>
        <v>0</v>
      </c>
      <c r="L54" s="221">
        <f ca="1">IF($D$4="自选机构",[1]!S_EST_RATINGANALYST($E$6,Y54,$F$4),[1]!S_EST_RATINGANALYST($E$6,$E$9,D54))</f>
        <v>0</v>
      </c>
      <c r="M54" s="221">
        <f ca="1">IF($D$4="自选机构",[1]!S_EST_ORGRATING_INST($E$6,Y54,$F$4),[1]!S_EST_ORGRATING_INST($E$6,$E$9,D54))</f>
        <v>0</v>
      </c>
      <c r="N54" s="223">
        <f ca="1">IF($D$4="自选机构",[1]!S_EST_SCORERATING_INST($E$6,Y54,$F$4),[1]!S_EST_SCORERATING_INST($E$6,$E$9,D54))</f>
        <v>0</v>
      </c>
      <c r="O54" s="221">
        <f ca="1">IF($D$4="自选机构",[1]!S_EST_STDRATING_INST($E$6,Y54,$F$4),[1]!S_EST_STDRATING_INST($E$6,$E$9,D54))</f>
        <v>0</v>
      </c>
      <c r="P54" s="222" t="str">
        <f>IF($D$4="自选机构",[1]!S_EST_FRSTRATINGTIME_INST($E$6,$F$4),[1]!S_EST_FRSTRATINGTIME_INST($E$6,D54))</f>
        <v>2011-10-28</v>
      </c>
      <c r="Q54" s="224" t="str">
        <f t="shared" ca="1" si="1"/>
        <v/>
      </c>
      <c r="R54" s="224"/>
      <c r="S54" s="224"/>
      <c r="T54" s="224"/>
      <c r="U54" s="224"/>
      <c r="V54" s="224"/>
      <c r="W54" s="224"/>
      <c r="X54" s="225">
        <f t="shared" ca="1" si="9"/>
        <v>0</v>
      </c>
      <c r="Y54" s="225">
        <f t="shared" ca="1" si="11"/>
        <v>45950</v>
      </c>
      <c r="Z54" s="226">
        <f ca="1">IF($D$4="自选机构",[1]!S_EST_SCORERATING_INST($E$6,K54-1,$F$4),[1]!S_EST_SCORERATING_INST($E$6,K54-1,D54))</f>
        <v>0</v>
      </c>
      <c r="AA54" s="226">
        <f t="shared" ca="1" si="3"/>
        <v>0</v>
      </c>
      <c r="AB54" s="224" t="str">
        <f t="shared" ca="1" si="10"/>
        <v/>
      </c>
      <c r="AC54" s="227" t="str">
        <f t="shared" ca="1" si="7"/>
        <v/>
      </c>
      <c r="AD54" s="219"/>
    </row>
    <row r="55" spans="3:30" ht="16.5">
      <c r="C55" s="7">
        <f t="shared" ca="1" si="5"/>
        <v>-1</v>
      </c>
      <c r="D55" s="211">
        <v>42</v>
      </c>
      <c r="E55" s="212" t="str">
        <f t="shared" si="8"/>
        <v>方正证券</v>
      </c>
      <c r="F55" s="213">
        <f ca="1">IF($D$4="自选机构",[1]!S_EST_ESTANALYST($E$6,$E$8,C55,$F$4),[1]!S_EST_ESTANALYST($E$6,$E$8,$E$9,D55))</f>
        <v>0</v>
      </c>
      <c r="G55" s="214">
        <f ca="1">IF($D$4="自选机构",[1]!S_EST_ESTNEWTIME_INST($E$6,$E$8,C55,$F$4),[1]!S_EST_ESTNEWTIME_INST($E$6,$E$8,$E$9,D55))</f>
        <v>0</v>
      </c>
      <c r="H55" s="215">
        <f ca="1">IF($D$4="自选机构",[1]!S_EST_SALES_INST($E$6,$E$8,C55,$F$4)/currencyunit,[1]!S_EST_SALES_INST($E$6,$E$8,$E$9,D55)/currencyunit)</f>
        <v>0</v>
      </c>
      <c r="I55" s="215">
        <f ca="1">IF($D$4="自选机构",[1]!S_EST_NETPROFIT_INST($E$6,$E$8,C55,$F$4)/currencyunit,[1]!S_EST_NETPROFIT_INST($E$6,$E$8,$E$9,D55)/currencyunit)</f>
        <v>0</v>
      </c>
      <c r="J55" s="213">
        <f ca="1">IF($D$4="自选机构",[1]!S_EST_EPS_INST($E$6,$E$8,C55,$F$4),[1]!S_EST_EPS_INST($E$6,$E$8,$E$9,D55))</f>
        <v>0</v>
      </c>
      <c r="K55" s="214">
        <f ca="1">IF($D$4="自选机构",[1]!S_EST_NEWRATINGTIME_INST($E$6,Y55,$F$4),[1]!S_EST_NEWRATINGTIME_INST($E$6,$E$9,D55))</f>
        <v>0</v>
      </c>
      <c r="L55" s="213">
        <f ca="1">IF($D$4="自选机构",[1]!S_EST_RATINGANALYST($E$6,Y55,$F$4),[1]!S_EST_RATINGANALYST($E$6,$E$9,D55))</f>
        <v>0</v>
      </c>
      <c r="M55" s="213">
        <f ca="1">IF($D$4="自选机构",[1]!S_EST_ORGRATING_INST($E$6,Y55,$F$4),[1]!S_EST_ORGRATING_INST($E$6,$E$9,D55))</f>
        <v>0</v>
      </c>
      <c r="N55" s="215">
        <f ca="1">IF($D$4="自选机构",[1]!S_EST_SCORERATING_INST($E$6,Y55,$F$4),[1]!S_EST_SCORERATING_INST($E$6,$E$9,D55))</f>
        <v>0</v>
      </c>
      <c r="O55" s="213">
        <f ca="1">IF($D$4="自选机构",[1]!S_EST_STDRATING_INST($E$6,Y55,$F$4),[1]!S_EST_STDRATING_INST($E$6,$E$9,D55))</f>
        <v>0</v>
      </c>
      <c r="P55" s="214" t="str">
        <f>IF($D$4="自选机构",[1]!S_EST_FRSTRATINGTIME_INST($E$6,$F$4),[1]!S_EST_FRSTRATINGTIME_INST($E$6,D55))</f>
        <v>2010-05-07</v>
      </c>
      <c r="Q55" s="153" t="str">
        <f t="shared" ca="1" si="1"/>
        <v/>
      </c>
      <c r="R55" s="153"/>
      <c r="S55" s="153"/>
      <c r="T55" s="153"/>
      <c r="U55" s="153"/>
      <c r="V55" s="153"/>
      <c r="W55" s="153"/>
      <c r="X55" s="216">
        <f t="shared" ca="1" si="9"/>
        <v>0</v>
      </c>
      <c r="Y55" s="216">
        <f t="shared" ca="1" si="11"/>
        <v>-1</v>
      </c>
      <c r="Z55" s="217">
        <f ca="1">IF($D$4="自选机构",[1]!S_EST_SCORERATING_INST($E$6,K55-1,$F$4),[1]!S_EST_SCORERATING_INST($E$6,K55-1,D55))</f>
        <v>0</v>
      </c>
      <c r="AA55" s="217">
        <f t="shared" ca="1" si="3"/>
        <v>0</v>
      </c>
      <c r="AB55" s="153" t="str">
        <f t="shared" ca="1" si="10"/>
        <v/>
      </c>
      <c r="AC55" s="218" t="str">
        <f t="shared" ca="1" si="7"/>
        <v/>
      </c>
      <c r="AD55" s="211"/>
    </row>
    <row r="56" spans="3:30" ht="16.5">
      <c r="C56" s="7">
        <f t="shared" ca="1" si="5"/>
        <v>-1</v>
      </c>
      <c r="D56" s="219">
        <v>43</v>
      </c>
      <c r="E56" s="220" t="str">
        <f t="shared" si="8"/>
        <v>广州证券</v>
      </c>
      <c r="F56" s="221">
        <f ca="1">IF($D$4="自选机构",[1]!S_EST_ESTANALYST($E$6,$E$8,C56,$F$4),[1]!S_EST_ESTANALYST($E$6,$E$8,$E$9,D56))</f>
        <v>0</v>
      </c>
      <c r="G56" s="222">
        <f ca="1">IF($D$4="自选机构",[1]!S_EST_ESTNEWTIME_INST($E$6,$E$8,C56,$F$4),[1]!S_EST_ESTNEWTIME_INST($E$6,$E$8,$E$9,D56))</f>
        <v>0</v>
      </c>
      <c r="H56" s="223">
        <f ca="1">IF($D$4="自选机构",[1]!S_EST_SALES_INST($E$6,$E$8,C56,$F$4)/currencyunit,[1]!S_EST_SALES_INST($E$6,$E$8,$E$9,D56)/currencyunit)</f>
        <v>0</v>
      </c>
      <c r="I56" s="223">
        <f ca="1">IF($D$4="自选机构",[1]!S_EST_NETPROFIT_INST($E$6,$E$8,C56,$F$4)/currencyunit,[1]!S_EST_NETPROFIT_INST($E$6,$E$8,$E$9,D56)/currencyunit)</f>
        <v>0</v>
      </c>
      <c r="J56" s="221">
        <f ca="1">IF($D$4="自选机构",[1]!S_EST_EPS_INST($E$6,$E$8,C56,$F$4),[1]!S_EST_EPS_INST($E$6,$E$8,$E$9,D56))</f>
        <v>0</v>
      </c>
      <c r="K56" s="222">
        <f ca="1">IF($D$4="自选机构",[1]!S_EST_NEWRATINGTIME_INST($E$6,Y56,$F$4),[1]!S_EST_NEWRATINGTIME_INST($E$6,$E$9,D56))</f>
        <v>0</v>
      </c>
      <c r="L56" s="221">
        <f ca="1">IF($D$4="自选机构",[1]!S_EST_RATINGANALYST($E$6,Y56,$F$4),[1]!S_EST_RATINGANALYST($E$6,$E$9,D56))</f>
        <v>0</v>
      </c>
      <c r="M56" s="221">
        <f ca="1">IF($D$4="自选机构",[1]!S_EST_ORGRATING_INST($E$6,Y56,$F$4),[1]!S_EST_ORGRATING_INST($E$6,$E$9,D56))</f>
        <v>0</v>
      </c>
      <c r="N56" s="223">
        <f ca="1">IF($D$4="自选机构",[1]!S_EST_SCORERATING_INST($E$6,Y56,$F$4),[1]!S_EST_SCORERATING_INST($E$6,$E$9,D56))</f>
        <v>0</v>
      </c>
      <c r="O56" s="221">
        <f ca="1">IF($D$4="自选机构",[1]!S_EST_STDRATING_INST($E$6,Y56,$F$4),[1]!S_EST_STDRATING_INST($E$6,$E$9,D56))</f>
        <v>0</v>
      </c>
      <c r="P56" s="222">
        <f>IF($D$4="自选机构",[1]!S_EST_FRSTRATINGTIME_INST($E$6,$F$4),[1]!S_EST_FRSTRATINGTIME_INST($E$6,D56))</f>
        <v>0</v>
      </c>
      <c r="Q56" s="224" t="str">
        <f t="shared" ca="1" si="1"/>
        <v/>
      </c>
      <c r="R56" s="224"/>
      <c r="S56" s="224"/>
      <c r="T56" s="224"/>
      <c r="U56" s="224"/>
      <c r="V56" s="224"/>
      <c r="W56" s="224"/>
      <c r="X56" s="225">
        <f t="shared" ca="1" si="9"/>
        <v>0</v>
      </c>
      <c r="Y56" s="225">
        <f t="shared" ca="1" si="11"/>
        <v>-1</v>
      </c>
      <c r="Z56" s="226">
        <f ca="1">IF($D$4="自选机构",[1]!S_EST_SCORERATING_INST($E$6,K56-1,$F$4),[1]!S_EST_SCORERATING_INST($E$6,K56-1,D56))</f>
        <v>0</v>
      </c>
      <c r="AA56" s="226">
        <f t="shared" ca="1" si="3"/>
        <v>0</v>
      </c>
      <c r="AB56" s="224" t="str">
        <f t="shared" ca="1" si="10"/>
        <v/>
      </c>
      <c r="AC56" s="227" t="str">
        <f t="shared" ca="1" si="7"/>
        <v/>
      </c>
      <c r="AD56" s="219"/>
    </row>
    <row r="57" spans="3:30" ht="16.5">
      <c r="C57" s="7">
        <f t="shared" ca="1" si="5"/>
        <v>-1</v>
      </c>
      <c r="D57" s="211">
        <v>44</v>
      </c>
      <c r="E57" s="212" t="str">
        <f t="shared" si="8"/>
        <v>国都证券</v>
      </c>
      <c r="F57" s="213">
        <f ca="1">IF($D$4="自选机构",[1]!S_EST_ESTANALYST($E$6,$E$8,C57,$F$4),[1]!S_EST_ESTANALYST($E$6,$E$8,$E$9,D57))</f>
        <v>0</v>
      </c>
      <c r="G57" s="214">
        <f ca="1">IF($D$4="自选机构",[1]!S_EST_ESTNEWTIME_INST($E$6,$E$8,C57,$F$4),[1]!S_EST_ESTNEWTIME_INST($E$6,$E$8,$E$9,D57))</f>
        <v>0</v>
      </c>
      <c r="H57" s="215">
        <f ca="1">IF($D$4="自选机构",[1]!S_EST_SALES_INST($E$6,$E$8,C57,$F$4)/currencyunit,[1]!S_EST_SALES_INST($E$6,$E$8,$E$9,D57)/currencyunit)</f>
        <v>0</v>
      </c>
      <c r="I57" s="215">
        <f ca="1">IF($D$4="自选机构",[1]!S_EST_NETPROFIT_INST($E$6,$E$8,C57,$F$4)/currencyunit,[1]!S_EST_NETPROFIT_INST($E$6,$E$8,$E$9,D57)/currencyunit)</f>
        <v>0</v>
      </c>
      <c r="J57" s="213">
        <f ca="1">IF($D$4="自选机构",[1]!S_EST_EPS_INST($E$6,$E$8,C57,$F$4),[1]!S_EST_EPS_INST($E$6,$E$8,$E$9,D57))</f>
        <v>0</v>
      </c>
      <c r="K57" s="214">
        <f ca="1">IF($D$4="自选机构",[1]!S_EST_NEWRATINGTIME_INST($E$6,Y57,$F$4),[1]!S_EST_NEWRATINGTIME_INST($E$6,$E$9,D57))</f>
        <v>0</v>
      </c>
      <c r="L57" s="213">
        <f ca="1">IF($D$4="自选机构",[1]!S_EST_RATINGANALYST($E$6,Y57,$F$4),[1]!S_EST_RATINGANALYST($E$6,$E$9,D57))</f>
        <v>0</v>
      </c>
      <c r="M57" s="213">
        <f ca="1">IF($D$4="自选机构",[1]!S_EST_ORGRATING_INST($E$6,Y57,$F$4),[1]!S_EST_ORGRATING_INST($E$6,$E$9,D57))</f>
        <v>0</v>
      </c>
      <c r="N57" s="215">
        <f ca="1">IF($D$4="自选机构",[1]!S_EST_SCORERATING_INST($E$6,Y57,$F$4),[1]!S_EST_SCORERATING_INST($E$6,$E$9,D57))</f>
        <v>0</v>
      </c>
      <c r="O57" s="213">
        <f ca="1">IF($D$4="自选机构",[1]!S_EST_STDRATING_INST($E$6,Y57,$F$4),[1]!S_EST_STDRATING_INST($E$6,$E$9,D57))</f>
        <v>0</v>
      </c>
      <c r="P57" s="214">
        <f>IF($D$4="自选机构",[1]!S_EST_FRSTRATINGTIME_INST($E$6,$F$4),[1]!S_EST_FRSTRATINGTIME_INST($E$6,D57))</f>
        <v>0</v>
      </c>
      <c r="Q57" s="153" t="str">
        <f t="shared" ca="1" si="1"/>
        <v/>
      </c>
      <c r="R57" s="153"/>
      <c r="S57" s="153"/>
      <c r="T57" s="153"/>
      <c r="U57" s="153"/>
      <c r="V57" s="153"/>
      <c r="W57" s="153"/>
      <c r="X57" s="216">
        <f t="shared" ca="1" si="9"/>
        <v>0</v>
      </c>
      <c r="Y57" s="216">
        <f t="shared" ca="1" si="11"/>
        <v>-1</v>
      </c>
      <c r="Z57" s="217">
        <f ca="1">IF($D$4="自选机构",[1]!S_EST_SCORERATING_INST($E$6,K57-1,$F$4),[1]!S_EST_SCORERATING_INST($E$6,K57-1,D57))</f>
        <v>0</v>
      </c>
      <c r="AA57" s="217">
        <f t="shared" ca="1" si="3"/>
        <v>0</v>
      </c>
      <c r="AB57" s="153" t="str">
        <f t="shared" ca="1" si="10"/>
        <v/>
      </c>
      <c r="AC57" s="218" t="str">
        <f t="shared" ca="1" si="7"/>
        <v/>
      </c>
      <c r="AD57" s="211"/>
    </row>
    <row r="58" spans="3:30" ht="16.5">
      <c r="C58" s="7">
        <f t="shared" ca="1" si="5"/>
        <v>-1</v>
      </c>
      <c r="D58" s="219">
        <v>45</v>
      </c>
      <c r="E58" s="220" t="str">
        <f t="shared" si="8"/>
        <v>国海证券</v>
      </c>
      <c r="F58" s="221">
        <f ca="1">IF($D$4="自选机构",[1]!S_EST_ESTANALYST($E$6,$E$8,C58,$F$4),[1]!S_EST_ESTANALYST($E$6,$E$8,$E$9,D58))</f>
        <v>0</v>
      </c>
      <c r="G58" s="222">
        <f ca="1">IF($D$4="自选机构",[1]!S_EST_ESTNEWTIME_INST($E$6,$E$8,C58,$F$4),[1]!S_EST_ESTNEWTIME_INST($E$6,$E$8,$E$9,D58))</f>
        <v>0</v>
      </c>
      <c r="H58" s="223">
        <f ca="1">IF($D$4="自选机构",[1]!S_EST_SALES_INST($E$6,$E$8,C58,$F$4)/currencyunit,[1]!S_EST_SALES_INST($E$6,$E$8,$E$9,D58)/currencyunit)</f>
        <v>0</v>
      </c>
      <c r="I58" s="223">
        <f ca="1">IF($D$4="自选机构",[1]!S_EST_NETPROFIT_INST($E$6,$E$8,C58,$F$4)/currencyunit,[1]!S_EST_NETPROFIT_INST($E$6,$E$8,$E$9,D58)/currencyunit)</f>
        <v>0</v>
      </c>
      <c r="J58" s="221">
        <f ca="1">IF($D$4="自选机构",[1]!S_EST_EPS_INST($E$6,$E$8,C58,$F$4),[1]!S_EST_EPS_INST($E$6,$E$8,$E$9,D58))</f>
        <v>0</v>
      </c>
      <c r="K58" s="222">
        <f ca="1">IF($D$4="自选机构",[1]!S_EST_NEWRATINGTIME_INST($E$6,Y58,$F$4),[1]!S_EST_NEWRATINGTIME_INST($E$6,$E$9,D58))</f>
        <v>0</v>
      </c>
      <c r="L58" s="221">
        <f ca="1">IF($D$4="自选机构",[1]!S_EST_RATINGANALYST($E$6,Y58,$F$4),[1]!S_EST_RATINGANALYST($E$6,$E$9,D58))</f>
        <v>0</v>
      </c>
      <c r="M58" s="221">
        <f ca="1">IF($D$4="自选机构",[1]!S_EST_ORGRATING_INST($E$6,Y58,$F$4),[1]!S_EST_ORGRATING_INST($E$6,$E$9,D58))</f>
        <v>0</v>
      </c>
      <c r="N58" s="223">
        <f ca="1">IF($D$4="自选机构",[1]!S_EST_SCORERATING_INST($E$6,Y58,$F$4),[1]!S_EST_SCORERATING_INST($E$6,$E$9,D58))</f>
        <v>0</v>
      </c>
      <c r="O58" s="221">
        <f ca="1">IF($D$4="自选机构",[1]!S_EST_STDRATING_INST($E$6,Y58,$F$4),[1]!S_EST_STDRATING_INST($E$6,$E$9,D58))</f>
        <v>0</v>
      </c>
      <c r="P58" s="222" t="str">
        <f>IF($D$4="自选机构",[1]!S_EST_FRSTRATINGTIME_INST($E$6,$F$4),[1]!S_EST_FRSTRATINGTIME_INST($E$6,D58))</f>
        <v>2008-09-02</v>
      </c>
      <c r="Q58" s="224" t="str">
        <f t="shared" ca="1" si="1"/>
        <v/>
      </c>
      <c r="R58" s="224"/>
      <c r="S58" s="224"/>
      <c r="T58" s="224"/>
      <c r="U58" s="224"/>
      <c r="V58" s="224"/>
      <c r="W58" s="224"/>
      <c r="X58" s="225">
        <f t="shared" ca="1" si="9"/>
        <v>0</v>
      </c>
      <c r="Y58" s="225">
        <f t="shared" ca="1" si="11"/>
        <v>-1</v>
      </c>
      <c r="Z58" s="226">
        <f ca="1">IF($D$4="自选机构",[1]!S_EST_SCORERATING_INST($E$6,K58-1,$F$4),[1]!S_EST_SCORERATING_INST($E$6,K58-1,D58))</f>
        <v>0</v>
      </c>
      <c r="AA58" s="226">
        <f t="shared" ca="1" si="3"/>
        <v>0</v>
      </c>
      <c r="AB58" s="224" t="str">
        <f t="shared" ca="1" si="10"/>
        <v/>
      </c>
      <c r="AC58" s="227" t="str">
        <f t="shared" ca="1" si="7"/>
        <v/>
      </c>
      <c r="AD58" s="219"/>
    </row>
    <row r="59" spans="3:30" ht="16.5">
      <c r="C59" s="7">
        <f t="shared" ca="1" si="5"/>
        <v>-1</v>
      </c>
      <c r="D59" s="211">
        <v>46</v>
      </c>
      <c r="E59" s="212" t="str">
        <f t="shared" si="8"/>
        <v>国联证券</v>
      </c>
      <c r="F59" s="213" t="str">
        <f ca="1">IF($D$4="自选机构",[1]!S_EST_ESTANALYST($E$6,$E$8,C59,$F$4),[1]!S_EST_ESTANALYST($E$6,$E$8,$E$9,D59))</f>
        <v>丁士涛</v>
      </c>
      <c r="G59" s="214" t="str">
        <f ca="1">IF($D$4="自选机构",[1]!S_EST_ESTNEWTIME_INST($E$6,$E$8,C59,$F$4),[1]!S_EST_ESTNEWTIME_INST($E$6,$E$8,$E$9,D59))</f>
        <v>2025-08-29</v>
      </c>
      <c r="H59" s="215">
        <f ca="1">IF($D$4="自选机构",[1]!S_EST_SALES_INST($E$6,$E$8,C59,$F$4)/currencyunit,[1]!S_EST_SALES_INST($E$6,$E$8,$E$9,D59)/currencyunit)</f>
        <v>364153</v>
      </c>
      <c r="I59" s="215">
        <f ca="1">IF($D$4="自选机构",[1]!S_EST_NETPROFIT_INST($E$6,$E$8,C59,$F$4)/currencyunit,[1]!S_EST_NETPROFIT_INST($E$6,$E$8,$E$9,D59)/currencyunit)</f>
        <v>51971</v>
      </c>
      <c r="J59" s="213">
        <f ca="1">IF($D$4="自选机构",[1]!S_EST_EPS_INST($E$6,$E$8,C59,$F$4),[1]!S_EST_EPS_INST($E$6,$E$8,$E$9,D59))</f>
        <v>1.96</v>
      </c>
      <c r="K59" s="214">
        <f ca="1">IF($D$4="自选机构",[1]!S_EST_NEWRATINGTIME_INST($E$6,Y59,$F$4),[1]!S_EST_NEWRATINGTIME_INST($E$6,$E$9,D59))</f>
        <v>0</v>
      </c>
      <c r="L59" s="213">
        <f ca="1">IF($D$4="自选机构",[1]!S_EST_RATINGANALYST($E$6,Y59,$F$4),[1]!S_EST_RATINGANALYST($E$6,$E$9,D59))</f>
        <v>0</v>
      </c>
      <c r="M59" s="213">
        <f ca="1">IF($D$4="自选机构",[1]!S_EST_ORGRATING_INST($E$6,Y59,$F$4),[1]!S_EST_ORGRATING_INST($E$6,$E$9,D59))</f>
        <v>0</v>
      </c>
      <c r="N59" s="215">
        <f ca="1">IF($D$4="自选机构",[1]!S_EST_SCORERATING_INST($E$6,Y59,$F$4),[1]!S_EST_SCORERATING_INST($E$6,$E$9,D59))</f>
        <v>0</v>
      </c>
      <c r="O59" s="213">
        <f ca="1">IF($D$4="自选机构",[1]!S_EST_STDRATING_INST($E$6,Y59,$F$4),[1]!S_EST_STDRATING_INST($E$6,$E$9,D59))</f>
        <v>0</v>
      </c>
      <c r="P59" s="214" t="str">
        <f>IF($D$4="自选机构",[1]!S_EST_FRSTRATINGTIME_INST($E$6,$F$4),[1]!S_EST_FRSTRATINGTIME_INST($E$6,D59))</f>
        <v>2009-04-22</v>
      </c>
      <c r="Q59" s="153" t="str">
        <f t="shared" ca="1" si="1"/>
        <v/>
      </c>
      <c r="R59" s="153"/>
      <c r="S59" s="153"/>
      <c r="T59" s="153"/>
      <c r="U59" s="153"/>
      <c r="V59" s="153"/>
      <c r="W59" s="153"/>
      <c r="X59" s="216">
        <f t="shared" ca="1" si="9"/>
        <v>45898</v>
      </c>
      <c r="Y59" s="216">
        <f t="shared" ca="1" si="11"/>
        <v>-1</v>
      </c>
      <c r="Z59" s="217">
        <f ca="1">IF($D$4="自选机构",[1]!S_EST_SCORERATING_INST($E$6,K59-1,$F$4),[1]!S_EST_SCORERATING_INST($E$6,K59-1,D59))</f>
        <v>0</v>
      </c>
      <c r="AA59" s="217">
        <f t="shared" ca="1" si="3"/>
        <v>0</v>
      </c>
      <c r="AB59" s="153" t="str">
        <f t="shared" ca="1" si="10"/>
        <v/>
      </c>
      <c r="AC59" s="218" t="str">
        <f t="shared" ca="1" si="7"/>
        <v/>
      </c>
      <c r="AD59" s="211"/>
    </row>
    <row r="60" spans="3:30" ht="16.5">
      <c r="C60" s="7">
        <f t="shared" ca="1" si="5"/>
        <v>45897</v>
      </c>
      <c r="D60" s="219">
        <v>47</v>
      </c>
      <c r="E60" s="220" t="str">
        <f t="shared" si="8"/>
        <v>国盛证券</v>
      </c>
      <c r="F60" s="221" t="str">
        <f ca="1">IF($D$4="自选机构",[1]!S_EST_ESTANALYST($E$6,$E$8,C60,$F$4),[1]!S_EST_ESTANALYST($E$6,$E$8,$E$9,D60))</f>
        <v>张航</v>
      </c>
      <c r="G60" s="222" t="str">
        <f ca="1">IF($D$4="自选机构",[1]!S_EST_ESTNEWTIME_INST($E$6,$E$8,C60,$F$4),[1]!S_EST_ESTNEWTIME_INST($E$6,$E$8,$E$9,D60))</f>
        <v>2025-10-20</v>
      </c>
      <c r="H60" s="223">
        <f ca="1">IF($D$4="自选机构",[1]!S_EST_SALES_INST($E$6,$E$8,C60,$F$4)/currencyunit,[1]!S_EST_SALES_INST($E$6,$E$8,$E$9,D60)/currencyunit)</f>
        <v>412000</v>
      </c>
      <c r="I60" s="223">
        <f ca="1">IF($D$4="自选机构",[1]!S_EST_NETPROFIT_INST($E$6,$E$8,C60,$F$4)/currencyunit,[1]!S_EST_NETPROFIT_INST($E$6,$E$8,$E$9,D60)/currencyunit)</f>
        <v>62700</v>
      </c>
      <c r="J60" s="221">
        <f ca="1">IF($D$4="自选机构",[1]!S_EST_EPS_INST($E$6,$E$8,C60,$F$4),[1]!S_EST_EPS_INST($E$6,$E$8,$E$9,D60))</f>
        <v>2.36</v>
      </c>
      <c r="K60" s="222" t="str">
        <f ca="1">IF($D$4="自选机构",[1]!S_EST_NEWRATINGTIME_INST($E$6,Y60,$F$4),[1]!S_EST_NEWRATINGTIME_INST($E$6,$E$9,D60))</f>
        <v>2025-10-20</v>
      </c>
      <c r="L60" s="221" t="str">
        <f ca="1">IF($D$4="自选机构",[1]!S_EST_RATINGANALYST($E$6,Y60,$F$4),[1]!S_EST_RATINGANALYST($E$6,$E$9,D60))</f>
        <v>张航</v>
      </c>
      <c r="M60" s="221" t="str">
        <f ca="1">IF($D$4="自选机构",[1]!S_EST_ORGRATING_INST($E$6,Y60,$F$4),[1]!S_EST_ORGRATING_INST($E$6,$E$9,D60))</f>
        <v>国盛证券_买入_1</v>
      </c>
      <c r="N60" s="223">
        <f ca="1">IF($D$4="自选机构",[1]!S_EST_SCORERATING_INST($E$6,Y60,$F$4),[1]!S_EST_SCORERATING_INST($E$6,$E$9,D60))</f>
        <v>1</v>
      </c>
      <c r="O60" s="221" t="str">
        <f ca="1">IF($D$4="自选机构",[1]!S_EST_STDRATING_INST($E$6,Y60,$F$4),[1]!S_EST_STDRATING_INST($E$6,$E$9,D60))</f>
        <v>买入</v>
      </c>
      <c r="P60" s="222" t="str">
        <f>IF($D$4="自选机构",[1]!S_EST_FRSTRATINGTIME_INST($E$6,$F$4),[1]!S_EST_FRSTRATINGTIME_INST($E$6,D60))</f>
        <v>2025-01-16</v>
      </c>
      <c r="Q60" s="224" t="str">
        <f t="shared" ca="1" si="1"/>
        <v/>
      </c>
      <c r="R60" s="224"/>
      <c r="S60" s="224"/>
      <c r="T60" s="224"/>
      <c r="U60" s="224"/>
      <c r="V60" s="224"/>
      <c r="W60" s="224"/>
      <c r="X60" s="225">
        <f t="shared" ca="1" si="9"/>
        <v>45950</v>
      </c>
      <c r="Y60" s="225">
        <f t="shared" ca="1" si="11"/>
        <v>-1</v>
      </c>
      <c r="Z60" s="226">
        <f ca="1">IF($D$4="自选机构",[1]!S_EST_SCORERATING_INST($E$6,K60-1,$F$4),[1]!S_EST_SCORERATING_INST($E$6,K60-1,D60))</f>
        <v>1</v>
      </c>
      <c r="AA60" s="226" t="str">
        <f t="shared" ca="1" si="3"/>
        <v>评级不变</v>
      </c>
      <c r="AB60" s="224" t="str">
        <f t="shared" ca="1" si="10"/>
        <v/>
      </c>
      <c r="AC60" s="227">
        <f t="shared" ca="1" si="7"/>
        <v>0</v>
      </c>
      <c r="AD60" s="219"/>
    </row>
    <row r="61" spans="3:30" ht="16.5">
      <c r="C61" s="7">
        <f t="shared" ca="1" si="5"/>
        <v>45949</v>
      </c>
      <c r="D61" s="211">
        <v>48</v>
      </c>
      <c r="E61" s="212" t="str">
        <f t="shared" si="8"/>
        <v>恒泰证券</v>
      </c>
      <c r="F61" s="213">
        <f ca="1">IF($D$4="自选机构",[1]!S_EST_ESTANALYST($E$6,$E$8,C61,$F$4),[1]!S_EST_ESTANALYST($E$6,$E$8,$E$9,D61))</f>
        <v>0</v>
      </c>
      <c r="G61" s="214">
        <f ca="1">IF($D$4="自选机构",[1]!S_EST_ESTNEWTIME_INST($E$6,$E$8,C61,$F$4),[1]!S_EST_ESTNEWTIME_INST($E$6,$E$8,$E$9,D61))</f>
        <v>0</v>
      </c>
      <c r="H61" s="215">
        <f ca="1">IF($D$4="自选机构",[1]!S_EST_SALES_INST($E$6,$E$8,C61,$F$4)/currencyunit,[1]!S_EST_SALES_INST($E$6,$E$8,$E$9,D61)/currencyunit)</f>
        <v>0</v>
      </c>
      <c r="I61" s="215">
        <f ca="1">IF($D$4="自选机构",[1]!S_EST_NETPROFIT_INST($E$6,$E$8,C61,$F$4)/currencyunit,[1]!S_EST_NETPROFIT_INST($E$6,$E$8,$E$9,D61)/currencyunit)</f>
        <v>0</v>
      </c>
      <c r="J61" s="213">
        <f ca="1">IF($D$4="自选机构",[1]!S_EST_EPS_INST($E$6,$E$8,C61,$F$4),[1]!S_EST_EPS_INST($E$6,$E$8,$E$9,D61))</f>
        <v>0</v>
      </c>
      <c r="K61" s="214">
        <f ca="1">IF($D$4="自选机构",[1]!S_EST_NEWRATINGTIME_INST($E$6,Y61,$F$4),[1]!S_EST_NEWRATINGTIME_INST($E$6,$E$9,D61))</f>
        <v>0</v>
      </c>
      <c r="L61" s="213">
        <f ca="1">IF($D$4="自选机构",[1]!S_EST_RATINGANALYST($E$6,Y61,$F$4),[1]!S_EST_RATINGANALYST($E$6,$E$9,D61))</f>
        <v>0</v>
      </c>
      <c r="M61" s="213">
        <f ca="1">IF($D$4="自选机构",[1]!S_EST_ORGRATING_INST($E$6,Y61,$F$4),[1]!S_EST_ORGRATING_INST($E$6,$E$9,D61))</f>
        <v>0</v>
      </c>
      <c r="N61" s="215">
        <f ca="1">IF($D$4="自选机构",[1]!S_EST_SCORERATING_INST($E$6,Y61,$F$4),[1]!S_EST_SCORERATING_INST($E$6,$E$9,D61))</f>
        <v>0</v>
      </c>
      <c r="O61" s="213">
        <f ca="1">IF($D$4="自选机构",[1]!S_EST_STDRATING_INST($E$6,Y61,$F$4),[1]!S_EST_STDRATING_INST($E$6,$E$9,D61))</f>
        <v>0</v>
      </c>
      <c r="P61" s="214">
        <f>IF($D$4="自选机构",[1]!S_EST_FRSTRATINGTIME_INST($E$6,$F$4),[1]!S_EST_FRSTRATINGTIME_INST($E$6,D61))</f>
        <v>0</v>
      </c>
      <c r="Q61" s="153" t="str">
        <f t="shared" ca="1" si="1"/>
        <v/>
      </c>
      <c r="R61" s="153"/>
      <c r="S61" s="153"/>
      <c r="T61" s="153"/>
      <c r="U61" s="153"/>
      <c r="V61" s="153"/>
      <c r="W61" s="153"/>
      <c r="X61" s="216">
        <f t="shared" ca="1" si="9"/>
        <v>0</v>
      </c>
      <c r="Y61" s="216">
        <f t="shared" ca="1" si="11"/>
        <v>45949</v>
      </c>
      <c r="Z61" s="217">
        <f ca="1">IF($D$4="自选机构",[1]!S_EST_SCORERATING_INST($E$6,K61-1,$F$4),[1]!S_EST_SCORERATING_INST($E$6,K61-1,D61))</f>
        <v>0</v>
      </c>
      <c r="AA61" s="217">
        <f t="shared" ca="1" si="3"/>
        <v>0</v>
      </c>
      <c r="AB61" s="153" t="str">
        <f t="shared" ca="1" si="10"/>
        <v/>
      </c>
      <c r="AC61" s="218" t="str">
        <f t="shared" ca="1" si="7"/>
        <v/>
      </c>
      <c r="AD61" s="211"/>
    </row>
    <row r="62" spans="3:30" ht="16.5">
      <c r="C62" s="7">
        <f t="shared" ca="1" si="5"/>
        <v>-1</v>
      </c>
      <c r="D62" s="219">
        <v>49</v>
      </c>
      <c r="E62" s="220" t="str">
        <f t="shared" si="8"/>
        <v>华安证券</v>
      </c>
      <c r="F62" s="221" t="str">
        <f ca="1">IF($D$4="自选机构",[1]!S_EST_ESTANALYST($E$6,$E$8,C62,$F$4),[1]!S_EST_ESTANALYST($E$6,$E$8,$E$9,D62))</f>
        <v>黄玺</v>
      </c>
      <c r="G62" s="222" t="str">
        <f ca="1">IF($D$4="自选机构",[1]!S_EST_ESTNEWTIME_INST($E$6,$E$8,C62,$F$4),[1]!S_EST_ESTNEWTIME_INST($E$6,$E$8,$E$9,D62))</f>
        <v>2025-08-31</v>
      </c>
      <c r="H62" s="223">
        <f ca="1">IF($D$4="自选机构",[1]!S_EST_SALES_INST($E$6,$E$8,C62,$F$4)/currencyunit,[1]!S_EST_SALES_INST($E$6,$E$8,$E$9,D62)/currencyunit)</f>
        <v>368470</v>
      </c>
      <c r="I62" s="223">
        <f ca="1">IF($D$4="自选机构",[1]!S_EST_NETPROFIT_INST($E$6,$E$8,C62,$F$4)/currencyunit,[1]!S_EST_NETPROFIT_INST($E$6,$E$8,$E$9,D62)/currencyunit)</f>
        <v>50478</v>
      </c>
      <c r="J62" s="221">
        <f ca="1">IF($D$4="自选机构",[1]!S_EST_EPS_INST($E$6,$E$8,C62,$F$4),[1]!S_EST_EPS_INST($E$6,$E$8,$E$9,D62))</f>
        <v>1.9</v>
      </c>
      <c r="K62" s="222">
        <f ca="1">IF($D$4="自选机构",[1]!S_EST_NEWRATINGTIME_INST($E$6,Y62,$F$4),[1]!S_EST_NEWRATINGTIME_INST($E$6,$E$9,D62))</f>
        <v>0</v>
      </c>
      <c r="L62" s="221">
        <f ca="1">IF($D$4="自选机构",[1]!S_EST_RATINGANALYST($E$6,Y62,$F$4),[1]!S_EST_RATINGANALYST($E$6,$E$9,D62))</f>
        <v>0</v>
      </c>
      <c r="M62" s="221">
        <f ca="1">IF($D$4="自选机构",[1]!S_EST_ORGRATING_INST($E$6,Y62,$F$4),[1]!S_EST_ORGRATING_INST($E$6,$E$9,D62))</f>
        <v>0</v>
      </c>
      <c r="N62" s="223">
        <f ca="1">IF($D$4="自选机构",[1]!S_EST_SCORERATING_INST($E$6,Y62,$F$4),[1]!S_EST_SCORERATING_INST($E$6,$E$9,D62))</f>
        <v>0</v>
      </c>
      <c r="O62" s="221">
        <f ca="1">IF($D$4="自选机构",[1]!S_EST_STDRATING_INST($E$6,Y62,$F$4),[1]!S_EST_STDRATING_INST($E$6,$E$9,D62))</f>
        <v>0</v>
      </c>
      <c r="P62" s="222" t="str">
        <f>IF($D$4="自选机构",[1]!S_EST_FRSTRATINGTIME_INST($E$6,$F$4),[1]!S_EST_FRSTRATINGTIME_INST($E$6,D62))</f>
        <v>2020-08-20</v>
      </c>
      <c r="Q62" s="224" t="str">
        <f t="shared" ca="1" si="1"/>
        <v/>
      </c>
      <c r="R62" s="224"/>
      <c r="S62" s="224"/>
      <c r="T62" s="224"/>
      <c r="U62" s="224"/>
      <c r="V62" s="224"/>
      <c r="W62" s="224"/>
      <c r="X62" s="225">
        <f t="shared" ca="1" si="9"/>
        <v>45900</v>
      </c>
      <c r="Y62" s="225">
        <f t="shared" ca="1" si="11"/>
        <v>-1</v>
      </c>
      <c r="Z62" s="226">
        <f ca="1">IF($D$4="自选机构",[1]!S_EST_SCORERATING_INST($E$6,K62-1,$F$4),[1]!S_EST_SCORERATING_INST($E$6,K62-1,D62))</f>
        <v>0</v>
      </c>
      <c r="AA62" s="226">
        <f t="shared" ca="1" si="3"/>
        <v>0</v>
      </c>
      <c r="AB62" s="224" t="str">
        <f t="shared" ca="1" si="10"/>
        <v/>
      </c>
      <c r="AC62" s="227" t="str">
        <f t="shared" ca="1" si="7"/>
        <v/>
      </c>
      <c r="AD62" s="219"/>
    </row>
    <row r="63" spans="3:30" ht="16.5">
      <c r="C63" s="7">
        <f t="shared" ca="1" si="5"/>
        <v>45899</v>
      </c>
      <c r="D63" s="211">
        <v>50</v>
      </c>
      <c r="E63" s="212" t="str">
        <f t="shared" si="8"/>
        <v>华创证券</v>
      </c>
      <c r="F63" s="213" t="str">
        <f ca="1">IF($D$4="自选机构",[1]!S_EST_ESTANALYST($E$6,$E$8,C63,$F$4),[1]!S_EST_ESTANALYST($E$6,$E$8,$E$9,D63))</f>
        <v>马金龙</v>
      </c>
      <c r="G63" s="214" t="str">
        <f ca="1">IF($D$4="自选机构",[1]!S_EST_ESTNEWTIME_INST($E$6,$E$8,C63,$F$4),[1]!S_EST_ESTNEWTIME_INST($E$6,$E$8,$E$9,D63))</f>
        <v>2025-04-13</v>
      </c>
      <c r="H63" s="215">
        <f ca="1">IF($D$4="自选机构",[1]!S_EST_SALES_INST($E$6,$E$8,C63,$F$4)/currencyunit,[1]!S_EST_SALES_INST($E$6,$E$8,$E$9,D63)/currencyunit)</f>
        <v>377393</v>
      </c>
      <c r="I63" s="215">
        <f ca="1">IF($D$4="自选机构",[1]!S_EST_NETPROFIT_INST($E$6,$E$8,C63,$F$4)/currencyunit,[1]!S_EST_NETPROFIT_INST($E$6,$E$8,$E$9,D63)/currencyunit)</f>
        <v>48796</v>
      </c>
      <c r="J63" s="213">
        <f ca="1">IF($D$4="自选机构",[1]!S_EST_EPS_INST($E$6,$E$8,C63,$F$4),[1]!S_EST_EPS_INST($E$6,$E$8,$E$9,D63))</f>
        <v>1.84</v>
      </c>
      <c r="K63" s="214">
        <f ca="1">IF($D$4="自选机构",[1]!S_EST_NEWRATINGTIME_INST($E$6,Y63,$F$4),[1]!S_EST_NEWRATINGTIME_INST($E$6,$E$9,D63))</f>
        <v>0</v>
      </c>
      <c r="L63" s="213">
        <f ca="1">IF($D$4="自选机构",[1]!S_EST_RATINGANALYST($E$6,Y63,$F$4),[1]!S_EST_RATINGANALYST($E$6,$E$9,D63))</f>
        <v>0</v>
      </c>
      <c r="M63" s="213">
        <f ca="1">IF($D$4="自选机构",[1]!S_EST_ORGRATING_INST($E$6,Y63,$F$4),[1]!S_EST_ORGRATING_INST($E$6,$E$9,D63))</f>
        <v>0</v>
      </c>
      <c r="N63" s="215">
        <f ca="1">IF($D$4="自选机构",[1]!S_EST_SCORERATING_INST($E$6,Y63,$F$4),[1]!S_EST_SCORERATING_INST($E$6,$E$9,D63))</f>
        <v>0</v>
      </c>
      <c r="O63" s="213">
        <f ca="1">IF($D$4="自选机构",[1]!S_EST_STDRATING_INST($E$6,Y63,$F$4),[1]!S_EST_STDRATING_INST($E$6,$E$9,D63))</f>
        <v>0</v>
      </c>
      <c r="P63" s="214" t="str">
        <f>IF($D$4="自选机构",[1]!S_EST_FRSTRATINGTIME_INST($E$6,$F$4),[1]!S_EST_FRSTRATINGTIME_INST($E$6,D63))</f>
        <v>2018-03-26</v>
      </c>
      <c r="Q63" s="153" t="str">
        <f t="shared" ca="1" si="1"/>
        <v/>
      </c>
      <c r="R63" s="153"/>
      <c r="S63" s="153"/>
      <c r="T63" s="153"/>
      <c r="U63" s="153"/>
      <c r="V63" s="153"/>
      <c r="W63" s="153"/>
      <c r="X63" s="216">
        <f t="shared" ca="1" si="9"/>
        <v>45760</v>
      </c>
      <c r="Y63" s="216">
        <f t="shared" ca="1" si="11"/>
        <v>-1</v>
      </c>
      <c r="Z63" s="217">
        <f ca="1">IF($D$4="自选机构",[1]!S_EST_SCORERATING_INST($E$6,K63-1,$F$4),[1]!S_EST_SCORERATING_INST($E$6,K63-1,D63))</f>
        <v>0</v>
      </c>
      <c r="AA63" s="217">
        <f t="shared" ca="1" si="3"/>
        <v>0</v>
      </c>
      <c r="AB63" s="153" t="str">
        <f t="shared" ca="1" si="10"/>
        <v/>
      </c>
      <c r="AC63" s="218" t="str">
        <f t="shared" ca="1" si="7"/>
        <v/>
      </c>
      <c r="AD63" s="211"/>
    </row>
    <row r="64" spans="3:30" ht="16.5">
      <c r="C64" s="7">
        <f t="shared" ca="1" si="5"/>
        <v>45759</v>
      </c>
      <c r="D64" s="219">
        <v>51</v>
      </c>
      <c r="E64" s="220" t="str">
        <f t="shared" si="8"/>
        <v>华林证券</v>
      </c>
      <c r="F64" s="221">
        <f ca="1">IF($D$4="自选机构",[1]!S_EST_ESTANALYST($E$6,$E$8,C64,$F$4),[1]!S_EST_ESTANALYST($E$6,$E$8,$E$9,D64))</f>
        <v>0</v>
      </c>
      <c r="G64" s="222">
        <f ca="1">IF($D$4="自选机构",[1]!S_EST_ESTNEWTIME_INST($E$6,$E$8,C64,$F$4),[1]!S_EST_ESTNEWTIME_INST($E$6,$E$8,$E$9,D64))</f>
        <v>0</v>
      </c>
      <c r="H64" s="223">
        <f ca="1">IF($D$4="自选机构",[1]!S_EST_SALES_INST($E$6,$E$8,C64,$F$4)/currencyunit,[1]!S_EST_SALES_INST($E$6,$E$8,$E$9,D64)/currencyunit)</f>
        <v>0</v>
      </c>
      <c r="I64" s="223">
        <f ca="1">IF($D$4="自选机构",[1]!S_EST_NETPROFIT_INST($E$6,$E$8,C64,$F$4)/currencyunit,[1]!S_EST_NETPROFIT_INST($E$6,$E$8,$E$9,D64)/currencyunit)</f>
        <v>0</v>
      </c>
      <c r="J64" s="221">
        <f ca="1">IF($D$4="自选机构",[1]!S_EST_EPS_INST($E$6,$E$8,C64,$F$4),[1]!S_EST_EPS_INST($E$6,$E$8,$E$9,D64))</f>
        <v>0</v>
      </c>
      <c r="K64" s="222">
        <f ca="1">IF($D$4="自选机构",[1]!S_EST_NEWRATINGTIME_INST($E$6,Y64,$F$4),[1]!S_EST_NEWRATINGTIME_INST($E$6,$E$9,D64))</f>
        <v>0</v>
      </c>
      <c r="L64" s="221">
        <f ca="1">IF($D$4="自选机构",[1]!S_EST_RATINGANALYST($E$6,Y64,$F$4),[1]!S_EST_RATINGANALYST($E$6,$E$9,D64))</f>
        <v>0</v>
      </c>
      <c r="M64" s="221">
        <f ca="1">IF($D$4="自选机构",[1]!S_EST_ORGRATING_INST($E$6,Y64,$F$4),[1]!S_EST_ORGRATING_INST($E$6,$E$9,D64))</f>
        <v>0</v>
      </c>
      <c r="N64" s="223">
        <f ca="1">IF($D$4="自选机构",[1]!S_EST_SCORERATING_INST($E$6,Y64,$F$4),[1]!S_EST_SCORERATING_INST($E$6,$E$9,D64))</f>
        <v>0</v>
      </c>
      <c r="O64" s="221">
        <f ca="1">IF($D$4="自选机构",[1]!S_EST_STDRATING_INST($E$6,Y64,$F$4),[1]!S_EST_STDRATING_INST($E$6,$E$9,D64))</f>
        <v>0</v>
      </c>
      <c r="P64" s="222">
        <f>IF($D$4="自选机构",[1]!S_EST_FRSTRATINGTIME_INST($E$6,$F$4),[1]!S_EST_FRSTRATINGTIME_INST($E$6,D64))</f>
        <v>0</v>
      </c>
      <c r="Q64" s="224" t="str">
        <f t="shared" ca="1" si="1"/>
        <v/>
      </c>
      <c r="R64" s="224"/>
      <c r="S64" s="224"/>
      <c r="T64" s="224"/>
      <c r="U64" s="224"/>
      <c r="V64" s="224"/>
      <c r="W64" s="224"/>
      <c r="X64" s="225">
        <f t="shared" ca="1" si="9"/>
        <v>0</v>
      </c>
      <c r="Y64" s="225">
        <f t="shared" ca="1" si="11"/>
        <v>-1</v>
      </c>
      <c r="Z64" s="226">
        <f ca="1">IF($D$4="自选机构",[1]!S_EST_SCORERATING_INST($E$6,K64-1,$F$4),[1]!S_EST_SCORERATING_INST($E$6,K64-1,D64))</f>
        <v>0</v>
      </c>
      <c r="AA64" s="226">
        <f t="shared" ca="1" si="3"/>
        <v>0</v>
      </c>
      <c r="AB64" s="224" t="str">
        <f t="shared" ca="1" si="10"/>
        <v/>
      </c>
      <c r="AC64" s="227" t="str">
        <f t="shared" ca="1" si="7"/>
        <v/>
      </c>
      <c r="AD64" s="219"/>
    </row>
    <row r="65" spans="3:30" ht="16.5">
      <c r="C65" s="7">
        <f t="shared" ca="1" si="5"/>
        <v>-1</v>
      </c>
      <c r="D65" s="211">
        <v>52</v>
      </c>
      <c r="E65" s="212" t="str">
        <f t="shared" si="8"/>
        <v>华融证券</v>
      </c>
      <c r="F65" s="213">
        <f ca="1">IF($D$4="自选机构",[1]!S_EST_ESTANALYST($E$6,$E$8,C65,$F$4),[1]!S_EST_ESTANALYST($E$6,$E$8,$E$9,D65))</f>
        <v>0</v>
      </c>
      <c r="G65" s="214">
        <f ca="1">IF($D$4="自选机构",[1]!S_EST_ESTNEWTIME_INST($E$6,$E$8,C65,$F$4),[1]!S_EST_ESTNEWTIME_INST($E$6,$E$8,$E$9,D65))</f>
        <v>0</v>
      </c>
      <c r="H65" s="215">
        <f ca="1">IF($D$4="自选机构",[1]!S_EST_SALES_INST($E$6,$E$8,C65,$F$4)/currencyunit,[1]!S_EST_SALES_INST($E$6,$E$8,$E$9,D65)/currencyunit)</f>
        <v>0</v>
      </c>
      <c r="I65" s="215">
        <f ca="1">IF($D$4="自选机构",[1]!S_EST_NETPROFIT_INST($E$6,$E$8,C65,$F$4)/currencyunit,[1]!S_EST_NETPROFIT_INST($E$6,$E$8,$E$9,D65)/currencyunit)</f>
        <v>0</v>
      </c>
      <c r="J65" s="213">
        <f ca="1">IF($D$4="自选机构",[1]!S_EST_EPS_INST($E$6,$E$8,C65,$F$4),[1]!S_EST_EPS_INST($E$6,$E$8,$E$9,D65))</f>
        <v>0</v>
      </c>
      <c r="K65" s="214">
        <f ca="1">IF($D$4="自选机构",[1]!S_EST_NEWRATINGTIME_INST($E$6,Y65,$F$4),[1]!S_EST_NEWRATINGTIME_INST($E$6,$E$9,D65))</f>
        <v>0</v>
      </c>
      <c r="L65" s="213">
        <f ca="1">IF($D$4="自选机构",[1]!S_EST_RATINGANALYST($E$6,Y65,$F$4),[1]!S_EST_RATINGANALYST($E$6,$E$9,D65))</f>
        <v>0</v>
      </c>
      <c r="M65" s="213">
        <f ca="1">IF($D$4="自选机构",[1]!S_EST_ORGRATING_INST($E$6,Y65,$F$4),[1]!S_EST_ORGRATING_INST($E$6,$E$9,D65))</f>
        <v>0</v>
      </c>
      <c r="N65" s="215">
        <f ca="1">IF($D$4="自选机构",[1]!S_EST_SCORERATING_INST($E$6,Y65,$F$4),[1]!S_EST_SCORERATING_INST($E$6,$E$9,D65))</f>
        <v>0</v>
      </c>
      <c r="O65" s="213">
        <f ca="1">IF($D$4="自选机构",[1]!S_EST_STDRATING_INST($E$6,Y65,$F$4),[1]!S_EST_STDRATING_INST($E$6,$E$9,D65))</f>
        <v>0</v>
      </c>
      <c r="P65" s="214">
        <f>IF($D$4="自选机构",[1]!S_EST_FRSTRATINGTIME_INST($E$6,$F$4),[1]!S_EST_FRSTRATINGTIME_INST($E$6,D65))</f>
        <v>0</v>
      </c>
      <c r="Q65" s="153" t="str">
        <f t="shared" ca="1" si="1"/>
        <v/>
      </c>
      <c r="R65" s="153"/>
      <c r="S65" s="153"/>
      <c r="T65" s="153"/>
      <c r="U65" s="153"/>
      <c r="V65" s="153"/>
      <c r="W65" s="153"/>
      <c r="X65" s="216">
        <f t="shared" ca="1" si="9"/>
        <v>0</v>
      </c>
      <c r="Y65" s="216">
        <f t="shared" ca="1" si="11"/>
        <v>-1</v>
      </c>
      <c r="Z65" s="217">
        <f ca="1">IF($D$4="自选机构",[1]!S_EST_SCORERATING_INST($E$6,K65-1,$F$4),[1]!S_EST_SCORERATING_INST($E$6,K65-1,D65))</f>
        <v>0</v>
      </c>
      <c r="AA65" s="217">
        <f t="shared" ca="1" si="3"/>
        <v>0</v>
      </c>
      <c r="AB65" s="153" t="str">
        <f t="shared" ca="1" si="10"/>
        <v/>
      </c>
      <c r="AC65" s="218" t="str">
        <f t="shared" ca="1" si="7"/>
        <v/>
      </c>
      <c r="AD65" s="211"/>
    </row>
    <row r="66" spans="3:30" ht="16.5">
      <c r="C66" s="7">
        <f t="shared" ca="1" si="5"/>
        <v>-1</v>
      </c>
      <c r="D66" s="219">
        <v>53</v>
      </c>
      <c r="E66" s="220" t="str">
        <f t="shared" si="8"/>
        <v>江海证券</v>
      </c>
      <c r="F66" s="221">
        <f ca="1">IF($D$4="自选机构",[1]!S_EST_ESTANALYST($E$6,$E$8,C66,$F$4),[1]!S_EST_ESTANALYST($E$6,$E$8,$E$9,D66))</f>
        <v>0</v>
      </c>
      <c r="G66" s="222">
        <f ca="1">IF($D$4="自选机构",[1]!S_EST_ESTNEWTIME_INST($E$6,$E$8,C66,$F$4),[1]!S_EST_ESTNEWTIME_INST($E$6,$E$8,$E$9,D66))</f>
        <v>0</v>
      </c>
      <c r="H66" s="223">
        <f ca="1">IF($D$4="自选机构",[1]!S_EST_SALES_INST($E$6,$E$8,C66,$F$4)/currencyunit,[1]!S_EST_SALES_INST($E$6,$E$8,$E$9,D66)/currencyunit)</f>
        <v>0</v>
      </c>
      <c r="I66" s="223">
        <f ca="1">IF($D$4="自选机构",[1]!S_EST_NETPROFIT_INST($E$6,$E$8,C66,$F$4)/currencyunit,[1]!S_EST_NETPROFIT_INST($E$6,$E$8,$E$9,D66)/currencyunit)</f>
        <v>0</v>
      </c>
      <c r="J66" s="221">
        <f ca="1">IF($D$4="自选机构",[1]!S_EST_EPS_INST($E$6,$E$8,C66,$F$4),[1]!S_EST_EPS_INST($E$6,$E$8,$E$9,D66))</f>
        <v>0</v>
      </c>
      <c r="K66" s="222">
        <f ca="1">IF($D$4="自选机构",[1]!S_EST_NEWRATINGTIME_INST($E$6,Y66,$F$4),[1]!S_EST_NEWRATINGTIME_INST($E$6,$E$9,D66))</f>
        <v>0</v>
      </c>
      <c r="L66" s="221">
        <f ca="1">IF($D$4="自选机构",[1]!S_EST_RATINGANALYST($E$6,Y66,$F$4),[1]!S_EST_RATINGANALYST($E$6,$E$9,D66))</f>
        <v>0</v>
      </c>
      <c r="M66" s="221">
        <f ca="1">IF($D$4="自选机构",[1]!S_EST_ORGRATING_INST($E$6,Y66,$F$4),[1]!S_EST_ORGRATING_INST($E$6,$E$9,D66))</f>
        <v>0</v>
      </c>
      <c r="N66" s="223">
        <f ca="1">IF($D$4="自选机构",[1]!S_EST_SCORERATING_INST($E$6,Y66,$F$4),[1]!S_EST_SCORERATING_INST($E$6,$E$9,D66))</f>
        <v>0</v>
      </c>
      <c r="O66" s="221">
        <f ca="1">IF($D$4="自选机构",[1]!S_EST_STDRATING_INST($E$6,Y66,$F$4),[1]!S_EST_STDRATING_INST($E$6,$E$9,D66))</f>
        <v>0</v>
      </c>
      <c r="P66" s="222">
        <f>IF($D$4="自选机构",[1]!S_EST_FRSTRATINGTIME_INST($E$6,$F$4),[1]!S_EST_FRSTRATINGTIME_INST($E$6,D66))</f>
        <v>0</v>
      </c>
      <c r="Q66" s="224" t="str">
        <f t="shared" ca="1" si="1"/>
        <v/>
      </c>
      <c r="R66" s="224"/>
      <c r="S66" s="224"/>
      <c r="T66" s="224"/>
      <c r="U66" s="224"/>
      <c r="V66" s="224"/>
      <c r="W66" s="224"/>
      <c r="X66" s="225">
        <f t="shared" ca="1" si="9"/>
        <v>0</v>
      </c>
      <c r="Y66" s="225">
        <f t="shared" ca="1" si="11"/>
        <v>-1</v>
      </c>
      <c r="Z66" s="226">
        <f ca="1">IF($D$4="自选机构",[1]!S_EST_SCORERATING_INST($E$6,K66-1,$F$4),[1]!S_EST_SCORERATING_INST($E$6,K66-1,D66))</f>
        <v>0</v>
      </c>
      <c r="AA66" s="226">
        <f t="shared" ca="1" si="3"/>
        <v>0</v>
      </c>
      <c r="AB66" s="224" t="str">
        <f t="shared" ca="1" si="10"/>
        <v/>
      </c>
      <c r="AC66" s="227" t="str">
        <f t="shared" ca="1" si="7"/>
        <v/>
      </c>
      <c r="AD66" s="219"/>
    </row>
    <row r="67" spans="3:30" ht="16.5">
      <c r="C67" s="7">
        <f t="shared" ca="1" si="5"/>
        <v>-1</v>
      </c>
      <c r="D67" s="211">
        <v>54</v>
      </c>
      <c r="E67" s="212" t="str">
        <f t="shared" si="8"/>
        <v>金元证券</v>
      </c>
      <c r="F67" s="213">
        <f ca="1">IF($D$4="自选机构",[1]!S_EST_ESTANALYST($E$6,$E$8,C67,$F$4),[1]!S_EST_ESTANALYST($E$6,$E$8,$E$9,D67))</f>
        <v>0</v>
      </c>
      <c r="G67" s="214">
        <f ca="1">IF($D$4="自选机构",[1]!S_EST_ESTNEWTIME_INST($E$6,$E$8,C67,$F$4),[1]!S_EST_ESTNEWTIME_INST($E$6,$E$8,$E$9,D67))</f>
        <v>0</v>
      </c>
      <c r="H67" s="215">
        <f ca="1">IF($D$4="自选机构",[1]!S_EST_SALES_INST($E$6,$E$8,C67,$F$4)/currencyunit,[1]!S_EST_SALES_INST($E$6,$E$8,$E$9,D67)/currencyunit)</f>
        <v>0</v>
      </c>
      <c r="I67" s="215">
        <f ca="1">IF($D$4="自选机构",[1]!S_EST_NETPROFIT_INST($E$6,$E$8,C67,$F$4)/currencyunit,[1]!S_EST_NETPROFIT_INST($E$6,$E$8,$E$9,D67)/currencyunit)</f>
        <v>0</v>
      </c>
      <c r="J67" s="213">
        <f ca="1">IF($D$4="自选机构",[1]!S_EST_EPS_INST($E$6,$E$8,C67,$F$4),[1]!S_EST_EPS_INST($E$6,$E$8,$E$9,D67))</f>
        <v>0</v>
      </c>
      <c r="K67" s="214">
        <f ca="1">IF($D$4="自选机构",[1]!S_EST_NEWRATINGTIME_INST($E$6,Y67,$F$4),[1]!S_EST_NEWRATINGTIME_INST($E$6,$E$9,D67))</f>
        <v>0</v>
      </c>
      <c r="L67" s="213">
        <f ca="1">IF($D$4="自选机构",[1]!S_EST_RATINGANALYST($E$6,Y67,$F$4),[1]!S_EST_RATINGANALYST($E$6,$E$9,D67))</f>
        <v>0</v>
      </c>
      <c r="M67" s="213">
        <f ca="1">IF($D$4="自选机构",[1]!S_EST_ORGRATING_INST($E$6,Y67,$F$4),[1]!S_EST_ORGRATING_INST($E$6,$E$9,D67))</f>
        <v>0</v>
      </c>
      <c r="N67" s="215">
        <f ca="1">IF($D$4="自选机构",[1]!S_EST_SCORERATING_INST($E$6,Y67,$F$4),[1]!S_EST_SCORERATING_INST($E$6,$E$9,D67))</f>
        <v>0</v>
      </c>
      <c r="O67" s="213">
        <f ca="1">IF($D$4="自选机构",[1]!S_EST_STDRATING_INST($E$6,Y67,$F$4),[1]!S_EST_STDRATING_INST($E$6,$E$9,D67))</f>
        <v>0</v>
      </c>
      <c r="P67" s="214">
        <f>IF($D$4="自选机构",[1]!S_EST_FRSTRATINGTIME_INST($E$6,$F$4),[1]!S_EST_FRSTRATINGTIME_INST($E$6,D67))</f>
        <v>0</v>
      </c>
      <c r="Q67" s="153" t="str">
        <f t="shared" ca="1" si="1"/>
        <v/>
      </c>
      <c r="R67" s="153"/>
      <c r="S67" s="153"/>
      <c r="T67" s="153"/>
      <c r="U67" s="153"/>
      <c r="V67" s="153"/>
      <c r="W67" s="153"/>
      <c r="X67" s="216">
        <f t="shared" ca="1" si="9"/>
        <v>0</v>
      </c>
      <c r="Y67" s="216">
        <f t="shared" ca="1" si="11"/>
        <v>-1</v>
      </c>
      <c r="Z67" s="217">
        <f ca="1">IF($D$4="自选机构",[1]!S_EST_SCORERATING_INST($E$6,K67-1,$F$4),[1]!S_EST_SCORERATING_INST($E$6,K67-1,D67))</f>
        <v>0</v>
      </c>
      <c r="AA67" s="217">
        <f t="shared" ca="1" si="3"/>
        <v>0</v>
      </c>
      <c r="AB67" s="153" t="str">
        <f t="shared" ca="1" si="10"/>
        <v/>
      </c>
      <c r="AC67" s="218" t="str">
        <f t="shared" ca="1" si="7"/>
        <v/>
      </c>
      <c r="AD67" s="211"/>
    </row>
    <row r="68" spans="3:30" ht="16.5">
      <c r="C68" s="7">
        <f t="shared" ca="1" si="5"/>
        <v>-1</v>
      </c>
      <c r="D68" s="219">
        <v>55</v>
      </c>
      <c r="E68" s="220" t="str">
        <f t="shared" si="8"/>
        <v>民生证券</v>
      </c>
      <c r="F68" s="221" t="str">
        <f ca="1">IF($D$4="自选机构",[1]!S_EST_ESTANALYST($E$6,$E$8,C68,$F$4),[1]!S_EST_ESTANALYST($E$6,$E$8,$E$9,D68))</f>
        <v>邱祖学</v>
      </c>
      <c r="G68" s="222" t="str">
        <f ca="1">IF($D$4="自选机构",[1]!S_EST_ESTNEWTIME_INST($E$6,$E$8,C68,$F$4),[1]!S_EST_ESTNEWTIME_INST($E$6,$E$8,$E$9,D68))</f>
        <v>2025-10-20</v>
      </c>
      <c r="H68" s="223">
        <f ca="1">IF($D$4="自选机构",[1]!S_EST_SALES_INST($E$6,$E$8,C68,$F$4)/currencyunit,[1]!S_EST_SALES_INST($E$6,$E$8,$E$9,D68)/currencyunit)</f>
        <v>421978</v>
      </c>
      <c r="I68" s="223">
        <f ca="1">IF($D$4="自选机构",[1]!S_EST_NETPROFIT_INST($E$6,$E$8,C68,$F$4)/currencyunit,[1]!S_EST_NETPROFIT_INST($E$6,$E$8,$E$9,D68)/currencyunit)</f>
        <v>66294</v>
      </c>
      <c r="J68" s="221">
        <f ca="1">IF($D$4="自选机构",[1]!S_EST_EPS_INST($E$6,$E$8,C68,$F$4),[1]!S_EST_EPS_INST($E$6,$E$8,$E$9,D68))</f>
        <v>2.4900000000000002</v>
      </c>
      <c r="K68" s="222" t="str">
        <f ca="1">IF($D$4="自选机构",[1]!S_EST_NEWRATINGTIME_INST($E$6,Y68,$F$4),[1]!S_EST_NEWRATINGTIME_INST($E$6,$E$9,D68))</f>
        <v>2025-10-20</v>
      </c>
      <c r="L68" s="221" t="str">
        <f ca="1">IF($D$4="自选机构",[1]!S_EST_RATINGANALYST($E$6,Y68,$F$4),[1]!S_EST_RATINGANALYST($E$6,$E$9,D68))</f>
        <v>邱祖学</v>
      </c>
      <c r="M68" s="221" t="str">
        <f ca="1">IF($D$4="自选机构",[1]!S_EST_ORGRATING_INST($E$6,Y68,$F$4),[1]!S_EST_ORGRATING_INST($E$6,$E$9,D68))</f>
        <v>民生证券_推荐_1</v>
      </c>
      <c r="N68" s="223">
        <f ca="1">IF($D$4="自选机构",[1]!S_EST_SCORERATING_INST($E$6,Y68,$F$4),[1]!S_EST_SCORERATING_INST($E$6,$E$9,D68))</f>
        <v>1</v>
      </c>
      <c r="O68" s="221" t="str">
        <f ca="1">IF($D$4="自选机构",[1]!S_EST_STDRATING_INST($E$6,Y68,$F$4),[1]!S_EST_STDRATING_INST($E$6,$E$9,D68))</f>
        <v>买入</v>
      </c>
      <c r="P68" s="222" t="str">
        <f>IF($D$4="自选机构",[1]!S_EST_FRSTRATINGTIME_INST($E$6,$F$4),[1]!S_EST_FRSTRATINGTIME_INST($E$6,D68))</f>
        <v>2010-10-28</v>
      </c>
      <c r="Q68" s="224" t="str">
        <f t="shared" ca="1" si="1"/>
        <v/>
      </c>
      <c r="R68" s="224"/>
      <c r="S68" s="224"/>
      <c r="T68" s="224"/>
      <c r="U68" s="224"/>
      <c r="V68" s="224"/>
      <c r="W68" s="224"/>
      <c r="X68" s="225">
        <f t="shared" ca="1" si="9"/>
        <v>45950</v>
      </c>
      <c r="Y68" s="225">
        <f t="shared" ca="1" si="11"/>
        <v>-1</v>
      </c>
      <c r="Z68" s="226">
        <f ca="1">IF($D$4="自选机构",[1]!S_EST_SCORERATING_INST($E$6,K68-1,$F$4),[1]!S_EST_SCORERATING_INST($E$6,K68-1,D68))</f>
        <v>1</v>
      </c>
      <c r="AA68" s="226" t="str">
        <f t="shared" ca="1" si="3"/>
        <v>评级不变</v>
      </c>
      <c r="AB68" s="224" t="str">
        <f t="shared" ca="1" si="10"/>
        <v/>
      </c>
      <c r="AC68" s="227">
        <f t="shared" ca="1" si="7"/>
        <v>0</v>
      </c>
      <c r="AD68" s="219"/>
    </row>
    <row r="69" spans="3:30" ht="16.5">
      <c r="C69" s="7">
        <f t="shared" ca="1" si="5"/>
        <v>45949</v>
      </c>
      <c r="D69" s="211">
        <v>56</v>
      </c>
      <c r="E69" s="212" t="str">
        <f t="shared" si="8"/>
        <v>南京证券</v>
      </c>
      <c r="F69" s="213">
        <f ca="1">IF($D$4="自选机构",[1]!S_EST_ESTANALYST($E$6,$E$8,C69,$F$4),[1]!S_EST_ESTANALYST($E$6,$E$8,$E$9,D69))</f>
        <v>0</v>
      </c>
      <c r="G69" s="214">
        <f ca="1">IF($D$4="自选机构",[1]!S_EST_ESTNEWTIME_INST($E$6,$E$8,C69,$F$4),[1]!S_EST_ESTNEWTIME_INST($E$6,$E$8,$E$9,D69))</f>
        <v>0</v>
      </c>
      <c r="H69" s="215">
        <f ca="1">IF($D$4="自选机构",[1]!S_EST_SALES_INST($E$6,$E$8,C69,$F$4)/currencyunit,[1]!S_EST_SALES_INST($E$6,$E$8,$E$9,D69)/currencyunit)</f>
        <v>0</v>
      </c>
      <c r="I69" s="215">
        <f ca="1">IF($D$4="自选机构",[1]!S_EST_NETPROFIT_INST($E$6,$E$8,C69,$F$4)/currencyunit,[1]!S_EST_NETPROFIT_INST($E$6,$E$8,$E$9,D69)/currencyunit)</f>
        <v>0</v>
      </c>
      <c r="J69" s="213">
        <f ca="1">IF($D$4="自选机构",[1]!S_EST_EPS_INST($E$6,$E$8,C69,$F$4),[1]!S_EST_EPS_INST($E$6,$E$8,$E$9,D69))</f>
        <v>0</v>
      </c>
      <c r="K69" s="214">
        <f ca="1">IF($D$4="自选机构",[1]!S_EST_NEWRATINGTIME_INST($E$6,Y69,$F$4),[1]!S_EST_NEWRATINGTIME_INST($E$6,$E$9,D69))</f>
        <v>0</v>
      </c>
      <c r="L69" s="213">
        <f ca="1">IF($D$4="自选机构",[1]!S_EST_RATINGANALYST($E$6,Y69,$F$4),[1]!S_EST_RATINGANALYST($E$6,$E$9,D69))</f>
        <v>0</v>
      </c>
      <c r="M69" s="213">
        <f ca="1">IF($D$4="自选机构",[1]!S_EST_ORGRATING_INST($E$6,Y69,$F$4),[1]!S_EST_ORGRATING_INST($E$6,$E$9,D69))</f>
        <v>0</v>
      </c>
      <c r="N69" s="215">
        <f ca="1">IF($D$4="自选机构",[1]!S_EST_SCORERATING_INST($E$6,Y69,$F$4),[1]!S_EST_SCORERATING_INST($E$6,$E$9,D69))</f>
        <v>0</v>
      </c>
      <c r="O69" s="213">
        <f ca="1">IF($D$4="自选机构",[1]!S_EST_STDRATING_INST($E$6,Y69,$F$4),[1]!S_EST_STDRATING_INST($E$6,$E$9,D69))</f>
        <v>0</v>
      </c>
      <c r="P69" s="214">
        <f>IF($D$4="自选机构",[1]!S_EST_FRSTRATINGTIME_INST($E$6,$F$4),[1]!S_EST_FRSTRATINGTIME_INST($E$6,D69))</f>
        <v>0</v>
      </c>
      <c r="Q69" s="153" t="str">
        <f t="shared" ca="1" si="1"/>
        <v/>
      </c>
      <c r="R69" s="153"/>
      <c r="S69" s="153"/>
      <c r="T69" s="153"/>
      <c r="U69" s="153"/>
      <c r="V69" s="153"/>
      <c r="W69" s="153"/>
      <c r="X69" s="216">
        <f t="shared" ca="1" si="9"/>
        <v>0</v>
      </c>
      <c r="Y69" s="216">
        <f t="shared" ca="1" si="11"/>
        <v>45949</v>
      </c>
      <c r="Z69" s="217">
        <f ca="1">IF($D$4="自选机构",[1]!S_EST_SCORERATING_INST($E$6,K69-1,$F$4),[1]!S_EST_SCORERATING_INST($E$6,K69-1,D69))</f>
        <v>0</v>
      </c>
      <c r="AA69" s="217">
        <f t="shared" ca="1" si="3"/>
        <v>0</v>
      </c>
      <c r="AB69" s="153" t="str">
        <f t="shared" ca="1" si="10"/>
        <v/>
      </c>
      <c r="AC69" s="218" t="str">
        <f t="shared" ca="1" si="7"/>
        <v/>
      </c>
      <c r="AD69" s="211"/>
    </row>
    <row r="70" spans="3:30" ht="16.5">
      <c r="C70" s="7">
        <f t="shared" ca="1" si="5"/>
        <v>-1</v>
      </c>
      <c r="D70" s="219">
        <v>57</v>
      </c>
      <c r="E70" s="220" t="str">
        <f t="shared" si="8"/>
        <v>齐鲁证券</v>
      </c>
      <c r="F70" s="221" t="str">
        <f ca="1">IF($D$4="自选机构",[1]!S_EST_ESTANALYST($E$6,$E$8,C70,$F$4),[1]!S_EST_ESTANALYST($E$6,$E$8,$E$9,D70))</f>
        <v>陈凯丽</v>
      </c>
      <c r="G70" s="222" t="str">
        <f ca="1">IF($D$4="自选机构",[1]!S_EST_ESTNEWTIME_INST($E$6,$E$8,C70,$F$4),[1]!S_EST_ESTNEWTIME_INST($E$6,$E$8,$E$9,D70))</f>
        <v>2025-10-23</v>
      </c>
      <c r="H70" s="223">
        <f ca="1">IF($D$4="自选机构",[1]!S_EST_SALES_INST($E$6,$E$8,C70,$F$4)/currencyunit,[1]!S_EST_SALES_INST($E$6,$E$8,$E$9,D70)/currencyunit)</f>
        <v>447245</v>
      </c>
      <c r="I70" s="223">
        <f ca="1">IF($D$4="自选机构",[1]!S_EST_NETPROFIT_INST($E$6,$E$8,C70,$F$4)/currencyunit,[1]!S_EST_NETPROFIT_INST($E$6,$E$8,$E$9,D70)/currencyunit)</f>
        <v>65983</v>
      </c>
      <c r="J70" s="221">
        <f ca="1">IF($D$4="自选机构",[1]!S_EST_EPS_INST($E$6,$E$8,C70,$F$4),[1]!S_EST_EPS_INST($E$6,$E$8,$E$9,D70))</f>
        <v>2.48</v>
      </c>
      <c r="K70" s="222" t="str">
        <f ca="1">IF($D$4="自选机构",[1]!S_EST_NEWRATINGTIME_INST($E$6,Y70,$F$4),[1]!S_EST_NEWRATINGTIME_INST($E$6,$E$9,D70))</f>
        <v>2025-10-23</v>
      </c>
      <c r="L70" s="221" t="str">
        <f ca="1">IF($D$4="自选机构",[1]!S_EST_RATINGANALYST($E$6,Y70,$F$4),[1]!S_EST_RATINGANALYST($E$6,$E$9,D70))</f>
        <v>陈凯丽</v>
      </c>
      <c r="M70" s="221" t="str">
        <f ca="1">IF($D$4="自选机构",[1]!S_EST_ORGRATING_INST($E$6,Y70,$F$4),[1]!S_EST_ORGRATING_INST($E$6,$E$9,D70))</f>
        <v>中泰证券_买入_1</v>
      </c>
      <c r="N70" s="223">
        <f ca="1">IF($D$4="自选机构",[1]!S_EST_SCORERATING_INST($E$6,Y70,$F$4),[1]!S_EST_SCORERATING_INST($E$6,$E$9,D70))</f>
        <v>1</v>
      </c>
      <c r="O70" s="221" t="str">
        <f ca="1">IF($D$4="自选机构",[1]!S_EST_STDRATING_INST($E$6,Y70,$F$4),[1]!S_EST_STDRATING_INST($E$6,$E$9,D70))</f>
        <v>买入</v>
      </c>
      <c r="P70" s="222" t="str">
        <f>IF($D$4="自选机构",[1]!S_EST_FRSTRATINGTIME_INST($E$6,$F$4),[1]!S_EST_FRSTRATINGTIME_INST($E$6,D70))</f>
        <v>2009-10-29</v>
      </c>
      <c r="Q70" s="224" t="str">
        <f t="shared" ca="1" si="1"/>
        <v/>
      </c>
      <c r="R70" s="224"/>
      <c r="S70" s="224"/>
      <c r="T70" s="224"/>
      <c r="U70" s="224"/>
      <c r="V70" s="224"/>
      <c r="W70" s="224"/>
      <c r="X70" s="225">
        <f t="shared" ca="1" si="9"/>
        <v>45953</v>
      </c>
      <c r="Y70" s="225">
        <f t="shared" ca="1" si="11"/>
        <v>-1</v>
      </c>
      <c r="Z70" s="226">
        <f ca="1">IF($D$4="自选机构",[1]!S_EST_SCORERATING_INST($E$6,K70-1,$F$4),[1]!S_EST_SCORERATING_INST($E$6,K70-1,D70))</f>
        <v>0</v>
      </c>
      <c r="AA70" s="226" t="str">
        <f t="shared" ca="1" si="3"/>
        <v>首次评级</v>
      </c>
      <c r="AB70" s="224" t="str">
        <f t="shared" ca="1" si="10"/>
        <v/>
      </c>
      <c r="AC70" s="227" t="str">
        <f t="shared" ca="1" si="7"/>
        <v/>
      </c>
      <c r="AD70" s="219"/>
    </row>
    <row r="71" spans="3:30" ht="16.5">
      <c r="C71" s="7">
        <f t="shared" ca="1" si="5"/>
        <v>45952</v>
      </c>
      <c r="D71" s="211">
        <v>58</v>
      </c>
      <c r="E71" s="212" t="str">
        <f t="shared" si="8"/>
        <v>日信证券</v>
      </c>
      <c r="F71" s="213">
        <f ca="1">IF($D$4="自选机构",[1]!S_EST_ESTANALYST($E$6,$E$8,C71,$F$4),[1]!S_EST_ESTANALYST($E$6,$E$8,$E$9,D71))</f>
        <v>0</v>
      </c>
      <c r="G71" s="214">
        <f ca="1">IF($D$4="自选机构",[1]!S_EST_ESTNEWTIME_INST($E$6,$E$8,C71,$F$4),[1]!S_EST_ESTNEWTIME_INST($E$6,$E$8,$E$9,D71))</f>
        <v>0</v>
      </c>
      <c r="H71" s="215">
        <f ca="1">IF($D$4="自选机构",[1]!S_EST_SALES_INST($E$6,$E$8,C71,$F$4)/currencyunit,[1]!S_EST_SALES_INST($E$6,$E$8,$E$9,D71)/currencyunit)</f>
        <v>0</v>
      </c>
      <c r="I71" s="215">
        <f ca="1">IF($D$4="自选机构",[1]!S_EST_NETPROFIT_INST($E$6,$E$8,C71,$F$4)/currencyunit,[1]!S_EST_NETPROFIT_INST($E$6,$E$8,$E$9,D71)/currencyunit)</f>
        <v>0</v>
      </c>
      <c r="J71" s="213">
        <f ca="1">IF($D$4="自选机构",[1]!S_EST_EPS_INST($E$6,$E$8,C71,$F$4),[1]!S_EST_EPS_INST($E$6,$E$8,$E$9,D71))</f>
        <v>0</v>
      </c>
      <c r="K71" s="214">
        <f ca="1">IF($D$4="自选机构",[1]!S_EST_NEWRATINGTIME_INST($E$6,Y71,$F$4),[1]!S_EST_NEWRATINGTIME_INST($E$6,$E$9,D71))</f>
        <v>0</v>
      </c>
      <c r="L71" s="213">
        <f ca="1">IF($D$4="自选机构",[1]!S_EST_RATINGANALYST($E$6,Y71,$F$4),[1]!S_EST_RATINGANALYST($E$6,$E$9,D71))</f>
        <v>0</v>
      </c>
      <c r="M71" s="213">
        <f ca="1">IF($D$4="自选机构",[1]!S_EST_ORGRATING_INST($E$6,Y71,$F$4),[1]!S_EST_ORGRATING_INST($E$6,$E$9,D71))</f>
        <v>0</v>
      </c>
      <c r="N71" s="215">
        <f ca="1">IF($D$4="自选机构",[1]!S_EST_SCORERATING_INST($E$6,Y71,$F$4),[1]!S_EST_SCORERATING_INST($E$6,$E$9,D71))</f>
        <v>0</v>
      </c>
      <c r="O71" s="213">
        <f ca="1">IF($D$4="自选机构",[1]!S_EST_STDRATING_INST($E$6,Y71,$F$4),[1]!S_EST_STDRATING_INST($E$6,$E$9,D71))</f>
        <v>0</v>
      </c>
      <c r="P71" s="214">
        <f>IF($D$4="自选机构",[1]!S_EST_FRSTRATINGTIME_INST($E$6,$F$4),[1]!S_EST_FRSTRATINGTIME_INST($E$6,D71))</f>
        <v>0</v>
      </c>
      <c r="Q71" s="153" t="str">
        <f t="shared" ca="1" si="1"/>
        <v/>
      </c>
      <c r="R71" s="153"/>
      <c r="S71" s="153"/>
      <c r="T71" s="153"/>
      <c r="U71" s="153"/>
      <c r="V71" s="153"/>
      <c r="W71" s="153"/>
      <c r="X71" s="216">
        <f t="shared" ca="1" si="9"/>
        <v>0</v>
      </c>
      <c r="Y71" s="216">
        <f t="shared" ca="1" si="11"/>
        <v>45952</v>
      </c>
      <c r="Z71" s="217">
        <f ca="1">IF($D$4="自选机构",[1]!S_EST_SCORERATING_INST($E$6,K71-1,$F$4),[1]!S_EST_SCORERATING_INST($E$6,K71-1,D71))</f>
        <v>0</v>
      </c>
      <c r="AA71" s="217">
        <f t="shared" ca="1" si="3"/>
        <v>0</v>
      </c>
      <c r="AB71" s="153" t="str">
        <f t="shared" ca="1" si="10"/>
        <v/>
      </c>
      <c r="AC71" s="218" t="str">
        <f t="shared" ca="1" si="7"/>
        <v/>
      </c>
      <c r="AD71" s="211"/>
    </row>
    <row r="72" spans="3:30" ht="16.5">
      <c r="C72" s="7">
        <f t="shared" ca="1" si="5"/>
        <v>-1</v>
      </c>
      <c r="D72" s="219">
        <v>59</v>
      </c>
      <c r="E72" s="220" t="str">
        <f t="shared" si="8"/>
        <v>瑞信方正</v>
      </c>
      <c r="F72" s="221">
        <f ca="1">IF($D$4="自选机构",[1]!S_EST_ESTANALYST($E$6,$E$8,C72,$F$4),[1]!S_EST_ESTANALYST($E$6,$E$8,$E$9,D72))</f>
        <v>0</v>
      </c>
      <c r="G72" s="222">
        <f ca="1">IF($D$4="自选机构",[1]!S_EST_ESTNEWTIME_INST($E$6,$E$8,C72,$F$4),[1]!S_EST_ESTNEWTIME_INST($E$6,$E$8,$E$9,D72))</f>
        <v>0</v>
      </c>
      <c r="H72" s="223">
        <f ca="1">IF($D$4="自选机构",[1]!S_EST_SALES_INST($E$6,$E$8,C72,$F$4)/currencyunit,[1]!S_EST_SALES_INST($E$6,$E$8,$E$9,D72)/currencyunit)</f>
        <v>0</v>
      </c>
      <c r="I72" s="223">
        <f ca="1">IF($D$4="自选机构",[1]!S_EST_NETPROFIT_INST($E$6,$E$8,C72,$F$4)/currencyunit,[1]!S_EST_NETPROFIT_INST($E$6,$E$8,$E$9,D72)/currencyunit)</f>
        <v>0</v>
      </c>
      <c r="J72" s="221">
        <f ca="1">IF($D$4="自选机构",[1]!S_EST_EPS_INST($E$6,$E$8,C72,$F$4),[1]!S_EST_EPS_INST($E$6,$E$8,$E$9,D72))</f>
        <v>0</v>
      </c>
      <c r="K72" s="222">
        <f ca="1">IF($D$4="自选机构",[1]!S_EST_NEWRATINGTIME_INST($E$6,Y72,$F$4),[1]!S_EST_NEWRATINGTIME_INST($E$6,$E$9,D72))</f>
        <v>0</v>
      </c>
      <c r="L72" s="221">
        <f ca="1">IF($D$4="自选机构",[1]!S_EST_RATINGANALYST($E$6,Y72,$F$4),[1]!S_EST_RATINGANALYST($E$6,$E$9,D72))</f>
        <v>0</v>
      </c>
      <c r="M72" s="221">
        <f ca="1">IF($D$4="自选机构",[1]!S_EST_ORGRATING_INST($E$6,Y72,$F$4),[1]!S_EST_ORGRATING_INST($E$6,$E$9,D72))</f>
        <v>0</v>
      </c>
      <c r="N72" s="223">
        <f ca="1">IF($D$4="自选机构",[1]!S_EST_SCORERATING_INST($E$6,Y72,$F$4),[1]!S_EST_SCORERATING_INST($E$6,$E$9,D72))</f>
        <v>0</v>
      </c>
      <c r="O72" s="221">
        <f ca="1">IF($D$4="自选机构",[1]!S_EST_STDRATING_INST($E$6,Y72,$F$4),[1]!S_EST_STDRATING_INST($E$6,$E$9,D72))</f>
        <v>0</v>
      </c>
      <c r="P72" s="222">
        <f>IF($D$4="自选机构",[1]!S_EST_FRSTRATINGTIME_INST($E$6,$F$4),[1]!S_EST_FRSTRATINGTIME_INST($E$6,D72))</f>
        <v>0</v>
      </c>
      <c r="Q72" s="224" t="str">
        <f t="shared" ca="1" si="1"/>
        <v/>
      </c>
      <c r="R72" s="224"/>
      <c r="S72" s="224"/>
      <c r="T72" s="224"/>
      <c r="U72" s="224"/>
      <c r="V72" s="224"/>
      <c r="W72" s="224"/>
      <c r="X72" s="225">
        <f t="shared" ca="1" si="9"/>
        <v>0</v>
      </c>
      <c r="Y72" s="225">
        <f t="shared" ca="1" si="11"/>
        <v>-1</v>
      </c>
      <c r="Z72" s="226">
        <f ca="1">IF($D$4="自选机构",[1]!S_EST_SCORERATING_INST($E$6,K72-1,$F$4),[1]!S_EST_SCORERATING_INST($E$6,K72-1,D72))</f>
        <v>0</v>
      </c>
      <c r="AA72" s="226">
        <f t="shared" ca="1" si="3"/>
        <v>0</v>
      </c>
      <c r="AB72" s="224" t="str">
        <f t="shared" ca="1" si="10"/>
        <v/>
      </c>
      <c r="AC72" s="227" t="str">
        <f t="shared" ca="1" si="7"/>
        <v/>
      </c>
      <c r="AD72" s="219"/>
    </row>
    <row r="73" spans="3:30" ht="16.5">
      <c r="C73" s="7">
        <f t="shared" ca="1" si="5"/>
        <v>-1</v>
      </c>
      <c r="D73" s="211">
        <v>60</v>
      </c>
      <c r="E73" s="212" t="str">
        <f t="shared" si="8"/>
        <v>瑞银证券</v>
      </c>
      <c r="F73" s="213">
        <f ca="1">IF($D$4="自选机构",[1]!S_EST_ESTANALYST($E$6,$E$8,C73,$F$4),[1]!S_EST_ESTANALYST($E$6,$E$8,$E$9,D73))</f>
        <v>0</v>
      </c>
      <c r="G73" s="214">
        <f ca="1">IF($D$4="自选机构",[1]!S_EST_ESTNEWTIME_INST($E$6,$E$8,C73,$F$4),[1]!S_EST_ESTNEWTIME_INST($E$6,$E$8,$E$9,D73))</f>
        <v>0</v>
      </c>
      <c r="H73" s="215">
        <f ca="1">IF($D$4="自选机构",[1]!S_EST_SALES_INST($E$6,$E$8,C73,$F$4)/currencyunit,[1]!S_EST_SALES_INST($E$6,$E$8,$E$9,D73)/currencyunit)</f>
        <v>0</v>
      </c>
      <c r="I73" s="215">
        <f ca="1">IF($D$4="自选机构",[1]!S_EST_NETPROFIT_INST($E$6,$E$8,C73,$F$4)/currencyunit,[1]!S_EST_NETPROFIT_INST($E$6,$E$8,$E$9,D73)/currencyunit)</f>
        <v>0</v>
      </c>
      <c r="J73" s="213">
        <f ca="1">IF($D$4="自选机构",[1]!S_EST_EPS_INST($E$6,$E$8,C73,$F$4),[1]!S_EST_EPS_INST($E$6,$E$8,$E$9,D73))</f>
        <v>0</v>
      </c>
      <c r="K73" s="214">
        <f ca="1">IF($D$4="自选机构",[1]!S_EST_NEWRATINGTIME_INST($E$6,Y73,$F$4),[1]!S_EST_NEWRATINGTIME_INST($E$6,$E$9,D73))</f>
        <v>0</v>
      </c>
      <c r="L73" s="213">
        <f ca="1">IF($D$4="自选机构",[1]!S_EST_RATINGANALYST($E$6,Y73,$F$4),[1]!S_EST_RATINGANALYST($E$6,$E$9,D73))</f>
        <v>0</v>
      </c>
      <c r="M73" s="213">
        <f ca="1">IF($D$4="自选机构",[1]!S_EST_ORGRATING_INST($E$6,Y73,$F$4),[1]!S_EST_ORGRATING_INST($E$6,$E$9,D73))</f>
        <v>0</v>
      </c>
      <c r="N73" s="215">
        <f ca="1">IF($D$4="自选机构",[1]!S_EST_SCORERATING_INST($E$6,Y73,$F$4),[1]!S_EST_SCORERATING_INST($E$6,$E$9,D73))</f>
        <v>0</v>
      </c>
      <c r="O73" s="213">
        <f ca="1">IF($D$4="自选机构",[1]!S_EST_STDRATING_INST($E$6,Y73,$F$4),[1]!S_EST_STDRATING_INST($E$6,$E$9,D73))</f>
        <v>0</v>
      </c>
      <c r="P73" s="214" t="str">
        <f>IF($D$4="自选机构",[1]!S_EST_FRSTRATINGTIME_INST($E$6,$F$4),[1]!S_EST_FRSTRATINGTIME_INST($E$6,D73))</f>
        <v>2010-02-05</v>
      </c>
      <c r="Q73" s="153" t="str">
        <f t="shared" ca="1" si="1"/>
        <v/>
      </c>
      <c r="R73" s="153"/>
      <c r="S73" s="153"/>
      <c r="T73" s="153"/>
      <c r="U73" s="153"/>
      <c r="V73" s="153"/>
      <c r="W73" s="153"/>
      <c r="X73" s="216">
        <f t="shared" ca="1" si="9"/>
        <v>0</v>
      </c>
      <c r="Y73" s="216">
        <f t="shared" ca="1" si="11"/>
        <v>-1</v>
      </c>
      <c r="Z73" s="217">
        <f ca="1">IF($D$4="自选机构",[1]!S_EST_SCORERATING_INST($E$6,K73-1,$F$4),[1]!S_EST_SCORERATING_INST($E$6,K73-1,D73))</f>
        <v>0</v>
      </c>
      <c r="AA73" s="217">
        <f t="shared" ca="1" si="3"/>
        <v>0</v>
      </c>
      <c r="AB73" s="153" t="str">
        <f t="shared" ca="1" si="10"/>
        <v/>
      </c>
      <c r="AC73" s="218" t="str">
        <f t="shared" ca="1" si="7"/>
        <v/>
      </c>
      <c r="AD73" s="211"/>
    </row>
    <row r="74" spans="3:30" ht="16.5">
      <c r="C74" s="7">
        <f t="shared" ca="1" si="5"/>
        <v>-1</v>
      </c>
      <c r="D74" s="219">
        <v>61</v>
      </c>
      <c r="E74" s="220" t="str">
        <f t="shared" si="8"/>
        <v>山西证券</v>
      </c>
      <c r="F74" s="221">
        <f ca="1">IF($D$4="自选机构",[1]!S_EST_ESTANALYST($E$6,$E$8,C74,$F$4),[1]!S_EST_ESTANALYST($E$6,$E$8,$E$9,D74))</f>
        <v>0</v>
      </c>
      <c r="G74" s="222">
        <f ca="1">IF($D$4="自选机构",[1]!S_EST_ESTNEWTIME_INST($E$6,$E$8,C74,$F$4),[1]!S_EST_ESTNEWTIME_INST($E$6,$E$8,$E$9,D74))</f>
        <v>0</v>
      </c>
      <c r="H74" s="223">
        <f ca="1">IF($D$4="自选机构",[1]!S_EST_SALES_INST($E$6,$E$8,C74,$F$4)/currencyunit,[1]!S_EST_SALES_INST($E$6,$E$8,$E$9,D74)/currencyunit)</f>
        <v>0</v>
      </c>
      <c r="I74" s="223">
        <f ca="1">IF($D$4="自选机构",[1]!S_EST_NETPROFIT_INST($E$6,$E$8,C74,$F$4)/currencyunit,[1]!S_EST_NETPROFIT_INST($E$6,$E$8,$E$9,D74)/currencyunit)</f>
        <v>0</v>
      </c>
      <c r="J74" s="221">
        <f ca="1">IF($D$4="自选机构",[1]!S_EST_EPS_INST($E$6,$E$8,C74,$F$4),[1]!S_EST_EPS_INST($E$6,$E$8,$E$9,D74))</f>
        <v>0</v>
      </c>
      <c r="K74" s="222">
        <f ca="1">IF($D$4="自选机构",[1]!S_EST_NEWRATINGTIME_INST($E$6,Y74,$F$4),[1]!S_EST_NEWRATINGTIME_INST($E$6,$E$9,D74))</f>
        <v>0</v>
      </c>
      <c r="L74" s="221">
        <f ca="1">IF($D$4="自选机构",[1]!S_EST_RATINGANALYST($E$6,Y74,$F$4),[1]!S_EST_RATINGANALYST($E$6,$E$9,D74))</f>
        <v>0</v>
      </c>
      <c r="M74" s="221">
        <f ca="1">IF($D$4="自选机构",[1]!S_EST_ORGRATING_INST($E$6,Y74,$F$4),[1]!S_EST_ORGRATING_INST($E$6,$E$9,D74))</f>
        <v>0</v>
      </c>
      <c r="N74" s="223">
        <f ca="1">IF($D$4="自选机构",[1]!S_EST_SCORERATING_INST($E$6,Y74,$F$4),[1]!S_EST_SCORERATING_INST($E$6,$E$9,D74))</f>
        <v>0</v>
      </c>
      <c r="O74" s="221">
        <f ca="1">IF($D$4="自选机构",[1]!S_EST_STDRATING_INST($E$6,Y74,$F$4),[1]!S_EST_STDRATING_INST($E$6,$E$9,D74))</f>
        <v>0</v>
      </c>
      <c r="P74" s="222" t="str">
        <f>IF($D$4="自选机构",[1]!S_EST_FRSTRATINGTIME_INST($E$6,$F$4),[1]!S_EST_FRSTRATINGTIME_INST($E$6,D74))</f>
        <v>2022-10-24</v>
      </c>
      <c r="Q74" s="224" t="str">
        <f t="shared" ca="1" si="1"/>
        <v/>
      </c>
      <c r="R74" s="224"/>
      <c r="S74" s="224"/>
      <c r="T74" s="224"/>
      <c r="U74" s="224"/>
      <c r="V74" s="224"/>
      <c r="W74" s="224"/>
      <c r="X74" s="225">
        <f t="shared" ca="1" si="9"/>
        <v>0</v>
      </c>
      <c r="Y74" s="225">
        <f t="shared" ca="1" si="11"/>
        <v>-1</v>
      </c>
      <c r="Z74" s="226">
        <f ca="1">IF($D$4="自选机构",[1]!S_EST_SCORERATING_INST($E$6,K74-1,$F$4),[1]!S_EST_SCORERATING_INST($E$6,K74-1,D74))</f>
        <v>0</v>
      </c>
      <c r="AA74" s="226">
        <f t="shared" ca="1" si="3"/>
        <v>0</v>
      </c>
      <c r="AB74" s="224" t="str">
        <f t="shared" ca="1" si="10"/>
        <v/>
      </c>
      <c r="AC74" s="227" t="str">
        <f t="shared" ca="1" si="7"/>
        <v/>
      </c>
      <c r="AD74" s="219"/>
    </row>
    <row r="75" spans="3:30" ht="16.5">
      <c r="C75" s="7">
        <f t="shared" ca="1" si="5"/>
        <v>-1</v>
      </c>
      <c r="D75" s="211">
        <v>62</v>
      </c>
      <c r="E75" s="212" t="str">
        <f t="shared" si="8"/>
        <v>万联证券</v>
      </c>
      <c r="F75" s="213">
        <f ca="1">IF($D$4="自选机构",[1]!S_EST_ESTANALYST($E$6,$E$8,C75,$F$4),[1]!S_EST_ESTANALYST($E$6,$E$8,$E$9,D75))</f>
        <v>0</v>
      </c>
      <c r="G75" s="214">
        <f ca="1">IF($D$4="自选机构",[1]!S_EST_ESTNEWTIME_INST($E$6,$E$8,C75,$F$4),[1]!S_EST_ESTNEWTIME_INST($E$6,$E$8,$E$9,D75))</f>
        <v>0</v>
      </c>
      <c r="H75" s="215">
        <f ca="1">IF($D$4="自选机构",[1]!S_EST_SALES_INST($E$6,$E$8,C75,$F$4)/currencyunit,[1]!S_EST_SALES_INST($E$6,$E$8,$E$9,D75)/currencyunit)</f>
        <v>0</v>
      </c>
      <c r="I75" s="215">
        <f ca="1">IF($D$4="自选机构",[1]!S_EST_NETPROFIT_INST($E$6,$E$8,C75,$F$4)/currencyunit,[1]!S_EST_NETPROFIT_INST($E$6,$E$8,$E$9,D75)/currencyunit)</f>
        <v>0</v>
      </c>
      <c r="J75" s="213">
        <f ca="1">IF($D$4="自选机构",[1]!S_EST_EPS_INST($E$6,$E$8,C75,$F$4),[1]!S_EST_EPS_INST($E$6,$E$8,$E$9,D75))</f>
        <v>0</v>
      </c>
      <c r="K75" s="214">
        <f ca="1">IF($D$4="自选机构",[1]!S_EST_NEWRATINGTIME_INST($E$6,Y75,$F$4),[1]!S_EST_NEWRATINGTIME_INST($E$6,$E$9,D75))</f>
        <v>0</v>
      </c>
      <c r="L75" s="213">
        <f ca="1">IF($D$4="自选机构",[1]!S_EST_RATINGANALYST($E$6,Y75,$F$4),[1]!S_EST_RATINGANALYST($E$6,$E$9,D75))</f>
        <v>0</v>
      </c>
      <c r="M75" s="213">
        <f ca="1">IF($D$4="自选机构",[1]!S_EST_ORGRATING_INST($E$6,Y75,$F$4),[1]!S_EST_ORGRATING_INST($E$6,$E$9,D75))</f>
        <v>0</v>
      </c>
      <c r="N75" s="215">
        <f ca="1">IF($D$4="自选机构",[1]!S_EST_SCORERATING_INST($E$6,Y75,$F$4),[1]!S_EST_SCORERATING_INST($E$6,$E$9,D75))</f>
        <v>0</v>
      </c>
      <c r="O75" s="213">
        <f ca="1">IF($D$4="自选机构",[1]!S_EST_STDRATING_INST($E$6,Y75,$F$4),[1]!S_EST_STDRATING_INST($E$6,$E$9,D75))</f>
        <v>0</v>
      </c>
      <c r="P75" s="214" t="str">
        <f>IF($D$4="自选机构",[1]!S_EST_FRSTRATINGTIME_INST($E$6,$F$4),[1]!S_EST_FRSTRATINGTIME_INST($E$6,D75))</f>
        <v>2018-03-26</v>
      </c>
      <c r="Q75" s="153" t="str">
        <f t="shared" ca="1" si="1"/>
        <v/>
      </c>
      <c r="R75" s="153"/>
      <c r="S75" s="153"/>
      <c r="T75" s="153"/>
      <c r="U75" s="153"/>
      <c r="V75" s="153"/>
      <c r="W75" s="153"/>
      <c r="X75" s="216">
        <f t="shared" ca="1" si="9"/>
        <v>0</v>
      </c>
      <c r="Y75" s="216">
        <f t="shared" ca="1" si="11"/>
        <v>-1</v>
      </c>
      <c r="Z75" s="217">
        <f ca="1">IF($D$4="自选机构",[1]!S_EST_SCORERATING_INST($E$6,K75-1,$F$4),[1]!S_EST_SCORERATING_INST($E$6,K75-1,D75))</f>
        <v>0</v>
      </c>
      <c r="AA75" s="217">
        <f t="shared" ca="1" si="3"/>
        <v>0</v>
      </c>
      <c r="AB75" s="153" t="str">
        <f t="shared" ca="1" si="10"/>
        <v/>
      </c>
      <c r="AC75" s="218" t="str">
        <f t="shared" ca="1" si="7"/>
        <v/>
      </c>
      <c r="AD75" s="211"/>
    </row>
    <row r="76" spans="3:30" ht="16.5">
      <c r="C76" s="7">
        <f t="shared" ca="1" si="5"/>
        <v>-1</v>
      </c>
      <c r="D76" s="219">
        <v>63</v>
      </c>
      <c r="E76" s="220" t="str">
        <f t="shared" si="8"/>
        <v>湘财证券</v>
      </c>
      <c r="F76" s="221">
        <f ca="1">IF($D$4="自选机构",[1]!S_EST_ESTANALYST($E$6,$E$8,C76,$F$4),[1]!S_EST_ESTANALYST($E$6,$E$8,$E$9,D76))</f>
        <v>0</v>
      </c>
      <c r="G76" s="222">
        <f ca="1">IF($D$4="自选机构",[1]!S_EST_ESTNEWTIME_INST($E$6,$E$8,C76,$F$4),[1]!S_EST_ESTNEWTIME_INST($E$6,$E$8,$E$9,D76))</f>
        <v>0</v>
      </c>
      <c r="H76" s="223">
        <f ca="1">IF($D$4="自选机构",[1]!S_EST_SALES_INST($E$6,$E$8,C76,$F$4)/currencyunit,[1]!S_EST_SALES_INST($E$6,$E$8,$E$9,D76)/currencyunit)</f>
        <v>0</v>
      </c>
      <c r="I76" s="223">
        <f ca="1">IF($D$4="自选机构",[1]!S_EST_NETPROFIT_INST($E$6,$E$8,C76,$F$4)/currencyunit,[1]!S_EST_NETPROFIT_INST($E$6,$E$8,$E$9,D76)/currencyunit)</f>
        <v>0</v>
      </c>
      <c r="J76" s="221">
        <f ca="1">IF($D$4="自选机构",[1]!S_EST_EPS_INST($E$6,$E$8,C76,$F$4),[1]!S_EST_EPS_INST($E$6,$E$8,$E$9,D76))</f>
        <v>0</v>
      </c>
      <c r="K76" s="222">
        <f ca="1">IF($D$4="自选机构",[1]!S_EST_NEWRATINGTIME_INST($E$6,Y76,$F$4),[1]!S_EST_NEWRATINGTIME_INST($E$6,$E$9,D76))</f>
        <v>0</v>
      </c>
      <c r="L76" s="221">
        <f ca="1">IF($D$4="自选机构",[1]!S_EST_RATINGANALYST($E$6,Y76,$F$4),[1]!S_EST_RATINGANALYST($E$6,$E$9,D76))</f>
        <v>0</v>
      </c>
      <c r="M76" s="221">
        <f ca="1">IF($D$4="自选机构",[1]!S_EST_ORGRATING_INST($E$6,Y76,$F$4),[1]!S_EST_ORGRATING_INST($E$6,$E$9,D76))</f>
        <v>0</v>
      </c>
      <c r="N76" s="223">
        <f ca="1">IF($D$4="自选机构",[1]!S_EST_SCORERATING_INST($E$6,Y76,$F$4),[1]!S_EST_SCORERATING_INST($E$6,$E$9,D76))</f>
        <v>0</v>
      </c>
      <c r="O76" s="221">
        <f ca="1">IF($D$4="自选机构",[1]!S_EST_STDRATING_INST($E$6,Y76,$F$4),[1]!S_EST_STDRATING_INST($E$6,$E$9,D76))</f>
        <v>0</v>
      </c>
      <c r="P76" s="222">
        <f>IF($D$4="自选机构",[1]!S_EST_FRSTRATINGTIME_INST($E$6,$F$4),[1]!S_EST_FRSTRATINGTIME_INST($E$6,D76))</f>
        <v>0</v>
      </c>
      <c r="Q76" s="224" t="str">
        <f t="shared" ca="1" si="1"/>
        <v/>
      </c>
      <c r="R76" s="224"/>
      <c r="S76" s="224"/>
      <c r="T76" s="224"/>
      <c r="U76" s="224"/>
      <c r="V76" s="224"/>
      <c r="W76" s="224"/>
      <c r="X76" s="225">
        <f t="shared" ca="1" si="9"/>
        <v>0</v>
      </c>
      <c r="Y76" s="225">
        <f t="shared" ca="1" si="11"/>
        <v>-1</v>
      </c>
      <c r="Z76" s="226">
        <f ca="1">IF($D$4="自选机构",[1]!S_EST_SCORERATING_INST($E$6,K76-1,$F$4),[1]!S_EST_SCORERATING_INST($E$6,K76-1,D76))</f>
        <v>0</v>
      </c>
      <c r="AA76" s="226">
        <f t="shared" ca="1" si="3"/>
        <v>0</v>
      </c>
      <c r="AB76" s="224" t="str">
        <f t="shared" ca="1" si="10"/>
        <v/>
      </c>
      <c r="AC76" s="227" t="str">
        <f t="shared" ca="1" si="7"/>
        <v/>
      </c>
      <c r="AD76" s="219"/>
    </row>
    <row r="77" spans="3:30" ht="16.5">
      <c r="C77" s="7">
        <f t="shared" ca="1" si="5"/>
        <v>-1</v>
      </c>
      <c r="D77" s="211">
        <v>64</v>
      </c>
      <c r="E77" s="212" t="str">
        <f t="shared" si="8"/>
        <v>新时代证券</v>
      </c>
      <c r="F77" s="213">
        <f ca="1">IF($D$4="自选机构",[1]!S_EST_ESTANALYST($E$6,$E$8,C77,$F$4),[1]!S_EST_ESTANALYST($E$6,$E$8,$E$9,D77))</f>
        <v>0</v>
      </c>
      <c r="G77" s="214">
        <f ca="1">IF($D$4="自选机构",[1]!S_EST_ESTNEWTIME_INST($E$6,$E$8,C77,$F$4),[1]!S_EST_ESTNEWTIME_INST($E$6,$E$8,$E$9,D77))</f>
        <v>0</v>
      </c>
      <c r="H77" s="215">
        <f ca="1">IF($D$4="自选机构",[1]!S_EST_SALES_INST($E$6,$E$8,C77,$F$4)/currencyunit,[1]!S_EST_SALES_INST($E$6,$E$8,$E$9,D77)/currencyunit)</f>
        <v>0</v>
      </c>
      <c r="I77" s="215">
        <f ca="1">IF($D$4="自选机构",[1]!S_EST_NETPROFIT_INST($E$6,$E$8,C77,$F$4)/currencyunit,[1]!S_EST_NETPROFIT_INST($E$6,$E$8,$E$9,D77)/currencyunit)</f>
        <v>0</v>
      </c>
      <c r="J77" s="213">
        <f ca="1">IF($D$4="自选机构",[1]!S_EST_EPS_INST($E$6,$E$8,C77,$F$4),[1]!S_EST_EPS_INST($E$6,$E$8,$E$9,D77))</f>
        <v>0</v>
      </c>
      <c r="K77" s="214">
        <f ca="1">IF($D$4="自选机构",[1]!S_EST_NEWRATINGTIME_INST($E$6,Y77,$F$4),[1]!S_EST_NEWRATINGTIME_INST($E$6,$E$9,D77))</f>
        <v>0</v>
      </c>
      <c r="L77" s="213">
        <f ca="1">IF($D$4="自选机构",[1]!S_EST_RATINGANALYST($E$6,Y77,$F$4),[1]!S_EST_RATINGANALYST($E$6,$E$9,D77))</f>
        <v>0</v>
      </c>
      <c r="M77" s="213">
        <f ca="1">IF($D$4="自选机构",[1]!S_EST_ORGRATING_INST($E$6,Y77,$F$4),[1]!S_EST_ORGRATING_INST($E$6,$E$9,D77))</f>
        <v>0</v>
      </c>
      <c r="N77" s="215">
        <f ca="1">IF($D$4="自选机构",[1]!S_EST_SCORERATING_INST($E$6,Y77,$F$4),[1]!S_EST_SCORERATING_INST($E$6,$E$9,D77))</f>
        <v>0</v>
      </c>
      <c r="O77" s="213">
        <f ca="1">IF($D$4="自选机构",[1]!S_EST_STDRATING_INST($E$6,Y77,$F$4),[1]!S_EST_STDRATING_INST($E$6,$E$9,D77))</f>
        <v>0</v>
      </c>
      <c r="P77" s="214">
        <f>IF($D$4="自选机构",[1]!S_EST_FRSTRATINGTIME_INST($E$6,$F$4),[1]!S_EST_FRSTRATINGTIME_INST($E$6,D77))</f>
        <v>0</v>
      </c>
      <c r="Q77" s="153" t="str">
        <f t="shared" ca="1" si="1"/>
        <v/>
      </c>
      <c r="R77" s="153"/>
      <c r="S77" s="153"/>
      <c r="T77" s="153"/>
      <c r="U77" s="153"/>
      <c r="V77" s="153"/>
      <c r="W77" s="153"/>
      <c r="X77" s="216">
        <f t="shared" ca="1" si="9"/>
        <v>0</v>
      </c>
      <c r="Y77" s="216">
        <f t="shared" ca="1" si="11"/>
        <v>-1</v>
      </c>
      <c r="Z77" s="217">
        <f ca="1">IF($D$4="自选机构",[1]!S_EST_SCORERATING_INST($E$6,K77-1,$F$4),[1]!S_EST_SCORERATING_INST($E$6,K77-1,D77))</f>
        <v>0</v>
      </c>
      <c r="AA77" s="217">
        <f t="shared" ca="1" si="3"/>
        <v>0</v>
      </c>
      <c r="AB77" s="153" t="str">
        <f t="shared" ca="1" si="10"/>
        <v/>
      </c>
      <c r="AC77" s="218" t="str">
        <f t="shared" ca="1" si="7"/>
        <v/>
      </c>
      <c r="AD77" s="211"/>
    </row>
    <row r="78" spans="3:30" ht="16.5">
      <c r="C78" s="7">
        <f t="shared" ca="1" si="5"/>
        <v>-1</v>
      </c>
      <c r="D78" s="219">
        <v>65</v>
      </c>
      <c r="E78" s="220" t="str">
        <f t="shared" si="8"/>
        <v>信达证券</v>
      </c>
      <c r="F78" s="221">
        <f ca="1">IF($D$4="自选机构",[1]!S_EST_ESTANALYST($E$6,$E$8,C78,$F$4),[1]!S_EST_ESTANALYST($E$6,$E$8,$E$9,D78))</f>
        <v>0</v>
      </c>
      <c r="G78" s="222">
        <f ca="1">IF($D$4="自选机构",[1]!S_EST_ESTNEWTIME_INST($E$6,$E$8,C78,$F$4),[1]!S_EST_ESTNEWTIME_INST($E$6,$E$8,$E$9,D78))</f>
        <v>0</v>
      </c>
      <c r="H78" s="223">
        <f ca="1">IF($D$4="自选机构",[1]!S_EST_SALES_INST($E$6,$E$8,C78,$F$4)/currencyunit,[1]!S_EST_SALES_INST($E$6,$E$8,$E$9,D78)/currencyunit)</f>
        <v>0</v>
      </c>
      <c r="I78" s="223">
        <f ca="1">IF($D$4="自选机构",[1]!S_EST_NETPROFIT_INST($E$6,$E$8,C78,$F$4)/currencyunit,[1]!S_EST_NETPROFIT_INST($E$6,$E$8,$E$9,D78)/currencyunit)</f>
        <v>0</v>
      </c>
      <c r="J78" s="221">
        <f ca="1">IF($D$4="自选机构",[1]!S_EST_EPS_INST($E$6,$E$8,C78,$F$4),[1]!S_EST_EPS_INST($E$6,$E$8,$E$9,D78))</f>
        <v>0</v>
      </c>
      <c r="K78" s="222">
        <f ca="1">IF($D$4="自选机构",[1]!S_EST_NEWRATINGTIME_INST($E$6,Y78,$F$4),[1]!S_EST_NEWRATINGTIME_INST($E$6,$E$9,D78))</f>
        <v>0</v>
      </c>
      <c r="L78" s="221">
        <f ca="1">IF($D$4="自选机构",[1]!S_EST_RATINGANALYST($E$6,Y78,$F$4),[1]!S_EST_RATINGANALYST($E$6,$E$9,D78))</f>
        <v>0</v>
      </c>
      <c r="M78" s="221">
        <f ca="1">IF($D$4="自选机构",[1]!S_EST_ORGRATING_INST($E$6,Y78,$F$4),[1]!S_EST_ORGRATING_INST($E$6,$E$9,D78))</f>
        <v>0</v>
      </c>
      <c r="N78" s="223">
        <f ca="1">IF($D$4="自选机构",[1]!S_EST_SCORERATING_INST($E$6,Y78,$F$4),[1]!S_EST_SCORERATING_INST($E$6,$E$9,D78))</f>
        <v>0</v>
      </c>
      <c r="O78" s="221">
        <f ca="1">IF($D$4="自选机构",[1]!S_EST_STDRATING_INST($E$6,Y78,$F$4),[1]!S_EST_STDRATING_INST($E$6,$E$9,D78))</f>
        <v>0</v>
      </c>
      <c r="P78" s="222" t="str">
        <f>IF($D$4="自选机构",[1]!S_EST_FRSTRATINGTIME_INST($E$6,$F$4),[1]!S_EST_FRSTRATINGTIME_INST($E$6,D78))</f>
        <v>2008-10-10</v>
      </c>
      <c r="Q78" s="224" t="str">
        <f t="shared" ca="1" si="1"/>
        <v/>
      </c>
      <c r="R78" s="224"/>
      <c r="S78" s="224"/>
      <c r="T78" s="224"/>
      <c r="U78" s="224"/>
      <c r="V78" s="224"/>
      <c r="W78" s="224"/>
      <c r="X78" s="225">
        <f t="shared" ca="1" si="9"/>
        <v>0</v>
      </c>
      <c r="Y78" s="225">
        <f t="shared" ca="1" si="11"/>
        <v>-1</v>
      </c>
      <c r="Z78" s="226">
        <f ca="1">IF($D$4="自选机构",[1]!S_EST_SCORERATING_INST($E$6,K78-1,$F$4),[1]!S_EST_SCORERATING_INST($E$6,K78-1,D78))</f>
        <v>0</v>
      </c>
      <c r="AA78" s="226">
        <f t="shared" ca="1" si="3"/>
        <v>0</v>
      </c>
      <c r="AB78" s="224" t="str">
        <f t="shared" ca="1" si="10"/>
        <v/>
      </c>
      <c r="AC78" s="227" t="str">
        <f t="shared" ca="1" si="7"/>
        <v/>
      </c>
      <c r="AD78" s="219"/>
    </row>
    <row r="79" spans="3:30" ht="16.5">
      <c r="C79" s="7">
        <f t="shared" ca="1" si="5"/>
        <v>-1</v>
      </c>
      <c r="D79" s="211">
        <v>66</v>
      </c>
      <c r="E79" s="212" t="str">
        <f t="shared" ref="E79:E99" si="12">IF($D$4="自选机构",$E$4,VLOOKUP(D79,Institutionlist,2,FALSE))</f>
        <v>英大证券</v>
      </c>
      <c r="F79" s="213">
        <f ca="1">IF($D$4="自选机构",[1]!S_EST_ESTANALYST($E$6,$E$8,C79,$F$4),[1]!S_EST_ESTANALYST($E$6,$E$8,$E$9,D79))</f>
        <v>0</v>
      </c>
      <c r="G79" s="214">
        <f ca="1">IF($D$4="自选机构",[1]!S_EST_ESTNEWTIME_INST($E$6,$E$8,C79,$F$4),[1]!S_EST_ESTNEWTIME_INST($E$6,$E$8,$E$9,D79))</f>
        <v>0</v>
      </c>
      <c r="H79" s="215">
        <f ca="1">IF($D$4="自选机构",[1]!S_EST_SALES_INST($E$6,$E$8,C79,$F$4)/currencyunit,[1]!S_EST_SALES_INST($E$6,$E$8,$E$9,D79)/currencyunit)</f>
        <v>0</v>
      </c>
      <c r="I79" s="215">
        <f ca="1">IF($D$4="自选机构",[1]!S_EST_NETPROFIT_INST($E$6,$E$8,C79,$F$4)/currencyunit,[1]!S_EST_NETPROFIT_INST($E$6,$E$8,$E$9,D79)/currencyunit)</f>
        <v>0</v>
      </c>
      <c r="J79" s="213">
        <f ca="1">IF($D$4="自选机构",[1]!S_EST_EPS_INST($E$6,$E$8,C79,$F$4),[1]!S_EST_EPS_INST($E$6,$E$8,$E$9,D79))</f>
        <v>0</v>
      </c>
      <c r="K79" s="214">
        <f ca="1">IF($D$4="自选机构",[1]!S_EST_NEWRATINGTIME_INST($E$6,Y79,$F$4),[1]!S_EST_NEWRATINGTIME_INST($E$6,$E$9,D79))</f>
        <v>0</v>
      </c>
      <c r="L79" s="213">
        <f ca="1">IF($D$4="自选机构",[1]!S_EST_RATINGANALYST($E$6,Y79,$F$4),[1]!S_EST_RATINGANALYST($E$6,$E$9,D79))</f>
        <v>0</v>
      </c>
      <c r="M79" s="213">
        <f ca="1">IF($D$4="自选机构",[1]!S_EST_ORGRATING_INST($E$6,Y79,$F$4),[1]!S_EST_ORGRATING_INST($E$6,$E$9,D79))</f>
        <v>0</v>
      </c>
      <c r="N79" s="215">
        <f ca="1">IF($D$4="自选机构",[1]!S_EST_SCORERATING_INST($E$6,Y79,$F$4),[1]!S_EST_SCORERATING_INST($E$6,$E$9,D79))</f>
        <v>0</v>
      </c>
      <c r="O79" s="213">
        <f ca="1">IF($D$4="自选机构",[1]!S_EST_STDRATING_INST($E$6,Y79,$F$4),[1]!S_EST_STDRATING_INST($E$6,$E$9,D79))</f>
        <v>0</v>
      </c>
      <c r="P79" s="214">
        <f>IF($D$4="自选机构",[1]!S_EST_FRSTRATINGTIME_INST($E$6,$F$4),[1]!S_EST_FRSTRATINGTIME_INST($E$6,D79))</f>
        <v>0</v>
      </c>
      <c r="Q79" s="153" t="str">
        <f t="shared" ref="Q79:Q99" ca="1" si="13">IF(G79-$F$10&gt;=0,1,"")</f>
        <v/>
      </c>
      <c r="R79" s="153"/>
      <c r="S79" s="153"/>
      <c r="T79" s="153"/>
      <c r="U79" s="153"/>
      <c r="V79" s="153"/>
      <c r="W79" s="153"/>
      <c r="X79" s="216">
        <f t="shared" ref="X79:X99" ca="1" si="14">--G79</f>
        <v>0</v>
      </c>
      <c r="Y79" s="216">
        <f t="shared" ca="1" si="11"/>
        <v>-1</v>
      </c>
      <c r="Z79" s="217">
        <f ca="1">IF($D$4="自选机构",[1]!S_EST_SCORERATING_INST($E$6,K79-1,$F$4),[1]!S_EST_SCORERATING_INST($E$6,K79-1,D79))</f>
        <v>0</v>
      </c>
      <c r="AA79" s="217">
        <f t="shared" ref="AA79:AA99" ca="1" si="15">IFERROR(IF(Z79/N79&gt;1,"评级上调",IF(Z79/N79=1,"评级不变",IF(Z79/N79&gt;0,"评级下调","首次评级"))),0)</f>
        <v>0</v>
      </c>
      <c r="AB79" s="153" t="str">
        <f t="shared" ref="AB79:AB99" ca="1" si="16">IF(K79-$F$10&gt;=0,1,"")</f>
        <v/>
      </c>
      <c r="AC79" s="218" t="str">
        <f t="shared" ref="AC79:AC83" ca="1" si="17">IF(ISERROR(AA79),"",IF(AA79="评级不变",0,IF(AA79="评级下调",-1,IF(AA79="评级上调",1,""))))</f>
        <v/>
      </c>
      <c r="AD79" s="211"/>
    </row>
    <row r="80" spans="3:30" ht="16.5">
      <c r="C80" s="7">
        <f t="shared" ref="C80:C99" ca="1" si="18">G79-1</f>
        <v>-1</v>
      </c>
      <c r="D80" s="219">
        <v>67</v>
      </c>
      <c r="E80" s="220" t="str">
        <f t="shared" si="12"/>
        <v>浙商证券</v>
      </c>
      <c r="F80" s="221" t="str">
        <f ca="1">IF($D$4="自选机构",[1]!S_EST_ESTANALYST($E$6,$E$8,C80,$F$4),[1]!S_EST_ESTANALYST($E$6,$E$8,$E$9,D80))</f>
        <v>沈皓俊</v>
      </c>
      <c r="G80" s="222" t="str">
        <f ca="1">IF($D$4="自选机构",[1]!S_EST_ESTNEWTIME_INST($E$6,$E$8,C80,$F$4),[1]!S_EST_ESTNEWTIME_INST($E$6,$E$8,$E$9,D80))</f>
        <v>2026-01-28</v>
      </c>
      <c r="H80" s="223">
        <f ca="1">IF($D$4="自选机构",[1]!S_EST_SALES_INST($E$6,$E$8,C80,$F$4)/currencyunit,[1]!S_EST_SALES_INST($E$6,$E$8,$E$9,D80)/currencyunit)</f>
        <v>418387</v>
      </c>
      <c r="I80" s="223">
        <f ca="1">IF($D$4="自选机构",[1]!S_EST_NETPROFIT_INST($E$6,$E$8,C80,$F$4)/currencyunit,[1]!S_EST_NETPROFIT_INST($E$6,$E$8,$E$9,D80)/currencyunit)</f>
        <v>92612</v>
      </c>
      <c r="J80" s="221">
        <f ca="1">IF($D$4="自选机构",[1]!S_EST_EPS_INST($E$6,$E$8,C80,$F$4),[1]!S_EST_EPS_INST($E$6,$E$8,$E$9,D80))</f>
        <v>3.48</v>
      </c>
      <c r="K80" s="222" t="str">
        <f ca="1">IF($D$4="自选机构",[1]!S_EST_NEWRATINGTIME_INST($E$6,Y80,$F$4),[1]!S_EST_NEWRATINGTIME_INST($E$6,$E$9,D80))</f>
        <v>2026-01-28</v>
      </c>
      <c r="L80" s="221" t="str">
        <f ca="1">IF($D$4="自选机构",[1]!S_EST_RATINGANALYST($E$6,Y80,$F$4),[1]!S_EST_RATINGANALYST($E$6,$E$9,D80))</f>
        <v>沈皓俊</v>
      </c>
      <c r="M80" s="221" t="str">
        <f ca="1">IF($D$4="自选机构",[1]!S_EST_ORGRATING_INST($E$6,Y80,$F$4),[1]!S_EST_ORGRATING_INST($E$6,$E$9,D80))</f>
        <v>浙商证券_买入_1</v>
      </c>
      <c r="N80" s="223">
        <f ca="1">IF($D$4="自选机构",[1]!S_EST_SCORERATING_INST($E$6,Y80,$F$4),[1]!S_EST_SCORERATING_INST($E$6,$E$9,D80))</f>
        <v>1</v>
      </c>
      <c r="O80" s="221" t="str">
        <f ca="1">IF($D$4="自选机构",[1]!S_EST_STDRATING_INST($E$6,Y80,$F$4),[1]!S_EST_STDRATING_INST($E$6,$E$9,D80))</f>
        <v>买入</v>
      </c>
      <c r="P80" s="222" t="str">
        <f>IF($D$4="自选机构",[1]!S_EST_FRSTRATINGTIME_INST($E$6,$F$4),[1]!S_EST_FRSTRATINGTIME_INST($E$6,D80))</f>
        <v>2023-01-11</v>
      </c>
      <c r="Q80" s="224">
        <f t="shared" ca="1" si="13"/>
        <v>1</v>
      </c>
      <c r="R80" s="224"/>
      <c r="S80" s="224"/>
      <c r="T80" s="224"/>
      <c r="U80" s="224"/>
      <c r="V80" s="224"/>
      <c r="W80" s="224"/>
      <c r="X80" s="225">
        <f t="shared" ca="1" si="14"/>
        <v>46050</v>
      </c>
      <c r="Y80" s="225">
        <f t="shared" ref="Y80:Y99" ca="1" si="19">K79-1</f>
        <v>-1</v>
      </c>
      <c r="Z80" s="226">
        <f ca="1">IF($D$4="自选机构",[1]!S_EST_SCORERATING_INST($E$6,K80-1,$F$4),[1]!S_EST_SCORERATING_INST($E$6,K80-1,D80))</f>
        <v>0</v>
      </c>
      <c r="AA80" s="226" t="str">
        <f t="shared" ca="1" si="15"/>
        <v>首次评级</v>
      </c>
      <c r="AB80" s="224">
        <f t="shared" ca="1" si="16"/>
        <v>1</v>
      </c>
      <c r="AC80" s="227" t="str">
        <f t="shared" ca="1" si="17"/>
        <v/>
      </c>
      <c r="AD80" s="219"/>
    </row>
    <row r="81" spans="3:30" ht="16.5">
      <c r="C81" s="7">
        <f t="shared" ca="1" si="18"/>
        <v>46049</v>
      </c>
      <c r="D81" s="211">
        <v>68</v>
      </c>
      <c r="E81" s="212" t="str">
        <f t="shared" si="12"/>
        <v>中信万通</v>
      </c>
      <c r="F81" s="213">
        <f ca="1">IF($D$4="自选机构",[1]!S_EST_ESTANALYST($E$6,$E$8,C81,$F$4),[1]!S_EST_ESTANALYST($E$6,$E$8,$E$9,D81))</f>
        <v>0</v>
      </c>
      <c r="G81" s="214">
        <f ca="1">IF($D$4="自选机构",[1]!S_EST_ESTNEWTIME_INST($E$6,$E$8,C81,$F$4),[1]!S_EST_ESTNEWTIME_INST($E$6,$E$8,$E$9,D81))</f>
        <v>0</v>
      </c>
      <c r="H81" s="215">
        <f ca="1">IF($D$4="自选机构",[1]!S_EST_SALES_INST($E$6,$E$8,C81,$F$4)/currencyunit,[1]!S_EST_SALES_INST($E$6,$E$8,$E$9,D81)/currencyunit)</f>
        <v>0</v>
      </c>
      <c r="I81" s="215">
        <f ca="1">IF($D$4="自选机构",[1]!S_EST_NETPROFIT_INST($E$6,$E$8,C81,$F$4)/currencyunit,[1]!S_EST_NETPROFIT_INST($E$6,$E$8,$E$9,D81)/currencyunit)</f>
        <v>0</v>
      </c>
      <c r="J81" s="213">
        <f ca="1">IF($D$4="自选机构",[1]!S_EST_EPS_INST($E$6,$E$8,C81,$F$4),[1]!S_EST_EPS_INST($E$6,$E$8,$E$9,D81))</f>
        <v>0</v>
      </c>
      <c r="K81" s="214">
        <f ca="1">IF($D$4="自选机构",[1]!S_EST_NEWRATINGTIME_INST($E$6,Y81,$F$4),[1]!S_EST_NEWRATINGTIME_INST($E$6,$E$9,D81))</f>
        <v>0</v>
      </c>
      <c r="L81" s="213">
        <f ca="1">IF($D$4="自选机构",[1]!S_EST_RATINGANALYST($E$6,Y81,$F$4),[1]!S_EST_RATINGANALYST($E$6,$E$9,D81))</f>
        <v>0</v>
      </c>
      <c r="M81" s="213">
        <f ca="1">IF($D$4="自选机构",[1]!S_EST_ORGRATING_INST($E$6,Y81,$F$4),[1]!S_EST_ORGRATING_INST($E$6,$E$9,D81))</f>
        <v>0</v>
      </c>
      <c r="N81" s="215">
        <f ca="1">IF($D$4="自选机构",[1]!S_EST_SCORERATING_INST($E$6,Y81,$F$4),[1]!S_EST_SCORERATING_INST($E$6,$E$9,D81))</f>
        <v>0</v>
      </c>
      <c r="O81" s="213">
        <f ca="1">IF($D$4="自选机构",[1]!S_EST_STDRATING_INST($E$6,Y81,$F$4),[1]!S_EST_STDRATING_INST($E$6,$E$9,D81))</f>
        <v>0</v>
      </c>
      <c r="P81" s="214">
        <f>IF($D$4="自选机构",[1]!S_EST_FRSTRATINGTIME_INST($E$6,$F$4),[1]!S_EST_FRSTRATINGTIME_INST($E$6,D81))</f>
        <v>0</v>
      </c>
      <c r="Q81" s="153" t="str">
        <f t="shared" ca="1" si="13"/>
        <v/>
      </c>
      <c r="R81" s="153"/>
      <c r="S81" s="153"/>
      <c r="T81" s="153"/>
      <c r="U81" s="153"/>
      <c r="V81" s="153"/>
      <c r="W81" s="153"/>
      <c r="X81" s="216">
        <f t="shared" ca="1" si="14"/>
        <v>0</v>
      </c>
      <c r="Y81" s="216">
        <f t="shared" ca="1" si="19"/>
        <v>46049</v>
      </c>
      <c r="Z81" s="217">
        <f ca="1">IF($D$4="自选机构",[1]!S_EST_SCORERATING_INST($E$6,K81-1,$F$4),[1]!S_EST_SCORERATING_INST($E$6,K81-1,D81))</f>
        <v>0</v>
      </c>
      <c r="AA81" s="217">
        <f t="shared" ca="1" si="15"/>
        <v>0</v>
      </c>
      <c r="AB81" s="153" t="str">
        <f t="shared" ca="1" si="16"/>
        <v/>
      </c>
      <c r="AC81" s="218" t="str">
        <f t="shared" ca="1" si="17"/>
        <v/>
      </c>
      <c r="AD81" s="211"/>
    </row>
    <row r="82" spans="3:30" ht="16.5">
      <c r="C82" s="7">
        <f t="shared" ca="1" si="18"/>
        <v>-1</v>
      </c>
      <c r="D82" s="219">
        <v>69</v>
      </c>
      <c r="E82" s="220" t="str">
        <f t="shared" si="12"/>
        <v>中邮证券</v>
      </c>
      <c r="F82" s="221" t="str">
        <f ca="1">IF($D$4="自选机构",[1]!S_EST_ESTANALYST($E$6,$E$8,C82,$F$4),[1]!S_EST_ESTANALYST($E$6,$E$8,$E$9,D82))</f>
        <v>杨丰源</v>
      </c>
      <c r="G82" s="222" t="str">
        <f ca="1">IF($D$4="自选机构",[1]!S_EST_ESTNEWTIME_INST($E$6,$E$8,C82,$F$4),[1]!S_EST_ESTNEWTIME_INST($E$6,$E$8,$E$9,D82))</f>
        <v>2025-10-21</v>
      </c>
      <c r="H82" s="223">
        <f ca="1">IF($D$4="自选机构",[1]!S_EST_SALES_INST($E$6,$E$8,C82,$F$4)/currencyunit,[1]!S_EST_SALES_INST($E$6,$E$8,$E$9,D82)/currencyunit)</f>
        <v>525603</v>
      </c>
      <c r="I82" s="223">
        <f ca="1">IF($D$4="自选机构",[1]!S_EST_NETPROFIT_INST($E$6,$E$8,C82,$F$4)/currencyunit,[1]!S_EST_NETPROFIT_INST($E$6,$E$8,$E$9,D82)/currencyunit)</f>
        <v>68447.12</v>
      </c>
      <c r="J82" s="221">
        <f ca="1">IF($D$4="自选机构",[1]!S_EST_EPS_INST($E$6,$E$8,C82,$F$4),[1]!S_EST_EPS_INST($E$6,$E$8,$E$9,D82))</f>
        <v>2.58</v>
      </c>
      <c r="K82" s="222" t="str">
        <f ca="1">IF($D$4="自选机构",[1]!S_EST_NEWRATINGTIME_INST($E$6,Y82,$F$4),[1]!S_EST_NEWRATINGTIME_INST($E$6,$E$9,D82))</f>
        <v>2025-10-21</v>
      </c>
      <c r="L82" s="221" t="str">
        <f ca="1">IF($D$4="自选机构",[1]!S_EST_RATINGANALYST($E$6,Y82,$F$4),[1]!S_EST_RATINGANALYST($E$6,$E$9,D82))</f>
        <v>杨丰源</v>
      </c>
      <c r="M82" s="221" t="str">
        <f ca="1">IF($D$4="自选机构",[1]!S_EST_ORGRATING_INST($E$6,Y82,$F$4),[1]!S_EST_ORGRATING_INST($E$6,$E$9,D82))</f>
        <v>中邮证券_买入_1</v>
      </c>
      <c r="N82" s="223">
        <f ca="1">IF($D$4="自选机构",[1]!S_EST_SCORERATING_INST($E$6,Y82,$F$4),[1]!S_EST_SCORERATING_INST($E$6,$E$9,D82))</f>
        <v>1</v>
      </c>
      <c r="O82" s="221" t="str">
        <f ca="1">IF($D$4="自选机构",[1]!S_EST_STDRATING_INST($E$6,Y82,$F$4),[1]!S_EST_STDRATING_INST($E$6,$E$9,D82))</f>
        <v>买入</v>
      </c>
      <c r="P82" s="222" t="str">
        <f>IF($D$4="自选机构",[1]!S_EST_FRSTRATINGTIME_INST($E$6,$F$4),[1]!S_EST_FRSTRATINGTIME_INST($E$6,D82))</f>
        <v>2019-07-05</v>
      </c>
      <c r="Q82" s="224" t="str">
        <f t="shared" ca="1" si="13"/>
        <v/>
      </c>
      <c r="R82" s="224"/>
      <c r="S82" s="224"/>
      <c r="T82" s="224"/>
      <c r="U82" s="224"/>
      <c r="V82" s="224"/>
      <c r="W82" s="224"/>
      <c r="X82" s="225">
        <f t="shared" ca="1" si="14"/>
        <v>45951</v>
      </c>
      <c r="Y82" s="225">
        <f t="shared" ca="1" si="19"/>
        <v>-1</v>
      </c>
      <c r="Z82" s="226">
        <f ca="1">IF($D$4="自选机构",[1]!S_EST_SCORERATING_INST($E$6,K82-1,$F$4),[1]!S_EST_SCORERATING_INST($E$6,K82-1,D82))</f>
        <v>1</v>
      </c>
      <c r="AA82" s="226" t="str">
        <f t="shared" ca="1" si="15"/>
        <v>评级不变</v>
      </c>
      <c r="AB82" s="224" t="str">
        <f t="shared" ca="1" si="16"/>
        <v/>
      </c>
      <c r="AC82" s="227">
        <f t="shared" ca="1" si="17"/>
        <v>0</v>
      </c>
      <c r="AD82" s="219"/>
    </row>
    <row r="83" spans="3:30" ht="16.5">
      <c r="C83" s="7">
        <f t="shared" ca="1" si="18"/>
        <v>45950</v>
      </c>
      <c r="D83" s="211">
        <v>70</v>
      </c>
      <c r="E83" s="212" t="str">
        <f t="shared" si="12"/>
        <v>中原证券</v>
      </c>
      <c r="F83" s="213" t="str">
        <f ca="1">IF($D$4="自选机构",[1]!S_EST_ESTANALYST($E$6,$E$8,C83,$F$4),[1]!S_EST_ESTANALYST($E$6,$E$8,$E$9,D83))</f>
        <v>李泽森</v>
      </c>
      <c r="G83" s="214" t="str">
        <f ca="1">IF($D$4="自选机构",[1]!S_EST_ESTNEWTIME_INST($E$6,$E$8,C83,$F$4),[1]!S_EST_ESTNEWTIME_INST($E$6,$E$8,$E$9,D83))</f>
        <v>2024-04-23</v>
      </c>
      <c r="H83" s="215">
        <f ca="1">IF($D$4="自选机构",[1]!S_EST_SALES_INST($E$6,$E$8,C83,$F$4)/currencyunit,[1]!S_EST_SALES_INST($E$6,$E$8,$E$9,D83)/currencyunit)</f>
        <v>372613</v>
      </c>
      <c r="I83" s="215">
        <f ca="1">IF($D$4="自选机构",[1]!S_EST_NETPROFIT_INST($E$6,$E$8,C83,$F$4)/currencyunit,[1]!S_EST_NETPROFIT_INST($E$6,$E$8,$E$9,D83)/currencyunit)</f>
        <v>29060</v>
      </c>
      <c r="J83" s="213">
        <f ca="1">IF($D$4="自选机构",[1]!S_EST_EPS_INST($E$6,$E$8,C83,$F$4),[1]!S_EST_EPS_INST($E$6,$E$8,$E$9,D83))</f>
        <v>1.1000000000000001</v>
      </c>
      <c r="K83" s="214">
        <f ca="1">IF($D$4="自选机构",[1]!S_EST_NEWRATINGTIME_INST($E$6,Y83,$F$4),[1]!S_EST_NEWRATINGTIME_INST($E$6,$E$9,D83))</f>
        <v>0</v>
      </c>
      <c r="L83" s="213">
        <f ca="1">IF($D$4="自选机构",[1]!S_EST_RATINGANALYST($E$6,Y83,$F$4),[1]!S_EST_RATINGANALYST($E$6,$E$9,D83))</f>
        <v>0</v>
      </c>
      <c r="M83" s="213">
        <f ca="1">IF($D$4="自选机构",[1]!S_EST_ORGRATING_INST($E$6,Y83,$F$4),[1]!S_EST_ORGRATING_INST($E$6,$E$9,D83))</f>
        <v>0</v>
      </c>
      <c r="N83" s="215">
        <f ca="1">IF($D$4="自选机构",[1]!S_EST_SCORERATING_INST($E$6,Y83,$F$4),[1]!S_EST_SCORERATING_INST($E$6,$E$9,D83))</f>
        <v>0</v>
      </c>
      <c r="O83" s="213">
        <f ca="1">IF($D$4="自选机构",[1]!S_EST_STDRATING_INST($E$6,Y83,$F$4),[1]!S_EST_STDRATING_INST($E$6,$E$9,D83))</f>
        <v>0</v>
      </c>
      <c r="P83" s="214" t="str">
        <f>IF($D$4="自选机构",[1]!S_EST_FRSTRATINGTIME_INST($E$6,$F$4),[1]!S_EST_FRSTRATINGTIME_INST($E$6,D83))</f>
        <v>2012-03-29</v>
      </c>
      <c r="Q83" s="153" t="str">
        <f t="shared" ca="1" si="13"/>
        <v/>
      </c>
      <c r="R83" s="153"/>
      <c r="S83" s="153"/>
      <c r="T83" s="153"/>
      <c r="U83" s="153"/>
      <c r="V83" s="153"/>
      <c r="W83" s="153"/>
      <c r="X83" s="216">
        <f t="shared" ca="1" si="14"/>
        <v>45405</v>
      </c>
      <c r="Y83" s="216">
        <f t="shared" ca="1" si="19"/>
        <v>45950</v>
      </c>
      <c r="Z83" s="217">
        <f ca="1">IF($D$4="自选机构",[1]!S_EST_SCORERATING_INST($E$6,K83-1,$F$4),[1]!S_EST_SCORERATING_INST($E$6,K83-1,D83))</f>
        <v>0</v>
      </c>
      <c r="AA83" s="217">
        <f t="shared" ca="1" si="15"/>
        <v>0</v>
      </c>
      <c r="AB83" s="153" t="str">
        <f t="shared" ca="1" si="16"/>
        <v/>
      </c>
      <c r="AC83" s="218" t="str">
        <f t="shared" ca="1" si="17"/>
        <v/>
      </c>
      <c r="AD83" s="211"/>
    </row>
    <row r="84" spans="3:30" ht="16.5">
      <c r="C84" s="7">
        <f t="shared" ca="1" si="18"/>
        <v>45404</v>
      </c>
      <c r="D84" s="219">
        <v>71</v>
      </c>
      <c r="E84" s="220" t="str">
        <f t="shared" si="12"/>
        <v>中金证券</v>
      </c>
      <c r="F84" s="221">
        <f ca="1">IF($D$4="自选机构",[1]!S_EST_ESTANALYST($E$6,$E$8,C84,$F$4),[1]!S_EST_ESTANALYST($E$6,$E$8,$E$9,D84))</f>
        <v>0</v>
      </c>
      <c r="G84" s="222">
        <f ca="1">IF($D$4="自选机构",[1]!S_EST_ESTNEWTIME_INST($E$6,$E$8,C84,$F$4),[1]!S_EST_ESTNEWTIME_INST($E$6,$E$8,$E$9,D84))</f>
        <v>0</v>
      </c>
      <c r="H84" s="223">
        <f ca="1">IF($D$4="自选机构",[1]!S_EST_SALES_INST($E$6,$E$8,C84,$F$4)/currencyunit,[1]!S_EST_SALES_INST($E$6,$E$8,$E$9,D84)/currencyunit)</f>
        <v>0</v>
      </c>
      <c r="I84" s="223">
        <f ca="1">IF($D$4="自选机构",[1]!S_EST_NETPROFIT_INST($E$6,$E$8,C84,$F$4)/currencyunit,[1]!S_EST_NETPROFIT_INST($E$6,$E$8,$E$9,D84)/currencyunit)</f>
        <v>0</v>
      </c>
      <c r="J84" s="221">
        <f ca="1">IF($D$4="自选机构",[1]!S_EST_EPS_INST($E$6,$E$8,C84,$F$4),[1]!S_EST_EPS_INST($E$6,$E$8,$E$9,D84))</f>
        <v>0</v>
      </c>
      <c r="K84" s="222">
        <f ca="1">IF($D$4="自选机构",[1]!S_EST_NEWRATINGTIME_INST($E$6,Y84,$F$4),[1]!S_EST_NEWRATINGTIME_INST($E$6,$E$9,D84))</f>
        <v>0</v>
      </c>
      <c r="L84" s="221">
        <f ca="1">IF($D$4="自选机构",[1]!S_EST_RATINGANALYST($E$6,Y84,$F$4),[1]!S_EST_RATINGANALYST($E$6,$E$9,D84))</f>
        <v>0</v>
      </c>
      <c r="M84" s="221">
        <f ca="1">IF($D$4="自选机构",[1]!S_EST_ORGRATING_INST($E$6,Y84,$F$4),[1]!S_EST_ORGRATING_INST($E$6,$E$9,D84))</f>
        <v>0</v>
      </c>
      <c r="N84" s="223">
        <f ca="1">IF($D$4="自选机构",[1]!S_EST_SCORERATING_INST($E$6,Y84,$F$4),[1]!S_EST_SCORERATING_INST($E$6,$E$9,D84))</f>
        <v>0</v>
      </c>
      <c r="O84" s="221">
        <f ca="1">IF($D$4="自选机构",[1]!S_EST_STDRATING_INST($E$6,Y84,$F$4),[1]!S_EST_STDRATING_INST($E$6,$E$9,D84))</f>
        <v>0</v>
      </c>
      <c r="P84" s="222">
        <f>IF($D$4="自选机构",[1]!S_EST_FRSTRATINGTIME_INST($E$6,$F$4),[1]!S_EST_FRSTRATINGTIME_INST($E$6,D84))</f>
        <v>0</v>
      </c>
      <c r="Q84" s="224" t="str">
        <f t="shared" ca="1" si="13"/>
        <v/>
      </c>
      <c r="R84" s="224"/>
      <c r="S84" s="224"/>
      <c r="T84" s="224"/>
      <c r="U84" s="224"/>
      <c r="V84" s="224"/>
      <c r="W84" s="224"/>
      <c r="X84" s="225">
        <f t="shared" ca="1" si="14"/>
        <v>0</v>
      </c>
      <c r="Y84" s="225">
        <f t="shared" ca="1" si="19"/>
        <v>-1</v>
      </c>
      <c r="Z84" s="226">
        <f ca="1">IF($D$4="自选机构",[1]!S_EST_SCORERATING_INST($E$6,K84-1,$F$4),[1]!S_EST_SCORERATING_INST($E$6,K84-1,D84))</f>
        <v>0</v>
      </c>
      <c r="AA84" s="226">
        <f t="shared" ca="1" si="15"/>
        <v>0</v>
      </c>
      <c r="AB84" s="224" t="str">
        <f t="shared" ca="1" si="16"/>
        <v/>
      </c>
      <c r="AC84" s="227" t="str">
        <f ca="1">IF(ISERROR(AA84),"",IF(AA84="评级不变",0,IF(AA84="评级下调",-1,IF(AA84="评级上调",1,""))))</f>
        <v/>
      </c>
      <c r="AD84" s="219"/>
    </row>
    <row r="85" spans="3:30" ht="16.5">
      <c r="C85" s="7">
        <f t="shared" ca="1" si="18"/>
        <v>-1</v>
      </c>
      <c r="D85" s="211">
        <v>71</v>
      </c>
      <c r="E85" s="212" t="str">
        <f t="shared" si="12"/>
        <v>中金证券</v>
      </c>
      <c r="F85" s="213">
        <f ca="1">IF($D$4="自选机构",[1]!S_EST_ESTANALYST($E$6,$E$8,C85,$F$4),[1]!S_EST_ESTANALYST($E$6,$E$8,$E$9,D85))</f>
        <v>0</v>
      </c>
      <c r="G85" s="214">
        <f ca="1">IF($D$4="自选机构",[1]!S_EST_ESTNEWTIME_INST($E$6,$E$8,C85,$F$4),[1]!S_EST_ESTNEWTIME_INST($E$6,$E$8,$E$9,D85))</f>
        <v>0</v>
      </c>
      <c r="H85" s="215">
        <f ca="1">IF($D$4="自选机构",[1]!S_EST_SALES_INST($E$6,$E$8,C85,$F$4)/currencyunit,[1]!S_EST_SALES_INST($E$6,$E$8,$E$9,D85)/currencyunit)</f>
        <v>0</v>
      </c>
      <c r="I85" s="215">
        <f ca="1">IF($D$4="自选机构",[1]!S_EST_NETPROFIT_INST($E$6,$E$8,C85,$F$4)/currencyunit,[1]!S_EST_NETPROFIT_INST($E$6,$E$8,$E$9,D85)/currencyunit)</f>
        <v>0</v>
      </c>
      <c r="J85" s="213">
        <f ca="1">IF($D$4="自选机构",[1]!S_EST_EPS_INST($E$6,$E$8,C85,$F$4),[1]!S_EST_EPS_INST($E$6,$E$8,$E$9,D85))</f>
        <v>0</v>
      </c>
      <c r="K85" s="214">
        <f ca="1">IF($D$4="自选机构",[1]!S_EST_NEWRATINGTIME_INST($E$6,Y85,$F$4),[1]!S_EST_NEWRATINGTIME_INST($E$6,$E$9,D85))</f>
        <v>0</v>
      </c>
      <c r="L85" s="213">
        <f ca="1">IF($D$4="自选机构",[1]!S_EST_RATINGANALYST($E$6,Y85,$F$4),[1]!S_EST_RATINGANALYST($E$6,$E$9,D85))</f>
        <v>0</v>
      </c>
      <c r="M85" s="213">
        <f ca="1">IF($D$4="自选机构",[1]!S_EST_ORGRATING_INST($E$6,Y85,$F$4),[1]!S_EST_ORGRATING_INST($E$6,$E$9,D85))</f>
        <v>0</v>
      </c>
      <c r="N85" s="215">
        <f ca="1">IF($D$4="自选机构",[1]!S_EST_SCORERATING_INST($E$6,Y85,$F$4),[1]!S_EST_SCORERATING_INST($E$6,$E$9,D85))</f>
        <v>0</v>
      </c>
      <c r="O85" s="213">
        <f ca="1">IF($D$4="自选机构",[1]!S_EST_STDRATING_INST($E$6,Y85,$F$4),[1]!S_EST_STDRATING_INST($E$6,$E$9,D85))</f>
        <v>0</v>
      </c>
      <c r="P85" s="214">
        <f>IF($D$4="自选机构",[1]!S_EST_FRSTRATINGTIME_INST($E$6,$F$4),[1]!S_EST_FRSTRATINGTIME_INST($E$6,D85))</f>
        <v>0</v>
      </c>
      <c r="Q85" s="153" t="str">
        <f t="shared" ca="1" si="13"/>
        <v/>
      </c>
      <c r="R85" s="153"/>
      <c r="S85" s="153"/>
      <c r="T85" s="153"/>
      <c r="U85" s="153"/>
      <c r="V85" s="153"/>
      <c r="W85" s="153"/>
      <c r="X85" s="216">
        <f t="shared" ca="1" si="14"/>
        <v>0</v>
      </c>
      <c r="Y85" s="216">
        <f t="shared" ca="1" si="19"/>
        <v>-1</v>
      </c>
      <c r="Z85" s="217">
        <f ca="1">IF($D$4="自选机构",[1]!S_EST_SCORERATING_INST($E$6,K85-1,$F$4),[1]!S_EST_SCORERATING_INST($E$6,K85-1,D85))</f>
        <v>0</v>
      </c>
      <c r="AA85" s="217">
        <f t="shared" ca="1" si="15"/>
        <v>0</v>
      </c>
      <c r="AB85" s="153" t="str">
        <f t="shared" ca="1" si="16"/>
        <v/>
      </c>
      <c r="AC85" s="218" t="str">
        <f t="shared" ref="AC85:AC99" ca="1" si="20">IF(ISERROR(AA85),"",IF(AA85="评级不变",0,IF(AA85="评级下调",-1,IF(AA85="评级上调",1,""))))</f>
        <v/>
      </c>
      <c r="AD85" s="211"/>
    </row>
    <row r="86" spans="3:30" ht="16.5">
      <c r="C86" s="7">
        <f t="shared" ca="1" si="18"/>
        <v>-1</v>
      </c>
      <c r="D86" s="219">
        <v>73</v>
      </c>
      <c r="E86" s="220">
        <f t="shared" si="12"/>
        <v>0</v>
      </c>
      <c r="F86" s="221">
        <f ca="1">IF($D$4="自选机构",[1]!S_EST_ESTANALYST($E$6,$E$8,C86,$F$4),[1]!S_EST_ESTANALYST($E$6,$E$8,$E$9,D86))</f>
        <v>0</v>
      </c>
      <c r="G86" s="222">
        <f ca="1">IF($D$4="自选机构",[1]!S_EST_ESTNEWTIME_INST($E$6,$E$8,C86,$F$4),[1]!S_EST_ESTNEWTIME_INST($E$6,$E$8,$E$9,D86))</f>
        <v>0</v>
      </c>
      <c r="H86" s="223">
        <f ca="1">IF($D$4="自选机构",[1]!S_EST_SALES_INST($E$6,$E$8,C86,$F$4)/currencyunit,[1]!S_EST_SALES_INST($E$6,$E$8,$E$9,D86)/currencyunit)</f>
        <v>0</v>
      </c>
      <c r="I86" s="223">
        <f ca="1">IF($D$4="自选机构",[1]!S_EST_NETPROFIT_INST($E$6,$E$8,C86,$F$4)/currencyunit,[1]!S_EST_NETPROFIT_INST($E$6,$E$8,$E$9,D86)/currencyunit)</f>
        <v>0</v>
      </c>
      <c r="J86" s="221">
        <f ca="1">IF($D$4="自选机构",[1]!S_EST_EPS_INST($E$6,$E$8,C86,$F$4),[1]!S_EST_EPS_INST($E$6,$E$8,$E$9,D86))</f>
        <v>0</v>
      </c>
      <c r="K86" s="222">
        <f ca="1">IF($D$4="自选机构",[1]!S_EST_NEWRATINGTIME_INST($E$6,Y86,$F$4),[1]!S_EST_NEWRATINGTIME_INST($E$6,$E$9,D86))</f>
        <v>0</v>
      </c>
      <c r="L86" s="221">
        <f ca="1">IF($D$4="自选机构",[1]!S_EST_RATINGANALYST($E$6,Y86,$F$4),[1]!S_EST_RATINGANALYST($E$6,$E$9,D86))</f>
        <v>0</v>
      </c>
      <c r="M86" s="221">
        <f ca="1">IF($D$4="自选机构",[1]!S_EST_ORGRATING_INST($E$6,Y86,$F$4),[1]!S_EST_ORGRATING_INST($E$6,$E$9,D86))</f>
        <v>0</v>
      </c>
      <c r="N86" s="223">
        <f ca="1">IF($D$4="自选机构",[1]!S_EST_SCORERATING_INST($E$6,Y86,$F$4),[1]!S_EST_SCORERATING_INST($E$6,$E$9,D86))</f>
        <v>0</v>
      </c>
      <c r="O86" s="221">
        <f ca="1">IF($D$4="自选机构",[1]!S_EST_STDRATING_INST($E$6,Y86,$F$4),[1]!S_EST_STDRATING_INST($E$6,$E$9,D86))</f>
        <v>0</v>
      </c>
      <c r="P86" s="222">
        <f>IF($D$4="自选机构",[1]!S_EST_FRSTRATINGTIME_INST($E$6,$F$4),[1]!S_EST_FRSTRATINGTIME_INST($E$6,D86))</f>
        <v>0</v>
      </c>
      <c r="Q86" s="224" t="str">
        <f t="shared" ca="1" si="13"/>
        <v/>
      </c>
      <c r="R86" s="224"/>
      <c r="S86" s="224"/>
      <c r="T86" s="224"/>
      <c r="U86" s="224"/>
      <c r="V86" s="224"/>
      <c r="W86" s="224"/>
      <c r="X86" s="225">
        <f t="shared" ca="1" si="14"/>
        <v>0</v>
      </c>
      <c r="Y86" s="225">
        <f t="shared" ca="1" si="19"/>
        <v>-1</v>
      </c>
      <c r="Z86" s="226">
        <f ca="1">IF($D$4="自选机构",[1]!S_EST_SCORERATING_INST($E$6,K86-1,$F$4),[1]!S_EST_SCORERATING_INST($E$6,K86-1,D86))</f>
        <v>0</v>
      </c>
      <c r="AA86" s="226">
        <f t="shared" ca="1" si="15"/>
        <v>0</v>
      </c>
      <c r="AB86" s="224" t="str">
        <f t="shared" ca="1" si="16"/>
        <v/>
      </c>
      <c r="AC86" s="227" t="str">
        <f t="shared" ca="1" si="20"/>
        <v/>
      </c>
      <c r="AD86" s="219"/>
    </row>
    <row r="87" spans="3:30" ht="16.5">
      <c r="C87" s="7">
        <f t="shared" ca="1" si="18"/>
        <v>-1</v>
      </c>
      <c r="D87" s="211">
        <v>74</v>
      </c>
      <c r="E87" s="212">
        <f t="shared" si="12"/>
        <v>0</v>
      </c>
      <c r="F87" s="213">
        <f ca="1">IF($D$4="自选机构",[1]!S_EST_ESTANALYST($E$6,$E$8,C87,$F$4),[1]!S_EST_ESTANALYST($E$6,$E$8,$E$9,D87))</f>
        <v>0</v>
      </c>
      <c r="G87" s="214">
        <f ca="1">IF($D$4="自选机构",[1]!S_EST_ESTNEWTIME_INST($E$6,$E$8,C87,$F$4),[1]!S_EST_ESTNEWTIME_INST($E$6,$E$8,$E$9,D87))</f>
        <v>0</v>
      </c>
      <c r="H87" s="215">
        <f ca="1">IF($D$4="自选机构",[1]!S_EST_SALES_INST($E$6,$E$8,C87,$F$4)/currencyunit,[1]!S_EST_SALES_INST($E$6,$E$8,$E$9,D87)/currencyunit)</f>
        <v>0</v>
      </c>
      <c r="I87" s="215">
        <f ca="1">IF($D$4="自选机构",[1]!S_EST_NETPROFIT_INST($E$6,$E$8,C87,$F$4)/currencyunit,[1]!S_EST_NETPROFIT_INST($E$6,$E$8,$E$9,D87)/currencyunit)</f>
        <v>0</v>
      </c>
      <c r="J87" s="213">
        <f ca="1">IF($D$4="自选机构",[1]!S_EST_EPS_INST($E$6,$E$8,C87,$F$4),[1]!S_EST_EPS_INST($E$6,$E$8,$E$9,D87))</f>
        <v>0</v>
      </c>
      <c r="K87" s="214">
        <f ca="1">IF($D$4="自选机构",[1]!S_EST_NEWRATINGTIME_INST($E$6,Y87,$F$4),[1]!S_EST_NEWRATINGTIME_INST($E$6,$E$9,D87))</f>
        <v>0</v>
      </c>
      <c r="L87" s="213">
        <f ca="1">IF($D$4="自选机构",[1]!S_EST_RATINGANALYST($E$6,Y87,$F$4),[1]!S_EST_RATINGANALYST($E$6,$E$9,D87))</f>
        <v>0</v>
      </c>
      <c r="M87" s="213">
        <f ca="1">IF($D$4="自选机构",[1]!S_EST_ORGRATING_INST($E$6,Y87,$F$4),[1]!S_EST_ORGRATING_INST($E$6,$E$9,D87))</f>
        <v>0</v>
      </c>
      <c r="N87" s="215">
        <f ca="1">IF($D$4="自选机构",[1]!S_EST_SCORERATING_INST($E$6,Y87,$F$4),[1]!S_EST_SCORERATING_INST($E$6,$E$9,D87))</f>
        <v>0</v>
      </c>
      <c r="O87" s="213">
        <f ca="1">IF($D$4="自选机构",[1]!S_EST_STDRATING_INST($E$6,Y87,$F$4),[1]!S_EST_STDRATING_INST($E$6,$E$9,D87))</f>
        <v>0</v>
      </c>
      <c r="P87" s="214">
        <f>IF($D$4="自选机构",[1]!S_EST_FRSTRATINGTIME_INST($E$6,$F$4),[1]!S_EST_FRSTRATINGTIME_INST($E$6,D87))</f>
        <v>0</v>
      </c>
      <c r="Q87" s="153" t="str">
        <f t="shared" ca="1" si="13"/>
        <v/>
      </c>
      <c r="R87" s="153"/>
      <c r="S87" s="153"/>
      <c r="T87" s="153"/>
      <c r="U87" s="153"/>
      <c r="V87" s="153"/>
      <c r="W87" s="153"/>
      <c r="X87" s="216">
        <f t="shared" ca="1" si="14"/>
        <v>0</v>
      </c>
      <c r="Y87" s="216">
        <f t="shared" ca="1" si="19"/>
        <v>-1</v>
      </c>
      <c r="Z87" s="217">
        <f ca="1">IF($D$4="自选机构",[1]!S_EST_SCORERATING_INST($E$6,K87-1,$F$4),[1]!S_EST_SCORERATING_INST($E$6,K87-1,D87))</f>
        <v>0</v>
      </c>
      <c r="AA87" s="217">
        <f t="shared" ca="1" si="15"/>
        <v>0</v>
      </c>
      <c r="AB87" s="153" t="str">
        <f t="shared" ca="1" si="16"/>
        <v/>
      </c>
      <c r="AC87" s="218" t="str">
        <f t="shared" ca="1" si="20"/>
        <v/>
      </c>
      <c r="AD87" s="211"/>
    </row>
    <row r="88" spans="3:30" ht="16.5">
      <c r="C88" s="7">
        <f t="shared" ca="1" si="18"/>
        <v>-1</v>
      </c>
      <c r="D88" s="219">
        <v>75</v>
      </c>
      <c r="E88" s="220">
        <f t="shared" si="12"/>
        <v>0</v>
      </c>
      <c r="F88" s="221">
        <f ca="1">IF($D$4="自选机构",[1]!S_EST_ESTANALYST($E$6,$E$8,C88,$F$4),[1]!S_EST_ESTANALYST($E$6,$E$8,$E$9,D88))</f>
        <v>0</v>
      </c>
      <c r="G88" s="222">
        <f ca="1">IF($D$4="自选机构",[1]!S_EST_ESTNEWTIME_INST($E$6,$E$8,C88,$F$4),[1]!S_EST_ESTNEWTIME_INST($E$6,$E$8,$E$9,D88))</f>
        <v>0</v>
      </c>
      <c r="H88" s="223">
        <f ca="1">IF($D$4="自选机构",[1]!S_EST_SALES_INST($E$6,$E$8,C88,$F$4)/currencyunit,[1]!S_EST_SALES_INST($E$6,$E$8,$E$9,D88)/currencyunit)</f>
        <v>0</v>
      </c>
      <c r="I88" s="223">
        <f ca="1">IF($D$4="自选机构",[1]!S_EST_NETPROFIT_INST($E$6,$E$8,C88,$F$4)/currencyunit,[1]!S_EST_NETPROFIT_INST($E$6,$E$8,$E$9,D88)/currencyunit)</f>
        <v>0</v>
      </c>
      <c r="J88" s="221">
        <f ca="1">IF($D$4="自选机构",[1]!S_EST_EPS_INST($E$6,$E$8,C88,$F$4),[1]!S_EST_EPS_INST($E$6,$E$8,$E$9,D88))</f>
        <v>0</v>
      </c>
      <c r="K88" s="222">
        <f ca="1">IF($D$4="自选机构",[1]!S_EST_NEWRATINGTIME_INST($E$6,Y88,$F$4),[1]!S_EST_NEWRATINGTIME_INST($E$6,$E$9,D88))</f>
        <v>0</v>
      </c>
      <c r="L88" s="221">
        <f ca="1">IF($D$4="自选机构",[1]!S_EST_RATINGANALYST($E$6,Y88,$F$4),[1]!S_EST_RATINGANALYST($E$6,$E$9,D88))</f>
        <v>0</v>
      </c>
      <c r="M88" s="221">
        <f ca="1">IF($D$4="自选机构",[1]!S_EST_ORGRATING_INST($E$6,Y88,$F$4),[1]!S_EST_ORGRATING_INST($E$6,$E$9,D88))</f>
        <v>0</v>
      </c>
      <c r="N88" s="223">
        <f ca="1">IF($D$4="自选机构",[1]!S_EST_SCORERATING_INST($E$6,Y88,$F$4),[1]!S_EST_SCORERATING_INST($E$6,$E$9,D88))</f>
        <v>0</v>
      </c>
      <c r="O88" s="221">
        <f ca="1">IF($D$4="自选机构",[1]!S_EST_STDRATING_INST($E$6,Y88,$F$4),[1]!S_EST_STDRATING_INST($E$6,$E$9,D88))</f>
        <v>0</v>
      </c>
      <c r="P88" s="222">
        <f>IF($D$4="自选机构",[1]!S_EST_FRSTRATINGTIME_INST($E$6,$F$4),[1]!S_EST_FRSTRATINGTIME_INST($E$6,D88))</f>
        <v>0</v>
      </c>
      <c r="Q88" s="224" t="str">
        <f t="shared" ca="1" si="13"/>
        <v/>
      </c>
      <c r="R88" s="224"/>
      <c r="S88" s="224"/>
      <c r="T88" s="224"/>
      <c r="U88" s="224"/>
      <c r="V88" s="224"/>
      <c r="W88" s="224"/>
      <c r="X88" s="225">
        <f t="shared" ca="1" si="14"/>
        <v>0</v>
      </c>
      <c r="Y88" s="225">
        <f t="shared" ca="1" si="19"/>
        <v>-1</v>
      </c>
      <c r="Z88" s="226">
        <f ca="1">IF($D$4="自选机构",[1]!S_EST_SCORERATING_INST($E$6,K88-1,$F$4),[1]!S_EST_SCORERATING_INST($E$6,K88-1,D88))</f>
        <v>0</v>
      </c>
      <c r="AA88" s="226">
        <f t="shared" ca="1" si="15"/>
        <v>0</v>
      </c>
      <c r="AB88" s="224" t="str">
        <f t="shared" ca="1" si="16"/>
        <v/>
      </c>
      <c r="AC88" s="227" t="str">
        <f t="shared" ca="1" si="20"/>
        <v/>
      </c>
      <c r="AD88" s="219"/>
    </row>
    <row r="89" spans="3:30" ht="16.5">
      <c r="C89" s="7">
        <f t="shared" ca="1" si="18"/>
        <v>-1</v>
      </c>
      <c r="D89" s="211">
        <v>76</v>
      </c>
      <c r="E89" s="212">
        <f t="shared" si="12"/>
        <v>0</v>
      </c>
      <c r="F89" s="213">
        <f ca="1">IF($D$4="自选机构",[1]!S_EST_ESTANALYST($E$6,$E$8,C89,$F$4),[1]!S_EST_ESTANALYST($E$6,$E$8,$E$9,D89))</f>
        <v>0</v>
      </c>
      <c r="G89" s="214">
        <f ca="1">IF($D$4="自选机构",[1]!S_EST_ESTNEWTIME_INST($E$6,$E$8,C89,$F$4),[1]!S_EST_ESTNEWTIME_INST($E$6,$E$8,$E$9,D89))</f>
        <v>0</v>
      </c>
      <c r="H89" s="215">
        <f ca="1">IF($D$4="自选机构",[1]!S_EST_SALES_INST($E$6,$E$8,C89,$F$4)/currencyunit,[1]!S_EST_SALES_INST($E$6,$E$8,$E$9,D89)/currencyunit)</f>
        <v>0</v>
      </c>
      <c r="I89" s="215">
        <f ca="1">IF($D$4="自选机构",[1]!S_EST_NETPROFIT_INST($E$6,$E$8,C89,$F$4)/currencyunit,[1]!S_EST_NETPROFIT_INST($E$6,$E$8,$E$9,D89)/currencyunit)</f>
        <v>0</v>
      </c>
      <c r="J89" s="213">
        <f ca="1">IF($D$4="自选机构",[1]!S_EST_EPS_INST($E$6,$E$8,C89,$F$4),[1]!S_EST_EPS_INST($E$6,$E$8,$E$9,D89))</f>
        <v>0</v>
      </c>
      <c r="K89" s="214">
        <f ca="1">IF($D$4="自选机构",[1]!S_EST_NEWRATINGTIME_INST($E$6,Y89,$F$4),[1]!S_EST_NEWRATINGTIME_INST($E$6,$E$9,D89))</f>
        <v>0</v>
      </c>
      <c r="L89" s="213">
        <f ca="1">IF($D$4="自选机构",[1]!S_EST_RATINGANALYST($E$6,Y89,$F$4),[1]!S_EST_RATINGANALYST($E$6,$E$9,D89))</f>
        <v>0</v>
      </c>
      <c r="M89" s="213">
        <f ca="1">IF($D$4="自选机构",[1]!S_EST_ORGRATING_INST($E$6,Y89,$F$4),[1]!S_EST_ORGRATING_INST($E$6,$E$9,D89))</f>
        <v>0</v>
      </c>
      <c r="N89" s="215">
        <f ca="1">IF($D$4="自选机构",[1]!S_EST_SCORERATING_INST($E$6,Y89,$F$4),[1]!S_EST_SCORERATING_INST($E$6,$E$9,D89))</f>
        <v>0</v>
      </c>
      <c r="O89" s="213">
        <f ca="1">IF($D$4="自选机构",[1]!S_EST_STDRATING_INST($E$6,Y89,$F$4),[1]!S_EST_STDRATING_INST($E$6,$E$9,D89))</f>
        <v>0</v>
      </c>
      <c r="P89" s="214">
        <f>IF($D$4="自选机构",[1]!S_EST_FRSTRATINGTIME_INST($E$6,$F$4),[1]!S_EST_FRSTRATINGTIME_INST($E$6,D89))</f>
        <v>0</v>
      </c>
      <c r="Q89" s="153" t="str">
        <f t="shared" ca="1" si="13"/>
        <v/>
      </c>
      <c r="R89" s="153"/>
      <c r="S89" s="153"/>
      <c r="T89" s="153"/>
      <c r="U89" s="153"/>
      <c r="V89" s="153"/>
      <c r="W89" s="153"/>
      <c r="X89" s="216">
        <f t="shared" ca="1" si="14"/>
        <v>0</v>
      </c>
      <c r="Y89" s="216">
        <f t="shared" ca="1" si="19"/>
        <v>-1</v>
      </c>
      <c r="Z89" s="217">
        <f ca="1">IF($D$4="自选机构",[1]!S_EST_SCORERATING_INST($E$6,K89-1,$F$4),[1]!S_EST_SCORERATING_INST($E$6,K89-1,D89))</f>
        <v>0</v>
      </c>
      <c r="AA89" s="217">
        <f t="shared" ca="1" si="15"/>
        <v>0</v>
      </c>
      <c r="AB89" s="153" t="str">
        <f t="shared" ca="1" si="16"/>
        <v/>
      </c>
      <c r="AC89" s="218" t="str">
        <f t="shared" ca="1" si="20"/>
        <v/>
      </c>
      <c r="AD89" s="211"/>
    </row>
    <row r="90" spans="3:30" ht="16.5">
      <c r="C90" s="7">
        <f t="shared" ca="1" si="18"/>
        <v>-1</v>
      </c>
      <c r="D90" s="219">
        <v>77</v>
      </c>
      <c r="E90" s="220">
        <f t="shared" si="12"/>
        <v>0</v>
      </c>
      <c r="F90" s="221">
        <f ca="1">IF($D$4="自选机构",[1]!S_EST_ESTANALYST($E$6,$E$8,C90,$F$4),[1]!S_EST_ESTANALYST($E$6,$E$8,$E$9,D90))</f>
        <v>0</v>
      </c>
      <c r="G90" s="222">
        <f ca="1">IF($D$4="自选机构",[1]!S_EST_ESTNEWTIME_INST($E$6,$E$8,C90,$F$4),[1]!S_EST_ESTNEWTIME_INST($E$6,$E$8,$E$9,D90))</f>
        <v>0</v>
      </c>
      <c r="H90" s="223">
        <f ca="1">IF($D$4="自选机构",[1]!S_EST_SALES_INST($E$6,$E$8,C90,$F$4)/currencyunit,[1]!S_EST_SALES_INST($E$6,$E$8,$E$9,D90)/currencyunit)</f>
        <v>0</v>
      </c>
      <c r="I90" s="223">
        <f ca="1">IF($D$4="自选机构",[1]!S_EST_NETPROFIT_INST($E$6,$E$8,C90,$F$4)/currencyunit,[1]!S_EST_NETPROFIT_INST($E$6,$E$8,$E$9,D90)/currencyunit)</f>
        <v>0</v>
      </c>
      <c r="J90" s="221">
        <f ca="1">IF($D$4="自选机构",[1]!S_EST_EPS_INST($E$6,$E$8,C90,$F$4),[1]!S_EST_EPS_INST($E$6,$E$8,$E$9,D90))</f>
        <v>0</v>
      </c>
      <c r="K90" s="222">
        <f ca="1">IF($D$4="自选机构",[1]!S_EST_NEWRATINGTIME_INST($E$6,Y90,$F$4),[1]!S_EST_NEWRATINGTIME_INST($E$6,$E$9,D90))</f>
        <v>0</v>
      </c>
      <c r="L90" s="221">
        <f ca="1">IF($D$4="自选机构",[1]!S_EST_RATINGANALYST($E$6,Y90,$F$4),[1]!S_EST_RATINGANALYST($E$6,$E$9,D90))</f>
        <v>0</v>
      </c>
      <c r="M90" s="221">
        <f ca="1">IF($D$4="自选机构",[1]!S_EST_ORGRATING_INST($E$6,Y90,$F$4),[1]!S_EST_ORGRATING_INST($E$6,$E$9,D90))</f>
        <v>0</v>
      </c>
      <c r="N90" s="223">
        <f ca="1">IF($D$4="自选机构",[1]!S_EST_SCORERATING_INST($E$6,Y90,$F$4),[1]!S_EST_SCORERATING_INST($E$6,$E$9,D90))</f>
        <v>0</v>
      </c>
      <c r="O90" s="221">
        <f ca="1">IF($D$4="自选机构",[1]!S_EST_STDRATING_INST($E$6,Y90,$F$4),[1]!S_EST_STDRATING_INST($E$6,$E$9,D90))</f>
        <v>0</v>
      </c>
      <c r="P90" s="222">
        <f>IF($D$4="自选机构",[1]!S_EST_FRSTRATINGTIME_INST($E$6,$F$4),[1]!S_EST_FRSTRATINGTIME_INST($E$6,D90))</f>
        <v>0</v>
      </c>
      <c r="Q90" s="224" t="str">
        <f t="shared" ca="1" si="13"/>
        <v/>
      </c>
      <c r="R90" s="224"/>
      <c r="S90" s="224"/>
      <c r="T90" s="224"/>
      <c r="U90" s="224"/>
      <c r="V90" s="224"/>
      <c r="W90" s="224"/>
      <c r="X90" s="225">
        <f t="shared" ca="1" si="14"/>
        <v>0</v>
      </c>
      <c r="Y90" s="225">
        <f t="shared" ca="1" si="19"/>
        <v>-1</v>
      </c>
      <c r="Z90" s="226">
        <f ca="1">IF($D$4="自选机构",[1]!S_EST_SCORERATING_INST($E$6,K90-1,$F$4),[1]!S_EST_SCORERATING_INST($E$6,K90-1,D90))</f>
        <v>0</v>
      </c>
      <c r="AA90" s="226">
        <f t="shared" ca="1" si="15"/>
        <v>0</v>
      </c>
      <c r="AB90" s="224" t="str">
        <f t="shared" ca="1" si="16"/>
        <v/>
      </c>
      <c r="AC90" s="227" t="str">
        <f t="shared" ca="1" si="20"/>
        <v/>
      </c>
      <c r="AD90" s="219"/>
    </row>
    <row r="91" spans="3:30" ht="16.5">
      <c r="C91" s="7">
        <f t="shared" ca="1" si="18"/>
        <v>-1</v>
      </c>
      <c r="D91" s="211">
        <v>78</v>
      </c>
      <c r="E91" s="212">
        <f t="shared" si="12"/>
        <v>0</v>
      </c>
      <c r="F91" s="213">
        <f ca="1">IF($D$4="自选机构",[1]!S_EST_ESTANALYST($E$6,$E$8,C91,$F$4),[1]!S_EST_ESTANALYST($E$6,$E$8,$E$9,D91))</f>
        <v>0</v>
      </c>
      <c r="G91" s="214">
        <f ca="1">IF($D$4="自选机构",[1]!S_EST_ESTNEWTIME_INST($E$6,$E$8,C91,$F$4),[1]!S_EST_ESTNEWTIME_INST($E$6,$E$8,$E$9,D91))</f>
        <v>0</v>
      </c>
      <c r="H91" s="215">
        <f ca="1">IF($D$4="自选机构",[1]!S_EST_SALES_INST($E$6,$E$8,C91,$F$4)/currencyunit,[1]!S_EST_SALES_INST($E$6,$E$8,$E$9,D91)/currencyunit)</f>
        <v>0</v>
      </c>
      <c r="I91" s="215">
        <f ca="1">IF($D$4="自选机构",[1]!S_EST_NETPROFIT_INST($E$6,$E$8,C91,$F$4)/currencyunit,[1]!S_EST_NETPROFIT_INST($E$6,$E$8,$E$9,D91)/currencyunit)</f>
        <v>0</v>
      </c>
      <c r="J91" s="213">
        <f ca="1">IF($D$4="自选机构",[1]!S_EST_EPS_INST($E$6,$E$8,C91,$F$4),[1]!S_EST_EPS_INST($E$6,$E$8,$E$9,D91))</f>
        <v>0</v>
      </c>
      <c r="K91" s="214">
        <f ca="1">IF($D$4="自选机构",[1]!S_EST_NEWRATINGTIME_INST($E$6,Y91,$F$4),[1]!S_EST_NEWRATINGTIME_INST($E$6,$E$9,D91))</f>
        <v>0</v>
      </c>
      <c r="L91" s="213">
        <f ca="1">IF($D$4="自选机构",[1]!S_EST_RATINGANALYST($E$6,Y91,$F$4),[1]!S_EST_RATINGANALYST($E$6,$E$9,D91))</f>
        <v>0</v>
      </c>
      <c r="M91" s="213">
        <f ca="1">IF($D$4="自选机构",[1]!S_EST_ORGRATING_INST($E$6,Y91,$F$4),[1]!S_EST_ORGRATING_INST($E$6,$E$9,D91))</f>
        <v>0</v>
      </c>
      <c r="N91" s="215">
        <f ca="1">IF($D$4="自选机构",[1]!S_EST_SCORERATING_INST($E$6,Y91,$F$4),[1]!S_EST_SCORERATING_INST($E$6,$E$9,D91))</f>
        <v>0</v>
      </c>
      <c r="O91" s="213">
        <f ca="1">IF($D$4="自选机构",[1]!S_EST_STDRATING_INST($E$6,Y91,$F$4),[1]!S_EST_STDRATING_INST($E$6,$E$9,D91))</f>
        <v>0</v>
      </c>
      <c r="P91" s="214">
        <f>IF($D$4="自选机构",[1]!S_EST_FRSTRATINGTIME_INST($E$6,$F$4),[1]!S_EST_FRSTRATINGTIME_INST($E$6,D91))</f>
        <v>0</v>
      </c>
      <c r="Q91" s="153" t="str">
        <f t="shared" ca="1" si="13"/>
        <v/>
      </c>
      <c r="R91" s="153"/>
      <c r="S91" s="153"/>
      <c r="T91" s="153"/>
      <c r="U91" s="153"/>
      <c r="V91" s="153"/>
      <c r="W91" s="153"/>
      <c r="X91" s="216">
        <f t="shared" ca="1" si="14"/>
        <v>0</v>
      </c>
      <c r="Y91" s="216">
        <f t="shared" ca="1" si="19"/>
        <v>-1</v>
      </c>
      <c r="Z91" s="217">
        <f ca="1">IF($D$4="自选机构",[1]!S_EST_SCORERATING_INST($E$6,K91-1,$F$4),[1]!S_EST_SCORERATING_INST($E$6,K91-1,D91))</f>
        <v>0</v>
      </c>
      <c r="AA91" s="217">
        <f t="shared" ca="1" si="15"/>
        <v>0</v>
      </c>
      <c r="AB91" s="153" t="str">
        <f t="shared" ca="1" si="16"/>
        <v/>
      </c>
      <c r="AC91" s="218" t="str">
        <f t="shared" ca="1" si="20"/>
        <v/>
      </c>
      <c r="AD91" s="211"/>
    </row>
    <row r="92" spans="3:30" ht="16.5">
      <c r="C92" s="7">
        <f t="shared" ca="1" si="18"/>
        <v>-1</v>
      </c>
      <c r="D92" s="219">
        <v>79</v>
      </c>
      <c r="E92" s="220">
        <f t="shared" si="12"/>
        <v>0</v>
      </c>
      <c r="F92" s="221">
        <f ca="1">IF($D$4="自选机构",[1]!S_EST_ESTANALYST($E$6,$E$8,C92,$F$4),[1]!S_EST_ESTANALYST($E$6,$E$8,$E$9,D92))</f>
        <v>0</v>
      </c>
      <c r="G92" s="222">
        <f ca="1">IF($D$4="自选机构",[1]!S_EST_ESTNEWTIME_INST($E$6,$E$8,C92,$F$4),[1]!S_EST_ESTNEWTIME_INST($E$6,$E$8,$E$9,D92))</f>
        <v>0</v>
      </c>
      <c r="H92" s="223">
        <f ca="1">IF($D$4="自选机构",[1]!S_EST_SALES_INST($E$6,$E$8,C92,$F$4)/currencyunit,[1]!S_EST_SALES_INST($E$6,$E$8,$E$9,D92)/currencyunit)</f>
        <v>0</v>
      </c>
      <c r="I92" s="223">
        <f ca="1">IF($D$4="自选机构",[1]!S_EST_NETPROFIT_INST($E$6,$E$8,C92,$F$4)/currencyunit,[1]!S_EST_NETPROFIT_INST($E$6,$E$8,$E$9,D92)/currencyunit)</f>
        <v>0</v>
      </c>
      <c r="J92" s="221">
        <f ca="1">IF($D$4="自选机构",[1]!S_EST_EPS_INST($E$6,$E$8,C92,$F$4),[1]!S_EST_EPS_INST($E$6,$E$8,$E$9,D92))</f>
        <v>0</v>
      </c>
      <c r="K92" s="222">
        <f ca="1">IF($D$4="自选机构",[1]!S_EST_NEWRATINGTIME_INST($E$6,Y92,$F$4),[1]!S_EST_NEWRATINGTIME_INST($E$6,$E$9,D92))</f>
        <v>0</v>
      </c>
      <c r="L92" s="221">
        <f ca="1">IF($D$4="自选机构",[1]!S_EST_RATINGANALYST($E$6,Y92,$F$4),[1]!S_EST_RATINGANALYST($E$6,$E$9,D92))</f>
        <v>0</v>
      </c>
      <c r="M92" s="221">
        <f ca="1">IF($D$4="自选机构",[1]!S_EST_ORGRATING_INST($E$6,Y92,$F$4),[1]!S_EST_ORGRATING_INST($E$6,$E$9,D92))</f>
        <v>0</v>
      </c>
      <c r="N92" s="223">
        <f ca="1">IF($D$4="自选机构",[1]!S_EST_SCORERATING_INST($E$6,Y92,$F$4),[1]!S_EST_SCORERATING_INST($E$6,$E$9,D92))</f>
        <v>0</v>
      </c>
      <c r="O92" s="221">
        <f ca="1">IF($D$4="自选机构",[1]!S_EST_STDRATING_INST($E$6,Y92,$F$4),[1]!S_EST_STDRATING_INST($E$6,$E$9,D92))</f>
        <v>0</v>
      </c>
      <c r="P92" s="222">
        <f>IF($D$4="自选机构",[1]!S_EST_FRSTRATINGTIME_INST($E$6,$F$4),[1]!S_EST_FRSTRATINGTIME_INST($E$6,D92))</f>
        <v>0</v>
      </c>
      <c r="Q92" s="224" t="str">
        <f t="shared" ca="1" si="13"/>
        <v/>
      </c>
      <c r="R92" s="224"/>
      <c r="S92" s="224"/>
      <c r="T92" s="224"/>
      <c r="U92" s="224"/>
      <c r="V92" s="224"/>
      <c r="W92" s="224"/>
      <c r="X92" s="225">
        <f t="shared" ca="1" si="14"/>
        <v>0</v>
      </c>
      <c r="Y92" s="225">
        <f t="shared" ca="1" si="19"/>
        <v>-1</v>
      </c>
      <c r="Z92" s="226">
        <f ca="1">IF($D$4="自选机构",[1]!S_EST_SCORERATING_INST($E$6,K92-1,$F$4),[1]!S_EST_SCORERATING_INST($E$6,K92-1,D92))</f>
        <v>0</v>
      </c>
      <c r="AA92" s="226">
        <f t="shared" ca="1" si="15"/>
        <v>0</v>
      </c>
      <c r="AB92" s="224" t="str">
        <f t="shared" ca="1" si="16"/>
        <v/>
      </c>
      <c r="AC92" s="227" t="str">
        <f t="shared" ca="1" si="20"/>
        <v/>
      </c>
      <c r="AD92" s="219"/>
    </row>
    <row r="93" spans="3:30" ht="16.5">
      <c r="C93" s="7">
        <f t="shared" ca="1" si="18"/>
        <v>-1</v>
      </c>
      <c r="D93" s="211">
        <v>80</v>
      </c>
      <c r="E93" s="212">
        <f t="shared" si="12"/>
        <v>0</v>
      </c>
      <c r="F93" s="213">
        <f ca="1">IF($D$4="自选机构",[1]!S_EST_ESTANALYST($E$6,$E$8,C93,$F$4),[1]!S_EST_ESTANALYST($E$6,$E$8,$E$9,D93))</f>
        <v>0</v>
      </c>
      <c r="G93" s="214">
        <f ca="1">IF($D$4="自选机构",[1]!S_EST_ESTNEWTIME_INST($E$6,$E$8,C93,$F$4),[1]!S_EST_ESTNEWTIME_INST($E$6,$E$8,$E$9,D93))</f>
        <v>0</v>
      </c>
      <c r="H93" s="215">
        <f ca="1">IF($D$4="自选机构",[1]!S_EST_SALES_INST($E$6,$E$8,C93,$F$4)/currencyunit,[1]!S_EST_SALES_INST($E$6,$E$8,$E$9,D93)/currencyunit)</f>
        <v>0</v>
      </c>
      <c r="I93" s="215">
        <f ca="1">IF($D$4="自选机构",[1]!S_EST_NETPROFIT_INST($E$6,$E$8,C93,$F$4)/currencyunit,[1]!S_EST_NETPROFIT_INST($E$6,$E$8,$E$9,D93)/currencyunit)</f>
        <v>0</v>
      </c>
      <c r="J93" s="213">
        <f ca="1">IF($D$4="自选机构",[1]!S_EST_EPS_INST($E$6,$E$8,C93,$F$4),[1]!S_EST_EPS_INST($E$6,$E$8,$E$9,D93))</f>
        <v>0</v>
      </c>
      <c r="K93" s="214">
        <f ca="1">IF($D$4="自选机构",[1]!S_EST_NEWRATINGTIME_INST($E$6,Y93,$F$4),[1]!S_EST_NEWRATINGTIME_INST($E$6,$E$9,D93))</f>
        <v>0</v>
      </c>
      <c r="L93" s="213">
        <f ca="1">IF($D$4="自选机构",[1]!S_EST_RATINGANALYST($E$6,Y93,$F$4),[1]!S_EST_RATINGANALYST($E$6,$E$9,D93))</f>
        <v>0</v>
      </c>
      <c r="M93" s="213">
        <f ca="1">IF($D$4="自选机构",[1]!S_EST_ORGRATING_INST($E$6,Y93,$F$4),[1]!S_EST_ORGRATING_INST($E$6,$E$9,D93))</f>
        <v>0</v>
      </c>
      <c r="N93" s="215">
        <f ca="1">IF($D$4="自选机构",[1]!S_EST_SCORERATING_INST($E$6,Y93,$F$4),[1]!S_EST_SCORERATING_INST($E$6,$E$9,D93))</f>
        <v>0</v>
      </c>
      <c r="O93" s="213">
        <f ca="1">IF($D$4="自选机构",[1]!S_EST_STDRATING_INST($E$6,Y93,$F$4),[1]!S_EST_STDRATING_INST($E$6,$E$9,D93))</f>
        <v>0</v>
      </c>
      <c r="P93" s="214">
        <f>IF($D$4="自选机构",[1]!S_EST_FRSTRATINGTIME_INST($E$6,$F$4),[1]!S_EST_FRSTRATINGTIME_INST($E$6,D93))</f>
        <v>0</v>
      </c>
      <c r="Q93" s="153" t="str">
        <f t="shared" ca="1" si="13"/>
        <v/>
      </c>
      <c r="R93" s="153"/>
      <c r="S93" s="153"/>
      <c r="T93" s="153"/>
      <c r="U93" s="153"/>
      <c r="V93" s="153"/>
      <c r="W93" s="153"/>
      <c r="X93" s="216">
        <f t="shared" ca="1" si="14"/>
        <v>0</v>
      </c>
      <c r="Y93" s="216">
        <f t="shared" ca="1" si="19"/>
        <v>-1</v>
      </c>
      <c r="Z93" s="217">
        <f ca="1">IF($D$4="自选机构",[1]!S_EST_SCORERATING_INST($E$6,K93-1,$F$4),[1]!S_EST_SCORERATING_INST($E$6,K93-1,D93))</f>
        <v>0</v>
      </c>
      <c r="AA93" s="217">
        <f t="shared" ca="1" si="15"/>
        <v>0</v>
      </c>
      <c r="AB93" s="153" t="str">
        <f t="shared" ca="1" si="16"/>
        <v/>
      </c>
      <c r="AC93" s="218" t="str">
        <f t="shared" ca="1" si="20"/>
        <v/>
      </c>
      <c r="AD93" s="211"/>
    </row>
    <row r="94" spans="3:30" ht="16.5">
      <c r="C94" s="7">
        <f t="shared" ca="1" si="18"/>
        <v>-1</v>
      </c>
      <c r="D94" s="219">
        <v>81</v>
      </c>
      <c r="E94" s="220">
        <f t="shared" si="12"/>
        <v>0</v>
      </c>
      <c r="F94" s="221">
        <f ca="1">IF($D$4="自选机构",[1]!S_EST_ESTANALYST($E$6,$E$8,C94,$F$4),[1]!S_EST_ESTANALYST($E$6,$E$8,$E$9,D94))</f>
        <v>0</v>
      </c>
      <c r="G94" s="222">
        <f ca="1">IF($D$4="自选机构",[1]!S_EST_ESTNEWTIME_INST($E$6,$E$8,C94,$F$4),[1]!S_EST_ESTNEWTIME_INST($E$6,$E$8,$E$9,D94))</f>
        <v>0</v>
      </c>
      <c r="H94" s="223">
        <f ca="1">IF($D$4="自选机构",[1]!S_EST_SALES_INST($E$6,$E$8,C94,$F$4)/currencyunit,[1]!S_EST_SALES_INST($E$6,$E$8,$E$9,D94)/currencyunit)</f>
        <v>0</v>
      </c>
      <c r="I94" s="223">
        <f ca="1">IF($D$4="自选机构",[1]!S_EST_NETPROFIT_INST($E$6,$E$8,C94,$F$4)/currencyunit,[1]!S_EST_NETPROFIT_INST($E$6,$E$8,$E$9,D94)/currencyunit)</f>
        <v>0</v>
      </c>
      <c r="J94" s="221">
        <f ca="1">IF($D$4="自选机构",[1]!S_EST_EPS_INST($E$6,$E$8,C94,$F$4),[1]!S_EST_EPS_INST($E$6,$E$8,$E$9,D94))</f>
        <v>0</v>
      </c>
      <c r="K94" s="222">
        <f ca="1">IF($D$4="自选机构",[1]!S_EST_NEWRATINGTIME_INST($E$6,Y94,$F$4),[1]!S_EST_NEWRATINGTIME_INST($E$6,$E$9,D94))</f>
        <v>0</v>
      </c>
      <c r="L94" s="221">
        <f ca="1">IF($D$4="自选机构",[1]!S_EST_RATINGANALYST($E$6,Y94,$F$4),[1]!S_EST_RATINGANALYST($E$6,$E$9,D94))</f>
        <v>0</v>
      </c>
      <c r="M94" s="221">
        <f ca="1">IF($D$4="自选机构",[1]!S_EST_ORGRATING_INST($E$6,Y94,$F$4),[1]!S_EST_ORGRATING_INST($E$6,$E$9,D94))</f>
        <v>0</v>
      </c>
      <c r="N94" s="223">
        <f ca="1">IF($D$4="自选机构",[1]!S_EST_SCORERATING_INST($E$6,Y94,$F$4),[1]!S_EST_SCORERATING_INST($E$6,$E$9,D94))</f>
        <v>0</v>
      </c>
      <c r="O94" s="221">
        <f ca="1">IF($D$4="自选机构",[1]!S_EST_STDRATING_INST($E$6,Y94,$F$4),[1]!S_EST_STDRATING_INST($E$6,$E$9,D94))</f>
        <v>0</v>
      </c>
      <c r="P94" s="222">
        <f>IF($D$4="自选机构",[1]!S_EST_FRSTRATINGTIME_INST($E$6,$F$4),[1]!S_EST_FRSTRATINGTIME_INST($E$6,D94))</f>
        <v>0</v>
      </c>
      <c r="Q94" s="224" t="str">
        <f t="shared" ca="1" si="13"/>
        <v/>
      </c>
      <c r="R94" s="224"/>
      <c r="S94" s="224"/>
      <c r="T94" s="224"/>
      <c r="U94" s="224"/>
      <c r="V94" s="224"/>
      <c r="W94" s="224"/>
      <c r="X94" s="225">
        <f t="shared" ca="1" si="14"/>
        <v>0</v>
      </c>
      <c r="Y94" s="225">
        <f t="shared" ca="1" si="19"/>
        <v>-1</v>
      </c>
      <c r="Z94" s="226">
        <f ca="1">IF($D$4="自选机构",[1]!S_EST_SCORERATING_INST($E$6,K94-1,$F$4),[1]!S_EST_SCORERATING_INST($E$6,K94-1,D94))</f>
        <v>0</v>
      </c>
      <c r="AA94" s="226">
        <f t="shared" ca="1" si="15"/>
        <v>0</v>
      </c>
      <c r="AB94" s="224" t="str">
        <f t="shared" ca="1" si="16"/>
        <v/>
      </c>
      <c r="AC94" s="227" t="str">
        <f t="shared" ca="1" si="20"/>
        <v/>
      </c>
      <c r="AD94" s="219"/>
    </row>
    <row r="95" spans="3:30" ht="16.5">
      <c r="C95" s="7">
        <f t="shared" ca="1" si="18"/>
        <v>-1</v>
      </c>
      <c r="D95" s="211">
        <v>82</v>
      </c>
      <c r="E95" s="212">
        <f t="shared" si="12"/>
        <v>0</v>
      </c>
      <c r="F95" s="213">
        <f ca="1">IF($D$4="自选机构",[1]!S_EST_ESTANALYST($E$6,$E$8,C95,$F$4),[1]!S_EST_ESTANALYST($E$6,$E$8,$E$9,D95))</f>
        <v>0</v>
      </c>
      <c r="G95" s="214">
        <f ca="1">IF($D$4="自选机构",[1]!S_EST_ESTNEWTIME_INST($E$6,$E$8,C95,$F$4),[1]!S_EST_ESTNEWTIME_INST($E$6,$E$8,$E$9,D95))</f>
        <v>0</v>
      </c>
      <c r="H95" s="215">
        <f ca="1">IF($D$4="自选机构",[1]!S_EST_SALES_INST($E$6,$E$8,C95,$F$4)/currencyunit,[1]!S_EST_SALES_INST($E$6,$E$8,$E$9,D95)/currencyunit)</f>
        <v>0</v>
      </c>
      <c r="I95" s="215">
        <f ca="1">IF($D$4="自选机构",[1]!S_EST_NETPROFIT_INST($E$6,$E$8,C95,$F$4)/currencyunit,[1]!S_EST_NETPROFIT_INST($E$6,$E$8,$E$9,D95)/currencyunit)</f>
        <v>0</v>
      </c>
      <c r="J95" s="213">
        <f ca="1">IF($D$4="自选机构",[1]!S_EST_EPS_INST($E$6,$E$8,C95,$F$4),[1]!S_EST_EPS_INST($E$6,$E$8,$E$9,D95))</f>
        <v>0</v>
      </c>
      <c r="K95" s="214">
        <f ca="1">IF($D$4="自选机构",[1]!S_EST_NEWRATINGTIME_INST($E$6,Y95,$F$4),[1]!S_EST_NEWRATINGTIME_INST($E$6,$E$9,D95))</f>
        <v>0</v>
      </c>
      <c r="L95" s="213">
        <f ca="1">IF($D$4="自选机构",[1]!S_EST_RATINGANALYST($E$6,Y95,$F$4),[1]!S_EST_RATINGANALYST($E$6,$E$9,D95))</f>
        <v>0</v>
      </c>
      <c r="M95" s="213">
        <f ca="1">IF($D$4="自选机构",[1]!S_EST_ORGRATING_INST($E$6,Y95,$F$4),[1]!S_EST_ORGRATING_INST($E$6,$E$9,D95))</f>
        <v>0</v>
      </c>
      <c r="N95" s="215">
        <f ca="1">IF($D$4="自选机构",[1]!S_EST_SCORERATING_INST($E$6,Y95,$F$4),[1]!S_EST_SCORERATING_INST($E$6,$E$9,D95))</f>
        <v>0</v>
      </c>
      <c r="O95" s="213">
        <f ca="1">IF($D$4="自选机构",[1]!S_EST_STDRATING_INST($E$6,Y95,$F$4),[1]!S_EST_STDRATING_INST($E$6,$E$9,D95))</f>
        <v>0</v>
      </c>
      <c r="P95" s="214">
        <f>IF($D$4="自选机构",[1]!S_EST_FRSTRATINGTIME_INST($E$6,$F$4),[1]!S_EST_FRSTRATINGTIME_INST($E$6,D95))</f>
        <v>0</v>
      </c>
      <c r="Q95" s="153" t="str">
        <f t="shared" ca="1" si="13"/>
        <v/>
      </c>
      <c r="R95" s="153"/>
      <c r="S95" s="153"/>
      <c r="T95" s="153"/>
      <c r="U95" s="153"/>
      <c r="V95" s="153"/>
      <c r="W95" s="153"/>
      <c r="X95" s="216">
        <f t="shared" ca="1" si="14"/>
        <v>0</v>
      </c>
      <c r="Y95" s="216">
        <f t="shared" ca="1" si="19"/>
        <v>-1</v>
      </c>
      <c r="Z95" s="217">
        <f ca="1">IF($D$4="自选机构",[1]!S_EST_SCORERATING_INST($E$6,K95-1,$F$4),[1]!S_EST_SCORERATING_INST($E$6,K95-1,D95))</f>
        <v>0</v>
      </c>
      <c r="AA95" s="217">
        <f t="shared" ca="1" si="15"/>
        <v>0</v>
      </c>
      <c r="AB95" s="153" t="str">
        <f t="shared" ca="1" si="16"/>
        <v/>
      </c>
      <c r="AC95" s="218" t="str">
        <f t="shared" ca="1" si="20"/>
        <v/>
      </c>
      <c r="AD95" s="211"/>
    </row>
    <row r="96" spans="3:30" ht="16.5">
      <c r="C96" s="7">
        <f t="shared" ca="1" si="18"/>
        <v>-1</v>
      </c>
      <c r="D96" s="219">
        <v>83</v>
      </c>
      <c r="E96" s="220">
        <f t="shared" si="12"/>
        <v>0</v>
      </c>
      <c r="F96" s="221">
        <f ca="1">IF($D$4="自选机构",[1]!S_EST_ESTANALYST($E$6,$E$8,C96,$F$4),[1]!S_EST_ESTANALYST($E$6,$E$8,$E$9,D96))</f>
        <v>0</v>
      </c>
      <c r="G96" s="222">
        <f ca="1">IF($D$4="自选机构",[1]!S_EST_ESTNEWTIME_INST($E$6,$E$8,C96,$F$4),[1]!S_EST_ESTNEWTIME_INST($E$6,$E$8,$E$9,D96))</f>
        <v>0</v>
      </c>
      <c r="H96" s="223">
        <f ca="1">IF($D$4="自选机构",[1]!S_EST_SALES_INST($E$6,$E$8,C96,$F$4)/currencyunit,[1]!S_EST_SALES_INST($E$6,$E$8,$E$9,D96)/currencyunit)</f>
        <v>0</v>
      </c>
      <c r="I96" s="223">
        <f ca="1">IF($D$4="自选机构",[1]!S_EST_NETPROFIT_INST($E$6,$E$8,C96,$F$4)/currencyunit,[1]!S_EST_NETPROFIT_INST($E$6,$E$8,$E$9,D96)/currencyunit)</f>
        <v>0</v>
      </c>
      <c r="J96" s="221">
        <f ca="1">IF($D$4="自选机构",[1]!S_EST_EPS_INST($E$6,$E$8,C96,$F$4),[1]!S_EST_EPS_INST($E$6,$E$8,$E$9,D96))</f>
        <v>0</v>
      </c>
      <c r="K96" s="222">
        <f ca="1">IF($D$4="自选机构",[1]!S_EST_NEWRATINGTIME_INST($E$6,Y96,$F$4),[1]!S_EST_NEWRATINGTIME_INST($E$6,$E$9,D96))</f>
        <v>0</v>
      </c>
      <c r="L96" s="221">
        <f ca="1">IF($D$4="自选机构",[1]!S_EST_RATINGANALYST($E$6,Y96,$F$4),[1]!S_EST_RATINGANALYST($E$6,$E$9,D96))</f>
        <v>0</v>
      </c>
      <c r="M96" s="221">
        <f ca="1">IF($D$4="自选机构",[1]!S_EST_ORGRATING_INST($E$6,Y96,$F$4),[1]!S_EST_ORGRATING_INST($E$6,$E$9,D96))</f>
        <v>0</v>
      </c>
      <c r="N96" s="223">
        <f ca="1">IF($D$4="自选机构",[1]!S_EST_SCORERATING_INST($E$6,Y96,$F$4),[1]!S_EST_SCORERATING_INST($E$6,$E$9,D96))</f>
        <v>0</v>
      </c>
      <c r="O96" s="221">
        <f ca="1">IF($D$4="自选机构",[1]!S_EST_STDRATING_INST($E$6,Y96,$F$4),[1]!S_EST_STDRATING_INST($E$6,$E$9,D96))</f>
        <v>0</v>
      </c>
      <c r="P96" s="222">
        <f>IF($D$4="自选机构",[1]!S_EST_FRSTRATINGTIME_INST($E$6,$F$4),[1]!S_EST_FRSTRATINGTIME_INST($E$6,D96))</f>
        <v>0</v>
      </c>
      <c r="Q96" s="224" t="str">
        <f t="shared" ca="1" si="13"/>
        <v/>
      </c>
      <c r="R96" s="224"/>
      <c r="S96" s="224"/>
      <c r="T96" s="224"/>
      <c r="U96" s="224"/>
      <c r="V96" s="224"/>
      <c r="W96" s="224"/>
      <c r="X96" s="225">
        <f t="shared" ca="1" si="14"/>
        <v>0</v>
      </c>
      <c r="Y96" s="225">
        <f t="shared" ca="1" si="19"/>
        <v>-1</v>
      </c>
      <c r="Z96" s="226">
        <f ca="1">IF($D$4="自选机构",[1]!S_EST_SCORERATING_INST($E$6,K96-1,$F$4),[1]!S_EST_SCORERATING_INST($E$6,K96-1,D96))</f>
        <v>0</v>
      </c>
      <c r="AA96" s="226">
        <f t="shared" ca="1" si="15"/>
        <v>0</v>
      </c>
      <c r="AB96" s="224" t="str">
        <f t="shared" ca="1" si="16"/>
        <v/>
      </c>
      <c r="AC96" s="227" t="str">
        <f t="shared" ca="1" si="20"/>
        <v/>
      </c>
      <c r="AD96" s="219"/>
    </row>
    <row r="97" spans="3:30" ht="16.5">
      <c r="C97" s="7">
        <f t="shared" ca="1" si="18"/>
        <v>-1</v>
      </c>
      <c r="D97" s="211">
        <v>84</v>
      </c>
      <c r="E97" s="212">
        <f t="shared" si="12"/>
        <v>0</v>
      </c>
      <c r="F97" s="213">
        <f ca="1">IF($D$4="自选机构",[1]!S_EST_ESTANALYST($E$6,$E$8,C97,$F$4),[1]!S_EST_ESTANALYST($E$6,$E$8,$E$9,D97))</f>
        <v>0</v>
      </c>
      <c r="G97" s="214">
        <f ca="1">IF($D$4="自选机构",[1]!S_EST_ESTNEWTIME_INST($E$6,$E$8,C97,$F$4),[1]!S_EST_ESTNEWTIME_INST($E$6,$E$8,$E$9,D97))</f>
        <v>0</v>
      </c>
      <c r="H97" s="215">
        <f ca="1">IF($D$4="自选机构",[1]!S_EST_SALES_INST($E$6,$E$8,C97,$F$4)/currencyunit,[1]!S_EST_SALES_INST($E$6,$E$8,$E$9,D97)/currencyunit)</f>
        <v>0</v>
      </c>
      <c r="I97" s="215">
        <f ca="1">IF($D$4="自选机构",[1]!S_EST_NETPROFIT_INST($E$6,$E$8,C97,$F$4)/currencyunit,[1]!S_EST_NETPROFIT_INST($E$6,$E$8,$E$9,D97)/currencyunit)</f>
        <v>0</v>
      </c>
      <c r="J97" s="213">
        <f ca="1">IF($D$4="自选机构",[1]!S_EST_EPS_INST($E$6,$E$8,C97,$F$4),[1]!S_EST_EPS_INST($E$6,$E$8,$E$9,D97))</f>
        <v>0</v>
      </c>
      <c r="K97" s="214">
        <f ca="1">IF($D$4="自选机构",[1]!S_EST_NEWRATINGTIME_INST($E$6,Y97,$F$4),[1]!S_EST_NEWRATINGTIME_INST($E$6,$E$9,D97))</f>
        <v>0</v>
      </c>
      <c r="L97" s="213">
        <f ca="1">IF($D$4="自选机构",[1]!S_EST_RATINGANALYST($E$6,Y97,$F$4),[1]!S_EST_RATINGANALYST($E$6,$E$9,D97))</f>
        <v>0</v>
      </c>
      <c r="M97" s="213">
        <f ca="1">IF($D$4="自选机构",[1]!S_EST_ORGRATING_INST($E$6,Y97,$F$4),[1]!S_EST_ORGRATING_INST($E$6,$E$9,D97))</f>
        <v>0</v>
      </c>
      <c r="N97" s="215">
        <f ca="1">IF($D$4="自选机构",[1]!S_EST_SCORERATING_INST($E$6,Y97,$F$4),[1]!S_EST_SCORERATING_INST($E$6,$E$9,D97))</f>
        <v>0</v>
      </c>
      <c r="O97" s="213">
        <f ca="1">IF($D$4="自选机构",[1]!S_EST_STDRATING_INST($E$6,Y97,$F$4),[1]!S_EST_STDRATING_INST($E$6,$E$9,D97))</f>
        <v>0</v>
      </c>
      <c r="P97" s="214">
        <f>IF($D$4="自选机构",[1]!S_EST_FRSTRATINGTIME_INST($E$6,$F$4),[1]!S_EST_FRSTRATINGTIME_INST($E$6,D97))</f>
        <v>0</v>
      </c>
      <c r="Q97" s="153" t="str">
        <f t="shared" ca="1" si="13"/>
        <v/>
      </c>
      <c r="R97" s="153"/>
      <c r="S97" s="153"/>
      <c r="T97" s="153"/>
      <c r="U97" s="153"/>
      <c r="V97" s="153"/>
      <c r="W97" s="153"/>
      <c r="X97" s="216">
        <f t="shared" ca="1" si="14"/>
        <v>0</v>
      </c>
      <c r="Y97" s="216">
        <f t="shared" ca="1" si="19"/>
        <v>-1</v>
      </c>
      <c r="Z97" s="217">
        <f ca="1">IF($D$4="自选机构",[1]!S_EST_SCORERATING_INST($E$6,K97-1,$F$4),[1]!S_EST_SCORERATING_INST($E$6,K97-1,D97))</f>
        <v>0</v>
      </c>
      <c r="AA97" s="217">
        <f t="shared" ca="1" si="15"/>
        <v>0</v>
      </c>
      <c r="AB97" s="153" t="str">
        <f t="shared" ca="1" si="16"/>
        <v/>
      </c>
      <c r="AC97" s="218" t="str">
        <f t="shared" ca="1" si="20"/>
        <v/>
      </c>
      <c r="AD97" s="211"/>
    </row>
    <row r="98" spans="3:30" ht="16.5">
      <c r="C98" s="7">
        <f t="shared" ca="1" si="18"/>
        <v>-1</v>
      </c>
      <c r="D98" s="219">
        <v>85</v>
      </c>
      <c r="E98" s="220">
        <f t="shared" si="12"/>
        <v>0</v>
      </c>
      <c r="F98" s="221">
        <f ca="1">IF($D$4="自选机构",[1]!S_EST_ESTANALYST($E$6,$E$8,C98,$F$4),[1]!S_EST_ESTANALYST($E$6,$E$8,$E$9,D98))</f>
        <v>0</v>
      </c>
      <c r="G98" s="222">
        <f ca="1">IF($D$4="自选机构",[1]!S_EST_ESTNEWTIME_INST($E$6,$E$8,C98,$F$4),[1]!S_EST_ESTNEWTIME_INST($E$6,$E$8,$E$9,D98))</f>
        <v>0</v>
      </c>
      <c r="H98" s="223">
        <f ca="1">IF($D$4="自选机构",[1]!S_EST_SALES_INST($E$6,$E$8,C98,$F$4)/currencyunit,[1]!S_EST_SALES_INST($E$6,$E$8,$E$9,D98)/currencyunit)</f>
        <v>0</v>
      </c>
      <c r="I98" s="223">
        <f ca="1">IF($D$4="自选机构",[1]!S_EST_NETPROFIT_INST($E$6,$E$8,C98,$F$4)/currencyunit,[1]!S_EST_NETPROFIT_INST($E$6,$E$8,$E$9,D98)/currencyunit)</f>
        <v>0</v>
      </c>
      <c r="J98" s="221">
        <f ca="1">IF($D$4="自选机构",[1]!S_EST_EPS_INST($E$6,$E$8,C98,$F$4),[1]!S_EST_EPS_INST($E$6,$E$8,$E$9,D98))</f>
        <v>0</v>
      </c>
      <c r="K98" s="222">
        <f ca="1">IF($D$4="自选机构",[1]!S_EST_NEWRATINGTIME_INST($E$6,Y98,$F$4),[1]!S_EST_NEWRATINGTIME_INST($E$6,$E$9,D98))</f>
        <v>0</v>
      </c>
      <c r="L98" s="221">
        <f ca="1">IF($D$4="自选机构",[1]!S_EST_RATINGANALYST($E$6,Y98,$F$4),[1]!S_EST_RATINGANALYST($E$6,$E$9,D98))</f>
        <v>0</v>
      </c>
      <c r="M98" s="221">
        <f ca="1">IF($D$4="自选机构",[1]!S_EST_ORGRATING_INST($E$6,Y98,$F$4),[1]!S_EST_ORGRATING_INST($E$6,$E$9,D98))</f>
        <v>0</v>
      </c>
      <c r="N98" s="223">
        <f ca="1">IF($D$4="自选机构",[1]!S_EST_SCORERATING_INST($E$6,Y98,$F$4),[1]!S_EST_SCORERATING_INST($E$6,$E$9,D98))</f>
        <v>0</v>
      </c>
      <c r="O98" s="221">
        <f ca="1">IF($D$4="自选机构",[1]!S_EST_STDRATING_INST($E$6,Y98,$F$4),[1]!S_EST_STDRATING_INST($E$6,$E$9,D98))</f>
        <v>0</v>
      </c>
      <c r="P98" s="222">
        <f>IF($D$4="自选机构",[1]!S_EST_FRSTRATINGTIME_INST($E$6,$F$4),[1]!S_EST_FRSTRATINGTIME_INST($E$6,D98))</f>
        <v>0</v>
      </c>
      <c r="Q98" s="224" t="str">
        <f t="shared" ca="1" si="13"/>
        <v/>
      </c>
      <c r="R98" s="224"/>
      <c r="S98" s="224"/>
      <c r="T98" s="224"/>
      <c r="U98" s="224"/>
      <c r="V98" s="224"/>
      <c r="W98" s="224"/>
      <c r="X98" s="225">
        <f t="shared" ca="1" si="14"/>
        <v>0</v>
      </c>
      <c r="Y98" s="225">
        <f t="shared" ca="1" si="19"/>
        <v>-1</v>
      </c>
      <c r="Z98" s="226">
        <f ca="1">IF($D$4="自选机构",[1]!S_EST_SCORERATING_INST($E$6,K98-1,$F$4),[1]!S_EST_SCORERATING_INST($E$6,K98-1,D98))</f>
        <v>0</v>
      </c>
      <c r="AA98" s="226">
        <f t="shared" ca="1" si="15"/>
        <v>0</v>
      </c>
      <c r="AB98" s="224" t="str">
        <f t="shared" ca="1" si="16"/>
        <v/>
      </c>
      <c r="AC98" s="227" t="str">
        <f t="shared" ca="1" si="20"/>
        <v/>
      </c>
      <c r="AD98" s="219"/>
    </row>
    <row r="99" spans="3:30" ht="16.5">
      <c r="C99" s="7">
        <f t="shared" ca="1" si="18"/>
        <v>-1</v>
      </c>
      <c r="D99" s="211">
        <v>86</v>
      </c>
      <c r="E99" s="212">
        <f t="shared" si="12"/>
        <v>0</v>
      </c>
      <c r="F99" s="213">
        <f ca="1">IF($D$4="自选机构",[1]!S_EST_ESTANALYST($E$6,$E$8,C99,$F$4),[1]!S_EST_ESTANALYST($E$6,$E$8,$E$9,D99))</f>
        <v>0</v>
      </c>
      <c r="G99" s="214">
        <f ca="1">IF($D$4="自选机构",[1]!S_EST_ESTNEWTIME_INST($E$6,$E$8,C99,$F$4),[1]!S_EST_ESTNEWTIME_INST($E$6,$E$8,$E$9,D99))</f>
        <v>0</v>
      </c>
      <c r="H99" s="215">
        <f ca="1">IF($D$4="自选机构",[1]!S_EST_SALES_INST($E$6,$E$8,C99,$F$4)/currencyunit,[1]!S_EST_SALES_INST($E$6,$E$8,$E$9,D99)/currencyunit)</f>
        <v>0</v>
      </c>
      <c r="I99" s="215">
        <f ca="1">IF($D$4="自选机构",[1]!S_EST_NETPROFIT_INST($E$6,$E$8,C99,$F$4)/currencyunit,[1]!S_EST_NETPROFIT_INST($E$6,$E$8,$E$9,D99)/currencyunit)</f>
        <v>0</v>
      </c>
      <c r="J99" s="213">
        <f ca="1">IF($D$4="自选机构",[1]!S_EST_EPS_INST($E$6,$E$8,C99,$F$4),[1]!S_EST_EPS_INST($E$6,$E$8,$E$9,D99))</f>
        <v>0</v>
      </c>
      <c r="K99" s="214">
        <f ca="1">IF($D$4="自选机构",[1]!S_EST_NEWRATINGTIME_INST($E$6,Y99,$F$4),[1]!S_EST_NEWRATINGTIME_INST($E$6,$E$9,D99))</f>
        <v>0</v>
      </c>
      <c r="L99" s="213">
        <f ca="1">IF($D$4="自选机构",[1]!S_EST_RATINGANALYST($E$6,Y99,$F$4),[1]!S_EST_RATINGANALYST($E$6,$E$9,D99))</f>
        <v>0</v>
      </c>
      <c r="M99" s="213">
        <f ca="1">IF($D$4="自选机构",[1]!S_EST_ORGRATING_INST($E$6,Y99,$F$4),[1]!S_EST_ORGRATING_INST($E$6,$E$9,D99))</f>
        <v>0</v>
      </c>
      <c r="N99" s="215">
        <f ca="1">IF($D$4="自选机构",[1]!S_EST_SCORERATING_INST($E$6,Y99,$F$4),[1]!S_EST_SCORERATING_INST($E$6,$E$9,D99))</f>
        <v>0</v>
      </c>
      <c r="O99" s="213">
        <f ca="1">IF($D$4="自选机构",[1]!S_EST_STDRATING_INST($E$6,Y99,$F$4),[1]!S_EST_STDRATING_INST($E$6,$E$9,D99))</f>
        <v>0</v>
      </c>
      <c r="P99" s="214">
        <f>IF($D$4="自选机构",[1]!S_EST_FRSTRATINGTIME_INST($E$6,$F$4),[1]!S_EST_FRSTRATINGTIME_INST($E$6,D99))</f>
        <v>0</v>
      </c>
      <c r="Q99" s="153" t="str">
        <f t="shared" ca="1" si="13"/>
        <v/>
      </c>
      <c r="R99" s="153"/>
      <c r="S99" s="153"/>
      <c r="T99" s="153"/>
      <c r="U99" s="153"/>
      <c r="V99" s="153"/>
      <c r="W99" s="153"/>
      <c r="X99" s="216">
        <f t="shared" ca="1" si="14"/>
        <v>0</v>
      </c>
      <c r="Y99" s="216">
        <f t="shared" ca="1" si="19"/>
        <v>-1</v>
      </c>
      <c r="Z99" s="217">
        <f ca="1">IF($D$4="自选机构",[1]!S_EST_SCORERATING_INST($E$6,K99-1,$F$4),[1]!S_EST_SCORERATING_INST($E$6,K99-1,D99))</f>
        <v>0</v>
      </c>
      <c r="AA99" s="217">
        <f t="shared" ca="1" si="15"/>
        <v>0</v>
      </c>
      <c r="AB99" s="153" t="str">
        <f t="shared" ca="1" si="16"/>
        <v/>
      </c>
      <c r="AC99" s="218" t="str">
        <f t="shared" ca="1" si="20"/>
        <v/>
      </c>
      <c r="AD99" s="211"/>
    </row>
    <row r="100" spans="3:30">
      <c r="H100" s="5"/>
      <c r="J100" s="2"/>
      <c r="Z100" s="3"/>
    </row>
    <row r="101" spans="3:30">
      <c r="H101" s="5"/>
      <c r="J101" s="2"/>
      <c r="Z101" s="3"/>
    </row>
    <row r="102" spans="3:30">
      <c r="H102" s="5"/>
      <c r="J102" s="2"/>
      <c r="Z102" s="3"/>
    </row>
    <row r="103" spans="3:30">
      <c r="H103" s="5"/>
      <c r="J103" s="2"/>
      <c r="Z103" s="3"/>
    </row>
    <row r="104" spans="3:30">
      <c r="H104" s="5"/>
      <c r="J104" s="2"/>
      <c r="Z104" s="3"/>
    </row>
    <row r="105" spans="3:30">
      <c r="H105" s="5"/>
      <c r="J105" s="2"/>
      <c r="Z105" s="3"/>
    </row>
    <row r="106" spans="3:30">
      <c r="H106" s="5"/>
      <c r="J106" s="2"/>
      <c r="Z106" s="3"/>
    </row>
    <row r="107" spans="3:30">
      <c r="H107" s="5"/>
      <c r="J107" s="2"/>
      <c r="Z107" s="3"/>
    </row>
    <row r="108" spans="3:30">
      <c r="H108" s="5"/>
      <c r="J108" s="2"/>
      <c r="Z108" s="3"/>
    </row>
    <row r="109" spans="3:30">
      <c r="H109" s="5"/>
      <c r="J109" s="2"/>
      <c r="Z109" s="3"/>
    </row>
    <row r="110" spans="3:30">
      <c r="H110" s="5"/>
      <c r="J110" s="2"/>
      <c r="Z110" s="3"/>
    </row>
    <row r="111" spans="3:30">
      <c r="H111" s="5"/>
      <c r="J111" s="2"/>
      <c r="Z111" s="3"/>
    </row>
    <row r="112" spans="3:30">
      <c r="G112" s="5"/>
      <c r="J112" s="2"/>
    </row>
    <row r="113" spans="10:10">
      <c r="J113" s="2"/>
    </row>
    <row r="114" spans="10:10">
      <c r="J114" s="2"/>
    </row>
    <row r="115" spans="10:10">
      <c r="J115" s="2"/>
    </row>
    <row r="116" spans="10:10">
      <c r="J116" s="2"/>
    </row>
    <row r="117" spans="10:10">
      <c r="J117" s="2"/>
    </row>
    <row r="118" spans="10:10">
      <c r="J118" s="2"/>
    </row>
    <row r="119" spans="10:10">
      <c r="J119" s="2"/>
    </row>
    <row r="120" spans="10:10">
      <c r="J120" s="2"/>
    </row>
    <row r="121" spans="10:10">
      <c r="J121" s="2"/>
    </row>
    <row r="122" spans="10:10">
      <c r="J122" s="2"/>
    </row>
  </sheetData>
  <mergeCells count="7">
    <mergeCell ref="E1:AA1"/>
    <mergeCell ref="H11:I11"/>
    <mergeCell ref="H6:I6"/>
    <mergeCell ref="H7:I7"/>
    <mergeCell ref="H8:I8"/>
    <mergeCell ref="H9:I9"/>
    <mergeCell ref="H10:I10"/>
  </mergeCells>
  <phoneticPr fontId="1" type="noConversion"/>
  <conditionalFormatting sqref="F11">
    <cfRule type="expression" dxfId="576" priority="12">
      <formula>$E$11="自定义"</formula>
    </cfRule>
  </conditionalFormatting>
  <conditionalFormatting sqref="E4">
    <cfRule type="expression" dxfId="575" priority="11">
      <formula>$D$4="自选机构"</formula>
    </cfRule>
  </conditionalFormatting>
  <conditionalFormatting sqref="D14">
    <cfRule type="expression" dxfId="574" priority="9">
      <formula>$D$4="机构汇总"</formula>
    </cfRule>
  </conditionalFormatting>
  <conditionalFormatting sqref="AC15:AC16">
    <cfRule type="iconSet" priority="2">
      <iconSet iconSet="3Arrows" showValue="0">
        <cfvo type="percent" val="0"/>
        <cfvo type="num" val="0"/>
        <cfvo type="num" val="0" gte="0"/>
      </iconSet>
    </cfRule>
  </conditionalFormatting>
  <conditionalFormatting sqref="AC17:AC99">
    <cfRule type="iconSet" priority="1">
      <iconSet iconSet="3Arrows" showValue="0">
        <cfvo type="percent" val="0"/>
        <cfvo type="num" val="0"/>
        <cfvo type="num" val="0" gte="0"/>
      </iconSet>
    </cfRule>
  </conditionalFormatting>
  <dataValidations count="2">
    <dataValidation type="list" allowBlank="1" showInputMessage="1" showErrorMessage="1" sqref="D4" xr:uid="{00000000-0002-0000-0200-000000000000}">
      <formula1>"机构汇总,自选机构"</formula1>
    </dataValidation>
    <dataValidation type="list" allowBlank="1" showInputMessage="1" showErrorMessage="1" sqref="E11" xr:uid="{00000000-0002-0000-0200-000001000000}">
      <formula1>"一个月,三个月,半年,一年,自定义"</formula1>
    </dataValidation>
  </dataValidations>
  <pageMargins left="0.7" right="0.7" top="0.75" bottom="0.75" header="0.3" footer="0.3"/>
  <pageSetup paperSize="9" orientation="portrait" horizontalDpi="200" verticalDpi="2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63636D"/>
  </sheetPr>
  <dimension ref="A1:AB32"/>
  <sheetViews>
    <sheetView showGridLines="0" workbookViewId="0">
      <selection activeCell="A43" sqref="A43"/>
    </sheetView>
  </sheetViews>
  <sheetFormatPr defaultColWidth="9" defaultRowHeight="16.5"/>
  <cols>
    <col min="1" max="1" width="4.625" style="77" customWidth="1"/>
    <col min="2" max="2" width="3.125" style="77" customWidth="1"/>
    <col min="3" max="3" width="19.75" style="77" bestFit="1" customWidth="1"/>
    <col min="4" max="4" width="14.5" style="77" customWidth="1"/>
    <col min="5" max="5" width="13.875" style="77" customWidth="1"/>
    <col min="6" max="6" width="19.75" style="77" bestFit="1" customWidth="1"/>
    <col min="7" max="8" width="15.5" style="77" bestFit="1" customWidth="1"/>
    <col min="9" max="9" width="19.75" style="77" bestFit="1" customWidth="1"/>
    <col min="10" max="10" width="9.875" style="77" customWidth="1"/>
    <col min="11" max="11" width="15.5" style="77" bestFit="1" customWidth="1"/>
    <col min="12" max="12" width="19.75" style="77" bestFit="1" customWidth="1"/>
    <col min="13" max="14" width="15.5" style="77" bestFit="1" customWidth="1"/>
    <col min="15" max="15" width="19.75" style="77" bestFit="1" customWidth="1"/>
    <col min="16" max="17" width="15.5" style="77" bestFit="1" customWidth="1"/>
    <col min="18" max="18" width="19.75" style="77" bestFit="1" customWidth="1"/>
    <col min="19" max="20" width="15.5" style="77" bestFit="1" customWidth="1"/>
    <col min="21" max="16384" width="9" style="77"/>
  </cols>
  <sheetData>
    <row r="1" spans="1:28" ht="26.25" customHeight="1">
      <c r="A1" s="137" t="s">
        <v>163</v>
      </c>
      <c r="B1" s="9"/>
      <c r="C1" s="9"/>
      <c r="D1" s="379" t="s">
        <v>351</v>
      </c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ht="10.5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</row>
    <row r="3" spans="1:28" ht="17.25" thickBot="1">
      <c r="B3" s="96"/>
      <c r="C3" s="257" t="s">
        <v>222</v>
      </c>
      <c r="D3" s="145"/>
      <c r="E3" s="146" t="str">
        <f>公司分析!H82</f>
        <v>年度</v>
      </c>
      <c r="F3" s="143"/>
      <c r="G3" s="144"/>
      <c r="H3" s="144"/>
      <c r="I3" s="144"/>
      <c r="J3" s="144"/>
      <c r="K3" s="144"/>
      <c r="L3" s="144"/>
      <c r="M3" s="144"/>
      <c r="N3" s="144"/>
      <c r="O3" s="96"/>
      <c r="P3" s="96"/>
      <c r="Q3" s="96"/>
      <c r="R3" s="96"/>
      <c r="S3" s="96"/>
      <c r="T3" s="96"/>
      <c r="U3" s="96"/>
    </row>
    <row r="4" spans="1:28">
      <c r="B4" s="122"/>
      <c r="C4" s="147"/>
      <c r="D4" s="148"/>
      <c r="E4" s="149"/>
      <c r="F4" s="24"/>
      <c r="G4" s="141"/>
      <c r="H4" s="141"/>
      <c r="I4" s="141"/>
      <c r="J4" s="141"/>
      <c r="K4" s="141"/>
      <c r="L4" s="141"/>
      <c r="M4" s="141"/>
      <c r="N4" s="141"/>
      <c r="O4" s="122"/>
      <c r="P4" s="122"/>
      <c r="Q4" s="122"/>
      <c r="R4" s="122"/>
      <c r="S4" s="122"/>
      <c r="T4" s="122"/>
      <c r="U4" s="122"/>
    </row>
    <row r="5" spans="1:28">
      <c r="B5" s="122"/>
      <c r="C5" s="262" t="str">
        <f ca="1">IF(MONTH(公司分析!D84)=6,YEAR(公司分析!D84)-1&amp;"-12-31",YEAR(公司分析!D84)&amp;"-6-30")</f>
        <v>2021-6-30</v>
      </c>
      <c r="D5" s="263"/>
      <c r="E5" s="264"/>
      <c r="F5" s="262" t="str">
        <f ca="1">公司分析!D84</f>
        <v>2021/12/31</v>
      </c>
      <c r="G5" s="263"/>
      <c r="H5" s="264"/>
      <c r="I5" s="262" t="str">
        <f ca="1">公司分析!E84</f>
        <v>2022/12/31</v>
      </c>
      <c r="J5" s="265"/>
      <c r="K5" s="265"/>
      <c r="L5" s="262" t="str">
        <f ca="1">公司分析!F84</f>
        <v>2023/12/31</v>
      </c>
      <c r="M5" s="263"/>
      <c r="N5" s="265"/>
      <c r="O5" s="262" t="str">
        <f ca="1">公司分析!G84</f>
        <v>2024/12/31</v>
      </c>
      <c r="P5" s="263"/>
      <c r="Q5" s="265"/>
      <c r="R5" s="266" t="str">
        <f ca="1">公司分析!H84</f>
        <v>2025/12/31</v>
      </c>
      <c r="S5" s="263"/>
      <c r="T5" s="263"/>
      <c r="U5" s="122"/>
    </row>
    <row r="6" spans="1:28">
      <c r="B6" s="122"/>
      <c r="C6" s="244" t="str">
        <f>"项目"&amp;"["&amp;C3&amp;"]"</f>
        <v>项目[按产品分类]</v>
      </c>
      <c r="D6" s="258" t="str">
        <f>"收入"&amp;"["&amp;C3&amp;"]"</f>
        <v>收入[按产品分类]</v>
      </c>
      <c r="E6" s="244" t="str">
        <f>"利润"&amp;"["&amp;C3&amp;"]"</f>
        <v>利润[按产品分类]</v>
      </c>
      <c r="F6" s="244" t="str">
        <f>"项目"&amp;"["&amp;C3&amp;"]"</f>
        <v>项目[按产品分类]</v>
      </c>
      <c r="G6" s="258" t="str">
        <f>"收入"&amp;"["&amp;C3&amp;"]"</f>
        <v>收入[按产品分类]</v>
      </c>
      <c r="H6" s="244" t="str">
        <f>"利润"&amp;"["&amp;C3&amp;"]"</f>
        <v>利润[按产品分类]</v>
      </c>
      <c r="I6" s="244" t="str">
        <f>"项目"&amp;"["&amp;C3&amp;"]"</f>
        <v>项目[按产品分类]</v>
      </c>
      <c r="J6" s="258" t="str">
        <f>"收入"&amp;"["&amp;C3&amp;"]"</f>
        <v>收入[按产品分类]</v>
      </c>
      <c r="K6" s="244" t="str">
        <f>"利润"&amp;"["&amp;C3&amp;"]"</f>
        <v>利润[按产品分类]</v>
      </c>
      <c r="L6" s="244" t="str">
        <f>"项目"&amp;"["&amp;C3&amp;"]"</f>
        <v>项目[按产品分类]</v>
      </c>
      <c r="M6" s="258" t="str">
        <f>"收入"&amp;"["&amp;C3&amp;"]"</f>
        <v>收入[按产品分类]</v>
      </c>
      <c r="N6" s="244" t="str">
        <f>"利润"&amp;"["&amp;C3&amp;"]"</f>
        <v>利润[按产品分类]</v>
      </c>
      <c r="O6" s="258" t="str">
        <f>"项目"&amp;"["&amp;C3&amp;"]"</f>
        <v>项目[按产品分类]</v>
      </c>
      <c r="P6" s="258" t="str">
        <f>"收入"&amp;"["&amp;C3&amp;"]"</f>
        <v>收入[按产品分类]</v>
      </c>
      <c r="Q6" s="244" t="str">
        <f>"利润"&amp;"["&amp;C3&amp;"]"</f>
        <v>利润[按产品分类]</v>
      </c>
      <c r="R6" s="258" t="str">
        <f>"项目"&amp;"["&amp;C3&amp;"]"</f>
        <v>项目[按产品分类]</v>
      </c>
      <c r="S6" s="258" t="str">
        <f>"收入"&amp;"["&amp;C3&amp;"]"</f>
        <v>收入[按产品分类]</v>
      </c>
      <c r="T6" s="258" t="str">
        <f>"利润"&amp;"["&amp;C3&amp;"]"</f>
        <v>利润[按产品分类]</v>
      </c>
      <c r="U6" s="122"/>
    </row>
    <row r="7" spans="1:28">
      <c r="B7" s="122"/>
      <c r="C7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其他</v>
      </c>
      <c r="D7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594.5009</v>
      </c>
      <c r="E7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7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其他</v>
      </c>
      <c r="G7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1267.8367000000001</v>
      </c>
      <c r="H7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41.746600000000001</v>
      </c>
      <c r="I7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其他</v>
      </c>
      <c r="J7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1715.1848</v>
      </c>
      <c r="K7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70.456999999999994</v>
      </c>
      <c r="L7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其他</v>
      </c>
      <c r="M7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1838.645</v>
      </c>
      <c r="N7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109.41370000000001</v>
      </c>
      <c r="O7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其他</v>
      </c>
      <c r="P7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2027.0866000000001</v>
      </c>
      <c r="Q7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124.5091</v>
      </c>
      <c r="R7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7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7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7" s="122"/>
    </row>
    <row r="8" spans="1:28">
      <c r="B8" s="122"/>
      <c r="C8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加工、冶炼及贸易金</v>
      </c>
      <c r="D8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482.10770000000002</v>
      </c>
      <c r="E8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8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加工、冶炼及贸易金</v>
      </c>
      <c r="G8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1000.4834</v>
      </c>
      <c r="H8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1.2183999999999999</v>
      </c>
      <c r="I8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加工、冶炼及贸易金</v>
      </c>
      <c r="J8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1005.8028</v>
      </c>
      <c r="K8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5.5366</v>
      </c>
      <c r="L8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加工、冶炼及贸易金</v>
      </c>
      <c r="M8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1112.5601999999999</v>
      </c>
      <c r="N8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6.5937000000000001</v>
      </c>
      <c r="O8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加工、冶炼及贸易金</v>
      </c>
      <c r="P8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1255.0115000000001</v>
      </c>
      <c r="Q8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5.6345000000000001</v>
      </c>
      <c r="R8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8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8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8" s="122"/>
    </row>
    <row r="9" spans="1:28">
      <c r="B9" s="122"/>
      <c r="C9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冶炼产铜</v>
      </c>
      <c r="D9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185.1414</v>
      </c>
      <c r="E9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9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冶炼产铜</v>
      </c>
      <c r="G9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375.6232</v>
      </c>
      <c r="H9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10.386200000000001</v>
      </c>
      <c r="I9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冶炼产铜</v>
      </c>
      <c r="J9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411.36450000000002</v>
      </c>
      <c r="K9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11.8409</v>
      </c>
      <c r="L9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冶炼产铜</v>
      </c>
      <c r="M9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437.31330000000003</v>
      </c>
      <c r="N9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13.521100000000001</v>
      </c>
      <c r="O9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冶炼产铜</v>
      </c>
      <c r="P9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493.60969999999998</v>
      </c>
      <c r="Q9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10.0998</v>
      </c>
      <c r="R9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9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9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9" s="122"/>
    </row>
    <row r="10" spans="1:28">
      <c r="B10" s="122"/>
      <c r="C10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铜精矿</v>
      </c>
      <c r="D10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83.060199999999995</v>
      </c>
      <c r="E10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0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铜精矿</v>
      </c>
      <c r="G10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198.3203</v>
      </c>
      <c r="H10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133.03530000000001</v>
      </c>
      <c r="I10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铜精矿</v>
      </c>
      <c r="J10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293.57139999999998</v>
      </c>
      <c r="K10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177.12430000000001</v>
      </c>
      <c r="L10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铜精矿</v>
      </c>
      <c r="M10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316.63810000000001</v>
      </c>
      <c r="N10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188.47</v>
      </c>
      <c r="O10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铜精矿</v>
      </c>
      <c r="P10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349.54829999999998</v>
      </c>
      <c r="Q10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230.8066</v>
      </c>
      <c r="R10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0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0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0" s="122"/>
    </row>
    <row r="11" spans="1:28">
      <c r="B11" s="122"/>
      <c r="C11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金锭</v>
      </c>
      <c r="D11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48.206699999999998</v>
      </c>
      <c r="E11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1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矿山产金</v>
      </c>
      <c r="G11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159.2174</v>
      </c>
      <c r="H11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78.751000000000005</v>
      </c>
      <c r="I11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矿山产金</v>
      </c>
      <c r="J11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224.18530000000001</v>
      </c>
      <c r="K11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107.5489</v>
      </c>
      <c r="L11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矿山产金</v>
      </c>
      <c r="M11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270.90559999999999</v>
      </c>
      <c r="N11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122.10380000000001</v>
      </c>
      <c r="O11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金锭</v>
      </c>
      <c r="P11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203.1559</v>
      </c>
      <c r="Q11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93.782600000000002</v>
      </c>
      <c r="R11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1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1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1" s="122"/>
    </row>
    <row r="12" spans="1:28">
      <c r="B12" s="122"/>
      <c r="C12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冶炼产锌</v>
      </c>
      <c r="D12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27.089300000000001</v>
      </c>
      <c r="E12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2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冶炼产锌</v>
      </c>
      <c r="G12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64.420500000000004</v>
      </c>
      <c r="H12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2.8715000000000002</v>
      </c>
      <c r="I12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冶炼产锌</v>
      </c>
      <c r="J12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70.951700000000002</v>
      </c>
      <c r="K12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3.524</v>
      </c>
      <c r="L12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冶炼产锌</v>
      </c>
      <c r="M12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63.910299999999999</v>
      </c>
      <c r="N12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4.5214999999999996</v>
      </c>
      <c r="O12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金精矿</v>
      </c>
      <c r="P12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149.77180000000001</v>
      </c>
      <c r="Q12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102.8039</v>
      </c>
      <c r="R12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2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2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2" s="122"/>
    </row>
    <row r="13" spans="1:28">
      <c r="B13" s="122"/>
      <c r="C13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金精矿</v>
      </c>
      <c r="D13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26.6005</v>
      </c>
      <c r="E13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3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矿山产锌</v>
      </c>
      <c r="G13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56.437600000000003</v>
      </c>
      <c r="H13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27.016400000000001</v>
      </c>
      <c r="I13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矿山产锌</v>
      </c>
      <c r="J13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62.740900000000003</v>
      </c>
      <c r="K13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30.546199999999999</v>
      </c>
      <c r="L13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矿山产电积铜</v>
      </c>
      <c r="M13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54.099299999999999</v>
      </c>
      <c r="N13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25.432200000000002</v>
      </c>
      <c r="O13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矿山产电解铜</v>
      </c>
      <c r="P13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81.043800000000005</v>
      </c>
      <c r="Q13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37.169499999999999</v>
      </c>
      <c r="R13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3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3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3" s="122"/>
    </row>
    <row r="14" spans="1:28">
      <c r="B14" s="122"/>
      <c r="C14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矿山产锌</v>
      </c>
      <c r="D14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26.3093</v>
      </c>
      <c r="E14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4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矿山产电积铜</v>
      </c>
      <c r="G14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49.160699999999999</v>
      </c>
      <c r="H14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34.071399999999997</v>
      </c>
      <c r="I14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矿山产电积铜</v>
      </c>
      <c r="J14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53.2834</v>
      </c>
      <c r="K14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30.3108</v>
      </c>
      <c r="L14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矿山产锌</v>
      </c>
      <c r="M14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49.182299999999998</v>
      </c>
      <c r="N14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10.7377</v>
      </c>
      <c r="O14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冶炼产锌</v>
      </c>
      <c r="P14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75.511600000000001</v>
      </c>
      <c r="Q14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3.4979</v>
      </c>
      <c r="R14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4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4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4" s="122"/>
    </row>
    <row r="15" spans="1:28">
      <c r="B15" s="122"/>
      <c r="C15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矿山产电积铜</v>
      </c>
      <c r="D15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25.893899999999999</v>
      </c>
      <c r="E15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5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矿山产电解铜</v>
      </c>
      <c r="G15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35.804299999999998</v>
      </c>
      <c r="H15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19.992000000000001</v>
      </c>
      <c r="I15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矿山产电解铜</v>
      </c>
      <c r="J15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15.6822</v>
      </c>
      <c r="K15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8.3835999999999995</v>
      </c>
      <c r="L15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矿山产电解铜</v>
      </c>
      <c r="M15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44.006</v>
      </c>
      <c r="N15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12.1792</v>
      </c>
      <c r="O15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矿山产锌</v>
      </c>
      <c r="P15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57.662500000000001</v>
      </c>
      <c r="Q15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23.908000000000001</v>
      </c>
      <c r="R15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5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5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5" s="122"/>
    </row>
    <row r="16" spans="1:28">
      <c r="B16" s="122"/>
      <c r="C16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矿山产电解铜</v>
      </c>
      <c r="D16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17.622</v>
      </c>
      <c r="E16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6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铁精矿</v>
      </c>
      <c r="G16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27.386500000000002</v>
      </c>
      <c r="H16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20.4175</v>
      </c>
      <c r="I16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矿山产银</v>
      </c>
      <c r="J16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12.314399999999999</v>
      </c>
      <c r="K16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5.7225999999999999</v>
      </c>
      <c r="L16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矿山产银</v>
      </c>
      <c r="M16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14.3871</v>
      </c>
      <c r="N16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7.3056000000000001</v>
      </c>
      <c r="O16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矿山产电积铜</v>
      </c>
      <c r="P16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51.124699999999997</v>
      </c>
      <c r="Q16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24.7437</v>
      </c>
      <c r="R16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6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6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6" s="122"/>
    </row>
    <row r="17" spans="2:21">
      <c r="B17" s="122"/>
      <c r="C17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铁精矿</v>
      </c>
      <c r="D17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13.984400000000001</v>
      </c>
      <c r="E17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7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矿山产银</v>
      </c>
      <c r="G17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10.4899</v>
      </c>
      <c r="H17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5.6959</v>
      </c>
      <c r="I17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铁精矿</v>
      </c>
      <c r="J17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12.153700000000001</v>
      </c>
      <c r="K17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8.2508999999999997</v>
      </c>
      <c r="L17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铁精矿</v>
      </c>
      <c r="M17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12.2699</v>
      </c>
      <c r="N17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7.4153000000000002</v>
      </c>
      <c r="O17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矿山产银</v>
      </c>
      <c r="P17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20.103200000000001</v>
      </c>
      <c r="Q17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12.262</v>
      </c>
      <c r="R17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7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7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7" s="122"/>
    </row>
    <row r="18" spans="2:21"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</row>
    <row r="19" spans="2:21">
      <c r="B19" s="122"/>
      <c r="C19" s="269" t="str">
        <f>"收入"&amp;"["&amp;C3&amp;"]"</f>
        <v>收入[按产品分类]</v>
      </c>
      <c r="D19" s="269" t="str">
        <f ca="1">IF(MONTH(公司分析!D84)=6,YEAR(公司分析!D84)-1&amp;"-12-31",YEAR(公司分析!D84)&amp;"-6-30")</f>
        <v>2021-6-30</v>
      </c>
      <c r="E19" s="269" t="str">
        <f ca="1">公司分析!D84</f>
        <v>2021/12/31</v>
      </c>
      <c r="F19" s="269" t="str">
        <f ca="1">I5</f>
        <v>2022/12/31</v>
      </c>
      <c r="G19" s="269" t="str">
        <f ca="1">L5</f>
        <v>2023/12/31</v>
      </c>
      <c r="H19" s="269" t="str">
        <f ca="1">O5</f>
        <v>2024/12/31</v>
      </c>
      <c r="I19" s="269" t="str">
        <f ca="1">R5</f>
        <v>2025/12/31</v>
      </c>
      <c r="J19" s="269" t="str">
        <f ca="1">公司分析!D84</f>
        <v>2021/12/31</v>
      </c>
      <c r="K19" s="242" t="str">
        <f ca="1">公司分析!E84</f>
        <v>2022/12/31</v>
      </c>
      <c r="L19" s="269" t="str">
        <f ca="1">公司分析!F84</f>
        <v>2023/12/31</v>
      </c>
      <c r="M19" s="269" t="str">
        <f ca="1">公司分析!G84</f>
        <v>2024/12/31</v>
      </c>
      <c r="N19" s="242" t="str">
        <f ca="1">公司分析!H84</f>
        <v>2025/12/31</v>
      </c>
      <c r="O19" s="122"/>
      <c r="P19" s="122"/>
      <c r="Q19" s="122"/>
      <c r="R19" s="122"/>
      <c r="S19" s="122"/>
      <c r="T19" s="122"/>
      <c r="U19" s="122"/>
    </row>
    <row r="20" spans="2:21">
      <c r="B20" s="122"/>
      <c r="C20" s="259" t="str">
        <f ca="1">IF(R7=0,"",R7)</f>
        <v/>
      </c>
      <c r="D20" s="267">
        <f ca="1">IFERROR(VLOOKUP(C20,$C$7:$D$11,2,FALSE),0)</f>
        <v>0</v>
      </c>
      <c r="E20" s="267">
        <f ca="1">IFERROR(VLOOKUP(C20,$F$7:$G$11,2,FALSE),0)</f>
        <v>0</v>
      </c>
      <c r="F20" s="267">
        <f ca="1">IFERROR(VLOOKUP(C20,$I$7:$J$11,2,FALSE),0)</f>
        <v>0</v>
      </c>
      <c r="G20" s="267">
        <f ca="1">IFERROR(VLOOKUP(C20,$L$7:$M$11,2,FALSE),0)</f>
        <v>0</v>
      </c>
      <c r="H20" s="267">
        <f ca="1">IFERROR(VLOOKUP(C20,$O$7:$P$11,2,FALSE),0)</f>
        <v>0</v>
      </c>
      <c r="I20" s="267">
        <f ca="1">IFERROR(VLOOKUP(C20,$R$7:$S$11,2,FALSE),0)</f>
        <v>0</v>
      </c>
      <c r="J20" s="267">
        <f ca="1">IF($E$3="年度",E20,IF(MONTH(J$19)=6,E20,E20-D20))</f>
        <v>0</v>
      </c>
      <c r="K20" s="267">
        <f t="shared" ref="J20:N24" ca="1" si="0">IF($E$3="年度",F20,IF(MONTH(K$19)=6,F20,F20-E20))</f>
        <v>0</v>
      </c>
      <c r="L20" s="267">
        <f ca="1">IF($E$3="年度",G20,IF(MONTH(L$19)=6,G20,G20-F20))</f>
        <v>0</v>
      </c>
      <c r="M20" s="267">
        <f t="shared" ca="1" si="0"/>
        <v>0</v>
      </c>
      <c r="N20" s="267">
        <f t="shared" ca="1" si="0"/>
        <v>0</v>
      </c>
      <c r="O20" s="122"/>
      <c r="P20" s="122"/>
      <c r="Q20" s="122"/>
      <c r="R20" s="122"/>
      <c r="S20" s="122"/>
      <c r="T20" s="122"/>
      <c r="U20" s="122"/>
    </row>
    <row r="21" spans="2:21">
      <c r="B21" s="122"/>
      <c r="C21" s="261" t="str">
        <f t="shared" ref="C21:C22" ca="1" si="1">IF(R8=0,"",R8)</f>
        <v/>
      </c>
      <c r="D21" s="268">
        <f t="shared" ref="D21:D24" ca="1" si="2">IFERROR(VLOOKUP(C21,$C$7:$D$11,2,FALSE),0)</f>
        <v>0</v>
      </c>
      <c r="E21" s="268">
        <f t="shared" ref="E21:E24" ca="1" si="3">IFERROR(VLOOKUP(C21,$F$7:$G$11,2,FALSE),0)</f>
        <v>0</v>
      </c>
      <c r="F21" s="268">
        <f t="shared" ref="F21:F24" ca="1" si="4">IFERROR(VLOOKUP(C21,$I$7:$J$11,2,FALSE),0)</f>
        <v>0</v>
      </c>
      <c r="G21" s="268">
        <f t="shared" ref="G21:G24" ca="1" si="5">IFERROR(VLOOKUP(C21,$L$7:$M$11,2,FALSE),0)</f>
        <v>0</v>
      </c>
      <c r="H21" s="268">
        <f t="shared" ref="H21:H24" ca="1" si="6">IFERROR(VLOOKUP(C21,$O$7:$P$11,2,FALSE),0)</f>
        <v>0</v>
      </c>
      <c r="I21" s="268">
        <f t="shared" ref="I21:I24" ca="1" si="7">IFERROR(VLOOKUP(C21,$R$7:$S$11,2,FALSE),0)</f>
        <v>0</v>
      </c>
      <c r="J21" s="268">
        <f t="shared" ca="1" si="0"/>
        <v>0</v>
      </c>
      <c r="K21" s="268">
        <f t="shared" ca="1" si="0"/>
        <v>0</v>
      </c>
      <c r="L21" s="268">
        <f t="shared" ca="1" si="0"/>
        <v>0</v>
      </c>
      <c r="M21" s="268">
        <f t="shared" ca="1" si="0"/>
        <v>0</v>
      </c>
      <c r="N21" s="268">
        <f t="shared" ca="1" si="0"/>
        <v>0</v>
      </c>
      <c r="O21" s="122"/>
      <c r="P21" s="122"/>
      <c r="Q21" s="122"/>
      <c r="R21" s="122"/>
      <c r="S21" s="122"/>
      <c r="T21" s="122"/>
      <c r="U21" s="122"/>
    </row>
    <row r="22" spans="2:21">
      <c r="B22" s="122"/>
      <c r="C22" s="259" t="str">
        <f t="shared" ca="1" si="1"/>
        <v/>
      </c>
      <c r="D22" s="267">
        <f t="shared" ca="1" si="2"/>
        <v>0</v>
      </c>
      <c r="E22" s="267">
        <f t="shared" ca="1" si="3"/>
        <v>0</v>
      </c>
      <c r="F22" s="267">
        <f t="shared" ca="1" si="4"/>
        <v>0</v>
      </c>
      <c r="G22" s="267">
        <f t="shared" ca="1" si="5"/>
        <v>0</v>
      </c>
      <c r="H22" s="267">
        <f t="shared" ca="1" si="6"/>
        <v>0</v>
      </c>
      <c r="I22" s="267">
        <f t="shared" ca="1" si="7"/>
        <v>0</v>
      </c>
      <c r="J22" s="267">
        <f t="shared" ca="1" si="0"/>
        <v>0</v>
      </c>
      <c r="K22" s="267">
        <f t="shared" ca="1" si="0"/>
        <v>0</v>
      </c>
      <c r="L22" s="267">
        <f t="shared" ca="1" si="0"/>
        <v>0</v>
      </c>
      <c r="M22" s="267">
        <f t="shared" ca="1" si="0"/>
        <v>0</v>
      </c>
      <c r="N22" s="267">
        <f t="shared" ca="1" si="0"/>
        <v>0</v>
      </c>
      <c r="O22" s="122"/>
      <c r="P22" s="122"/>
      <c r="Q22" s="122"/>
      <c r="R22" s="122"/>
      <c r="S22" s="122"/>
      <c r="T22" s="122"/>
      <c r="U22" s="122"/>
    </row>
    <row r="23" spans="2:21">
      <c r="B23" s="122"/>
      <c r="C23" s="261" t="str">
        <f ca="1">IF(R10=0,"",R10)</f>
        <v/>
      </c>
      <c r="D23" s="268">
        <f t="shared" ca="1" si="2"/>
        <v>0</v>
      </c>
      <c r="E23" s="268">
        <f t="shared" ca="1" si="3"/>
        <v>0</v>
      </c>
      <c r="F23" s="268">
        <f t="shared" ca="1" si="4"/>
        <v>0</v>
      </c>
      <c r="G23" s="268">
        <f t="shared" ca="1" si="5"/>
        <v>0</v>
      </c>
      <c r="H23" s="268">
        <f t="shared" ca="1" si="6"/>
        <v>0</v>
      </c>
      <c r="I23" s="268">
        <f t="shared" ca="1" si="7"/>
        <v>0</v>
      </c>
      <c r="J23" s="268">
        <f t="shared" ca="1" si="0"/>
        <v>0</v>
      </c>
      <c r="K23" s="268">
        <f t="shared" ca="1" si="0"/>
        <v>0</v>
      </c>
      <c r="L23" s="268">
        <f t="shared" ca="1" si="0"/>
        <v>0</v>
      </c>
      <c r="M23" s="268">
        <f t="shared" ca="1" si="0"/>
        <v>0</v>
      </c>
      <c r="N23" s="268">
        <f t="shared" ca="1" si="0"/>
        <v>0</v>
      </c>
      <c r="O23" s="122"/>
      <c r="P23" s="122"/>
      <c r="Q23" s="122"/>
      <c r="R23" s="122"/>
      <c r="S23" s="122"/>
      <c r="T23" s="122"/>
      <c r="U23" s="122"/>
    </row>
    <row r="24" spans="2:21">
      <c r="B24" s="122"/>
      <c r="C24" s="259" t="str">
        <f ca="1">IF(R11=0,"",R11)</f>
        <v/>
      </c>
      <c r="D24" s="267">
        <f t="shared" ca="1" si="2"/>
        <v>0</v>
      </c>
      <c r="E24" s="267">
        <f t="shared" ca="1" si="3"/>
        <v>0</v>
      </c>
      <c r="F24" s="267">
        <f t="shared" ca="1" si="4"/>
        <v>0</v>
      </c>
      <c r="G24" s="267">
        <f t="shared" ca="1" si="5"/>
        <v>0</v>
      </c>
      <c r="H24" s="267">
        <f t="shared" ca="1" si="6"/>
        <v>0</v>
      </c>
      <c r="I24" s="267">
        <f t="shared" ca="1" si="7"/>
        <v>0</v>
      </c>
      <c r="J24" s="267">
        <f t="shared" ca="1" si="0"/>
        <v>0</v>
      </c>
      <c r="K24" s="267">
        <f t="shared" ca="1" si="0"/>
        <v>0</v>
      </c>
      <c r="L24" s="267">
        <f t="shared" ca="1" si="0"/>
        <v>0</v>
      </c>
      <c r="M24" s="267">
        <f t="shared" ca="1" si="0"/>
        <v>0</v>
      </c>
      <c r="N24" s="267">
        <f t="shared" ca="1" si="0"/>
        <v>0</v>
      </c>
      <c r="O24" s="122"/>
      <c r="P24" s="122"/>
      <c r="Q24" s="122"/>
      <c r="R24" s="122"/>
      <c r="S24" s="122"/>
      <c r="T24" s="122"/>
      <c r="U24" s="122"/>
    </row>
    <row r="25" spans="2:21">
      <c r="B25" s="122"/>
      <c r="C25" s="139"/>
      <c r="D25" s="139"/>
      <c r="E25" s="139"/>
      <c r="F25" s="139"/>
      <c r="G25" s="139"/>
      <c r="H25" s="139"/>
      <c r="I25" s="139"/>
      <c r="J25" s="122"/>
      <c r="K25" s="122"/>
      <c r="L25" s="122"/>
      <c r="M25" s="122"/>
      <c r="N25" s="139"/>
      <c r="O25" s="122"/>
      <c r="P25" s="122"/>
      <c r="Q25" s="122"/>
      <c r="R25" s="122"/>
      <c r="S25" s="122"/>
      <c r="T25" s="122"/>
      <c r="U25" s="122"/>
    </row>
    <row r="26" spans="2:21">
      <c r="B26" s="122"/>
      <c r="C26" s="269" t="str">
        <f>T6</f>
        <v>利润[按产品分类]</v>
      </c>
      <c r="D26" s="269" t="str">
        <f t="shared" ref="D26:I26" ca="1" si="8">D19</f>
        <v>2021-6-30</v>
      </c>
      <c r="E26" s="269" t="str">
        <f t="shared" ca="1" si="8"/>
        <v>2021/12/31</v>
      </c>
      <c r="F26" s="269" t="str">
        <f t="shared" ca="1" si="8"/>
        <v>2022/12/31</v>
      </c>
      <c r="G26" s="269" t="str">
        <f t="shared" ca="1" si="8"/>
        <v>2023/12/31</v>
      </c>
      <c r="H26" s="269" t="str">
        <f t="shared" ca="1" si="8"/>
        <v>2024/12/31</v>
      </c>
      <c r="I26" s="269" t="str">
        <f t="shared" ca="1" si="8"/>
        <v>2025/12/31</v>
      </c>
      <c r="J26" s="269" t="str">
        <f ca="1">E26</f>
        <v>2021/12/31</v>
      </c>
      <c r="K26" s="269" t="str">
        <f ca="1">F26</f>
        <v>2022/12/31</v>
      </c>
      <c r="L26" s="269" t="str">
        <f ca="1">G26</f>
        <v>2023/12/31</v>
      </c>
      <c r="M26" s="269" t="str">
        <f ca="1">H26</f>
        <v>2024/12/31</v>
      </c>
      <c r="N26" s="269" t="str">
        <f ca="1">I26</f>
        <v>2025/12/31</v>
      </c>
      <c r="O26" s="122"/>
      <c r="P26" s="122"/>
      <c r="Q26" s="122"/>
      <c r="R26" s="122"/>
      <c r="S26" s="122"/>
      <c r="T26" s="122"/>
      <c r="U26" s="122"/>
    </row>
    <row r="27" spans="2:21">
      <c r="B27" s="122"/>
      <c r="C27" s="259" t="str">
        <f ca="1">C20</f>
        <v/>
      </c>
      <c r="D27" s="267">
        <f ca="1">IFERROR(VLOOKUP(C27,$C$7:$E$11,3,FALSE),0)</f>
        <v>0</v>
      </c>
      <c r="E27" s="267">
        <f ca="1">IFERROR(VLOOKUP(C27,$F$7:$H$11,3,FALSE),0)</f>
        <v>0</v>
      </c>
      <c r="F27" s="267">
        <f ca="1">IFERROR(VLOOKUP(C27,$I$7:$K$11,3,FALSE),0)</f>
        <v>0</v>
      </c>
      <c r="G27" s="267">
        <f ca="1">IFERROR(VLOOKUP(C27,$L$7:$N$11,3,FALSE),0)</f>
        <v>0</v>
      </c>
      <c r="H27" s="267">
        <f ca="1">IFERROR(VLOOKUP(C27,$O$7:$Q$11,3,FALSE),0)</f>
        <v>0</v>
      </c>
      <c r="I27" s="267">
        <f ca="1">IFERROR(VLOOKUP(C27,$R$7:$T$11,3,FALSE),0)</f>
        <v>0</v>
      </c>
      <c r="J27" s="267">
        <f t="shared" ref="J27:N31" ca="1" si="9">IF($E$3="年度",E27,IF(MONTH(J$19)=6,E27,E27-D27))</f>
        <v>0</v>
      </c>
      <c r="K27" s="267">
        <f t="shared" ca="1" si="9"/>
        <v>0</v>
      </c>
      <c r="L27" s="267">
        <f t="shared" ca="1" si="9"/>
        <v>0</v>
      </c>
      <c r="M27" s="267">
        <f t="shared" ca="1" si="9"/>
        <v>0</v>
      </c>
      <c r="N27" s="267">
        <f t="shared" ca="1" si="9"/>
        <v>0</v>
      </c>
      <c r="O27" s="122"/>
      <c r="P27" s="122"/>
      <c r="Q27" s="122"/>
      <c r="R27" s="122"/>
      <c r="S27" s="122"/>
      <c r="T27" s="122"/>
      <c r="U27" s="122"/>
    </row>
    <row r="28" spans="2:21">
      <c r="B28" s="122"/>
      <c r="C28" s="261" t="str">
        <f ca="1">C21</f>
        <v/>
      </c>
      <c r="D28" s="268">
        <f t="shared" ref="D28:D31" ca="1" si="10">IFERROR(VLOOKUP(C28,$C$7:$E$11,3,FALSE),0)</f>
        <v>0</v>
      </c>
      <c r="E28" s="268">
        <f t="shared" ref="E28:E31" ca="1" si="11">IFERROR(VLOOKUP(C28,$F$7:$H$11,3,FALSE),0)</f>
        <v>0</v>
      </c>
      <c r="F28" s="268">
        <f t="shared" ref="F28:F31" ca="1" si="12">IFERROR(VLOOKUP(C28,$I$7:$K$11,3,FALSE),0)</f>
        <v>0</v>
      </c>
      <c r="G28" s="268">
        <f t="shared" ref="G28:G31" ca="1" si="13">IFERROR(VLOOKUP(C28,$L$7:$N$11,3,FALSE),0)</f>
        <v>0</v>
      </c>
      <c r="H28" s="268">
        <f t="shared" ref="H28:H31" ca="1" si="14">IFERROR(VLOOKUP(C28,$O$7:$Q$11,3,FALSE),0)</f>
        <v>0</v>
      </c>
      <c r="I28" s="268">
        <f t="shared" ref="I28:I31" ca="1" si="15">IFERROR(VLOOKUP(C28,$R$7:$T$11,3,FALSE),0)</f>
        <v>0</v>
      </c>
      <c r="J28" s="268">
        <f t="shared" ca="1" si="9"/>
        <v>0</v>
      </c>
      <c r="K28" s="268">
        <f t="shared" ca="1" si="9"/>
        <v>0</v>
      </c>
      <c r="L28" s="268">
        <f t="shared" ca="1" si="9"/>
        <v>0</v>
      </c>
      <c r="M28" s="268">
        <f t="shared" ca="1" si="9"/>
        <v>0</v>
      </c>
      <c r="N28" s="268">
        <f t="shared" ca="1" si="9"/>
        <v>0</v>
      </c>
      <c r="O28" s="122"/>
      <c r="P28" s="122"/>
      <c r="Q28" s="122"/>
      <c r="R28" s="122"/>
      <c r="S28" s="122"/>
      <c r="T28" s="122"/>
      <c r="U28" s="122"/>
    </row>
    <row r="29" spans="2:21">
      <c r="B29" s="122"/>
      <c r="C29" s="259" t="str">
        <f ca="1">C22</f>
        <v/>
      </c>
      <c r="D29" s="267">
        <f t="shared" ca="1" si="10"/>
        <v>0</v>
      </c>
      <c r="E29" s="267">
        <f t="shared" ca="1" si="11"/>
        <v>0</v>
      </c>
      <c r="F29" s="267">
        <f t="shared" ca="1" si="12"/>
        <v>0</v>
      </c>
      <c r="G29" s="267">
        <f t="shared" ca="1" si="13"/>
        <v>0</v>
      </c>
      <c r="H29" s="267">
        <f t="shared" ca="1" si="14"/>
        <v>0</v>
      </c>
      <c r="I29" s="267">
        <f t="shared" ca="1" si="15"/>
        <v>0</v>
      </c>
      <c r="J29" s="267">
        <f t="shared" ca="1" si="9"/>
        <v>0</v>
      </c>
      <c r="K29" s="267">
        <f t="shared" ca="1" si="9"/>
        <v>0</v>
      </c>
      <c r="L29" s="267">
        <f t="shared" ca="1" si="9"/>
        <v>0</v>
      </c>
      <c r="M29" s="267">
        <f t="shared" ca="1" si="9"/>
        <v>0</v>
      </c>
      <c r="N29" s="267">
        <f t="shared" ca="1" si="9"/>
        <v>0</v>
      </c>
      <c r="O29" s="122"/>
      <c r="P29" s="122"/>
      <c r="Q29" s="122"/>
      <c r="R29" s="122"/>
      <c r="S29" s="122"/>
      <c r="T29" s="122"/>
      <c r="U29" s="122"/>
    </row>
    <row r="30" spans="2:21">
      <c r="B30" s="122"/>
      <c r="C30" s="261" t="str">
        <f ca="1">C23</f>
        <v/>
      </c>
      <c r="D30" s="268">
        <f t="shared" ca="1" si="10"/>
        <v>0</v>
      </c>
      <c r="E30" s="268">
        <f t="shared" ca="1" si="11"/>
        <v>0</v>
      </c>
      <c r="F30" s="268">
        <f t="shared" ca="1" si="12"/>
        <v>0</v>
      </c>
      <c r="G30" s="268">
        <f t="shared" ca="1" si="13"/>
        <v>0</v>
      </c>
      <c r="H30" s="268">
        <f t="shared" ca="1" si="14"/>
        <v>0</v>
      </c>
      <c r="I30" s="268">
        <f t="shared" ca="1" si="15"/>
        <v>0</v>
      </c>
      <c r="J30" s="268">
        <f t="shared" ca="1" si="9"/>
        <v>0</v>
      </c>
      <c r="K30" s="268">
        <f t="shared" ca="1" si="9"/>
        <v>0</v>
      </c>
      <c r="L30" s="268">
        <f t="shared" ca="1" si="9"/>
        <v>0</v>
      </c>
      <c r="M30" s="268">
        <f t="shared" ca="1" si="9"/>
        <v>0</v>
      </c>
      <c r="N30" s="268">
        <f t="shared" ca="1" si="9"/>
        <v>0</v>
      </c>
      <c r="O30" s="122"/>
      <c r="P30" s="122"/>
      <c r="Q30" s="122"/>
      <c r="R30" s="122"/>
      <c r="S30" s="122"/>
      <c r="T30" s="122"/>
      <c r="U30" s="122"/>
    </row>
    <row r="31" spans="2:21">
      <c r="B31" s="122"/>
      <c r="C31" s="259" t="str">
        <f ca="1">C24</f>
        <v/>
      </c>
      <c r="D31" s="267">
        <f t="shared" ca="1" si="10"/>
        <v>0</v>
      </c>
      <c r="E31" s="267">
        <f t="shared" ca="1" si="11"/>
        <v>0</v>
      </c>
      <c r="F31" s="267">
        <f t="shared" ca="1" si="12"/>
        <v>0</v>
      </c>
      <c r="G31" s="267">
        <f t="shared" ca="1" si="13"/>
        <v>0</v>
      </c>
      <c r="H31" s="267">
        <f t="shared" ca="1" si="14"/>
        <v>0</v>
      </c>
      <c r="I31" s="267">
        <f t="shared" ca="1" si="15"/>
        <v>0</v>
      </c>
      <c r="J31" s="267">
        <f t="shared" ca="1" si="9"/>
        <v>0</v>
      </c>
      <c r="K31" s="267">
        <f t="shared" ca="1" si="9"/>
        <v>0</v>
      </c>
      <c r="L31" s="267">
        <f t="shared" ca="1" si="9"/>
        <v>0</v>
      </c>
      <c r="M31" s="267">
        <f t="shared" ca="1" si="9"/>
        <v>0</v>
      </c>
      <c r="N31" s="267">
        <f t="shared" ca="1" si="9"/>
        <v>0</v>
      </c>
      <c r="O31" s="122"/>
      <c r="P31" s="122"/>
      <c r="Q31" s="122"/>
      <c r="R31" s="122"/>
      <c r="S31" s="122"/>
      <c r="T31" s="122"/>
      <c r="U31" s="122"/>
    </row>
    <row r="32" spans="2:21"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</row>
  </sheetData>
  <mergeCells count="1">
    <mergeCell ref="D1:N1"/>
  </mergeCells>
  <phoneticPr fontId="1" type="noConversion"/>
  <dataValidations count="1">
    <dataValidation type="list" allowBlank="1" showInputMessage="1" showErrorMessage="1" sqref="C3:C4" xr:uid="{00000000-0002-0000-0300-000000000000}">
      <formula1>"按行业分类,按产品分类,按地区分类"</formula1>
    </dataValidation>
  </dataValidations>
  <hyperlinks>
    <hyperlink ref="A1" location="公司分析!A76" display="返回" xr:uid="{00000000-0004-0000-0300-000000000000}"/>
  </hyperlink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rgb="FF63636D"/>
  </sheetPr>
  <dimension ref="A1"/>
  <sheetViews>
    <sheetView workbookViewId="0">
      <selection activeCell="E8" sqref="E8"/>
    </sheetView>
  </sheetViews>
  <sheetFormatPr defaultRowHeight="16.5"/>
  <sheetData>
    <row r="1" spans="1:1" ht="17.25">
      <c r="A1" s="339" t="s">
        <v>466</v>
      </c>
    </row>
  </sheetData>
  <phoneticPr fontId="4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rgb="FF63636D"/>
  </sheetPr>
  <dimension ref="A1:AQ5500"/>
  <sheetViews>
    <sheetView showGridLines="0" workbookViewId="0">
      <selection activeCell="A44" sqref="A44"/>
    </sheetView>
  </sheetViews>
  <sheetFormatPr defaultRowHeight="16.5"/>
  <cols>
    <col min="1" max="1" width="9" style="77"/>
    <col min="2" max="2" width="8.875" style="77" customWidth="1"/>
    <col min="3" max="3" width="14.75" style="77" customWidth="1"/>
    <col min="4" max="4" width="9.25" style="77" customWidth="1"/>
    <col min="5" max="5" width="13.625" style="77" customWidth="1"/>
    <col min="6" max="6" width="8.375" style="77" customWidth="1"/>
    <col min="7" max="7" width="14.125" style="77" customWidth="1"/>
    <col min="8" max="8" width="8.875" style="77" customWidth="1"/>
    <col min="9" max="9" width="13.5" style="272" customWidth="1"/>
    <col min="10" max="13" width="8.875" style="273" customWidth="1"/>
    <col min="14" max="15" width="8.875" style="274" customWidth="1"/>
    <col min="16" max="16" width="14.25" style="77" customWidth="1"/>
    <col min="17" max="17" width="10.625" style="77" customWidth="1"/>
    <col min="18" max="20" width="9" style="77"/>
    <col min="21" max="21" width="11.75" style="77" customWidth="1"/>
    <col min="22" max="22" width="9.25" style="77" customWidth="1"/>
    <col min="23" max="23" width="9.5" style="77" customWidth="1"/>
    <col min="24" max="24" width="9.25" style="77" customWidth="1"/>
    <col min="25" max="25" width="12.25" style="77" bestFit="1" customWidth="1"/>
    <col min="26" max="28" width="9" style="77"/>
    <col min="29" max="40" width="7.375" style="77" customWidth="1"/>
    <col min="41" max="43" width="9" style="77"/>
    <col min="45" max="46" width="7.5" bestFit="1" customWidth="1"/>
  </cols>
  <sheetData>
    <row r="1" spans="1:43" s="1" customFormat="1" ht="29.25" customHeight="1">
      <c r="A1" s="10"/>
      <c r="B1" s="9"/>
      <c r="C1" s="391" t="s">
        <v>352</v>
      </c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spans="1:43" ht="17.25" thickBot="1">
      <c r="B2" s="318"/>
      <c r="C2" s="278"/>
      <c r="D2" s="278"/>
      <c r="E2" s="278"/>
      <c r="F2" s="278"/>
      <c r="G2" s="279"/>
      <c r="H2" s="278"/>
      <c r="I2" s="319" t="str">
        <f>公司分析!F20</f>
        <v>PE Band</v>
      </c>
      <c r="J2" s="320"/>
      <c r="K2" s="320"/>
      <c r="L2" s="320"/>
      <c r="M2" s="321">
        <f>IF(公司分析!D20="前复权",3,IF(公司分析!D20="后复权",2,1))</f>
        <v>1</v>
      </c>
      <c r="N2" s="323">
        <f>IF(OR(公司分析!E20="日",公司分析!E20="day"),1,IF(OR(公司分析!E20="周",公司分析!E20="week"),7,30))</f>
        <v>7</v>
      </c>
      <c r="O2" s="324"/>
      <c r="P2" s="278"/>
      <c r="Q2" s="278"/>
      <c r="R2" s="279"/>
      <c r="S2" s="122"/>
      <c r="T2" s="122"/>
      <c r="U2" s="122"/>
      <c r="V2" s="122"/>
      <c r="W2" s="122"/>
      <c r="X2" s="122"/>
      <c r="Y2" s="122"/>
      <c r="Z2" s="122"/>
      <c r="AA2" s="122"/>
      <c r="AB2" s="276"/>
      <c r="AC2" s="276"/>
      <c r="AD2" s="276"/>
      <c r="AE2" s="276"/>
      <c r="AF2" s="276"/>
      <c r="AG2" s="122"/>
      <c r="AH2" s="122"/>
      <c r="AI2" s="122"/>
      <c r="AJ2" s="122"/>
      <c r="AK2" s="122"/>
      <c r="AL2" s="122"/>
      <c r="AM2" s="122"/>
      <c r="AN2" s="122"/>
      <c r="AO2" s="122"/>
      <c r="AP2" s="122"/>
    </row>
    <row r="3" spans="1:43" ht="17.25" thickTop="1">
      <c r="B3" s="280" t="s">
        <v>59</v>
      </c>
      <c r="C3" s="345" t="s">
        <v>55</v>
      </c>
      <c r="D3" s="345" t="s">
        <v>5</v>
      </c>
      <c r="E3" s="345" t="s">
        <v>477</v>
      </c>
      <c r="F3" s="345" t="s">
        <v>56</v>
      </c>
      <c r="G3" s="344">
        <f>IF(OR(公司分析!F5="千",公司分析!F5="thousand"),1000,IF(OR(公司分析!F5="百万",公司分析!F5="million"),1000000,IF(OR(公司分析!F5="十亿",公司分析!F5="billion"),1000000000,100000000)))</f>
        <v>100000000</v>
      </c>
      <c r="H3" s="122" t="str">
        <f>公司分析!D4</f>
        <v>601899.SH</v>
      </c>
      <c r="I3" s="275" t="s">
        <v>51</v>
      </c>
      <c r="J3" s="129" t="s">
        <v>52</v>
      </c>
      <c r="K3" s="129" t="str">
        <f>RIGHT(公司分析!G20,LEN(公司分析!G20)-6)&amp;"X"</f>
        <v>8X</v>
      </c>
      <c r="L3" s="129" t="str">
        <f>LEFT(K3,LEN(K3)-1)+RIGHT(公司分析!H20,LEN(公司分析!H20)-5)&amp;"X"</f>
        <v>20X</v>
      </c>
      <c r="M3" s="322" t="str">
        <f>LEFT(L3,LEN(L3)-1)+RIGHT(公司分析!H20,LEN(公司分析!H20)-5)&amp;"X"</f>
        <v>32X</v>
      </c>
      <c r="N3" s="325" t="s">
        <v>53</v>
      </c>
      <c r="O3" s="326" t="s">
        <v>54</v>
      </c>
      <c r="P3" s="122" t="s">
        <v>353</v>
      </c>
      <c r="Q3" s="122" t="s">
        <v>10</v>
      </c>
      <c r="R3" s="281" t="str">
        <f>公司分析!V20</f>
        <v>沪深300_x0000__x0000_</v>
      </c>
      <c r="S3" s="122" t="str">
        <f>VLOOKUP(R3,P4:Q46,2,FALSE)</f>
        <v>000300.SH</v>
      </c>
      <c r="T3" s="122"/>
      <c r="U3" s="292" t="s">
        <v>354</v>
      </c>
      <c r="V3" s="293" t="s">
        <v>144</v>
      </c>
      <c r="W3" s="294" t="s">
        <v>120</v>
      </c>
      <c r="X3" s="294" t="s">
        <v>121</v>
      </c>
      <c r="Y3" s="294" t="str">
        <f>行业比较!D6</f>
        <v>申万二级行业</v>
      </c>
      <c r="Z3" s="295" t="s">
        <v>355</v>
      </c>
      <c r="AA3" s="122"/>
      <c r="AB3" s="276" t="s">
        <v>142</v>
      </c>
      <c r="AC3" s="296" t="s">
        <v>128</v>
      </c>
      <c r="AD3" s="297" t="s">
        <v>122</v>
      </c>
      <c r="AE3" s="297" t="s">
        <v>123</v>
      </c>
      <c r="AF3" s="297" t="s">
        <v>125</v>
      </c>
      <c r="AG3" s="298" t="s">
        <v>134</v>
      </c>
      <c r="AH3" s="297" t="s">
        <v>132</v>
      </c>
      <c r="AI3" s="297" t="s">
        <v>127</v>
      </c>
      <c r="AJ3" s="297" t="s">
        <v>74</v>
      </c>
      <c r="AK3" s="297" t="s">
        <v>126</v>
      </c>
      <c r="AL3" s="299" t="s">
        <v>119</v>
      </c>
      <c r="AM3" s="299" t="s">
        <v>133</v>
      </c>
      <c r="AN3" s="297" t="s">
        <v>129</v>
      </c>
      <c r="AO3" s="300" t="s">
        <v>130</v>
      </c>
      <c r="AP3" s="122"/>
    </row>
    <row r="4" spans="1:43">
      <c r="B4" s="280" t="s">
        <v>60</v>
      </c>
      <c r="C4" s="122" t="s">
        <v>0</v>
      </c>
      <c r="D4" s="122" t="str">
        <f ca="1">IF(MONTH(公司分析!D5)&gt;10,YEAR(公司分析!D5)&amp;"-09-30",IF(MONTH(公司分析!D5)&gt;8,YEAR(公司分析!D5)&amp;"-06-30",IF(MONTH(公司分析!D5)&gt;4,YEAR(公司分析!D5)&amp;"-03-31",YEAR(公司分析!D5)-1&amp;"-09-30")))</f>
        <v>2025-09-30</v>
      </c>
      <c r="E4" s="122" t="s">
        <v>1</v>
      </c>
      <c r="F4" s="122" t="str">
        <f ca="1">IF(MONTH(recentreportdate)=6,YEAR(recentreportdate)&amp;"-03-31",IF(MONTH(recentreportdate)=9,YEAR(recentreportdate)&amp;"-06-30",IF(MONTH(recentreportdate)=12,YEAR(recentreportdate)&amp;"-09-30",YEAR(recentreportdate)-1&amp;"-12-31")))</f>
        <v>2025-06-30</v>
      </c>
      <c r="G4" s="281"/>
      <c r="H4" s="129">
        <f ca="1">IF(I2="PE Band",[1]!s_est_eps(H3,YEAR(I4),I4),[1]!s_est_avgbps(H3,YEAR(I4),I4))</f>
        <v>2.6008</v>
      </c>
      <c r="I4" s="275">
        <f ca="1">--[1]!td(TODAY()-1)</f>
        <v>46087</v>
      </c>
      <c r="J4" s="129">
        <f ca="1">IF([1]!S_DQ_CLOSE(公司分析!$D$4,I4,$M$2)=0,NA(),[1]!S_DQ_CLOSE(公司分析!$D$4,I4,$M$2))</f>
        <v>37.1</v>
      </c>
      <c r="K4" s="129">
        <f ca="1">H4*LEFT($K$3,LEN($K$3)-1)</f>
        <v>20.8064</v>
      </c>
      <c r="L4" s="129">
        <f ca="1">H4*LEFT($L$3,LEN($L$3)-1)</f>
        <v>52.015999999999998</v>
      </c>
      <c r="M4" s="322">
        <f ca="1">H4*LEFT($M$3,LEN($M$3)-1)</f>
        <v>83.2256</v>
      </c>
      <c r="N4" s="325">
        <f ca="1">J4/$J$64-1</f>
        <v>1.4169381107491859</v>
      </c>
      <c r="O4" s="326">
        <f t="shared" ref="O4:O35" ca="1" si="0">R4/$R$64-1</f>
        <v>0.19136700218127434</v>
      </c>
      <c r="P4" s="275" t="s">
        <v>356</v>
      </c>
      <c r="Q4" s="122" t="s">
        <v>11</v>
      </c>
      <c r="R4" s="281">
        <f ca="1">IF([1]!S_DQ_CLOSE($S$3,I4,$M$2)=0,NA(),[1]!S_DQ_CLOSE($S$3,I4,$M$2))</f>
        <v>4660.4390000000003</v>
      </c>
      <c r="S4" s="122"/>
      <c r="T4" s="122"/>
      <c r="U4" s="301" t="s">
        <v>357</v>
      </c>
      <c r="V4" s="260">
        <f ca="1">IF(Z4="",0,RANK(Z4,Z:Z,1))</f>
        <v>0</v>
      </c>
      <c r="W4" s="348" t="str">
        <f>IF(板块成分!B6="","",板块成分!B6)</f>
        <v>000001.SZ</v>
      </c>
      <c r="X4" s="276" t="str">
        <f>[1]!S_Info_Name(W4)</f>
        <v>平安银行</v>
      </c>
      <c r="Y4" s="276" t="str">
        <f ca="1">IF($Y$3="申万一级行业",[1]!s_info_industry_sw_2021(W4,公司分析!D$5,1),IF($Y$3="申万二级行业",[1]!s_info_industry_sw_2021(W4,公司分析!D$5,2),IF($Y$3="申万三级行业",[1]!s_info_industry_sw_2021(W4,公司分析!D$5,3),IF($Y$3="wind一级行业",[1]!s_info_industry_gics(W4,1),IF($Y$3="wind二级行业",[1]!s_info_industry_gics(W4,2),IF($Y$3="wind三级行业",[1]!s_info_industry_gics(W4,3),IF($Y$3="wind四级行业",[1]!s_info_industry_gics(W4,4),IF($Y$3="证监会门类行业",[1]!s_info_industry_csrc12_n(W4,公司分析!D$5,1),""))))))))</f>
        <v>股份制银行Ⅱ</v>
      </c>
      <c r="Z4" s="302" t="str">
        <f ca="1">IF(Y4=行业比较!$E$6,ROW(),"")</f>
        <v/>
      </c>
      <c r="AA4" s="122"/>
      <c r="AB4" s="276" t="s">
        <v>143</v>
      </c>
      <c r="AC4" s="303" t="s">
        <v>124</v>
      </c>
      <c r="AD4" s="304" t="s">
        <v>135</v>
      </c>
      <c r="AE4" s="304" t="s">
        <v>136</v>
      </c>
      <c r="AF4" s="305" t="s">
        <v>131</v>
      </c>
      <c r="AG4" s="305" t="s">
        <v>137</v>
      </c>
      <c r="AH4" s="304" t="s">
        <v>138</v>
      </c>
      <c r="AI4" s="304" t="s">
        <v>139</v>
      </c>
      <c r="AJ4" s="304" t="s">
        <v>140</v>
      </c>
      <c r="AK4" s="304" t="s">
        <v>141</v>
      </c>
      <c r="AL4" s="306" t="s">
        <v>149</v>
      </c>
      <c r="AM4" s="306" t="s">
        <v>150</v>
      </c>
      <c r="AN4" s="307" t="s">
        <v>151</v>
      </c>
      <c r="AO4" s="308" t="s">
        <v>152</v>
      </c>
      <c r="AP4" s="122"/>
    </row>
    <row r="5" spans="1:43" ht="17.25" thickBot="1">
      <c r="B5" s="280" t="s">
        <v>61</v>
      </c>
      <c r="C5" s="122" t="s">
        <v>9</v>
      </c>
      <c r="D5" s="122" t="s">
        <v>57</v>
      </c>
      <c r="E5" s="122" t="s">
        <v>58</v>
      </c>
      <c r="F5" s="122"/>
      <c r="G5" s="281"/>
      <c r="H5" s="329" t="e">
        <f ca="1">IF(([1]!S_SHARE_TOTAL($H$3,I5)/[1]!S_SHARE_TOTAL($H$3,I6))/(YEAR(I5)/YEAR(I4))=1,NA(),IF($I$2="PE Band",[1]!S_STM07_IS($H$3,61,YEAR(I5)-1&amp;"-12-31",1)/[1]!S_SHARE_TOTAL($H$3,I5),[1]!S_STM07_BS($H$3,140,YEAR(I5)-1&amp;"-12-31",1)/[1]!S_SHARE_TOTAL($H$3,I5)))</f>
        <v>#N/A</v>
      </c>
      <c r="I5" s="275">
        <f ca="1">--[1]!td(I4-$N$2)</f>
        <v>46080</v>
      </c>
      <c r="J5" s="129">
        <f ca="1">IF([1]!S_DQ_CLOSE(公司分析!$D$4,I5,$M$2)=0,NA(),[1]!S_DQ_CLOSE(公司分析!$D$4,I5,$M$2))</f>
        <v>39.549999999999997</v>
      </c>
      <c r="K5" s="129" t="e">
        <f ca="1">H5*LEFT($K$3,LEN($K$3)-1)</f>
        <v>#N/A</v>
      </c>
      <c r="L5" s="129" t="e">
        <f t="shared" ref="L5:L64" ca="1" si="1">H5*LEFT($L$3,LEN($L$3)-1)</f>
        <v>#N/A</v>
      </c>
      <c r="M5" s="322" t="e">
        <f t="shared" ref="M5:M64" ca="1" si="2">H5*LEFT($M$3,LEN($M$3)-1)</f>
        <v>#N/A</v>
      </c>
      <c r="N5" s="325">
        <f t="shared" ref="N5:N63" ca="1" si="3">J5/$J$64-1</f>
        <v>1.5765472312703581</v>
      </c>
      <c r="O5" s="326">
        <f t="shared" ca="1" si="0"/>
        <v>0.20420185214043429</v>
      </c>
      <c r="P5" s="275" t="s">
        <v>358</v>
      </c>
      <c r="Q5" s="122" t="s">
        <v>12</v>
      </c>
      <c r="R5" s="281">
        <f ca="1">IF([1]!S_DQ_CLOSE($S$3,I5,$M$2)=0,NA(),[1]!S_DQ_CLOSE($S$3,I5,$M$2))</f>
        <v>4710.6468999999997</v>
      </c>
      <c r="S5" s="122"/>
      <c r="T5" s="122"/>
      <c r="U5" s="301" t="s">
        <v>359</v>
      </c>
      <c r="V5" s="260">
        <f t="shared" ref="V5:V68" ca="1" si="4">IF(Z5="",0,RANK(Z5,Z:Z,1))</f>
        <v>0</v>
      </c>
      <c r="W5" s="348" t="str">
        <f>IF(板块成分!B7="","",板块成分!B7)</f>
        <v>000002.SZ</v>
      </c>
      <c r="X5" s="276" t="str">
        <f>[1]!S_Info_Name(W5)</f>
        <v>万科A</v>
      </c>
      <c r="Y5" s="276" t="str">
        <f ca="1">IF($Y$3="申万一级行业",[1]!s_info_industry_sw_2021(W5,公司分析!D$5,1),IF($Y$3="申万二级行业",[1]!s_info_industry_sw_2021(W5,公司分析!D$5,2),IF($Y$3="申万三级行业",[1]!s_info_industry_sw_2021(W5,公司分析!D$5,3),IF($Y$3="wind一级行业",[1]!s_info_industry_gics(W5,1),IF($Y$3="wind二级行业",[1]!s_info_industry_gics(W5,2),IF($Y$3="wind三级行业",[1]!s_info_industry_gics(W5,3),IF($Y$3="wind四级行业",[1]!s_info_industry_gics(W5,4),IF($Y$3="证监会门类行业",[1]!s_info_industry_csrc12_n(W5,公司分析!D$5,1),""))))))))</f>
        <v>房地产开发</v>
      </c>
      <c r="Z5" s="302" t="str">
        <f ca="1">IF(Y5=行业比较!$E$6,ROW(),"")</f>
        <v/>
      </c>
      <c r="AA5" s="122"/>
      <c r="AB5" s="276"/>
      <c r="AC5" s="309">
        <v>1</v>
      </c>
      <c r="AD5" s="310">
        <v>2</v>
      </c>
      <c r="AE5" s="311">
        <v>3</v>
      </c>
      <c r="AF5" s="311">
        <v>4</v>
      </c>
      <c r="AG5" s="311">
        <v>5</v>
      </c>
      <c r="AH5" s="311">
        <v>6</v>
      </c>
      <c r="AI5" s="311">
        <v>7</v>
      </c>
      <c r="AJ5" s="311">
        <v>8</v>
      </c>
      <c r="AK5" s="312">
        <v>9</v>
      </c>
      <c r="AL5" s="310">
        <v>10</v>
      </c>
      <c r="AM5" s="310">
        <v>11</v>
      </c>
      <c r="AN5" s="310">
        <v>12</v>
      </c>
      <c r="AO5" s="313">
        <v>13</v>
      </c>
      <c r="AP5" s="122"/>
    </row>
    <row r="6" spans="1:43" ht="17.25" thickTop="1">
      <c r="B6" s="280" t="s">
        <v>62</v>
      </c>
      <c r="C6" s="122" t="s">
        <v>2</v>
      </c>
      <c r="D6" s="129">
        <f ca="1">公司分析!U61-F6</f>
        <v>-29012.049298480066</v>
      </c>
      <c r="E6" s="122" t="s">
        <v>3</v>
      </c>
      <c r="F6" s="122">
        <f ca="1">[1]!S_HOLDER_AVGNUM(公司分析!D4,F4,2)</f>
        <v>79180.280999466719</v>
      </c>
      <c r="G6" s="281"/>
      <c r="H6" s="329" t="e">
        <f ca="1">IF(([1]!S_SHARE_TOTAL($H$3,I6)/[1]!S_SHARE_TOTAL($H$3,I7))/(YEAR(I6)/YEAR(I5))=1,NA(),IF($I$2="PE Band",[1]!S_STM07_IS($H$3,61,YEAR(I6)-1&amp;"-12-31",1)/[1]!S_SHARE_TOTAL($H$3,I6),[1]!S_STM07_BS($H$3,140,YEAR(I6)-1&amp;"-12-31",1)/[1]!S_SHARE_TOTAL($H$3,I6)))</f>
        <v>#N/A</v>
      </c>
      <c r="I6" s="275">
        <f ca="1">--[1]!td(I5-$N$2)</f>
        <v>46066</v>
      </c>
      <c r="J6" s="129">
        <f ca="1">IF([1]!S_DQ_CLOSE(公司分析!$D$4,I6,$M$2)=0,NA(),[1]!S_DQ_CLOSE(公司分析!$D$4,I6,$M$2))</f>
        <v>37.78</v>
      </c>
      <c r="K6" s="129" t="e">
        <f t="shared" ref="K6:K64" ca="1" si="5">H6*LEFT($K$3,LEN($K$3)-1)</f>
        <v>#N/A</v>
      </c>
      <c r="L6" s="129" t="e">
        <f t="shared" ca="1" si="1"/>
        <v>#N/A</v>
      </c>
      <c r="M6" s="322" t="e">
        <f t="shared" ca="1" si="2"/>
        <v>#N/A</v>
      </c>
      <c r="N6" s="325">
        <f t="shared" ca="1" si="3"/>
        <v>1.4612377850162868</v>
      </c>
      <c r="O6" s="326">
        <f t="shared" ca="1" si="0"/>
        <v>0.19135846400324596</v>
      </c>
      <c r="P6" s="122" t="s">
        <v>360</v>
      </c>
      <c r="Q6" s="122" t="s">
        <v>13</v>
      </c>
      <c r="R6" s="281">
        <f ca="1">IF([1]!S_DQ_CLOSE($S$3,I6,$M$2)=0,NA(),[1]!S_DQ_CLOSE($S$3,I6,$M$2))</f>
        <v>4660.4056</v>
      </c>
      <c r="S6" s="122"/>
      <c r="T6" s="122"/>
      <c r="U6" s="301" t="s">
        <v>361</v>
      </c>
      <c r="V6" s="260">
        <f t="shared" ca="1" si="4"/>
        <v>0</v>
      </c>
      <c r="W6" s="348" t="str">
        <f>IF(板块成分!B8="","",板块成分!B8)</f>
        <v>000004.SZ</v>
      </c>
      <c r="X6" s="276" t="str">
        <f>[1]!S_Info_Name(W6)</f>
        <v>*ST国华</v>
      </c>
      <c r="Y6" s="276" t="str">
        <f ca="1">IF($Y$3="申万一级行业",[1]!s_info_industry_sw_2021(W6,公司分析!D$5,1),IF($Y$3="申万二级行业",[1]!s_info_industry_sw_2021(W6,公司分析!D$5,2),IF($Y$3="申万三级行业",[1]!s_info_industry_sw_2021(W6,公司分析!D$5,3),IF($Y$3="wind一级行业",[1]!s_info_industry_gics(W6,1),IF($Y$3="wind二级行业",[1]!s_info_industry_gics(W6,2),IF($Y$3="wind三级行业",[1]!s_info_industry_gics(W6,3),IF($Y$3="wind四级行业",[1]!s_info_industry_gics(W6,4),IF($Y$3="证监会门类行业",[1]!s_info_industry_csrc12_n(W6,公司分析!D$5,1),""))))))))</f>
        <v>软件开发</v>
      </c>
      <c r="Z6" s="302" t="str">
        <f ca="1">IF(Y6=行业比较!$E$6,ROW(),"")</f>
        <v/>
      </c>
      <c r="AA6" s="122"/>
      <c r="AB6" s="276"/>
      <c r="AC6" s="276"/>
      <c r="AD6" s="276"/>
      <c r="AE6" s="276"/>
      <c r="AF6" s="276"/>
      <c r="AG6" s="122"/>
      <c r="AH6" s="122"/>
      <c r="AI6" s="122"/>
      <c r="AJ6" s="122"/>
      <c r="AK6" s="122"/>
      <c r="AL6" s="122"/>
      <c r="AM6" s="122"/>
      <c r="AN6" s="122"/>
      <c r="AO6" s="122"/>
      <c r="AP6" s="122"/>
    </row>
    <row r="7" spans="1:43">
      <c r="B7" s="280" t="s">
        <v>63</v>
      </c>
      <c r="C7" s="122" t="s">
        <v>4</v>
      </c>
      <c r="D7" s="122"/>
      <c r="E7" s="122"/>
      <c r="F7" s="122"/>
      <c r="G7" s="281"/>
      <c r="H7" s="329" t="e">
        <f ca="1">IF(([1]!S_SHARE_TOTAL($H$3,I7)/[1]!S_SHARE_TOTAL($H$3,I8))/(YEAR(I7)/YEAR(I6))=1,NA(),IF($I$2="PE Band",[1]!S_STM07_IS($H$3,61,YEAR(I7)-1&amp;"-12-31",1)/[1]!S_SHARE_TOTAL($H$3,I7),[1]!S_STM07_BS($H$3,140,YEAR(I7)-1&amp;"-12-31",1)/[1]!S_SHARE_TOTAL($H$3,I7)))</f>
        <v>#N/A</v>
      </c>
      <c r="I7" s="275">
        <f ca="1">--[1]!td(I6-$N$2)</f>
        <v>46059</v>
      </c>
      <c r="J7" s="129">
        <f ca="1">IF([1]!S_DQ_CLOSE(公司分析!$D$4,I7,$M$2)=0,NA(),[1]!S_DQ_CLOSE(公司分析!$D$4,I7,$M$2))</f>
        <v>37.19</v>
      </c>
      <c r="K7" s="129" t="e">
        <f t="shared" ca="1" si="5"/>
        <v>#N/A</v>
      </c>
      <c r="L7" s="129" t="e">
        <f t="shared" ca="1" si="1"/>
        <v>#N/A</v>
      </c>
      <c r="M7" s="322" t="e">
        <f t="shared" ca="1" si="2"/>
        <v>#N/A</v>
      </c>
      <c r="N7" s="325">
        <f t="shared" ca="1" si="3"/>
        <v>1.422801302931596</v>
      </c>
      <c r="O7" s="326">
        <f t="shared" ca="1" si="0"/>
        <v>0.18706133193123153</v>
      </c>
      <c r="P7" s="122" t="s">
        <v>362</v>
      </c>
      <c r="Q7" s="122" t="s">
        <v>14</v>
      </c>
      <c r="R7" s="281">
        <f ca="1">IF([1]!S_DQ_CLOSE($S$3,I7,$M$2)=0,NA(),[1]!S_DQ_CLOSE($S$3,I7,$M$2))</f>
        <v>4643.5959000000003</v>
      </c>
      <c r="S7" s="122"/>
      <c r="T7" s="122"/>
      <c r="U7" s="301" t="s">
        <v>363</v>
      </c>
      <c r="V7" s="260">
        <f t="shared" ca="1" si="4"/>
        <v>0</v>
      </c>
      <c r="W7" s="348" t="str">
        <f>IF(板块成分!B9="","",板块成分!B9)</f>
        <v>000006.SZ</v>
      </c>
      <c r="X7" s="276" t="str">
        <f>[1]!S_Info_Name(W7)</f>
        <v>深振业A</v>
      </c>
      <c r="Y7" s="276" t="str">
        <f ca="1">IF($Y$3="申万一级行业",[1]!s_info_industry_sw_2021(W7,公司分析!D$5,1),IF($Y$3="申万二级行业",[1]!s_info_industry_sw_2021(W7,公司分析!D$5,2),IF($Y$3="申万三级行业",[1]!s_info_industry_sw_2021(W7,公司分析!D$5,3),IF($Y$3="wind一级行业",[1]!s_info_industry_gics(W7,1),IF($Y$3="wind二级行业",[1]!s_info_industry_gics(W7,2),IF($Y$3="wind三级行业",[1]!s_info_industry_gics(W7,3),IF($Y$3="wind四级行业",[1]!s_info_industry_gics(W7,4),IF($Y$3="证监会门类行业",[1]!s_info_industry_csrc12_n(W7,公司分析!D$5,1),""))))))))</f>
        <v>房地产开发</v>
      </c>
      <c r="Z7" s="302" t="str">
        <f ca="1">IF(Y7=行业比较!$E$6,ROW(),"")</f>
        <v/>
      </c>
      <c r="AA7" s="122"/>
      <c r="AB7" s="276"/>
      <c r="AC7" s="276"/>
      <c r="AD7" s="276"/>
      <c r="AE7" s="276"/>
      <c r="AF7" s="276"/>
      <c r="AG7" s="314"/>
      <c r="AH7" s="314"/>
      <c r="AI7" s="314"/>
      <c r="AJ7" s="314"/>
      <c r="AK7" s="314"/>
      <c r="AL7" s="314"/>
      <c r="AM7" s="314"/>
      <c r="AN7" s="314"/>
      <c r="AO7" s="122"/>
      <c r="AP7" s="122"/>
    </row>
    <row r="8" spans="1:43">
      <c r="B8" s="280" t="s">
        <v>64</v>
      </c>
      <c r="C8" s="122" t="s">
        <v>6</v>
      </c>
      <c r="D8" s="122" t="s">
        <v>7</v>
      </c>
      <c r="E8" s="122" t="s">
        <v>8</v>
      </c>
      <c r="F8" s="122"/>
      <c r="G8" s="281"/>
      <c r="H8" s="329" t="e">
        <f ca="1">IF(([1]!S_SHARE_TOTAL($H$3,I8)/[1]!S_SHARE_TOTAL($H$3,I9))/(YEAR(I8)/YEAR(I7))=1,NA(),IF($I$2="PE Band",[1]!S_STM07_IS($H$3,61,YEAR(I8)-1&amp;"-12-31",1)/[1]!S_SHARE_TOTAL($H$3,I8),[1]!S_STM07_BS($H$3,140,YEAR(I8)-1&amp;"-12-31",1)/[1]!S_SHARE_TOTAL($H$3,I8)))</f>
        <v>#N/A</v>
      </c>
      <c r="I8" s="275">
        <f ca="1">--[1]!td(I7-$N$2)</f>
        <v>46052</v>
      </c>
      <c r="J8" s="129">
        <f ca="1">IF([1]!S_DQ_CLOSE(公司分析!$D$4,I8,$M$2)=0,NA(),[1]!S_DQ_CLOSE(公司分析!$D$4,I8,$M$2))</f>
        <v>40.14</v>
      </c>
      <c r="K8" s="129" t="e">
        <f t="shared" ca="1" si="5"/>
        <v>#N/A</v>
      </c>
      <c r="L8" s="129" t="e">
        <f t="shared" ca="1" si="1"/>
        <v>#N/A</v>
      </c>
      <c r="M8" s="322" t="e">
        <f t="shared" ca="1" si="2"/>
        <v>#N/A</v>
      </c>
      <c r="N8" s="325">
        <f t="shared" ca="1" si="3"/>
        <v>1.6149837133550489</v>
      </c>
      <c r="O8" s="326">
        <f t="shared" ca="1" si="0"/>
        <v>0.20310088731609177</v>
      </c>
      <c r="P8" s="122" t="s">
        <v>364</v>
      </c>
      <c r="Q8" s="122" t="s">
        <v>15</v>
      </c>
      <c r="R8" s="281">
        <f ca="1">IF([1]!S_DQ_CLOSE($S$3,I8,$M$2)=0,NA(),[1]!S_DQ_CLOSE($S$3,I8,$M$2))</f>
        <v>4706.3401000000003</v>
      </c>
      <c r="S8" s="122"/>
      <c r="T8" s="122"/>
      <c r="U8" s="301" t="s">
        <v>365</v>
      </c>
      <c r="V8" s="260">
        <f t="shared" ca="1" si="4"/>
        <v>0</v>
      </c>
      <c r="W8" s="348" t="str">
        <f>IF(板块成分!B10="","",板块成分!B10)</f>
        <v>000007.SZ</v>
      </c>
      <c r="X8" s="276" t="str">
        <f>[1]!S_Info_Name(W8)</f>
        <v>全新好</v>
      </c>
      <c r="Y8" s="276" t="str">
        <f ca="1">IF($Y$3="申万一级行业",[1]!s_info_industry_sw_2021(W8,公司分析!D$5,1),IF($Y$3="申万二级行业",[1]!s_info_industry_sw_2021(W8,公司分析!D$5,2),IF($Y$3="申万三级行业",[1]!s_info_industry_sw_2021(W8,公司分析!D$5,3),IF($Y$3="wind一级行业",[1]!s_info_industry_gics(W8,1),IF($Y$3="wind二级行业",[1]!s_info_industry_gics(W8,2),IF($Y$3="wind三级行业",[1]!s_info_industry_gics(W8,3),IF($Y$3="wind四级行业",[1]!s_info_industry_gics(W8,4),IF($Y$3="证监会门类行业",[1]!s_info_industry_csrc12_n(W8,公司分析!D$5,1),""))))))))</f>
        <v>一般零售</v>
      </c>
      <c r="Z8" s="302" t="str">
        <f ca="1">IF(Y8=行业比较!$E$6,ROW(),"")</f>
        <v/>
      </c>
      <c r="AA8" s="122"/>
      <c r="AB8" s="276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</row>
    <row r="9" spans="1:43">
      <c r="B9" s="280" t="s">
        <v>65</v>
      </c>
      <c r="C9" s="122" t="s">
        <v>66</v>
      </c>
      <c r="D9" s="122" t="s">
        <v>67</v>
      </c>
      <c r="E9" s="122" t="s">
        <v>68</v>
      </c>
      <c r="F9" s="122" t="s">
        <v>69</v>
      </c>
      <c r="G9" s="282">
        <f ca="1">IF(公司分析!M38="1月前",公司分析!F38-30,IF(公司分析!M38="1季前",公司分析!F38-90,IF(公司分析!M38="半年前",公司分析!F38-180,公司分析!F38-365)))</f>
        <v>45910</v>
      </c>
      <c r="H9" s="329" t="e">
        <f ca="1">IF(([1]!S_SHARE_TOTAL($H$3,I9)/[1]!S_SHARE_TOTAL($H$3,I10))/(YEAR(I9)/YEAR(I8))=1,NA(),IF($I$2="PE Band",[1]!S_STM07_IS($H$3,61,YEAR(I9)-1&amp;"-12-31",1)/[1]!S_SHARE_TOTAL($H$3,I9),[1]!S_STM07_BS($H$3,140,YEAR(I9)-1&amp;"-12-31",1)/[1]!S_SHARE_TOTAL($H$3,I9)))</f>
        <v>#N/A</v>
      </c>
      <c r="I9" s="275">
        <f ca="1">--[1]!td(I8-$N$2)</f>
        <v>46045</v>
      </c>
      <c r="J9" s="129">
        <f ca="1">IF([1]!S_DQ_CLOSE(公司分析!$D$4,I9,$M$2)=0,NA(),[1]!S_DQ_CLOSE(公司分析!$D$4,I9,$M$2))</f>
        <v>37.56</v>
      </c>
      <c r="K9" s="129" t="e">
        <f t="shared" ca="1" si="5"/>
        <v>#N/A</v>
      </c>
      <c r="L9" s="129" t="e">
        <f t="shared" ca="1" si="1"/>
        <v>#N/A</v>
      </c>
      <c r="M9" s="322" t="e">
        <f t="shared" ca="1" si="2"/>
        <v>#N/A</v>
      </c>
      <c r="N9" s="325">
        <f t="shared" ca="1" si="3"/>
        <v>1.4469055374592834</v>
      </c>
      <c r="O9" s="326">
        <f t="shared" ca="1" si="0"/>
        <v>0.20211835775763531</v>
      </c>
      <c r="P9" s="122" t="s">
        <v>366</v>
      </c>
      <c r="Q9" s="122" t="s">
        <v>16</v>
      </c>
      <c r="R9" s="281">
        <f ca="1">IF([1]!S_DQ_CLOSE($S$3,I9,$M$2)=0,NA(),[1]!S_DQ_CLOSE($S$3,I9,$M$2))</f>
        <v>4702.4966000000004</v>
      </c>
      <c r="S9" s="122"/>
      <c r="T9" s="122"/>
      <c r="U9" s="301" t="s">
        <v>367</v>
      </c>
      <c r="V9" s="260">
        <f t="shared" ca="1" si="4"/>
        <v>0</v>
      </c>
      <c r="W9" s="348" t="str">
        <f>IF(板块成分!B11="","",板块成分!B11)</f>
        <v>000008.SZ</v>
      </c>
      <c r="X9" s="276" t="str">
        <f>[1]!S_Info_Name(W9)</f>
        <v>神州高铁</v>
      </c>
      <c r="Y9" s="276" t="str">
        <f ca="1">IF($Y$3="申万一级行业",[1]!s_info_industry_sw_2021(W9,公司分析!D$5,1),IF($Y$3="申万二级行业",[1]!s_info_industry_sw_2021(W9,公司分析!D$5,2),IF($Y$3="申万三级行业",[1]!s_info_industry_sw_2021(W9,公司分析!D$5,3),IF($Y$3="wind一级行业",[1]!s_info_industry_gics(W9,1),IF($Y$3="wind二级行业",[1]!s_info_industry_gics(W9,2),IF($Y$3="wind三级行业",[1]!s_info_industry_gics(W9,3),IF($Y$3="wind四级行业",[1]!s_info_industry_gics(W9,4),IF($Y$3="证监会门类行业",[1]!s_info_industry_csrc12_n(W9,公司分析!D$5,1),""))))))))</f>
        <v>轨交设备Ⅱ</v>
      </c>
      <c r="Z9" s="302" t="str">
        <f ca="1">IF(Y9=行业比较!$E$6,ROW(),"")</f>
        <v/>
      </c>
      <c r="AA9" s="122"/>
      <c r="AB9" s="276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</row>
    <row r="10" spans="1:43">
      <c r="B10" s="280" t="s">
        <v>70</v>
      </c>
      <c r="C10" s="122" t="s">
        <v>71</v>
      </c>
      <c r="D10" s="122" t="s">
        <v>72</v>
      </c>
      <c r="E10" s="122" t="s">
        <v>368</v>
      </c>
      <c r="F10" s="122" t="s">
        <v>369</v>
      </c>
      <c r="G10" s="281">
        <f>IF(公司分析!G115="合并报表",1,IF(公司分析!G115="母公司报表",2,IF(公司分析!G115="合并报表(调整)",3,4)))</f>
        <v>1</v>
      </c>
      <c r="H10" s="329" t="e">
        <f ca="1">IF(([1]!S_SHARE_TOTAL($H$3,I10)/[1]!S_SHARE_TOTAL($H$3,I11))/(YEAR(I10)/YEAR(I9))=1,NA(),IF($I$2="PE Band",[1]!S_STM07_IS($H$3,61,YEAR(I10)-1&amp;"-12-31",1)/[1]!S_SHARE_TOTAL($H$3,I10),[1]!S_STM07_BS($H$3,140,YEAR(I10)-1&amp;"-12-31",1)/[1]!S_SHARE_TOTAL($H$3,I10)))</f>
        <v>#N/A</v>
      </c>
      <c r="I10" s="275">
        <f ca="1">--[1]!td(I9-$N$2)</f>
        <v>46038</v>
      </c>
      <c r="J10" s="129">
        <f ca="1">IF([1]!S_DQ_CLOSE(公司分析!$D$4,I10,$M$2)=0,NA(),[1]!S_DQ_CLOSE(公司分析!$D$4,I10,$M$2))</f>
        <v>37.47</v>
      </c>
      <c r="K10" s="129" t="e">
        <f t="shared" ca="1" si="5"/>
        <v>#N/A</v>
      </c>
      <c r="L10" s="129" t="e">
        <f t="shared" ca="1" si="1"/>
        <v>#N/A</v>
      </c>
      <c r="M10" s="322" t="e">
        <f t="shared" ca="1" si="2"/>
        <v>#N/A</v>
      </c>
      <c r="N10" s="325">
        <f t="shared" ca="1" si="3"/>
        <v>1.4410423452768728</v>
      </c>
      <c r="O10" s="326">
        <f t="shared" ca="1" si="0"/>
        <v>0.20962791540434567</v>
      </c>
      <c r="P10" s="122" t="s">
        <v>370</v>
      </c>
      <c r="Q10" s="122" t="s">
        <v>17</v>
      </c>
      <c r="R10" s="281">
        <f ca="1">IF([1]!S_DQ_CLOSE($S$3,I10,$M$2)=0,NA(),[1]!S_DQ_CLOSE($S$3,I10,$M$2))</f>
        <v>4731.8728000000001</v>
      </c>
      <c r="S10" s="122"/>
      <c r="T10" s="122"/>
      <c r="U10" s="301" t="s">
        <v>371</v>
      </c>
      <c r="V10" s="260">
        <f t="shared" ca="1" si="4"/>
        <v>0</v>
      </c>
      <c r="W10" s="348" t="str">
        <f>IF(板块成分!B12="","",板块成分!B12)</f>
        <v>000009.SZ</v>
      </c>
      <c r="X10" s="276" t="str">
        <f>[1]!S_Info_Name(W10)</f>
        <v>中国宝安</v>
      </c>
      <c r="Y10" s="276" t="str">
        <f ca="1">IF($Y$3="申万一级行业",[1]!s_info_industry_sw_2021(W10,公司分析!D$5,1),IF($Y$3="申万二级行业",[1]!s_info_industry_sw_2021(W10,公司分析!D$5,2),IF($Y$3="申万三级行业",[1]!s_info_industry_sw_2021(W10,公司分析!D$5,3),IF($Y$3="wind一级行业",[1]!s_info_industry_gics(W10,1),IF($Y$3="wind二级行业",[1]!s_info_industry_gics(W10,2),IF($Y$3="wind三级行业",[1]!s_info_industry_gics(W10,3),IF($Y$3="wind四级行业",[1]!s_info_industry_gics(W10,4),IF($Y$3="证监会门类行业",[1]!s_info_industry_csrc12_n(W10,公司分析!D$5,1),""))))))))</f>
        <v>电池</v>
      </c>
      <c r="Z10" s="302" t="str">
        <f ca="1">IF(Y10=行业比较!$E$6,ROW(),"")</f>
        <v/>
      </c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</row>
    <row r="11" spans="1:43">
      <c r="B11" s="283" t="s">
        <v>372</v>
      </c>
      <c r="C11" s="122"/>
      <c r="D11" s="122"/>
      <c r="E11" s="122"/>
      <c r="F11" s="122"/>
      <c r="G11" s="281">
        <f>IF(公司分析!H115="合并报表",1,IF(公司分析!H115="母公司报表",2,IF(公司分析!H115="合并报表(调整)",3,4)))</f>
        <v>1</v>
      </c>
      <c r="H11" s="329" t="e">
        <f ca="1">IF(([1]!S_SHARE_TOTAL($H$3,I11)/[1]!S_SHARE_TOTAL($H$3,I12))/(YEAR(I11)/YEAR(I10))=1,NA(),IF($I$2="PE Band",[1]!S_STM07_IS($H$3,61,YEAR(I11)-1&amp;"-12-31",1)/[1]!S_SHARE_TOTAL($H$3,I11),[1]!S_STM07_BS($H$3,140,YEAR(I11)-1&amp;"-12-31",1)/[1]!S_SHARE_TOTAL($H$3,I11)))</f>
        <v>#N/A</v>
      </c>
      <c r="I11" s="275">
        <f ca="1">--[1]!td(I10-$N$2)</f>
        <v>46031</v>
      </c>
      <c r="J11" s="129">
        <f ca="1">IF([1]!S_DQ_CLOSE(公司分析!$D$4,I11,$M$2)=0,NA(),[1]!S_DQ_CLOSE(公司分析!$D$4,I11,$M$2))</f>
        <v>37.22</v>
      </c>
      <c r="K11" s="129" t="e">
        <f t="shared" ca="1" si="5"/>
        <v>#N/A</v>
      </c>
      <c r="L11" s="129" t="e">
        <f t="shared" ca="1" si="1"/>
        <v>#N/A</v>
      </c>
      <c r="M11" s="322" t="e">
        <f t="shared" ca="1" si="2"/>
        <v>#N/A</v>
      </c>
      <c r="N11" s="325">
        <f t="shared" ca="1" si="3"/>
        <v>1.4247557003257327</v>
      </c>
      <c r="O11" s="326">
        <f t="shared" ca="1" si="0"/>
        <v>0.2165426381272697</v>
      </c>
      <c r="P11" s="122" t="s">
        <v>373</v>
      </c>
      <c r="Q11" s="122" t="s">
        <v>18</v>
      </c>
      <c r="R11" s="281">
        <f ca="1">IF([1]!S_DQ_CLOSE($S$3,I11,$M$2)=0,NA(),[1]!S_DQ_CLOSE($S$3,I11,$M$2))</f>
        <v>4758.9220999999998</v>
      </c>
      <c r="S11" s="122"/>
      <c r="T11" s="122"/>
      <c r="U11" s="301"/>
      <c r="V11" s="260">
        <f t="shared" ca="1" si="4"/>
        <v>0</v>
      </c>
      <c r="W11" s="348" t="str">
        <f>IF(板块成分!B13="","",板块成分!B13)</f>
        <v>000010.SZ</v>
      </c>
      <c r="X11" s="276" t="str">
        <f>[1]!S_Info_Name(W11)</f>
        <v>美丽生态</v>
      </c>
      <c r="Y11" s="276" t="str">
        <f ca="1">IF($Y$3="申万一级行业",[1]!s_info_industry_sw_2021(W11,公司分析!D$5,1),IF($Y$3="申万二级行业",[1]!s_info_industry_sw_2021(W11,公司分析!D$5,2),IF($Y$3="申万三级行业",[1]!s_info_industry_sw_2021(W11,公司分析!D$5,3),IF($Y$3="wind一级行业",[1]!s_info_industry_gics(W11,1),IF($Y$3="wind二级行业",[1]!s_info_industry_gics(W11,2),IF($Y$3="wind三级行业",[1]!s_info_industry_gics(W11,3),IF($Y$3="wind四级行业",[1]!s_info_industry_gics(W11,4),IF($Y$3="证监会门类行业",[1]!s_info_industry_csrc12_n(W11,公司分析!D$5,1),""))))))))</f>
        <v>基础建设</v>
      </c>
      <c r="Z11" s="302" t="str">
        <f ca="1">IF(Y11=行业比较!$E$6,ROW(),"")</f>
        <v/>
      </c>
      <c r="AA11" s="122"/>
      <c r="AB11" s="276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</row>
    <row r="12" spans="1:43">
      <c r="B12" s="283"/>
      <c r="C12" s="122"/>
      <c r="D12" s="122"/>
      <c r="E12" s="122"/>
      <c r="F12" s="122"/>
      <c r="G12" s="281">
        <f>IF(公司分析!D115="合并报表",1,IF(公司分析!D115="母公司报表",2,IF(公司分析!D115="合并报表(调整)",3,4)))</f>
        <v>1</v>
      </c>
      <c r="H12" s="329">
        <f ca="1">IF(([1]!S_SHARE_TOTAL($H$3,I12)/[1]!S_SHARE_TOTAL($H$3,I13))/(YEAR(I12)/YEAR(I11))=1,NA(),IF($I$2="PE Band",[1]!S_STM07_IS($H$3,61,YEAR(I12)-1&amp;"-12-31",1)/[1]!S_SHARE_TOTAL($H$3,I12),[1]!S_STM07_BS($H$3,140,YEAR(I12)-1&amp;"-12-31",1)/[1]!S_SHARE_TOTAL($H$3,I12)))</f>
        <v>1.2053751073110621</v>
      </c>
      <c r="I12" s="275">
        <f ca="1">--[1]!td(I11-$N$2)</f>
        <v>46022</v>
      </c>
      <c r="J12" s="129">
        <f ca="1">IF([1]!S_DQ_CLOSE(公司分析!$D$4,I12,$M$2)=0,NA(),[1]!S_DQ_CLOSE(公司分析!$D$4,I12,$M$2))</f>
        <v>34.47</v>
      </c>
      <c r="K12" s="129">
        <f t="shared" ca="1" si="5"/>
        <v>9.643000858488497</v>
      </c>
      <c r="L12" s="129">
        <f t="shared" ca="1" si="1"/>
        <v>24.107502146221243</v>
      </c>
      <c r="M12" s="322">
        <f t="shared" ca="1" si="2"/>
        <v>38.572003433953988</v>
      </c>
      <c r="N12" s="325">
        <f t="shared" ca="1" si="3"/>
        <v>1.2456026058631924</v>
      </c>
      <c r="O12" s="326">
        <f t="shared" ca="1" si="0"/>
        <v>0.1835702907806902</v>
      </c>
      <c r="P12" s="122" t="s">
        <v>374</v>
      </c>
      <c r="Q12" s="122" t="s">
        <v>19</v>
      </c>
      <c r="R12" s="281">
        <f ca="1">IF([1]!S_DQ_CLOSE($S$3,I12,$M$2)=0,NA(),[1]!S_DQ_CLOSE($S$3,I12,$M$2))</f>
        <v>4629.9395000000004</v>
      </c>
      <c r="S12" s="122"/>
      <c r="T12" s="122"/>
      <c r="U12" s="301"/>
      <c r="V12" s="260">
        <f t="shared" ca="1" si="4"/>
        <v>0</v>
      </c>
      <c r="W12" s="348" t="str">
        <f>IF(板块成分!B14="","",板块成分!B14)</f>
        <v>000011.SZ</v>
      </c>
      <c r="X12" s="276" t="str">
        <f>[1]!S_Info_Name(W12)</f>
        <v>深物业A</v>
      </c>
      <c r="Y12" s="276" t="str">
        <f ca="1">IF($Y$3="申万一级行业",[1]!s_info_industry_sw_2021(W12,公司分析!D$5,1),IF($Y$3="申万二级行业",[1]!s_info_industry_sw_2021(W12,公司分析!D$5,2),IF($Y$3="申万三级行业",[1]!s_info_industry_sw_2021(W12,公司分析!D$5,3),IF($Y$3="wind一级行业",[1]!s_info_industry_gics(W12,1),IF($Y$3="wind二级行业",[1]!s_info_industry_gics(W12,2),IF($Y$3="wind三级行业",[1]!s_info_industry_gics(W12,3),IF($Y$3="wind四级行业",[1]!s_info_industry_gics(W12,4),IF($Y$3="证监会门类行业",[1]!s_info_industry_csrc12_n(W12,公司分析!D$5,1),""))))))))</f>
        <v>房地产开发</v>
      </c>
      <c r="Z12" s="302" t="str">
        <f ca="1">IF(Y12=行业比较!$E$6,ROW(),"")</f>
        <v/>
      </c>
      <c r="AA12" s="122"/>
      <c r="AB12" s="276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</row>
    <row r="13" spans="1:43">
      <c r="B13" s="283"/>
      <c r="C13" s="122"/>
      <c r="D13" s="122"/>
      <c r="E13" s="122"/>
      <c r="F13" s="122"/>
      <c r="G13" s="281">
        <f>IF(公司分析!E115="合并报表",1,IF(公司分析!E115="母公司报表",2,IF(公司分析!E115="合并报表(调整)",3,4)))</f>
        <v>1</v>
      </c>
      <c r="H13" s="329">
        <f ca="1">IF(([1]!S_SHARE_TOTAL($H$3,I13)/[1]!S_SHARE_TOTAL($H$3,I14))/(YEAR(I13)/YEAR(I12))=1,NA(),IF($I$2="PE Band",[1]!S_STM07_IS($H$3,61,YEAR(I13)-1&amp;"-12-31",1)/[1]!S_SHARE_TOTAL($H$3,I13),[1]!S_STM07_BS($H$3,140,YEAR(I13)-1&amp;"-12-31",1)/[1]!S_SHARE_TOTAL($H$3,I13)))</f>
        <v>1.2053751073110621</v>
      </c>
      <c r="I13" s="275">
        <f ca="1">--[1]!td(I12-$N$2)</f>
        <v>46015</v>
      </c>
      <c r="J13" s="129">
        <f ca="1">IF([1]!S_DQ_CLOSE(公司分析!$D$4,I13,$M$2)=0,NA(),[1]!S_DQ_CLOSE(公司分析!$D$4,I13,$M$2))</f>
        <v>32.31</v>
      </c>
      <c r="K13" s="129">
        <f t="shared" ca="1" si="5"/>
        <v>9.643000858488497</v>
      </c>
      <c r="L13" s="129">
        <f t="shared" ca="1" si="1"/>
        <v>24.107502146221243</v>
      </c>
      <c r="M13" s="322">
        <f t="shared" ca="1" si="2"/>
        <v>38.572003433953988</v>
      </c>
      <c r="N13" s="325">
        <f t="shared" ca="1" si="3"/>
        <v>1.1048859934853423</v>
      </c>
      <c r="O13" s="326">
        <f t="shared" ca="1" si="0"/>
        <v>0.18462327308958515</v>
      </c>
      <c r="P13" s="122" t="s">
        <v>375</v>
      </c>
      <c r="Q13" s="122" t="s">
        <v>20</v>
      </c>
      <c r="R13" s="281">
        <f ca="1">IF([1]!S_DQ_CLOSE($S$3,I13,$M$2)=0,NA(),[1]!S_DQ_CLOSE($S$3,I13,$M$2))</f>
        <v>4634.0586000000003</v>
      </c>
      <c r="S13" s="122"/>
      <c r="T13" s="122"/>
      <c r="U13" s="301"/>
      <c r="V13" s="260">
        <f t="shared" ca="1" si="4"/>
        <v>0</v>
      </c>
      <c r="W13" s="348" t="str">
        <f>IF(板块成分!B15="","",板块成分!B15)</f>
        <v>000012.SZ</v>
      </c>
      <c r="X13" s="276" t="str">
        <f>[1]!S_Info_Name(W13)</f>
        <v>南玻A</v>
      </c>
      <c r="Y13" s="276" t="str">
        <f ca="1">IF($Y$3="申万一级行业",[1]!s_info_industry_sw_2021(W13,公司分析!D$5,1),IF($Y$3="申万二级行业",[1]!s_info_industry_sw_2021(W13,公司分析!D$5,2),IF($Y$3="申万三级行业",[1]!s_info_industry_sw_2021(W13,公司分析!D$5,3),IF($Y$3="wind一级行业",[1]!s_info_industry_gics(W13,1),IF($Y$3="wind二级行业",[1]!s_info_industry_gics(W13,2),IF($Y$3="wind三级行业",[1]!s_info_industry_gics(W13,3),IF($Y$3="wind四级行业",[1]!s_info_industry_gics(W13,4),IF($Y$3="证监会门类行业",[1]!s_info_industry_csrc12_n(W13,公司分析!D$5,1),""))))))))</f>
        <v>玻璃玻纤</v>
      </c>
      <c r="Z13" s="302" t="str">
        <f ca="1">IF(Y13=行业比较!$E$6,ROW(),"")</f>
        <v/>
      </c>
      <c r="AA13" s="122"/>
      <c r="AB13" s="314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</row>
    <row r="14" spans="1:43">
      <c r="B14" s="284"/>
      <c r="C14" s="285"/>
      <c r="D14" s="285"/>
      <c r="E14" s="285"/>
      <c r="F14" s="285"/>
      <c r="G14" s="286">
        <f>IF(公司分析!F115="合并报表",1,IF(公司分析!F115="母公司报表",2,IF(公司分析!F115="合并报表(调整)",3,4)))</f>
        <v>1</v>
      </c>
      <c r="H14" s="329">
        <f ca="1">IF(([1]!S_SHARE_TOTAL($H$3,I14)/[1]!S_SHARE_TOTAL($H$3,I15))/(YEAR(I14)/YEAR(I13))=1,NA(),IF($I$2="PE Band",[1]!S_STM07_IS($H$3,61,YEAR(I14)-1&amp;"-12-31",1)/[1]!S_SHARE_TOTAL($H$3,I14),[1]!S_STM07_BS($H$3,140,YEAR(I14)-1&amp;"-12-31",1)/[1]!S_SHARE_TOTAL($H$3,I14)))</f>
        <v>1.2053746449212626</v>
      </c>
      <c r="I14" s="275">
        <f ca="1">--[1]!td(I13-$N$2)</f>
        <v>46008</v>
      </c>
      <c r="J14" s="129">
        <f ca="1">IF([1]!S_DQ_CLOSE(公司分析!$D$4,I14,$M$2)=0,NA(),[1]!S_DQ_CLOSE(公司分析!$D$4,I14,$M$2))</f>
        <v>30.87</v>
      </c>
      <c r="K14" s="129">
        <f t="shared" ca="1" si="5"/>
        <v>9.6429971593701005</v>
      </c>
      <c r="L14" s="129">
        <f t="shared" ca="1" si="1"/>
        <v>24.107492898425249</v>
      </c>
      <c r="M14" s="322">
        <f t="shared" ca="1" si="2"/>
        <v>38.571988637480402</v>
      </c>
      <c r="N14" s="325">
        <f t="shared" ca="1" si="3"/>
        <v>1.0110749185667753</v>
      </c>
      <c r="O14" s="326">
        <f t="shared" ca="1" si="0"/>
        <v>0.1707720987475565</v>
      </c>
      <c r="P14" s="122" t="s">
        <v>376</v>
      </c>
      <c r="Q14" s="122" t="s">
        <v>21</v>
      </c>
      <c r="R14" s="281">
        <f ca="1">IF([1]!S_DQ_CLOSE($S$3,I14,$M$2)=0,NA(),[1]!S_DQ_CLOSE($S$3,I14,$M$2))</f>
        <v>4579.875</v>
      </c>
      <c r="S14" s="122"/>
      <c r="T14" s="122"/>
      <c r="U14" s="301"/>
      <c r="V14" s="260">
        <f t="shared" ca="1" si="4"/>
        <v>0</v>
      </c>
      <c r="W14" s="348" t="str">
        <f>IF(板块成分!B16="","",板块成分!B16)</f>
        <v>000014.SZ</v>
      </c>
      <c r="X14" s="276" t="str">
        <f>[1]!S_Info_Name(W14)</f>
        <v>沙河股份</v>
      </c>
      <c r="Y14" s="276" t="str">
        <f ca="1">IF($Y$3="申万一级行业",[1]!s_info_industry_sw_2021(W14,公司分析!D$5,1),IF($Y$3="申万二级行业",[1]!s_info_industry_sw_2021(W14,公司分析!D$5,2),IF($Y$3="申万三级行业",[1]!s_info_industry_sw_2021(W14,公司分析!D$5,3),IF($Y$3="wind一级行业",[1]!s_info_industry_gics(W14,1),IF($Y$3="wind二级行业",[1]!s_info_industry_gics(W14,2),IF($Y$3="wind三级行业",[1]!s_info_industry_gics(W14,3),IF($Y$3="wind四级行业",[1]!s_info_industry_gics(W14,4),IF($Y$3="证监会门类行业",[1]!s_info_industry_csrc12_n(W14,公司分析!D$5,1),""))))))))</f>
        <v>房地产开发</v>
      </c>
      <c r="Z14" s="302" t="str">
        <f ca="1">IF(Y14=行业比较!$E$6,ROW(),"")</f>
        <v/>
      </c>
      <c r="AA14" s="122"/>
      <c r="AB14" s="314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</row>
    <row r="15" spans="1:43">
      <c r="B15" s="287" t="s">
        <v>107</v>
      </c>
      <c r="C15" s="276" t="s">
        <v>377</v>
      </c>
      <c r="D15" s="260" t="s">
        <v>118</v>
      </c>
      <c r="E15" s="122"/>
      <c r="F15" s="281"/>
      <c r="G15" s="122"/>
      <c r="H15" s="329">
        <f ca="1">IF(([1]!S_SHARE_TOTAL($H$3,I15)/[1]!S_SHARE_TOTAL($H$3,I16))/(YEAR(I15)/YEAR(I14))=1,NA(),IF($I$2="PE Band",[1]!S_STM07_IS($H$3,61,YEAR(I15)-1&amp;"-12-31",1)/[1]!S_SHARE_TOTAL($H$3,I15),[1]!S_STM07_BS($H$3,140,YEAR(I15)-1&amp;"-12-31",1)/[1]!S_SHARE_TOTAL($H$3,I15)))</f>
        <v>1.2058258703150626</v>
      </c>
      <c r="I15" s="275">
        <f ca="1">--[1]!td(I14-$N$2)</f>
        <v>46001</v>
      </c>
      <c r="J15" s="129">
        <f ca="1">IF([1]!S_DQ_CLOSE(公司分析!$D$4,I15,$M$2)=0,NA(),[1]!S_DQ_CLOSE(公司分析!$D$4,I15,$M$2))</f>
        <v>30.75</v>
      </c>
      <c r="K15" s="129">
        <f t="shared" ca="1" si="5"/>
        <v>9.6466069625205009</v>
      </c>
      <c r="L15" s="129">
        <f t="shared" ca="1" si="1"/>
        <v>24.116517406301252</v>
      </c>
      <c r="M15" s="322">
        <f t="shared" ca="1" si="2"/>
        <v>38.586427850082003</v>
      </c>
      <c r="N15" s="325">
        <f t="shared" ca="1" si="3"/>
        <v>1.003257328990228</v>
      </c>
      <c r="O15" s="326">
        <f t="shared" ca="1" si="0"/>
        <v>0.17382751387479489</v>
      </c>
      <c r="P15" s="122" t="s">
        <v>378</v>
      </c>
      <c r="Q15" s="122" t="s">
        <v>22</v>
      </c>
      <c r="R15" s="281">
        <f ca="1">IF([1]!S_DQ_CLOSE($S$3,I15,$M$2)=0,NA(),[1]!S_DQ_CLOSE($S$3,I15,$M$2))</f>
        <v>4591.8272999999999</v>
      </c>
      <c r="S15" s="122"/>
      <c r="T15" s="122"/>
      <c r="U15" s="301"/>
      <c r="V15" s="260">
        <f t="shared" ca="1" si="4"/>
        <v>0</v>
      </c>
      <c r="W15" s="348" t="str">
        <f>IF(板块成分!B17="","",板块成分!B17)</f>
        <v>000016.SZ</v>
      </c>
      <c r="X15" s="276" t="str">
        <f>[1]!S_Info_Name(W15)</f>
        <v>深康佳A</v>
      </c>
      <c r="Y15" s="276" t="str">
        <f ca="1">IF($Y$3="申万一级行业",[1]!s_info_industry_sw_2021(W15,公司分析!D$5,1),IF($Y$3="申万二级行业",[1]!s_info_industry_sw_2021(W15,公司分析!D$5,2),IF($Y$3="申万三级行业",[1]!s_info_industry_sw_2021(W15,公司分析!D$5,3),IF($Y$3="wind一级行业",[1]!s_info_industry_gics(W15,1),IF($Y$3="wind二级行业",[1]!s_info_industry_gics(W15,2),IF($Y$3="wind三级行业",[1]!s_info_industry_gics(W15,3),IF($Y$3="wind四级行业",[1]!s_info_industry_gics(W15,4),IF($Y$3="证监会门类行业",[1]!s_info_industry_csrc12_n(W15,公司分析!D$5,1),""))))))))</f>
        <v>白色家电</v>
      </c>
      <c r="Z15" s="302" t="str">
        <f ca="1">IF(Y15=行业比较!$E$6,ROW(),"")</f>
        <v/>
      </c>
      <c r="AA15" s="122"/>
      <c r="AB15" s="314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</row>
    <row r="16" spans="1:43">
      <c r="B16" s="287">
        <v>1</v>
      </c>
      <c r="C16" s="276" t="s">
        <v>106</v>
      </c>
      <c r="D16" s="260">
        <f>B16</f>
        <v>1</v>
      </c>
      <c r="E16" s="122"/>
      <c r="F16" s="281"/>
      <c r="G16" s="122"/>
      <c r="H16" s="329" t="e">
        <f ca="1">IF(([1]!S_SHARE_TOTAL($H$3,I16)/[1]!S_SHARE_TOTAL($H$3,I17))/(YEAR(I16)/YEAR(I15))=1,NA(),IF($I$2="PE Band",[1]!S_STM07_IS($H$3,61,YEAR(I16)-1&amp;"-12-31",1)/[1]!S_SHARE_TOTAL($H$3,I16),[1]!S_STM07_BS($H$3,140,YEAR(I16)-1&amp;"-12-31",1)/[1]!S_SHARE_TOTAL($H$3,I16)))</f>
        <v>#N/A</v>
      </c>
      <c r="I16" s="275">
        <f ca="1">--[1]!td(I15-$N$2)</f>
        <v>45994</v>
      </c>
      <c r="J16" s="129">
        <f ca="1">IF([1]!S_DQ_CLOSE(公司分析!$D$4,I16,$M$2)=0,NA(),[1]!S_DQ_CLOSE(公司分析!$D$4,I16,$M$2))</f>
        <v>29.97</v>
      </c>
      <c r="K16" s="129" t="e">
        <f t="shared" ca="1" si="5"/>
        <v>#N/A</v>
      </c>
      <c r="L16" s="129" t="e">
        <f t="shared" ca="1" si="1"/>
        <v>#N/A</v>
      </c>
      <c r="M16" s="322" t="e">
        <f t="shared" ca="1" si="2"/>
        <v>#N/A</v>
      </c>
      <c r="N16" s="325">
        <f t="shared" ca="1" si="3"/>
        <v>0.95244299674267108</v>
      </c>
      <c r="O16" s="326">
        <f t="shared" ca="1" si="0"/>
        <v>0.15829040725984411</v>
      </c>
      <c r="P16" s="122" t="s">
        <v>379</v>
      </c>
      <c r="Q16" s="122" t="s">
        <v>23</v>
      </c>
      <c r="R16" s="281">
        <f ca="1">IF([1]!S_DQ_CLOSE($S$3,I16,$M$2)=0,NA(),[1]!S_DQ_CLOSE($S$3,I16,$M$2))</f>
        <v>4531.0486000000001</v>
      </c>
      <c r="S16" s="122"/>
      <c r="T16" s="122"/>
      <c r="U16" s="301"/>
      <c r="V16" s="260">
        <f t="shared" ca="1" si="4"/>
        <v>0</v>
      </c>
      <c r="W16" s="348" t="str">
        <f>IF(板块成分!B18="","",板块成分!B18)</f>
        <v>000017.SZ</v>
      </c>
      <c r="X16" s="276" t="str">
        <f>[1]!S_Info_Name(W16)</f>
        <v>深中华A</v>
      </c>
      <c r="Y16" s="276" t="str">
        <f ca="1">IF($Y$3="申万一级行业",[1]!s_info_industry_sw_2021(W16,公司分析!D$5,1),IF($Y$3="申万二级行业",[1]!s_info_industry_sw_2021(W16,公司分析!D$5,2),IF($Y$3="申万三级行业",[1]!s_info_industry_sw_2021(W16,公司分析!D$5,3),IF($Y$3="wind一级行业",[1]!s_info_industry_gics(W16,1),IF($Y$3="wind二级行业",[1]!s_info_industry_gics(W16,2),IF($Y$3="wind三级行业",[1]!s_info_industry_gics(W16,3),IF($Y$3="wind四级行业",[1]!s_info_industry_gics(W16,4),IF($Y$3="证监会门类行业",[1]!s_info_industry_csrc12_n(W16,公司分析!D$5,1),""))))))))</f>
        <v>饰品</v>
      </c>
      <c r="Z16" s="302" t="str">
        <f ca="1">IF(Y16=行业比较!$E$6,ROW(),"")</f>
        <v/>
      </c>
      <c r="AA16" s="122"/>
      <c r="AB16" s="314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</row>
    <row r="17" spans="2:42">
      <c r="B17" s="287">
        <v>2</v>
      </c>
      <c r="C17" s="276" t="s">
        <v>76</v>
      </c>
      <c r="D17" s="260">
        <f t="shared" ref="D17:D80" si="6">B17</f>
        <v>2</v>
      </c>
      <c r="E17" s="122"/>
      <c r="F17" s="281"/>
      <c r="G17" s="122"/>
      <c r="H17" s="329" t="e">
        <f ca="1">IF(([1]!S_SHARE_TOTAL($H$3,I17)/[1]!S_SHARE_TOTAL($H$3,I18))/(YEAR(I17)/YEAR(I16))=1,NA(),IF($I$2="PE Band",[1]!S_STM07_IS($H$3,61,YEAR(I17)-1&amp;"-12-31",1)/[1]!S_SHARE_TOTAL($H$3,I17),[1]!S_STM07_BS($H$3,140,YEAR(I17)-1&amp;"-12-31",1)/[1]!S_SHARE_TOTAL($H$3,I17)))</f>
        <v>#N/A</v>
      </c>
      <c r="I17" s="275">
        <f ca="1">--[1]!td(I16-$N$2)</f>
        <v>45987</v>
      </c>
      <c r="J17" s="129">
        <f ca="1">IF([1]!S_DQ_CLOSE(公司分析!$D$4,I17,$M$2)=0,NA(),[1]!S_DQ_CLOSE(公司分析!$D$4,I17,$M$2))</f>
        <v>28.43</v>
      </c>
      <c r="K17" s="129" t="e">
        <f t="shared" ca="1" si="5"/>
        <v>#N/A</v>
      </c>
      <c r="L17" s="129" t="e">
        <f t="shared" ca="1" si="1"/>
        <v>#N/A</v>
      </c>
      <c r="M17" s="322" t="e">
        <f t="shared" ca="1" si="2"/>
        <v>#N/A</v>
      </c>
      <c r="N17" s="325">
        <f t="shared" ca="1" si="3"/>
        <v>0.85211726384364828</v>
      </c>
      <c r="O17" s="326">
        <f t="shared" ca="1" si="0"/>
        <v>0.15485900553846554</v>
      </c>
      <c r="P17" s="122" t="s">
        <v>380</v>
      </c>
      <c r="Q17" s="122" t="s">
        <v>24</v>
      </c>
      <c r="R17" s="281">
        <f ca="1">IF([1]!S_DQ_CLOSE($S$3,I17,$M$2)=0,NA(),[1]!S_DQ_CLOSE($S$3,I17,$M$2))</f>
        <v>4517.6255000000001</v>
      </c>
      <c r="S17" s="122"/>
      <c r="T17" s="122"/>
      <c r="U17" s="301"/>
      <c r="V17" s="260">
        <f t="shared" ca="1" si="4"/>
        <v>0</v>
      </c>
      <c r="W17" s="348" t="str">
        <f>IF(板块成分!B19="","",板块成分!B19)</f>
        <v>000019.SZ</v>
      </c>
      <c r="X17" s="276" t="str">
        <f>[1]!S_Info_Name(W17)</f>
        <v>深粮控股</v>
      </c>
      <c r="Y17" s="276" t="str">
        <f ca="1">IF($Y$3="申万一级行业",[1]!s_info_industry_sw_2021(W17,公司分析!D$5,1),IF($Y$3="申万二级行业",[1]!s_info_industry_sw_2021(W17,公司分析!D$5,2),IF($Y$3="申万三级行业",[1]!s_info_industry_sw_2021(W17,公司分析!D$5,3),IF($Y$3="wind一级行业",[1]!s_info_industry_gics(W17,1),IF($Y$3="wind二级行业",[1]!s_info_industry_gics(W17,2),IF($Y$3="wind三级行业",[1]!s_info_industry_gics(W17,3),IF($Y$3="wind四级行业",[1]!s_info_industry_gics(W17,4),IF($Y$3="证监会门类行业",[1]!s_info_industry_csrc12_n(W17,公司分析!D$5,1),""))))))))</f>
        <v>农产品加工</v>
      </c>
      <c r="Z17" s="302" t="str">
        <f ca="1">IF(Y17=行业比较!$E$6,ROW(),"")</f>
        <v/>
      </c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</row>
    <row r="18" spans="2:42">
      <c r="B18" s="287">
        <v>3</v>
      </c>
      <c r="C18" s="276" t="s">
        <v>108</v>
      </c>
      <c r="D18" s="260">
        <f t="shared" si="6"/>
        <v>3</v>
      </c>
      <c r="E18" s="122"/>
      <c r="F18" s="281"/>
      <c r="G18" s="122"/>
      <c r="H18" s="329" t="e">
        <f ca="1">IF(([1]!S_SHARE_TOTAL($H$3,I18)/[1]!S_SHARE_TOTAL($H$3,I19))/(YEAR(I18)/YEAR(I17))=1,NA(),IF($I$2="PE Band",[1]!S_STM07_IS($H$3,61,YEAR(I18)-1&amp;"-12-31",1)/[1]!S_SHARE_TOTAL($H$3,I18),[1]!S_STM07_BS($H$3,140,YEAR(I18)-1&amp;"-12-31",1)/[1]!S_SHARE_TOTAL($H$3,I18)))</f>
        <v>#N/A</v>
      </c>
      <c r="I18" s="275">
        <f ca="1">--[1]!td(I17-$N$2)</f>
        <v>45980</v>
      </c>
      <c r="J18" s="129">
        <f ca="1">IF([1]!S_DQ_CLOSE(公司分析!$D$4,I18,$M$2)=0,NA(),[1]!S_DQ_CLOSE(公司分析!$D$4,I18,$M$2))</f>
        <v>29.34</v>
      </c>
      <c r="K18" s="129" t="e">
        <f t="shared" ca="1" si="5"/>
        <v>#N/A</v>
      </c>
      <c r="L18" s="129" t="e">
        <f t="shared" ca="1" si="1"/>
        <v>#N/A</v>
      </c>
      <c r="M18" s="322" t="e">
        <f t="shared" ca="1" si="2"/>
        <v>#N/A</v>
      </c>
      <c r="N18" s="325">
        <f t="shared" ca="1" si="3"/>
        <v>0.91140065146579818</v>
      </c>
      <c r="O18" s="326">
        <f t="shared" ca="1" si="0"/>
        <v>0.17292382186436162</v>
      </c>
      <c r="P18" s="122" t="s">
        <v>381</v>
      </c>
      <c r="Q18" s="122" t="s">
        <v>25</v>
      </c>
      <c r="R18" s="281">
        <f ca="1">IF([1]!S_DQ_CLOSE($S$3,I18,$M$2)=0,NA(),[1]!S_DQ_CLOSE($S$3,I18,$M$2))</f>
        <v>4588.2921999999999</v>
      </c>
      <c r="S18" s="122"/>
      <c r="T18" s="122"/>
      <c r="U18" s="301"/>
      <c r="V18" s="260">
        <f t="shared" ca="1" si="4"/>
        <v>0</v>
      </c>
      <c r="W18" s="348" t="str">
        <f>IF(板块成分!B20="","",板块成分!B20)</f>
        <v>000020.SZ</v>
      </c>
      <c r="X18" s="276" t="str">
        <f>[1]!S_Info_Name(W18)</f>
        <v>深华发A</v>
      </c>
      <c r="Y18" s="276" t="str">
        <f ca="1">IF($Y$3="申万一级行业",[1]!s_info_industry_sw_2021(W18,公司分析!D$5,1),IF($Y$3="申万二级行业",[1]!s_info_industry_sw_2021(W18,公司分析!D$5,2),IF($Y$3="申万三级行业",[1]!s_info_industry_sw_2021(W18,公司分析!D$5,3),IF($Y$3="wind一级行业",[1]!s_info_industry_gics(W18,1),IF($Y$3="wind二级行业",[1]!s_info_industry_gics(W18,2),IF($Y$3="wind三级行业",[1]!s_info_industry_gics(W18,3),IF($Y$3="wind四级行业",[1]!s_info_industry_gics(W18,4),IF($Y$3="证监会门类行业",[1]!s_info_industry_csrc12_n(W18,公司分析!D$5,1),""))))))))</f>
        <v>光学光电子</v>
      </c>
      <c r="Z18" s="302" t="str">
        <f ca="1">IF(Y18=行业比较!$E$6,ROW(),"")</f>
        <v/>
      </c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</row>
    <row r="19" spans="2:42">
      <c r="B19" s="287">
        <v>4</v>
      </c>
      <c r="C19" s="276" t="s">
        <v>382</v>
      </c>
      <c r="D19" s="260">
        <f t="shared" si="6"/>
        <v>4</v>
      </c>
      <c r="E19" s="122"/>
      <c r="F19" s="281"/>
      <c r="G19" s="122"/>
      <c r="H19" s="329" t="e">
        <f ca="1">IF(([1]!S_SHARE_TOTAL($H$3,I19)/[1]!S_SHARE_TOTAL($H$3,I20))/(YEAR(I19)/YEAR(I18))=1,NA(),IF($I$2="PE Band",[1]!S_STM07_IS($H$3,61,YEAR(I19)-1&amp;"-12-31",1)/[1]!S_SHARE_TOTAL($H$3,I19),[1]!S_STM07_BS($H$3,140,YEAR(I19)-1&amp;"-12-31",1)/[1]!S_SHARE_TOTAL($H$3,I19)))</f>
        <v>#N/A</v>
      </c>
      <c r="I19" s="275">
        <f ca="1">--[1]!td(I18-$N$2)</f>
        <v>45973</v>
      </c>
      <c r="J19" s="129">
        <f ca="1">IF([1]!S_DQ_CLOSE(公司分析!$D$4,I19,$M$2)=0,NA(),[1]!S_DQ_CLOSE(公司分析!$D$4,I19,$M$2))</f>
        <v>29.49</v>
      </c>
      <c r="K19" s="129" t="e">
        <f t="shared" ca="1" si="5"/>
        <v>#N/A</v>
      </c>
      <c r="L19" s="129" t="e">
        <f t="shared" ca="1" si="1"/>
        <v>#N/A</v>
      </c>
      <c r="M19" s="322" t="e">
        <f t="shared" ca="1" si="2"/>
        <v>#N/A</v>
      </c>
      <c r="N19" s="325">
        <f t="shared" ca="1" si="3"/>
        <v>0.92117263843648201</v>
      </c>
      <c r="O19" s="326">
        <f t="shared" ca="1" si="0"/>
        <v>0.18765235790733437</v>
      </c>
      <c r="P19" s="122" t="s">
        <v>383</v>
      </c>
      <c r="Q19" s="122" t="s">
        <v>26</v>
      </c>
      <c r="R19" s="281">
        <f ca="1">IF([1]!S_DQ_CLOSE($S$3,I19,$M$2)=0,NA(),[1]!S_DQ_CLOSE($S$3,I19,$M$2))</f>
        <v>4645.9079000000002</v>
      </c>
      <c r="S19" s="122"/>
      <c r="T19" s="122"/>
      <c r="U19" s="301"/>
      <c r="V19" s="260">
        <f t="shared" ca="1" si="4"/>
        <v>0</v>
      </c>
      <c r="W19" s="348" t="str">
        <f>IF(板块成分!B21="","",板块成分!B21)</f>
        <v>000021.SZ</v>
      </c>
      <c r="X19" s="276" t="str">
        <f>[1]!S_Info_Name(W19)</f>
        <v>深科技</v>
      </c>
      <c r="Y19" s="276" t="str">
        <f ca="1">IF($Y$3="申万一级行业",[1]!s_info_industry_sw_2021(W19,公司分析!D$5,1),IF($Y$3="申万二级行业",[1]!s_info_industry_sw_2021(W19,公司分析!D$5,2),IF($Y$3="申万三级行业",[1]!s_info_industry_sw_2021(W19,公司分析!D$5,3),IF($Y$3="wind一级行业",[1]!s_info_industry_gics(W19,1),IF($Y$3="wind二级行业",[1]!s_info_industry_gics(W19,2),IF($Y$3="wind三级行业",[1]!s_info_industry_gics(W19,3),IF($Y$3="wind四级行业",[1]!s_info_industry_gics(W19,4),IF($Y$3="证监会门类行业",[1]!s_info_industry_csrc12_n(W19,公司分析!D$5,1),""))))))))</f>
        <v>消费电子</v>
      </c>
      <c r="Z19" s="302" t="str">
        <f ca="1">IF(Y19=行业比较!$E$6,ROW(),"")</f>
        <v/>
      </c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</row>
    <row r="20" spans="2:42">
      <c r="B20" s="287">
        <v>5</v>
      </c>
      <c r="C20" s="276" t="s">
        <v>384</v>
      </c>
      <c r="D20" s="260">
        <f t="shared" si="6"/>
        <v>5</v>
      </c>
      <c r="E20" s="122"/>
      <c r="F20" s="281"/>
      <c r="G20" s="122"/>
      <c r="H20" s="329">
        <f ca="1">IF(([1]!S_SHARE_TOTAL($H$3,I20)/[1]!S_SHARE_TOTAL($H$3,I21))/(YEAR(I20)/YEAR(I19))=1,NA(),IF($I$2="PE Band",[1]!S_STM07_IS($H$3,61,YEAR(I20)-1&amp;"-12-31",1)/[1]!S_SHARE_TOTAL($H$3,I20),[1]!S_STM07_BS($H$3,140,YEAR(I20)-1&amp;"-12-31",1)/[1]!S_SHARE_TOTAL($H$3,I20)))</f>
        <v>1.2059279530460925</v>
      </c>
      <c r="I20" s="275">
        <f ca="1">--[1]!td(I19-$N$2)</f>
        <v>45966</v>
      </c>
      <c r="J20" s="129">
        <f ca="1">IF([1]!S_DQ_CLOSE(公司分析!$D$4,I20,$M$2)=0,NA(),[1]!S_DQ_CLOSE(公司分析!$D$4,I20,$M$2))</f>
        <v>29.01</v>
      </c>
      <c r="K20" s="129">
        <f t="shared" ca="1" si="5"/>
        <v>9.6474236243687397</v>
      </c>
      <c r="L20" s="129">
        <f t="shared" ca="1" si="1"/>
        <v>24.11855906092185</v>
      </c>
      <c r="M20" s="322">
        <f t="shared" ca="1" si="2"/>
        <v>38.589694497474959</v>
      </c>
      <c r="N20" s="325">
        <f t="shared" ca="1" si="3"/>
        <v>0.88990228013029338</v>
      </c>
      <c r="O20" s="326">
        <f t="shared" ca="1" si="0"/>
        <v>0.18288455238064838</v>
      </c>
      <c r="P20" s="122" t="s">
        <v>385</v>
      </c>
      <c r="Q20" s="122" t="s">
        <v>27</v>
      </c>
      <c r="R20" s="281">
        <f ca="1">IF([1]!S_DQ_CLOSE($S$3,I20,$M$2)=0,NA(),[1]!S_DQ_CLOSE($S$3,I20,$M$2))</f>
        <v>4627.2569999999996</v>
      </c>
      <c r="S20" s="122"/>
      <c r="T20" s="122"/>
      <c r="U20" s="301"/>
      <c r="V20" s="260">
        <f t="shared" ca="1" si="4"/>
        <v>0</v>
      </c>
      <c r="W20" s="348" t="str">
        <f>IF(板块成分!B22="","",板块成分!B22)</f>
        <v>000025.SZ</v>
      </c>
      <c r="X20" s="276" t="str">
        <f>[1]!S_Info_Name(W20)</f>
        <v>特力A</v>
      </c>
      <c r="Y20" s="276" t="str">
        <f ca="1">IF($Y$3="申万一级行业",[1]!s_info_industry_sw_2021(W20,公司分析!D$5,1),IF($Y$3="申万二级行业",[1]!s_info_industry_sw_2021(W20,公司分析!D$5,2),IF($Y$3="申万三级行业",[1]!s_info_industry_sw_2021(W20,公司分析!D$5,3),IF($Y$3="wind一级行业",[1]!s_info_industry_gics(W20,1),IF($Y$3="wind二级行业",[1]!s_info_industry_gics(W20,2),IF($Y$3="wind三级行业",[1]!s_info_industry_gics(W20,3),IF($Y$3="wind四级行业",[1]!s_info_industry_gics(W20,4),IF($Y$3="证监会门类行业",[1]!s_info_industry_csrc12_n(W20,公司分析!D$5,1),""))))))))</f>
        <v>综合Ⅱ</v>
      </c>
      <c r="Z20" s="302" t="str">
        <f ca="1">IF(Y20=行业比较!$E$6,ROW(),"")</f>
        <v/>
      </c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</row>
    <row r="21" spans="2:42">
      <c r="B21" s="287">
        <v>6</v>
      </c>
      <c r="C21" s="276" t="s">
        <v>386</v>
      </c>
      <c r="D21" s="260">
        <f t="shared" si="6"/>
        <v>6</v>
      </c>
      <c r="E21" s="122"/>
      <c r="F21" s="281"/>
      <c r="G21" s="122"/>
      <c r="H21" s="329" t="e">
        <f ca="1">IF(([1]!S_SHARE_TOTAL($H$3,I21)/[1]!S_SHARE_TOTAL($H$3,I22))/(YEAR(I21)/YEAR(I20))=1,NA(),IF($I$2="PE Band",[1]!S_STM07_IS($H$3,61,YEAR(I21)-1&amp;"-12-31",1)/[1]!S_SHARE_TOTAL($H$3,I21),[1]!S_STM07_BS($H$3,140,YEAR(I21)-1&amp;"-12-31",1)/[1]!S_SHARE_TOTAL($H$3,I21)))</f>
        <v>#N/A</v>
      </c>
      <c r="I21" s="275">
        <f ca="1">--[1]!td(I20-$N$2)</f>
        <v>45959</v>
      </c>
      <c r="J21" s="129">
        <f ca="1">IF([1]!S_DQ_CLOSE(公司分析!$D$4,I21,$M$2)=0,NA(),[1]!S_DQ_CLOSE(公司分析!$D$4,I21,$M$2))</f>
        <v>30.96</v>
      </c>
      <c r="K21" s="129" t="e">
        <f t="shared" ca="1" si="5"/>
        <v>#N/A</v>
      </c>
      <c r="L21" s="129" t="e">
        <f t="shared" ca="1" si="1"/>
        <v>#N/A</v>
      </c>
      <c r="M21" s="322" t="e">
        <f t="shared" ca="1" si="2"/>
        <v>#N/A</v>
      </c>
      <c r="N21" s="325">
        <f t="shared" ca="1" si="3"/>
        <v>1.0169381107491859</v>
      </c>
      <c r="O21" s="326">
        <f t="shared" ca="1" si="0"/>
        <v>0.21370911337514276</v>
      </c>
      <c r="P21" s="122" t="s">
        <v>387</v>
      </c>
      <c r="Q21" s="122" t="s">
        <v>28</v>
      </c>
      <c r="R21" s="281">
        <f ca="1">IF([1]!S_DQ_CLOSE($S$3,I21,$M$2)=0,NA(),[1]!S_DQ_CLOSE($S$3,I21,$M$2))</f>
        <v>4747.8378000000002</v>
      </c>
      <c r="S21" s="122"/>
      <c r="T21" s="122"/>
      <c r="U21" s="301"/>
      <c r="V21" s="260">
        <f t="shared" ca="1" si="4"/>
        <v>0</v>
      </c>
      <c r="W21" s="348" t="str">
        <f>IF(板块成分!B23="","",板块成分!B23)</f>
        <v>000026.SZ</v>
      </c>
      <c r="X21" s="276" t="str">
        <f>[1]!S_Info_Name(W21)</f>
        <v>飞亚达</v>
      </c>
      <c r="Y21" s="276" t="str">
        <f ca="1">IF($Y$3="申万一级行业",[1]!s_info_industry_sw_2021(W21,公司分析!D$5,1),IF($Y$3="申万二级行业",[1]!s_info_industry_sw_2021(W21,公司分析!D$5,2),IF($Y$3="申万三级行业",[1]!s_info_industry_sw_2021(W21,公司分析!D$5,3),IF($Y$3="wind一级行业",[1]!s_info_industry_gics(W21,1),IF($Y$3="wind二级行业",[1]!s_info_industry_gics(W21,2),IF($Y$3="wind三级行业",[1]!s_info_industry_gics(W21,3),IF($Y$3="wind四级行业",[1]!s_info_industry_gics(W21,4),IF($Y$3="证监会门类行业",[1]!s_info_industry_csrc12_n(W21,公司分析!D$5,1),""))))))))</f>
        <v>饰品</v>
      </c>
      <c r="Z21" s="302" t="str">
        <f ca="1">IF(Y21=行业比较!$E$6,ROW(),"")</f>
        <v/>
      </c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</row>
    <row r="22" spans="2:42">
      <c r="B22" s="287">
        <v>7</v>
      </c>
      <c r="C22" s="276" t="s">
        <v>388</v>
      </c>
      <c r="D22" s="260">
        <f t="shared" si="6"/>
        <v>7</v>
      </c>
      <c r="E22" s="122"/>
      <c r="F22" s="281"/>
      <c r="G22" s="122"/>
      <c r="H22" s="329" t="e">
        <f ca="1">IF(([1]!S_SHARE_TOTAL($H$3,I22)/[1]!S_SHARE_TOTAL($H$3,I23))/(YEAR(I22)/YEAR(I21))=1,NA(),IF($I$2="PE Band",[1]!S_STM07_IS($H$3,61,YEAR(I22)-1&amp;"-12-31",1)/[1]!S_SHARE_TOTAL($H$3,I22),[1]!S_STM07_BS($H$3,140,YEAR(I22)-1&amp;"-12-31",1)/[1]!S_SHARE_TOTAL($H$3,I22)))</f>
        <v>#N/A</v>
      </c>
      <c r="I22" s="275">
        <f ca="1">--[1]!td(I21-$N$2)</f>
        <v>45952</v>
      </c>
      <c r="J22" s="129">
        <f ca="1">IF([1]!S_DQ_CLOSE(公司分析!$D$4,I22,$M$2)=0,NA(),[1]!S_DQ_CLOSE(公司分析!$D$4,I22,$M$2))</f>
        <v>29.45</v>
      </c>
      <c r="K22" s="129" t="e">
        <f t="shared" ca="1" si="5"/>
        <v>#N/A</v>
      </c>
      <c r="L22" s="129" t="e">
        <f t="shared" ca="1" si="1"/>
        <v>#N/A</v>
      </c>
      <c r="M22" s="322" t="e">
        <f t="shared" ca="1" si="2"/>
        <v>#N/A</v>
      </c>
      <c r="N22" s="325">
        <f t="shared" ca="1" si="3"/>
        <v>0.91856677524429964</v>
      </c>
      <c r="O22" s="326">
        <f t="shared" ca="1" si="0"/>
        <v>0.17401737330059563</v>
      </c>
      <c r="P22" s="122" t="s">
        <v>389</v>
      </c>
      <c r="Q22" s="122" t="s">
        <v>29</v>
      </c>
      <c r="R22" s="281">
        <f ca="1">IF([1]!S_DQ_CLOSE($S$3,I22,$M$2)=0,NA(),[1]!S_DQ_CLOSE($S$3,I22,$M$2))</f>
        <v>4592.57</v>
      </c>
      <c r="S22" s="122"/>
      <c r="T22" s="122"/>
      <c r="U22" s="301"/>
      <c r="V22" s="260">
        <f t="shared" ca="1" si="4"/>
        <v>0</v>
      </c>
      <c r="W22" s="348" t="str">
        <f>IF(板块成分!B24="","",板块成分!B24)</f>
        <v>000027.SZ</v>
      </c>
      <c r="X22" s="276" t="str">
        <f>[1]!S_Info_Name(W22)</f>
        <v>深圳能源</v>
      </c>
      <c r="Y22" s="276" t="str">
        <f ca="1">IF($Y$3="申万一级行业",[1]!s_info_industry_sw_2021(W22,公司分析!D$5,1),IF($Y$3="申万二级行业",[1]!s_info_industry_sw_2021(W22,公司分析!D$5,2),IF($Y$3="申万三级行业",[1]!s_info_industry_sw_2021(W22,公司分析!D$5,3),IF($Y$3="wind一级行业",[1]!s_info_industry_gics(W22,1),IF($Y$3="wind二级行业",[1]!s_info_industry_gics(W22,2),IF($Y$3="wind三级行业",[1]!s_info_industry_gics(W22,3),IF($Y$3="wind四级行业",[1]!s_info_industry_gics(W22,4),IF($Y$3="证监会门类行业",[1]!s_info_industry_csrc12_n(W22,公司分析!D$5,1),""))))))))</f>
        <v>电力</v>
      </c>
      <c r="Z22" s="302" t="str">
        <f ca="1">IF(Y22=行业比较!$E$6,ROW(),"")</f>
        <v/>
      </c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</row>
    <row r="23" spans="2:42">
      <c r="B23" s="287">
        <v>8</v>
      </c>
      <c r="C23" s="276" t="s">
        <v>390</v>
      </c>
      <c r="D23" s="260">
        <f t="shared" si="6"/>
        <v>8</v>
      </c>
      <c r="E23" s="122"/>
      <c r="F23" s="281"/>
      <c r="G23" s="122"/>
      <c r="H23" s="329" t="e">
        <f ca="1">IF(([1]!S_SHARE_TOTAL($H$3,I23)/[1]!S_SHARE_TOTAL($H$3,I24))/(YEAR(I23)/YEAR(I22))=1,NA(),IF($I$2="PE Band",[1]!S_STM07_IS($H$3,61,YEAR(I23)-1&amp;"-12-31",1)/[1]!S_SHARE_TOTAL($H$3,I23),[1]!S_STM07_BS($H$3,140,YEAR(I23)-1&amp;"-12-31",1)/[1]!S_SHARE_TOTAL($H$3,I23)))</f>
        <v>#N/A</v>
      </c>
      <c r="I23" s="275">
        <f ca="1">--[1]!td(I22-$N$2)</f>
        <v>45945</v>
      </c>
      <c r="J23" s="129">
        <f ca="1">IF([1]!S_DQ_CLOSE(公司分析!$D$4,I23,$M$2)=0,NA(),[1]!S_DQ_CLOSE(公司分析!$D$4,I23,$M$2))</f>
        <v>30.98</v>
      </c>
      <c r="K23" s="129" t="e">
        <f t="shared" ca="1" si="5"/>
        <v>#N/A</v>
      </c>
      <c r="L23" s="129" t="e">
        <f t="shared" ca="1" si="1"/>
        <v>#N/A</v>
      </c>
      <c r="M23" s="322" t="e">
        <f t="shared" ca="1" si="2"/>
        <v>#N/A</v>
      </c>
      <c r="N23" s="325">
        <f t="shared" ca="1" si="3"/>
        <v>1.0182410423452768</v>
      </c>
      <c r="O23" s="326">
        <f t="shared" ca="1" si="0"/>
        <v>0.17752413594660887</v>
      </c>
      <c r="P23" s="122" t="s">
        <v>391</v>
      </c>
      <c r="Q23" s="122" t="s">
        <v>30</v>
      </c>
      <c r="R23" s="281">
        <f ca="1">IF([1]!S_DQ_CLOSE($S$3,I23,$M$2)=0,NA(),[1]!S_DQ_CLOSE($S$3,I23,$M$2))</f>
        <v>4606.2879000000003</v>
      </c>
      <c r="S23" s="122"/>
      <c r="T23" s="122"/>
      <c r="U23" s="301"/>
      <c r="V23" s="260">
        <f t="shared" ca="1" si="4"/>
        <v>0</v>
      </c>
      <c r="W23" s="348" t="str">
        <f>IF(板块成分!B25="","",板块成分!B25)</f>
        <v>000028.SZ</v>
      </c>
      <c r="X23" s="276" t="str">
        <f>[1]!S_Info_Name(W23)</f>
        <v>国药一致</v>
      </c>
      <c r="Y23" s="276" t="str">
        <f ca="1">IF($Y$3="申万一级行业",[1]!s_info_industry_sw_2021(W23,公司分析!D$5,1),IF($Y$3="申万二级行业",[1]!s_info_industry_sw_2021(W23,公司分析!D$5,2),IF($Y$3="申万三级行业",[1]!s_info_industry_sw_2021(W23,公司分析!D$5,3),IF($Y$3="wind一级行业",[1]!s_info_industry_gics(W23,1),IF($Y$3="wind二级行业",[1]!s_info_industry_gics(W23,2),IF($Y$3="wind三级行业",[1]!s_info_industry_gics(W23,3),IF($Y$3="wind四级行业",[1]!s_info_industry_gics(W23,4),IF($Y$3="证监会门类行业",[1]!s_info_industry_csrc12_n(W23,公司分析!D$5,1),""))))))))</f>
        <v>医药商业</v>
      </c>
      <c r="Z23" s="302" t="str">
        <f ca="1">IF(Y23=行业比较!$E$6,ROW(),"")</f>
        <v/>
      </c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</row>
    <row r="24" spans="2:42">
      <c r="B24" s="287">
        <v>9</v>
      </c>
      <c r="C24" s="276" t="s">
        <v>392</v>
      </c>
      <c r="D24" s="260">
        <f t="shared" si="6"/>
        <v>9</v>
      </c>
      <c r="E24" s="122"/>
      <c r="F24" s="281"/>
      <c r="G24" s="122"/>
      <c r="H24" s="329" t="e">
        <f ca="1">IF(([1]!S_SHARE_TOTAL($H$3,I24)/[1]!S_SHARE_TOTAL($H$3,I25))/(YEAR(I24)/YEAR(I23))=1,NA(),IF($I$2="PE Band",[1]!S_STM07_IS($H$3,61,YEAR(I24)-1&amp;"-12-31",1)/[1]!S_SHARE_TOTAL($H$3,I24),[1]!S_STM07_BS($H$3,140,YEAR(I24)-1&amp;"-12-31",1)/[1]!S_SHARE_TOTAL($H$3,I24)))</f>
        <v>#N/A</v>
      </c>
      <c r="I24" s="275">
        <f ca="1">--[1]!td(I23-$N$2)</f>
        <v>45930</v>
      </c>
      <c r="J24" s="129">
        <f ca="1">IF([1]!S_DQ_CLOSE(公司分析!$D$4,I24,$M$2)=0,NA(),[1]!S_DQ_CLOSE(公司分析!$D$4,I24,$M$2))</f>
        <v>29.44</v>
      </c>
      <c r="K24" s="129" t="e">
        <f t="shared" ca="1" si="5"/>
        <v>#N/A</v>
      </c>
      <c r="L24" s="129" t="e">
        <f t="shared" ca="1" si="1"/>
        <v>#N/A</v>
      </c>
      <c r="M24" s="322" t="e">
        <f t="shared" ca="1" si="2"/>
        <v>#N/A</v>
      </c>
      <c r="N24" s="325">
        <f t="shared" ca="1" si="3"/>
        <v>0.91791530944625421</v>
      </c>
      <c r="O24" s="326">
        <f t="shared" ca="1" si="0"/>
        <v>0.18631937959860134</v>
      </c>
      <c r="P24" s="122" t="s">
        <v>393</v>
      </c>
      <c r="Q24" s="122" t="s">
        <v>31</v>
      </c>
      <c r="R24" s="281">
        <f ca="1">IF([1]!S_DQ_CLOSE($S$3,I24,$M$2)=0,NA(),[1]!S_DQ_CLOSE($S$3,I24,$M$2))</f>
        <v>4640.6935000000003</v>
      </c>
      <c r="S24" s="122"/>
      <c r="T24" s="122"/>
      <c r="U24" s="301"/>
      <c r="V24" s="260">
        <f t="shared" ca="1" si="4"/>
        <v>0</v>
      </c>
      <c r="W24" s="348" t="str">
        <f>IF(板块成分!B26="","",板块成分!B26)</f>
        <v>000029.SZ</v>
      </c>
      <c r="X24" s="276" t="str">
        <f>[1]!S_Info_Name(W24)</f>
        <v>深深房A</v>
      </c>
      <c r="Y24" s="276" t="str">
        <f ca="1">IF($Y$3="申万一级行业",[1]!s_info_industry_sw_2021(W24,公司分析!D$5,1),IF($Y$3="申万二级行业",[1]!s_info_industry_sw_2021(W24,公司分析!D$5,2),IF($Y$3="申万三级行业",[1]!s_info_industry_sw_2021(W24,公司分析!D$5,3),IF($Y$3="wind一级行业",[1]!s_info_industry_gics(W24,1),IF($Y$3="wind二级行业",[1]!s_info_industry_gics(W24,2),IF($Y$3="wind三级行业",[1]!s_info_industry_gics(W24,3),IF($Y$3="wind四级行业",[1]!s_info_industry_gics(W24,4),IF($Y$3="证监会门类行业",[1]!s_info_industry_csrc12_n(W24,公司分析!D$5,1),""))))))))</f>
        <v>房地产开发</v>
      </c>
      <c r="Z24" s="302" t="str">
        <f ca="1">IF(Y24=行业比较!$E$6,ROW(),"")</f>
        <v/>
      </c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</row>
    <row r="25" spans="2:42">
      <c r="B25" s="287">
        <v>10</v>
      </c>
      <c r="C25" s="276" t="s">
        <v>394</v>
      </c>
      <c r="D25" s="260">
        <f t="shared" si="6"/>
        <v>10</v>
      </c>
      <c r="E25" s="122"/>
      <c r="F25" s="281"/>
      <c r="G25" s="122"/>
      <c r="H25" s="329" t="e">
        <f ca="1">IF(([1]!S_SHARE_TOTAL($H$3,I25)/[1]!S_SHARE_TOTAL($H$3,I26))/(YEAR(I25)/YEAR(I24))=1,NA(),IF($I$2="PE Band",[1]!S_STM07_IS($H$3,61,YEAR(I25)-1&amp;"-12-31",1)/[1]!S_SHARE_TOTAL($H$3,I25),[1]!S_STM07_BS($H$3,140,YEAR(I25)-1&amp;"-12-31",1)/[1]!S_SHARE_TOTAL($H$3,I25)))</f>
        <v>#N/A</v>
      </c>
      <c r="I25" s="275">
        <f ca="1">--[1]!td(I24-$N$2)</f>
        <v>45923</v>
      </c>
      <c r="J25" s="129">
        <f ca="1">IF([1]!S_DQ_CLOSE(公司分析!$D$4,I25,$M$2)=0,NA(),[1]!S_DQ_CLOSE(公司分析!$D$4,I25,$M$2))</f>
        <v>25.82</v>
      </c>
      <c r="K25" s="129" t="e">
        <f t="shared" ca="1" si="5"/>
        <v>#N/A</v>
      </c>
      <c r="L25" s="129" t="e">
        <f t="shared" ca="1" si="1"/>
        <v>#N/A</v>
      </c>
      <c r="M25" s="322" t="e">
        <f t="shared" ca="1" si="2"/>
        <v>#N/A</v>
      </c>
      <c r="N25" s="325">
        <f t="shared" ca="1" si="3"/>
        <v>0.68208469055374588</v>
      </c>
      <c r="O25" s="326">
        <f t="shared" ca="1" si="0"/>
        <v>0.15540928344337868</v>
      </c>
      <c r="P25" s="122" t="s">
        <v>395</v>
      </c>
      <c r="Q25" s="122" t="s">
        <v>32</v>
      </c>
      <c r="R25" s="281">
        <f ca="1">IF([1]!S_DQ_CLOSE($S$3,I25,$M$2)=0,NA(),[1]!S_DQ_CLOSE($S$3,I25,$M$2))</f>
        <v>4519.7781000000004</v>
      </c>
      <c r="S25" s="122"/>
      <c r="T25" s="122"/>
      <c r="U25" s="301"/>
      <c r="V25" s="260">
        <f t="shared" ca="1" si="4"/>
        <v>0</v>
      </c>
      <c r="W25" s="348" t="str">
        <f>IF(板块成分!B27="","",板块成分!B27)</f>
        <v>000030.SZ</v>
      </c>
      <c r="X25" s="276" t="str">
        <f>[1]!S_Info_Name(W25)</f>
        <v>富奥股份</v>
      </c>
      <c r="Y25" s="276" t="str">
        <f ca="1">IF($Y$3="申万一级行业",[1]!s_info_industry_sw_2021(W25,公司分析!D$5,1),IF($Y$3="申万二级行业",[1]!s_info_industry_sw_2021(W25,公司分析!D$5,2),IF($Y$3="申万三级行业",[1]!s_info_industry_sw_2021(W25,公司分析!D$5,3),IF($Y$3="wind一级行业",[1]!s_info_industry_gics(W25,1),IF($Y$3="wind二级行业",[1]!s_info_industry_gics(W25,2),IF($Y$3="wind三级行业",[1]!s_info_industry_gics(W25,3),IF($Y$3="wind四级行业",[1]!s_info_industry_gics(W25,4),IF($Y$3="证监会门类行业",[1]!s_info_industry_csrc12_n(W25,公司分析!D$5,1),""))))))))</f>
        <v>汽车零部件</v>
      </c>
      <c r="Z25" s="302" t="str">
        <f ca="1">IF(Y25=行业比较!$E$6,ROW(),"")</f>
        <v/>
      </c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</row>
    <row r="26" spans="2:42">
      <c r="B26" s="287">
        <v>11</v>
      </c>
      <c r="C26" s="276" t="s">
        <v>396</v>
      </c>
      <c r="D26" s="260">
        <f t="shared" si="6"/>
        <v>11</v>
      </c>
      <c r="E26" s="122"/>
      <c r="F26" s="281"/>
      <c r="G26" s="122"/>
      <c r="H26" s="329" t="e">
        <f ca="1">IF(([1]!S_SHARE_TOTAL($H$3,I26)/[1]!S_SHARE_TOTAL($H$3,I27))/(YEAR(I26)/YEAR(I25))=1,NA(),IF($I$2="PE Band",[1]!S_STM07_IS($H$3,61,YEAR(I26)-1&amp;"-12-31",1)/[1]!S_SHARE_TOTAL($H$3,I26),[1]!S_STM07_BS($H$3,140,YEAR(I26)-1&amp;"-12-31",1)/[1]!S_SHARE_TOTAL($H$3,I26)))</f>
        <v>#N/A</v>
      </c>
      <c r="I26" s="275">
        <f ca="1">--[1]!td(I25-$N$2)</f>
        <v>45916</v>
      </c>
      <c r="J26" s="129">
        <f ca="1">IF([1]!S_DQ_CLOSE(公司分析!$D$4,I26,$M$2)=0,NA(),[1]!S_DQ_CLOSE(公司分析!$D$4,I26,$M$2))</f>
        <v>25.32</v>
      </c>
      <c r="K26" s="129" t="e">
        <f t="shared" ca="1" si="5"/>
        <v>#N/A</v>
      </c>
      <c r="L26" s="129" t="e">
        <f t="shared" ca="1" si="1"/>
        <v>#N/A</v>
      </c>
      <c r="M26" s="322" t="e">
        <f t="shared" ca="1" si="2"/>
        <v>#N/A</v>
      </c>
      <c r="N26" s="325">
        <f t="shared" ca="1" si="3"/>
        <v>0.64951140065146595</v>
      </c>
      <c r="O26" s="326">
        <f t="shared" ca="1" si="0"/>
        <v>0.15631898285452039</v>
      </c>
      <c r="P26" s="122" t="s">
        <v>397</v>
      </c>
      <c r="Q26" s="122" t="s">
        <v>33</v>
      </c>
      <c r="R26" s="281">
        <f ca="1">IF([1]!S_DQ_CLOSE($S$3,I26,$M$2)=0,NA(),[1]!S_DQ_CLOSE($S$3,I26,$M$2))</f>
        <v>4523.3366999999998</v>
      </c>
      <c r="S26" s="122"/>
      <c r="T26" s="122"/>
      <c r="U26" s="301"/>
      <c r="V26" s="260">
        <f t="shared" ca="1" si="4"/>
        <v>0</v>
      </c>
      <c r="W26" s="348" t="str">
        <f>IF(板块成分!B28="","",板块成分!B28)</f>
        <v>000031.SZ</v>
      </c>
      <c r="X26" s="276" t="str">
        <f>[1]!S_Info_Name(W26)</f>
        <v>大悦城</v>
      </c>
      <c r="Y26" s="276" t="str">
        <f ca="1">IF($Y$3="申万一级行业",[1]!s_info_industry_sw_2021(W26,公司分析!D$5,1),IF($Y$3="申万二级行业",[1]!s_info_industry_sw_2021(W26,公司分析!D$5,2),IF($Y$3="申万三级行业",[1]!s_info_industry_sw_2021(W26,公司分析!D$5,3),IF($Y$3="wind一级行业",[1]!s_info_industry_gics(W26,1),IF($Y$3="wind二级行业",[1]!s_info_industry_gics(W26,2),IF($Y$3="wind三级行业",[1]!s_info_industry_gics(W26,3),IF($Y$3="wind四级行业",[1]!s_info_industry_gics(W26,4),IF($Y$3="证监会门类行业",[1]!s_info_industry_csrc12_n(W26,公司分析!D$5,1),""))))))))</f>
        <v>房地产开发</v>
      </c>
      <c r="Z26" s="302" t="str">
        <f ca="1">IF(Y26=行业比较!$E$6,ROW(),"")</f>
        <v/>
      </c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</row>
    <row r="27" spans="2:42">
      <c r="B27" s="287">
        <v>12</v>
      </c>
      <c r="C27" s="276" t="s">
        <v>398</v>
      </c>
      <c r="D27" s="260">
        <f t="shared" si="6"/>
        <v>12</v>
      </c>
      <c r="E27" s="122"/>
      <c r="F27" s="281"/>
      <c r="G27" s="122"/>
      <c r="H27" s="329" t="e">
        <f ca="1">IF(([1]!S_SHARE_TOTAL($H$3,I27)/[1]!S_SHARE_TOTAL($H$3,I28))/(YEAR(I27)/YEAR(I26))=1,NA(),IF($I$2="PE Band",[1]!S_STM07_IS($H$3,61,YEAR(I27)-1&amp;"-12-31",1)/[1]!S_SHARE_TOTAL($H$3,I27),[1]!S_STM07_BS($H$3,140,YEAR(I27)-1&amp;"-12-31",1)/[1]!S_SHARE_TOTAL($H$3,I27)))</f>
        <v>#N/A</v>
      </c>
      <c r="I27" s="275">
        <f ca="1">--[1]!td(I26-$N$2)</f>
        <v>45909</v>
      </c>
      <c r="J27" s="129">
        <f ca="1">IF([1]!S_DQ_CLOSE(公司分析!$D$4,I27,$M$2)=0,NA(),[1]!S_DQ_CLOSE(公司分析!$D$4,I27,$M$2))</f>
        <v>25.19</v>
      </c>
      <c r="K27" s="129" t="e">
        <f t="shared" ca="1" si="5"/>
        <v>#N/A</v>
      </c>
      <c r="L27" s="129" t="e">
        <f t="shared" ca="1" si="1"/>
        <v>#N/A</v>
      </c>
      <c r="M27" s="322" t="e">
        <f t="shared" ca="1" si="2"/>
        <v>#N/A</v>
      </c>
      <c r="N27" s="325">
        <f t="shared" ca="1" si="3"/>
        <v>0.64104234527687298</v>
      </c>
      <c r="O27" s="326">
        <f t="shared" ca="1" si="0"/>
        <v>0.13405880238095524</v>
      </c>
      <c r="P27" s="122" t="s">
        <v>399</v>
      </c>
      <c r="Q27" s="122" t="s">
        <v>34</v>
      </c>
      <c r="R27" s="281">
        <f ca="1">IF([1]!S_DQ_CLOSE($S$3,I27,$M$2)=0,NA(),[1]!S_DQ_CLOSE($S$3,I27,$M$2))</f>
        <v>4436.2583999999997</v>
      </c>
      <c r="S27" s="122"/>
      <c r="T27" s="122"/>
      <c r="U27" s="301"/>
      <c r="V27" s="260">
        <f t="shared" ca="1" si="4"/>
        <v>0</v>
      </c>
      <c r="W27" s="348" t="str">
        <f>IF(板块成分!B29="","",板块成分!B29)</f>
        <v>000032.SZ</v>
      </c>
      <c r="X27" s="276" t="str">
        <f>[1]!S_Info_Name(W27)</f>
        <v>深桑达A</v>
      </c>
      <c r="Y27" s="276" t="str">
        <f ca="1">IF($Y$3="申万一级行业",[1]!s_info_industry_sw_2021(W27,公司分析!D$5,1),IF($Y$3="申万二级行业",[1]!s_info_industry_sw_2021(W27,公司分析!D$5,2),IF($Y$3="申万三级行业",[1]!s_info_industry_sw_2021(W27,公司分析!D$5,3),IF($Y$3="wind一级行业",[1]!s_info_industry_gics(W27,1),IF($Y$3="wind二级行业",[1]!s_info_industry_gics(W27,2),IF($Y$3="wind三级行业",[1]!s_info_industry_gics(W27,3),IF($Y$3="wind四级行业",[1]!s_info_industry_gics(W27,4),IF($Y$3="证监会门类行业",[1]!s_info_industry_csrc12_n(W27,公司分析!D$5,1),""))))))))</f>
        <v>专业工程</v>
      </c>
      <c r="Z27" s="302" t="str">
        <f ca="1">IF(Y27=行业比较!$E$6,ROW(),"")</f>
        <v/>
      </c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</row>
    <row r="28" spans="2:42">
      <c r="B28" s="287">
        <v>13</v>
      </c>
      <c r="C28" s="276" t="s">
        <v>400</v>
      </c>
      <c r="D28" s="260">
        <f t="shared" si="6"/>
        <v>13</v>
      </c>
      <c r="E28" s="122"/>
      <c r="F28" s="281"/>
      <c r="G28" s="122"/>
      <c r="H28" s="329" t="e">
        <f ca="1">IF(([1]!S_SHARE_TOTAL($H$3,I28)/[1]!S_SHARE_TOTAL($H$3,I29))/(YEAR(I28)/YEAR(I27))=1,NA(),IF($I$2="PE Band",[1]!S_STM07_IS($H$3,61,YEAR(I28)-1&amp;"-12-31",1)/[1]!S_SHARE_TOTAL($H$3,I28),[1]!S_STM07_BS($H$3,140,YEAR(I28)-1&amp;"-12-31",1)/[1]!S_SHARE_TOTAL($H$3,I28)))</f>
        <v>#N/A</v>
      </c>
      <c r="I28" s="275">
        <f ca="1">--[1]!td(I27-$N$2)</f>
        <v>45902</v>
      </c>
      <c r="J28" s="129">
        <f ca="1">IF([1]!S_DQ_CLOSE(公司分析!$D$4,I28,$M$2)=0,NA(),[1]!S_DQ_CLOSE(公司分析!$D$4,I28,$M$2))</f>
        <v>24.41</v>
      </c>
      <c r="K28" s="129" t="e">
        <f t="shared" ca="1" si="5"/>
        <v>#N/A</v>
      </c>
      <c r="L28" s="129" t="e">
        <f t="shared" ca="1" si="1"/>
        <v>#N/A</v>
      </c>
      <c r="M28" s="322" t="e">
        <f t="shared" ca="1" si="2"/>
        <v>#N/A</v>
      </c>
      <c r="N28" s="325">
        <f t="shared" ca="1" si="3"/>
        <v>0.59022801302931605</v>
      </c>
      <c r="O28" s="326">
        <f t="shared" ca="1" si="0"/>
        <v>0.14791273757096901</v>
      </c>
      <c r="P28" s="122" t="s">
        <v>401</v>
      </c>
      <c r="Q28" s="122" t="s">
        <v>35</v>
      </c>
      <c r="R28" s="281">
        <f ca="1">IF([1]!S_DQ_CLOSE($S$3,I28,$M$2)=0,NA(),[1]!S_DQ_CLOSE($S$3,I28,$M$2))</f>
        <v>4490.4528</v>
      </c>
      <c r="S28" s="122"/>
      <c r="T28" s="122"/>
      <c r="U28" s="301"/>
      <c r="V28" s="260">
        <f t="shared" ca="1" si="4"/>
        <v>0</v>
      </c>
      <c r="W28" s="348" t="str">
        <f>IF(板块成分!B30="","",板块成分!B30)</f>
        <v>000034.SZ</v>
      </c>
      <c r="X28" s="276" t="str">
        <f>[1]!S_Info_Name(W28)</f>
        <v>神州数码</v>
      </c>
      <c r="Y28" s="276" t="str">
        <f ca="1">IF($Y$3="申万一级行业",[1]!s_info_industry_sw_2021(W28,公司分析!D$5,1),IF($Y$3="申万二级行业",[1]!s_info_industry_sw_2021(W28,公司分析!D$5,2),IF($Y$3="申万三级行业",[1]!s_info_industry_sw_2021(W28,公司分析!D$5,3),IF($Y$3="wind一级行业",[1]!s_info_industry_gics(W28,1),IF($Y$3="wind二级行业",[1]!s_info_industry_gics(W28,2),IF($Y$3="wind三级行业",[1]!s_info_industry_gics(W28,3),IF($Y$3="wind四级行业",[1]!s_info_industry_gics(W28,4),IF($Y$3="证监会门类行业",[1]!s_info_industry_csrc12_n(W28,公司分析!D$5,1),""))))))))</f>
        <v>IT服务Ⅱ</v>
      </c>
      <c r="Z28" s="302" t="str">
        <f ca="1">IF(Y28=行业比较!$E$6,ROW(),"")</f>
        <v/>
      </c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</row>
    <row r="29" spans="2:42">
      <c r="B29" s="287">
        <v>14</v>
      </c>
      <c r="C29" s="276" t="s">
        <v>402</v>
      </c>
      <c r="D29" s="260">
        <f t="shared" si="6"/>
        <v>14</v>
      </c>
      <c r="E29" s="122"/>
      <c r="F29" s="281"/>
      <c r="G29" s="122"/>
      <c r="H29" s="329" t="e">
        <f ca="1">IF(([1]!S_SHARE_TOTAL($H$3,I29)/[1]!S_SHARE_TOTAL($H$3,I30))/(YEAR(I29)/YEAR(I28))=1,NA(),IF($I$2="PE Band",[1]!S_STM07_IS($H$3,61,YEAR(I29)-1&amp;"-12-31",1)/[1]!S_SHARE_TOTAL($H$3,I29),[1]!S_STM07_BS($H$3,140,YEAR(I29)-1&amp;"-12-31",1)/[1]!S_SHARE_TOTAL($H$3,I29)))</f>
        <v>#N/A</v>
      </c>
      <c r="I29" s="275">
        <f ca="1">--[1]!td(I28-$N$2)</f>
        <v>45895</v>
      </c>
      <c r="J29" s="129">
        <f ca="1">IF([1]!S_DQ_CLOSE(公司分析!$D$4,I29,$M$2)=0,NA(),[1]!S_DQ_CLOSE(公司分析!$D$4,I29,$M$2))</f>
        <v>22.39</v>
      </c>
      <c r="K29" s="129" t="e">
        <f t="shared" ca="1" si="5"/>
        <v>#N/A</v>
      </c>
      <c r="L29" s="129" t="e">
        <f t="shared" ca="1" si="1"/>
        <v>#N/A</v>
      </c>
      <c r="M29" s="322" t="e">
        <f t="shared" ca="1" si="2"/>
        <v>#N/A</v>
      </c>
      <c r="N29" s="325">
        <f t="shared" ca="1" si="3"/>
        <v>0.45863192182410439</v>
      </c>
      <c r="O29" s="326">
        <f t="shared" ca="1" si="0"/>
        <v>0.13823384361984381</v>
      </c>
      <c r="P29" s="122" t="s">
        <v>403</v>
      </c>
      <c r="Q29" s="122" t="s">
        <v>36</v>
      </c>
      <c r="R29" s="281">
        <f ca="1">IF([1]!S_DQ_CLOSE($S$3,I29,$M$2)=0,NA(),[1]!S_DQ_CLOSE($S$3,I29,$M$2))</f>
        <v>4452.5905000000002</v>
      </c>
      <c r="S29" s="122"/>
      <c r="T29" s="122"/>
      <c r="U29" s="301"/>
      <c r="V29" s="260">
        <f t="shared" ca="1" si="4"/>
        <v>0</v>
      </c>
      <c r="W29" s="348" t="str">
        <f>IF(板块成分!B31="","",板块成分!B31)</f>
        <v>000035.SZ</v>
      </c>
      <c r="X29" s="276" t="str">
        <f>[1]!S_Info_Name(W29)</f>
        <v>中国天楹</v>
      </c>
      <c r="Y29" s="276" t="str">
        <f ca="1">IF($Y$3="申万一级行业",[1]!s_info_industry_sw_2021(W29,公司分析!D$5,1),IF($Y$3="申万二级行业",[1]!s_info_industry_sw_2021(W29,公司分析!D$5,2),IF($Y$3="申万三级行业",[1]!s_info_industry_sw_2021(W29,公司分析!D$5,3),IF($Y$3="wind一级行业",[1]!s_info_industry_gics(W29,1),IF($Y$3="wind二级行业",[1]!s_info_industry_gics(W29,2),IF($Y$3="wind三级行业",[1]!s_info_industry_gics(W29,3),IF($Y$3="wind四级行业",[1]!s_info_industry_gics(W29,4),IF($Y$3="证监会门类行业",[1]!s_info_industry_csrc12_n(W29,公司分析!D$5,1),""))))))))</f>
        <v>环境治理</v>
      </c>
      <c r="Z29" s="302" t="str">
        <f ca="1">IF(Y29=行业比较!$E$6,ROW(),"")</f>
        <v/>
      </c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</row>
    <row r="30" spans="2:42">
      <c r="B30" s="287">
        <v>15</v>
      </c>
      <c r="C30" s="276" t="s">
        <v>109</v>
      </c>
      <c r="D30" s="260">
        <f t="shared" si="6"/>
        <v>15</v>
      </c>
      <c r="E30" s="122"/>
      <c r="F30" s="281"/>
      <c r="G30" s="122"/>
      <c r="H30" s="329" t="e">
        <f ca="1">IF(([1]!S_SHARE_TOTAL($H$3,I30)/[1]!S_SHARE_TOTAL($H$3,I31))/(YEAR(I30)/YEAR(I29))=1,NA(),IF($I$2="PE Band",[1]!S_STM07_IS($H$3,61,YEAR(I30)-1&amp;"-12-31",1)/[1]!S_SHARE_TOTAL($H$3,I30),[1]!S_STM07_BS($H$3,140,YEAR(I30)-1&amp;"-12-31",1)/[1]!S_SHARE_TOTAL($H$3,I30)))</f>
        <v>#N/A</v>
      </c>
      <c r="I30" s="275">
        <f ca="1">--[1]!td(I29-$N$2)</f>
        <v>45888</v>
      </c>
      <c r="J30" s="129">
        <f ca="1">IF([1]!S_DQ_CLOSE(公司分析!$D$4,I30,$M$2)=0,NA(),[1]!S_DQ_CLOSE(公司分析!$D$4,I30,$M$2))</f>
        <v>20.329999999999998</v>
      </c>
      <c r="K30" s="129" t="e">
        <f t="shared" ca="1" si="5"/>
        <v>#N/A</v>
      </c>
      <c r="L30" s="129" t="e">
        <f t="shared" ca="1" si="1"/>
        <v>#N/A</v>
      </c>
      <c r="M30" s="322" t="e">
        <f t="shared" ca="1" si="2"/>
        <v>#N/A</v>
      </c>
      <c r="N30" s="325">
        <f t="shared" ca="1" si="3"/>
        <v>0.32442996742670993</v>
      </c>
      <c r="O30" s="326">
        <f t="shared" ca="1" si="0"/>
        <v>7.9638321756177355E-2</v>
      </c>
      <c r="P30" s="122" t="s">
        <v>404</v>
      </c>
      <c r="Q30" s="122" t="s">
        <v>37</v>
      </c>
      <c r="R30" s="281">
        <f ca="1">IF([1]!S_DQ_CLOSE($S$3,I30,$M$2)=0,NA(),[1]!S_DQ_CLOSE($S$3,I30,$M$2))</f>
        <v>4223.3741</v>
      </c>
      <c r="S30" s="122"/>
      <c r="T30" s="122"/>
      <c r="U30" s="301"/>
      <c r="V30" s="260">
        <f t="shared" ca="1" si="4"/>
        <v>0</v>
      </c>
      <c r="W30" s="348" t="str">
        <f>IF(板块成分!B32="","",板块成分!B32)</f>
        <v>000036.SZ</v>
      </c>
      <c r="X30" s="276" t="str">
        <f>[1]!S_Info_Name(W30)</f>
        <v>华联控股</v>
      </c>
      <c r="Y30" s="276" t="str">
        <f ca="1">IF($Y$3="申万一级行业",[1]!s_info_industry_sw_2021(W30,公司分析!D$5,1),IF($Y$3="申万二级行业",[1]!s_info_industry_sw_2021(W30,公司分析!D$5,2),IF($Y$3="申万三级行业",[1]!s_info_industry_sw_2021(W30,公司分析!D$5,3),IF($Y$3="wind一级行业",[1]!s_info_industry_gics(W30,1),IF($Y$3="wind二级行业",[1]!s_info_industry_gics(W30,2),IF($Y$3="wind三级行业",[1]!s_info_industry_gics(W30,3),IF($Y$3="wind四级行业",[1]!s_info_industry_gics(W30,4),IF($Y$3="证监会门类行业",[1]!s_info_industry_csrc12_n(W30,公司分析!D$5,1),""))))))))</f>
        <v>房地产开发</v>
      </c>
      <c r="Z30" s="302" t="str">
        <f ca="1">IF(Y30=行业比较!$E$6,ROW(),"")</f>
        <v/>
      </c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</row>
    <row r="31" spans="2:42">
      <c r="B31" s="287">
        <v>16</v>
      </c>
      <c r="C31" s="276" t="s">
        <v>405</v>
      </c>
      <c r="D31" s="260">
        <f t="shared" si="6"/>
        <v>16</v>
      </c>
      <c r="E31" s="122"/>
      <c r="F31" s="281"/>
      <c r="G31" s="122"/>
      <c r="H31" s="329" t="e">
        <f ca="1">IF(([1]!S_SHARE_TOTAL($H$3,I31)/[1]!S_SHARE_TOTAL($H$3,I32))/(YEAR(I31)/YEAR(I30))=1,NA(),IF($I$2="PE Band",[1]!S_STM07_IS($H$3,61,YEAR(I31)-1&amp;"-12-31",1)/[1]!S_SHARE_TOTAL($H$3,I31),[1]!S_STM07_BS($H$3,140,YEAR(I31)-1&amp;"-12-31",1)/[1]!S_SHARE_TOTAL($H$3,I31)))</f>
        <v>#N/A</v>
      </c>
      <c r="I31" s="275">
        <f ca="1">--[1]!td(I30-$N$2)</f>
        <v>45881</v>
      </c>
      <c r="J31" s="129">
        <f ca="1">IF([1]!S_DQ_CLOSE(公司分析!$D$4,I31,$M$2)=0,NA(),[1]!S_DQ_CLOSE(公司分析!$D$4,I31,$M$2))</f>
        <v>20.3</v>
      </c>
      <c r="K31" s="129" t="e">
        <f t="shared" ca="1" si="5"/>
        <v>#N/A</v>
      </c>
      <c r="L31" s="129" t="e">
        <f t="shared" ca="1" si="1"/>
        <v>#N/A</v>
      </c>
      <c r="M31" s="322" t="e">
        <f t="shared" ca="1" si="2"/>
        <v>#N/A</v>
      </c>
      <c r="N31" s="325">
        <f t="shared" ca="1" si="3"/>
        <v>0.32247557003257343</v>
      </c>
      <c r="O31" s="326">
        <f t="shared" ca="1" si="0"/>
        <v>5.9302912469666458E-2</v>
      </c>
      <c r="P31" s="122" t="s">
        <v>406</v>
      </c>
      <c r="Q31" s="122" t="s">
        <v>38</v>
      </c>
      <c r="R31" s="281">
        <f ca="1">IF([1]!S_DQ_CLOSE($S$3,I31,$M$2)=0,NA(),[1]!S_DQ_CLOSE($S$3,I31,$M$2))</f>
        <v>4143.8252000000002</v>
      </c>
      <c r="S31" s="122"/>
      <c r="T31" s="122"/>
      <c r="U31" s="301"/>
      <c r="V31" s="260">
        <f t="shared" ca="1" si="4"/>
        <v>0</v>
      </c>
      <c r="W31" s="348" t="str">
        <f>IF(板块成分!B33="","",板块成分!B33)</f>
        <v>000037.SZ</v>
      </c>
      <c r="X31" s="276" t="str">
        <f>[1]!S_Info_Name(W31)</f>
        <v>深南电A</v>
      </c>
      <c r="Y31" s="276" t="str">
        <f ca="1">IF($Y$3="申万一级行业",[1]!s_info_industry_sw_2021(W31,公司分析!D$5,1),IF($Y$3="申万二级行业",[1]!s_info_industry_sw_2021(W31,公司分析!D$5,2),IF($Y$3="申万三级行业",[1]!s_info_industry_sw_2021(W31,公司分析!D$5,3),IF($Y$3="wind一级行业",[1]!s_info_industry_gics(W31,1),IF($Y$3="wind二级行业",[1]!s_info_industry_gics(W31,2),IF($Y$3="wind三级行业",[1]!s_info_industry_gics(W31,3),IF($Y$3="wind四级行业",[1]!s_info_industry_gics(W31,4),IF($Y$3="证监会门类行业",[1]!s_info_industry_csrc12_n(W31,公司分析!D$5,1),""))))))))</f>
        <v>电力</v>
      </c>
      <c r="Z31" s="302" t="str">
        <f ca="1">IF(Y31=行业比较!$E$6,ROW(),"")</f>
        <v/>
      </c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</row>
    <row r="32" spans="2:42">
      <c r="B32" s="287">
        <v>17</v>
      </c>
      <c r="C32" s="276" t="s">
        <v>110</v>
      </c>
      <c r="D32" s="260">
        <f t="shared" si="6"/>
        <v>17</v>
      </c>
      <c r="E32" s="122"/>
      <c r="F32" s="281"/>
      <c r="G32" s="122"/>
      <c r="H32" s="329" t="e">
        <f ca="1">IF(([1]!S_SHARE_TOTAL($H$3,I32)/[1]!S_SHARE_TOTAL($H$3,I33))/(YEAR(I32)/YEAR(I31))=1,NA(),IF($I$2="PE Band",[1]!S_STM07_IS($H$3,61,YEAR(I32)-1&amp;"-12-31",1)/[1]!S_SHARE_TOTAL($H$3,I32),[1]!S_STM07_BS($H$3,140,YEAR(I32)-1&amp;"-12-31",1)/[1]!S_SHARE_TOTAL($H$3,I32)))</f>
        <v>#N/A</v>
      </c>
      <c r="I32" s="275">
        <f ca="1">--[1]!td(I31-$N$2)</f>
        <v>45874</v>
      </c>
      <c r="J32" s="129">
        <f ca="1">IF([1]!S_DQ_CLOSE(公司分析!$D$4,I32,$M$2)=0,NA(),[1]!S_DQ_CLOSE(公司分析!$D$4,I32,$M$2))</f>
        <v>19.87</v>
      </c>
      <c r="K32" s="129" t="e">
        <f t="shared" ca="1" si="5"/>
        <v>#N/A</v>
      </c>
      <c r="L32" s="129" t="e">
        <f t="shared" ca="1" si="1"/>
        <v>#N/A</v>
      </c>
      <c r="M32" s="322" t="e">
        <f t="shared" ca="1" si="2"/>
        <v>#N/A</v>
      </c>
      <c r="N32" s="325">
        <f t="shared" ca="1" si="3"/>
        <v>0.29446254071661238</v>
      </c>
      <c r="O32" s="326">
        <f t="shared" ca="1" si="0"/>
        <v>4.8981635657231015E-2</v>
      </c>
      <c r="P32" s="122" t="s">
        <v>407</v>
      </c>
      <c r="Q32" s="122" t="s">
        <v>39</v>
      </c>
      <c r="R32" s="281">
        <f ca="1">IF([1]!S_DQ_CLOSE($S$3,I32,$M$2)=0,NA(),[1]!S_DQ_CLOSE($S$3,I32,$M$2))</f>
        <v>4103.45</v>
      </c>
      <c r="S32" s="122"/>
      <c r="T32" s="122"/>
      <c r="U32" s="301"/>
      <c r="V32" s="260">
        <f t="shared" ca="1" si="4"/>
        <v>0</v>
      </c>
      <c r="W32" s="348" t="str">
        <f>IF(板块成分!B34="","",板块成分!B34)</f>
        <v>000039.SZ</v>
      </c>
      <c r="X32" s="276" t="str">
        <f>[1]!S_Info_Name(W32)</f>
        <v>中集集团</v>
      </c>
      <c r="Y32" s="276" t="str">
        <f ca="1">IF($Y$3="申万一级行业",[1]!s_info_industry_sw_2021(W32,公司分析!D$5,1),IF($Y$3="申万二级行业",[1]!s_info_industry_sw_2021(W32,公司分析!D$5,2),IF($Y$3="申万三级行业",[1]!s_info_industry_sw_2021(W32,公司分析!D$5,3),IF($Y$3="wind一级行业",[1]!s_info_industry_gics(W32,1),IF($Y$3="wind二级行业",[1]!s_info_industry_gics(W32,2),IF($Y$3="wind三级行业",[1]!s_info_industry_gics(W32,3),IF($Y$3="wind四级行业",[1]!s_info_industry_gics(W32,4),IF($Y$3="证监会门类行业",[1]!s_info_industry_csrc12_n(W32,公司分析!D$5,1),""))))))))</f>
        <v>通用设备</v>
      </c>
      <c r="Z32" s="302" t="str">
        <f ca="1">IF(Y32=行业比较!$E$6,ROW(),"")</f>
        <v/>
      </c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</row>
    <row r="33" spans="2:42">
      <c r="B33" s="287">
        <v>18</v>
      </c>
      <c r="C33" s="276" t="s">
        <v>408</v>
      </c>
      <c r="D33" s="260">
        <f t="shared" si="6"/>
        <v>18</v>
      </c>
      <c r="E33" s="122"/>
      <c r="F33" s="281"/>
      <c r="G33" s="122"/>
      <c r="H33" s="329" t="e">
        <f ca="1">IF(([1]!S_SHARE_TOTAL($H$3,I33)/[1]!S_SHARE_TOTAL($H$3,I34))/(YEAR(I33)/YEAR(I32))=1,NA(),IF($I$2="PE Band",[1]!S_STM07_IS($H$3,61,YEAR(I33)-1&amp;"-12-31",1)/[1]!S_SHARE_TOTAL($H$3,I33),[1]!S_STM07_BS($H$3,140,YEAR(I33)-1&amp;"-12-31",1)/[1]!S_SHARE_TOTAL($H$3,I33)))</f>
        <v>#N/A</v>
      </c>
      <c r="I33" s="275">
        <f ca="1">--[1]!td(I32-$N$2)</f>
        <v>45867</v>
      </c>
      <c r="J33" s="129">
        <f ca="1">IF([1]!S_DQ_CLOSE(公司分析!$D$4,I33,$M$2)=0,NA(),[1]!S_DQ_CLOSE(公司分析!$D$4,I33,$M$2))</f>
        <v>19.59</v>
      </c>
      <c r="K33" s="129" t="e">
        <f t="shared" ca="1" si="5"/>
        <v>#N/A</v>
      </c>
      <c r="L33" s="129" t="e">
        <f t="shared" ca="1" si="1"/>
        <v>#N/A</v>
      </c>
      <c r="M33" s="322" t="e">
        <f t="shared" ca="1" si="2"/>
        <v>#N/A</v>
      </c>
      <c r="N33" s="325">
        <f t="shared" ca="1" si="3"/>
        <v>0.27622149837133558</v>
      </c>
      <c r="O33" s="326">
        <f t="shared" ca="1" si="0"/>
        <v>6.1398984048842697E-2</v>
      </c>
      <c r="P33" s="122" t="s">
        <v>409</v>
      </c>
      <c r="Q33" s="122" t="s">
        <v>40</v>
      </c>
      <c r="R33" s="281">
        <f ca="1">IF([1]!S_DQ_CLOSE($S$3,I33,$M$2)=0,NA(),[1]!S_DQ_CLOSE($S$3,I33,$M$2))</f>
        <v>4152.0246999999999</v>
      </c>
      <c r="S33" s="122"/>
      <c r="T33" s="122"/>
      <c r="U33" s="301"/>
      <c r="V33" s="260">
        <f t="shared" ca="1" si="4"/>
        <v>0</v>
      </c>
      <c r="W33" s="348" t="str">
        <f>IF(板块成分!B35="","",板块成分!B35)</f>
        <v>000042.SZ</v>
      </c>
      <c r="X33" s="276" t="str">
        <f>[1]!S_Info_Name(W33)</f>
        <v>中洲控股</v>
      </c>
      <c r="Y33" s="276" t="str">
        <f ca="1">IF($Y$3="申万一级行业",[1]!s_info_industry_sw_2021(W33,公司分析!D$5,1),IF($Y$3="申万二级行业",[1]!s_info_industry_sw_2021(W33,公司分析!D$5,2),IF($Y$3="申万三级行业",[1]!s_info_industry_sw_2021(W33,公司分析!D$5,3),IF($Y$3="wind一级行业",[1]!s_info_industry_gics(W33,1),IF($Y$3="wind二级行业",[1]!s_info_industry_gics(W33,2),IF($Y$3="wind三级行业",[1]!s_info_industry_gics(W33,3),IF($Y$3="wind四级行业",[1]!s_info_industry_gics(W33,4),IF($Y$3="证监会门类行业",[1]!s_info_industry_csrc12_n(W33,公司分析!D$5,1),""))))))))</f>
        <v>房地产开发</v>
      </c>
      <c r="Z33" s="302" t="str">
        <f ca="1">IF(Y33=行业比较!$E$6,ROW(),"")</f>
        <v/>
      </c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</row>
    <row r="34" spans="2:42">
      <c r="B34" s="287">
        <v>19</v>
      </c>
      <c r="C34" s="276" t="s">
        <v>410</v>
      </c>
      <c r="D34" s="260">
        <f t="shared" si="6"/>
        <v>19</v>
      </c>
      <c r="E34" s="122"/>
      <c r="F34" s="281"/>
      <c r="G34" s="122"/>
      <c r="H34" s="329" t="e">
        <f ca="1">IF(([1]!S_SHARE_TOTAL($H$3,I34)/[1]!S_SHARE_TOTAL($H$3,I35))/(YEAR(I34)/YEAR(I33))=1,NA(),IF($I$2="PE Band",[1]!S_STM07_IS($H$3,61,YEAR(I34)-1&amp;"-12-31",1)/[1]!S_SHARE_TOTAL($H$3,I34),[1]!S_STM07_BS($H$3,140,YEAR(I34)-1&amp;"-12-31",1)/[1]!S_SHARE_TOTAL($H$3,I34)))</f>
        <v>#N/A</v>
      </c>
      <c r="I34" s="275">
        <f ca="1">--[1]!td(I33-$N$2)</f>
        <v>45860</v>
      </c>
      <c r="J34" s="129">
        <f ca="1">IF([1]!S_DQ_CLOSE(公司分析!$D$4,I34,$M$2)=0,NA(),[1]!S_DQ_CLOSE(公司分析!$D$4,I34,$M$2))</f>
        <v>20.25</v>
      </c>
      <c r="K34" s="129" t="e">
        <f t="shared" ca="1" si="5"/>
        <v>#N/A</v>
      </c>
      <c r="L34" s="129" t="e">
        <f t="shared" ca="1" si="1"/>
        <v>#N/A</v>
      </c>
      <c r="M34" s="322" t="e">
        <f t="shared" ca="1" si="2"/>
        <v>#N/A</v>
      </c>
      <c r="N34" s="325">
        <f t="shared" ca="1" si="3"/>
        <v>0.3192182410423452</v>
      </c>
      <c r="O34" s="326">
        <f t="shared" ca="1" si="0"/>
        <v>5.2946059983614902E-2</v>
      </c>
      <c r="P34" s="122" t="s">
        <v>411</v>
      </c>
      <c r="Q34" s="122" t="s">
        <v>41</v>
      </c>
      <c r="R34" s="281">
        <f ca="1">IF([1]!S_DQ_CLOSE($S$3,I34,$M$2)=0,NA(),[1]!S_DQ_CLOSE($S$3,I34,$M$2))</f>
        <v>4118.9582</v>
      </c>
      <c r="S34" s="122"/>
      <c r="T34" s="122"/>
      <c r="U34" s="301"/>
      <c r="V34" s="260">
        <f t="shared" ca="1" si="4"/>
        <v>0</v>
      </c>
      <c r="W34" s="348" t="str">
        <f>IF(板块成分!B36="","",板块成分!B36)</f>
        <v>000045.SZ</v>
      </c>
      <c r="X34" s="276" t="str">
        <f>[1]!S_Info_Name(W34)</f>
        <v>深纺织A</v>
      </c>
      <c r="Y34" s="276" t="str">
        <f ca="1">IF($Y$3="申万一级行业",[1]!s_info_industry_sw_2021(W34,公司分析!D$5,1),IF($Y$3="申万二级行业",[1]!s_info_industry_sw_2021(W34,公司分析!D$5,2),IF($Y$3="申万三级行业",[1]!s_info_industry_sw_2021(W34,公司分析!D$5,3),IF($Y$3="wind一级行业",[1]!s_info_industry_gics(W34,1),IF($Y$3="wind二级行业",[1]!s_info_industry_gics(W34,2),IF($Y$3="wind三级行业",[1]!s_info_industry_gics(W34,3),IF($Y$3="wind四级行业",[1]!s_info_industry_gics(W34,4),IF($Y$3="证监会门类行业",[1]!s_info_industry_csrc12_n(W34,公司分析!D$5,1),""))))))))</f>
        <v>光学光电子</v>
      </c>
      <c r="Z34" s="302" t="str">
        <f ca="1">IF(Y34=行业比较!$E$6,ROW(),"")</f>
        <v/>
      </c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</row>
    <row r="35" spans="2:42">
      <c r="B35" s="287">
        <v>21</v>
      </c>
      <c r="C35" s="276" t="s">
        <v>111</v>
      </c>
      <c r="D35" s="260">
        <f t="shared" si="6"/>
        <v>21</v>
      </c>
      <c r="E35" s="122"/>
      <c r="F35" s="281"/>
      <c r="G35" s="122"/>
      <c r="H35" s="329" t="e">
        <f ca="1">IF(([1]!S_SHARE_TOTAL($H$3,I35)/[1]!S_SHARE_TOTAL($H$3,I36))/(YEAR(I35)/YEAR(I34))=1,NA(),IF($I$2="PE Band",[1]!S_STM07_IS($H$3,61,YEAR(I35)-1&amp;"-12-31",1)/[1]!S_SHARE_TOTAL($H$3,I35),[1]!S_STM07_BS($H$3,140,YEAR(I35)-1&amp;"-12-31",1)/[1]!S_SHARE_TOTAL($H$3,I35)))</f>
        <v>#N/A</v>
      </c>
      <c r="I35" s="275">
        <f ca="1">--[1]!td(I34-$N$2)</f>
        <v>45853</v>
      </c>
      <c r="J35" s="129">
        <f ca="1">IF([1]!S_DQ_CLOSE(公司分析!$D$4,I35,$M$2)=0,NA(),[1]!S_DQ_CLOSE(公司分析!$D$4,I35,$M$2))</f>
        <v>19.12</v>
      </c>
      <c r="K35" s="129" t="e">
        <f t="shared" ca="1" si="5"/>
        <v>#N/A</v>
      </c>
      <c r="L35" s="129" t="e">
        <f t="shared" ca="1" si="1"/>
        <v>#N/A</v>
      </c>
      <c r="M35" s="322" t="e">
        <f t="shared" ca="1" si="2"/>
        <v>#N/A</v>
      </c>
      <c r="N35" s="325">
        <f t="shared" ca="1" si="3"/>
        <v>0.24560260586319238</v>
      </c>
      <c r="O35" s="326">
        <f t="shared" ca="1" si="0"/>
        <v>2.7409801051249127E-2</v>
      </c>
      <c r="P35" s="122" t="s">
        <v>412</v>
      </c>
      <c r="Q35" s="122" t="s">
        <v>42</v>
      </c>
      <c r="R35" s="281">
        <f ca="1">IF([1]!S_DQ_CLOSE($S$3,I35,$M$2)=0,NA(),[1]!S_DQ_CLOSE($S$3,I35,$M$2))</f>
        <v>4019.0644000000002</v>
      </c>
      <c r="S35" s="122"/>
      <c r="T35" s="122"/>
      <c r="U35" s="301"/>
      <c r="V35" s="260">
        <f t="shared" ca="1" si="4"/>
        <v>0</v>
      </c>
      <c r="W35" s="348" t="str">
        <f>IF(板块成分!B37="","",板块成分!B37)</f>
        <v>000048.SZ</v>
      </c>
      <c r="X35" s="276" t="str">
        <f>[1]!S_Info_Name(W35)</f>
        <v>京基智农</v>
      </c>
      <c r="Y35" s="276" t="str">
        <f ca="1">IF($Y$3="申万一级行业",[1]!s_info_industry_sw_2021(W35,公司分析!D$5,1),IF($Y$3="申万二级行业",[1]!s_info_industry_sw_2021(W35,公司分析!D$5,2),IF($Y$3="申万三级行业",[1]!s_info_industry_sw_2021(W35,公司分析!D$5,3),IF($Y$3="wind一级行业",[1]!s_info_industry_gics(W35,1),IF($Y$3="wind二级行业",[1]!s_info_industry_gics(W35,2),IF($Y$3="wind三级行业",[1]!s_info_industry_gics(W35,3),IF($Y$3="wind四级行业",[1]!s_info_industry_gics(W35,4),IF($Y$3="证监会门类行业",[1]!s_info_industry_csrc12_n(W35,公司分析!D$5,1),""))))))))</f>
        <v>养殖业</v>
      </c>
      <c r="Z35" s="302" t="str">
        <f ca="1">IF(Y35=行业比较!$E$6,ROW(),"")</f>
        <v/>
      </c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</row>
    <row r="36" spans="2:42">
      <c r="B36" s="287">
        <v>22</v>
      </c>
      <c r="C36" s="276" t="s">
        <v>413</v>
      </c>
      <c r="D36" s="260">
        <f t="shared" si="6"/>
        <v>22</v>
      </c>
      <c r="E36" s="122"/>
      <c r="F36" s="281"/>
      <c r="G36" s="122"/>
      <c r="H36" s="329" t="e">
        <f ca="1">IF(([1]!S_SHARE_TOTAL($H$3,I36)/[1]!S_SHARE_TOTAL($H$3,I37))/(YEAR(I36)/YEAR(I35))=1,NA(),IF($I$2="PE Band",[1]!S_STM07_IS($H$3,61,YEAR(I36)-1&amp;"-12-31",1)/[1]!S_SHARE_TOTAL($H$3,I36),[1]!S_STM07_BS($H$3,140,YEAR(I36)-1&amp;"-12-31",1)/[1]!S_SHARE_TOTAL($H$3,I36)))</f>
        <v>#N/A</v>
      </c>
      <c r="I36" s="275">
        <f ca="1">--[1]!td(I35-$N$2)</f>
        <v>45846</v>
      </c>
      <c r="J36" s="129">
        <f ca="1">IF([1]!S_DQ_CLOSE(公司分析!$D$4,I36,$M$2)=0,NA(),[1]!S_DQ_CLOSE(公司分析!$D$4,I36,$M$2))</f>
        <v>19.82</v>
      </c>
      <c r="K36" s="129" t="e">
        <f t="shared" ca="1" si="5"/>
        <v>#N/A</v>
      </c>
      <c r="L36" s="129" t="e">
        <f t="shared" ca="1" si="1"/>
        <v>#N/A</v>
      </c>
      <c r="M36" s="322" t="e">
        <f t="shared" ca="1" si="2"/>
        <v>#N/A</v>
      </c>
      <c r="N36" s="325">
        <f t="shared" ca="1" si="3"/>
        <v>0.29120521172638436</v>
      </c>
      <c r="O36" s="326">
        <f t="shared" ref="O36:O63" ca="1" si="7">R36/$R$64-1</f>
        <v>2.2140748234795504E-2</v>
      </c>
      <c r="P36" s="122" t="s">
        <v>414</v>
      </c>
      <c r="Q36" s="122" t="s">
        <v>43</v>
      </c>
      <c r="R36" s="281">
        <f ca="1">IF([1]!S_DQ_CLOSE($S$3,I36,$M$2)=0,NA(),[1]!S_DQ_CLOSE($S$3,I36,$M$2))</f>
        <v>3998.4526999999998</v>
      </c>
      <c r="S36" s="122"/>
      <c r="T36" s="122"/>
      <c r="U36" s="301"/>
      <c r="V36" s="260">
        <f t="shared" ca="1" si="4"/>
        <v>0</v>
      </c>
      <c r="W36" s="348" t="str">
        <f>IF(板块成分!B38="","",板块成分!B38)</f>
        <v>000049.SZ</v>
      </c>
      <c r="X36" s="276" t="str">
        <f>[1]!S_Info_Name(W36)</f>
        <v>德赛电池</v>
      </c>
      <c r="Y36" s="276" t="str">
        <f ca="1">IF($Y$3="申万一级行业",[1]!s_info_industry_sw_2021(W36,公司分析!D$5,1),IF($Y$3="申万二级行业",[1]!s_info_industry_sw_2021(W36,公司分析!D$5,2),IF($Y$3="申万三级行业",[1]!s_info_industry_sw_2021(W36,公司分析!D$5,3),IF($Y$3="wind一级行业",[1]!s_info_industry_gics(W36,1),IF($Y$3="wind二级行业",[1]!s_info_industry_gics(W36,2),IF($Y$3="wind三级行业",[1]!s_info_industry_gics(W36,3),IF($Y$3="wind四级行业",[1]!s_info_industry_gics(W36,4),IF($Y$3="证监会门类行业",[1]!s_info_industry_csrc12_n(W36,公司分析!D$5,1),""))))))))</f>
        <v>电池</v>
      </c>
      <c r="Z36" s="302" t="str">
        <f ca="1">IF(Y36=行业比较!$E$6,ROW(),"")</f>
        <v/>
      </c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</row>
    <row r="37" spans="2:42">
      <c r="B37" s="287">
        <v>24</v>
      </c>
      <c r="C37" s="276" t="s">
        <v>415</v>
      </c>
      <c r="D37" s="260">
        <f t="shared" si="6"/>
        <v>24</v>
      </c>
      <c r="E37" s="122"/>
      <c r="F37" s="281"/>
      <c r="G37" s="122"/>
      <c r="H37" s="329" t="e">
        <f ca="1">IF(([1]!S_SHARE_TOTAL($H$3,I37)/[1]!S_SHARE_TOTAL($H$3,I38))/(YEAR(I37)/YEAR(I36))=1,NA(),IF($I$2="PE Band",[1]!S_STM07_IS($H$3,61,YEAR(I37)-1&amp;"-12-31",1)/[1]!S_SHARE_TOTAL($H$3,I37),[1]!S_STM07_BS($H$3,140,YEAR(I37)-1&amp;"-12-31",1)/[1]!S_SHARE_TOTAL($H$3,I37)))</f>
        <v>#N/A</v>
      </c>
      <c r="I37" s="275">
        <f ca="1">--[1]!td(I36-$N$2)</f>
        <v>45839</v>
      </c>
      <c r="J37" s="129">
        <f ca="1">IF([1]!S_DQ_CLOSE(公司分析!$D$4,I37,$M$2)=0,NA(),[1]!S_DQ_CLOSE(公司分析!$D$4,I37,$M$2))</f>
        <v>19.899999999999999</v>
      </c>
      <c r="K37" s="129" t="e">
        <f t="shared" ca="1" si="5"/>
        <v>#N/A</v>
      </c>
      <c r="L37" s="129" t="e">
        <f t="shared" ca="1" si="1"/>
        <v>#N/A</v>
      </c>
      <c r="M37" s="322" t="e">
        <f t="shared" ca="1" si="2"/>
        <v>#N/A</v>
      </c>
      <c r="N37" s="325">
        <f t="shared" ca="1" si="3"/>
        <v>0.2964169381107491</v>
      </c>
      <c r="O37" s="326">
        <f t="shared" ca="1" si="7"/>
        <v>7.9043077817875229E-3</v>
      </c>
      <c r="P37" s="122" t="s">
        <v>416</v>
      </c>
      <c r="Q37" s="122" t="s">
        <v>44</v>
      </c>
      <c r="R37" s="281">
        <f ca="1">IF([1]!S_DQ_CLOSE($S$3,I37,$M$2)=0,NA(),[1]!S_DQ_CLOSE($S$3,I37,$M$2))</f>
        <v>3942.7620000000002</v>
      </c>
      <c r="S37" s="122"/>
      <c r="T37" s="122"/>
      <c r="U37" s="301"/>
      <c r="V37" s="260">
        <f t="shared" ca="1" si="4"/>
        <v>0</v>
      </c>
      <c r="W37" s="348" t="str">
        <f>IF(板块成分!B39="","",板块成分!B39)</f>
        <v>000050.SZ</v>
      </c>
      <c r="X37" s="276" t="str">
        <f>[1]!S_Info_Name(W37)</f>
        <v>深天马A</v>
      </c>
      <c r="Y37" s="276" t="str">
        <f ca="1">IF($Y$3="申万一级行业",[1]!s_info_industry_sw_2021(W37,公司分析!D$5,1),IF($Y$3="申万二级行业",[1]!s_info_industry_sw_2021(W37,公司分析!D$5,2),IF($Y$3="申万三级行业",[1]!s_info_industry_sw_2021(W37,公司分析!D$5,3),IF($Y$3="wind一级行业",[1]!s_info_industry_gics(W37,1),IF($Y$3="wind二级行业",[1]!s_info_industry_gics(W37,2),IF($Y$3="wind三级行业",[1]!s_info_industry_gics(W37,3),IF($Y$3="wind四级行业",[1]!s_info_industry_gics(W37,4),IF($Y$3="证监会门类行业",[1]!s_info_industry_csrc12_n(W37,公司分析!D$5,1),""))))))))</f>
        <v>光学光电子</v>
      </c>
      <c r="Z37" s="302" t="str">
        <f ca="1">IF(Y37=行业比较!$E$6,ROW(),"")</f>
        <v/>
      </c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</row>
    <row r="38" spans="2:42">
      <c r="B38" s="287">
        <v>25</v>
      </c>
      <c r="C38" s="276" t="s">
        <v>417</v>
      </c>
      <c r="D38" s="260">
        <f t="shared" si="6"/>
        <v>25</v>
      </c>
      <c r="E38" s="122"/>
      <c r="F38" s="281"/>
      <c r="G38" s="122"/>
      <c r="H38" s="329" t="e">
        <f ca="1">IF(([1]!S_SHARE_TOTAL($H$3,I38)/[1]!S_SHARE_TOTAL($H$3,I39))/(YEAR(I38)/YEAR(I37))=1,NA(),IF($I$2="PE Band",[1]!S_STM07_IS($H$3,61,YEAR(I38)-1&amp;"-12-31",1)/[1]!S_SHARE_TOTAL($H$3,I38),[1]!S_STM07_BS($H$3,140,YEAR(I38)-1&amp;"-12-31",1)/[1]!S_SHARE_TOTAL($H$3,I38)))</f>
        <v>#N/A</v>
      </c>
      <c r="I38" s="275">
        <f ca="1">--[1]!td(I37-$N$2)</f>
        <v>45832</v>
      </c>
      <c r="J38" s="129">
        <f ca="1">IF([1]!S_DQ_CLOSE(公司分析!$D$4,I38,$M$2)=0,NA(),[1]!S_DQ_CLOSE(公司分析!$D$4,I38,$M$2))</f>
        <v>18.54</v>
      </c>
      <c r="K38" s="129" t="e">
        <f t="shared" ca="1" si="5"/>
        <v>#N/A</v>
      </c>
      <c r="L38" s="129" t="e">
        <f t="shared" ca="1" si="1"/>
        <v>#N/A</v>
      </c>
      <c r="M38" s="322" t="e">
        <f t="shared" ca="1" si="2"/>
        <v>#N/A</v>
      </c>
      <c r="N38" s="325">
        <f t="shared" ca="1" si="3"/>
        <v>0.20781758957654728</v>
      </c>
      <c r="O38" s="326">
        <f t="shared" ca="1" si="7"/>
        <v>-1.9958374592673467E-3</v>
      </c>
      <c r="P38" s="122" t="s">
        <v>418</v>
      </c>
      <c r="Q38" s="122" t="s">
        <v>45</v>
      </c>
      <c r="R38" s="281">
        <f ca="1">IF([1]!S_DQ_CLOSE($S$3,I38,$M$2)=0,NA(),[1]!S_DQ_CLOSE($S$3,I38,$M$2))</f>
        <v>3904.0342000000001</v>
      </c>
      <c r="S38" s="122"/>
      <c r="T38" s="122"/>
      <c r="U38" s="301"/>
      <c r="V38" s="260">
        <f t="shared" ca="1" si="4"/>
        <v>0</v>
      </c>
      <c r="W38" s="348" t="str">
        <f>IF(板块成分!B40="","",板块成分!B40)</f>
        <v>000055.SZ</v>
      </c>
      <c r="X38" s="276" t="str">
        <f>[1]!S_Info_Name(W38)</f>
        <v>方大集团</v>
      </c>
      <c r="Y38" s="276" t="str">
        <f ca="1">IF($Y$3="申万一级行业",[1]!s_info_industry_sw_2021(W38,公司分析!D$5,1),IF($Y$3="申万二级行业",[1]!s_info_industry_sw_2021(W38,公司分析!D$5,2),IF($Y$3="申万三级行业",[1]!s_info_industry_sw_2021(W38,公司分析!D$5,3),IF($Y$3="wind一级行业",[1]!s_info_industry_gics(W38,1),IF($Y$3="wind二级行业",[1]!s_info_industry_gics(W38,2),IF($Y$3="wind三级行业",[1]!s_info_industry_gics(W38,3),IF($Y$3="wind四级行业",[1]!s_info_industry_gics(W38,4),IF($Y$3="证监会门类行业",[1]!s_info_industry_csrc12_n(W38,公司分析!D$5,1),""))))))))</f>
        <v>装修建材</v>
      </c>
      <c r="Z38" s="302" t="str">
        <f ca="1">IF(Y38=行业比较!$E$6,ROW(),"")</f>
        <v/>
      </c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</row>
    <row r="39" spans="2:42">
      <c r="B39" s="287">
        <v>26</v>
      </c>
      <c r="C39" s="276" t="s">
        <v>419</v>
      </c>
      <c r="D39" s="260">
        <f t="shared" si="6"/>
        <v>26</v>
      </c>
      <c r="E39" s="122"/>
      <c r="F39" s="281"/>
      <c r="G39" s="122"/>
      <c r="H39" s="329" t="e">
        <f ca="1">IF(([1]!S_SHARE_TOTAL($H$3,I39)/[1]!S_SHARE_TOTAL($H$3,I40))/(YEAR(I39)/YEAR(I38))=1,NA(),IF($I$2="PE Band",[1]!S_STM07_IS($H$3,61,YEAR(I39)-1&amp;"-12-31",1)/[1]!S_SHARE_TOTAL($H$3,I39),[1]!S_STM07_BS($H$3,140,YEAR(I39)-1&amp;"-12-31",1)/[1]!S_SHARE_TOTAL($H$3,I39)))</f>
        <v>#N/A</v>
      </c>
      <c r="I39" s="275">
        <f ca="1">--[1]!td(I38-$N$2)</f>
        <v>45825</v>
      </c>
      <c r="J39" s="129">
        <f ca="1">IF([1]!S_DQ_CLOSE(公司分析!$D$4,I39,$M$2)=0,NA(),[1]!S_DQ_CLOSE(公司分析!$D$4,I39,$M$2))</f>
        <v>18.87</v>
      </c>
      <c r="K39" s="129" t="e">
        <f t="shared" ca="1" si="5"/>
        <v>#N/A</v>
      </c>
      <c r="L39" s="129" t="e">
        <f t="shared" ca="1" si="1"/>
        <v>#N/A</v>
      </c>
      <c r="M39" s="322" t="e">
        <f t="shared" ca="1" si="2"/>
        <v>#N/A</v>
      </c>
      <c r="N39" s="325">
        <f t="shared" ca="1" si="3"/>
        <v>0.22931596091205231</v>
      </c>
      <c r="O39" s="326">
        <f t="shared" ca="1" si="7"/>
        <v>-1.0599355556728085E-2</v>
      </c>
      <c r="P39" s="122" t="s">
        <v>47</v>
      </c>
      <c r="Q39" s="122" t="s">
        <v>46</v>
      </c>
      <c r="R39" s="281">
        <f ca="1">IF([1]!S_DQ_CLOSE($S$3,I39,$M$2)=0,NA(),[1]!S_DQ_CLOSE($S$3,I39,$M$2))</f>
        <v>3870.3786</v>
      </c>
      <c r="S39" s="122"/>
      <c r="T39" s="122"/>
      <c r="U39" s="301"/>
      <c r="V39" s="260">
        <f t="shared" ca="1" si="4"/>
        <v>0</v>
      </c>
      <c r="W39" s="348" t="str">
        <f>IF(板块成分!B41="","",板块成分!B41)</f>
        <v>000056.SZ</v>
      </c>
      <c r="X39" s="276" t="str">
        <f>[1]!S_Info_Name(W39)</f>
        <v>皇庭国际</v>
      </c>
      <c r="Y39" s="276" t="str">
        <f ca="1">IF($Y$3="申万一级行业",[1]!s_info_industry_sw_2021(W39,公司分析!D$5,1),IF($Y$3="申万二级行业",[1]!s_info_industry_sw_2021(W39,公司分析!D$5,2),IF($Y$3="申万三级行业",[1]!s_info_industry_sw_2021(W39,公司分析!D$5,3),IF($Y$3="wind一级行业",[1]!s_info_industry_gics(W39,1),IF($Y$3="wind二级行业",[1]!s_info_industry_gics(W39,2),IF($Y$3="wind三级行业",[1]!s_info_industry_gics(W39,3),IF($Y$3="wind四级行业",[1]!s_info_industry_gics(W39,4),IF($Y$3="证监会门类行业",[1]!s_info_industry_csrc12_n(W39,公司分析!D$5,1),""))))))))</f>
        <v>房地产服务</v>
      </c>
      <c r="Z39" s="302" t="str">
        <f ca="1">IF(Y39=行业比较!$E$6,ROW(),"")</f>
        <v/>
      </c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</row>
    <row r="40" spans="2:42">
      <c r="B40" s="287">
        <v>27</v>
      </c>
      <c r="C40" s="276" t="s">
        <v>420</v>
      </c>
      <c r="D40" s="260">
        <f t="shared" si="6"/>
        <v>27</v>
      </c>
      <c r="E40" s="122"/>
      <c r="F40" s="281"/>
      <c r="G40" s="122"/>
      <c r="H40" s="329" t="e">
        <f ca="1">IF(([1]!S_SHARE_TOTAL($H$3,I40)/[1]!S_SHARE_TOTAL($H$3,I41))/(YEAR(I40)/YEAR(I39))=1,NA(),IF($I$2="PE Band",[1]!S_STM07_IS($H$3,61,YEAR(I40)-1&amp;"-12-31",1)/[1]!S_SHARE_TOTAL($H$3,I40),[1]!S_STM07_BS($H$3,140,YEAR(I40)-1&amp;"-12-31",1)/[1]!S_SHARE_TOTAL($H$3,I40)))</f>
        <v>#N/A</v>
      </c>
      <c r="I40" s="275">
        <f ca="1">--[1]!td(I39-$N$2)</f>
        <v>45818</v>
      </c>
      <c r="J40" s="129">
        <f ca="1">IF([1]!S_DQ_CLOSE(公司分析!$D$4,I40,$M$2)=0,NA(),[1]!S_DQ_CLOSE(公司分析!$D$4,I40,$M$2))</f>
        <v>18.27</v>
      </c>
      <c r="K40" s="129" t="e">
        <f t="shared" ca="1" si="5"/>
        <v>#N/A</v>
      </c>
      <c r="L40" s="129" t="e">
        <f t="shared" ca="1" si="1"/>
        <v>#N/A</v>
      </c>
      <c r="M40" s="322" t="e">
        <f t="shared" ca="1" si="2"/>
        <v>#N/A</v>
      </c>
      <c r="N40" s="325">
        <f t="shared" ca="1" si="3"/>
        <v>0.19022801302931591</v>
      </c>
      <c r="O40" s="326">
        <f t="shared" ca="1" si="7"/>
        <v>-1.1855388009575862E-2</v>
      </c>
      <c r="P40" s="122" t="s">
        <v>421</v>
      </c>
      <c r="Q40" s="122" t="s">
        <v>48</v>
      </c>
      <c r="R40" s="281">
        <f ca="1">IF([1]!S_DQ_CLOSE($S$3,I40,$M$2)=0,NA(),[1]!S_DQ_CLOSE($S$3,I40,$M$2))</f>
        <v>3865.4652000000001</v>
      </c>
      <c r="S40" s="122"/>
      <c r="T40" s="122"/>
      <c r="U40" s="301"/>
      <c r="V40" s="260">
        <f t="shared" ca="1" si="4"/>
        <v>0</v>
      </c>
      <c r="W40" s="348" t="str">
        <f>IF(板块成分!B42="","",板块成分!B42)</f>
        <v>000058.SZ</v>
      </c>
      <c r="X40" s="276" t="str">
        <f>[1]!S_Info_Name(W40)</f>
        <v>深赛格</v>
      </c>
      <c r="Y40" s="276" t="str">
        <f ca="1">IF($Y$3="申万一级行业",[1]!s_info_industry_sw_2021(W40,公司分析!D$5,1),IF($Y$3="申万二级行业",[1]!s_info_industry_sw_2021(W40,公司分析!D$5,2),IF($Y$3="申万三级行业",[1]!s_info_industry_sw_2021(W40,公司分析!D$5,3),IF($Y$3="wind一级行业",[1]!s_info_industry_gics(W40,1),IF($Y$3="wind二级行业",[1]!s_info_industry_gics(W40,2),IF($Y$3="wind三级行业",[1]!s_info_industry_gics(W40,3),IF($Y$3="wind四级行业",[1]!s_info_industry_gics(W40,4),IF($Y$3="证监会门类行业",[1]!s_info_industry_csrc12_n(W40,公司分析!D$5,1),""))))))))</f>
        <v>一般零售</v>
      </c>
      <c r="Z40" s="302" t="str">
        <f ca="1">IF(Y40=行业比较!$E$6,ROW(),"")</f>
        <v/>
      </c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</row>
    <row r="41" spans="2:42">
      <c r="B41" s="287">
        <v>28</v>
      </c>
      <c r="C41" s="276" t="s">
        <v>422</v>
      </c>
      <c r="D41" s="260">
        <f t="shared" si="6"/>
        <v>28</v>
      </c>
      <c r="E41" s="122"/>
      <c r="F41" s="281"/>
      <c r="G41" s="122"/>
      <c r="H41" s="329" t="e">
        <f ca="1">IF(([1]!S_SHARE_TOTAL($H$3,I41)/[1]!S_SHARE_TOTAL($H$3,I42))/(YEAR(I41)/YEAR(I40))=1,NA(),IF($I$2="PE Band",[1]!S_STM07_IS($H$3,61,YEAR(I41)-1&amp;"-12-31",1)/[1]!S_SHARE_TOTAL($H$3,I41),[1]!S_STM07_BS($H$3,140,YEAR(I41)-1&amp;"-12-31",1)/[1]!S_SHARE_TOTAL($H$3,I41)))</f>
        <v>#N/A</v>
      </c>
      <c r="I41" s="275">
        <f ca="1">--[1]!td(I40-$N$2)</f>
        <v>45811</v>
      </c>
      <c r="J41" s="129">
        <f ca="1">IF([1]!S_DQ_CLOSE(公司分析!$D$4,I41,$M$2)=0,NA(),[1]!S_DQ_CLOSE(公司分析!$D$4,I41,$M$2))</f>
        <v>18.059999999999999</v>
      </c>
      <c r="K41" s="129" t="e">
        <f t="shared" ca="1" si="5"/>
        <v>#N/A</v>
      </c>
      <c r="L41" s="129" t="e">
        <f t="shared" ca="1" si="1"/>
        <v>#N/A</v>
      </c>
      <c r="M41" s="322" t="e">
        <f t="shared" ca="1" si="2"/>
        <v>#N/A</v>
      </c>
      <c r="N41" s="325">
        <f t="shared" ca="1" si="3"/>
        <v>0.17654723127035821</v>
      </c>
      <c r="O41" s="326">
        <f t="shared" ca="1" si="7"/>
        <v>-1.5294305372691941E-2</v>
      </c>
      <c r="P41" s="122" t="s">
        <v>423</v>
      </c>
      <c r="Q41" s="122" t="s">
        <v>49</v>
      </c>
      <c r="R41" s="281">
        <f ca="1">IF([1]!S_DQ_CLOSE($S$3,I41,$M$2)=0,NA(),[1]!S_DQ_CLOSE($S$3,I41,$M$2))</f>
        <v>3852.0127000000002</v>
      </c>
      <c r="S41" s="122"/>
      <c r="T41" s="122"/>
      <c r="U41" s="301"/>
      <c r="V41" s="260">
        <f t="shared" ca="1" si="4"/>
        <v>0</v>
      </c>
      <c r="W41" s="348" t="str">
        <f>IF(板块成分!B43="","",板块成分!B43)</f>
        <v>000059.SZ</v>
      </c>
      <c r="X41" s="276" t="str">
        <f>[1]!S_Info_Name(W41)</f>
        <v>华锦股份</v>
      </c>
      <c r="Y41" s="276" t="str">
        <f ca="1">IF($Y$3="申万一级行业",[1]!s_info_industry_sw_2021(W41,公司分析!D$5,1),IF($Y$3="申万二级行业",[1]!s_info_industry_sw_2021(W41,公司分析!D$5,2),IF($Y$3="申万三级行业",[1]!s_info_industry_sw_2021(W41,公司分析!D$5,3),IF($Y$3="wind一级行业",[1]!s_info_industry_gics(W41,1),IF($Y$3="wind二级行业",[1]!s_info_industry_gics(W41,2),IF($Y$3="wind三级行业",[1]!s_info_industry_gics(W41,3),IF($Y$3="wind四级行业",[1]!s_info_industry_gics(W41,4),IF($Y$3="证监会门类行业",[1]!s_info_industry_csrc12_n(W41,公司分析!D$5,1),""))))))))</f>
        <v>炼化及贸易</v>
      </c>
      <c r="Z41" s="302" t="str">
        <f ca="1">IF(Y41=行业比较!$E$6,ROW(),"")</f>
        <v/>
      </c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</row>
    <row r="42" spans="2:42">
      <c r="B42" s="287">
        <v>29</v>
      </c>
      <c r="C42" s="276" t="s">
        <v>424</v>
      </c>
      <c r="D42" s="260">
        <f t="shared" si="6"/>
        <v>29</v>
      </c>
      <c r="E42" s="122"/>
      <c r="F42" s="281"/>
      <c r="G42" s="122"/>
      <c r="H42" s="329" t="e">
        <f ca="1">IF(([1]!S_SHARE_TOTAL($H$3,I42)/[1]!S_SHARE_TOTAL($H$3,I43))/(YEAR(I42)/YEAR(I41))=1,NA(),IF($I$2="PE Band",[1]!S_STM07_IS($H$3,61,YEAR(I42)-1&amp;"-12-31",1)/[1]!S_SHARE_TOTAL($H$3,I42),[1]!S_STM07_BS($H$3,140,YEAR(I42)-1&amp;"-12-31",1)/[1]!S_SHARE_TOTAL($H$3,I42)))</f>
        <v>#N/A</v>
      </c>
      <c r="I42" s="275">
        <f ca="1">--[1]!td(I41-$N$2)</f>
        <v>45804</v>
      </c>
      <c r="J42" s="129">
        <f ca="1">IF([1]!S_DQ_CLOSE(公司分析!$D$4,I42,$M$2)=0,NA(),[1]!S_DQ_CLOSE(公司分析!$D$4,I42,$M$2))</f>
        <v>17.88</v>
      </c>
      <c r="K42" s="129" t="e">
        <f t="shared" ca="1" si="5"/>
        <v>#N/A</v>
      </c>
      <c r="L42" s="129" t="e">
        <f t="shared" ca="1" si="1"/>
        <v>#N/A</v>
      </c>
      <c r="M42" s="322" t="e">
        <f t="shared" ca="1" si="2"/>
        <v>#N/A</v>
      </c>
      <c r="N42" s="325">
        <f t="shared" ca="1" si="3"/>
        <v>0.16482084690553744</v>
      </c>
      <c r="O42" s="326">
        <f t="shared" ca="1" si="7"/>
        <v>-1.8519333707172625E-2</v>
      </c>
      <c r="P42" s="122" t="s">
        <v>425</v>
      </c>
      <c r="Q42" s="122" t="s">
        <v>50</v>
      </c>
      <c r="R42" s="281">
        <f ca="1">IF([1]!S_DQ_CLOSE($S$3,I42,$M$2)=0,NA(),[1]!S_DQ_CLOSE($S$3,I42,$M$2))</f>
        <v>3839.3969000000002</v>
      </c>
      <c r="S42" s="122"/>
      <c r="T42" s="122"/>
      <c r="U42" s="301"/>
      <c r="V42" s="260">
        <f t="shared" ca="1" si="4"/>
        <v>1</v>
      </c>
      <c r="W42" s="348" t="str">
        <f>IF(板块成分!B44="","",板块成分!B44)</f>
        <v>000060.SZ</v>
      </c>
      <c r="X42" s="276" t="str">
        <f>[1]!S_Info_Name(W42)</f>
        <v>中金岭南</v>
      </c>
      <c r="Y42" s="276" t="str">
        <f ca="1">IF($Y$3="申万一级行业",[1]!s_info_industry_sw_2021(W42,公司分析!D$5,1),IF($Y$3="申万二级行业",[1]!s_info_industry_sw_2021(W42,公司分析!D$5,2),IF($Y$3="申万三级行业",[1]!s_info_industry_sw_2021(W42,公司分析!D$5,3),IF($Y$3="wind一级行业",[1]!s_info_industry_gics(W42,1),IF($Y$3="wind二级行业",[1]!s_info_industry_gics(W42,2),IF($Y$3="wind三级行业",[1]!s_info_industry_gics(W42,3),IF($Y$3="wind四级行业",[1]!s_info_industry_gics(W42,4),IF($Y$3="证监会门类行业",[1]!s_info_industry_csrc12_n(W42,公司分析!D$5,1),""))))))))</f>
        <v>工业金属</v>
      </c>
      <c r="Z42" s="302">
        <f ca="1">IF(Y42=行业比较!$E$6,ROW(),"")</f>
        <v>42</v>
      </c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</row>
    <row r="43" spans="2:42">
      <c r="B43" s="287">
        <v>30</v>
      </c>
      <c r="C43" s="276" t="s">
        <v>426</v>
      </c>
      <c r="D43" s="260">
        <f t="shared" si="6"/>
        <v>30</v>
      </c>
      <c r="E43" s="122"/>
      <c r="F43" s="281"/>
      <c r="G43" s="122"/>
      <c r="H43" s="329" t="e">
        <f ca="1">IF(([1]!S_SHARE_TOTAL($H$3,I43)/[1]!S_SHARE_TOTAL($H$3,I44))/(YEAR(I43)/YEAR(I42))=1,NA(),IF($I$2="PE Band",[1]!S_STM07_IS($H$3,61,YEAR(I43)-1&amp;"-12-31",1)/[1]!S_SHARE_TOTAL($H$3,I43),[1]!S_STM07_BS($H$3,140,YEAR(I43)-1&amp;"-12-31",1)/[1]!S_SHARE_TOTAL($H$3,I43)))</f>
        <v>#N/A</v>
      </c>
      <c r="I43" s="275">
        <f ca="1">--[1]!td(I42-$N$2)</f>
        <v>45797</v>
      </c>
      <c r="J43" s="129">
        <f ca="1">IF([1]!S_DQ_CLOSE(公司分析!$D$4,I43,$M$2)=0,NA(),[1]!S_DQ_CLOSE(公司分析!$D$4,I43,$M$2))</f>
        <v>17.46</v>
      </c>
      <c r="K43" s="129" t="e">
        <f t="shared" ca="1" si="5"/>
        <v>#N/A</v>
      </c>
      <c r="L43" s="129" t="e">
        <f t="shared" ca="1" si="1"/>
        <v>#N/A</v>
      </c>
      <c r="M43" s="322" t="e">
        <f t="shared" ca="1" si="2"/>
        <v>#N/A</v>
      </c>
      <c r="N43" s="325">
        <f t="shared" ca="1" si="3"/>
        <v>0.13745928338762226</v>
      </c>
      <c r="O43" s="326">
        <f t="shared" ca="1" si="7"/>
        <v>-3.4947989714102512E-3</v>
      </c>
      <c r="P43" s="122" t="s">
        <v>469</v>
      </c>
      <c r="Q43" s="122" t="s">
        <v>473</v>
      </c>
      <c r="R43" s="281">
        <f ca="1">IF([1]!S_DQ_CLOSE($S$3,I43,$M$2)=0,NA(),[1]!S_DQ_CLOSE($S$3,I43,$M$2))</f>
        <v>3898.1705000000002</v>
      </c>
      <c r="S43" s="122"/>
      <c r="T43" s="122"/>
      <c r="U43" s="301"/>
      <c r="V43" s="260">
        <f t="shared" ca="1" si="4"/>
        <v>0</v>
      </c>
      <c r="W43" s="348" t="str">
        <f>IF(板块成分!B45="","",板块成分!B45)</f>
        <v>000061.SZ</v>
      </c>
      <c r="X43" s="276" t="str">
        <f>[1]!S_Info_Name(W43)</f>
        <v>农产品</v>
      </c>
      <c r="Y43" s="276" t="str">
        <f ca="1">IF($Y$3="申万一级行业",[1]!s_info_industry_sw_2021(W43,公司分析!D$5,1),IF($Y$3="申万二级行业",[1]!s_info_industry_sw_2021(W43,公司分析!D$5,2),IF($Y$3="申万三级行业",[1]!s_info_industry_sw_2021(W43,公司分析!D$5,3),IF($Y$3="wind一级行业",[1]!s_info_industry_gics(W43,1),IF($Y$3="wind二级行业",[1]!s_info_industry_gics(W43,2),IF($Y$3="wind三级行业",[1]!s_info_industry_gics(W43,3),IF($Y$3="wind四级行业",[1]!s_info_industry_gics(W43,4),IF($Y$3="证监会门类行业",[1]!s_info_industry_csrc12_n(W43,公司分析!D$5,1),""))))))))</f>
        <v>一般零售</v>
      </c>
      <c r="Z43" s="302" t="str">
        <f ca="1">IF(Y43=行业比较!$E$6,ROW(),"")</f>
        <v/>
      </c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</row>
    <row r="44" spans="2:42">
      <c r="B44" s="287">
        <v>31</v>
      </c>
      <c r="C44" s="276" t="s">
        <v>427</v>
      </c>
      <c r="D44" s="260">
        <f t="shared" si="6"/>
        <v>31</v>
      </c>
      <c r="E44" s="122"/>
      <c r="F44" s="281"/>
      <c r="G44" s="122"/>
      <c r="H44" s="329" t="e">
        <f ca="1">IF(([1]!S_SHARE_TOTAL($H$3,I44)/[1]!S_SHARE_TOTAL($H$3,I45))/(YEAR(I44)/YEAR(I43))=1,NA(),IF($I$2="PE Band",[1]!S_STM07_IS($H$3,61,YEAR(I44)-1&amp;"-12-31",1)/[1]!S_SHARE_TOTAL($H$3,I44),[1]!S_STM07_BS($H$3,140,YEAR(I44)-1&amp;"-12-31",1)/[1]!S_SHARE_TOTAL($H$3,I44)))</f>
        <v>#N/A</v>
      </c>
      <c r="I44" s="275">
        <f ca="1">--[1]!td(I43-$N$2)</f>
        <v>45790</v>
      </c>
      <c r="J44" s="129">
        <f ca="1">IF([1]!S_DQ_CLOSE(公司分析!$D$4,I44,$M$2)=0,NA(),[1]!S_DQ_CLOSE(公司分析!$D$4,I44,$M$2))</f>
        <v>17.760000000000002</v>
      </c>
      <c r="K44" s="129" t="e">
        <f t="shared" ca="1" si="5"/>
        <v>#N/A</v>
      </c>
      <c r="L44" s="129" t="e">
        <f t="shared" ca="1" si="1"/>
        <v>#N/A</v>
      </c>
      <c r="M44" s="322" t="e">
        <f t="shared" ca="1" si="2"/>
        <v>#N/A</v>
      </c>
      <c r="N44" s="325">
        <f t="shared" ca="1" si="3"/>
        <v>0.15700325732899034</v>
      </c>
      <c r="O44" s="326">
        <f t="shared" ca="1" si="7"/>
        <v>-3.9836224452443059E-3</v>
      </c>
      <c r="P44" s="122" t="s">
        <v>470</v>
      </c>
      <c r="Q44" s="122" t="s">
        <v>474</v>
      </c>
      <c r="R44" s="281">
        <f ca="1">IF([1]!S_DQ_CLOSE($S$3,I44,$M$2)=0,NA(),[1]!S_DQ_CLOSE($S$3,I44,$M$2))</f>
        <v>3896.2583</v>
      </c>
      <c r="S44" s="122"/>
      <c r="T44" s="122"/>
      <c r="U44" s="301"/>
      <c r="V44" s="260">
        <f t="shared" ca="1" si="4"/>
        <v>0</v>
      </c>
      <c r="W44" s="348" t="str">
        <f>IF(板块成分!B46="","",板块成分!B46)</f>
        <v>000062.SZ</v>
      </c>
      <c r="X44" s="276" t="str">
        <f>[1]!S_Info_Name(W44)</f>
        <v>深圳华强</v>
      </c>
      <c r="Y44" s="276" t="str">
        <f ca="1">IF($Y$3="申万一级行业",[1]!s_info_industry_sw_2021(W44,公司分析!D$5,1),IF($Y$3="申万二级行业",[1]!s_info_industry_sw_2021(W44,公司分析!D$5,2),IF($Y$3="申万三级行业",[1]!s_info_industry_sw_2021(W44,公司分析!D$5,3),IF($Y$3="wind一级行业",[1]!s_info_industry_gics(W44,1),IF($Y$3="wind二级行业",[1]!s_info_industry_gics(W44,2),IF($Y$3="wind三级行业",[1]!s_info_industry_gics(W44,3),IF($Y$3="wind四级行业",[1]!s_info_industry_gics(W44,4),IF($Y$3="证监会门类行业",[1]!s_info_industry_csrc12_n(W44,公司分析!D$5,1),""))))))))</f>
        <v>其他电子Ⅱ</v>
      </c>
      <c r="Z44" s="302" t="str">
        <f ca="1">IF(Y44=行业比较!$E$6,ROW(),"")</f>
        <v/>
      </c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</row>
    <row r="45" spans="2:42">
      <c r="B45" s="287">
        <v>32</v>
      </c>
      <c r="C45" s="276" t="s">
        <v>428</v>
      </c>
      <c r="D45" s="260">
        <f t="shared" si="6"/>
        <v>32</v>
      </c>
      <c r="E45" s="122"/>
      <c r="F45" s="281"/>
      <c r="G45" s="122"/>
      <c r="H45" s="329" t="e">
        <f ca="1">IF(([1]!S_SHARE_TOTAL($H$3,I45)/[1]!S_SHARE_TOTAL($H$3,I46))/(YEAR(I45)/YEAR(I44))=1,NA(),IF($I$2="PE Band",[1]!S_STM07_IS($H$3,61,YEAR(I45)-1&amp;"-12-31",1)/[1]!S_SHARE_TOTAL($H$3,I45),[1]!S_STM07_BS($H$3,140,YEAR(I45)-1&amp;"-12-31",1)/[1]!S_SHARE_TOTAL($H$3,I45)))</f>
        <v>#N/A</v>
      </c>
      <c r="I45" s="275">
        <f ca="1">--[1]!td(I44-$N$2)</f>
        <v>45783</v>
      </c>
      <c r="J45" s="129">
        <f ca="1">IF([1]!S_DQ_CLOSE(公司分析!$D$4,I45,$M$2)=0,NA(),[1]!S_DQ_CLOSE(公司分析!$D$4,I45,$M$2))</f>
        <v>17.760000000000002</v>
      </c>
      <c r="K45" s="129" t="e">
        <f t="shared" ca="1" si="5"/>
        <v>#N/A</v>
      </c>
      <c r="L45" s="129" t="e">
        <f t="shared" ca="1" si="1"/>
        <v>#N/A</v>
      </c>
      <c r="M45" s="322" t="e">
        <f t="shared" ca="1" si="2"/>
        <v>#N/A</v>
      </c>
      <c r="N45" s="325">
        <f t="shared" ca="1" si="3"/>
        <v>0.15700325732899034</v>
      </c>
      <c r="O45" s="326">
        <f t="shared" ca="1" si="7"/>
        <v>-2.64067952035687E-2</v>
      </c>
      <c r="P45" s="122" t="s">
        <v>471</v>
      </c>
      <c r="Q45" s="122" t="s">
        <v>475</v>
      </c>
      <c r="R45" s="281">
        <f ca="1">IF([1]!S_DQ_CLOSE($S$3,I45,$M$2)=0,NA(),[1]!S_DQ_CLOSE($S$3,I45,$M$2))</f>
        <v>3808.5423999999998</v>
      </c>
      <c r="S45" s="122"/>
      <c r="T45" s="122"/>
      <c r="U45" s="301"/>
      <c r="V45" s="260">
        <f t="shared" ca="1" si="4"/>
        <v>0</v>
      </c>
      <c r="W45" s="348" t="str">
        <f>IF(板块成分!B47="","",板块成分!B47)</f>
        <v>000063.SZ</v>
      </c>
      <c r="X45" s="276" t="str">
        <f>[1]!S_Info_Name(W45)</f>
        <v>中兴通讯</v>
      </c>
      <c r="Y45" s="276" t="str">
        <f ca="1">IF($Y$3="申万一级行业",[1]!s_info_industry_sw_2021(W45,公司分析!D$5,1),IF($Y$3="申万二级行业",[1]!s_info_industry_sw_2021(W45,公司分析!D$5,2),IF($Y$3="申万三级行业",[1]!s_info_industry_sw_2021(W45,公司分析!D$5,3),IF($Y$3="wind一级行业",[1]!s_info_industry_gics(W45,1),IF($Y$3="wind二级行业",[1]!s_info_industry_gics(W45,2),IF($Y$3="wind三级行业",[1]!s_info_industry_gics(W45,3),IF($Y$3="wind四级行业",[1]!s_info_industry_gics(W45,4),IF($Y$3="证监会门类行业",[1]!s_info_industry_csrc12_n(W45,公司分析!D$5,1),""))))))))</f>
        <v>通信设备</v>
      </c>
      <c r="Z45" s="302" t="str">
        <f ca="1">IF(Y45=行业比较!$E$6,ROW(),"")</f>
        <v/>
      </c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</row>
    <row r="46" spans="2:42">
      <c r="B46" s="287">
        <v>33</v>
      </c>
      <c r="C46" s="276" t="s">
        <v>429</v>
      </c>
      <c r="D46" s="260">
        <f t="shared" si="6"/>
        <v>33</v>
      </c>
      <c r="E46" s="122"/>
      <c r="F46" s="281"/>
      <c r="G46" s="277"/>
      <c r="H46" s="329" t="e">
        <f ca="1">IF(([1]!S_SHARE_TOTAL($H$3,I46)/[1]!S_SHARE_TOTAL($H$3,I47))/(YEAR(I46)/YEAR(I45))=1,NA(),IF($I$2="PE Band",[1]!S_STM07_IS($H$3,61,YEAR(I46)-1&amp;"-12-31",1)/[1]!S_SHARE_TOTAL($H$3,I46),[1]!S_STM07_BS($H$3,140,YEAR(I46)-1&amp;"-12-31",1)/[1]!S_SHARE_TOTAL($H$3,I46)))</f>
        <v>#N/A</v>
      </c>
      <c r="I46" s="275">
        <f ca="1">--[1]!td(I45-$N$2)</f>
        <v>45776</v>
      </c>
      <c r="J46" s="129">
        <f ca="1">IF([1]!S_DQ_CLOSE(公司分析!$D$4,I46,$M$2)=0,NA(),[1]!S_DQ_CLOSE(公司分析!$D$4,I46,$M$2))</f>
        <v>17.63</v>
      </c>
      <c r="K46" s="129" t="e">
        <f t="shared" ca="1" si="5"/>
        <v>#N/A</v>
      </c>
      <c r="L46" s="129" t="e">
        <f t="shared" ca="1" si="1"/>
        <v>#N/A</v>
      </c>
      <c r="M46" s="322" t="e">
        <f t="shared" ca="1" si="2"/>
        <v>#N/A</v>
      </c>
      <c r="N46" s="325">
        <f t="shared" ca="1" si="3"/>
        <v>0.14853420195439737</v>
      </c>
      <c r="O46" s="326">
        <f t="shared" ca="1" si="7"/>
        <v>-3.4961768390621928E-2</v>
      </c>
      <c r="P46" s="122" t="s">
        <v>472</v>
      </c>
      <c r="Q46" s="122" t="s">
        <v>476</v>
      </c>
      <c r="R46" s="281">
        <f ca="1">IF([1]!S_DQ_CLOSE($S$3,I46,$M$2)=0,NA(),[1]!S_DQ_CLOSE($S$3,I46,$M$2))</f>
        <v>3775.0767000000001</v>
      </c>
      <c r="S46" s="122"/>
      <c r="T46" s="122"/>
      <c r="U46" s="301"/>
      <c r="V46" s="260">
        <f t="shared" ca="1" si="4"/>
        <v>0</v>
      </c>
      <c r="W46" s="348" t="str">
        <f>IF(板块成分!B48="","",板块成分!B48)</f>
        <v>000065.SZ</v>
      </c>
      <c r="X46" s="276" t="str">
        <f>[1]!S_Info_Name(W46)</f>
        <v>北方国际</v>
      </c>
      <c r="Y46" s="276" t="str">
        <f ca="1">IF($Y$3="申万一级行业",[1]!s_info_industry_sw_2021(W46,公司分析!D$5,1),IF($Y$3="申万二级行业",[1]!s_info_industry_sw_2021(W46,公司分析!D$5,2),IF($Y$3="申万三级行业",[1]!s_info_industry_sw_2021(W46,公司分析!D$5,3),IF($Y$3="wind一级行业",[1]!s_info_industry_gics(W46,1),IF($Y$3="wind二级行业",[1]!s_info_industry_gics(W46,2),IF($Y$3="wind三级行业",[1]!s_info_industry_gics(W46,3),IF($Y$3="wind四级行业",[1]!s_info_industry_gics(W46,4),IF($Y$3="证监会门类行业",[1]!s_info_industry_csrc12_n(W46,公司分析!D$5,1),""))))))))</f>
        <v>专业工程</v>
      </c>
      <c r="Z46" s="302" t="str">
        <f ca="1">IF(Y46=行业比较!$E$6,ROW(),"")</f>
        <v/>
      </c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</row>
    <row r="47" spans="2:42">
      <c r="B47" s="287">
        <v>34</v>
      </c>
      <c r="C47" s="276" t="s">
        <v>430</v>
      </c>
      <c r="D47" s="260">
        <f t="shared" si="6"/>
        <v>34</v>
      </c>
      <c r="E47" s="122"/>
      <c r="F47" s="281"/>
      <c r="G47" s="122"/>
      <c r="H47" s="329" t="e">
        <f ca="1">IF(([1]!S_SHARE_TOTAL($H$3,I47)/[1]!S_SHARE_TOTAL($H$3,I48))/(YEAR(I47)/YEAR(I46))=1,NA(),IF($I$2="PE Band",[1]!S_STM07_IS($H$3,61,YEAR(I47)-1&amp;"-12-31",1)/[1]!S_SHARE_TOTAL($H$3,I47),[1]!S_STM07_BS($H$3,140,YEAR(I47)-1&amp;"-12-31",1)/[1]!S_SHARE_TOTAL($H$3,I47)))</f>
        <v>#N/A</v>
      </c>
      <c r="I47" s="275">
        <f ca="1">--[1]!td(I46-$N$2)</f>
        <v>45769</v>
      </c>
      <c r="J47" s="129">
        <f ca="1">IF([1]!S_DQ_CLOSE(公司分析!$D$4,I47,$M$2)=0,NA(),[1]!S_DQ_CLOSE(公司分析!$D$4,I47,$M$2))</f>
        <v>18.5</v>
      </c>
      <c r="K47" s="129" t="e">
        <f t="shared" ca="1" si="5"/>
        <v>#N/A</v>
      </c>
      <c r="L47" s="129" t="e">
        <f t="shared" ca="1" si="1"/>
        <v>#N/A</v>
      </c>
      <c r="M47" s="322" t="e">
        <f t="shared" ca="1" si="2"/>
        <v>#N/A</v>
      </c>
      <c r="N47" s="325">
        <f t="shared" ca="1" si="3"/>
        <v>0.20521172638436491</v>
      </c>
      <c r="O47" s="326">
        <f t="shared" ca="1" si="7"/>
        <v>-3.2692888178294299E-2</v>
      </c>
      <c r="P47" s="122"/>
      <c r="Q47" s="122"/>
      <c r="R47" s="281">
        <f ca="1">IF([1]!S_DQ_CLOSE($S$3,I47,$M$2)=0,NA(),[1]!S_DQ_CLOSE($S$3,I47,$M$2))</f>
        <v>3783.9522000000002</v>
      </c>
      <c r="S47" s="122"/>
      <c r="T47" s="122"/>
      <c r="U47" s="301"/>
      <c r="V47" s="260">
        <f t="shared" ca="1" si="4"/>
        <v>0</v>
      </c>
      <c r="W47" s="348" t="str">
        <f>IF(板块成分!B49="","",板块成分!B49)</f>
        <v>000066.SZ</v>
      </c>
      <c r="X47" s="276" t="str">
        <f>[1]!S_Info_Name(W47)</f>
        <v>中国长城</v>
      </c>
      <c r="Y47" s="276" t="str">
        <f ca="1">IF($Y$3="申万一级行业",[1]!s_info_industry_sw_2021(W47,公司分析!D$5,1),IF($Y$3="申万二级行业",[1]!s_info_industry_sw_2021(W47,公司分析!D$5,2),IF($Y$3="申万三级行业",[1]!s_info_industry_sw_2021(W47,公司分析!D$5,3),IF($Y$3="wind一级行业",[1]!s_info_industry_gics(W47,1),IF($Y$3="wind二级行业",[1]!s_info_industry_gics(W47,2),IF($Y$3="wind三级行业",[1]!s_info_industry_gics(W47,3),IF($Y$3="wind四级行业",[1]!s_info_industry_gics(W47,4),IF($Y$3="证监会门类行业",[1]!s_info_industry_csrc12_n(W47,公司分析!D$5,1),""))))))))</f>
        <v>计算机设备</v>
      </c>
      <c r="Z47" s="302" t="str">
        <f ca="1">IF(Y47=行业比较!$E$6,ROW(),"")</f>
        <v/>
      </c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</row>
    <row r="48" spans="2:42">
      <c r="B48" s="287">
        <v>35</v>
      </c>
      <c r="C48" s="276" t="s">
        <v>431</v>
      </c>
      <c r="D48" s="260">
        <f t="shared" si="6"/>
        <v>35</v>
      </c>
      <c r="E48" s="122"/>
      <c r="F48" s="281"/>
      <c r="G48" s="122"/>
      <c r="H48" s="329" t="e">
        <f ca="1">IF(([1]!S_SHARE_TOTAL($H$3,I48)/[1]!S_SHARE_TOTAL($H$3,I49))/(YEAR(I48)/YEAR(I47))=1,NA(),IF($I$2="PE Band",[1]!S_STM07_IS($H$3,61,YEAR(I48)-1&amp;"-12-31",1)/[1]!S_SHARE_TOTAL($H$3,I48),[1]!S_STM07_BS($H$3,140,YEAR(I48)-1&amp;"-12-31",1)/[1]!S_SHARE_TOTAL($H$3,I48)))</f>
        <v>#N/A</v>
      </c>
      <c r="I48" s="275">
        <f ca="1">--[1]!td(I47-$N$2)</f>
        <v>45762</v>
      </c>
      <c r="J48" s="129">
        <f ca="1">IF([1]!S_DQ_CLOSE(公司分析!$D$4,I48,$M$2)=0,NA(),[1]!S_DQ_CLOSE(公司分析!$D$4,I48,$M$2))</f>
        <v>17.649999999999999</v>
      </c>
      <c r="K48" s="129" t="e">
        <f t="shared" ca="1" si="5"/>
        <v>#N/A</v>
      </c>
      <c r="L48" s="129" t="e">
        <f t="shared" ca="1" si="1"/>
        <v>#N/A</v>
      </c>
      <c r="M48" s="322" t="e">
        <f t="shared" ca="1" si="2"/>
        <v>#N/A</v>
      </c>
      <c r="N48" s="325">
        <f t="shared" ca="1" si="3"/>
        <v>0.14983713355048844</v>
      </c>
      <c r="O48" s="326">
        <f t="shared" ca="1" si="7"/>
        <v>-3.8500229661650898E-2</v>
      </c>
      <c r="P48" s="122"/>
      <c r="Q48" s="122"/>
      <c r="R48" s="281">
        <f ca="1">IF([1]!S_DQ_CLOSE($S$3,I48,$M$2)=0,NA(),[1]!S_DQ_CLOSE($S$3,I48,$M$2))</f>
        <v>3761.2348000000002</v>
      </c>
      <c r="S48" s="122"/>
      <c r="T48" s="122"/>
      <c r="U48" s="301"/>
      <c r="V48" s="260">
        <f t="shared" ca="1" si="4"/>
        <v>0</v>
      </c>
      <c r="W48" s="348" t="str">
        <f>IF(板块成分!B50="","",板块成分!B50)</f>
        <v>000068.SZ</v>
      </c>
      <c r="X48" s="276" t="str">
        <f>[1]!S_Info_Name(W48)</f>
        <v>华控赛格</v>
      </c>
      <c r="Y48" s="276" t="str">
        <f ca="1">IF($Y$3="申万一级行业",[1]!s_info_industry_sw_2021(W48,公司分析!D$5,1),IF($Y$3="申万二级行业",[1]!s_info_industry_sw_2021(W48,公司分析!D$5,2),IF($Y$3="申万三级行业",[1]!s_info_industry_sw_2021(W48,公司分析!D$5,3),IF($Y$3="wind一级行业",[1]!s_info_industry_gics(W48,1),IF($Y$3="wind二级行业",[1]!s_info_industry_gics(W48,2),IF($Y$3="wind三级行业",[1]!s_info_industry_gics(W48,3),IF($Y$3="wind四级行业",[1]!s_info_industry_gics(W48,4),IF($Y$3="证监会门类行业",[1]!s_info_industry_csrc12_n(W48,公司分析!D$5,1),""))))))))</f>
        <v>环境治理</v>
      </c>
      <c r="Z48" s="302" t="str">
        <f ca="1">IF(Y48=行业比较!$E$6,ROW(),"")</f>
        <v/>
      </c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</row>
    <row r="49" spans="2:42">
      <c r="B49" s="287">
        <v>36</v>
      </c>
      <c r="C49" s="276" t="s">
        <v>432</v>
      </c>
      <c r="D49" s="260">
        <f t="shared" si="6"/>
        <v>36</v>
      </c>
      <c r="E49" s="122"/>
      <c r="F49" s="281"/>
      <c r="G49" s="122"/>
      <c r="H49" s="329" t="e">
        <f ca="1">IF(([1]!S_SHARE_TOTAL($H$3,I49)/[1]!S_SHARE_TOTAL($H$3,I50))/(YEAR(I49)/YEAR(I48))=1,NA(),IF($I$2="PE Band",[1]!S_STM07_IS($H$3,61,YEAR(I49)-1&amp;"-12-31",1)/[1]!S_SHARE_TOTAL($H$3,I49),[1]!S_STM07_BS($H$3,140,YEAR(I49)-1&amp;"-12-31",1)/[1]!S_SHARE_TOTAL($H$3,I49)))</f>
        <v>#N/A</v>
      </c>
      <c r="I49" s="275">
        <f ca="1">--[1]!td(I48-$N$2)</f>
        <v>45755</v>
      </c>
      <c r="J49" s="129">
        <f ca="1">IF([1]!S_DQ_CLOSE(公司分析!$D$4,I49,$M$2)=0,NA(),[1]!S_DQ_CLOSE(公司分析!$D$4,I49,$M$2))</f>
        <v>15.95</v>
      </c>
      <c r="K49" s="129" t="e">
        <f t="shared" ca="1" si="5"/>
        <v>#N/A</v>
      </c>
      <c r="L49" s="129" t="e">
        <f t="shared" ca="1" si="1"/>
        <v>#N/A</v>
      </c>
      <c r="M49" s="322" t="e">
        <f t="shared" ca="1" si="2"/>
        <v>#N/A</v>
      </c>
      <c r="N49" s="325">
        <f t="shared" ca="1" si="3"/>
        <v>3.9087947882736174E-2</v>
      </c>
      <c r="O49" s="326">
        <f t="shared" ca="1" si="7"/>
        <v>-6.6741608351422066E-2</v>
      </c>
      <c r="P49" s="122"/>
      <c r="Q49" s="122"/>
      <c r="R49" s="281">
        <f ca="1">IF([1]!S_DQ_CLOSE($S$3,I49,$M$2)=0,NA(),[1]!S_DQ_CLOSE($S$3,I49,$M$2))</f>
        <v>3650.759</v>
      </c>
      <c r="S49" s="122"/>
      <c r="T49" s="122"/>
      <c r="U49" s="301"/>
      <c r="V49" s="260">
        <f t="shared" ca="1" si="4"/>
        <v>0</v>
      </c>
      <c r="W49" s="348" t="str">
        <f>IF(板块成分!B51="","",板块成分!B51)</f>
        <v>000069.SZ</v>
      </c>
      <c r="X49" s="276" t="str">
        <f>[1]!S_Info_Name(W49)</f>
        <v>华侨城A</v>
      </c>
      <c r="Y49" s="276" t="str">
        <f ca="1">IF($Y$3="申万一级行业",[1]!s_info_industry_sw_2021(W49,公司分析!D$5,1),IF($Y$3="申万二级行业",[1]!s_info_industry_sw_2021(W49,公司分析!D$5,2),IF($Y$3="申万三级行业",[1]!s_info_industry_sw_2021(W49,公司分析!D$5,3),IF($Y$3="wind一级行业",[1]!s_info_industry_gics(W49,1),IF($Y$3="wind二级行业",[1]!s_info_industry_gics(W49,2),IF($Y$3="wind三级行业",[1]!s_info_industry_gics(W49,3),IF($Y$3="wind四级行业",[1]!s_info_industry_gics(W49,4),IF($Y$3="证监会门类行业",[1]!s_info_industry_csrc12_n(W49,公司分析!D$5,1),""))))))))</f>
        <v>房地产开发</v>
      </c>
      <c r="Z49" s="302" t="str">
        <f ca="1">IF(Y49=行业比较!$E$6,ROW(),"")</f>
        <v/>
      </c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</row>
    <row r="50" spans="2:42">
      <c r="B50" s="287">
        <v>37</v>
      </c>
      <c r="C50" s="276" t="s">
        <v>433</v>
      </c>
      <c r="D50" s="260">
        <f t="shared" si="6"/>
        <v>37</v>
      </c>
      <c r="E50" s="122"/>
      <c r="F50" s="281"/>
      <c r="G50" s="122"/>
      <c r="H50" s="329" t="e">
        <f ca="1">IF(([1]!S_SHARE_TOTAL($H$3,I50)/[1]!S_SHARE_TOTAL($H$3,I51))/(YEAR(I50)/YEAR(I49))=1,NA(),IF($I$2="PE Band",[1]!S_STM07_IS($H$3,61,YEAR(I50)-1&amp;"-12-31",1)/[1]!S_SHARE_TOTAL($H$3,I50),[1]!S_STM07_BS($H$3,140,YEAR(I50)-1&amp;"-12-31",1)/[1]!S_SHARE_TOTAL($H$3,I50)))</f>
        <v>#N/A</v>
      </c>
      <c r="I50" s="275">
        <f ca="1">--[1]!td(I49-$N$2)</f>
        <v>45748</v>
      </c>
      <c r="J50" s="129">
        <f ca="1">IF([1]!S_DQ_CLOSE(公司分析!$D$4,I50,$M$2)=0,NA(),[1]!S_DQ_CLOSE(公司分析!$D$4,I50,$M$2))</f>
        <v>17.93</v>
      </c>
      <c r="K50" s="129" t="e">
        <f t="shared" ca="1" si="5"/>
        <v>#N/A</v>
      </c>
      <c r="L50" s="129" t="e">
        <f t="shared" ca="1" si="1"/>
        <v>#N/A</v>
      </c>
      <c r="M50" s="322" t="e">
        <f t="shared" ca="1" si="2"/>
        <v>#N/A</v>
      </c>
      <c r="N50" s="325">
        <f t="shared" ca="1" si="3"/>
        <v>0.16807817589576546</v>
      </c>
      <c r="O50" s="326">
        <f t="shared" ca="1" si="7"/>
        <v>-6.1754801114647373E-3</v>
      </c>
      <c r="P50" s="122"/>
      <c r="Q50" s="122"/>
      <c r="R50" s="281">
        <f ca="1">IF([1]!S_DQ_CLOSE($S$3,I50,$M$2)=0,NA(),[1]!S_DQ_CLOSE($S$3,I50,$M$2))</f>
        <v>3887.6840999999999</v>
      </c>
      <c r="S50" s="122"/>
      <c r="T50" s="122"/>
      <c r="U50" s="301"/>
      <c r="V50" s="260">
        <f t="shared" ca="1" si="4"/>
        <v>0</v>
      </c>
      <c r="W50" s="348" t="str">
        <f>IF(板块成分!B52="","",板块成分!B52)</f>
        <v>000070.SZ</v>
      </c>
      <c r="X50" s="276" t="str">
        <f>[1]!S_Info_Name(W50)</f>
        <v>特发信息</v>
      </c>
      <c r="Y50" s="276" t="str">
        <f ca="1">IF($Y$3="申万一级行业",[1]!s_info_industry_sw_2021(W50,公司分析!D$5,1),IF($Y$3="申万二级行业",[1]!s_info_industry_sw_2021(W50,公司分析!D$5,2),IF($Y$3="申万三级行业",[1]!s_info_industry_sw_2021(W50,公司分析!D$5,3),IF($Y$3="wind一级行业",[1]!s_info_industry_gics(W50,1),IF($Y$3="wind二级行业",[1]!s_info_industry_gics(W50,2),IF($Y$3="wind三级行业",[1]!s_info_industry_gics(W50,3),IF($Y$3="wind四级行业",[1]!s_info_industry_gics(W50,4),IF($Y$3="证监会门类行业",[1]!s_info_industry_csrc12_n(W50,公司分析!D$5,1),""))))))))</f>
        <v>通信设备</v>
      </c>
      <c r="Z50" s="302" t="str">
        <f ca="1">IF(Y50=行业比较!$E$6,ROW(),"")</f>
        <v/>
      </c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</row>
    <row r="51" spans="2:42">
      <c r="B51" s="287">
        <v>38</v>
      </c>
      <c r="C51" s="276" t="s">
        <v>434</v>
      </c>
      <c r="D51" s="260">
        <f t="shared" si="6"/>
        <v>38</v>
      </c>
      <c r="E51" s="122"/>
      <c r="F51" s="281"/>
      <c r="G51" s="122"/>
      <c r="H51" s="329" t="e">
        <f ca="1">IF(([1]!S_SHARE_TOTAL($H$3,I51)/[1]!S_SHARE_TOTAL($H$3,I52))/(YEAR(I51)/YEAR(I50))=1,NA(),IF($I$2="PE Band",[1]!S_STM07_IS($H$3,61,YEAR(I51)-1&amp;"-12-31",1)/[1]!S_SHARE_TOTAL($H$3,I51),[1]!S_STM07_BS($H$3,140,YEAR(I51)-1&amp;"-12-31",1)/[1]!S_SHARE_TOTAL($H$3,I51)))</f>
        <v>#N/A</v>
      </c>
      <c r="I51" s="275">
        <f ca="1">--[1]!td(I50-$N$2)</f>
        <v>45741</v>
      </c>
      <c r="J51" s="129">
        <f ca="1">IF([1]!S_DQ_CLOSE(公司分析!$D$4,I51,$M$2)=0,NA(),[1]!S_DQ_CLOSE(公司分析!$D$4,I51,$M$2))</f>
        <v>18.399999999999999</v>
      </c>
      <c r="K51" s="129" t="e">
        <f t="shared" ca="1" si="5"/>
        <v>#N/A</v>
      </c>
      <c r="L51" s="129" t="e">
        <f t="shared" ca="1" si="1"/>
        <v>#N/A</v>
      </c>
      <c r="M51" s="322" t="e">
        <f t="shared" ca="1" si="2"/>
        <v>#N/A</v>
      </c>
      <c r="N51" s="325">
        <f t="shared" ca="1" si="3"/>
        <v>0.19869706840390866</v>
      </c>
      <c r="O51" s="326">
        <f t="shared" ca="1" si="7"/>
        <v>5.2286115061508376E-3</v>
      </c>
      <c r="P51" s="122"/>
      <c r="Q51" s="122"/>
      <c r="R51" s="281">
        <f ca="1">IF([1]!S_DQ_CLOSE($S$3,I51,$M$2)=0,NA(),[1]!S_DQ_CLOSE($S$3,I51,$M$2))</f>
        <v>3932.2950999999998</v>
      </c>
      <c r="S51" s="122"/>
      <c r="T51" s="122"/>
      <c r="U51" s="301"/>
      <c r="V51" s="260">
        <f t="shared" ca="1" si="4"/>
        <v>0</v>
      </c>
      <c r="W51" s="348" t="str">
        <f>IF(板块成分!B53="","",板块成分!B53)</f>
        <v>000078.SZ</v>
      </c>
      <c r="X51" s="276" t="str">
        <f>[1]!S_Info_Name(W51)</f>
        <v>海王生物</v>
      </c>
      <c r="Y51" s="276" t="str">
        <f ca="1">IF($Y$3="申万一级行业",[1]!s_info_industry_sw_2021(W51,公司分析!D$5,1),IF($Y$3="申万二级行业",[1]!s_info_industry_sw_2021(W51,公司分析!D$5,2),IF($Y$3="申万三级行业",[1]!s_info_industry_sw_2021(W51,公司分析!D$5,3),IF($Y$3="wind一级行业",[1]!s_info_industry_gics(W51,1),IF($Y$3="wind二级行业",[1]!s_info_industry_gics(W51,2),IF($Y$3="wind三级行业",[1]!s_info_industry_gics(W51,3),IF($Y$3="wind四级行业",[1]!s_info_industry_gics(W51,4),IF($Y$3="证监会门类行业",[1]!s_info_industry_csrc12_n(W51,公司分析!D$5,1),""))))))))</f>
        <v>医药商业</v>
      </c>
      <c r="Z51" s="302" t="str">
        <f ca="1">IF(Y51=行业比较!$E$6,ROW(),"")</f>
        <v/>
      </c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</row>
    <row r="52" spans="2:42">
      <c r="B52" s="287">
        <v>39</v>
      </c>
      <c r="C52" s="276" t="s">
        <v>435</v>
      </c>
      <c r="D52" s="260">
        <f t="shared" si="6"/>
        <v>39</v>
      </c>
      <c r="E52" s="122"/>
      <c r="F52" s="281"/>
      <c r="G52" s="122"/>
      <c r="H52" s="329" t="e">
        <f ca="1">IF(([1]!S_SHARE_TOTAL($H$3,I52)/[1]!S_SHARE_TOTAL($H$3,I53))/(YEAR(I52)/YEAR(I51))=1,NA(),IF($I$2="PE Band",[1]!S_STM07_IS($H$3,61,YEAR(I52)-1&amp;"-12-31",1)/[1]!S_SHARE_TOTAL($H$3,I52),[1]!S_STM07_BS($H$3,140,YEAR(I52)-1&amp;"-12-31",1)/[1]!S_SHARE_TOTAL($H$3,I52)))</f>
        <v>#N/A</v>
      </c>
      <c r="I52" s="275">
        <f ca="1">--[1]!td(I51-$N$2)</f>
        <v>45734</v>
      </c>
      <c r="J52" s="129">
        <f ca="1">IF([1]!S_DQ_CLOSE(公司分析!$D$4,I52,$M$2)=0,NA(),[1]!S_DQ_CLOSE(公司分析!$D$4,I52,$M$2))</f>
        <v>17.760000000000002</v>
      </c>
      <c r="K52" s="129" t="e">
        <f t="shared" ca="1" si="5"/>
        <v>#N/A</v>
      </c>
      <c r="L52" s="129" t="e">
        <f t="shared" ca="1" si="1"/>
        <v>#N/A</v>
      </c>
      <c r="M52" s="322" t="e">
        <f t="shared" ca="1" si="2"/>
        <v>#N/A</v>
      </c>
      <c r="N52" s="325">
        <f t="shared" ca="1" si="3"/>
        <v>0.15700325732899034</v>
      </c>
      <c r="O52" s="326">
        <f t="shared" ca="1" si="7"/>
        <v>2.4510527215621414E-2</v>
      </c>
      <c r="P52" s="122"/>
      <c r="Q52" s="122"/>
      <c r="R52" s="281">
        <f ca="1">IF([1]!S_DQ_CLOSE($S$3,I52,$M$2)=0,NA(),[1]!S_DQ_CLOSE($S$3,I52,$M$2))</f>
        <v>4007.7229000000002</v>
      </c>
      <c r="S52" s="122"/>
      <c r="T52" s="122"/>
      <c r="U52" s="301"/>
      <c r="V52" s="260">
        <f t="shared" ca="1" si="4"/>
        <v>0</v>
      </c>
      <c r="W52" s="348" t="str">
        <f>IF(板块成分!B54="","",板块成分!B54)</f>
        <v>000088.SZ</v>
      </c>
      <c r="X52" s="276" t="str">
        <f>[1]!S_Info_Name(W52)</f>
        <v>盐田港</v>
      </c>
      <c r="Y52" s="276" t="str">
        <f ca="1">IF($Y$3="申万一级行业",[1]!s_info_industry_sw_2021(W52,公司分析!D$5,1),IF($Y$3="申万二级行业",[1]!s_info_industry_sw_2021(W52,公司分析!D$5,2),IF($Y$3="申万三级行业",[1]!s_info_industry_sw_2021(W52,公司分析!D$5,3),IF($Y$3="wind一级行业",[1]!s_info_industry_gics(W52,1),IF($Y$3="wind二级行业",[1]!s_info_industry_gics(W52,2),IF($Y$3="wind三级行业",[1]!s_info_industry_gics(W52,3),IF($Y$3="wind四级行业",[1]!s_info_industry_gics(W52,4),IF($Y$3="证监会门类行业",[1]!s_info_industry_csrc12_n(W52,公司分析!D$5,1),""))))))))</f>
        <v>航运港口</v>
      </c>
      <c r="Z52" s="302" t="str">
        <f ca="1">IF(Y52=行业比较!$E$6,ROW(),"")</f>
        <v/>
      </c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</row>
    <row r="53" spans="2:42">
      <c r="B53" s="287">
        <v>40</v>
      </c>
      <c r="C53" s="276" t="s">
        <v>436</v>
      </c>
      <c r="D53" s="260">
        <f t="shared" si="6"/>
        <v>40</v>
      </c>
      <c r="E53" s="122"/>
      <c r="F53" s="281"/>
      <c r="G53" s="122"/>
      <c r="H53" s="329" t="e">
        <f ca="1">IF(([1]!S_SHARE_TOTAL($H$3,I53)/[1]!S_SHARE_TOTAL($H$3,I54))/(YEAR(I53)/YEAR(I52))=1,NA(),IF($I$2="PE Band",[1]!S_STM07_IS($H$3,61,YEAR(I53)-1&amp;"-12-31",1)/[1]!S_SHARE_TOTAL($H$3,I53),[1]!S_STM07_BS($H$3,140,YEAR(I53)-1&amp;"-12-31",1)/[1]!S_SHARE_TOTAL($H$3,I53)))</f>
        <v>#N/A</v>
      </c>
      <c r="I53" s="275">
        <f ca="1">--[1]!td(I52-$N$2)</f>
        <v>45727</v>
      </c>
      <c r="J53" s="129">
        <f ca="1">IF([1]!S_DQ_CLOSE(公司分析!$D$4,I53,$M$2)=0,NA(),[1]!S_DQ_CLOSE(公司分析!$D$4,I53,$M$2))</f>
        <v>16.48</v>
      </c>
      <c r="K53" s="129" t="e">
        <f t="shared" ca="1" si="5"/>
        <v>#N/A</v>
      </c>
      <c r="L53" s="129" t="e">
        <f t="shared" ca="1" si="1"/>
        <v>#N/A</v>
      </c>
      <c r="M53" s="322" t="e">
        <f t="shared" ca="1" si="2"/>
        <v>#N/A</v>
      </c>
      <c r="N53" s="325">
        <f t="shared" ca="1" si="3"/>
        <v>7.3615635179153038E-2</v>
      </c>
      <c r="O53" s="326">
        <f t="shared" ca="1" si="7"/>
        <v>7.5601476296995873E-3</v>
      </c>
      <c r="P53" s="122"/>
      <c r="Q53" s="122"/>
      <c r="R53" s="281">
        <f ca="1">IF([1]!S_DQ_CLOSE($S$3,I53,$M$2)=0,NA(),[1]!S_DQ_CLOSE($S$3,I53,$M$2))</f>
        <v>3941.4157</v>
      </c>
      <c r="S53" s="122"/>
      <c r="T53" s="122"/>
      <c r="U53" s="301"/>
      <c r="V53" s="260">
        <f t="shared" ca="1" si="4"/>
        <v>0</v>
      </c>
      <c r="W53" s="348" t="str">
        <f>IF(板块成分!B55="","",板块成分!B55)</f>
        <v>000089.SZ</v>
      </c>
      <c r="X53" s="276" t="str">
        <f>[1]!S_Info_Name(W53)</f>
        <v>深圳机场</v>
      </c>
      <c r="Y53" s="276" t="str">
        <f ca="1">IF($Y$3="申万一级行业",[1]!s_info_industry_sw_2021(W53,公司分析!D$5,1),IF($Y$3="申万二级行业",[1]!s_info_industry_sw_2021(W53,公司分析!D$5,2),IF($Y$3="申万三级行业",[1]!s_info_industry_sw_2021(W53,公司分析!D$5,3),IF($Y$3="wind一级行业",[1]!s_info_industry_gics(W53,1),IF($Y$3="wind二级行业",[1]!s_info_industry_gics(W53,2),IF($Y$3="wind三级行业",[1]!s_info_industry_gics(W53,3),IF($Y$3="wind四级行业",[1]!s_info_industry_gics(W53,4),IF($Y$3="证监会门类行业",[1]!s_info_industry_csrc12_n(W53,公司分析!D$5,1),""))))))))</f>
        <v>航空机场</v>
      </c>
      <c r="Z53" s="302" t="str">
        <f ca="1">IF(Y53=行业比较!$E$6,ROW(),"")</f>
        <v/>
      </c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</row>
    <row r="54" spans="2:42">
      <c r="B54" s="287">
        <v>41</v>
      </c>
      <c r="C54" s="276" t="s">
        <v>437</v>
      </c>
      <c r="D54" s="260">
        <f t="shared" si="6"/>
        <v>41</v>
      </c>
      <c r="E54" s="122"/>
      <c r="F54" s="281"/>
      <c r="G54" s="122"/>
      <c r="H54" s="329" t="e">
        <f ca="1">IF(([1]!S_SHARE_TOTAL($H$3,I54)/[1]!S_SHARE_TOTAL($H$3,I55))/(YEAR(I54)/YEAR(I53))=1,NA(),IF($I$2="PE Band",[1]!S_STM07_IS($H$3,61,YEAR(I54)-1&amp;"-12-31",1)/[1]!S_SHARE_TOTAL($H$3,I54),[1]!S_STM07_BS($H$3,140,YEAR(I54)-1&amp;"-12-31",1)/[1]!S_SHARE_TOTAL($H$3,I54)))</f>
        <v>#N/A</v>
      </c>
      <c r="I54" s="275">
        <f ca="1">--[1]!td(I53-$N$2)</f>
        <v>45720</v>
      </c>
      <c r="J54" s="129">
        <f ca="1">IF([1]!S_DQ_CLOSE(公司分析!$D$4,I54,$M$2)=0,NA(),[1]!S_DQ_CLOSE(公司分析!$D$4,I54,$M$2))</f>
        <v>15.93</v>
      </c>
      <c r="K54" s="129" t="e">
        <f t="shared" ca="1" si="5"/>
        <v>#N/A</v>
      </c>
      <c r="L54" s="129" t="e">
        <f t="shared" ca="1" si="1"/>
        <v>#N/A</v>
      </c>
      <c r="M54" s="322" t="e">
        <f t="shared" ca="1" si="2"/>
        <v>#N/A</v>
      </c>
      <c r="N54" s="325">
        <f t="shared" ca="1" si="3"/>
        <v>3.7785016286644879E-2</v>
      </c>
      <c r="O54" s="326">
        <f t="shared" ca="1" si="7"/>
        <v>-6.8051835227684876E-3</v>
      </c>
      <c r="P54" s="122"/>
      <c r="Q54" s="122"/>
      <c r="R54" s="281">
        <f ca="1">IF([1]!S_DQ_CLOSE($S$3,I54,$M$2)=0,NA(),[1]!S_DQ_CLOSE($S$3,I54,$M$2))</f>
        <v>3885.2208000000001</v>
      </c>
      <c r="S54" s="122"/>
      <c r="T54" s="122"/>
      <c r="U54" s="301"/>
      <c r="V54" s="260">
        <f t="shared" ca="1" si="4"/>
        <v>0</v>
      </c>
      <c r="W54" s="348" t="str">
        <f>IF(板块成分!B56="","",板块成分!B56)</f>
        <v>000090.SZ</v>
      </c>
      <c r="X54" s="276" t="str">
        <f>[1]!S_Info_Name(W54)</f>
        <v>天健集团</v>
      </c>
      <c r="Y54" s="276" t="str">
        <f ca="1">IF($Y$3="申万一级行业",[1]!s_info_industry_sw_2021(W54,公司分析!D$5,1),IF($Y$3="申万二级行业",[1]!s_info_industry_sw_2021(W54,公司分析!D$5,2),IF($Y$3="申万三级行业",[1]!s_info_industry_sw_2021(W54,公司分析!D$5,3),IF($Y$3="wind一级行业",[1]!s_info_industry_gics(W54,1),IF($Y$3="wind二级行业",[1]!s_info_industry_gics(W54,2),IF($Y$3="wind三级行业",[1]!s_info_industry_gics(W54,3),IF($Y$3="wind四级行业",[1]!s_info_industry_gics(W54,4),IF($Y$3="证监会门类行业",[1]!s_info_industry_csrc12_n(W54,公司分析!D$5,1),""))))))))</f>
        <v>房地产开发</v>
      </c>
      <c r="Z54" s="302" t="str">
        <f ca="1">IF(Y54=行业比较!$E$6,ROW(),"")</f>
        <v/>
      </c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</row>
    <row r="55" spans="2:42">
      <c r="B55" s="287">
        <v>42</v>
      </c>
      <c r="C55" s="276" t="s">
        <v>438</v>
      </c>
      <c r="D55" s="260">
        <f t="shared" si="6"/>
        <v>42</v>
      </c>
      <c r="E55" s="122"/>
      <c r="F55" s="281"/>
      <c r="G55" s="122"/>
      <c r="H55" s="329" t="e">
        <f ca="1">IF(([1]!S_SHARE_TOTAL($H$3,I55)/[1]!S_SHARE_TOTAL($H$3,I56))/(YEAR(I55)/YEAR(I54))=1,NA(),IF($I$2="PE Band",[1]!S_STM07_IS($H$3,61,YEAR(I55)-1&amp;"-12-31",1)/[1]!S_SHARE_TOTAL($H$3,I55),[1]!S_STM07_BS($H$3,140,YEAR(I55)-1&amp;"-12-31",1)/[1]!S_SHARE_TOTAL($H$3,I55)))</f>
        <v>#N/A</v>
      </c>
      <c r="I55" s="275">
        <f ca="1">--[1]!td(I54-$N$2)</f>
        <v>45713</v>
      </c>
      <c r="J55" s="129">
        <f ca="1">IF([1]!S_DQ_CLOSE(公司分析!$D$4,I55,$M$2)=0,NA(),[1]!S_DQ_CLOSE(公司分析!$D$4,I55,$M$2))</f>
        <v>15.78</v>
      </c>
      <c r="K55" s="129" t="e">
        <f t="shared" ca="1" si="5"/>
        <v>#N/A</v>
      </c>
      <c r="L55" s="129" t="e">
        <f t="shared" ca="1" si="1"/>
        <v>#N/A</v>
      </c>
      <c r="M55" s="322" t="e">
        <f t="shared" ca="1" si="2"/>
        <v>#N/A</v>
      </c>
      <c r="N55" s="325">
        <f t="shared" ca="1" si="3"/>
        <v>2.8013029315960836E-2</v>
      </c>
      <c r="O55" s="326">
        <f t="shared" ca="1" si="7"/>
        <v>3.5300253466294951E-3</v>
      </c>
      <c r="P55" s="122"/>
      <c r="Q55" s="122"/>
      <c r="R55" s="281">
        <f ca="1">IF([1]!S_DQ_CLOSE($S$3,I55,$M$2)=0,NA(),[1]!S_DQ_CLOSE($S$3,I55,$M$2))</f>
        <v>3925.6505000000002</v>
      </c>
      <c r="S55" s="122"/>
      <c r="T55" s="122"/>
      <c r="U55" s="301"/>
      <c r="V55" s="260">
        <f t="shared" ca="1" si="4"/>
        <v>0</v>
      </c>
      <c r="W55" s="348" t="str">
        <f>IF(板块成分!B57="","",板块成分!B57)</f>
        <v>000096.SZ</v>
      </c>
      <c r="X55" s="276" t="str">
        <f>[1]!S_Info_Name(W55)</f>
        <v>广聚能源</v>
      </c>
      <c r="Y55" s="276" t="str">
        <f ca="1">IF($Y$3="申万一级行业",[1]!s_info_industry_sw_2021(W55,公司分析!D$5,1),IF($Y$3="申万二级行业",[1]!s_info_industry_sw_2021(W55,公司分析!D$5,2),IF($Y$3="申万三级行业",[1]!s_info_industry_sw_2021(W55,公司分析!D$5,3),IF($Y$3="wind一级行业",[1]!s_info_industry_gics(W55,1),IF($Y$3="wind二级行业",[1]!s_info_industry_gics(W55,2),IF($Y$3="wind三级行业",[1]!s_info_industry_gics(W55,3),IF($Y$3="wind四级行业",[1]!s_info_industry_gics(W55,4),IF($Y$3="证监会门类行业",[1]!s_info_industry_csrc12_n(W55,公司分析!D$5,1),""))))))))</f>
        <v>炼化及贸易</v>
      </c>
      <c r="Z55" s="302" t="str">
        <f ca="1">IF(Y55=行业比较!$E$6,ROW(),"")</f>
        <v/>
      </c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</row>
    <row r="56" spans="2:42">
      <c r="B56" s="287">
        <v>43</v>
      </c>
      <c r="C56" s="276" t="s">
        <v>439</v>
      </c>
      <c r="D56" s="260">
        <f t="shared" si="6"/>
        <v>43</v>
      </c>
      <c r="E56" s="122"/>
      <c r="F56" s="281"/>
      <c r="G56" s="122"/>
      <c r="H56" s="329" t="e">
        <f ca="1">IF(([1]!S_SHARE_TOTAL($H$3,I56)/[1]!S_SHARE_TOTAL($H$3,I57))/(YEAR(I56)/YEAR(I55))=1,NA(),IF($I$2="PE Band",[1]!S_STM07_IS($H$3,61,YEAR(I56)-1&amp;"-12-31",1)/[1]!S_SHARE_TOTAL($H$3,I56),[1]!S_STM07_BS($H$3,140,YEAR(I56)-1&amp;"-12-31",1)/[1]!S_SHARE_TOTAL($H$3,I56)))</f>
        <v>#N/A</v>
      </c>
      <c r="I56" s="275">
        <f ca="1">--[1]!td(I55-$N$2)</f>
        <v>45706</v>
      </c>
      <c r="J56" s="129">
        <f ca="1">IF([1]!S_DQ_CLOSE(公司分析!$D$4,I56,$M$2)=0,NA(),[1]!S_DQ_CLOSE(公司分析!$D$4,I56,$M$2))</f>
        <v>16.41</v>
      </c>
      <c r="K56" s="129" t="e">
        <f t="shared" ca="1" si="5"/>
        <v>#N/A</v>
      </c>
      <c r="L56" s="129" t="e">
        <f t="shared" ca="1" si="1"/>
        <v>#N/A</v>
      </c>
      <c r="M56" s="322" t="e">
        <f t="shared" ca="1" si="2"/>
        <v>#N/A</v>
      </c>
      <c r="N56" s="325">
        <f t="shared" ca="1" si="3"/>
        <v>6.9055374592833951E-2</v>
      </c>
      <c r="O56" s="326">
        <f t="shared" ca="1" si="7"/>
        <v>2.4062835264082594E-4</v>
      </c>
      <c r="P56" s="122"/>
      <c r="Q56" s="122"/>
      <c r="R56" s="281">
        <f ca="1">IF([1]!S_DQ_CLOSE($S$3,I56,$M$2)=0,NA(),[1]!S_DQ_CLOSE($S$3,I56,$M$2))</f>
        <v>3912.7829000000002</v>
      </c>
      <c r="S56" s="122"/>
      <c r="T56" s="122"/>
      <c r="U56" s="301"/>
      <c r="V56" s="260">
        <f t="shared" ca="1" si="4"/>
        <v>0</v>
      </c>
      <c r="W56" s="348" t="str">
        <f>IF(板块成分!B58="","",板块成分!B58)</f>
        <v>000099.SZ</v>
      </c>
      <c r="X56" s="276" t="str">
        <f>[1]!S_Info_Name(W56)</f>
        <v>中信海直</v>
      </c>
      <c r="Y56" s="276" t="str">
        <f ca="1">IF($Y$3="申万一级行业",[1]!s_info_industry_sw_2021(W56,公司分析!D$5,1),IF($Y$3="申万二级行业",[1]!s_info_industry_sw_2021(W56,公司分析!D$5,2),IF($Y$3="申万三级行业",[1]!s_info_industry_sw_2021(W56,公司分析!D$5,3),IF($Y$3="wind一级行业",[1]!s_info_industry_gics(W56,1),IF($Y$3="wind二级行业",[1]!s_info_industry_gics(W56,2),IF($Y$3="wind三级行业",[1]!s_info_industry_gics(W56,3),IF($Y$3="wind四级行业",[1]!s_info_industry_gics(W56,4),IF($Y$3="证监会门类行业",[1]!s_info_industry_csrc12_n(W56,公司分析!D$5,1),""))))))))</f>
        <v>航空机场</v>
      </c>
      <c r="Z56" s="302" t="str">
        <f ca="1">IF(Y56=行业比较!$E$6,ROW(),"")</f>
        <v/>
      </c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</row>
    <row r="57" spans="2:42">
      <c r="B57" s="287">
        <v>44</v>
      </c>
      <c r="C57" s="276" t="s">
        <v>440</v>
      </c>
      <c r="D57" s="260">
        <f t="shared" si="6"/>
        <v>44</v>
      </c>
      <c r="E57" s="122"/>
      <c r="F57" s="281"/>
      <c r="G57" s="122"/>
      <c r="H57" s="329" t="e">
        <f ca="1">IF(([1]!S_SHARE_TOTAL($H$3,I57)/[1]!S_SHARE_TOTAL($H$3,I58))/(YEAR(I57)/YEAR(I56))=1,NA(),IF($I$2="PE Band",[1]!S_STM07_IS($H$3,61,YEAR(I57)-1&amp;"-12-31",1)/[1]!S_SHARE_TOTAL($H$3,I57),[1]!S_STM07_BS($H$3,140,YEAR(I57)-1&amp;"-12-31",1)/[1]!S_SHARE_TOTAL($H$3,I57)))</f>
        <v>#N/A</v>
      </c>
      <c r="I57" s="275">
        <f ca="1">--[1]!td(I56-$N$2)</f>
        <v>45699</v>
      </c>
      <c r="J57" s="129">
        <f ca="1">IF([1]!S_DQ_CLOSE(公司分析!$D$4,I57,$M$2)=0,NA(),[1]!S_DQ_CLOSE(公司分析!$D$4,I57,$M$2))</f>
        <v>17.28</v>
      </c>
      <c r="K57" s="129" t="e">
        <f t="shared" ca="1" si="5"/>
        <v>#N/A</v>
      </c>
      <c r="L57" s="129" t="e">
        <f t="shared" ca="1" si="1"/>
        <v>#N/A</v>
      </c>
      <c r="M57" s="322" t="e">
        <f t="shared" ca="1" si="2"/>
        <v>#N/A</v>
      </c>
      <c r="N57" s="325">
        <f t="shared" ca="1" si="3"/>
        <v>0.12573289902280149</v>
      </c>
      <c r="O57" s="326">
        <f t="shared" ca="1" si="7"/>
        <v>-7.3383339448100937E-3</v>
      </c>
      <c r="P57" s="122"/>
      <c r="Q57" s="122"/>
      <c r="R57" s="281">
        <f ca="1">IF([1]!S_DQ_CLOSE($S$3,I57,$M$2)=0,NA(),[1]!S_DQ_CLOSE($S$3,I57,$M$2))</f>
        <v>3883.1352000000002</v>
      </c>
      <c r="S57" s="122"/>
      <c r="T57" s="122"/>
      <c r="U57" s="301"/>
      <c r="V57" s="260">
        <f t="shared" ca="1" si="4"/>
        <v>0</v>
      </c>
      <c r="W57" s="348" t="str">
        <f>IF(板块成分!B59="","",板块成分!B59)</f>
        <v>000100.SZ</v>
      </c>
      <c r="X57" s="276" t="str">
        <f>[1]!S_Info_Name(W57)</f>
        <v>TCL科技</v>
      </c>
      <c r="Y57" s="276" t="str">
        <f ca="1">IF($Y$3="申万一级行业",[1]!s_info_industry_sw_2021(W57,公司分析!D$5,1),IF($Y$3="申万二级行业",[1]!s_info_industry_sw_2021(W57,公司分析!D$5,2),IF($Y$3="申万三级行业",[1]!s_info_industry_sw_2021(W57,公司分析!D$5,3),IF($Y$3="wind一级行业",[1]!s_info_industry_gics(W57,1),IF($Y$3="wind二级行业",[1]!s_info_industry_gics(W57,2),IF($Y$3="wind三级行业",[1]!s_info_industry_gics(W57,3),IF($Y$3="wind四级行业",[1]!s_info_industry_gics(W57,4),IF($Y$3="证监会门类行业",[1]!s_info_industry_csrc12_n(W57,公司分析!D$5,1),""))))))))</f>
        <v>光学光电子</v>
      </c>
      <c r="Z57" s="302" t="str">
        <f ca="1">IF(Y57=行业比较!$E$6,ROW(),"")</f>
        <v/>
      </c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</row>
    <row r="58" spans="2:42">
      <c r="B58" s="287">
        <v>45</v>
      </c>
      <c r="C58" s="276" t="s">
        <v>441</v>
      </c>
      <c r="D58" s="260">
        <f t="shared" si="6"/>
        <v>45</v>
      </c>
      <c r="E58" s="122"/>
      <c r="F58" s="281"/>
      <c r="G58" s="122"/>
      <c r="H58" s="329" t="e">
        <f ca="1">IF(([1]!S_SHARE_TOTAL($H$3,I58)/[1]!S_SHARE_TOTAL($H$3,I59))/(YEAR(I58)/YEAR(I57))=1,NA(),IF($I$2="PE Band",[1]!S_STM07_IS($H$3,61,YEAR(I58)-1&amp;"-12-31",1)/[1]!S_SHARE_TOTAL($H$3,I58),[1]!S_STM07_BS($H$3,140,YEAR(I58)-1&amp;"-12-31",1)/[1]!S_SHARE_TOTAL($H$3,I58)))</f>
        <v>#N/A</v>
      </c>
      <c r="I58" s="275">
        <f ca="1">--[1]!td(I57-$N$2)</f>
        <v>45684</v>
      </c>
      <c r="J58" s="129">
        <f ca="1">IF([1]!S_DQ_CLOSE(公司分析!$D$4,I58,$M$2)=0,NA(),[1]!S_DQ_CLOSE(公司分析!$D$4,I58,$M$2))</f>
        <v>16.239999999999998</v>
      </c>
      <c r="K58" s="129" t="e">
        <f t="shared" ca="1" si="5"/>
        <v>#N/A</v>
      </c>
      <c r="L58" s="129" t="e">
        <f t="shared" ca="1" si="1"/>
        <v>#N/A</v>
      </c>
      <c r="M58" s="322" t="e">
        <f t="shared" ca="1" si="2"/>
        <v>#N/A</v>
      </c>
      <c r="N58" s="325">
        <f t="shared" ca="1" si="3"/>
        <v>5.7980456026058613E-2</v>
      </c>
      <c r="O58" s="326">
        <f t="shared" ca="1" si="7"/>
        <v>-2.4224242617594816E-2</v>
      </c>
      <c r="P58" s="122"/>
      <c r="Q58" s="122"/>
      <c r="R58" s="281">
        <f ca="1">IF([1]!S_DQ_CLOSE($S$3,I58,$M$2)=0,NA(),[1]!S_DQ_CLOSE($S$3,I58,$M$2))</f>
        <v>3817.0801999999999</v>
      </c>
      <c r="S58" s="122"/>
      <c r="T58" s="122"/>
      <c r="U58" s="301"/>
      <c r="V58" s="260">
        <f t="shared" ca="1" si="4"/>
        <v>0</v>
      </c>
      <c r="W58" s="348" t="str">
        <f>IF(板块成分!B60="","",板块成分!B60)</f>
        <v>000151.SZ</v>
      </c>
      <c r="X58" s="276" t="str">
        <f>[1]!S_Info_Name(W58)</f>
        <v>中成股份</v>
      </c>
      <c r="Y58" s="276" t="str">
        <f ca="1">IF($Y$3="申万一级行业",[1]!s_info_industry_sw_2021(W58,公司分析!D$5,1),IF($Y$3="申万二级行业",[1]!s_info_industry_sw_2021(W58,公司分析!D$5,2),IF($Y$3="申万三级行业",[1]!s_info_industry_sw_2021(W58,公司分析!D$5,3),IF($Y$3="wind一级行业",[1]!s_info_industry_gics(W58,1),IF($Y$3="wind二级行业",[1]!s_info_industry_gics(W58,2),IF($Y$3="wind三级行业",[1]!s_info_industry_gics(W58,3),IF($Y$3="wind四级行业",[1]!s_info_industry_gics(W58,4),IF($Y$3="证监会门类行业",[1]!s_info_industry_csrc12_n(W58,公司分析!D$5,1),""))))))))</f>
        <v>贸易Ⅱ</v>
      </c>
      <c r="Z58" s="302" t="str">
        <f ca="1">IF(Y58=行业比较!$E$6,ROW(),"")</f>
        <v/>
      </c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</row>
    <row r="59" spans="2:42">
      <c r="B59" s="287">
        <v>46</v>
      </c>
      <c r="C59" s="276" t="s">
        <v>442</v>
      </c>
      <c r="D59" s="260">
        <f t="shared" si="6"/>
        <v>46</v>
      </c>
      <c r="E59" s="122"/>
      <c r="F59" s="281"/>
      <c r="G59" s="122"/>
      <c r="H59" s="329">
        <f ca="1">IF(([1]!S_SHARE_TOTAL($H$3,I59)/[1]!S_SHARE_TOTAL($H$3,I60))/(YEAR(I59)/YEAR(I58))=1,NA(),IF($I$2="PE Band",[1]!S_STM07_IS($H$3,61,YEAR(I59)-1&amp;"-12-31",1)/[1]!S_SHARE_TOTAL($H$3,I59),[1]!S_STM07_BS($H$3,140,YEAR(I59)-1&amp;"-12-31",1)/[1]!S_SHARE_TOTAL($H$3,I59)))</f>
        <v>1.2059265646050159</v>
      </c>
      <c r="I59" s="275">
        <f ca="1">--[1]!td(I58-$N$2)</f>
        <v>45677</v>
      </c>
      <c r="J59" s="129">
        <f ca="1">IF([1]!S_DQ_CLOSE(公司分析!$D$4,I59,$M$2)=0,NA(),[1]!S_DQ_CLOSE(公司分析!$D$4,I59,$M$2))</f>
        <v>16.29</v>
      </c>
      <c r="K59" s="129">
        <f t="shared" ca="1" si="5"/>
        <v>9.6474125168401272</v>
      </c>
      <c r="L59" s="129">
        <f t="shared" ca="1" si="1"/>
        <v>24.118531292100318</v>
      </c>
      <c r="M59" s="322">
        <f t="shared" ca="1" si="2"/>
        <v>38.589650067360509</v>
      </c>
      <c r="N59" s="325">
        <f t="shared" ca="1" si="3"/>
        <v>6.1237785016286628E-2</v>
      </c>
      <c r="O59" s="326">
        <f t="shared" ca="1" si="7"/>
        <v>-2.1004224710939323E-2</v>
      </c>
      <c r="P59" s="122"/>
      <c r="Q59" s="122"/>
      <c r="R59" s="281">
        <f ca="1">IF([1]!S_DQ_CLOSE($S$3,I59,$M$2)=0,NA(),[1]!S_DQ_CLOSE($S$3,I59,$M$2))</f>
        <v>3829.6763999999998</v>
      </c>
      <c r="S59" s="122"/>
      <c r="T59" s="122"/>
      <c r="U59" s="301"/>
      <c r="V59" s="260">
        <f t="shared" ca="1" si="4"/>
        <v>0</v>
      </c>
      <c r="W59" s="348" t="str">
        <f>IF(板块成分!B61="","",板块成分!B61)</f>
        <v>000153.SZ</v>
      </c>
      <c r="X59" s="276" t="str">
        <f>[1]!S_Info_Name(W59)</f>
        <v>丰原药业</v>
      </c>
      <c r="Y59" s="276" t="str">
        <f ca="1">IF($Y$3="申万一级行业",[1]!s_info_industry_sw_2021(W59,公司分析!D$5,1),IF($Y$3="申万二级行业",[1]!s_info_industry_sw_2021(W59,公司分析!D$5,2),IF($Y$3="申万三级行业",[1]!s_info_industry_sw_2021(W59,公司分析!D$5,3),IF($Y$3="wind一级行业",[1]!s_info_industry_gics(W59,1),IF($Y$3="wind二级行业",[1]!s_info_industry_gics(W59,2),IF($Y$3="wind三级行业",[1]!s_info_industry_gics(W59,3),IF($Y$3="wind四级行业",[1]!s_info_industry_gics(W59,4),IF($Y$3="证监会门类行业",[1]!s_info_industry_csrc12_n(W59,公司分析!D$5,1),""))))))))</f>
        <v>化学制药</v>
      </c>
      <c r="Z59" s="302" t="str">
        <f ca="1">IF(Y59=行业比较!$E$6,ROW(),"")</f>
        <v/>
      </c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/>
      <c r="AL59" s="122"/>
      <c r="AM59" s="122"/>
      <c r="AN59" s="122"/>
      <c r="AO59" s="122"/>
      <c r="AP59" s="122"/>
    </row>
    <row r="60" spans="2:42">
      <c r="B60" s="287">
        <v>47</v>
      </c>
      <c r="C60" s="276" t="s">
        <v>443</v>
      </c>
      <c r="D60" s="260">
        <f t="shared" si="6"/>
        <v>47</v>
      </c>
      <c r="E60" s="122"/>
      <c r="F60" s="281"/>
      <c r="G60" s="122"/>
      <c r="H60" s="329" t="e">
        <f ca="1">IF(([1]!S_SHARE_TOTAL($H$3,I60)/[1]!S_SHARE_TOTAL($H$3,I61))/(YEAR(I60)/YEAR(I59))=1,NA(),IF($I$2="PE Band",[1]!S_STM07_IS($H$3,61,YEAR(I60)-1&amp;"-12-31",1)/[1]!S_SHARE_TOTAL($H$3,I60),[1]!S_STM07_BS($H$3,140,YEAR(I60)-1&amp;"-12-31",1)/[1]!S_SHARE_TOTAL($H$3,I60)))</f>
        <v>#N/A</v>
      </c>
      <c r="I60" s="275">
        <f ca="1">--[1]!td(I59-$N$2)</f>
        <v>45670</v>
      </c>
      <c r="J60" s="129">
        <f ca="1">IF([1]!S_DQ_CLOSE(公司分析!$D$4,I60,$M$2)=0,NA(),[1]!S_DQ_CLOSE(公司分析!$D$4,I60,$M$2))</f>
        <v>16.399999999999999</v>
      </c>
      <c r="K60" s="129" t="e">
        <f t="shared" ca="1" si="5"/>
        <v>#N/A</v>
      </c>
      <c r="L60" s="129" t="e">
        <f t="shared" ca="1" si="1"/>
        <v>#N/A</v>
      </c>
      <c r="M60" s="322" t="e">
        <f t="shared" ca="1" si="2"/>
        <v>#N/A</v>
      </c>
      <c r="N60" s="325">
        <f t="shared" ca="1" si="3"/>
        <v>6.8403908794788304E-2</v>
      </c>
      <c r="O60" s="326">
        <f t="shared" ca="1" si="7"/>
        <v>-4.8398841098269529E-2</v>
      </c>
      <c r="P60" s="122"/>
      <c r="Q60" s="122"/>
      <c r="R60" s="281">
        <f ca="1">IF([1]!S_DQ_CLOSE($S$3,I60,$M$2)=0,NA(),[1]!S_DQ_CLOSE($S$3,I60,$M$2))</f>
        <v>3722.5129999999999</v>
      </c>
      <c r="S60" s="122"/>
      <c r="T60" s="122"/>
      <c r="U60" s="301"/>
      <c r="V60" s="260">
        <f t="shared" ca="1" si="4"/>
        <v>0</v>
      </c>
      <c r="W60" s="348" t="str">
        <f>IF(板块成分!B62="","",板块成分!B62)</f>
        <v>000155.SZ</v>
      </c>
      <c r="X60" s="276" t="str">
        <f>[1]!S_Info_Name(W60)</f>
        <v>川能动力</v>
      </c>
      <c r="Y60" s="276" t="str">
        <f ca="1">IF($Y$3="申万一级行业",[1]!s_info_industry_sw_2021(W60,公司分析!D$5,1),IF($Y$3="申万二级行业",[1]!s_info_industry_sw_2021(W60,公司分析!D$5,2),IF($Y$3="申万三级行业",[1]!s_info_industry_sw_2021(W60,公司分析!D$5,3),IF($Y$3="wind一级行业",[1]!s_info_industry_gics(W60,1),IF($Y$3="wind二级行业",[1]!s_info_industry_gics(W60,2),IF($Y$3="wind三级行业",[1]!s_info_industry_gics(W60,3),IF($Y$3="wind四级行业",[1]!s_info_industry_gics(W60,4),IF($Y$3="证监会门类行业",[1]!s_info_industry_csrc12_n(W60,公司分析!D$5,1),""))))))))</f>
        <v>电力</v>
      </c>
      <c r="Z60" s="302" t="str">
        <f ca="1">IF(Y60=行业比较!$E$6,ROW(),"")</f>
        <v/>
      </c>
      <c r="AA60" s="122"/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22"/>
      <c r="AN60" s="122"/>
      <c r="AO60" s="122"/>
      <c r="AP60" s="122"/>
    </row>
    <row r="61" spans="2:42">
      <c r="B61" s="287">
        <v>48</v>
      </c>
      <c r="C61" s="276" t="s">
        <v>444</v>
      </c>
      <c r="D61" s="260">
        <f t="shared" si="6"/>
        <v>48</v>
      </c>
      <c r="E61" s="122"/>
      <c r="F61" s="281"/>
      <c r="G61" s="122"/>
      <c r="H61" s="329" t="e">
        <f ca="1">IF(([1]!S_SHARE_TOTAL($H$3,I61)/[1]!S_SHARE_TOTAL($H$3,I62))/(YEAR(I61)/YEAR(I60))=1,NA(),IF($I$2="PE Band",[1]!S_STM07_IS($H$3,61,YEAR(I61)-1&amp;"-12-31",1)/[1]!S_SHARE_TOTAL($H$3,I61),[1]!S_STM07_BS($H$3,140,YEAR(I61)-1&amp;"-12-31",1)/[1]!S_SHARE_TOTAL($H$3,I61)))</f>
        <v>#N/A</v>
      </c>
      <c r="I61" s="275">
        <f ca="1">--[1]!td(I60-$N$2)</f>
        <v>45663</v>
      </c>
      <c r="J61" s="129">
        <f ca="1">IF([1]!S_DQ_CLOSE(公司分析!$D$4,I61,$M$2)=0,NA(),[1]!S_DQ_CLOSE(公司分析!$D$4,I61,$M$2))</f>
        <v>15.49</v>
      </c>
      <c r="K61" s="129" t="e">
        <f t="shared" ca="1" si="5"/>
        <v>#N/A</v>
      </c>
      <c r="L61" s="129" t="e">
        <f t="shared" ca="1" si="1"/>
        <v>#N/A</v>
      </c>
      <c r="M61" s="322" t="e">
        <f t="shared" ca="1" si="2"/>
        <v>#N/A</v>
      </c>
      <c r="N61" s="325">
        <f t="shared" ca="1" si="3"/>
        <v>9.1205211726383961E-3</v>
      </c>
      <c r="O61" s="326">
        <f t="shared" ca="1" si="7"/>
        <v>-3.6522925672655027E-2</v>
      </c>
      <c r="P61" s="122"/>
      <c r="Q61" s="122"/>
      <c r="R61" s="281">
        <f ca="1">IF([1]!S_DQ_CLOSE($S$3,I61,$M$2)=0,NA(),[1]!S_DQ_CLOSE($S$3,I61,$M$2))</f>
        <v>3768.9697000000001</v>
      </c>
      <c r="S61" s="122"/>
      <c r="T61" s="122"/>
      <c r="U61" s="301"/>
      <c r="V61" s="260">
        <f t="shared" ca="1" si="4"/>
        <v>0</v>
      </c>
      <c r="W61" s="348" t="str">
        <f>IF(板块成分!B63="","",板块成分!B63)</f>
        <v>000156.SZ</v>
      </c>
      <c r="X61" s="276" t="str">
        <f>[1]!S_Info_Name(W61)</f>
        <v>华数传媒</v>
      </c>
      <c r="Y61" s="276" t="str">
        <f ca="1">IF($Y$3="申万一级行业",[1]!s_info_industry_sw_2021(W61,公司分析!D$5,1),IF($Y$3="申万二级行业",[1]!s_info_industry_sw_2021(W61,公司分析!D$5,2),IF($Y$3="申万三级行业",[1]!s_info_industry_sw_2021(W61,公司分析!D$5,3),IF($Y$3="wind一级行业",[1]!s_info_industry_gics(W61,1),IF($Y$3="wind二级行业",[1]!s_info_industry_gics(W61,2),IF($Y$3="wind三级行业",[1]!s_info_industry_gics(W61,3),IF($Y$3="wind四级行业",[1]!s_info_industry_gics(W61,4),IF($Y$3="证监会门类行业",[1]!s_info_industry_csrc12_n(W61,公司分析!D$5,1),""))))))))</f>
        <v>电视广播Ⅱ</v>
      </c>
      <c r="Z61" s="302" t="str">
        <f ca="1">IF(Y61=行业比较!$E$6,ROW(),"")</f>
        <v/>
      </c>
      <c r="AA61" s="122"/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22"/>
      <c r="AN61" s="122"/>
      <c r="AO61" s="122"/>
      <c r="AP61" s="122"/>
    </row>
    <row r="62" spans="2:42">
      <c r="B62" s="287">
        <v>49</v>
      </c>
      <c r="C62" s="276" t="s">
        <v>445</v>
      </c>
      <c r="D62" s="260">
        <f t="shared" si="6"/>
        <v>49</v>
      </c>
      <c r="E62" s="122"/>
      <c r="F62" s="281"/>
      <c r="G62" s="122"/>
      <c r="H62" s="329">
        <f ca="1">IF(([1]!S_SHARE_TOTAL($H$3,I62)/[1]!S_SHARE_TOTAL($H$3,I63))/(YEAR(I62)/YEAR(I61))=1,NA(),IF($I$2="PE Band",[1]!S_STM07_IS($H$3,61,YEAR(I62)-1&amp;"-12-31",1)/[1]!S_SHARE_TOTAL($H$3,I62),[1]!S_STM07_BS($H$3,140,YEAR(I62)-1&amp;"-12-31",1)/[1]!S_SHARE_TOTAL($H$3,I62)))</f>
        <v>0.79462366701423959</v>
      </c>
      <c r="I62" s="275">
        <f ca="1">--[1]!td(I61-$N$2)</f>
        <v>45656</v>
      </c>
      <c r="J62" s="129">
        <f ca="1">IF([1]!S_DQ_CLOSE(公司分析!$D$4,I62,$M$2)=0,NA(),[1]!S_DQ_CLOSE(公司分析!$D$4,I62,$M$2))</f>
        <v>15.54</v>
      </c>
      <c r="K62" s="129">
        <f t="shared" ca="1" si="5"/>
        <v>6.3569893361139167</v>
      </c>
      <c r="L62" s="129">
        <f t="shared" ca="1" si="1"/>
        <v>15.892473340284791</v>
      </c>
      <c r="M62" s="322">
        <f t="shared" ca="1" si="2"/>
        <v>25.427957344455667</v>
      </c>
      <c r="N62" s="325">
        <f t="shared" ca="1" si="3"/>
        <v>1.2377850162866411E-2</v>
      </c>
      <c r="O62" s="326">
        <f t="shared" ca="1" si="7"/>
        <v>2.2294691073380779E-2</v>
      </c>
      <c r="P62" s="122"/>
      <c r="Q62" s="122"/>
      <c r="R62" s="281">
        <f ca="1">IF([1]!S_DQ_CLOSE($S$3,I62,$M$2)=0,NA(),[1]!S_DQ_CLOSE($S$3,I62,$M$2))</f>
        <v>3999.0549000000001</v>
      </c>
      <c r="S62" s="122"/>
      <c r="T62" s="122"/>
      <c r="U62" s="301"/>
      <c r="V62" s="260">
        <f t="shared" ca="1" si="4"/>
        <v>0</v>
      </c>
      <c r="W62" s="348" t="str">
        <f>IF(板块成分!B64="","",板块成分!B64)</f>
        <v>000157.SZ</v>
      </c>
      <c r="X62" s="276" t="str">
        <f>[1]!S_Info_Name(W62)</f>
        <v>中联重科</v>
      </c>
      <c r="Y62" s="276" t="str">
        <f ca="1">IF($Y$3="申万一级行业",[1]!s_info_industry_sw_2021(W62,公司分析!D$5,1),IF($Y$3="申万二级行业",[1]!s_info_industry_sw_2021(W62,公司分析!D$5,2),IF($Y$3="申万三级行业",[1]!s_info_industry_sw_2021(W62,公司分析!D$5,3),IF($Y$3="wind一级行业",[1]!s_info_industry_gics(W62,1),IF($Y$3="wind二级行业",[1]!s_info_industry_gics(W62,2),IF($Y$3="wind三级行业",[1]!s_info_industry_gics(W62,3),IF($Y$3="wind四级行业",[1]!s_info_industry_gics(W62,4),IF($Y$3="证监会门类行业",[1]!s_info_industry_csrc12_n(W62,公司分析!D$5,1),""))))))))</f>
        <v>工程机械</v>
      </c>
      <c r="Z62" s="302" t="str">
        <f ca="1">IF(Y62=行业比较!$E$6,ROW(),"")</f>
        <v/>
      </c>
      <c r="AA62" s="122"/>
      <c r="AB62" s="122"/>
      <c r="AC62" s="122"/>
      <c r="AD62" s="122"/>
      <c r="AE62" s="122"/>
      <c r="AF62" s="122"/>
      <c r="AG62" s="122"/>
      <c r="AH62" s="122"/>
      <c r="AI62" s="122"/>
      <c r="AJ62" s="122"/>
      <c r="AK62" s="122"/>
      <c r="AL62" s="122"/>
      <c r="AM62" s="122"/>
      <c r="AN62" s="122"/>
      <c r="AO62" s="122"/>
      <c r="AP62" s="122"/>
    </row>
    <row r="63" spans="2:42">
      <c r="B63" s="287">
        <v>50</v>
      </c>
      <c r="C63" s="276" t="s">
        <v>446</v>
      </c>
      <c r="D63" s="260">
        <f t="shared" si="6"/>
        <v>50</v>
      </c>
      <c r="E63" s="122"/>
      <c r="F63" s="281"/>
      <c r="G63" s="122"/>
      <c r="H63" s="329">
        <f ca="1">[1]!S_STM07_IS($H$3,61,YEAR(I63)-1&amp;"-12-31",1)/[1]!S_SHARE_TOTAL($H$3,I63)</f>
        <v>0.79462366701423959</v>
      </c>
      <c r="I63" s="275">
        <f ca="1">--[1]!td(I62-$N$2)</f>
        <v>45649</v>
      </c>
      <c r="J63" s="129">
        <f ca="1">IF([1]!S_DQ_CLOSE(公司分析!$D$4,I63,$M$2)=0,NA(),[1]!S_DQ_CLOSE(公司分析!$D$4,I63,$M$2))</f>
        <v>15.51</v>
      </c>
      <c r="K63" s="129">
        <f t="shared" ca="1" si="5"/>
        <v>6.3569893361139167</v>
      </c>
      <c r="L63" s="129">
        <f t="shared" ca="1" si="1"/>
        <v>15.892473340284791</v>
      </c>
      <c r="M63" s="322">
        <f t="shared" ca="1" si="2"/>
        <v>25.427957344455667</v>
      </c>
      <c r="N63" s="325">
        <f t="shared" ca="1" si="3"/>
        <v>1.0423452768729691E-2</v>
      </c>
      <c r="O63" s="326">
        <f t="shared" ca="1" si="7"/>
        <v>5.5549795267784141E-3</v>
      </c>
      <c r="P63" s="122"/>
      <c r="Q63" s="122"/>
      <c r="R63" s="281">
        <f ca="1">IF([1]!S_DQ_CLOSE($S$3,I63,$M$2)=0,NA(),[1]!S_DQ_CLOSE($S$3,I63,$M$2))</f>
        <v>3933.5718000000002</v>
      </c>
      <c r="S63" s="122"/>
      <c r="T63" s="122"/>
      <c r="U63" s="301"/>
      <c r="V63" s="260">
        <f t="shared" ca="1" si="4"/>
        <v>0</v>
      </c>
      <c r="W63" s="348" t="str">
        <f>IF(板块成分!B65="","",板块成分!B65)</f>
        <v>000158.SZ</v>
      </c>
      <c r="X63" s="276" t="str">
        <f>[1]!S_Info_Name(W63)</f>
        <v>常山北明</v>
      </c>
      <c r="Y63" s="276" t="str">
        <f ca="1">IF($Y$3="申万一级行业",[1]!s_info_industry_sw_2021(W63,公司分析!D$5,1),IF($Y$3="申万二级行业",[1]!s_info_industry_sw_2021(W63,公司分析!D$5,2),IF($Y$3="申万三级行业",[1]!s_info_industry_sw_2021(W63,公司分析!D$5,3),IF($Y$3="wind一级行业",[1]!s_info_industry_gics(W63,1),IF($Y$3="wind二级行业",[1]!s_info_industry_gics(W63,2),IF($Y$3="wind三级行业",[1]!s_info_industry_gics(W63,3),IF($Y$3="wind四级行业",[1]!s_info_industry_gics(W63,4),IF($Y$3="证监会门类行业",[1]!s_info_industry_csrc12_n(W63,公司分析!D$5,1),""))))))))</f>
        <v>IT服务Ⅱ</v>
      </c>
      <c r="Z63" s="302" t="str">
        <f ca="1">IF(Y63=行业比较!$E$6,ROW(),"")</f>
        <v/>
      </c>
      <c r="AA63" s="122"/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22"/>
      <c r="AN63" s="122"/>
      <c r="AO63" s="122"/>
      <c r="AP63" s="122"/>
    </row>
    <row r="64" spans="2:42">
      <c r="B64" s="287">
        <v>51</v>
      </c>
      <c r="C64" s="276" t="s">
        <v>447</v>
      </c>
      <c r="D64" s="260">
        <f t="shared" si="6"/>
        <v>51</v>
      </c>
      <c r="E64" s="122"/>
      <c r="F64" s="281"/>
      <c r="G64" s="122"/>
      <c r="H64" s="329"/>
      <c r="I64" s="275">
        <f ca="1">--[1]!td(I63-$N$2)</f>
        <v>45642</v>
      </c>
      <c r="J64" s="129">
        <f ca="1">IF([1]!S_DQ_CLOSE(公司分析!$D$4,I64,$M$2)=0,NA(),[1]!S_DQ_CLOSE(公司分析!$D$4,I64,$M$2))</f>
        <v>15.35</v>
      </c>
      <c r="K64" s="129">
        <f t="shared" si="5"/>
        <v>0</v>
      </c>
      <c r="L64" s="129">
        <f t="shared" si="1"/>
        <v>0</v>
      </c>
      <c r="M64" s="322">
        <f t="shared" si="2"/>
        <v>0</v>
      </c>
      <c r="N64" s="325"/>
      <c r="O64" s="326"/>
      <c r="P64" s="122"/>
      <c r="Q64" s="122"/>
      <c r="R64" s="281">
        <f ca="1">IF([1]!S_DQ_CLOSE($S$3,I64,$M$2)=0,NA(),[1]!S_DQ_CLOSE($S$3,I64,$M$2))</f>
        <v>3911.8416000000002</v>
      </c>
      <c r="S64" s="122"/>
      <c r="T64" s="122"/>
      <c r="U64" s="301"/>
      <c r="V64" s="260">
        <f t="shared" ca="1" si="4"/>
        <v>0</v>
      </c>
      <c r="W64" s="348" t="str">
        <f>IF(板块成分!B66="","",板块成分!B66)</f>
        <v>000159.SZ</v>
      </c>
      <c r="X64" s="276" t="str">
        <f>[1]!S_Info_Name(W64)</f>
        <v>国际实业</v>
      </c>
      <c r="Y64" s="276" t="str">
        <f ca="1">IF($Y$3="申万一级行业",[1]!s_info_industry_sw_2021(W64,公司分析!D$5,1),IF($Y$3="申万二级行业",[1]!s_info_industry_sw_2021(W64,公司分析!D$5,2),IF($Y$3="申万三级行业",[1]!s_info_industry_sw_2021(W64,公司分析!D$5,3),IF($Y$3="wind一级行业",[1]!s_info_industry_gics(W64,1),IF($Y$3="wind二级行业",[1]!s_info_industry_gics(W64,2),IF($Y$3="wind三级行业",[1]!s_info_industry_gics(W64,3),IF($Y$3="wind四级行业",[1]!s_info_industry_gics(W64,4),IF($Y$3="证监会门类行业",[1]!s_info_industry_csrc12_n(W64,公司分析!D$5,1),""))))))))</f>
        <v>光伏设备</v>
      </c>
      <c r="Z64" s="302" t="str">
        <f ca="1">IF(Y64=行业比较!$E$6,ROW(),"")</f>
        <v/>
      </c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22"/>
      <c r="AN64" s="122"/>
      <c r="AO64" s="122"/>
      <c r="AP64" s="122"/>
    </row>
    <row r="65" spans="2:42">
      <c r="B65" s="287">
        <v>52</v>
      </c>
      <c r="C65" s="276" t="s">
        <v>448</v>
      </c>
      <c r="D65" s="260">
        <f t="shared" si="6"/>
        <v>52</v>
      </c>
      <c r="E65" s="122"/>
      <c r="F65" s="281"/>
      <c r="G65" s="122"/>
      <c r="H65" s="329"/>
      <c r="I65" s="275"/>
      <c r="J65" s="129"/>
      <c r="K65" s="129"/>
      <c r="L65" s="129"/>
      <c r="M65" s="322"/>
      <c r="N65" s="327"/>
      <c r="O65" s="328"/>
      <c r="P65" s="285"/>
      <c r="Q65" s="285"/>
      <c r="R65" s="286"/>
      <c r="S65" s="122"/>
      <c r="T65" s="122"/>
      <c r="U65" s="301"/>
      <c r="V65" s="260">
        <f t="shared" ca="1" si="4"/>
        <v>0</v>
      </c>
      <c r="W65" s="348" t="str">
        <f>IF(板块成分!B67="","",板块成分!B67)</f>
        <v>000166.SZ</v>
      </c>
      <c r="X65" s="276" t="str">
        <f>[1]!S_Info_Name(W65)</f>
        <v>申万宏源</v>
      </c>
      <c r="Y65" s="276" t="str">
        <f ca="1">IF($Y$3="申万一级行业",[1]!s_info_industry_sw_2021(W65,公司分析!D$5,1),IF($Y$3="申万二级行业",[1]!s_info_industry_sw_2021(W65,公司分析!D$5,2),IF($Y$3="申万三级行业",[1]!s_info_industry_sw_2021(W65,公司分析!D$5,3),IF($Y$3="wind一级行业",[1]!s_info_industry_gics(W65,1),IF($Y$3="wind二级行业",[1]!s_info_industry_gics(W65,2),IF($Y$3="wind三级行业",[1]!s_info_industry_gics(W65,3),IF($Y$3="wind四级行业",[1]!s_info_industry_gics(W65,4),IF($Y$3="证监会门类行业",[1]!s_info_industry_csrc12_n(W65,公司分析!D$5,1),""))))))))</f>
        <v>证券Ⅱ</v>
      </c>
      <c r="Z65" s="302" t="str">
        <f ca="1">IF(Y65=行业比较!$E$6,ROW(),"")</f>
        <v/>
      </c>
      <c r="AA65" s="122"/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22"/>
      <c r="AN65" s="122"/>
      <c r="AO65" s="122"/>
      <c r="AP65" s="122"/>
    </row>
    <row r="66" spans="2:42">
      <c r="B66" s="287">
        <v>53</v>
      </c>
      <c r="C66" s="276" t="s">
        <v>449</v>
      </c>
      <c r="D66" s="260">
        <f t="shared" si="6"/>
        <v>53</v>
      </c>
      <c r="E66" s="122"/>
      <c r="F66" s="281"/>
      <c r="G66" s="122"/>
      <c r="H66" s="122"/>
      <c r="I66" s="275"/>
      <c r="J66" s="130"/>
      <c r="K66" s="130"/>
      <c r="L66" s="130"/>
      <c r="M66" s="130"/>
      <c r="N66" s="291"/>
      <c r="O66" s="291"/>
      <c r="P66" s="122"/>
      <c r="Q66" s="122"/>
      <c r="R66" s="122"/>
      <c r="S66" s="122"/>
      <c r="T66" s="122"/>
      <c r="U66" s="301"/>
      <c r="V66" s="260">
        <f t="shared" ca="1" si="4"/>
        <v>0</v>
      </c>
      <c r="W66" s="348" t="str">
        <f>IF(板块成分!B68="","",板块成分!B68)</f>
        <v>000301.SZ</v>
      </c>
      <c r="X66" s="276" t="str">
        <f>[1]!S_Info_Name(W66)</f>
        <v>东方盛虹</v>
      </c>
      <c r="Y66" s="276" t="str">
        <f ca="1">IF($Y$3="申万一级行业",[1]!s_info_industry_sw_2021(W66,公司分析!D$5,1),IF($Y$3="申万二级行业",[1]!s_info_industry_sw_2021(W66,公司分析!D$5,2),IF($Y$3="申万三级行业",[1]!s_info_industry_sw_2021(W66,公司分析!D$5,3),IF($Y$3="wind一级行业",[1]!s_info_industry_gics(W66,1),IF($Y$3="wind二级行业",[1]!s_info_industry_gics(W66,2),IF($Y$3="wind三级行业",[1]!s_info_industry_gics(W66,3),IF($Y$3="wind四级行业",[1]!s_info_industry_gics(W66,4),IF($Y$3="证监会门类行业",[1]!s_info_industry_csrc12_n(W66,公司分析!D$5,1),""))))))))</f>
        <v>炼化及贸易</v>
      </c>
      <c r="Z66" s="302" t="str">
        <f ca="1">IF(Y66=行业比较!$E$6,ROW(),"")</f>
        <v/>
      </c>
      <c r="AA66" s="122"/>
      <c r="AB66" s="122"/>
      <c r="AC66" s="122"/>
      <c r="AD66" s="122"/>
      <c r="AE66" s="122"/>
      <c r="AF66" s="122"/>
      <c r="AG66" s="122"/>
      <c r="AH66" s="122"/>
      <c r="AI66" s="122"/>
      <c r="AJ66" s="122"/>
      <c r="AK66" s="122"/>
      <c r="AL66" s="122"/>
      <c r="AM66" s="122"/>
      <c r="AN66" s="122"/>
      <c r="AO66" s="122"/>
      <c r="AP66" s="122"/>
    </row>
    <row r="67" spans="2:42">
      <c r="B67" s="287">
        <v>54</v>
      </c>
      <c r="C67" s="276" t="s">
        <v>450</v>
      </c>
      <c r="D67" s="260">
        <f t="shared" si="6"/>
        <v>54</v>
      </c>
      <c r="E67" s="122"/>
      <c r="F67" s="281"/>
      <c r="G67" s="122"/>
      <c r="H67" s="122"/>
      <c r="I67" s="275"/>
      <c r="J67" s="130"/>
      <c r="K67" s="130"/>
      <c r="L67" s="130"/>
      <c r="M67" s="130"/>
      <c r="N67" s="291"/>
      <c r="O67" s="291"/>
      <c r="P67" s="122"/>
      <c r="Q67" s="122"/>
      <c r="R67" s="122"/>
      <c r="S67" s="122"/>
      <c r="T67" s="122"/>
      <c r="U67" s="301"/>
      <c r="V67" s="260">
        <f t="shared" ca="1" si="4"/>
        <v>0</v>
      </c>
      <c r="W67" s="348" t="str">
        <f>IF(板块成分!B69="","",板块成分!B69)</f>
        <v>000333.SZ</v>
      </c>
      <c r="X67" s="276" t="str">
        <f>[1]!S_Info_Name(W67)</f>
        <v>美的集团</v>
      </c>
      <c r="Y67" s="276" t="str">
        <f ca="1">IF($Y$3="申万一级行业",[1]!s_info_industry_sw_2021(W67,公司分析!D$5,1),IF($Y$3="申万二级行业",[1]!s_info_industry_sw_2021(W67,公司分析!D$5,2),IF($Y$3="申万三级行业",[1]!s_info_industry_sw_2021(W67,公司分析!D$5,3),IF($Y$3="wind一级行业",[1]!s_info_industry_gics(W67,1),IF($Y$3="wind二级行业",[1]!s_info_industry_gics(W67,2),IF($Y$3="wind三级行业",[1]!s_info_industry_gics(W67,3),IF($Y$3="wind四级行业",[1]!s_info_industry_gics(W67,4),IF($Y$3="证监会门类行业",[1]!s_info_industry_csrc12_n(W67,公司分析!D$5,1),""))))))))</f>
        <v>白色家电</v>
      </c>
      <c r="Z67" s="302" t="str">
        <f ca="1">IF(Y67=行业比较!$E$6,ROW(),"")</f>
        <v/>
      </c>
      <c r="AA67" s="122"/>
      <c r="AB67" s="122"/>
      <c r="AC67" s="122"/>
      <c r="AD67" s="122"/>
      <c r="AE67" s="122"/>
      <c r="AF67" s="122"/>
      <c r="AG67" s="122"/>
      <c r="AH67" s="122"/>
      <c r="AI67" s="122"/>
      <c r="AJ67" s="122"/>
      <c r="AK67" s="122"/>
      <c r="AL67" s="122"/>
      <c r="AM67" s="122"/>
      <c r="AN67" s="122"/>
      <c r="AO67" s="122"/>
      <c r="AP67" s="122"/>
    </row>
    <row r="68" spans="2:42">
      <c r="B68" s="287">
        <v>55</v>
      </c>
      <c r="C68" s="276" t="s">
        <v>451</v>
      </c>
      <c r="D68" s="260">
        <f t="shared" si="6"/>
        <v>55</v>
      </c>
      <c r="E68" s="122"/>
      <c r="F68" s="281"/>
      <c r="G68" s="122"/>
      <c r="H68" s="122"/>
      <c r="I68" s="275"/>
      <c r="J68" s="130"/>
      <c r="K68" s="130"/>
      <c r="L68" s="130"/>
      <c r="M68" s="130"/>
      <c r="N68" s="291"/>
      <c r="O68" s="291"/>
      <c r="P68" s="122"/>
      <c r="Q68" s="122"/>
      <c r="R68" s="122"/>
      <c r="S68" s="122"/>
      <c r="T68" s="122"/>
      <c r="U68" s="301"/>
      <c r="V68" s="260">
        <f t="shared" ca="1" si="4"/>
        <v>0</v>
      </c>
      <c r="W68" s="348" t="str">
        <f>IF(板块成分!B70="","",板块成分!B70)</f>
        <v>000338.SZ</v>
      </c>
      <c r="X68" s="276" t="str">
        <f>[1]!S_Info_Name(W68)</f>
        <v>潍柴动力</v>
      </c>
      <c r="Y68" s="276" t="str">
        <f ca="1">IF($Y$3="申万一级行业",[1]!s_info_industry_sw_2021(W68,公司分析!D$5,1),IF($Y$3="申万二级行业",[1]!s_info_industry_sw_2021(W68,公司分析!D$5,2),IF($Y$3="申万三级行业",[1]!s_info_industry_sw_2021(W68,公司分析!D$5,3),IF($Y$3="wind一级行业",[1]!s_info_industry_gics(W68,1),IF($Y$3="wind二级行业",[1]!s_info_industry_gics(W68,2),IF($Y$3="wind三级行业",[1]!s_info_industry_gics(W68,3),IF($Y$3="wind四级行业",[1]!s_info_industry_gics(W68,4),IF($Y$3="证监会门类行业",[1]!s_info_industry_csrc12_n(W68,公司分析!D$5,1),""))))))))</f>
        <v>汽车零部件</v>
      </c>
      <c r="Z68" s="302" t="str">
        <f ca="1">IF(Y68=行业比较!$E$6,ROW(),"")</f>
        <v/>
      </c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</row>
    <row r="69" spans="2:42">
      <c r="B69" s="287">
        <v>56</v>
      </c>
      <c r="C69" s="276" t="s">
        <v>452</v>
      </c>
      <c r="D69" s="260">
        <f t="shared" si="6"/>
        <v>56</v>
      </c>
      <c r="E69" s="122"/>
      <c r="F69" s="281"/>
      <c r="G69" s="122"/>
      <c r="H69" s="122"/>
      <c r="I69" s="275"/>
      <c r="J69" s="130"/>
      <c r="K69" s="130"/>
      <c r="L69" s="130"/>
      <c r="M69" s="130"/>
      <c r="N69" s="291"/>
      <c r="O69" s="291"/>
      <c r="P69" s="122"/>
      <c r="Q69" s="122"/>
      <c r="R69" s="122"/>
      <c r="S69" s="122"/>
      <c r="T69" s="122"/>
      <c r="U69" s="301"/>
      <c r="V69" s="260">
        <f t="shared" ref="V69:V132" ca="1" si="8">IF(Z69="",0,RANK(Z69,Z:Z,1))</f>
        <v>0</v>
      </c>
      <c r="W69" s="348" t="str">
        <f>IF(板块成分!B71="","",板块成分!B71)</f>
        <v>000400.SZ</v>
      </c>
      <c r="X69" s="276" t="str">
        <f>[1]!S_Info_Name(W69)</f>
        <v>许继电气</v>
      </c>
      <c r="Y69" s="276" t="str">
        <f ca="1">IF($Y$3="申万一级行业",[1]!s_info_industry_sw_2021(W69,公司分析!D$5,1),IF($Y$3="申万二级行业",[1]!s_info_industry_sw_2021(W69,公司分析!D$5,2),IF($Y$3="申万三级行业",[1]!s_info_industry_sw_2021(W69,公司分析!D$5,3),IF($Y$3="wind一级行业",[1]!s_info_industry_gics(W69,1),IF($Y$3="wind二级行业",[1]!s_info_industry_gics(W69,2),IF($Y$3="wind三级行业",[1]!s_info_industry_gics(W69,3),IF($Y$3="wind四级行业",[1]!s_info_industry_gics(W69,4),IF($Y$3="证监会门类行业",[1]!s_info_industry_csrc12_n(W69,公司分析!D$5,1),""))))))))</f>
        <v>电网设备</v>
      </c>
      <c r="Z69" s="302" t="str">
        <f ca="1">IF(Y69=行业比较!$E$6,ROW(),"")</f>
        <v/>
      </c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22"/>
      <c r="AL69" s="122"/>
      <c r="AM69" s="122"/>
      <c r="AN69" s="122"/>
      <c r="AO69" s="122"/>
      <c r="AP69" s="122"/>
    </row>
    <row r="70" spans="2:42">
      <c r="B70" s="287">
        <v>57</v>
      </c>
      <c r="C70" s="276" t="s">
        <v>453</v>
      </c>
      <c r="D70" s="260">
        <f t="shared" si="6"/>
        <v>57</v>
      </c>
      <c r="E70" s="122"/>
      <c r="F70" s="281"/>
      <c r="G70" s="122"/>
      <c r="H70" s="122"/>
      <c r="I70" s="275"/>
      <c r="J70" s="130"/>
      <c r="K70" s="130"/>
      <c r="L70" s="130"/>
      <c r="M70" s="130"/>
      <c r="N70" s="291"/>
      <c r="O70" s="291"/>
      <c r="P70" s="122"/>
      <c r="Q70" s="122"/>
      <c r="R70" s="122"/>
      <c r="S70" s="122"/>
      <c r="T70" s="122"/>
      <c r="U70" s="301"/>
      <c r="V70" s="260">
        <f t="shared" ca="1" si="8"/>
        <v>0</v>
      </c>
      <c r="W70" s="348" t="str">
        <f>IF(板块成分!B72="","",板块成分!B72)</f>
        <v>000401.SZ</v>
      </c>
      <c r="X70" s="276" t="str">
        <f>[1]!S_Info_Name(W70)</f>
        <v>金隅冀东</v>
      </c>
      <c r="Y70" s="276" t="str">
        <f ca="1">IF($Y$3="申万一级行业",[1]!s_info_industry_sw_2021(W70,公司分析!D$5,1),IF($Y$3="申万二级行业",[1]!s_info_industry_sw_2021(W70,公司分析!D$5,2),IF($Y$3="申万三级行业",[1]!s_info_industry_sw_2021(W70,公司分析!D$5,3),IF($Y$3="wind一级行业",[1]!s_info_industry_gics(W70,1),IF($Y$3="wind二级行业",[1]!s_info_industry_gics(W70,2),IF($Y$3="wind三级行业",[1]!s_info_industry_gics(W70,3),IF($Y$3="wind四级行业",[1]!s_info_industry_gics(W70,4),IF($Y$3="证监会门类行业",[1]!s_info_industry_csrc12_n(W70,公司分析!D$5,1),""))))))))</f>
        <v>水泥</v>
      </c>
      <c r="Z70" s="302" t="str">
        <f ca="1">IF(Y70=行业比较!$E$6,ROW(),"")</f>
        <v/>
      </c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22"/>
      <c r="AL70" s="122"/>
      <c r="AM70" s="122"/>
      <c r="AN70" s="122"/>
      <c r="AO70" s="122"/>
      <c r="AP70" s="122"/>
    </row>
    <row r="71" spans="2:42">
      <c r="B71" s="287">
        <v>58</v>
      </c>
      <c r="C71" s="276" t="s">
        <v>454</v>
      </c>
      <c r="D71" s="260">
        <f t="shared" si="6"/>
        <v>58</v>
      </c>
      <c r="E71" s="122"/>
      <c r="F71" s="281"/>
      <c r="G71" s="122"/>
      <c r="H71" s="122"/>
      <c r="I71" s="275"/>
      <c r="J71" s="130"/>
      <c r="K71" s="130"/>
      <c r="L71" s="130"/>
      <c r="M71" s="130"/>
      <c r="N71" s="291"/>
      <c r="O71" s="291"/>
      <c r="P71" s="122"/>
      <c r="Q71" s="122"/>
      <c r="R71" s="122"/>
      <c r="S71" s="122"/>
      <c r="T71" s="122"/>
      <c r="U71" s="301"/>
      <c r="V71" s="260">
        <f t="shared" ca="1" si="8"/>
        <v>0</v>
      </c>
      <c r="W71" s="348" t="str">
        <f>IF(板块成分!B73="","",板块成分!B73)</f>
        <v>000402.SZ</v>
      </c>
      <c r="X71" s="276" t="str">
        <f>[1]!S_Info_Name(W71)</f>
        <v>金融街</v>
      </c>
      <c r="Y71" s="276" t="str">
        <f ca="1">IF($Y$3="申万一级行业",[1]!s_info_industry_sw_2021(W71,公司分析!D$5,1),IF($Y$3="申万二级行业",[1]!s_info_industry_sw_2021(W71,公司分析!D$5,2),IF($Y$3="申万三级行业",[1]!s_info_industry_sw_2021(W71,公司分析!D$5,3),IF($Y$3="wind一级行业",[1]!s_info_industry_gics(W71,1),IF($Y$3="wind二级行业",[1]!s_info_industry_gics(W71,2),IF($Y$3="wind三级行业",[1]!s_info_industry_gics(W71,3),IF($Y$3="wind四级行业",[1]!s_info_industry_gics(W71,4),IF($Y$3="证监会门类行业",[1]!s_info_industry_csrc12_n(W71,公司分析!D$5,1),""))))))))</f>
        <v>房地产开发</v>
      </c>
      <c r="Z71" s="302" t="str">
        <f ca="1">IF(Y71=行业比较!$E$6,ROW(),"")</f>
        <v/>
      </c>
      <c r="AA71" s="122"/>
      <c r="AB71" s="122"/>
      <c r="AC71" s="122"/>
      <c r="AD71" s="122"/>
      <c r="AE71" s="122"/>
      <c r="AF71" s="122"/>
      <c r="AG71" s="122"/>
      <c r="AH71" s="122"/>
      <c r="AI71" s="122"/>
      <c r="AJ71" s="122"/>
      <c r="AK71" s="122"/>
      <c r="AL71" s="122"/>
      <c r="AM71" s="122"/>
      <c r="AN71" s="122"/>
      <c r="AO71" s="122"/>
      <c r="AP71" s="122"/>
    </row>
    <row r="72" spans="2:42">
      <c r="B72" s="287">
        <v>59</v>
      </c>
      <c r="C72" s="276" t="s">
        <v>112</v>
      </c>
      <c r="D72" s="260">
        <f t="shared" si="6"/>
        <v>59</v>
      </c>
      <c r="E72" s="122"/>
      <c r="F72" s="281"/>
      <c r="G72" s="122"/>
      <c r="H72" s="122"/>
      <c r="I72" s="275"/>
      <c r="J72" s="130"/>
      <c r="K72" s="130"/>
      <c r="L72" s="130"/>
      <c r="M72" s="130"/>
      <c r="N72" s="291"/>
      <c r="O72" s="291"/>
      <c r="P72" s="122"/>
      <c r="Q72" s="122"/>
      <c r="R72" s="122"/>
      <c r="S72" s="122"/>
      <c r="T72" s="122"/>
      <c r="U72" s="301"/>
      <c r="V72" s="260">
        <f t="shared" ca="1" si="8"/>
        <v>0</v>
      </c>
      <c r="W72" s="348" t="str">
        <f>IF(板块成分!B74="","",板块成分!B74)</f>
        <v>000403.SZ</v>
      </c>
      <c r="X72" s="276" t="str">
        <f>[1]!S_Info_Name(W72)</f>
        <v>派林生物</v>
      </c>
      <c r="Y72" s="276" t="str">
        <f ca="1">IF($Y$3="申万一级行业",[1]!s_info_industry_sw_2021(W72,公司分析!D$5,1),IF($Y$3="申万二级行业",[1]!s_info_industry_sw_2021(W72,公司分析!D$5,2),IF($Y$3="申万三级行业",[1]!s_info_industry_sw_2021(W72,公司分析!D$5,3),IF($Y$3="wind一级行业",[1]!s_info_industry_gics(W72,1),IF($Y$3="wind二级行业",[1]!s_info_industry_gics(W72,2),IF($Y$3="wind三级行业",[1]!s_info_industry_gics(W72,3),IF($Y$3="wind四级行业",[1]!s_info_industry_gics(W72,4),IF($Y$3="证监会门类行业",[1]!s_info_industry_csrc12_n(W72,公司分析!D$5,1),""))))))))</f>
        <v>生物制品</v>
      </c>
      <c r="Z72" s="302" t="str">
        <f ca="1">IF(Y72=行业比较!$E$6,ROW(),"")</f>
        <v/>
      </c>
      <c r="AA72" s="122"/>
      <c r="AB72" s="122"/>
      <c r="AC72" s="122"/>
      <c r="AD72" s="122"/>
      <c r="AE72" s="122"/>
      <c r="AF72" s="122"/>
      <c r="AG72" s="122"/>
      <c r="AH72" s="122"/>
      <c r="AI72" s="122"/>
      <c r="AJ72" s="122"/>
      <c r="AK72" s="122"/>
      <c r="AL72" s="122"/>
      <c r="AM72" s="122"/>
      <c r="AN72" s="122"/>
      <c r="AO72" s="122"/>
      <c r="AP72" s="122"/>
    </row>
    <row r="73" spans="2:42">
      <c r="B73" s="287">
        <v>60</v>
      </c>
      <c r="C73" s="276" t="s">
        <v>455</v>
      </c>
      <c r="D73" s="260">
        <f t="shared" si="6"/>
        <v>60</v>
      </c>
      <c r="E73" s="122"/>
      <c r="F73" s="281"/>
      <c r="G73" s="122"/>
      <c r="H73" s="122"/>
      <c r="I73" s="275"/>
      <c r="J73" s="130"/>
      <c r="K73" s="130"/>
      <c r="L73" s="130"/>
      <c r="M73" s="130"/>
      <c r="N73" s="291"/>
      <c r="O73" s="291"/>
      <c r="P73" s="122"/>
      <c r="Q73" s="122"/>
      <c r="R73" s="122"/>
      <c r="S73" s="122"/>
      <c r="T73" s="122"/>
      <c r="U73" s="301"/>
      <c r="V73" s="260">
        <f t="shared" ca="1" si="8"/>
        <v>0</v>
      </c>
      <c r="W73" s="348" t="str">
        <f>IF(板块成分!B75="","",板块成分!B75)</f>
        <v>000404.SZ</v>
      </c>
      <c r="X73" s="276" t="str">
        <f>[1]!S_Info_Name(W73)</f>
        <v>长虹华意</v>
      </c>
      <c r="Y73" s="276" t="str">
        <f ca="1">IF($Y$3="申万一级行业",[1]!s_info_industry_sw_2021(W73,公司分析!D$5,1),IF($Y$3="申万二级行业",[1]!s_info_industry_sw_2021(W73,公司分析!D$5,2),IF($Y$3="申万三级行业",[1]!s_info_industry_sw_2021(W73,公司分析!D$5,3),IF($Y$3="wind一级行业",[1]!s_info_industry_gics(W73,1),IF($Y$3="wind二级行业",[1]!s_info_industry_gics(W73,2),IF($Y$3="wind三级行业",[1]!s_info_industry_gics(W73,3),IF($Y$3="wind四级行业",[1]!s_info_industry_gics(W73,4),IF($Y$3="证监会门类行业",[1]!s_info_industry_csrc12_n(W73,公司分析!D$5,1),""))))))))</f>
        <v>家电零部件Ⅱ</v>
      </c>
      <c r="Z73" s="302" t="str">
        <f ca="1">IF(Y73=行业比较!$E$6,ROW(),"")</f>
        <v/>
      </c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2"/>
      <c r="AP73" s="122"/>
    </row>
    <row r="74" spans="2:42">
      <c r="B74" s="287">
        <v>61</v>
      </c>
      <c r="C74" s="276" t="s">
        <v>456</v>
      </c>
      <c r="D74" s="260">
        <f t="shared" si="6"/>
        <v>61</v>
      </c>
      <c r="E74" s="122"/>
      <c r="F74" s="281"/>
      <c r="G74" s="122"/>
      <c r="H74" s="122"/>
      <c r="I74" s="275"/>
      <c r="J74" s="130"/>
      <c r="K74" s="130"/>
      <c r="L74" s="130"/>
      <c r="M74" s="130"/>
      <c r="N74" s="291"/>
      <c r="O74" s="291"/>
      <c r="P74" s="122"/>
      <c r="Q74" s="122"/>
      <c r="R74" s="122"/>
      <c r="S74" s="122"/>
      <c r="T74" s="122"/>
      <c r="U74" s="301"/>
      <c r="V74" s="260">
        <f t="shared" ca="1" si="8"/>
        <v>0</v>
      </c>
      <c r="W74" s="348" t="str">
        <f>IF(板块成分!B76="","",板块成分!B76)</f>
        <v>000407.SZ</v>
      </c>
      <c r="X74" s="276" t="str">
        <f>[1]!S_Info_Name(W74)</f>
        <v>胜利股份</v>
      </c>
      <c r="Y74" s="276" t="str">
        <f ca="1">IF($Y$3="申万一级行业",[1]!s_info_industry_sw_2021(W74,公司分析!D$5,1),IF($Y$3="申万二级行业",[1]!s_info_industry_sw_2021(W74,公司分析!D$5,2),IF($Y$3="申万三级行业",[1]!s_info_industry_sw_2021(W74,公司分析!D$5,3),IF($Y$3="wind一级行业",[1]!s_info_industry_gics(W74,1),IF($Y$3="wind二级行业",[1]!s_info_industry_gics(W74,2),IF($Y$3="wind三级行业",[1]!s_info_industry_gics(W74,3),IF($Y$3="wind四级行业",[1]!s_info_industry_gics(W74,4),IF($Y$3="证监会门类行业",[1]!s_info_industry_csrc12_n(W74,公司分析!D$5,1),""))))))))</f>
        <v>燃气Ⅱ</v>
      </c>
      <c r="Z74" s="302" t="str">
        <f ca="1">IF(Y74=行业比较!$E$6,ROW(),"")</f>
        <v/>
      </c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22"/>
      <c r="AL74" s="122"/>
      <c r="AM74" s="122"/>
      <c r="AN74" s="122"/>
      <c r="AO74" s="122"/>
      <c r="AP74" s="122"/>
    </row>
    <row r="75" spans="2:42">
      <c r="B75" s="287">
        <v>62</v>
      </c>
      <c r="C75" s="276" t="s">
        <v>457</v>
      </c>
      <c r="D75" s="260">
        <f t="shared" si="6"/>
        <v>62</v>
      </c>
      <c r="E75" s="122"/>
      <c r="F75" s="281"/>
      <c r="G75" s="122"/>
      <c r="H75" s="122"/>
      <c r="I75" s="275"/>
      <c r="J75" s="130"/>
      <c r="K75" s="130"/>
      <c r="L75" s="130"/>
      <c r="M75" s="130"/>
      <c r="N75" s="291"/>
      <c r="O75" s="291"/>
      <c r="P75" s="122"/>
      <c r="Q75" s="122"/>
      <c r="R75" s="122"/>
      <c r="S75" s="122"/>
      <c r="T75" s="122"/>
      <c r="U75" s="301"/>
      <c r="V75" s="260">
        <f t="shared" ca="1" si="8"/>
        <v>0</v>
      </c>
      <c r="W75" s="348" t="str">
        <f>IF(板块成分!B77="","",板块成分!B77)</f>
        <v>000408.SZ</v>
      </c>
      <c r="X75" s="276" t="str">
        <f>[1]!S_Info_Name(W75)</f>
        <v>藏格矿业</v>
      </c>
      <c r="Y75" s="276" t="str">
        <f ca="1">IF($Y$3="申万一级行业",[1]!s_info_industry_sw_2021(W75,公司分析!D$5,1),IF($Y$3="申万二级行业",[1]!s_info_industry_sw_2021(W75,公司分析!D$5,2),IF($Y$3="申万三级行业",[1]!s_info_industry_sw_2021(W75,公司分析!D$5,3),IF($Y$3="wind一级行业",[1]!s_info_industry_gics(W75,1),IF($Y$3="wind二级行业",[1]!s_info_industry_gics(W75,2),IF($Y$3="wind三级行业",[1]!s_info_industry_gics(W75,3),IF($Y$3="wind四级行业",[1]!s_info_industry_gics(W75,4),IF($Y$3="证监会门类行业",[1]!s_info_industry_csrc12_n(W75,公司分析!D$5,1),""))))))))</f>
        <v>能源金属</v>
      </c>
      <c r="Z75" s="302" t="str">
        <f ca="1">IF(Y75=行业比较!$E$6,ROW(),"")</f>
        <v/>
      </c>
      <c r="AA75" s="122"/>
      <c r="AB75" s="122"/>
      <c r="AC75" s="122"/>
      <c r="AD75" s="122"/>
      <c r="AE75" s="122"/>
      <c r="AF75" s="122"/>
      <c r="AG75" s="122"/>
      <c r="AH75" s="122"/>
      <c r="AI75" s="122"/>
      <c r="AJ75" s="122"/>
      <c r="AK75" s="122"/>
      <c r="AL75" s="122"/>
      <c r="AM75" s="122"/>
      <c r="AN75" s="122"/>
      <c r="AO75" s="122"/>
      <c r="AP75" s="122"/>
    </row>
    <row r="76" spans="2:42">
      <c r="B76" s="287">
        <v>63</v>
      </c>
      <c r="C76" s="276" t="s">
        <v>458</v>
      </c>
      <c r="D76" s="260">
        <f t="shared" si="6"/>
        <v>63</v>
      </c>
      <c r="E76" s="122"/>
      <c r="F76" s="281"/>
      <c r="G76" s="122"/>
      <c r="H76" s="122"/>
      <c r="I76" s="275"/>
      <c r="J76" s="130"/>
      <c r="K76" s="130"/>
      <c r="L76" s="130"/>
      <c r="M76" s="130"/>
      <c r="N76" s="291"/>
      <c r="O76" s="291"/>
      <c r="P76" s="122"/>
      <c r="Q76" s="122"/>
      <c r="R76" s="122"/>
      <c r="S76" s="122"/>
      <c r="T76" s="122"/>
      <c r="U76" s="301"/>
      <c r="V76" s="260">
        <f t="shared" ca="1" si="8"/>
        <v>0</v>
      </c>
      <c r="W76" s="348" t="str">
        <f>IF(板块成分!B78="","",板块成分!B78)</f>
        <v>000409.SZ</v>
      </c>
      <c r="X76" s="276" t="str">
        <f>[1]!S_Info_Name(W76)</f>
        <v>云鼎科技</v>
      </c>
      <c r="Y76" s="276" t="str">
        <f ca="1">IF($Y$3="申万一级行业",[1]!s_info_industry_sw_2021(W76,公司分析!D$5,1),IF($Y$3="申万二级行业",[1]!s_info_industry_sw_2021(W76,公司分析!D$5,2),IF($Y$3="申万三级行业",[1]!s_info_industry_sw_2021(W76,公司分析!D$5,3),IF($Y$3="wind一级行业",[1]!s_info_industry_gics(W76,1),IF($Y$3="wind二级行业",[1]!s_info_industry_gics(W76,2),IF($Y$3="wind三级行业",[1]!s_info_industry_gics(W76,3),IF($Y$3="wind四级行业",[1]!s_info_industry_gics(W76,4),IF($Y$3="证监会门类行业",[1]!s_info_industry_csrc12_n(W76,公司分析!D$5,1),""))))))))</f>
        <v>IT服务Ⅱ</v>
      </c>
      <c r="Z76" s="302" t="str">
        <f ca="1">IF(Y76=行业比较!$E$6,ROW(),"")</f>
        <v/>
      </c>
      <c r="AA76" s="122"/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22"/>
      <c r="AN76" s="122"/>
      <c r="AO76" s="122"/>
      <c r="AP76" s="122"/>
    </row>
    <row r="77" spans="2:42">
      <c r="B77" s="287">
        <v>64</v>
      </c>
      <c r="C77" s="276" t="s">
        <v>459</v>
      </c>
      <c r="D77" s="260">
        <f t="shared" si="6"/>
        <v>64</v>
      </c>
      <c r="E77" s="122"/>
      <c r="F77" s="281"/>
      <c r="G77" s="122"/>
      <c r="H77" s="122"/>
      <c r="I77" s="275"/>
      <c r="J77" s="130"/>
      <c r="K77" s="130"/>
      <c r="L77" s="130"/>
      <c r="M77" s="130"/>
      <c r="N77" s="291"/>
      <c r="O77" s="291"/>
      <c r="P77" s="122"/>
      <c r="Q77" s="122"/>
      <c r="R77" s="122"/>
      <c r="S77" s="122"/>
      <c r="T77" s="122"/>
      <c r="U77" s="301"/>
      <c r="V77" s="260">
        <f t="shared" ca="1" si="8"/>
        <v>0</v>
      </c>
      <c r="W77" s="348" t="str">
        <f>IF(板块成分!B79="","",板块成分!B79)</f>
        <v>000410.SZ</v>
      </c>
      <c r="X77" s="276" t="str">
        <f>[1]!S_Info_Name(W77)</f>
        <v>沈阳机床</v>
      </c>
      <c r="Y77" s="276" t="str">
        <f ca="1">IF($Y$3="申万一级行业",[1]!s_info_industry_sw_2021(W77,公司分析!D$5,1),IF($Y$3="申万二级行业",[1]!s_info_industry_sw_2021(W77,公司分析!D$5,2),IF($Y$3="申万三级行业",[1]!s_info_industry_sw_2021(W77,公司分析!D$5,3),IF($Y$3="wind一级行业",[1]!s_info_industry_gics(W77,1),IF($Y$3="wind二级行业",[1]!s_info_industry_gics(W77,2),IF($Y$3="wind三级行业",[1]!s_info_industry_gics(W77,3),IF($Y$3="wind四级行业",[1]!s_info_industry_gics(W77,4),IF($Y$3="证监会门类行业",[1]!s_info_industry_csrc12_n(W77,公司分析!D$5,1),""))))))))</f>
        <v>通用设备</v>
      </c>
      <c r="Z77" s="302" t="str">
        <f ca="1">IF(Y77=行业比较!$E$6,ROW(),"")</f>
        <v/>
      </c>
      <c r="AA77" s="122"/>
      <c r="AB77" s="122"/>
      <c r="AC77" s="122"/>
      <c r="AD77" s="122"/>
      <c r="AE77" s="122"/>
      <c r="AF77" s="122"/>
      <c r="AG77" s="122"/>
      <c r="AH77" s="122"/>
      <c r="AI77" s="122"/>
      <c r="AJ77" s="122"/>
      <c r="AK77" s="122"/>
      <c r="AL77" s="122"/>
      <c r="AM77" s="122"/>
      <c r="AN77" s="122"/>
      <c r="AO77" s="122"/>
      <c r="AP77" s="122"/>
    </row>
    <row r="78" spans="2:42">
      <c r="B78" s="287">
        <v>65</v>
      </c>
      <c r="C78" s="276" t="s">
        <v>460</v>
      </c>
      <c r="D78" s="260">
        <f t="shared" si="6"/>
        <v>65</v>
      </c>
      <c r="E78" s="122"/>
      <c r="F78" s="281"/>
      <c r="G78" s="122"/>
      <c r="H78" s="122"/>
      <c r="I78" s="275"/>
      <c r="J78" s="130"/>
      <c r="K78" s="130"/>
      <c r="L78" s="130"/>
      <c r="M78" s="130"/>
      <c r="N78" s="291"/>
      <c r="O78" s="291"/>
      <c r="P78" s="122"/>
      <c r="Q78" s="122"/>
      <c r="R78" s="122"/>
      <c r="S78" s="122"/>
      <c r="T78" s="122"/>
      <c r="U78" s="301"/>
      <c r="V78" s="260">
        <f t="shared" ca="1" si="8"/>
        <v>0</v>
      </c>
      <c r="W78" s="348" t="str">
        <f>IF(板块成分!B80="","",板块成分!B80)</f>
        <v>000411.SZ</v>
      </c>
      <c r="X78" s="276" t="str">
        <f>[1]!S_Info_Name(W78)</f>
        <v>英特集团</v>
      </c>
      <c r="Y78" s="276" t="str">
        <f ca="1">IF($Y$3="申万一级行业",[1]!s_info_industry_sw_2021(W78,公司分析!D$5,1),IF($Y$3="申万二级行业",[1]!s_info_industry_sw_2021(W78,公司分析!D$5,2),IF($Y$3="申万三级行业",[1]!s_info_industry_sw_2021(W78,公司分析!D$5,3),IF($Y$3="wind一级行业",[1]!s_info_industry_gics(W78,1),IF($Y$3="wind二级行业",[1]!s_info_industry_gics(W78,2),IF($Y$3="wind三级行业",[1]!s_info_industry_gics(W78,3),IF($Y$3="wind四级行业",[1]!s_info_industry_gics(W78,4),IF($Y$3="证监会门类行业",[1]!s_info_industry_csrc12_n(W78,公司分析!D$5,1),""))))))))</f>
        <v>医药商业</v>
      </c>
      <c r="Z78" s="302" t="str">
        <f ca="1">IF(Y78=行业比较!$E$6,ROW(),"")</f>
        <v/>
      </c>
      <c r="AA78" s="122"/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2"/>
      <c r="AN78" s="122"/>
      <c r="AO78" s="122"/>
      <c r="AP78" s="122"/>
    </row>
    <row r="79" spans="2:42">
      <c r="B79" s="287">
        <v>66</v>
      </c>
      <c r="C79" s="276" t="s">
        <v>461</v>
      </c>
      <c r="D79" s="260">
        <f t="shared" si="6"/>
        <v>66</v>
      </c>
      <c r="E79" s="122"/>
      <c r="F79" s="281"/>
      <c r="G79" s="122"/>
      <c r="H79" s="122"/>
      <c r="I79" s="275"/>
      <c r="J79" s="130"/>
      <c r="K79" s="130"/>
      <c r="L79" s="130"/>
      <c r="M79" s="130"/>
      <c r="N79" s="291"/>
      <c r="O79" s="291"/>
      <c r="P79" s="122"/>
      <c r="Q79" s="122"/>
      <c r="R79" s="122"/>
      <c r="S79" s="122"/>
      <c r="T79" s="122"/>
      <c r="U79" s="301"/>
      <c r="V79" s="260">
        <f t="shared" ca="1" si="8"/>
        <v>0</v>
      </c>
      <c r="W79" s="348" t="str">
        <f>IF(板块成分!B81="","",板块成分!B81)</f>
        <v>000415.SZ</v>
      </c>
      <c r="X79" s="276" t="str">
        <f>[1]!S_Info_Name(W79)</f>
        <v>渤海租赁</v>
      </c>
      <c r="Y79" s="276" t="str">
        <f ca="1">IF($Y$3="申万一级行业",[1]!s_info_industry_sw_2021(W79,公司分析!D$5,1),IF($Y$3="申万二级行业",[1]!s_info_industry_sw_2021(W79,公司分析!D$5,2),IF($Y$3="申万三级行业",[1]!s_info_industry_sw_2021(W79,公司分析!D$5,3),IF($Y$3="wind一级行业",[1]!s_info_industry_gics(W79,1),IF($Y$3="wind二级行业",[1]!s_info_industry_gics(W79,2),IF($Y$3="wind三级行业",[1]!s_info_industry_gics(W79,3),IF($Y$3="wind四级行业",[1]!s_info_industry_gics(W79,4),IF($Y$3="证监会门类行业",[1]!s_info_industry_csrc12_n(W79,公司分析!D$5,1),""))))))))</f>
        <v>多元金融</v>
      </c>
      <c r="Z79" s="302" t="str">
        <f ca="1">IF(Y79=行业比较!$E$6,ROW(),"")</f>
        <v/>
      </c>
      <c r="AA79" s="122"/>
      <c r="AB79" s="122"/>
      <c r="AC79" s="122"/>
      <c r="AD79" s="122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</row>
    <row r="80" spans="2:42">
      <c r="B80" s="287">
        <v>67</v>
      </c>
      <c r="C80" s="276" t="s">
        <v>462</v>
      </c>
      <c r="D80" s="260">
        <f t="shared" si="6"/>
        <v>67</v>
      </c>
      <c r="E80" s="122"/>
      <c r="F80" s="281"/>
      <c r="G80" s="122"/>
      <c r="H80" s="122"/>
      <c r="I80" s="275"/>
      <c r="J80" s="130"/>
      <c r="K80" s="130"/>
      <c r="L80" s="130"/>
      <c r="M80" s="130"/>
      <c r="N80" s="291"/>
      <c r="O80" s="291"/>
      <c r="P80" s="122"/>
      <c r="Q80" s="122"/>
      <c r="R80" s="122"/>
      <c r="S80" s="122"/>
      <c r="T80" s="122"/>
      <c r="U80" s="301"/>
      <c r="V80" s="260">
        <f t="shared" ca="1" si="8"/>
        <v>0</v>
      </c>
      <c r="W80" s="348" t="str">
        <f>IF(板块成分!B82="","",板块成分!B82)</f>
        <v>000417.SZ</v>
      </c>
      <c r="X80" s="276" t="str">
        <f>[1]!S_Info_Name(W80)</f>
        <v>合百集团</v>
      </c>
      <c r="Y80" s="276" t="str">
        <f ca="1">IF($Y$3="申万一级行业",[1]!s_info_industry_sw_2021(W80,公司分析!D$5,1),IF($Y$3="申万二级行业",[1]!s_info_industry_sw_2021(W80,公司分析!D$5,2),IF($Y$3="申万三级行业",[1]!s_info_industry_sw_2021(W80,公司分析!D$5,3),IF($Y$3="wind一级行业",[1]!s_info_industry_gics(W80,1),IF($Y$3="wind二级行业",[1]!s_info_industry_gics(W80,2),IF($Y$3="wind三级行业",[1]!s_info_industry_gics(W80,3),IF($Y$3="wind四级行业",[1]!s_info_industry_gics(W80,4),IF($Y$3="证监会门类行业",[1]!s_info_industry_csrc12_n(W80,公司分析!D$5,1),""))))))))</f>
        <v>一般零售</v>
      </c>
      <c r="Z80" s="302" t="str">
        <f ca="1">IF(Y80=行业比较!$E$6,ROW(),"")</f>
        <v/>
      </c>
      <c r="AA80" s="122"/>
      <c r="AB80" s="122"/>
      <c r="AC80" s="122"/>
      <c r="AD80" s="122"/>
      <c r="AE80" s="122"/>
      <c r="AF80" s="122"/>
      <c r="AG80" s="122"/>
      <c r="AH80" s="122"/>
      <c r="AI80" s="122"/>
      <c r="AJ80" s="122"/>
      <c r="AK80" s="122"/>
      <c r="AL80" s="122"/>
      <c r="AM80" s="122"/>
      <c r="AN80" s="122"/>
      <c r="AO80" s="122"/>
      <c r="AP80" s="122"/>
    </row>
    <row r="81" spans="2:42">
      <c r="B81" s="287">
        <v>68</v>
      </c>
      <c r="C81" s="276" t="s">
        <v>113</v>
      </c>
      <c r="D81" s="260">
        <f t="shared" ref="D81:D108" si="9">B81</f>
        <v>68</v>
      </c>
      <c r="E81" s="122"/>
      <c r="F81" s="281"/>
      <c r="G81" s="122"/>
      <c r="H81" s="122"/>
      <c r="I81" s="275"/>
      <c r="J81" s="130"/>
      <c r="K81" s="130"/>
      <c r="L81" s="130"/>
      <c r="M81" s="130"/>
      <c r="N81" s="291"/>
      <c r="O81" s="291"/>
      <c r="P81" s="122"/>
      <c r="Q81" s="122"/>
      <c r="R81" s="122"/>
      <c r="S81" s="122"/>
      <c r="T81" s="122"/>
      <c r="U81" s="301"/>
      <c r="V81" s="260">
        <f t="shared" ca="1" si="8"/>
        <v>0</v>
      </c>
      <c r="W81" s="348" t="str">
        <f>IF(板块成分!B83="","",板块成分!B83)</f>
        <v>000419.SZ</v>
      </c>
      <c r="X81" s="276" t="str">
        <f>[1]!S_Info_Name(W81)</f>
        <v>通程控股</v>
      </c>
      <c r="Y81" s="276" t="str">
        <f ca="1">IF($Y$3="申万一级行业",[1]!s_info_industry_sw_2021(W81,公司分析!D$5,1),IF($Y$3="申万二级行业",[1]!s_info_industry_sw_2021(W81,公司分析!D$5,2),IF($Y$3="申万三级行业",[1]!s_info_industry_sw_2021(W81,公司分析!D$5,3),IF($Y$3="wind一级行业",[1]!s_info_industry_gics(W81,1),IF($Y$3="wind二级行业",[1]!s_info_industry_gics(W81,2),IF($Y$3="wind三级行业",[1]!s_info_industry_gics(W81,3),IF($Y$3="wind四级行业",[1]!s_info_industry_gics(W81,4),IF($Y$3="证监会门类行业",[1]!s_info_industry_csrc12_n(W81,公司分析!D$5,1),""))))))))</f>
        <v>一般零售</v>
      </c>
      <c r="Z81" s="302" t="str">
        <f ca="1">IF(Y81=行业比较!$E$6,ROW(),"")</f>
        <v/>
      </c>
      <c r="AA81" s="122"/>
      <c r="AB81" s="122"/>
      <c r="AC81" s="122"/>
      <c r="AD81" s="122"/>
      <c r="AE81" s="122"/>
      <c r="AF81" s="122"/>
      <c r="AG81" s="122"/>
      <c r="AH81" s="122"/>
      <c r="AI81" s="122"/>
      <c r="AJ81" s="122"/>
      <c r="AK81" s="122"/>
      <c r="AL81" s="122"/>
      <c r="AM81" s="122"/>
      <c r="AN81" s="122"/>
      <c r="AO81" s="122"/>
      <c r="AP81" s="122"/>
    </row>
    <row r="82" spans="2:42">
      <c r="B82" s="287">
        <v>69</v>
      </c>
      <c r="C82" s="276" t="s">
        <v>463</v>
      </c>
      <c r="D82" s="260">
        <f t="shared" si="9"/>
        <v>69</v>
      </c>
      <c r="E82" s="122"/>
      <c r="F82" s="281"/>
      <c r="G82" s="122"/>
      <c r="H82" s="122"/>
      <c r="I82" s="275"/>
      <c r="J82" s="130"/>
      <c r="K82" s="130"/>
      <c r="L82" s="130"/>
      <c r="M82" s="130"/>
      <c r="N82" s="291"/>
      <c r="O82" s="291"/>
      <c r="P82" s="122"/>
      <c r="Q82" s="122"/>
      <c r="R82" s="122"/>
      <c r="S82" s="122"/>
      <c r="T82" s="122"/>
      <c r="U82" s="301"/>
      <c r="V82" s="260">
        <f t="shared" ca="1" si="8"/>
        <v>0</v>
      </c>
      <c r="W82" s="348" t="str">
        <f>IF(板块成分!B84="","",板块成分!B84)</f>
        <v>000420.SZ</v>
      </c>
      <c r="X82" s="276" t="str">
        <f>[1]!S_Info_Name(W82)</f>
        <v>吉林化纤</v>
      </c>
      <c r="Y82" s="276" t="str">
        <f ca="1">IF($Y$3="申万一级行业",[1]!s_info_industry_sw_2021(W82,公司分析!D$5,1),IF($Y$3="申万二级行业",[1]!s_info_industry_sw_2021(W82,公司分析!D$5,2),IF($Y$3="申万三级行业",[1]!s_info_industry_sw_2021(W82,公司分析!D$5,3),IF($Y$3="wind一级行业",[1]!s_info_industry_gics(W82,1),IF($Y$3="wind二级行业",[1]!s_info_industry_gics(W82,2),IF($Y$3="wind三级行业",[1]!s_info_industry_gics(W82,3),IF($Y$3="wind四级行业",[1]!s_info_industry_gics(W82,4),IF($Y$3="证监会门类行业",[1]!s_info_industry_csrc12_n(W82,公司分析!D$5,1),""))))))))</f>
        <v>化学纤维</v>
      </c>
      <c r="Z82" s="302" t="str">
        <f ca="1">IF(Y82=行业比较!$E$6,ROW(),"")</f>
        <v/>
      </c>
      <c r="AA82" s="122"/>
      <c r="AB82" s="122"/>
      <c r="AC82" s="122"/>
      <c r="AD82" s="122"/>
      <c r="AE82" s="122"/>
      <c r="AF82" s="122"/>
      <c r="AG82" s="122"/>
      <c r="AH82" s="122"/>
      <c r="AI82" s="122"/>
      <c r="AJ82" s="122"/>
      <c r="AK82" s="122"/>
      <c r="AL82" s="122"/>
      <c r="AM82" s="122"/>
      <c r="AN82" s="122"/>
      <c r="AO82" s="122"/>
      <c r="AP82" s="122"/>
    </row>
    <row r="83" spans="2:42">
      <c r="B83" s="287">
        <v>70</v>
      </c>
      <c r="C83" s="276" t="s">
        <v>464</v>
      </c>
      <c r="D83" s="260">
        <f t="shared" si="9"/>
        <v>70</v>
      </c>
      <c r="E83" s="122"/>
      <c r="F83" s="281"/>
      <c r="G83" s="122"/>
      <c r="H83" s="122"/>
      <c r="I83" s="275"/>
      <c r="J83" s="130"/>
      <c r="K83" s="130"/>
      <c r="L83" s="130"/>
      <c r="M83" s="130"/>
      <c r="N83" s="291"/>
      <c r="O83" s="291"/>
      <c r="P83" s="122"/>
      <c r="Q83" s="122"/>
      <c r="R83" s="122"/>
      <c r="S83" s="122"/>
      <c r="T83" s="122"/>
      <c r="U83" s="301"/>
      <c r="V83" s="260">
        <f t="shared" ca="1" si="8"/>
        <v>0</v>
      </c>
      <c r="W83" s="348" t="str">
        <f>IF(板块成分!B85="","",板块成分!B85)</f>
        <v>000421.SZ</v>
      </c>
      <c r="X83" s="276" t="str">
        <f>[1]!S_Info_Name(W83)</f>
        <v>南京公用</v>
      </c>
      <c r="Y83" s="276" t="str">
        <f ca="1">IF($Y$3="申万一级行业",[1]!s_info_industry_sw_2021(W83,公司分析!D$5,1),IF($Y$3="申万二级行业",[1]!s_info_industry_sw_2021(W83,公司分析!D$5,2),IF($Y$3="申万三级行业",[1]!s_info_industry_sw_2021(W83,公司分析!D$5,3),IF($Y$3="wind一级行业",[1]!s_info_industry_gics(W83,1),IF($Y$3="wind二级行业",[1]!s_info_industry_gics(W83,2),IF($Y$3="wind三级行业",[1]!s_info_industry_gics(W83,3),IF($Y$3="wind四级行业",[1]!s_info_industry_gics(W83,4),IF($Y$3="证监会门类行业",[1]!s_info_industry_csrc12_n(W83,公司分析!D$5,1),""))))))))</f>
        <v>综合Ⅱ</v>
      </c>
      <c r="Z83" s="302" t="str">
        <f ca="1">IF(Y83=行业比较!$E$6,ROW(),"")</f>
        <v/>
      </c>
      <c r="AA83" s="122"/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</row>
    <row r="84" spans="2:42">
      <c r="B84" s="287">
        <v>71</v>
      </c>
      <c r="C84" s="276" t="s">
        <v>114</v>
      </c>
      <c r="D84" s="260">
        <f t="shared" si="9"/>
        <v>71</v>
      </c>
      <c r="E84" s="122"/>
      <c r="F84" s="281"/>
      <c r="G84" s="122"/>
      <c r="H84" s="122"/>
      <c r="I84" s="275"/>
      <c r="J84" s="130"/>
      <c r="K84" s="130"/>
      <c r="L84" s="130"/>
      <c r="M84" s="130"/>
      <c r="N84" s="291"/>
      <c r="O84" s="291"/>
      <c r="P84" s="122"/>
      <c r="Q84" s="122"/>
      <c r="R84" s="122"/>
      <c r="S84" s="122"/>
      <c r="T84" s="122"/>
      <c r="U84" s="301"/>
      <c r="V84" s="260">
        <f t="shared" ca="1" si="8"/>
        <v>0</v>
      </c>
      <c r="W84" s="348" t="str">
        <f>IF(板块成分!B86="","",板块成分!B86)</f>
        <v>000422.SZ</v>
      </c>
      <c r="X84" s="276" t="str">
        <f>[1]!S_Info_Name(W84)</f>
        <v>湖北宜化</v>
      </c>
      <c r="Y84" s="276" t="str">
        <f ca="1">IF($Y$3="申万一级行业",[1]!s_info_industry_sw_2021(W84,公司分析!D$5,1),IF($Y$3="申万二级行业",[1]!s_info_industry_sw_2021(W84,公司分析!D$5,2),IF($Y$3="申万三级行业",[1]!s_info_industry_sw_2021(W84,公司分析!D$5,3),IF($Y$3="wind一级行业",[1]!s_info_industry_gics(W84,1),IF($Y$3="wind二级行业",[1]!s_info_industry_gics(W84,2),IF($Y$3="wind三级行业",[1]!s_info_industry_gics(W84,3),IF($Y$3="wind四级行业",[1]!s_info_industry_gics(W84,4),IF($Y$3="证监会门类行业",[1]!s_info_industry_csrc12_n(W84,公司分析!D$5,1),""))))))))</f>
        <v>农化制品</v>
      </c>
      <c r="Z84" s="302" t="str">
        <f ca="1">IF(Y84=行业比较!$E$6,ROW(),"")</f>
        <v/>
      </c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22"/>
      <c r="AN84" s="122"/>
      <c r="AO84" s="122"/>
      <c r="AP84" s="122"/>
    </row>
    <row r="85" spans="2:42">
      <c r="B85" s="287">
        <v>23</v>
      </c>
      <c r="C85" s="276" t="s">
        <v>115</v>
      </c>
      <c r="D85" s="260">
        <f t="shared" si="9"/>
        <v>23</v>
      </c>
      <c r="E85" s="122"/>
      <c r="F85" s="281"/>
      <c r="G85" s="122"/>
      <c r="H85" s="122"/>
      <c r="I85" s="275"/>
      <c r="J85" s="130"/>
      <c r="K85" s="130"/>
      <c r="L85" s="130"/>
      <c r="M85" s="130"/>
      <c r="N85" s="291"/>
      <c r="O85" s="291"/>
      <c r="P85" s="122"/>
      <c r="Q85" s="122"/>
      <c r="R85" s="122"/>
      <c r="S85" s="122"/>
      <c r="T85" s="122"/>
      <c r="U85" s="301"/>
      <c r="V85" s="260">
        <f t="shared" ca="1" si="8"/>
        <v>0</v>
      </c>
      <c r="W85" s="348" t="str">
        <f>IF(板块成分!B87="","",板块成分!B87)</f>
        <v>000423.SZ</v>
      </c>
      <c r="X85" s="276" t="str">
        <f>[1]!S_Info_Name(W85)</f>
        <v>东阿阿胶</v>
      </c>
      <c r="Y85" s="276" t="str">
        <f ca="1">IF($Y$3="申万一级行业",[1]!s_info_industry_sw_2021(W85,公司分析!D$5,1),IF($Y$3="申万二级行业",[1]!s_info_industry_sw_2021(W85,公司分析!D$5,2),IF($Y$3="申万三级行业",[1]!s_info_industry_sw_2021(W85,公司分析!D$5,3),IF($Y$3="wind一级行业",[1]!s_info_industry_gics(W85,1),IF($Y$3="wind二级行业",[1]!s_info_industry_gics(W85,2),IF($Y$3="wind三级行业",[1]!s_info_industry_gics(W85,3),IF($Y$3="wind四级行业",[1]!s_info_industry_gics(W85,4),IF($Y$3="证监会门类行业",[1]!s_info_industry_csrc12_n(W85,公司分析!D$5,1),""))))))))</f>
        <v>中药Ⅱ</v>
      </c>
      <c r="Z85" s="302" t="str">
        <f ca="1">IF(Y85=行业比较!$E$6,ROW(),"")</f>
        <v/>
      </c>
      <c r="AA85" s="122"/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22"/>
      <c r="AN85" s="122"/>
      <c r="AO85" s="122"/>
      <c r="AP85" s="122"/>
    </row>
    <row r="86" spans="2:42">
      <c r="B86" s="287">
        <v>72</v>
      </c>
      <c r="C86" s="276"/>
      <c r="D86" s="260">
        <f t="shared" si="9"/>
        <v>72</v>
      </c>
      <c r="E86" s="122"/>
      <c r="F86" s="281"/>
      <c r="G86" s="122"/>
      <c r="H86" s="122"/>
      <c r="I86" s="275"/>
      <c r="J86" s="130"/>
      <c r="K86" s="130"/>
      <c r="L86" s="130"/>
      <c r="M86" s="130"/>
      <c r="N86" s="291"/>
      <c r="O86" s="291"/>
      <c r="P86" s="122"/>
      <c r="Q86" s="122"/>
      <c r="R86" s="122"/>
      <c r="S86" s="122"/>
      <c r="T86" s="122"/>
      <c r="U86" s="301"/>
      <c r="V86" s="260">
        <f t="shared" ca="1" si="8"/>
        <v>0</v>
      </c>
      <c r="W86" s="348" t="str">
        <f>IF(板块成分!B88="","",板块成分!B88)</f>
        <v>000425.SZ</v>
      </c>
      <c r="X86" s="276" t="str">
        <f>[1]!S_Info_Name(W86)</f>
        <v>徐工机械</v>
      </c>
      <c r="Y86" s="276" t="str">
        <f ca="1">IF($Y$3="申万一级行业",[1]!s_info_industry_sw_2021(W86,公司分析!D$5,1),IF($Y$3="申万二级行业",[1]!s_info_industry_sw_2021(W86,公司分析!D$5,2),IF($Y$3="申万三级行业",[1]!s_info_industry_sw_2021(W86,公司分析!D$5,3),IF($Y$3="wind一级行业",[1]!s_info_industry_gics(W86,1),IF($Y$3="wind二级行业",[1]!s_info_industry_gics(W86,2),IF($Y$3="wind三级行业",[1]!s_info_industry_gics(W86,3),IF($Y$3="wind四级行业",[1]!s_info_industry_gics(W86,4),IF($Y$3="证监会门类行业",[1]!s_info_industry_csrc12_n(W86,公司分析!D$5,1),""))))))))</f>
        <v>工程机械</v>
      </c>
      <c r="Z86" s="302" t="str">
        <f ca="1">IF(Y86=行业比较!$E$6,ROW(),"")</f>
        <v/>
      </c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2"/>
    </row>
    <row r="87" spans="2:42">
      <c r="B87" s="287">
        <v>73</v>
      </c>
      <c r="C87" s="276"/>
      <c r="D87" s="260">
        <f t="shared" si="9"/>
        <v>73</v>
      </c>
      <c r="E87" s="122"/>
      <c r="F87" s="281"/>
      <c r="G87" s="122"/>
      <c r="H87" s="122"/>
      <c r="I87" s="275"/>
      <c r="J87" s="130"/>
      <c r="K87" s="130"/>
      <c r="L87" s="130"/>
      <c r="M87" s="130"/>
      <c r="N87" s="291"/>
      <c r="O87" s="291"/>
      <c r="P87" s="122"/>
      <c r="Q87" s="122"/>
      <c r="R87" s="122"/>
      <c r="S87" s="122"/>
      <c r="T87" s="122"/>
      <c r="U87" s="301"/>
      <c r="V87" s="260">
        <f t="shared" ca="1" si="8"/>
        <v>2</v>
      </c>
      <c r="W87" s="348" t="str">
        <f>IF(板块成分!B89="","",板块成分!B89)</f>
        <v>000426.SZ</v>
      </c>
      <c r="X87" s="276" t="str">
        <f>[1]!S_Info_Name(W87)</f>
        <v>兴业银锡</v>
      </c>
      <c r="Y87" s="276" t="str">
        <f ca="1">IF($Y$3="申万一级行业",[1]!s_info_industry_sw_2021(W87,公司分析!D$5,1),IF($Y$3="申万二级行业",[1]!s_info_industry_sw_2021(W87,公司分析!D$5,2),IF($Y$3="申万三级行业",[1]!s_info_industry_sw_2021(W87,公司分析!D$5,3),IF($Y$3="wind一级行业",[1]!s_info_industry_gics(W87,1),IF($Y$3="wind二级行业",[1]!s_info_industry_gics(W87,2),IF($Y$3="wind三级行业",[1]!s_info_industry_gics(W87,3),IF($Y$3="wind四级行业",[1]!s_info_industry_gics(W87,4),IF($Y$3="证监会门类行业",[1]!s_info_industry_csrc12_n(W87,公司分析!D$5,1),""))))))))</f>
        <v>工业金属</v>
      </c>
      <c r="Z87" s="302">
        <f ca="1">IF(Y87=行业比较!$E$6,ROW(),"")</f>
        <v>87</v>
      </c>
      <c r="AA87" s="122"/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22"/>
      <c r="AN87" s="122"/>
      <c r="AO87" s="122"/>
      <c r="AP87" s="122"/>
    </row>
    <row r="88" spans="2:42">
      <c r="B88" s="287">
        <v>74</v>
      </c>
      <c r="C88" s="276"/>
      <c r="D88" s="260">
        <f t="shared" si="9"/>
        <v>74</v>
      </c>
      <c r="E88" s="122"/>
      <c r="F88" s="281"/>
      <c r="G88" s="122"/>
      <c r="H88" s="122"/>
      <c r="I88" s="275"/>
      <c r="J88" s="130"/>
      <c r="K88" s="130"/>
      <c r="L88" s="130"/>
      <c r="M88" s="130"/>
      <c r="N88" s="291"/>
      <c r="O88" s="291"/>
      <c r="P88" s="122"/>
      <c r="Q88" s="122"/>
      <c r="R88" s="122"/>
      <c r="S88" s="122"/>
      <c r="T88" s="122"/>
      <c r="U88" s="301"/>
      <c r="V88" s="260">
        <f t="shared" ca="1" si="8"/>
        <v>0</v>
      </c>
      <c r="W88" s="348" t="str">
        <f>IF(板块成分!B90="","",板块成分!B90)</f>
        <v>000428.SZ</v>
      </c>
      <c r="X88" s="276" t="str">
        <f>[1]!S_Info_Name(W88)</f>
        <v>华天酒店</v>
      </c>
      <c r="Y88" s="276" t="str">
        <f ca="1">IF($Y$3="申万一级行业",[1]!s_info_industry_sw_2021(W88,公司分析!D$5,1),IF($Y$3="申万二级行业",[1]!s_info_industry_sw_2021(W88,公司分析!D$5,2),IF($Y$3="申万三级行业",[1]!s_info_industry_sw_2021(W88,公司分析!D$5,3),IF($Y$3="wind一级行业",[1]!s_info_industry_gics(W88,1),IF($Y$3="wind二级行业",[1]!s_info_industry_gics(W88,2),IF($Y$3="wind三级行业",[1]!s_info_industry_gics(W88,3),IF($Y$3="wind四级行业",[1]!s_info_industry_gics(W88,4),IF($Y$3="证监会门类行业",[1]!s_info_industry_csrc12_n(W88,公司分析!D$5,1),""))))))))</f>
        <v>酒店餐饮</v>
      </c>
      <c r="Z88" s="302" t="str">
        <f ca="1">IF(Y88=行业比较!$E$6,ROW(),"")</f>
        <v/>
      </c>
      <c r="AA88" s="122"/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22"/>
      <c r="AN88" s="122"/>
      <c r="AO88" s="122"/>
      <c r="AP88" s="122"/>
    </row>
    <row r="89" spans="2:42">
      <c r="B89" s="287">
        <v>75</v>
      </c>
      <c r="C89" s="276"/>
      <c r="D89" s="260">
        <f t="shared" si="9"/>
        <v>75</v>
      </c>
      <c r="E89" s="122"/>
      <c r="F89" s="281"/>
      <c r="G89" s="122"/>
      <c r="H89" s="122"/>
      <c r="I89" s="275"/>
      <c r="J89" s="130"/>
      <c r="K89" s="130"/>
      <c r="L89" s="130"/>
      <c r="M89" s="130"/>
      <c r="N89" s="291"/>
      <c r="O89" s="291"/>
      <c r="P89" s="122"/>
      <c r="Q89" s="122"/>
      <c r="R89" s="122"/>
      <c r="S89" s="122"/>
      <c r="T89" s="122"/>
      <c r="U89" s="301"/>
      <c r="V89" s="260">
        <f t="shared" ca="1" si="8"/>
        <v>0</v>
      </c>
      <c r="W89" s="348" t="str">
        <f>IF(板块成分!B91="","",板块成分!B91)</f>
        <v>000429.SZ</v>
      </c>
      <c r="X89" s="276" t="str">
        <f>[1]!S_Info_Name(W89)</f>
        <v>粤高速A</v>
      </c>
      <c r="Y89" s="276" t="str">
        <f ca="1">IF($Y$3="申万一级行业",[1]!s_info_industry_sw_2021(W89,公司分析!D$5,1),IF($Y$3="申万二级行业",[1]!s_info_industry_sw_2021(W89,公司分析!D$5,2),IF($Y$3="申万三级行业",[1]!s_info_industry_sw_2021(W89,公司分析!D$5,3),IF($Y$3="wind一级行业",[1]!s_info_industry_gics(W89,1),IF($Y$3="wind二级行业",[1]!s_info_industry_gics(W89,2),IF($Y$3="wind三级行业",[1]!s_info_industry_gics(W89,3),IF($Y$3="wind四级行业",[1]!s_info_industry_gics(W89,4),IF($Y$3="证监会门类行业",[1]!s_info_industry_csrc12_n(W89,公司分析!D$5,1),""))))))))</f>
        <v>铁路公路</v>
      </c>
      <c r="Z89" s="302" t="str">
        <f ca="1">IF(Y89=行业比较!$E$6,ROW(),"")</f>
        <v/>
      </c>
      <c r="AA89" s="122"/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22"/>
      <c r="AN89" s="122"/>
      <c r="AO89" s="122"/>
      <c r="AP89" s="122"/>
    </row>
    <row r="90" spans="2:42">
      <c r="B90" s="287">
        <v>76</v>
      </c>
      <c r="C90" s="276"/>
      <c r="D90" s="260">
        <f t="shared" si="9"/>
        <v>76</v>
      </c>
      <c r="E90" s="122"/>
      <c r="F90" s="281"/>
      <c r="G90" s="122"/>
      <c r="H90" s="122"/>
      <c r="I90" s="275"/>
      <c r="J90" s="130"/>
      <c r="K90" s="130"/>
      <c r="L90" s="130"/>
      <c r="M90" s="130"/>
      <c r="N90" s="291"/>
      <c r="O90" s="291"/>
      <c r="P90" s="122"/>
      <c r="Q90" s="122"/>
      <c r="R90" s="122"/>
      <c r="S90" s="122"/>
      <c r="T90" s="122"/>
      <c r="U90" s="301"/>
      <c r="V90" s="260">
        <f t="shared" ca="1" si="8"/>
        <v>0</v>
      </c>
      <c r="W90" s="348" t="str">
        <f>IF(板块成分!B92="","",板块成分!B92)</f>
        <v>000430.SZ</v>
      </c>
      <c r="X90" s="276" t="str">
        <f>[1]!S_Info_Name(W90)</f>
        <v>ST张家界</v>
      </c>
      <c r="Y90" s="276" t="str">
        <f ca="1">IF($Y$3="申万一级行业",[1]!s_info_industry_sw_2021(W90,公司分析!D$5,1),IF($Y$3="申万二级行业",[1]!s_info_industry_sw_2021(W90,公司分析!D$5,2),IF($Y$3="申万三级行业",[1]!s_info_industry_sw_2021(W90,公司分析!D$5,3),IF($Y$3="wind一级行业",[1]!s_info_industry_gics(W90,1),IF($Y$3="wind二级行业",[1]!s_info_industry_gics(W90,2),IF($Y$3="wind三级行业",[1]!s_info_industry_gics(W90,3),IF($Y$3="wind四级行业",[1]!s_info_industry_gics(W90,4),IF($Y$3="证监会门类行业",[1]!s_info_industry_csrc12_n(W90,公司分析!D$5,1),""))))))))</f>
        <v>旅游及景区</v>
      </c>
      <c r="Z90" s="302" t="str">
        <f ca="1">IF(Y90=行业比较!$E$6,ROW(),"")</f>
        <v/>
      </c>
      <c r="AA90" s="122"/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22"/>
      <c r="AN90" s="122"/>
      <c r="AO90" s="122"/>
      <c r="AP90" s="122"/>
    </row>
    <row r="91" spans="2:42">
      <c r="B91" s="287">
        <v>77</v>
      </c>
      <c r="C91" s="276"/>
      <c r="D91" s="260">
        <f t="shared" si="9"/>
        <v>77</v>
      </c>
      <c r="E91" s="122"/>
      <c r="F91" s="281"/>
      <c r="G91" s="122"/>
      <c r="H91" s="122"/>
      <c r="I91" s="275"/>
      <c r="J91" s="130"/>
      <c r="K91" s="130"/>
      <c r="L91" s="130"/>
      <c r="M91" s="130"/>
      <c r="N91" s="291"/>
      <c r="O91" s="291"/>
      <c r="P91" s="122"/>
      <c r="Q91" s="122"/>
      <c r="R91" s="122"/>
      <c r="S91" s="122"/>
      <c r="T91" s="122"/>
      <c r="U91" s="301"/>
      <c r="V91" s="260">
        <f t="shared" ca="1" si="8"/>
        <v>0</v>
      </c>
      <c r="W91" s="348" t="str">
        <f>IF(板块成分!B93="","",板块成分!B93)</f>
        <v>000488.SZ</v>
      </c>
      <c r="X91" s="276" t="str">
        <f>[1]!S_Info_Name(W91)</f>
        <v>ST晨鸣</v>
      </c>
      <c r="Y91" s="276" t="str">
        <f ca="1">IF($Y$3="申万一级行业",[1]!s_info_industry_sw_2021(W91,公司分析!D$5,1),IF($Y$3="申万二级行业",[1]!s_info_industry_sw_2021(W91,公司分析!D$5,2),IF($Y$3="申万三级行业",[1]!s_info_industry_sw_2021(W91,公司分析!D$5,3),IF($Y$3="wind一级行业",[1]!s_info_industry_gics(W91,1),IF($Y$3="wind二级行业",[1]!s_info_industry_gics(W91,2),IF($Y$3="wind三级行业",[1]!s_info_industry_gics(W91,3),IF($Y$3="wind四级行业",[1]!s_info_industry_gics(W91,4),IF($Y$3="证监会门类行业",[1]!s_info_industry_csrc12_n(W91,公司分析!D$5,1),""))))))))</f>
        <v>造纸</v>
      </c>
      <c r="Z91" s="302" t="str">
        <f ca="1">IF(Y91=行业比较!$E$6,ROW(),"")</f>
        <v/>
      </c>
      <c r="AA91" s="122"/>
      <c r="AB91" s="12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</row>
    <row r="92" spans="2:42">
      <c r="B92" s="287">
        <v>78</v>
      </c>
      <c r="C92" s="276"/>
      <c r="D92" s="260">
        <f t="shared" si="9"/>
        <v>78</v>
      </c>
      <c r="E92" s="122"/>
      <c r="F92" s="281"/>
      <c r="G92" s="122"/>
      <c r="H92" s="122"/>
      <c r="I92" s="275"/>
      <c r="J92" s="130"/>
      <c r="K92" s="130"/>
      <c r="L92" s="130"/>
      <c r="M92" s="130"/>
      <c r="N92" s="291"/>
      <c r="O92" s="291"/>
      <c r="P92" s="122"/>
      <c r="Q92" s="122"/>
      <c r="R92" s="122"/>
      <c r="S92" s="122"/>
      <c r="T92" s="122"/>
      <c r="U92" s="301"/>
      <c r="V92" s="260">
        <f t="shared" ca="1" si="8"/>
        <v>0</v>
      </c>
      <c r="W92" s="348" t="str">
        <f>IF(板块成分!B94="","",板块成分!B94)</f>
        <v>000498.SZ</v>
      </c>
      <c r="X92" s="276" t="str">
        <f>[1]!S_Info_Name(W92)</f>
        <v>山东路桥</v>
      </c>
      <c r="Y92" s="276" t="str">
        <f ca="1">IF($Y$3="申万一级行业",[1]!s_info_industry_sw_2021(W92,公司分析!D$5,1),IF($Y$3="申万二级行业",[1]!s_info_industry_sw_2021(W92,公司分析!D$5,2),IF($Y$3="申万三级行业",[1]!s_info_industry_sw_2021(W92,公司分析!D$5,3),IF($Y$3="wind一级行业",[1]!s_info_industry_gics(W92,1),IF($Y$3="wind二级行业",[1]!s_info_industry_gics(W92,2),IF($Y$3="wind三级行业",[1]!s_info_industry_gics(W92,3),IF($Y$3="wind四级行业",[1]!s_info_industry_gics(W92,4),IF($Y$3="证监会门类行业",[1]!s_info_industry_csrc12_n(W92,公司分析!D$5,1),""))))))))</f>
        <v>基础建设</v>
      </c>
      <c r="Z92" s="302" t="str">
        <f ca="1">IF(Y92=行业比较!$E$6,ROW(),"")</f>
        <v/>
      </c>
      <c r="AA92" s="122"/>
      <c r="AB92" s="122"/>
      <c r="AC92" s="122"/>
      <c r="AD92" s="122"/>
      <c r="AE92" s="122"/>
      <c r="AF92" s="122"/>
      <c r="AG92" s="122"/>
      <c r="AH92" s="122"/>
      <c r="AI92" s="122"/>
      <c r="AJ92" s="122"/>
      <c r="AK92" s="122"/>
      <c r="AL92" s="122"/>
      <c r="AM92" s="122"/>
      <c r="AN92" s="122"/>
      <c r="AO92" s="122"/>
      <c r="AP92" s="122"/>
    </row>
    <row r="93" spans="2:42">
      <c r="B93" s="287">
        <v>79</v>
      </c>
      <c r="C93" s="276"/>
      <c r="D93" s="260">
        <f t="shared" si="9"/>
        <v>79</v>
      </c>
      <c r="E93" s="122"/>
      <c r="F93" s="281"/>
      <c r="G93" s="122"/>
      <c r="H93" s="122"/>
      <c r="I93" s="275"/>
      <c r="J93" s="130"/>
      <c r="K93" s="130"/>
      <c r="L93" s="130"/>
      <c r="M93" s="130"/>
      <c r="N93" s="291"/>
      <c r="O93" s="291"/>
      <c r="P93" s="122"/>
      <c r="Q93" s="122"/>
      <c r="R93" s="122"/>
      <c r="S93" s="122"/>
      <c r="T93" s="122"/>
      <c r="U93" s="301"/>
      <c r="V93" s="260">
        <f t="shared" ca="1" si="8"/>
        <v>0</v>
      </c>
      <c r="W93" s="348" t="str">
        <f>IF(板块成分!B95="","",板块成分!B95)</f>
        <v>000501.SZ</v>
      </c>
      <c r="X93" s="276" t="str">
        <f>[1]!S_Info_Name(W93)</f>
        <v>武商集团</v>
      </c>
      <c r="Y93" s="276" t="str">
        <f ca="1">IF($Y$3="申万一级行业",[1]!s_info_industry_sw_2021(W93,公司分析!D$5,1),IF($Y$3="申万二级行业",[1]!s_info_industry_sw_2021(W93,公司分析!D$5,2),IF($Y$3="申万三级行业",[1]!s_info_industry_sw_2021(W93,公司分析!D$5,3),IF($Y$3="wind一级行业",[1]!s_info_industry_gics(W93,1),IF($Y$3="wind二级行业",[1]!s_info_industry_gics(W93,2),IF($Y$3="wind三级行业",[1]!s_info_industry_gics(W93,3),IF($Y$3="wind四级行业",[1]!s_info_industry_gics(W93,4),IF($Y$3="证监会门类行业",[1]!s_info_industry_csrc12_n(W93,公司分析!D$5,1),""))))))))</f>
        <v>一般零售</v>
      </c>
      <c r="Z93" s="302" t="str">
        <f ca="1">IF(Y93=行业比较!$E$6,ROW(),"")</f>
        <v/>
      </c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22"/>
      <c r="AN93" s="122"/>
      <c r="AO93" s="122"/>
      <c r="AP93" s="122"/>
    </row>
    <row r="94" spans="2:42">
      <c r="B94" s="287">
        <v>80</v>
      </c>
      <c r="C94" s="276"/>
      <c r="D94" s="260">
        <f t="shared" si="9"/>
        <v>80</v>
      </c>
      <c r="E94" s="122"/>
      <c r="F94" s="281"/>
      <c r="G94" s="122"/>
      <c r="H94" s="122"/>
      <c r="I94" s="275"/>
      <c r="J94" s="130"/>
      <c r="K94" s="130"/>
      <c r="L94" s="130"/>
      <c r="M94" s="130"/>
      <c r="N94" s="291"/>
      <c r="O94" s="291"/>
      <c r="P94" s="122"/>
      <c r="Q94" s="122"/>
      <c r="R94" s="122"/>
      <c r="S94" s="122"/>
      <c r="T94" s="122"/>
      <c r="U94" s="301"/>
      <c r="V94" s="260">
        <f t="shared" ca="1" si="8"/>
        <v>0</v>
      </c>
      <c r="W94" s="348" t="str">
        <f>IF(板块成分!B96="","",板块成分!B96)</f>
        <v>000503.SZ</v>
      </c>
      <c r="X94" s="276" t="str">
        <f>[1]!S_Info_Name(W94)</f>
        <v>国新健康</v>
      </c>
      <c r="Y94" s="276" t="str">
        <f ca="1">IF($Y$3="申万一级行业",[1]!s_info_industry_sw_2021(W94,公司分析!D$5,1),IF($Y$3="申万二级行业",[1]!s_info_industry_sw_2021(W94,公司分析!D$5,2),IF($Y$3="申万三级行业",[1]!s_info_industry_sw_2021(W94,公司分析!D$5,3),IF($Y$3="wind一级行业",[1]!s_info_industry_gics(W94,1),IF($Y$3="wind二级行业",[1]!s_info_industry_gics(W94,2),IF($Y$3="wind三级行业",[1]!s_info_industry_gics(W94,3),IF($Y$3="wind四级行业",[1]!s_info_industry_gics(W94,4),IF($Y$3="证监会门类行业",[1]!s_info_industry_csrc12_n(W94,公司分析!D$5,1),""))))))))</f>
        <v>软件开发</v>
      </c>
      <c r="Z94" s="302" t="str">
        <f ca="1">IF(Y94=行业比较!$E$6,ROW(),"")</f>
        <v/>
      </c>
      <c r="AA94" s="122"/>
      <c r="AB94" s="122"/>
      <c r="AC94" s="122"/>
      <c r="AD94" s="122"/>
      <c r="AE94" s="122"/>
      <c r="AF94" s="122"/>
      <c r="AG94" s="122"/>
      <c r="AH94" s="122"/>
      <c r="AI94" s="122"/>
      <c r="AJ94" s="122"/>
      <c r="AK94" s="122"/>
      <c r="AL94" s="122"/>
      <c r="AM94" s="122"/>
      <c r="AN94" s="122"/>
      <c r="AO94" s="122"/>
      <c r="AP94" s="122"/>
    </row>
    <row r="95" spans="2:42">
      <c r="B95" s="287">
        <v>81</v>
      </c>
      <c r="C95" s="276"/>
      <c r="D95" s="260">
        <f t="shared" si="9"/>
        <v>81</v>
      </c>
      <c r="E95" s="122"/>
      <c r="F95" s="281"/>
      <c r="G95" s="122"/>
      <c r="H95" s="122"/>
      <c r="I95" s="275"/>
      <c r="J95" s="130"/>
      <c r="K95" s="130"/>
      <c r="L95" s="130"/>
      <c r="M95" s="130"/>
      <c r="N95" s="291"/>
      <c r="O95" s="291"/>
      <c r="P95" s="122"/>
      <c r="Q95" s="122"/>
      <c r="R95" s="122"/>
      <c r="S95" s="122"/>
      <c r="T95" s="122"/>
      <c r="U95" s="301"/>
      <c r="V95" s="260">
        <f t="shared" ca="1" si="8"/>
        <v>0</v>
      </c>
      <c r="W95" s="348" t="str">
        <f>IF(板块成分!B97="","",板块成分!B97)</f>
        <v>000504.SZ</v>
      </c>
      <c r="X95" s="276" t="str">
        <f>[1]!S_Info_Name(W95)</f>
        <v>*ST生物</v>
      </c>
      <c r="Y95" s="276" t="str">
        <f ca="1">IF($Y$3="申万一级行业",[1]!s_info_industry_sw_2021(W95,公司分析!D$5,1),IF($Y$3="申万二级行业",[1]!s_info_industry_sw_2021(W95,公司分析!D$5,2),IF($Y$3="申万三级行业",[1]!s_info_industry_sw_2021(W95,公司分析!D$5,3),IF($Y$3="wind一级行业",[1]!s_info_industry_gics(W95,1),IF($Y$3="wind二级行业",[1]!s_info_industry_gics(W95,2),IF($Y$3="wind三级行业",[1]!s_info_industry_gics(W95,3),IF($Y$3="wind四级行业",[1]!s_info_industry_gics(W95,4),IF($Y$3="证监会门类行业",[1]!s_info_industry_csrc12_n(W95,公司分析!D$5,1),""))))))))</f>
        <v>医疗服务</v>
      </c>
      <c r="Z95" s="302" t="str">
        <f ca="1">IF(Y95=行业比较!$E$6,ROW(),"")</f>
        <v/>
      </c>
      <c r="AA95" s="122"/>
      <c r="AB95" s="122"/>
      <c r="AC95" s="122"/>
      <c r="AD95" s="122"/>
      <c r="AE95" s="122"/>
      <c r="AF95" s="122"/>
      <c r="AG95" s="122"/>
      <c r="AH95" s="122"/>
      <c r="AI95" s="122"/>
      <c r="AJ95" s="122"/>
      <c r="AK95" s="122"/>
      <c r="AL95" s="122"/>
      <c r="AM95" s="122"/>
      <c r="AN95" s="122"/>
      <c r="AO95" s="122"/>
      <c r="AP95" s="122"/>
    </row>
    <row r="96" spans="2:42">
      <c r="B96" s="287">
        <v>82</v>
      </c>
      <c r="C96" s="276"/>
      <c r="D96" s="260">
        <f t="shared" si="9"/>
        <v>82</v>
      </c>
      <c r="E96" s="122"/>
      <c r="F96" s="281"/>
      <c r="G96" s="122"/>
      <c r="H96" s="122"/>
      <c r="I96" s="275"/>
      <c r="J96" s="130"/>
      <c r="K96" s="130"/>
      <c r="L96" s="130"/>
      <c r="M96" s="130"/>
      <c r="N96" s="291"/>
      <c r="O96" s="291"/>
      <c r="P96" s="122"/>
      <c r="Q96" s="122"/>
      <c r="R96" s="122"/>
      <c r="S96" s="122"/>
      <c r="T96" s="122"/>
      <c r="U96" s="301"/>
      <c r="V96" s="260">
        <f t="shared" ca="1" si="8"/>
        <v>0</v>
      </c>
      <c r="W96" s="348" t="str">
        <f>IF(板块成分!B98="","",板块成分!B98)</f>
        <v>000505.SZ</v>
      </c>
      <c r="X96" s="276" t="str">
        <f>[1]!S_Info_Name(W96)</f>
        <v>京粮控股</v>
      </c>
      <c r="Y96" s="276" t="str">
        <f ca="1">IF($Y$3="申万一级行业",[1]!s_info_industry_sw_2021(W96,公司分析!D$5,1),IF($Y$3="申万二级行业",[1]!s_info_industry_sw_2021(W96,公司分析!D$5,2),IF($Y$3="申万三级行业",[1]!s_info_industry_sw_2021(W96,公司分析!D$5,3),IF($Y$3="wind一级行业",[1]!s_info_industry_gics(W96,1),IF($Y$3="wind二级行业",[1]!s_info_industry_gics(W96,2),IF($Y$3="wind三级行业",[1]!s_info_industry_gics(W96,3),IF($Y$3="wind四级行业",[1]!s_info_industry_gics(W96,4),IF($Y$3="证监会门类行业",[1]!s_info_industry_csrc12_n(W96,公司分析!D$5,1),""))))))))</f>
        <v>农产品加工</v>
      </c>
      <c r="Z96" s="302" t="str">
        <f ca="1">IF(Y96=行业比较!$E$6,ROW(),"")</f>
        <v/>
      </c>
      <c r="AA96" s="122"/>
      <c r="AB96" s="122"/>
      <c r="AC96" s="122"/>
      <c r="AD96" s="122"/>
      <c r="AE96" s="122"/>
      <c r="AF96" s="122"/>
      <c r="AG96" s="122"/>
      <c r="AH96" s="122"/>
      <c r="AI96" s="122"/>
      <c r="AJ96" s="122"/>
      <c r="AK96" s="122"/>
      <c r="AL96" s="122"/>
      <c r="AM96" s="122"/>
      <c r="AN96" s="122"/>
      <c r="AO96" s="122"/>
      <c r="AP96" s="122"/>
    </row>
    <row r="97" spans="2:42">
      <c r="B97" s="287">
        <v>83</v>
      </c>
      <c r="C97" s="276"/>
      <c r="D97" s="260">
        <f t="shared" si="9"/>
        <v>83</v>
      </c>
      <c r="E97" s="122"/>
      <c r="F97" s="281"/>
      <c r="G97" s="122"/>
      <c r="H97" s="122"/>
      <c r="I97" s="275"/>
      <c r="J97" s="130"/>
      <c r="K97" s="130"/>
      <c r="L97" s="130"/>
      <c r="M97" s="130"/>
      <c r="N97" s="291"/>
      <c r="O97" s="291"/>
      <c r="P97" s="122"/>
      <c r="Q97" s="122"/>
      <c r="R97" s="122"/>
      <c r="S97" s="122"/>
      <c r="T97" s="122"/>
      <c r="U97" s="301"/>
      <c r="V97" s="260">
        <f t="shared" ca="1" si="8"/>
        <v>0</v>
      </c>
      <c r="W97" s="348" t="str">
        <f>IF(板块成分!B99="","",板块成分!B99)</f>
        <v>000506.SZ</v>
      </c>
      <c r="X97" s="276" t="str">
        <f>[1]!S_Info_Name(W97)</f>
        <v>招金黄金</v>
      </c>
      <c r="Y97" s="276" t="str">
        <f ca="1">IF($Y$3="申万一级行业",[1]!s_info_industry_sw_2021(W97,公司分析!D$5,1),IF($Y$3="申万二级行业",[1]!s_info_industry_sw_2021(W97,公司分析!D$5,2),IF($Y$3="申万三级行业",[1]!s_info_industry_sw_2021(W97,公司分析!D$5,3),IF($Y$3="wind一级行业",[1]!s_info_industry_gics(W97,1),IF($Y$3="wind二级行业",[1]!s_info_industry_gics(W97,2),IF($Y$3="wind三级行业",[1]!s_info_industry_gics(W97,3),IF($Y$3="wind四级行业",[1]!s_info_industry_gics(W97,4),IF($Y$3="证监会门类行业",[1]!s_info_industry_csrc12_n(W97,公司分析!D$5,1),""))))))))</f>
        <v>贵金属</v>
      </c>
      <c r="Z97" s="302" t="str">
        <f ca="1">IF(Y97=行业比较!$E$6,ROW(),"")</f>
        <v/>
      </c>
      <c r="AA97" s="122"/>
      <c r="AB97" s="122"/>
      <c r="AC97" s="122"/>
      <c r="AD97" s="122"/>
      <c r="AE97" s="122"/>
      <c r="AF97" s="122"/>
      <c r="AG97" s="122"/>
      <c r="AH97" s="122"/>
      <c r="AI97" s="122"/>
      <c r="AJ97" s="122"/>
      <c r="AK97" s="122"/>
      <c r="AL97" s="122"/>
      <c r="AM97" s="122"/>
      <c r="AN97" s="122"/>
      <c r="AO97" s="122"/>
      <c r="AP97" s="122"/>
    </row>
    <row r="98" spans="2:42">
      <c r="B98" s="287">
        <v>84</v>
      </c>
      <c r="C98" s="276"/>
      <c r="D98" s="260">
        <f t="shared" si="9"/>
        <v>84</v>
      </c>
      <c r="E98" s="122"/>
      <c r="F98" s="281"/>
      <c r="G98" s="122"/>
      <c r="H98" s="122"/>
      <c r="I98" s="275"/>
      <c r="J98" s="130"/>
      <c r="K98" s="130"/>
      <c r="L98" s="130"/>
      <c r="M98" s="130"/>
      <c r="N98" s="291"/>
      <c r="O98" s="291"/>
      <c r="P98" s="122"/>
      <c r="Q98" s="122"/>
      <c r="R98" s="122"/>
      <c r="S98" s="122"/>
      <c r="T98" s="122"/>
      <c r="U98" s="301"/>
      <c r="V98" s="260">
        <f t="shared" ca="1" si="8"/>
        <v>0</v>
      </c>
      <c r="W98" s="348" t="str">
        <f>IF(板块成分!B100="","",板块成分!B100)</f>
        <v>000507.SZ</v>
      </c>
      <c r="X98" s="276" t="str">
        <f>[1]!S_Info_Name(W98)</f>
        <v>珠海港</v>
      </c>
      <c r="Y98" s="276" t="str">
        <f ca="1">IF($Y$3="申万一级行业",[1]!s_info_industry_sw_2021(W98,公司分析!D$5,1),IF($Y$3="申万二级行业",[1]!s_info_industry_sw_2021(W98,公司分析!D$5,2),IF($Y$3="申万三级行业",[1]!s_info_industry_sw_2021(W98,公司分析!D$5,3),IF($Y$3="wind一级行业",[1]!s_info_industry_gics(W98,1),IF($Y$3="wind二级行业",[1]!s_info_industry_gics(W98,2),IF($Y$3="wind三级行业",[1]!s_info_industry_gics(W98,3),IF($Y$3="wind四级行业",[1]!s_info_industry_gics(W98,4),IF($Y$3="证监会门类行业",[1]!s_info_industry_csrc12_n(W98,公司分析!D$5,1),""))))))))</f>
        <v>电力</v>
      </c>
      <c r="Z98" s="302" t="str">
        <f ca="1">IF(Y98=行业比较!$E$6,ROW(),"")</f>
        <v/>
      </c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</row>
    <row r="99" spans="2:42">
      <c r="B99" s="287">
        <v>85</v>
      </c>
      <c r="C99" s="276"/>
      <c r="D99" s="260">
        <f t="shared" si="9"/>
        <v>85</v>
      </c>
      <c r="E99" s="122"/>
      <c r="F99" s="281"/>
      <c r="G99" s="122"/>
      <c r="H99" s="122"/>
      <c r="I99" s="275"/>
      <c r="J99" s="130"/>
      <c r="K99" s="130"/>
      <c r="L99" s="130"/>
      <c r="M99" s="130"/>
      <c r="N99" s="291"/>
      <c r="O99" s="291"/>
      <c r="P99" s="122"/>
      <c r="Q99" s="122"/>
      <c r="R99" s="122"/>
      <c r="S99" s="122"/>
      <c r="T99" s="122"/>
      <c r="U99" s="301"/>
      <c r="V99" s="260">
        <f t="shared" ca="1" si="8"/>
        <v>0</v>
      </c>
      <c r="W99" s="348" t="str">
        <f>IF(板块成分!B101="","",板块成分!B101)</f>
        <v>000509.SZ</v>
      </c>
      <c r="X99" s="276" t="str">
        <f>[1]!S_Info_Name(W99)</f>
        <v>华塑控股</v>
      </c>
      <c r="Y99" s="276" t="str">
        <f ca="1">IF($Y$3="申万一级行业",[1]!s_info_industry_sw_2021(W99,公司分析!D$5,1),IF($Y$3="申万二级行业",[1]!s_info_industry_sw_2021(W99,公司分析!D$5,2),IF($Y$3="申万三级行业",[1]!s_info_industry_sw_2021(W99,公司分析!D$5,3),IF($Y$3="wind一级行业",[1]!s_info_industry_gics(W99,1),IF($Y$3="wind二级行业",[1]!s_info_industry_gics(W99,2),IF($Y$3="wind三级行业",[1]!s_info_industry_gics(W99,3),IF($Y$3="wind四级行业",[1]!s_info_industry_gics(W99,4),IF($Y$3="证监会门类行业",[1]!s_info_industry_csrc12_n(W99,公司分析!D$5,1),""))))))))</f>
        <v>光学光电子</v>
      </c>
      <c r="Z99" s="302" t="str">
        <f ca="1">IF(Y99=行业比较!$E$6,ROW(),"")</f>
        <v/>
      </c>
      <c r="AA99" s="122"/>
      <c r="AB99" s="122"/>
      <c r="AC99" s="122"/>
      <c r="AD99" s="122"/>
      <c r="AE99" s="122"/>
      <c r="AF99" s="122"/>
      <c r="AG99" s="122"/>
      <c r="AH99" s="122"/>
      <c r="AI99" s="122"/>
      <c r="AJ99" s="122"/>
      <c r="AK99" s="122"/>
      <c r="AL99" s="122"/>
      <c r="AM99" s="122"/>
      <c r="AN99" s="122"/>
      <c r="AO99" s="122"/>
      <c r="AP99" s="122"/>
    </row>
    <row r="100" spans="2:42">
      <c r="B100" s="287">
        <v>86</v>
      </c>
      <c r="C100" s="276"/>
      <c r="D100" s="260">
        <f t="shared" si="9"/>
        <v>86</v>
      </c>
      <c r="E100" s="122"/>
      <c r="F100" s="281"/>
      <c r="G100" s="122"/>
      <c r="H100" s="122"/>
      <c r="I100" s="275"/>
      <c r="J100" s="130"/>
      <c r="K100" s="130"/>
      <c r="L100" s="130"/>
      <c r="M100" s="130"/>
      <c r="N100" s="291"/>
      <c r="O100" s="291"/>
      <c r="P100" s="122"/>
      <c r="Q100" s="122"/>
      <c r="R100" s="122"/>
      <c r="S100" s="122"/>
      <c r="T100" s="122"/>
      <c r="U100" s="301"/>
      <c r="V100" s="260">
        <f t="shared" ca="1" si="8"/>
        <v>0</v>
      </c>
      <c r="W100" s="348" t="str">
        <f>IF(板块成分!B102="","",板块成分!B102)</f>
        <v>000510.SZ</v>
      </c>
      <c r="X100" s="276" t="str">
        <f>[1]!S_Info_Name(W100)</f>
        <v>新金路</v>
      </c>
      <c r="Y100" s="276" t="str">
        <f ca="1">IF($Y$3="申万一级行业",[1]!s_info_industry_sw_2021(W100,公司分析!D$5,1),IF($Y$3="申万二级行业",[1]!s_info_industry_sw_2021(W100,公司分析!D$5,2),IF($Y$3="申万三级行业",[1]!s_info_industry_sw_2021(W100,公司分析!D$5,3),IF($Y$3="wind一级行业",[1]!s_info_industry_gics(W100,1),IF($Y$3="wind二级行业",[1]!s_info_industry_gics(W100,2),IF($Y$3="wind三级行业",[1]!s_info_industry_gics(W100,3),IF($Y$3="wind四级行业",[1]!s_info_industry_gics(W100,4),IF($Y$3="证监会门类行业",[1]!s_info_industry_csrc12_n(W100,公司分析!D$5,1),""))))))))</f>
        <v>化学原料</v>
      </c>
      <c r="Z100" s="302" t="str">
        <f ca="1">IF(Y100=行业比较!$E$6,ROW(),"")</f>
        <v/>
      </c>
      <c r="AA100" s="122"/>
      <c r="AB100" s="122"/>
      <c r="AC100" s="122"/>
      <c r="AD100" s="122"/>
      <c r="AE100" s="122"/>
      <c r="AF100" s="122"/>
      <c r="AG100" s="122"/>
      <c r="AH100" s="122"/>
      <c r="AI100" s="122"/>
      <c r="AJ100" s="122"/>
      <c r="AK100" s="122"/>
      <c r="AL100" s="122"/>
      <c r="AM100" s="122"/>
      <c r="AN100" s="122"/>
      <c r="AO100" s="122"/>
      <c r="AP100" s="122"/>
    </row>
    <row r="101" spans="2:42">
      <c r="B101" s="287"/>
      <c r="C101" s="276"/>
      <c r="D101" s="260">
        <f t="shared" si="9"/>
        <v>0</v>
      </c>
      <c r="E101" s="122"/>
      <c r="F101" s="281"/>
      <c r="G101" s="122"/>
      <c r="H101" s="122"/>
      <c r="I101" s="275"/>
      <c r="J101" s="130"/>
      <c r="K101" s="130"/>
      <c r="L101" s="130"/>
      <c r="M101" s="130"/>
      <c r="N101" s="291"/>
      <c r="O101" s="291"/>
      <c r="P101" s="122"/>
      <c r="Q101" s="122"/>
      <c r="R101" s="122"/>
      <c r="S101" s="122"/>
      <c r="T101" s="122"/>
      <c r="U101" s="301"/>
      <c r="V101" s="260">
        <f t="shared" ca="1" si="8"/>
        <v>0</v>
      </c>
      <c r="W101" s="348" t="str">
        <f>IF(板块成分!B103="","",板块成分!B103)</f>
        <v>000513.SZ</v>
      </c>
      <c r="X101" s="276" t="str">
        <f>[1]!S_Info_Name(W101)</f>
        <v>丽珠集团</v>
      </c>
      <c r="Y101" s="276" t="str">
        <f ca="1">IF($Y$3="申万一级行业",[1]!s_info_industry_sw_2021(W101,公司分析!D$5,1),IF($Y$3="申万二级行业",[1]!s_info_industry_sw_2021(W101,公司分析!D$5,2),IF($Y$3="申万三级行业",[1]!s_info_industry_sw_2021(W101,公司分析!D$5,3),IF($Y$3="wind一级行业",[1]!s_info_industry_gics(W101,1),IF($Y$3="wind二级行业",[1]!s_info_industry_gics(W101,2),IF($Y$3="wind三级行业",[1]!s_info_industry_gics(W101,3),IF($Y$3="wind四级行业",[1]!s_info_industry_gics(W101,4),IF($Y$3="证监会门类行业",[1]!s_info_industry_csrc12_n(W101,公司分析!D$5,1),""))))))))</f>
        <v>化学制药</v>
      </c>
      <c r="Z101" s="302" t="str">
        <f ca="1">IF(Y101=行业比较!$E$6,ROW(),"")</f>
        <v/>
      </c>
      <c r="AA101" s="122"/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22"/>
      <c r="AL101" s="122"/>
      <c r="AM101" s="122"/>
      <c r="AN101" s="122"/>
      <c r="AO101" s="122"/>
      <c r="AP101" s="122"/>
    </row>
    <row r="102" spans="2:42">
      <c r="B102" s="287"/>
      <c r="C102" s="276"/>
      <c r="D102" s="260">
        <f t="shared" si="9"/>
        <v>0</v>
      </c>
      <c r="E102" s="122"/>
      <c r="F102" s="281"/>
      <c r="G102" s="122"/>
      <c r="H102" s="122"/>
      <c r="I102" s="275"/>
      <c r="J102" s="130"/>
      <c r="K102" s="130"/>
      <c r="L102" s="130"/>
      <c r="M102" s="130"/>
      <c r="N102" s="291"/>
      <c r="O102" s="291"/>
      <c r="P102" s="122"/>
      <c r="Q102" s="122"/>
      <c r="R102" s="122"/>
      <c r="S102" s="122"/>
      <c r="T102" s="122"/>
      <c r="U102" s="301"/>
      <c r="V102" s="260">
        <f t="shared" ca="1" si="8"/>
        <v>0</v>
      </c>
      <c r="W102" s="348" t="str">
        <f>IF(板块成分!B104="","",板块成分!B104)</f>
        <v>000514.SZ</v>
      </c>
      <c r="X102" s="276" t="str">
        <f>[1]!S_Info_Name(W102)</f>
        <v>渝开发</v>
      </c>
      <c r="Y102" s="276" t="str">
        <f ca="1">IF($Y$3="申万一级行业",[1]!s_info_industry_sw_2021(W102,公司分析!D$5,1),IF($Y$3="申万二级行业",[1]!s_info_industry_sw_2021(W102,公司分析!D$5,2),IF($Y$3="申万三级行业",[1]!s_info_industry_sw_2021(W102,公司分析!D$5,3),IF($Y$3="wind一级行业",[1]!s_info_industry_gics(W102,1),IF($Y$3="wind二级行业",[1]!s_info_industry_gics(W102,2),IF($Y$3="wind三级行业",[1]!s_info_industry_gics(W102,3),IF($Y$3="wind四级行业",[1]!s_info_industry_gics(W102,4),IF($Y$3="证监会门类行业",[1]!s_info_industry_csrc12_n(W102,公司分析!D$5,1),""))))))))</f>
        <v>房地产开发</v>
      </c>
      <c r="Z102" s="302" t="str">
        <f ca="1">IF(Y102=行业比较!$E$6,ROW(),"")</f>
        <v/>
      </c>
      <c r="AA102" s="122"/>
      <c r="AB102" s="122"/>
      <c r="AC102" s="122"/>
      <c r="AD102" s="122"/>
      <c r="AE102" s="122"/>
      <c r="AF102" s="122"/>
      <c r="AG102" s="122"/>
      <c r="AH102" s="122"/>
      <c r="AI102" s="122"/>
      <c r="AJ102" s="122"/>
      <c r="AK102" s="122"/>
      <c r="AL102" s="122"/>
      <c r="AM102" s="122"/>
      <c r="AN102" s="122"/>
      <c r="AO102" s="122"/>
      <c r="AP102" s="122"/>
    </row>
    <row r="103" spans="2:42">
      <c r="B103" s="287"/>
      <c r="C103" s="276"/>
      <c r="D103" s="260">
        <f t="shared" si="9"/>
        <v>0</v>
      </c>
      <c r="E103" s="122"/>
      <c r="F103" s="281"/>
      <c r="G103" s="122"/>
      <c r="H103" s="122"/>
      <c r="I103" s="275"/>
      <c r="J103" s="130"/>
      <c r="K103" s="130"/>
      <c r="L103" s="130"/>
      <c r="M103" s="130"/>
      <c r="N103" s="291"/>
      <c r="O103" s="291"/>
      <c r="P103" s="122"/>
      <c r="Q103" s="122"/>
      <c r="R103" s="122"/>
      <c r="S103" s="122"/>
      <c r="T103" s="122"/>
      <c r="U103" s="301"/>
      <c r="V103" s="260">
        <f t="shared" ca="1" si="8"/>
        <v>0</v>
      </c>
      <c r="W103" s="348" t="str">
        <f>IF(板块成分!B105="","",板块成分!B105)</f>
        <v>000516.SZ</v>
      </c>
      <c r="X103" s="276" t="str">
        <f>[1]!S_Info_Name(W103)</f>
        <v>国际医学</v>
      </c>
      <c r="Y103" s="276" t="str">
        <f ca="1">IF($Y$3="申万一级行业",[1]!s_info_industry_sw_2021(W103,公司分析!D$5,1),IF($Y$3="申万二级行业",[1]!s_info_industry_sw_2021(W103,公司分析!D$5,2),IF($Y$3="申万三级行业",[1]!s_info_industry_sw_2021(W103,公司分析!D$5,3),IF($Y$3="wind一级行业",[1]!s_info_industry_gics(W103,1),IF($Y$3="wind二级行业",[1]!s_info_industry_gics(W103,2),IF($Y$3="wind三级行业",[1]!s_info_industry_gics(W103,3),IF($Y$3="wind四级行业",[1]!s_info_industry_gics(W103,4),IF($Y$3="证监会门类行业",[1]!s_info_industry_csrc12_n(W103,公司分析!D$5,1),""))))))))</f>
        <v>医疗服务</v>
      </c>
      <c r="Z103" s="302" t="str">
        <f ca="1">IF(Y103=行业比较!$E$6,ROW(),"")</f>
        <v/>
      </c>
      <c r="AA103" s="122"/>
      <c r="AB103" s="122"/>
      <c r="AC103" s="122"/>
      <c r="AD103" s="122"/>
      <c r="AE103" s="122"/>
      <c r="AF103" s="122"/>
      <c r="AG103" s="122"/>
      <c r="AH103" s="122"/>
      <c r="AI103" s="122"/>
      <c r="AJ103" s="122"/>
      <c r="AK103" s="122"/>
      <c r="AL103" s="122"/>
      <c r="AM103" s="122"/>
      <c r="AN103" s="122"/>
      <c r="AO103" s="122"/>
      <c r="AP103" s="122"/>
    </row>
    <row r="104" spans="2:42">
      <c r="B104" s="287"/>
      <c r="C104" s="276"/>
      <c r="D104" s="260">
        <f t="shared" si="9"/>
        <v>0</v>
      </c>
      <c r="E104" s="122"/>
      <c r="F104" s="281"/>
      <c r="G104" s="122"/>
      <c r="H104" s="122"/>
      <c r="I104" s="275"/>
      <c r="J104" s="130"/>
      <c r="K104" s="130"/>
      <c r="L104" s="130"/>
      <c r="M104" s="130"/>
      <c r="N104" s="291"/>
      <c r="O104" s="291"/>
      <c r="P104" s="122"/>
      <c r="Q104" s="122"/>
      <c r="R104" s="122"/>
      <c r="S104" s="122"/>
      <c r="T104" s="122"/>
      <c r="U104" s="301"/>
      <c r="V104" s="260">
        <f t="shared" ca="1" si="8"/>
        <v>0</v>
      </c>
      <c r="W104" s="348" t="str">
        <f>IF(板块成分!B106="","",板块成分!B106)</f>
        <v>000517.SZ</v>
      </c>
      <c r="X104" s="276" t="str">
        <f>[1]!S_Info_Name(W104)</f>
        <v>荣安地产</v>
      </c>
      <c r="Y104" s="276" t="str">
        <f ca="1">IF($Y$3="申万一级行业",[1]!s_info_industry_sw_2021(W104,公司分析!D$5,1),IF($Y$3="申万二级行业",[1]!s_info_industry_sw_2021(W104,公司分析!D$5,2),IF($Y$3="申万三级行业",[1]!s_info_industry_sw_2021(W104,公司分析!D$5,3),IF($Y$3="wind一级行业",[1]!s_info_industry_gics(W104,1),IF($Y$3="wind二级行业",[1]!s_info_industry_gics(W104,2),IF($Y$3="wind三级行业",[1]!s_info_industry_gics(W104,3),IF($Y$3="wind四级行业",[1]!s_info_industry_gics(W104,4),IF($Y$3="证监会门类行业",[1]!s_info_industry_csrc12_n(W104,公司分析!D$5,1),""))))))))</f>
        <v>房地产开发</v>
      </c>
      <c r="Z104" s="302" t="str">
        <f ca="1">IF(Y104=行业比较!$E$6,ROW(),"")</f>
        <v/>
      </c>
      <c r="AA104" s="122"/>
      <c r="AB104" s="122"/>
      <c r="AC104" s="122"/>
      <c r="AD104" s="122"/>
      <c r="AE104" s="122"/>
      <c r="AF104" s="122"/>
      <c r="AG104" s="122"/>
      <c r="AH104" s="122"/>
      <c r="AI104" s="122"/>
      <c r="AJ104" s="122"/>
      <c r="AK104" s="122"/>
      <c r="AL104" s="122"/>
      <c r="AM104" s="122"/>
      <c r="AN104" s="122"/>
      <c r="AO104" s="122"/>
      <c r="AP104" s="122"/>
    </row>
    <row r="105" spans="2:42">
      <c r="B105" s="287"/>
      <c r="C105" s="276"/>
      <c r="D105" s="260">
        <f t="shared" si="9"/>
        <v>0</v>
      </c>
      <c r="E105" s="122"/>
      <c r="F105" s="281"/>
      <c r="G105" s="122"/>
      <c r="H105" s="122"/>
      <c r="I105" s="275"/>
      <c r="J105" s="130"/>
      <c r="K105" s="130"/>
      <c r="L105" s="130"/>
      <c r="M105" s="130"/>
      <c r="N105" s="291"/>
      <c r="O105" s="291"/>
      <c r="P105" s="122"/>
      <c r="Q105" s="122"/>
      <c r="R105" s="122"/>
      <c r="S105" s="122"/>
      <c r="T105" s="122"/>
      <c r="U105" s="301"/>
      <c r="V105" s="260">
        <f t="shared" ca="1" si="8"/>
        <v>0</v>
      </c>
      <c r="W105" s="348" t="str">
        <f>IF(板块成分!B107="","",板块成分!B107)</f>
        <v>000518.SZ</v>
      </c>
      <c r="X105" s="276" t="str">
        <f>[1]!S_Info_Name(W105)</f>
        <v>*ST四环</v>
      </c>
      <c r="Y105" s="276" t="str">
        <f ca="1">IF($Y$3="申万一级行业",[1]!s_info_industry_sw_2021(W105,公司分析!D$5,1),IF($Y$3="申万二级行业",[1]!s_info_industry_sw_2021(W105,公司分析!D$5,2),IF($Y$3="申万三级行业",[1]!s_info_industry_sw_2021(W105,公司分析!D$5,3),IF($Y$3="wind一级行业",[1]!s_info_industry_gics(W105,1),IF($Y$3="wind二级行业",[1]!s_info_industry_gics(W105,2),IF($Y$3="wind三级行业",[1]!s_info_industry_gics(W105,3),IF($Y$3="wind四级行业",[1]!s_info_industry_gics(W105,4),IF($Y$3="证监会门类行业",[1]!s_info_industry_csrc12_n(W105,公司分析!D$5,1),""))))))))</f>
        <v>生物制品</v>
      </c>
      <c r="Z105" s="302" t="str">
        <f ca="1">IF(Y105=行业比较!$E$6,ROW(),"")</f>
        <v/>
      </c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</row>
    <row r="106" spans="2:42">
      <c r="B106" s="287"/>
      <c r="C106" s="276"/>
      <c r="D106" s="260">
        <f t="shared" si="9"/>
        <v>0</v>
      </c>
      <c r="E106" s="122"/>
      <c r="F106" s="281"/>
      <c r="G106" s="122"/>
      <c r="H106" s="122"/>
      <c r="I106" s="275"/>
      <c r="J106" s="130"/>
      <c r="K106" s="130"/>
      <c r="L106" s="130"/>
      <c r="M106" s="130"/>
      <c r="N106" s="291"/>
      <c r="O106" s="291"/>
      <c r="P106" s="122"/>
      <c r="Q106" s="122"/>
      <c r="R106" s="122"/>
      <c r="S106" s="122"/>
      <c r="T106" s="122"/>
      <c r="U106" s="301"/>
      <c r="V106" s="260">
        <f t="shared" ca="1" si="8"/>
        <v>0</v>
      </c>
      <c r="W106" s="348" t="str">
        <f>IF(板块成分!B108="","",板块成分!B108)</f>
        <v>000519.SZ</v>
      </c>
      <c r="X106" s="276" t="str">
        <f>[1]!S_Info_Name(W106)</f>
        <v>中兵红箭</v>
      </c>
      <c r="Y106" s="276" t="str">
        <f ca="1">IF($Y$3="申万一级行业",[1]!s_info_industry_sw_2021(W106,公司分析!D$5,1),IF($Y$3="申万二级行业",[1]!s_info_industry_sw_2021(W106,公司分析!D$5,2),IF($Y$3="申万三级行业",[1]!s_info_industry_sw_2021(W106,公司分析!D$5,3),IF($Y$3="wind一级行业",[1]!s_info_industry_gics(W106,1),IF($Y$3="wind二级行业",[1]!s_info_industry_gics(W106,2),IF($Y$3="wind三级行业",[1]!s_info_industry_gics(W106,3),IF($Y$3="wind四级行业",[1]!s_info_industry_gics(W106,4),IF($Y$3="证监会门类行业",[1]!s_info_industry_csrc12_n(W106,公司分析!D$5,1),""))))))))</f>
        <v>地面兵装Ⅱ</v>
      </c>
      <c r="Z106" s="302" t="str">
        <f ca="1">IF(Y106=行业比较!$E$6,ROW(),"")</f>
        <v/>
      </c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22"/>
      <c r="AN106" s="122"/>
      <c r="AO106" s="122"/>
      <c r="AP106" s="122"/>
    </row>
    <row r="107" spans="2:42">
      <c r="B107" s="287"/>
      <c r="C107" s="276"/>
      <c r="D107" s="260">
        <f t="shared" si="9"/>
        <v>0</v>
      </c>
      <c r="E107" s="122"/>
      <c r="F107" s="281"/>
      <c r="G107" s="122"/>
      <c r="H107" s="122"/>
      <c r="I107" s="275"/>
      <c r="J107" s="130"/>
      <c r="K107" s="130"/>
      <c r="L107" s="130"/>
      <c r="M107" s="130"/>
      <c r="N107" s="291"/>
      <c r="O107" s="291"/>
      <c r="P107" s="122"/>
      <c r="Q107" s="122"/>
      <c r="R107" s="122"/>
      <c r="S107" s="122"/>
      <c r="T107" s="122"/>
      <c r="U107" s="301"/>
      <c r="V107" s="260">
        <f t="shared" ca="1" si="8"/>
        <v>0</v>
      </c>
      <c r="W107" s="348" t="str">
        <f>IF(板块成分!B109="","",板块成分!B109)</f>
        <v>000520.SZ</v>
      </c>
      <c r="X107" s="276" t="str">
        <f>[1]!S_Info_Name(W107)</f>
        <v>凤凰航运</v>
      </c>
      <c r="Y107" s="276" t="str">
        <f ca="1">IF($Y$3="申万一级行业",[1]!s_info_industry_sw_2021(W107,公司分析!D$5,1),IF($Y$3="申万二级行业",[1]!s_info_industry_sw_2021(W107,公司分析!D$5,2),IF($Y$3="申万三级行业",[1]!s_info_industry_sw_2021(W107,公司分析!D$5,3),IF($Y$3="wind一级行业",[1]!s_info_industry_gics(W107,1),IF($Y$3="wind二级行业",[1]!s_info_industry_gics(W107,2),IF($Y$3="wind三级行业",[1]!s_info_industry_gics(W107,3),IF($Y$3="wind四级行业",[1]!s_info_industry_gics(W107,4),IF($Y$3="证监会门类行业",[1]!s_info_industry_csrc12_n(W107,公司分析!D$5,1),""))))))))</f>
        <v>航运港口</v>
      </c>
      <c r="Z107" s="302" t="str">
        <f ca="1">IF(Y107=行业比较!$E$6,ROW(),"")</f>
        <v/>
      </c>
      <c r="AA107" s="122"/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</row>
    <row r="108" spans="2:42">
      <c r="B108" s="288"/>
      <c r="C108" s="289"/>
      <c r="D108" s="290">
        <f t="shared" si="9"/>
        <v>0</v>
      </c>
      <c r="E108" s="285"/>
      <c r="F108" s="286"/>
      <c r="G108" s="122"/>
      <c r="H108" s="122"/>
      <c r="I108" s="275"/>
      <c r="J108" s="130"/>
      <c r="K108" s="130"/>
      <c r="L108" s="130"/>
      <c r="M108" s="130"/>
      <c r="N108" s="291"/>
      <c r="O108" s="291"/>
      <c r="P108" s="122"/>
      <c r="Q108" s="122"/>
      <c r="R108" s="122"/>
      <c r="S108" s="122"/>
      <c r="T108" s="122"/>
      <c r="U108" s="301"/>
      <c r="V108" s="260">
        <f t="shared" ca="1" si="8"/>
        <v>0</v>
      </c>
      <c r="W108" s="348" t="str">
        <f>IF(板块成分!B110="","",板块成分!B110)</f>
        <v>000521.SZ</v>
      </c>
      <c r="X108" s="276" t="str">
        <f>[1]!S_Info_Name(W108)</f>
        <v>长虹美菱</v>
      </c>
      <c r="Y108" s="276" t="str">
        <f ca="1">IF($Y$3="申万一级行业",[1]!s_info_industry_sw_2021(W108,公司分析!D$5,1),IF($Y$3="申万二级行业",[1]!s_info_industry_sw_2021(W108,公司分析!D$5,2),IF($Y$3="申万三级行业",[1]!s_info_industry_sw_2021(W108,公司分析!D$5,3),IF($Y$3="wind一级行业",[1]!s_info_industry_gics(W108,1),IF($Y$3="wind二级行业",[1]!s_info_industry_gics(W108,2),IF($Y$3="wind三级行业",[1]!s_info_industry_gics(W108,3),IF($Y$3="wind四级行业",[1]!s_info_industry_gics(W108,4),IF($Y$3="证监会门类行业",[1]!s_info_industry_csrc12_n(W108,公司分析!D$5,1),""))))))))</f>
        <v>白色家电</v>
      </c>
      <c r="Z108" s="302" t="str">
        <f ca="1">IF(Y108=行业比较!$E$6,ROW(),"")</f>
        <v/>
      </c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</row>
    <row r="109" spans="2:42">
      <c r="B109" s="276"/>
      <c r="C109" s="276"/>
      <c r="D109" s="317"/>
      <c r="E109" s="122"/>
      <c r="F109" s="122"/>
      <c r="G109" s="122"/>
      <c r="H109" s="122"/>
      <c r="I109" s="275"/>
      <c r="J109" s="130"/>
      <c r="K109" s="130"/>
      <c r="L109" s="130"/>
      <c r="M109" s="130"/>
      <c r="N109" s="291"/>
      <c r="O109" s="291"/>
      <c r="P109" s="122"/>
      <c r="Q109" s="122"/>
      <c r="R109" s="122"/>
      <c r="S109" s="122"/>
      <c r="T109" s="122"/>
      <c r="U109" s="301"/>
      <c r="V109" s="260">
        <f t="shared" ca="1" si="8"/>
        <v>0</v>
      </c>
      <c r="W109" s="348" t="str">
        <f>IF(板块成分!B111="","",板块成分!B111)</f>
        <v>000523.SZ</v>
      </c>
      <c r="X109" s="276" t="str">
        <f>[1]!S_Info_Name(W109)</f>
        <v>红棉股份</v>
      </c>
      <c r="Y109" s="276" t="str">
        <f ca="1">IF($Y$3="申万一级行业",[1]!s_info_industry_sw_2021(W109,公司分析!D$5,1),IF($Y$3="申万二级行业",[1]!s_info_industry_sw_2021(W109,公司分析!D$5,2),IF($Y$3="申万三级行业",[1]!s_info_industry_sw_2021(W109,公司分析!D$5,3),IF($Y$3="wind一级行业",[1]!s_info_industry_gics(W109,1),IF($Y$3="wind二级行业",[1]!s_info_industry_gics(W109,2),IF($Y$3="wind三级行业",[1]!s_info_industry_gics(W109,3),IF($Y$3="wind四级行业",[1]!s_info_industry_gics(W109,4),IF($Y$3="证监会门类行业",[1]!s_info_industry_csrc12_n(W109,公司分析!D$5,1),""))))))))</f>
        <v>综合Ⅱ</v>
      </c>
      <c r="Z109" s="302" t="str">
        <f ca="1">IF(Y109=行业比较!$E$6,ROW(),"")</f>
        <v/>
      </c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</row>
    <row r="110" spans="2:42">
      <c r="B110" s="276"/>
      <c r="C110" s="276"/>
      <c r="D110" s="317"/>
      <c r="E110" s="122"/>
      <c r="F110" s="122"/>
      <c r="G110" s="122"/>
      <c r="H110" s="122"/>
      <c r="I110" s="275"/>
      <c r="J110" s="130"/>
      <c r="K110" s="130"/>
      <c r="L110" s="130"/>
      <c r="M110" s="130"/>
      <c r="N110" s="291"/>
      <c r="O110" s="291"/>
      <c r="P110" s="122"/>
      <c r="Q110" s="122"/>
      <c r="R110" s="122"/>
      <c r="S110" s="122"/>
      <c r="T110" s="122"/>
      <c r="U110" s="301"/>
      <c r="V110" s="260">
        <f t="shared" ca="1" si="8"/>
        <v>0</v>
      </c>
      <c r="W110" s="348" t="str">
        <f>IF(板块成分!B112="","",板块成分!B112)</f>
        <v>000524.SZ</v>
      </c>
      <c r="X110" s="276" t="str">
        <f>[1]!S_Info_Name(W110)</f>
        <v>岭南控股</v>
      </c>
      <c r="Y110" s="276" t="str">
        <f ca="1">IF($Y$3="申万一级行业",[1]!s_info_industry_sw_2021(W110,公司分析!D$5,1),IF($Y$3="申万二级行业",[1]!s_info_industry_sw_2021(W110,公司分析!D$5,2),IF($Y$3="申万三级行业",[1]!s_info_industry_sw_2021(W110,公司分析!D$5,3),IF($Y$3="wind一级行业",[1]!s_info_industry_gics(W110,1),IF($Y$3="wind二级行业",[1]!s_info_industry_gics(W110,2),IF($Y$3="wind三级行业",[1]!s_info_industry_gics(W110,3),IF($Y$3="wind四级行业",[1]!s_info_industry_gics(W110,4),IF($Y$3="证监会门类行业",[1]!s_info_industry_csrc12_n(W110,公司分析!D$5,1),""))))))))</f>
        <v>旅游及景区</v>
      </c>
      <c r="Z110" s="302" t="str">
        <f ca="1">IF(Y110=行业比较!$E$6,ROW(),"")</f>
        <v/>
      </c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</row>
    <row r="111" spans="2:42">
      <c r="B111" s="276"/>
      <c r="C111" s="276"/>
      <c r="D111" s="317"/>
      <c r="E111" s="122"/>
      <c r="F111" s="122"/>
      <c r="G111" s="122"/>
      <c r="H111" s="122"/>
      <c r="I111" s="275"/>
      <c r="J111" s="130"/>
      <c r="K111" s="130"/>
      <c r="L111" s="130"/>
      <c r="M111" s="130"/>
      <c r="N111" s="291"/>
      <c r="O111" s="291"/>
      <c r="P111" s="122"/>
      <c r="Q111" s="122"/>
      <c r="R111" s="122"/>
      <c r="S111" s="122"/>
      <c r="T111" s="122"/>
      <c r="U111" s="301"/>
      <c r="V111" s="260">
        <f t="shared" ca="1" si="8"/>
        <v>0</v>
      </c>
      <c r="W111" s="348" t="str">
        <f>IF(板块成分!B113="","",板块成分!B113)</f>
        <v>000525.SZ</v>
      </c>
      <c r="X111" s="276" t="str">
        <f>[1]!S_Info_Name(W111)</f>
        <v>红太阳</v>
      </c>
      <c r="Y111" s="276" t="str">
        <f ca="1">IF($Y$3="申万一级行业",[1]!s_info_industry_sw_2021(W111,公司分析!D$5,1),IF($Y$3="申万二级行业",[1]!s_info_industry_sw_2021(W111,公司分析!D$5,2),IF($Y$3="申万三级行业",[1]!s_info_industry_sw_2021(W111,公司分析!D$5,3),IF($Y$3="wind一级行业",[1]!s_info_industry_gics(W111,1),IF($Y$3="wind二级行业",[1]!s_info_industry_gics(W111,2),IF($Y$3="wind三级行业",[1]!s_info_industry_gics(W111,3),IF($Y$3="wind四级行业",[1]!s_info_industry_gics(W111,4),IF($Y$3="证监会门类行业",[1]!s_info_industry_csrc12_n(W111,公司分析!D$5,1),""))))))))</f>
        <v>农化制品</v>
      </c>
      <c r="Z111" s="302" t="str">
        <f ca="1">IF(Y111=行业比较!$E$6,ROW(),"")</f>
        <v/>
      </c>
      <c r="AA111" s="122"/>
      <c r="AB111" s="122"/>
      <c r="AC111" s="122"/>
      <c r="AD111" s="122"/>
      <c r="AE111" s="122"/>
      <c r="AF111" s="122"/>
      <c r="AG111" s="122"/>
      <c r="AH111" s="122"/>
      <c r="AI111" s="122"/>
      <c r="AJ111" s="122"/>
      <c r="AK111" s="122"/>
      <c r="AL111" s="122"/>
      <c r="AM111" s="122"/>
      <c r="AN111" s="122"/>
      <c r="AO111" s="122"/>
      <c r="AP111" s="122"/>
    </row>
    <row r="112" spans="2:42">
      <c r="B112" s="122"/>
      <c r="C112" s="122"/>
      <c r="D112" s="122"/>
      <c r="E112" s="122"/>
      <c r="F112" s="122"/>
      <c r="G112" s="122"/>
      <c r="H112" s="122"/>
      <c r="I112" s="275"/>
      <c r="J112" s="130"/>
      <c r="K112" s="130"/>
      <c r="L112" s="130"/>
      <c r="M112" s="130"/>
      <c r="N112" s="291"/>
      <c r="O112" s="291"/>
      <c r="P112" s="122"/>
      <c r="Q112" s="122"/>
      <c r="R112" s="122"/>
      <c r="S112" s="122"/>
      <c r="T112" s="122"/>
      <c r="U112" s="301"/>
      <c r="V112" s="260">
        <f t="shared" ca="1" si="8"/>
        <v>0</v>
      </c>
      <c r="W112" s="348" t="str">
        <f>IF(板块成分!B114="","",板块成分!B114)</f>
        <v>000526.SZ</v>
      </c>
      <c r="X112" s="276" t="str">
        <f>[1]!S_Info_Name(W112)</f>
        <v>学大教育</v>
      </c>
      <c r="Y112" s="276" t="str">
        <f ca="1">IF($Y$3="申万一级行业",[1]!s_info_industry_sw_2021(W112,公司分析!D$5,1),IF($Y$3="申万二级行业",[1]!s_info_industry_sw_2021(W112,公司分析!D$5,2),IF($Y$3="申万三级行业",[1]!s_info_industry_sw_2021(W112,公司分析!D$5,3),IF($Y$3="wind一级行业",[1]!s_info_industry_gics(W112,1),IF($Y$3="wind二级行业",[1]!s_info_industry_gics(W112,2),IF($Y$3="wind三级行业",[1]!s_info_industry_gics(W112,3),IF($Y$3="wind四级行业",[1]!s_info_industry_gics(W112,4),IF($Y$3="证监会门类行业",[1]!s_info_industry_csrc12_n(W112,公司分析!D$5,1),""))))))))</f>
        <v>教育</v>
      </c>
      <c r="Z112" s="302" t="str">
        <f ca="1">IF(Y112=行业比较!$E$6,ROW(),"")</f>
        <v/>
      </c>
      <c r="AA112" s="122"/>
      <c r="AB112" s="122"/>
      <c r="AC112" s="122"/>
      <c r="AD112" s="122"/>
      <c r="AE112" s="122"/>
      <c r="AF112" s="122"/>
      <c r="AG112" s="122"/>
      <c r="AH112" s="122"/>
      <c r="AI112" s="122"/>
      <c r="AJ112" s="122"/>
      <c r="AK112" s="122"/>
      <c r="AL112" s="122"/>
      <c r="AM112" s="122"/>
      <c r="AN112" s="122"/>
      <c r="AO112" s="122"/>
      <c r="AP112" s="122"/>
    </row>
    <row r="113" spans="2:42">
      <c r="B113" s="122"/>
      <c r="C113" s="122"/>
      <c r="D113" s="122"/>
      <c r="E113" s="122"/>
      <c r="F113" s="122"/>
      <c r="G113" s="122"/>
      <c r="H113" s="122"/>
      <c r="I113" s="275"/>
      <c r="J113" s="130"/>
      <c r="K113" s="130"/>
      <c r="L113" s="130"/>
      <c r="M113" s="130"/>
      <c r="N113" s="291"/>
      <c r="O113" s="291"/>
      <c r="P113" s="122"/>
      <c r="Q113" s="122"/>
      <c r="R113" s="122"/>
      <c r="S113" s="122"/>
      <c r="T113" s="122"/>
      <c r="U113" s="301"/>
      <c r="V113" s="260">
        <f t="shared" ca="1" si="8"/>
        <v>0</v>
      </c>
      <c r="W113" s="348" t="str">
        <f>IF(板块成分!B115="","",板块成分!B115)</f>
        <v>000528.SZ</v>
      </c>
      <c r="X113" s="276" t="str">
        <f>[1]!S_Info_Name(W113)</f>
        <v>柳工</v>
      </c>
      <c r="Y113" s="276" t="str">
        <f ca="1">IF($Y$3="申万一级行业",[1]!s_info_industry_sw_2021(W113,公司分析!D$5,1),IF($Y$3="申万二级行业",[1]!s_info_industry_sw_2021(W113,公司分析!D$5,2),IF($Y$3="申万三级行业",[1]!s_info_industry_sw_2021(W113,公司分析!D$5,3),IF($Y$3="wind一级行业",[1]!s_info_industry_gics(W113,1),IF($Y$3="wind二级行业",[1]!s_info_industry_gics(W113,2),IF($Y$3="wind三级行业",[1]!s_info_industry_gics(W113,3),IF($Y$3="wind四级行业",[1]!s_info_industry_gics(W113,4),IF($Y$3="证监会门类行业",[1]!s_info_industry_csrc12_n(W113,公司分析!D$5,1),""))))))))</f>
        <v>工程机械</v>
      </c>
      <c r="Z113" s="302" t="str">
        <f ca="1">IF(Y113=行业比较!$E$6,ROW(),"")</f>
        <v/>
      </c>
      <c r="AA113" s="122"/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  <c r="AL113" s="122"/>
      <c r="AM113" s="122"/>
      <c r="AN113" s="122"/>
      <c r="AO113" s="122"/>
      <c r="AP113" s="122"/>
    </row>
    <row r="114" spans="2:42">
      <c r="B114" s="122"/>
      <c r="C114" s="122"/>
      <c r="D114" s="122"/>
      <c r="E114" s="122"/>
      <c r="F114" s="122"/>
      <c r="G114" s="122"/>
      <c r="H114" s="122"/>
      <c r="I114" s="275"/>
      <c r="J114" s="130"/>
      <c r="K114" s="130"/>
      <c r="L114" s="130"/>
      <c r="M114" s="130"/>
      <c r="N114" s="291"/>
      <c r="O114" s="291"/>
      <c r="P114" s="122"/>
      <c r="Q114" s="122"/>
      <c r="R114" s="122"/>
      <c r="S114" s="122"/>
      <c r="T114" s="122"/>
      <c r="U114" s="301"/>
      <c r="V114" s="260">
        <f t="shared" ca="1" si="8"/>
        <v>0</v>
      </c>
      <c r="W114" s="348" t="str">
        <f>IF(板块成分!B116="","",板块成分!B116)</f>
        <v>000529.SZ</v>
      </c>
      <c r="X114" s="276" t="str">
        <f>[1]!S_Info_Name(W114)</f>
        <v>广弘控股</v>
      </c>
      <c r="Y114" s="276" t="str">
        <f ca="1">IF($Y$3="申万一级行业",[1]!s_info_industry_sw_2021(W114,公司分析!D$5,1),IF($Y$3="申万二级行业",[1]!s_info_industry_sw_2021(W114,公司分析!D$5,2),IF($Y$3="申万三级行业",[1]!s_info_industry_sw_2021(W114,公司分析!D$5,3),IF($Y$3="wind一级行业",[1]!s_info_industry_gics(W114,1),IF($Y$3="wind二级行业",[1]!s_info_industry_gics(W114,2),IF($Y$3="wind三级行业",[1]!s_info_industry_gics(W114,3),IF($Y$3="wind四级行业",[1]!s_info_industry_gics(W114,4),IF($Y$3="证监会门类行业",[1]!s_info_industry_csrc12_n(W114,公司分析!D$5,1),""))))))))</f>
        <v>食品加工</v>
      </c>
      <c r="Z114" s="302" t="str">
        <f ca="1">IF(Y114=行业比较!$E$6,ROW(),"")</f>
        <v/>
      </c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22"/>
      <c r="AN114" s="122"/>
      <c r="AO114" s="122"/>
      <c r="AP114" s="122"/>
    </row>
    <row r="115" spans="2:42">
      <c r="B115" s="122"/>
      <c r="C115" s="122"/>
      <c r="D115" s="122"/>
      <c r="E115" s="122"/>
      <c r="F115" s="122"/>
      <c r="G115" s="122"/>
      <c r="H115" s="122"/>
      <c r="I115" s="275"/>
      <c r="J115" s="130"/>
      <c r="K115" s="130"/>
      <c r="L115" s="130"/>
      <c r="M115" s="130"/>
      <c r="N115" s="291"/>
      <c r="O115" s="291"/>
      <c r="P115" s="122"/>
      <c r="Q115" s="122"/>
      <c r="R115" s="122"/>
      <c r="S115" s="122"/>
      <c r="T115" s="122"/>
      <c r="U115" s="301"/>
      <c r="V115" s="260">
        <f t="shared" ca="1" si="8"/>
        <v>0</v>
      </c>
      <c r="W115" s="348" t="str">
        <f>IF(板块成分!B117="","",板块成分!B117)</f>
        <v>000530.SZ</v>
      </c>
      <c r="X115" s="276" t="str">
        <f>[1]!S_Info_Name(W115)</f>
        <v>冰山冷热</v>
      </c>
      <c r="Y115" s="276" t="str">
        <f ca="1">IF($Y$3="申万一级行业",[1]!s_info_industry_sw_2021(W115,公司分析!D$5,1),IF($Y$3="申万二级行业",[1]!s_info_industry_sw_2021(W115,公司分析!D$5,2),IF($Y$3="申万三级行业",[1]!s_info_industry_sw_2021(W115,公司分析!D$5,3),IF($Y$3="wind一级行业",[1]!s_info_industry_gics(W115,1),IF($Y$3="wind二级行业",[1]!s_info_industry_gics(W115,2),IF($Y$3="wind三级行业",[1]!s_info_industry_gics(W115,3),IF($Y$3="wind四级行业",[1]!s_info_industry_gics(W115,4),IF($Y$3="证监会门类行业",[1]!s_info_industry_csrc12_n(W115,公司分析!D$5,1),""))))))))</f>
        <v>通用设备</v>
      </c>
      <c r="Z115" s="302" t="str">
        <f ca="1">IF(Y115=行业比较!$E$6,ROW(),"")</f>
        <v/>
      </c>
      <c r="AA115" s="122"/>
      <c r="AB115" s="122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22"/>
      <c r="AN115" s="122"/>
      <c r="AO115" s="122"/>
      <c r="AP115" s="122"/>
    </row>
    <row r="116" spans="2:42">
      <c r="B116" s="122"/>
      <c r="C116" s="122"/>
      <c r="D116" s="122"/>
      <c r="E116" s="122"/>
      <c r="F116" s="122"/>
      <c r="G116" s="122"/>
      <c r="H116" s="122"/>
      <c r="I116" s="275"/>
      <c r="J116" s="130"/>
      <c r="K116" s="130"/>
      <c r="L116" s="130"/>
      <c r="M116" s="130"/>
      <c r="N116" s="291"/>
      <c r="O116" s="291"/>
      <c r="P116" s="122"/>
      <c r="Q116" s="122"/>
      <c r="R116" s="122"/>
      <c r="S116" s="122"/>
      <c r="T116" s="122"/>
      <c r="U116" s="301"/>
      <c r="V116" s="260">
        <f t="shared" ca="1" si="8"/>
        <v>0</v>
      </c>
      <c r="W116" s="348" t="str">
        <f>IF(板块成分!B118="","",板块成分!B118)</f>
        <v>000531.SZ</v>
      </c>
      <c r="X116" s="276" t="str">
        <f>[1]!S_Info_Name(W116)</f>
        <v>穗恒运A</v>
      </c>
      <c r="Y116" s="276" t="str">
        <f ca="1">IF($Y$3="申万一级行业",[1]!s_info_industry_sw_2021(W116,公司分析!D$5,1),IF($Y$3="申万二级行业",[1]!s_info_industry_sw_2021(W116,公司分析!D$5,2),IF($Y$3="申万三级行业",[1]!s_info_industry_sw_2021(W116,公司分析!D$5,3),IF($Y$3="wind一级行业",[1]!s_info_industry_gics(W116,1),IF($Y$3="wind二级行业",[1]!s_info_industry_gics(W116,2),IF($Y$3="wind三级行业",[1]!s_info_industry_gics(W116,3),IF($Y$3="wind四级行业",[1]!s_info_industry_gics(W116,4),IF($Y$3="证监会门类行业",[1]!s_info_industry_csrc12_n(W116,公司分析!D$5,1),""))))))))</f>
        <v>电力</v>
      </c>
      <c r="Z116" s="302" t="str">
        <f ca="1">IF(Y116=行业比较!$E$6,ROW(),"")</f>
        <v/>
      </c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</row>
    <row r="117" spans="2:42">
      <c r="B117" s="122"/>
      <c r="C117" s="122"/>
      <c r="D117" s="122"/>
      <c r="E117" s="122"/>
      <c r="F117" s="122"/>
      <c r="G117" s="122"/>
      <c r="H117" s="122"/>
      <c r="I117" s="275"/>
      <c r="J117" s="130"/>
      <c r="K117" s="130"/>
      <c r="L117" s="130"/>
      <c r="M117" s="130"/>
      <c r="N117" s="291"/>
      <c r="O117" s="291"/>
      <c r="P117" s="122"/>
      <c r="Q117" s="122"/>
      <c r="R117" s="122"/>
      <c r="S117" s="122"/>
      <c r="T117" s="122"/>
      <c r="U117" s="301"/>
      <c r="V117" s="260">
        <f t="shared" ca="1" si="8"/>
        <v>0</v>
      </c>
      <c r="W117" s="348" t="str">
        <f>IF(板块成分!B119="","",板块成分!B119)</f>
        <v>000532.SZ</v>
      </c>
      <c r="X117" s="276" t="str">
        <f>[1]!S_Info_Name(W117)</f>
        <v>华金资本</v>
      </c>
      <c r="Y117" s="276" t="str">
        <f ca="1">IF($Y$3="申万一级行业",[1]!s_info_industry_sw_2021(W117,公司分析!D$5,1),IF($Y$3="申万二级行业",[1]!s_info_industry_sw_2021(W117,公司分析!D$5,2),IF($Y$3="申万三级行业",[1]!s_info_industry_sw_2021(W117,公司分析!D$5,3),IF($Y$3="wind一级行业",[1]!s_info_industry_gics(W117,1),IF($Y$3="wind二级行业",[1]!s_info_industry_gics(W117,2),IF($Y$3="wind三级行业",[1]!s_info_industry_gics(W117,3),IF($Y$3="wind四级行业",[1]!s_info_industry_gics(W117,4),IF($Y$3="证监会门类行业",[1]!s_info_industry_csrc12_n(W117,公司分析!D$5,1),""))))))))</f>
        <v>多元金融</v>
      </c>
      <c r="Z117" s="302" t="str">
        <f ca="1">IF(Y117=行业比较!$E$6,ROW(),"")</f>
        <v/>
      </c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</row>
    <row r="118" spans="2:42">
      <c r="B118" s="122"/>
      <c r="C118" s="122"/>
      <c r="D118" s="122"/>
      <c r="E118" s="122"/>
      <c r="F118" s="122"/>
      <c r="G118" s="122"/>
      <c r="H118" s="122"/>
      <c r="I118" s="275"/>
      <c r="J118" s="130"/>
      <c r="K118" s="130"/>
      <c r="L118" s="130"/>
      <c r="M118" s="130"/>
      <c r="N118" s="291"/>
      <c r="O118" s="291"/>
      <c r="P118" s="122"/>
      <c r="Q118" s="122"/>
      <c r="R118" s="122"/>
      <c r="S118" s="122"/>
      <c r="T118" s="122"/>
      <c r="U118" s="301"/>
      <c r="V118" s="260">
        <f t="shared" ca="1" si="8"/>
        <v>0</v>
      </c>
      <c r="W118" s="348" t="str">
        <f>IF(板块成分!B120="","",板块成分!B120)</f>
        <v>000533.SZ</v>
      </c>
      <c r="X118" s="276" t="str">
        <f>[1]!S_Info_Name(W118)</f>
        <v>顺钠股份</v>
      </c>
      <c r="Y118" s="276" t="str">
        <f ca="1">IF($Y$3="申万一级行业",[1]!s_info_industry_sw_2021(W118,公司分析!D$5,1),IF($Y$3="申万二级行业",[1]!s_info_industry_sw_2021(W118,公司分析!D$5,2),IF($Y$3="申万三级行业",[1]!s_info_industry_sw_2021(W118,公司分析!D$5,3),IF($Y$3="wind一级行业",[1]!s_info_industry_gics(W118,1),IF($Y$3="wind二级行业",[1]!s_info_industry_gics(W118,2),IF($Y$3="wind三级行业",[1]!s_info_industry_gics(W118,3),IF($Y$3="wind四级行业",[1]!s_info_industry_gics(W118,4),IF($Y$3="证监会门类行业",[1]!s_info_industry_csrc12_n(W118,公司分析!D$5,1),""))))))))</f>
        <v>电网设备</v>
      </c>
      <c r="Z118" s="302" t="str">
        <f ca="1">IF(Y118=行业比较!$E$6,ROW(),"")</f>
        <v/>
      </c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</row>
    <row r="119" spans="2:42">
      <c r="B119" s="122"/>
      <c r="C119" s="122"/>
      <c r="D119" s="122"/>
      <c r="E119" s="122"/>
      <c r="F119" s="122"/>
      <c r="G119" s="122"/>
      <c r="H119" s="122"/>
      <c r="I119" s="275"/>
      <c r="J119" s="130"/>
      <c r="K119" s="130"/>
      <c r="L119" s="130"/>
      <c r="M119" s="130"/>
      <c r="N119" s="291"/>
      <c r="O119" s="291"/>
      <c r="P119" s="122"/>
      <c r="Q119" s="122"/>
      <c r="R119" s="122"/>
      <c r="S119" s="122"/>
      <c r="T119" s="122"/>
      <c r="U119" s="301"/>
      <c r="V119" s="260">
        <f t="shared" ca="1" si="8"/>
        <v>0</v>
      </c>
      <c r="W119" s="348" t="str">
        <f>IF(板块成分!B121="","",板块成分!B121)</f>
        <v>000534.SZ</v>
      </c>
      <c r="X119" s="276" t="str">
        <f>[1]!S_Info_Name(W119)</f>
        <v>万泽股份</v>
      </c>
      <c r="Y119" s="276" t="str">
        <f ca="1">IF($Y$3="申万一级行业",[1]!s_info_industry_sw_2021(W119,公司分析!D$5,1),IF($Y$3="申万二级行业",[1]!s_info_industry_sw_2021(W119,公司分析!D$5,2),IF($Y$3="申万三级行业",[1]!s_info_industry_sw_2021(W119,公司分析!D$5,3),IF($Y$3="wind一级行业",[1]!s_info_industry_gics(W119,1),IF($Y$3="wind二级行业",[1]!s_info_industry_gics(W119,2),IF($Y$3="wind三级行业",[1]!s_info_industry_gics(W119,3),IF($Y$3="wind四级行业",[1]!s_info_industry_gics(W119,4),IF($Y$3="证监会门类行业",[1]!s_info_industry_csrc12_n(W119,公司分析!D$5,1),""))))))))</f>
        <v>生物制品</v>
      </c>
      <c r="Z119" s="302" t="str">
        <f ca="1">IF(Y119=行业比较!$E$6,ROW(),"")</f>
        <v/>
      </c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</row>
    <row r="120" spans="2:42">
      <c r="B120" s="122"/>
      <c r="C120" s="122"/>
      <c r="D120" s="122"/>
      <c r="E120" s="122"/>
      <c r="F120" s="122"/>
      <c r="G120" s="122"/>
      <c r="H120" s="122"/>
      <c r="I120" s="275"/>
      <c r="J120" s="130"/>
      <c r="K120" s="130"/>
      <c r="L120" s="130"/>
      <c r="M120" s="130"/>
      <c r="N120" s="291"/>
      <c r="O120" s="291"/>
      <c r="P120" s="122"/>
      <c r="Q120" s="122"/>
      <c r="R120" s="122"/>
      <c r="S120" s="122"/>
      <c r="T120" s="122"/>
      <c r="U120" s="301"/>
      <c r="V120" s="260">
        <f t="shared" ca="1" si="8"/>
        <v>0</v>
      </c>
      <c r="W120" s="348" t="str">
        <f>IF(板块成分!B122="","",板块成分!B122)</f>
        <v>000536.SZ</v>
      </c>
      <c r="X120" s="276" t="str">
        <f>[1]!S_Info_Name(W120)</f>
        <v>华映科技</v>
      </c>
      <c r="Y120" s="276" t="str">
        <f ca="1">IF($Y$3="申万一级行业",[1]!s_info_industry_sw_2021(W120,公司分析!D$5,1),IF($Y$3="申万二级行业",[1]!s_info_industry_sw_2021(W120,公司分析!D$5,2),IF($Y$3="申万三级行业",[1]!s_info_industry_sw_2021(W120,公司分析!D$5,3),IF($Y$3="wind一级行业",[1]!s_info_industry_gics(W120,1),IF($Y$3="wind二级行业",[1]!s_info_industry_gics(W120,2),IF($Y$3="wind三级行业",[1]!s_info_industry_gics(W120,3),IF($Y$3="wind四级行业",[1]!s_info_industry_gics(W120,4),IF($Y$3="证监会门类行业",[1]!s_info_industry_csrc12_n(W120,公司分析!D$5,1),""))))))))</f>
        <v>光学光电子</v>
      </c>
      <c r="Z120" s="302" t="str">
        <f ca="1">IF(Y120=行业比较!$E$6,ROW(),"")</f>
        <v/>
      </c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</row>
    <row r="121" spans="2:42">
      <c r="B121" s="122"/>
      <c r="C121" s="122"/>
      <c r="D121" s="122"/>
      <c r="E121" s="122"/>
      <c r="F121" s="122"/>
      <c r="G121" s="122"/>
      <c r="H121" s="122"/>
      <c r="I121" s="275"/>
      <c r="J121" s="130"/>
      <c r="K121" s="130"/>
      <c r="L121" s="130"/>
      <c r="M121" s="130"/>
      <c r="N121" s="291"/>
      <c r="O121" s="291"/>
      <c r="P121" s="122"/>
      <c r="Q121" s="122"/>
      <c r="R121" s="122"/>
      <c r="S121" s="122"/>
      <c r="T121" s="122"/>
      <c r="U121" s="301"/>
      <c r="V121" s="260">
        <f t="shared" ca="1" si="8"/>
        <v>0</v>
      </c>
      <c r="W121" s="348" t="str">
        <f>IF(板块成分!B123="","",板块成分!B123)</f>
        <v>000537.SZ</v>
      </c>
      <c r="X121" s="276" t="str">
        <f>[1]!S_Info_Name(W121)</f>
        <v>绿发电力</v>
      </c>
      <c r="Y121" s="276" t="str">
        <f ca="1">IF($Y$3="申万一级行业",[1]!s_info_industry_sw_2021(W121,公司分析!D$5,1),IF($Y$3="申万二级行业",[1]!s_info_industry_sw_2021(W121,公司分析!D$5,2),IF($Y$3="申万三级行业",[1]!s_info_industry_sw_2021(W121,公司分析!D$5,3),IF($Y$3="wind一级行业",[1]!s_info_industry_gics(W121,1),IF($Y$3="wind二级行业",[1]!s_info_industry_gics(W121,2),IF($Y$3="wind三级行业",[1]!s_info_industry_gics(W121,3),IF($Y$3="wind四级行业",[1]!s_info_industry_gics(W121,4),IF($Y$3="证监会门类行业",[1]!s_info_industry_csrc12_n(W121,公司分析!D$5,1),""))))))))</f>
        <v>电力</v>
      </c>
      <c r="Z121" s="302" t="str">
        <f ca="1">IF(Y121=行业比较!$E$6,ROW(),"")</f>
        <v/>
      </c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</row>
    <row r="122" spans="2:42">
      <c r="B122" s="122"/>
      <c r="C122" s="122"/>
      <c r="D122" s="122"/>
      <c r="E122" s="122"/>
      <c r="F122" s="122"/>
      <c r="G122" s="122"/>
      <c r="H122" s="122"/>
      <c r="I122" s="275"/>
      <c r="J122" s="130"/>
      <c r="K122" s="130"/>
      <c r="L122" s="130"/>
      <c r="M122" s="130"/>
      <c r="N122" s="291"/>
      <c r="O122" s="291"/>
      <c r="P122" s="122"/>
      <c r="Q122" s="122"/>
      <c r="R122" s="122"/>
      <c r="S122" s="122"/>
      <c r="T122" s="122"/>
      <c r="U122" s="301"/>
      <c r="V122" s="260">
        <f t="shared" ca="1" si="8"/>
        <v>0</v>
      </c>
      <c r="W122" s="348" t="str">
        <f>IF(板块成分!B124="","",板块成分!B124)</f>
        <v>000538.SZ</v>
      </c>
      <c r="X122" s="276" t="str">
        <f>[1]!S_Info_Name(W122)</f>
        <v>云南白药</v>
      </c>
      <c r="Y122" s="276" t="str">
        <f ca="1">IF($Y$3="申万一级行业",[1]!s_info_industry_sw_2021(W122,公司分析!D$5,1),IF($Y$3="申万二级行业",[1]!s_info_industry_sw_2021(W122,公司分析!D$5,2),IF($Y$3="申万三级行业",[1]!s_info_industry_sw_2021(W122,公司分析!D$5,3),IF($Y$3="wind一级行业",[1]!s_info_industry_gics(W122,1),IF($Y$3="wind二级行业",[1]!s_info_industry_gics(W122,2),IF($Y$3="wind三级行业",[1]!s_info_industry_gics(W122,3),IF($Y$3="wind四级行业",[1]!s_info_industry_gics(W122,4),IF($Y$3="证监会门类行业",[1]!s_info_industry_csrc12_n(W122,公司分析!D$5,1),""))))))))</f>
        <v>中药Ⅱ</v>
      </c>
      <c r="Z122" s="302" t="str">
        <f ca="1">IF(Y122=行业比较!$E$6,ROW(),"")</f>
        <v/>
      </c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</row>
    <row r="123" spans="2:42">
      <c r="B123" s="122"/>
      <c r="C123" s="122"/>
      <c r="D123" s="122"/>
      <c r="E123" s="122"/>
      <c r="F123" s="122"/>
      <c r="G123" s="122"/>
      <c r="H123" s="122"/>
      <c r="I123" s="275"/>
      <c r="J123" s="130"/>
      <c r="K123" s="130"/>
      <c r="L123" s="130"/>
      <c r="M123" s="130"/>
      <c r="N123" s="291"/>
      <c r="O123" s="291"/>
      <c r="P123" s="122"/>
      <c r="Q123" s="122"/>
      <c r="R123" s="122"/>
      <c r="S123" s="122"/>
      <c r="T123" s="122"/>
      <c r="U123" s="301"/>
      <c r="V123" s="260">
        <f t="shared" ca="1" si="8"/>
        <v>0</v>
      </c>
      <c r="W123" s="348" t="str">
        <f>IF(板块成分!B125="","",板块成分!B125)</f>
        <v>000539.SZ</v>
      </c>
      <c r="X123" s="276" t="str">
        <f>[1]!S_Info_Name(W123)</f>
        <v>粤电力A</v>
      </c>
      <c r="Y123" s="276" t="str">
        <f ca="1">IF($Y$3="申万一级行业",[1]!s_info_industry_sw_2021(W123,公司分析!D$5,1),IF($Y$3="申万二级行业",[1]!s_info_industry_sw_2021(W123,公司分析!D$5,2),IF($Y$3="申万三级行业",[1]!s_info_industry_sw_2021(W123,公司分析!D$5,3),IF($Y$3="wind一级行业",[1]!s_info_industry_gics(W123,1),IF($Y$3="wind二级行业",[1]!s_info_industry_gics(W123,2),IF($Y$3="wind三级行业",[1]!s_info_industry_gics(W123,3),IF($Y$3="wind四级行业",[1]!s_info_industry_gics(W123,4),IF($Y$3="证监会门类行业",[1]!s_info_industry_csrc12_n(W123,公司分析!D$5,1),""))))))))</f>
        <v>电力</v>
      </c>
      <c r="Z123" s="302" t="str">
        <f ca="1">IF(Y123=行业比较!$E$6,ROW(),"")</f>
        <v/>
      </c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</row>
    <row r="124" spans="2:42">
      <c r="B124" s="122"/>
      <c r="C124" s="122"/>
      <c r="D124" s="122"/>
      <c r="E124" s="122"/>
      <c r="F124" s="122"/>
      <c r="G124" s="122"/>
      <c r="H124" s="122"/>
      <c r="I124" s="275"/>
      <c r="J124" s="130"/>
      <c r="K124" s="130"/>
      <c r="L124" s="130"/>
      <c r="M124" s="130"/>
      <c r="N124" s="291"/>
      <c r="O124" s="291"/>
      <c r="P124" s="122"/>
      <c r="Q124" s="122"/>
      <c r="R124" s="122"/>
      <c r="S124" s="122"/>
      <c r="T124" s="122"/>
      <c r="U124" s="301"/>
      <c r="V124" s="260">
        <f t="shared" ca="1" si="8"/>
        <v>0</v>
      </c>
      <c r="W124" s="348" t="str">
        <f>IF(板块成分!B126="","",板块成分!B126)</f>
        <v>000541.SZ</v>
      </c>
      <c r="X124" s="276" t="str">
        <f>[1]!S_Info_Name(W124)</f>
        <v>佛山照明</v>
      </c>
      <c r="Y124" s="276" t="str">
        <f ca="1">IF($Y$3="申万一级行业",[1]!s_info_industry_sw_2021(W124,公司分析!D$5,1),IF($Y$3="申万二级行业",[1]!s_info_industry_sw_2021(W124,公司分析!D$5,2),IF($Y$3="申万三级行业",[1]!s_info_industry_sw_2021(W124,公司分析!D$5,3),IF($Y$3="wind一级行业",[1]!s_info_industry_gics(W124,1),IF($Y$3="wind二级行业",[1]!s_info_industry_gics(W124,2),IF($Y$3="wind三级行业",[1]!s_info_industry_gics(W124,3),IF($Y$3="wind四级行业",[1]!s_info_industry_gics(W124,4),IF($Y$3="证监会门类行业",[1]!s_info_industry_csrc12_n(W124,公司分析!D$5,1),""))))))))</f>
        <v>照明设备Ⅱ</v>
      </c>
      <c r="Z124" s="302" t="str">
        <f ca="1">IF(Y124=行业比较!$E$6,ROW(),"")</f>
        <v/>
      </c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</row>
    <row r="125" spans="2:42">
      <c r="B125" s="122"/>
      <c r="C125" s="122"/>
      <c r="D125" s="122"/>
      <c r="E125" s="122"/>
      <c r="F125" s="122"/>
      <c r="G125" s="122"/>
      <c r="H125" s="122"/>
      <c r="I125" s="275"/>
      <c r="J125" s="130"/>
      <c r="K125" s="130"/>
      <c r="L125" s="130"/>
      <c r="M125" s="130"/>
      <c r="N125" s="291"/>
      <c r="O125" s="291"/>
      <c r="P125" s="122"/>
      <c r="Q125" s="122"/>
      <c r="R125" s="122"/>
      <c r="S125" s="122"/>
      <c r="T125" s="122"/>
      <c r="U125" s="301"/>
      <c r="V125" s="260">
        <f t="shared" ca="1" si="8"/>
        <v>0</v>
      </c>
      <c r="W125" s="348" t="str">
        <f>IF(板块成分!B127="","",板块成分!B127)</f>
        <v>000543.SZ</v>
      </c>
      <c r="X125" s="276" t="str">
        <f>[1]!S_Info_Name(W125)</f>
        <v>皖能电力</v>
      </c>
      <c r="Y125" s="276" t="str">
        <f ca="1">IF($Y$3="申万一级行业",[1]!s_info_industry_sw_2021(W125,公司分析!D$5,1),IF($Y$3="申万二级行业",[1]!s_info_industry_sw_2021(W125,公司分析!D$5,2),IF($Y$3="申万三级行业",[1]!s_info_industry_sw_2021(W125,公司分析!D$5,3),IF($Y$3="wind一级行业",[1]!s_info_industry_gics(W125,1),IF($Y$3="wind二级行业",[1]!s_info_industry_gics(W125,2),IF($Y$3="wind三级行业",[1]!s_info_industry_gics(W125,3),IF($Y$3="wind四级行业",[1]!s_info_industry_gics(W125,4),IF($Y$3="证监会门类行业",[1]!s_info_industry_csrc12_n(W125,公司分析!D$5,1),""))))))))</f>
        <v>电力</v>
      </c>
      <c r="Z125" s="302" t="str">
        <f ca="1">IF(Y125=行业比较!$E$6,ROW(),"")</f>
        <v/>
      </c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</row>
    <row r="126" spans="2:42">
      <c r="B126" s="122"/>
      <c r="C126" s="122"/>
      <c r="D126" s="122"/>
      <c r="E126" s="122"/>
      <c r="F126" s="122"/>
      <c r="G126" s="122"/>
      <c r="H126" s="122"/>
      <c r="I126" s="275"/>
      <c r="J126" s="130"/>
      <c r="K126" s="130"/>
      <c r="L126" s="130"/>
      <c r="M126" s="130"/>
      <c r="N126" s="291"/>
      <c r="O126" s="291"/>
      <c r="P126" s="122"/>
      <c r="Q126" s="122"/>
      <c r="R126" s="122"/>
      <c r="S126" s="122"/>
      <c r="T126" s="122"/>
      <c r="U126" s="301"/>
      <c r="V126" s="260">
        <f t="shared" ca="1" si="8"/>
        <v>0</v>
      </c>
      <c r="W126" s="348" t="str">
        <f>IF(板块成分!B128="","",板块成分!B128)</f>
        <v>000544.SZ</v>
      </c>
      <c r="X126" s="276" t="str">
        <f>[1]!S_Info_Name(W126)</f>
        <v>中原环保</v>
      </c>
      <c r="Y126" s="276" t="str">
        <f ca="1">IF($Y$3="申万一级行业",[1]!s_info_industry_sw_2021(W126,公司分析!D$5,1),IF($Y$3="申万二级行业",[1]!s_info_industry_sw_2021(W126,公司分析!D$5,2),IF($Y$3="申万三级行业",[1]!s_info_industry_sw_2021(W126,公司分析!D$5,3),IF($Y$3="wind一级行业",[1]!s_info_industry_gics(W126,1),IF($Y$3="wind二级行业",[1]!s_info_industry_gics(W126,2),IF($Y$3="wind三级行业",[1]!s_info_industry_gics(W126,3),IF($Y$3="wind四级行业",[1]!s_info_industry_gics(W126,4),IF($Y$3="证监会门类行业",[1]!s_info_industry_csrc12_n(W126,公司分析!D$5,1),""))))))))</f>
        <v>环境治理</v>
      </c>
      <c r="Z126" s="302" t="str">
        <f ca="1">IF(Y126=行业比较!$E$6,ROW(),"")</f>
        <v/>
      </c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</row>
    <row r="127" spans="2:42">
      <c r="B127" s="122"/>
      <c r="C127" s="122"/>
      <c r="D127" s="122"/>
      <c r="E127" s="122"/>
      <c r="F127" s="122"/>
      <c r="G127" s="122"/>
      <c r="H127" s="122"/>
      <c r="I127" s="275"/>
      <c r="J127" s="130"/>
      <c r="K127" s="130"/>
      <c r="L127" s="130"/>
      <c r="M127" s="130"/>
      <c r="N127" s="291"/>
      <c r="O127" s="291"/>
      <c r="P127" s="122"/>
      <c r="Q127" s="122"/>
      <c r="R127" s="122"/>
      <c r="S127" s="122"/>
      <c r="T127" s="122"/>
      <c r="U127" s="301"/>
      <c r="V127" s="260">
        <f t="shared" ca="1" si="8"/>
        <v>0</v>
      </c>
      <c r="W127" s="348" t="str">
        <f>IF(板块成分!B129="","",板块成分!B129)</f>
        <v>000545.SZ</v>
      </c>
      <c r="X127" s="276" t="str">
        <f>[1]!S_Info_Name(W127)</f>
        <v>金浦钛业</v>
      </c>
      <c r="Y127" s="276" t="str">
        <f ca="1">IF($Y$3="申万一级行业",[1]!s_info_industry_sw_2021(W127,公司分析!D$5,1),IF($Y$3="申万二级行业",[1]!s_info_industry_sw_2021(W127,公司分析!D$5,2),IF($Y$3="申万三级行业",[1]!s_info_industry_sw_2021(W127,公司分析!D$5,3),IF($Y$3="wind一级行业",[1]!s_info_industry_gics(W127,1),IF($Y$3="wind二级行业",[1]!s_info_industry_gics(W127,2),IF($Y$3="wind三级行业",[1]!s_info_industry_gics(W127,3),IF($Y$3="wind四级行业",[1]!s_info_industry_gics(W127,4),IF($Y$3="证监会门类行业",[1]!s_info_industry_csrc12_n(W127,公司分析!D$5,1),""))))))))</f>
        <v>化学原料</v>
      </c>
      <c r="Z127" s="302" t="str">
        <f ca="1">IF(Y127=行业比较!$E$6,ROW(),"")</f>
        <v/>
      </c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</row>
    <row r="128" spans="2:42">
      <c r="B128" s="122"/>
      <c r="C128" s="122"/>
      <c r="D128" s="122"/>
      <c r="E128" s="122"/>
      <c r="F128" s="122"/>
      <c r="G128" s="122"/>
      <c r="H128" s="122"/>
      <c r="I128" s="275"/>
      <c r="J128" s="130"/>
      <c r="K128" s="130"/>
      <c r="L128" s="130"/>
      <c r="M128" s="130"/>
      <c r="N128" s="291"/>
      <c r="O128" s="291"/>
      <c r="P128" s="122"/>
      <c r="Q128" s="122"/>
      <c r="R128" s="122"/>
      <c r="S128" s="122"/>
      <c r="T128" s="122"/>
      <c r="U128" s="301"/>
      <c r="V128" s="260">
        <f t="shared" ca="1" si="8"/>
        <v>0</v>
      </c>
      <c r="W128" s="348" t="str">
        <f>IF(板块成分!B130="","",板块成分!B130)</f>
        <v>000546.SZ</v>
      </c>
      <c r="X128" s="276" t="str">
        <f>[1]!S_Info_Name(W128)</f>
        <v>金圆股份</v>
      </c>
      <c r="Y128" s="276" t="str">
        <f ca="1">IF($Y$3="申万一级行业",[1]!s_info_industry_sw_2021(W128,公司分析!D$5,1),IF($Y$3="申万二级行业",[1]!s_info_industry_sw_2021(W128,公司分析!D$5,2),IF($Y$3="申万三级行业",[1]!s_info_industry_sw_2021(W128,公司分析!D$5,3),IF($Y$3="wind一级行业",[1]!s_info_industry_gics(W128,1),IF($Y$3="wind二级行业",[1]!s_info_industry_gics(W128,2),IF($Y$3="wind三级行业",[1]!s_info_industry_gics(W128,3),IF($Y$3="wind四级行业",[1]!s_info_industry_gics(W128,4),IF($Y$3="证监会门类行业",[1]!s_info_industry_csrc12_n(W128,公司分析!D$5,1),""))))))))</f>
        <v>环境治理</v>
      </c>
      <c r="Z128" s="302" t="str">
        <f ca="1">IF(Y128=行业比较!$E$6,ROW(),"")</f>
        <v/>
      </c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</row>
    <row r="129" spans="2:42">
      <c r="B129" s="122"/>
      <c r="C129" s="122"/>
      <c r="D129" s="122"/>
      <c r="E129" s="122"/>
      <c r="F129" s="122"/>
      <c r="G129" s="122"/>
      <c r="H129" s="122"/>
      <c r="I129" s="275"/>
      <c r="J129" s="130"/>
      <c r="K129" s="130"/>
      <c r="L129" s="130"/>
      <c r="M129" s="130"/>
      <c r="N129" s="291"/>
      <c r="O129" s="291"/>
      <c r="P129" s="122"/>
      <c r="Q129" s="122"/>
      <c r="R129" s="122"/>
      <c r="S129" s="122"/>
      <c r="T129" s="122"/>
      <c r="U129" s="301"/>
      <c r="V129" s="260">
        <f t="shared" ca="1" si="8"/>
        <v>0</v>
      </c>
      <c r="W129" s="348" t="str">
        <f>IF(板块成分!B131="","",板块成分!B131)</f>
        <v>000547.SZ</v>
      </c>
      <c r="X129" s="276" t="str">
        <f>[1]!S_Info_Name(W129)</f>
        <v>航天发展</v>
      </c>
      <c r="Y129" s="276" t="str">
        <f ca="1">IF($Y$3="申万一级行业",[1]!s_info_industry_sw_2021(W129,公司分析!D$5,1),IF($Y$3="申万二级行业",[1]!s_info_industry_sw_2021(W129,公司分析!D$5,2),IF($Y$3="申万三级行业",[1]!s_info_industry_sw_2021(W129,公司分析!D$5,3),IF($Y$3="wind一级行业",[1]!s_info_industry_gics(W129,1),IF($Y$3="wind二级行业",[1]!s_info_industry_gics(W129,2),IF($Y$3="wind三级行业",[1]!s_info_industry_gics(W129,3),IF($Y$3="wind四级行业",[1]!s_info_industry_gics(W129,4),IF($Y$3="证监会门类行业",[1]!s_info_industry_csrc12_n(W129,公司分析!D$5,1),""))))))))</f>
        <v>军工电子Ⅱ</v>
      </c>
      <c r="Z129" s="302" t="str">
        <f ca="1">IF(Y129=行业比较!$E$6,ROW(),"")</f>
        <v/>
      </c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</row>
    <row r="130" spans="2:42">
      <c r="B130" s="122"/>
      <c r="C130" s="122"/>
      <c r="D130" s="122"/>
      <c r="E130" s="122"/>
      <c r="F130" s="122"/>
      <c r="G130" s="122"/>
      <c r="H130" s="122"/>
      <c r="I130" s="275"/>
      <c r="J130" s="130"/>
      <c r="K130" s="130"/>
      <c r="L130" s="130"/>
      <c r="M130" s="130"/>
      <c r="N130" s="291"/>
      <c r="O130" s="291"/>
      <c r="P130" s="122"/>
      <c r="Q130" s="122"/>
      <c r="R130" s="122"/>
      <c r="S130" s="122"/>
      <c r="T130" s="122"/>
      <c r="U130" s="301"/>
      <c r="V130" s="260">
        <f t="shared" ca="1" si="8"/>
        <v>0</v>
      </c>
      <c r="W130" s="348" t="str">
        <f>IF(板块成分!B132="","",板块成分!B132)</f>
        <v>000548.SZ</v>
      </c>
      <c r="X130" s="276" t="str">
        <f>[1]!S_Info_Name(W130)</f>
        <v>湖南投资</v>
      </c>
      <c r="Y130" s="276" t="str">
        <f ca="1">IF($Y$3="申万一级行业",[1]!s_info_industry_sw_2021(W130,公司分析!D$5,1),IF($Y$3="申万二级行业",[1]!s_info_industry_sw_2021(W130,公司分析!D$5,2),IF($Y$3="申万三级行业",[1]!s_info_industry_sw_2021(W130,公司分析!D$5,3),IF($Y$3="wind一级行业",[1]!s_info_industry_gics(W130,1),IF($Y$3="wind二级行业",[1]!s_info_industry_gics(W130,2),IF($Y$3="wind三级行业",[1]!s_info_industry_gics(W130,3),IF($Y$3="wind四级行业",[1]!s_info_industry_gics(W130,4),IF($Y$3="证监会门类行业",[1]!s_info_industry_csrc12_n(W130,公司分析!D$5,1),""))))))))</f>
        <v>铁路公路</v>
      </c>
      <c r="Z130" s="302" t="str">
        <f ca="1">IF(Y130=行业比较!$E$6,ROW(),"")</f>
        <v/>
      </c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</row>
    <row r="131" spans="2:42">
      <c r="B131" s="122"/>
      <c r="C131" s="122"/>
      <c r="D131" s="122"/>
      <c r="E131" s="122"/>
      <c r="F131" s="122"/>
      <c r="G131" s="122"/>
      <c r="H131" s="122"/>
      <c r="I131" s="275"/>
      <c r="J131" s="130"/>
      <c r="K131" s="130"/>
      <c r="L131" s="130"/>
      <c r="M131" s="130"/>
      <c r="N131" s="291"/>
      <c r="O131" s="291"/>
      <c r="P131" s="122"/>
      <c r="Q131" s="122"/>
      <c r="R131" s="122"/>
      <c r="S131" s="122"/>
      <c r="T131" s="122"/>
      <c r="U131" s="301"/>
      <c r="V131" s="260">
        <f t="shared" ca="1" si="8"/>
        <v>0</v>
      </c>
      <c r="W131" s="348" t="str">
        <f>IF(板块成分!B133="","",板块成分!B133)</f>
        <v>000550.SZ</v>
      </c>
      <c r="X131" s="276" t="str">
        <f>[1]!S_Info_Name(W131)</f>
        <v>江铃汽车</v>
      </c>
      <c r="Y131" s="276" t="str">
        <f ca="1">IF($Y$3="申万一级行业",[1]!s_info_industry_sw_2021(W131,公司分析!D$5,1),IF($Y$3="申万二级行业",[1]!s_info_industry_sw_2021(W131,公司分析!D$5,2),IF($Y$3="申万三级行业",[1]!s_info_industry_sw_2021(W131,公司分析!D$5,3),IF($Y$3="wind一级行业",[1]!s_info_industry_gics(W131,1),IF($Y$3="wind二级行业",[1]!s_info_industry_gics(W131,2),IF($Y$3="wind三级行业",[1]!s_info_industry_gics(W131,3),IF($Y$3="wind四级行业",[1]!s_info_industry_gics(W131,4),IF($Y$3="证监会门类行业",[1]!s_info_industry_csrc12_n(W131,公司分析!D$5,1),""))))))))</f>
        <v>商用车</v>
      </c>
      <c r="Z131" s="302" t="str">
        <f ca="1">IF(Y131=行业比较!$E$6,ROW(),"")</f>
        <v/>
      </c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</row>
    <row r="132" spans="2:42">
      <c r="B132" s="122"/>
      <c r="C132" s="122"/>
      <c r="D132" s="122"/>
      <c r="E132" s="122"/>
      <c r="F132" s="122"/>
      <c r="G132" s="122"/>
      <c r="H132" s="122"/>
      <c r="I132" s="275"/>
      <c r="J132" s="130"/>
      <c r="K132" s="130"/>
      <c r="L132" s="130"/>
      <c r="M132" s="130"/>
      <c r="N132" s="291"/>
      <c r="O132" s="291"/>
      <c r="P132" s="122"/>
      <c r="Q132" s="122"/>
      <c r="R132" s="122"/>
      <c r="S132" s="122"/>
      <c r="T132" s="122"/>
      <c r="U132" s="301"/>
      <c r="V132" s="260">
        <f t="shared" ca="1" si="8"/>
        <v>0</v>
      </c>
      <c r="W132" s="348" t="str">
        <f>IF(板块成分!B134="","",板块成分!B134)</f>
        <v>000551.SZ</v>
      </c>
      <c r="X132" s="276" t="str">
        <f>[1]!S_Info_Name(W132)</f>
        <v>创元科技</v>
      </c>
      <c r="Y132" s="276" t="str">
        <f ca="1">IF($Y$3="申万一级行业",[1]!s_info_industry_sw_2021(W132,公司分析!D$5,1),IF($Y$3="申万二级行业",[1]!s_info_industry_sw_2021(W132,公司分析!D$5,2),IF($Y$3="申万三级行业",[1]!s_info_industry_sw_2021(W132,公司分析!D$5,3),IF($Y$3="wind一级行业",[1]!s_info_industry_gics(W132,1),IF($Y$3="wind二级行业",[1]!s_info_industry_gics(W132,2),IF($Y$3="wind三级行业",[1]!s_info_industry_gics(W132,3),IF($Y$3="wind四级行业",[1]!s_info_industry_gics(W132,4),IF($Y$3="证监会门类行业",[1]!s_info_industry_csrc12_n(W132,公司分析!D$5,1),""))))))))</f>
        <v>环保设备Ⅱ</v>
      </c>
      <c r="Z132" s="302" t="str">
        <f ca="1">IF(Y132=行业比较!$E$6,ROW(),"")</f>
        <v/>
      </c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</row>
    <row r="133" spans="2:42">
      <c r="B133" s="122"/>
      <c r="C133" s="122"/>
      <c r="D133" s="122"/>
      <c r="E133" s="122"/>
      <c r="F133" s="122"/>
      <c r="G133" s="122"/>
      <c r="H133" s="122"/>
      <c r="I133" s="275"/>
      <c r="J133" s="130"/>
      <c r="K133" s="130"/>
      <c r="L133" s="130"/>
      <c r="M133" s="130"/>
      <c r="N133" s="291"/>
      <c r="O133" s="291"/>
      <c r="P133" s="122"/>
      <c r="Q133" s="122"/>
      <c r="R133" s="122"/>
      <c r="S133" s="122"/>
      <c r="T133" s="122"/>
      <c r="U133" s="301"/>
      <c r="V133" s="260">
        <f t="shared" ref="V133:V196" ca="1" si="10">IF(Z133="",0,RANK(Z133,Z:Z,1))</f>
        <v>0</v>
      </c>
      <c r="W133" s="348" t="str">
        <f>IF(板块成分!B135="","",板块成分!B135)</f>
        <v>000552.SZ</v>
      </c>
      <c r="X133" s="276" t="str">
        <f>[1]!S_Info_Name(W133)</f>
        <v>甘肃能化</v>
      </c>
      <c r="Y133" s="276" t="str">
        <f ca="1">IF($Y$3="申万一级行业",[1]!s_info_industry_sw_2021(W133,公司分析!D$5,1),IF($Y$3="申万二级行业",[1]!s_info_industry_sw_2021(W133,公司分析!D$5,2),IF($Y$3="申万三级行业",[1]!s_info_industry_sw_2021(W133,公司分析!D$5,3),IF($Y$3="wind一级行业",[1]!s_info_industry_gics(W133,1),IF($Y$3="wind二级行业",[1]!s_info_industry_gics(W133,2),IF($Y$3="wind三级行业",[1]!s_info_industry_gics(W133,3),IF($Y$3="wind四级行业",[1]!s_info_industry_gics(W133,4),IF($Y$3="证监会门类行业",[1]!s_info_industry_csrc12_n(W133,公司分析!D$5,1),""))))))))</f>
        <v>煤炭开采</v>
      </c>
      <c r="Z133" s="302" t="str">
        <f ca="1">IF(Y133=行业比较!$E$6,ROW(),"")</f>
        <v/>
      </c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</row>
    <row r="134" spans="2:42">
      <c r="B134" s="122"/>
      <c r="C134" s="122"/>
      <c r="D134" s="122"/>
      <c r="E134" s="122"/>
      <c r="F134" s="122"/>
      <c r="G134" s="122"/>
      <c r="H134" s="122"/>
      <c r="I134" s="275"/>
      <c r="J134" s="130"/>
      <c r="K134" s="130"/>
      <c r="L134" s="130"/>
      <c r="M134" s="130"/>
      <c r="N134" s="291"/>
      <c r="O134" s="291"/>
      <c r="P134" s="122"/>
      <c r="Q134" s="122"/>
      <c r="R134" s="122"/>
      <c r="S134" s="122"/>
      <c r="T134" s="122"/>
      <c r="U134" s="301"/>
      <c r="V134" s="260">
        <f t="shared" ca="1" si="10"/>
        <v>0</v>
      </c>
      <c r="W134" s="348" t="str">
        <f>IF(板块成分!B136="","",板块成分!B136)</f>
        <v>000553.SZ</v>
      </c>
      <c r="X134" s="276" t="str">
        <f>[1]!S_Info_Name(W134)</f>
        <v>安道麦A</v>
      </c>
      <c r="Y134" s="276" t="str">
        <f ca="1">IF($Y$3="申万一级行业",[1]!s_info_industry_sw_2021(W134,公司分析!D$5,1),IF($Y$3="申万二级行业",[1]!s_info_industry_sw_2021(W134,公司分析!D$5,2),IF($Y$3="申万三级行业",[1]!s_info_industry_sw_2021(W134,公司分析!D$5,3),IF($Y$3="wind一级行业",[1]!s_info_industry_gics(W134,1),IF($Y$3="wind二级行业",[1]!s_info_industry_gics(W134,2),IF($Y$3="wind三级行业",[1]!s_info_industry_gics(W134,3),IF($Y$3="wind四级行业",[1]!s_info_industry_gics(W134,4),IF($Y$3="证监会门类行业",[1]!s_info_industry_csrc12_n(W134,公司分析!D$5,1),""))))))))</f>
        <v>农化制品</v>
      </c>
      <c r="Z134" s="302" t="str">
        <f ca="1">IF(Y134=行业比较!$E$6,ROW(),"")</f>
        <v/>
      </c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</row>
    <row r="135" spans="2:42">
      <c r="B135" s="122"/>
      <c r="C135" s="122"/>
      <c r="D135" s="122"/>
      <c r="E135" s="122"/>
      <c r="F135" s="122"/>
      <c r="G135" s="122"/>
      <c r="H135" s="122"/>
      <c r="I135" s="275"/>
      <c r="J135" s="130"/>
      <c r="K135" s="130"/>
      <c r="L135" s="130"/>
      <c r="M135" s="130"/>
      <c r="N135" s="291"/>
      <c r="O135" s="291"/>
      <c r="P135" s="122"/>
      <c r="Q135" s="122"/>
      <c r="R135" s="122"/>
      <c r="S135" s="122"/>
      <c r="T135" s="122"/>
      <c r="U135" s="301"/>
      <c r="V135" s="260">
        <f t="shared" ca="1" si="10"/>
        <v>0</v>
      </c>
      <c r="W135" s="348" t="str">
        <f>IF(板块成分!B137="","",板块成分!B137)</f>
        <v>000554.SZ</v>
      </c>
      <c r="X135" s="276" t="str">
        <f>[1]!S_Info_Name(W135)</f>
        <v>泰山石油</v>
      </c>
      <c r="Y135" s="276" t="str">
        <f ca="1">IF($Y$3="申万一级行业",[1]!s_info_industry_sw_2021(W135,公司分析!D$5,1),IF($Y$3="申万二级行业",[1]!s_info_industry_sw_2021(W135,公司分析!D$5,2),IF($Y$3="申万三级行业",[1]!s_info_industry_sw_2021(W135,公司分析!D$5,3),IF($Y$3="wind一级行业",[1]!s_info_industry_gics(W135,1),IF($Y$3="wind二级行业",[1]!s_info_industry_gics(W135,2),IF($Y$3="wind三级行业",[1]!s_info_industry_gics(W135,3),IF($Y$3="wind四级行业",[1]!s_info_industry_gics(W135,4),IF($Y$3="证监会门类行业",[1]!s_info_industry_csrc12_n(W135,公司分析!D$5,1),""))))))))</f>
        <v>炼化及贸易</v>
      </c>
      <c r="Z135" s="302" t="str">
        <f ca="1">IF(Y135=行业比较!$E$6,ROW(),"")</f>
        <v/>
      </c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</row>
    <row r="136" spans="2:42">
      <c r="B136" s="122"/>
      <c r="C136" s="122"/>
      <c r="D136" s="122"/>
      <c r="E136" s="122"/>
      <c r="F136" s="122"/>
      <c r="G136" s="122"/>
      <c r="H136" s="122"/>
      <c r="I136" s="275"/>
      <c r="J136" s="130"/>
      <c r="K136" s="130"/>
      <c r="L136" s="130"/>
      <c r="M136" s="130"/>
      <c r="N136" s="291"/>
      <c r="O136" s="291"/>
      <c r="P136" s="122"/>
      <c r="Q136" s="122"/>
      <c r="R136" s="122"/>
      <c r="S136" s="122"/>
      <c r="T136" s="122"/>
      <c r="U136" s="301"/>
      <c r="V136" s="260">
        <f t="shared" ca="1" si="10"/>
        <v>0</v>
      </c>
      <c r="W136" s="348" t="str">
        <f>IF(板块成分!B138="","",板块成分!B138)</f>
        <v>000555.SZ</v>
      </c>
      <c r="X136" s="276" t="str">
        <f>[1]!S_Info_Name(W136)</f>
        <v>神州信息</v>
      </c>
      <c r="Y136" s="276" t="str">
        <f ca="1">IF($Y$3="申万一级行业",[1]!s_info_industry_sw_2021(W136,公司分析!D$5,1),IF($Y$3="申万二级行业",[1]!s_info_industry_sw_2021(W136,公司分析!D$5,2),IF($Y$3="申万三级行业",[1]!s_info_industry_sw_2021(W136,公司分析!D$5,3),IF($Y$3="wind一级行业",[1]!s_info_industry_gics(W136,1),IF($Y$3="wind二级行业",[1]!s_info_industry_gics(W136,2),IF($Y$3="wind三级行业",[1]!s_info_industry_gics(W136,3),IF($Y$3="wind四级行业",[1]!s_info_industry_gics(W136,4),IF($Y$3="证监会门类行业",[1]!s_info_industry_csrc12_n(W136,公司分析!D$5,1),""))))))))</f>
        <v>IT服务Ⅱ</v>
      </c>
      <c r="Z136" s="302" t="str">
        <f ca="1">IF(Y136=行业比较!$E$6,ROW(),"")</f>
        <v/>
      </c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</row>
    <row r="137" spans="2:42">
      <c r="B137" s="122"/>
      <c r="C137" s="122"/>
      <c r="D137" s="122"/>
      <c r="E137" s="122"/>
      <c r="F137" s="122"/>
      <c r="G137" s="122"/>
      <c r="H137" s="122"/>
      <c r="I137" s="275"/>
      <c r="J137" s="130"/>
      <c r="K137" s="130"/>
      <c r="L137" s="130"/>
      <c r="M137" s="130"/>
      <c r="N137" s="291"/>
      <c r="O137" s="291"/>
      <c r="P137" s="122"/>
      <c r="Q137" s="122"/>
      <c r="R137" s="122"/>
      <c r="S137" s="122"/>
      <c r="T137" s="122"/>
      <c r="U137" s="301"/>
      <c r="V137" s="260">
        <f t="shared" ca="1" si="10"/>
        <v>0</v>
      </c>
      <c r="W137" s="348" t="str">
        <f>IF(板块成分!B139="","",板块成分!B139)</f>
        <v>000557.SZ</v>
      </c>
      <c r="X137" s="276" t="str">
        <f>[1]!S_Info_Name(W137)</f>
        <v>西部创业</v>
      </c>
      <c r="Y137" s="276" t="str">
        <f ca="1">IF($Y$3="申万一级行业",[1]!s_info_industry_sw_2021(W137,公司分析!D$5,1),IF($Y$3="申万二级行业",[1]!s_info_industry_sw_2021(W137,公司分析!D$5,2),IF($Y$3="申万三级行业",[1]!s_info_industry_sw_2021(W137,公司分析!D$5,3),IF($Y$3="wind一级行业",[1]!s_info_industry_gics(W137,1),IF($Y$3="wind二级行业",[1]!s_info_industry_gics(W137,2),IF($Y$3="wind三级行业",[1]!s_info_industry_gics(W137,3),IF($Y$3="wind四级行业",[1]!s_info_industry_gics(W137,4),IF($Y$3="证监会门类行业",[1]!s_info_industry_csrc12_n(W137,公司分析!D$5,1),""))))))))</f>
        <v>铁路公路</v>
      </c>
      <c r="Z137" s="302" t="str">
        <f ca="1">IF(Y137=行业比较!$E$6,ROW(),"")</f>
        <v/>
      </c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</row>
    <row r="138" spans="2:42">
      <c r="B138" s="122"/>
      <c r="C138" s="122"/>
      <c r="D138" s="122"/>
      <c r="E138" s="122"/>
      <c r="F138" s="122"/>
      <c r="G138" s="122"/>
      <c r="H138" s="122"/>
      <c r="I138" s="275"/>
      <c r="J138" s="130"/>
      <c r="K138" s="130"/>
      <c r="L138" s="130"/>
      <c r="M138" s="130"/>
      <c r="N138" s="291"/>
      <c r="O138" s="291"/>
      <c r="P138" s="122"/>
      <c r="Q138" s="122"/>
      <c r="R138" s="122"/>
      <c r="S138" s="122"/>
      <c r="T138" s="122"/>
      <c r="U138" s="301"/>
      <c r="V138" s="260">
        <f t="shared" ca="1" si="10"/>
        <v>0</v>
      </c>
      <c r="W138" s="348" t="str">
        <f>IF(板块成分!B140="","",板块成分!B140)</f>
        <v>000558.SZ</v>
      </c>
      <c r="X138" s="276" t="str">
        <f>[1]!S_Info_Name(W138)</f>
        <v>天府文旅</v>
      </c>
      <c r="Y138" s="276" t="str">
        <f ca="1">IF($Y$3="申万一级行业",[1]!s_info_industry_sw_2021(W138,公司分析!D$5,1),IF($Y$3="申万二级行业",[1]!s_info_industry_sw_2021(W138,公司分析!D$5,2),IF($Y$3="申万三级行业",[1]!s_info_industry_sw_2021(W138,公司分析!D$5,3),IF($Y$3="wind一级行业",[1]!s_info_industry_gics(W138,1),IF($Y$3="wind二级行业",[1]!s_info_industry_gics(W138,2),IF($Y$3="wind三级行业",[1]!s_info_industry_gics(W138,3),IF($Y$3="wind四级行业",[1]!s_info_industry_gics(W138,4),IF($Y$3="证监会门类行业",[1]!s_info_industry_csrc12_n(W138,公司分析!D$5,1),""))))))))</f>
        <v>旅游及景区</v>
      </c>
      <c r="Z138" s="302" t="str">
        <f ca="1">IF(Y138=行业比较!$E$6,ROW(),"")</f>
        <v/>
      </c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</row>
    <row r="139" spans="2:42">
      <c r="B139" s="122"/>
      <c r="C139" s="122"/>
      <c r="D139" s="122"/>
      <c r="E139" s="122"/>
      <c r="F139" s="122"/>
      <c r="G139" s="122"/>
      <c r="H139" s="122"/>
      <c r="I139" s="275"/>
      <c r="J139" s="130"/>
      <c r="K139" s="130"/>
      <c r="L139" s="130"/>
      <c r="M139" s="130"/>
      <c r="N139" s="291"/>
      <c r="O139" s="291"/>
      <c r="P139" s="122"/>
      <c r="Q139" s="122"/>
      <c r="R139" s="122"/>
      <c r="S139" s="122"/>
      <c r="T139" s="122"/>
      <c r="U139" s="301"/>
      <c r="V139" s="260">
        <f t="shared" ca="1" si="10"/>
        <v>0</v>
      </c>
      <c r="W139" s="348" t="str">
        <f>IF(板块成分!B141="","",板块成分!B141)</f>
        <v>000559.SZ</v>
      </c>
      <c r="X139" s="276" t="str">
        <f>[1]!S_Info_Name(W139)</f>
        <v>万向钱潮</v>
      </c>
      <c r="Y139" s="276" t="str">
        <f ca="1">IF($Y$3="申万一级行业",[1]!s_info_industry_sw_2021(W139,公司分析!D$5,1),IF($Y$3="申万二级行业",[1]!s_info_industry_sw_2021(W139,公司分析!D$5,2),IF($Y$3="申万三级行业",[1]!s_info_industry_sw_2021(W139,公司分析!D$5,3),IF($Y$3="wind一级行业",[1]!s_info_industry_gics(W139,1),IF($Y$3="wind二级行业",[1]!s_info_industry_gics(W139,2),IF($Y$3="wind三级行业",[1]!s_info_industry_gics(W139,3),IF($Y$3="wind四级行业",[1]!s_info_industry_gics(W139,4),IF($Y$3="证监会门类行业",[1]!s_info_industry_csrc12_n(W139,公司分析!D$5,1),""))))))))</f>
        <v>汽车零部件</v>
      </c>
      <c r="Z139" s="302" t="str">
        <f ca="1">IF(Y139=行业比较!$E$6,ROW(),"")</f>
        <v/>
      </c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</row>
    <row r="140" spans="2:42">
      <c r="B140" s="122"/>
      <c r="C140" s="122"/>
      <c r="D140" s="122"/>
      <c r="E140" s="122"/>
      <c r="F140" s="122"/>
      <c r="G140" s="122"/>
      <c r="H140" s="122"/>
      <c r="I140" s="275"/>
      <c r="J140" s="130"/>
      <c r="K140" s="130"/>
      <c r="L140" s="130"/>
      <c r="M140" s="130"/>
      <c r="N140" s="291"/>
      <c r="O140" s="291"/>
      <c r="P140" s="122"/>
      <c r="Q140" s="122"/>
      <c r="R140" s="122"/>
      <c r="S140" s="122"/>
      <c r="T140" s="122"/>
      <c r="U140" s="301"/>
      <c r="V140" s="260">
        <f t="shared" ca="1" si="10"/>
        <v>0</v>
      </c>
      <c r="W140" s="348" t="str">
        <f>IF(板块成分!B142="","",板块成分!B142)</f>
        <v>000560.SZ</v>
      </c>
      <c r="X140" s="276" t="str">
        <f>[1]!S_Info_Name(W140)</f>
        <v>我爱我家</v>
      </c>
      <c r="Y140" s="276" t="str">
        <f ca="1">IF($Y$3="申万一级行业",[1]!s_info_industry_sw_2021(W140,公司分析!D$5,1),IF($Y$3="申万二级行业",[1]!s_info_industry_sw_2021(W140,公司分析!D$5,2),IF($Y$3="申万三级行业",[1]!s_info_industry_sw_2021(W140,公司分析!D$5,3),IF($Y$3="wind一级行业",[1]!s_info_industry_gics(W140,1),IF($Y$3="wind二级行业",[1]!s_info_industry_gics(W140,2),IF($Y$3="wind三级行业",[1]!s_info_industry_gics(W140,3),IF($Y$3="wind四级行业",[1]!s_info_industry_gics(W140,4),IF($Y$3="证监会门类行业",[1]!s_info_industry_csrc12_n(W140,公司分析!D$5,1),""))))))))</f>
        <v>房地产服务</v>
      </c>
      <c r="Z140" s="302" t="str">
        <f ca="1">IF(Y140=行业比较!$E$6,ROW(),"")</f>
        <v/>
      </c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</row>
    <row r="141" spans="2:42">
      <c r="B141" s="122"/>
      <c r="C141" s="122"/>
      <c r="D141" s="122"/>
      <c r="E141" s="122"/>
      <c r="F141" s="122"/>
      <c r="G141" s="122"/>
      <c r="H141" s="122"/>
      <c r="I141" s="275"/>
      <c r="J141" s="130"/>
      <c r="K141" s="130"/>
      <c r="L141" s="130"/>
      <c r="M141" s="130"/>
      <c r="N141" s="291"/>
      <c r="O141" s="291"/>
      <c r="P141" s="122"/>
      <c r="Q141" s="122"/>
      <c r="R141" s="122"/>
      <c r="S141" s="122"/>
      <c r="T141" s="122"/>
      <c r="U141" s="301"/>
      <c r="V141" s="260">
        <f t="shared" ca="1" si="10"/>
        <v>0</v>
      </c>
      <c r="W141" s="348" t="str">
        <f>IF(板块成分!B143="","",板块成分!B143)</f>
        <v>000561.SZ</v>
      </c>
      <c r="X141" s="276" t="str">
        <f>[1]!S_Info_Name(W141)</f>
        <v>烽火电子</v>
      </c>
      <c r="Y141" s="276" t="str">
        <f ca="1">IF($Y$3="申万一级行业",[1]!s_info_industry_sw_2021(W141,公司分析!D$5,1),IF($Y$3="申万二级行业",[1]!s_info_industry_sw_2021(W141,公司分析!D$5,2),IF($Y$3="申万三级行业",[1]!s_info_industry_sw_2021(W141,公司分析!D$5,3),IF($Y$3="wind一级行业",[1]!s_info_industry_gics(W141,1),IF($Y$3="wind二级行业",[1]!s_info_industry_gics(W141,2),IF($Y$3="wind三级行业",[1]!s_info_industry_gics(W141,3),IF($Y$3="wind四级行业",[1]!s_info_industry_gics(W141,4),IF($Y$3="证监会门类行业",[1]!s_info_industry_csrc12_n(W141,公司分析!D$5,1),""))))))))</f>
        <v>航空装备Ⅱ</v>
      </c>
      <c r="Z141" s="302" t="str">
        <f ca="1">IF(Y141=行业比较!$E$6,ROW(),"")</f>
        <v/>
      </c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</row>
    <row r="142" spans="2:42">
      <c r="B142" s="122"/>
      <c r="C142" s="122"/>
      <c r="D142" s="122"/>
      <c r="E142" s="122"/>
      <c r="F142" s="122"/>
      <c r="G142" s="122"/>
      <c r="H142" s="122"/>
      <c r="I142" s="275"/>
      <c r="J142" s="130"/>
      <c r="K142" s="130"/>
      <c r="L142" s="130"/>
      <c r="M142" s="130"/>
      <c r="N142" s="291"/>
      <c r="O142" s="291"/>
      <c r="P142" s="122"/>
      <c r="Q142" s="122"/>
      <c r="R142" s="122"/>
      <c r="S142" s="122"/>
      <c r="T142" s="122"/>
      <c r="U142" s="301"/>
      <c r="V142" s="260">
        <f t="shared" ca="1" si="10"/>
        <v>0</v>
      </c>
      <c r="W142" s="348" t="str">
        <f>IF(板块成分!B144="","",板块成分!B144)</f>
        <v>000563.SZ</v>
      </c>
      <c r="X142" s="276" t="str">
        <f>[1]!S_Info_Name(W142)</f>
        <v>陕国投A</v>
      </c>
      <c r="Y142" s="276" t="str">
        <f ca="1">IF($Y$3="申万一级行业",[1]!s_info_industry_sw_2021(W142,公司分析!D$5,1),IF($Y$3="申万二级行业",[1]!s_info_industry_sw_2021(W142,公司分析!D$5,2),IF($Y$3="申万三级行业",[1]!s_info_industry_sw_2021(W142,公司分析!D$5,3),IF($Y$3="wind一级行业",[1]!s_info_industry_gics(W142,1),IF($Y$3="wind二级行业",[1]!s_info_industry_gics(W142,2),IF($Y$3="wind三级行业",[1]!s_info_industry_gics(W142,3),IF($Y$3="wind四级行业",[1]!s_info_industry_gics(W142,4),IF($Y$3="证监会门类行业",[1]!s_info_industry_csrc12_n(W142,公司分析!D$5,1),""))))))))</f>
        <v>多元金融</v>
      </c>
      <c r="Z142" s="302" t="str">
        <f ca="1">IF(Y142=行业比较!$E$6,ROW(),"")</f>
        <v/>
      </c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</row>
    <row r="143" spans="2:42">
      <c r="B143" s="122"/>
      <c r="C143" s="122"/>
      <c r="D143" s="122"/>
      <c r="E143" s="122"/>
      <c r="F143" s="122"/>
      <c r="G143" s="122"/>
      <c r="H143" s="122"/>
      <c r="I143" s="275"/>
      <c r="J143" s="130"/>
      <c r="K143" s="130"/>
      <c r="L143" s="130"/>
      <c r="M143" s="130"/>
      <c r="N143" s="291"/>
      <c r="O143" s="291"/>
      <c r="P143" s="122"/>
      <c r="Q143" s="122"/>
      <c r="R143" s="122"/>
      <c r="S143" s="122"/>
      <c r="T143" s="122"/>
      <c r="U143" s="301"/>
      <c r="V143" s="260">
        <f t="shared" ca="1" si="10"/>
        <v>0</v>
      </c>
      <c r="W143" s="348" t="str">
        <f>IF(板块成分!B145="","",板块成分!B145)</f>
        <v>000564.SZ</v>
      </c>
      <c r="X143" s="276" t="str">
        <f>[1]!S_Info_Name(W143)</f>
        <v>供销大集</v>
      </c>
      <c r="Y143" s="276" t="str">
        <f ca="1">IF($Y$3="申万一级行业",[1]!s_info_industry_sw_2021(W143,公司分析!D$5,1),IF($Y$3="申万二级行业",[1]!s_info_industry_sw_2021(W143,公司分析!D$5,2),IF($Y$3="申万三级行业",[1]!s_info_industry_sw_2021(W143,公司分析!D$5,3),IF($Y$3="wind一级行业",[1]!s_info_industry_gics(W143,1),IF($Y$3="wind二级行业",[1]!s_info_industry_gics(W143,2),IF($Y$3="wind三级行业",[1]!s_info_industry_gics(W143,3),IF($Y$3="wind四级行业",[1]!s_info_industry_gics(W143,4),IF($Y$3="证监会门类行业",[1]!s_info_industry_csrc12_n(W143,公司分析!D$5,1),""))))))))</f>
        <v>一般零售</v>
      </c>
      <c r="Z143" s="302" t="str">
        <f ca="1">IF(Y143=行业比较!$E$6,ROW(),"")</f>
        <v/>
      </c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</row>
    <row r="144" spans="2:42">
      <c r="B144" s="122"/>
      <c r="C144" s="122"/>
      <c r="D144" s="122"/>
      <c r="E144" s="122"/>
      <c r="F144" s="122"/>
      <c r="G144" s="122"/>
      <c r="H144" s="122"/>
      <c r="I144" s="275"/>
      <c r="J144" s="130"/>
      <c r="K144" s="130"/>
      <c r="L144" s="130"/>
      <c r="M144" s="130"/>
      <c r="N144" s="291"/>
      <c r="O144" s="291"/>
      <c r="P144" s="122"/>
      <c r="Q144" s="122"/>
      <c r="R144" s="122"/>
      <c r="S144" s="122"/>
      <c r="T144" s="122"/>
      <c r="U144" s="301"/>
      <c r="V144" s="260">
        <f t="shared" ca="1" si="10"/>
        <v>0</v>
      </c>
      <c r="W144" s="348" t="str">
        <f>IF(板块成分!B146="","",板块成分!B146)</f>
        <v>000565.SZ</v>
      </c>
      <c r="X144" s="276" t="str">
        <f>[1]!S_Info_Name(W144)</f>
        <v>渝三峡A</v>
      </c>
      <c r="Y144" s="276" t="str">
        <f ca="1">IF($Y$3="申万一级行业",[1]!s_info_industry_sw_2021(W144,公司分析!D$5,1),IF($Y$3="申万二级行业",[1]!s_info_industry_sw_2021(W144,公司分析!D$5,2),IF($Y$3="申万三级行业",[1]!s_info_industry_sw_2021(W144,公司分析!D$5,3),IF($Y$3="wind一级行业",[1]!s_info_industry_gics(W144,1),IF($Y$3="wind二级行业",[1]!s_info_industry_gics(W144,2),IF($Y$3="wind三级行业",[1]!s_info_industry_gics(W144,3),IF($Y$3="wind四级行业",[1]!s_info_industry_gics(W144,4),IF($Y$3="证监会门类行业",[1]!s_info_industry_csrc12_n(W144,公司分析!D$5,1),""))))))))</f>
        <v>化学制品</v>
      </c>
      <c r="Z144" s="302" t="str">
        <f ca="1">IF(Y144=行业比较!$E$6,ROW(),"")</f>
        <v/>
      </c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</row>
    <row r="145" spans="2:42">
      <c r="B145" s="122"/>
      <c r="C145" s="122"/>
      <c r="D145" s="122"/>
      <c r="E145" s="122"/>
      <c r="F145" s="122"/>
      <c r="G145" s="122"/>
      <c r="H145" s="122"/>
      <c r="I145" s="275"/>
      <c r="J145" s="130"/>
      <c r="K145" s="130"/>
      <c r="L145" s="130"/>
      <c r="M145" s="130"/>
      <c r="N145" s="291"/>
      <c r="O145" s="291"/>
      <c r="P145" s="122"/>
      <c r="Q145" s="122"/>
      <c r="R145" s="122"/>
      <c r="S145" s="122"/>
      <c r="T145" s="122"/>
      <c r="U145" s="301"/>
      <c r="V145" s="260">
        <f t="shared" ca="1" si="10"/>
        <v>0</v>
      </c>
      <c r="W145" s="348" t="str">
        <f>IF(板块成分!B147="","",板块成分!B147)</f>
        <v>000566.SZ</v>
      </c>
      <c r="X145" s="276" t="str">
        <f>[1]!S_Info_Name(W145)</f>
        <v>海南海药</v>
      </c>
      <c r="Y145" s="276" t="str">
        <f ca="1">IF($Y$3="申万一级行业",[1]!s_info_industry_sw_2021(W145,公司分析!D$5,1),IF($Y$3="申万二级行业",[1]!s_info_industry_sw_2021(W145,公司分析!D$5,2),IF($Y$3="申万三级行业",[1]!s_info_industry_sw_2021(W145,公司分析!D$5,3),IF($Y$3="wind一级行业",[1]!s_info_industry_gics(W145,1),IF($Y$3="wind二级行业",[1]!s_info_industry_gics(W145,2),IF($Y$3="wind三级行业",[1]!s_info_industry_gics(W145,3),IF($Y$3="wind四级行业",[1]!s_info_industry_gics(W145,4),IF($Y$3="证监会门类行业",[1]!s_info_industry_csrc12_n(W145,公司分析!D$5,1),""))))))))</f>
        <v>化学制药</v>
      </c>
      <c r="Z145" s="302" t="str">
        <f ca="1">IF(Y145=行业比较!$E$6,ROW(),"")</f>
        <v/>
      </c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</row>
    <row r="146" spans="2:42">
      <c r="B146" s="122"/>
      <c r="C146" s="122"/>
      <c r="D146" s="122"/>
      <c r="E146" s="122"/>
      <c r="F146" s="122"/>
      <c r="G146" s="122"/>
      <c r="H146" s="122"/>
      <c r="I146" s="275"/>
      <c r="J146" s="130"/>
      <c r="K146" s="130"/>
      <c r="L146" s="130"/>
      <c r="M146" s="130"/>
      <c r="N146" s="291"/>
      <c r="O146" s="291"/>
      <c r="P146" s="122"/>
      <c r="Q146" s="122"/>
      <c r="R146" s="122"/>
      <c r="S146" s="122"/>
      <c r="T146" s="122"/>
      <c r="U146" s="301"/>
      <c r="V146" s="260">
        <f t="shared" ca="1" si="10"/>
        <v>0</v>
      </c>
      <c r="W146" s="348" t="str">
        <f>IF(板块成分!B148="","",板块成分!B148)</f>
        <v>000567.SZ</v>
      </c>
      <c r="X146" s="276" t="str">
        <f>[1]!S_Info_Name(W146)</f>
        <v>海德股份</v>
      </c>
      <c r="Y146" s="276" t="str">
        <f ca="1">IF($Y$3="申万一级行业",[1]!s_info_industry_sw_2021(W146,公司分析!D$5,1),IF($Y$3="申万二级行业",[1]!s_info_industry_sw_2021(W146,公司分析!D$5,2),IF($Y$3="申万三级行业",[1]!s_info_industry_sw_2021(W146,公司分析!D$5,3),IF($Y$3="wind一级行业",[1]!s_info_industry_gics(W146,1),IF($Y$3="wind二级行业",[1]!s_info_industry_gics(W146,2),IF($Y$3="wind三级行业",[1]!s_info_industry_gics(W146,3),IF($Y$3="wind四级行业",[1]!s_info_industry_gics(W146,4),IF($Y$3="证监会门类行业",[1]!s_info_industry_csrc12_n(W146,公司分析!D$5,1),""))))))))</f>
        <v>多元金融</v>
      </c>
      <c r="Z146" s="302" t="str">
        <f ca="1">IF(Y146=行业比较!$E$6,ROW(),"")</f>
        <v/>
      </c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</row>
    <row r="147" spans="2:42">
      <c r="B147" s="122"/>
      <c r="C147" s="122"/>
      <c r="D147" s="122"/>
      <c r="E147" s="122"/>
      <c r="F147" s="122"/>
      <c r="G147" s="122"/>
      <c r="H147" s="122"/>
      <c r="I147" s="275"/>
      <c r="J147" s="130"/>
      <c r="K147" s="130"/>
      <c r="L147" s="130"/>
      <c r="M147" s="130"/>
      <c r="N147" s="291"/>
      <c r="O147" s="291"/>
      <c r="P147" s="122"/>
      <c r="Q147" s="122"/>
      <c r="R147" s="122"/>
      <c r="S147" s="122"/>
      <c r="T147" s="122"/>
      <c r="U147" s="301"/>
      <c r="V147" s="260">
        <f t="shared" ca="1" si="10"/>
        <v>0</v>
      </c>
      <c r="W147" s="348" t="str">
        <f>IF(板块成分!B149="","",板块成分!B149)</f>
        <v>000568.SZ</v>
      </c>
      <c r="X147" s="276" t="str">
        <f>[1]!S_Info_Name(W147)</f>
        <v>泸州老窖</v>
      </c>
      <c r="Y147" s="276" t="str">
        <f ca="1">IF($Y$3="申万一级行业",[1]!s_info_industry_sw_2021(W147,公司分析!D$5,1),IF($Y$3="申万二级行业",[1]!s_info_industry_sw_2021(W147,公司分析!D$5,2),IF($Y$3="申万三级行业",[1]!s_info_industry_sw_2021(W147,公司分析!D$5,3),IF($Y$3="wind一级行业",[1]!s_info_industry_gics(W147,1),IF($Y$3="wind二级行业",[1]!s_info_industry_gics(W147,2),IF($Y$3="wind三级行业",[1]!s_info_industry_gics(W147,3),IF($Y$3="wind四级行业",[1]!s_info_industry_gics(W147,4),IF($Y$3="证监会门类行业",[1]!s_info_industry_csrc12_n(W147,公司分析!D$5,1),""))))))))</f>
        <v>白酒Ⅱ</v>
      </c>
      <c r="Z147" s="302" t="str">
        <f ca="1">IF(Y147=行业比较!$E$6,ROW(),"")</f>
        <v/>
      </c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</row>
    <row r="148" spans="2:42">
      <c r="B148" s="122"/>
      <c r="C148" s="122"/>
      <c r="D148" s="122"/>
      <c r="E148" s="122"/>
      <c r="F148" s="122"/>
      <c r="G148" s="122"/>
      <c r="H148" s="122"/>
      <c r="I148" s="275"/>
      <c r="J148" s="130"/>
      <c r="K148" s="130"/>
      <c r="L148" s="130"/>
      <c r="M148" s="130"/>
      <c r="N148" s="291"/>
      <c r="O148" s="291"/>
      <c r="P148" s="122"/>
      <c r="Q148" s="122"/>
      <c r="R148" s="122"/>
      <c r="S148" s="122"/>
      <c r="T148" s="122"/>
      <c r="U148" s="301"/>
      <c r="V148" s="260">
        <f t="shared" ca="1" si="10"/>
        <v>0</v>
      </c>
      <c r="W148" s="348" t="str">
        <f>IF(板块成分!B150="","",板块成分!B150)</f>
        <v>000570.SZ</v>
      </c>
      <c r="X148" s="276" t="str">
        <f>[1]!S_Info_Name(W148)</f>
        <v>苏常柴A</v>
      </c>
      <c r="Y148" s="276" t="str">
        <f ca="1">IF($Y$3="申万一级行业",[1]!s_info_industry_sw_2021(W148,公司分析!D$5,1),IF($Y$3="申万二级行业",[1]!s_info_industry_sw_2021(W148,公司分析!D$5,2),IF($Y$3="申万三级行业",[1]!s_info_industry_sw_2021(W148,公司分析!D$5,3),IF($Y$3="wind一级行业",[1]!s_info_industry_gics(W148,1),IF($Y$3="wind二级行业",[1]!s_info_industry_gics(W148,2),IF($Y$3="wind三级行业",[1]!s_info_industry_gics(W148,3),IF($Y$3="wind四级行业",[1]!s_info_industry_gics(W148,4),IF($Y$3="证监会门类行业",[1]!s_info_industry_csrc12_n(W148,公司分析!D$5,1),""))))))))</f>
        <v>汽车零部件</v>
      </c>
      <c r="Z148" s="302" t="str">
        <f ca="1">IF(Y148=行业比较!$E$6,ROW(),"")</f>
        <v/>
      </c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</row>
    <row r="149" spans="2:42">
      <c r="B149" s="122"/>
      <c r="C149" s="122"/>
      <c r="D149" s="122"/>
      <c r="E149" s="122"/>
      <c r="F149" s="122"/>
      <c r="G149" s="122"/>
      <c r="H149" s="122"/>
      <c r="I149" s="275"/>
      <c r="J149" s="130"/>
      <c r="K149" s="130"/>
      <c r="L149" s="130"/>
      <c r="M149" s="130"/>
      <c r="N149" s="291"/>
      <c r="O149" s="291"/>
      <c r="P149" s="122"/>
      <c r="Q149" s="122"/>
      <c r="R149" s="122"/>
      <c r="S149" s="122"/>
      <c r="T149" s="122"/>
      <c r="U149" s="301"/>
      <c r="V149" s="260">
        <f t="shared" ca="1" si="10"/>
        <v>0</v>
      </c>
      <c r="W149" s="348" t="str">
        <f>IF(板块成分!B151="","",板块成分!B151)</f>
        <v>000571.SZ</v>
      </c>
      <c r="X149" s="276" t="str">
        <f>[1]!S_Info_Name(W149)</f>
        <v>新大洲A</v>
      </c>
      <c r="Y149" s="276" t="str">
        <f ca="1">IF($Y$3="申万一级行业",[1]!s_info_industry_sw_2021(W149,公司分析!D$5,1),IF($Y$3="申万二级行业",[1]!s_info_industry_sw_2021(W149,公司分析!D$5,2),IF($Y$3="申万三级行业",[1]!s_info_industry_sw_2021(W149,公司分析!D$5,3),IF($Y$3="wind一级行业",[1]!s_info_industry_gics(W149,1),IF($Y$3="wind二级行业",[1]!s_info_industry_gics(W149,2),IF($Y$3="wind三级行业",[1]!s_info_industry_gics(W149,3),IF($Y$3="wind四级行业",[1]!s_info_industry_gics(W149,4),IF($Y$3="证监会门类行业",[1]!s_info_industry_csrc12_n(W149,公司分析!D$5,1),""))))))))</f>
        <v>煤炭开采</v>
      </c>
      <c r="Z149" s="302" t="str">
        <f ca="1">IF(Y149=行业比较!$E$6,ROW(),"")</f>
        <v/>
      </c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</row>
    <row r="150" spans="2:42">
      <c r="B150" s="122"/>
      <c r="C150" s="122"/>
      <c r="D150" s="122"/>
      <c r="E150" s="122"/>
      <c r="F150" s="122"/>
      <c r="G150" s="122"/>
      <c r="H150" s="122"/>
      <c r="I150" s="275"/>
      <c r="J150" s="130"/>
      <c r="K150" s="130"/>
      <c r="L150" s="130"/>
      <c r="M150" s="130"/>
      <c r="N150" s="291"/>
      <c r="O150" s="291"/>
      <c r="P150" s="122"/>
      <c r="Q150" s="122"/>
      <c r="R150" s="122"/>
      <c r="S150" s="122"/>
      <c r="T150" s="122"/>
      <c r="U150" s="301"/>
      <c r="V150" s="260">
        <f t="shared" ca="1" si="10"/>
        <v>0</v>
      </c>
      <c r="W150" s="348" t="str">
        <f>IF(板块成分!B152="","",板块成分!B152)</f>
        <v>000572.SZ</v>
      </c>
      <c r="X150" s="276" t="str">
        <f>[1]!S_Info_Name(W150)</f>
        <v>海马汽车</v>
      </c>
      <c r="Y150" s="276" t="str">
        <f ca="1">IF($Y$3="申万一级行业",[1]!s_info_industry_sw_2021(W150,公司分析!D$5,1),IF($Y$3="申万二级行业",[1]!s_info_industry_sw_2021(W150,公司分析!D$5,2),IF($Y$3="申万三级行业",[1]!s_info_industry_sw_2021(W150,公司分析!D$5,3),IF($Y$3="wind一级行业",[1]!s_info_industry_gics(W150,1),IF($Y$3="wind二级行业",[1]!s_info_industry_gics(W150,2),IF($Y$3="wind三级行业",[1]!s_info_industry_gics(W150,3),IF($Y$3="wind四级行业",[1]!s_info_industry_gics(W150,4),IF($Y$3="证监会门类行业",[1]!s_info_industry_csrc12_n(W150,公司分析!D$5,1),""))))))))</f>
        <v>乘用车</v>
      </c>
      <c r="Z150" s="302" t="str">
        <f ca="1">IF(Y150=行业比较!$E$6,ROW(),"")</f>
        <v/>
      </c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</row>
    <row r="151" spans="2:42">
      <c r="B151" s="122"/>
      <c r="C151" s="122"/>
      <c r="D151" s="122"/>
      <c r="E151" s="122"/>
      <c r="F151" s="122"/>
      <c r="G151" s="122"/>
      <c r="H151" s="122"/>
      <c r="I151" s="275"/>
      <c r="J151" s="130"/>
      <c r="K151" s="130"/>
      <c r="L151" s="130"/>
      <c r="M151" s="130"/>
      <c r="N151" s="291"/>
      <c r="O151" s="291"/>
      <c r="P151" s="122"/>
      <c r="Q151" s="122"/>
      <c r="R151" s="122"/>
      <c r="S151" s="122"/>
      <c r="T151" s="122"/>
      <c r="U151" s="301"/>
      <c r="V151" s="260">
        <f t="shared" ca="1" si="10"/>
        <v>0</v>
      </c>
      <c r="W151" s="348" t="str">
        <f>IF(板块成分!B153="","",板块成分!B153)</f>
        <v>000573.SZ</v>
      </c>
      <c r="X151" s="276" t="str">
        <f>[1]!S_Info_Name(W151)</f>
        <v>粤宏远A</v>
      </c>
      <c r="Y151" s="276" t="str">
        <f ca="1">IF($Y$3="申万一级行业",[1]!s_info_industry_sw_2021(W151,公司分析!D$5,1),IF($Y$3="申万二级行业",[1]!s_info_industry_sw_2021(W151,公司分析!D$5,2),IF($Y$3="申万三级行业",[1]!s_info_industry_sw_2021(W151,公司分析!D$5,3),IF($Y$3="wind一级行业",[1]!s_info_industry_gics(W151,1),IF($Y$3="wind二级行业",[1]!s_info_industry_gics(W151,2),IF($Y$3="wind三级行业",[1]!s_info_industry_gics(W151,3),IF($Y$3="wind四级行业",[1]!s_info_industry_gics(W151,4),IF($Y$3="证监会门类行业",[1]!s_info_industry_csrc12_n(W151,公司分析!D$5,1),""))))))))</f>
        <v>房地产开发</v>
      </c>
      <c r="Z151" s="302" t="str">
        <f ca="1">IF(Y151=行业比较!$E$6,ROW(),"")</f>
        <v/>
      </c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</row>
    <row r="152" spans="2:42">
      <c r="B152" s="122"/>
      <c r="C152" s="122"/>
      <c r="D152" s="122"/>
      <c r="E152" s="122"/>
      <c r="F152" s="122"/>
      <c r="G152" s="122"/>
      <c r="H152" s="122"/>
      <c r="I152" s="275"/>
      <c r="J152" s="130"/>
      <c r="K152" s="130"/>
      <c r="L152" s="130"/>
      <c r="M152" s="130"/>
      <c r="N152" s="291"/>
      <c r="O152" s="291"/>
      <c r="P152" s="122"/>
      <c r="Q152" s="122"/>
      <c r="R152" s="122"/>
      <c r="S152" s="122"/>
      <c r="T152" s="122"/>
      <c r="U152" s="301"/>
      <c r="V152" s="260">
        <f t="shared" ca="1" si="10"/>
        <v>0</v>
      </c>
      <c r="W152" s="348" t="str">
        <f>IF(板块成分!B154="","",板块成分!B154)</f>
        <v>000576.SZ</v>
      </c>
      <c r="X152" s="276" t="str">
        <f>[1]!S_Info_Name(W152)</f>
        <v>甘化科工</v>
      </c>
      <c r="Y152" s="276" t="str">
        <f ca="1">IF($Y$3="申万一级行业",[1]!s_info_industry_sw_2021(W152,公司分析!D$5,1),IF($Y$3="申万二级行业",[1]!s_info_industry_sw_2021(W152,公司分析!D$5,2),IF($Y$3="申万三级行业",[1]!s_info_industry_sw_2021(W152,公司分析!D$5,3),IF($Y$3="wind一级行业",[1]!s_info_industry_gics(W152,1),IF($Y$3="wind二级行业",[1]!s_info_industry_gics(W152,2),IF($Y$3="wind三级行业",[1]!s_info_industry_gics(W152,3),IF($Y$3="wind四级行业",[1]!s_info_industry_gics(W152,4),IF($Y$3="证监会门类行业",[1]!s_info_industry_csrc12_n(W152,公司分析!D$5,1),""))))))))</f>
        <v>地面兵装Ⅱ</v>
      </c>
      <c r="Z152" s="302" t="str">
        <f ca="1">IF(Y152=行业比较!$E$6,ROW(),"")</f>
        <v/>
      </c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</row>
    <row r="153" spans="2:42">
      <c r="B153" s="122"/>
      <c r="C153" s="122"/>
      <c r="D153" s="122"/>
      <c r="E153" s="122"/>
      <c r="F153" s="122"/>
      <c r="G153" s="122"/>
      <c r="H153" s="122"/>
      <c r="I153" s="275"/>
      <c r="J153" s="130"/>
      <c r="K153" s="130"/>
      <c r="L153" s="130"/>
      <c r="M153" s="130"/>
      <c r="N153" s="291"/>
      <c r="O153" s="291"/>
      <c r="P153" s="122"/>
      <c r="Q153" s="122"/>
      <c r="R153" s="122"/>
      <c r="S153" s="122"/>
      <c r="T153" s="122"/>
      <c r="U153" s="301"/>
      <c r="V153" s="260">
        <f t="shared" ca="1" si="10"/>
        <v>0</v>
      </c>
      <c r="W153" s="348" t="str">
        <f>IF(板块成分!B155="","",板块成分!B155)</f>
        <v>000581.SZ</v>
      </c>
      <c r="X153" s="276" t="str">
        <f>[1]!S_Info_Name(W153)</f>
        <v>威孚高科</v>
      </c>
      <c r="Y153" s="276" t="str">
        <f ca="1">IF($Y$3="申万一级行业",[1]!s_info_industry_sw_2021(W153,公司分析!D$5,1),IF($Y$3="申万二级行业",[1]!s_info_industry_sw_2021(W153,公司分析!D$5,2),IF($Y$3="申万三级行业",[1]!s_info_industry_sw_2021(W153,公司分析!D$5,3),IF($Y$3="wind一级行业",[1]!s_info_industry_gics(W153,1),IF($Y$3="wind二级行业",[1]!s_info_industry_gics(W153,2),IF($Y$3="wind三级行业",[1]!s_info_industry_gics(W153,3),IF($Y$3="wind四级行业",[1]!s_info_industry_gics(W153,4),IF($Y$3="证监会门类行业",[1]!s_info_industry_csrc12_n(W153,公司分析!D$5,1),""))))))))</f>
        <v>汽车零部件</v>
      </c>
      <c r="Z153" s="302" t="str">
        <f ca="1">IF(Y153=行业比较!$E$6,ROW(),"")</f>
        <v/>
      </c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</row>
    <row r="154" spans="2:42">
      <c r="B154" s="122"/>
      <c r="C154" s="122"/>
      <c r="D154" s="122"/>
      <c r="E154" s="122"/>
      <c r="F154" s="122"/>
      <c r="G154" s="122"/>
      <c r="H154" s="122"/>
      <c r="I154" s="275"/>
      <c r="J154" s="130"/>
      <c r="K154" s="130"/>
      <c r="L154" s="130"/>
      <c r="M154" s="130"/>
      <c r="N154" s="291"/>
      <c r="O154" s="291"/>
      <c r="P154" s="122"/>
      <c r="Q154" s="122"/>
      <c r="R154" s="122"/>
      <c r="S154" s="122"/>
      <c r="T154" s="122"/>
      <c r="U154" s="301"/>
      <c r="V154" s="260">
        <f t="shared" ca="1" si="10"/>
        <v>0</v>
      </c>
      <c r="W154" s="348" t="str">
        <f>IF(板块成分!B156="","",板块成分!B156)</f>
        <v>000582.SZ</v>
      </c>
      <c r="X154" s="276" t="str">
        <f>[1]!S_Info_Name(W154)</f>
        <v>北部湾港</v>
      </c>
      <c r="Y154" s="276" t="str">
        <f ca="1">IF($Y$3="申万一级行业",[1]!s_info_industry_sw_2021(W154,公司分析!D$5,1),IF($Y$3="申万二级行业",[1]!s_info_industry_sw_2021(W154,公司分析!D$5,2),IF($Y$3="申万三级行业",[1]!s_info_industry_sw_2021(W154,公司分析!D$5,3),IF($Y$3="wind一级行业",[1]!s_info_industry_gics(W154,1),IF($Y$3="wind二级行业",[1]!s_info_industry_gics(W154,2),IF($Y$3="wind三级行业",[1]!s_info_industry_gics(W154,3),IF($Y$3="wind四级行业",[1]!s_info_industry_gics(W154,4),IF($Y$3="证监会门类行业",[1]!s_info_industry_csrc12_n(W154,公司分析!D$5,1),""))))))))</f>
        <v>航运港口</v>
      </c>
      <c r="Z154" s="302" t="str">
        <f ca="1">IF(Y154=行业比较!$E$6,ROW(),"")</f>
        <v/>
      </c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</row>
    <row r="155" spans="2:42">
      <c r="B155" s="122"/>
      <c r="C155" s="122"/>
      <c r="D155" s="122"/>
      <c r="E155" s="122"/>
      <c r="F155" s="122"/>
      <c r="G155" s="122"/>
      <c r="H155" s="122"/>
      <c r="I155" s="275"/>
      <c r="J155" s="130"/>
      <c r="K155" s="130"/>
      <c r="L155" s="130"/>
      <c r="M155" s="130"/>
      <c r="N155" s="291"/>
      <c r="O155" s="291"/>
      <c r="P155" s="122"/>
      <c r="Q155" s="122"/>
      <c r="R155" s="122"/>
      <c r="S155" s="122"/>
      <c r="T155" s="122"/>
      <c r="U155" s="301"/>
      <c r="V155" s="260">
        <f t="shared" ca="1" si="10"/>
        <v>0</v>
      </c>
      <c r="W155" s="348" t="str">
        <f>IF(板块成分!B157="","",板块成分!B157)</f>
        <v>000586.SZ</v>
      </c>
      <c r="X155" s="276" t="str">
        <f>[1]!S_Info_Name(W155)</f>
        <v>汇源通信</v>
      </c>
      <c r="Y155" s="276" t="str">
        <f ca="1">IF($Y$3="申万一级行业",[1]!s_info_industry_sw_2021(W155,公司分析!D$5,1),IF($Y$3="申万二级行业",[1]!s_info_industry_sw_2021(W155,公司分析!D$5,2),IF($Y$3="申万三级行业",[1]!s_info_industry_sw_2021(W155,公司分析!D$5,3),IF($Y$3="wind一级行业",[1]!s_info_industry_gics(W155,1),IF($Y$3="wind二级行业",[1]!s_info_industry_gics(W155,2),IF($Y$3="wind三级行业",[1]!s_info_industry_gics(W155,3),IF($Y$3="wind四级行业",[1]!s_info_industry_gics(W155,4),IF($Y$3="证监会门类行业",[1]!s_info_industry_csrc12_n(W155,公司分析!D$5,1),""))))))))</f>
        <v>通信设备</v>
      </c>
      <c r="Z155" s="302" t="str">
        <f ca="1">IF(Y155=行业比较!$E$6,ROW(),"")</f>
        <v/>
      </c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</row>
    <row r="156" spans="2:42">
      <c r="B156" s="122"/>
      <c r="C156" s="122"/>
      <c r="D156" s="122"/>
      <c r="E156" s="122"/>
      <c r="F156" s="122"/>
      <c r="G156" s="122"/>
      <c r="H156" s="122"/>
      <c r="I156" s="275"/>
      <c r="J156" s="130"/>
      <c r="K156" s="130"/>
      <c r="L156" s="130"/>
      <c r="M156" s="130"/>
      <c r="N156" s="291"/>
      <c r="O156" s="291"/>
      <c r="P156" s="122"/>
      <c r="Q156" s="122"/>
      <c r="R156" s="122"/>
      <c r="S156" s="122"/>
      <c r="T156" s="122"/>
      <c r="U156" s="301"/>
      <c r="V156" s="260">
        <f t="shared" ca="1" si="10"/>
        <v>0</v>
      </c>
      <c r="W156" s="348" t="str">
        <f>IF(板块成分!B158="","",板块成分!B158)</f>
        <v>000589.SZ</v>
      </c>
      <c r="X156" s="276" t="str">
        <f>[1]!S_Info_Name(W156)</f>
        <v>贵州轮胎</v>
      </c>
      <c r="Y156" s="276" t="str">
        <f ca="1">IF($Y$3="申万一级行业",[1]!s_info_industry_sw_2021(W156,公司分析!D$5,1),IF($Y$3="申万二级行业",[1]!s_info_industry_sw_2021(W156,公司分析!D$5,2),IF($Y$3="申万三级行业",[1]!s_info_industry_sw_2021(W156,公司分析!D$5,3),IF($Y$3="wind一级行业",[1]!s_info_industry_gics(W156,1),IF($Y$3="wind二级行业",[1]!s_info_industry_gics(W156,2),IF($Y$3="wind三级行业",[1]!s_info_industry_gics(W156,3),IF($Y$3="wind四级行业",[1]!s_info_industry_gics(W156,4),IF($Y$3="证监会门类行业",[1]!s_info_industry_csrc12_n(W156,公司分析!D$5,1),""))))))))</f>
        <v>汽车零部件</v>
      </c>
      <c r="Z156" s="302" t="str">
        <f ca="1">IF(Y156=行业比较!$E$6,ROW(),"")</f>
        <v/>
      </c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</row>
    <row r="157" spans="2:42">
      <c r="B157" s="122"/>
      <c r="C157" s="122"/>
      <c r="D157" s="122"/>
      <c r="E157" s="122"/>
      <c r="F157" s="122"/>
      <c r="G157" s="122"/>
      <c r="H157" s="122"/>
      <c r="I157" s="275"/>
      <c r="J157" s="130"/>
      <c r="K157" s="130"/>
      <c r="L157" s="130"/>
      <c r="M157" s="130"/>
      <c r="N157" s="291"/>
      <c r="O157" s="291"/>
      <c r="P157" s="122"/>
      <c r="Q157" s="122"/>
      <c r="R157" s="122"/>
      <c r="S157" s="122"/>
      <c r="T157" s="122"/>
      <c r="U157" s="301"/>
      <c r="V157" s="260">
        <f t="shared" ca="1" si="10"/>
        <v>0</v>
      </c>
      <c r="W157" s="348" t="str">
        <f>IF(板块成分!B159="","",板块成分!B159)</f>
        <v>000590.SZ</v>
      </c>
      <c r="X157" s="276" t="str">
        <f>[1]!S_Info_Name(W157)</f>
        <v>古汉医药</v>
      </c>
      <c r="Y157" s="276" t="str">
        <f ca="1">IF($Y$3="申万一级行业",[1]!s_info_industry_sw_2021(W157,公司分析!D$5,1),IF($Y$3="申万二级行业",[1]!s_info_industry_sw_2021(W157,公司分析!D$5,2),IF($Y$3="申万三级行业",[1]!s_info_industry_sw_2021(W157,公司分析!D$5,3),IF($Y$3="wind一级行业",[1]!s_info_industry_gics(W157,1),IF($Y$3="wind二级行业",[1]!s_info_industry_gics(W157,2),IF($Y$3="wind三级行业",[1]!s_info_industry_gics(W157,3),IF($Y$3="wind四级行业",[1]!s_info_industry_gics(W157,4),IF($Y$3="证监会门类行业",[1]!s_info_industry_csrc12_n(W157,公司分析!D$5,1),""))))))))</f>
        <v>中药Ⅱ</v>
      </c>
      <c r="Z157" s="302" t="str">
        <f ca="1">IF(Y157=行业比较!$E$6,ROW(),"")</f>
        <v/>
      </c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</row>
    <row r="158" spans="2:42">
      <c r="B158" s="122"/>
      <c r="C158" s="122"/>
      <c r="D158" s="122"/>
      <c r="E158" s="122"/>
      <c r="F158" s="122"/>
      <c r="G158" s="122"/>
      <c r="H158" s="122"/>
      <c r="I158" s="275"/>
      <c r="J158" s="130"/>
      <c r="K158" s="130"/>
      <c r="L158" s="130"/>
      <c r="M158" s="130"/>
      <c r="N158" s="291"/>
      <c r="O158" s="291"/>
      <c r="P158" s="122"/>
      <c r="Q158" s="122"/>
      <c r="R158" s="122"/>
      <c r="S158" s="122"/>
      <c r="T158" s="122"/>
      <c r="U158" s="301"/>
      <c r="V158" s="260">
        <f t="shared" ca="1" si="10"/>
        <v>0</v>
      </c>
      <c r="W158" s="348" t="str">
        <f>IF(板块成分!B160="","",板块成分!B160)</f>
        <v>000591.SZ</v>
      </c>
      <c r="X158" s="276" t="str">
        <f>[1]!S_Info_Name(W158)</f>
        <v>太阳能</v>
      </c>
      <c r="Y158" s="276" t="str">
        <f ca="1">IF($Y$3="申万一级行业",[1]!s_info_industry_sw_2021(W158,公司分析!D$5,1),IF($Y$3="申万二级行业",[1]!s_info_industry_sw_2021(W158,公司分析!D$5,2),IF($Y$3="申万三级行业",[1]!s_info_industry_sw_2021(W158,公司分析!D$5,3),IF($Y$3="wind一级行业",[1]!s_info_industry_gics(W158,1),IF($Y$3="wind二级行业",[1]!s_info_industry_gics(W158,2),IF($Y$3="wind三级行业",[1]!s_info_industry_gics(W158,3),IF($Y$3="wind四级行业",[1]!s_info_industry_gics(W158,4),IF($Y$3="证监会门类行业",[1]!s_info_industry_csrc12_n(W158,公司分析!D$5,1),""))))))))</f>
        <v>电力</v>
      </c>
      <c r="Z158" s="302" t="str">
        <f ca="1">IF(Y158=行业比较!$E$6,ROW(),"")</f>
        <v/>
      </c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</row>
    <row r="159" spans="2:42">
      <c r="B159" s="122"/>
      <c r="C159" s="122"/>
      <c r="D159" s="122"/>
      <c r="E159" s="122"/>
      <c r="F159" s="122"/>
      <c r="G159" s="122"/>
      <c r="H159" s="122"/>
      <c r="I159" s="275"/>
      <c r="J159" s="130"/>
      <c r="K159" s="130"/>
      <c r="L159" s="130"/>
      <c r="M159" s="130"/>
      <c r="N159" s="291"/>
      <c r="O159" s="291"/>
      <c r="P159" s="122"/>
      <c r="Q159" s="122"/>
      <c r="R159" s="122"/>
      <c r="S159" s="122"/>
      <c r="T159" s="122"/>
      <c r="U159" s="301"/>
      <c r="V159" s="260">
        <f t="shared" ca="1" si="10"/>
        <v>0</v>
      </c>
      <c r="W159" s="348" t="str">
        <f>IF(板块成分!B161="","",板块成分!B161)</f>
        <v>000592.SZ</v>
      </c>
      <c r="X159" s="276" t="str">
        <f>[1]!S_Info_Name(W159)</f>
        <v>平潭发展</v>
      </c>
      <c r="Y159" s="276" t="str">
        <f ca="1">IF($Y$3="申万一级行业",[1]!s_info_industry_sw_2021(W159,公司分析!D$5,1),IF($Y$3="申万二级行业",[1]!s_info_industry_sw_2021(W159,公司分析!D$5,2),IF($Y$3="申万三级行业",[1]!s_info_industry_sw_2021(W159,公司分析!D$5,3),IF($Y$3="wind一级行业",[1]!s_info_industry_gics(W159,1),IF($Y$3="wind二级行业",[1]!s_info_industry_gics(W159,2),IF($Y$3="wind三级行业",[1]!s_info_industry_gics(W159,3),IF($Y$3="wind四级行业",[1]!s_info_industry_gics(W159,4),IF($Y$3="证监会门类行业",[1]!s_info_industry_csrc12_n(W159,公司分析!D$5,1),""))))))))</f>
        <v>林业Ⅱ</v>
      </c>
      <c r="Z159" s="302" t="str">
        <f ca="1">IF(Y159=行业比较!$E$6,ROW(),"")</f>
        <v/>
      </c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</row>
    <row r="160" spans="2:42">
      <c r="B160" s="122"/>
      <c r="C160" s="122"/>
      <c r="D160" s="122"/>
      <c r="E160" s="122"/>
      <c r="F160" s="122"/>
      <c r="G160" s="122"/>
      <c r="H160" s="122"/>
      <c r="I160" s="275"/>
      <c r="J160" s="130"/>
      <c r="K160" s="130"/>
      <c r="L160" s="130"/>
      <c r="M160" s="130"/>
      <c r="N160" s="291"/>
      <c r="O160" s="291"/>
      <c r="P160" s="122"/>
      <c r="Q160" s="122"/>
      <c r="R160" s="122"/>
      <c r="S160" s="122"/>
      <c r="T160" s="122"/>
      <c r="U160" s="301"/>
      <c r="V160" s="260">
        <f t="shared" ca="1" si="10"/>
        <v>0</v>
      </c>
      <c r="W160" s="348" t="str">
        <f>IF(板块成分!B162="","",板块成分!B162)</f>
        <v>000593.SZ</v>
      </c>
      <c r="X160" s="276" t="str">
        <f>[1]!S_Info_Name(W160)</f>
        <v>德龙汇能</v>
      </c>
      <c r="Y160" s="276" t="str">
        <f ca="1">IF($Y$3="申万一级行业",[1]!s_info_industry_sw_2021(W160,公司分析!D$5,1),IF($Y$3="申万二级行业",[1]!s_info_industry_sw_2021(W160,公司分析!D$5,2),IF($Y$3="申万三级行业",[1]!s_info_industry_sw_2021(W160,公司分析!D$5,3),IF($Y$3="wind一级行业",[1]!s_info_industry_gics(W160,1),IF($Y$3="wind二级行业",[1]!s_info_industry_gics(W160,2),IF($Y$3="wind三级行业",[1]!s_info_industry_gics(W160,3),IF($Y$3="wind四级行业",[1]!s_info_industry_gics(W160,4),IF($Y$3="证监会门类行业",[1]!s_info_industry_csrc12_n(W160,公司分析!D$5,1),""))))))))</f>
        <v>燃气Ⅱ</v>
      </c>
      <c r="Z160" s="302" t="str">
        <f ca="1">IF(Y160=行业比较!$E$6,ROW(),"")</f>
        <v/>
      </c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</row>
    <row r="161" spans="2:42">
      <c r="B161" s="122"/>
      <c r="C161" s="122"/>
      <c r="D161" s="122"/>
      <c r="E161" s="122"/>
      <c r="F161" s="122"/>
      <c r="G161" s="122"/>
      <c r="H161" s="122"/>
      <c r="I161" s="275"/>
      <c r="J161" s="130"/>
      <c r="K161" s="130"/>
      <c r="L161" s="130"/>
      <c r="M161" s="130"/>
      <c r="N161" s="291"/>
      <c r="O161" s="291"/>
      <c r="P161" s="122"/>
      <c r="Q161" s="122"/>
      <c r="R161" s="122"/>
      <c r="S161" s="122"/>
      <c r="T161" s="122"/>
      <c r="U161" s="301"/>
      <c r="V161" s="260">
        <f t="shared" ca="1" si="10"/>
        <v>0</v>
      </c>
      <c r="W161" s="348" t="str">
        <f>IF(板块成分!B163="","",板块成分!B163)</f>
        <v>000595.SZ</v>
      </c>
      <c r="X161" s="276" t="str">
        <f>[1]!S_Info_Name(W161)</f>
        <v>*ST宝实</v>
      </c>
      <c r="Y161" s="276" t="str">
        <f ca="1">IF($Y$3="申万一级行业",[1]!s_info_industry_sw_2021(W161,公司分析!D$5,1),IF($Y$3="申万二级行业",[1]!s_info_industry_sw_2021(W161,公司分析!D$5,2),IF($Y$3="申万三级行业",[1]!s_info_industry_sw_2021(W161,公司分析!D$5,3),IF($Y$3="wind一级行业",[1]!s_info_industry_gics(W161,1),IF($Y$3="wind二级行业",[1]!s_info_industry_gics(W161,2),IF($Y$3="wind三级行业",[1]!s_info_industry_gics(W161,3),IF($Y$3="wind四级行业",[1]!s_info_industry_gics(W161,4),IF($Y$3="证监会门类行业",[1]!s_info_industry_csrc12_n(W161,公司分析!D$5,1),""))))))))</f>
        <v>通用设备</v>
      </c>
      <c r="Z161" s="302" t="str">
        <f ca="1">IF(Y161=行业比较!$E$6,ROW(),"")</f>
        <v/>
      </c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</row>
    <row r="162" spans="2:42">
      <c r="B162" s="122"/>
      <c r="C162" s="122"/>
      <c r="D162" s="122"/>
      <c r="E162" s="122"/>
      <c r="F162" s="122"/>
      <c r="G162" s="122"/>
      <c r="H162" s="122"/>
      <c r="I162" s="275"/>
      <c r="J162" s="130"/>
      <c r="K162" s="130"/>
      <c r="L162" s="130"/>
      <c r="M162" s="130"/>
      <c r="N162" s="291"/>
      <c r="O162" s="291"/>
      <c r="P162" s="122"/>
      <c r="Q162" s="122"/>
      <c r="R162" s="122"/>
      <c r="S162" s="122"/>
      <c r="T162" s="122"/>
      <c r="U162" s="301"/>
      <c r="V162" s="260">
        <f t="shared" ca="1" si="10"/>
        <v>0</v>
      </c>
      <c r="W162" s="348" t="str">
        <f>IF(板块成分!B164="","",板块成分!B164)</f>
        <v>000596.SZ</v>
      </c>
      <c r="X162" s="276" t="str">
        <f>[1]!S_Info_Name(W162)</f>
        <v>古井贡酒</v>
      </c>
      <c r="Y162" s="276" t="str">
        <f ca="1">IF($Y$3="申万一级行业",[1]!s_info_industry_sw_2021(W162,公司分析!D$5,1),IF($Y$3="申万二级行业",[1]!s_info_industry_sw_2021(W162,公司分析!D$5,2),IF($Y$3="申万三级行业",[1]!s_info_industry_sw_2021(W162,公司分析!D$5,3),IF($Y$3="wind一级行业",[1]!s_info_industry_gics(W162,1),IF($Y$3="wind二级行业",[1]!s_info_industry_gics(W162,2),IF($Y$3="wind三级行业",[1]!s_info_industry_gics(W162,3),IF($Y$3="wind四级行业",[1]!s_info_industry_gics(W162,4),IF($Y$3="证监会门类行业",[1]!s_info_industry_csrc12_n(W162,公司分析!D$5,1),""))))))))</f>
        <v>白酒Ⅱ</v>
      </c>
      <c r="Z162" s="302" t="str">
        <f ca="1">IF(Y162=行业比较!$E$6,ROW(),"")</f>
        <v/>
      </c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</row>
    <row r="163" spans="2:42">
      <c r="B163" s="122"/>
      <c r="C163" s="122"/>
      <c r="D163" s="122"/>
      <c r="E163" s="122"/>
      <c r="F163" s="122"/>
      <c r="G163" s="122"/>
      <c r="H163" s="122"/>
      <c r="I163" s="275"/>
      <c r="J163" s="130"/>
      <c r="K163" s="130"/>
      <c r="L163" s="130"/>
      <c r="M163" s="130"/>
      <c r="N163" s="291"/>
      <c r="O163" s="291"/>
      <c r="P163" s="122"/>
      <c r="Q163" s="122"/>
      <c r="R163" s="122"/>
      <c r="S163" s="122"/>
      <c r="T163" s="122"/>
      <c r="U163" s="301"/>
      <c r="V163" s="260">
        <f t="shared" ca="1" si="10"/>
        <v>0</v>
      </c>
      <c r="W163" s="348" t="str">
        <f>IF(板块成分!B165="","",板块成分!B165)</f>
        <v>000597.SZ</v>
      </c>
      <c r="X163" s="276" t="str">
        <f>[1]!S_Info_Name(W163)</f>
        <v>东北制药</v>
      </c>
      <c r="Y163" s="276" t="str">
        <f ca="1">IF($Y$3="申万一级行业",[1]!s_info_industry_sw_2021(W163,公司分析!D$5,1),IF($Y$3="申万二级行业",[1]!s_info_industry_sw_2021(W163,公司分析!D$5,2),IF($Y$3="申万三级行业",[1]!s_info_industry_sw_2021(W163,公司分析!D$5,3),IF($Y$3="wind一级行业",[1]!s_info_industry_gics(W163,1),IF($Y$3="wind二级行业",[1]!s_info_industry_gics(W163,2),IF($Y$3="wind三级行业",[1]!s_info_industry_gics(W163,3),IF($Y$3="wind四级行业",[1]!s_info_industry_gics(W163,4),IF($Y$3="证监会门类行业",[1]!s_info_industry_csrc12_n(W163,公司分析!D$5,1),""))))))))</f>
        <v>化学制药</v>
      </c>
      <c r="Z163" s="302" t="str">
        <f ca="1">IF(Y163=行业比较!$E$6,ROW(),"")</f>
        <v/>
      </c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</row>
    <row r="164" spans="2:42">
      <c r="B164" s="122"/>
      <c r="C164" s="122"/>
      <c r="D164" s="122"/>
      <c r="E164" s="122"/>
      <c r="F164" s="122"/>
      <c r="G164" s="122"/>
      <c r="H164" s="122"/>
      <c r="I164" s="275"/>
      <c r="J164" s="130"/>
      <c r="K164" s="130"/>
      <c r="L164" s="130"/>
      <c r="M164" s="130"/>
      <c r="N164" s="291"/>
      <c r="O164" s="291"/>
      <c r="P164" s="122"/>
      <c r="Q164" s="122"/>
      <c r="R164" s="122"/>
      <c r="S164" s="122"/>
      <c r="T164" s="122"/>
      <c r="U164" s="301"/>
      <c r="V164" s="260">
        <f t="shared" ca="1" si="10"/>
        <v>0</v>
      </c>
      <c r="W164" s="348" t="str">
        <f>IF(板块成分!B166="","",板块成分!B166)</f>
        <v>000598.SZ</v>
      </c>
      <c r="X164" s="276" t="str">
        <f>[1]!S_Info_Name(W164)</f>
        <v>兴蓉环境</v>
      </c>
      <c r="Y164" s="276" t="str">
        <f ca="1">IF($Y$3="申万一级行业",[1]!s_info_industry_sw_2021(W164,公司分析!D$5,1),IF($Y$3="申万二级行业",[1]!s_info_industry_sw_2021(W164,公司分析!D$5,2),IF($Y$3="申万三级行业",[1]!s_info_industry_sw_2021(W164,公司分析!D$5,3),IF($Y$3="wind一级行业",[1]!s_info_industry_gics(W164,1),IF($Y$3="wind二级行业",[1]!s_info_industry_gics(W164,2),IF($Y$3="wind三级行业",[1]!s_info_industry_gics(W164,3),IF($Y$3="wind四级行业",[1]!s_info_industry_gics(W164,4),IF($Y$3="证监会门类行业",[1]!s_info_industry_csrc12_n(W164,公司分析!D$5,1),""))))))))</f>
        <v>环境治理</v>
      </c>
      <c r="Z164" s="302" t="str">
        <f ca="1">IF(Y164=行业比较!$E$6,ROW(),"")</f>
        <v/>
      </c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</row>
    <row r="165" spans="2:42">
      <c r="B165" s="122"/>
      <c r="C165" s="122"/>
      <c r="D165" s="122"/>
      <c r="E165" s="122"/>
      <c r="F165" s="122"/>
      <c r="G165" s="122"/>
      <c r="H165" s="122"/>
      <c r="I165" s="275"/>
      <c r="J165" s="130"/>
      <c r="K165" s="130"/>
      <c r="L165" s="130"/>
      <c r="M165" s="130"/>
      <c r="N165" s="291"/>
      <c r="O165" s="291"/>
      <c r="P165" s="122"/>
      <c r="Q165" s="122"/>
      <c r="R165" s="122"/>
      <c r="S165" s="122"/>
      <c r="T165" s="122"/>
      <c r="U165" s="301"/>
      <c r="V165" s="260">
        <f t="shared" ca="1" si="10"/>
        <v>0</v>
      </c>
      <c r="W165" s="348" t="str">
        <f>IF(板块成分!B167="","",板块成分!B167)</f>
        <v>000599.SZ</v>
      </c>
      <c r="X165" s="276" t="str">
        <f>[1]!S_Info_Name(W165)</f>
        <v>青岛双星</v>
      </c>
      <c r="Y165" s="276" t="str">
        <f ca="1">IF($Y$3="申万一级行业",[1]!s_info_industry_sw_2021(W165,公司分析!D$5,1),IF($Y$3="申万二级行业",[1]!s_info_industry_sw_2021(W165,公司分析!D$5,2),IF($Y$3="申万三级行业",[1]!s_info_industry_sw_2021(W165,公司分析!D$5,3),IF($Y$3="wind一级行业",[1]!s_info_industry_gics(W165,1),IF($Y$3="wind二级行业",[1]!s_info_industry_gics(W165,2),IF($Y$3="wind三级行业",[1]!s_info_industry_gics(W165,3),IF($Y$3="wind四级行业",[1]!s_info_industry_gics(W165,4),IF($Y$3="证监会门类行业",[1]!s_info_industry_csrc12_n(W165,公司分析!D$5,1),""))))))))</f>
        <v>汽车零部件</v>
      </c>
      <c r="Z165" s="302" t="str">
        <f ca="1">IF(Y165=行业比较!$E$6,ROW(),"")</f>
        <v/>
      </c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</row>
    <row r="166" spans="2:42">
      <c r="B166" s="122"/>
      <c r="C166" s="122"/>
      <c r="D166" s="122"/>
      <c r="E166" s="122"/>
      <c r="F166" s="122"/>
      <c r="G166" s="122"/>
      <c r="H166" s="122"/>
      <c r="I166" s="275"/>
      <c r="J166" s="130"/>
      <c r="K166" s="130"/>
      <c r="L166" s="130"/>
      <c r="M166" s="130"/>
      <c r="N166" s="291"/>
      <c r="O166" s="291"/>
      <c r="P166" s="122"/>
      <c r="Q166" s="122"/>
      <c r="R166" s="122"/>
      <c r="S166" s="122"/>
      <c r="T166" s="122"/>
      <c r="U166" s="301"/>
      <c r="V166" s="260">
        <f t="shared" ca="1" si="10"/>
        <v>0</v>
      </c>
      <c r="W166" s="348" t="str">
        <f>IF(板块成分!B168="","",板块成分!B168)</f>
        <v>000600.SZ</v>
      </c>
      <c r="X166" s="276" t="str">
        <f>[1]!S_Info_Name(W166)</f>
        <v>建投能源</v>
      </c>
      <c r="Y166" s="276" t="str">
        <f ca="1">IF($Y$3="申万一级行业",[1]!s_info_industry_sw_2021(W166,公司分析!D$5,1),IF($Y$3="申万二级行业",[1]!s_info_industry_sw_2021(W166,公司分析!D$5,2),IF($Y$3="申万三级行业",[1]!s_info_industry_sw_2021(W166,公司分析!D$5,3),IF($Y$3="wind一级行业",[1]!s_info_industry_gics(W166,1),IF($Y$3="wind二级行业",[1]!s_info_industry_gics(W166,2),IF($Y$3="wind三级行业",[1]!s_info_industry_gics(W166,3),IF($Y$3="wind四级行业",[1]!s_info_industry_gics(W166,4),IF($Y$3="证监会门类行业",[1]!s_info_industry_csrc12_n(W166,公司分析!D$5,1),""))))))))</f>
        <v>电力</v>
      </c>
      <c r="Z166" s="302" t="str">
        <f ca="1">IF(Y166=行业比较!$E$6,ROW(),"")</f>
        <v/>
      </c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</row>
    <row r="167" spans="2:42">
      <c r="B167" s="122"/>
      <c r="C167" s="122"/>
      <c r="D167" s="122"/>
      <c r="E167" s="122"/>
      <c r="F167" s="122"/>
      <c r="G167" s="122"/>
      <c r="H167" s="122"/>
      <c r="I167" s="275"/>
      <c r="J167" s="130"/>
      <c r="K167" s="130"/>
      <c r="L167" s="130"/>
      <c r="M167" s="130"/>
      <c r="N167" s="291"/>
      <c r="O167" s="291"/>
      <c r="P167" s="122"/>
      <c r="Q167" s="122"/>
      <c r="R167" s="122"/>
      <c r="S167" s="122"/>
      <c r="T167" s="122"/>
      <c r="U167" s="301"/>
      <c r="V167" s="260">
        <f t="shared" ca="1" si="10"/>
        <v>0</v>
      </c>
      <c r="W167" s="348" t="str">
        <f>IF(板块成分!B169="","",板块成分!B169)</f>
        <v>000601.SZ</v>
      </c>
      <c r="X167" s="276" t="str">
        <f>[1]!S_Info_Name(W167)</f>
        <v>韶能股份</v>
      </c>
      <c r="Y167" s="276" t="str">
        <f ca="1">IF($Y$3="申万一级行业",[1]!s_info_industry_sw_2021(W167,公司分析!D$5,1),IF($Y$3="申万二级行业",[1]!s_info_industry_sw_2021(W167,公司分析!D$5,2),IF($Y$3="申万三级行业",[1]!s_info_industry_sw_2021(W167,公司分析!D$5,3),IF($Y$3="wind一级行业",[1]!s_info_industry_gics(W167,1),IF($Y$3="wind二级行业",[1]!s_info_industry_gics(W167,2),IF($Y$3="wind三级行业",[1]!s_info_industry_gics(W167,3),IF($Y$3="wind四级行业",[1]!s_info_industry_gics(W167,4),IF($Y$3="证监会门类行业",[1]!s_info_industry_csrc12_n(W167,公司分析!D$5,1),""))))))))</f>
        <v>电力</v>
      </c>
      <c r="Z167" s="302" t="str">
        <f ca="1">IF(Y167=行业比较!$E$6,ROW(),"")</f>
        <v/>
      </c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</row>
    <row r="168" spans="2:42">
      <c r="B168" s="122"/>
      <c r="C168" s="122"/>
      <c r="D168" s="122"/>
      <c r="E168" s="122"/>
      <c r="F168" s="122"/>
      <c r="G168" s="122"/>
      <c r="H168" s="122"/>
      <c r="I168" s="275"/>
      <c r="J168" s="130"/>
      <c r="K168" s="130"/>
      <c r="L168" s="130"/>
      <c r="M168" s="130"/>
      <c r="N168" s="291"/>
      <c r="O168" s="291"/>
      <c r="P168" s="122"/>
      <c r="Q168" s="122"/>
      <c r="R168" s="122"/>
      <c r="S168" s="122"/>
      <c r="T168" s="122"/>
      <c r="U168" s="301"/>
      <c r="V168" s="260">
        <f t="shared" ca="1" si="10"/>
        <v>3</v>
      </c>
      <c r="W168" s="348" t="str">
        <f>IF(板块成分!B170="","",板块成分!B170)</f>
        <v>000603.SZ</v>
      </c>
      <c r="X168" s="276" t="str">
        <f>[1]!S_Info_Name(W168)</f>
        <v>盛达资源</v>
      </c>
      <c r="Y168" s="276" t="str">
        <f ca="1">IF($Y$3="申万一级行业",[1]!s_info_industry_sw_2021(W168,公司分析!D$5,1),IF($Y$3="申万二级行业",[1]!s_info_industry_sw_2021(W168,公司分析!D$5,2),IF($Y$3="申万三级行业",[1]!s_info_industry_sw_2021(W168,公司分析!D$5,3),IF($Y$3="wind一级行业",[1]!s_info_industry_gics(W168,1),IF($Y$3="wind二级行业",[1]!s_info_industry_gics(W168,2),IF($Y$3="wind三级行业",[1]!s_info_industry_gics(W168,3),IF($Y$3="wind四级行业",[1]!s_info_industry_gics(W168,4),IF($Y$3="证监会门类行业",[1]!s_info_industry_csrc12_n(W168,公司分析!D$5,1),""))))))))</f>
        <v>工业金属</v>
      </c>
      <c r="Z168" s="302">
        <f ca="1">IF(Y168=行业比较!$E$6,ROW(),"")</f>
        <v>168</v>
      </c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</row>
    <row r="169" spans="2:42">
      <c r="B169" s="122"/>
      <c r="C169" s="122"/>
      <c r="D169" s="122"/>
      <c r="E169" s="122"/>
      <c r="F169" s="122"/>
      <c r="G169" s="122"/>
      <c r="H169" s="122"/>
      <c r="I169" s="275"/>
      <c r="J169" s="130"/>
      <c r="K169" s="130"/>
      <c r="L169" s="130"/>
      <c r="M169" s="130"/>
      <c r="N169" s="291"/>
      <c r="O169" s="291"/>
      <c r="P169" s="122"/>
      <c r="Q169" s="122"/>
      <c r="R169" s="122"/>
      <c r="S169" s="122"/>
      <c r="T169" s="122"/>
      <c r="U169" s="301"/>
      <c r="V169" s="260">
        <f t="shared" ca="1" si="10"/>
        <v>0</v>
      </c>
      <c r="W169" s="348" t="str">
        <f>IF(板块成分!B171="","",板块成分!B171)</f>
        <v>000605.SZ</v>
      </c>
      <c r="X169" s="276" t="str">
        <f>[1]!S_Info_Name(W169)</f>
        <v>渤海股份</v>
      </c>
      <c r="Y169" s="276" t="str">
        <f ca="1">IF($Y$3="申万一级行业",[1]!s_info_industry_sw_2021(W169,公司分析!D$5,1),IF($Y$3="申万二级行业",[1]!s_info_industry_sw_2021(W169,公司分析!D$5,2),IF($Y$3="申万三级行业",[1]!s_info_industry_sw_2021(W169,公司分析!D$5,3),IF($Y$3="wind一级行业",[1]!s_info_industry_gics(W169,1),IF($Y$3="wind二级行业",[1]!s_info_industry_gics(W169,2),IF($Y$3="wind三级行业",[1]!s_info_industry_gics(W169,3),IF($Y$3="wind四级行业",[1]!s_info_industry_gics(W169,4),IF($Y$3="证监会门类行业",[1]!s_info_industry_csrc12_n(W169,公司分析!D$5,1),""))))))))</f>
        <v>环境治理</v>
      </c>
      <c r="Z169" s="302" t="str">
        <f ca="1">IF(Y169=行业比较!$E$6,ROW(),"")</f>
        <v/>
      </c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</row>
    <row r="170" spans="2:42">
      <c r="B170" s="122"/>
      <c r="C170" s="122"/>
      <c r="D170" s="122"/>
      <c r="E170" s="122"/>
      <c r="F170" s="122"/>
      <c r="G170" s="122"/>
      <c r="H170" s="122"/>
      <c r="I170" s="275"/>
      <c r="J170" s="130"/>
      <c r="K170" s="130"/>
      <c r="L170" s="130"/>
      <c r="M170" s="130"/>
      <c r="N170" s="291"/>
      <c r="O170" s="291"/>
      <c r="P170" s="122"/>
      <c r="Q170" s="122"/>
      <c r="R170" s="122"/>
      <c r="S170" s="122"/>
      <c r="T170" s="122"/>
      <c r="U170" s="301"/>
      <c r="V170" s="260">
        <f t="shared" ca="1" si="10"/>
        <v>0</v>
      </c>
      <c r="W170" s="348" t="str">
        <f>IF(板块成分!B172="","",板块成分!B172)</f>
        <v>000607.SZ</v>
      </c>
      <c r="X170" s="276" t="str">
        <f>[1]!S_Info_Name(W170)</f>
        <v>华媒控股</v>
      </c>
      <c r="Y170" s="276" t="str">
        <f ca="1">IF($Y$3="申万一级行业",[1]!s_info_industry_sw_2021(W170,公司分析!D$5,1),IF($Y$3="申万二级行业",[1]!s_info_industry_sw_2021(W170,公司分析!D$5,2),IF($Y$3="申万三级行业",[1]!s_info_industry_sw_2021(W170,公司分析!D$5,3),IF($Y$3="wind一级行业",[1]!s_info_industry_gics(W170,1),IF($Y$3="wind二级行业",[1]!s_info_industry_gics(W170,2),IF($Y$3="wind三级行业",[1]!s_info_industry_gics(W170,3),IF($Y$3="wind四级行业",[1]!s_info_industry_gics(W170,4),IF($Y$3="证监会门类行业",[1]!s_info_industry_csrc12_n(W170,公司分析!D$5,1),""))))))))</f>
        <v>广告营销</v>
      </c>
      <c r="Z170" s="302" t="str">
        <f ca="1">IF(Y170=行业比较!$E$6,ROW(),"")</f>
        <v/>
      </c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</row>
    <row r="171" spans="2:42">
      <c r="B171" s="122"/>
      <c r="C171" s="122"/>
      <c r="D171" s="122"/>
      <c r="E171" s="122"/>
      <c r="F171" s="122"/>
      <c r="G171" s="122"/>
      <c r="H171" s="122"/>
      <c r="I171" s="275"/>
      <c r="J171" s="130"/>
      <c r="K171" s="130"/>
      <c r="L171" s="130"/>
      <c r="M171" s="130"/>
      <c r="N171" s="291"/>
      <c r="O171" s="291"/>
      <c r="P171" s="122"/>
      <c r="Q171" s="122"/>
      <c r="R171" s="122"/>
      <c r="S171" s="122"/>
      <c r="T171" s="122"/>
      <c r="U171" s="301"/>
      <c r="V171" s="260">
        <f t="shared" ca="1" si="10"/>
        <v>0</v>
      </c>
      <c r="W171" s="348" t="str">
        <f>IF(板块成分!B173="","",板块成分!B173)</f>
        <v>000608.SZ</v>
      </c>
      <c r="X171" s="276" t="str">
        <f>[1]!S_Info_Name(W171)</f>
        <v>*ST阳光</v>
      </c>
      <c r="Y171" s="276" t="str">
        <f ca="1">IF($Y$3="申万一级行业",[1]!s_info_industry_sw_2021(W171,公司分析!D$5,1),IF($Y$3="申万二级行业",[1]!s_info_industry_sw_2021(W171,公司分析!D$5,2),IF($Y$3="申万三级行业",[1]!s_info_industry_sw_2021(W171,公司分析!D$5,3),IF($Y$3="wind一级行业",[1]!s_info_industry_gics(W171,1),IF($Y$3="wind二级行业",[1]!s_info_industry_gics(W171,2),IF($Y$3="wind三级行业",[1]!s_info_industry_gics(W171,3),IF($Y$3="wind四级行业",[1]!s_info_industry_gics(W171,4),IF($Y$3="证监会门类行业",[1]!s_info_industry_csrc12_n(W171,公司分析!D$5,1),""))))))))</f>
        <v>房地产开发</v>
      </c>
      <c r="Z171" s="302" t="str">
        <f ca="1">IF(Y171=行业比较!$E$6,ROW(),"")</f>
        <v/>
      </c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</row>
    <row r="172" spans="2:42">
      <c r="B172" s="122"/>
      <c r="C172" s="122"/>
      <c r="D172" s="122"/>
      <c r="E172" s="122"/>
      <c r="F172" s="122"/>
      <c r="G172" s="122"/>
      <c r="H172" s="122"/>
      <c r="I172" s="275"/>
      <c r="J172" s="130"/>
      <c r="K172" s="130"/>
      <c r="L172" s="130"/>
      <c r="M172" s="130"/>
      <c r="N172" s="291"/>
      <c r="O172" s="291"/>
      <c r="P172" s="122"/>
      <c r="Q172" s="122"/>
      <c r="R172" s="122"/>
      <c r="S172" s="122"/>
      <c r="T172" s="122"/>
      <c r="U172" s="301"/>
      <c r="V172" s="260">
        <f t="shared" ca="1" si="10"/>
        <v>0</v>
      </c>
      <c r="W172" s="348" t="str">
        <f>IF(板块成分!B174="","",板块成分!B174)</f>
        <v>000609.SZ</v>
      </c>
      <c r="X172" s="276" t="str">
        <f>[1]!S_Info_Name(W172)</f>
        <v>ST中迪</v>
      </c>
      <c r="Y172" s="276" t="str">
        <f ca="1">IF($Y$3="申万一级行业",[1]!s_info_industry_sw_2021(W172,公司分析!D$5,1),IF($Y$3="申万二级行业",[1]!s_info_industry_sw_2021(W172,公司分析!D$5,2),IF($Y$3="申万三级行业",[1]!s_info_industry_sw_2021(W172,公司分析!D$5,3),IF($Y$3="wind一级行业",[1]!s_info_industry_gics(W172,1),IF($Y$3="wind二级行业",[1]!s_info_industry_gics(W172,2),IF($Y$3="wind三级行业",[1]!s_info_industry_gics(W172,3),IF($Y$3="wind四级行业",[1]!s_info_industry_gics(W172,4),IF($Y$3="证监会门类行业",[1]!s_info_industry_csrc12_n(W172,公司分析!D$5,1),""))))))))</f>
        <v>房地产开发</v>
      </c>
      <c r="Z172" s="302" t="str">
        <f ca="1">IF(Y172=行业比较!$E$6,ROW(),"")</f>
        <v/>
      </c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</row>
    <row r="173" spans="2:42">
      <c r="B173" s="122"/>
      <c r="C173" s="122"/>
      <c r="D173" s="122"/>
      <c r="E173" s="122"/>
      <c r="F173" s="122"/>
      <c r="G173" s="122"/>
      <c r="H173" s="122"/>
      <c r="I173" s="275"/>
      <c r="J173" s="130"/>
      <c r="K173" s="130"/>
      <c r="L173" s="130"/>
      <c r="M173" s="130"/>
      <c r="N173" s="291"/>
      <c r="O173" s="291"/>
      <c r="P173" s="122"/>
      <c r="Q173" s="122"/>
      <c r="R173" s="122"/>
      <c r="S173" s="122"/>
      <c r="T173" s="122"/>
      <c r="U173" s="301"/>
      <c r="V173" s="260">
        <f t="shared" ca="1" si="10"/>
        <v>0</v>
      </c>
      <c r="W173" s="348" t="str">
        <f>IF(板块成分!B175="","",板块成分!B175)</f>
        <v>000610.SZ</v>
      </c>
      <c r="X173" s="276" t="str">
        <f>[1]!S_Info_Name(W173)</f>
        <v>西安旅游</v>
      </c>
      <c r="Y173" s="276" t="str">
        <f ca="1">IF($Y$3="申万一级行业",[1]!s_info_industry_sw_2021(W173,公司分析!D$5,1),IF($Y$3="申万二级行业",[1]!s_info_industry_sw_2021(W173,公司分析!D$5,2),IF($Y$3="申万三级行业",[1]!s_info_industry_sw_2021(W173,公司分析!D$5,3),IF($Y$3="wind一级行业",[1]!s_info_industry_gics(W173,1),IF($Y$3="wind二级行业",[1]!s_info_industry_gics(W173,2),IF($Y$3="wind三级行业",[1]!s_info_industry_gics(W173,3),IF($Y$3="wind四级行业",[1]!s_info_industry_gics(W173,4),IF($Y$3="证监会门类行业",[1]!s_info_industry_csrc12_n(W173,公司分析!D$5,1),""))))))))</f>
        <v>旅游及景区</v>
      </c>
      <c r="Z173" s="302" t="str">
        <f ca="1">IF(Y173=行业比较!$E$6,ROW(),"")</f>
        <v/>
      </c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</row>
    <row r="174" spans="2:42">
      <c r="B174" s="122"/>
      <c r="C174" s="122"/>
      <c r="D174" s="122"/>
      <c r="E174" s="122"/>
      <c r="F174" s="122"/>
      <c r="G174" s="122"/>
      <c r="H174" s="122"/>
      <c r="I174" s="275"/>
      <c r="J174" s="130"/>
      <c r="K174" s="130"/>
      <c r="L174" s="130"/>
      <c r="M174" s="130"/>
      <c r="N174" s="291"/>
      <c r="O174" s="291"/>
      <c r="P174" s="122"/>
      <c r="Q174" s="122"/>
      <c r="R174" s="122"/>
      <c r="S174" s="122"/>
      <c r="T174" s="122"/>
      <c r="U174" s="301"/>
      <c r="V174" s="260">
        <f t="shared" ca="1" si="10"/>
        <v>4</v>
      </c>
      <c r="W174" s="348" t="str">
        <f>IF(板块成分!B176="","",板块成分!B176)</f>
        <v>000612.SZ</v>
      </c>
      <c r="X174" s="276" t="str">
        <f>[1]!S_Info_Name(W174)</f>
        <v>焦作万方</v>
      </c>
      <c r="Y174" s="276" t="str">
        <f ca="1">IF($Y$3="申万一级行业",[1]!s_info_industry_sw_2021(W174,公司分析!D$5,1),IF($Y$3="申万二级行业",[1]!s_info_industry_sw_2021(W174,公司分析!D$5,2),IF($Y$3="申万三级行业",[1]!s_info_industry_sw_2021(W174,公司分析!D$5,3),IF($Y$3="wind一级行业",[1]!s_info_industry_gics(W174,1),IF($Y$3="wind二级行业",[1]!s_info_industry_gics(W174,2),IF($Y$3="wind三级行业",[1]!s_info_industry_gics(W174,3),IF($Y$3="wind四级行业",[1]!s_info_industry_gics(W174,4),IF($Y$3="证监会门类行业",[1]!s_info_industry_csrc12_n(W174,公司分析!D$5,1),""))))))))</f>
        <v>工业金属</v>
      </c>
      <c r="Z174" s="302">
        <f ca="1">IF(Y174=行业比较!$E$6,ROW(),"")</f>
        <v>174</v>
      </c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</row>
    <row r="175" spans="2:42">
      <c r="B175" s="122"/>
      <c r="C175" s="122"/>
      <c r="D175" s="122"/>
      <c r="E175" s="122"/>
      <c r="F175" s="122"/>
      <c r="G175" s="122"/>
      <c r="H175" s="122"/>
      <c r="I175" s="275"/>
      <c r="J175" s="130"/>
      <c r="K175" s="130"/>
      <c r="L175" s="130"/>
      <c r="M175" s="130"/>
      <c r="N175" s="291"/>
      <c r="O175" s="291"/>
      <c r="P175" s="122"/>
      <c r="Q175" s="122"/>
      <c r="R175" s="122"/>
      <c r="S175" s="122"/>
      <c r="T175" s="122"/>
      <c r="U175" s="301"/>
      <c r="V175" s="260">
        <f t="shared" ca="1" si="10"/>
        <v>0</v>
      </c>
      <c r="W175" s="348" t="str">
        <f>IF(板块成分!B177="","",板块成分!B177)</f>
        <v>000615.SZ</v>
      </c>
      <c r="X175" s="276" t="str">
        <f>[1]!S_Info_Name(W175)</f>
        <v>*ST美谷</v>
      </c>
      <c r="Y175" s="276" t="str">
        <f ca="1">IF($Y$3="申万一级行业",[1]!s_info_industry_sw_2021(W175,公司分析!D$5,1),IF($Y$3="申万二级行业",[1]!s_info_industry_sw_2021(W175,公司分析!D$5,2),IF($Y$3="申万三级行业",[1]!s_info_industry_sw_2021(W175,公司分析!D$5,3),IF($Y$3="wind一级行业",[1]!s_info_industry_gics(W175,1),IF($Y$3="wind二级行业",[1]!s_info_industry_gics(W175,2),IF($Y$3="wind三级行业",[1]!s_info_industry_gics(W175,3),IF($Y$3="wind四级行业",[1]!s_info_industry_gics(W175,4),IF($Y$3="证监会门类行业",[1]!s_info_industry_csrc12_n(W175,公司分析!D$5,1),""))))))))</f>
        <v>医疗美容</v>
      </c>
      <c r="Z175" s="302" t="str">
        <f ca="1">IF(Y175=行业比较!$E$6,ROW(),"")</f>
        <v/>
      </c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</row>
    <row r="176" spans="2:42">
      <c r="B176" s="122"/>
      <c r="C176" s="122"/>
      <c r="D176" s="122"/>
      <c r="E176" s="122"/>
      <c r="F176" s="122"/>
      <c r="G176" s="122"/>
      <c r="H176" s="122"/>
      <c r="I176" s="275"/>
      <c r="J176" s="130"/>
      <c r="K176" s="130"/>
      <c r="L176" s="130"/>
      <c r="M176" s="130"/>
      <c r="N176" s="291"/>
      <c r="O176" s="291"/>
      <c r="P176" s="122"/>
      <c r="Q176" s="122"/>
      <c r="R176" s="122"/>
      <c r="S176" s="122"/>
      <c r="T176" s="122"/>
      <c r="U176" s="301"/>
      <c r="V176" s="260">
        <f t="shared" ca="1" si="10"/>
        <v>0</v>
      </c>
      <c r="W176" s="348" t="str">
        <f>IF(板块成分!B178="","",板块成分!B178)</f>
        <v>000617.SZ</v>
      </c>
      <c r="X176" s="276" t="str">
        <f>[1]!S_Info_Name(W176)</f>
        <v>中油资本</v>
      </c>
      <c r="Y176" s="276" t="str">
        <f ca="1">IF($Y$3="申万一级行业",[1]!s_info_industry_sw_2021(W176,公司分析!D$5,1),IF($Y$3="申万二级行业",[1]!s_info_industry_sw_2021(W176,公司分析!D$5,2),IF($Y$3="申万三级行业",[1]!s_info_industry_sw_2021(W176,公司分析!D$5,3),IF($Y$3="wind一级行业",[1]!s_info_industry_gics(W176,1),IF($Y$3="wind二级行业",[1]!s_info_industry_gics(W176,2),IF($Y$3="wind三级行业",[1]!s_info_industry_gics(W176,3),IF($Y$3="wind四级行业",[1]!s_info_industry_gics(W176,4),IF($Y$3="证监会门类行业",[1]!s_info_industry_csrc12_n(W176,公司分析!D$5,1),""))))))))</f>
        <v>多元金融</v>
      </c>
      <c r="Z176" s="302" t="str">
        <f ca="1">IF(Y176=行业比较!$E$6,ROW(),"")</f>
        <v/>
      </c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</row>
    <row r="177" spans="2:42">
      <c r="B177" s="122"/>
      <c r="C177" s="122"/>
      <c r="D177" s="122"/>
      <c r="E177" s="122"/>
      <c r="F177" s="122"/>
      <c r="G177" s="122"/>
      <c r="H177" s="122"/>
      <c r="I177" s="275"/>
      <c r="J177" s="130"/>
      <c r="K177" s="130"/>
      <c r="L177" s="130"/>
      <c r="M177" s="130"/>
      <c r="N177" s="291"/>
      <c r="O177" s="291"/>
      <c r="P177" s="122"/>
      <c r="Q177" s="122"/>
      <c r="R177" s="122"/>
      <c r="S177" s="122"/>
      <c r="T177" s="122"/>
      <c r="U177" s="301"/>
      <c r="V177" s="260">
        <f t="shared" ca="1" si="10"/>
        <v>0</v>
      </c>
      <c r="W177" s="348" t="str">
        <f>IF(板块成分!B179="","",板块成分!B179)</f>
        <v>000619.SZ</v>
      </c>
      <c r="X177" s="276" t="str">
        <f>[1]!S_Info_Name(W177)</f>
        <v>海螺新材</v>
      </c>
      <c r="Y177" s="276" t="str">
        <f ca="1">IF($Y$3="申万一级行业",[1]!s_info_industry_sw_2021(W177,公司分析!D$5,1),IF($Y$3="申万二级行业",[1]!s_info_industry_sw_2021(W177,公司分析!D$5,2),IF($Y$3="申万三级行业",[1]!s_info_industry_sw_2021(W177,公司分析!D$5,3),IF($Y$3="wind一级行业",[1]!s_info_industry_gics(W177,1),IF($Y$3="wind二级行业",[1]!s_info_industry_gics(W177,2),IF($Y$3="wind三级行业",[1]!s_info_industry_gics(W177,3),IF($Y$3="wind四级行业",[1]!s_info_industry_gics(W177,4),IF($Y$3="证监会门类行业",[1]!s_info_industry_csrc12_n(W177,公司分析!D$5,1),""))))))))</f>
        <v>装修建材</v>
      </c>
      <c r="Z177" s="302" t="str">
        <f ca="1">IF(Y177=行业比较!$E$6,ROW(),"")</f>
        <v/>
      </c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</row>
    <row r="178" spans="2:42">
      <c r="B178" s="122"/>
      <c r="C178" s="122"/>
      <c r="D178" s="122"/>
      <c r="E178" s="122"/>
      <c r="F178" s="122"/>
      <c r="G178" s="122"/>
      <c r="H178" s="122"/>
      <c r="I178" s="275"/>
      <c r="J178" s="130"/>
      <c r="K178" s="130"/>
      <c r="L178" s="130"/>
      <c r="M178" s="130"/>
      <c r="N178" s="291"/>
      <c r="O178" s="291"/>
      <c r="P178" s="122"/>
      <c r="Q178" s="122"/>
      <c r="R178" s="122"/>
      <c r="S178" s="122"/>
      <c r="T178" s="122"/>
      <c r="U178" s="301"/>
      <c r="V178" s="260">
        <f t="shared" ca="1" si="10"/>
        <v>0</v>
      </c>
      <c r="W178" s="348" t="str">
        <f>IF(板块成分!B180="","",板块成分!B180)</f>
        <v>000620.SZ</v>
      </c>
      <c r="X178" s="276" t="str">
        <f>[1]!S_Info_Name(W178)</f>
        <v>盈新发展</v>
      </c>
      <c r="Y178" s="276" t="str">
        <f ca="1">IF($Y$3="申万一级行业",[1]!s_info_industry_sw_2021(W178,公司分析!D$5,1),IF($Y$3="申万二级行业",[1]!s_info_industry_sw_2021(W178,公司分析!D$5,2),IF($Y$3="申万三级行业",[1]!s_info_industry_sw_2021(W178,公司分析!D$5,3),IF($Y$3="wind一级行业",[1]!s_info_industry_gics(W178,1),IF($Y$3="wind二级行业",[1]!s_info_industry_gics(W178,2),IF($Y$3="wind三级行业",[1]!s_info_industry_gics(W178,3),IF($Y$3="wind四级行业",[1]!s_info_industry_gics(W178,4),IF($Y$3="证监会门类行业",[1]!s_info_industry_csrc12_n(W178,公司分析!D$5,1),""))))))))</f>
        <v>房地产开发</v>
      </c>
      <c r="Z178" s="302" t="str">
        <f ca="1">IF(Y178=行业比较!$E$6,ROW(),"")</f>
        <v/>
      </c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</row>
    <row r="179" spans="2:42">
      <c r="B179" s="122"/>
      <c r="C179" s="122"/>
      <c r="D179" s="122"/>
      <c r="E179" s="122"/>
      <c r="F179" s="122"/>
      <c r="G179" s="122"/>
      <c r="H179" s="122"/>
      <c r="I179" s="275"/>
      <c r="J179" s="130"/>
      <c r="K179" s="130"/>
      <c r="L179" s="130"/>
      <c r="M179" s="130"/>
      <c r="N179" s="291"/>
      <c r="O179" s="291"/>
      <c r="P179" s="122"/>
      <c r="Q179" s="122"/>
      <c r="R179" s="122"/>
      <c r="S179" s="122"/>
      <c r="T179" s="122"/>
      <c r="U179" s="301"/>
      <c r="V179" s="260">
        <f t="shared" ca="1" si="10"/>
        <v>0</v>
      </c>
      <c r="W179" s="348" t="str">
        <f>IF(板块成分!B181="","",板块成分!B181)</f>
        <v>000623.SZ</v>
      </c>
      <c r="X179" s="276" t="str">
        <f>[1]!S_Info_Name(W179)</f>
        <v>吉林敖东</v>
      </c>
      <c r="Y179" s="276" t="str">
        <f ca="1">IF($Y$3="申万一级行业",[1]!s_info_industry_sw_2021(W179,公司分析!D$5,1),IF($Y$3="申万二级行业",[1]!s_info_industry_sw_2021(W179,公司分析!D$5,2),IF($Y$3="申万三级行业",[1]!s_info_industry_sw_2021(W179,公司分析!D$5,3),IF($Y$3="wind一级行业",[1]!s_info_industry_gics(W179,1),IF($Y$3="wind二级行业",[1]!s_info_industry_gics(W179,2),IF($Y$3="wind三级行业",[1]!s_info_industry_gics(W179,3),IF($Y$3="wind四级行业",[1]!s_info_industry_gics(W179,4),IF($Y$3="证监会门类行业",[1]!s_info_industry_csrc12_n(W179,公司分析!D$5,1),""))))))))</f>
        <v>中药Ⅱ</v>
      </c>
      <c r="Z179" s="302" t="str">
        <f ca="1">IF(Y179=行业比较!$E$6,ROW(),"")</f>
        <v/>
      </c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</row>
    <row r="180" spans="2:42">
      <c r="B180" s="122"/>
      <c r="C180" s="122"/>
      <c r="D180" s="122"/>
      <c r="E180" s="122"/>
      <c r="F180" s="122"/>
      <c r="G180" s="122"/>
      <c r="H180" s="122"/>
      <c r="I180" s="275"/>
      <c r="J180" s="130"/>
      <c r="K180" s="130"/>
      <c r="L180" s="130"/>
      <c r="M180" s="130"/>
      <c r="N180" s="291"/>
      <c r="O180" s="291"/>
      <c r="P180" s="122"/>
      <c r="Q180" s="122"/>
      <c r="R180" s="122"/>
      <c r="S180" s="122"/>
      <c r="T180" s="122"/>
      <c r="U180" s="301"/>
      <c r="V180" s="260">
        <f t="shared" ca="1" si="10"/>
        <v>0</v>
      </c>
      <c r="W180" s="348" t="str">
        <f>IF(板块成分!B182="","",板块成分!B182)</f>
        <v>000625.SZ</v>
      </c>
      <c r="X180" s="276" t="str">
        <f>[1]!S_Info_Name(W180)</f>
        <v>长安汽车</v>
      </c>
      <c r="Y180" s="276" t="str">
        <f ca="1">IF($Y$3="申万一级行业",[1]!s_info_industry_sw_2021(W180,公司分析!D$5,1),IF($Y$3="申万二级行业",[1]!s_info_industry_sw_2021(W180,公司分析!D$5,2),IF($Y$3="申万三级行业",[1]!s_info_industry_sw_2021(W180,公司分析!D$5,3),IF($Y$3="wind一级行业",[1]!s_info_industry_gics(W180,1),IF($Y$3="wind二级行业",[1]!s_info_industry_gics(W180,2),IF($Y$3="wind三级行业",[1]!s_info_industry_gics(W180,3),IF($Y$3="wind四级行业",[1]!s_info_industry_gics(W180,4),IF($Y$3="证监会门类行业",[1]!s_info_industry_csrc12_n(W180,公司分析!D$5,1),""))))))))</f>
        <v>乘用车</v>
      </c>
      <c r="Z180" s="302" t="str">
        <f ca="1">IF(Y180=行业比较!$E$6,ROW(),"")</f>
        <v/>
      </c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</row>
    <row r="181" spans="2:42">
      <c r="B181" s="122"/>
      <c r="C181" s="122"/>
      <c r="D181" s="122"/>
      <c r="E181" s="122"/>
      <c r="F181" s="122"/>
      <c r="G181" s="122"/>
      <c r="H181" s="122"/>
      <c r="I181" s="275"/>
      <c r="J181" s="130"/>
      <c r="K181" s="130"/>
      <c r="L181" s="130"/>
      <c r="M181" s="130"/>
      <c r="N181" s="291"/>
      <c r="O181" s="291"/>
      <c r="P181" s="122"/>
      <c r="Q181" s="122"/>
      <c r="R181" s="122"/>
      <c r="S181" s="122"/>
      <c r="T181" s="122"/>
      <c r="U181" s="301"/>
      <c r="V181" s="260">
        <f t="shared" ca="1" si="10"/>
        <v>0</v>
      </c>
      <c r="W181" s="348" t="str">
        <f>IF(板块成分!B183="","",板块成分!B183)</f>
        <v>000626.SZ</v>
      </c>
      <c r="X181" s="276" t="str">
        <f>[1]!S_Info_Name(W181)</f>
        <v>远大控股</v>
      </c>
      <c r="Y181" s="276" t="str">
        <f ca="1">IF($Y$3="申万一级行业",[1]!s_info_industry_sw_2021(W181,公司分析!D$5,1),IF($Y$3="申万二级行业",[1]!s_info_industry_sw_2021(W181,公司分析!D$5,2),IF($Y$3="申万三级行业",[1]!s_info_industry_sw_2021(W181,公司分析!D$5,3),IF($Y$3="wind一级行业",[1]!s_info_industry_gics(W181,1),IF($Y$3="wind二级行业",[1]!s_info_industry_gics(W181,2),IF($Y$3="wind三级行业",[1]!s_info_industry_gics(W181,3),IF($Y$3="wind四级行业",[1]!s_info_industry_gics(W181,4),IF($Y$3="证监会门类行业",[1]!s_info_industry_csrc12_n(W181,公司分析!D$5,1),""))))))))</f>
        <v>物流</v>
      </c>
      <c r="Z181" s="302" t="str">
        <f ca="1">IF(Y181=行业比较!$E$6,ROW(),"")</f>
        <v/>
      </c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</row>
    <row r="182" spans="2:42">
      <c r="B182" s="122"/>
      <c r="C182" s="122"/>
      <c r="D182" s="122"/>
      <c r="E182" s="122"/>
      <c r="F182" s="122"/>
      <c r="G182" s="122"/>
      <c r="H182" s="122"/>
      <c r="I182" s="275"/>
      <c r="J182" s="130"/>
      <c r="K182" s="130"/>
      <c r="L182" s="130"/>
      <c r="M182" s="130"/>
      <c r="N182" s="291"/>
      <c r="O182" s="291"/>
      <c r="P182" s="122"/>
      <c r="Q182" s="122"/>
      <c r="R182" s="122"/>
      <c r="S182" s="122"/>
      <c r="T182" s="122"/>
      <c r="U182" s="301"/>
      <c r="V182" s="260">
        <f t="shared" ca="1" si="10"/>
        <v>0</v>
      </c>
      <c r="W182" s="348" t="str">
        <f>IF(板块成分!B184="","",板块成分!B184)</f>
        <v>000628.SZ</v>
      </c>
      <c r="X182" s="276" t="str">
        <f>[1]!S_Info_Name(W182)</f>
        <v>高新发展</v>
      </c>
      <c r="Y182" s="276" t="str">
        <f ca="1">IF($Y$3="申万一级行业",[1]!s_info_industry_sw_2021(W182,公司分析!D$5,1),IF($Y$3="申万二级行业",[1]!s_info_industry_sw_2021(W182,公司分析!D$5,2),IF($Y$3="申万三级行业",[1]!s_info_industry_sw_2021(W182,公司分析!D$5,3),IF($Y$3="wind一级行业",[1]!s_info_industry_gics(W182,1),IF($Y$3="wind二级行业",[1]!s_info_industry_gics(W182,2),IF($Y$3="wind三级行业",[1]!s_info_industry_gics(W182,3),IF($Y$3="wind四级行业",[1]!s_info_industry_gics(W182,4),IF($Y$3="证监会门类行业",[1]!s_info_industry_csrc12_n(W182,公司分析!D$5,1),""))))))))</f>
        <v>房屋建设Ⅱ</v>
      </c>
      <c r="Z182" s="302" t="str">
        <f ca="1">IF(Y182=行业比较!$E$6,ROW(),"")</f>
        <v/>
      </c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</row>
    <row r="183" spans="2:42">
      <c r="B183" s="122"/>
      <c r="C183" s="122"/>
      <c r="D183" s="122"/>
      <c r="E183" s="122"/>
      <c r="F183" s="122"/>
      <c r="G183" s="122"/>
      <c r="H183" s="122"/>
      <c r="I183" s="275"/>
      <c r="J183" s="130"/>
      <c r="K183" s="130"/>
      <c r="L183" s="130"/>
      <c r="M183" s="130"/>
      <c r="N183" s="291"/>
      <c r="O183" s="291"/>
      <c r="P183" s="122"/>
      <c r="Q183" s="122"/>
      <c r="R183" s="122"/>
      <c r="S183" s="122"/>
      <c r="T183" s="122"/>
      <c r="U183" s="301"/>
      <c r="V183" s="260">
        <f t="shared" ca="1" si="10"/>
        <v>0</v>
      </c>
      <c r="W183" s="348" t="str">
        <f>IF(板块成分!B185="","",板块成分!B185)</f>
        <v>000629.SZ</v>
      </c>
      <c r="X183" s="276" t="str">
        <f>[1]!S_Info_Name(W183)</f>
        <v>钒钛股份</v>
      </c>
      <c r="Y183" s="276" t="str">
        <f ca="1">IF($Y$3="申万一级行业",[1]!s_info_industry_sw_2021(W183,公司分析!D$5,1),IF($Y$3="申万二级行业",[1]!s_info_industry_sw_2021(W183,公司分析!D$5,2),IF($Y$3="申万三级行业",[1]!s_info_industry_sw_2021(W183,公司分析!D$5,3),IF($Y$3="wind一级行业",[1]!s_info_industry_gics(W183,1),IF($Y$3="wind二级行业",[1]!s_info_industry_gics(W183,2),IF($Y$3="wind三级行业",[1]!s_info_industry_gics(W183,3),IF($Y$3="wind四级行业",[1]!s_info_industry_gics(W183,4),IF($Y$3="证监会门类行业",[1]!s_info_industry_csrc12_n(W183,公司分析!D$5,1),""))))))))</f>
        <v>冶钢原料</v>
      </c>
      <c r="Z183" s="302" t="str">
        <f ca="1">IF(Y183=行业比较!$E$6,ROW(),"")</f>
        <v/>
      </c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</row>
    <row r="184" spans="2:42">
      <c r="B184" s="122"/>
      <c r="C184" s="122"/>
      <c r="D184" s="122"/>
      <c r="E184" s="122"/>
      <c r="F184" s="122"/>
      <c r="G184" s="122"/>
      <c r="H184" s="122"/>
      <c r="I184" s="275"/>
      <c r="J184" s="130"/>
      <c r="K184" s="130"/>
      <c r="L184" s="130"/>
      <c r="M184" s="130"/>
      <c r="N184" s="291"/>
      <c r="O184" s="291"/>
      <c r="P184" s="122"/>
      <c r="Q184" s="122"/>
      <c r="R184" s="122"/>
      <c r="S184" s="122"/>
      <c r="T184" s="122"/>
      <c r="U184" s="301"/>
      <c r="V184" s="260">
        <f t="shared" ca="1" si="10"/>
        <v>5</v>
      </c>
      <c r="W184" s="348" t="str">
        <f>IF(板块成分!B186="","",板块成分!B186)</f>
        <v>000630.SZ</v>
      </c>
      <c r="X184" s="276" t="str">
        <f>[1]!S_Info_Name(W184)</f>
        <v>铜陵有色</v>
      </c>
      <c r="Y184" s="276" t="str">
        <f ca="1">IF($Y$3="申万一级行业",[1]!s_info_industry_sw_2021(W184,公司分析!D$5,1),IF($Y$3="申万二级行业",[1]!s_info_industry_sw_2021(W184,公司分析!D$5,2),IF($Y$3="申万三级行业",[1]!s_info_industry_sw_2021(W184,公司分析!D$5,3),IF($Y$3="wind一级行业",[1]!s_info_industry_gics(W184,1),IF($Y$3="wind二级行业",[1]!s_info_industry_gics(W184,2),IF($Y$3="wind三级行业",[1]!s_info_industry_gics(W184,3),IF($Y$3="wind四级行业",[1]!s_info_industry_gics(W184,4),IF($Y$3="证监会门类行业",[1]!s_info_industry_csrc12_n(W184,公司分析!D$5,1),""))))))))</f>
        <v>工业金属</v>
      </c>
      <c r="Z184" s="302">
        <f ca="1">IF(Y184=行业比较!$E$6,ROW(),"")</f>
        <v>184</v>
      </c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</row>
    <row r="185" spans="2:42">
      <c r="B185" s="122"/>
      <c r="C185" s="122"/>
      <c r="D185" s="122"/>
      <c r="E185" s="122"/>
      <c r="F185" s="122"/>
      <c r="G185" s="122"/>
      <c r="H185" s="122"/>
      <c r="I185" s="275"/>
      <c r="J185" s="130"/>
      <c r="K185" s="130"/>
      <c r="L185" s="130"/>
      <c r="M185" s="130"/>
      <c r="N185" s="291"/>
      <c r="O185" s="291"/>
      <c r="P185" s="122"/>
      <c r="Q185" s="122"/>
      <c r="R185" s="122"/>
      <c r="S185" s="122"/>
      <c r="T185" s="122"/>
      <c r="U185" s="301"/>
      <c r="V185" s="260">
        <f t="shared" ca="1" si="10"/>
        <v>0</v>
      </c>
      <c r="W185" s="348" t="str">
        <f>IF(板块成分!B187="","",板块成分!B187)</f>
        <v>000631.SZ</v>
      </c>
      <c r="X185" s="276" t="str">
        <f>[1]!S_Info_Name(W185)</f>
        <v>顺发恒能</v>
      </c>
      <c r="Y185" s="276" t="str">
        <f ca="1">IF($Y$3="申万一级行业",[1]!s_info_industry_sw_2021(W185,公司分析!D$5,1),IF($Y$3="申万二级行业",[1]!s_info_industry_sw_2021(W185,公司分析!D$5,2),IF($Y$3="申万三级行业",[1]!s_info_industry_sw_2021(W185,公司分析!D$5,3),IF($Y$3="wind一级行业",[1]!s_info_industry_gics(W185,1),IF($Y$3="wind二级行业",[1]!s_info_industry_gics(W185,2),IF($Y$3="wind三级行业",[1]!s_info_industry_gics(W185,3),IF($Y$3="wind四级行业",[1]!s_info_industry_gics(W185,4),IF($Y$3="证监会门类行业",[1]!s_info_industry_csrc12_n(W185,公司分析!D$5,1),""))))))))</f>
        <v>房地产开发</v>
      </c>
      <c r="Z185" s="302" t="str">
        <f ca="1">IF(Y185=行业比较!$E$6,ROW(),"")</f>
        <v/>
      </c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</row>
    <row r="186" spans="2:42">
      <c r="B186" s="122"/>
      <c r="C186" s="122"/>
      <c r="D186" s="122"/>
      <c r="E186" s="122"/>
      <c r="F186" s="122"/>
      <c r="G186" s="122"/>
      <c r="H186" s="122"/>
      <c r="I186" s="275"/>
      <c r="J186" s="130"/>
      <c r="K186" s="130"/>
      <c r="L186" s="130"/>
      <c r="M186" s="130"/>
      <c r="N186" s="291"/>
      <c r="O186" s="291"/>
      <c r="P186" s="122"/>
      <c r="Q186" s="122"/>
      <c r="R186" s="122"/>
      <c r="S186" s="122"/>
      <c r="T186" s="122"/>
      <c r="U186" s="301"/>
      <c r="V186" s="260">
        <f t="shared" ca="1" si="10"/>
        <v>0</v>
      </c>
      <c r="W186" s="348" t="str">
        <f>IF(板块成分!B188="","",板块成分!B188)</f>
        <v>000632.SZ</v>
      </c>
      <c r="X186" s="276" t="str">
        <f>[1]!S_Info_Name(W186)</f>
        <v>三木集团</v>
      </c>
      <c r="Y186" s="276" t="str">
        <f ca="1">IF($Y$3="申万一级行业",[1]!s_info_industry_sw_2021(W186,公司分析!D$5,1),IF($Y$3="申万二级行业",[1]!s_info_industry_sw_2021(W186,公司分析!D$5,2),IF($Y$3="申万三级行业",[1]!s_info_industry_sw_2021(W186,公司分析!D$5,3),IF($Y$3="wind一级行业",[1]!s_info_industry_gics(W186,1),IF($Y$3="wind二级行业",[1]!s_info_industry_gics(W186,2),IF($Y$3="wind三级行业",[1]!s_info_industry_gics(W186,3),IF($Y$3="wind四级行业",[1]!s_info_industry_gics(W186,4),IF($Y$3="证监会门类行业",[1]!s_info_industry_csrc12_n(W186,公司分析!D$5,1),""))))))))</f>
        <v>综合Ⅱ</v>
      </c>
      <c r="Z186" s="302" t="str">
        <f ca="1">IF(Y186=行业比较!$E$6,ROW(),"")</f>
        <v/>
      </c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</row>
    <row r="187" spans="2:42">
      <c r="B187" s="122"/>
      <c r="C187" s="122"/>
      <c r="D187" s="122"/>
      <c r="E187" s="122"/>
      <c r="F187" s="122"/>
      <c r="G187" s="122"/>
      <c r="H187" s="122"/>
      <c r="I187" s="275"/>
      <c r="J187" s="130"/>
      <c r="K187" s="130"/>
      <c r="L187" s="130"/>
      <c r="M187" s="130"/>
      <c r="N187" s="291"/>
      <c r="O187" s="291"/>
      <c r="P187" s="122"/>
      <c r="Q187" s="122"/>
      <c r="R187" s="122"/>
      <c r="S187" s="122"/>
      <c r="T187" s="122"/>
      <c r="U187" s="301"/>
      <c r="V187" s="260">
        <f t="shared" ca="1" si="10"/>
        <v>0</v>
      </c>
      <c r="W187" s="348" t="str">
        <f>IF(板块成分!B189="","",板块成分!B189)</f>
        <v>000633.SZ</v>
      </c>
      <c r="X187" s="276" t="str">
        <f>[1]!S_Info_Name(W187)</f>
        <v>合金投资</v>
      </c>
      <c r="Y187" s="276" t="str">
        <f ca="1">IF($Y$3="申万一级行业",[1]!s_info_industry_sw_2021(W187,公司分析!D$5,1),IF($Y$3="申万二级行业",[1]!s_info_industry_sw_2021(W187,公司分析!D$5,2),IF($Y$3="申万三级行业",[1]!s_info_industry_sw_2021(W187,公司分析!D$5,3),IF($Y$3="wind一级行业",[1]!s_info_industry_gics(W187,1),IF($Y$3="wind二级行业",[1]!s_info_industry_gics(W187,2),IF($Y$3="wind三级行业",[1]!s_info_industry_gics(W187,3),IF($Y$3="wind四级行业",[1]!s_info_industry_gics(W187,4),IF($Y$3="证监会门类行业",[1]!s_info_industry_csrc12_n(W187,公司分析!D$5,1),""))))))))</f>
        <v>金属新材料</v>
      </c>
      <c r="Z187" s="302" t="str">
        <f ca="1">IF(Y187=行业比较!$E$6,ROW(),"")</f>
        <v/>
      </c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</row>
    <row r="188" spans="2:42">
      <c r="B188" s="122"/>
      <c r="C188" s="122"/>
      <c r="D188" s="122"/>
      <c r="E188" s="122"/>
      <c r="F188" s="122"/>
      <c r="G188" s="122"/>
      <c r="H188" s="122"/>
      <c r="I188" s="275"/>
      <c r="J188" s="130"/>
      <c r="K188" s="130"/>
      <c r="L188" s="130"/>
      <c r="M188" s="130"/>
      <c r="N188" s="291"/>
      <c r="O188" s="291"/>
      <c r="P188" s="122"/>
      <c r="Q188" s="122"/>
      <c r="R188" s="122"/>
      <c r="S188" s="122"/>
      <c r="T188" s="122"/>
      <c r="U188" s="301"/>
      <c r="V188" s="260">
        <f t="shared" ca="1" si="10"/>
        <v>0</v>
      </c>
      <c r="W188" s="348" t="str">
        <f>IF(板块成分!B190="","",板块成分!B190)</f>
        <v>000635.SZ</v>
      </c>
      <c r="X188" s="276" t="str">
        <f>[1]!S_Info_Name(W188)</f>
        <v>英力特</v>
      </c>
      <c r="Y188" s="276" t="str">
        <f ca="1">IF($Y$3="申万一级行业",[1]!s_info_industry_sw_2021(W188,公司分析!D$5,1),IF($Y$3="申万二级行业",[1]!s_info_industry_sw_2021(W188,公司分析!D$5,2),IF($Y$3="申万三级行业",[1]!s_info_industry_sw_2021(W188,公司分析!D$5,3),IF($Y$3="wind一级行业",[1]!s_info_industry_gics(W188,1),IF($Y$3="wind二级行业",[1]!s_info_industry_gics(W188,2),IF($Y$3="wind三级行业",[1]!s_info_industry_gics(W188,3),IF($Y$3="wind四级行业",[1]!s_info_industry_gics(W188,4),IF($Y$3="证监会门类行业",[1]!s_info_industry_csrc12_n(W188,公司分析!D$5,1),""))))))))</f>
        <v>化学原料</v>
      </c>
      <c r="Z188" s="302" t="str">
        <f ca="1">IF(Y188=行业比较!$E$6,ROW(),"")</f>
        <v/>
      </c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</row>
    <row r="189" spans="2:42">
      <c r="B189" s="122"/>
      <c r="C189" s="122"/>
      <c r="D189" s="122"/>
      <c r="E189" s="122"/>
      <c r="F189" s="122"/>
      <c r="G189" s="122"/>
      <c r="H189" s="122"/>
      <c r="I189" s="275"/>
      <c r="J189" s="130"/>
      <c r="K189" s="130"/>
      <c r="L189" s="130"/>
      <c r="M189" s="130"/>
      <c r="N189" s="291"/>
      <c r="O189" s="291"/>
      <c r="P189" s="122"/>
      <c r="Q189" s="122"/>
      <c r="R189" s="122"/>
      <c r="S189" s="122"/>
      <c r="T189" s="122"/>
      <c r="U189" s="301"/>
      <c r="V189" s="260">
        <f t="shared" ca="1" si="10"/>
        <v>0</v>
      </c>
      <c r="W189" s="348" t="str">
        <f>IF(板块成分!B191="","",板块成分!B191)</f>
        <v>000636.SZ</v>
      </c>
      <c r="X189" s="276" t="str">
        <f>[1]!S_Info_Name(W189)</f>
        <v>风华高科</v>
      </c>
      <c r="Y189" s="276" t="str">
        <f ca="1">IF($Y$3="申万一级行业",[1]!s_info_industry_sw_2021(W189,公司分析!D$5,1),IF($Y$3="申万二级行业",[1]!s_info_industry_sw_2021(W189,公司分析!D$5,2),IF($Y$3="申万三级行业",[1]!s_info_industry_sw_2021(W189,公司分析!D$5,3),IF($Y$3="wind一级行业",[1]!s_info_industry_gics(W189,1),IF($Y$3="wind二级行业",[1]!s_info_industry_gics(W189,2),IF($Y$3="wind三级行业",[1]!s_info_industry_gics(W189,3),IF($Y$3="wind四级行业",[1]!s_info_industry_gics(W189,4),IF($Y$3="证监会门类行业",[1]!s_info_industry_csrc12_n(W189,公司分析!D$5,1),""))))))))</f>
        <v>元件</v>
      </c>
      <c r="Z189" s="302" t="str">
        <f ca="1">IF(Y189=行业比较!$E$6,ROW(),"")</f>
        <v/>
      </c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</row>
    <row r="190" spans="2:42">
      <c r="B190" s="122"/>
      <c r="C190" s="122"/>
      <c r="D190" s="122"/>
      <c r="E190" s="122"/>
      <c r="F190" s="122"/>
      <c r="G190" s="122"/>
      <c r="H190" s="122"/>
      <c r="I190" s="275"/>
      <c r="J190" s="130"/>
      <c r="K190" s="130"/>
      <c r="L190" s="130"/>
      <c r="M190" s="130"/>
      <c r="N190" s="291"/>
      <c r="O190" s="291"/>
      <c r="P190" s="122"/>
      <c r="Q190" s="122"/>
      <c r="R190" s="122"/>
      <c r="S190" s="122"/>
      <c r="T190" s="122"/>
      <c r="U190" s="301"/>
      <c r="V190" s="260">
        <f t="shared" ca="1" si="10"/>
        <v>0</v>
      </c>
      <c r="W190" s="348" t="str">
        <f>IF(板块成分!B192="","",板块成分!B192)</f>
        <v>000637.SZ</v>
      </c>
      <c r="X190" s="276" t="str">
        <f>[1]!S_Info_Name(W190)</f>
        <v>茂化实华</v>
      </c>
      <c r="Y190" s="276" t="str">
        <f ca="1">IF($Y$3="申万一级行业",[1]!s_info_industry_sw_2021(W190,公司分析!D$5,1),IF($Y$3="申万二级行业",[1]!s_info_industry_sw_2021(W190,公司分析!D$5,2),IF($Y$3="申万三级行业",[1]!s_info_industry_sw_2021(W190,公司分析!D$5,3),IF($Y$3="wind一级行业",[1]!s_info_industry_gics(W190,1),IF($Y$3="wind二级行业",[1]!s_info_industry_gics(W190,2),IF($Y$3="wind三级行业",[1]!s_info_industry_gics(W190,3),IF($Y$3="wind四级行业",[1]!s_info_industry_gics(W190,4),IF($Y$3="证监会门类行业",[1]!s_info_industry_csrc12_n(W190,公司分析!D$5,1),""))))))))</f>
        <v>炼化及贸易</v>
      </c>
      <c r="Z190" s="302" t="str">
        <f ca="1">IF(Y190=行业比较!$E$6,ROW(),"")</f>
        <v/>
      </c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</row>
    <row r="191" spans="2:42">
      <c r="B191" s="122"/>
      <c r="C191" s="122"/>
      <c r="D191" s="122"/>
      <c r="E191" s="122"/>
      <c r="F191" s="122"/>
      <c r="G191" s="122"/>
      <c r="H191" s="122"/>
      <c r="I191" s="275"/>
      <c r="J191" s="130"/>
      <c r="K191" s="130"/>
      <c r="L191" s="130"/>
      <c r="M191" s="130"/>
      <c r="N191" s="291"/>
      <c r="O191" s="291"/>
      <c r="P191" s="122"/>
      <c r="Q191" s="122"/>
      <c r="R191" s="122"/>
      <c r="S191" s="122"/>
      <c r="T191" s="122"/>
      <c r="U191" s="301"/>
      <c r="V191" s="260">
        <f t="shared" ca="1" si="10"/>
        <v>0</v>
      </c>
      <c r="W191" s="348" t="str">
        <f>IF(板块成分!B193="","",板块成分!B193)</f>
        <v>000638.SZ</v>
      </c>
      <c r="X191" s="276" t="str">
        <f>[1]!S_Info_Name(W191)</f>
        <v>*ST万方</v>
      </c>
      <c r="Y191" s="276" t="str">
        <f ca="1">IF($Y$3="申万一级行业",[1]!s_info_industry_sw_2021(W191,公司分析!D$5,1),IF($Y$3="申万二级行业",[1]!s_info_industry_sw_2021(W191,公司分析!D$5,2),IF($Y$3="申万三级行业",[1]!s_info_industry_sw_2021(W191,公司分析!D$5,3),IF($Y$3="wind一级行业",[1]!s_info_industry_gics(W191,1),IF($Y$3="wind二级行业",[1]!s_info_industry_gics(W191,2),IF($Y$3="wind三级行业",[1]!s_info_industry_gics(W191,3),IF($Y$3="wind四级行业",[1]!s_info_industry_gics(W191,4),IF($Y$3="证监会门类行业",[1]!s_info_industry_csrc12_n(W191,公司分析!D$5,1),""))))))))</f>
        <v>军工电子Ⅱ</v>
      </c>
      <c r="Z191" s="302" t="str">
        <f ca="1">IF(Y191=行业比较!$E$6,ROW(),"")</f>
        <v/>
      </c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</row>
    <row r="192" spans="2:42">
      <c r="B192" s="122"/>
      <c r="C192" s="122"/>
      <c r="D192" s="122"/>
      <c r="E192" s="122"/>
      <c r="F192" s="122"/>
      <c r="G192" s="122"/>
      <c r="H192" s="122"/>
      <c r="I192" s="275"/>
      <c r="J192" s="130"/>
      <c r="K192" s="130"/>
      <c r="L192" s="130"/>
      <c r="M192" s="130"/>
      <c r="N192" s="291"/>
      <c r="O192" s="291"/>
      <c r="P192" s="122"/>
      <c r="Q192" s="122"/>
      <c r="R192" s="122"/>
      <c r="S192" s="122"/>
      <c r="T192" s="122"/>
      <c r="U192" s="301"/>
      <c r="V192" s="260">
        <f t="shared" ca="1" si="10"/>
        <v>0</v>
      </c>
      <c r="W192" s="348" t="str">
        <f>IF(板块成分!B194="","",板块成分!B194)</f>
        <v>000639.SZ</v>
      </c>
      <c r="X192" s="276" t="str">
        <f>[1]!S_Info_Name(W192)</f>
        <v>西王食品</v>
      </c>
      <c r="Y192" s="276" t="str">
        <f ca="1">IF($Y$3="申万一级行业",[1]!s_info_industry_sw_2021(W192,公司分析!D$5,1),IF($Y$3="申万二级行业",[1]!s_info_industry_sw_2021(W192,公司分析!D$5,2),IF($Y$3="申万三级行业",[1]!s_info_industry_sw_2021(W192,公司分析!D$5,3),IF($Y$3="wind一级行业",[1]!s_info_industry_gics(W192,1),IF($Y$3="wind二级行业",[1]!s_info_industry_gics(W192,2),IF($Y$3="wind三级行业",[1]!s_info_industry_gics(W192,3),IF($Y$3="wind四级行业",[1]!s_info_industry_gics(W192,4),IF($Y$3="证监会门类行业",[1]!s_info_industry_csrc12_n(W192,公司分析!D$5,1),""))))))))</f>
        <v>食品加工</v>
      </c>
      <c r="Z192" s="302" t="str">
        <f ca="1">IF(Y192=行业比较!$E$6,ROW(),"")</f>
        <v/>
      </c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</row>
    <row r="193" spans="2:42">
      <c r="B193" s="122"/>
      <c r="C193" s="122"/>
      <c r="D193" s="122"/>
      <c r="E193" s="122"/>
      <c r="F193" s="122"/>
      <c r="G193" s="122"/>
      <c r="H193" s="122"/>
      <c r="I193" s="275"/>
      <c r="J193" s="130"/>
      <c r="K193" s="130"/>
      <c r="L193" s="130"/>
      <c r="M193" s="130"/>
      <c r="N193" s="291"/>
      <c r="O193" s="291"/>
      <c r="P193" s="122"/>
      <c r="Q193" s="122"/>
      <c r="R193" s="122"/>
      <c r="S193" s="122"/>
      <c r="T193" s="122"/>
      <c r="U193" s="301"/>
      <c r="V193" s="260">
        <f t="shared" ca="1" si="10"/>
        <v>0</v>
      </c>
      <c r="W193" s="348" t="str">
        <f>IF(板块成分!B195="","",板块成分!B195)</f>
        <v>000650.SZ</v>
      </c>
      <c r="X193" s="276" t="str">
        <f>[1]!S_Info_Name(W193)</f>
        <v>仁和药业</v>
      </c>
      <c r="Y193" s="276" t="str">
        <f ca="1">IF($Y$3="申万一级行业",[1]!s_info_industry_sw_2021(W193,公司分析!D$5,1),IF($Y$3="申万二级行业",[1]!s_info_industry_sw_2021(W193,公司分析!D$5,2),IF($Y$3="申万三级行业",[1]!s_info_industry_sw_2021(W193,公司分析!D$5,3),IF($Y$3="wind一级行业",[1]!s_info_industry_gics(W193,1),IF($Y$3="wind二级行业",[1]!s_info_industry_gics(W193,2),IF($Y$3="wind三级行业",[1]!s_info_industry_gics(W193,3),IF($Y$3="wind四级行业",[1]!s_info_industry_gics(W193,4),IF($Y$3="证监会门类行业",[1]!s_info_industry_csrc12_n(W193,公司分析!D$5,1),""))))))))</f>
        <v>中药Ⅱ</v>
      </c>
      <c r="Z193" s="302" t="str">
        <f ca="1">IF(Y193=行业比较!$E$6,ROW(),"")</f>
        <v/>
      </c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</row>
    <row r="194" spans="2:42">
      <c r="B194" s="122"/>
      <c r="C194" s="122"/>
      <c r="D194" s="122"/>
      <c r="E194" s="122"/>
      <c r="F194" s="122"/>
      <c r="G194" s="122"/>
      <c r="H194" s="122"/>
      <c r="I194" s="275"/>
      <c r="J194" s="130"/>
      <c r="K194" s="130"/>
      <c r="L194" s="130"/>
      <c r="M194" s="130"/>
      <c r="N194" s="291"/>
      <c r="O194" s="291"/>
      <c r="P194" s="122"/>
      <c r="Q194" s="122"/>
      <c r="R194" s="122"/>
      <c r="S194" s="122"/>
      <c r="T194" s="122"/>
      <c r="U194" s="301"/>
      <c r="V194" s="260">
        <f t="shared" ca="1" si="10"/>
        <v>0</v>
      </c>
      <c r="W194" s="348" t="str">
        <f>IF(板块成分!B196="","",板块成分!B196)</f>
        <v>000651.SZ</v>
      </c>
      <c r="X194" s="276" t="str">
        <f>[1]!S_Info_Name(W194)</f>
        <v>格力电器</v>
      </c>
      <c r="Y194" s="276" t="str">
        <f ca="1">IF($Y$3="申万一级行业",[1]!s_info_industry_sw_2021(W194,公司分析!D$5,1),IF($Y$3="申万二级行业",[1]!s_info_industry_sw_2021(W194,公司分析!D$5,2),IF($Y$3="申万三级行业",[1]!s_info_industry_sw_2021(W194,公司分析!D$5,3),IF($Y$3="wind一级行业",[1]!s_info_industry_gics(W194,1),IF($Y$3="wind二级行业",[1]!s_info_industry_gics(W194,2),IF($Y$3="wind三级行业",[1]!s_info_industry_gics(W194,3),IF($Y$3="wind四级行业",[1]!s_info_industry_gics(W194,4),IF($Y$3="证监会门类行业",[1]!s_info_industry_csrc12_n(W194,公司分析!D$5,1),""))))))))</f>
        <v>白色家电</v>
      </c>
      <c r="Z194" s="302" t="str">
        <f ca="1">IF(Y194=行业比较!$E$6,ROW(),"")</f>
        <v/>
      </c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</row>
    <row r="195" spans="2:42">
      <c r="B195" s="122"/>
      <c r="C195" s="122"/>
      <c r="D195" s="122"/>
      <c r="E195" s="122"/>
      <c r="F195" s="122"/>
      <c r="G195" s="122"/>
      <c r="H195" s="122"/>
      <c r="I195" s="275"/>
      <c r="J195" s="130"/>
      <c r="K195" s="130"/>
      <c r="L195" s="130"/>
      <c r="M195" s="130"/>
      <c r="N195" s="291"/>
      <c r="O195" s="291"/>
      <c r="P195" s="122"/>
      <c r="Q195" s="122"/>
      <c r="R195" s="122"/>
      <c r="S195" s="122"/>
      <c r="T195" s="122"/>
      <c r="U195" s="301"/>
      <c r="V195" s="260">
        <f t="shared" ca="1" si="10"/>
        <v>0</v>
      </c>
      <c r="W195" s="348" t="str">
        <f>IF(板块成分!B197="","",板块成分!B197)</f>
        <v>000652.SZ</v>
      </c>
      <c r="X195" s="276" t="str">
        <f>[1]!S_Info_Name(W195)</f>
        <v>泰达股份</v>
      </c>
      <c r="Y195" s="276" t="str">
        <f ca="1">IF($Y$3="申万一级行业",[1]!s_info_industry_sw_2021(W195,公司分析!D$5,1),IF($Y$3="申万二级行业",[1]!s_info_industry_sw_2021(W195,公司分析!D$5,2),IF($Y$3="申万三级行业",[1]!s_info_industry_sw_2021(W195,公司分析!D$5,3),IF($Y$3="wind一级行业",[1]!s_info_industry_gics(W195,1),IF($Y$3="wind二级行业",[1]!s_info_industry_gics(W195,2),IF($Y$3="wind三级行业",[1]!s_info_industry_gics(W195,3),IF($Y$3="wind四级行业",[1]!s_info_industry_gics(W195,4),IF($Y$3="证监会门类行业",[1]!s_info_industry_csrc12_n(W195,公司分析!D$5,1),""))))))))</f>
        <v>综合Ⅱ</v>
      </c>
      <c r="Z195" s="302" t="str">
        <f ca="1">IF(Y195=行业比较!$E$6,ROW(),"")</f>
        <v/>
      </c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</row>
    <row r="196" spans="2:42">
      <c r="B196" s="122"/>
      <c r="C196" s="122"/>
      <c r="D196" s="122"/>
      <c r="E196" s="122"/>
      <c r="F196" s="122"/>
      <c r="G196" s="122"/>
      <c r="H196" s="122"/>
      <c r="I196" s="275"/>
      <c r="J196" s="130"/>
      <c r="K196" s="130"/>
      <c r="L196" s="130"/>
      <c r="M196" s="130"/>
      <c r="N196" s="291"/>
      <c r="O196" s="291"/>
      <c r="P196" s="122"/>
      <c r="Q196" s="122"/>
      <c r="R196" s="122"/>
      <c r="S196" s="122"/>
      <c r="T196" s="122"/>
      <c r="U196" s="301"/>
      <c r="V196" s="260">
        <f t="shared" ca="1" si="10"/>
        <v>0</v>
      </c>
      <c r="W196" s="348" t="str">
        <f>IF(板块成分!B198="","",板块成分!B198)</f>
        <v>000655.SZ</v>
      </c>
      <c r="X196" s="276" t="str">
        <f>[1]!S_Info_Name(W196)</f>
        <v>金岭矿业</v>
      </c>
      <c r="Y196" s="276" t="str">
        <f ca="1">IF($Y$3="申万一级行业",[1]!s_info_industry_sw_2021(W196,公司分析!D$5,1),IF($Y$3="申万二级行业",[1]!s_info_industry_sw_2021(W196,公司分析!D$5,2),IF($Y$3="申万三级行业",[1]!s_info_industry_sw_2021(W196,公司分析!D$5,3),IF($Y$3="wind一级行业",[1]!s_info_industry_gics(W196,1),IF($Y$3="wind二级行业",[1]!s_info_industry_gics(W196,2),IF($Y$3="wind三级行业",[1]!s_info_industry_gics(W196,3),IF($Y$3="wind四级行业",[1]!s_info_industry_gics(W196,4),IF($Y$3="证监会门类行业",[1]!s_info_industry_csrc12_n(W196,公司分析!D$5,1),""))))))))</f>
        <v>冶钢原料</v>
      </c>
      <c r="Z196" s="302" t="str">
        <f ca="1">IF(Y196=行业比较!$E$6,ROW(),"")</f>
        <v/>
      </c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</row>
    <row r="197" spans="2:42">
      <c r="B197" s="122"/>
      <c r="C197" s="122"/>
      <c r="D197" s="122"/>
      <c r="E197" s="122"/>
      <c r="F197" s="122"/>
      <c r="G197" s="122"/>
      <c r="H197" s="122"/>
      <c r="I197" s="275"/>
      <c r="J197" s="130"/>
      <c r="K197" s="130"/>
      <c r="L197" s="130"/>
      <c r="M197" s="130"/>
      <c r="N197" s="291"/>
      <c r="O197" s="291"/>
      <c r="P197" s="122"/>
      <c r="Q197" s="122"/>
      <c r="R197" s="122"/>
      <c r="S197" s="122"/>
      <c r="T197" s="122"/>
      <c r="U197" s="301"/>
      <c r="V197" s="260">
        <f t="shared" ref="V197:V260" ca="1" si="11">IF(Z197="",0,RANK(Z197,Z:Z,1))</f>
        <v>0</v>
      </c>
      <c r="W197" s="348" t="str">
        <f>IF(板块成分!B199="","",板块成分!B199)</f>
        <v>000656.SZ</v>
      </c>
      <c r="X197" s="276" t="str">
        <f>[1]!S_Info_Name(W197)</f>
        <v>*ST金科</v>
      </c>
      <c r="Y197" s="276" t="str">
        <f ca="1">IF($Y$3="申万一级行业",[1]!s_info_industry_sw_2021(W197,公司分析!D$5,1),IF($Y$3="申万二级行业",[1]!s_info_industry_sw_2021(W197,公司分析!D$5,2),IF($Y$3="申万三级行业",[1]!s_info_industry_sw_2021(W197,公司分析!D$5,3),IF($Y$3="wind一级行业",[1]!s_info_industry_gics(W197,1),IF($Y$3="wind二级行业",[1]!s_info_industry_gics(W197,2),IF($Y$3="wind三级行业",[1]!s_info_industry_gics(W197,3),IF($Y$3="wind四级行业",[1]!s_info_industry_gics(W197,4),IF($Y$3="证监会门类行业",[1]!s_info_industry_csrc12_n(W197,公司分析!D$5,1),""))))))))</f>
        <v>房地产开发</v>
      </c>
      <c r="Z197" s="302" t="str">
        <f ca="1">IF(Y197=行业比较!$E$6,ROW(),"")</f>
        <v/>
      </c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</row>
    <row r="198" spans="2:42">
      <c r="B198" s="122"/>
      <c r="C198" s="122"/>
      <c r="D198" s="122"/>
      <c r="E198" s="122"/>
      <c r="F198" s="122"/>
      <c r="G198" s="122"/>
      <c r="H198" s="122"/>
      <c r="I198" s="275"/>
      <c r="J198" s="130"/>
      <c r="K198" s="130"/>
      <c r="L198" s="130"/>
      <c r="M198" s="130"/>
      <c r="N198" s="291"/>
      <c r="O198" s="291"/>
      <c r="P198" s="122"/>
      <c r="Q198" s="122"/>
      <c r="R198" s="122"/>
      <c r="S198" s="122"/>
      <c r="T198" s="122"/>
      <c r="U198" s="301"/>
      <c r="V198" s="260">
        <f t="shared" ca="1" si="11"/>
        <v>0</v>
      </c>
      <c r="W198" s="348" t="str">
        <f>IF(板块成分!B200="","",板块成分!B200)</f>
        <v>000657.SZ</v>
      </c>
      <c r="X198" s="276" t="str">
        <f>[1]!S_Info_Name(W198)</f>
        <v>中钨高新</v>
      </c>
      <c r="Y198" s="276" t="str">
        <f ca="1">IF($Y$3="申万一级行业",[1]!s_info_industry_sw_2021(W198,公司分析!D$5,1),IF($Y$3="申万二级行业",[1]!s_info_industry_sw_2021(W198,公司分析!D$5,2),IF($Y$3="申万三级行业",[1]!s_info_industry_sw_2021(W198,公司分析!D$5,3),IF($Y$3="wind一级行业",[1]!s_info_industry_gics(W198,1),IF($Y$3="wind二级行业",[1]!s_info_industry_gics(W198,2),IF($Y$3="wind三级行业",[1]!s_info_industry_gics(W198,3),IF($Y$3="wind四级行业",[1]!s_info_industry_gics(W198,4),IF($Y$3="证监会门类行业",[1]!s_info_industry_csrc12_n(W198,公司分析!D$5,1),""))))))))</f>
        <v>小金属</v>
      </c>
      <c r="Z198" s="302" t="str">
        <f ca="1">IF(Y198=行业比较!$E$6,ROW(),"")</f>
        <v/>
      </c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</row>
    <row r="199" spans="2:42">
      <c r="B199" s="122"/>
      <c r="C199" s="122"/>
      <c r="D199" s="122"/>
      <c r="E199" s="122"/>
      <c r="F199" s="122"/>
      <c r="G199" s="122"/>
      <c r="H199" s="122"/>
      <c r="I199" s="275"/>
      <c r="J199" s="130"/>
      <c r="K199" s="130"/>
      <c r="L199" s="130"/>
      <c r="M199" s="130"/>
      <c r="N199" s="291"/>
      <c r="O199" s="291"/>
      <c r="P199" s="122"/>
      <c r="Q199" s="122"/>
      <c r="R199" s="122"/>
      <c r="S199" s="122"/>
      <c r="T199" s="122"/>
      <c r="U199" s="301"/>
      <c r="V199" s="260">
        <f t="shared" ca="1" si="11"/>
        <v>0</v>
      </c>
      <c r="W199" s="348" t="str">
        <f>IF(板块成分!B201="","",板块成分!B201)</f>
        <v>000659.SZ</v>
      </c>
      <c r="X199" s="276" t="str">
        <f>[1]!S_Info_Name(W199)</f>
        <v>珠海中富</v>
      </c>
      <c r="Y199" s="276" t="str">
        <f ca="1">IF($Y$3="申万一级行业",[1]!s_info_industry_sw_2021(W199,公司分析!D$5,1),IF($Y$3="申万二级行业",[1]!s_info_industry_sw_2021(W199,公司分析!D$5,2),IF($Y$3="申万三级行业",[1]!s_info_industry_sw_2021(W199,公司分析!D$5,3),IF($Y$3="wind一级行业",[1]!s_info_industry_gics(W199,1),IF($Y$3="wind二级行业",[1]!s_info_industry_gics(W199,2),IF($Y$3="wind三级行业",[1]!s_info_industry_gics(W199,3),IF($Y$3="wind四级行业",[1]!s_info_industry_gics(W199,4),IF($Y$3="证监会门类行业",[1]!s_info_industry_csrc12_n(W199,公司分析!D$5,1),""))))))))</f>
        <v>包装印刷</v>
      </c>
      <c r="Z199" s="302" t="str">
        <f ca="1">IF(Y199=行业比较!$E$6,ROW(),"")</f>
        <v/>
      </c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</row>
    <row r="200" spans="2:42">
      <c r="B200" s="122"/>
      <c r="C200" s="122"/>
      <c r="D200" s="122"/>
      <c r="E200" s="122"/>
      <c r="F200" s="122"/>
      <c r="G200" s="122"/>
      <c r="H200" s="122"/>
      <c r="I200" s="275"/>
      <c r="J200" s="130"/>
      <c r="K200" s="130"/>
      <c r="L200" s="130"/>
      <c r="M200" s="130"/>
      <c r="N200" s="291"/>
      <c r="O200" s="291"/>
      <c r="P200" s="122"/>
      <c r="Q200" s="122"/>
      <c r="R200" s="122"/>
      <c r="S200" s="122"/>
      <c r="T200" s="122"/>
      <c r="U200" s="301"/>
      <c r="V200" s="260">
        <f t="shared" ca="1" si="11"/>
        <v>0</v>
      </c>
      <c r="W200" s="348" t="str">
        <f>IF(板块成分!B202="","",板块成分!B202)</f>
        <v>000661.SZ</v>
      </c>
      <c r="X200" s="276" t="str">
        <f>[1]!S_Info_Name(W200)</f>
        <v>长春高新</v>
      </c>
      <c r="Y200" s="276" t="str">
        <f ca="1">IF($Y$3="申万一级行业",[1]!s_info_industry_sw_2021(W200,公司分析!D$5,1),IF($Y$3="申万二级行业",[1]!s_info_industry_sw_2021(W200,公司分析!D$5,2),IF($Y$3="申万三级行业",[1]!s_info_industry_sw_2021(W200,公司分析!D$5,3),IF($Y$3="wind一级行业",[1]!s_info_industry_gics(W200,1),IF($Y$3="wind二级行业",[1]!s_info_industry_gics(W200,2),IF($Y$3="wind三级行业",[1]!s_info_industry_gics(W200,3),IF($Y$3="wind四级行业",[1]!s_info_industry_gics(W200,4),IF($Y$3="证监会门类行业",[1]!s_info_industry_csrc12_n(W200,公司分析!D$5,1),""))))))))</f>
        <v>生物制品</v>
      </c>
      <c r="Z200" s="302" t="str">
        <f ca="1">IF(Y200=行业比较!$E$6,ROW(),"")</f>
        <v/>
      </c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</row>
    <row r="201" spans="2:42">
      <c r="B201" s="122"/>
      <c r="C201" s="122"/>
      <c r="D201" s="122"/>
      <c r="E201" s="122"/>
      <c r="F201" s="122"/>
      <c r="G201" s="122"/>
      <c r="H201" s="122"/>
      <c r="I201" s="275"/>
      <c r="J201" s="130"/>
      <c r="K201" s="130"/>
      <c r="L201" s="130"/>
      <c r="M201" s="130"/>
      <c r="N201" s="291"/>
      <c r="O201" s="291"/>
      <c r="P201" s="122"/>
      <c r="Q201" s="122"/>
      <c r="R201" s="122"/>
      <c r="S201" s="122"/>
      <c r="T201" s="122"/>
      <c r="U201" s="301"/>
      <c r="V201" s="260">
        <f t="shared" ca="1" si="11"/>
        <v>0</v>
      </c>
      <c r="W201" s="348" t="str">
        <f>IF(板块成分!B203="","",板块成分!B203)</f>
        <v>000663.SZ</v>
      </c>
      <c r="X201" s="276" t="str">
        <f>[1]!S_Info_Name(W201)</f>
        <v>永安林业</v>
      </c>
      <c r="Y201" s="276" t="str">
        <f ca="1">IF($Y$3="申万一级行业",[1]!s_info_industry_sw_2021(W201,公司分析!D$5,1),IF($Y$3="申万二级行业",[1]!s_info_industry_sw_2021(W201,公司分析!D$5,2),IF($Y$3="申万三级行业",[1]!s_info_industry_sw_2021(W201,公司分析!D$5,3),IF($Y$3="wind一级行业",[1]!s_info_industry_gics(W201,1),IF($Y$3="wind二级行业",[1]!s_info_industry_gics(W201,2),IF($Y$3="wind三级行业",[1]!s_info_industry_gics(W201,3),IF($Y$3="wind四级行业",[1]!s_info_industry_gics(W201,4),IF($Y$3="证监会门类行业",[1]!s_info_industry_csrc12_n(W201,公司分析!D$5,1),""))))))))</f>
        <v>林业Ⅱ</v>
      </c>
      <c r="Z201" s="302" t="str">
        <f ca="1">IF(Y201=行业比较!$E$6,ROW(),"")</f>
        <v/>
      </c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</row>
    <row r="202" spans="2:42">
      <c r="B202" s="122"/>
      <c r="C202" s="122"/>
      <c r="D202" s="122"/>
      <c r="E202" s="122"/>
      <c r="F202" s="122"/>
      <c r="G202" s="122"/>
      <c r="H202" s="122"/>
      <c r="I202" s="275"/>
      <c r="J202" s="130"/>
      <c r="K202" s="130"/>
      <c r="L202" s="130"/>
      <c r="M202" s="130"/>
      <c r="N202" s="291"/>
      <c r="O202" s="291"/>
      <c r="P202" s="122"/>
      <c r="Q202" s="122"/>
      <c r="R202" s="122"/>
      <c r="S202" s="122"/>
      <c r="T202" s="122"/>
      <c r="U202" s="301"/>
      <c r="V202" s="260">
        <f t="shared" ca="1" si="11"/>
        <v>0</v>
      </c>
      <c r="W202" s="348" t="str">
        <f>IF(板块成分!B204="","",板块成分!B204)</f>
        <v>000665.SZ</v>
      </c>
      <c r="X202" s="276" t="str">
        <f>[1]!S_Info_Name(W202)</f>
        <v>湖北广电</v>
      </c>
      <c r="Y202" s="276" t="str">
        <f ca="1">IF($Y$3="申万一级行业",[1]!s_info_industry_sw_2021(W202,公司分析!D$5,1),IF($Y$3="申万二级行业",[1]!s_info_industry_sw_2021(W202,公司分析!D$5,2),IF($Y$3="申万三级行业",[1]!s_info_industry_sw_2021(W202,公司分析!D$5,3),IF($Y$3="wind一级行业",[1]!s_info_industry_gics(W202,1),IF($Y$3="wind二级行业",[1]!s_info_industry_gics(W202,2),IF($Y$3="wind三级行业",[1]!s_info_industry_gics(W202,3),IF($Y$3="wind四级行业",[1]!s_info_industry_gics(W202,4),IF($Y$3="证监会门类行业",[1]!s_info_industry_csrc12_n(W202,公司分析!D$5,1),""))))))))</f>
        <v>电视广播Ⅱ</v>
      </c>
      <c r="Z202" s="302" t="str">
        <f ca="1">IF(Y202=行业比较!$E$6,ROW(),"")</f>
        <v/>
      </c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</row>
    <row r="203" spans="2:42">
      <c r="B203" s="122"/>
      <c r="C203" s="122"/>
      <c r="D203" s="122"/>
      <c r="E203" s="122"/>
      <c r="F203" s="122"/>
      <c r="G203" s="122"/>
      <c r="H203" s="122"/>
      <c r="I203" s="275"/>
      <c r="J203" s="130"/>
      <c r="K203" s="130"/>
      <c r="L203" s="130"/>
      <c r="M203" s="130"/>
      <c r="N203" s="291"/>
      <c r="O203" s="291"/>
      <c r="P203" s="122"/>
      <c r="Q203" s="122"/>
      <c r="R203" s="122"/>
      <c r="S203" s="122"/>
      <c r="T203" s="122"/>
      <c r="U203" s="301"/>
      <c r="V203" s="260">
        <f t="shared" ca="1" si="11"/>
        <v>0</v>
      </c>
      <c r="W203" s="348" t="str">
        <f>IF(板块成分!B205="","",板块成分!B205)</f>
        <v>000668.SZ</v>
      </c>
      <c r="X203" s="276" t="str">
        <f>[1]!S_Info_Name(W203)</f>
        <v>*ST荣控</v>
      </c>
      <c r="Y203" s="276" t="str">
        <f ca="1">IF($Y$3="申万一级行业",[1]!s_info_industry_sw_2021(W203,公司分析!D$5,1),IF($Y$3="申万二级行业",[1]!s_info_industry_sw_2021(W203,公司分析!D$5,2),IF($Y$3="申万三级行业",[1]!s_info_industry_sw_2021(W203,公司分析!D$5,3),IF($Y$3="wind一级行业",[1]!s_info_industry_gics(W203,1),IF($Y$3="wind二级行业",[1]!s_info_industry_gics(W203,2),IF($Y$3="wind三级行业",[1]!s_info_industry_gics(W203,3),IF($Y$3="wind四级行业",[1]!s_info_industry_gics(W203,4),IF($Y$3="证监会门类行业",[1]!s_info_industry_csrc12_n(W203,公司分析!D$5,1),""))))))))</f>
        <v>房地产开发</v>
      </c>
      <c r="Z203" s="302" t="str">
        <f ca="1">IF(Y203=行业比较!$E$6,ROW(),"")</f>
        <v/>
      </c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</row>
    <row r="204" spans="2:42">
      <c r="B204" s="122"/>
      <c r="C204" s="122"/>
      <c r="D204" s="122"/>
      <c r="E204" s="122"/>
      <c r="F204" s="122"/>
      <c r="G204" s="122"/>
      <c r="H204" s="122"/>
      <c r="I204" s="275"/>
      <c r="J204" s="130"/>
      <c r="K204" s="130"/>
      <c r="L204" s="130"/>
      <c r="M204" s="130"/>
      <c r="N204" s="291"/>
      <c r="O204" s="291"/>
      <c r="P204" s="122"/>
      <c r="Q204" s="122"/>
      <c r="R204" s="122"/>
      <c r="S204" s="122"/>
      <c r="T204" s="122"/>
      <c r="U204" s="301"/>
      <c r="V204" s="260">
        <f t="shared" ca="1" si="11"/>
        <v>0</v>
      </c>
      <c r="W204" s="348" t="str">
        <f>IF(板块成分!B206="","",板块成分!B206)</f>
        <v>000669.SZ</v>
      </c>
      <c r="X204" s="276" t="str">
        <f>[1]!S_Info_Name(W204)</f>
        <v>ST金鸿</v>
      </c>
      <c r="Y204" s="276" t="str">
        <f ca="1">IF($Y$3="申万一级行业",[1]!s_info_industry_sw_2021(W204,公司分析!D$5,1),IF($Y$3="申万二级行业",[1]!s_info_industry_sw_2021(W204,公司分析!D$5,2),IF($Y$3="申万三级行业",[1]!s_info_industry_sw_2021(W204,公司分析!D$5,3),IF($Y$3="wind一级行业",[1]!s_info_industry_gics(W204,1),IF($Y$3="wind二级行业",[1]!s_info_industry_gics(W204,2),IF($Y$3="wind三级行业",[1]!s_info_industry_gics(W204,3),IF($Y$3="wind四级行业",[1]!s_info_industry_gics(W204,4),IF($Y$3="证监会门类行业",[1]!s_info_industry_csrc12_n(W204,公司分析!D$5,1),""))))))))</f>
        <v>燃气Ⅱ</v>
      </c>
      <c r="Z204" s="302" t="str">
        <f ca="1">IF(Y204=行业比较!$E$6,ROW(),"")</f>
        <v/>
      </c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</row>
    <row r="205" spans="2:42">
      <c r="B205" s="122"/>
      <c r="C205" s="122"/>
      <c r="D205" s="122"/>
      <c r="E205" s="122"/>
      <c r="F205" s="122"/>
      <c r="G205" s="122"/>
      <c r="H205" s="122"/>
      <c r="I205" s="275"/>
      <c r="J205" s="130"/>
      <c r="K205" s="130"/>
      <c r="L205" s="130"/>
      <c r="M205" s="130"/>
      <c r="N205" s="291"/>
      <c r="O205" s="291"/>
      <c r="P205" s="122"/>
      <c r="Q205" s="122"/>
      <c r="R205" s="122"/>
      <c r="S205" s="122"/>
      <c r="T205" s="122"/>
      <c r="U205" s="301"/>
      <c r="V205" s="260">
        <f t="shared" ca="1" si="11"/>
        <v>0</v>
      </c>
      <c r="W205" s="348" t="str">
        <f>IF(板块成分!B207="","",板块成分!B207)</f>
        <v>000670.SZ</v>
      </c>
      <c r="X205" s="276" t="str">
        <f>[1]!S_Info_Name(W205)</f>
        <v>盈方微</v>
      </c>
      <c r="Y205" s="276" t="str">
        <f ca="1">IF($Y$3="申万一级行业",[1]!s_info_industry_sw_2021(W205,公司分析!D$5,1),IF($Y$3="申万二级行业",[1]!s_info_industry_sw_2021(W205,公司分析!D$5,2),IF($Y$3="申万三级行业",[1]!s_info_industry_sw_2021(W205,公司分析!D$5,3),IF($Y$3="wind一级行业",[1]!s_info_industry_gics(W205,1),IF($Y$3="wind二级行业",[1]!s_info_industry_gics(W205,2),IF($Y$3="wind三级行业",[1]!s_info_industry_gics(W205,3),IF($Y$3="wind四级行业",[1]!s_info_industry_gics(W205,4),IF($Y$3="证监会门类行业",[1]!s_info_industry_csrc12_n(W205,公司分析!D$5,1),""))))))))</f>
        <v>其他电子Ⅱ</v>
      </c>
      <c r="Z205" s="302" t="str">
        <f ca="1">IF(Y205=行业比较!$E$6,ROW(),"")</f>
        <v/>
      </c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</row>
    <row r="206" spans="2:42">
      <c r="B206" s="122"/>
      <c r="C206" s="122"/>
      <c r="D206" s="122"/>
      <c r="E206" s="122"/>
      <c r="F206" s="122"/>
      <c r="G206" s="122"/>
      <c r="H206" s="122"/>
      <c r="I206" s="275"/>
      <c r="J206" s="130"/>
      <c r="K206" s="130"/>
      <c r="L206" s="130"/>
      <c r="M206" s="130"/>
      <c r="N206" s="291"/>
      <c r="O206" s="291"/>
      <c r="P206" s="122"/>
      <c r="Q206" s="122"/>
      <c r="R206" s="122"/>
      <c r="S206" s="122"/>
      <c r="T206" s="122"/>
      <c r="U206" s="301"/>
      <c r="V206" s="260">
        <f t="shared" ca="1" si="11"/>
        <v>0</v>
      </c>
      <c r="W206" s="348" t="str">
        <f>IF(板块成分!B208="","",板块成分!B208)</f>
        <v>000672.SZ</v>
      </c>
      <c r="X206" s="276" t="str">
        <f>[1]!S_Info_Name(W206)</f>
        <v>上峰水泥</v>
      </c>
      <c r="Y206" s="276" t="str">
        <f ca="1">IF($Y$3="申万一级行业",[1]!s_info_industry_sw_2021(W206,公司分析!D$5,1),IF($Y$3="申万二级行业",[1]!s_info_industry_sw_2021(W206,公司分析!D$5,2),IF($Y$3="申万三级行业",[1]!s_info_industry_sw_2021(W206,公司分析!D$5,3),IF($Y$3="wind一级行业",[1]!s_info_industry_gics(W206,1),IF($Y$3="wind二级行业",[1]!s_info_industry_gics(W206,2),IF($Y$3="wind三级行业",[1]!s_info_industry_gics(W206,3),IF($Y$3="wind四级行业",[1]!s_info_industry_gics(W206,4),IF($Y$3="证监会门类行业",[1]!s_info_industry_csrc12_n(W206,公司分析!D$5,1),""))))))))</f>
        <v>水泥</v>
      </c>
      <c r="Z206" s="302" t="str">
        <f ca="1">IF(Y206=行业比较!$E$6,ROW(),"")</f>
        <v/>
      </c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</row>
    <row r="207" spans="2:42">
      <c r="B207" s="122"/>
      <c r="C207" s="122"/>
      <c r="D207" s="122"/>
      <c r="E207" s="122"/>
      <c r="F207" s="122"/>
      <c r="G207" s="122"/>
      <c r="H207" s="122"/>
      <c r="I207" s="275"/>
      <c r="J207" s="130"/>
      <c r="K207" s="130"/>
      <c r="L207" s="130"/>
      <c r="M207" s="130"/>
      <c r="N207" s="291"/>
      <c r="O207" s="291"/>
      <c r="P207" s="122"/>
      <c r="Q207" s="122"/>
      <c r="R207" s="122"/>
      <c r="S207" s="122"/>
      <c r="T207" s="122"/>
      <c r="U207" s="301"/>
      <c r="V207" s="260">
        <f t="shared" ca="1" si="11"/>
        <v>0</v>
      </c>
      <c r="W207" s="348" t="str">
        <f>IF(板块成分!B209="","",板块成分!B209)</f>
        <v>000676.SZ</v>
      </c>
      <c r="X207" s="276" t="str">
        <f>[1]!S_Info_Name(W207)</f>
        <v>智度股份</v>
      </c>
      <c r="Y207" s="276" t="str">
        <f ca="1">IF($Y$3="申万一级行业",[1]!s_info_industry_sw_2021(W207,公司分析!D$5,1),IF($Y$3="申万二级行业",[1]!s_info_industry_sw_2021(W207,公司分析!D$5,2),IF($Y$3="申万三级行业",[1]!s_info_industry_sw_2021(W207,公司分析!D$5,3),IF($Y$3="wind一级行业",[1]!s_info_industry_gics(W207,1),IF($Y$3="wind二级行业",[1]!s_info_industry_gics(W207,2),IF($Y$3="wind三级行业",[1]!s_info_industry_gics(W207,3),IF($Y$3="wind四级行业",[1]!s_info_industry_gics(W207,4),IF($Y$3="证监会门类行业",[1]!s_info_industry_csrc12_n(W207,公司分析!D$5,1),""))))))))</f>
        <v>广告营销</v>
      </c>
      <c r="Z207" s="302" t="str">
        <f ca="1">IF(Y207=行业比较!$E$6,ROW(),"")</f>
        <v/>
      </c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</row>
    <row r="208" spans="2:42">
      <c r="B208" s="122"/>
      <c r="C208" s="122"/>
      <c r="D208" s="122"/>
      <c r="E208" s="122"/>
      <c r="F208" s="122"/>
      <c r="G208" s="122"/>
      <c r="H208" s="122"/>
      <c r="I208" s="275"/>
      <c r="J208" s="130"/>
      <c r="K208" s="130"/>
      <c r="L208" s="130"/>
      <c r="M208" s="130"/>
      <c r="N208" s="291"/>
      <c r="O208" s="291"/>
      <c r="P208" s="122"/>
      <c r="Q208" s="122"/>
      <c r="R208" s="122"/>
      <c r="S208" s="122"/>
      <c r="T208" s="122"/>
      <c r="U208" s="301"/>
      <c r="V208" s="260">
        <f t="shared" ca="1" si="11"/>
        <v>0</v>
      </c>
      <c r="W208" s="348" t="str">
        <f>IF(板块成分!B210="","",板块成分!B210)</f>
        <v>000677.SZ</v>
      </c>
      <c r="X208" s="276" t="str">
        <f>[1]!S_Info_Name(W208)</f>
        <v>恒天海龙</v>
      </c>
      <c r="Y208" s="276" t="str">
        <f ca="1">IF($Y$3="申万一级行业",[1]!s_info_industry_sw_2021(W208,公司分析!D$5,1),IF($Y$3="申万二级行业",[1]!s_info_industry_sw_2021(W208,公司分析!D$5,2),IF($Y$3="申万三级行业",[1]!s_info_industry_sw_2021(W208,公司分析!D$5,3),IF($Y$3="wind一级行业",[1]!s_info_industry_gics(W208,1),IF($Y$3="wind二级行业",[1]!s_info_industry_gics(W208,2),IF($Y$3="wind三级行业",[1]!s_info_industry_gics(W208,3),IF($Y$3="wind四级行业",[1]!s_info_industry_gics(W208,4),IF($Y$3="证监会门类行业",[1]!s_info_industry_csrc12_n(W208,公司分析!D$5,1),""))))))))</f>
        <v>化学纤维</v>
      </c>
      <c r="Z208" s="302" t="str">
        <f ca="1">IF(Y208=行业比较!$E$6,ROW(),"")</f>
        <v/>
      </c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</row>
    <row r="209" spans="2:42">
      <c r="B209" s="122"/>
      <c r="C209" s="122"/>
      <c r="D209" s="122"/>
      <c r="E209" s="122"/>
      <c r="F209" s="122"/>
      <c r="G209" s="122"/>
      <c r="H209" s="122"/>
      <c r="I209" s="275"/>
      <c r="J209" s="130"/>
      <c r="K209" s="130"/>
      <c r="L209" s="130"/>
      <c r="M209" s="130"/>
      <c r="N209" s="291"/>
      <c r="O209" s="291"/>
      <c r="P209" s="122"/>
      <c r="Q209" s="122"/>
      <c r="R209" s="122"/>
      <c r="S209" s="122"/>
      <c r="T209" s="122"/>
      <c r="U209" s="301"/>
      <c r="V209" s="260">
        <f t="shared" ca="1" si="11"/>
        <v>0</v>
      </c>
      <c r="W209" s="348" t="str">
        <f>IF(板块成分!B211="","",板块成分!B211)</f>
        <v>000678.SZ</v>
      </c>
      <c r="X209" s="276" t="str">
        <f>[1]!S_Info_Name(W209)</f>
        <v>襄阳轴承</v>
      </c>
      <c r="Y209" s="276" t="str">
        <f ca="1">IF($Y$3="申万一级行业",[1]!s_info_industry_sw_2021(W209,公司分析!D$5,1),IF($Y$3="申万二级行业",[1]!s_info_industry_sw_2021(W209,公司分析!D$5,2),IF($Y$3="申万三级行业",[1]!s_info_industry_sw_2021(W209,公司分析!D$5,3),IF($Y$3="wind一级行业",[1]!s_info_industry_gics(W209,1),IF($Y$3="wind二级行业",[1]!s_info_industry_gics(W209,2),IF($Y$3="wind三级行业",[1]!s_info_industry_gics(W209,3),IF($Y$3="wind四级行业",[1]!s_info_industry_gics(W209,4),IF($Y$3="证监会门类行业",[1]!s_info_industry_csrc12_n(W209,公司分析!D$5,1),""))))))))</f>
        <v>汽车零部件</v>
      </c>
      <c r="Z209" s="302" t="str">
        <f ca="1">IF(Y209=行业比较!$E$6,ROW(),"")</f>
        <v/>
      </c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</row>
    <row r="210" spans="2:42">
      <c r="B210" s="122"/>
      <c r="C210" s="122"/>
      <c r="D210" s="122"/>
      <c r="E210" s="122"/>
      <c r="F210" s="122"/>
      <c r="G210" s="122"/>
      <c r="H210" s="122"/>
      <c r="I210" s="275"/>
      <c r="J210" s="130"/>
      <c r="K210" s="130"/>
      <c r="L210" s="130"/>
      <c r="M210" s="130"/>
      <c r="N210" s="291"/>
      <c r="O210" s="291"/>
      <c r="P210" s="122"/>
      <c r="Q210" s="122"/>
      <c r="R210" s="122"/>
      <c r="S210" s="122"/>
      <c r="T210" s="122"/>
      <c r="U210" s="301"/>
      <c r="V210" s="260">
        <f t="shared" ca="1" si="11"/>
        <v>0</v>
      </c>
      <c r="W210" s="348" t="str">
        <f>IF(板块成分!B212="","",板块成分!B212)</f>
        <v>000679.SZ</v>
      </c>
      <c r="X210" s="276" t="str">
        <f>[1]!S_Info_Name(W210)</f>
        <v>大连友谊</v>
      </c>
      <c r="Y210" s="276" t="str">
        <f ca="1">IF($Y$3="申万一级行业",[1]!s_info_industry_sw_2021(W210,公司分析!D$5,1),IF($Y$3="申万二级行业",[1]!s_info_industry_sw_2021(W210,公司分析!D$5,2),IF($Y$3="申万三级行业",[1]!s_info_industry_sw_2021(W210,公司分析!D$5,3),IF($Y$3="wind一级行业",[1]!s_info_industry_gics(W210,1),IF($Y$3="wind二级行业",[1]!s_info_industry_gics(W210,2),IF($Y$3="wind三级行业",[1]!s_info_industry_gics(W210,3),IF($Y$3="wind四级行业",[1]!s_info_industry_gics(W210,4),IF($Y$3="证监会门类行业",[1]!s_info_industry_csrc12_n(W210,公司分析!D$5,1),""))))))))</f>
        <v>一般零售</v>
      </c>
      <c r="Z210" s="302" t="str">
        <f ca="1">IF(Y210=行业比较!$E$6,ROW(),"")</f>
        <v/>
      </c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</row>
    <row r="211" spans="2:42">
      <c r="B211" s="122"/>
      <c r="C211" s="122"/>
      <c r="D211" s="122"/>
      <c r="E211" s="122"/>
      <c r="F211" s="122"/>
      <c r="G211" s="122"/>
      <c r="H211" s="122"/>
      <c r="I211" s="275"/>
      <c r="J211" s="130"/>
      <c r="K211" s="130"/>
      <c r="L211" s="130"/>
      <c r="M211" s="130"/>
      <c r="N211" s="291"/>
      <c r="O211" s="291"/>
      <c r="P211" s="122"/>
      <c r="Q211" s="122"/>
      <c r="R211" s="122"/>
      <c r="S211" s="122"/>
      <c r="T211" s="122"/>
      <c r="U211" s="301"/>
      <c r="V211" s="260">
        <f t="shared" ca="1" si="11"/>
        <v>0</v>
      </c>
      <c r="W211" s="348" t="str">
        <f>IF(板块成分!B213="","",板块成分!B213)</f>
        <v>000680.SZ</v>
      </c>
      <c r="X211" s="276" t="str">
        <f>[1]!S_Info_Name(W211)</f>
        <v>山推股份</v>
      </c>
      <c r="Y211" s="276" t="str">
        <f ca="1">IF($Y$3="申万一级行业",[1]!s_info_industry_sw_2021(W211,公司分析!D$5,1),IF($Y$3="申万二级行业",[1]!s_info_industry_sw_2021(W211,公司分析!D$5,2),IF($Y$3="申万三级行业",[1]!s_info_industry_sw_2021(W211,公司分析!D$5,3),IF($Y$3="wind一级行业",[1]!s_info_industry_gics(W211,1),IF($Y$3="wind二级行业",[1]!s_info_industry_gics(W211,2),IF($Y$3="wind三级行业",[1]!s_info_industry_gics(W211,3),IF($Y$3="wind四级行业",[1]!s_info_industry_gics(W211,4),IF($Y$3="证监会门类行业",[1]!s_info_industry_csrc12_n(W211,公司分析!D$5,1),""))))))))</f>
        <v>工程机械</v>
      </c>
      <c r="Z211" s="302" t="str">
        <f ca="1">IF(Y211=行业比较!$E$6,ROW(),"")</f>
        <v/>
      </c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</row>
    <row r="212" spans="2:42">
      <c r="B212" s="122"/>
      <c r="C212" s="122"/>
      <c r="D212" s="122"/>
      <c r="E212" s="122"/>
      <c r="F212" s="122"/>
      <c r="G212" s="122"/>
      <c r="H212" s="122"/>
      <c r="I212" s="275"/>
      <c r="J212" s="130"/>
      <c r="K212" s="130"/>
      <c r="L212" s="130"/>
      <c r="M212" s="130"/>
      <c r="N212" s="291"/>
      <c r="O212" s="291"/>
      <c r="P212" s="122"/>
      <c r="Q212" s="122"/>
      <c r="R212" s="122"/>
      <c r="S212" s="122"/>
      <c r="T212" s="122"/>
      <c r="U212" s="301"/>
      <c r="V212" s="260">
        <f t="shared" ca="1" si="11"/>
        <v>0</v>
      </c>
      <c r="W212" s="348" t="str">
        <f>IF(板块成分!B214="","",板块成分!B214)</f>
        <v>000681.SZ</v>
      </c>
      <c r="X212" s="276" t="str">
        <f>[1]!S_Info_Name(W212)</f>
        <v>视觉中国</v>
      </c>
      <c r="Y212" s="276" t="str">
        <f ca="1">IF($Y$3="申万一级行业",[1]!s_info_industry_sw_2021(W212,公司分析!D$5,1),IF($Y$3="申万二级行业",[1]!s_info_industry_sw_2021(W212,公司分析!D$5,2),IF($Y$3="申万三级行业",[1]!s_info_industry_sw_2021(W212,公司分析!D$5,3),IF($Y$3="wind一级行业",[1]!s_info_industry_gics(W212,1),IF($Y$3="wind二级行业",[1]!s_info_industry_gics(W212,2),IF($Y$3="wind三级行业",[1]!s_info_industry_gics(W212,3),IF($Y$3="wind四级行业",[1]!s_info_industry_gics(W212,4),IF($Y$3="证监会门类行业",[1]!s_info_industry_csrc12_n(W212,公司分析!D$5,1),""))))))))</f>
        <v>数字媒体</v>
      </c>
      <c r="Z212" s="302" t="str">
        <f ca="1">IF(Y212=行业比较!$E$6,ROW(),"")</f>
        <v/>
      </c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</row>
    <row r="213" spans="2:42">
      <c r="B213" s="122"/>
      <c r="C213" s="122"/>
      <c r="D213" s="122"/>
      <c r="E213" s="122"/>
      <c r="F213" s="122"/>
      <c r="G213" s="122"/>
      <c r="H213" s="122"/>
      <c r="I213" s="275"/>
      <c r="J213" s="130"/>
      <c r="K213" s="130"/>
      <c r="L213" s="130"/>
      <c r="M213" s="130"/>
      <c r="N213" s="291"/>
      <c r="O213" s="291"/>
      <c r="P213" s="122"/>
      <c r="Q213" s="122"/>
      <c r="R213" s="122"/>
      <c r="S213" s="122"/>
      <c r="T213" s="122"/>
      <c r="U213" s="301"/>
      <c r="V213" s="260">
        <f t="shared" ca="1" si="11"/>
        <v>0</v>
      </c>
      <c r="W213" s="348" t="str">
        <f>IF(板块成分!B215="","",板块成分!B215)</f>
        <v>000682.SZ</v>
      </c>
      <c r="X213" s="276" t="str">
        <f>[1]!S_Info_Name(W213)</f>
        <v>东方电子</v>
      </c>
      <c r="Y213" s="276" t="str">
        <f ca="1">IF($Y$3="申万一级行业",[1]!s_info_industry_sw_2021(W213,公司分析!D$5,1),IF($Y$3="申万二级行业",[1]!s_info_industry_sw_2021(W213,公司分析!D$5,2),IF($Y$3="申万三级行业",[1]!s_info_industry_sw_2021(W213,公司分析!D$5,3),IF($Y$3="wind一级行业",[1]!s_info_industry_gics(W213,1),IF($Y$3="wind二级行业",[1]!s_info_industry_gics(W213,2),IF($Y$3="wind三级行业",[1]!s_info_industry_gics(W213,3),IF($Y$3="wind四级行业",[1]!s_info_industry_gics(W213,4),IF($Y$3="证监会门类行业",[1]!s_info_industry_csrc12_n(W213,公司分析!D$5,1),""))))))))</f>
        <v>电网设备</v>
      </c>
      <c r="Z213" s="302" t="str">
        <f ca="1">IF(Y213=行业比较!$E$6,ROW(),"")</f>
        <v/>
      </c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</row>
    <row r="214" spans="2:42">
      <c r="B214" s="122"/>
      <c r="C214" s="122"/>
      <c r="D214" s="122"/>
      <c r="E214" s="122"/>
      <c r="F214" s="122"/>
      <c r="G214" s="122"/>
      <c r="H214" s="122"/>
      <c r="I214" s="275"/>
      <c r="J214" s="130"/>
      <c r="K214" s="130"/>
      <c r="L214" s="130"/>
      <c r="M214" s="130"/>
      <c r="N214" s="291"/>
      <c r="O214" s="291"/>
      <c r="P214" s="122"/>
      <c r="Q214" s="122"/>
      <c r="R214" s="122"/>
      <c r="S214" s="122"/>
      <c r="T214" s="122"/>
      <c r="U214" s="301"/>
      <c r="V214" s="260">
        <f t="shared" ca="1" si="11"/>
        <v>0</v>
      </c>
      <c r="W214" s="348" t="str">
        <f>IF(板块成分!B216="","",板块成分!B216)</f>
        <v>000683.SZ</v>
      </c>
      <c r="X214" s="276" t="str">
        <f>[1]!S_Info_Name(W214)</f>
        <v>博源化工</v>
      </c>
      <c r="Y214" s="276" t="str">
        <f ca="1">IF($Y$3="申万一级行业",[1]!s_info_industry_sw_2021(W214,公司分析!D$5,1),IF($Y$3="申万二级行业",[1]!s_info_industry_sw_2021(W214,公司分析!D$5,2),IF($Y$3="申万三级行业",[1]!s_info_industry_sw_2021(W214,公司分析!D$5,3),IF($Y$3="wind一级行业",[1]!s_info_industry_gics(W214,1),IF($Y$3="wind二级行业",[1]!s_info_industry_gics(W214,2),IF($Y$3="wind三级行业",[1]!s_info_industry_gics(W214,3),IF($Y$3="wind四级行业",[1]!s_info_industry_gics(W214,4),IF($Y$3="证监会门类行业",[1]!s_info_industry_csrc12_n(W214,公司分析!D$5,1),""))))))))</f>
        <v>化学原料</v>
      </c>
      <c r="Z214" s="302" t="str">
        <f ca="1">IF(Y214=行业比较!$E$6,ROW(),"")</f>
        <v/>
      </c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</row>
    <row r="215" spans="2:42">
      <c r="B215" s="122"/>
      <c r="C215" s="122"/>
      <c r="D215" s="122"/>
      <c r="E215" s="122"/>
      <c r="F215" s="122"/>
      <c r="G215" s="122"/>
      <c r="H215" s="122"/>
      <c r="I215" s="275"/>
      <c r="J215" s="130"/>
      <c r="K215" s="130"/>
      <c r="L215" s="130"/>
      <c r="M215" s="130"/>
      <c r="N215" s="291"/>
      <c r="O215" s="291"/>
      <c r="P215" s="122"/>
      <c r="Q215" s="122"/>
      <c r="R215" s="122"/>
      <c r="S215" s="122"/>
      <c r="T215" s="122"/>
      <c r="U215" s="301"/>
      <c r="V215" s="260">
        <f t="shared" ca="1" si="11"/>
        <v>0</v>
      </c>
      <c r="W215" s="348" t="str">
        <f>IF(板块成分!B217="","",板块成分!B217)</f>
        <v>000685.SZ</v>
      </c>
      <c r="X215" s="276" t="str">
        <f>[1]!S_Info_Name(W215)</f>
        <v>中山公用</v>
      </c>
      <c r="Y215" s="276" t="str">
        <f ca="1">IF($Y$3="申万一级行业",[1]!s_info_industry_sw_2021(W215,公司分析!D$5,1),IF($Y$3="申万二级行业",[1]!s_info_industry_sw_2021(W215,公司分析!D$5,2),IF($Y$3="申万三级行业",[1]!s_info_industry_sw_2021(W215,公司分析!D$5,3),IF($Y$3="wind一级行业",[1]!s_info_industry_gics(W215,1),IF($Y$3="wind二级行业",[1]!s_info_industry_gics(W215,2),IF($Y$3="wind三级行业",[1]!s_info_industry_gics(W215,3),IF($Y$3="wind四级行业",[1]!s_info_industry_gics(W215,4),IF($Y$3="证监会门类行业",[1]!s_info_industry_csrc12_n(W215,公司分析!D$5,1),""))))))))</f>
        <v>环境治理</v>
      </c>
      <c r="Z215" s="302" t="str">
        <f ca="1">IF(Y215=行业比较!$E$6,ROW(),"")</f>
        <v/>
      </c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</row>
    <row r="216" spans="2:42">
      <c r="B216" s="122"/>
      <c r="C216" s="122"/>
      <c r="D216" s="122"/>
      <c r="E216" s="122"/>
      <c r="F216" s="122"/>
      <c r="G216" s="122"/>
      <c r="H216" s="122"/>
      <c r="I216" s="275"/>
      <c r="J216" s="130"/>
      <c r="K216" s="130"/>
      <c r="L216" s="130"/>
      <c r="M216" s="130"/>
      <c r="N216" s="291"/>
      <c r="O216" s="291"/>
      <c r="P216" s="122"/>
      <c r="Q216" s="122"/>
      <c r="R216" s="122"/>
      <c r="S216" s="122"/>
      <c r="T216" s="122"/>
      <c r="U216" s="301"/>
      <c r="V216" s="260">
        <f t="shared" ca="1" si="11"/>
        <v>0</v>
      </c>
      <c r="W216" s="348" t="str">
        <f>IF(板块成分!B218="","",板块成分!B218)</f>
        <v>000686.SZ</v>
      </c>
      <c r="X216" s="276" t="str">
        <f>[1]!S_Info_Name(W216)</f>
        <v>东北证券</v>
      </c>
      <c r="Y216" s="276" t="str">
        <f ca="1">IF($Y$3="申万一级行业",[1]!s_info_industry_sw_2021(W216,公司分析!D$5,1),IF($Y$3="申万二级行业",[1]!s_info_industry_sw_2021(W216,公司分析!D$5,2),IF($Y$3="申万三级行业",[1]!s_info_industry_sw_2021(W216,公司分析!D$5,3),IF($Y$3="wind一级行业",[1]!s_info_industry_gics(W216,1),IF($Y$3="wind二级行业",[1]!s_info_industry_gics(W216,2),IF($Y$3="wind三级行业",[1]!s_info_industry_gics(W216,3),IF($Y$3="wind四级行业",[1]!s_info_industry_gics(W216,4),IF($Y$3="证监会门类行业",[1]!s_info_industry_csrc12_n(W216,公司分析!D$5,1),""))))))))</f>
        <v>证券Ⅱ</v>
      </c>
      <c r="Z216" s="302" t="str">
        <f ca="1">IF(Y216=行业比较!$E$6,ROW(),"")</f>
        <v/>
      </c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</row>
    <row r="217" spans="2:42">
      <c r="B217" s="122"/>
      <c r="C217" s="122"/>
      <c r="D217" s="122"/>
      <c r="E217" s="122"/>
      <c r="F217" s="122"/>
      <c r="G217" s="122"/>
      <c r="H217" s="122"/>
      <c r="I217" s="275"/>
      <c r="J217" s="130"/>
      <c r="K217" s="130"/>
      <c r="L217" s="130"/>
      <c r="M217" s="130"/>
      <c r="N217" s="291"/>
      <c r="O217" s="291"/>
      <c r="P217" s="122"/>
      <c r="Q217" s="122"/>
      <c r="R217" s="122"/>
      <c r="S217" s="122"/>
      <c r="T217" s="122"/>
      <c r="U217" s="301"/>
      <c r="V217" s="260">
        <f t="shared" ca="1" si="11"/>
        <v>6</v>
      </c>
      <c r="W217" s="348" t="str">
        <f>IF(板块成分!B219="","",板块成分!B219)</f>
        <v>000688.SZ</v>
      </c>
      <c r="X217" s="276" t="str">
        <f>[1]!S_Info_Name(W217)</f>
        <v>国城矿业</v>
      </c>
      <c r="Y217" s="276" t="str">
        <f ca="1">IF($Y$3="申万一级行业",[1]!s_info_industry_sw_2021(W217,公司分析!D$5,1),IF($Y$3="申万二级行业",[1]!s_info_industry_sw_2021(W217,公司分析!D$5,2),IF($Y$3="申万三级行业",[1]!s_info_industry_sw_2021(W217,公司分析!D$5,3),IF($Y$3="wind一级行业",[1]!s_info_industry_gics(W217,1),IF($Y$3="wind二级行业",[1]!s_info_industry_gics(W217,2),IF($Y$3="wind三级行业",[1]!s_info_industry_gics(W217,3),IF($Y$3="wind四级行业",[1]!s_info_industry_gics(W217,4),IF($Y$3="证监会门类行业",[1]!s_info_industry_csrc12_n(W217,公司分析!D$5,1),""))))))))</f>
        <v>工业金属</v>
      </c>
      <c r="Z217" s="302">
        <f ca="1">IF(Y217=行业比较!$E$6,ROW(),"")</f>
        <v>217</v>
      </c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</row>
    <row r="218" spans="2:42">
      <c r="B218" s="122"/>
      <c r="C218" s="122"/>
      <c r="D218" s="122"/>
      <c r="E218" s="122"/>
      <c r="F218" s="122"/>
      <c r="G218" s="122"/>
      <c r="H218" s="122"/>
      <c r="I218" s="275"/>
      <c r="J218" s="130"/>
      <c r="K218" s="130"/>
      <c r="L218" s="130"/>
      <c r="M218" s="130"/>
      <c r="N218" s="291"/>
      <c r="O218" s="291"/>
      <c r="P218" s="122"/>
      <c r="Q218" s="122"/>
      <c r="R218" s="122"/>
      <c r="S218" s="122"/>
      <c r="T218" s="122"/>
      <c r="U218" s="301"/>
      <c r="V218" s="260">
        <f t="shared" ca="1" si="11"/>
        <v>0</v>
      </c>
      <c r="W218" s="348" t="str">
        <f>IF(板块成分!B220="","",板块成分!B220)</f>
        <v>000690.SZ</v>
      </c>
      <c r="X218" s="276" t="str">
        <f>[1]!S_Info_Name(W218)</f>
        <v>宝新能源</v>
      </c>
      <c r="Y218" s="276" t="str">
        <f ca="1">IF($Y$3="申万一级行业",[1]!s_info_industry_sw_2021(W218,公司分析!D$5,1),IF($Y$3="申万二级行业",[1]!s_info_industry_sw_2021(W218,公司分析!D$5,2),IF($Y$3="申万三级行业",[1]!s_info_industry_sw_2021(W218,公司分析!D$5,3),IF($Y$3="wind一级行业",[1]!s_info_industry_gics(W218,1),IF($Y$3="wind二级行业",[1]!s_info_industry_gics(W218,2),IF($Y$3="wind三级行业",[1]!s_info_industry_gics(W218,3),IF($Y$3="wind四级行业",[1]!s_info_industry_gics(W218,4),IF($Y$3="证监会门类行业",[1]!s_info_industry_csrc12_n(W218,公司分析!D$5,1),""))))))))</f>
        <v>电力</v>
      </c>
      <c r="Z218" s="302" t="str">
        <f ca="1">IF(Y218=行业比较!$E$6,ROW(),"")</f>
        <v/>
      </c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</row>
    <row r="219" spans="2:42">
      <c r="B219" s="122"/>
      <c r="C219" s="122"/>
      <c r="D219" s="122"/>
      <c r="E219" s="122"/>
      <c r="F219" s="122"/>
      <c r="G219" s="122"/>
      <c r="H219" s="122"/>
      <c r="I219" s="275"/>
      <c r="J219" s="130"/>
      <c r="K219" s="130"/>
      <c r="L219" s="130"/>
      <c r="M219" s="130"/>
      <c r="N219" s="291"/>
      <c r="O219" s="291"/>
      <c r="P219" s="122"/>
      <c r="Q219" s="122"/>
      <c r="R219" s="122"/>
      <c r="S219" s="122"/>
      <c r="T219" s="122"/>
      <c r="U219" s="301"/>
      <c r="V219" s="260">
        <f t="shared" ca="1" si="11"/>
        <v>0</v>
      </c>
      <c r="W219" s="348" t="str">
        <f>IF(板块成分!B221="","",板块成分!B221)</f>
        <v>000691.SZ</v>
      </c>
      <c r="X219" s="276" t="str">
        <f>[1]!S_Info_Name(W219)</f>
        <v>*ST亚太</v>
      </c>
      <c r="Y219" s="276" t="str">
        <f ca="1">IF($Y$3="申万一级行业",[1]!s_info_industry_sw_2021(W219,公司分析!D$5,1),IF($Y$3="申万二级行业",[1]!s_info_industry_sw_2021(W219,公司分析!D$5,2),IF($Y$3="申万三级行业",[1]!s_info_industry_sw_2021(W219,公司分析!D$5,3),IF($Y$3="wind一级行业",[1]!s_info_industry_gics(W219,1),IF($Y$3="wind二级行业",[1]!s_info_industry_gics(W219,2),IF($Y$3="wind三级行业",[1]!s_info_industry_gics(W219,3),IF($Y$3="wind四级行业",[1]!s_info_industry_gics(W219,4),IF($Y$3="证监会门类行业",[1]!s_info_industry_csrc12_n(W219,公司分析!D$5,1),""))))))))</f>
        <v>化学原料</v>
      </c>
      <c r="Z219" s="302" t="str">
        <f ca="1">IF(Y219=行业比较!$E$6,ROW(),"")</f>
        <v/>
      </c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</row>
    <row r="220" spans="2:42">
      <c r="B220" s="122"/>
      <c r="C220" s="122"/>
      <c r="D220" s="122"/>
      <c r="E220" s="122"/>
      <c r="F220" s="122"/>
      <c r="G220" s="122"/>
      <c r="H220" s="122"/>
      <c r="I220" s="275"/>
      <c r="J220" s="130"/>
      <c r="K220" s="130"/>
      <c r="L220" s="130"/>
      <c r="M220" s="130"/>
      <c r="N220" s="291"/>
      <c r="O220" s="291"/>
      <c r="P220" s="122"/>
      <c r="Q220" s="122"/>
      <c r="R220" s="122"/>
      <c r="S220" s="122"/>
      <c r="T220" s="122"/>
      <c r="U220" s="301"/>
      <c r="V220" s="260">
        <f t="shared" ca="1" si="11"/>
        <v>0</v>
      </c>
      <c r="W220" s="348" t="str">
        <f>IF(板块成分!B222="","",板块成分!B222)</f>
        <v>000692.SZ</v>
      </c>
      <c r="X220" s="276" t="str">
        <f>[1]!S_Info_Name(W220)</f>
        <v>惠天热电</v>
      </c>
      <c r="Y220" s="276" t="str">
        <f ca="1">IF($Y$3="申万一级行业",[1]!s_info_industry_sw_2021(W220,公司分析!D$5,1),IF($Y$3="申万二级行业",[1]!s_info_industry_sw_2021(W220,公司分析!D$5,2),IF($Y$3="申万三级行业",[1]!s_info_industry_sw_2021(W220,公司分析!D$5,3),IF($Y$3="wind一级行业",[1]!s_info_industry_gics(W220,1),IF($Y$3="wind二级行业",[1]!s_info_industry_gics(W220,2),IF($Y$3="wind三级行业",[1]!s_info_industry_gics(W220,3),IF($Y$3="wind四级行业",[1]!s_info_industry_gics(W220,4),IF($Y$3="证监会门类行业",[1]!s_info_industry_csrc12_n(W220,公司分析!D$5,1),""))))))))</f>
        <v>电力</v>
      </c>
      <c r="Z220" s="302" t="str">
        <f ca="1">IF(Y220=行业比较!$E$6,ROW(),"")</f>
        <v/>
      </c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</row>
    <row r="221" spans="2:42">
      <c r="B221" s="122"/>
      <c r="C221" s="122"/>
      <c r="D221" s="122"/>
      <c r="E221" s="122"/>
      <c r="F221" s="122"/>
      <c r="G221" s="122"/>
      <c r="H221" s="122"/>
      <c r="I221" s="275"/>
      <c r="J221" s="130"/>
      <c r="K221" s="130"/>
      <c r="L221" s="130"/>
      <c r="M221" s="130"/>
      <c r="N221" s="291"/>
      <c r="O221" s="291"/>
      <c r="P221" s="122"/>
      <c r="Q221" s="122"/>
      <c r="R221" s="122"/>
      <c r="S221" s="122"/>
      <c r="T221" s="122"/>
      <c r="U221" s="301"/>
      <c r="V221" s="260">
        <f t="shared" ca="1" si="11"/>
        <v>0</v>
      </c>
      <c r="W221" s="348" t="str">
        <f>IF(板块成分!B223="","",板块成分!B223)</f>
        <v>000695.SZ</v>
      </c>
      <c r="X221" s="276" t="str">
        <f>[1]!S_Info_Name(W221)</f>
        <v>滨海能源</v>
      </c>
      <c r="Y221" s="276" t="str">
        <f ca="1">IF($Y$3="申万一级行业",[1]!s_info_industry_sw_2021(W221,公司分析!D$5,1),IF($Y$3="申万二级行业",[1]!s_info_industry_sw_2021(W221,公司分析!D$5,2),IF($Y$3="申万三级行业",[1]!s_info_industry_sw_2021(W221,公司分析!D$5,3),IF($Y$3="wind一级行业",[1]!s_info_industry_gics(W221,1),IF($Y$3="wind二级行业",[1]!s_info_industry_gics(W221,2),IF($Y$3="wind三级行业",[1]!s_info_industry_gics(W221,3),IF($Y$3="wind四级行业",[1]!s_info_industry_gics(W221,4),IF($Y$3="证监会门类行业",[1]!s_info_industry_csrc12_n(W221,公司分析!D$5,1),""))))))))</f>
        <v>电池</v>
      </c>
      <c r="Z221" s="302" t="str">
        <f ca="1">IF(Y221=行业比较!$E$6,ROW(),"")</f>
        <v/>
      </c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</row>
    <row r="222" spans="2:42">
      <c r="B222" s="122"/>
      <c r="C222" s="122"/>
      <c r="D222" s="122"/>
      <c r="E222" s="122"/>
      <c r="F222" s="122"/>
      <c r="G222" s="122"/>
      <c r="H222" s="122"/>
      <c r="I222" s="275"/>
      <c r="J222" s="130"/>
      <c r="K222" s="130"/>
      <c r="L222" s="130"/>
      <c r="M222" s="130"/>
      <c r="N222" s="291"/>
      <c r="O222" s="291"/>
      <c r="P222" s="122"/>
      <c r="Q222" s="122"/>
      <c r="R222" s="122"/>
      <c r="S222" s="122"/>
      <c r="T222" s="122"/>
      <c r="U222" s="301"/>
      <c r="V222" s="260">
        <f t="shared" ca="1" si="11"/>
        <v>0</v>
      </c>
      <c r="W222" s="348" t="str">
        <f>IF(板块成分!B224="","",板块成分!B224)</f>
        <v>000697.SZ</v>
      </c>
      <c r="X222" s="276" t="str">
        <f>[1]!S_Info_Name(W222)</f>
        <v>ST炼石</v>
      </c>
      <c r="Y222" s="276" t="str">
        <f ca="1">IF($Y$3="申万一级行业",[1]!s_info_industry_sw_2021(W222,公司分析!D$5,1),IF($Y$3="申万二级行业",[1]!s_info_industry_sw_2021(W222,公司分析!D$5,2),IF($Y$3="申万三级行业",[1]!s_info_industry_sw_2021(W222,公司分析!D$5,3),IF($Y$3="wind一级行业",[1]!s_info_industry_gics(W222,1),IF($Y$3="wind二级行业",[1]!s_info_industry_gics(W222,2),IF($Y$3="wind三级行业",[1]!s_info_industry_gics(W222,3),IF($Y$3="wind四级行业",[1]!s_info_industry_gics(W222,4),IF($Y$3="证监会门类行业",[1]!s_info_industry_csrc12_n(W222,公司分析!D$5,1),""))))))))</f>
        <v>航空装备Ⅱ</v>
      </c>
      <c r="Z222" s="302" t="str">
        <f ca="1">IF(Y222=行业比较!$E$6,ROW(),"")</f>
        <v/>
      </c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</row>
    <row r="223" spans="2:42">
      <c r="B223" s="122"/>
      <c r="C223" s="122"/>
      <c r="D223" s="122"/>
      <c r="E223" s="122"/>
      <c r="F223" s="122"/>
      <c r="G223" s="122"/>
      <c r="H223" s="122"/>
      <c r="I223" s="275"/>
      <c r="J223" s="130"/>
      <c r="K223" s="130"/>
      <c r="L223" s="130"/>
      <c r="M223" s="130"/>
      <c r="N223" s="291"/>
      <c r="O223" s="291"/>
      <c r="P223" s="122"/>
      <c r="Q223" s="122"/>
      <c r="R223" s="122"/>
      <c r="S223" s="122"/>
      <c r="T223" s="122"/>
      <c r="U223" s="301"/>
      <c r="V223" s="260">
        <f t="shared" ca="1" si="11"/>
        <v>0</v>
      </c>
      <c r="W223" s="348" t="str">
        <f>IF(板块成分!B225="","",板块成分!B225)</f>
        <v>000698.SZ</v>
      </c>
      <c r="X223" s="276" t="str">
        <f>[1]!S_Info_Name(W223)</f>
        <v>ST沈化</v>
      </c>
      <c r="Y223" s="276" t="str">
        <f ca="1">IF($Y$3="申万一级行业",[1]!s_info_industry_sw_2021(W223,公司分析!D$5,1),IF($Y$3="申万二级行业",[1]!s_info_industry_sw_2021(W223,公司分析!D$5,2),IF($Y$3="申万三级行业",[1]!s_info_industry_sw_2021(W223,公司分析!D$5,3),IF($Y$3="wind一级行业",[1]!s_info_industry_gics(W223,1),IF($Y$3="wind二级行业",[1]!s_info_industry_gics(W223,2),IF($Y$3="wind三级行业",[1]!s_info_industry_gics(W223,3),IF($Y$3="wind四级行业",[1]!s_info_industry_gics(W223,4),IF($Y$3="证监会门类行业",[1]!s_info_industry_csrc12_n(W223,公司分析!D$5,1),""))))))))</f>
        <v>炼化及贸易</v>
      </c>
      <c r="Z223" s="302" t="str">
        <f ca="1">IF(Y223=行业比较!$E$6,ROW(),"")</f>
        <v/>
      </c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</row>
    <row r="224" spans="2:42">
      <c r="B224" s="122"/>
      <c r="C224" s="122"/>
      <c r="D224" s="122"/>
      <c r="E224" s="122"/>
      <c r="F224" s="122"/>
      <c r="G224" s="122"/>
      <c r="H224" s="122"/>
      <c r="I224" s="275"/>
      <c r="J224" s="130"/>
      <c r="K224" s="130"/>
      <c r="L224" s="130"/>
      <c r="M224" s="130"/>
      <c r="N224" s="291"/>
      <c r="O224" s="291"/>
      <c r="P224" s="122"/>
      <c r="Q224" s="122"/>
      <c r="R224" s="122"/>
      <c r="S224" s="122"/>
      <c r="T224" s="122"/>
      <c r="U224" s="301"/>
      <c r="V224" s="260">
        <f t="shared" ca="1" si="11"/>
        <v>0</v>
      </c>
      <c r="W224" s="348" t="str">
        <f>IF(板块成分!B226="","",板块成分!B226)</f>
        <v>000700.SZ</v>
      </c>
      <c r="X224" s="276" t="str">
        <f>[1]!S_Info_Name(W224)</f>
        <v>模塑科技</v>
      </c>
      <c r="Y224" s="276" t="str">
        <f ca="1">IF($Y$3="申万一级行业",[1]!s_info_industry_sw_2021(W224,公司分析!D$5,1),IF($Y$3="申万二级行业",[1]!s_info_industry_sw_2021(W224,公司分析!D$5,2),IF($Y$3="申万三级行业",[1]!s_info_industry_sw_2021(W224,公司分析!D$5,3),IF($Y$3="wind一级行业",[1]!s_info_industry_gics(W224,1),IF($Y$3="wind二级行业",[1]!s_info_industry_gics(W224,2),IF($Y$3="wind三级行业",[1]!s_info_industry_gics(W224,3),IF($Y$3="wind四级行业",[1]!s_info_industry_gics(W224,4),IF($Y$3="证监会门类行业",[1]!s_info_industry_csrc12_n(W224,公司分析!D$5,1),""))))))))</f>
        <v>汽车零部件</v>
      </c>
      <c r="Z224" s="302" t="str">
        <f ca="1">IF(Y224=行业比较!$E$6,ROW(),"")</f>
        <v/>
      </c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</row>
    <row r="225" spans="2:42">
      <c r="B225" s="122"/>
      <c r="C225" s="122"/>
      <c r="D225" s="122"/>
      <c r="E225" s="122"/>
      <c r="F225" s="122"/>
      <c r="G225" s="122"/>
      <c r="H225" s="122"/>
      <c r="I225" s="275"/>
      <c r="J225" s="130"/>
      <c r="K225" s="130"/>
      <c r="L225" s="130"/>
      <c r="M225" s="130"/>
      <c r="N225" s="291"/>
      <c r="O225" s="291"/>
      <c r="P225" s="122"/>
      <c r="Q225" s="122"/>
      <c r="R225" s="122"/>
      <c r="S225" s="122"/>
      <c r="T225" s="122"/>
      <c r="U225" s="301"/>
      <c r="V225" s="260">
        <f t="shared" ca="1" si="11"/>
        <v>0</v>
      </c>
      <c r="W225" s="348" t="str">
        <f>IF(板块成分!B227="","",板块成分!B227)</f>
        <v>000701.SZ</v>
      </c>
      <c r="X225" s="276" t="str">
        <f>[1]!S_Info_Name(W225)</f>
        <v>厦门信达</v>
      </c>
      <c r="Y225" s="276" t="str">
        <f ca="1">IF($Y$3="申万一级行业",[1]!s_info_industry_sw_2021(W225,公司分析!D$5,1),IF($Y$3="申万二级行业",[1]!s_info_industry_sw_2021(W225,公司分析!D$5,2),IF($Y$3="申万三级行业",[1]!s_info_industry_sw_2021(W225,公司分析!D$5,3),IF($Y$3="wind一级行业",[1]!s_info_industry_gics(W225,1),IF($Y$3="wind二级行业",[1]!s_info_industry_gics(W225,2),IF($Y$3="wind三级行业",[1]!s_info_industry_gics(W225,3),IF($Y$3="wind四级行业",[1]!s_info_industry_gics(W225,4),IF($Y$3="证监会门类行业",[1]!s_info_industry_csrc12_n(W225,公司分析!D$5,1),""))))))))</f>
        <v>汽车服务</v>
      </c>
      <c r="Z225" s="302" t="str">
        <f ca="1">IF(Y225=行业比较!$E$6,ROW(),"")</f>
        <v/>
      </c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</row>
    <row r="226" spans="2:42">
      <c r="B226" s="122"/>
      <c r="C226" s="122"/>
      <c r="D226" s="122"/>
      <c r="E226" s="122"/>
      <c r="F226" s="122"/>
      <c r="G226" s="122"/>
      <c r="H226" s="122"/>
      <c r="I226" s="275"/>
      <c r="J226" s="130"/>
      <c r="K226" s="130"/>
      <c r="L226" s="130"/>
      <c r="M226" s="130"/>
      <c r="N226" s="291"/>
      <c r="O226" s="291"/>
      <c r="P226" s="122"/>
      <c r="Q226" s="122"/>
      <c r="R226" s="122"/>
      <c r="S226" s="122"/>
      <c r="T226" s="122"/>
      <c r="U226" s="301"/>
      <c r="V226" s="260">
        <f t="shared" ca="1" si="11"/>
        <v>0</v>
      </c>
      <c r="W226" s="348" t="str">
        <f>IF(板块成分!B228="","",板块成分!B228)</f>
        <v>000702.SZ</v>
      </c>
      <c r="X226" s="276" t="str">
        <f>[1]!S_Info_Name(W226)</f>
        <v>正虹科技</v>
      </c>
      <c r="Y226" s="276" t="str">
        <f ca="1">IF($Y$3="申万一级行业",[1]!s_info_industry_sw_2021(W226,公司分析!D$5,1),IF($Y$3="申万二级行业",[1]!s_info_industry_sw_2021(W226,公司分析!D$5,2),IF($Y$3="申万三级行业",[1]!s_info_industry_sw_2021(W226,公司分析!D$5,3),IF($Y$3="wind一级行业",[1]!s_info_industry_gics(W226,1),IF($Y$3="wind二级行业",[1]!s_info_industry_gics(W226,2),IF($Y$3="wind三级行业",[1]!s_info_industry_gics(W226,3),IF($Y$3="wind四级行业",[1]!s_info_industry_gics(W226,4),IF($Y$3="证监会门类行业",[1]!s_info_industry_csrc12_n(W226,公司分析!D$5,1),""))))))))</f>
        <v>饲料</v>
      </c>
      <c r="Z226" s="302" t="str">
        <f ca="1">IF(Y226=行业比较!$E$6,ROW(),"")</f>
        <v/>
      </c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</row>
    <row r="227" spans="2:42">
      <c r="B227" s="122"/>
      <c r="C227" s="122"/>
      <c r="D227" s="122"/>
      <c r="E227" s="122"/>
      <c r="F227" s="122"/>
      <c r="G227" s="122"/>
      <c r="H227" s="122"/>
      <c r="I227" s="275"/>
      <c r="J227" s="130"/>
      <c r="K227" s="130"/>
      <c r="L227" s="130"/>
      <c r="M227" s="130"/>
      <c r="N227" s="291"/>
      <c r="O227" s="291"/>
      <c r="P227" s="122"/>
      <c r="Q227" s="122"/>
      <c r="R227" s="122"/>
      <c r="S227" s="122"/>
      <c r="T227" s="122"/>
      <c r="U227" s="301"/>
      <c r="V227" s="260">
        <f t="shared" ca="1" si="11"/>
        <v>0</v>
      </c>
      <c r="W227" s="348" t="str">
        <f>IF(板块成分!B229="","",板块成分!B229)</f>
        <v>000703.SZ</v>
      </c>
      <c r="X227" s="276" t="str">
        <f>[1]!S_Info_Name(W227)</f>
        <v>恒逸石化</v>
      </c>
      <c r="Y227" s="276" t="str">
        <f ca="1">IF($Y$3="申万一级行业",[1]!s_info_industry_sw_2021(W227,公司分析!D$5,1),IF($Y$3="申万二级行业",[1]!s_info_industry_sw_2021(W227,公司分析!D$5,2),IF($Y$3="申万三级行业",[1]!s_info_industry_sw_2021(W227,公司分析!D$5,3),IF($Y$3="wind一级行业",[1]!s_info_industry_gics(W227,1),IF($Y$3="wind二级行业",[1]!s_info_industry_gics(W227,2),IF($Y$3="wind三级行业",[1]!s_info_industry_gics(W227,3),IF($Y$3="wind四级行业",[1]!s_info_industry_gics(W227,4),IF($Y$3="证监会门类行业",[1]!s_info_industry_csrc12_n(W227,公司分析!D$5,1),""))))))))</f>
        <v>炼化及贸易</v>
      </c>
      <c r="Z227" s="302" t="str">
        <f ca="1">IF(Y227=行业比较!$E$6,ROW(),"")</f>
        <v/>
      </c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</row>
    <row r="228" spans="2:42">
      <c r="B228" s="122"/>
      <c r="C228" s="122"/>
      <c r="D228" s="122"/>
      <c r="E228" s="122"/>
      <c r="F228" s="122"/>
      <c r="G228" s="122"/>
      <c r="H228" s="122"/>
      <c r="I228" s="275"/>
      <c r="J228" s="130"/>
      <c r="K228" s="130"/>
      <c r="L228" s="130"/>
      <c r="M228" s="130"/>
      <c r="N228" s="291"/>
      <c r="O228" s="291"/>
      <c r="P228" s="122"/>
      <c r="Q228" s="122"/>
      <c r="R228" s="122"/>
      <c r="S228" s="122"/>
      <c r="T228" s="122"/>
      <c r="U228" s="301"/>
      <c r="V228" s="260">
        <f t="shared" ca="1" si="11"/>
        <v>0</v>
      </c>
      <c r="W228" s="348" t="str">
        <f>IF(板块成分!B230="","",板块成分!B230)</f>
        <v>000705.SZ</v>
      </c>
      <c r="X228" s="276" t="str">
        <f>[1]!S_Info_Name(W228)</f>
        <v>浙江震元</v>
      </c>
      <c r="Y228" s="276" t="str">
        <f ca="1">IF($Y$3="申万一级行业",[1]!s_info_industry_sw_2021(W228,公司分析!D$5,1),IF($Y$3="申万二级行业",[1]!s_info_industry_sw_2021(W228,公司分析!D$5,2),IF($Y$3="申万三级行业",[1]!s_info_industry_sw_2021(W228,公司分析!D$5,3),IF($Y$3="wind一级行业",[1]!s_info_industry_gics(W228,1),IF($Y$3="wind二级行业",[1]!s_info_industry_gics(W228,2),IF($Y$3="wind三级行业",[1]!s_info_industry_gics(W228,3),IF($Y$3="wind四级行业",[1]!s_info_industry_gics(W228,4),IF($Y$3="证监会门类行业",[1]!s_info_industry_csrc12_n(W228,公司分析!D$5,1),""))))))))</f>
        <v>医药商业</v>
      </c>
      <c r="Z228" s="302" t="str">
        <f ca="1">IF(Y228=行业比较!$E$6,ROW(),"")</f>
        <v/>
      </c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</row>
    <row r="229" spans="2:42">
      <c r="B229" s="122"/>
      <c r="C229" s="122"/>
      <c r="D229" s="122"/>
      <c r="E229" s="122"/>
      <c r="F229" s="122"/>
      <c r="G229" s="122"/>
      <c r="H229" s="122"/>
      <c r="I229" s="275"/>
      <c r="J229" s="130"/>
      <c r="K229" s="130"/>
      <c r="L229" s="130"/>
      <c r="M229" s="130"/>
      <c r="N229" s="291"/>
      <c r="O229" s="291"/>
      <c r="P229" s="122"/>
      <c r="Q229" s="122"/>
      <c r="R229" s="122"/>
      <c r="S229" s="122"/>
      <c r="T229" s="122"/>
      <c r="U229" s="301"/>
      <c r="V229" s="260">
        <f t="shared" ca="1" si="11"/>
        <v>0</v>
      </c>
      <c r="W229" s="348" t="str">
        <f>IF(板块成分!B231="","",板块成分!B231)</f>
        <v>000707.SZ</v>
      </c>
      <c r="X229" s="276" t="str">
        <f>[1]!S_Info_Name(W229)</f>
        <v>双环科技</v>
      </c>
      <c r="Y229" s="276" t="str">
        <f ca="1">IF($Y$3="申万一级行业",[1]!s_info_industry_sw_2021(W229,公司分析!D$5,1),IF($Y$3="申万二级行业",[1]!s_info_industry_sw_2021(W229,公司分析!D$5,2),IF($Y$3="申万三级行业",[1]!s_info_industry_sw_2021(W229,公司分析!D$5,3),IF($Y$3="wind一级行业",[1]!s_info_industry_gics(W229,1),IF($Y$3="wind二级行业",[1]!s_info_industry_gics(W229,2),IF($Y$3="wind三级行业",[1]!s_info_industry_gics(W229,3),IF($Y$3="wind四级行业",[1]!s_info_industry_gics(W229,4),IF($Y$3="证监会门类行业",[1]!s_info_industry_csrc12_n(W229,公司分析!D$5,1),""))))))))</f>
        <v>化学原料</v>
      </c>
      <c r="Z229" s="302" t="str">
        <f ca="1">IF(Y229=行业比较!$E$6,ROW(),"")</f>
        <v/>
      </c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</row>
    <row r="230" spans="2:42">
      <c r="B230" s="122"/>
      <c r="C230" s="122"/>
      <c r="D230" s="122"/>
      <c r="E230" s="122"/>
      <c r="F230" s="122"/>
      <c r="G230" s="122"/>
      <c r="H230" s="122"/>
      <c r="I230" s="275"/>
      <c r="J230" s="130"/>
      <c r="K230" s="130"/>
      <c r="L230" s="130"/>
      <c r="M230" s="130"/>
      <c r="N230" s="291"/>
      <c r="O230" s="291"/>
      <c r="P230" s="122"/>
      <c r="Q230" s="122"/>
      <c r="R230" s="122"/>
      <c r="S230" s="122"/>
      <c r="T230" s="122"/>
      <c r="U230" s="301"/>
      <c r="V230" s="260">
        <f t="shared" ca="1" si="11"/>
        <v>0</v>
      </c>
      <c r="W230" s="348" t="str">
        <f>IF(板块成分!B232="","",板块成分!B232)</f>
        <v>000708.SZ</v>
      </c>
      <c r="X230" s="276" t="str">
        <f>[1]!S_Info_Name(W230)</f>
        <v>中信特钢</v>
      </c>
      <c r="Y230" s="276" t="str">
        <f ca="1">IF($Y$3="申万一级行业",[1]!s_info_industry_sw_2021(W230,公司分析!D$5,1),IF($Y$3="申万二级行业",[1]!s_info_industry_sw_2021(W230,公司分析!D$5,2),IF($Y$3="申万三级行业",[1]!s_info_industry_sw_2021(W230,公司分析!D$5,3),IF($Y$3="wind一级行业",[1]!s_info_industry_gics(W230,1),IF($Y$3="wind二级行业",[1]!s_info_industry_gics(W230,2),IF($Y$3="wind三级行业",[1]!s_info_industry_gics(W230,3),IF($Y$3="wind四级行业",[1]!s_info_industry_gics(W230,4),IF($Y$3="证监会门类行业",[1]!s_info_industry_csrc12_n(W230,公司分析!D$5,1),""))))))))</f>
        <v>特钢Ⅱ</v>
      </c>
      <c r="Z230" s="302" t="str">
        <f ca="1">IF(Y230=行业比较!$E$6,ROW(),"")</f>
        <v/>
      </c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</row>
    <row r="231" spans="2:42">
      <c r="B231" s="122"/>
      <c r="C231" s="122"/>
      <c r="D231" s="122"/>
      <c r="E231" s="122"/>
      <c r="F231" s="122"/>
      <c r="G231" s="122"/>
      <c r="H231" s="122"/>
      <c r="I231" s="275"/>
      <c r="J231" s="130"/>
      <c r="K231" s="130"/>
      <c r="L231" s="130"/>
      <c r="M231" s="130"/>
      <c r="N231" s="291"/>
      <c r="O231" s="291"/>
      <c r="P231" s="122"/>
      <c r="Q231" s="122"/>
      <c r="R231" s="122"/>
      <c r="S231" s="122"/>
      <c r="T231" s="122"/>
      <c r="U231" s="301"/>
      <c r="V231" s="260">
        <f t="shared" ca="1" si="11"/>
        <v>0</v>
      </c>
      <c r="W231" s="348" t="str">
        <f>IF(板块成分!B233="","",板块成分!B233)</f>
        <v>000709.SZ</v>
      </c>
      <c r="X231" s="276" t="str">
        <f>[1]!S_Info_Name(W231)</f>
        <v>河钢股份</v>
      </c>
      <c r="Y231" s="276" t="str">
        <f ca="1">IF($Y$3="申万一级行业",[1]!s_info_industry_sw_2021(W231,公司分析!D$5,1),IF($Y$3="申万二级行业",[1]!s_info_industry_sw_2021(W231,公司分析!D$5,2),IF($Y$3="申万三级行业",[1]!s_info_industry_sw_2021(W231,公司分析!D$5,3),IF($Y$3="wind一级行业",[1]!s_info_industry_gics(W231,1),IF($Y$3="wind二级行业",[1]!s_info_industry_gics(W231,2),IF($Y$3="wind三级行业",[1]!s_info_industry_gics(W231,3),IF($Y$3="wind四级行业",[1]!s_info_industry_gics(W231,4),IF($Y$3="证监会门类行业",[1]!s_info_industry_csrc12_n(W231,公司分析!D$5,1),""))))))))</f>
        <v>普钢</v>
      </c>
      <c r="Z231" s="302" t="str">
        <f ca="1">IF(Y231=行业比较!$E$6,ROW(),"")</f>
        <v/>
      </c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</row>
    <row r="232" spans="2:42">
      <c r="B232" s="122"/>
      <c r="C232" s="122"/>
      <c r="D232" s="122"/>
      <c r="E232" s="122"/>
      <c r="F232" s="122"/>
      <c r="G232" s="122"/>
      <c r="H232" s="122"/>
      <c r="I232" s="275"/>
      <c r="J232" s="130"/>
      <c r="K232" s="130"/>
      <c r="L232" s="130"/>
      <c r="M232" s="130"/>
      <c r="N232" s="291"/>
      <c r="O232" s="291"/>
      <c r="P232" s="122"/>
      <c r="Q232" s="122"/>
      <c r="R232" s="122"/>
      <c r="S232" s="122"/>
      <c r="T232" s="122"/>
      <c r="U232" s="301"/>
      <c r="V232" s="260">
        <f t="shared" ca="1" si="11"/>
        <v>0</v>
      </c>
      <c r="W232" s="348" t="str">
        <f>IF(板块成分!B234="","",板块成分!B234)</f>
        <v>000710.SZ</v>
      </c>
      <c r="X232" s="276" t="str">
        <f>[1]!S_Info_Name(W232)</f>
        <v>贝瑞基因</v>
      </c>
      <c r="Y232" s="276" t="str">
        <f ca="1">IF($Y$3="申万一级行业",[1]!s_info_industry_sw_2021(W232,公司分析!D$5,1),IF($Y$3="申万二级行业",[1]!s_info_industry_sw_2021(W232,公司分析!D$5,2),IF($Y$3="申万三级行业",[1]!s_info_industry_sw_2021(W232,公司分析!D$5,3),IF($Y$3="wind一级行业",[1]!s_info_industry_gics(W232,1),IF($Y$3="wind二级行业",[1]!s_info_industry_gics(W232,2),IF($Y$3="wind三级行业",[1]!s_info_industry_gics(W232,3),IF($Y$3="wind四级行业",[1]!s_info_industry_gics(W232,4),IF($Y$3="证监会门类行业",[1]!s_info_industry_csrc12_n(W232,公司分析!D$5,1),""))))))))</f>
        <v>医疗服务</v>
      </c>
      <c r="Z232" s="302" t="str">
        <f ca="1">IF(Y232=行业比较!$E$6,ROW(),"")</f>
        <v/>
      </c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</row>
    <row r="233" spans="2:42">
      <c r="B233" s="122"/>
      <c r="C233" s="122"/>
      <c r="D233" s="122"/>
      <c r="E233" s="122"/>
      <c r="F233" s="122"/>
      <c r="G233" s="122"/>
      <c r="H233" s="122"/>
      <c r="I233" s="275"/>
      <c r="J233" s="130"/>
      <c r="K233" s="130"/>
      <c r="L233" s="130"/>
      <c r="M233" s="130"/>
      <c r="N233" s="291"/>
      <c r="O233" s="291"/>
      <c r="P233" s="122"/>
      <c r="Q233" s="122"/>
      <c r="R233" s="122"/>
      <c r="S233" s="122"/>
      <c r="T233" s="122"/>
      <c r="U233" s="301"/>
      <c r="V233" s="260">
        <f t="shared" ca="1" si="11"/>
        <v>0</v>
      </c>
      <c r="W233" s="348" t="str">
        <f>IF(板块成分!B235="","",板块成分!B235)</f>
        <v>000711.SZ</v>
      </c>
      <c r="X233" s="276" t="str">
        <f>[1]!S_Info_Name(W233)</f>
        <v>ST京蓝</v>
      </c>
      <c r="Y233" s="276" t="str">
        <f ca="1">IF($Y$3="申万一级行业",[1]!s_info_industry_sw_2021(W233,公司分析!D$5,1),IF($Y$3="申万二级行业",[1]!s_info_industry_sw_2021(W233,公司分析!D$5,2),IF($Y$3="申万三级行业",[1]!s_info_industry_sw_2021(W233,公司分析!D$5,3),IF($Y$3="wind一级行业",[1]!s_info_industry_gics(W233,1),IF($Y$3="wind二级行业",[1]!s_info_industry_gics(W233,2),IF($Y$3="wind三级行业",[1]!s_info_industry_gics(W233,3),IF($Y$3="wind四级行业",[1]!s_info_industry_gics(W233,4),IF($Y$3="证监会门类行业",[1]!s_info_industry_csrc12_n(W233,公司分析!D$5,1),""))))))))</f>
        <v>环境治理</v>
      </c>
      <c r="Z233" s="302" t="str">
        <f ca="1">IF(Y233=行业比较!$E$6,ROW(),"")</f>
        <v/>
      </c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</row>
    <row r="234" spans="2:42">
      <c r="B234" s="122"/>
      <c r="C234" s="122"/>
      <c r="D234" s="122"/>
      <c r="E234" s="122"/>
      <c r="F234" s="122"/>
      <c r="G234" s="122"/>
      <c r="H234" s="122"/>
      <c r="I234" s="275"/>
      <c r="J234" s="130"/>
      <c r="K234" s="130"/>
      <c r="L234" s="130"/>
      <c r="M234" s="130"/>
      <c r="N234" s="291"/>
      <c r="O234" s="291"/>
      <c r="P234" s="122"/>
      <c r="Q234" s="122"/>
      <c r="R234" s="122"/>
      <c r="S234" s="122"/>
      <c r="T234" s="122"/>
      <c r="U234" s="301"/>
      <c r="V234" s="260">
        <f t="shared" ca="1" si="11"/>
        <v>0</v>
      </c>
      <c r="W234" s="348" t="str">
        <f>IF(板块成分!B236="","",板块成分!B236)</f>
        <v>000712.SZ</v>
      </c>
      <c r="X234" s="276" t="str">
        <f>[1]!S_Info_Name(W234)</f>
        <v>锦龙股份</v>
      </c>
      <c r="Y234" s="276" t="str">
        <f ca="1">IF($Y$3="申万一级行业",[1]!s_info_industry_sw_2021(W234,公司分析!D$5,1),IF($Y$3="申万二级行业",[1]!s_info_industry_sw_2021(W234,公司分析!D$5,2),IF($Y$3="申万三级行业",[1]!s_info_industry_sw_2021(W234,公司分析!D$5,3),IF($Y$3="wind一级行业",[1]!s_info_industry_gics(W234,1),IF($Y$3="wind二级行业",[1]!s_info_industry_gics(W234,2),IF($Y$3="wind三级行业",[1]!s_info_industry_gics(W234,3),IF($Y$3="wind四级行业",[1]!s_info_industry_gics(W234,4),IF($Y$3="证监会门类行业",[1]!s_info_industry_csrc12_n(W234,公司分析!D$5,1),""))))))))</f>
        <v>证券Ⅱ</v>
      </c>
      <c r="Z234" s="302" t="str">
        <f ca="1">IF(Y234=行业比较!$E$6,ROW(),"")</f>
        <v/>
      </c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</row>
    <row r="235" spans="2:42">
      <c r="B235" s="122"/>
      <c r="C235" s="122"/>
      <c r="D235" s="122"/>
      <c r="E235" s="122"/>
      <c r="F235" s="122"/>
      <c r="G235" s="122"/>
      <c r="H235" s="122"/>
      <c r="I235" s="275"/>
      <c r="J235" s="130"/>
      <c r="K235" s="130"/>
      <c r="L235" s="130"/>
      <c r="M235" s="130"/>
      <c r="N235" s="291"/>
      <c r="O235" s="291"/>
      <c r="P235" s="122"/>
      <c r="Q235" s="122"/>
      <c r="R235" s="122"/>
      <c r="S235" s="122"/>
      <c r="T235" s="122"/>
      <c r="U235" s="301"/>
      <c r="V235" s="260">
        <f t="shared" ca="1" si="11"/>
        <v>0</v>
      </c>
      <c r="W235" s="348" t="str">
        <f>IF(板块成分!B237="","",板块成分!B237)</f>
        <v>000713.SZ</v>
      </c>
      <c r="X235" s="276" t="str">
        <f>[1]!S_Info_Name(W235)</f>
        <v>国投丰乐</v>
      </c>
      <c r="Y235" s="276" t="str">
        <f ca="1">IF($Y$3="申万一级行业",[1]!s_info_industry_sw_2021(W235,公司分析!D$5,1),IF($Y$3="申万二级行业",[1]!s_info_industry_sw_2021(W235,公司分析!D$5,2),IF($Y$3="申万三级行业",[1]!s_info_industry_sw_2021(W235,公司分析!D$5,3),IF($Y$3="wind一级行业",[1]!s_info_industry_gics(W235,1),IF($Y$3="wind二级行业",[1]!s_info_industry_gics(W235,2),IF($Y$3="wind三级行业",[1]!s_info_industry_gics(W235,3),IF($Y$3="wind四级行业",[1]!s_info_industry_gics(W235,4),IF($Y$3="证监会门类行业",[1]!s_info_industry_csrc12_n(W235,公司分析!D$5,1),""))))))))</f>
        <v>种植业</v>
      </c>
      <c r="Z235" s="302" t="str">
        <f ca="1">IF(Y235=行业比较!$E$6,ROW(),"")</f>
        <v/>
      </c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</row>
    <row r="236" spans="2:42">
      <c r="B236" s="122"/>
      <c r="C236" s="122"/>
      <c r="D236" s="122"/>
      <c r="E236" s="122"/>
      <c r="F236" s="122"/>
      <c r="G236" s="122"/>
      <c r="H236" s="122"/>
      <c r="I236" s="275"/>
      <c r="J236" s="130"/>
      <c r="K236" s="130"/>
      <c r="L236" s="130"/>
      <c r="M236" s="130"/>
      <c r="N236" s="291"/>
      <c r="O236" s="291"/>
      <c r="P236" s="122"/>
      <c r="Q236" s="122"/>
      <c r="R236" s="122"/>
      <c r="S236" s="122"/>
      <c r="T236" s="122"/>
      <c r="U236" s="301"/>
      <c r="V236" s="260">
        <f t="shared" ca="1" si="11"/>
        <v>0</v>
      </c>
      <c r="W236" s="348" t="str">
        <f>IF(板块成分!B238="","",板块成分!B238)</f>
        <v>000715.SZ</v>
      </c>
      <c r="X236" s="276" t="str">
        <f>[1]!S_Info_Name(W236)</f>
        <v>中兴商业</v>
      </c>
      <c r="Y236" s="276" t="str">
        <f ca="1">IF($Y$3="申万一级行业",[1]!s_info_industry_sw_2021(W236,公司分析!D$5,1),IF($Y$3="申万二级行业",[1]!s_info_industry_sw_2021(W236,公司分析!D$5,2),IF($Y$3="申万三级行业",[1]!s_info_industry_sw_2021(W236,公司分析!D$5,3),IF($Y$3="wind一级行业",[1]!s_info_industry_gics(W236,1),IF($Y$3="wind二级行业",[1]!s_info_industry_gics(W236,2),IF($Y$3="wind三级行业",[1]!s_info_industry_gics(W236,3),IF($Y$3="wind四级行业",[1]!s_info_industry_gics(W236,4),IF($Y$3="证监会门类行业",[1]!s_info_industry_csrc12_n(W236,公司分析!D$5,1),""))))))))</f>
        <v>一般零售</v>
      </c>
      <c r="Z236" s="302" t="str">
        <f ca="1">IF(Y236=行业比较!$E$6,ROW(),"")</f>
        <v/>
      </c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</row>
    <row r="237" spans="2:42">
      <c r="B237" s="122"/>
      <c r="C237" s="122"/>
      <c r="D237" s="122"/>
      <c r="E237" s="122"/>
      <c r="F237" s="122"/>
      <c r="G237" s="122"/>
      <c r="H237" s="122"/>
      <c r="I237" s="275"/>
      <c r="J237" s="130"/>
      <c r="K237" s="130"/>
      <c r="L237" s="130"/>
      <c r="M237" s="130"/>
      <c r="N237" s="291"/>
      <c r="O237" s="291"/>
      <c r="P237" s="122"/>
      <c r="Q237" s="122"/>
      <c r="R237" s="122"/>
      <c r="S237" s="122"/>
      <c r="T237" s="122"/>
      <c r="U237" s="301"/>
      <c r="V237" s="260">
        <f t="shared" ca="1" si="11"/>
        <v>0</v>
      </c>
      <c r="W237" s="348" t="str">
        <f>IF(板块成分!B239="","",板块成分!B239)</f>
        <v>000716.SZ</v>
      </c>
      <c r="X237" s="276" t="str">
        <f>[1]!S_Info_Name(W237)</f>
        <v>黑芝麻</v>
      </c>
      <c r="Y237" s="276" t="str">
        <f ca="1">IF($Y$3="申万一级行业",[1]!s_info_industry_sw_2021(W237,公司分析!D$5,1),IF($Y$3="申万二级行业",[1]!s_info_industry_sw_2021(W237,公司分析!D$5,2),IF($Y$3="申万三级行业",[1]!s_info_industry_sw_2021(W237,公司分析!D$5,3),IF($Y$3="wind一级行业",[1]!s_info_industry_gics(W237,1),IF($Y$3="wind二级行业",[1]!s_info_industry_gics(W237,2),IF($Y$3="wind三级行业",[1]!s_info_industry_gics(W237,3),IF($Y$3="wind四级行业",[1]!s_info_industry_gics(W237,4),IF($Y$3="证监会门类行业",[1]!s_info_industry_csrc12_n(W237,公司分析!D$5,1),""))))))))</f>
        <v>休闲食品</v>
      </c>
      <c r="Z237" s="302" t="str">
        <f ca="1">IF(Y237=行业比较!$E$6,ROW(),"")</f>
        <v/>
      </c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</row>
    <row r="238" spans="2:42">
      <c r="B238" s="122"/>
      <c r="C238" s="122"/>
      <c r="D238" s="122"/>
      <c r="E238" s="122"/>
      <c r="F238" s="122"/>
      <c r="G238" s="122"/>
      <c r="H238" s="122"/>
      <c r="I238" s="275"/>
      <c r="J238" s="130"/>
      <c r="K238" s="130"/>
      <c r="L238" s="130"/>
      <c r="M238" s="130"/>
      <c r="N238" s="291"/>
      <c r="O238" s="291"/>
      <c r="P238" s="122"/>
      <c r="Q238" s="122"/>
      <c r="R238" s="122"/>
      <c r="S238" s="122"/>
      <c r="T238" s="122"/>
      <c r="U238" s="301"/>
      <c r="V238" s="260">
        <f t="shared" ca="1" si="11"/>
        <v>0</v>
      </c>
      <c r="W238" s="348" t="str">
        <f>IF(板块成分!B240="","",板块成分!B240)</f>
        <v>000717.SZ</v>
      </c>
      <c r="X238" s="276" t="str">
        <f>[1]!S_Info_Name(W238)</f>
        <v>中南股份</v>
      </c>
      <c r="Y238" s="276" t="str">
        <f ca="1">IF($Y$3="申万一级行业",[1]!s_info_industry_sw_2021(W238,公司分析!D$5,1),IF($Y$3="申万二级行业",[1]!s_info_industry_sw_2021(W238,公司分析!D$5,2),IF($Y$3="申万三级行业",[1]!s_info_industry_sw_2021(W238,公司分析!D$5,3),IF($Y$3="wind一级行业",[1]!s_info_industry_gics(W238,1),IF($Y$3="wind二级行业",[1]!s_info_industry_gics(W238,2),IF($Y$3="wind三级行业",[1]!s_info_industry_gics(W238,3),IF($Y$3="wind四级行业",[1]!s_info_industry_gics(W238,4),IF($Y$3="证监会门类行业",[1]!s_info_industry_csrc12_n(W238,公司分析!D$5,1),""))))))))</f>
        <v>普钢</v>
      </c>
      <c r="Z238" s="302" t="str">
        <f ca="1">IF(Y238=行业比较!$E$6,ROW(),"")</f>
        <v/>
      </c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</row>
    <row r="239" spans="2:42">
      <c r="B239" s="122"/>
      <c r="C239" s="122"/>
      <c r="D239" s="122"/>
      <c r="E239" s="122"/>
      <c r="F239" s="122"/>
      <c r="G239" s="122"/>
      <c r="H239" s="122"/>
      <c r="I239" s="275"/>
      <c r="J239" s="130"/>
      <c r="K239" s="130"/>
      <c r="L239" s="130"/>
      <c r="M239" s="130"/>
      <c r="N239" s="291"/>
      <c r="O239" s="291"/>
      <c r="P239" s="122"/>
      <c r="Q239" s="122"/>
      <c r="R239" s="122"/>
      <c r="S239" s="122"/>
      <c r="T239" s="122"/>
      <c r="U239" s="301"/>
      <c r="V239" s="260">
        <f t="shared" ca="1" si="11"/>
        <v>0</v>
      </c>
      <c r="W239" s="348" t="str">
        <f>IF(板块成分!B241="","",板块成分!B241)</f>
        <v>000718.SZ</v>
      </c>
      <c r="X239" s="276" t="str">
        <f>[1]!S_Info_Name(W239)</f>
        <v>苏宁环球</v>
      </c>
      <c r="Y239" s="276" t="str">
        <f ca="1">IF($Y$3="申万一级行业",[1]!s_info_industry_sw_2021(W239,公司分析!D$5,1),IF($Y$3="申万二级行业",[1]!s_info_industry_sw_2021(W239,公司分析!D$5,2),IF($Y$3="申万三级行业",[1]!s_info_industry_sw_2021(W239,公司分析!D$5,3),IF($Y$3="wind一级行业",[1]!s_info_industry_gics(W239,1),IF($Y$3="wind二级行业",[1]!s_info_industry_gics(W239,2),IF($Y$3="wind三级行业",[1]!s_info_industry_gics(W239,3),IF($Y$3="wind四级行业",[1]!s_info_industry_gics(W239,4),IF($Y$3="证监会门类行业",[1]!s_info_industry_csrc12_n(W239,公司分析!D$5,1),""))))))))</f>
        <v>房地产开发</v>
      </c>
      <c r="Z239" s="302" t="str">
        <f ca="1">IF(Y239=行业比较!$E$6,ROW(),"")</f>
        <v/>
      </c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</row>
    <row r="240" spans="2:42">
      <c r="B240" s="122"/>
      <c r="C240" s="122"/>
      <c r="D240" s="122"/>
      <c r="E240" s="122"/>
      <c r="F240" s="122"/>
      <c r="G240" s="122"/>
      <c r="H240" s="122"/>
      <c r="I240" s="275"/>
      <c r="J240" s="130"/>
      <c r="K240" s="130"/>
      <c r="L240" s="130"/>
      <c r="M240" s="130"/>
      <c r="N240" s="291"/>
      <c r="O240" s="291"/>
      <c r="P240" s="122"/>
      <c r="Q240" s="122"/>
      <c r="R240" s="122"/>
      <c r="S240" s="122"/>
      <c r="T240" s="122"/>
      <c r="U240" s="301"/>
      <c r="V240" s="260">
        <f t="shared" ca="1" si="11"/>
        <v>0</v>
      </c>
      <c r="W240" s="348" t="str">
        <f>IF(板块成分!B242="","",板块成分!B242)</f>
        <v>000719.SZ</v>
      </c>
      <c r="X240" s="276" t="str">
        <f>[1]!S_Info_Name(W240)</f>
        <v>中原传媒</v>
      </c>
      <c r="Y240" s="276" t="str">
        <f ca="1">IF($Y$3="申万一级行业",[1]!s_info_industry_sw_2021(W240,公司分析!D$5,1),IF($Y$3="申万二级行业",[1]!s_info_industry_sw_2021(W240,公司分析!D$5,2),IF($Y$3="申万三级行业",[1]!s_info_industry_sw_2021(W240,公司分析!D$5,3),IF($Y$3="wind一级行业",[1]!s_info_industry_gics(W240,1),IF($Y$3="wind二级行业",[1]!s_info_industry_gics(W240,2),IF($Y$3="wind三级行业",[1]!s_info_industry_gics(W240,3),IF($Y$3="wind四级行业",[1]!s_info_industry_gics(W240,4),IF($Y$3="证监会门类行业",[1]!s_info_industry_csrc12_n(W240,公司分析!D$5,1),""))))))))</f>
        <v>出版</v>
      </c>
      <c r="Z240" s="302" t="str">
        <f ca="1">IF(Y240=行业比较!$E$6,ROW(),"")</f>
        <v/>
      </c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</row>
    <row r="241" spans="2:42">
      <c r="B241" s="122"/>
      <c r="C241" s="122"/>
      <c r="D241" s="122"/>
      <c r="E241" s="122"/>
      <c r="F241" s="122"/>
      <c r="G241" s="122"/>
      <c r="H241" s="122"/>
      <c r="I241" s="275"/>
      <c r="J241" s="130"/>
      <c r="K241" s="130"/>
      <c r="L241" s="130"/>
      <c r="M241" s="130"/>
      <c r="N241" s="291"/>
      <c r="O241" s="291"/>
      <c r="P241" s="122"/>
      <c r="Q241" s="122"/>
      <c r="R241" s="122"/>
      <c r="S241" s="122"/>
      <c r="T241" s="122"/>
      <c r="U241" s="301"/>
      <c r="V241" s="260">
        <f t="shared" ca="1" si="11"/>
        <v>0</v>
      </c>
      <c r="W241" s="348" t="str">
        <f>IF(板块成分!B243="","",板块成分!B243)</f>
        <v>000720.SZ</v>
      </c>
      <c r="X241" s="276" t="str">
        <f>[1]!S_Info_Name(W241)</f>
        <v>新能泰山</v>
      </c>
      <c r="Y241" s="276" t="str">
        <f ca="1">IF($Y$3="申万一级行业",[1]!s_info_industry_sw_2021(W241,公司分析!D$5,1),IF($Y$3="申万二级行业",[1]!s_info_industry_sw_2021(W241,公司分析!D$5,2),IF($Y$3="申万三级行业",[1]!s_info_industry_sw_2021(W241,公司分析!D$5,3),IF($Y$3="wind一级行业",[1]!s_info_industry_gics(W241,1),IF($Y$3="wind二级行业",[1]!s_info_industry_gics(W241,2),IF($Y$3="wind三级行业",[1]!s_info_industry_gics(W241,3),IF($Y$3="wind四级行业",[1]!s_info_industry_gics(W241,4),IF($Y$3="证监会门类行业",[1]!s_info_industry_csrc12_n(W241,公司分析!D$5,1),""))))))))</f>
        <v>电网设备</v>
      </c>
      <c r="Z241" s="302" t="str">
        <f ca="1">IF(Y241=行业比较!$E$6,ROW(),"")</f>
        <v/>
      </c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</row>
    <row r="242" spans="2:42">
      <c r="B242" s="122"/>
      <c r="C242" s="122"/>
      <c r="D242" s="122"/>
      <c r="E242" s="122"/>
      <c r="F242" s="122"/>
      <c r="G242" s="122"/>
      <c r="H242" s="122"/>
      <c r="I242" s="275"/>
      <c r="J242" s="130"/>
      <c r="K242" s="130"/>
      <c r="L242" s="130"/>
      <c r="M242" s="130"/>
      <c r="N242" s="291"/>
      <c r="O242" s="291"/>
      <c r="P242" s="122"/>
      <c r="Q242" s="122"/>
      <c r="R242" s="122"/>
      <c r="S242" s="122"/>
      <c r="T242" s="122"/>
      <c r="U242" s="301"/>
      <c r="V242" s="260">
        <f t="shared" ca="1" si="11"/>
        <v>0</v>
      </c>
      <c r="W242" s="348" t="str">
        <f>IF(板块成分!B244="","",板块成分!B244)</f>
        <v>000721.SZ</v>
      </c>
      <c r="X242" s="276" t="str">
        <f>[1]!S_Info_Name(W242)</f>
        <v>西安饮食</v>
      </c>
      <c r="Y242" s="276" t="str">
        <f ca="1">IF($Y$3="申万一级行业",[1]!s_info_industry_sw_2021(W242,公司分析!D$5,1),IF($Y$3="申万二级行业",[1]!s_info_industry_sw_2021(W242,公司分析!D$5,2),IF($Y$3="申万三级行业",[1]!s_info_industry_sw_2021(W242,公司分析!D$5,3),IF($Y$3="wind一级行业",[1]!s_info_industry_gics(W242,1),IF($Y$3="wind二级行业",[1]!s_info_industry_gics(W242,2),IF($Y$3="wind三级行业",[1]!s_info_industry_gics(W242,3),IF($Y$3="wind四级行业",[1]!s_info_industry_gics(W242,4),IF($Y$3="证监会门类行业",[1]!s_info_industry_csrc12_n(W242,公司分析!D$5,1),""))))))))</f>
        <v>酒店餐饮</v>
      </c>
      <c r="Z242" s="302" t="str">
        <f ca="1">IF(Y242=行业比较!$E$6,ROW(),"")</f>
        <v/>
      </c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</row>
    <row r="243" spans="2:42">
      <c r="B243" s="122"/>
      <c r="C243" s="122"/>
      <c r="D243" s="122"/>
      <c r="E243" s="122"/>
      <c r="F243" s="122"/>
      <c r="G243" s="122"/>
      <c r="H243" s="122"/>
      <c r="I243" s="275"/>
      <c r="J243" s="130"/>
      <c r="K243" s="130"/>
      <c r="L243" s="130"/>
      <c r="M243" s="130"/>
      <c r="N243" s="291"/>
      <c r="O243" s="291"/>
      <c r="P243" s="122"/>
      <c r="Q243" s="122"/>
      <c r="R243" s="122"/>
      <c r="S243" s="122"/>
      <c r="T243" s="122"/>
      <c r="U243" s="301"/>
      <c r="V243" s="260">
        <f t="shared" ca="1" si="11"/>
        <v>0</v>
      </c>
      <c r="W243" s="348" t="str">
        <f>IF(板块成分!B245="","",板块成分!B245)</f>
        <v>000722.SZ</v>
      </c>
      <c r="X243" s="276" t="str">
        <f>[1]!S_Info_Name(W243)</f>
        <v>湖南发展</v>
      </c>
      <c r="Y243" s="276" t="str">
        <f ca="1">IF($Y$3="申万一级行业",[1]!s_info_industry_sw_2021(W243,公司分析!D$5,1),IF($Y$3="申万二级行业",[1]!s_info_industry_sw_2021(W243,公司分析!D$5,2),IF($Y$3="申万三级行业",[1]!s_info_industry_sw_2021(W243,公司分析!D$5,3),IF($Y$3="wind一级行业",[1]!s_info_industry_gics(W243,1),IF($Y$3="wind二级行业",[1]!s_info_industry_gics(W243,2),IF($Y$3="wind三级行业",[1]!s_info_industry_gics(W243,3),IF($Y$3="wind四级行业",[1]!s_info_industry_gics(W243,4),IF($Y$3="证监会门类行业",[1]!s_info_industry_csrc12_n(W243,公司分析!D$5,1),""))))))))</f>
        <v>电力</v>
      </c>
      <c r="Z243" s="302" t="str">
        <f ca="1">IF(Y243=行业比较!$E$6,ROW(),"")</f>
        <v/>
      </c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</row>
    <row r="244" spans="2:42">
      <c r="B244" s="122"/>
      <c r="C244" s="122"/>
      <c r="D244" s="122"/>
      <c r="E244" s="122"/>
      <c r="F244" s="122"/>
      <c r="G244" s="122"/>
      <c r="H244" s="122"/>
      <c r="I244" s="275"/>
      <c r="J244" s="130"/>
      <c r="K244" s="130"/>
      <c r="L244" s="130"/>
      <c r="M244" s="130"/>
      <c r="N244" s="291"/>
      <c r="O244" s="291"/>
      <c r="P244" s="122"/>
      <c r="Q244" s="122"/>
      <c r="R244" s="122"/>
      <c r="S244" s="122"/>
      <c r="T244" s="122"/>
      <c r="U244" s="301"/>
      <c r="V244" s="260">
        <f t="shared" ca="1" si="11"/>
        <v>0</v>
      </c>
      <c r="W244" s="348" t="str">
        <f>IF(板块成分!B246="","",板块成分!B246)</f>
        <v>000723.SZ</v>
      </c>
      <c r="X244" s="276" t="str">
        <f>[1]!S_Info_Name(W244)</f>
        <v>美锦能源</v>
      </c>
      <c r="Y244" s="276" t="str">
        <f ca="1">IF($Y$3="申万一级行业",[1]!s_info_industry_sw_2021(W244,公司分析!D$5,1),IF($Y$3="申万二级行业",[1]!s_info_industry_sw_2021(W244,公司分析!D$5,2),IF($Y$3="申万三级行业",[1]!s_info_industry_sw_2021(W244,公司分析!D$5,3),IF($Y$3="wind一级行业",[1]!s_info_industry_gics(W244,1),IF($Y$3="wind二级行业",[1]!s_info_industry_gics(W244,2),IF($Y$3="wind三级行业",[1]!s_info_industry_gics(W244,3),IF($Y$3="wind四级行业",[1]!s_info_industry_gics(W244,4),IF($Y$3="证监会门类行业",[1]!s_info_industry_csrc12_n(W244,公司分析!D$5,1),""))))))))</f>
        <v>焦炭Ⅱ</v>
      </c>
      <c r="Z244" s="302" t="str">
        <f ca="1">IF(Y244=行业比较!$E$6,ROW(),"")</f>
        <v/>
      </c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</row>
    <row r="245" spans="2:42">
      <c r="B245" s="122"/>
      <c r="C245" s="122"/>
      <c r="D245" s="122"/>
      <c r="E245" s="122"/>
      <c r="F245" s="122"/>
      <c r="G245" s="122"/>
      <c r="H245" s="122"/>
      <c r="I245" s="275"/>
      <c r="J245" s="130"/>
      <c r="K245" s="130"/>
      <c r="L245" s="130"/>
      <c r="M245" s="130"/>
      <c r="N245" s="291"/>
      <c r="O245" s="291"/>
      <c r="P245" s="122"/>
      <c r="Q245" s="122"/>
      <c r="R245" s="122"/>
      <c r="S245" s="122"/>
      <c r="T245" s="122"/>
      <c r="U245" s="301"/>
      <c r="V245" s="260">
        <f t="shared" ca="1" si="11"/>
        <v>0</v>
      </c>
      <c r="W245" s="348" t="str">
        <f>IF(板块成分!B247="","",板块成分!B247)</f>
        <v>000725.SZ</v>
      </c>
      <c r="X245" s="276" t="str">
        <f>[1]!S_Info_Name(W245)</f>
        <v>京东方A</v>
      </c>
      <c r="Y245" s="276" t="str">
        <f ca="1">IF($Y$3="申万一级行业",[1]!s_info_industry_sw_2021(W245,公司分析!D$5,1),IF($Y$3="申万二级行业",[1]!s_info_industry_sw_2021(W245,公司分析!D$5,2),IF($Y$3="申万三级行业",[1]!s_info_industry_sw_2021(W245,公司分析!D$5,3),IF($Y$3="wind一级行业",[1]!s_info_industry_gics(W245,1),IF($Y$3="wind二级行业",[1]!s_info_industry_gics(W245,2),IF($Y$3="wind三级行业",[1]!s_info_industry_gics(W245,3),IF($Y$3="wind四级行业",[1]!s_info_industry_gics(W245,4),IF($Y$3="证监会门类行业",[1]!s_info_industry_csrc12_n(W245,公司分析!D$5,1),""))))))))</f>
        <v>光学光电子</v>
      </c>
      <c r="Z245" s="302" t="str">
        <f ca="1">IF(Y245=行业比较!$E$6,ROW(),"")</f>
        <v/>
      </c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</row>
    <row r="246" spans="2:42">
      <c r="B246" s="122"/>
      <c r="C246" s="122"/>
      <c r="D246" s="122"/>
      <c r="E246" s="122"/>
      <c r="F246" s="122"/>
      <c r="G246" s="122"/>
      <c r="H246" s="122"/>
      <c r="I246" s="275"/>
      <c r="J246" s="130"/>
      <c r="K246" s="130"/>
      <c r="L246" s="130"/>
      <c r="M246" s="130"/>
      <c r="N246" s="291"/>
      <c r="O246" s="291"/>
      <c r="P246" s="122"/>
      <c r="Q246" s="122"/>
      <c r="R246" s="122"/>
      <c r="S246" s="122"/>
      <c r="T246" s="122"/>
      <c r="U246" s="301"/>
      <c r="V246" s="260">
        <f t="shared" ca="1" si="11"/>
        <v>0</v>
      </c>
      <c r="W246" s="348" t="str">
        <f>IF(板块成分!B248="","",板块成分!B248)</f>
        <v>000726.SZ</v>
      </c>
      <c r="X246" s="276" t="str">
        <f>[1]!S_Info_Name(W246)</f>
        <v>鲁泰A</v>
      </c>
      <c r="Y246" s="276" t="str">
        <f ca="1">IF($Y$3="申万一级行业",[1]!s_info_industry_sw_2021(W246,公司分析!D$5,1),IF($Y$3="申万二级行业",[1]!s_info_industry_sw_2021(W246,公司分析!D$5,2),IF($Y$3="申万三级行业",[1]!s_info_industry_sw_2021(W246,公司分析!D$5,3),IF($Y$3="wind一级行业",[1]!s_info_industry_gics(W246,1),IF($Y$3="wind二级行业",[1]!s_info_industry_gics(W246,2),IF($Y$3="wind三级行业",[1]!s_info_industry_gics(W246,3),IF($Y$3="wind四级行业",[1]!s_info_industry_gics(W246,4),IF($Y$3="证监会门类行业",[1]!s_info_industry_csrc12_n(W246,公司分析!D$5,1),""))))))))</f>
        <v>纺织制造</v>
      </c>
      <c r="Z246" s="302" t="str">
        <f ca="1">IF(Y246=行业比较!$E$6,ROW(),"")</f>
        <v/>
      </c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</row>
    <row r="247" spans="2:42">
      <c r="B247" s="122"/>
      <c r="C247" s="122"/>
      <c r="D247" s="122"/>
      <c r="E247" s="122"/>
      <c r="F247" s="122"/>
      <c r="G247" s="122"/>
      <c r="H247" s="122"/>
      <c r="I247" s="275"/>
      <c r="J247" s="130"/>
      <c r="K247" s="130"/>
      <c r="L247" s="130"/>
      <c r="M247" s="130"/>
      <c r="N247" s="291"/>
      <c r="O247" s="291"/>
      <c r="P247" s="122"/>
      <c r="Q247" s="122"/>
      <c r="R247" s="122"/>
      <c r="S247" s="122"/>
      <c r="T247" s="122"/>
      <c r="U247" s="301"/>
      <c r="V247" s="260">
        <f t="shared" ca="1" si="11"/>
        <v>0</v>
      </c>
      <c r="W247" s="348" t="str">
        <f>IF(板块成分!B249="","",板块成分!B249)</f>
        <v>000727.SZ</v>
      </c>
      <c r="X247" s="276" t="str">
        <f>[1]!S_Info_Name(W247)</f>
        <v>冠捷科技</v>
      </c>
      <c r="Y247" s="276" t="str">
        <f ca="1">IF($Y$3="申万一级行业",[1]!s_info_industry_sw_2021(W247,公司分析!D$5,1),IF($Y$3="申万二级行业",[1]!s_info_industry_sw_2021(W247,公司分析!D$5,2),IF($Y$3="申万三级行业",[1]!s_info_industry_sw_2021(W247,公司分析!D$5,3),IF($Y$3="wind一级行业",[1]!s_info_industry_gics(W247,1),IF($Y$3="wind二级行业",[1]!s_info_industry_gics(W247,2),IF($Y$3="wind三级行业",[1]!s_info_industry_gics(W247,3),IF($Y$3="wind四级行业",[1]!s_info_industry_gics(W247,4),IF($Y$3="证监会门类行业",[1]!s_info_industry_csrc12_n(W247,公司分析!D$5,1),""))))))))</f>
        <v>光学光电子</v>
      </c>
      <c r="Z247" s="302" t="str">
        <f ca="1">IF(Y247=行业比较!$E$6,ROW(),"")</f>
        <v/>
      </c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</row>
    <row r="248" spans="2:42">
      <c r="B248" s="122"/>
      <c r="C248" s="122"/>
      <c r="D248" s="122"/>
      <c r="E248" s="122"/>
      <c r="F248" s="122"/>
      <c r="G248" s="122"/>
      <c r="H248" s="122"/>
      <c r="I248" s="275"/>
      <c r="J248" s="130"/>
      <c r="K248" s="130"/>
      <c r="L248" s="130"/>
      <c r="M248" s="130"/>
      <c r="N248" s="291"/>
      <c r="O248" s="291"/>
      <c r="P248" s="122"/>
      <c r="Q248" s="122"/>
      <c r="R248" s="122"/>
      <c r="S248" s="122"/>
      <c r="T248" s="122"/>
      <c r="U248" s="301"/>
      <c r="V248" s="260">
        <f t="shared" ca="1" si="11"/>
        <v>0</v>
      </c>
      <c r="W248" s="348" t="str">
        <f>IF(板块成分!B250="","",板块成分!B250)</f>
        <v>000728.SZ</v>
      </c>
      <c r="X248" s="276" t="str">
        <f>[1]!S_Info_Name(W248)</f>
        <v>国元证券</v>
      </c>
      <c r="Y248" s="276" t="str">
        <f ca="1">IF($Y$3="申万一级行业",[1]!s_info_industry_sw_2021(W248,公司分析!D$5,1),IF($Y$3="申万二级行业",[1]!s_info_industry_sw_2021(W248,公司分析!D$5,2),IF($Y$3="申万三级行业",[1]!s_info_industry_sw_2021(W248,公司分析!D$5,3),IF($Y$3="wind一级行业",[1]!s_info_industry_gics(W248,1),IF($Y$3="wind二级行业",[1]!s_info_industry_gics(W248,2),IF($Y$3="wind三级行业",[1]!s_info_industry_gics(W248,3),IF($Y$3="wind四级行业",[1]!s_info_industry_gics(W248,4),IF($Y$3="证监会门类行业",[1]!s_info_industry_csrc12_n(W248,公司分析!D$5,1),""))))))))</f>
        <v>证券Ⅱ</v>
      </c>
      <c r="Z248" s="302" t="str">
        <f ca="1">IF(Y248=行业比较!$E$6,ROW(),"")</f>
        <v/>
      </c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</row>
    <row r="249" spans="2:42">
      <c r="B249" s="122"/>
      <c r="C249" s="122"/>
      <c r="D249" s="122"/>
      <c r="E249" s="122"/>
      <c r="F249" s="122"/>
      <c r="G249" s="122"/>
      <c r="H249" s="122"/>
      <c r="I249" s="275"/>
      <c r="J249" s="130"/>
      <c r="K249" s="130"/>
      <c r="L249" s="130"/>
      <c r="M249" s="130"/>
      <c r="N249" s="291"/>
      <c r="O249" s="291"/>
      <c r="P249" s="122"/>
      <c r="Q249" s="122"/>
      <c r="R249" s="122"/>
      <c r="S249" s="122"/>
      <c r="T249" s="122"/>
      <c r="U249" s="301"/>
      <c r="V249" s="260">
        <f t="shared" ca="1" si="11"/>
        <v>0</v>
      </c>
      <c r="W249" s="348" t="str">
        <f>IF(板块成分!B251="","",板块成分!B251)</f>
        <v>000729.SZ</v>
      </c>
      <c r="X249" s="276" t="str">
        <f>[1]!S_Info_Name(W249)</f>
        <v>燕京啤酒</v>
      </c>
      <c r="Y249" s="276" t="str">
        <f ca="1">IF($Y$3="申万一级行业",[1]!s_info_industry_sw_2021(W249,公司分析!D$5,1),IF($Y$3="申万二级行业",[1]!s_info_industry_sw_2021(W249,公司分析!D$5,2),IF($Y$3="申万三级行业",[1]!s_info_industry_sw_2021(W249,公司分析!D$5,3),IF($Y$3="wind一级行业",[1]!s_info_industry_gics(W249,1),IF($Y$3="wind二级行业",[1]!s_info_industry_gics(W249,2),IF($Y$3="wind三级行业",[1]!s_info_industry_gics(W249,3),IF($Y$3="wind四级行业",[1]!s_info_industry_gics(W249,4),IF($Y$3="证监会门类行业",[1]!s_info_industry_csrc12_n(W249,公司分析!D$5,1),""))))))))</f>
        <v>非白酒</v>
      </c>
      <c r="Z249" s="302" t="str">
        <f ca="1">IF(Y249=行业比较!$E$6,ROW(),"")</f>
        <v/>
      </c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</row>
    <row r="250" spans="2:42">
      <c r="B250" s="122"/>
      <c r="C250" s="122"/>
      <c r="D250" s="122"/>
      <c r="E250" s="122"/>
      <c r="F250" s="122"/>
      <c r="G250" s="122"/>
      <c r="H250" s="122"/>
      <c r="I250" s="275"/>
      <c r="J250" s="130"/>
      <c r="K250" s="130"/>
      <c r="L250" s="130"/>
      <c r="M250" s="130"/>
      <c r="N250" s="291"/>
      <c r="O250" s="291"/>
      <c r="P250" s="122"/>
      <c r="Q250" s="122"/>
      <c r="R250" s="122"/>
      <c r="S250" s="122"/>
      <c r="T250" s="122"/>
      <c r="U250" s="301"/>
      <c r="V250" s="260">
        <f t="shared" ca="1" si="11"/>
        <v>0</v>
      </c>
      <c r="W250" s="348" t="str">
        <f>IF(板块成分!B252="","",板块成分!B252)</f>
        <v>000731.SZ</v>
      </c>
      <c r="X250" s="276" t="str">
        <f>[1]!S_Info_Name(W250)</f>
        <v>四川美丰</v>
      </c>
      <c r="Y250" s="276" t="str">
        <f ca="1">IF($Y$3="申万一级行业",[1]!s_info_industry_sw_2021(W250,公司分析!D$5,1),IF($Y$3="申万二级行业",[1]!s_info_industry_sw_2021(W250,公司分析!D$5,2),IF($Y$3="申万三级行业",[1]!s_info_industry_sw_2021(W250,公司分析!D$5,3),IF($Y$3="wind一级行业",[1]!s_info_industry_gics(W250,1),IF($Y$3="wind二级行业",[1]!s_info_industry_gics(W250,2),IF($Y$3="wind三级行业",[1]!s_info_industry_gics(W250,3),IF($Y$3="wind四级行业",[1]!s_info_industry_gics(W250,4),IF($Y$3="证监会门类行业",[1]!s_info_industry_csrc12_n(W250,公司分析!D$5,1),""))))))))</f>
        <v>农化制品</v>
      </c>
      <c r="Z250" s="302" t="str">
        <f ca="1">IF(Y250=行业比较!$E$6,ROW(),"")</f>
        <v/>
      </c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</row>
    <row r="251" spans="2:42">
      <c r="B251" s="122"/>
      <c r="C251" s="122"/>
      <c r="D251" s="122"/>
      <c r="E251" s="122"/>
      <c r="F251" s="122"/>
      <c r="G251" s="122"/>
      <c r="H251" s="122"/>
      <c r="I251" s="275"/>
      <c r="J251" s="130"/>
      <c r="K251" s="130"/>
      <c r="L251" s="130"/>
      <c r="M251" s="130"/>
      <c r="N251" s="291"/>
      <c r="O251" s="291"/>
      <c r="P251" s="122"/>
      <c r="Q251" s="122"/>
      <c r="R251" s="122"/>
      <c r="S251" s="122"/>
      <c r="T251" s="122"/>
      <c r="U251" s="301"/>
      <c r="V251" s="260">
        <f t="shared" ca="1" si="11"/>
        <v>0</v>
      </c>
      <c r="W251" s="348" t="str">
        <f>IF(板块成分!B253="","",板块成分!B253)</f>
        <v>000733.SZ</v>
      </c>
      <c r="X251" s="276" t="str">
        <f>[1]!S_Info_Name(W251)</f>
        <v>振华科技</v>
      </c>
      <c r="Y251" s="276" t="str">
        <f ca="1">IF($Y$3="申万一级行业",[1]!s_info_industry_sw_2021(W251,公司分析!D$5,1),IF($Y$3="申万二级行业",[1]!s_info_industry_sw_2021(W251,公司分析!D$5,2),IF($Y$3="申万三级行业",[1]!s_info_industry_sw_2021(W251,公司分析!D$5,3),IF($Y$3="wind一级行业",[1]!s_info_industry_gics(W251,1),IF($Y$3="wind二级行业",[1]!s_info_industry_gics(W251,2),IF($Y$3="wind三级行业",[1]!s_info_industry_gics(W251,3),IF($Y$3="wind四级行业",[1]!s_info_industry_gics(W251,4),IF($Y$3="证监会门类行业",[1]!s_info_industry_csrc12_n(W251,公司分析!D$5,1),""))))))))</f>
        <v>军工电子Ⅱ</v>
      </c>
      <c r="Z251" s="302" t="str">
        <f ca="1">IF(Y251=行业比较!$E$6,ROW(),"")</f>
        <v/>
      </c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</row>
    <row r="252" spans="2:42">
      <c r="B252" s="122"/>
      <c r="C252" s="122"/>
      <c r="D252" s="122"/>
      <c r="E252" s="122"/>
      <c r="F252" s="122"/>
      <c r="G252" s="122"/>
      <c r="H252" s="122"/>
      <c r="I252" s="275"/>
      <c r="J252" s="130"/>
      <c r="K252" s="130"/>
      <c r="L252" s="130"/>
      <c r="M252" s="130"/>
      <c r="N252" s="291"/>
      <c r="O252" s="291"/>
      <c r="P252" s="122"/>
      <c r="Q252" s="122"/>
      <c r="R252" s="122"/>
      <c r="S252" s="122"/>
      <c r="T252" s="122"/>
      <c r="U252" s="301"/>
      <c r="V252" s="260">
        <f t="shared" ca="1" si="11"/>
        <v>0</v>
      </c>
      <c r="W252" s="348" t="str">
        <f>IF(板块成分!B254="","",板块成分!B254)</f>
        <v>000735.SZ</v>
      </c>
      <c r="X252" s="276" t="str">
        <f>[1]!S_Info_Name(W252)</f>
        <v>罗牛山</v>
      </c>
      <c r="Y252" s="276" t="str">
        <f ca="1">IF($Y$3="申万一级行业",[1]!s_info_industry_sw_2021(W252,公司分析!D$5,1),IF($Y$3="申万二级行业",[1]!s_info_industry_sw_2021(W252,公司分析!D$5,2),IF($Y$3="申万三级行业",[1]!s_info_industry_sw_2021(W252,公司分析!D$5,3),IF($Y$3="wind一级行业",[1]!s_info_industry_gics(W252,1),IF($Y$3="wind二级行业",[1]!s_info_industry_gics(W252,2),IF($Y$3="wind三级行业",[1]!s_info_industry_gics(W252,3),IF($Y$3="wind四级行业",[1]!s_info_industry_gics(W252,4),IF($Y$3="证监会门类行业",[1]!s_info_industry_csrc12_n(W252,公司分析!D$5,1),""))))))))</f>
        <v>养殖业</v>
      </c>
      <c r="Z252" s="302" t="str">
        <f ca="1">IF(Y252=行业比较!$E$6,ROW(),"")</f>
        <v/>
      </c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</row>
    <row r="253" spans="2:42">
      <c r="B253" s="122"/>
      <c r="C253" s="122"/>
      <c r="D253" s="122"/>
      <c r="E253" s="122"/>
      <c r="F253" s="122"/>
      <c r="G253" s="122"/>
      <c r="H253" s="122"/>
      <c r="I253" s="275"/>
      <c r="J253" s="130"/>
      <c r="K253" s="130"/>
      <c r="L253" s="130"/>
      <c r="M253" s="130"/>
      <c r="N253" s="291"/>
      <c r="O253" s="291"/>
      <c r="P253" s="122"/>
      <c r="Q253" s="122"/>
      <c r="R253" s="122"/>
      <c r="S253" s="122"/>
      <c r="T253" s="122"/>
      <c r="U253" s="301"/>
      <c r="V253" s="260">
        <f t="shared" ca="1" si="11"/>
        <v>0</v>
      </c>
      <c r="W253" s="348" t="str">
        <f>IF(板块成分!B255="","",板块成分!B255)</f>
        <v>000736.SZ</v>
      </c>
      <c r="X253" s="276" t="str">
        <f>[1]!S_Info_Name(W253)</f>
        <v>*ST中地</v>
      </c>
      <c r="Y253" s="276" t="str">
        <f ca="1">IF($Y$3="申万一级行业",[1]!s_info_industry_sw_2021(W253,公司分析!D$5,1),IF($Y$3="申万二级行业",[1]!s_info_industry_sw_2021(W253,公司分析!D$5,2),IF($Y$3="申万三级行业",[1]!s_info_industry_sw_2021(W253,公司分析!D$5,3),IF($Y$3="wind一级行业",[1]!s_info_industry_gics(W253,1),IF($Y$3="wind二级行业",[1]!s_info_industry_gics(W253,2),IF($Y$3="wind三级行业",[1]!s_info_industry_gics(W253,3),IF($Y$3="wind四级行业",[1]!s_info_industry_gics(W253,4),IF($Y$3="证监会门类行业",[1]!s_info_industry_csrc12_n(W253,公司分析!D$5,1),""))))))))</f>
        <v>房地产开发</v>
      </c>
      <c r="Z253" s="302" t="str">
        <f ca="1">IF(Y253=行业比较!$E$6,ROW(),"")</f>
        <v/>
      </c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</row>
    <row r="254" spans="2:42">
      <c r="B254" s="122"/>
      <c r="C254" s="122"/>
      <c r="D254" s="122"/>
      <c r="E254" s="122"/>
      <c r="F254" s="122"/>
      <c r="G254" s="122"/>
      <c r="H254" s="122"/>
      <c r="I254" s="275"/>
      <c r="J254" s="130"/>
      <c r="K254" s="130"/>
      <c r="L254" s="130"/>
      <c r="M254" s="130"/>
      <c r="N254" s="291"/>
      <c r="O254" s="291"/>
      <c r="P254" s="122"/>
      <c r="Q254" s="122"/>
      <c r="R254" s="122"/>
      <c r="S254" s="122"/>
      <c r="T254" s="122"/>
      <c r="U254" s="301"/>
      <c r="V254" s="260">
        <f t="shared" ca="1" si="11"/>
        <v>7</v>
      </c>
      <c r="W254" s="348" t="str">
        <f>IF(板块成分!B256="","",板块成分!B256)</f>
        <v>000737.SZ</v>
      </c>
      <c r="X254" s="276" t="str">
        <f>[1]!S_Info_Name(W254)</f>
        <v>北方铜业</v>
      </c>
      <c r="Y254" s="276" t="str">
        <f ca="1">IF($Y$3="申万一级行业",[1]!s_info_industry_sw_2021(W254,公司分析!D$5,1),IF($Y$3="申万二级行业",[1]!s_info_industry_sw_2021(W254,公司分析!D$5,2),IF($Y$3="申万三级行业",[1]!s_info_industry_sw_2021(W254,公司分析!D$5,3),IF($Y$3="wind一级行业",[1]!s_info_industry_gics(W254,1),IF($Y$3="wind二级行业",[1]!s_info_industry_gics(W254,2),IF($Y$3="wind三级行业",[1]!s_info_industry_gics(W254,3),IF($Y$3="wind四级行业",[1]!s_info_industry_gics(W254,4),IF($Y$3="证监会门类行业",[1]!s_info_industry_csrc12_n(W254,公司分析!D$5,1),""))))))))</f>
        <v>工业金属</v>
      </c>
      <c r="Z254" s="302">
        <f ca="1">IF(Y254=行业比较!$E$6,ROW(),"")</f>
        <v>254</v>
      </c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</row>
    <row r="255" spans="2:42">
      <c r="B255" s="122"/>
      <c r="C255" s="122"/>
      <c r="D255" s="122"/>
      <c r="E255" s="122"/>
      <c r="F255" s="122"/>
      <c r="G255" s="122"/>
      <c r="H255" s="122"/>
      <c r="I255" s="275"/>
      <c r="J255" s="130"/>
      <c r="K255" s="130"/>
      <c r="L255" s="130"/>
      <c r="M255" s="130"/>
      <c r="N255" s="291"/>
      <c r="O255" s="291"/>
      <c r="P255" s="122"/>
      <c r="Q255" s="122"/>
      <c r="R255" s="122"/>
      <c r="S255" s="122"/>
      <c r="T255" s="122"/>
      <c r="U255" s="301"/>
      <c r="V255" s="260">
        <f t="shared" ca="1" si="11"/>
        <v>0</v>
      </c>
      <c r="W255" s="348" t="str">
        <f>IF(板块成分!B257="","",板块成分!B257)</f>
        <v>000738.SZ</v>
      </c>
      <c r="X255" s="276" t="str">
        <f>[1]!S_Info_Name(W255)</f>
        <v>航发控制</v>
      </c>
      <c r="Y255" s="276" t="str">
        <f ca="1">IF($Y$3="申万一级行业",[1]!s_info_industry_sw_2021(W255,公司分析!D$5,1),IF($Y$3="申万二级行业",[1]!s_info_industry_sw_2021(W255,公司分析!D$5,2),IF($Y$3="申万三级行业",[1]!s_info_industry_sw_2021(W255,公司分析!D$5,3),IF($Y$3="wind一级行业",[1]!s_info_industry_gics(W255,1),IF($Y$3="wind二级行业",[1]!s_info_industry_gics(W255,2),IF($Y$3="wind三级行业",[1]!s_info_industry_gics(W255,3),IF($Y$3="wind四级行业",[1]!s_info_industry_gics(W255,4),IF($Y$3="证监会门类行业",[1]!s_info_industry_csrc12_n(W255,公司分析!D$5,1),""))))))))</f>
        <v>航空装备Ⅱ</v>
      </c>
      <c r="Z255" s="302" t="str">
        <f ca="1">IF(Y255=行业比较!$E$6,ROW(),"")</f>
        <v/>
      </c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</row>
    <row r="256" spans="2:42">
      <c r="B256" s="122"/>
      <c r="C256" s="122"/>
      <c r="D256" s="122"/>
      <c r="E256" s="122"/>
      <c r="F256" s="122"/>
      <c r="G256" s="122"/>
      <c r="H256" s="122"/>
      <c r="I256" s="275"/>
      <c r="J256" s="130"/>
      <c r="K256" s="130"/>
      <c r="L256" s="130"/>
      <c r="M256" s="130"/>
      <c r="N256" s="291"/>
      <c r="O256" s="291"/>
      <c r="P256" s="122"/>
      <c r="Q256" s="122"/>
      <c r="R256" s="122"/>
      <c r="S256" s="122"/>
      <c r="T256" s="122"/>
      <c r="U256" s="301"/>
      <c r="V256" s="260">
        <f t="shared" ca="1" si="11"/>
        <v>0</v>
      </c>
      <c r="W256" s="348" t="str">
        <f>IF(板块成分!B258="","",板块成分!B258)</f>
        <v>000739.SZ</v>
      </c>
      <c r="X256" s="276" t="str">
        <f>[1]!S_Info_Name(W256)</f>
        <v>普洛药业</v>
      </c>
      <c r="Y256" s="276" t="str">
        <f ca="1">IF($Y$3="申万一级行业",[1]!s_info_industry_sw_2021(W256,公司分析!D$5,1),IF($Y$3="申万二级行业",[1]!s_info_industry_sw_2021(W256,公司分析!D$5,2),IF($Y$3="申万三级行业",[1]!s_info_industry_sw_2021(W256,公司分析!D$5,3),IF($Y$3="wind一级行业",[1]!s_info_industry_gics(W256,1),IF($Y$3="wind二级行业",[1]!s_info_industry_gics(W256,2),IF($Y$3="wind三级行业",[1]!s_info_industry_gics(W256,3),IF($Y$3="wind四级行业",[1]!s_info_industry_gics(W256,4),IF($Y$3="证监会门类行业",[1]!s_info_industry_csrc12_n(W256,公司分析!D$5,1),""))))))))</f>
        <v>化学制药</v>
      </c>
      <c r="Z256" s="302" t="str">
        <f ca="1">IF(Y256=行业比较!$E$6,ROW(),"")</f>
        <v/>
      </c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</row>
    <row r="257" spans="2:42">
      <c r="B257" s="122"/>
      <c r="C257" s="122"/>
      <c r="D257" s="122"/>
      <c r="E257" s="122"/>
      <c r="F257" s="122"/>
      <c r="G257" s="122"/>
      <c r="H257" s="122"/>
      <c r="I257" s="275"/>
      <c r="J257" s="130"/>
      <c r="K257" s="130"/>
      <c r="L257" s="130"/>
      <c r="M257" s="130"/>
      <c r="N257" s="291"/>
      <c r="O257" s="291"/>
      <c r="P257" s="122"/>
      <c r="Q257" s="122"/>
      <c r="R257" s="122"/>
      <c r="S257" s="122"/>
      <c r="T257" s="122"/>
      <c r="U257" s="301"/>
      <c r="V257" s="260">
        <f t="shared" ca="1" si="11"/>
        <v>0</v>
      </c>
      <c r="W257" s="348" t="str">
        <f>IF(板块成分!B259="","",板块成分!B259)</f>
        <v>000750.SZ</v>
      </c>
      <c r="X257" s="276" t="str">
        <f>[1]!S_Info_Name(W257)</f>
        <v>国海证券</v>
      </c>
      <c r="Y257" s="276" t="str">
        <f ca="1">IF($Y$3="申万一级行业",[1]!s_info_industry_sw_2021(W257,公司分析!D$5,1),IF($Y$3="申万二级行业",[1]!s_info_industry_sw_2021(W257,公司分析!D$5,2),IF($Y$3="申万三级行业",[1]!s_info_industry_sw_2021(W257,公司分析!D$5,3),IF($Y$3="wind一级行业",[1]!s_info_industry_gics(W257,1),IF($Y$3="wind二级行业",[1]!s_info_industry_gics(W257,2),IF($Y$3="wind三级行业",[1]!s_info_industry_gics(W257,3),IF($Y$3="wind四级行业",[1]!s_info_industry_gics(W257,4),IF($Y$3="证监会门类行业",[1]!s_info_industry_csrc12_n(W257,公司分析!D$5,1),""))))))))</f>
        <v>证券Ⅱ</v>
      </c>
      <c r="Z257" s="302" t="str">
        <f ca="1">IF(Y257=行业比较!$E$6,ROW(),"")</f>
        <v/>
      </c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</row>
    <row r="258" spans="2:42">
      <c r="B258" s="122"/>
      <c r="C258" s="122"/>
      <c r="D258" s="122"/>
      <c r="E258" s="122"/>
      <c r="F258" s="122"/>
      <c r="G258" s="122"/>
      <c r="H258" s="122"/>
      <c r="I258" s="275"/>
      <c r="J258" s="130"/>
      <c r="K258" s="130"/>
      <c r="L258" s="130"/>
      <c r="M258" s="130"/>
      <c r="N258" s="291"/>
      <c r="O258" s="291"/>
      <c r="P258" s="122"/>
      <c r="Q258" s="122"/>
      <c r="R258" s="122"/>
      <c r="S258" s="122"/>
      <c r="T258" s="122"/>
      <c r="U258" s="301"/>
      <c r="V258" s="260">
        <f t="shared" ca="1" si="11"/>
        <v>8</v>
      </c>
      <c r="W258" s="348" t="str">
        <f>IF(板块成分!B260="","",板块成分!B260)</f>
        <v>000751.SZ</v>
      </c>
      <c r="X258" s="276" t="str">
        <f>[1]!S_Info_Name(W258)</f>
        <v>锌业股份</v>
      </c>
      <c r="Y258" s="276" t="str">
        <f ca="1">IF($Y$3="申万一级行业",[1]!s_info_industry_sw_2021(W258,公司分析!D$5,1),IF($Y$3="申万二级行业",[1]!s_info_industry_sw_2021(W258,公司分析!D$5,2),IF($Y$3="申万三级行业",[1]!s_info_industry_sw_2021(W258,公司分析!D$5,3),IF($Y$3="wind一级行业",[1]!s_info_industry_gics(W258,1),IF($Y$3="wind二级行业",[1]!s_info_industry_gics(W258,2),IF($Y$3="wind三级行业",[1]!s_info_industry_gics(W258,3),IF($Y$3="wind四级行业",[1]!s_info_industry_gics(W258,4),IF($Y$3="证监会门类行业",[1]!s_info_industry_csrc12_n(W258,公司分析!D$5,1),""))))))))</f>
        <v>工业金属</v>
      </c>
      <c r="Z258" s="302">
        <f ca="1">IF(Y258=行业比较!$E$6,ROW(),"")</f>
        <v>258</v>
      </c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</row>
    <row r="259" spans="2:42">
      <c r="B259" s="122"/>
      <c r="C259" s="122"/>
      <c r="D259" s="122"/>
      <c r="E259" s="122"/>
      <c r="F259" s="122"/>
      <c r="G259" s="122"/>
      <c r="H259" s="122"/>
      <c r="I259" s="275"/>
      <c r="J259" s="130"/>
      <c r="K259" s="130"/>
      <c r="L259" s="130"/>
      <c r="M259" s="130"/>
      <c r="N259" s="291"/>
      <c r="O259" s="291"/>
      <c r="P259" s="122"/>
      <c r="Q259" s="122"/>
      <c r="R259" s="122"/>
      <c r="S259" s="122"/>
      <c r="T259" s="122"/>
      <c r="U259" s="301"/>
      <c r="V259" s="260">
        <f t="shared" ca="1" si="11"/>
        <v>0</v>
      </c>
      <c r="W259" s="348" t="str">
        <f>IF(板块成分!B261="","",板块成分!B261)</f>
        <v>000752.SZ</v>
      </c>
      <c r="X259" s="276" t="str">
        <f>[1]!S_Info_Name(W259)</f>
        <v>ST西发</v>
      </c>
      <c r="Y259" s="276" t="str">
        <f ca="1">IF($Y$3="申万一级行业",[1]!s_info_industry_sw_2021(W259,公司分析!D$5,1),IF($Y$3="申万二级行业",[1]!s_info_industry_sw_2021(W259,公司分析!D$5,2),IF($Y$3="申万三级行业",[1]!s_info_industry_sw_2021(W259,公司分析!D$5,3),IF($Y$3="wind一级行业",[1]!s_info_industry_gics(W259,1),IF($Y$3="wind二级行业",[1]!s_info_industry_gics(W259,2),IF($Y$3="wind三级行业",[1]!s_info_industry_gics(W259,3),IF($Y$3="wind四级行业",[1]!s_info_industry_gics(W259,4),IF($Y$3="证监会门类行业",[1]!s_info_industry_csrc12_n(W259,公司分析!D$5,1),""))))))))</f>
        <v>非白酒</v>
      </c>
      <c r="Z259" s="302" t="str">
        <f ca="1">IF(Y259=行业比较!$E$6,ROW(),"")</f>
        <v/>
      </c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</row>
    <row r="260" spans="2:42">
      <c r="B260" s="122"/>
      <c r="C260" s="122"/>
      <c r="D260" s="122"/>
      <c r="E260" s="122"/>
      <c r="F260" s="122"/>
      <c r="G260" s="122"/>
      <c r="H260" s="122"/>
      <c r="I260" s="275"/>
      <c r="J260" s="130"/>
      <c r="K260" s="130"/>
      <c r="L260" s="130"/>
      <c r="M260" s="130"/>
      <c r="N260" s="291"/>
      <c r="O260" s="291"/>
      <c r="P260" s="122"/>
      <c r="Q260" s="122"/>
      <c r="R260" s="122"/>
      <c r="S260" s="122"/>
      <c r="T260" s="122"/>
      <c r="U260" s="301"/>
      <c r="V260" s="260">
        <f t="shared" ca="1" si="11"/>
        <v>0</v>
      </c>
      <c r="W260" s="348" t="str">
        <f>IF(板块成分!B262="","",板块成分!B262)</f>
        <v>000753.SZ</v>
      </c>
      <c r="X260" s="276" t="str">
        <f>[1]!S_Info_Name(W260)</f>
        <v>漳州发展</v>
      </c>
      <c r="Y260" s="276" t="str">
        <f ca="1">IF($Y$3="申万一级行业",[1]!s_info_industry_sw_2021(W260,公司分析!D$5,1),IF($Y$3="申万二级行业",[1]!s_info_industry_sw_2021(W260,公司分析!D$5,2),IF($Y$3="申万三级行业",[1]!s_info_industry_sw_2021(W260,公司分析!D$5,3),IF($Y$3="wind一级行业",[1]!s_info_industry_gics(W260,1),IF($Y$3="wind二级行业",[1]!s_info_industry_gics(W260,2),IF($Y$3="wind三级行业",[1]!s_info_industry_gics(W260,3),IF($Y$3="wind四级行业",[1]!s_info_industry_gics(W260,4),IF($Y$3="证监会门类行业",[1]!s_info_industry_csrc12_n(W260,公司分析!D$5,1),""))))))))</f>
        <v>综合Ⅱ</v>
      </c>
      <c r="Z260" s="302" t="str">
        <f ca="1">IF(Y260=行业比较!$E$6,ROW(),"")</f>
        <v/>
      </c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</row>
    <row r="261" spans="2:42">
      <c r="B261" s="122"/>
      <c r="C261" s="122"/>
      <c r="D261" s="122"/>
      <c r="E261" s="122"/>
      <c r="F261" s="122"/>
      <c r="G261" s="122"/>
      <c r="H261" s="122"/>
      <c r="I261" s="275"/>
      <c r="J261" s="130"/>
      <c r="K261" s="130"/>
      <c r="L261" s="130"/>
      <c r="M261" s="130"/>
      <c r="N261" s="291"/>
      <c r="O261" s="291"/>
      <c r="P261" s="122"/>
      <c r="Q261" s="122"/>
      <c r="R261" s="122"/>
      <c r="S261" s="122"/>
      <c r="T261" s="122"/>
      <c r="U261" s="301"/>
      <c r="V261" s="260">
        <f t="shared" ref="V261:V324" ca="1" si="12">IF(Z261="",0,RANK(Z261,Z:Z,1))</f>
        <v>0</v>
      </c>
      <c r="W261" s="348" t="str">
        <f>IF(板块成分!B263="","",板块成分!B263)</f>
        <v>000755.SZ</v>
      </c>
      <c r="X261" s="276" t="str">
        <f>[1]!S_Info_Name(W261)</f>
        <v>山西高速</v>
      </c>
      <c r="Y261" s="276" t="str">
        <f ca="1">IF($Y$3="申万一级行业",[1]!s_info_industry_sw_2021(W261,公司分析!D$5,1),IF($Y$3="申万二级行业",[1]!s_info_industry_sw_2021(W261,公司分析!D$5,2),IF($Y$3="申万三级行业",[1]!s_info_industry_sw_2021(W261,公司分析!D$5,3),IF($Y$3="wind一级行业",[1]!s_info_industry_gics(W261,1),IF($Y$3="wind二级行业",[1]!s_info_industry_gics(W261,2),IF($Y$3="wind三级行业",[1]!s_info_industry_gics(W261,3),IF($Y$3="wind四级行业",[1]!s_info_industry_gics(W261,4),IF($Y$3="证监会门类行业",[1]!s_info_industry_csrc12_n(W261,公司分析!D$5,1),""))))))))</f>
        <v>铁路公路</v>
      </c>
      <c r="Z261" s="302" t="str">
        <f ca="1">IF(Y261=行业比较!$E$6,ROW(),"")</f>
        <v/>
      </c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</row>
    <row r="262" spans="2:42">
      <c r="B262" s="122"/>
      <c r="C262" s="122"/>
      <c r="D262" s="122"/>
      <c r="E262" s="122"/>
      <c r="F262" s="122"/>
      <c r="G262" s="122"/>
      <c r="H262" s="122"/>
      <c r="I262" s="275"/>
      <c r="J262" s="130"/>
      <c r="K262" s="130"/>
      <c r="L262" s="130"/>
      <c r="M262" s="130"/>
      <c r="N262" s="291"/>
      <c r="O262" s="291"/>
      <c r="P262" s="122"/>
      <c r="Q262" s="122"/>
      <c r="R262" s="122"/>
      <c r="S262" s="122"/>
      <c r="T262" s="122"/>
      <c r="U262" s="301"/>
      <c r="V262" s="260">
        <f t="shared" ca="1" si="12"/>
        <v>0</v>
      </c>
      <c r="W262" s="348" t="str">
        <f>IF(板块成分!B264="","",板块成分!B264)</f>
        <v>000756.SZ</v>
      </c>
      <c r="X262" s="276" t="str">
        <f>[1]!S_Info_Name(W262)</f>
        <v>新华制药</v>
      </c>
      <c r="Y262" s="276" t="str">
        <f ca="1">IF($Y$3="申万一级行业",[1]!s_info_industry_sw_2021(W262,公司分析!D$5,1),IF($Y$3="申万二级行业",[1]!s_info_industry_sw_2021(W262,公司分析!D$5,2),IF($Y$3="申万三级行业",[1]!s_info_industry_sw_2021(W262,公司分析!D$5,3),IF($Y$3="wind一级行业",[1]!s_info_industry_gics(W262,1),IF($Y$3="wind二级行业",[1]!s_info_industry_gics(W262,2),IF($Y$3="wind三级行业",[1]!s_info_industry_gics(W262,3),IF($Y$3="wind四级行业",[1]!s_info_industry_gics(W262,4),IF($Y$3="证监会门类行业",[1]!s_info_industry_csrc12_n(W262,公司分析!D$5,1),""))))))))</f>
        <v>化学制药</v>
      </c>
      <c r="Z262" s="302" t="str">
        <f ca="1">IF(Y262=行业比较!$E$6,ROW(),"")</f>
        <v/>
      </c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</row>
    <row r="263" spans="2:42">
      <c r="B263" s="122"/>
      <c r="C263" s="122"/>
      <c r="D263" s="122"/>
      <c r="E263" s="122"/>
      <c r="F263" s="122"/>
      <c r="G263" s="122"/>
      <c r="H263" s="122"/>
      <c r="I263" s="275"/>
      <c r="J263" s="130"/>
      <c r="K263" s="130"/>
      <c r="L263" s="130"/>
      <c r="M263" s="130"/>
      <c r="N263" s="291"/>
      <c r="O263" s="291"/>
      <c r="P263" s="122"/>
      <c r="Q263" s="122"/>
      <c r="R263" s="122"/>
      <c r="S263" s="122"/>
      <c r="T263" s="122"/>
      <c r="U263" s="301"/>
      <c r="V263" s="260">
        <f t="shared" ca="1" si="12"/>
        <v>0</v>
      </c>
      <c r="W263" s="348" t="str">
        <f>IF(板块成分!B265="","",板块成分!B265)</f>
        <v>000757.SZ</v>
      </c>
      <c r="X263" s="276" t="str">
        <f>[1]!S_Info_Name(W263)</f>
        <v>浩物股份</v>
      </c>
      <c r="Y263" s="276" t="str">
        <f ca="1">IF($Y$3="申万一级行业",[1]!s_info_industry_sw_2021(W263,公司分析!D$5,1),IF($Y$3="申万二级行业",[1]!s_info_industry_sw_2021(W263,公司分析!D$5,2),IF($Y$3="申万三级行业",[1]!s_info_industry_sw_2021(W263,公司分析!D$5,3),IF($Y$3="wind一级行业",[1]!s_info_industry_gics(W263,1),IF($Y$3="wind二级行业",[1]!s_info_industry_gics(W263,2),IF($Y$3="wind三级行业",[1]!s_info_industry_gics(W263,3),IF($Y$3="wind四级行业",[1]!s_info_industry_gics(W263,4),IF($Y$3="证监会门类行业",[1]!s_info_industry_csrc12_n(W263,公司分析!D$5,1),""))))))))</f>
        <v>汽车服务</v>
      </c>
      <c r="Z263" s="302" t="str">
        <f ca="1">IF(Y263=行业比较!$E$6,ROW(),"")</f>
        <v/>
      </c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</row>
    <row r="264" spans="2:42">
      <c r="B264" s="122"/>
      <c r="C264" s="122"/>
      <c r="D264" s="122"/>
      <c r="E264" s="122"/>
      <c r="F264" s="122"/>
      <c r="G264" s="122"/>
      <c r="H264" s="122"/>
      <c r="I264" s="275"/>
      <c r="J264" s="130"/>
      <c r="K264" s="130"/>
      <c r="L264" s="130"/>
      <c r="M264" s="130"/>
      <c r="N264" s="291"/>
      <c r="O264" s="291"/>
      <c r="P264" s="122"/>
      <c r="Q264" s="122"/>
      <c r="R264" s="122"/>
      <c r="S264" s="122"/>
      <c r="T264" s="122"/>
      <c r="U264" s="301"/>
      <c r="V264" s="260">
        <f t="shared" ca="1" si="12"/>
        <v>9</v>
      </c>
      <c r="W264" s="348" t="str">
        <f>IF(板块成分!B266="","",板块成分!B266)</f>
        <v>000758.SZ</v>
      </c>
      <c r="X264" s="276" t="str">
        <f>[1]!S_Info_Name(W264)</f>
        <v>中色股份</v>
      </c>
      <c r="Y264" s="276" t="str">
        <f ca="1">IF($Y$3="申万一级行业",[1]!s_info_industry_sw_2021(W264,公司分析!D$5,1),IF($Y$3="申万二级行业",[1]!s_info_industry_sw_2021(W264,公司分析!D$5,2),IF($Y$3="申万三级行业",[1]!s_info_industry_sw_2021(W264,公司分析!D$5,3),IF($Y$3="wind一级行业",[1]!s_info_industry_gics(W264,1),IF($Y$3="wind二级行业",[1]!s_info_industry_gics(W264,2),IF($Y$3="wind三级行业",[1]!s_info_industry_gics(W264,3),IF($Y$3="wind四级行业",[1]!s_info_industry_gics(W264,4),IF($Y$3="证监会门类行业",[1]!s_info_industry_csrc12_n(W264,公司分析!D$5,1),""))))))))</f>
        <v>工业金属</v>
      </c>
      <c r="Z264" s="302">
        <f ca="1">IF(Y264=行业比较!$E$6,ROW(),"")</f>
        <v>264</v>
      </c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</row>
    <row r="265" spans="2:42">
      <c r="B265" s="122"/>
      <c r="C265" s="122"/>
      <c r="D265" s="122"/>
      <c r="E265" s="122"/>
      <c r="F265" s="122"/>
      <c r="G265" s="122"/>
      <c r="H265" s="122"/>
      <c r="I265" s="275"/>
      <c r="J265" s="130"/>
      <c r="K265" s="130"/>
      <c r="L265" s="130"/>
      <c r="M265" s="130"/>
      <c r="N265" s="291"/>
      <c r="O265" s="291"/>
      <c r="P265" s="122"/>
      <c r="Q265" s="122"/>
      <c r="R265" s="122"/>
      <c r="S265" s="122"/>
      <c r="T265" s="122"/>
      <c r="U265" s="301"/>
      <c r="V265" s="260">
        <f t="shared" ca="1" si="12"/>
        <v>0</v>
      </c>
      <c r="W265" s="348" t="str">
        <f>IF(板块成分!B267="","",板块成分!B267)</f>
        <v>000759.SZ</v>
      </c>
      <c r="X265" s="276" t="str">
        <f>[1]!S_Info_Name(W265)</f>
        <v>中百集团</v>
      </c>
      <c r="Y265" s="276" t="str">
        <f ca="1">IF($Y$3="申万一级行业",[1]!s_info_industry_sw_2021(W265,公司分析!D$5,1),IF($Y$3="申万二级行业",[1]!s_info_industry_sw_2021(W265,公司分析!D$5,2),IF($Y$3="申万三级行业",[1]!s_info_industry_sw_2021(W265,公司分析!D$5,3),IF($Y$3="wind一级行业",[1]!s_info_industry_gics(W265,1),IF($Y$3="wind二级行业",[1]!s_info_industry_gics(W265,2),IF($Y$3="wind三级行业",[1]!s_info_industry_gics(W265,3),IF($Y$3="wind四级行业",[1]!s_info_industry_gics(W265,4),IF($Y$3="证监会门类行业",[1]!s_info_industry_csrc12_n(W265,公司分析!D$5,1),""))))))))</f>
        <v>一般零售</v>
      </c>
      <c r="Z265" s="302" t="str">
        <f ca="1">IF(Y265=行业比较!$E$6,ROW(),"")</f>
        <v/>
      </c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</row>
    <row r="266" spans="2:42">
      <c r="B266" s="122"/>
      <c r="C266" s="122"/>
      <c r="D266" s="122"/>
      <c r="E266" s="122"/>
      <c r="F266" s="122"/>
      <c r="G266" s="122"/>
      <c r="H266" s="122"/>
      <c r="I266" s="275"/>
      <c r="J266" s="130"/>
      <c r="K266" s="130"/>
      <c r="L266" s="130"/>
      <c r="M266" s="130"/>
      <c r="N266" s="291"/>
      <c r="O266" s="291"/>
      <c r="P266" s="122"/>
      <c r="Q266" s="122"/>
      <c r="R266" s="122"/>
      <c r="S266" s="122"/>
      <c r="T266" s="122"/>
      <c r="U266" s="301"/>
      <c r="V266" s="260">
        <f t="shared" ca="1" si="12"/>
        <v>0</v>
      </c>
      <c r="W266" s="348" t="str">
        <f>IF(板块成分!B268="","",板块成分!B268)</f>
        <v>000761.SZ</v>
      </c>
      <c r="X266" s="276" t="str">
        <f>[1]!S_Info_Name(W266)</f>
        <v>本钢板材</v>
      </c>
      <c r="Y266" s="276" t="str">
        <f ca="1">IF($Y$3="申万一级行业",[1]!s_info_industry_sw_2021(W266,公司分析!D$5,1),IF($Y$3="申万二级行业",[1]!s_info_industry_sw_2021(W266,公司分析!D$5,2),IF($Y$3="申万三级行业",[1]!s_info_industry_sw_2021(W266,公司分析!D$5,3),IF($Y$3="wind一级行业",[1]!s_info_industry_gics(W266,1),IF($Y$3="wind二级行业",[1]!s_info_industry_gics(W266,2),IF($Y$3="wind三级行业",[1]!s_info_industry_gics(W266,3),IF($Y$3="wind四级行业",[1]!s_info_industry_gics(W266,4),IF($Y$3="证监会门类行业",[1]!s_info_industry_csrc12_n(W266,公司分析!D$5,1),""))))))))</f>
        <v>普钢</v>
      </c>
      <c r="Z266" s="302" t="str">
        <f ca="1">IF(Y266=行业比较!$E$6,ROW(),"")</f>
        <v/>
      </c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</row>
    <row r="267" spans="2:42">
      <c r="B267" s="122"/>
      <c r="C267" s="122"/>
      <c r="D267" s="122"/>
      <c r="E267" s="122"/>
      <c r="F267" s="122"/>
      <c r="G267" s="122"/>
      <c r="H267" s="122"/>
      <c r="I267" s="275"/>
      <c r="J267" s="130"/>
      <c r="K267" s="130"/>
      <c r="L267" s="130"/>
      <c r="M267" s="130"/>
      <c r="N267" s="291"/>
      <c r="O267" s="291"/>
      <c r="P267" s="122"/>
      <c r="Q267" s="122"/>
      <c r="R267" s="122"/>
      <c r="S267" s="122"/>
      <c r="T267" s="122"/>
      <c r="U267" s="301"/>
      <c r="V267" s="260">
        <f t="shared" ca="1" si="12"/>
        <v>0</v>
      </c>
      <c r="W267" s="348" t="str">
        <f>IF(板块成分!B269="","",板块成分!B269)</f>
        <v>000762.SZ</v>
      </c>
      <c r="X267" s="276" t="str">
        <f>[1]!S_Info_Name(W267)</f>
        <v>西藏矿业</v>
      </c>
      <c r="Y267" s="276" t="str">
        <f ca="1">IF($Y$3="申万一级行业",[1]!s_info_industry_sw_2021(W267,公司分析!D$5,1),IF($Y$3="申万二级行业",[1]!s_info_industry_sw_2021(W267,公司分析!D$5,2),IF($Y$3="申万三级行业",[1]!s_info_industry_sw_2021(W267,公司分析!D$5,3),IF($Y$3="wind一级行业",[1]!s_info_industry_gics(W267,1),IF($Y$3="wind二级行业",[1]!s_info_industry_gics(W267,2),IF($Y$3="wind三级行业",[1]!s_info_industry_gics(W267,3),IF($Y$3="wind四级行业",[1]!s_info_industry_gics(W267,4),IF($Y$3="证监会门类行业",[1]!s_info_industry_csrc12_n(W267,公司分析!D$5,1),""))))))))</f>
        <v>能源金属</v>
      </c>
      <c r="Z267" s="302" t="str">
        <f ca="1">IF(Y267=行业比较!$E$6,ROW(),"")</f>
        <v/>
      </c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</row>
    <row r="268" spans="2:42">
      <c r="B268" s="122"/>
      <c r="C268" s="122"/>
      <c r="D268" s="122"/>
      <c r="E268" s="122"/>
      <c r="F268" s="122"/>
      <c r="G268" s="122"/>
      <c r="H268" s="122"/>
      <c r="I268" s="275"/>
      <c r="J268" s="130"/>
      <c r="K268" s="130"/>
      <c r="L268" s="130"/>
      <c r="M268" s="130"/>
      <c r="N268" s="291"/>
      <c r="O268" s="291"/>
      <c r="P268" s="122"/>
      <c r="Q268" s="122"/>
      <c r="R268" s="122"/>
      <c r="S268" s="122"/>
      <c r="T268" s="122"/>
      <c r="U268" s="301"/>
      <c r="V268" s="260">
        <f t="shared" ca="1" si="12"/>
        <v>0</v>
      </c>
      <c r="W268" s="348" t="str">
        <f>IF(板块成分!B270="","",板块成分!B270)</f>
        <v>000766.SZ</v>
      </c>
      <c r="X268" s="276" t="str">
        <f>[1]!S_Info_Name(W268)</f>
        <v>通化金马</v>
      </c>
      <c r="Y268" s="276" t="str">
        <f ca="1">IF($Y$3="申万一级行业",[1]!s_info_industry_sw_2021(W268,公司分析!D$5,1),IF($Y$3="申万二级行业",[1]!s_info_industry_sw_2021(W268,公司分析!D$5,2),IF($Y$3="申万三级行业",[1]!s_info_industry_sw_2021(W268,公司分析!D$5,3),IF($Y$3="wind一级行业",[1]!s_info_industry_gics(W268,1),IF($Y$3="wind二级行业",[1]!s_info_industry_gics(W268,2),IF($Y$3="wind三级行业",[1]!s_info_industry_gics(W268,3),IF($Y$3="wind四级行业",[1]!s_info_industry_gics(W268,4),IF($Y$3="证监会门类行业",[1]!s_info_industry_csrc12_n(W268,公司分析!D$5,1),""))))))))</f>
        <v>化学制药</v>
      </c>
      <c r="Z268" s="302" t="str">
        <f ca="1">IF(Y268=行业比较!$E$6,ROW(),"")</f>
        <v/>
      </c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</row>
    <row r="269" spans="2:42">
      <c r="B269" s="122"/>
      <c r="C269" s="122"/>
      <c r="D269" s="122"/>
      <c r="E269" s="122"/>
      <c r="F269" s="122"/>
      <c r="G269" s="122"/>
      <c r="H269" s="122"/>
      <c r="I269" s="275"/>
      <c r="J269" s="130"/>
      <c r="K269" s="130"/>
      <c r="L269" s="130"/>
      <c r="M269" s="130"/>
      <c r="N269" s="291"/>
      <c r="O269" s="291"/>
      <c r="P269" s="122"/>
      <c r="Q269" s="122"/>
      <c r="R269" s="122"/>
      <c r="S269" s="122"/>
      <c r="T269" s="122"/>
      <c r="U269" s="301"/>
      <c r="V269" s="260">
        <f t="shared" ca="1" si="12"/>
        <v>0</v>
      </c>
      <c r="W269" s="348" t="str">
        <f>IF(板块成分!B271="","",板块成分!B271)</f>
        <v>000767.SZ</v>
      </c>
      <c r="X269" s="276" t="str">
        <f>[1]!S_Info_Name(W269)</f>
        <v>晋控电力</v>
      </c>
      <c r="Y269" s="276" t="str">
        <f ca="1">IF($Y$3="申万一级行业",[1]!s_info_industry_sw_2021(W269,公司分析!D$5,1),IF($Y$3="申万二级行业",[1]!s_info_industry_sw_2021(W269,公司分析!D$5,2),IF($Y$3="申万三级行业",[1]!s_info_industry_sw_2021(W269,公司分析!D$5,3),IF($Y$3="wind一级行业",[1]!s_info_industry_gics(W269,1),IF($Y$3="wind二级行业",[1]!s_info_industry_gics(W269,2),IF($Y$3="wind三级行业",[1]!s_info_industry_gics(W269,3),IF($Y$3="wind四级行业",[1]!s_info_industry_gics(W269,4),IF($Y$3="证监会门类行业",[1]!s_info_industry_csrc12_n(W269,公司分析!D$5,1),""))))))))</f>
        <v>电力</v>
      </c>
      <c r="Z269" s="302" t="str">
        <f ca="1">IF(Y269=行业比较!$E$6,ROW(),"")</f>
        <v/>
      </c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</row>
    <row r="270" spans="2:42">
      <c r="B270" s="122"/>
      <c r="C270" s="122"/>
      <c r="D270" s="122"/>
      <c r="E270" s="122"/>
      <c r="F270" s="122"/>
      <c r="G270" s="122"/>
      <c r="H270" s="122"/>
      <c r="I270" s="275"/>
      <c r="J270" s="130"/>
      <c r="K270" s="130"/>
      <c r="L270" s="130"/>
      <c r="M270" s="130"/>
      <c r="N270" s="291"/>
      <c r="O270" s="291"/>
      <c r="P270" s="122"/>
      <c r="Q270" s="122"/>
      <c r="R270" s="122"/>
      <c r="S270" s="122"/>
      <c r="T270" s="122"/>
      <c r="U270" s="301"/>
      <c r="V270" s="260">
        <f t="shared" ca="1" si="12"/>
        <v>0</v>
      </c>
      <c r="W270" s="348" t="str">
        <f>IF(板块成分!B272="","",板块成分!B272)</f>
        <v>000768.SZ</v>
      </c>
      <c r="X270" s="276" t="str">
        <f>[1]!S_Info_Name(W270)</f>
        <v>中航西飞</v>
      </c>
      <c r="Y270" s="276" t="str">
        <f ca="1">IF($Y$3="申万一级行业",[1]!s_info_industry_sw_2021(W270,公司分析!D$5,1),IF($Y$3="申万二级行业",[1]!s_info_industry_sw_2021(W270,公司分析!D$5,2),IF($Y$3="申万三级行业",[1]!s_info_industry_sw_2021(W270,公司分析!D$5,3),IF($Y$3="wind一级行业",[1]!s_info_industry_gics(W270,1),IF($Y$3="wind二级行业",[1]!s_info_industry_gics(W270,2),IF($Y$3="wind三级行业",[1]!s_info_industry_gics(W270,3),IF($Y$3="wind四级行业",[1]!s_info_industry_gics(W270,4),IF($Y$3="证监会门类行业",[1]!s_info_industry_csrc12_n(W270,公司分析!D$5,1),""))))))))</f>
        <v>航空装备Ⅱ</v>
      </c>
      <c r="Z270" s="302" t="str">
        <f ca="1">IF(Y270=行业比较!$E$6,ROW(),"")</f>
        <v/>
      </c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</row>
    <row r="271" spans="2:42">
      <c r="B271" s="122"/>
      <c r="C271" s="122"/>
      <c r="D271" s="122"/>
      <c r="E271" s="122"/>
      <c r="F271" s="122"/>
      <c r="G271" s="122"/>
      <c r="H271" s="122"/>
      <c r="I271" s="275"/>
      <c r="J271" s="130"/>
      <c r="K271" s="130"/>
      <c r="L271" s="130"/>
      <c r="M271" s="130"/>
      <c r="N271" s="291"/>
      <c r="O271" s="291"/>
      <c r="P271" s="122"/>
      <c r="Q271" s="122"/>
      <c r="R271" s="122"/>
      <c r="S271" s="122"/>
      <c r="T271" s="122"/>
      <c r="U271" s="301"/>
      <c r="V271" s="260">
        <f t="shared" ca="1" si="12"/>
        <v>0</v>
      </c>
      <c r="W271" s="348" t="str">
        <f>IF(板块成分!B273="","",板块成分!B273)</f>
        <v>000776.SZ</v>
      </c>
      <c r="X271" s="276" t="str">
        <f>[1]!S_Info_Name(W271)</f>
        <v>广发证券</v>
      </c>
      <c r="Y271" s="276" t="str">
        <f ca="1">IF($Y$3="申万一级行业",[1]!s_info_industry_sw_2021(W271,公司分析!D$5,1),IF($Y$3="申万二级行业",[1]!s_info_industry_sw_2021(W271,公司分析!D$5,2),IF($Y$3="申万三级行业",[1]!s_info_industry_sw_2021(W271,公司分析!D$5,3),IF($Y$3="wind一级行业",[1]!s_info_industry_gics(W271,1),IF($Y$3="wind二级行业",[1]!s_info_industry_gics(W271,2),IF($Y$3="wind三级行业",[1]!s_info_industry_gics(W271,3),IF($Y$3="wind四级行业",[1]!s_info_industry_gics(W271,4),IF($Y$3="证监会门类行业",[1]!s_info_industry_csrc12_n(W271,公司分析!D$5,1),""))))))))</f>
        <v>证券Ⅱ</v>
      </c>
      <c r="Z271" s="302" t="str">
        <f ca="1">IF(Y271=行业比较!$E$6,ROW(),"")</f>
        <v/>
      </c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</row>
    <row r="272" spans="2:42">
      <c r="B272" s="122"/>
      <c r="C272" s="122"/>
      <c r="D272" s="122"/>
      <c r="E272" s="122"/>
      <c r="F272" s="122"/>
      <c r="G272" s="122"/>
      <c r="H272" s="122"/>
      <c r="I272" s="275"/>
      <c r="J272" s="130"/>
      <c r="K272" s="130"/>
      <c r="L272" s="130"/>
      <c r="M272" s="130"/>
      <c r="N272" s="291"/>
      <c r="O272" s="291"/>
      <c r="P272" s="122"/>
      <c r="Q272" s="122"/>
      <c r="R272" s="122"/>
      <c r="S272" s="122"/>
      <c r="T272" s="122"/>
      <c r="U272" s="301"/>
      <c r="V272" s="260">
        <f t="shared" ca="1" si="12"/>
        <v>0</v>
      </c>
      <c r="W272" s="348" t="str">
        <f>IF(板块成分!B274="","",板块成分!B274)</f>
        <v>000777.SZ</v>
      </c>
      <c r="X272" s="276" t="str">
        <f>[1]!S_Info_Name(W272)</f>
        <v>中核科技</v>
      </c>
      <c r="Y272" s="276" t="str">
        <f ca="1">IF($Y$3="申万一级行业",[1]!s_info_industry_sw_2021(W272,公司分析!D$5,1),IF($Y$3="申万二级行业",[1]!s_info_industry_sw_2021(W272,公司分析!D$5,2),IF($Y$3="申万三级行业",[1]!s_info_industry_sw_2021(W272,公司分析!D$5,3),IF($Y$3="wind一级行业",[1]!s_info_industry_gics(W272,1),IF($Y$3="wind二级行业",[1]!s_info_industry_gics(W272,2),IF($Y$3="wind三级行业",[1]!s_info_industry_gics(W272,3),IF($Y$3="wind四级行业",[1]!s_info_industry_gics(W272,4),IF($Y$3="证监会门类行业",[1]!s_info_industry_csrc12_n(W272,公司分析!D$5,1),""))))))))</f>
        <v>通用设备</v>
      </c>
      <c r="Z272" s="302" t="str">
        <f ca="1">IF(Y272=行业比较!$E$6,ROW(),"")</f>
        <v/>
      </c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</row>
    <row r="273" spans="2:42">
      <c r="B273" s="122"/>
      <c r="C273" s="122"/>
      <c r="D273" s="122"/>
      <c r="E273" s="122"/>
      <c r="F273" s="122"/>
      <c r="G273" s="122"/>
      <c r="H273" s="122"/>
      <c r="I273" s="275"/>
      <c r="J273" s="130"/>
      <c r="K273" s="130"/>
      <c r="L273" s="130"/>
      <c r="M273" s="130"/>
      <c r="N273" s="291"/>
      <c r="O273" s="291"/>
      <c r="P273" s="122"/>
      <c r="Q273" s="122"/>
      <c r="R273" s="122"/>
      <c r="S273" s="122"/>
      <c r="T273" s="122"/>
      <c r="U273" s="301"/>
      <c r="V273" s="260">
        <f t="shared" ca="1" si="12"/>
        <v>0</v>
      </c>
      <c r="W273" s="348" t="str">
        <f>IF(板块成分!B275="","",板块成分!B275)</f>
        <v>000778.SZ</v>
      </c>
      <c r="X273" s="276" t="str">
        <f>[1]!S_Info_Name(W273)</f>
        <v>新兴铸管</v>
      </c>
      <c r="Y273" s="276" t="str">
        <f ca="1">IF($Y$3="申万一级行业",[1]!s_info_industry_sw_2021(W273,公司分析!D$5,1),IF($Y$3="申万二级行业",[1]!s_info_industry_sw_2021(W273,公司分析!D$5,2),IF($Y$3="申万三级行业",[1]!s_info_industry_sw_2021(W273,公司分析!D$5,3),IF($Y$3="wind一级行业",[1]!s_info_industry_gics(W273,1),IF($Y$3="wind二级行业",[1]!s_info_industry_gics(W273,2),IF($Y$3="wind三级行业",[1]!s_info_industry_gics(W273,3),IF($Y$3="wind四级行业",[1]!s_info_industry_gics(W273,4),IF($Y$3="证监会门类行业",[1]!s_info_industry_csrc12_n(W273,公司分析!D$5,1),""))))))))</f>
        <v>普钢</v>
      </c>
      <c r="Z273" s="302" t="str">
        <f ca="1">IF(Y273=行业比较!$E$6,ROW(),"")</f>
        <v/>
      </c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</row>
    <row r="274" spans="2:42">
      <c r="B274" s="122"/>
      <c r="C274" s="122"/>
      <c r="D274" s="122"/>
      <c r="E274" s="122"/>
      <c r="F274" s="122"/>
      <c r="G274" s="122"/>
      <c r="H274" s="122"/>
      <c r="I274" s="275"/>
      <c r="J274" s="130"/>
      <c r="K274" s="130"/>
      <c r="L274" s="130"/>
      <c r="M274" s="130"/>
      <c r="N274" s="291"/>
      <c r="O274" s="291"/>
      <c r="P274" s="122"/>
      <c r="Q274" s="122"/>
      <c r="R274" s="122"/>
      <c r="S274" s="122"/>
      <c r="T274" s="122"/>
      <c r="U274" s="301"/>
      <c r="V274" s="260">
        <f t="shared" ca="1" si="12"/>
        <v>0</v>
      </c>
      <c r="W274" s="348" t="str">
        <f>IF(板块成分!B276="","",板块成分!B276)</f>
        <v>000779.SZ</v>
      </c>
      <c r="X274" s="276" t="str">
        <f>[1]!S_Info_Name(W274)</f>
        <v>甘咨询</v>
      </c>
      <c r="Y274" s="276" t="str">
        <f ca="1">IF($Y$3="申万一级行业",[1]!s_info_industry_sw_2021(W274,公司分析!D$5,1),IF($Y$3="申万二级行业",[1]!s_info_industry_sw_2021(W274,公司分析!D$5,2),IF($Y$3="申万三级行业",[1]!s_info_industry_sw_2021(W274,公司分析!D$5,3),IF($Y$3="wind一级行业",[1]!s_info_industry_gics(W274,1),IF($Y$3="wind二级行业",[1]!s_info_industry_gics(W274,2),IF($Y$3="wind三级行业",[1]!s_info_industry_gics(W274,3),IF($Y$3="wind四级行业",[1]!s_info_industry_gics(W274,4),IF($Y$3="证监会门类行业",[1]!s_info_industry_csrc12_n(W274,公司分析!D$5,1),""))))))))</f>
        <v>工程咨询服务Ⅱ</v>
      </c>
      <c r="Z274" s="302" t="str">
        <f ca="1">IF(Y274=行业比较!$E$6,ROW(),"")</f>
        <v/>
      </c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</row>
    <row r="275" spans="2:42">
      <c r="B275" s="122"/>
      <c r="C275" s="122"/>
      <c r="D275" s="122"/>
      <c r="E275" s="122"/>
      <c r="F275" s="122"/>
      <c r="G275" s="122"/>
      <c r="H275" s="122"/>
      <c r="I275" s="275"/>
      <c r="J275" s="130"/>
      <c r="K275" s="130"/>
      <c r="L275" s="130"/>
      <c r="M275" s="130"/>
      <c r="N275" s="291"/>
      <c r="O275" s="291"/>
      <c r="P275" s="122"/>
      <c r="Q275" s="122"/>
      <c r="R275" s="122"/>
      <c r="S275" s="122"/>
      <c r="T275" s="122"/>
      <c r="U275" s="301"/>
      <c r="V275" s="260">
        <f t="shared" ca="1" si="12"/>
        <v>0</v>
      </c>
      <c r="W275" s="348" t="str">
        <f>IF(板块成分!B277="","",板块成分!B277)</f>
        <v>000782.SZ</v>
      </c>
      <c r="X275" s="276" t="str">
        <f>[1]!S_Info_Name(W275)</f>
        <v>恒申新材</v>
      </c>
      <c r="Y275" s="276" t="str">
        <f ca="1">IF($Y$3="申万一级行业",[1]!s_info_industry_sw_2021(W275,公司分析!D$5,1),IF($Y$3="申万二级行业",[1]!s_info_industry_sw_2021(W275,公司分析!D$5,2),IF($Y$3="申万三级行业",[1]!s_info_industry_sw_2021(W275,公司分析!D$5,3),IF($Y$3="wind一级行业",[1]!s_info_industry_gics(W275,1),IF($Y$3="wind二级行业",[1]!s_info_industry_gics(W275,2),IF($Y$3="wind三级行业",[1]!s_info_industry_gics(W275,3),IF($Y$3="wind四级行业",[1]!s_info_industry_gics(W275,4),IF($Y$3="证监会门类行业",[1]!s_info_industry_csrc12_n(W275,公司分析!D$5,1),""))))))))</f>
        <v>化学纤维</v>
      </c>
      <c r="Z275" s="302" t="str">
        <f ca="1">IF(Y275=行业比较!$E$6,ROW(),"")</f>
        <v/>
      </c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</row>
    <row r="276" spans="2:42">
      <c r="B276" s="122"/>
      <c r="C276" s="122"/>
      <c r="D276" s="122"/>
      <c r="E276" s="122"/>
      <c r="F276" s="122"/>
      <c r="G276" s="122"/>
      <c r="H276" s="122"/>
      <c r="I276" s="275"/>
      <c r="J276" s="130"/>
      <c r="K276" s="130"/>
      <c r="L276" s="130"/>
      <c r="M276" s="130"/>
      <c r="N276" s="291"/>
      <c r="O276" s="291"/>
      <c r="P276" s="122"/>
      <c r="Q276" s="122"/>
      <c r="R276" s="122"/>
      <c r="S276" s="122"/>
      <c r="T276" s="122"/>
      <c r="U276" s="301"/>
      <c r="V276" s="260">
        <f t="shared" ca="1" si="12"/>
        <v>0</v>
      </c>
      <c r="W276" s="348" t="str">
        <f>IF(板块成分!B278="","",板块成分!B278)</f>
        <v>000783.SZ</v>
      </c>
      <c r="X276" s="276" t="str">
        <f>[1]!S_Info_Name(W276)</f>
        <v>长江证券</v>
      </c>
      <c r="Y276" s="276" t="str">
        <f ca="1">IF($Y$3="申万一级行业",[1]!s_info_industry_sw_2021(W276,公司分析!D$5,1),IF($Y$3="申万二级行业",[1]!s_info_industry_sw_2021(W276,公司分析!D$5,2),IF($Y$3="申万三级行业",[1]!s_info_industry_sw_2021(W276,公司分析!D$5,3),IF($Y$3="wind一级行业",[1]!s_info_industry_gics(W276,1),IF($Y$3="wind二级行业",[1]!s_info_industry_gics(W276,2),IF($Y$3="wind三级行业",[1]!s_info_industry_gics(W276,3),IF($Y$3="wind四级行业",[1]!s_info_industry_gics(W276,4),IF($Y$3="证监会门类行业",[1]!s_info_industry_csrc12_n(W276,公司分析!D$5,1),""))))))))</f>
        <v>证券Ⅱ</v>
      </c>
      <c r="Z276" s="302" t="str">
        <f ca="1">IF(Y276=行业比较!$E$6,ROW(),"")</f>
        <v/>
      </c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</row>
    <row r="277" spans="2:42">
      <c r="B277" s="122"/>
      <c r="C277" s="122"/>
      <c r="D277" s="122"/>
      <c r="E277" s="122"/>
      <c r="F277" s="122"/>
      <c r="G277" s="122"/>
      <c r="H277" s="122"/>
      <c r="I277" s="275"/>
      <c r="J277" s="130"/>
      <c r="K277" s="130"/>
      <c r="L277" s="130"/>
      <c r="M277" s="130"/>
      <c r="N277" s="291"/>
      <c r="O277" s="291"/>
      <c r="P277" s="122"/>
      <c r="Q277" s="122"/>
      <c r="R277" s="122"/>
      <c r="S277" s="122"/>
      <c r="T277" s="122"/>
      <c r="U277" s="301"/>
      <c r="V277" s="260">
        <f t="shared" ca="1" si="12"/>
        <v>0</v>
      </c>
      <c r="W277" s="348" t="str">
        <f>IF(板块成分!B279="","",板块成分!B279)</f>
        <v>000785.SZ</v>
      </c>
      <c r="X277" s="276" t="str">
        <f>[1]!S_Info_Name(W277)</f>
        <v>居然智家</v>
      </c>
      <c r="Y277" s="276" t="str">
        <f ca="1">IF($Y$3="申万一级行业",[1]!s_info_industry_sw_2021(W277,公司分析!D$5,1),IF($Y$3="申万二级行业",[1]!s_info_industry_sw_2021(W277,公司分析!D$5,2),IF($Y$3="申万三级行业",[1]!s_info_industry_sw_2021(W277,公司分析!D$5,3),IF($Y$3="wind一级行业",[1]!s_info_industry_gics(W277,1),IF($Y$3="wind二级行业",[1]!s_info_industry_gics(W277,2),IF($Y$3="wind三级行业",[1]!s_info_industry_gics(W277,3),IF($Y$3="wind四级行业",[1]!s_info_industry_gics(W277,4),IF($Y$3="证监会门类行业",[1]!s_info_industry_csrc12_n(W277,公司分析!D$5,1),""))))))))</f>
        <v>一般零售</v>
      </c>
      <c r="Z277" s="302" t="str">
        <f ca="1">IF(Y277=行业比较!$E$6,ROW(),"")</f>
        <v/>
      </c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</row>
    <row r="278" spans="2:42">
      <c r="B278" s="122"/>
      <c r="C278" s="122"/>
      <c r="D278" s="122"/>
      <c r="E278" s="122"/>
      <c r="F278" s="122"/>
      <c r="G278" s="122"/>
      <c r="H278" s="122"/>
      <c r="I278" s="275"/>
      <c r="J278" s="130"/>
      <c r="K278" s="130"/>
      <c r="L278" s="130"/>
      <c r="M278" s="130"/>
      <c r="N278" s="291"/>
      <c r="O278" s="291"/>
      <c r="P278" s="122"/>
      <c r="Q278" s="122"/>
      <c r="R278" s="122"/>
      <c r="S278" s="122"/>
      <c r="T278" s="122"/>
      <c r="U278" s="301"/>
      <c r="V278" s="260">
        <f t="shared" ca="1" si="12"/>
        <v>0</v>
      </c>
      <c r="W278" s="348" t="str">
        <f>IF(板块成分!B280="","",板块成分!B280)</f>
        <v>000786.SZ</v>
      </c>
      <c r="X278" s="276" t="str">
        <f>[1]!S_Info_Name(W278)</f>
        <v>北新建材</v>
      </c>
      <c r="Y278" s="276" t="str">
        <f ca="1">IF($Y$3="申万一级行业",[1]!s_info_industry_sw_2021(W278,公司分析!D$5,1),IF($Y$3="申万二级行业",[1]!s_info_industry_sw_2021(W278,公司分析!D$5,2),IF($Y$3="申万三级行业",[1]!s_info_industry_sw_2021(W278,公司分析!D$5,3),IF($Y$3="wind一级行业",[1]!s_info_industry_gics(W278,1),IF($Y$3="wind二级行业",[1]!s_info_industry_gics(W278,2),IF($Y$3="wind三级行业",[1]!s_info_industry_gics(W278,3),IF($Y$3="wind四级行业",[1]!s_info_industry_gics(W278,4),IF($Y$3="证监会门类行业",[1]!s_info_industry_csrc12_n(W278,公司分析!D$5,1),""))))))))</f>
        <v>装修建材</v>
      </c>
      <c r="Z278" s="302" t="str">
        <f ca="1">IF(Y278=行业比较!$E$6,ROW(),"")</f>
        <v/>
      </c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</row>
    <row r="279" spans="2:42">
      <c r="B279" s="122"/>
      <c r="C279" s="122"/>
      <c r="D279" s="122"/>
      <c r="E279" s="122"/>
      <c r="F279" s="122"/>
      <c r="G279" s="122"/>
      <c r="H279" s="122"/>
      <c r="I279" s="275"/>
      <c r="J279" s="130"/>
      <c r="K279" s="130"/>
      <c r="L279" s="130"/>
      <c r="M279" s="130"/>
      <c r="N279" s="291"/>
      <c r="O279" s="291"/>
      <c r="P279" s="122"/>
      <c r="Q279" s="122"/>
      <c r="R279" s="122"/>
      <c r="S279" s="122"/>
      <c r="T279" s="122"/>
      <c r="U279" s="301"/>
      <c r="V279" s="260">
        <f t="shared" ca="1" si="12"/>
        <v>0</v>
      </c>
      <c r="W279" s="348" t="str">
        <f>IF(板块成分!B281="","",板块成分!B281)</f>
        <v>000788.SZ</v>
      </c>
      <c r="X279" s="276" t="str">
        <f>[1]!S_Info_Name(W279)</f>
        <v>北大医药</v>
      </c>
      <c r="Y279" s="276" t="str">
        <f ca="1">IF($Y$3="申万一级行业",[1]!s_info_industry_sw_2021(W279,公司分析!D$5,1),IF($Y$3="申万二级行业",[1]!s_info_industry_sw_2021(W279,公司分析!D$5,2),IF($Y$3="申万三级行业",[1]!s_info_industry_sw_2021(W279,公司分析!D$5,3),IF($Y$3="wind一级行业",[1]!s_info_industry_gics(W279,1),IF($Y$3="wind二级行业",[1]!s_info_industry_gics(W279,2),IF($Y$3="wind三级行业",[1]!s_info_industry_gics(W279,3),IF($Y$3="wind四级行业",[1]!s_info_industry_gics(W279,4),IF($Y$3="证监会门类行业",[1]!s_info_industry_csrc12_n(W279,公司分析!D$5,1),""))))))))</f>
        <v>化学制药</v>
      </c>
      <c r="Z279" s="302" t="str">
        <f ca="1">IF(Y279=行业比较!$E$6,ROW(),"")</f>
        <v/>
      </c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</row>
    <row r="280" spans="2:42">
      <c r="B280" s="122"/>
      <c r="C280" s="122"/>
      <c r="D280" s="122"/>
      <c r="E280" s="122"/>
      <c r="F280" s="122"/>
      <c r="G280" s="122"/>
      <c r="H280" s="122"/>
      <c r="I280" s="275"/>
      <c r="J280" s="130"/>
      <c r="K280" s="130"/>
      <c r="L280" s="130"/>
      <c r="M280" s="130"/>
      <c r="N280" s="291"/>
      <c r="O280" s="291"/>
      <c r="P280" s="122"/>
      <c r="Q280" s="122"/>
      <c r="R280" s="122"/>
      <c r="S280" s="122"/>
      <c r="T280" s="122"/>
      <c r="U280" s="301"/>
      <c r="V280" s="260">
        <f t="shared" ca="1" si="12"/>
        <v>0</v>
      </c>
      <c r="W280" s="348" t="str">
        <f>IF(板块成分!B282="","",板块成分!B282)</f>
        <v>000789.SZ</v>
      </c>
      <c r="X280" s="276" t="str">
        <f>[1]!S_Info_Name(W280)</f>
        <v>万年青</v>
      </c>
      <c r="Y280" s="276" t="str">
        <f ca="1">IF($Y$3="申万一级行业",[1]!s_info_industry_sw_2021(W280,公司分析!D$5,1),IF($Y$3="申万二级行业",[1]!s_info_industry_sw_2021(W280,公司分析!D$5,2),IF($Y$3="申万三级行业",[1]!s_info_industry_sw_2021(W280,公司分析!D$5,3),IF($Y$3="wind一级行业",[1]!s_info_industry_gics(W280,1),IF($Y$3="wind二级行业",[1]!s_info_industry_gics(W280,2),IF($Y$3="wind三级行业",[1]!s_info_industry_gics(W280,3),IF($Y$3="wind四级行业",[1]!s_info_industry_gics(W280,4),IF($Y$3="证监会门类行业",[1]!s_info_industry_csrc12_n(W280,公司分析!D$5,1),""))))))))</f>
        <v>水泥</v>
      </c>
      <c r="Z280" s="302" t="str">
        <f ca="1">IF(Y280=行业比较!$E$6,ROW(),"")</f>
        <v/>
      </c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</row>
    <row r="281" spans="2:42">
      <c r="B281" s="122"/>
      <c r="C281" s="122"/>
      <c r="D281" s="122"/>
      <c r="E281" s="122"/>
      <c r="F281" s="122"/>
      <c r="G281" s="122"/>
      <c r="H281" s="122"/>
      <c r="I281" s="275"/>
      <c r="J281" s="130"/>
      <c r="K281" s="130"/>
      <c r="L281" s="130"/>
      <c r="M281" s="130"/>
      <c r="N281" s="291"/>
      <c r="O281" s="291"/>
      <c r="P281" s="122"/>
      <c r="Q281" s="122"/>
      <c r="R281" s="122"/>
      <c r="S281" s="122"/>
      <c r="T281" s="122"/>
      <c r="U281" s="301"/>
      <c r="V281" s="260">
        <f t="shared" ca="1" si="12"/>
        <v>0</v>
      </c>
      <c r="W281" s="348" t="str">
        <f>IF(板块成分!B283="","",板块成分!B283)</f>
        <v>000790.SZ</v>
      </c>
      <c r="X281" s="276" t="str">
        <f>[1]!S_Info_Name(W281)</f>
        <v>华神科技</v>
      </c>
      <c r="Y281" s="276" t="str">
        <f ca="1">IF($Y$3="申万一级行业",[1]!s_info_industry_sw_2021(W281,公司分析!D$5,1),IF($Y$3="申万二级行业",[1]!s_info_industry_sw_2021(W281,公司分析!D$5,2),IF($Y$3="申万三级行业",[1]!s_info_industry_sw_2021(W281,公司分析!D$5,3),IF($Y$3="wind一级行业",[1]!s_info_industry_gics(W281,1),IF($Y$3="wind二级行业",[1]!s_info_industry_gics(W281,2),IF($Y$3="wind三级行业",[1]!s_info_industry_gics(W281,3),IF($Y$3="wind四级行业",[1]!s_info_industry_gics(W281,4),IF($Y$3="证监会门类行业",[1]!s_info_industry_csrc12_n(W281,公司分析!D$5,1),""))))))))</f>
        <v>中药Ⅱ</v>
      </c>
      <c r="Z281" s="302" t="str">
        <f ca="1">IF(Y281=行业比较!$E$6,ROW(),"")</f>
        <v/>
      </c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</row>
    <row r="282" spans="2:42">
      <c r="B282" s="122"/>
      <c r="C282" s="122"/>
      <c r="D282" s="122"/>
      <c r="E282" s="122"/>
      <c r="F282" s="122"/>
      <c r="G282" s="122"/>
      <c r="H282" s="122"/>
      <c r="I282" s="275"/>
      <c r="J282" s="130"/>
      <c r="K282" s="130"/>
      <c r="L282" s="130"/>
      <c r="M282" s="130"/>
      <c r="N282" s="291"/>
      <c r="O282" s="291"/>
      <c r="P282" s="122"/>
      <c r="Q282" s="122"/>
      <c r="R282" s="122"/>
      <c r="S282" s="122"/>
      <c r="T282" s="122"/>
      <c r="U282" s="301"/>
      <c r="V282" s="260">
        <f t="shared" ca="1" si="12"/>
        <v>0</v>
      </c>
      <c r="W282" s="348" t="str">
        <f>IF(板块成分!B284="","",板块成分!B284)</f>
        <v>000791.SZ</v>
      </c>
      <c r="X282" s="276" t="str">
        <f>[1]!S_Info_Name(W282)</f>
        <v>甘肃能源</v>
      </c>
      <c r="Y282" s="276" t="str">
        <f ca="1">IF($Y$3="申万一级行业",[1]!s_info_industry_sw_2021(W282,公司分析!D$5,1),IF($Y$3="申万二级行业",[1]!s_info_industry_sw_2021(W282,公司分析!D$5,2),IF($Y$3="申万三级行业",[1]!s_info_industry_sw_2021(W282,公司分析!D$5,3),IF($Y$3="wind一级行业",[1]!s_info_industry_gics(W282,1),IF($Y$3="wind二级行业",[1]!s_info_industry_gics(W282,2),IF($Y$3="wind三级行业",[1]!s_info_industry_gics(W282,3),IF($Y$3="wind四级行业",[1]!s_info_industry_gics(W282,4),IF($Y$3="证监会门类行业",[1]!s_info_industry_csrc12_n(W282,公司分析!D$5,1),""))))))))</f>
        <v>电力</v>
      </c>
      <c r="Z282" s="302" t="str">
        <f ca="1">IF(Y282=行业比较!$E$6,ROW(),"")</f>
        <v/>
      </c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</row>
    <row r="283" spans="2:42">
      <c r="B283" s="122"/>
      <c r="C283" s="122"/>
      <c r="D283" s="122"/>
      <c r="E283" s="122"/>
      <c r="F283" s="122"/>
      <c r="G283" s="122"/>
      <c r="H283" s="122"/>
      <c r="I283" s="275"/>
      <c r="J283" s="130"/>
      <c r="K283" s="130"/>
      <c r="L283" s="130"/>
      <c r="M283" s="130"/>
      <c r="N283" s="291"/>
      <c r="O283" s="291"/>
      <c r="P283" s="122"/>
      <c r="Q283" s="122"/>
      <c r="R283" s="122"/>
      <c r="S283" s="122"/>
      <c r="T283" s="122"/>
      <c r="U283" s="301"/>
      <c r="V283" s="260">
        <f t="shared" ca="1" si="12"/>
        <v>0</v>
      </c>
      <c r="W283" s="348" t="str">
        <f>IF(板块成分!B285="","",板块成分!B285)</f>
        <v>000792.SZ</v>
      </c>
      <c r="X283" s="276" t="str">
        <f>[1]!S_Info_Name(W283)</f>
        <v>盐湖股份</v>
      </c>
      <c r="Y283" s="276" t="str">
        <f ca="1">IF($Y$3="申万一级行业",[1]!s_info_industry_sw_2021(W283,公司分析!D$5,1),IF($Y$3="申万二级行业",[1]!s_info_industry_sw_2021(W283,公司分析!D$5,2),IF($Y$3="申万三级行业",[1]!s_info_industry_sw_2021(W283,公司分析!D$5,3),IF($Y$3="wind一级行业",[1]!s_info_industry_gics(W283,1),IF($Y$3="wind二级行业",[1]!s_info_industry_gics(W283,2),IF($Y$3="wind三级行业",[1]!s_info_industry_gics(W283,3),IF($Y$3="wind四级行业",[1]!s_info_industry_gics(W283,4),IF($Y$3="证监会门类行业",[1]!s_info_industry_csrc12_n(W283,公司分析!D$5,1),""))))))))</f>
        <v>农化制品</v>
      </c>
      <c r="Z283" s="302" t="str">
        <f ca="1">IF(Y283=行业比较!$E$6,ROW(),"")</f>
        <v/>
      </c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</row>
    <row r="284" spans="2:42">
      <c r="B284" s="122"/>
      <c r="C284" s="122"/>
      <c r="D284" s="122"/>
      <c r="E284" s="122"/>
      <c r="F284" s="122"/>
      <c r="G284" s="122"/>
      <c r="H284" s="122"/>
      <c r="I284" s="275"/>
      <c r="J284" s="130"/>
      <c r="K284" s="130"/>
      <c r="L284" s="130"/>
      <c r="M284" s="130"/>
      <c r="N284" s="291"/>
      <c r="O284" s="291"/>
      <c r="P284" s="122"/>
      <c r="Q284" s="122"/>
      <c r="R284" s="122"/>
      <c r="S284" s="122"/>
      <c r="T284" s="122"/>
      <c r="U284" s="301"/>
      <c r="V284" s="260">
        <f t="shared" ca="1" si="12"/>
        <v>0</v>
      </c>
      <c r="W284" s="348" t="str">
        <f>IF(板块成分!B286="","",板块成分!B286)</f>
        <v>000793.SZ</v>
      </c>
      <c r="X284" s="276" t="str">
        <f>[1]!S_Info_Name(W284)</f>
        <v>*ST华闻</v>
      </c>
      <c r="Y284" s="276" t="str">
        <f ca="1">IF($Y$3="申万一级行业",[1]!s_info_industry_sw_2021(W284,公司分析!D$5,1),IF($Y$3="申万二级行业",[1]!s_info_industry_sw_2021(W284,公司分析!D$5,2),IF($Y$3="申万三级行业",[1]!s_info_industry_sw_2021(W284,公司分析!D$5,3),IF($Y$3="wind一级行业",[1]!s_info_industry_gics(W284,1),IF($Y$3="wind二级行业",[1]!s_info_industry_gics(W284,2),IF($Y$3="wind三级行业",[1]!s_info_industry_gics(W284,3),IF($Y$3="wind四级行业",[1]!s_info_industry_gics(W284,4),IF($Y$3="证监会门类行业",[1]!s_info_industry_csrc12_n(W284,公司分析!D$5,1),""))))))))</f>
        <v>出版</v>
      </c>
      <c r="Z284" s="302" t="str">
        <f ca="1">IF(Y284=行业比较!$E$6,ROW(),"")</f>
        <v/>
      </c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</row>
    <row r="285" spans="2:42">
      <c r="B285" s="122"/>
      <c r="C285" s="122"/>
      <c r="D285" s="122"/>
      <c r="E285" s="122"/>
      <c r="F285" s="122"/>
      <c r="G285" s="122"/>
      <c r="H285" s="122"/>
      <c r="I285" s="275"/>
      <c r="J285" s="130"/>
      <c r="K285" s="130"/>
      <c r="L285" s="130"/>
      <c r="M285" s="130"/>
      <c r="N285" s="291"/>
      <c r="O285" s="291"/>
      <c r="P285" s="122"/>
      <c r="Q285" s="122"/>
      <c r="R285" s="122"/>
      <c r="S285" s="122"/>
      <c r="T285" s="122"/>
      <c r="U285" s="301"/>
      <c r="V285" s="260">
        <f t="shared" ca="1" si="12"/>
        <v>0</v>
      </c>
      <c r="W285" s="348" t="str">
        <f>IF(板块成分!B287="","",板块成分!B287)</f>
        <v>000795.SZ</v>
      </c>
      <c r="X285" s="276" t="str">
        <f>[1]!S_Info_Name(W285)</f>
        <v>英洛华</v>
      </c>
      <c r="Y285" s="276" t="str">
        <f ca="1">IF($Y$3="申万一级行业",[1]!s_info_industry_sw_2021(W285,公司分析!D$5,1),IF($Y$3="申万二级行业",[1]!s_info_industry_sw_2021(W285,公司分析!D$5,2),IF($Y$3="申万三级行业",[1]!s_info_industry_sw_2021(W285,公司分析!D$5,3),IF($Y$3="wind一级行业",[1]!s_info_industry_gics(W285,1),IF($Y$3="wind二级行业",[1]!s_info_industry_gics(W285,2),IF($Y$3="wind三级行业",[1]!s_info_industry_gics(W285,3),IF($Y$3="wind四级行业",[1]!s_info_industry_gics(W285,4),IF($Y$3="证监会门类行业",[1]!s_info_industry_csrc12_n(W285,公司分析!D$5,1),""))))))))</f>
        <v>金属新材料</v>
      </c>
      <c r="Z285" s="302" t="str">
        <f ca="1">IF(Y285=行业比较!$E$6,ROW(),"")</f>
        <v/>
      </c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</row>
    <row r="286" spans="2:42">
      <c r="B286" s="122"/>
      <c r="C286" s="122"/>
      <c r="D286" s="122"/>
      <c r="E286" s="122"/>
      <c r="F286" s="122"/>
      <c r="G286" s="122"/>
      <c r="H286" s="122"/>
      <c r="I286" s="275"/>
      <c r="J286" s="130"/>
      <c r="K286" s="130"/>
      <c r="L286" s="130"/>
      <c r="M286" s="130"/>
      <c r="N286" s="291"/>
      <c r="O286" s="291"/>
      <c r="P286" s="122"/>
      <c r="Q286" s="122"/>
      <c r="R286" s="122"/>
      <c r="S286" s="122"/>
      <c r="T286" s="122"/>
      <c r="U286" s="301"/>
      <c r="V286" s="260">
        <f t="shared" ca="1" si="12"/>
        <v>0</v>
      </c>
      <c r="W286" s="348" t="str">
        <f>IF(板块成分!B288="","",板块成分!B288)</f>
        <v>000796.SZ</v>
      </c>
      <c r="X286" s="276" t="str">
        <f>[1]!S_Info_Name(W286)</f>
        <v>凯撒旅业</v>
      </c>
      <c r="Y286" s="276" t="str">
        <f ca="1">IF($Y$3="申万一级行业",[1]!s_info_industry_sw_2021(W286,公司分析!D$5,1),IF($Y$3="申万二级行业",[1]!s_info_industry_sw_2021(W286,公司分析!D$5,2),IF($Y$3="申万三级行业",[1]!s_info_industry_sw_2021(W286,公司分析!D$5,3),IF($Y$3="wind一级行业",[1]!s_info_industry_gics(W286,1),IF($Y$3="wind二级行业",[1]!s_info_industry_gics(W286,2),IF($Y$3="wind三级行业",[1]!s_info_industry_gics(W286,3),IF($Y$3="wind四级行业",[1]!s_info_industry_gics(W286,4),IF($Y$3="证监会门类行业",[1]!s_info_industry_csrc12_n(W286,公司分析!D$5,1),""))))))))</f>
        <v>旅游及景区</v>
      </c>
      <c r="Z286" s="302" t="str">
        <f ca="1">IF(Y286=行业比较!$E$6,ROW(),"")</f>
        <v/>
      </c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</row>
    <row r="287" spans="2:42">
      <c r="B287" s="122"/>
      <c r="C287" s="122"/>
      <c r="D287" s="122"/>
      <c r="E287" s="122"/>
      <c r="F287" s="122"/>
      <c r="G287" s="122"/>
      <c r="H287" s="122"/>
      <c r="I287" s="275"/>
      <c r="J287" s="130"/>
      <c r="K287" s="130"/>
      <c r="L287" s="130"/>
      <c r="M287" s="130"/>
      <c r="N287" s="291"/>
      <c r="O287" s="291"/>
      <c r="P287" s="122"/>
      <c r="Q287" s="122"/>
      <c r="R287" s="122"/>
      <c r="S287" s="122"/>
      <c r="T287" s="122"/>
      <c r="U287" s="301"/>
      <c r="V287" s="260">
        <f t="shared" ca="1" si="12"/>
        <v>0</v>
      </c>
      <c r="W287" s="348" t="str">
        <f>IF(板块成分!B289="","",板块成分!B289)</f>
        <v>000797.SZ</v>
      </c>
      <c r="X287" s="276" t="str">
        <f>[1]!S_Info_Name(W287)</f>
        <v>中国武夷</v>
      </c>
      <c r="Y287" s="276" t="str">
        <f ca="1">IF($Y$3="申万一级行业",[1]!s_info_industry_sw_2021(W287,公司分析!D$5,1),IF($Y$3="申万二级行业",[1]!s_info_industry_sw_2021(W287,公司分析!D$5,2),IF($Y$3="申万三级行业",[1]!s_info_industry_sw_2021(W287,公司分析!D$5,3),IF($Y$3="wind一级行业",[1]!s_info_industry_gics(W287,1),IF($Y$3="wind二级行业",[1]!s_info_industry_gics(W287,2),IF($Y$3="wind三级行业",[1]!s_info_industry_gics(W287,3),IF($Y$3="wind四级行业",[1]!s_info_industry_gics(W287,4),IF($Y$3="证监会门类行业",[1]!s_info_industry_csrc12_n(W287,公司分析!D$5,1),""))))))))</f>
        <v>房地产开发</v>
      </c>
      <c r="Z287" s="302" t="str">
        <f ca="1">IF(Y287=行业比较!$E$6,ROW(),"")</f>
        <v/>
      </c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</row>
    <row r="288" spans="2:42">
      <c r="B288" s="122"/>
      <c r="C288" s="122"/>
      <c r="D288" s="122"/>
      <c r="E288" s="122"/>
      <c r="F288" s="122"/>
      <c r="G288" s="122"/>
      <c r="H288" s="122"/>
      <c r="I288" s="275"/>
      <c r="J288" s="130"/>
      <c r="K288" s="130"/>
      <c r="L288" s="130"/>
      <c r="M288" s="130"/>
      <c r="N288" s="291"/>
      <c r="O288" s="291"/>
      <c r="P288" s="122"/>
      <c r="Q288" s="122"/>
      <c r="R288" s="122"/>
      <c r="S288" s="122"/>
      <c r="T288" s="122"/>
      <c r="U288" s="301"/>
      <c r="V288" s="260">
        <f t="shared" ca="1" si="12"/>
        <v>0</v>
      </c>
      <c r="W288" s="348" t="str">
        <f>IF(板块成分!B290="","",板块成分!B290)</f>
        <v>000798.SZ</v>
      </c>
      <c r="X288" s="276" t="str">
        <f>[1]!S_Info_Name(W288)</f>
        <v>中水渔业</v>
      </c>
      <c r="Y288" s="276" t="str">
        <f ca="1">IF($Y$3="申万一级行业",[1]!s_info_industry_sw_2021(W288,公司分析!D$5,1),IF($Y$3="申万二级行业",[1]!s_info_industry_sw_2021(W288,公司分析!D$5,2),IF($Y$3="申万三级行业",[1]!s_info_industry_sw_2021(W288,公司分析!D$5,3),IF($Y$3="wind一级行业",[1]!s_info_industry_gics(W288,1),IF($Y$3="wind二级行业",[1]!s_info_industry_gics(W288,2),IF($Y$3="wind三级行业",[1]!s_info_industry_gics(W288,3),IF($Y$3="wind四级行业",[1]!s_info_industry_gics(W288,4),IF($Y$3="证监会门类行业",[1]!s_info_industry_csrc12_n(W288,公司分析!D$5,1),""))))))))</f>
        <v>渔业</v>
      </c>
      <c r="Z288" s="302" t="str">
        <f ca="1">IF(Y288=行业比较!$E$6,ROW(),"")</f>
        <v/>
      </c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</row>
    <row r="289" spans="2:42">
      <c r="B289" s="122"/>
      <c r="C289" s="122"/>
      <c r="D289" s="122"/>
      <c r="E289" s="122"/>
      <c r="F289" s="122"/>
      <c r="G289" s="122"/>
      <c r="H289" s="122"/>
      <c r="I289" s="275"/>
      <c r="J289" s="130"/>
      <c r="K289" s="130"/>
      <c r="L289" s="130"/>
      <c r="M289" s="130"/>
      <c r="N289" s="291"/>
      <c r="O289" s="291"/>
      <c r="P289" s="122"/>
      <c r="Q289" s="122"/>
      <c r="R289" s="122"/>
      <c r="S289" s="122"/>
      <c r="T289" s="122"/>
      <c r="U289" s="301"/>
      <c r="V289" s="260">
        <f t="shared" ca="1" si="12"/>
        <v>0</v>
      </c>
      <c r="W289" s="348" t="str">
        <f>IF(板块成分!B291="","",板块成分!B291)</f>
        <v>000799.SZ</v>
      </c>
      <c r="X289" s="276" t="str">
        <f>[1]!S_Info_Name(W289)</f>
        <v>酒鬼酒</v>
      </c>
      <c r="Y289" s="276" t="str">
        <f ca="1">IF($Y$3="申万一级行业",[1]!s_info_industry_sw_2021(W289,公司分析!D$5,1),IF($Y$3="申万二级行业",[1]!s_info_industry_sw_2021(W289,公司分析!D$5,2),IF($Y$3="申万三级行业",[1]!s_info_industry_sw_2021(W289,公司分析!D$5,3),IF($Y$3="wind一级行业",[1]!s_info_industry_gics(W289,1),IF($Y$3="wind二级行业",[1]!s_info_industry_gics(W289,2),IF($Y$3="wind三级行业",[1]!s_info_industry_gics(W289,3),IF($Y$3="wind四级行业",[1]!s_info_industry_gics(W289,4),IF($Y$3="证监会门类行业",[1]!s_info_industry_csrc12_n(W289,公司分析!D$5,1),""))))))))</f>
        <v>白酒Ⅱ</v>
      </c>
      <c r="Z289" s="302" t="str">
        <f ca="1">IF(Y289=行业比较!$E$6,ROW(),"")</f>
        <v/>
      </c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</row>
    <row r="290" spans="2:42">
      <c r="B290" s="122"/>
      <c r="C290" s="122"/>
      <c r="D290" s="122"/>
      <c r="E290" s="122"/>
      <c r="F290" s="122"/>
      <c r="G290" s="122"/>
      <c r="H290" s="122"/>
      <c r="I290" s="275"/>
      <c r="J290" s="130"/>
      <c r="K290" s="130"/>
      <c r="L290" s="130"/>
      <c r="M290" s="130"/>
      <c r="N290" s="291"/>
      <c r="O290" s="291"/>
      <c r="P290" s="122"/>
      <c r="Q290" s="122"/>
      <c r="R290" s="122"/>
      <c r="S290" s="122"/>
      <c r="T290" s="122"/>
      <c r="U290" s="301"/>
      <c r="V290" s="260">
        <f t="shared" ca="1" si="12"/>
        <v>0</v>
      </c>
      <c r="W290" s="348" t="str">
        <f>IF(板块成分!B292="","",板块成分!B292)</f>
        <v>000800.SZ</v>
      </c>
      <c r="X290" s="276" t="str">
        <f>[1]!S_Info_Name(W290)</f>
        <v>一汽解放</v>
      </c>
      <c r="Y290" s="276" t="str">
        <f ca="1">IF($Y$3="申万一级行业",[1]!s_info_industry_sw_2021(W290,公司分析!D$5,1),IF($Y$3="申万二级行业",[1]!s_info_industry_sw_2021(W290,公司分析!D$5,2),IF($Y$3="申万三级行业",[1]!s_info_industry_sw_2021(W290,公司分析!D$5,3),IF($Y$3="wind一级行业",[1]!s_info_industry_gics(W290,1),IF($Y$3="wind二级行业",[1]!s_info_industry_gics(W290,2),IF($Y$3="wind三级行业",[1]!s_info_industry_gics(W290,3),IF($Y$3="wind四级行业",[1]!s_info_industry_gics(W290,4),IF($Y$3="证监会门类行业",[1]!s_info_industry_csrc12_n(W290,公司分析!D$5,1),""))))))))</f>
        <v>商用车</v>
      </c>
      <c r="Z290" s="302" t="str">
        <f ca="1">IF(Y290=行业比较!$E$6,ROW(),"")</f>
        <v/>
      </c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</row>
    <row r="291" spans="2:42">
      <c r="B291" s="122"/>
      <c r="C291" s="122"/>
      <c r="D291" s="122"/>
      <c r="E291" s="122"/>
      <c r="F291" s="122"/>
      <c r="G291" s="122"/>
      <c r="H291" s="122"/>
      <c r="I291" s="275"/>
      <c r="J291" s="130"/>
      <c r="K291" s="130"/>
      <c r="L291" s="130"/>
      <c r="M291" s="130"/>
      <c r="N291" s="291"/>
      <c r="O291" s="291"/>
      <c r="P291" s="122"/>
      <c r="Q291" s="122"/>
      <c r="R291" s="122"/>
      <c r="S291" s="122"/>
      <c r="T291" s="122"/>
      <c r="U291" s="301"/>
      <c r="V291" s="260">
        <f t="shared" ca="1" si="12"/>
        <v>0</v>
      </c>
      <c r="W291" s="348" t="str">
        <f>IF(板块成分!B293="","",板块成分!B293)</f>
        <v>000801.SZ</v>
      </c>
      <c r="X291" s="276" t="str">
        <f>[1]!S_Info_Name(W291)</f>
        <v>四川九洲</v>
      </c>
      <c r="Y291" s="276" t="str">
        <f ca="1">IF($Y$3="申万一级行业",[1]!s_info_industry_sw_2021(W291,公司分析!D$5,1),IF($Y$3="申万二级行业",[1]!s_info_industry_sw_2021(W291,公司分析!D$5,2),IF($Y$3="申万三级行业",[1]!s_info_industry_sw_2021(W291,公司分析!D$5,3),IF($Y$3="wind一级行业",[1]!s_info_industry_gics(W291,1),IF($Y$3="wind二级行业",[1]!s_info_industry_gics(W291,2),IF($Y$3="wind三级行业",[1]!s_info_industry_gics(W291,3),IF($Y$3="wind四级行业",[1]!s_info_industry_gics(W291,4),IF($Y$3="证监会门类行业",[1]!s_info_industry_csrc12_n(W291,公司分析!D$5,1),""))))))))</f>
        <v>黑色家电</v>
      </c>
      <c r="Z291" s="302" t="str">
        <f ca="1">IF(Y291=行业比较!$E$6,ROW(),"")</f>
        <v/>
      </c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</row>
    <row r="292" spans="2:42">
      <c r="B292" s="122"/>
      <c r="C292" s="122"/>
      <c r="D292" s="122"/>
      <c r="E292" s="122"/>
      <c r="F292" s="122"/>
      <c r="G292" s="122"/>
      <c r="H292" s="122"/>
      <c r="I292" s="275"/>
      <c r="J292" s="130"/>
      <c r="K292" s="130"/>
      <c r="L292" s="130"/>
      <c r="M292" s="130"/>
      <c r="N292" s="291"/>
      <c r="O292" s="291"/>
      <c r="P292" s="122"/>
      <c r="Q292" s="122"/>
      <c r="R292" s="122"/>
      <c r="S292" s="122"/>
      <c r="T292" s="122"/>
      <c r="U292" s="301"/>
      <c r="V292" s="260">
        <f t="shared" ca="1" si="12"/>
        <v>0</v>
      </c>
      <c r="W292" s="348" t="str">
        <f>IF(板块成分!B294="","",板块成分!B294)</f>
        <v>000802.SZ</v>
      </c>
      <c r="X292" s="276" t="str">
        <f>[1]!S_Info_Name(W292)</f>
        <v>北京文化</v>
      </c>
      <c r="Y292" s="276" t="str">
        <f ca="1">IF($Y$3="申万一级行业",[1]!s_info_industry_sw_2021(W292,公司分析!D$5,1),IF($Y$3="申万二级行业",[1]!s_info_industry_sw_2021(W292,公司分析!D$5,2),IF($Y$3="申万三级行业",[1]!s_info_industry_sw_2021(W292,公司分析!D$5,3),IF($Y$3="wind一级行业",[1]!s_info_industry_gics(W292,1),IF($Y$3="wind二级行业",[1]!s_info_industry_gics(W292,2),IF($Y$3="wind三级行业",[1]!s_info_industry_gics(W292,3),IF($Y$3="wind四级行业",[1]!s_info_industry_gics(W292,4),IF($Y$3="证监会门类行业",[1]!s_info_industry_csrc12_n(W292,公司分析!D$5,1),""))))))))</f>
        <v>影视院线</v>
      </c>
      <c r="Z292" s="302" t="str">
        <f ca="1">IF(Y292=行业比较!$E$6,ROW(),"")</f>
        <v/>
      </c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</row>
    <row r="293" spans="2:42">
      <c r="B293" s="122"/>
      <c r="C293" s="122"/>
      <c r="D293" s="122"/>
      <c r="E293" s="122"/>
      <c r="F293" s="122"/>
      <c r="G293" s="122"/>
      <c r="H293" s="122"/>
      <c r="I293" s="275"/>
      <c r="J293" s="130"/>
      <c r="K293" s="130"/>
      <c r="L293" s="130"/>
      <c r="M293" s="130"/>
      <c r="N293" s="291"/>
      <c r="O293" s="291"/>
      <c r="P293" s="122"/>
      <c r="Q293" s="122"/>
      <c r="R293" s="122"/>
      <c r="S293" s="122"/>
      <c r="T293" s="122"/>
      <c r="U293" s="301"/>
      <c r="V293" s="260">
        <f t="shared" ca="1" si="12"/>
        <v>0</v>
      </c>
      <c r="W293" s="348" t="str">
        <f>IF(板块成分!B295="","",板块成分!B295)</f>
        <v>000803.SZ</v>
      </c>
      <c r="X293" s="276" t="str">
        <f>[1]!S_Info_Name(W293)</f>
        <v>山高环能</v>
      </c>
      <c r="Y293" s="276" t="str">
        <f ca="1">IF($Y$3="申万一级行业",[1]!s_info_industry_sw_2021(W293,公司分析!D$5,1),IF($Y$3="申万二级行业",[1]!s_info_industry_sw_2021(W293,公司分析!D$5,2),IF($Y$3="申万三级行业",[1]!s_info_industry_sw_2021(W293,公司分析!D$5,3),IF($Y$3="wind一级行业",[1]!s_info_industry_gics(W293,1),IF($Y$3="wind二级行业",[1]!s_info_industry_gics(W293,2),IF($Y$3="wind三级行业",[1]!s_info_industry_gics(W293,3),IF($Y$3="wind四级行业",[1]!s_info_industry_gics(W293,4),IF($Y$3="证监会门类行业",[1]!s_info_industry_csrc12_n(W293,公司分析!D$5,1),""))))))))</f>
        <v>环境治理</v>
      </c>
      <c r="Z293" s="302" t="str">
        <f ca="1">IF(Y293=行业比较!$E$6,ROW(),"")</f>
        <v/>
      </c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</row>
    <row r="294" spans="2:42">
      <c r="B294" s="122"/>
      <c r="C294" s="122"/>
      <c r="D294" s="122"/>
      <c r="E294" s="122"/>
      <c r="F294" s="122"/>
      <c r="G294" s="122"/>
      <c r="H294" s="122"/>
      <c r="I294" s="275"/>
      <c r="J294" s="130"/>
      <c r="K294" s="130"/>
      <c r="L294" s="130"/>
      <c r="M294" s="130"/>
      <c r="N294" s="291"/>
      <c r="O294" s="291"/>
      <c r="P294" s="122"/>
      <c r="Q294" s="122"/>
      <c r="R294" s="122"/>
      <c r="S294" s="122"/>
      <c r="T294" s="122"/>
      <c r="U294" s="301"/>
      <c r="V294" s="260">
        <f t="shared" ca="1" si="12"/>
        <v>10</v>
      </c>
      <c r="W294" s="348" t="str">
        <f>IF(板块成分!B296="","",板块成分!B296)</f>
        <v>000807.SZ</v>
      </c>
      <c r="X294" s="276" t="str">
        <f>[1]!S_Info_Name(W294)</f>
        <v>云铝股份</v>
      </c>
      <c r="Y294" s="276" t="str">
        <f ca="1">IF($Y$3="申万一级行业",[1]!s_info_industry_sw_2021(W294,公司分析!D$5,1),IF($Y$3="申万二级行业",[1]!s_info_industry_sw_2021(W294,公司分析!D$5,2),IF($Y$3="申万三级行业",[1]!s_info_industry_sw_2021(W294,公司分析!D$5,3),IF($Y$3="wind一级行业",[1]!s_info_industry_gics(W294,1),IF($Y$3="wind二级行业",[1]!s_info_industry_gics(W294,2),IF($Y$3="wind三级行业",[1]!s_info_industry_gics(W294,3),IF($Y$3="wind四级行业",[1]!s_info_industry_gics(W294,4),IF($Y$3="证监会门类行业",[1]!s_info_industry_csrc12_n(W294,公司分析!D$5,1),""))))))))</f>
        <v>工业金属</v>
      </c>
      <c r="Z294" s="302">
        <f ca="1">IF(Y294=行业比较!$E$6,ROW(),"")</f>
        <v>294</v>
      </c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</row>
    <row r="295" spans="2:42">
      <c r="B295" s="122"/>
      <c r="C295" s="122"/>
      <c r="D295" s="122"/>
      <c r="E295" s="122"/>
      <c r="F295" s="122"/>
      <c r="G295" s="122"/>
      <c r="H295" s="122"/>
      <c r="I295" s="275"/>
      <c r="J295" s="130"/>
      <c r="K295" s="130"/>
      <c r="L295" s="130"/>
      <c r="M295" s="130"/>
      <c r="N295" s="291"/>
      <c r="O295" s="291"/>
      <c r="P295" s="122"/>
      <c r="Q295" s="122"/>
      <c r="R295" s="122"/>
      <c r="S295" s="122"/>
      <c r="T295" s="122"/>
      <c r="U295" s="301"/>
      <c r="V295" s="260">
        <f t="shared" ca="1" si="12"/>
        <v>0</v>
      </c>
      <c r="W295" s="348" t="str">
        <f>IF(板块成分!B297="","",板块成分!B297)</f>
        <v>000809.SZ</v>
      </c>
      <c r="X295" s="276" t="str">
        <f>[1]!S_Info_Name(W295)</f>
        <v>和展能源</v>
      </c>
      <c r="Y295" s="276" t="str">
        <f ca="1">IF($Y$3="申万一级行业",[1]!s_info_industry_sw_2021(W295,公司分析!D$5,1),IF($Y$3="申万二级行业",[1]!s_info_industry_sw_2021(W295,公司分析!D$5,2),IF($Y$3="申万三级行业",[1]!s_info_industry_sw_2021(W295,公司分析!D$5,3),IF($Y$3="wind一级行业",[1]!s_info_industry_gics(W295,1),IF($Y$3="wind二级行业",[1]!s_info_industry_gics(W295,2),IF($Y$3="wind三级行业",[1]!s_info_industry_gics(W295,3),IF($Y$3="wind四级行业",[1]!s_info_industry_gics(W295,4),IF($Y$3="证监会门类行业",[1]!s_info_industry_csrc12_n(W295,公司分析!D$5,1),""))))))))</f>
        <v>房地产开发</v>
      </c>
      <c r="Z295" s="302" t="str">
        <f ca="1">IF(Y295=行业比较!$E$6,ROW(),"")</f>
        <v/>
      </c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</row>
    <row r="296" spans="2:42">
      <c r="B296" s="122"/>
      <c r="C296" s="122"/>
      <c r="D296" s="122"/>
      <c r="E296" s="122"/>
      <c r="F296" s="122"/>
      <c r="G296" s="122"/>
      <c r="H296" s="122"/>
      <c r="I296" s="275"/>
      <c r="J296" s="130"/>
      <c r="K296" s="130"/>
      <c r="L296" s="130"/>
      <c r="M296" s="130"/>
      <c r="N296" s="291"/>
      <c r="O296" s="291"/>
      <c r="P296" s="122"/>
      <c r="Q296" s="122"/>
      <c r="R296" s="122"/>
      <c r="S296" s="122"/>
      <c r="T296" s="122"/>
      <c r="U296" s="301"/>
      <c r="V296" s="260">
        <f t="shared" ca="1" si="12"/>
        <v>0</v>
      </c>
      <c r="W296" s="348" t="str">
        <f>IF(板块成分!B298="","",板块成分!B298)</f>
        <v>000810.SZ</v>
      </c>
      <c r="X296" s="276" t="str">
        <f>[1]!S_Info_Name(W296)</f>
        <v>创维数字</v>
      </c>
      <c r="Y296" s="276" t="str">
        <f ca="1">IF($Y$3="申万一级行业",[1]!s_info_industry_sw_2021(W296,公司分析!D$5,1),IF($Y$3="申万二级行业",[1]!s_info_industry_sw_2021(W296,公司分析!D$5,2),IF($Y$3="申万三级行业",[1]!s_info_industry_sw_2021(W296,公司分析!D$5,3),IF($Y$3="wind一级行业",[1]!s_info_industry_gics(W296,1),IF($Y$3="wind二级行业",[1]!s_info_industry_gics(W296,2),IF($Y$3="wind三级行业",[1]!s_info_industry_gics(W296,3),IF($Y$3="wind四级行业",[1]!s_info_industry_gics(W296,4),IF($Y$3="证监会门类行业",[1]!s_info_industry_csrc12_n(W296,公司分析!D$5,1),""))))))))</f>
        <v>黑色家电</v>
      </c>
      <c r="Z296" s="302" t="str">
        <f ca="1">IF(Y296=行业比较!$E$6,ROW(),"")</f>
        <v/>
      </c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</row>
    <row r="297" spans="2:42">
      <c r="B297" s="122"/>
      <c r="C297" s="122"/>
      <c r="D297" s="122"/>
      <c r="E297" s="122"/>
      <c r="F297" s="122"/>
      <c r="G297" s="122"/>
      <c r="H297" s="122"/>
      <c r="I297" s="275"/>
      <c r="J297" s="130"/>
      <c r="K297" s="130"/>
      <c r="L297" s="130"/>
      <c r="M297" s="130"/>
      <c r="N297" s="291"/>
      <c r="O297" s="291"/>
      <c r="P297" s="122"/>
      <c r="Q297" s="122"/>
      <c r="R297" s="122"/>
      <c r="S297" s="122"/>
      <c r="T297" s="122"/>
      <c r="U297" s="301"/>
      <c r="V297" s="260">
        <f t="shared" ca="1" si="12"/>
        <v>0</v>
      </c>
      <c r="W297" s="348" t="str">
        <f>IF(板块成分!B299="","",板块成分!B299)</f>
        <v>000811.SZ</v>
      </c>
      <c r="X297" s="276" t="str">
        <f>[1]!S_Info_Name(W297)</f>
        <v>冰轮环境</v>
      </c>
      <c r="Y297" s="276" t="str">
        <f ca="1">IF($Y$3="申万一级行业",[1]!s_info_industry_sw_2021(W297,公司分析!D$5,1),IF($Y$3="申万二级行业",[1]!s_info_industry_sw_2021(W297,公司分析!D$5,2),IF($Y$3="申万三级行业",[1]!s_info_industry_sw_2021(W297,公司分析!D$5,3),IF($Y$3="wind一级行业",[1]!s_info_industry_gics(W297,1),IF($Y$3="wind二级行业",[1]!s_info_industry_gics(W297,2),IF($Y$3="wind三级行业",[1]!s_info_industry_gics(W297,3),IF($Y$3="wind四级行业",[1]!s_info_industry_gics(W297,4),IF($Y$3="证监会门类行业",[1]!s_info_industry_csrc12_n(W297,公司分析!D$5,1),""))))))))</f>
        <v>通用设备</v>
      </c>
      <c r="Z297" s="302" t="str">
        <f ca="1">IF(Y297=行业比较!$E$6,ROW(),"")</f>
        <v/>
      </c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</row>
    <row r="298" spans="2:42">
      <c r="B298" s="122"/>
      <c r="C298" s="122"/>
      <c r="D298" s="122"/>
      <c r="E298" s="122"/>
      <c r="F298" s="122"/>
      <c r="G298" s="122"/>
      <c r="H298" s="122"/>
      <c r="I298" s="275"/>
      <c r="J298" s="130"/>
      <c r="K298" s="130"/>
      <c r="L298" s="130"/>
      <c r="M298" s="130"/>
      <c r="N298" s="291"/>
      <c r="O298" s="291"/>
      <c r="P298" s="122"/>
      <c r="Q298" s="122"/>
      <c r="R298" s="122"/>
      <c r="S298" s="122"/>
      <c r="T298" s="122"/>
      <c r="U298" s="301"/>
      <c r="V298" s="260">
        <f t="shared" ca="1" si="12"/>
        <v>0</v>
      </c>
      <c r="W298" s="348" t="str">
        <f>IF(板块成分!B300="","",板块成分!B300)</f>
        <v>000812.SZ</v>
      </c>
      <c r="X298" s="276" t="str">
        <f>[1]!S_Info_Name(W298)</f>
        <v>陕西金叶</v>
      </c>
      <c r="Y298" s="276" t="str">
        <f ca="1">IF($Y$3="申万一级行业",[1]!s_info_industry_sw_2021(W298,公司分析!D$5,1),IF($Y$3="申万二级行业",[1]!s_info_industry_sw_2021(W298,公司分析!D$5,2),IF($Y$3="申万三级行业",[1]!s_info_industry_sw_2021(W298,公司分析!D$5,3),IF($Y$3="wind一级行业",[1]!s_info_industry_gics(W298,1),IF($Y$3="wind二级行业",[1]!s_info_industry_gics(W298,2),IF($Y$3="wind三级行业",[1]!s_info_industry_gics(W298,3),IF($Y$3="wind四级行业",[1]!s_info_industry_gics(W298,4),IF($Y$3="证监会门类行业",[1]!s_info_industry_csrc12_n(W298,公司分析!D$5,1),""))))))))</f>
        <v>包装印刷</v>
      </c>
      <c r="Z298" s="302" t="str">
        <f ca="1">IF(Y298=行业比较!$E$6,ROW(),"")</f>
        <v/>
      </c>
      <c r="AA298" s="122"/>
      <c r="AB298" s="122"/>
      <c r="AC298" s="122"/>
      <c r="AD298" s="122"/>
      <c r="AE298" s="122"/>
      <c r="AF298" s="122"/>
      <c r="AG298" s="122"/>
      <c r="AH298" s="122"/>
      <c r="AI298" s="122"/>
      <c r="AJ298" s="122"/>
      <c r="AK298" s="122"/>
      <c r="AL298" s="122"/>
      <c r="AM298" s="122"/>
      <c r="AN298" s="122"/>
      <c r="AO298" s="122"/>
      <c r="AP298" s="122"/>
    </row>
    <row r="299" spans="2:42">
      <c r="B299" s="122"/>
      <c r="C299" s="122"/>
      <c r="D299" s="122"/>
      <c r="E299" s="122"/>
      <c r="F299" s="122"/>
      <c r="G299" s="122"/>
      <c r="H299" s="122"/>
      <c r="I299" s="275"/>
      <c r="J299" s="130"/>
      <c r="K299" s="130"/>
      <c r="L299" s="130"/>
      <c r="M299" s="130"/>
      <c r="N299" s="291"/>
      <c r="O299" s="291"/>
      <c r="P299" s="122"/>
      <c r="Q299" s="122"/>
      <c r="R299" s="122"/>
      <c r="S299" s="122"/>
      <c r="T299" s="122"/>
      <c r="U299" s="301"/>
      <c r="V299" s="260">
        <f t="shared" ca="1" si="12"/>
        <v>0</v>
      </c>
      <c r="W299" s="348" t="str">
        <f>IF(板块成分!B301="","",板块成分!B301)</f>
        <v>000813.SZ</v>
      </c>
      <c r="X299" s="276" t="str">
        <f>[1]!S_Info_Name(W299)</f>
        <v>德展健康</v>
      </c>
      <c r="Y299" s="276" t="str">
        <f ca="1">IF($Y$3="申万一级行业",[1]!s_info_industry_sw_2021(W299,公司分析!D$5,1),IF($Y$3="申万二级行业",[1]!s_info_industry_sw_2021(W299,公司分析!D$5,2),IF($Y$3="申万三级行业",[1]!s_info_industry_sw_2021(W299,公司分析!D$5,3),IF($Y$3="wind一级行业",[1]!s_info_industry_gics(W299,1),IF($Y$3="wind二级行业",[1]!s_info_industry_gics(W299,2),IF($Y$3="wind三级行业",[1]!s_info_industry_gics(W299,3),IF($Y$3="wind四级行业",[1]!s_info_industry_gics(W299,4),IF($Y$3="证监会门类行业",[1]!s_info_industry_csrc12_n(W299,公司分析!D$5,1),""))))))))</f>
        <v>化学制药</v>
      </c>
      <c r="Z299" s="302" t="str">
        <f ca="1">IF(Y299=行业比较!$E$6,ROW(),"")</f>
        <v/>
      </c>
      <c r="AA299" s="122"/>
      <c r="AB299" s="122"/>
      <c r="AC299" s="122"/>
      <c r="AD299" s="122"/>
      <c r="AE299" s="122"/>
      <c r="AF299" s="122"/>
      <c r="AG299" s="122"/>
      <c r="AH299" s="122"/>
      <c r="AI299" s="122"/>
      <c r="AJ299" s="122"/>
      <c r="AK299" s="122"/>
      <c r="AL299" s="122"/>
      <c r="AM299" s="122"/>
      <c r="AN299" s="122"/>
      <c r="AO299" s="122"/>
      <c r="AP299" s="122"/>
    </row>
    <row r="300" spans="2:42">
      <c r="B300" s="122"/>
      <c r="C300" s="122"/>
      <c r="D300" s="122"/>
      <c r="E300" s="122"/>
      <c r="F300" s="122"/>
      <c r="G300" s="122"/>
      <c r="H300" s="122"/>
      <c r="I300" s="275"/>
      <c r="J300" s="130"/>
      <c r="K300" s="130"/>
      <c r="L300" s="130"/>
      <c r="M300" s="130"/>
      <c r="N300" s="291"/>
      <c r="O300" s="291"/>
      <c r="P300" s="122"/>
      <c r="Q300" s="122"/>
      <c r="R300" s="122"/>
      <c r="S300" s="122"/>
      <c r="T300" s="122"/>
      <c r="U300" s="301"/>
      <c r="V300" s="260">
        <f t="shared" ca="1" si="12"/>
        <v>0</v>
      </c>
      <c r="W300" s="348" t="str">
        <f>IF(板块成分!B302="","",板块成分!B302)</f>
        <v>000815.SZ</v>
      </c>
      <c r="X300" s="276" t="str">
        <f>[1]!S_Info_Name(W300)</f>
        <v>美利云</v>
      </c>
      <c r="Y300" s="276" t="str">
        <f ca="1">IF($Y$3="申万一级行业",[1]!s_info_industry_sw_2021(W300,公司分析!D$5,1),IF($Y$3="申万二级行业",[1]!s_info_industry_sw_2021(W300,公司分析!D$5,2),IF($Y$3="申万三级行业",[1]!s_info_industry_sw_2021(W300,公司分析!D$5,3),IF($Y$3="wind一级行业",[1]!s_info_industry_gics(W300,1),IF($Y$3="wind二级行业",[1]!s_info_industry_gics(W300,2),IF($Y$3="wind三级行业",[1]!s_info_industry_gics(W300,3),IF($Y$3="wind四级行业",[1]!s_info_industry_gics(W300,4),IF($Y$3="证监会门类行业",[1]!s_info_industry_csrc12_n(W300,公司分析!D$5,1),""))))))))</f>
        <v>IT服务Ⅱ</v>
      </c>
      <c r="Z300" s="302" t="str">
        <f ca="1">IF(Y300=行业比较!$E$6,ROW(),"")</f>
        <v/>
      </c>
      <c r="AA300" s="122"/>
      <c r="AB300" s="122"/>
      <c r="AC300" s="122"/>
      <c r="AD300" s="122"/>
      <c r="AE300" s="122"/>
      <c r="AF300" s="122"/>
      <c r="AG300" s="122"/>
      <c r="AH300" s="122"/>
      <c r="AI300" s="122"/>
      <c r="AJ300" s="122"/>
      <c r="AK300" s="122"/>
      <c r="AL300" s="122"/>
      <c r="AM300" s="122"/>
      <c r="AN300" s="122"/>
      <c r="AO300" s="122"/>
      <c r="AP300" s="122"/>
    </row>
    <row r="301" spans="2:42">
      <c r="B301" s="122"/>
      <c r="C301" s="122"/>
      <c r="D301" s="122"/>
      <c r="E301" s="122"/>
      <c r="F301" s="122"/>
      <c r="G301" s="122"/>
      <c r="H301" s="122"/>
      <c r="I301" s="275"/>
      <c r="J301" s="130"/>
      <c r="K301" s="130"/>
      <c r="L301" s="130"/>
      <c r="M301" s="130"/>
      <c r="N301" s="291"/>
      <c r="O301" s="291"/>
      <c r="P301" s="122"/>
      <c r="Q301" s="122"/>
      <c r="R301" s="122"/>
      <c r="S301" s="122"/>
      <c r="T301" s="122"/>
      <c r="U301" s="301"/>
      <c r="V301" s="260">
        <f t="shared" ca="1" si="12"/>
        <v>0</v>
      </c>
      <c r="W301" s="348" t="str">
        <f>IF(板块成分!B303="","",板块成分!B303)</f>
        <v>000816.SZ</v>
      </c>
      <c r="X301" s="276" t="str">
        <f>[1]!S_Info_Name(W301)</f>
        <v>智慧农业</v>
      </c>
      <c r="Y301" s="276" t="str">
        <f ca="1">IF($Y$3="申万一级行业",[1]!s_info_industry_sw_2021(W301,公司分析!D$5,1),IF($Y$3="申万二级行业",[1]!s_info_industry_sw_2021(W301,公司分析!D$5,2),IF($Y$3="申万三级行业",[1]!s_info_industry_sw_2021(W301,公司分析!D$5,3),IF($Y$3="wind一级行业",[1]!s_info_industry_gics(W301,1),IF($Y$3="wind二级行业",[1]!s_info_industry_gics(W301,2),IF($Y$3="wind三级行业",[1]!s_info_industry_gics(W301,3),IF($Y$3="wind四级行业",[1]!s_info_industry_gics(W301,4),IF($Y$3="证监会门类行业",[1]!s_info_industry_csrc12_n(W301,公司分析!D$5,1),""))))))))</f>
        <v>汽车零部件</v>
      </c>
      <c r="Z301" s="302" t="str">
        <f ca="1">IF(Y301=行业比较!$E$6,ROW(),"")</f>
        <v/>
      </c>
      <c r="AA301" s="122"/>
      <c r="AB301" s="122"/>
      <c r="AC301" s="122"/>
      <c r="AD301" s="122"/>
      <c r="AE301" s="122"/>
      <c r="AF301" s="122"/>
      <c r="AG301" s="122"/>
      <c r="AH301" s="122"/>
      <c r="AI301" s="122"/>
      <c r="AJ301" s="122"/>
      <c r="AK301" s="122"/>
      <c r="AL301" s="122"/>
      <c r="AM301" s="122"/>
      <c r="AN301" s="122"/>
      <c r="AO301" s="122"/>
      <c r="AP301" s="122"/>
    </row>
    <row r="302" spans="2:42">
      <c r="B302" s="122"/>
      <c r="C302" s="122"/>
      <c r="D302" s="122"/>
      <c r="E302" s="122"/>
      <c r="F302" s="122"/>
      <c r="G302" s="122"/>
      <c r="H302" s="122"/>
      <c r="I302" s="275"/>
      <c r="J302" s="130"/>
      <c r="K302" s="130"/>
      <c r="L302" s="130"/>
      <c r="M302" s="130"/>
      <c r="N302" s="291"/>
      <c r="O302" s="291"/>
      <c r="P302" s="122"/>
      <c r="Q302" s="122"/>
      <c r="R302" s="122"/>
      <c r="S302" s="122"/>
      <c r="T302" s="122"/>
      <c r="U302" s="301"/>
      <c r="V302" s="260">
        <f t="shared" ca="1" si="12"/>
        <v>0</v>
      </c>
      <c r="W302" s="348" t="str">
        <f>IF(板块成分!B304="","",板块成分!B304)</f>
        <v>000818.SZ</v>
      </c>
      <c r="X302" s="276" t="str">
        <f>[1]!S_Info_Name(W302)</f>
        <v>航锦科技</v>
      </c>
      <c r="Y302" s="276" t="str">
        <f ca="1">IF($Y$3="申万一级行业",[1]!s_info_industry_sw_2021(W302,公司分析!D$5,1),IF($Y$3="申万二级行业",[1]!s_info_industry_sw_2021(W302,公司分析!D$5,2),IF($Y$3="申万三级行业",[1]!s_info_industry_sw_2021(W302,公司分析!D$5,3),IF($Y$3="wind一级行业",[1]!s_info_industry_gics(W302,1),IF($Y$3="wind二级行业",[1]!s_info_industry_gics(W302,2),IF($Y$3="wind三级行业",[1]!s_info_industry_gics(W302,3),IF($Y$3="wind四级行业",[1]!s_info_industry_gics(W302,4),IF($Y$3="证监会门类行业",[1]!s_info_industry_csrc12_n(W302,公司分析!D$5,1),""))))))))</f>
        <v>化学原料</v>
      </c>
      <c r="Z302" s="302" t="str">
        <f ca="1">IF(Y302=行业比较!$E$6,ROW(),"")</f>
        <v/>
      </c>
      <c r="AA302" s="122"/>
      <c r="AB302" s="122"/>
      <c r="AC302" s="122"/>
      <c r="AD302" s="122"/>
      <c r="AE302" s="122"/>
      <c r="AF302" s="122"/>
      <c r="AG302" s="122"/>
      <c r="AH302" s="122"/>
      <c r="AI302" s="122"/>
      <c r="AJ302" s="122"/>
      <c r="AK302" s="122"/>
      <c r="AL302" s="122"/>
      <c r="AM302" s="122"/>
      <c r="AN302" s="122"/>
      <c r="AO302" s="122"/>
      <c r="AP302" s="122"/>
    </row>
    <row r="303" spans="2:42">
      <c r="B303" s="122"/>
      <c r="C303" s="122"/>
      <c r="D303" s="122"/>
      <c r="E303" s="122"/>
      <c r="F303" s="122"/>
      <c r="G303" s="122"/>
      <c r="H303" s="122"/>
      <c r="I303" s="275"/>
      <c r="J303" s="130"/>
      <c r="K303" s="130"/>
      <c r="L303" s="130"/>
      <c r="M303" s="130"/>
      <c r="N303" s="291"/>
      <c r="O303" s="291"/>
      <c r="P303" s="122"/>
      <c r="Q303" s="122"/>
      <c r="R303" s="122"/>
      <c r="S303" s="122"/>
      <c r="T303" s="122"/>
      <c r="U303" s="301"/>
      <c r="V303" s="260">
        <f t="shared" ca="1" si="12"/>
        <v>0</v>
      </c>
      <c r="W303" s="348" t="str">
        <f>IF(板块成分!B305="","",板块成分!B305)</f>
        <v>000819.SZ</v>
      </c>
      <c r="X303" s="276" t="str">
        <f>[1]!S_Info_Name(W303)</f>
        <v>岳阳兴长</v>
      </c>
      <c r="Y303" s="276" t="str">
        <f ca="1">IF($Y$3="申万一级行业",[1]!s_info_industry_sw_2021(W303,公司分析!D$5,1),IF($Y$3="申万二级行业",[1]!s_info_industry_sw_2021(W303,公司分析!D$5,2),IF($Y$3="申万三级行业",[1]!s_info_industry_sw_2021(W303,公司分析!D$5,3),IF($Y$3="wind一级行业",[1]!s_info_industry_gics(W303,1),IF($Y$3="wind二级行业",[1]!s_info_industry_gics(W303,2),IF($Y$3="wind三级行业",[1]!s_info_industry_gics(W303,3),IF($Y$3="wind四级行业",[1]!s_info_industry_gics(W303,4),IF($Y$3="证监会门类行业",[1]!s_info_industry_csrc12_n(W303,公司分析!D$5,1),""))))))))</f>
        <v>炼化及贸易</v>
      </c>
      <c r="Z303" s="302" t="str">
        <f ca="1">IF(Y303=行业比较!$E$6,ROW(),"")</f>
        <v/>
      </c>
      <c r="AA303" s="122"/>
      <c r="AB303" s="122"/>
      <c r="AC303" s="122"/>
      <c r="AD303" s="122"/>
      <c r="AE303" s="122"/>
      <c r="AF303" s="122"/>
      <c r="AG303" s="122"/>
      <c r="AH303" s="122"/>
      <c r="AI303" s="122"/>
      <c r="AJ303" s="122"/>
      <c r="AK303" s="122"/>
      <c r="AL303" s="122"/>
      <c r="AM303" s="122"/>
      <c r="AN303" s="122"/>
      <c r="AO303" s="122"/>
      <c r="AP303" s="122"/>
    </row>
    <row r="304" spans="2:42">
      <c r="B304" s="122"/>
      <c r="C304" s="122"/>
      <c r="D304" s="122"/>
      <c r="E304" s="122"/>
      <c r="F304" s="122"/>
      <c r="G304" s="122"/>
      <c r="H304" s="122"/>
      <c r="I304" s="275"/>
      <c r="J304" s="130"/>
      <c r="K304" s="130"/>
      <c r="L304" s="130"/>
      <c r="M304" s="130"/>
      <c r="N304" s="291"/>
      <c r="O304" s="291"/>
      <c r="P304" s="122"/>
      <c r="Q304" s="122"/>
      <c r="R304" s="122"/>
      <c r="S304" s="122"/>
      <c r="T304" s="122"/>
      <c r="U304" s="301"/>
      <c r="V304" s="260">
        <f t="shared" ca="1" si="12"/>
        <v>0</v>
      </c>
      <c r="W304" s="348" t="str">
        <f>IF(板块成分!B306="","",板块成分!B306)</f>
        <v>000820.SZ</v>
      </c>
      <c r="X304" s="276" t="str">
        <f>[1]!S_Info_Name(W304)</f>
        <v>*ST节能</v>
      </c>
      <c r="Y304" s="276" t="str">
        <f ca="1">IF($Y$3="申万一级行业",[1]!s_info_industry_sw_2021(W304,公司分析!D$5,1),IF($Y$3="申万二级行业",[1]!s_info_industry_sw_2021(W304,公司分析!D$5,2),IF($Y$3="申万三级行业",[1]!s_info_industry_sw_2021(W304,公司分析!D$5,3),IF($Y$3="wind一级行业",[1]!s_info_industry_gics(W304,1),IF($Y$3="wind二级行业",[1]!s_info_industry_gics(W304,2),IF($Y$3="wind三级行业",[1]!s_info_industry_gics(W304,3),IF($Y$3="wind四级行业",[1]!s_info_industry_gics(W304,4),IF($Y$3="证监会门类行业",[1]!s_info_industry_csrc12_n(W304,公司分析!D$5,1),""))))))))</f>
        <v>环保设备Ⅱ</v>
      </c>
      <c r="Z304" s="302" t="str">
        <f ca="1">IF(Y304=行业比较!$E$6,ROW(),"")</f>
        <v/>
      </c>
      <c r="AA304" s="122"/>
      <c r="AB304" s="122"/>
      <c r="AC304" s="122"/>
      <c r="AD304" s="122"/>
      <c r="AE304" s="122"/>
      <c r="AF304" s="122"/>
      <c r="AG304" s="122"/>
      <c r="AH304" s="122"/>
      <c r="AI304" s="122"/>
      <c r="AJ304" s="122"/>
      <c r="AK304" s="122"/>
      <c r="AL304" s="122"/>
      <c r="AM304" s="122"/>
      <c r="AN304" s="122"/>
      <c r="AO304" s="122"/>
      <c r="AP304" s="122"/>
    </row>
    <row r="305" spans="2:42">
      <c r="B305" s="122"/>
      <c r="C305" s="122"/>
      <c r="D305" s="122"/>
      <c r="E305" s="122"/>
      <c r="F305" s="122"/>
      <c r="G305" s="122"/>
      <c r="H305" s="122"/>
      <c r="I305" s="275"/>
      <c r="J305" s="130"/>
      <c r="K305" s="130"/>
      <c r="L305" s="130"/>
      <c r="M305" s="130"/>
      <c r="N305" s="291"/>
      <c r="O305" s="291"/>
      <c r="P305" s="122"/>
      <c r="Q305" s="122"/>
      <c r="R305" s="122"/>
      <c r="S305" s="122"/>
      <c r="T305" s="122"/>
      <c r="U305" s="301"/>
      <c r="V305" s="260">
        <f t="shared" ca="1" si="12"/>
        <v>0</v>
      </c>
      <c r="W305" s="348" t="str">
        <f>IF(板块成分!B307="","",板块成分!B307)</f>
        <v>000821.SZ</v>
      </c>
      <c r="X305" s="276" t="str">
        <f>[1]!S_Info_Name(W305)</f>
        <v>ST京机</v>
      </c>
      <c r="Y305" s="276" t="str">
        <f ca="1">IF($Y$3="申万一级行业",[1]!s_info_industry_sw_2021(W305,公司分析!D$5,1),IF($Y$3="申万二级行业",[1]!s_info_industry_sw_2021(W305,公司分析!D$5,2),IF($Y$3="申万三级行业",[1]!s_info_industry_sw_2021(W305,公司分析!D$5,3),IF($Y$3="wind一级行业",[1]!s_info_industry_gics(W305,1),IF($Y$3="wind二级行业",[1]!s_info_industry_gics(W305,2),IF($Y$3="wind三级行业",[1]!s_info_industry_gics(W305,3),IF($Y$3="wind四级行业",[1]!s_info_industry_gics(W305,4),IF($Y$3="证监会门类行业",[1]!s_info_industry_csrc12_n(W305,公司分析!D$5,1),""))))))))</f>
        <v>光伏设备</v>
      </c>
      <c r="Z305" s="302" t="str">
        <f ca="1">IF(Y305=行业比较!$E$6,ROW(),"")</f>
        <v/>
      </c>
      <c r="AA305" s="122"/>
      <c r="AB305" s="122"/>
      <c r="AC305" s="122"/>
      <c r="AD305" s="122"/>
      <c r="AE305" s="122"/>
      <c r="AF305" s="122"/>
      <c r="AG305" s="122"/>
      <c r="AH305" s="122"/>
      <c r="AI305" s="122"/>
      <c r="AJ305" s="122"/>
      <c r="AK305" s="122"/>
      <c r="AL305" s="122"/>
      <c r="AM305" s="122"/>
      <c r="AN305" s="122"/>
      <c r="AO305" s="122"/>
      <c r="AP305" s="122"/>
    </row>
    <row r="306" spans="2:42">
      <c r="B306" s="122"/>
      <c r="C306" s="122"/>
      <c r="D306" s="122"/>
      <c r="E306" s="122"/>
      <c r="F306" s="122"/>
      <c r="G306" s="122"/>
      <c r="H306" s="122"/>
      <c r="I306" s="275"/>
      <c r="J306" s="130"/>
      <c r="K306" s="130"/>
      <c r="L306" s="130"/>
      <c r="M306" s="130"/>
      <c r="N306" s="291"/>
      <c r="O306" s="291"/>
      <c r="P306" s="122"/>
      <c r="Q306" s="122"/>
      <c r="R306" s="122"/>
      <c r="S306" s="122"/>
      <c r="T306" s="122"/>
      <c r="U306" s="301"/>
      <c r="V306" s="260">
        <f t="shared" ca="1" si="12"/>
        <v>0</v>
      </c>
      <c r="W306" s="348" t="str">
        <f>IF(板块成分!B308="","",板块成分!B308)</f>
        <v>000822.SZ</v>
      </c>
      <c r="X306" s="276" t="str">
        <f>[1]!S_Info_Name(W306)</f>
        <v>山东海化</v>
      </c>
      <c r="Y306" s="276" t="str">
        <f ca="1">IF($Y$3="申万一级行业",[1]!s_info_industry_sw_2021(W306,公司分析!D$5,1),IF($Y$3="申万二级行业",[1]!s_info_industry_sw_2021(W306,公司分析!D$5,2),IF($Y$3="申万三级行业",[1]!s_info_industry_sw_2021(W306,公司分析!D$5,3),IF($Y$3="wind一级行业",[1]!s_info_industry_gics(W306,1),IF($Y$3="wind二级行业",[1]!s_info_industry_gics(W306,2),IF($Y$3="wind三级行业",[1]!s_info_industry_gics(W306,3),IF($Y$3="wind四级行业",[1]!s_info_industry_gics(W306,4),IF($Y$3="证监会门类行业",[1]!s_info_industry_csrc12_n(W306,公司分析!D$5,1),""))))))))</f>
        <v>化学原料</v>
      </c>
      <c r="Z306" s="302" t="str">
        <f ca="1">IF(Y306=行业比较!$E$6,ROW(),"")</f>
        <v/>
      </c>
      <c r="AA306" s="122"/>
      <c r="AB306" s="122"/>
      <c r="AC306" s="122"/>
      <c r="AD306" s="122"/>
      <c r="AE306" s="122"/>
      <c r="AF306" s="122"/>
      <c r="AG306" s="122"/>
      <c r="AH306" s="122"/>
      <c r="AI306" s="122"/>
      <c r="AJ306" s="122"/>
      <c r="AK306" s="122"/>
      <c r="AL306" s="122"/>
      <c r="AM306" s="122"/>
      <c r="AN306" s="122"/>
      <c r="AO306" s="122"/>
      <c r="AP306" s="122"/>
    </row>
    <row r="307" spans="2:42">
      <c r="B307" s="122"/>
      <c r="C307" s="122"/>
      <c r="D307" s="122"/>
      <c r="E307" s="122"/>
      <c r="F307" s="122"/>
      <c r="G307" s="122"/>
      <c r="H307" s="122"/>
      <c r="I307" s="275"/>
      <c r="J307" s="130"/>
      <c r="K307" s="130"/>
      <c r="L307" s="130"/>
      <c r="M307" s="130"/>
      <c r="N307" s="291"/>
      <c r="O307" s="291"/>
      <c r="P307" s="122"/>
      <c r="Q307" s="122"/>
      <c r="R307" s="122"/>
      <c r="S307" s="122"/>
      <c r="T307" s="122"/>
      <c r="U307" s="301"/>
      <c r="V307" s="260">
        <f t="shared" ca="1" si="12"/>
        <v>0</v>
      </c>
      <c r="W307" s="348" t="str">
        <f>IF(板块成分!B309="","",板块成分!B309)</f>
        <v>000823.SZ</v>
      </c>
      <c r="X307" s="276" t="str">
        <f>[1]!S_Info_Name(W307)</f>
        <v>超声电子</v>
      </c>
      <c r="Y307" s="276" t="str">
        <f ca="1">IF($Y$3="申万一级行业",[1]!s_info_industry_sw_2021(W307,公司分析!D$5,1),IF($Y$3="申万二级行业",[1]!s_info_industry_sw_2021(W307,公司分析!D$5,2),IF($Y$3="申万三级行业",[1]!s_info_industry_sw_2021(W307,公司分析!D$5,3),IF($Y$3="wind一级行业",[1]!s_info_industry_gics(W307,1),IF($Y$3="wind二级行业",[1]!s_info_industry_gics(W307,2),IF($Y$3="wind三级行业",[1]!s_info_industry_gics(W307,3),IF($Y$3="wind四级行业",[1]!s_info_industry_gics(W307,4),IF($Y$3="证监会门类行业",[1]!s_info_industry_csrc12_n(W307,公司分析!D$5,1),""))))))))</f>
        <v>元件</v>
      </c>
      <c r="Z307" s="302" t="str">
        <f ca="1">IF(Y307=行业比较!$E$6,ROW(),"")</f>
        <v/>
      </c>
      <c r="AA307" s="122"/>
      <c r="AB307" s="122"/>
      <c r="AC307" s="122"/>
      <c r="AD307" s="122"/>
      <c r="AE307" s="122"/>
      <c r="AF307" s="122"/>
      <c r="AG307" s="122"/>
      <c r="AH307" s="122"/>
      <c r="AI307" s="122"/>
      <c r="AJ307" s="122"/>
      <c r="AK307" s="122"/>
      <c r="AL307" s="122"/>
      <c r="AM307" s="122"/>
      <c r="AN307" s="122"/>
      <c r="AO307" s="122"/>
      <c r="AP307" s="122"/>
    </row>
    <row r="308" spans="2:42">
      <c r="B308" s="122"/>
      <c r="C308" s="122"/>
      <c r="D308" s="122"/>
      <c r="E308" s="122"/>
      <c r="F308" s="122"/>
      <c r="G308" s="122"/>
      <c r="H308" s="122"/>
      <c r="I308" s="275"/>
      <c r="J308" s="130"/>
      <c r="K308" s="130"/>
      <c r="L308" s="130"/>
      <c r="M308" s="130"/>
      <c r="N308" s="291"/>
      <c r="O308" s="291"/>
      <c r="P308" s="122"/>
      <c r="Q308" s="122"/>
      <c r="R308" s="122"/>
      <c r="S308" s="122"/>
      <c r="T308" s="122"/>
      <c r="U308" s="301"/>
      <c r="V308" s="260">
        <f t="shared" ca="1" si="12"/>
        <v>0</v>
      </c>
      <c r="W308" s="348" t="str">
        <f>IF(板块成分!B310="","",板块成分!B310)</f>
        <v>000825.SZ</v>
      </c>
      <c r="X308" s="276" t="str">
        <f>[1]!S_Info_Name(W308)</f>
        <v>太钢不锈</v>
      </c>
      <c r="Y308" s="276" t="str">
        <f ca="1">IF($Y$3="申万一级行业",[1]!s_info_industry_sw_2021(W308,公司分析!D$5,1),IF($Y$3="申万二级行业",[1]!s_info_industry_sw_2021(W308,公司分析!D$5,2),IF($Y$3="申万三级行业",[1]!s_info_industry_sw_2021(W308,公司分析!D$5,3),IF($Y$3="wind一级行业",[1]!s_info_industry_gics(W308,1),IF($Y$3="wind二级行业",[1]!s_info_industry_gics(W308,2),IF($Y$3="wind三级行业",[1]!s_info_industry_gics(W308,3),IF($Y$3="wind四级行业",[1]!s_info_industry_gics(W308,4),IF($Y$3="证监会门类行业",[1]!s_info_industry_csrc12_n(W308,公司分析!D$5,1),""))))))))</f>
        <v>特钢Ⅱ</v>
      </c>
      <c r="Z308" s="302" t="str">
        <f ca="1">IF(Y308=行业比较!$E$6,ROW(),"")</f>
        <v/>
      </c>
      <c r="AA308" s="122"/>
      <c r="AB308" s="122"/>
      <c r="AC308" s="122"/>
      <c r="AD308" s="122"/>
      <c r="AE308" s="122"/>
      <c r="AF308" s="122"/>
      <c r="AG308" s="122"/>
      <c r="AH308" s="122"/>
      <c r="AI308" s="122"/>
      <c r="AJ308" s="122"/>
      <c r="AK308" s="122"/>
      <c r="AL308" s="122"/>
      <c r="AM308" s="122"/>
      <c r="AN308" s="122"/>
      <c r="AO308" s="122"/>
      <c r="AP308" s="122"/>
    </row>
    <row r="309" spans="2:42">
      <c r="B309" s="122"/>
      <c r="C309" s="122"/>
      <c r="D309" s="122"/>
      <c r="E309" s="122"/>
      <c r="F309" s="122"/>
      <c r="G309" s="122"/>
      <c r="H309" s="122"/>
      <c r="I309" s="275"/>
      <c r="J309" s="130"/>
      <c r="K309" s="130"/>
      <c r="L309" s="130"/>
      <c r="M309" s="130"/>
      <c r="N309" s="291"/>
      <c r="O309" s="291"/>
      <c r="P309" s="122"/>
      <c r="Q309" s="122"/>
      <c r="R309" s="122"/>
      <c r="S309" s="122"/>
      <c r="T309" s="122"/>
      <c r="U309" s="301"/>
      <c r="V309" s="260">
        <f t="shared" ca="1" si="12"/>
        <v>0</v>
      </c>
      <c r="W309" s="348" t="str">
        <f>IF(板块成分!B311="","",板块成分!B311)</f>
        <v>000826.SZ</v>
      </c>
      <c r="X309" s="276" t="str">
        <f>[1]!S_Info_Name(W309)</f>
        <v>启迪环境</v>
      </c>
      <c r="Y309" s="276" t="str">
        <f ca="1">IF($Y$3="申万一级行业",[1]!s_info_industry_sw_2021(W309,公司分析!D$5,1),IF($Y$3="申万二级行业",[1]!s_info_industry_sw_2021(W309,公司分析!D$5,2),IF($Y$3="申万三级行业",[1]!s_info_industry_sw_2021(W309,公司分析!D$5,3),IF($Y$3="wind一级行业",[1]!s_info_industry_gics(W309,1),IF($Y$3="wind二级行业",[1]!s_info_industry_gics(W309,2),IF($Y$3="wind三级行业",[1]!s_info_industry_gics(W309,3),IF($Y$3="wind四级行业",[1]!s_info_industry_gics(W309,4),IF($Y$3="证监会门类行业",[1]!s_info_industry_csrc12_n(W309,公司分析!D$5,1),""))))))))</f>
        <v>环境治理</v>
      </c>
      <c r="Z309" s="302" t="str">
        <f ca="1">IF(Y309=行业比较!$E$6,ROW(),"")</f>
        <v/>
      </c>
      <c r="AA309" s="122"/>
      <c r="AB309" s="122"/>
      <c r="AC309" s="122"/>
      <c r="AD309" s="122"/>
      <c r="AE309" s="122"/>
      <c r="AF309" s="122"/>
      <c r="AG309" s="122"/>
      <c r="AH309" s="122"/>
      <c r="AI309" s="122"/>
      <c r="AJ309" s="122"/>
      <c r="AK309" s="122"/>
      <c r="AL309" s="122"/>
      <c r="AM309" s="122"/>
      <c r="AN309" s="122"/>
      <c r="AO309" s="122"/>
      <c r="AP309" s="122"/>
    </row>
    <row r="310" spans="2:42">
      <c r="B310" s="122"/>
      <c r="C310" s="122"/>
      <c r="D310" s="122"/>
      <c r="E310" s="122"/>
      <c r="F310" s="122"/>
      <c r="G310" s="122"/>
      <c r="H310" s="122"/>
      <c r="I310" s="275"/>
      <c r="J310" s="130"/>
      <c r="K310" s="130"/>
      <c r="L310" s="130"/>
      <c r="M310" s="130"/>
      <c r="N310" s="291"/>
      <c r="O310" s="291"/>
      <c r="P310" s="122"/>
      <c r="Q310" s="122"/>
      <c r="R310" s="122"/>
      <c r="S310" s="122"/>
      <c r="T310" s="122"/>
      <c r="U310" s="301"/>
      <c r="V310" s="260">
        <f t="shared" ca="1" si="12"/>
        <v>0</v>
      </c>
      <c r="W310" s="348" t="str">
        <f>IF(板块成分!B312="","",板块成分!B312)</f>
        <v>000828.SZ</v>
      </c>
      <c r="X310" s="276" t="str">
        <f>[1]!S_Info_Name(W310)</f>
        <v>东莞控股</v>
      </c>
      <c r="Y310" s="276" t="str">
        <f ca="1">IF($Y$3="申万一级行业",[1]!s_info_industry_sw_2021(W310,公司分析!D$5,1),IF($Y$3="申万二级行业",[1]!s_info_industry_sw_2021(W310,公司分析!D$5,2),IF($Y$3="申万三级行业",[1]!s_info_industry_sw_2021(W310,公司分析!D$5,3),IF($Y$3="wind一级行业",[1]!s_info_industry_gics(W310,1),IF($Y$3="wind二级行业",[1]!s_info_industry_gics(W310,2),IF($Y$3="wind三级行业",[1]!s_info_industry_gics(W310,3),IF($Y$3="wind四级行业",[1]!s_info_industry_gics(W310,4),IF($Y$3="证监会门类行业",[1]!s_info_industry_csrc12_n(W310,公司分析!D$5,1),""))))))))</f>
        <v>铁路公路</v>
      </c>
      <c r="Z310" s="302" t="str">
        <f ca="1">IF(Y310=行业比较!$E$6,ROW(),"")</f>
        <v/>
      </c>
      <c r="AA310" s="122"/>
      <c r="AB310" s="122"/>
      <c r="AC310" s="122"/>
      <c r="AD310" s="122"/>
      <c r="AE310" s="122"/>
      <c r="AF310" s="122"/>
      <c r="AG310" s="122"/>
      <c r="AH310" s="122"/>
      <c r="AI310" s="122"/>
      <c r="AJ310" s="122"/>
      <c r="AK310" s="122"/>
      <c r="AL310" s="122"/>
      <c r="AM310" s="122"/>
      <c r="AN310" s="122"/>
      <c r="AO310" s="122"/>
      <c r="AP310" s="122"/>
    </row>
    <row r="311" spans="2:42">
      <c r="B311" s="122"/>
      <c r="C311" s="122"/>
      <c r="D311" s="122"/>
      <c r="E311" s="122"/>
      <c r="F311" s="122"/>
      <c r="G311" s="122"/>
      <c r="H311" s="122"/>
      <c r="I311" s="275"/>
      <c r="J311" s="130"/>
      <c r="K311" s="130"/>
      <c r="L311" s="130"/>
      <c r="M311" s="130"/>
      <c r="N311" s="291"/>
      <c r="O311" s="291"/>
      <c r="P311" s="122"/>
      <c r="Q311" s="122"/>
      <c r="R311" s="122"/>
      <c r="S311" s="122"/>
      <c r="T311" s="122"/>
      <c r="U311" s="301"/>
      <c r="V311" s="260">
        <f t="shared" ca="1" si="12"/>
        <v>0</v>
      </c>
      <c r="W311" s="348" t="str">
        <f>IF(板块成分!B313="","",板块成分!B313)</f>
        <v>000829.SZ</v>
      </c>
      <c r="X311" s="276" t="str">
        <f>[1]!S_Info_Name(W311)</f>
        <v>天音控股</v>
      </c>
      <c r="Y311" s="276" t="str">
        <f ca="1">IF($Y$3="申万一级行业",[1]!s_info_industry_sw_2021(W311,公司分析!D$5,1),IF($Y$3="申万二级行业",[1]!s_info_industry_sw_2021(W311,公司分析!D$5,2),IF($Y$3="申万三级行业",[1]!s_info_industry_sw_2021(W311,公司分析!D$5,3),IF($Y$3="wind一级行业",[1]!s_info_industry_gics(W311,1),IF($Y$3="wind二级行业",[1]!s_info_industry_gics(W311,2),IF($Y$3="wind三级行业",[1]!s_info_industry_gics(W311,3),IF($Y$3="wind四级行业",[1]!s_info_industry_gics(W311,4),IF($Y$3="证监会门类行业",[1]!s_info_industry_csrc12_n(W311,公司分析!D$5,1),""))))))))</f>
        <v>专业连锁Ⅱ</v>
      </c>
      <c r="Z311" s="302" t="str">
        <f ca="1">IF(Y311=行业比较!$E$6,ROW(),"")</f>
        <v/>
      </c>
      <c r="AA311" s="122"/>
      <c r="AB311" s="122"/>
      <c r="AC311" s="122"/>
      <c r="AD311" s="122"/>
      <c r="AE311" s="122"/>
      <c r="AF311" s="122"/>
      <c r="AG311" s="122"/>
      <c r="AH311" s="122"/>
      <c r="AI311" s="122"/>
      <c r="AJ311" s="122"/>
      <c r="AK311" s="122"/>
      <c r="AL311" s="122"/>
      <c r="AM311" s="122"/>
      <c r="AN311" s="122"/>
      <c r="AO311" s="122"/>
      <c r="AP311" s="122"/>
    </row>
    <row r="312" spans="2:42">
      <c r="B312" s="122"/>
      <c r="C312" s="122"/>
      <c r="D312" s="122"/>
      <c r="E312" s="122"/>
      <c r="F312" s="122"/>
      <c r="G312" s="122"/>
      <c r="H312" s="122"/>
      <c r="I312" s="275"/>
      <c r="J312" s="130"/>
      <c r="K312" s="130"/>
      <c r="L312" s="130"/>
      <c r="M312" s="130"/>
      <c r="N312" s="291"/>
      <c r="O312" s="291"/>
      <c r="P312" s="122"/>
      <c r="Q312" s="122"/>
      <c r="R312" s="122"/>
      <c r="S312" s="122"/>
      <c r="T312" s="122"/>
      <c r="U312" s="301"/>
      <c r="V312" s="260">
        <f t="shared" ca="1" si="12"/>
        <v>0</v>
      </c>
      <c r="W312" s="348" t="str">
        <f>IF(板块成分!B314="","",板块成分!B314)</f>
        <v>000830.SZ</v>
      </c>
      <c r="X312" s="276" t="str">
        <f>[1]!S_Info_Name(W312)</f>
        <v>鲁西化工</v>
      </c>
      <c r="Y312" s="276" t="str">
        <f ca="1">IF($Y$3="申万一级行业",[1]!s_info_industry_sw_2021(W312,公司分析!D$5,1),IF($Y$3="申万二级行业",[1]!s_info_industry_sw_2021(W312,公司分析!D$5,2),IF($Y$3="申万三级行业",[1]!s_info_industry_sw_2021(W312,公司分析!D$5,3),IF($Y$3="wind一级行业",[1]!s_info_industry_gics(W312,1),IF($Y$3="wind二级行业",[1]!s_info_industry_gics(W312,2),IF($Y$3="wind三级行业",[1]!s_info_industry_gics(W312,3),IF($Y$3="wind四级行业",[1]!s_info_industry_gics(W312,4),IF($Y$3="证监会门类行业",[1]!s_info_industry_csrc12_n(W312,公司分析!D$5,1),""))))))))</f>
        <v>化学原料</v>
      </c>
      <c r="Z312" s="302" t="str">
        <f ca="1">IF(Y312=行业比较!$E$6,ROW(),"")</f>
        <v/>
      </c>
      <c r="AA312" s="122"/>
      <c r="AB312" s="122"/>
      <c r="AC312" s="122"/>
      <c r="AD312" s="122"/>
      <c r="AE312" s="122"/>
      <c r="AF312" s="122"/>
      <c r="AG312" s="122"/>
      <c r="AH312" s="122"/>
      <c r="AI312" s="122"/>
      <c r="AJ312" s="122"/>
      <c r="AK312" s="122"/>
      <c r="AL312" s="122"/>
      <c r="AM312" s="122"/>
      <c r="AN312" s="122"/>
      <c r="AO312" s="122"/>
      <c r="AP312" s="122"/>
    </row>
    <row r="313" spans="2:42">
      <c r="B313" s="122"/>
      <c r="C313" s="122"/>
      <c r="D313" s="122"/>
      <c r="E313" s="122"/>
      <c r="F313" s="122"/>
      <c r="G313" s="122"/>
      <c r="H313" s="122"/>
      <c r="I313" s="275"/>
      <c r="J313" s="130"/>
      <c r="K313" s="130"/>
      <c r="L313" s="130"/>
      <c r="M313" s="130"/>
      <c r="N313" s="291"/>
      <c r="O313" s="291"/>
      <c r="P313" s="122"/>
      <c r="Q313" s="122"/>
      <c r="R313" s="122"/>
      <c r="S313" s="122"/>
      <c r="T313" s="122"/>
      <c r="U313" s="301"/>
      <c r="V313" s="260">
        <f t="shared" ca="1" si="12"/>
        <v>0</v>
      </c>
      <c r="W313" s="348" t="str">
        <f>IF(板块成分!B315="","",板块成分!B315)</f>
        <v>000831.SZ</v>
      </c>
      <c r="X313" s="276" t="str">
        <f>[1]!S_Info_Name(W313)</f>
        <v>中国稀土</v>
      </c>
      <c r="Y313" s="276" t="str">
        <f ca="1">IF($Y$3="申万一级行业",[1]!s_info_industry_sw_2021(W313,公司分析!D$5,1),IF($Y$3="申万二级行业",[1]!s_info_industry_sw_2021(W313,公司分析!D$5,2),IF($Y$3="申万三级行业",[1]!s_info_industry_sw_2021(W313,公司分析!D$5,3),IF($Y$3="wind一级行业",[1]!s_info_industry_gics(W313,1),IF($Y$3="wind二级行业",[1]!s_info_industry_gics(W313,2),IF($Y$3="wind三级行业",[1]!s_info_industry_gics(W313,3),IF($Y$3="wind四级行业",[1]!s_info_industry_gics(W313,4),IF($Y$3="证监会门类行业",[1]!s_info_industry_csrc12_n(W313,公司分析!D$5,1),""))))))))</f>
        <v>小金属</v>
      </c>
      <c r="Z313" s="302" t="str">
        <f ca="1">IF(Y313=行业比较!$E$6,ROW(),"")</f>
        <v/>
      </c>
      <c r="AA313" s="122"/>
      <c r="AB313" s="122"/>
      <c r="AC313" s="122"/>
      <c r="AD313" s="122"/>
      <c r="AE313" s="122"/>
      <c r="AF313" s="122"/>
      <c r="AG313" s="122"/>
      <c r="AH313" s="122"/>
      <c r="AI313" s="122"/>
      <c r="AJ313" s="122"/>
      <c r="AK313" s="122"/>
      <c r="AL313" s="122"/>
      <c r="AM313" s="122"/>
      <c r="AN313" s="122"/>
      <c r="AO313" s="122"/>
      <c r="AP313" s="122"/>
    </row>
    <row r="314" spans="2:42">
      <c r="B314" s="122"/>
      <c r="C314" s="122"/>
      <c r="D314" s="122"/>
      <c r="E314" s="122"/>
      <c r="F314" s="122"/>
      <c r="G314" s="122"/>
      <c r="H314" s="122"/>
      <c r="I314" s="275"/>
      <c r="J314" s="130"/>
      <c r="K314" s="130"/>
      <c r="L314" s="130"/>
      <c r="M314" s="130"/>
      <c r="N314" s="291"/>
      <c r="O314" s="291"/>
      <c r="P314" s="122"/>
      <c r="Q314" s="122"/>
      <c r="R314" s="122"/>
      <c r="S314" s="122"/>
      <c r="T314" s="122"/>
      <c r="U314" s="301"/>
      <c r="V314" s="260">
        <f t="shared" ca="1" si="12"/>
        <v>0</v>
      </c>
      <c r="W314" s="348" t="str">
        <f>IF(板块成分!B316="","",板块成分!B316)</f>
        <v>000833.SZ</v>
      </c>
      <c r="X314" s="276" t="str">
        <f>[1]!S_Info_Name(W314)</f>
        <v>粤桂股份</v>
      </c>
      <c r="Y314" s="276" t="str">
        <f ca="1">IF($Y$3="申万一级行业",[1]!s_info_industry_sw_2021(W314,公司分析!D$5,1),IF($Y$3="申万二级行业",[1]!s_info_industry_sw_2021(W314,公司分析!D$5,2),IF($Y$3="申万三级行业",[1]!s_info_industry_sw_2021(W314,公司分析!D$5,3),IF($Y$3="wind一级行业",[1]!s_info_industry_gics(W314,1),IF($Y$3="wind二级行业",[1]!s_info_industry_gics(W314,2),IF($Y$3="wind三级行业",[1]!s_info_industry_gics(W314,3),IF($Y$3="wind四级行业",[1]!s_info_industry_gics(W314,4),IF($Y$3="证监会门类行业",[1]!s_info_industry_csrc12_n(W314,公司分析!D$5,1),""))))))))</f>
        <v>综合Ⅱ</v>
      </c>
      <c r="Z314" s="302" t="str">
        <f ca="1">IF(Y314=行业比较!$E$6,ROW(),"")</f>
        <v/>
      </c>
      <c r="AA314" s="122"/>
      <c r="AB314" s="122"/>
      <c r="AC314" s="122"/>
      <c r="AD314" s="122"/>
      <c r="AE314" s="122"/>
      <c r="AF314" s="122"/>
      <c r="AG314" s="122"/>
      <c r="AH314" s="122"/>
      <c r="AI314" s="122"/>
      <c r="AJ314" s="122"/>
      <c r="AK314" s="122"/>
      <c r="AL314" s="122"/>
      <c r="AM314" s="122"/>
      <c r="AN314" s="122"/>
      <c r="AO314" s="122"/>
      <c r="AP314" s="122"/>
    </row>
    <row r="315" spans="2:42">
      <c r="B315" s="122"/>
      <c r="C315" s="122"/>
      <c r="D315" s="122"/>
      <c r="E315" s="122"/>
      <c r="F315" s="122"/>
      <c r="G315" s="122"/>
      <c r="H315" s="122"/>
      <c r="I315" s="275"/>
      <c r="J315" s="130"/>
      <c r="K315" s="130"/>
      <c r="L315" s="130"/>
      <c r="M315" s="130"/>
      <c r="N315" s="291"/>
      <c r="O315" s="291"/>
      <c r="P315" s="122"/>
      <c r="Q315" s="122"/>
      <c r="R315" s="122"/>
      <c r="S315" s="122"/>
      <c r="T315" s="122"/>
      <c r="U315" s="301"/>
      <c r="V315" s="260">
        <f t="shared" ca="1" si="12"/>
        <v>0</v>
      </c>
      <c r="W315" s="348" t="str">
        <f>IF(板块成分!B317="","",板块成分!B317)</f>
        <v>000837.SZ</v>
      </c>
      <c r="X315" s="276" t="str">
        <f>[1]!S_Info_Name(W315)</f>
        <v>秦川机床</v>
      </c>
      <c r="Y315" s="276" t="str">
        <f ca="1">IF($Y$3="申万一级行业",[1]!s_info_industry_sw_2021(W315,公司分析!D$5,1),IF($Y$3="申万二级行业",[1]!s_info_industry_sw_2021(W315,公司分析!D$5,2),IF($Y$3="申万三级行业",[1]!s_info_industry_sw_2021(W315,公司分析!D$5,3),IF($Y$3="wind一级行业",[1]!s_info_industry_gics(W315,1),IF($Y$3="wind二级行业",[1]!s_info_industry_gics(W315,2),IF($Y$3="wind三级行业",[1]!s_info_industry_gics(W315,3),IF($Y$3="wind四级行业",[1]!s_info_industry_gics(W315,4),IF($Y$3="证监会门类行业",[1]!s_info_industry_csrc12_n(W315,公司分析!D$5,1),""))))))))</f>
        <v>通用设备</v>
      </c>
      <c r="Z315" s="302" t="str">
        <f ca="1">IF(Y315=行业比较!$E$6,ROW(),"")</f>
        <v/>
      </c>
      <c r="AA315" s="122"/>
      <c r="AB315" s="122"/>
      <c r="AC315" s="122"/>
      <c r="AD315" s="122"/>
      <c r="AE315" s="122"/>
      <c r="AF315" s="122"/>
      <c r="AG315" s="122"/>
      <c r="AH315" s="122"/>
      <c r="AI315" s="122"/>
      <c r="AJ315" s="122"/>
      <c r="AK315" s="122"/>
      <c r="AL315" s="122"/>
      <c r="AM315" s="122"/>
      <c r="AN315" s="122"/>
      <c r="AO315" s="122"/>
      <c r="AP315" s="122"/>
    </row>
    <row r="316" spans="2:42">
      <c r="B316" s="122"/>
      <c r="C316" s="122"/>
      <c r="D316" s="122"/>
      <c r="E316" s="122"/>
      <c r="F316" s="122"/>
      <c r="G316" s="122"/>
      <c r="H316" s="122"/>
      <c r="I316" s="275"/>
      <c r="J316" s="130"/>
      <c r="K316" s="130"/>
      <c r="L316" s="130"/>
      <c r="M316" s="130"/>
      <c r="N316" s="291"/>
      <c r="O316" s="291"/>
      <c r="P316" s="122"/>
      <c r="Q316" s="122"/>
      <c r="R316" s="122"/>
      <c r="S316" s="122"/>
      <c r="T316" s="122"/>
      <c r="U316" s="301"/>
      <c r="V316" s="260">
        <f t="shared" ca="1" si="12"/>
        <v>0</v>
      </c>
      <c r="W316" s="348" t="str">
        <f>IF(板块成分!B318="","",板块成分!B318)</f>
        <v>000838.SZ</v>
      </c>
      <c r="X316" s="276" t="str">
        <f>[1]!S_Info_Name(W316)</f>
        <v>财信发展</v>
      </c>
      <c r="Y316" s="276" t="str">
        <f ca="1">IF($Y$3="申万一级行业",[1]!s_info_industry_sw_2021(W316,公司分析!D$5,1),IF($Y$3="申万二级行业",[1]!s_info_industry_sw_2021(W316,公司分析!D$5,2),IF($Y$3="申万三级行业",[1]!s_info_industry_sw_2021(W316,公司分析!D$5,3),IF($Y$3="wind一级行业",[1]!s_info_industry_gics(W316,1),IF($Y$3="wind二级行业",[1]!s_info_industry_gics(W316,2),IF($Y$3="wind三级行业",[1]!s_info_industry_gics(W316,3),IF($Y$3="wind四级行业",[1]!s_info_industry_gics(W316,4),IF($Y$3="证监会门类行业",[1]!s_info_industry_csrc12_n(W316,公司分析!D$5,1),""))))))))</f>
        <v>房地产开发</v>
      </c>
      <c r="Z316" s="302" t="str">
        <f ca="1">IF(Y316=行业比较!$E$6,ROW(),"")</f>
        <v/>
      </c>
      <c r="AA316" s="122"/>
      <c r="AB316" s="122"/>
      <c r="AC316" s="122"/>
      <c r="AD316" s="122"/>
      <c r="AE316" s="122"/>
      <c r="AF316" s="122"/>
      <c r="AG316" s="122"/>
      <c r="AH316" s="122"/>
      <c r="AI316" s="122"/>
      <c r="AJ316" s="122"/>
      <c r="AK316" s="122"/>
      <c r="AL316" s="122"/>
      <c r="AM316" s="122"/>
      <c r="AN316" s="122"/>
      <c r="AO316" s="122"/>
      <c r="AP316" s="122"/>
    </row>
    <row r="317" spans="2:42">
      <c r="B317" s="122"/>
      <c r="C317" s="122"/>
      <c r="D317" s="122"/>
      <c r="E317" s="122"/>
      <c r="F317" s="122"/>
      <c r="G317" s="122"/>
      <c r="H317" s="122"/>
      <c r="I317" s="275"/>
      <c r="J317" s="130"/>
      <c r="K317" s="130"/>
      <c r="L317" s="130"/>
      <c r="M317" s="130"/>
      <c r="N317" s="291"/>
      <c r="O317" s="291"/>
      <c r="P317" s="122"/>
      <c r="Q317" s="122"/>
      <c r="R317" s="122"/>
      <c r="S317" s="122"/>
      <c r="T317" s="122"/>
      <c r="U317" s="301"/>
      <c r="V317" s="260">
        <f t="shared" ca="1" si="12"/>
        <v>0</v>
      </c>
      <c r="W317" s="348" t="str">
        <f>IF(板块成分!B319="","",板块成分!B319)</f>
        <v>000839.SZ</v>
      </c>
      <c r="X317" s="276" t="str">
        <f>[1]!S_Info_Name(W317)</f>
        <v>国安股份</v>
      </c>
      <c r="Y317" s="276" t="str">
        <f ca="1">IF($Y$3="申万一级行业",[1]!s_info_industry_sw_2021(W317,公司分析!D$5,1),IF($Y$3="申万二级行业",[1]!s_info_industry_sw_2021(W317,公司分析!D$5,2),IF($Y$3="申万三级行业",[1]!s_info_industry_sw_2021(W317,公司分析!D$5,3),IF($Y$3="wind一级行业",[1]!s_info_industry_gics(W317,1),IF($Y$3="wind二级行业",[1]!s_info_industry_gics(W317,2),IF($Y$3="wind三级行业",[1]!s_info_industry_gics(W317,3),IF($Y$3="wind四级行业",[1]!s_info_industry_gics(W317,4),IF($Y$3="证监会门类行业",[1]!s_info_industry_csrc12_n(W317,公司分析!D$5,1),""))))))))</f>
        <v>通信服务</v>
      </c>
      <c r="Z317" s="302" t="str">
        <f ca="1">IF(Y317=行业比较!$E$6,ROW(),"")</f>
        <v/>
      </c>
      <c r="AA317" s="122"/>
      <c r="AB317" s="122"/>
      <c r="AC317" s="122"/>
      <c r="AD317" s="122"/>
      <c r="AE317" s="122"/>
      <c r="AF317" s="122"/>
      <c r="AG317" s="122"/>
      <c r="AH317" s="122"/>
      <c r="AI317" s="122"/>
      <c r="AJ317" s="122"/>
      <c r="AK317" s="122"/>
      <c r="AL317" s="122"/>
      <c r="AM317" s="122"/>
      <c r="AN317" s="122"/>
      <c r="AO317" s="122"/>
      <c r="AP317" s="122"/>
    </row>
    <row r="318" spans="2:42">
      <c r="B318" s="122"/>
      <c r="C318" s="122"/>
      <c r="D318" s="122"/>
      <c r="E318" s="122"/>
      <c r="F318" s="122"/>
      <c r="G318" s="122"/>
      <c r="H318" s="122"/>
      <c r="I318" s="275"/>
      <c r="J318" s="130"/>
      <c r="K318" s="130"/>
      <c r="L318" s="130"/>
      <c r="M318" s="130"/>
      <c r="N318" s="291"/>
      <c r="O318" s="291"/>
      <c r="P318" s="122"/>
      <c r="Q318" s="122"/>
      <c r="R318" s="122"/>
      <c r="S318" s="122"/>
      <c r="T318" s="122"/>
      <c r="U318" s="301"/>
      <c r="V318" s="260">
        <f t="shared" ca="1" si="12"/>
        <v>0</v>
      </c>
      <c r="W318" s="348" t="str">
        <f>IF(板块成分!B320="","",板块成分!B320)</f>
        <v>000848.SZ</v>
      </c>
      <c r="X318" s="276" t="str">
        <f>[1]!S_Info_Name(W318)</f>
        <v>承德露露</v>
      </c>
      <c r="Y318" s="276" t="str">
        <f ca="1">IF($Y$3="申万一级行业",[1]!s_info_industry_sw_2021(W318,公司分析!D$5,1),IF($Y$3="申万二级行业",[1]!s_info_industry_sw_2021(W318,公司分析!D$5,2),IF($Y$3="申万三级行业",[1]!s_info_industry_sw_2021(W318,公司分析!D$5,3),IF($Y$3="wind一级行业",[1]!s_info_industry_gics(W318,1),IF($Y$3="wind二级行业",[1]!s_info_industry_gics(W318,2),IF($Y$3="wind三级行业",[1]!s_info_industry_gics(W318,3),IF($Y$3="wind四级行业",[1]!s_info_industry_gics(W318,4),IF($Y$3="证监会门类行业",[1]!s_info_industry_csrc12_n(W318,公司分析!D$5,1),""))))))))</f>
        <v>饮料乳品</v>
      </c>
      <c r="Z318" s="302" t="str">
        <f ca="1">IF(Y318=行业比较!$E$6,ROW(),"")</f>
        <v/>
      </c>
      <c r="AA318" s="122"/>
      <c r="AB318" s="122"/>
      <c r="AC318" s="122"/>
      <c r="AD318" s="122"/>
      <c r="AE318" s="122"/>
      <c r="AF318" s="122"/>
      <c r="AG318" s="122"/>
      <c r="AH318" s="122"/>
      <c r="AI318" s="122"/>
      <c r="AJ318" s="122"/>
      <c r="AK318" s="122"/>
      <c r="AL318" s="122"/>
      <c r="AM318" s="122"/>
      <c r="AN318" s="122"/>
      <c r="AO318" s="122"/>
      <c r="AP318" s="122"/>
    </row>
    <row r="319" spans="2:42">
      <c r="B319" s="122"/>
      <c r="C319" s="122"/>
      <c r="D319" s="122"/>
      <c r="E319" s="122"/>
      <c r="F319" s="122"/>
      <c r="G319" s="122"/>
      <c r="H319" s="122"/>
      <c r="I319" s="275"/>
      <c r="J319" s="130"/>
      <c r="K319" s="130"/>
      <c r="L319" s="130"/>
      <c r="M319" s="130"/>
      <c r="N319" s="291"/>
      <c r="O319" s="291"/>
      <c r="P319" s="122"/>
      <c r="Q319" s="122"/>
      <c r="R319" s="122"/>
      <c r="S319" s="122"/>
      <c r="T319" s="122"/>
      <c r="U319" s="301"/>
      <c r="V319" s="260">
        <f t="shared" ca="1" si="12"/>
        <v>0</v>
      </c>
      <c r="W319" s="348" t="str">
        <f>IF(板块成分!B321="","",板块成分!B321)</f>
        <v>000850.SZ</v>
      </c>
      <c r="X319" s="276" t="str">
        <f>[1]!S_Info_Name(W319)</f>
        <v>华茂股份</v>
      </c>
      <c r="Y319" s="276" t="str">
        <f ca="1">IF($Y$3="申万一级行业",[1]!s_info_industry_sw_2021(W319,公司分析!D$5,1),IF($Y$3="申万二级行业",[1]!s_info_industry_sw_2021(W319,公司分析!D$5,2),IF($Y$3="申万三级行业",[1]!s_info_industry_sw_2021(W319,公司分析!D$5,3),IF($Y$3="wind一级行业",[1]!s_info_industry_gics(W319,1),IF($Y$3="wind二级行业",[1]!s_info_industry_gics(W319,2),IF($Y$3="wind三级行业",[1]!s_info_industry_gics(W319,3),IF($Y$3="wind四级行业",[1]!s_info_industry_gics(W319,4),IF($Y$3="证监会门类行业",[1]!s_info_industry_csrc12_n(W319,公司分析!D$5,1),""))))))))</f>
        <v>纺织制造</v>
      </c>
      <c r="Z319" s="302" t="str">
        <f ca="1">IF(Y319=行业比较!$E$6,ROW(),"")</f>
        <v/>
      </c>
      <c r="AA319" s="122"/>
      <c r="AB319" s="122"/>
      <c r="AC319" s="122"/>
      <c r="AD319" s="122"/>
      <c r="AE319" s="122"/>
      <c r="AF319" s="122"/>
      <c r="AG319" s="122"/>
      <c r="AH319" s="122"/>
      <c r="AI319" s="122"/>
      <c r="AJ319" s="122"/>
      <c r="AK319" s="122"/>
      <c r="AL319" s="122"/>
      <c r="AM319" s="122"/>
      <c r="AN319" s="122"/>
      <c r="AO319" s="122"/>
      <c r="AP319" s="122"/>
    </row>
    <row r="320" spans="2:42">
      <c r="B320" s="122"/>
      <c r="C320" s="122"/>
      <c r="D320" s="122"/>
      <c r="E320" s="122"/>
      <c r="F320" s="122"/>
      <c r="G320" s="122"/>
      <c r="H320" s="122"/>
      <c r="I320" s="275"/>
      <c r="J320" s="130"/>
      <c r="K320" s="130"/>
      <c r="L320" s="130"/>
      <c r="M320" s="130"/>
      <c r="N320" s="291"/>
      <c r="O320" s="291"/>
      <c r="P320" s="122"/>
      <c r="Q320" s="122"/>
      <c r="R320" s="122"/>
      <c r="S320" s="122"/>
      <c r="T320" s="122"/>
      <c r="U320" s="301"/>
      <c r="V320" s="260">
        <f t="shared" ca="1" si="12"/>
        <v>0</v>
      </c>
      <c r="W320" s="348" t="str">
        <f>IF(板块成分!B322="","",板块成分!B322)</f>
        <v>000852.SZ</v>
      </c>
      <c r="X320" s="276" t="str">
        <f>[1]!S_Info_Name(W320)</f>
        <v>石化机械</v>
      </c>
      <c r="Y320" s="276" t="str">
        <f ca="1">IF($Y$3="申万一级行业",[1]!s_info_industry_sw_2021(W320,公司分析!D$5,1),IF($Y$3="申万二级行业",[1]!s_info_industry_sw_2021(W320,公司分析!D$5,2),IF($Y$3="申万三级行业",[1]!s_info_industry_sw_2021(W320,公司分析!D$5,3),IF($Y$3="wind一级行业",[1]!s_info_industry_gics(W320,1),IF($Y$3="wind二级行业",[1]!s_info_industry_gics(W320,2),IF($Y$3="wind三级行业",[1]!s_info_industry_gics(W320,3),IF($Y$3="wind四级行业",[1]!s_info_industry_gics(W320,4),IF($Y$3="证监会门类行业",[1]!s_info_industry_csrc12_n(W320,公司分析!D$5,1),""))))))))</f>
        <v>专用设备</v>
      </c>
      <c r="Z320" s="302" t="str">
        <f ca="1">IF(Y320=行业比较!$E$6,ROW(),"")</f>
        <v/>
      </c>
      <c r="AA320" s="122"/>
      <c r="AB320" s="122"/>
      <c r="AC320" s="122"/>
      <c r="AD320" s="122"/>
      <c r="AE320" s="122"/>
      <c r="AF320" s="122"/>
      <c r="AG320" s="122"/>
      <c r="AH320" s="122"/>
      <c r="AI320" s="122"/>
      <c r="AJ320" s="122"/>
      <c r="AK320" s="122"/>
      <c r="AL320" s="122"/>
      <c r="AM320" s="122"/>
      <c r="AN320" s="122"/>
      <c r="AO320" s="122"/>
      <c r="AP320" s="122"/>
    </row>
    <row r="321" spans="2:42">
      <c r="B321" s="122"/>
      <c r="C321" s="122"/>
      <c r="D321" s="122"/>
      <c r="E321" s="122"/>
      <c r="F321" s="122"/>
      <c r="G321" s="122"/>
      <c r="H321" s="122"/>
      <c r="I321" s="275"/>
      <c r="J321" s="130"/>
      <c r="K321" s="130"/>
      <c r="L321" s="130"/>
      <c r="M321" s="130"/>
      <c r="N321" s="291"/>
      <c r="O321" s="291"/>
      <c r="P321" s="122"/>
      <c r="Q321" s="122"/>
      <c r="R321" s="122"/>
      <c r="S321" s="122"/>
      <c r="T321" s="122"/>
      <c r="U321" s="301"/>
      <c r="V321" s="260">
        <f t="shared" ca="1" si="12"/>
        <v>0</v>
      </c>
      <c r="W321" s="348" t="str">
        <f>IF(板块成分!B323="","",板块成分!B323)</f>
        <v>000856.SZ</v>
      </c>
      <c r="X321" s="276" t="str">
        <f>[1]!S_Info_Name(W321)</f>
        <v>冀东装备</v>
      </c>
      <c r="Y321" s="276" t="str">
        <f ca="1">IF($Y$3="申万一级行业",[1]!s_info_industry_sw_2021(W321,公司分析!D$5,1),IF($Y$3="申万二级行业",[1]!s_info_industry_sw_2021(W321,公司分析!D$5,2),IF($Y$3="申万三级行业",[1]!s_info_industry_sw_2021(W321,公司分析!D$5,3),IF($Y$3="wind一级行业",[1]!s_info_industry_gics(W321,1),IF($Y$3="wind二级行业",[1]!s_info_industry_gics(W321,2),IF($Y$3="wind三级行业",[1]!s_info_industry_gics(W321,3),IF($Y$3="wind四级行业",[1]!s_info_industry_gics(W321,4),IF($Y$3="证监会门类行业",[1]!s_info_industry_csrc12_n(W321,公司分析!D$5,1),""))))))))</f>
        <v>专用设备</v>
      </c>
      <c r="Z321" s="302" t="str">
        <f ca="1">IF(Y321=行业比较!$E$6,ROW(),"")</f>
        <v/>
      </c>
      <c r="AA321" s="122"/>
      <c r="AB321" s="122"/>
      <c r="AC321" s="122"/>
      <c r="AD321" s="122"/>
      <c r="AE321" s="122"/>
      <c r="AF321" s="122"/>
      <c r="AG321" s="122"/>
      <c r="AH321" s="122"/>
      <c r="AI321" s="122"/>
      <c r="AJ321" s="122"/>
      <c r="AK321" s="122"/>
      <c r="AL321" s="122"/>
      <c r="AM321" s="122"/>
      <c r="AN321" s="122"/>
      <c r="AO321" s="122"/>
      <c r="AP321" s="122"/>
    </row>
    <row r="322" spans="2:42">
      <c r="B322" s="122"/>
      <c r="C322" s="122"/>
      <c r="D322" s="122"/>
      <c r="E322" s="122"/>
      <c r="F322" s="122"/>
      <c r="G322" s="122"/>
      <c r="H322" s="122"/>
      <c r="I322" s="275"/>
      <c r="J322" s="130"/>
      <c r="K322" s="130"/>
      <c r="L322" s="130"/>
      <c r="M322" s="130"/>
      <c r="N322" s="291"/>
      <c r="O322" s="291"/>
      <c r="P322" s="122"/>
      <c r="Q322" s="122"/>
      <c r="R322" s="122"/>
      <c r="S322" s="122"/>
      <c r="T322" s="122"/>
      <c r="U322" s="301"/>
      <c r="V322" s="260">
        <f t="shared" ca="1" si="12"/>
        <v>0</v>
      </c>
      <c r="W322" s="348" t="str">
        <f>IF(板块成分!B324="","",板块成分!B324)</f>
        <v>000858.SZ</v>
      </c>
      <c r="X322" s="276" t="str">
        <f>[1]!S_Info_Name(W322)</f>
        <v>五粮液</v>
      </c>
      <c r="Y322" s="276" t="str">
        <f ca="1">IF($Y$3="申万一级行业",[1]!s_info_industry_sw_2021(W322,公司分析!D$5,1),IF($Y$3="申万二级行业",[1]!s_info_industry_sw_2021(W322,公司分析!D$5,2),IF($Y$3="申万三级行业",[1]!s_info_industry_sw_2021(W322,公司分析!D$5,3),IF($Y$3="wind一级行业",[1]!s_info_industry_gics(W322,1),IF($Y$3="wind二级行业",[1]!s_info_industry_gics(W322,2),IF($Y$3="wind三级行业",[1]!s_info_industry_gics(W322,3),IF($Y$3="wind四级行业",[1]!s_info_industry_gics(W322,4),IF($Y$3="证监会门类行业",[1]!s_info_industry_csrc12_n(W322,公司分析!D$5,1),""))))))))</f>
        <v>白酒Ⅱ</v>
      </c>
      <c r="Z322" s="302" t="str">
        <f ca="1">IF(Y322=行业比较!$E$6,ROW(),"")</f>
        <v/>
      </c>
      <c r="AA322" s="122"/>
      <c r="AB322" s="122"/>
      <c r="AC322" s="122"/>
      <c r="AD322" s="122"/>
      <c r="AE322" s="122"/>
      <c r="AF322" s="122"/>
      <c r="AG322" s="122"/>
      <c r="AH322" s="122"/>
      <c r="AI322" s="122"/>
      <c r="AJ322" s="122"/>
      <c r="AK322" s="122"/>
      <c r="AL322" s="122"/>
      <c r="AM322" s="122"/>
      <c r="AN322" s="122"/>
      <c r="AO322" s="122"/>
      <c r="AP322" s="122"/>
    </row>
    <row r="323" spans="2:42">
      <c r="B323" s="122"/>
      <c r="C323" s="122"/>
      <c r="D323" s="122"/>
      <c r="E323" s="122"/>
      <c r="F323" s="122"/>
      <c r="G323" s="122"/>
      <c r="H323" s="122"/>
      <c r="I323" s="275"/>
      <c r="J323" s="130"/>
      <c r="K323" s="130"/>
      <c r="L323" s="130"/>
      <c r="M323" s="130"/>
      <c r="N323" s="291"/>
      <c r="O323" s="291"/>
      <c r="P323" s="122"/>
      <c r="Q323" s="122"/>
      <c r="R323" s="122"/>
      <c r="S323" s="122"/>
      <c r="T323" s="122"/>
      <c r="U323" s="301"/>
      <c r="V323" s="260">
        <f t="shared" ca="1" si="12"/>
        <v>0</v>
      </c>
      <c r="W323" s="348" t="str">
        <f>IF(板块成分!B325="","",板块成分!B325)</f>
        <v>000859.SZ</v>
      </c>
      <c r="X323" s="276" t="str">
        <f>[1]!S_Info_Name(W323)</f>
        <v>国风新材</v>
      </c>
      <c r="Y323" s="276" t="str">
        <f ca="1">IF($Y$3="申万一级行业",[1]!s_info_industry_sw_2021(W323,公司分析!D$5,1),IF($Y$3="申万二级行业",[1]!s_info_industry_sw_2021(W323,公司分析!D$5,2),IF($Y$3="申万三级行业",[1]!s_info_industry_sw_2021(W323,公司分析!D$5,3),IF($Y$3="wind一级行业",[1]!s_info_industry_gics(W323,1),IF($Y$3="wind二级行业",[1]!s_info_industry_gics(W323,2),IF($Y$3="wind三级行业",[1]!s_info_industry_gics(W323,3),IF($Y$3="wind四级行业",[1]!s_info_industry_gics(W323,4),IF($Y$3="证监会门类行业",[1]!s_info_industry_csrc12_n(W323,公司分析!D$5,1),""))))))))</f>
        <v>塑料</v>
      </c>
      <c r="Z323" s="302" t="str">
        <f ca="1">IF(Y323=行业比较!$E$6,ROW(),"")</f>
        <v/>
      </c>
      <c r="AA323" s="122"/>
      <c r="AB323" s="122"/>
      <c r="AC323" s="122"/>
      <c r="AD323" s="122"/>
      <c r="AE323" s="122"/>
      <c r="AF323" s="122"/>
      <c r="AG323" s="122"/>
      <c r="AH323" s="122"/>
      <c r="AI323" s="122"/>
      <c r="AJ323" s="122"/>
      <c r="AK323" s="122"/>
      <c r="AL323" s="122"/>
      <c r="AM323" s="122"/>
      <c r="AN323" s="122"/>
      <c r="AO323" s="122"/>
      <c r="AP323" s="122"/>
    </row>
    <row r="324" spans="2:42">
      <c r="B324" s="122"/>
      <c r="C324" s="122"/>
      <c r="D324" s="122"/>
      <c r="E324" s="122"/>
      <c r="F324" s="122"/>
      <c r="G324" s="122"/>
      <c r="H324" s="122"/>
      <c r="I324" s="275"/>
      <c r="J324" s="130"/>
      <c r="K324" s="130"/>
      <c r="L324" s="130"/>
      <c r="M324" s="130"/>
      <c r="N324" s="291"/>
      <c r="O324" s="291"/>
      <c r="P324" s="122"/>
      <c r="Q324" s="122"/>
      <c r="R324" s="122"/>
      <c r="S324" s="122"/>
      <c r="T324" s="122"/>
      <c r="U324" s="301"/>
      <c r="V324" s="260">
        <f t="shared" ca="1" si="12"/>
        <v>0</v>
      </c>
      <c r="W324" s="348" t="str">
        <f>IF(板块成分!B326="","",板块成分!B326)</f>
        <v>000860.SZ</v>
      </c>
      <c r="X324" s="276" t="str">
        <f>[1]!S_Info_Name(W324)</f>
        <v>顺鑫农业</v>
      </c>
      <c r="Y324" s="276" t="str">
        <f ca="1">IF($Y$3="申万一级行业",[1]!s_info_industry_sw_2021(W324,公司分析!D$5,1),IF($Y$3="申万二级行业",[1]!s_info_industry_sw_2021(W324,公司分析!D$5,2),IF($Y$3="申万三级行业",[1]!s_info_industry_sw_2021(W324,公司分析!D$5,3),IF($Y$3="wind一级行业",[1]!s_info_industry_gics(W324,1),IF($Y$3="wind二级行业",[1]!s_info_industry_gics(W324,2),IF($Y$3="wind三级行业",[1]!s_info_industry_gics(W324,3),IF($Y$3="wind四级行业",[1]!s_info_industry_gics(W324,4),IF($Y$3="证监会门类行业",[1]!s_info_industry_csrc12_n(W324,公司分析!D$5,1),""))))))))</f>
        <v>白酒Ⅱ</v>
      </c>
      <c r="Z324" s="302" t="str">
        <f ca="1">IF(Y324=行业比较!$E$6,ROW(),"")</f>
        <v/>
      </c>
      <c r="AA324" s="122"/>
      <c r="AB324" s="122"/>
      <c r="AC324" s="122"/>
      <c r="AD324" s="122"/>
      <c r="AE324" s="122"/>
      <c r="AF324" s="122"/>
      <c r="AG324" s="122"/>
      <c r="AH324" s="122"/>
      <c r="AI324" s="122"/>
      <c r="AJ324" s="122"/>
      <c r="AK324" s="122"/>
      <c r="AL324" s="122"/>
      <c r="AM324" s="122"/>
      <c r="AN324" s="122"/>
      <c r="AO324" s="122"/>
      <c r="AP324" s="122"/>
    </row>
    <row r="325" spans="2:42">
      <c r="B325" s="122"/>
      <c r="C325" s="122"/>
      <c r="D325" s="122"/>
      <c r="E325" s="122"/>
      <c r="F325" s="122"/>
      <c r="G325" s="122"/>
      <c r="H325" s="122"/>
      <c r="I325" s="275"/>
      <c r="J325" s="130"/>
      <c r="K325" s="130"/>
      <c r="L325" s="130"/>
      <c r="M325" s="130"/>
      <c r="N325" s="291"/>
      <c r="O325" s="291"/>
      <c r="P325" s="122"/>
      <c r="Q325" s="122"/>
      <c r="R325" s="122"/>
      <c r="S325" s="122"/>
      <c r="T325" s="122"/>
      <c r="U325" s="301"/>
      <c r="V325" s="260">
        <f t="shared" ref="V325:V388" ca="1" si="13">IF(Z325="",0,RANK(Z325,Z:Z,1))</f>
        <v>0</v>
      </c>
      <c r="W325" s="348" t="str">
        <f>IF(板块成分!B327="","",板块成分!B327)</f>
        <v>000862.SZ</v>
      </c>
      <c r="X325" s="276" t="str">
        <f>[1]!S_Info_Name(W325)</f>
        <v>银星能源</v>
      </c>
      <c r="Y325" s="276" t="str">
        <f ca="1">IF($Y$3="申万一级行业",[1]!s_info_industry_sw_2021(W325,公司分析!D$5,1),IF($Y$3="申万二级行业",[1]!s_info_industry_sw_2021(W325,公司分析!D$5,2),IF($Y$3="申万三级行业",[1]!s_info_industry_sw_2021(W325,公司分析!D$5,3),IF($Y$3="wind一级行业",[1]!s_info_industry_gics(W325,1),IF($Y$3="wind二级行业",[1]!s_info_industry_gics(W325,2),IF($Y$3="wind三级行业",[1]!s_info_industry_gics(W325,3),IF($Y$3="wind四级行业",[1]!s_info_industry_gics(W325,4),IF($Y$3="证监会门类行业",[1]!s_info_industry_csrc12_n(W325,公司分析!D$5,1),""))))))))</f>
        <v>电力</v>
      </c>
      <c r="Z325" s="302" t="str">
        <f ca="1">IF(Y325=行业比较!$E$6,ROW(),"")</f>
        <v/>
      </c>
      <c r="AA325" s="122"/>
      <c r="AB325" s="122"/>
      <c r="AC325" s="122"/>
      <c r="AD325" s="122"/>
      <c r="AE325" s="122"/>
      <c r="AF325" s="122"/>
      <c r="AG325" s="122"/>
      <c r="AH325" s="122"/>
      <c r="AI325" s="122"/>
      <c r="AJ325" s="122"/>
      <c r="AK325" s="122"/>
      <c r="AL325" s="122"/>
      <c r="AM325" s="122"/>
      <c r="AN325" s="122"/>
      <c r="AO325" s="122"/>
      <c r="AP325" s="122"/>
    </row>
    <row r="326" spans="2:42">
      <c r="B326" s="122"/>
      <c r="C326" s="122"/>
      <c r="D326" s="122"/>
      <c r="E326" s="122"/>
      <c r="F326" s="122"/>
      <c r="G326" s="122"/>
      <c r="H326" s="122"/>
      <c r="I326" s="275"/>
      <c r="J326" s="130"/>
      <c r="K326" s="130"/>
      <c r="L326" s="130"/>
      <c r="M326" s="130"/>
      <c r="N326" s="291"/>
      <c r="O326" s="291"/>
      <c r="P326" s="122"/>
      <c r="Q326" s="122"/>
      <c r="R326" s="122"/>
      <c r="S326" s="122"/>
      <c r="T326" s="122"/>
      <c r="U326" s="301"/>
      <c r="V326" s="260">
        <f t="shared" ca="1" si="13"/>
        <v>0</v>
      </c>
      <c r="W326" s="348" t="str">
        <f>IF(板块成分!B328="","",板块成分!B328)</f>
        <v>000863.SZ</v>
      </c>
      <c r="X326" s="276" t="str">
        <f>[1]!S_Info_Name(W326)</f>
        <v>三湘印象</v>
      </c>
      <c r="Y326" s="276" t="str">
        <f ca="1">IF($Y$3="申万一级行业",[1]!s_info_industry_sw_2021(W326,公司分析!D$5,1),IF($Y$3="申万二级行业",[1]!s_info_industry_sw_2021(W326,公司分析!D$5,2),IF($Y$3="申万三级行业",[1]!s_info_industry_sw_2021(W326,公司分析!D$5,3),IF($Y$3="wind一级行业",[1]!s_info_industry_gics(W326,1),IF($Y$3="wind二级行业",[1]!s_info_industry_gics(W326,2),IF($Y$3="wind三级行业",[1]!s_info_industry_gics(W326,3),IF($Y$3="wind四级行业",[1]!s_info_industry_gics(W326,4),IF($Y$3="证监会门类行业",[1]!s_info_industry_csrc12_n(W326,公司分析!D$5,1),""))))))))</f>
        <v>房地产开发</v>
      </c>
      <c r="Z326" s="302" t="str">
        <f ca="1">IF(Y326=行业比较!$E$6,ROW(),"")</f>
        <v/>
      </c>
      <c r="AA326" s="122"/>
      <c r="AB326" s="122"/>
      <c r="AC326" s="122"/>
      <c r="AD326" s="122"/>
      <c r="AE326" s="122"/>
      <c r="AF326" s="122"/>
      <c r="AG326" s="122"/>
      <c r="AH326" s="122"/>
      <c r="AI326" s="122"/>
      <c r="AJ326" s="122"/>
      <c r="AK326" s="122"/>
      <c r="AL326" s="122"/>
      <c r="AM326" s="122"/>
      <c r="AN326" s="122"/>
      <c r="AO326" s="122"/>
      <c r="AP326" s="122"/>
    </row>
    <row r="327" spans="2:42">
      <c r="B327" s="122"/>
      <c r="C327" s="122"/>
      <c r="D327" s="122"/>
      <c r="E327" s="122"/>
      <c r="F327" s="122"/>
      <c r="G327" s="122"/>
      <c r="H327" s="122"/>
      <c r="I327" s="275"/>
      <c r="J327" s="130"/>
      <c r="K327" s="130"/>
      <c r="L327" s="130"/>
      <c r="M327" s="130"/>
      <c r="N327" s="291"/>
      <c r="O327" s="291"/>
      <c r="P327" s="122"/>
      <c r="Q327" s="122"/>
      <c r="R327" s="122"/>
      <c r="S327" s="122"/>
      <c r="T327" s="122"/>
      <c r="U327" s="301"/>
      <c r="V327" s="260">
        <f t="shared" ca="1" si="13"/>
        <v>0</v>
      </c>
      <c r="W327" s="348" t="str">
        <f>IF(板块成分!B329="","",板块成分!B329)</f>
        <v>000868.SZ</v>
      </c>
      <c r="X327" s="276" t="str">
        <f>[1]!S_Info_Name(W327)</f>
        <v>安凯客车</v>
      </c>
      <c r="Y327" s="276" t="str">
        <f ca="1">IF($Y$3="申万一级行业",[1]!s_info_industry_sw_2021(W327,公司分析!D$5,1),IF($Y$3="申万二级行业",[1]!s_info_industry_sw_2021(W327,公司分析!D$5,2),IF($Y$3="申万三级行业",[1]!s_info_industry_sw_2021(W327,公司分析!D$5,3),IF($Y$3="wind一级行业",[1]!s_info_industry_gics(W327,1),IF($Y$3="wind二级行业",[1]!s_info_industry_gics(W327,2),IF($Y$3="wind三级行业",[1]!s_info_industry_gics(W327,3),IF($Y$3="wind四级行业",[1]!s_info_industry_gics(W327,4),IF($Y$3="证监会门类行业",[1]!s_info_industry_csrc12_n(W327,公司分析!D$5,1),""))))))))</f>
        <v>商用车</v>
      </c>
      <c r="Z327" s="302" t="str">
        <f ca="1">IF(Y327=行业比较!$E$6,ROW(),"")</f>
        <v/>
      </c>
      <c r="AA327" s="122"/>
      <c r="AB327" s="122"/>
      <c r="AC327" s="122"/>
      <c r="AD327" s="122"/>
      <c r="AE327" s="122"/>
      <c r="AF327" s="122"/>
      <c r="AG327" s="122"/>
      <c r="AH327" s="122"/>
      <c r="AI327" s="122"/>
      <c r="AJ327" s="122"/>
      <c r="AK327" s="122"/>
      <c r="AL327" s="122"/>
      <c r="AM327" s="122"/>
      <c r="AN327" s="122"/>
      <c r="AO327" s="122"/>
      <c r="AP327" s="122"/>
    </row>
    <row r="328" spans="2:42">
      <c r="B328" s="122"/>
      <c r="C328" s="122"/>
      <c r="D328" s="122"/>
      <c r="E328" s="122"/>
      <c r="F328" s="122"/>
      <c r="G328" s="122"/>
      <c r="H328" s="122"/>
      <c r="I328" s="275"/>
      <c r="J328" s="130"/>
      <c r="K328" s="130"/>
      <c r="L328" s="130"/>
      <c r="M328" s="130"/>
      <c r="N328" s="291"/>
      <c r="O328" s="291"/>
      <c r="P328" s="122"/>
      <c r="Q328" s="122"/>
      <c r="R328" s="122"/>
      <c r="S328" s="122"/>
      <c r="T328" s="122"/>
      <c r="U328" s="301"/>
      <c r="V328" s="260">
        <f t="shared" ca="1" si="13"/>
        <v>0</v>
      </c>
      <c r="W328" s="348" t="str">
        <f>IF(板块成分!B330="","",板块成分!B330)</f>
        <v>000869.SZ</v>
      </c>
      <c r="X328" s="276" t="str">
        <f>[1]!S_Info_Name(W328)</f>
        <v>张裕A</v>
      </c>
      <c r="Y328" s="276" t="str">
        <f ca="1">IF($Y$3="申万一级行业",[1]!s_info_industry_sw_2021(W328,公司分析!D$5,1),IF($Y$3="申万二级行业",[1]!s_info_industry_sw_2021(W328,公司分析!D$5,2),IF($Y$3="申万三级行业",[1]!s_info_industry_sw_2021(W328,公司分析!D$5,3),IF($Y$3="wind一级行业",[1]!s_info_industry_gics(W328,1),IF($Y$3="wind二级行业",[1]!s_info_industry_gics(W328,2),IF($Y$3="wind三级行业",[1]!s_info_industry_gics(W328,3),IF($Y$3="wind四级行业",[1]!s_info_industry_gics(W328,4),IF($Y$3="证监会门类行业",[1]!s_info_industry_csrc12_n(W328,公司分析!D$5,1),""))))))))</f>
        <v>非白酒</v>
      </c>
      <c r="Z328" s="302" t="str">
        <f ca="1">IF(Y328=行业比较!$E$6,ROW(),"")</f>
        <v/>
      </c>
      <c r="AA328" s="122"/>
      <c r="AB328" s="122"/>
      <c r="AC328" s="122"/>
      <c r="AD328" s="122"/>
      <c r="AE328" s="122"/>
      <c r="AF328" s="122"/>
      <c r="AG328" s="122"/>
      <c r="AH328" s="122"/>
      <c r="AI328" s="122"/>
      <c r="AJ328" s="122"/>
      <c r="AK328" s="122"/>
      <c r="AL328" s="122"/>
      <c r="AM328" s="122"/>
      <c r="AN328" s="122"/>
      <c r="AO328" s="122"/>
      <c r="AP328" s="122"/>
    </row>
    <row r="329" spans="2:42">
      <c r="B329" s="122"/>
      <c r="C329" s="122"/>
      <c r="D329" s="122"/>
      <c r="E329" s="122"/>
      <c r="F329" s="122"/>
      <c r="G329" s="122"/>
      <c r="H329" s="122"/>
      <c r="I329" s="275"/>
      <c r="J329" s="130"/>
      <c r="K329" s="130"/>
      <c r="L329" s="130"/>
      <c r="M329" s="130"/>
      <c r="N329" s="291"/>
      <c r="O329" s="291"/>
      <c r="P329" s="122"/>
      <c r="Q329" s="122"/>
      <c r="R329" s="122"/>
      <c r="S329" s="122"/>
      <c r="T329" s="122"/>
      <c r="U329" s="301"/>
      <c r="V329" s="260">
        <f t="shared" ca="1" si="13"/>
        <v>0</v>
      </c>
      <c r="W329" s="348" t="str">
        <f>IF(板块成分!B331="","",板块成分!B331)</f>
        <v>000875.SZ</v>
      </c>
      <c r="X329" s="276" t="str">
        <f>[1]!S_Info_Name(W329)</f>
        <v>电投绿能</v>
      </c>
      <c r="Y329" s="276" t="str">
        <f ca="1">IF($Y$3="申万一级行业",[1]!s_info_industry_sw_2021(W329,公司分析!D$5,1),IF($Y$3="申万二级行业",[1]!s_info_industry_sw_2021(W329,公司分析!D$5,2),IF($Y$3="申万三级行业",[1]!s_info_industry_sw_2021(W329,公司分析!D$5,3),IF($Y$3="wind一级行业",[1]!s_info_industry_gics(W329,1),IF($Y$3="wind二级行业",[1]!s_info_industry_gics(W329,2),IF($Y$3="wind三级行业",[1]!s_info_industry_gics(W329,3),IF($Y$3="wind四级行业",[1]!s_info_industry_gics(W329,4),IF($Y$3="证监会门类行业",[1]!s_info_industry_csrc12_n(W329,公司分析!D$5,1),""))))))))</f>
        <v>电力</v>
      </c>
      <c r="Z329" s="302" t="str">
        <f ca="1">IF(Y329=行业比较!$E$6,ROW(),"")</f>
        <v/>
      </c>
      <c r="AA329" s="122"/>
      <c r="AB329" s="122"/>
      <c r="AC329" s="122"/>
      <c r="AD329" s="122"/>
      <c r="AE329" s="122"/>
      <c r="AF329" s="122"/>
      <c r="AG329" s="122"/>
      <c r="AH329" s="122"/>
      <c r="AI329" s="122"/>
      <c r="AJ329" s="122"/>
      <c r="AK329" s="122"/>
      <c r="AL329" s="122"/>
      <c r="AM329" s="122"/>
      <c r="AN329" s="122"/>
      <c r="AO329" s="122"/>
      <c r="AP329" s="122"/>
    </row>
    <row r="330" spans="2:42">
      <c r="B330" s="122"/>
      <c r="C330" s="122"/>
      <c r="D330" s="122"/>
      <c r="E330" s="122"/>
      <c r="F330" s="122"/>
      <c r="G330" s="122"/>
      <c r="H330" s="122"/>
      <c r="I330" s="275"/>
      <c r="J330" s="130"/>
      <c r="K330" s="130"/>
      <c r="L330" s="130"/>
      <c r="M330" s="130"/>
      <c r="N330" s="291"/>
      <c r="O330" s="291"/>
      <c r="P330" s="122"/>
      <c r="Q330" s="122"/>
      <c r="R330" s="122"/>
      <c r="S330" s="122"/>
      <c r="T330" s="122"/>
      <c r="U330" s="301"/>
      <c r="V330" s="260">
        <f t="shared" ca="1" si="13"/>
        <v>0</v>
      </c>
      <c r="W330" s="348" t="str">
        <f>IF(板块成分!B332="","",板块成分!B332)</f>
        <v>000876.SZ</v>
      </c>
      <c r="X330" s="276" t="str">
        <f>[1]!S_Info_Name(W330)</f>
        <v>新希望</v>
      </c>
      <c r="Y330" s="276" t="str">
        <f ca="1">IF($Y$3="申万一级行业",[1]!s_info_industry_sw_2021(W330,公司分析!D$5,1),IF($Y$3="申万二级行业",[1]!s_info_industry_sw_2021(W330,公司分析!D$5,2),IF($Y$3="申万三级行业",[1]!s_info_industry_sw_2021(W330,公司分析!D$5,3),IF($Y$3="wind一级行业",[1]!s_info_industry_gics(W330,1),IF($Y$3="wind二级行业",[1]!s_info_industry_gics(W330,2),IF($Y$3="wind三级行业",[1]!s_info_industry_gics(W330,3),IF($Y$3="wind四级行业",[1]!s_info_industry_gics(W330,4),IF($Y$3="证监会门类行业",[1]!s_info_industry_csrc12_n(W330,公司分析!D$5,1),""))))))))</f>
        <v>养殖业</v>
      </c>
      <c r="Z330" s="302" t="str">
        <f ca="1">IF(Y330=行业比较!$E$6,ROW(),"")</f>
        <v/>
      </c>
      <c r="AA330" s="122"/>
      <c r="AB330" s="122"/>
      <c r="AC330" s="122"/>
      <c r="AD330" s="122"/>
      <c r="AE330" s="122"/>
      <c r="AF330" s="122"/>
      <c r="AG330" s="122"/>
      <c r="AH330" s="122"/>
      <c r="AI330" s="122"/>
      <c r="AJ330" s="122"/>
      <c r="AK330" s="122"/>
      <c r="AL330" s="122"/>
      <c r="AM330" s="122"/>
      <c r="AN330" s="122"/>
      <c r="AO330" s="122"/>
      <c r="AP330" s="122"/>
    </row>
    <row r="331" spans="2:42">
      <c r="B331" s="122"/>
      <c r="C331" s="122"/>
      <c r="D331" s="122"/>
      <c r="E331" s="122"/>
      <c r="F331" s="122"/>
      <c r="G331" s="122"/>
      <c r="H331" s="122"/>
      <c r="I331" s="275"/>
      <c r="J331" s="130"/>
      <c r="K331" s="130"/>
      <c r="L331" s="130"/>
      <c r="M331" s="130"/>
      <c r="N331" s="291"/>
      <c r="O331" s="291"/>
      <c r="P331" s="122"/>
      <c r="Q331" s="122"/>
      <c r="R331" s="122"/>
      <c r="S331" s="122"/>
      <c r="T331" s="122"/>
      <c r="U331" s="301"/>
      <c r="V331" s="260">
        <f t="shared" ca="1" si="13"/>
        <v>0</v>
      </c>
      <c r="W331" s="348" t="str">
        <f>IF(板块成分!B333="","",板块成分!B333)</f>
        <v>000877.SZ</v>
      </c>
      <c r="X331" s="276" t="str">
        <f>[1]!S_Info_Name(W331)</f>
        <v>天山股份</v>
      </c>
      <c r="Y331" s="276" t="str">
        <f ca="1">IF($Y$3="申万一级行业",[1]!s_info_industry_sw_2021(W331,公司分析!D$5,1),IF($Y$3="申万二级行业",[1]!s_info_industry_sw_2021(W331,公司分析!D$5,2),IF($Y$3="申万三级行业",[1]!s_info_industry_sw_2021(W331,公司分析!D$5,3),IF($Y$3="wind一级行业",[1]!s_info_industry_gics(W331,1),IF($Y$3="wind二级行业",[1]!s_info_industry_gics(W331,2),IF($Y$3="wind三级行业",[1]!s_info_industry_gics(W331,3),IF($Y$3="wind四级行业",[1]!s_info_industry_gics(W331,4),IF($Y$3="证监会门类行业",[1]!s_info_industry_csrc12_n(W331,公司分析!D$5,1),""))))))))</f>
        <v>水泥</v>
      </c>
      <c r="Z331" s="302" t="str">
        <f ca="1">IF(Y331=行业比较!$E$6,ROW(),"")</f>
        <v/>
      </c>
      <c r="AA331" s="122"/>
      <c r="AB331" s="122"/>
      <c r="AC331" s="122"/>
      <c r="AD331" s="122"/>
      <c r="AE331" s="122"/>
      <c r="AF331" s="122"/>
      <c r="AG331" s="122"/>
      <c r="AH331" s="122"/>
      <c r="AI331" s="122"/>
      <c r="AJ331" s="122"/>
      <c r="AK331" s="122"/>
      <c r="AL331" s="122"/>
      <c r="AM331" s="122"/>
      <c r="AN331" s="122"/>
      <c r="AO331" s="122"/>
      <c r="AP331" s="122"/>
    </row>
    <row r="332" spans="2:42">
      <c r="B332" s="122"/>
      <c r="C332" s="122"/>
      <c r="D332" s="122"/>
      <c r="E332" s="122"/>
      <c r="F332" s="122"/>
      <c r="G332" s="122"/>
      <c r="H332" s="122"/>
      <c r="I332" s="275"/>
      <c r="J332" s="130"/>
      <c r="K332" s="130"/>
      <c r="L332" s="130"/>
      <c r="M332" s="130"/>
      <c r="N332" s="291"/>
      <c r="O332" s="291"/>
      <c r="P332" s="122"/>
      <c r="Q332" s="122"/>
      <c r="R332" s="122"/>
      <c r="S332" s="122"/>
      <c r="T332" s="122"/>
      <c r="U332" s="301"/>
      <c r="V332" s="260">
        <f t="shared" ca="1" si="13"/>
        <v>11</v>
      </c>
      <c r="W332" s="348" t="str">
        <f>IF(板块成分!B334="","",板块成分!B334)</f>
        <v>000878.SZ</v>
      </c>
      <c r="X332" s="276" t="str">
        <f>[1]!S_Info_Name(W332)</f>
        <v>云南铜业</v>
      </c>
      <c r="Y332" s="276" t="str">
        <f ca="1">IF($Y$3="申万一级行业",[1]!s_info_industry_sw_2021(W332,公司分析!D$5,1),IF($Y$3="申万二级行业",[1]!s_info_industry_sw_2021(W332,公司分析!D$5,2),IF($Y$3="申万三级行业",[1]!s_info_industry_sw_2021(W332,公司分析!D$5,3),IF($Y$3="wind一级行业",[1]!s_info_industry_gics(W332,1),IF($Y$3="wind二级行业",[1]!s_info_industry_gics(W332,2),IF($Y$3="wind三级行业",[1]!s_info_industry_gics(W332,3),IF($Y$3="wind四级行业",[1]!s_info_industry_gics(W332,4),IF($Y$3="证监会门类行业",[1]!s_info_industry_csrc12_n(W332,公司分析!D$5,1),""))))))))</f>
        <v>工业金属</v>
      </c>
      <c r="Z332" s="302">
        <f ca="1">IF(Y332=行业比较!$E$6,ROW(),"")</f>
        <v>332</v>
      </c>
      <c r="AA332" s="122"/>
      <c r="AB332" s="122"/>
      <c r="AC332" s="122"/>
      <c r="AD332" s="122"/>
      <c r="AE332" s="122"/>
      <c r="AF332" s="122"/>
      <c r="AG332" s="122"/>
      <c r="AH332" s="122"/>
      <c r="AI332" s="122"/>
      <c r="AJ332" s="122"/>
      <c r="AK332" s="122"/>
      <c r="AL332" s="122"/>
      <c r="AM332" s="122"/>
      <c r="AN332" s="122"/>
      <c r="AO332" s="122"/>
      <c r="AP332" s="122"/>
    </row>
    <row r="333" spans="2:42">
      <c r="B333" s="122"/>
      <c r="C333" s="122"/>
      <c r="D333" s="122"/>
      <c r="E333" s="122"/>
      <c r="F333" s="122"/>
      <c r="G333" s="122"/>
      <c r="H333" s="122"/>
      <c r="I333" s="275"/>
      <c r="J333" s="130"/>
      <c r="K333" s="130"/>
      <c r="L333" s="130"/>
      <c r="M333" s="130"/>
      <c r="N333" s="291"/>
      <c r="O333" s="291"/>
      <c r="P333" s="122"/>
      <c r="Q333" s="122"/>
      <c r="R333" s="122"/>
      <c r="S333" s="122"/>
      <c r="T333" s="122"/>
      <c r="U333" s="301"/>
      <c r="V333" s="260">
        <f t="shared" ca="1" si="13"/>
        <v>0</v>
      </c>
      <c r="W333" s="348" t="str">
        <f>IF(板块成分!B335="","",板块成分!B335)</f>
        <v>000880.SZ</v>
      </c>
      <c r="X333" s="276" t="str">
        <f>[1]!S_Info_Name(W333)</f>
        <v>潍柴重机</v>
      </c>
      <c r="Y333" s="276" t="str">
        <f ca="1">IF($Y$3="申万一级行业",[1]!s_info_industry_sw_2021(W333,公司分析!D$5,1),IF($Y$3="申万二级行业",[1]!s_info_industry_sw_2021(W333,公司分析!D$5,2),IF($Y$3="申万三级行业",[1]!s_info_industry_sw_2021(W333,公司分析!D$5,3),IF($Y$3="wind一级行业",[1]!s_info_industry_gics(W333,1),IF($Y$3="wind二级行业",[1]!s_info_industry_gics(W333,2),IF($Y$3="wind三级行业",[1]!s_info_industry_gics(W333,3),IF($Y$3="wind四级行业",[1]!s_info_industry_gics(W333,4),IF($Y$3="证监会门类行业",[1]!s_info_industry_csrc12_n(W333,公司分析!D$5,1),""))))))))</f>
        <v>汽车零部件</v>
      </c>
      <c r="Z333" s="302" t="str">
        <f ca="1">IF(Y333=行业比较!$E$6,ROW(),"")</f>
        <v/>
      </c>
      <c r="AA333" s="122"/>
      <c r="AB333" s="122"/>
      <c r="AC333" s="122"/>
      <c r="AD333" s="122"/>
      <c r="AE333" s="122"/>
      <c r="AF333" s="122"/>
      <c r="AG333" s="122"/>
      <c r="AH333" s="122"/>
      <c r="AI333" s="122"/>
      <c r="AJ333" s="122"/>
      <c r="AK333" s="122"/>
      <c r="AL333" s="122"/>
      <c r="AM333" s="122"/>
      <c r="AN333" s="122"/>
      <c r="AO333" s="122"/>
      <c r="AP333" s="122"/>
    </row>
    <row r="334" spans="2:42">
      <c r="B334" s="122"/>
      <c r="C334" s="122"/>
      <c r="D334" s="122"/>
      <c r="E334" s="122"/>
      <c r="F334" s="122"/>
      <c r="G334" s="122"/>
      <c r="H334" s="122"/>
      <c r="I334" s="275"/>
      <c r="J334" s="130"/>
      <c r="K334" s="130"/>
      <c r="L334" s="130"/>
      <c r="M334" s="130"/>
      <c r="N334" s="291"/>
      <c r="O334" s="291"/>
      <c r="P334" s="122"/>
      <c r="Q334" s="122"/>
      <c r="R334" s="122"/>
      <c r="S334" s="122"/>
      <c r="T334" s="122"/>
      <c r="U334" s="301"/>
      <c r="V334" s="260">
        <f t="shared" ca="1" si="13"/>
        <v>0</v>
      </c>
      <c r="W334" s="348" t="str">
        <f>IF(板块成分!B336="","",板块成分!B336)</f>
        <v>000881.SZ</v>
      </c>
      <c r="X334" s="276" t="str">
        <f>[1]!S_Info_Name(W334)</f>
        <v>中广核技</v>
      </c>
      <c r="Y334" s="276" t="str">
        <f ca="1">IF($Y$3="申万一级行业",[1]!s_info_industry_sw_2021(W334,公司分析!D$5,1),IF($Y$3="申万二级行业",[1]!s_info_industry_sw_2021(W334,公司分析!D$5,2),IF($Y$3="申万三级行业",[1]!s_info_industry_sw_2021(W334,公司分析!D$5,3),IF($Y$3="wind一级行业",[1]!s_info_industry_gics(W334,1),IF($Y$3="wind二级行业",[1]!s_info_industry_gics(W334,2),IF($Y$3="wind三级行业",[1]!s_info_industry_gics(W334,3),IF($Y$3="wind四级行业",[1]!s_info_industry_gics(W334,4),IF($Y$3="证监会门类行业",[1]!s_info_industry_csrc12_n(W334,公司分析!D$5,1),""))))))))</f>
        <v>化学制品</v>
      </c>
      <c r="Z334" s="302" t="str">
        <f ca="1">IF(Y334=行业比较!$E$6,ROW(),"")</f>
        <v/>
      </c>
      <c r="AA334" s="122"/>
      <c r="AB334" s="122"/>
      <c r="AC334" s="122"/>
      <c r="AD334" s="122"/>
      <c r="AE334" s="122"/>
      <c r="AF334" s="122"/>
      <c r="AG334" s="122"/>
      <c r="AH334" s="122"/>
      <c r="AI334" s="122"/>
      <c r="AJ334" s="122"/>
      <c r="AK334" s="122"/>
      <c r="AL334" s="122"/>
      <c r="AM334" s="122"/>
      <c r="AN334" s="122"/>
      <c r="AO334" s="122"/>
      <c r="AP334" s="122"/>
    </row>
    <row r="335" spans="2:42">
      <c r="B335" s="122"/>
      <c r="C335" s="122"/>
      <c r="D335" s="122"/>
      <c r="E335" s="122"/>
      <c r="F335" s="122"/>
      <c r="G335" s="122"/>
      <c r="H335" s="122"/>
      <c r="I335" s="275"/>
      <c r="J335" s="130"/>
      <c r="K335" s="130"/>
      <c r="L335" s="130"/>
      <c r="M335" s="130"/>
      <c r="N335" s="291"/>
      <c r="O335" s="291"/>
      <c r="P335" s="122"/>
      <c r="Q335" s="122"/>
      <c r="R335" s="122"/>
      <c r="S335" s="122"/>
      <c r="T335" s="122"/>
      <c r="U335" s="301"/>
      <c r="V335" s="260">
        <f t="shared" ca="1" si="13"/>
        <v>0</v>
      </c>
      <c r="W335" s="348" t="str">
        <f>IF(板块成分!B337="","",板块成分!B337)</f>
        <v>000882.SZ</v>
      </c>
      <c r="X335" s="276" t="str">
        <f>[1]!S_Info_Name(W335)</f>
        <v>华联股份</v>
      </c>
      <c r="Y335" s="276" t="str">
        <f ca="1">IF($Y$3="申万一级行业",[1]!s_info_industry_sw_2021(W335,公司分析!D$5,1),IF($Y$3="申万二级行业",[1]!s_info_industry_sw_2021(W335,公司分析!D$5,2),IF($Y$3="申万三级行业",[1]!s_info_industry_sw_2021(W335,公司分析!D$5,3),IF($Y$3="wind一级行业",[1]!s_info_industry_gics(W335,1),IF($Y$3="wind二级行业",[1]!s_info_industry_gics(W335,2),IF($Y$3="wind三级行业",[1]!s_info_industry_gics(W335,3),IF($Y$3="wind四级行业",[1]!s_info_industry_gics(W335,4),IF($Y$3="证监会门类行业",[1]!s_info_industry_csrc12_n(W335,公司分析!D$5,1),""))))))))</f>
        <v>一般零售</v>
      </c>
      <c r="Z335" s="302" t="str">
        <f ca="1">IF(Y335=行业比较!$E$6,ROW(),"")</f>
        <v/>
      </c>
      <c r="AA335" s="122"/>
      <c r="AB335" s="122"/>
      <c r="AC335" s="122"/>
      <c r="AD335" s="122"/>
      <c r="AE335" s="122"/>
      <c r="AF335" s="122"/>
      <c r="AG335" s="122"/>
      <c r="AH335" s="122"/>
      <c r="AI335" s="122"/>
      <c r="AJ335" s="122"/>
      <c r="AK335" s="122"/>
      <c r="AL335" s="122"/>
      <c r="AM335" s="122"/>
      <c r="AN335" s="122"/>
      <c r="AO335" s="122"/>
      <c r="AP335" s="122"/>
    </row>
    <row r="336" spans="2:42">
      <c r="B336" s="122"/>
      <c r="C336" s="122"/>
      <c r="D336" s="122"/>
      <c r="E336" s="122"/>
      <c r="F336" s="122"/>
      <c r="G336" s="122"/>
      <c r="H336" s="122"/>
      <c r="I336" s="275"/>
      <c r="J336" s="130"/>
      <c r="K336" s="130"/>
      <c r="L336" s="130"/>
      <c r="M336" s="130"/>
      <c r="N336" s="291"/>
      <c r="O336" s="291"/>
      <c r="P336" s="122"/>
      <c r="Q336" s="122"/>
      <c r="R336" s="122"/>
      <c r="S336" s="122"/>
      <c r="T336" s="122"/>
      <c r="U336" s="301"/>
      <c r="V336" s="260">
        <f t="shared" ca="1" si="13"/>
        <v>0</v>
      </c>
      <c r="W336" s="348" t="str">
        <f>IF(板块成分!B338="","",板块成分!B338)</f>
        <v>000883.SZ</v>
      </c>
      <c r="X336" s="276" t="str">
        <f>[1]!S_Info_Name(W336)</f>
        <v>湖北能源</v>
      </c>
      <c r="Y336" s="276" t="str">
        <f ca="1">IF($Y$3="申万一级行业",[1]!s_info_industry_sw_2021(W336,公司分析!D$5,1),IF($Y$3="申万二级行业",[1]!s_info_industry_sw_2021(W336,公司分析!D$5,2),IF($Y$3="申万三级行业",[1]!s_info_industry_sw_2021(W336,公司分析!D$5,3),IF($Y$3="wind一级行业",[1]!s_info_industry_gics(W336,1),IF($Y$3="wind二级行业",[1]!s_info_industry_gics(W336,2),IF($Y$3="wind三级行业",[1]!s_info_industry_gics(W336,3),IF($Y$3="wind四级行业",[1]!s_info_industry_gics(W336,4),IF($Y$3="证监会门类行业",[1]!s_info_industry_csrc12_n(W336,公司分析!D$5,1),""))))))))</f>
        <v>电力</v>
      </c>
      <c r="Z336" s="302" t="str">
        <f ca="1">IF(Y336=行业比较!$E$6,ROW(),"")</f>
        <v/>
      </c>
      <c r="AA336" s="122"/>
      <c r="AB336" s="122"/>
      <c r="AC336" s="122"/>
      <c r="AD336" s="122"/>
      <c r="AE336" s="122"/>
      <c r="AF336" s="122"/>
      <c r="AG336" s="122"/>
      <c r="AH336" s="122"/>
      <c r="AI336" s="122"/>
      <c r="AJ336" s="122"/>
      <c r="AK336" s="122"/>
      <c r="AL336" s="122"/>
      <c r="AM336" s="122"/>
      <c r="AN336" s="122"/>
      <c r="AO336" s="122"/>
      <c r="AP336" s="122"/>
    </row>
    <row r="337" spans="2:42">
      <c r="B337" s="122"/>
      <c r="C337" s="122"/>
      <c r="D337" s="122"/>
      <c r="E337" s="122"/>
      <c r="F337" s="122"/>
      <c r="G337" s="122"/>
      <c r="H337" s="122"/>
      <c r="I337" s="275"/>
      <c r="J337" s="130"/>
      <c r="K337" s="130"/>
      <c r="L337" s="130"/>
      <c r="M337" s="130"/>
      <c r="N337" s="291"/>
      <c r="O337" s="291"/>
      <c r="P337" s="122"/>
      <c r="Q337" s="122"/>
      <c r="R337" s="122"/>
      <c r="S337" s="122"/>
      <c r="T337" s="122"/>
      <c r="U337" s="301"/>
      <c r="V337" s="260">
        <f t="shared" ca="1" si="13"/>
        <v>0</v>
      </c>
      <c r="W337" s="348" t="str">
        <f>IF(板块成分!B339="","",板块成分!B339)</f>
        <v>000885.SZ</v>
      </c>
      <c r="X337" s="276" t="str">
        <f>[1]!S_Info_Name(W337)</f>
        <v>城发环境</v>
      </c>
      <c r="Y337" s="276" t="str">
        <f ca="1">IF($Y$3="申万一级行业",[1]!s_info_industry_sw_2021(W337,公司分析!D$5,1),IF($Y$3="申万二级行业",[1]!s_info_industry_sw_2021(W337,公司分析!D$5,2),IF($Y$3="申万三级行业",[1]!s_info_industry_sw_2021(W337,公司分析!D$5,3),IF($Y$3="wind一级行业",[1]!s_info_industry_gics(W337,1),IF($Y$3="wind二级行业",[1]!s_info_industry_gics(W337,2),IF($Y$3="wind三级行业",[1]!s_info_industry_gics(W337,3),IF($Y$3="wind四级行业",[1]!s_info_industry_gics(W337,4),IF($Y$3="证监会门类行业",[1]!s_info_industry_csrc12_n(W337,公司分析!D$5,1),""))))))))</f>
        <v>环境治理</v>
      </c>
      <c r="Z337" s="302" t="str">
        <f ca="1">IF(Y337=行业比较!$E$6,ROW(),"")</f>
        <v/>
      </c>
      <c r="AA337" s="122"/>
      <c r="AB337" s="122"/>
      <c r="AC337" s="122"/>
      <c r="AD337" s="122"/>
      <c r="AE337" s="122"/>
      <c r="AF337" s="122"/>
      <c r="AG337" s="122"/>
      <c r="AH337" s="122"/>
      <c r="AI337" s="122"/>
      <c r="AJ337" s="122"/>
      <c r="AK337" s="122"/>
      <c r="AL337" s="122"/>
      <c r="AM337" s="122"/>
      <c r="AN337" s="122"/>
      <c r="AO337" s="122"/>
      <c r="AP337" s="122"/>
    </row>
    <row r="338" spans="2:42">
      <c r="B338" s="122"/>
      <c r="C338" s="122"/>
      <c r="D338" s="122"/>
      <c r="E338" s="122"/>
      <c r="F338" s="122"/>
      <c r="G338" s="122"/>
      <c r="H338" s="122"/>
      <c r="I338" s="275"/>
      <c r="J338" s="130"/>
      <c r="K338" s="130"/>
      <c r="L338" s="130"/>
      <c r="M338" s="130"/>
      <c r="N338" s="291"/>
      <c r="O338" s="291"/>
      <c r="P338" s="122"/>
      <c r="Q338" s="122"/>
      <c r="R338" s="122"/>
      <c r="S338" s="122"/>
      <c r="T338" s="122"/>
      <c r="U338" s="301"/>
      <c r="V338" s="260">
        <f t="shared" ca="1" si="13"/>
        <v>0</v>
      </c>
      <c r="W338" s="348" t="str">
        <f>IF(板块成分!B340="","",板块成分!B340)</f>
        <v>000886.SZ</v>
      </c>
      <c r="X338" s="276" t="str">
        <f>[1]!S_Info_Name(W338)</f>
        <v>海南高速</v>
      </c>
      <c r="Y338" s="276" t="str">
        <f ca="1">IF($Y$3="申万一级行业",[1]!s_info_industry_sw_2021(W338,公司分析!D$5,1),IF($Y$3="申万二级行业",[1]!s_info_industry_sw_2021(W338,公司分析!D$5,2),IF($Y$3="申万三级行业",[1]!s_info_industry_sw_2021(W338,公司分析!D$5,3),IF($Y$3="wind一级行业",[1]!s_info_industry_gics(W338,1),IF($Y$3="wind二级行业",[1]!s_info_industry_gics(W338,2),IF($Y$3="wind三级行业",[1]!s_info_industry_gics(W338,3),IF($Y$3="wind四级行业",[1]!s_info_industry_gics(W338,4),IF($Y$3="证监会门类行业",[1]!s_info_industry_csrc12_n(W338,公司分析!D$5,1),""))))))))</f>
        <v>铁路公路</v>
      </c>
      <c r="Z338" s="302" t="str">
        <f ca="1">IF(Y338=行业比较!$E$6,ROW(),"")</f>
        <v/>
      </c>
      <c r="AA338" s="122"/>
      <c r="AB338" s="122"/>
      <c r="AC338" s="122"/>
      <c r="AD338" s="122"/>
      <c r="AE338" s="122"/>
      <c r="AF338" s="122"/>
      <c r="AG338" s="122"/>
      <c r="AH338" s="122"/>
      <c r="AI338" s="122"/>
      <c r="AJ338" s="122"/>
      <c r="AK338" s="122"/>
      <c r="AL338" s="122"/>
      <c r="AM338" s="122"/>
      <c r="AN338" s="122"/>
      <c r="AO338" s="122"/>
      <c r="AP338" s="122"/>
    </row>
    <row r="339" spans="2:42">
      <c r="B339" s="122"/>
      <c r="C339" s="122"/>
      <c r="D339" s="122"/>
      <c r="E339" s="122"/>
      <c r="F339" s="122"/>
      <c r="G339" s="122"/>
      <c r="H339" s="122"/>
      <c r="I339" s="275"/>
      <c r="J339" s="130"/>
      <c r="K339" s="130"/>
      <c r="L339" s="130"/>
      <c r="M339" s="130"/>
      <c r="N339" s="291"/>
      <c r="O339" s="291"/>
      <c r="P339" s="122"/>
      <c r="Q339" s="122"/>
      <c r="R339" s="122"/>
      <c r="S339" s="122"/>
      <c r="T339" s="122"/>
      <c r="U339" s="301"/>
      <c r="V339" s="260">
        <f t="shared" ca="1" si="13"/>
        <v>0</v>
      </c>
      <c r="W339" s="348" t="str">
        <f>IF(板块成分!B341="","",板块成分!B341)</f>
        <v>000887.SZ</v>
      </c>
      <c r="X339" s="276" t="str">
        <f>[1]!S_Info_Name(W339)</f>
        <v>中鼎股份</v>
      </c>
      <c r="Y339" s="276" t="str">
        <f ca="1">IF($Y$3="申万一级行业",[1]!s_info_industry_sw_2021(W339,公司分析!D$5,1),IF($Y$3="申万二级行业",[1]!s_info_industry_sw_2021(W339,公司分析!D$5,2),IF($Y$3="申万三级行业",[1]!s_info_industry_sw_2021(W339,公司分析!D$5,3),IF($Y$3="wind一级行业",[1]!s_info_industry_gics(W339,1),IF($Y$3="wind二级行业",[1]!s_info_industry_gics(W339,2),IF($Y$3="wind三级行业",[1]!s_info_industry_gics(W339,3),IF($Y$3="wind四级行业",[1]!s_info_industry_gics(W339,4),IF($Y$3="证监会门类行业",[1]!s_info_industry_csrc12_n(W339,公司分析!D$5,1),""))))))))</f>
        <v>汽车零部件</v>
      </c>
      <c r="Z339" s="302" t="str">
        <f ca="1">IF(Y339=行业比较!$E$6,ROW(),"")</f>
        <v/>
      </c>
      <c r="AA339" s="122"/>
      <c r="AB339" s="122"/>
      <c r="AC339" s="122"/>
      <c r="AD339" s="122"/>
      <c r="AE339" s="122"/>
      <c r="AF339" s="122"/>
      <c r="AG339" s="122"/>
      <c r="AH339" s="122"/>
      <c r="AI339" s="122"/>
      <c r="AJ339" s="122"/>
      <c r="AK339" s="122"/>
      <c r="AL339" s="122"/>
      <c r="AM339" s="122"/>
      <c r="AN339" s="122"/>
      <c r="AO339" s="122"/>
      <c r="AP339" s="122"/>
    </row>
    <row r="340" spans="2:42">
      <c r="B340" s="122"/>
      <c r="C340" s="122"/>
      <c r="D340" s="122"/>
      <c r="E340" s="122"/>
      <c r="F340" s="122"/>
      <c r="G340" s="122"/>
      <c r="H340" s="122"/>
      <c r="I340" s="275"/>
      <c r="J340" s="130"/>
      <c r="K340" s="130"/>
      <c r="L340" s="130"/>
      <c r="M340" s="130"/>
      <c r="N340" s="291"/>
      <c r="O340" s="291"/>
      <c r="P340" s="122"/>
      <c r="Q340" s="122"/>
      <c r="R340" s="122"/>
      <c r="S340" s="122"/>
      <c r="T340" s="122"/>
      <c r="U340" s="301"/>
      <c r="V340" s="260">
        <f t="shared" ca="1" si="13"/>
        <v>0</v>
      </c>
      <c r="W340" s="348" t="str">
        <f>IF(板块成分!B342="","",板块成分!B342)</f>
        <v>000888.SZ</v>
      </c>
      <c r="X340" s="276" t="str">
        <f>[1]!S_Info_Name(W340)</f>
        <v>峨眉山A</v>
      </c>
      <c r="Y340" s="276" t="str">
        <f ca="1">IF($Y$3="申万一级行业",[1]!s_info_industry_sw_2021(W340,公司分析!D$5,1),IF($Y$3="申万二级行业",[1]!s_info_industry_sw_2021(W340,公司分析!D$5,2),IF($Y$3="申万三级行业",[1]!s_info_industry_sw_2021(W340,公司分析!D$5,3),IF($Y$3="wind一级行业",[1]!s_info_industry_gics(W340,1),IF($Y$3="wind二级行业",[1]!s_info_industry_gics(W340,2),IF($Y$3="wind三级行业",[1]!s_info_industry_gics(W340,3),IF($Y$3="wind四级行业",[1]!s_info_industry_gics(W340,4),IF($Y$3="证监会门类行业",[1]!s_info_industry_csrc12_n(W340,公司分析!D$5,1),""))))))))</f>
        <v>旅游及景区</v>
      </c>
      <c r="Z340" s="302" t="str">
        <f ca="1">IF(Y340=行业比较!$E$6,ROW(),"")</f>
        <v/>
      </c>
      <c r="AA340" s="122"/>
      <c r="AB340" s="122"/>
      <c r="AC340" s="122"/>
      <c r="AD340" s="122"/>
      <c r="AE340" s="122"/>
      <c r="AF340" s="122"/>
      <c r="AG340" s="122"/>
      <c r="AH340" s="122"/>
      <c r="AI340" s="122"/>
      <c r="AJ340" s="122"/>
      <c r="AK340" s="122"/>
      <c r="AL340" s="122"/>
      <c r="AM340" s="122"/>
      <c r="AN340" s="122"/>
      <c r="AO340" s="122"/>
      <c r="AP340" s="122"/>
    </row>
    <row r="341" spans="2:42">
      <c r="B341" s="122"/>
      <c r="C341" s="122"/>
      <c r="D341" s="122"/>
      <c r="E341" s="122"/>
      <c r="F341" s="122"/>
      <c r="G341" s="122"/>
      <c r="H341" s="122"/>
      <c r="I341" s="275"/>
      <c r="J341" s="130"/>
      <c r="K341" s="130"/>
      <c r="L341" s="130"/>
      <c r="M341" s="130"/>
      <c r="N341" s="291"/>
      <c r="O341" s="291"/>
      <c r="P341" s="122"/>
      <c r="Q341" s="122"/>
      <c r="R341" s="122"/>
      <c r="S341" s="122"/>
      <c r="T341" s="122"/>
      <c r="U341" s="301"/>
      <c r="V341" s="260">
        <f t="shared" ca="1" si="13"/>
        <v>0</v>
      </c>
      <c r="W341" s="348" t="str">
        <f>IF(板块成分!B343="","",板块成分!B343)</f>
        <v>000889.SZ</v>
      </c>
      <c r="X341" s="276" t="str">
        <f>[1]!S_Info_Name(W341)</f>
        <v>中嘉博创</v>
      </c>
      <c r="Y341" s="276" t="str">
        <f ca="1">IF($Y$3="申万一级行业",[1]!s_info_industry_sw_2021(W341,公司分析!D$5,1),IF($Y$3="申万二级行业",[1]!s_info_industry_sw_2021(W341,公司分析!D$5,2),IF($Y$3="申万三级行业",[1]!s_info_industry_sw_2021(W341,公司分析!D$5,3),IF($Y$3="wind一级行业",[1]!s_info_industry_gics(W341,1),IF($Y$3="wind二级行业",[1]!s_info_industry_gics(W341,2),IF($Y$3="wind三级行业",[1]!s_info_industry_gics(W341,3),IF($Y$3="wind四级行业",[1]!s_info_industry_gics(W341,4),IF($Y$3="证监会门类行业",[1]!s_info_industry_csrc12_n(W341,公司分析!D$5,1),""))))))))</f>
        <v>通信服务</v>
      </c>
      <c r="Z341" s="302" t="str">
        <f ca="1">IF(Y341=行业比较!$E$6,ROW(),"")</f>
        <v/>
      </c>
      <c r="AA341" s="122"/>
      <c r="AB341" s="122"/>
      <c r="AC341" s="122"/>
      <c r="AD341" s="122"/>
      <c r="AE341" s="122"/>
      <c r="AF341" s="122"/>
      <c r="AG341" s="122"/>
      <c r="AH341" s="122"/>
      <c r="AI341" s="122"/>
      <c r="AJ341" s="122"/>
      <c r="AK341" s="122"/>
      <c r="AL341" s="122"/>
      <c r="AM341" s="122"/>
      <c r="AN341" s="122"/>
      <c r="AO341" s="122"/>
      <c r="AP341" s="122"/>
    </row>
    <row r="342" spans="2:42">
      <c r="B342" s="122"/>
      <c r="C342" s="122"/>
      <c r="D342" s="122"/>
      <c r="E342" s="122"/>
      <c r="F342" s="122"/>
      <c r="G342" s="122"/>
      <c r="H342" s="122"/>
      <c r="I342" s="275"/>
      <c r="J342" s="130"/>
      <c r="K342" s="130"/>
      <c r="L342" s="130"/>
      <c r="M342" s="130"/>
      <c r="N342" s="291"/>
      <c r="O342" s="291"/>
      <c r="P342" s="122"/>
      <c r="Q342" s="122"/>
      <c r="R342" s="122"/>
      <c r="S342" s="122"/>
      <c r="T342" s="122"/>
      <c r="U342" s="301"/>
      <c r="V342" s="260">
        <f t="shared" ca="1" si="13"/>
        <v>0</v>
      </c>
      <c r="W342" s="348" t="str">
        <f>IF(板块成分!B344="","",板块成分!B344)</f>
        <v>000890.SZ</v>
      </c>
      <c r="X342" s="276" t="str">
        <f>[1]!S_Info_Name(W342)</f>
        <v>法尔胜</v>
      </c>
      <c r="Y342" s="276" t="str">
        <f ca="1">IF($Y$3="申万一级行业",[1]!s_info_industry_sw_2021(W342,公司分析!D$5,1),IF($Y$3="申万二级行业",[1]!s_info_industry_sw_2021(W342,公司分析!D$5,2),IF($Y$3="申万三级行业",[1]!s_info_industry_sw_2021(W342,公司分析!D$5,3),IF($Y$3="wind一级行业",[1]!s_info_industry_gics(W342,1),IF($Y$3="wind二级行业",[1]!s_info_industry_gics(W342,2),IF($Y$3="wind三级行业",[1]!s_info_industry_gics(W342,3),IF($Y$3="wind四级行业",[1]!s_info_industry_gics(W342,4),IF($Y$3="证监会门类行业",[1]!s_info_industry_csrc12_n(W342,公司分析!D$5,1),""))))))))</f>
        <v>环保设备Ⅱ</v>
      </c>
      <c r="Z342" s="302" t="str">
        <f ca="1">IF(Y342=行业比较!$E$6,ROW(),"")</f>
        <v/>
      </c>
      <c r="AA342" s="122"/>
      <c r="AB342" s="122"/>
      <c r="AC342" s="122"/>
      <c r="AD342" s="122"/>
      <c r="AE342" s="122"/>
      <c r="AF342" s="122"/>
      <c r="AG342" s="122"/>
      <c r="AH342" s="122"/>
      <c r="AI342" s="122"/>
      <c r="AJ342" s="122"/>
      <c r="AK342" s="122"/>
      <c r="AL342" s="122"/>
      <c r="AM342" s="122"/>
      <c r="AN342" s="122"/>
      <c r="AO342" s="122"/>
      <c r="AP342" s="122"/>
    </row>
    <row r="343" spans="2:42">
      <c r="B343" s="122"/>
      <c r="C343" s="122"/>
      <c r="D343" s="122"/>
      <c r="E343" s="122"/>
      <c r="F343" s="122"/>
      <c r="G343" s="122"/>
      <c r="H343" s="122"/>
      <c r="I343" s="275"/>
      <c r="J343" s="130"/>
      <c r="K343" s="130"/>
      <c r="L343" s="130"/>
      <c r="M343" s="130"/>
      <c r="N343" s="291"/>
      <c r="O343" s="291"/>
      <c r="P343" s="122"/>
      <c r="Q343" s="122"/>
      <c r="R343" s="122"/>
      <c r="S343" s="122"/>
      <c r="T343" s="122"/>
      <c r="U343" s="301"/>
      <c r="V343" s="260">
        <f t="shared" ca="1" si="13"/>
        <v>0</v>
      </c>
      <c r="W343" s="348" t="str">
        <f>IF(板块成分!B345="","",板块成分!B345)</f>
        <v>000892.SZ</v>
      </c>
      <c r="X343" s="276" t="str">
        <f>[1]!S_Info_Name(W343)</f>
        <v>欢瑞世纪</v>
      </c>
      <c r="Y343" s="276" t="str">
        <f ca="1">IF($Y$3="申万一级行业",[1]!s_info_industry_sw_2021(W343,公司分析!D$5,1),IF($Y$3="申万二级行业",[1]!s_info_industry_sw_2021(W343,公司分析!D$5,2),IF($Y$3="申万三级行业",[1]!s_info_industry_sw_2021(W343,公司分析!D$5,3),IF($Y$3="wind一级行业",[1]!s_info_industry_gics(W343,1),IF($Y$3="wind二级行业",[1]!s_info_industry_gics(W343,2),IF($Y$3="wind三级行业",[1]!s_info_industry_gics(W343,3),IF($Y$3="wind四级行业",[1]!s_info_industry_gics(W343,4),IF($Y$3="证监会门类行业",[1]!s_info_industry_csrc12_n(W343,公司分析!D$5,1),""))))))))</f>
        <v>影视院线</v>
      </c>
      <c r="Z343" s="302" t="str">
        <f ca="1">IF(Y343=行业比较!$E$6,ROW(),"")</f>
        <v/>
      </c>
      <c r="AA343" s="122"/>
      <c r="AB343" s="122"/>
      <c r="AC343" s="122"/>
      <c r="AD343" s="122"/>
      <c r="AE343" s="122"/>
      <c r="AF343" s="122"/>
      <c r="AG343" s="122"/>
      <c r="AH343" s="122"/>
      <c r="AI343" s="122"/>
      <c r="AJ343" s="122"/>
      <c r="AK343" s="122"/>
      <c r="AL343" s="122"/>
      <c r="AM343" s="122"/>
      <c r="AN343" s="122"/>
      <c r="AO343" s="122"/>
      <c r="AP343" s="122"/>
    </row>
    <row r="344" spans="2:42">
      <c r="B344" s="122"/>
      <c r="C344" s="122"/>
      <c r="D344" s="122"/>
      <c r="E344" s="122"/>
      <c r="F344" s="122"/>
      <c r="G344" s="122"/>
      <c r="H344" s="122"/>
      <c r="I344" s="275"/>
      <c r="J344" s="130"/>
      <c r="K344" s="130"/>
      <c r="L344" s="130"/>
      <c r="M344" s="130"/>
      <c r="N344" s="291"/>
      <c r="O344" s="291"/>
      <c r="P344" s="122"/>
      <c r="Q344" s="122"/>
      <c r="R344" s="122"/>
      <c r="S344" s="122"/>
      <c r="T344" s="122"/>
      <c r="U344" s="301"/>
      <c r="V344" s="260">
        <f t="shared" ca="1" si="13"/>
        <v>0</v>
      </c>
      <c r="W344" s="348" t="str">
        <f>IF(板块成分!B346="","",板块成分!B346)</f>
        <v>000893.SZ</v>
      </c>
      <c r="X344" s="276" t="str">
        <f>[1]!S_Info_Name(W344)</f>
        <v>亚钾国际</v>
      </c>
      <c r="Y344" s="276" t="str">
        <f ca="1">IF($Y$3="申万一级行业",[1]!s_info_industry_sw_2021(W344,公司分析!D$5,1),IF($Y$3="申万二级行业",[1]!s_info_industry_sw_2021(W344,公司分析!D$5,2),IF($Y$3="申万三级行业",[1]!s_info_industry_sw_2021(W344,公司分析!D$5,3),IF($Y$3="wind一级行业",[1]!s_info_industry_gics(W344,1),IF($Y$3="wind二级行业",[1]!s_info_industry_gics(W344,2),IF($Y$3="wind三级行业",[1]!s_info_industry_gics(W344,3),IF($Y$3="wind四级行业",[1]!s_info_industry_gics(W344,4),IF($Y$3="证监会门类行业",[1]!s_info_industry_csrc12_n(W344,公司分析!D$5,1),""))))))))</f>
        <v>农化制品</v>
      </c>
      <c r="Z344" s="302" t="str">
        <f ca="1">IF(Y344=行业比较!$E$6,ROW(),"")</f>
        <v/>
      </c>
      <c r="AA344" s="122"/>
      <c r="AB344" s="122"/>
      <c r="AC344" s="122"/>
      <c r="AD344" s="122"/>
      <c r="AE344" s="122"/>
      <c r="AF344" s="122"/>
      <c r="AG344" s="122"/>
      <c r="AH344" s="122"/>
      <c r="AI344" s="122"/>
      <c r="AJ344" s="122"/>
      <c r="AK344" s="122"/>
      <c r="AL344" s="122"/>
      <c r="AM344" s="122"/>
      <c r="AN344" s="122"/>
      <c r="AO344" s="122"/>
      <c r="AP344" s="122"/>
    </row>
    <row r="345" spans="2:42">
      <c r="B345" s="122"/>
      <c r="C345" s="122"/>
      <c r="D345" s="122"/>
      <c r="E345" s="122"/>
      <c r="F345" s="122"/>
      <c r="G345" s="122"/>
      <c r="H345" s="122"/>
      <c r="I345" s="275"/>
      <c r="J345" s="130"/>
      <c r="K345" s="130"/>
      <c r="L345" s="130"/>
      <c r="M345" s="130"/>
      <c r="N345" s="291"/>
      <c r="O345" s="291"/>
      <c r="P345" s="122"/>
      <c r="Q345" s="122"/>
      <c r="R345" s="122"/>
      <c r="S345" s="122"/>
      <c r="T345" s="122"/>
      <c r="U345" s="301"/>
      <c r="V345" s="260">
        <f t="shared" ca="1" si="13"/>
        <v>0</v>
      </c>
      <c r="W345" s="348" t="str">
        <f>IF(板块成分!B347="","",板块成分!B347)</f>
        <v>000895.SZ</v>
      </c>
      <c r="X345" s="276" t="str">
        <f>[1]!S_Info_Name(W345)</f>
        <v>双汇发展</v>
      </c>
      <c r="Y345" s="276" t="str">
        <f ca="1">IF($Y$3="申万一级行业",[1]!s_info_industry_sw_2021(W345,公司分析!D$5,1),IF($Y$3="申万二级行业",[1]!s_info_industry_sw_2021(W345,公司分析!D$5,2),IF($Y$3="申万三级行业",[1]!s_info_industry_sw_2021(W345,公司分析!D$5,3),IF($Y$3="wind一级行业",[1]!s_info_industry_gics(W345,1),IF($Y$3="wind二级行业",[1]!s_info_industry_gics(W345,2),IF($Y$3="wind三级行业",[1]!s_info_industry_gics(W345,3),IF($Y$3="wind四级行业",[1]!s_info_industry_gics(W345,4),IF($Y$3="证监会门类行业",[1]!s_info_industry_csrc12_n(W345,公司分析!D$5,1),""))))))))</f>
        <v>食品加工</v>
      </c>
      <c r="Z345" s="302" t="str">
        <f ca="1">IF(Y345=行业比较!$E$6,ROW(),"")</f>
        <v/>
      </c>
      <c r="AA345" s="122"/>
      <c r="AB345" s="122"/>
      <c r="AC345" s="122"/>
      <c r="AD345" s="122"/>
      <c r="AE345" s="122"/>
      <c r="AF345" s="122"/>
      <c r="AG345" s="122"/>
      <c r="AH345" s="122"/>
      <c r="AI345" s="122"/>
      <c r="AJ345" s="122"/>
      <c r="AK345" s="122"/>
      <c r="AL345" s="122"/>
      <c r="AM345" s="122"/>
      <c r="AN345" s="122"/>
      <c r="AO345" s="122"/>
      <c r="AP345" s="122"/>
    </row>
    <row r="346" spans="2:42">
      <c r="B346" s="122"/>
      <c r="C346" s="122"/>
      <c r="D346" s="122"/>
      <c r="E346" s="122"/>
      <c r="F346" s="122"/>
      <c r="G346" s="122"/>
      <c r="H346" s="122"/>
      <c r="I346" s="275"/>
      <c r="J346" s="130"/>
      <c r="K346" s="130"/>
      <c r="L346" s="130"/>
      <c r="M346" s="130"/>
      <c r="N346" s="291"/>
      <c r="O346" s="291"/>
      <c r="P346" s="122"/>
      <c r="Q346" s="122"/>
      <c r="R346" s="122"/>
      <c r="S346" s="122"/>
      <c r="T346" s="122"/>
      <c r="U346" s="301"/>
      <c r="V346" s="260">
        <f t="shared" ca="1" si="13"/>
        <v>0</v>
      </c>
      <c r="W346" s="348" t="str">
        <f>IF(板块成分!B348="","",板块成分!B348)</f>
        <v>000897.SZ</v>
      </c>
      <c r="X346" s="276" t="str">
        <f>[1]!S_Info_Name(W346)</f>
        <v>津滨发展</v>
      </c>
      <c r="Y346" s="276" t="str">
        <f ca="1">IF($Y$3="申万一级行业",[1]!s_info_industry_sw_2021(W346,公司分析!D$5,1),IF($Y$3="申万二级行业",[1]!s_info_industry_sw_2021(W346,公司分析!D$5,2),IF($Y$3="申万三级行业",[1]!s_info_industry_sw_2021(W346,公司分析!D$5,3),IF($Y$3="wind一级行业",[1]!s_info_industry_gics(W346,1),IF($Y$3="wind二级行业",[1]!s_info_industry_gics(W346,2),IF($Y$3="wind三级行业",[1]!s_info_industry_gics(W346,3),IF($Y$3="wind四级行业",[1]!s_info_industry_gics(W346,4),IF($Y$3="证监会门类行业",[1]!s_info_industry_csrc12_n(W346,公司分析!D$5,1),""))))))))</f>
        <v>房地产开发</v>
      </c>
      <c r="Z346" s="302" t="str">
        <f ca="1">IF(Y346=行业比较!$E$6,ROW(),"")</f>
        <v/>
      </c>
      <c r="AA346" s="122"/>
      <c r="AB346" s="122"/>
      <c r="AC346" s="122"/>
      <c r="AD346" s="122"/>
      <c r="AE346" s="122"/>
      <c r="AF346" s="122"/>
      <c r="AG346" s="122"/>
      <c r="AH346" s="122"/>
      <c r="AI346" s="122"/>
      <c r="AJ346" s="122"/>
      <c r="AK346" s="122"/>
      <c r="AL346" s="122"/>
      <c r="AM346" s="122"/>
      <c r="AN346" s="122"/>
      <c r="AO346" s="122"/>
      <c r="AP346" s="122"/>
    </row>
    <row r="347" spans="2:42">
      <c r="B347" s="122"/>
      <c r="C347" s="122"/>
      <c r="D347" s="122"/>
      <c r="E347" s="122"/>
      <c r="F347" s="122"/>
      <c r="G347" s="122"/>
      <c r="H347" s="122"/>
      <c r="I347" s="275"/>
      <c r="J347" s="130"/>
      <c r="K347" s="130"/>
      <c r="L347" s="130"/>
      <c r="M347" s="130"/>
      <c r="N347" s="291"/>
      <c r="O347" s="291"/>
      <c r="P347" s="122"/>
      <c r="Q347" s="122"/>
      <c r="R347" s="122"/>
      <c r="S347" s="122"/>
      <c r="T347" s="122"/>
      <c r="U347" s="301"/>
      <c r="V347" s="260">
        <f t="shared" ca="1" si="13"/>
        <v>0</v>
      </c>
      <c r="W347" s="348" t="str">
        <f>IF(板块成分!B349="","",板块成分!B349)</f>
        <v>000898.SZ</v>
      </c>
      <c r="X347" s="276" t="str">
        <f>[1]!S_Info_Name(W347)</f>
        <v>鞍钢股份</v>
      </c>
      <c r="Y347" s="276" t="str">
        <f ca="1">IF($Y$3="申万一级行业",[1]!s_info_industry_sw_2021(W347,公司分析!D$5,1),IF($Y$3="申万二级行业",[1]!s_info_industry_sw_2021(W347,公司分析!D$5,2),IF($Y$3="申万三级行业",[1]!s_info_industry_sw_2021(W347,公司分析!D$5,3),IF($Y$3="wind一级行业",[1]!s_info_industry_gics(W347,1),IF($Y$3="wind二级行业",[1]!s_info_industry_gics(W347,2),IF($Y$3="wind三级行业",[1]!s_info_industry_gics(W347,3),IF($Y$3="wind四级行业",[1]!s_info_industry_gics(W347,4),IF($Y$3="证监会门类行业",[1]!s_info_industry_csrc12_n(W347,公司分析!D$5,1),""))))))))</f>
        <v>普钢</v>
      </c>
      <c r="Z347" s="302" t="str">
        <f ca="1">IF(Y347=行业比较!$E$6,ROW(),"")</f>
        <v/>
      </c>
      <c r="AA347" s="122"/>
      <c r="AB347" s="122"/>
      <c r="AC347" s="122"/>
      <c r="AD347" s="122"/>
      <c r="AE347" s="122"/>
      <c r="AF347" s="122"/>
      <c r="AG347" s="122"/>
      <c r="AH347" s="122"/>
      <c r="AI347" s="122"/>
      <c r="AJ347" s="122"/>
      <c r="AK347" s="122"/>
      <c r="AL347" s="122"/>
      <c r="AM347" s="122"/>
      <c r="AN347" s="122"/>
      <c r="AO347" s="122"/>
      <c r="AP347" s="122"/>
    </row>
    <row r="348" spans="2:42">
      <c r="B348" s="122"/>
      <c r="C348" s="122"/>
      <c r="D348" s="122"/>
      <c r="E348" s="122"/>
      <c r="F348" s="122"/>
      <c r="G348" s="122"/>
      <c r="H348" s="122"/>
      <c r="I348" s="275"/>
      <c r="J348" s="130"/>
      <c r="K348" s="130"/>
      <c r="L348" s="130"/>
      <c r="M348" s="130"/>
      <c r="N348" s="291"/>
      <c r="O348" s="291"/>
      <c r="P348" s="122"/>
      <c r="Q348" s="122"/>
      <c r="R348" s="122"/>
      <c r="S348" s="122"/>
      <c r="T348" s="122"/>
      <c r="U348" s="301"/>
      <c r="V348" s="260">
        <f t="shared" ca="1" si="13"/>
        <v>0</v>
      </c>
      <c r="W348" s="348" t="str">
        <f>IF(板块成分!B350="","",板块成分!B350)</f>
        <v>000899.SZ</v>
      </c>
      <c r="X348" s="276" t="str">
        <f>[1]!S_Info_Name(W348)</f>
        <v>赣能股份</v>
      </c>
      <c r="Y348" s="276" t="str">
        <f ca="1">IF($Y$3="申万一级行业",[1]!s_info_industry_sw_2021(W348,公司分析!D$5,1),IF($Y$3="申万二级行业",[1]!s_info_industry_sw_2021(W348,公司分析!D$5,2),IF($Y$3="申万三级行业",[1]!s_info_industry_sw_2021(W348,公司分析!D$5,3),IF($Y$3="wind一级行业",[1]!s_info_industry_gics(W348,1),IF($Y$3="wind二级行业",[1]!s_info_industry_gics(W348,2),IF($Y$3="wind三级行业",[1]!s_info_industry_gics(W348,3),IF($Y$3="wind四级行业",[1]!s_info_industry_gics(W348,4),IF($Y$3="证监会门类行业",[1]!s_info_industry_csrc12_n(W348,公司分析!D$5,1),""))))))))</f>
        <v>电力</v>
      </c>
      <c r="Z348" s="302" t="str">
        <f ca="1">IF(Y348=行业比较!$E$6,ROW(),"")</f>
        <v/>
      </c>
      <c r="AA348" s="122"/>
      <c r="AB348" s="122"/>
      <c r="AC348" s="122"/>
      <c r="AD348" s="122"/>
      <c r="AE348" s="122"/>
      <c r="AF348" s="122"/>
      <c r="AG348" s="122"/>
      <c r="AH348" s="122"/>
      <c r="AI348" s="122"/>
      <c r="AJ348" s="122"/>
      <c r="AK348" s="122"/>
      <c r="AL348" s="122"/>
      <c r="AM348" s="122"/>
      <c r="AN348" s="122"/>
      <c r="AO348" s="122"/>
      <c r="AP348" s="122"/>
    </row>
    <row r="349" spans="2:42">
      <c r="B349" s="122"/>
      <c r="C349" s="122"/>
      <c r="D349" s="122"/>
      <c r="E349" s="122"/>
      <c r="F349" s="122"/>
      <c r="G349" s="122"/>
      <c r="H349" s="122"/>
      <c r="I349" s="275"/>
      <c r="J349" s="130"/>
      <c r="K349" s="130"/>
      <c r="L349" s="130"/>
      <c r="M349" s="130"/>
      <c r="N349" s="291"/>
      <c r="O349" s="291"/>
      <c r="P349" s="122"/>
      <c r="Q349" s="122"/>
      <c r="R349" s="122"/>
      <c r="S349" s="122"/>
      <c r="T349" s="122"/>
      <c r="U349" s="301"/>
      <c r="V349" s="260">
        <f t="shared" ca="1" si="13"/>
        <v>0</v>
      </c>
      <c r="W349" s="348" t="str">
        <f>IF(板块成分!B351="","",板块成分!B351)</f>
        <v>000900.SZ</v>
      </c>
      <c r="X349" s="276" t="str">
        <f>[1]!S_Info_Name(W349)</f>
        <v>现代投资</v>
      </c>
      <c r="Y349" s="276" t="str">
        <f ca="1">IF($Y$3="申万一级行业",[1]!s_info_industry_sw_2021(W349,公司分析!D$5,1),IF($Y$3="申万二级行业",[1]!s_info_industry_sw_2021(W349,公司分析!D$5,2),IF($Y$3="申万三级行业",[1]!s_info_industry_sw_2021(W349,公司分析!D$5,3),IF($Y$3="wind一级行业",[1]!s_info_industry_gics(W349,1),IF($Y$3="wind二级行业",[1]!s_info_industry_gics(W349,2),IF($Y$3="wind三级行业",[1]!s_info_industry_gics(W349,3),IF($Y$3="wind四级行业",[1]!s_info_industry_gics(W349,4),IF($Y$3="证监会门类行业",[1]!s_info_industry_csrc12_n(W349,公司分析!D$5,1),""))))))))</f>
        <v>铁路公路</v>
      </c>
      <c r="Z349" s="302" t="str">
        <f ca="1">IF(Y349=行业比较!$E$6,ROW(),"")</f>
        <v/>
      </c>
      <c r="AA349" s="122"/>
      <c r="AB349" s="122"/>
      <c r="AC349" s="122"/>
      <c r="AD349" s="122"/>
      <c r="AE349" s="122"/>
      <c r="AF349" s="122"/>
      <c r="AG349" s="122"/>
      <c r="AH349" s="122"/>
      <c r="AI349" s="122"/>
      <c r="AJ349" s="122"/>
      <c r="AK349" s="122"/>
      <c r="AL349" s="122"/>
      <c r="AM349" s="122"/>
      <c r="AN349" s="122"/>
      <c r="AO349" s="122"/>
      <c r="AP349" s="122"/>
    </row>
    <row r="350" spans="2:42">
      <c r="B350" s="122"/>
      <c r="C350" s="122"/>
      <c r="D350" s="122"/>
      <c r="E350" s="122"/>
      <c r="F350" s="122"/>
      <c r="G350" s="122"/>
      <c r="H350" s="122"/>
      <c r="I350" s="275"/>
      <c r="J350" s="130"/>
      <c r="K350" s="130"/>
      <c r="L350" s="130"/>
      <c r="M350" s="130"/>
      <c r="N350" s="291"/>
      <c r="O350" s="291"/>
      <c r="P350" s="122"/>
      <c r="Q350" s="122"/>
      <c r="R350" s="122"/>
      <c r="S350" s="122"/>
      <c r="T350" s="122"/>
      <c r="U350" s="301"/>
      <c r="V350" s="260">
        <f t="shared" ca="1" si="13"/>
        <v>0</v>
      </c>
      <c r="W350" s="348" t="str">
        <f>IF(板块成分!B352="","",板块成分!B352)</f>
        <v>000901.SZ</v>
      </c>
      <c r="X350" s="276" t="str">
        <f>[1]!S_Info_Name(W350)</f>
        <v>航天科技</v>
      </c>
      <c r="Y350" s="276" t="str">
        <f ca="1">IF($Y$3="申万一级行业",[1]!s_info_industry_sw_2021(W350,公司分析!D$5,1),IF($Y$3="申万二级行业",[1]!s_info_industry_sw_2021(W350,公司分析!D$5,2),IF($Y$3="申万三级行业",[1]!s_info_industry_sw_2021(W350,公司分析!D$5,3),IF($Y$3="wind一级行业",[1]!s_info_industry_gics(W350,1),IF($Y$3="wind二级行业",[1]!s_info_industry_gics(W350,2),IF($Y$3="wind三级行业",[1]!s_info_industry_gics(W350,3),IF($Y$3="wind四级行业",[1]!s_info_industry_gics(W350,4),IF($Y$3="证监会门类行业",[1]!s_info_industry_csrc12_n(W350,公司分析!D$5,1),""))))))))</f>
        <v>汽车零部件</v>
      </c>
      <c r="Z350" s="302" t="str">
        <f ca="1">IF(Y350=行业比较!$E$6,ROW(),"")</f>
        <v/>
      </c>
      <c r="AA350" s="122"/>
      <c r="AB350" s="122"/>
      <c r="AC350" s="122"/>
      <c r="AD350" s="122"/>
      <c r="AE350" s="122"/>
      <c r="AF350" s="122"/>
      <c r="AG350" s="122"/>
      <c r="AH350" s="122"/>
      <c r="AI350" s="122"/>
      <c r="AJ350" s="122"/>
      <c r="AK350" s="122"/>
      <c r="AL350" s="122"/>
      <c r="AM350" s="122"/>
      <c r="AN350" s="122"/>
      <c r="AO350" s="122"/>
      <c r="AP350" s="122"/>
    </row>
    <row r="351" spans="2:42">
      <c r="B351" s="122"/>
      <c r="C351" s="122"/>
      <c r="D351" s="122"/>
      <c r="E351" s="122"/>
      <c r="F351" s="122"/>
      <c r="G351" s="122"/>
      <c r="H351" s="122"/>
      <c r="I351" s="275"/>
      <c r="J351" s="130"/>
      <c r="K351" s="130"/>
      <c r="L351" s="130"/>
      <c r="M351" s="130"/>
      <c r="N351" s="291"/>
      <c r="O351" s="291"/>
      <c r="P351" s="122"/>
      <c r="Q351" s="122"/>
      <c r="R351" s="122"/>
      <c r="S351" s="122"/>
      <c r="T351" s="122"/>
      <c r="U351" s="301"/>
      <c r="V351" s="260">
        <f t="shared" ca="1" si="13"/>
        <v>0</v>
      </c>
      <c r="W351" s="348" t="str">
        <f>IF(板块成分!B353="","",板块成分!B353)</f>
        <v>000902.SZ</v>
      </c>
      <c r="X351" s="276" t="str">
        <f>[1]!S_Info_Name(W351)</f>
        <v>新洋丰</v>
      </c>
      <c r="Y351" s="276" t="str">
        <f ca="1">IF($Y$3="申万一级行业",[1]!s_info_industry_sw_2021(W351,公司分析!D$5,1),IF($Y$3="申万二级行业",[1]!s_info_industry_sw_2021(W351,公司分析!D$5,2),IF($Y$3="申万三级行业",[1]!s_info_industry_sw_2021(W351,公司分析!D$5,3),IF($Y$3="wind一级行业",[1]!s_info_industry_gics(W351,1),IF($Y$3="wind二级行业",[1]!s_info_industry_gics(W351,2),IF($Y$3="wind三级行业",[1]!s_info_industry_gics(W351,3),IF($Y$3="wind四级行业",[1]!s_info_industry_gics(W351,4),IF($Y$3="证监会门类行业",[1]!s_info_industry_csrc12_n(W351,公司分析!D$5,1),""))))))))</f>
        <v>农化制品</v>
      </c>
      <c r="Z351" s="302" t="str">
        <f ca="1">IF(Y351=行业比较!$E$6,ROW(),"")</f>
        <v/>
      </c>
      <c r="AA351" s="122"/>
      <c r="AB351" s="122"/>
      <c r="AC351" s="122"/>
      <c r="AD351" s="122"/>
      <c r="AE351" s="122"/>
      <c r="AF351" s="122"/>
      <c r="AG351" s="122"/>
      <c r="AH351" s="122"/>
      <c r="AI351" s="122"/>
      <c r="AJ351" s="122"/>
      <c r="AK351" s="122"/>
      <c r="AL351" s="122"/>
      <c r="AM351" s="122"/>
      <c r="AN351" s="122"/>
      <c r="AO351" s="122"/>
      <c r="AP351" s="122"/>
    </row>
    <row r="352" spans="2:42">
      <c r="B352" s="122"/>
      <c r="C352" s="122"/>
      <c r="D352" s="122"/>
      <c r="E352" s="122"/>
      <c r="F352" s="122"/>
      <c r="G352" s="122"/>
      <c r="H352" s="122"/>
      <c r="I352" s="275"/>
      <c r="J352" s="130"/>
      <c r="K352" s="130"/>
      <c r="L352" s="130"/>
      <c r="M352" s="130"/>
      <c r="N352" s="291"/>
      <c r="O352" s="291"/>
      <c r="P352" s="122"/>
      <c r="Q352" s="122"/>
      <c r="R352" s="122"/>
      <c r="S352" s="122"/>
      <c r="T352" s="122"/>
      <c r="U352" s="301"/>
      <c r="V352" s="260">
        <f t="shared" ca="1" si="13"/>
        <v>0</v>
      </c>
      <c r="W352" s="348" t="str">
        <f>IF(板块成分!B354="","",板块成分!B354)</f>
        <v>000903.SZ</v>
      </c>
      <c r="X352" s="276" t="str">
        <f>[1]!S_Info_Name(W352)</f>
        <v>ST云动</v>
      </c>
      <c r="Y352" s="276" t="str">
        <f ca="1">IF($Y$3="申万一级行业",[1]!s_info_industry_sw_2021(W352,公司分析!D$5,1),IF($Y$3="申万二级行业",[1]!s_info_industry_sw_2021(W352,公司分析!D$5,2),IF($Y$3="申万三级行业",[1]!s_info_industry_sw_2021(W352,公司分析!D$5,3),IF($Y$3="wind一级行业",[1]!s_info_industry_gics(W352,1),IF($Y$3="wind二级行业",[1]!s_info_industry_gics(W352,2),IF($Y$3="wind三级行业",[1]!s_info_industry_gics(W352,3),IF($Y$3="wind四级行业",[1]!s_info_industry_gics(W352,4),IF($Y$3="证监会门类行业",[1]!s_info_industry_csrc12_n(W352,公司分析!D$5,1),""))))))))</f>
        <v>汽车零部件</v>
      </c>
      <c r="Z352" s="302" t="str">
        <f ca="1">IF(Y352=行业比较!$E$6,ROW(),"")</f>
        <v/>
      </c>
      <c r="AA352" s="122"/>
      <c r="AB352" s="122"/>
      <c r="AC352" s="122"/>
      <c r="AD352" s="122"/>
      <c r="AE352" s="122"/>
      <c r="AF352" s="122"/>
      <c r="AG352" s="122"/>
      <c r="AH352" s="122"/>
      <c r="AI352" s="122"/>
      <c r="AJ352" s="122"/>
      <c r="AK352" s="122"/>
      <c r="AL352" s="122"/>
      <c r="AM352" s="122"/>
      <c r="AN352" s="122"/>
      <c r="AO352" s="122"/>
      <c r="AP352" s="122"/>
    </row>
    <row r="353" spans="2:42">
      <c r="B353" s="122"/>
      <c r="C353" s="122"/>
      <c r="D353" s="122"/>
      <c r="E353" s="122"/>
      <c r="F353" s="122"/>
      <c r="G353" s="122"/>
      <c r="H353" s="122"/>
      <c r="I353" s="275"/>
      <c r="J353" s="130"/>
      <c r="K353" s="130"/>
      <c r="L353" s="130"/>
      <c r="M353" s="130"/>
      <c r="N353" s="291"/>
      <c r="O353" s="291"/>
      <c r="P353" s="122"/>
      <c r="Q353" s="122"/>
      <c r="R353" s="122"/>
      <c r="S353" s="122"/>
      <c r="T353" s="122"/>
      <c r="U353" s="301"/>
      <c r="V353" s="260">
        <f t="shared" ca="1" si="13"/>
        <v>0</v>
      </c>
      <c r="W353" s="348" t="str">
        <f>IF(板块成分!B355="","",板块成分!B355)</f>
        <v>000905.SZ</v>
      </c>
      <c r="X353" s="276" t="str">
        <f>[1]!S_Info_Name(W353)</f>
        <v>厦门港务</v>
      </c>
      <c r="Y353" s="276" t="str">
        <f ca="1">IF($Y$3="申万一级行业",[1]!s_info_industry_sw_2021(W353,公司分析!D$5,1),IF($Y$3="申万二级行业",[1]!s_info_industry_sw_2021(W353,公司分析!D$5,2),IF($Y$3="申万三级行业",[1]!s_info_industry_sw_2021(W353,公司分析!D$5,3),IF($Y$3="wind一级行业",[1]!s_info_industry_gics(W353,1),IF($Y$3="wind二级行业",[1]!s_info_industry_gics(W353,2),IF($Y$3="wind三级行业",[1]!s_info_industry_gics(W353,3),IF($Y$3="wind四级行业",[1]!s_info_industry_gics(W353,4),IF($Y$3="证监会门类行业",[1]!s_info_industry_csrc12_n(W353,公司分析!D$5,1),""))))))))</f>
        <v>航运港口</v>
      </c>
      <c r="Z353" s="302" t="str">
        <f ca="1">IF(Y353=行业比较!$E$6,ROW(),"")</f>
        <v/>
      </c>
      <c r="AA353" s="122"/>
      <c r="AB353" s="122"/>
      <c r="AC353" s="122"/>
      <c r="AD353" s="122"/>
      <c r="AE353" s="122"/>
      <c r="AF353" s="122"/>
      <c r="AG353" s="122"/>
      <c r="AH353" s="122"/>
      <c r="AI353" s="122"/>
      <c r="AJ353" s="122"/>
      <c r="AK353" s="122"/>
      <c r="AL353" s="122"/>
      <c r="AM353" s="122"/>
      <c r="AN353" s="122"/>
      <c r="AO353" s="122"/>
      <c r="AP353" s="122"/>
    </row>
    <row r="354" spans="2:42">
      <c r="B354" s="122"/>
      <c r="C354" s="122"/>
      <c r="D354" s="122"/>
      <c r="E354" s="122"/>
      <c r="F354" s="122"/>
      <c r="G354" s="122"/>
      <c r="H354" s="122"/>
      <c r="I354" s="275"/>
      <c r="J354" s="130"/>
      <c r="K354" s="130"/>
      <c r="L354" s="130"/>
      <c r="M354" s="130"/>
      <c r="N354" s="291"/>
      <c r="O354" s="291"/>
      <c r="P354" s="122"/>
      <c r="Q354" s="122"/>
      <c r="R354" s="122"/>
      <c r="S354" s="122"/>
      <c r="T354" s="122"/>
      <c r="U354" s="301"/>
      <c r="V354" s="260">
        <f t="shared" ca="1" si="13"/>
        <v>0</v>
      </c>
      <c r="W354" s="348" t="str">
        <f>IF(板块成分!B356="","",板块成分!B356)</f>
        <v>000906.SZ</v>
      </c>
      <c r="X354" s="276" t="str">
        <f>[1]!S_Info_Name(W354)</f>
        <v>浙商中拓</v>
      </c>
      <c r="Y354" s="276" t="str">
        <f ca="1">IF($Y$3="申万一级行业",[1]!s_info_industry_sw_2021(W354,公司分析!D$5,1),IF($Y$3="申万二级行业",[1]!s_info_industry_sw_2021(W354,公司分析!D$5,2),IF($Y$3="申万三级行业",[1]!s_info_industry_sw_2021(W354,公司分析!D$5,3),IF($Y$3="wind一级行业",[1]!s_info_industry_gics(W354,1),IF($Y$3="wind二级行业",[1]!s_info_industry_gics(W354,2),IF($Y$3="wind三级行业",[1]!s_info_industry_gics(W354,3),IF($Y$3="wind四级行业",[1]!s_info_industry_gics(W354,4),IF($Y$3="证监会门类行业",[1]!s_info_industry_csrc12_n(W354,公司分析!D$5,1),""))))))))</f>
        <v>物流</v>
      </c>
      <c r="Z354" s="302" t="str">
        <f ca="1">IF(Y354=行业比较!$E$6,ROW(),"")</f>
        <v/>
      </c>
      <c r="AA354" s="122"/>
      <c r="AB354" s="122"/>
      <c r="AC354" s="122"/>
      <c r="AD354" s="122"/>
      <c r="AE354" s="122"/>
      <c r="AF354" s="122"/>
      <c r="AG354" s="122"/>
      <c r="AH354" s="122"/>
      <c r="AI354" s="122"/>
      <c r="AJ354" s="122"/>
      <c r="AK354" s="122"/>
      <c r="AL354" s="122"/>
      <c r="AM354" s="122"/>
      <c r="AN354" s="122"/>
      <c r="AO354" s="122"/>
      <c r="AP354" s="122"/>
    </row>
    <row r="355" spans="2:42">
      <c r="B355" s="122"/>
      <c r="C355" s="122"/>
      <c r="D355" s="122"/>
      <c r="E355" s="122"/>
      <c r="F355" s="122"/>
      <c r="G355" s="122"/>
      <c r="H355" s="122"/>
      <c r="I355" s="275"/>
      <c r="J355" s="130"/>
      <c r="K355" s="130"/>
      <c r="L355" s="130"/>
      <c r="M355" s="130"/>
      <c r="N355" s="291"/>
      <c r="O355" s="291"/>
      <c r="P355" s="122"/>
      <c r="Q355" s="122"/>
      <c r="R355" s="122"/>
      <c r="S355" s="122"/>
      <c r="T355" s="122"/>
      <c r="U355" s="301"/>
      <c r="V355" s="260">
        <f t="shared" ca="1" si="13"/>
        <v>0</v>
      </c>
      <c r="W355" s="348" t="str">
        <f>IF(板块成分!B357="","",板块成分!B357)</f>
        <v>000908.SZ</v>
      </c>
      <c r="X355" s="276" t="str">
        <f>[1]!S_Info_Name(W355)</f>
        <v>*ST景峰</v>
      </c>
      <c r="Y355" s="276" t="str">
        <f ca="1">IF($Y$3="申万一级行业",[1]!s_info_industry_sw_2021(W355,公司分析!D$5,1),IF($Y$3="申万二级行业",[1]!s_info_industry_sw_2021(W355,公司分析!D$5,2),IF($Y$3="申万三级行业",[1]!s_info_industry_sw_2021(W355,公司分析!D$5,3),IF($Y$3="wind一级行业",[1]!s_info_industry_gics(W355,1),IF($Y$3="wind二级行业",[1]!s_info_industry_gics(W355,2),IF($Y$3="wind三级行业",[1]!s_info_industry_gics(W355,3),IF($Y$3="wind四级行业",[1]!s_info_industry_gics(W355,4),IF($Y$3="证监会门类行业",[1]!s_info_industry_csrc12_n(W355,公司分析!D$5,1),""))))))))</f>
        <v>化学制药</v>
      </c>
      <c r="Z355" s="302" t="str">
        <f ca="1">IF(Y355=行业比较!$E$6,ROW(),"")</f>
        <v/>
      </c>
      <c r="AA355" s="122"/>
      <c r="AB355" s="122"/>
      <c r="AC355" s="122"/>
      <c r="AD355" s="122"/>
      <c r="AE355" s="122"/>
      <c r="AF355" s="122"/>
      <c r="AG355" s="122"/>
      <c r="AH355" s="122"/>
      <c r="AI355" s="122"/>
      <c r="AJ355" s="122"/>
      <c r="AK355" s="122"/>
      <c r="AL355" s="122"/>
      <c r="AM355" s="122"/>
      <c r="AN355" s="122"/>
      <c r="AO355" s="122"/>
      <c r="AP355" s="122"/>
    </row>
    <row r="356" spans="2:42">
      <c r="B356" s="122"/>
      <c r="C356" s="122"/>
      <c r="D356" s="122"/>
      <c r="E356" s="122"/>
      <c r="F356" s="122"/>
      <c r="G356" s="122"/>
      <c r="H356" s="122"/>
      <c r="I356" s="275"/>
      <c r="J356" s="130"/>
      <c r="K356" s="130"/>
      <c r="L356" s="130"/>
      <c r="M356" s="130"/>
      <c r="N356" s="291"/>
      <c r="O356" s="291"/>
      <c r="P356" s="122"/>
      <c r="Q356" s="122"/>
      <c r="R356" s="122"/>
      <c r="S356" s="122"/>
      <c r="T356" s="122"/>
      <c r="U356" s="301"/>
      <c r="V356" s="260">
        <f t="shared" ca="1" si="13"/>
        <v>0</v>
      </c>
      <c r="W356" s="348" t="str">
        <f>IF(板块成分!B358="","",板块成分!B358)</f>
        <v>000909.SZ</v>
      </c>
      <c r="X356" s="276" t="str">
        <f>[1]!S_Info_Name(W356)</f>
        <v>ST数源</v>
      </c>
      <c r="Y356" s="276" t="str">
        <f ca="1">IF($Y$3="申万一级行业",[1]!s_info_industry_sw_2021(W356,公司分析!D$5,1),IF($Y$3="申万二级行业",[1]!s_info_industry_sw_2021(W356,公司分析!D$5,2),IF($Y$3="申万三级行业",[1]!s_info_industry_sw_2021(W356,公司分析!D$5,3),IF($Y$3="wind一级行业",[1]!s_info_industry_gics(W356,1),IF($Y$3="wind二级行业",[1]!s_info_industry_gics(W356,2),IF($Y$3="wind三级行业",[1]!s_info_industry_gics(W356,3),IF($Y$3="wind四级行业",[1]!s_info_industry_gics(W356,4),IF($Y$3="证监会门类行业",[1]!s_info_industry_csrc12_n(W356,公司分析!D$5,1),""))))))))</f>
        <v>房地产开发</v>
      </c>
      <c r="Z356" s="302" t="str">
        <f ca="1">IF(Y356=行业比较!$E$6,ROW(),"")</f>
        <v/>
      </c>
      <c r="AA356" s="122"/>
      <c r="AB356" s="122"/>
      <c r="AC356" s="122"/>
      <c r="AD356" s="122"/>
      <c r="AE356" s="122"/>
      <c r="AF356" s="122"/>
      <c r="AG356" s="122"/>
      <c r="AH356" s="122"/>
      <c r="AI356" s="122"/>
      <c r="AJ356" s="122"/>
      <c r="AK356" s="122"/>
      <c r="AL356" s="122"/>
      <c r="AM356" s="122"/>
      <c r="AN356" s="122"/>
      <c r="AO356" s="122"/>
      <c r="AP356" s="122"/>
    </row>
    <row r="357" spans="2:42">
      <c r="B357" s="122"/>
      <c r="C357" s="122"/>
      <c r="D357" s="122"/>
      <c r="E357" s="122"/>
      <c r="F357" s="122"/>
      <c r="G357" s="122"/>
      <c r="H357" s="122"/>
      <c r="I357" s="275"/>
      <c r="J357" s="130"/>
      <c r="K357" s="130"/>
      <c r="L357" s="130"/>
      <c r="M357" s="130"/>
      <c r="N357" s="291"/>
      <c r="O357" s="291"/>
      <c r="P357" s="122"/>
      <c r="Q357" s="122"/>
      <c r="R357" s="122"/>
      <c r="S357" s="122"/>
      <c r="T357" s="122"/>
      <c r="U357" s="301"/>
      <c r="V357" s="260">
        <f t="shared" ca="1" si="13"/>
        <v>0</v>
      </c>
      <c r="W357" s="348" t="str">
        <f>IF(板块成分!B359="","",板块成分!B359)</f>
        <v>000910.SZ</v>
      </c>
      <c r="X357" s="276" t="str">
        <f>[1]!S_Info_Name(W357)</f>
        <v>大亚圣象</v>
      </c>
      <c r="Y357" s="276" t="str">
        <f ca="1">IF($Y$3="申万一级行业",[1]!s_info_industry_sw_2021(W357,公司分析!D$5,1),IF($Y$3="申万二级行业",[1]!s_info_industry_sw_2021(W357,公司分析!D$5,2),IF($Y$3="申万三级行业",[1]!s_info_industry_sw_2021(W357,公司分析!D$5,3),IF($Y$3="wind一级行业",[1]!s_info_industry_gics(W357,1),IF($Y$3="wind二级行业",[1]!s_info_industry_gics(W357,2),IF($Y$3="wind三级行业",[1]!s_info_industry_gics(W357,3),IF($Y$3="wind四级行业",[1]!s_info_industry_gics(W357,4),IF($Y$3="证监会门类行业",[1]!s_info_industry_csrc12_n(W357,公司分析!D$5,1),""))))))))</f>
        <v>家居用品</v>
      </c>
      <c r="Z357" s="302" t="str">
        <f ca="1">IF(Y357=行业比较!$E$6,ROW(),"")</f>
        <v/>
      </c>
      <c r="AA357" s="122"/>
      <c r="AB357" s="122"/>
      <c r="AC357" s="122"/>
      <c r="AD357" s="122"/>
      <c r="AE357" s="122"/>
      <c r="AF357" s="122"/>
      <c r="AG357" s="122"/>
      <c r="AH357" s="122"/>
      <c r="AI357" s="122"/>
      <c r="AJ357" s="122"/>
      <c r="AK357" s="122"/>
      <c r="AL357" s="122"/>
      <c r="AM357" s="122"/>
      <c r="AN357" s="122"/>
      <c r="AO357" s="122"/>
      <c r="AP357" s="122"/>
    </row>
    <row r="358" spans="2:42">
      <c r="B358" s="122"/>
      <c r="C358" s="122"/>
      <c r="D358" s="122"/>
      <c r="E358" s="122"/>
      <c r="F358" s="122"/>
      <c r="G358" s="122"/>
      <c r="H358" s="122"/>
      <c r="I358" s="275"/>
      <c r="J358" s="130"/>
      <c r="K358" s="130"/>
      <c r="L358" s="130"/>
      <c r="M358" s="130"/>
      <c r="N358" s="291"/>
      <c r="O358" s="291"/>
      <c r="P358" s="122"/>
      <c r="Q358" s="122"/>
      <c r="R358" s="122"/>
      <c r="S358" s="122"/>
      <c r="T358" s="122"/>
      <c r="U358" s="301"/>
      <c r="V358" s="260">
        <f t="shared" ca="1" si="13"/>
        <v>0</v>
      </c>
      <c r="W358" s="348" t="str">
        <f>IF(板块成分!B360="","",板块成分!B360)</f>
        <v>000911.SZ</v>
      </c>
      <c r="X358" s="276" t="str">
        <f>[1]!S_Info_Name(W358)</f>
        <v>广农糖业</v>
      </c>
      <c r="Y358" s="276" t="str">
        <f ca="1">IF($Y$3="申万一级行业",[1]!s_info_industry_sw_2021(W358,公司分析!D$5,1),IF($Y$3="申万二级行业",[1]!s_info_industry_sw_2021(W358,公司分析!D$5,2),IF($Y$3="申万三级行业",[1]!s_info_industry_sw_2021(W358,公司分析!D$5,3),IF($Y$3="wind一级行业",[1]!s_info_industry_gics(W358,1),IF($Y$3="wind二级行业",[1]!s_info_industry_gics(W358,2),IF($Y$3="wind三级行业",[1]!s_info_industry_gics(W358,3),IF($Y$3="wind四级行业",[1]!s_info_industry_gics(W358,4),IF($Y$3="证监会门类行业",[1]!s_info_industry_csrc12_n(W358,公司分析!D$5,1),""))))))))</f>
        <v>农产品加工</v>
      </c>
      <c r="Z358" s="302" t="str">
        <f ca="1">IF(Y358=行业比较!$E$6,ROW(),"")</f>
        <v/>
      </c>
      <c r="AA358" s="122"/>
      <c r="AB358" s="122"/>
      <c r="AC358" s="122"/>
      <c r="AD358" s="122"/>
      <c r="AE358" s="122"/>
      <c r="AF358" s="122"/>
      <c r="AG358" s="122"/>
      <c r="AH358" s="122"/>
      <c r="AI358" s="122"/>
      <c r="AJ358" s="122"/>
      <c r="AK358" s="122"/>
      <c r="AL358" s="122"/>
      <c r="AM358" s="122"/>
      <c r="AN358" s="122"/>
      <c r="AO358" s="122"/>
      <c r="AP358" s="122"/>
    </row>
    <row r="359" spans="2:42">
      <c r="B359" s="122"/>
      <c r="C359" s="122"/>
      <c r="D359" s="122"/>
      <c r="E359" s="122"/>
      <c r="F359" s="122"/>
      <c r="G359" s="122"/>
      <c r="H359" s="122"/>
      <c r="I359" s="275"/>
      <c r="J359" s="130"/>
      <c r="K359" s="130"/>
      <c r="L359" s="130"/>
      <c r="M359" s="130"/>
      <c r="N359" s="291"/>
      <c r="O359" s="291"/>
      <c r="P359" s="122"/>
      <c r="Q359" s="122"/>
      <c r="R359" s="122"/>
      <c r="S359" s="122"/>
      <c r="T359" s="122"/>
      <c r="U359" s="301"/>
      <c r="V359" s="260">
        <f t="shared" ca="1" si="13"/>
        <v>0</v>
      </c>
      <c r="W359" s="348" t="str">
        <f>IF(板块成分!B361="","",板块成分!B361)</f>
        <v>000912.SZ</v>
      </c>
      <c r="X359" s="276" t="str">
        <f>[1]!S_Info_Name(W359)</f>
        <v>泸天化</v>
      </c>
      <c r="Y359" s="276" t="str">
        <f ca="1">IF($Y$3="申万一级行业",[1]!s_info_industry_sw_2021(W359,公司分析!D$5,1),IF($Y$3="申万二级行业",[1]!s_info_industry_sw_2021(W359,公司分析!D$5,2),IF($Y$3="申万三级行业",[1]!s_info_industry_sw_2021(W359,公司分析!D$5,3),IF($Y$3="wind一级行业",[1]!s_info_industry_gics(W359,1),IF($Y$3="wind二级行业",[1]!s_info_industry_gics(W359,2),IF($Y$3="wind三级行业",[1]!s_info_industry_gics(W359,3),IF($Y$3="wind四级行业",[1]!s_info_industry_gics(W359,4),IF($Y$3="证监会门类行业",[1]!s_info_industry_csrc12_n(W359,公司分析!D$5,1),""))))))))</f>
        <v>农化制品</v>
      </c>
      <c r="Z359" s="302" t="str">
        <f ca="1">IF(Y359=行业比较!$E$6,ROW(),"")</f>
        <v/>
      </c>
      <c r="AA359" s="122"/>
      <c r="AB359" s="122"/>
      <c r="AC359" s="122"/>
      <c r="AD359" s="122"/>
      <c r="AE359" s="122"/>
      <c r="AF359" s="122"/>
      <c r="AG359" s="122"/>
      <c r="AH359" s="122"/>
      <c r="AI359" s="122"/>
      <c r="AJ359" s="122"/>
      <c r="AK359" s="122"/>
      <c r="AL359" s="122"/>
      <c r="AM359" s="122"/>
      <c r="AN359" s="122"/>
      <c r="AO359" s="122"/>
      <c r="AP359" s="122"/>
    </row>
    <row r="360" spans="2:42">
      <c r="B360" s="122"/>
      <c r="C360" s="122"/>
      <c r="D360" s="122"/>
      <c r="E360" s="122"/>
      <c r="F360" s="122"/>
      <c r="G360" s="122"/>
      <c r="H360" s="122"/>
      <c r="I360" s="275"/>
      <c r="J360" s="130"/>
      <c r="K360" s="130"/>
      <c r="L360" s="130"/>
      <c r="M360" s="130"/>
      <c r="N360" s="291"/>
      <c r="O360" s="291"/>
      <c r="P360" s="122"/>
      <c r="Q360" s="122"/>
      <c r="R360" s="122"/>
      <c r="S360" s="122"/>
      <c r="T360" s="122"/>
      <c r="U360" s="301"/>
      <c r="V360" s="260">
        <f t="shared" ca="1" si="13"/>
        <v>0</v>
      </c>
      <c r="W360" s="348" t="str">
        <f>IF(板块成分!B362="","",板块成分!B362)</f>
        <v>000913.SZ</v>
      </c>
      <c r="X360" s="276" t="str">
        <f>[1]!S_Info_Name(W360)</f>
        <v>钱江摩托</v>
      </c>
      <c r="Y360" s="276" t="str">
        <f ca="1">IF($Y$3="申万一级行业",[1]!s_info_industry_sw_2021(W360,公司分析!D$5,1),IF($Y$3="申万二级行业",[1]!s_info_industry_sw_2021(W360,公司分析!D$5,2),IF($Y$3="申万三级行业",[1]!s_info_industry_sw_2021(W360,公司分析!D$5,3),IF($Y$3="wind一级行业",[1]!s_info_industry_gics(W360,1),IF($Y$3="wind二级行业",[1]!s_info_industry_gics(W360,2),IF($Y$3="wind三级行业",[1]!s_info_industry_gics(W360,3),IF($Y$3="wind四级行业",[1]!s_info_industry_gics(W360,4),IF($Y$3="证监会门类行业",[1]!s_info_industry_csrc12_n(W360,公司分析!D$5,1),""))))))))</f>
        <v>摩托车及其他</v>
      </c>
      <c r="Z360" s="302" t="str">
        <f ca="1">IF(Y360=行业比较!$E$6,ROW(),"")</f>
        <v/>
      </c>
      <c r="AA360" s="122"/>
      <c r="AB360" s="122"/>
      <c r="AC360" s="122"/>
      <c r="AD360" s="122"/>
      <c r="AE360" s="122"/>
      <c r="AF360" s="122"/>
      <c r="AG360" s="122"/>
      <c r="AH360" s="122"/>
      <c r="AI360" s="122"/>
      <c r="AJ360" s="122"/>
      <c r="AK360" s="122"/>
      <c r="AL360" s="122"/>
      <c r="AM360" s="122"/>
      <c r="AN360" s="122"/>
      <c r="AO360" s="122"/>
      <c r="AP360" s="122"/>
    </row>
    <row r="361" spans="2:42">
      <c r="B361" s="122"/>
      <c r="C361" s="122"/>
      <c r="D361" s="122"/>
      <c r="E361" s="122"/>
      <c r="F361" s="122"/>
      <c r="G361" s="122"/>
      <c r="H361" s="122"/>
      <c r="I361" s="275"/>
      <c r="J361" s="130"/>
      <c r="K361" s="130"/>
      <c r="L361" s="130"/>
      <c r="M361" s="130"/>
      <c r="N361" s="291"/>
      <c r="O361" s="291"/>
      <c r="P361" s="122"/>
      <c r="Q361" s="122"/>
      <c r="R361" s="122"/>
      <c r="S361" s="122"/>
      <c r="T361" s="122"/>
      <c r="U361" s="301"/>
      <c r="V361" s="260">
        <f t="shared" ca="1" si="13"/>
        <v>0</v>
      </c>
      <c r="W361" s="348" t="str">
        <f>IF(板块成分!B363="","",板块成分!B363)</f>
        <v>000915.SZ</v>
      </c>
      <c r="X361" s="276" t="str">
        <f>[1]!S_Info_Name(W361)</f>
        <v>华特达因</v>
      </c>
      <c r="Y361" s="276" t="str">
        <f ca="1">IF($Y$3="申万一级行业",[1]!s_info_industry_sw_2021(W361,公司分析!D$5,1),IF($Y$3="申万二级行业",[1]!s_info_industry_sw_2021(W361,公司分析!D$5,2),IF($Y$3="申万三级行业",[1]!s_info_industry_sw_2021(W361,公司分析!D$5,3),IF($Y$3="wind一级行业",[1]!s_info_industry_gics(W361,1),IF($Y$3="wind二级行业",[1]!s_info_industry_gics(W361,2),IF($Y$3="wind三级行业",[1]!s_info_industry_gics(W361,3),IF($Y$3="wind四级行业",[1]!s_info_industry_gics(W361,4),IF($Y$3="证监会门类行业",[1]!s_info_industry_csrc12_n(W361,公司分析!D$5,1),""))))))))</f>
        <v>化学制药</v>
      </c>
      <c r="Z361" s="302" t="str">
        <f ca="1">IF(Y361=行业比较!$E$6,ROW(),"")</f>
        <v/>
      </c>
      <c r="AA361" s="122"/>
      <c r="AB361" s="122"/>
      <c r="AC361" s="122"/>
      <c r="AD361" s="122"/>
      <c r="AE361" s="122"/>
      <c r="AF361" s="122"/>
      <c r="AG361" s="122"/>
      <c r="AH361" s="122"/>
      <c r="AI361" s="122"/>
      <c r="AJ361" s="122"/>
      <c r="AK361" s="122"/>
      <c r="AL361" s="122"/>
      <c r="AM361" s="122"/>
      <c r="AN361" s="122"/>
      <c r="AO361" s="122"/>
      <c r="AP361" s="122"/>
    </row>
    <row r="362" spans="2:42">
      <c r="B362" s="122"/>
      <c r="C362" s="122"/>
      <c r="D362" s="122"/>
      <c r="E362" s="122"/>
      <c r="F362" s="122"/>
      <c r="G362" s="122"/>
      <c r="H362" s="122"/>
      <c r="I362" s="275"/>
      <c r="J362" s="130"/>
      <c r="K362" s="130"/>
      <c r="L362" s="130"/>
      <c r="M362" s="130"/>
      <c r="N362" s="291"/>
      <c r="O362" s="291"/>
      <c r="P362" s="122"/>
      <c r="Q362" s="122"/>
      <c r="R362" s="122"/>
      <c r="S362" s="122"/>
      <c r="T362" s="122"/>
      <c r="U362" s="301"/>
      <c r="V362" s="260">
        <f t="shared" ca="1" si="13"/>
        <v>0</v>
      </c>
      <c r="W362" s="348" t="str">
        <f>IF(板块成分!B364="","",板块成分!B364)</f>
        <v>000917.SZ</v>
      </c>
      <c r="X362" s="276" t="str">
        <f>[1]!S_Info_Name(W362)</f>
        <v>电广传媒</v>
      </c>
      <c r="Y362" s="276" t="str">
        <f ca="1">IF($Y$3="申万一级行业",[1]!s_info_industry_sw_2021(W362,公司分析!D$5,1),IF($Y$3="申万二级行业",[1]!s_info_industry_sw_2021(W362,公司分析!D$5,2),IF($Y$3="申万三级行业",[1]!s_info_industry_sw_2021(W362,公司分析!D$5,3),IF($Y$3="wind一级行业",[1]!s_info_industry_gics(W362,1),IF($Y$3="wind二级行业",[1]!s_info_industry_gics(W362,2),IF($Y$3="wind三级行业",[1]!s_info_industry_gics(W362,3),IF($Y$3="wind四级行业",[1]!s_info_industry_gics(W362,4),IF($Y$3="证监会门类行业",[1]!s_info_industry_csrc12_n(W362,公司分析!D$5,1),""))))))))</f>
        <v>电视广播Ⅱ</v>
      </c>
      <c r="Z362" s="302" t="str">
        <f ca="1">IF(Y362=行业比较!$E$6,ROW(),"")</f>
        <v/>
      </c>
      <c r="AA362" s="122"/>
      <c r="AB362" s="122"/>
      <c r="AC362" s="122"/>
      <c r="AD362" s="122"/>
      <c r="AE362" s="122"/>
      <c r="AF362" s="122"/>
      <c r="AG362" s="122"/>
      <c r="AH362" s="122"/>
      <c r="AI362" s="122"/>
      <c r="AJ362" s="122"/>
      <c r="AK362" s="122"/>
      <c r="AL362" s="122"/>
      <c r="AM362" s="122"/>
      <c r="AN362" s="122"/>
      <c r="AO362" s="122"/>
      <c r="AP362" s="122"/>
    </row>
    <row r="363" spans="2:42">
      <c r="B363" s="122"/>
      <c r="C363" s="122"/>
      <c r="D363" s="122"/>
      <c r="E363" s="122"/>
      <c r="F363" s="122"/>
      <c r="G363" s="122"/>
      <c r="H363" s="122"/>
      <c r="I363" s="275"/>
      <c r="J363" s="130"/>
      <c r="K363" s="130"/>
      <c r="L363" s="130"/>
      <c r="M363" s="130"/>
      <c r="N363" s="291"/>
      <c r="O363" s="291"/>
      <c r="P363" s="122"/>
      <c r="Q363" s="122"/>
      <c r="R363" s="122"/>
      <c r="S363" s="122"/>
      <c r="T363" s="122"/>
      <c r="U363" s="301"/>
      <c r="V363" s="260">
        <f t="shared" ca="1" si="13"/>
        <v>0</v>
      </c>
      <c r="W363" s="348" t="str">
        <f>IF(板块成分!B365="","",板块成分!B365)</f>
        <v>000919.SZ</v>
      </c>
      <c r="X363" s="276" t="str">
        <f>[1]!S_Info_Name(W363)</f>
        <v>金陵药业</v>
      </c>
      <c r="Y363" s="276" t="str">
        <f ca="1">IF($Y$3="申万一级行业",[1]!s_info_industry_sw_2021(W363,公司分析!D$5,1),IF($Y$3="申万二级行业",[1]!s_info_industry_sw_2021(W363,公司分析!D$5,2),IF($Y$3="申万三级行业",[1]!s_info_industry_sw_2021(W363,公司分析!D$5,3),IF($Y$3="wind一级行业",[1]!s_info_industry_gics(W363,1),IF($Y$3="wind二级行业",[1]!s_info_industry_gics(W363,2),IF($Y$3="wind三级行业",[1]!s_info_industry_gics(W363,3),IF($Y$3="wind四级行业",[1]!s_info_industry_gics(W363,4),IF($Y$3="证监会门类行业",[1]!s_info_industry_csrc12_n(W363,公司分析!D$5,1),""))))))))</f>
        <v>化学制药</v>
      </c>
      <c r="Z363" s="302" t="str">
        <f ca="1">IF(Y363=行业比较!$E$6,ROW(),"")</f>
        <v/>
      </c>
      <c r="AA363" s="122"/>
      <c r="AB363" s="122"/>
      <c r="AC363" s="122"/>
      <c r="AD363" s="122"/>
      <c r="AE363" s="122"/>
      <c r="AF363" s="122"/>
      <c r="AG363" s="122"/>
      <c r="AH363" s="122"/>
      <c r="AI363" s="122"/>
      <c r="AJ363" s="122"/>
      <c r="AK363" s="122"/>
      <c r="AL363" s="122"/>
      <c r="AM363" s="122"/>
      <c r="AN363" s="122"/>
      <c r="AO363" s="122"/>
      <c r="AP363" s="122"/>
    </row>
    <row r="364" spans="2:42">
      <c r="B364" s="122"/>
      <c r="C364" s="122"/>
      <c r="D364" s="122"/>
      <c r="E364" s="122"/>
      <c r="F364" s="122"/>
      <c r="G364" s="122"/>
      <c r="H364" s="122"/>
      <c r="I364" s="275"/>
      <c r="J364" s="130"/>
      <c r="K364" s="130"/>
      <c r="L364" s="130"/>
      <c r="M364" s="130"/>
      <c r="N364" s="291"/>
      <c r="O364" s="291"/>
      <c r="P364" s="122"/>
      <c r="Q364" s="122"/>
      <c r="R364" s="122"/>
      <c r="S364" s="122"/>
      <c r="T364" s="122"/>
      <c r="U364" s="301"/>
      <c r="V364" s="260">
        <f t="shared" ca="1" si="13"/>
        <v>0</v>
      </c>
      <c r="W364" s="348" t="str">
        <f>IF(板块成分!B366="","",板块成分!B366)</f>
        <v>000920.SZ</v>
      </c>
      <c r="X364" s="276" t="str">
        <f>[1]!S_Info_Name(W364)</f>
        <v>沃顿科技</v>
      </c>
      <c r="Y364" s="276" t="str">
        <f ca="1">IF($Y$3="申万一级行业",[1]!s_info_industry_sw_2021(W364,公司分析!D$5,1),IF($Y$3="申万二级行业",[1]!s_info_industry_sw_2021(W364,公司分析!D$5,2),IF($Y$3="申万三级行业",[1]!s_info_industry_sw_2021(W364,公司分析!D$5,3),IF($Y$3="wind一级行业",[1]!s_info_industry_gics(W364,1),IF($Y$3="wind二级行业",[1]!s_info_industry_gics(W364,2),IF($Y$3="wind三级行业",[1]!s_info_industry_gics(W364,3),IF($Y$3="wind四级行业",[1]!s_info_industry_gics(W364,4),IF($Y$3="证监会门类行业",[1]!s_info_industry_csrc12_n(W364,公司分析!D$5,1),""))))))))</f>
        <v>塑料</v>
      </c>
      <c r="Z364" s="302" t="str">
        <f ca="1">IF(Y364=行业比较!$E$6,ROW(),"")</f>
        <v/>
      </c>
      <c r="AA364" s="122"/>
      <c r="AB364" s="122"/>
      <c r="AC364" s="122"/>
      <c r="AD364" s="122"/>
      <c r="AE364" s="122"/>
      <c r="AF364" s="122"/>
      <c r="AG364" s="122"/>
      <c r="AH364" s="122"/>
      <c r="AI364" s="122"/>
      <c r="AJ364" s="122"/>
      <c r="AK364" s="122"/>
      <c r="AL364" s="122"/>
      <c r="AM364" s="122"/>
      <c r="AN364" s="122"/>
      <c r="AO364" s="122"/>
      <c r="AP364" s="122"/>
    </row>
    <row r="365" spans="2:42">
      <c r="B365" s="122"/>
      <c r="C365" s="122"/>
      <c r="D365" s="122"/>
      <c r="E365" s="122"/>
      <c r="F365" s="122"/>
      <c r="G365" s="122"/>
      <c r="H365" s="122"/>
      <c r="I365" s="275"/>
      <c r="J365" s="130"/>
      <c r="K365" s="130"/>
      <c r="L365" s="130"/>
      <c r="M365" s="130"/>
      <c r="N365" s="291"/>
      <c r="O365" s="291"/>
      <c r="P365" s="122"/>
      <c r="Q365" s="122"/>
      <c r="R365" s="122"/>
      <c r="S365" s="122"/>
      <c r="T365" s="122"/>
      <c r="U365" s="301"/>
      <c r="V365" s="260">
        <f t="shared" ca="1" si="13"/>
        <v>0</v>
      </c>
      <c r="W365" s="348" t="str">
        <f>IF(板块成分!B367="","",板块成分!B367)</f>
        <v>000921.SZ</v>
      </c>
      <c r="X365" s="276" t="str">
        <f>[1]!S_Info_Name(W365)</f>
        <v>海信家电</v>
      </c>
      <c r="Y365" s="276" t="str">
        <f ca="1">IF($Y$3="申万一级行业",[1]!s_info_industry_sw_2021(W365,公司分析!D$5,1),IF($Y$3="申万二级行业",[1]!s_info_industry_sw_2021(W365,公司分析!D$5,2),IF($Y$3="申万三级行业",[1]!s_info_industry_sw_2021(W365,公司分析!D$5,3),IF($Y$3="wind一级行业",[1]!s_info_industry_gics(W365,1),IF($Y$3="wind二级行业",[1]!s_info_industry_gics(W365,2),IF($Y$3="wind三级行业",[1]!s_info_industry_gics(W365,3),IF($Y$3="wind四级行业",[1]!s_info_industry_gics(W365,4),IF($Y$3="证监会门类行业",[1]!s_info_industry_csrc12_n(W365,公司分析!D$5,1),""))))))))</f>
        <v>白色家电</v>
      </c>
      <c r="Z365" s="302" t="str">
        <f ca="1">IF(Y365=行业比较!$E$6,ROW(),"")</f>
        <v/>
      </c>
      <c r="AA365" s="122"/>
      <c r="AB365" s="122"/>
      <c r="AC365" s="122"/>
      <c r="AD365" s="122"/>
      <c r="AE365" s="122"/>
      <c r="AF365" s="122"/>
      <c r="AG365" s="122"/>
      <c r="AH365" s="122"/>
      <c r="AI365" s="122"/>
      <c r="AJ365" s="122"/>
      <c r="AK365" s="122"/>
      <c r="AL365" s="122"/>
      <c r="AM365" s="122"/>
      <c r="AN365" s="122"/>
      <c r="AO365" s="122"/>
      <c r="AP365" s="122"/>
    </row>
    <row r="366" spans="2:42">
      <c r="B366" s="122"/>
      <c r="C366" s="122"/>
      <c r="D366" s="122"/>
      <c r="E366" s="122"/>
      <c r="F366" s="122"/>
      <c r="G366" s="122"/>
      <c r="H366" s="122"/>
      <c r="I366" s="275"/>
      <c r="J366" s="130"/>
      <c r="K366" s="130"/>
      <c r="L366" s="130"/>
      <c r="M366" s="130"/>
      <c r="N366" s="291"/>
      <c r="O366" s="291"/>
      <c r="P366" s="122"/>
      <c r="Q366" s="122"/>
      <c r="R366" s="122"/>
      <c r="S366" s="122"/>
      <c r="T366" s="122"/>
      <c r="U366" s="301"/>
      <c r="V366" s="260">
        <f t="shared" ca="1" si="13"/>
        <v>0</v>
      </c>
      <c r="W366" s="348" t="str">
        <f>IF(板块成分!B368="","",板块成分!B368)</f>
        <v>000922.SZ</v>
      </c>
      <c r="X366" s="276" t="str">
        <f>[1]!S_Info_Name(W366)</f>
        <v>佳电股份</v>
      </c>
      <c r="Y366" s="276" t="str">
        <f ca="1">IF($Y$3="申万一级行业",[1]!s_info_industry_sw_2021(W366,公司分析!D$5,1),IF($Y$3="申万二级行业",[1]!s_info_industry_sw_2021(W366,公司分析!D$5,2),IF($Y$3="申万三级行业",[1]!s_info_industry_sw_2021(W366,公司分析!D$5,3),IF($Y$3="wind一级行业",[1]!s_info_industry_gics(W366,1),IF($Y$3="wind二级行业",[1]!s_info_industry_gics(W366,2),IF($Y$3="wind三级行业",[1]!s_info_industry_gics(W366,3),IF($Y$3="wind四级行业",[1]!s_info_industry_gics(W366,4),IF($Y$3="证监会门类行业",[1]!s_info_industry_csrc12_n(W366,公司分析!D$5,1),""))))))))</f>
        <v>电机Ⅱ</v>
      </c>
      <c r="Z366" s="302" t="str">
        <f ca="1">IF(Y366=行业比较!$E$6,ROW(),"")</f>
        <v/>
      </c>
      <c r="AA366" s="122"/>
      <c r="AB366" s="122"/>
      <c r="AC366" s="122"/>
      <c r="AD366" s="122"/>
      <c r="AE366" s="122"/>
      <c r="AF366" s="122"/>
      <c r="AG366" s="122"/>
      <c r="AH366" s="122"/>
      <c r="AI366" s="122"/>
      <c r="AJ366" s="122"/>
      <c r="AK366" s="122"/>
      <c r="AL366" s="122"/>
      <c r="AM366" s="122"/>
      <c r="AN366" s="122"/>
      <c r="AO366" s="122"/>
      <c r="AP366" s="122"/>
    </row>
    <row r="367" spans="2:42">
      <c r="B367" s="122"/>
      <c r="C367" s="122"/>
      <c r="D367" s="122"/>
      <c r="E367" s="122"/>
      <c r="F367" s="122"/>
      <c r="G367" s="122"/>
      <c r="H367" s="122"/>
      <c r="I367" s="275"/>
      <c r="J367" s="130"/>
      <c r="K367" s="130"/>
      <c r="L367" s="130"/>
      <c r="M367" s="130"/>
      <c r="N367" s="291"/>
      <c r="O367" s="291"/>
      <c r="P367" s="122"/>
      <c r="Q367" s="122"/>
      <c r="R367" s="122"/>
      <c r="S367" s="122"/>
      <c r="T367" s="122"/>
      <c r="U367" s="301"/>
      <c r="V367" s="260">
        <f t="shared" ca="1" si="13"/>
        <v>0</v>
      </c>
      <c r="W367" s="348" t="str">
        <f>IF(板块成分!B369="","",板块成分!B369)</f>
        <v>000923.SZ</v>
      </c>
      <c r="X367" s="276" t="str">
        <f>[1]!S_Info_Name(W367)</f>
        <v>河钢资源</v>
      </c>
      <c r="Y367" s="276" t="str">
        <f ca="1">IF($Y$3="申万一级行业",[1]!s_info_industry_sw_2021(W367,公司分析!D$5,1),IF($Y$3="申万二级行业",[1]!s_info_industry_sw_2021(W367,公司分析!D$5,2),IF($Y$3="申万三级行业",[1]!s_info_industry_sw_2021(W367,公司分析!D$5,3),IF($Y$3="wind一级行业",[1]!s_info_industry_gics(W367,1),IF($Y$3="wind二级行业",[1]!s_info_industry_gics(W367,2),IF($Y$3="wind三级行业",[1]!s_info_industry_gics(W367,3),IF($Y$3="wind四级行业",[1]!s_info_industry_gics(W367,4),IF($Y$3="证监会门类行业",[1]!s_info_industry_csrc12_n(W367,公司分析!D$5,1),""))))))))</f>
        <v>冶钢原料</v>
      </c>
      <c r="Z367" s="302" t="str">
        <f ca="1">IF(Y367=行业比较!$E$6,ROW(),"")</f>
        <v/>
      </c>
      <c r="AA367" s="122"/>
      <c r="AB367" s="122"/>
      <c r="AC367" s="122"/>
      <c r="AD367" s="122"/>
      <c r="AE367" s="122"/>
      <c r="AF367" s="122"/>
      <c r="AG367" s="122"/>
      <c r="AH367" s="122"/>
      <c r="AI367" s="122"/>
      <c r="AJ367" s="122"/>
      <c r="AK367" s="122"/>
      <c r="AL367" s="122"/>
      <c r="AM367" s="122"/>
      <c r="AN367" s="122"/>
      <c r="AO367" s="122"/>
      <c r="AP367" s="122"/>
    </row>
    <row r="368" spans="2:42">
      <c r="B368" s="122"/>
      <c r="C368" s="122"/>
      <c r="D368" s="122"/>
      <c r="E368" s="122"/>
      <c r="F368" s="122"/>
      <c r="G368" s="122"/>
      <c r="H368" s="122"/>
      <c r="I368" s="275"/>
      <c r="J368" s="130"/>
      <c r="K368" s="130"/>
      <c r="L368" s="130"/>
      <c r="M368" s="130"/>
      <c r="N368" s="291"/>
      <c r="O368" s="291"/>
      <c r="P368" s="122"/>
      <c r="Q368" s="122"/>
      <c r="R368" s="122"/>
      <c r="S368" s="122"/>
      <c r="T368" s="122"/>
      <c r="U368" s="301"/>
      <c r="V368" s="260">
        <f t="shared" ca="1" si="13"/>
        <v>0</v>
      </c>
      <c r="W368" s="348" t="str">
        <f>IF(板块成分!B370="","",板块成分!B370)</f>
        <v>000925.SZ</v>
      </c>
      <c r="X368" s="276" t="str">
        <f>[1]!S_Info_Name(W368)</f>
        <v>众合科技</v>
      </c>
      <c r="Y368" s="276" t="str">
        <f ca="1">IF($Y$3="申万一级行业",[1]!s_info_industry_sw_2021(W368,公司分析!D$5,1),IF($Y$3="申万二级行业",[1]!s_info_industry_sw_2021(W368,公司分析!D$5,2),IF($Y$3="申万三级行业",[1]!s_info_industry_sw_2021(W368,公司分析!D$5,3),IF($Y$3="wind一级行业",[1]!s_info_industry_gics(W368,1),IF($Y$3="wind二级行业",[1]!s_info_industry_gics(W368,2),IF($Y$3="wind三级行业",[1]!s_info_industry_gics(W368,3),IF($Y$3="wind四级行业",[1]!s_info_industry_gics(W368,4),IF($Y$3="证监会门类行业",[1]!s_info_industry_csrc12_n(W368,公司分析!D$5,1),""))))))))</f>
        <v>轨交设备Ⅱ</v>
      </c>
      <c r="Z368" s="302" t="str">
        <f ca="1">IF(Y368=行业比较!$E$6,ROW(),"")</f>
        <v/>
      </c>
      <c r="AA368" s="122"/>
      <c r="AB368" s="122"/>
      <c r="AC368" s="122"/>
      <c r="AD368" s="122"/>
      <c r="AE368" s="122"/>
      <c r="AF368" s="122"/>
      <c r="AG368" s="122"/>
      <c r="AH368" s="122"/>
      <c r="AI368" s="122"/>
      <c r="AJ368" s="122"/>
      <c r="AK368" s="122"/>
      <c r="AL368" s="122"/>
      <c r="AM368" s="122"/>
      <c r="AN368" s="122"/>
      <c r="AO368" s="122"/>
      <c r="AP368" s="122"/>
    </row>
    <row r="369" spans="2:42">
      <c r="B369" s="122"/>
      <c r="C369" s="122"/>
      <c r="D369" s="122"/>
      <c r="E369" s="122"/>
      <c r="F369" s="122"/>
      <c r="G369" s="122"/>
      <c r="H369" s="122"/>
      <c r="I369" s="275"/>
      <c r="J369" s="130"/>
      <c r="K369" s="130"/>
      <c r="L369" s="130"/>
      <c r="M369" s="130"/>
      <c r="N369" s="291"/>
      <c r="O369" s="291"/>
      <c r="P369" s="122"/>
      <c r="Q369" s="122"/>
      <c r="R369" s="122"/>
      <c r="S369" s="122"/>
      <c r="T369" s="122"/>
      <c r="U369" s="301"/>
      <c r="V369" s="260">
        <f t="shared" ca="1" si="13"/>
        <v>0</v>
      </c>
      <c r="W369" s="348" t="str">
        <f>IF(板块成分!B371="","",板块成分!B371)</f>
        <v>000926.SZ</v>
      </c>
      <c r="X369" s="276" t="str">
        <f>[1]!S_Info_Name(W369)</f>
        <v>福星股份</v>
      </c>
      <c r="Y369" s="276" t="str">
        <f ca="1">IF($Y$3="申万一级行业",[1]!s_info_industry_sw_2021(W369,公司分析!D$5,1),IF($Y$3="申万二级行业",[1]!s_info_industry_sw_2021(W369,公司分析!D$5,2),IF($Y$3="申万三级行业",[1]!s_info_industry_sw_2021(W369,公司分析!D$5,3),IF($Y$3="wind一级行业",[1]!s_info_industry_gics(W369,1),IF($Y$3="wind二级行业",[1]!s_info_industry_gics(W369,2),IF($Y$3="wind三级行业",[1]!s_info_industry_gics(W369,3),IF($Y$3="wind四级行业",[1]!s_info_industry_gics(W369,4),IF($Y$3="证监会门类行业",[1]!s_info_industry_csrc12_n(W369,公司分析!D$5,1),""))))))))</f>
        <v>房地产开发</v>
      </c>
      <c r="Z369" s="302" t="str">
        <f ca="1">IF(Y369=行业比较!$E$6,ROW(),"")</f>
        <v/>
      </c>
      <c r="AA369" s="122"/>
      <c r="AB369" s="122"/>
      <c r="AC369" s="122"/>
      <c r="AD369" s="122"/>
      <c r="AE369" s="122"/>
      <c r="AF369" s="122"/>
      <c r="AG369" s="122"/>
      <c r="AH369" s="122"/>
      <c r="AI369" s="122"/>
      <c r="AJ369" s="122"/>
      <c r="AK369" s="122"/>
      <c r="AL369" s="122"/>
      <c r="AM369" s="122"/>
      <c r="AN369" s="122"/>
      <c r="AO369" s="122"/>
      <c r="AP369" s="122"/>
    </row>
    <row r="370" spans="2:42">
      <c r="B370" s="122"/>
      <c r="C370" s="122"/>
      <c r="D370" s="122"/>
      <c r="E370" s="122"/>
      <c r="F370" s="122"/>
      <c r="G370" s="122"/>
      <c r="H370" s="122"/>
      <c r="I370" s="275"/>
      <c r="J370" s="130"/>
      <c r="K370" s="130"/>
      <c r="L370" s="130"/>
      <c r="M370" s="130"/>
      <c r="N370" s="291"/>
      <c r="O370" s="291"/>
      <c r="P370" s="122"/>
      <c r="Q370" s="122"/>
      <c r="R370" s="122"/>
      <c r="S370" s="122"/>
      <c r="T370" s="122"/>
      <c r="U370" s="301"/>
      <c r="V370" s="260">
        <f t="shared" ca="1" si="13"/>
        <v>0</v>
      </c>
      <c r="W370" s="348" t="str">
        <f>IF(板块成分!B372="","",板块成分!B372)</f>
        <v>000927.SZ</v>
      </c>
      <c r="X370" s="276" t="str">
        <f>[1]!S_Info_Name(W370)</f>
        <v>中国铁物</v>
      </c>
      <c r="Y370" s="276" t="str">
        <f ca="1">IF($Y$3="申万一级行业",[1]!s_info_industry_sw_2021(W370,公司分析!D$5,1),IF($Y$3="申万二级行业",[1]!s_info_industry_sw_2021(W370,公司分析!D$5,2),IF($Y$3="申万三级行业",[1]!s_info_industry_sw_2021(W370,公司分析!D$5,3),IF($Y$3="wind一级行业",[1]!s_info_industry_gics(W370,1),IF($Y$3="wind二级行业",[1]!s_info_industry_gics(W370,2),IF($Y$3="wind三级行业",[1]!s_info_industry_gics(W370,3),IF($Y$3="wind四级行业",[1]!s_info_industry_gics(W370,4),IF($Y$3="证监会门类行业",[1]!s_info_industry_csrc12_n(W370,公司分析!D$5,1),""))))))))</f>
        <v>轨交设备Ⅱ</v>
      </c>
      <c r="Z370" s="302" t="str">
        <f ca="1">IF(Y370=行业比较!$E$6,ROW(),"")</f>
        <v/>
      </c>
      <c r="AA370" s="122"/>
      <c r="AB370" s="122"/>
      <c r="AC370" s="122"/>
      <c r="AD370" s="122"/>
      <c r="AE370" s="122"/>
      <c r="AF370" s="122"/>
      <c r="AG370" s="122"/>
      <c r="AH370" s="122"/>
      <c r="AI370" s="122"/>
      <c r="AJ370" s="122"/>
      <c r="AK370" s="122"/>
      <c r="AL370" s="122"/>
      <c r="AM370" s="122"/>
      <c r="AN370" s="122"/>
      <c r="AO370" s="122"/>
      <c r="AP370" s="122"/>
    </row>
    <row r="371" spans="2:42">
      <c r="B371" s="122"/>
      <c r="C371" s="122"/>
      <c r="D371" s="122"/>
      <c r="E371" s="122"/>
      <c r="F371" s="122"/>
      <c r="G371" s="122"/>
      <c r="H371" s="122"/>
      <c r="I371" s="275"/>
      <c r="J371" s="130"/>
      <c r="K371" s="130"/>
      <c r="L371" s="130"/>
      <c r="M371" s="130"/>
      <c r="N371" s="291"/>
      <c r="O371" s="291"/>
      <c r="P371" s="122"/>
      <c r="Q371" s="122"/>
      <c r="R371" s="122"/>
      <c r="S371" s="122"/>
      <c r="T371" s="122"/>
      <c r="U371" s="301"/>
      <c r="V371" s="260">
        <f t="shared" ca="1" si="13"/>
        <v>0</v>
      </c>
      <c r="W371" s="348" t="str">
        <f>IF(板块成分!B373="","",板块成分!B373)</f>
        <v>000928.SZ</v>
      </c>
      <c r="X371" s="276" t="str">
        <f>[1]!S_Info_Name(W371)</f>
        <v>中钢国际</v>
      </c>
      <c r="Y371" s="276" t="str">
        <f ca="1">IF($Y$3="申万一级行业",[1]!s_info_industry_sw_2021(W371,公司分析!D$5,1),IF($Y$3="申万二级行业",[1]!s_info_industry_sw_2021(W371,公司分析!D$5,2),IF($Y$3="申万三级行业",[1]!s_info_industry_sw_2021(W371,公司分析!D$5,3),IF($Y$3="wind一级行业",[1]!s_info_industry_gics(W371,1),IF($Y$3="wind二级行业",[1]!s_info_industry_gics(W371,2),IF($Y$3="wind三级行业",[1]!s_info_industry_gics(W371,3),IF($Y$3="wind四级行业",[1]!s_info_industry_gics(W371,4),IF($Y$3="证监会门类行业",[1]!s_info_industry_csrc12_n(W371,公司分析!D$5,1),""))))))))</f>
        <v>专业工程</v>
      </c>
      <c r="Z371" s="302" t="str">
        <f ca="1">IF(Y371=行业比较!$E$6,ROW(),"")</f>
        <v/>
      </c>
      <c r="AA371" s="122"/>
      <c r="AB371" s="122"/>
      <c r="AC371" s="122"/>
      <c r="AD371" s="122"/>
      <c r="AE371" s="122"/>
      <c r="AF371" s="122"/>
      <c r="AG371" s="122"/>
      <c r="AH371" s="122"/>
      <c r="AI371" s="122"/>
      <c r="AJ371" s="122"/>
      <c r="AK371" s="122"/>
      <c r="AL371" s="122"/>
      <c r="AM371" s="122"/>
      <c r="AN371" s="122"/>
      <c r="AO371" s="122"/>
      <c r="AP371" s="122"/>
    </row>
    <row r="372" spans="2:42">
      <c r="B372" s="122"/>
      <c r="C372" s="122"/>
      <c r="D372" s="122"/>
      <c r="E372" s="122"/>
      <c r="F372" s="122"/>
      <c r="G372" s="122"/>
      <c r="H372" s="122"/>
      <c r="I372" s="275"/>
      <c r="J372" s="130"/>
      <c r="K372" s="130"/>
      <c r="L372" s="130"/>
      <c r="M372" s="130"/>
      <c r="N372" s="291"/>
      <c r="O372" s="291"/>
      <c r="P372" s="122"/>
      <c r="Q372" s="122"/>
      <c r="R372" s="122"/>
      <c r="S372" s="122"/>
      <c r="T372" s="122"/>
      <c r="U372" s="301"/>
      <c r="V372" s="260">
        <f t="shared" ca="1" si="13"/>
        <v>0</v>
      </c>
      <c r="W372" s="348" t="str">
        <f>IF(板块成分!B374="","",板块成分!B374)</f>
        <v>000929.SZ</v>
      </c>
      <c r="X372" s="276" t="str">
        <f>[1]!S_Info_Name(W372)</f>
        <v>*ST兰黄</v>
      </c>
      <c r="Y372" s="276" t="str">
        <f ca="1">IF($Y$3="申万一级行业",[1]!s_info_industry_sw_2021(W372,公司分析!D$5,1),IF($Y$3="申万二级行业",[1]!s_info_industry_sw_2021(W372,公司分析!D$5,2),IF($Y$3="申万三级行业",[1]!s_info_industry_sw_2021(W372,公司分析!D$5,3),IF($Y$3="wind一级行业",[1]!s_info_industry_gics(W372,1),IF($Y$3="wind二级行业",[1]!s_info_industry_gics(W372,2),IF($Y$3="wind三级行业",[1]!s_info_industry_gics(W372,3),IF($Y$3="wind四级行业",[1]!s_info_industry_gics(W372,4),IF($Y$3="证监会门类行业",[1]!s_info_industry_csrc12_n(W372,公司分析!D$5,1),""))))))))</f>
        <v>非白酒</v>
      </c>
      <c r="Z372" s="302" t="str">
        <f ca="1">IF(Y372=行业比较!$E$6,ROW(),"")</f>
        <v/>
      </c>
      <c r="AA372" s="122"/>
      <c r="AB372" s="122"/>
      <c r="AC372" s="122"/>
      <c r="AD372" s="122"/>
      <c r="AE372" s="122"/>
      <c r="AF372" s="122"/>
      <c r="AG372" s="122"/>
      <c r="AH372" s="122"/>
      <c r="AI372" s="122"/>
      <c r="AJ372" s="122"/>
      <c r="AK372" s="122"/>
      <c r="AL372" s="122"/>
      <c r="AM372" s="122"/>
      <c r="AN372" s="122"/>
      <c r="AO372" s="122"/>
      <c r="AP372" s="122"/>
    </row>
    <row r="373" spans="2:42">
      <c r="B373" s="122"/>
      <c r="C373" s="122"/>
      <c r="D373" s="122"/>
      <c r="E373" s="122"/>
      <c r="F373" s="122"/>
      <c r="G373" s="122"/>
      <c r="H373" s="122"/>
      <c r="I373" s="275"/>
      <c r="J373" s="130"/>
      <c r="K373" s="130"/>
      <c r="L373" s="130"/>
      <c r="M373" s="130"/>
      <c r="N373" s="291"/>
      <c r="O373" s="291"/>
      <c r="P373" s="122"/>
      <c r="Q373" s="122"/>
      <c r="R373" s="122"/>
      <c r="S373" s="122"/>
      <c r="T373" s="122"/>
      <c r="U373" s="301"/>
      <c r="V373" s="260">
        <f t="shared" ca="1" si="13"/>
        <v>0</v>
      </c>
      <c r="W373" s="348" t="str">
        <f>IF(板块成分!B375="","",板块成分!B375)</f>
        <v>000930.SZ</v>
      </c>
      <c r="X373" s="276" t="str">
        <f>[1]!S_Info_Name(W373)</f>
        <v>中粮科技</v>
      </c>
      <c r="Y373" s="276" t="str">
        <f ca="1">IF($Y$3="申万一级行业",[1]!s_info_industry_sw_2021(W373,公司分析!D$5,1),IF($Y$3="申万二级行业",[1]!s_info_industry_sw_2021(W373,公司分析!D$5,2),IF($Y$3="申万三级行业",[1]!s_info_industry_sw_2021(W373,公司分析!D$5,3),IF($Y$3="wind一级行业",[1]!s_info_industry_gics(W373,1),IF($Y$3="wind二级行业",[1]!s_info_industry_gics(W373,2),IF($Y$3="wind三级行业",[1]!s_info_industry_gics(W373,3),IF($Y$3="wind四级行业",[1]!s_info_industry_gics(W373,4),IF($Y$3="证监会门类行业",[1]!s_info_industry_csrc12_n(W373,公司分析!D$5,1),""))))))))</f>
        <v>农产品加工</v>
      </c>
      <c r="Z373" s="302" t="str">
        <f ca="1">IF(Y373=行业比较!$E$6,ROW(),"")</f>
        <v/>
      </c>
      <c r="AA373" s="122"/>
      <c r="AB373" s="122"/>
      <c r="AC373" s="122"/>
      <c r="AD373" s="122"/>
      <c r="AE373" s="122"/>
      <c r="AF373" s="122"/>
      <c r="AG373" s="122"/>
      <c r="AH373" s="122"/>
      <c r="AI373" s="122"/>
      <c r="AJ373" s="122"/>
      <c r="AK373" s="122"/>
      <c r="AL373" s="122"/>
      <c r="AM373" s="122"/>
      <c r="AN373" s="122"/>
      <c r="AO373" s="122"/>
      <c r="AP373" s="122"/>
    </row>
    <row r="374" spans="2:42">
      <c r="B374" s="122"/>
      <c r="C374" s="122"/>
      <c r="D374" s="122"/>
      <c r="E374" s="122"/>
      <c r="F374" s="122"/>
      <c r="G374" s="122"/>
      <c r="H374" s="122"/>
      <c r="I374" s="275"/>
      <c r="J374" s="130"/>
      <c r="K374" s="130"/>
      <c r="L374" s="130"/>
      <c r="M374" s="130"/>
      <c r="N374" s="291"/>
      <c r="O374" s="291"/>
      <c r="P374" s="122"/>
      <c r="Q374" s="122"/>
      <c r="R374" s="122"/>
      <c r="S374" s="122"/>
      <c r="T374" s="122"/>
      <c r="U374" s="301"/>
      <c r="V374" s="260">
        <f t="shared" ca="1" si="13"/>
        <v>0</v>
      </c>
      <c r="W374" s="348" t="str">
        <f>IF(板块成分!B376="","",板块成分!B376)</f>
        <v>000931.SZ</v>
      </c>
      <c r="X374" s="276" t="str">
        <f>[1]!S_Info_Name(W374)</f>
        <v>中关村</v>
      </c>
      <c r="Y374" s="276" t="str">
        <f ca="1">IF($Y$3="申万一级行业",[1]!s_info_industry_sw_2021(W374,公司分析!D$5,1),IF($Y$3="申万二级行业",[1]!s_info_industry_sw_2021(W374,公司分析!D$5,2),IF($Y$3="申万三级行业",[1]!s_info_industry_sw_2021(W374,公司分析!D$5,3),IF($Y$3="wind一级行业",[1]!s_info_industry_gics(W374,1),IF($Y$3="wind二级行业",[1]!s_info_industry_gics(W374,2),IF($Y$3="wind三级行业",[1]!s_info_industry_gics(W374,3),IF($Y$3="wind四级行业",[1]!s_info_industry_gics(W374,4),IF($Y$3="证监会门类行业",[1]!s_info_industry_csrc12_n(W374,公司分析!D$5,1),""))))))))</f>
        <v>化学制药</v>
      </c>
      <c r="Z374" s="302" t="str">
        <f ca="1">IF(Y374=行业比较!$E$6,ROW(),"")</f>
        <v/>
      </c>
      <c r="AA374" s="122"/>
      <c r="AB374" s="122"/>
      <c r="AC374" s="122"/>
      <c r="AD374" s="122"/>
      <c r="AE374" s="122"/>
      <c r="AF374" s="122"/>
      <c r="AG374" s="122"/>
      <c r="AH374" s="122"/>
      <c r="AI374" s="122"/>
      <c r="AJ374" s="122"/>
      <c r="AK374" s="122"/>
      <c r="AL374" s="122"/>
      <c r="AM374" s="122"/>
      <c r="AN374" s="122"/>
      <c r="AO374" s="122"/>
      <c r="AP374" s="122"/>
    </row>
    <row r="375" spans="2:42">
      <c r="B375" s="122"/>
      <c r="C375" s="122"/>
      <c r="D375" s="122"/>
      <c r="E375" s="122"/>
      <c r="F375" s="122"/>
      <c r="G375" s="122"/>
      <c r="H375" s="122"/>
      <c r="I375" s="275"/>
      <c r="J375" s="130"/>
      <c r="K375" s="130"/>
      <c r="L375" s="130"/>
      <c r="M375" s="130"/>
      <c r="N375" s="291"/>
      <c r="O375" s="291"/>
      <c r="P375" s="122"/>
      <c r="Q375" s="122"/>
      <c r="R375" s="122"/>
      <c r="S375" s="122"/>
      <c r="T375" s="122"/>
      <c r="U375" s="301"/>
      <c r="V375" s="260">
        <f t="shared" ca="1" si="13"/>
        <v>0</v>
      </c>
      <c r="W375" s="348" t="str">
        <f>IF(板块成分!B377="","",板块成分!B377)</f>
        <v>000932.SZ</v>
      </c>
      <c r="X375" s="276" t="str">
        <f>[1]!S_Info_Name(W375)</f>
        <v>华菱钢铁</v>
      </c>
      <c r="Y375" s="276" t="str">
        <f ca="1">IF($Y$3="申万一级行业",[1]!s_info_industry_sw_2021(W375,公司分析!D$5,1),IF($Y$3="申万二级行业",[1]!s_info_industry_sw_2021(W375,公司分析!D$5,2),IF($Y$3="申万三级行业",[1]!s_info_industry_sw_2021(W375,公司分析!D$5,3),IF($Y$3="wind一级行业",[1]!s_info_industry_gics(W375,1),IF($Y$3="wind二级行业",[1]!s_info_industry_gics(W375,2),IF($Y$3="wind三级行业",[1]!s_info_industry_gics(W375,3),IF($Y$3="wind四级行业",[1]!s_info_industry_gics(W375,4),IF($Y$3="证监会门类行业",[1]!s_info_industry_csrc12_n(W375,公司分析!D$5,1),""))))))))</f>
        <v>普钢</v>
      </c>
      <c r="Z375" s="302" t="str">
        <f ca="1">IF(Y375=行业比较!$E$6,ROW(),"")</f>
        <v/>
      </c>
      <c r="AA375" s="122"/>
      <c r="AB375" s="122"/>
      <c r="AC375" s="122"/>
      <c r="AD375" s="122"/>
      <c r="AE375" s="122"/>
      <c r="AF375" s="122"/>
      <c r="AG375" s="122"/>
      <c r="AH375" s="122"/>
      <c r="AI375" s="122"/>
      <c r="AJ375" s="122"/>
      <c r="AK375" s="122"/>
      <c r="AL375" s="122"/>
      <c r="AM375" s="122"/>
      <c r="AN375" s="122"/>
      <c r="AO375" s="122"/>
      <c r="AP375" s="122"/>
    </row>
    <row r="376" spans="2:42">
      <c r="B376" s="122"/>
      <c r="C376" s="122"/>
      <c r="D376" s="122"/>
      <c r="E376" s="122"/>
      <c r="F376" s="122"/>
      <c r="G376" s="122"/>
      <c r="H376" s="122"/>
      <c r="I376" s="275"/>
      <c r="J376" s="130"/>
      <c r="K376" s="130"/>
      <c r="L376" s="130"/>
      <c r="M376" s="130"/>
      <c r="N376" s="291"/>
      <c r="O376" s="291"/>
      <c r="P376" s="122"/>
      <c r="Q376" s="122"/>
      <c r="R376" s="122"/>
      <c r="S376" s="122"/>
      <c r="T376" s="122"/>
      <c r="U376" s="301"/>
      <c r="V376" s="260">
        <f t="shared" ca="1" si="13"/>
        <v>12</v>
      </c>
      <c r="W376" s="348" t="str">
        <f>IF(板块成分!B378="","",板块成分!B378)</f>
        <v>000933.SZ</v>
      </c>
      <c r="X376" s="276" t="str">
        <f>[1]!S_Info_Name(W376)</f>
        <v>神火股份</v>
      </c>
      <c r="Y376" s="276" t="str">
        <f ca="1">IF($Y$3="申万一级行业",[1]!s_info_industry_sw_2021(W376,公司分析!D$5,1),IF($Y$3="申万二级行业",[1]!s_info_industry_sw_2021(W376,公司分析!D$5,2),IF($Y$3="申万三级行业",[1]!s_info_industry_sw_2021(W376,公司分析!D$5,3),IF($Y$3="wind一级行业",[1]!s_info_industry_gics(W376,1),IF($Y$3="wind二级行业",[1]!s_info_industry_gics(W376,2),IF($Y$3="wind三级行业",[1]!s_info_industry_gics(W376,3),IF($Y$3="wind四级行业",[1]!s_info_industry_gics(W376,4),IF($Y$3="证监会门类行业",[1]!s_info_industry_csrc12_n(W376,公司分析!D$5,1),""))))))))</f>
        <v>工业金属</v>
      </c>
      <c r="Z376" s="302">
        <f ca="1">IF(Y376=行业比较!$E$6,ROW(),"")</f>
        <v>376</v>
      </c>
      <c r="AA376" s="122"/>
      <c r="AB376" s="122"/>
      <c r="AC376" s="122"/>
      <c r="AD376" s="122"/>
      <c r="AE376" s="122"/>
      <c r="AF376" s="122"/>
      <c r="AG376" s="122"/>
      <c r="AH376" s="122"/>
      <c r="AI376" s="122"/>
      <c r="AJ376" s="122"/>
      <c r="AK376" s="122"/>
      <c r="AL376" s="122"/>
      <c r="AM376" s="122"/>
      <c r="AN376" s="122"/>
      <c r="AO376" s="122"/>
      <c r="AP376" s="122"/>
    </row>
    <row r="377" spans="2:42">
      <c r="B377" s="122"/>
      <c r="C377" s="122"/>
      <c r="D377" s="122"/>
      <c r="E377" s="122"/>
      <c r="F377" s="122"/>
      <c r="G377" s="122"/>
      <c r="H377" s="122"/>
      <c r="I377" s="275"/>
      <c r="J377" s="130"/>
      <c r="K377" s="130"/>
      <c r="L377" s="130"/>
      <c r="M377" s="130"/>
      <c r="N377" s="291"/>
      <c r="O377" s="291"/>
      <c r="P377" s="122"/>
      <c r="Q377" s="122"/>
      <c r="R377" s="122"/>
      <c r="S377" s="122"/>
      <c r="T377" s="122"/>
      <c r="U377" s="301"/>
      <c r="V377" s="260">
        <f t="shared" ca="1" si="13"/>
        <v>0</v>
      </c>
      <c r="W377" s="348" t="str">
        <f>IF(板块成分!B379="","",板块成分!B379)</f>
        <v>000935.SZ</v>
      </c>
      <c r="X377" s="276" t="str">
        <f>[1]!S_Info_Name(W377)</f>
        <v>四川双马</v>
      </c>
      <c r="Y377" s="276" t="str">
        <f ca="1">IF($Y$3="申万一级行业",[1]!s_info_industry_sw_2021(W377,公司分析!D$5,1),IF($Y$3="申万二级行业",[1]!s_info_industry_sw_2021(W377,公司分析!D$5,2),IF($Y$3="申万三级行业",[1]!s_info_industry_sw_2021(W377,公司分析!D$5,3),IF($Y$3="wind一级行业",[1]!s_info_industry_gics(W377,1),IF($Y$3="wind二级行业",[1]!s_info_industry_gics(W377,2),IF($Y$3="wind三级行业",[1]!s_info_industry_gics(W377,3),IF($Y$3="wind四级行业",[1]!s_info_industry_gics(W377,4),IF($Y$3="证监会门类行业",[1]!s_info_industry_csrc12_n(W377,公司分析!D$5,1),""))))))))</f>
        <v>多元金融</v>
      </c>
      <c r="Z377" s="302" t="str">
        <f ca="1">IF(Y377=行业比较!$E$6,ROW(),"")</f>
        <v/>
      </c>
      <c r="AA377" s="122"/>
      <c r="AB377" s="122"/>
      <c r="AC377" s="122"/>
      <c r="AD377" s="122"/>
      <c r="AE377" s="122"/>
      <c r="AF377" s="122"/>
      <c r="AG377" s="122"/>
      <c r="AH377" s="122"/>
      <c r="AI377" s="122"/>
      <c r="AJ377" s="122"/>
      <c r="AK377" s="122"/>
      <c r="AL377" s="122"/>
      <c r="AM377" s="122"/>
      <c r="AN377" s="122"/>
      <c r="AO377" s="122"/>
      <c r="AP377" s="122"/>
    </row>
    <row r="378" spans="2:42">
      <c r="B378" s="122"/>
      <c r="C378" s="122"/>
      <c r="D378" s="122"/>
      <c r="E378" s="122"/>
      <c r="F378" s="122"/>
      <c r="G378" s="122"/>
      <c r="H378" s="122"/>
      <c r="I378" s="275"/>
      <c r="J378" s="130"/>
      <c r="K378" s="130"/>
      <c r="L378" s="130"/>
      <c r="M378" s="130"/>
      <c r="N378" s="291"/>
      <c r="O378" s="291"/>
      <c r="P378" s="122"/>
      <c r="Q378" s="122"/>
      <c r="R378" s="122"/>
      <c r="S378" s="122"/>
      <c r="T378" s="122"/>
      <c r="U378" s="301"/>
      <c r="V378" s="260">
        <f t="shared" ca="1" si="13"/>
        <v>0</v>
      </c>
      <c r="W378" s="348" t="str">
        <f>IF(板块成分!B380="","",板块成分!B380)</f>
        <v>000936.SZ</v>
      </c>
      <c r="X378" s="276" t="str">
        <f>[1]!S_Info_Name(W378)</f>
        <v>华西股份</v>
      </c>
      <c r="Y378" s="276" t="str">
        <f ca="1">IF($Y$3="申万一级行业",[1]!s_info_industry_sw_2021(W378,公司分析!D$5,1),IF($Y$3="申万二级行业",[1]!s_info_industry_sw_2021(W378,公司分析!D$5,2),IF($Y$3="申万三级行业",[1]!s_info_industry_sw_2021(W378,公司分析!D$5,3),IF($Y$3="wind一级行业",[1]!s_info_industry_gics(W378,1),IF($Y$3="wind二级行业",[1]!s_info_industry_gics(W378,2),IF($Y$3="wind三级行业",[1]!s_info_industry_gics(W378,3),IF($Y$3="wind四级行业",[1]!s_info_industry_gics(W378,4),IF($Y$3="证监会门类行业",[1]!s_info_industry_csrc12_n(W378,公司分析!D$5,1),""))))))))</f>
        <v>化学纤维</v>
      </c>
      <c r="Z378" s="302" t="str">
        <f ca="1">IF(Y378=行业比较!$E$6,ROW(),"")</f>
        <v/>
      </c>
      <c r="AA378" s="122"/>
      <c r="AB378" s="122"/>
      <c r="AC378" s="122"/>
      <c r="AD378" s="122"/>
      <c r="AE378" s="122"/>
      <c r="AF378" s="122"/>
      <c r="AG378" s="122"/>
      <c r="AH378" s="122"/>
      <c r="AI378" s="122"/>
      <c r="AJ378" s="122"/>
      <c r="AK378" s="122"/>
      <c r="AL378" s="122"/>
      <c r="AM378" s="122"/>
      <c r="AN378" s="122"/>
      <c r="AO378" s="122"/>
      <c r="AP378" s="122"/>
    </row>
    <row r="379" spans="2:42">
      <c r="B379" s="122"/>
      <c r="C379" s="122"/>
      <c r="D379" s="122"/>
      <c r="E379" s="122"/>
      <c r="F379" s="122"/>
      <c r="G379" s="122"/>
      <c r="H379" s="122"/>
      <c r="I379" s="275"/>
      <c r="J379" s="130"/>
      <c r="K379" s="130"/>
      <c r="L379" s="130"/>
      <c r="M379" s="130"/>
      <c r="N379" s="291"/>
      <c r="O379" s="291"/>
      <c r="P379" s="122"/>
      <c r="Q379" s="122"/>
      <c r="R379" s="122"/>
      <c r="S379" s="122"/>
      <c r="T379" s="122"/>
      <c r="U379" s="301"/>
      <c r="V379" s="260">
        <f t="shared" ca="1" si="13"/>
        <v>0</v>
      </c>
      <c r="W379" s="348" t="str">
        <f>IF(板块成分!B381="","",板块成分!B381)</f>
        <v>000937.SZ</v>
      </c>
      <c r="X379" s="276" t="str">
        <f>[1]!S_Info_Name(W379)</f>
        <v>冀中能源</v>
      </c>
      <c r="Y379" s="276" t="str">
        <f ca="1">IF($Y$3="申万一级行业",[1]!s_info_industry_sw_2021(W379,公司分析!D$5,1),IF($Y$3="申万二级行业",[1]!s_info_industry_sw_2021(W379,公司分析!D$5,2),IF($Y$3="申万三级行业",[1]!s_info_industry_sw_2021(W379,公司分析!D$5,3),IF($Y$3="wind一级行业",[1]!s_info_industry_gics(W379,1),IF($Y$3="wind二级行业",[1]!s_info_industry_gics(W379,2),IF($Y$3="wind三级行业",[1]!s_info_industry_gics(W379,3),IF($Y$3="wind四级行业",[1]!s_info_industry_gics(W379,4),IF($Y$3="证监会门类行业",[1]!s_info_industry_csrc12_n(W379,公司分析!D$5,1),""))))))))</f>
        <v>煤炭开采</v>
      </c>
      <c r="Z379" s="302" t="str">
        <f ca="1">IF(Y379=行业比较!$E$6,ROW(),"")</f>
        <v/>
      </c>
      <c r="AA379" s="122"/>
      <c r="AB379" s="122"/>
      <c r="AC379" s="122"/>
      <c r="AD379" s="122"/>
      <c r="AE379" s="122"/>
      <c r="AF379" s="122"/>
      <c r="AG379" s="122"/>
      <c r="AH379" s="122"/>
      <c r="AI379" s="122"/>
      <c r="AJ379" s="122"/>
      <c r="AK379" s="122"/>
      <c r="AL379" s="122"/>
      <c r="AM379" s="122"/>
      <c r="AN379" s="122"/>
      <c r="AO379" s="122"/>
      <c r="AP379" s="122"/>
    </row>
    <row r="380" spans="2:42">
      <c r="B380" s="122"/>
      <c r="C380" s="122"/>
      <c r="D380" s="122"/>
      <c r="E380" s="122"/>
      <c r="F380" s="122"/>
      <c r="G380" s="122"/>
      <c r="H380" s="122"/>
      <c r="I380" s="275"/>
      <c r="J380" s="130"/>
      <c r="K380" s="130"/>
      <c r="L380" s="130"/>
      <c r="M380" s="130"/>
      <c r="N380" s="291"/>
      <c r="O380" s="291"/>
      <c r="P380" s="122"/>
      <c r="Q380" s="122"/>
      <c r="R380" s="122"/>
      <c r="S380" s="122"/>
      <c r="T380" s="122"/>
      <c r="U380" s="301"/>
      <c r="V380" s="260">
        <f t="shared" ca="1" si="13"/>
        <v>0</v>
      </c>
      <c r="W380" s="348" t="str">
        <f>IF(板块成分!B382="","",板块成分!B382)</f>
        <v>000938.SZ</v>
      </c>
      <c r="X380" s="276" t="str">
        <f>[1]!S_Info_Name(W380)</f>
        <v>紫光股份</v>
      </c>
      <c r="Y380" s="276" t="str">
        <f ca="1">IF($Y$3="申万一级行业",[1]!s_info_industry_sw_2021(W380,公司分析!D$5,1),IF($Y$3="申万二级行业",[1]!s_info_industry_sw_2021(W380,公司分析!D$5,2),IF($Y$3="申万三级行业",[1]!s_info_industry_sw_2021(W380,公司分析!D$5,3),IF($Y$3="wind一级行业",[1]!s_info_industry_gics(W380,1),IF($Y$3="wind二级行业",[1]!s_info_industry_gics(W380,2),IF($Y$3="wind三级行业",[1]!s_info_industry_gics(W380,3),IF($Y$3="wind四级行业",[1]!s_info_industry_gics(W380,4),IF($Y$3="证监会门类行业",[1]!s_info_industry_csrc12_n(W380,公司分析!D$5,1),""))))))))</f>
        <v>IT服务Ⅱ</v>
      </c>
      <c r="Z380" s="302" t="str">
        <f ca="1">IF(Y380=行业比较!$E$6,ROW(),"")</f>
        <v/>
      </c>
      <c r="AA380" s="122"/>
      <c r="AB380" s="122"/>
      <c r="AC380" s="122"/>
      <c r="AD380" s="122"/>
      <c r="AE380" s="122"/>
      <c r="AF380" s="122"/>
      <c r="AG380" s="122"/>
      <c r="AH380" s="122"/>
      <c r="AI380" s="122"/>
      <c r="AJ380" s="122"/>
      <c r="AK380" s="122"/>
      <c r="AL380" s="122"/>
      <c r="AM380" s="122"/>
      <c r="AN380" s="122"/>
      <c r="AO380" s="122"/>
      <c r="AP380" s="122"/>
    </row>
    <row r="381" spans="2:42">
      <c r="B381" s="122"/>
      <c r="C381" s="122"/>
      <c r="D381" s="122"/>
      <c r="E381" s="122"/>
      <c r="F381" s="122"/>
      <c r="G381" s="122"/>
      <c r="H381" s="122"/>
      <c r="I381" s="275"/>
      <c r="J381" s="130"/>
      <c r="K381" s="130"/>
      <c r="L381" s="130"/>
      <c r="M381" s="130"/>
      <c r="N381" s="291"/>
      <c r="O381" s="291"/>
      <c r="P381" s="122"/>
      <c r="Q381" s="122"/>
      <c r="R381" s="122"/>
      <c r="S381" s="122"/>
      <c r="T381" s="122"/>
      <c r="U381" s="301"/>
      <c r="V381" s="260">
        <f t="shared" ca="1" si="13"/>
        <v>0</v>
      </c>
      <c r="W381" s="348" t="str">
        <f>IF(板块成分!B383="","",板块成分!B383)</f>
        <v>000948.SZ</v>
      </c>
      <c r="X381" s="276" t="str">
        <f>[1]!S_Info_Name(W381)</f>
        <v>南天信息</v>
      </c>
      <c r="Y381" s="276" t="str">
        <f ca="1">IF($Y$3="申万一级行业",[1]!s_info_industry_sw_2021(W381,公司分析!D$5,1),IF($Y$3="申万二级行业",[1]!s_info_industry_sw_2021(W381,公司分析!D$5,2),IF($Y$3="申万三级行业",[1]!s_info_industry_sw_2021(W381,公司分析!D$5,3),IF($Y$3="wind一级行业",[1]!s_info_industry_gics(W381,1),IF($Y$3="wind二级行业",[1]!s_info_industry_gics(W381,2),IF($Y$3="wind三级行业",[1]!s_info_industry_gics(W381,3),IF($Y$3="wind四级行业",[1]!s_info_industry_gics(W381,4),IF($Y$3="证监会门类行业",[1]!s_info_industry_csrc12_n(W381,公司分析!D$5,1),""))))))))</f>
        <v>软件开发</v>
      </c>
      <c r="Z381" s="302" t="str">
        <f ca="1">IF(Y381=行业比较!$E$6,ROW(),"")</f>
        <v/>
      </c>
      <c r="AA381" s="122"/>
      <c r="AB381" s="122"/>
      <c r="AC381" s="122"/>
      <c r="AD381" s="122"/>
      <c r="AE381" s="122"/>
      <c r="AF381" s="122"/>
      <c r="AG381" s="122"/>
      <c r="AH381" s="122"/>
      <c r="AI381" s="122"/>
      <c r="AJ381" s="122"/>
      <c r="AK381" s="122"/>
      <c r="AL381" s="122"/>
      <c r="AM381" s="122"/>
      <c r="AN381" s="122"/>
      <c r="AO381" s="122"/>
      <c r="AP381" s="122"/>
    </row>
    <row r="382" spans="2:42">
      <c r="B382" s="122"/>
      <c r="C382" s="122"/>
      <c r="D382" s="122"/>
      <c r="E382" s="122"/>
      <c r="F382" s="122"/>
      <c r="G382" s="122"/>
      <c r="H382" s="122"/>
      <c r="I382" s="275"/>
      <c r="J382" s="130"/>
      <c r="K382" s="130"/>
      <c r="L382" s="130"/>
      <c r="M382" s="130"/>
      <c r="N382" s="291"/>
      <c r="O382" s="291"/>
      <c r="P382" s="122"/>
      <c r="Q382" s="122"/>
      <c r="R382" s="122"/>
      <c r="S382" s="122"/>
      <c r="T382" s="122"/>
      <c r="U382" s="301"/>
      <c r="V382" s="260">
        <f t="shared" ca="1" si="13"/>
        <v>0</v>
      </c>
      <c r="W382" s="348" t="str">
        <f>IF(板块成分!B384="","",板块成分!B384)</f>
        <v>000949.SZ</v>
      </c>
      <c r="X382" s="276" t="str">
        <f>[1]!S_Info_Name(W382)</f>
        <v>新乡化纤</v>
      </c>
      <c r="Y382" s="276" t="str">
        <f ca="1">IF($Y$3="申万一级行业",[1]!s_info_industry_sw_2021(W382,公司分析!D$5,1),IF($Y$3="申万二级行业",[1]!s_info_industry_sw_2021(W382,公司分析!D$5,2),IF($Y$3="申万三级行业",[1]!s_info_industry_sw_2021(W382,公司分析!D$5,3),IF($Y$3="wind一级行业",[1]!s_info_industry_gics(W382,1),IF($Y$3="wind二级行业",[1]!s_info_industry_gics(W382,2),IF($Y$3="wind三级行业",[1]!s_info_industry_gics(W382,3),IF($Y$3="wind四级行业",[1]!s_info_industry_gics(W382,4),IF($Y$3="证监会门类行业",[1]!s_info_industry_csrc12_n(W382,公司分析!D$5,1),""))))))))</f>
        <v>化学纤维</v>
      </c>
      <c r="Z382" s="302" t="str">
        <f ca="1">IF(Y382=行业比较!$E$6,ROW(),"")</f>
        <v/>
      </c>
      <c r="AA382" s="122"/>
      <c r="AB382" s="122"/>
      <c r="AC382" s="122"/>
      <c r="AD382" s="122"/>
      <c r="AE382" s="122"/>
      <c r="AF382" s="122"/>
      <c r="AG382" s="122"/>
      <c r="AH382" s="122"/>
      <c r="AI382" s="122"/>
      <c r="AJ382" s="122"/>
      <c r="AK382" s="122"/>
      <c r="AL382" s="122"/>
      <c r="AM382" s="122"/>
      <c r="AN382" s="122"/>
      <c r="AO382" s="122"/>
      <c r="AP382" s="122"/>
    </row>
    <row r="383" spans="2:42">
      <c r="B383" s="122"/>
      <c r="C383" s="122"/>
      <c r="D383" s="122"/>
      <c r="E383" s="122"/>
      <c r="F383" s="122"/>
      <c r="G383" s="122"/>
      <c r="H383" s="122"/>
      <c r="I383" s="275"/>
      <c r="J383" s="130"/>
      <c r="K383" s="130"/>
      <c r="L383" s="130"/>
      <c r="M383" s="130"/>
      <c r="N383" s="291"/>
      <c r="O383" s="291"/>
      <c r="P383" s="122"/>
      <c r="Q383" s="122"/>
      <c r="R383" s="122"/>
      <c r="S383" s="122"/>
      <c r="T383" s="122"/>
      <c r="U383" s="301"/>
      <c r="V383" s="260">
        <f t="shared" ca="1" si="13"/>
        <v>0</v>
      </c>
      <c r="W383" s="348" t="str">
        <f>IF(板块成分!B385="","",板块成分!B385)</f>
        <v>000950.SZ</v>
      </c>
      <c r="X383" s="276" t="str">
        <f>[1]!S_Info_Name(W383)</f>
        <v>重药控股</v>
      </c>
      <c r="Y383" s="276" t="str">
        <f ca="1">IF($Y$3="申万一级行业",[1]!s_info_industry_sw_2021(W383,公司分析!D$5,1),IF($Y$3="申万二级行业",[1]!s_info_industry_sw_2021(W383,公司分析!D$5,2),IF($Y$3="申万三级行业",[1]!s_info_industry_sw_2021(W383,公司分析!D$5,3),IF($Y$3="wind一级行业",[1]!s_info_industry_gics(W383,1),IF($Y$3="wind二级行业",[1]!s_info_industry_gics(W383,2),IF($Y$3="wind三级行业",[1]!s_info_industry_gics(W383,3),IF($Y$3="wind四级行业",[1]!s_info_industry_gics(W383,4),IF($Y$3="证监会门类行业",[1]!s_info_industry_csrc12_n(W383,公司分析!D$5,1),""))))))))</f>
        <v>医药商业</v>
      </c>
      <c r="Z383" s="302" t="str">
        <f ca="1">IF(Y383=行业比较!$E$6,ROW(),"")</f>
        <v/>
      </c>
      <c r="AA383" s="122"/>
      <c r="AB383" s="122"/>
      <c r="AC383" s="122"/>
      <c r="AD383" s="122"/>
      <c r="AE383" s="122"/>
      <c r="AF383" s="122"/>
      <c r="AG383" s="122"/>
      <c r="AH383" s="122"/>
      <c r="AI383" s="122"/>
      <c r="AJ383" s="122"/>
      <c r="AK383" s="122"/>
      <c r="AL383" s="122"/>
      <c r="AM383" s="122"/>
      <c r="AN383" s="122"/>
      <c r="AO383" s="122"/>
      <c r="AP383" s="122"/>
    </row>
    <row r="384" spans="2:42">
      <c r="B384" s="122"/>
      <c r="C384" s="122"/>
      <c r="D384" s="122"/>
      <c r="E384" s="122"/>
      <c r="F384" s="122"/>
      <c r="G384" s="122"/>
      <c r="H384" s="122"/>
      <c r="I384" s="275"/>
      <c r="J384" s="130"/>
      <c r="K384" s="130"/>
      <c r="L384" s="130"/>
      <c r="M384" s="130"/>
      <c r="N384" s="291"/>
      <c r="O384" s="291"/>
      <c r="P384" s="122"/>
      <c r="Q384" s="122"/>
      <c r="R384" s="122"/>
      <c r="S384" s="122"/>
      <c r="T384" s="122"/>
      <c r="U384" s="301"/>
      <c r="V384" s="260">
        <f t="shared" ca="1" si="13"/>
        <v>0</v>
      </c>
      <c r="W384" s="348" t="str">
        <f>IF(板块成分!B386="","",板块成分!B386)</f>
        <v>000951.SZ</v>
      </c>
      <c r="X384" s="276" t="str">
        <f>[1]!S_Info_Name(W384)</f>
        <v>中国重汽</v>
      </c>
      <c r="Y384" s="276" t="str">
        <f ca="1">IF($Y$3="申万一级行业",[1]!s_info_industry_sw_2021(W384,公司分析!D$5,1),IF($Y$3="申万二级行业",[1]!s_info_industry_sw_2021(W384,公司分析!D$5,2),IF($Y$3="申万三级行业",[1]!s_info_industry_sw_2021(W384,公司分析!D$5,3),IF($Y$3="wind一级行业",[1]!s_info_industry_gics(W384,1),IF($Y$3="wind二级行业",[1]!s_info_industry_gics(W384,2),IF($Y$3="wind三级行业",[1]!s_info_industry_gics(W384,3),IF($Y$3="wind四级行业",[1]!s_info_industry_gics(W384,4),IF($Y$3="证监会门类行业",[1]!s_info_industry_csrc12_n(W384,公司分析!D$5,1),""))))))))</f>
        <v>商用车</v>
      </c>
      <c r="Z384" s="302" t="str">
        <f ca="1">IF(Y384=行业比较!$E$6,ROW(),"")</f>
        <v/>
      </c>
      <c r="AA384" s="122"/>
      <c r="AB384" s="122"/>
      <c r="AC384" s="122"/>
      <c r="AD384" s="122"/>
      <c r="AE384" s="122"/>
      <c r="AF384" s="122"/>
      <c r="AG384" s="122"/>
      <c r="AH384" s="122"/>
      <c r="AI384" s="122"/>
      <c r="AJ384" s="122"/>
      <c r="AK384" s="122"/>
      <c r="AL384" s="122"/>
      <c r="AM384" s="122"/>
      <c r="AN384" s="122"/>
      <c r="AO384" s="122"/>
      <c r="AP384" s="122"/>
    </row>
    <row r="385" spans="2:42">
      <c r="B385" s="122"/>
      <c r="C385" s="122"/>
      <c r="D385" s="122"/>
      <c r="E385" s="122"/>
      <c r="F385" s="122"/>
      <c r="G385" s="122"/>
      <c r="H385" s="122"/>
      <c r="I385" s="275"/>
      <c r="J385" s="130"/>
      <c r="K385" s="130"/>
      <c r="L385" s="130"/>
      <c r="M385" s="130"/>
      <c r="N385" s="291"/>
      <c r="O385" s="291"/>
      <c r="P385" s="122"/>
      <c r="Q385" s="122"/>
      <c r="R385" s="122"/>
      <c r="S385" s="122"/>
      <c r="T385" s="122"/>
      <c r="U385" s="301"/>
      <c r="V385" s="260">
        <f t="shared" ca="1" si="13"/>
        <v>0</v>
      </c>
      <c r="W385" s="348" t="str">
        <f>IF(板块成分!B387="","",板块成分!B387)</f>
        <v>000952.SZ</v>
      </c>
      <c r="X385" s="276" t="str">
        <f>[1]!S_Info_Name(W385)</f>
        <v>广济药业</v>
      </c>
      <c r="Y385" s="276" t="str">
        <f ca="1">IF($Y$3="申万一级行业",[1]!s_info_industry_sw_2021(W385,公司分析!D$5,1),IF($Y$3="申万二级行业",[1]!s_info_industry_sw_2021(W385,公司分析!D$5,2),IF($Y$3="申万三级行业",[1]!s_info_industry_sw_2021(W385,公司分析!D$5,3),IF($Y$3="wind一级行业",[1]!s_info_industry_gics(W385,1),IF($Y$3="wind二级行业",[1]!s_info_industry_gics(W385,2),IF($Y$3="wind三级行业",[1]!s_info_industry_gics(W385,3),IF($Y$3="wind四级行业",[1]!s_info_industry_gics(W385,4),IF($Y$3="证监会门类行业",[1]!s_info_industry_csrc12_n(W385,公司分析!D$5,1),""))))))))</f>
        <v>化学制药</v>
      </c>
      <c r="Z385" s="302" t="str">
        <f ca="1">IF(Y385=行业比较!$E$6,ROW(),"")</f>
        <v/>
      </c>
      <c r="AA385" s="122"/>
      <c r="AB385" s="122"/>
      <c r="AC385" s="122"/>
      <c r="AD385" s="122"/>
      <c r="AE385" s="122"/>
      <c r="AF385" s="122"/>
      <c r="AG385" s="122"/>
      <c r="AH385" s="122"/>
      <c r="AI385" s="122"/>
      <c r="AJ385" s="122"/>
      <c r="AK385" s="122"/>
      <c r="AL385" s="122"/>
      <c r="AM385" s="122"/>
      <c r="AN385" s="122"/>
      <c r="AO385" s="122"/>
      <c r="AP385" s="122"/>
    </row>
    <row r="386" spans="2:42">
      <c r="B386" s="122"/>
      <c r="C386" s="122"/>
      <c r="D386" s="122"/>
      <c r="E386" s="122"/>
      <c r="F386" s="122"/>
      <c r="G386" s="122"/>
      <c r="H386" s="122"/>
      <c r="I386" s="275"/>
      <c r="J386" s="130"/>
      <c r="K386" s="130"/>
      <c r="L386" s="130"/>
      <c r="M386" s="130"/>
      <c r="N386" s="291"/>
      <c r="O386" s="291"/>
      <c r="P386" s="122"/>
      <c r="Q386" s="122"/>
      <c r="R386" s="122"/>
      <c r="S386" s="122"/>
      <c r="T386" s="122"/>
      <c r="U386" s="301"/>
      <c r="V386" s="260">
        <f t="shared" ca="1" si="13"/>
        <v>0</v>
      </c>
      <c r="W386" s="348" t="str">
        <f>IF(板块成分!B388="","",板块成分!B388)</f>
        <v>000953.SZ</v>
      </c>
      <c r="X386" s="276" t="str">
        <f>[1]!S_Info_Name(W386)</f>
        <v>河化股份</v>
      </c>
      <c r="Y386" s="276" t="str">
        <f ca="1">IF($Y$3="申万一级行业",[1]!s_info_industry_sw_2021(W386,公司分析!D$5,1),IF($Y$3="申万二级行业",[1]!s_info_industry_sw_2021(W386,公司分析!D$5,2),IF($Y$3="申万三级行业",[1]!s_info_industry_sw_2021(W386,公司分析!D$5,3),IF($Y$3="wind一级行业",[1]!s_info_industry_gics(W386,1),IF($Y$3="wind二级行业",[1]!s_info_industry_gics(W386,2),IF($Y$3="wind三级行业",[1]!s_info_industry_gics(W386,3),IF($Y$3="wind四级行业",[1]!s_info_industry_gics(W386,4),IF($Y$3="证监会门类行业",[1]!s_info_industry_csrc12_n(W386,公司分析!D$5,1),""))))))))</f>
        <v>化学制药</v>
      </c>
      <c r="Z386" s="302" t="str">
        <f ca="1">IF(Y386=行业比较!$E$6,ROW(),"")</f>
        <v/>
      </c>
      <c r="AA386" s="122"/>
      <c r="AB386" s="122"/>
      <c r="AC386" s="122"/>
      <c r="AD386" s="122"/>
      <c r="AE386" s="122"/>
      <c r="AF386" s="122"/>
      <c r="AG386" s="122"/>
      <c r="AH386" s="122"/>
      <c r="AI386" s="122"/>
      <c r="AJ386" s="122"/>
      <c r="AK386" s="122"/>
      <c r="AL386" s="122"/>
      <c r="AM386" s="122"/>
      <c r="AN386" s="122"/>
      <c r="AO386" s="122"/>
      <c r="AP386" s="122"/>
    </row>
    <row r="387" spans="2:42">
      <c r="B387" s="122"/>
      <c r="C387" s="122"/>
      <c r="D387" s="122"/>
      <c r="E387" s="122"/>
      <c r="F387" s="122"/>
      <c r="G387" s="122"/>
      <c r="H387" s="122"/>
      <c r="I387" s="275"/>
      <c r="J387" s="130"/>
      <c r="K387" s="130"/>
      <c r="L387" s="130"/>
      <c r="M387" s="130"/>
      <c r="N387" s="291"/>
      <c r="O387" s="291"/>
      <c r="P387" s="122"/>
      <c r="Q387" s="122"/>
      <c r="R387" s="122"/>
      <c r="S387" s="122"/>
      <c r="T387" s="122"/>
      <c r="U387" s="301"/>
      <c r="V387" s="260">
        <f t="shared" ca="1" si="13"/>
        <v>0</v>
      </c>
      <c r="W387" s="348" t="str">
        <f>IF(板块成分!B389="","",板块成分!B389)</f>
        <v>000955.SZ</v>
      </c>
      <c r="X387" s="276" t="str">
        <f>[1]!S_Info_Name(W387)</f>
        <v>欣龙控股</v>
      </c>
      <c r="Y387" s="276" t="str">
        <f ca="1">IF($Y$3="申万一级行业",[1]!s_info_industry_sw_2021(W387,公司分析!D$5,1),IF($Y$3="申万二级行业",[1]!s_info_industry_sw_2021(W387,公司分析!D$5,2),IF($Y$3="申万三级行业",[1]!s_info_industry_sw_2021(W387,公司分析!D$5,3),IF($Y$3="wind一级行业",[1]!s_info_industry_gics(W387,1),IF($Y$3="wind二级行业",[1]!s_info_industry_gics(W387,2),IF($Y$3="wind三级行业",[1]!s_info_industry_gics(W387,3),IF($Y$3="wind四级行业",[1]!s_info_industry_gics(W387,4),IF($Y$3="证监会门类行业",[1]!s_info_industry_csrc12_n(W387,公司分析!D$5,1),""))))))))</f>
        <v>纺织制造</v>
      </c>
      <c r="Z387" s="302" t="str">
        <f ca="1">IF(Y387=行业比较!$E$6,ROW(),"")</f>
        <v/>
      </c>
      <c r="AA387" s="122"/>
      <c r="AB387" s="122"/>
      <c r="AC387" s="122"/>
      <c r="AD387" s="122"/>
      <c r="AE387" s="122"/>
      <c r="AF387" s="122"/>
      <c r="AG387" s="122"/>
      <c r="AH387" s="122"/>
      <c r="AI387" s="122"/>
      <c r="AJ387" s="122"/>
      <c r="AK387" s="122"/>
      <c r="AL387" s="122"/>
      <c r="AM387" s="122"/>
      <c r="AN387" s="122"/>
      <c r="AO387" s="122"/>
      <c r="AP387" s="122"/>
    </row>
    <row r="388" spans="2:42">
      <c r="B388" s="122"/>
      <c r="C388" s="122"/>
      <c r="D388" s="122"/>
      <c r="E388" s="122"/>
      <c r="F388" s="122"/>
      <c r="G388" s="122"/>
      <c r="H388" s="122"/>
      <c r="I388" s="275"/>
      <c r="J388" s="130"/>
      <c r="K388" s="130"/>
      <c r="L388" s="130"/>
      <c r="M388" s="130"/>
      <c r="N388" s="291"/>
      <c r="O388" s="291"/>
      <c r="P388" s="122"/>
      <c r="Q388" s="122"/>
      <c r="R388" s="122"/>
      <c r="S388" s="122"/>
      <c r="T388" s="122"/>
      <c r="U388" s="301"/>
      <c r="V388" s="260">
        <f t="shared" ca="1" si="13"/>
        <v>0</v>
      </c>
      <c r="W388" s="348" t="str">
        <f>IF(板块成分!B390="","",板块成分!B390)</f>
        <v>000957.SZ</v>
      </c>
      <c r="X388" s="276" t="str">
        <f>[1]!S_Info_Name(W388)</f>
        <v>中通客车</v>
      </c>
      <c r="Y388" s="276" t="str">
        <f ca="1">IF($Y$3="申万一级行业",[1]!s_info_industry_sw_2021(W388,公司分析!D$5,1),IF($Y$3="申万二级行业",[1]!s_info_industry_sw_2021(W388,公司分析!D$5,2),IF($Y$3="申万三级行业",[1]!s_info_industry_sw_2021(W388,公司分析!D$5,3),IF($Y$3="wind一级行业",[1]!s_info_industry_gics(W388,1),IF($Y$3="wind二级行业",[1]!s_info_industry_gics(W388,2),IF($Y$3="wind三级行业",[1]!s_info_industry_gics(W388,3),IF($Y$3="wind四级行业",[1]!s_info_industry_gics(W388,4),IF($Y$3="证监会门类行业",[1]!s_info_industry_csrc12_n(W388,公司分析!D$5,1),""))))))))</f>
        <v>商用车</v>
      </c>
      <c r="Z388" s="302" t="str">
        <f ca="1">IF(Y388=行业比较!$E$6,ROW(),"")</f>
        <v/>
      </c>
      <c r="AA388" s="122"/>
      <c r="AB388" s="122"/>
      <c r="AC388" s="122"/>
      <c r="AD388" s="122"/>
      <c r="AE388" s="122"/>
      <c r="AF388" s="122"/>
      <c r="AG388" s="122"/>
      <c r="AH388" s="122"/>
      <c r="AI388" s="122"/>
      <c r="AJ388" s="122"/>
      <c r="AK388" s="122"/>
      <c r="AL388" s="122"/>
      <c r="AM388" s="122"/>
      <c r="AN388" s="122"/>
      <c r="AO388" s="122"/>
      <c r="AP388" s="122"/>
    </row>
    <row r="389" spans="2:42">
      <c r="B389" s="122"/>
      <c r="C389" s="122"/>
      <c r="D389" s="122"/>
      <c r="E389" s="122"/>
      <c r="F389" s="122"/>
      <c r="G389" s="122"/>
      <c r="H389" s="122"/>
      <c r="I389" s="275"/>
      <c r="J389" s="130"/>
      <c r="K389" s="130"/>
      <c r="L389" s="130"/>
      <c r="M389" s="130"/>
      <c r="N389" s="291"/>
      <c r="O389" s="291"/>
      <c r="P389" s="122"/>
      <c r="Q389" s="122"/>
      <c r="R389" s="122"/>
      <c r="S389" s="122"/>
      <c r="T389" s="122"/>
      <c r="U389" s="301"/>
      <c r="V389" s="260">
        <f t="shared" ref="V389:V452" ca="1" si="14">IF(Z389="",0,RANK(Z389,Z:Z,1))</f>
        <v>0</v>
      </c>
      <c r="W389" s="348" t="str">
        <f>IF(板块成分!B391="","",板块成分!B391)</f>
        <v>000958.SZ</v>
      </c>
      <c r="X389" s="276" t="str">
        <f>[1]!S_Info_Name(W389)</f>
        <v>电投产融</v>
      </c>
      <c r="Y389" s="276" t="str">
        <f ca="1">IF($Y$3="申万一级行业",[1]!s_info_industry_sw_2021(W389,公司分析!D$5,1),IF($Y$3="申万二级行业",[1]!s_info_industry_sw_2021(W389,公司分析!D$5,2),IF($Y$3="申万三级行业",[1]!s_info_industry_sw_2021(W389,公司分析!D$5,3),IF($Y$3="wind一级行业",[1]!s_info_industry_gics(W389,1),IF($Y$3="wind二级行业",[1]!s_info_industry_gics(W389,2),IF($Y$3="wind三级行业",[1]!s_info_industry_gics(W389,3),IF($Y$3="wind四级行业",[1]!s_info_industry_gics(W389,4),IF($Y$3="证监会门类行业",[1]!s_info_industry_csrc12_n(W389,公司分析!D$5,1),""))))))))</f>
        <v>多元金融</v>
      </c>
      <c r="Z389" s="302" t="str">
        <f ca="1">IF(Y389=行业比较!$E$6,ROW(),"")</f>
        <v/>
      </c>
      <c r="AA389" s="122"/>
      <c r="AB389" s="122"/>
      <c r="AC389" s="122"/>
      <c r="AD389" s="122"/>
      <c r="AE389" s="122"/>
      <c r="AF389" s="122"/>
      <c r="AG389" s="122"/>
      <c r="AH389" s="122"/>
      <c r="AI389" s="122"/>
      <c r="AJ389" s="122"/>
      <c r="AK389" s="122"/>
      <c r="AL389" s="122"/>
      <c r="AM389" s="122"/>
      <c r="AN389" s="122"/>
      <c r="AO389" s="122"/>
      <c r="AP389" s="122"/>
    </row>
    <row r="390" spans="2:42">
      <c r="B390" s="122"/>
      <c r="C390" s="122"/>
      <c r="D390" s="122"/>
      <c r="E390" s="122"/>
      <c r="F390" s="122"/>
      <c r="G390" s="122"/>
      <c r="H390" s="122"/>
      <c r="I390" s="275"/>
      <c r="J390" s="130"/>
      <c r="K390" s="130"/>
      <c r="L390" s="130"/>
      <c r="M390" s="130"/>
      <c r="N390" s="291"/>
      <c r="O390" s="291"/>
      <c r="P390" s="122"/>
      <c r="Q390" s="122"/>
      <c r="R390" s="122"/>
      <c r="S390" s="122"/>
      <c r="T390" s="122"/>
      <c r="U390" s="301"/>
      <c r="V390" s="260">
        <f t="shared" ca="1" si="14"/>
        <v>0</v>
      </c>
      <c r="W390" s="348" t="str">
        <f>IF(板块成分!B392="","",板块成分!B392)</f>
        <v>000959.SZ</v>
      </c>
      <c r="X390" s="276" t="str">
        <f>[1]!S_Info_Name(W390)</f>
        <v>首钢股份</v>
      </c>
      <c r="Y390" s="276" t="str">
        <f ca="1">IF($Y$3="申万一级行业",[1]!s_info_industry_sw_2021(W390,公司分析!D$5,1),IF($Y$3="申万二级行业",[1]!s_info_industry_sw_2021(W390,公司分析!D$5,2),IF($Y$3="申万三级行业",[1]!s_info_industry_sw_2021(W390,公司分析!D$5,3),IF($Y$3="wind一级行业",[1]!s_info_industry_gics(W390,1),IF($Y$3="wind二级行业",[1]!s_info_industry_gics(W390,2),IF($Y$3="wind三级行业",[1]!s_info_industry_gics(W390,3),IF($Y$3="wind四级行业",[1]!s_info_industry_gics(W390,4),IF($Y$3="证监会门类行业",[1]!s_info_industry_csrc12_n(W390,公司分析!D$5,1),""))))))))</f>
        <v>普钢</v>
      </c>
      <c r="Z390" s="302" t="str">
        <f ca="1">IF(Y390=行业比较!$E$6,ROW(),"")</f>
        <v/>
      </c>
      <c r="AA390" s="122"/>
      <c r="AB390" s="122"/>
      <c r="AC390" s="122"/>
      <c r="AD390" s="122"/>
      <c r="AE390" s="122"/>
      <c r="AF390" s="122"/>
      <c r="AG390" s="122"/>
      <c r="AH390" s="122"/>
      <c r="AI390" s="122"/>
      <c r="AJ390" s="122"/>
      <c r="AK390" s="122"/>
      <c r="AL390" s="122"/>
      <c r="AM390" s="122"/>
      <c r="AN390" s="122"/>
      <c r="AO390" s="122"/>
      <c r="AP390" s="122"/>
    </row>
    <row r="391" spans="2:42">
      <c r="B391" s="122"/>
      <c r="C391" s="122"/>
      <c r="D391" s="122"/>
      <c r="E391" s="122"/>
      <c r="F391" s="122"/>
      <c r="G391" s="122"/>
      <c r="H391" s="122"/>
      <c r="I391" s="275"/>
      <c r="J391" s="130"/>
      <c r="K391" s="130"/>
      <c r="L391" s="130"/>
      <c r="M391" s="130"/>
      <c r="N391" s="291"/>
      <c r="O391" s="291"/>
      <c r="P391" s="122"/>
      <c r="Q391" s="122"/>
      <c r="R391" s="122"/>
      <c r="S391" s="122"/>
      <c r="T391" s="122"/>
      <c r="U391" s="301"/>
      <c r="V391" s="260">
        <f t="shared" ca="1" si="14"/>
        <v>0</v>
      </c>
      <c r="W391" s="348" t="str">
        <f>IF(板块成分!B393="","",板块成分!B393)</f>
        <v>000960.SZ</v>
      </c>
      <c r="X391" s="276" t="str">
        <f>[1]!S_Info_Name(W391)</f>
        <v>锡业股份</v>
      </c>
      <c r="Y391" s="276" t="str">
        <f ca="1">IF($Y$3="申万一级行业",[1]!s_info_industry_sw_2021(W391,公司分析!D$5,1),IF($Y$3="申万二级行业",[1]!s_info_industry_sw_2021(W391,公司分析!D$5,2),IF($Y$3="申万三级行业",[1]!s_info_industry_sw_2021(W391,公司分析!D$5,3),IF($Y$3="wind一级行业",[1]!s_info_industry_gics(W391,1),IF($Y$3="wind二级行业",[1]!s_info_industry_gics(W391,2),IF($Y$3="wind三级行业",[1]!s_info_industry_gics(W391,3),IF($Y$3="wind四级行业",[1]!s_info_industry_gics(W391,4),IF($Y$3="证监会门类行业",[1]!s_info_industry_csrc12_n(W391,公司分析!D$5,1),""))))))))</f>
        <v>小金属</v>
      </c>
      <c r="Z391" s="302" t="str">
        <f ca="1">IF(Y391=行业比较!$E$6,ROW(),"")</f>
        <v/>
      </c>
      <c r="AA391" s="122"/>
      <c r="AB391" s="122"/>
      <c r="AC391" s="122"/>
      <c r="AD391" s="122"/>
      <c r="AE391" s="122"/>
      <c r="AF391" s="122"/>
      <c r="AG391" s="122"/>
      <c r="AH391" s="122"/>
      <c r="AI391" s="122"/>
      <c r="AJ391" s="122"/>
      <c r="AK391" s="122"/>
      <c r="AL391" s="122"/>
      <c r="AM391" s="122"/>
      <c r="AN391" s="122"/>
      <c r="AO391" s="122"/>
      <c r="AP391" s="122"/>
    </row>
    <row r="392" spans="2:42">
      <c r="B392" s="122"/>
      <c r="C392" s="122"/>
      <c r="D392" s="122"/>
      <c r="E392" s="122"/>
      <c r="F392" s="122"/>
      <c r="G392" s="122"/>
      <c r="H392" s="122"/>
      <c r="I392" s="275"/>
      <c r="J392" s="130"/>
      <c r="K392" s="130"/>
      <c r="L392" s="130"/>
      <c r="M392" s="130"/>
      <c r="N392" s="291"/>
      <c r="O392" s="291"/>
      <c r="P392" s="122"/>
      <c r="Q392" s="122"/>
      <c r="R392" s="122"/>
      <c r="S392" s="122"/>
      <c r="T392" s="122"/>
      <c r="U392" s="301"/>
      <c r="V392" s="260">
        <f t="shared" ca="1" si="14"/>
        <v>0</v>
      </c>
      <c r="W392" s="348" t="str">
        <f>IF(板块成分!B394="","",板块成分!B394)</f>
        <v>000962.SZ</v>
      </c>
      <c r="X392" s="276" t="str">
        <f>[1]!S_Info_Name(W392)</f>
        <v>东方钽业</v>
      </c>
      <c r="Y392" s="276" t="str">
        <f ca="1">IF($Y$3="申万一级行业",[1]!s_info_industry_sw_2021(W392,公司分析!D$5,1),IF($Y$3="申万二级行业",[1]!s_info_industry_sw_2021(W392,公司分析!D$5,2),IF($Y$3="申万三级行业",[1]!s_info_industry_sw_2021(W392,公司分析!D$5,3),IF($Y$3="wind一级行业",[1]!s_info_industry_gics(W392,1),IF($Y$3="wind二级行业",[1]!s_info_industry_gics(W392,2),IF($Y$3="wind三级行业",[1]!s_info_industry_gics(W392,3),IF($Y$3="wind四级行业",[1]!s_info_industry_gics(W392,4),IF($Y$3="证监会门类行业",[1]!s_info_industry_csrc12_n(W392,公司分析!D$5,1),""))))))))</f>
        <v>小金属</v>
      </c>
      <c r="Z392" s="302" t="str">
        <f ca="1">IF(Y392=行业比较!$E$6,ROW(),"")</f>
        <v/>
      </c>
      <c r="AA392" s="122"/>
      <c r="AB392" s="122"/>
      <c r="AC392" s="122"/>
      <c r="AD392" s="122"/>
      <c r="AE392" s="122"/>
      <c r="AF392" s="122"/>
      <c r="AG392" s="122"/>
      <c r="AH392" s="122"/>
      <c r="AI392" s="122"/>
      <c r="AJ392" s="122"/>
      <c r="AK392" s="122"/>
      <c r="AL392" s="122"/>
      <c r="AM392" s="122"/>
      <c r="AN392" s="122"/>
      <c r="AO392" s="122"/>
      <c r="AP392" s="122"/>
    </row>
    <row r="393" spans="2:42">
      <c r="B393" s="122"/>
      <c r="C393" s="122"/>
      <c r="D393" s="122"/>
      <c r="E393" s="122"/>
      <c r="F393" s="122"/>
      <c r="G393" s="122"/>
      <c r="H393" s="122"/>
      <c r="I393" s="275"/>
      <c r="J393" s="130"/>
      <c r="K393" s="130"/>
      <c r="L393" s="130"/>
      <c r="M393" s="130"/>
      <c r="N393" s="291"/>
      <c r="O393" s="291"/>
      <c r="P393" s="122"/>
      <c r="Q393" s="122"/>
      <c r="R393" s="122"/>
      <c r="S393" s="122"/>
      <c r="T393" s="122"/>
      <c r="U393" s="301"/>
      <c r="V393" s="260">
        <f t="shared" ca="1" si="14"/>
        <v>0</v>
      </c>
      <c r="W393" s="348" t="str">
        <f>IF(板块成分!B395="","",板块成分!B395)</f>
        <v>000963.SZ</v>
      </c>
      <c r="X393" s="276" t="str">
        <f>[1]!S_Info_Name(W393)</f>
        <v>华东医药</v>
      </c>
      <c r="Y393" s="276" t="str">
        <f ca="1">IF($Y$3="申万一级行业",[1]!s_info_industry_sw_2021(W393,公司分析!D$5,1),IF($Y$3="申万二级行业",[1]!s_info_industry_sw_2021(W393,公司分析!D$5,2),IF($Y$3="申万三级行业",[1]!s_info_industry_sw_2021(W393,公司分析!D$5,3),IF($Y$3="wind一级行业",[1]!s_info_industry_gics(W393,1),IF($Y$3="wind二级行业",[1]!s_info_industry_gics(W393,2),IF($Y$3="wind三级行业",[1]!s_info_industry_gics(W393,3),IF($Y$3="wind四级行业",[1]!s_info_industry_gics(W393,4),IF($Y$3="证监会门类行业",[1]!s_info_industry_csrc12_n(W393,公司分析!D$5,1),""))))))))</f>
        <v>化学制药</v>
      </c>
      <c r="Z393" s="302" t="str">
        <f ca="1">IF(Y393=行业比较!$E$6,ROW(),"")</f>
        <v/>
      </c>
      <c r="AA393" s="122"/>
      <c r="AB393" s="122"/>
      <c r="AC393" s="122"/>
      <c r="AD393" s="122"/>
      <c r="AE393" s="122"/>
      <c r="AF393" s="122"/>
      <c r="AG393" s="122"/>
      <c r="AH393" s="122"/>
      <c r="AI393" s="122"/>
      <c r="AJ393" s="122"/>
      <c r="AK393" s="122"/>
      <c r="AL393" s="122"/>
      <c r="AM393" s="122"/>
      <c r="AN393" s="122"/>
      <c r="AO393" s="122"/>
      <c r="AP393" s="122"/>
    </row>
    <row r="394" spans="2:42">
      <c r="B394" s="122"/>
      <c r="C394" s="122"/>
      <c r="D394" s="122"/>
      <c r="E394" s="122"/>
      <c r="F394" s="122"/>
      <c r="G394" s="122"/>
      <c r="H394" s="122"/>
      <c r="I394" s="275"/>
      <c r="J394" s="130"/>
      <c r="K394" s="130"/>
      <c r="L394" s="130"/>
      <c r="M394" s="130"/>
      <c r="N394" s="291"/>
      <c r="O394" s="291"/>
      <c r="P394" s="122"/>
      <c r="Q394" s="122"/>
      <c r="R394" s="122"/>
      <c r="S394" s="122"/>
      <c r="T394" s="122"/>
      <c r="U394" s="301"/>
      <c r="V394" s="260">
        <f t="shared" ca="1" si="14"/>
        <v>0</v>
      </c>
      <c r="W394" s="348" t="str">
        <f>IF(板块成分!B396="","",板块成分!B396)</f>
        <v>000965.SZ</v>
      </c>
      <c r="X394" s="276" t="str">
        <f>[1]!S_Info_Name(W394)</f>
        <v>天保基建</v>
      </c>
      <c r="Y394" s="276" t="str">
        <f ca="1">IF($Y$3="申万一级行业",[1]!s_info_industry_sw_2021(W394,公司分析!D$5,1),IF($Y$3="申万二级行业",[1]!s_info_industry_sw_2021(W394,公司分析!D$5,2),IF($Y$3="申万三级行业",[1]!s_info_industry_sw_2021(W394,公司分析!D$5,3),IF($Y$3="wind一级行业",[1]!s_info_industry_gics(W394,1),IF($Y$3="wind二级行业",[1]!s_info_industry_gics(W394,2),IF($Y$3="wind三级行业",[1]!s_info_industry_gics(W394,3),IF($Y$3="wind四级行业",[1]!s_info_industry_gics(W394,4),IF($Y$3="证监会门类行业",[1]!s_info_industry_csrc12_n(W394,公司分析!D$5,1),""))))))))</f>
        <v>房地产开发</v>
      </c>
      <c r="Z394" s="302" t="str">
        <f ca="1">IF(Y394=行业比较!$E$6,ROW(),"")</f>
        <v/>
      </c>
      <c r="AA394" s="122"/>
      <c r="AB394" s="122"/>
      <c r="AC394" s="122"/>
      <c r="AD394" s="122"/>
      <c r="AE394" s="122"/>
      <c r="AF394" s="122"/>
      <c r="AG394" s="122"/>
      <c r="AH394" s="122"/>
      <c r="AI394" s="122"/>
      <c r="AJ394" s="122"/>
      <c r="AK394" s="122"/>
      <c r="AL394" s="122"/>
      <c r="AM394" s="122"/>
      <c r="AN394" s="122"/>
      <c r="AO394" s="122"/>
      <c r="AP394" s="122"/>
    </row>
    <row r="395" spans="2:42">
      <c r="B395" s="122"/>
      <c r="C395" s="122"/>
      <c r="D395" s="122"/>
      <c r="E395" s="122"/>
      <c r="F395" s="122"/>
      <c r="G395" s="122"/>
      <c r="H395" s="122"/>
      <c r="I395" s="275"/>
      <c r="J395" s="130"/>
      <c r="K395" s="130"/>
      <c r="L395" s="130"/>
      <c r="M395" s="130"/>
      <c r="N395" s="291"/>
      <c r="O395" s="291"/>
      <c r="P395" s="122"/>
      <c r="Q395" s="122"/>
      <c r="R395" s="122"/>
      <c r="S395" s="122"/>
      <c r="T395" s="122"/>
      <c r="U395" s="301"/>
      <c r="V395" s="260">
        <f t="shared" ca="1" si="14"/>
        <v>0</v>
      </c>
      <c r="W395" s="348" t="str">
        <f>IF(板块成分!B397="","",板块成分!B397)</f>
        <v>000966.SZ</v>
      </c>
      <c r="X395" s="276" t="str">
        <f>[1]!S_Info_Name(W395)</f>
        <v>长源电力</v>
      </c>
      <c r="Y395" s="276" t="str">
        <f ca="1">IF($Y$3="申万一级行业",[1]!s_info_industry_sw_2021(W395,公司分析!D$5,1),IF($Y$3="申万二级行业",[1]!s_info_industry_sw_2021(W395,公司分析!D$5,2),IF($Y$3="申万三级行业",[1]!s_info_industry_sw_2021(W395,公司分析!D$5,3),IF($Y$3="wind一级行业",[1]!s_info_industry_gics(W395,1),IF($Y$3="wind二级行业",[1]!s_info_industry_gics(W395,2),IF($Y$3="wind三级行业",[1]!s_info_industry_gics(W395,3),IF($Y$3="wind四级行业",[1]!s_info_industry_gics(W395,4),IF($Y$3="证监会门类行业",[1]!s_info_industry_csrc12_n(W395,公司分析!D$5,1),""))))))))</f>
        <v>电力</v>
      </c>
      <c r="Z395" s="302" t="str">
        <f ca="1">IF(Y395=行业比较!$E$6,ROW(),"")</f>
        <v/>
      </c>
      <c r="AA395" s="122"/>
      <c r="AB395" s="122"/>
      <c r="AC395" s="122"/>
      <c r="AD395" s="122"/>
      <c r="AE395" s="122"/>
      <c r="AF395" s="122"/>
      <c r="AG395" s="122"/>
      <c r="AH395" s="122"/>
      <c r="AI395" s="122"/>
      <c r="AJ395" s="122"/>
      <c r="AK395" s="122"/>
      <c r="AL395" s="122"/>
      <c r="AM395" s="122"/>
      <c r="AN395" s="122"/>
      <c r="AO395" s="122"/>
      <c r="AP395" s="122"/>
    </row>
    <row r="396" spans="2:42">
      <c r="B396" s="122"/>
      <c r="C396" s="122"/>
      <c r="D396" s="122"/>
      <c r="E396" s="122"/>
      <c r="F396" s="122"/>
      <c r="G396" s="122"/>
      <c r="H396" s="122"/>
      <c r="I396" s="275"/>
      <c r="J396" s="130"/>
      <c r="K396" s="130"/>
      <c r="L396" s="130"/>
      <c r="M396" s="130"/>
      <c r="N396" s="291"/>
      <c r="O396" s="291"/>
      <c r="P396" s="122"/>
      <c r="Q396" s="122"/>
      <c r="R396" s="122"/>
      <c r="S396" s="122"/>
      <c r="T396" s="122"/>
      <c r="U396" s="301"/>
      <c r="V396" s="260">
        <f t="shared" ca="1" si="14"/>
        <v>0</v>
      </c>
      <c r="W396" s="348" t="str">
        <f>IF(板块成分!B398="","",板块成分!B398)</f>
        <v>000967.SZ</v>
      </c>
      <c r="X396" s="276" t="str">
        <f>[1]!S_Info_Name(W396)</f>
        <v>盈峰环境</v>
      </c>
      <c r="Y396" s="276" t="str">
        <f ca="1">IF($Y$3="申万一级行业",[1]!s_info_industry_sw_2021(W396,公司分析!D$5,1),IF($Y$3="申万二级行业",[1]!s_info_industry_sw_2021(W396,公司分析!D$5,2),IF($Y$3="申万三级行业",[1]!s_info_industry_sw_2021(W396,公司分析!D$5,3),IF($Y$3="wind一级行业",[1]!s_info_industry_gics(W396,1),IF($Y$3="wind二级行业",[1]!s_info_industry_gics(W396,2),IF($Y$3="wind三级行业",[1]!s_info_industry_gics(W396,3),IF($Y$3="wind四级行业",[1]!s_info_industry_gics(W396,4),IF($Y$3="证监会门类行业",[1]!s_info_industry_csrc12_n(W396,公司分析!D$5,1),""))))))))</f>
        <v>环保设备Ⅱ</v>
      </c>
      <c r="Z396" s="302" t="str">
        <f ca="1">IF(Y396=行业比较!$E$6,ROW(),"")</f>
        <v/>
      </c>
      <c r="AA396" s="122"/>
      <c r="AB396" s="122"/>
      <c r="AC396" s="122"/>
      <c r="AD396" s="122"/>
      <c r="AE396" s="122"/>
      <c r="AF396" s="122"/>
      <c r="AG396" s="122"/>
      <c r="AH396" s="122"/>
      <c r="AI396" s="122"/>
      <c r="AJ396" s="122"/>
      <c r="AK396" s="122"/>
      <c r="AL396" s="122"/>
      <c r="AM396" s="122"/>
      <c r="AN396" s="122"/>
      <c r="AO396" s="122"/>
      <c r="AP396" s="122"/>
    </row>
    <row r="397" spans="2:42">
      <c r="B397" s="122"/>
      <c r="C397" s="122"/>
      <c r="D397" s="122"/>
      <c r="E397" s="122"/>
      <c r="F397" s="122"/>
      <c r="G397" s="122"/>
      <c r="H397" s="122"/>
      <c r="I397" s="275"/>
      <c r="J397" s="130"/>
      <c r="K397" s="130"/>
      <c r="L397" s="130"/>
      <c r="M397" s="130"/>
      <c r="N397" s="291"/>
      <c r="O397" s="291"/>
      <c r="P397" s="122"/>
      <c r="Q397" s="122"/>
      <c r="R397" s="122"/>
      <c r="S397" s="122"/>
      <c r="T397" s="122"/>
      <c r="U397" s="301"/>
      <c r="V397" s="260">
        <f t="shared" ca="1" si="14"/>
        <v>0</v>
      </c>
      <c r="W397" s="348" t="str">
        <f>IF(板块成分!B399="","",板块成分!B399)</f>
        <v>000968.SZ</v>
      </c>
      <c r="X397" s="276" t="str">
        <f>[1]!S_Info_Name(W397)</f>
        <v>蓝焰控股</v>
      </c>
      <c r="Y397" s="276" t="str">
        <f ca="1">IF($Y$3="申万一级行业",[1]!s_info_industry_sw_2021(W397,公司分析!D$5,1),IF($Y$3="申万二级行业",[1]!s_info_industry_sw_2021(W397,公司分析!D$5,2),IF($Y$3="申万三级行业",[1]!s_info_industry_sw_2021(W397,公司分析!D$5,3),IF($Y$3="wind一级行业",[1]!s_info_industry_gics(W397,1),IF($Y$3="wind二级行业",[1]!s_info_industry_gics(W397,2),IF($Y$3="wind三级行业",[1]!s_info_industry_gics(W397,3),IF($Y$3="wind四级行业",[1]!s_info_industry_gics(W397,4),IF($Y$3="证监会门类行业",[1]!s_info_industry_csrc12_n(W397,公司分析!D$5,1),""))))))))</f>
        <v>油气开采Ⅱ</v>
      </c>
      <c r="Z397" s="302" t="str">
        <f ca="1">IF(Y397=行业比较!$E$6,ROW(),"")</f>
        <v/>
      </c>
      <c r="AA397" s="122"/>
      <c r="AB397" s="122"/>
      <c r="AC397" s="122"/>
      <c r="AD397" s="122"/>
      <c r="AE397" s="122"/>
      <c r="AF397" s="122"/>
      <c r="AG397" s="122"/>
      <c r="AH397" s="122"/>
      <c r="AI397" s="122"/>
      <c r="AJ397" s="122"/>
      <c r="AK397" s="122"/>
      <c r="AL397" s="122"/>
      <c r="AM397" s="122"/>
      <c r="AN397" s="122"/>
      <c r="AO397" s="122"/>
      <c r="AP397" s="122"/>
    </row>
    <row r="398" spans="2:42">
      <c r="B398" s="122"/>
      <c r="C398" s="122"/>
      <c r="D398" s="122"/>
      <c r="E398" s="122"/>
      <c r="F398" s="122"/>
      <c r="G398" s="122"/>
      <c r="H398" s="122"/>
      <c r="I398" s="275"/>
      <c r="J398" s="130"/>
      <c r="K398" s="130"/>
      <c r="L398" s="130"/>
      <c r="M398" s="130"/>
      <c r="N398" s="291"/>
      <c r="O398" s="291"/>
      <c r="P398" s="122"/>
      <c r="Q398" s="122"/>
      <c r="R398" s="122"/>
      <c r="S398" s="122"/>
      <c r="T398" s="122"/>
      <c r="U398" s="301"/>
      <c r="V398" s="260">
        <f t="shared" ca="1" si="14"/>
        <v>0</v>
      </c>
      <c r="W398" s="348" t="str">
        <f>IF(板块成分!B400="","",板块成分!B400)</f>
        <v>000969.SZ</v>
      </c>
      <c r="X398" s="276" t="str">
        <f>[1]!S_Info_Name(W398)</f>
        <v>安泰科技</v>
      </c>
      <c r="Y398" s="276" t="str">
        <f ca="1">IF($Y$3="申万一级行业",[1]!s_info_industry_sw_2021(W398,公司分析!D$5,1),IF($Y$3="申万二级行业",[1]!s_info_industry_sw_2021(W398,公司分析!D$5,2),IF($Y$3="申万三级行业",[1]!s_info_industry_sw_2021(W398,公司分析!D$5,3),IF($Y$3="wind一级行业",[1]!s_info_industry_gics(W398,1),IF($Y$3="wind二级行业",[1]!s_info_industry_gics(W398,2),IF($Y$3="wind三级行业",[1]!s_info_industry_gics(W398,3),IF($Y$3="wind四级行业",[1]!s_info_industry_gics(W398,4),IF($Y$3="证监会门类行业",[1]!s_info_industry_csrc12_n(W398,公司分析!D$5,1),""))))))))</f>
        <v>金属新材料</v>
      </c>
      <c r="Z398" s="302" t="str">
        <f ca="1">IF(Y398=行业比较!$E$6,ROW(),"")</f>
        <v/>
      </c>
      <c r="AA398" s="122"/>
      <c r="AB398" s="122"/>
      <c r="AC398" s="122"/>
      <c r="AD398" s="122"/>
      <c r="AE398" s="122"/>
      <c r="AF398" s="122"/>
      <c r="AG398" s="122"/>
      <c r="AH398" s="122"/>
      <c r="AI398" s="122"/>
      <c r="AJ398" s="122"/>
      <c r="AK398" s="122"/>
      <c r="AL398" s="122"/>
      <c r="AM398" s="122"/>
      <c r="AN398" s="122"/>
      <c r="AO398" s="122"/>
      <c r="AP398" s="122"/>
    </row>
    <row r="399" spans="2:42">
      <c r="B399" s="122"/>
      <c r="C399" s="122"/>
      <c r="D399" s="122"/>
      <c r="E399" s="122"/>
      <c r="F399" s="122"/>
      <c r="G399" s="122"/>
      <c r="H399" s="122"/>
      <c r="I399" s="275"/>
      <c r="J399" s="130"/>
      <c r="K399" s="130"/>
      <c r="L399" s="130"/>
      <c r="M399" s="130"/>
      <c r="N399" s="291"/>
      <c r="O399" s="291"/>
      <c r="P399" s="122"/>
      <c r="Q399" s="122"/>
      <c r="R399" s="122"/>
      <c r="S399" s="122"/>
      <c r="T399" s="122"/>
      <c r="U399" s="301"/>
      <c r="V399" s="260">
        <f t="shared" ca="1" si="14"/>
        <v>0</v>
      </c>
      <c r="W399" s="348" t="str">
        <f>IF(板块成分!B401="","",板块成分!B401)</f>
        <v>000970.SZ</v>
      </c>
      <c r="X399" s="276" t="str">
        <f>[1]!S_Info_Name(W399)</f>
        <v>中科三环</v>
      </c>
      <c r="Y399" s="276" t="str">
        <f ca="1">IF($Y$3="申万一级行业",[1]!s_info_industry_sw_2021(W399,公司分析!D$5,1),IF($Y$3="申万二级行业",[1]!s_info_industry_sw_2021(W399,公司分析!D$5,2),IF($Y$3="申万三级行业",[1]!s_info_industry_sw_2021(W399,公司分析!D$5,3),IF($Y$3="wind一级行业",[1]!s_info_industry_gics(W399,1),IF($Y$3="wind二级行业",[1]!s_info_industry_gics(W399,2),IF($Y$3="wind三级行业",[1]!s_info_industry_gics(W399,3),IF($Y$3="wind四级行业",[1]!s_info_industry_gics(W399,4),IF($Y$3="证监会门类行业",[1]!s_info_industry_csrc12_n(W399,公司分析!D$5,1),""))))))))</f>
        <v>金属新材料</v>
      </c>
      <c r="Z399" s="302" t="str">
        <f ca="1">IF(Y399=行业比较!$E$6,ROW(),"")</f>
        <v/>
      </c>
      <c r="AA399" s="122"/>
      <c r="AB399" s="122"/>
      <c r="AC399" s="122"/>
      <c r="AD399" s="122"/>
      <c r="AE399" s="122"/>
      <c r="AF399" s="122"/>
      <c r="AG399" s="122"/>
      <c r="AH399" s="122"/>
      <c r="AI399" s="122"/>
      <c r="AJ399" s="122"/>
      <c r="AK399" s="122"/>
      <c r="AL399" s="122"/>
      <c r="AM399" s="122"/>
      <c r="AN399" s="122"/>
      <c r="AO399" s="122"/>
      <c r="AP399" s="122"/>
    </row>
    <row r="400" spans="2:42">
      <c r="B400" s="122"/>
      <c r="C400" s="122"/>
      <c r="D400" s="122"/>
      <c r="E400" s="122"/>
      <c r="F400" s="122"/>
      <c r="G400" s="122"/>
      <c r="H400" s="122"/>
      <c r="I400" s="275"/>
      <c r="J400" s="130"/>
      <c r="K400" s="130"/>
      <c r="L400" s="130"/>
      <c r="M400" s="130"/>
      <c r="N400" s="291"/>
      <c r="O400" s="291"/>
      <c r="P400" s="122"/>
      <c r="Q400" s="122"/>
      <c r="R400" s="122"/>
      <c r="S400" s="122"/>
      <c r="T400" s="122"/>
      <c r="U400" s="301"/>
      <c r="V400" s="260">
        <f t="shared" ca="1" si="14"/>
        <v>0</v>
      </c>
      <c r="W400" s="348" t="str">
        <f>IF(板块成分!B402="","",板块成分!B402)</f>
        <v>000972.SZ</v>
      </c>
      <c r="X400" s="276" t="str">
        <f>[1]!S_Info_Name(W400)</f>
        <v>*ST中基</v>
      </c>
      <c r="Y400" s="276" t="str">
        <f ca="1">IF($Y$3="申万一级行业",[1]!s_info_industry_sw_2021(W400,公司分析!D$5,1),IF($Y$3="申万二级行业",[1]!s_info_industry_sw_2021(W400,公司分析!D$5,2),IF($Y$3="申万三级行业",[1]!s_info_industry_sw_2021(W400,公司分析!D$5,3),IF($Y$3="wind一级行业",[1]!s_info_industry_gics(W400,1),IF($Y$3="wind二级行业",[1]!s_info_industry_gics(W400,2),IF($Y$3="wind三级行业",[1]!s_info_industry_gics(W400,3),IF($Y$3="wind四级行业",[1]!s_info_industry_gics(W400,4),IF($Y$3="证监会门类行业",[1]!s_info_industry_csrc12_n(W400,公司分析!D$5,1),""))))))))</f>
        <v>农产品加工</v>
      </c>
      <c r="Z400" s="302" t="str">
        <f ca="1">IF(Y400=行业比较!$E$6,ROW(),"")</f>
        <v/>
      </c>
      <c r="AA400" s="122"/>
      <c r="AB400" s="122"/>
      <c r="AC400" s="122"/>
      <c r="AD400" s="122"/>
      <c r="AE400" s="122"/>
      <c r="AF400" s="122"/>
      <c r="AG400" s="122"/>
      <c r="AH400" s="122"/>
      <c r="AI400" s="122"/>
      <c r="AJ400" s="122"/>
      <c r="AK400" s="122"/>
      <c r="AL400" s="122"/>
      <c r="AM400" s="122"/>
      <c r="AN400" s="122"/>
      <c r="AO400" s="122"/>
      <c r="AP400" s="122"/>
    </row>
    <row r="401" spans="2:42">
      <c r="B401" s="122"/>
      <c r="C401" s="122"/>
      <c r="D401" s="122"/>
      <c r="E401" s="122"/>
      <c r="F401" s="122"/>
      <c r="G401" s="122"/>
      <c r="H401" s="122"/>
      <c r="I401" s="275"/>
      <c r="J401" s="130"/>
      <c r="K401" s="130"/>
      <c r="L401" s="130"/>
      <c r="M401" s="130"/>
      <c r="N401" s="291"/>
      <c r="O401" s="291"/>
      <c r="P401" s="122"/>
      <c r="Q401" s="122"/>
      <c r="R401" s="122"/>
      <c r="S401" s="122"/>
      <c r="T401" s="122"/>
      <c r="U401" s="301"/>
      <c r="V401" s="260">
        <f t="shared" ca="1" si="14"/>
        <v>0</v>
      </c>
      <c r="W401" s="348" t="str">
        <f>IF(板块成分!B403="","",板块成分!B403)</f>
        <v>000973.SZ</v>
      </c>
      <c r="X401" s="276" t="str">
        <f>[1]!S_Info_Name(W401)</f>
        <v>佛塑科技</v>
      </c>
      <c r="Y401" s="276" t="str">
        <f ca="1">IF($Y$3="申万一级行业",[1]!s_info_industry_sw_2021(W401,公司分析!D$5,1),IF($Y$3="申万二级行业",[1]!s_info_industry_sw_2021(W401,公司分析!D$5,2),IF($Y$3="申万三级行业",[1]!s_info_industry_sw_2021(W401,公司分析!D$5,3),IF($Y$3="wind一级行业",[1]!s_info_industry_gics(W401,1),IF($Y$3="wind二级行业",[1]!s_info_industry_gics(W401,2),IF($Y$3="wind三级行业",[1]!s_info_industry_gics(W401,3),IF($Y$3="wind四级行业",[1]!s_info_industry_gics(W401,4),IF($Y$3="证监会门类行业",[1]!s_info_industry_csrc12_n(W401,公司分析!D$5,1),""))))))))</f>
        <v>塑料</v>
      </c>
      <c r="Z401" s="302" t="str">
        <f ca="1">IF(Y401=行业比较!$E$6,ROW(),"")</f>
        <v/>
      </c>
      <c r="AA401" s="122"/>
      <c r="AB401" s="122"/>
      <c r="AC401" s="122"/>
      <c r="AD401" s="122"/>
      <c r="AE401" s="122"/>
      <c r="AF401" s="122"/>
      <c r="AG401" s="122"/>
      <c r="AH401" s="122"/>
      <c r="AI401" s="122"/>
      <c r="AJ401" s="122"/>
      <c r="AK401" s="122"/>
      <c r="AL401" s="122"/>
      <c r="AM401" s="122"/>
      <c r="AN401" s="122"/>
      <c r="AO401" s="122"/>
      <c r="AP401" s="122"/>
    </row>
    <row r="402" spans="2:42">
      <c r="B402" s="122"/>
      <c r="C402" s="122"/>
      <c r="D402" s="122"/>
      <c r="E402" s="122"/>
      <c r="F402" s="122"/>
      <c r="G402" s="122"/>
      <c r="H402" s="122"/>
      <c r="I402" s="275"/>
      <c r="J402" s="130"/>
      <c r="K402" s="130"/>
      <c r="L402" s="130"/>
      <c r="M402" s="130"/>
      <c r="N402" s="291"/>
      <c r="O402" s="291"/>
      <c r="P402" s="122"/>
      <c r="Q402" s="122"/>
      <c r="R402" s="122"/>
      <c r="S402" s="122"/>
      <c r="T402" s="122"/>
      <c r="U402" s="301"/>
      <c r="V402" s="260">
        <f t="shared" ca="1" si="14"/>
        <v>0</v>
      </c>
      <c r="W402" s="348" t="str">
        <f>IF(板块成分!B404="","",板块成分!B404)</f>
        <v>000975.SZ</v>
      </c>
      <c r="X402" s="276" t="str">
        <f>[1]!S_Info_Name(W402)</f>
        <v>山金国际</v>
      </c>
      <c r="Y402" s="276" t="str">
        <f ca="1">IF($Y$3="申万一级行业",[1]!s_info_industry_sw_2021(W402,公司分析!D$5,1),IF($Y$3="申万二级行业",[1]!s_info_industry_sw_2021(W402,公司分析!D$5,2),IF($Y$3="申万三级行业",[1]!s_info_industry_sw_2021(W402,公司分析!D$5,3),IF($Y$3="wind一级行业",[1]!s_info_industry_gics(W402,1),IF($Y$3="wind二级行业",[1]!s_info_industry_gics(W402,2),IF($Y$3="wind三级行业",[1]!s_info_industry_gics(W402,3),IF($Y$3="wind四级行业",[1]!s_info_industry_gics(W402,4),IF($Y$3="证监会门类行业",[1]!s_info_industry_csrc12_n(W402,公司分析!D$5,1),""))))))))</f>
        <v>贵金属</v>
      </c>
      <c r="Z402" s="302" t="str">
        <f ca="1">IF(Y402=行业比较!$E$6,ROW(),"")</f>
        <v/>
      </c>
      <c r="AA402" s="122"/>
      <c r="AB402" s="122"/>
      <c r="AC402" s="122"/>
      <c r="AD402" s="122"/>
      <c r="AE402" s="122"/>
      <c r="AF402" s="122"/>
      <c r="AG402" s="122"/>
      <c r="AH402" s="122"/>
      <c r="AI402" s="122"/>
      <c r="AJ402" s="122"/>
      <c r="AK402" s="122"/>
      <c r="AL402" s="122"/>
      <c r="AM402" s="122"/>
      <c r="AN402" s="122"/>
      <c r="AO402" s="122"/>
      <c r="AP402" s="122"/>
    </row>
    <row r="403" spans="2:42">
      <c r="B403" s="122"/>
      <c r="C403" s="122"/>
      <c r="D403" s="122"/>
      <c r="E403" s="122"/>
      <c r="F403" s="122"/>
      <c r="G403" s="122"/>
      <c r="H403" s="122"/>
      <c r="I403" s="275"/>
      <c r="J403" s="130"/>
      <c r="K403" s="130"/>
      <c r="L403" s="130"/>
      <c r="M403" s="130"/>
      <c r="N403" s="291"/>
      <c r="O403" s="291"/>
      <c r="P403" s="122"/>
      <c r="Q403" s="122"/>
      <c r="R403" s="122"/>
      <c r="S403" s="122"/>
      <c r="T403" s="122"/>
      <c r="U403" s="301"/>
      <c r="V403" s="260">
        <f t="shared" ca="1" si="14"/>
        <v>0</v>
      </c>
      <c r="W403" s="348" t="str">
        <f>IF(板块成分!B405="","",板块成分!B405)</f>
        <v>000977.SZ</v>
      </c>
      <c r="X403" s="276" t="str">
        <f>[1]!S_Info_Name(W403)</f>
        <v>浪潮信息</v>
      </c>
      <c r="Y403" s="276" t="str">
        <f ca="1">IF($Y$3="申万一级行业",[1]!s_info_industry_sw_2021(W403,公司分析!D$5,1),IF($Y$3="申万二级行业",[1]!s_info_industry_sw_2021(W403,公司分析!D$5,2),IF($Y$3="申万三级行业",[1]!s_info_industry_sw_2021(W403,公司分析!D$5,3),IF($Y$3="wind一级行业",[1]!s_info_industry_gics(W403,1),IF($Y$3="wind二级行业",[1]!s_info_industry_gics(W403,2),IF($Y$3="wind三级行业",[1]!s_info_industry_gics(W403,3),IF($Y$3="wind四级行业",[1]!s_info_industry_gics(W403,4),IF($Y$3="证监会门类行业",[1]!s_info_industry_csrc12_n(W403,公司分析!D$5,1),""))))))))</f>
        <v>计算机设备</v>
      </c>
      <c r="Z403" s="302" t="str">
        <f ca="1">IF(Y403=行业比较!$E$6,ROW(),"")</f>
        <v/>
      </c>
      <c r="AA403" s="122"/>
      <c r="AB403" s="122"/>
      <c r="AC403" s="122"/>
      <c r="AD403" s="122"/>
      <c r="AE403" s="122"/>
      <c r="AF403" s="122"/>
      <c r="AG403" s="122"/>
      <c r="AH403" s="122"/>
      <c r="AI403" s="122"/>
      <c r="AJ403" s="122"/>
      <c r="AK403" s="122"/>
      <c r="AL403" s="122"/>
      <c r="AM403" s="122"/>
      <c r="AN403" s="122"/>
      <c r="AO403" s="122"/>
      <c r="AP403" s="122"/>
    </row>
    <row r="404" spans="2:42">
      <c r="B404" s="122"/>
      <c r="C404" s="122"/>
      <c r="D404" s="122"/>
      <c r="E404" s="122"/>
      <c r="F404" s="122"/>
      <c r="G404" s="122"/>
      <c r="H404" s="122"/>
      <c r="I404" s="275"/>
      <c r="J404" s="130"/>
      <c r="K404" s="130"/>
      <c r="L404" s="130"/>
      <c r="M404" s="130"/>
      <c r="N404" s="291"/>
      <c r="O404" s="291"/>
      <c r="P404" s="122"/>
      <c r="Q404" s="122"/>
      <c r="R404" s="122"/>
      <c r="S404" s="122"/>
      <c r="T404" s="122"/>
      <c r="U404" s="301"/>
      <c r="V404" s="260">
        <f t="shared" ca="1" si="14"/>
        <v>0</v>
      </c>
      <c r="W404" s="348" t="str">
        <f>IF(板块成分!B406="","",板块成分!B406)</f>
        <v>000978.SZ</v>
      </c>
      <c r="X404" s="276" t="str">
        <f>[1]!S_Info_Name(W404)</f>
        <v>桂林旅游</v>
      </c>
      <c r="Y404" s="276" t="str">
        <f ca="1">IF($Y$3="申万一级行业",[1]!s_info_industry_sw_2021(W404,公司分析!D$5,1),IF($Y$3="申万二级行业",[1]!s_info_industry_sw_2021(W404,公司分析!D$5,2),IF($Y$3="申万三级行业",[1]!s_info_industry_sw_2021(W404,公司分析!D$5,3),IF($Y$3="wind一级行业",[1]!s_info_industry_gics(W404,1),IF($Y$3="wind二级行业",[1]!s_info_industry_gics(W404,2),IF($Y$3="wind三级行业",[1]!s_info_industry_gics(W404,3),IF($Y$3="wind四级行业",[1]!s_info_industry_gics(W404,4),IF($Y$3="证监会门类行业",[1]!s_info_industry_csrc12_n(W404,公司分析!D$5,1),""))))))))</f>
        <v>旅游及景区</v>
      </c>
      <c r="Z404" s="302" t="str">
        <f ca="1">IF(Y404=行业比较!$E$6,ROW(),"")</f>
        <v/>
      </c>
      <c r="AA404" s="122"/>
      <c r="AB404" s="122"/>
      <c r="AC404" s="122"/>
      <c r="AD404" s="122"/>
      <c r="AE404" s="122"/>
      <c r="AF404" s="122"/>
      <c r="AG404" s="122"/>
      <c r="AH404" s="122"/>
      <c r="AI404" s="122"/>
      <c r="AJ404" s="122"/>
      <c r="AK404" s="122"/>
      <c r="AL404" s="122"/>
      <c r="AM404" s="122"/>
      <c r="AN404" s="122"/>
      <c r="AO404" s="122"/>
      <c r="AP404" s="122"/>
    </row>
    <row r="405" spans="2:42">
      <c r="B405" s="122"/>
      <c r="C405" s="122"/>
      <c r="D405" s="122"/>
      <c r="E405" s="122"/>
      <c r="F405" s="122"/>
      <c r="G405" s="122"/>
      <c r="H405" s="122"/>
      <c r="I405" s="275"/>
      <c r="J405" s="130"/>
      <c r="K405" s="130"/>
      <c r="L405" s="130"/>
      <c r="M405" s="130"/>
      <c r="N405" s="291"/>
      <c r="O405" s="291"/>
      <c r="P405" s="122"/>
      <c r="Q405" s="122"/>
      <c r="R405" s="122"/>
      <c r="S405" s="122"/>
      <c r="T405" s="122"/>
      <c r="U405" s="301"/>
      <c r="V405" s="260">
        <f t="shared" ca="1" si="14"/>
        <v>0</v>
      </c>
      <c r="W405" s="348" t="str">
        <f>IF(板块成分!B407="","",板块成分!B407)</f>
        <v>000980.SZ</v>
      </c>
      <c r="X405" s="276" t="str">
        <f>[1]!S_Info_Name(W405)</f>
        <v>众泰汽车</v>
      </c>
      <c r="Y405" s="276" t="str">
        <f ca="1">IF($Y$3="申万一级行业",[1]!s_info_industry_sw_2021(W405,公司分析!D$5,1),IF($Y$3="申万二级行业",[1]!s_info_industry_sw_2021(W405,公司分析!D$5,2),IF($Y$3="申万三级行业",[1]!s_info_industry_sw_2021(W405,公司分析!D$5,3),IF($Y$3="wind一级行业",[1]!s_info_industry_gics(W405,1),IF($Y$3="wind二级行业",[1]!s_info_industry_gics(W405,2),IF($Y$3="wind三级行业",[1]!s_info_industry_gics(W405,3),IF($Y$3="wind四级行业",[1]!s_info_industry_gics(W405,4),IF($Y$3="证监会门类行业",[1]!s_info_industry_csrc12_n(W405,公司分析!D$5,1),""))))))))</f>
        <v>汽车零部件</v>
      </c>
      <c r="Z405" s="302" t="str">
        <f ca="1">IF(Y405=行业比较!$E$6,ROW(),"")</f>
        <v/>
      </c>
      <c r="AA405" s="122"/>
      <c r="AB405" s="122"/>
      <c r="AC405" s="122"/>
      <c r="AD405" s="122"/>
      <c r="AE405" s="122"/>
      <c r="AF405" s="122"/>
      <c r="AG405" s="122"/>
      <c r="AH405" s="122"/>
      <c r="AI405" s="122"/>
      <c r="AJ405" s="122"/>
      <c r="AK405" s="122"/>
      <c r="AL405" s="122"/>
      <c r="AM405" s="122"/>
      <c r="AN405" s="122"/>
      <c r="AO405" s="122"/>
      <c r="AP405" s="122"/>
    </row>
    <row r="406" spans="2:42">
      <c r="B406" s="122"/>
      <c r="C406" s="122"/>
      <c r="D406" s="122"/>
      <c r="E406" s="122"/>
      <c r="F406" s="122"/>
      <c r="G406" s="122"/>
      <c r="H406" s="122"/>
      <c r="I406" s="275"/>
      <c r="J406" s="130"/>
      <c r="K406" s="130"/>
      <c r="L406" s="130"/>
      <c r="M406" s="130"/>
      <c r="N406" s="291"/>
      <c r="O406" s="291"/>
      <c r="P406" s="122"/>
      <c r="Q406" s="122"/>
      <c r="R406" s="122"/>
      <c r="S406" s="122"/>
      <c r="T406" s="122"/>
      <c r="U406" s="301"/>
      <c r="V406" s="260">
        <f t="shared" ca="1" si="14"/>
        <v>0</v>
      </c>
      <c r="W406" s="348" t="str">
        <f>IF(板块成分!B408="","",板块成分!B408)</f>
        <v>000981.SZ</v>
      </c>
      <c r="X406" s="276" t="str">
        <f>[1]!S_Info_Name(W406)</f>
        <v>山子高科</v>
      </c>
      <c r="Y406" s="276" t="str">
        <f ca="1">IF($Y$3="申万一级行业",[1]!s_info_industry_sw_2021(W406,公司分析!D$5,1),IF($Y$3="申万二级行业",[1]!s_info_industry_sw_2021(W406,公司分析!D$5,2),IF($Y$3="申万三级行业",[1]!s_info_industry_sw_2021(W406,公司分析!D$5,3),IF($Y$3="wind一级行业",[1]!s_info_industry_gics(W406,1),IF($Y$3="wind二级行业",[1]!s_info_industry_gics(W406,2),IF($Y$3="wind三级行业",[1]!s_info_industry_gics(W406,3),IF($Y$3="wind四级行业",[1]!s_info_industry_gics(W406,4),IF($Y$3="证监会门类行业",[1]!s_info_industry_csrc12_n(W406,公司分析!D$5,1),""))))))))</f>
        <v>汽车零部件</v>
      </c>
      <c r="Z406" s="302" t="str">
        <f ca="1">IF(Y406=行业比较!$E$6,ROW(),"")</f>
        <v/>
      </c>
      <c r="AA406" s="122"/>
      <c r="AB406" s="122"/>
      <c r="AC406" s="122"/>
      <c r="AD406" s="122"/>
      <c r="AE406" s="122"/>
      <c r="AF406" s="122"/>
      <c r="AG406" s="122"/>
      <c r="AH406" s="122"/>
      <c r="AI406" s="122"/>
      <c r="AJ406" s="122"/>
      <c r="AK406" s="122"/>
      <c r="AL406" s="122"/>
      <c r="AM406" s="122"/>
      <c r="AN406" s="122"/>
      <c r="AO406" s="122"/>
      <c r="AP406" s="122"/>
    </row>
    <row r="407" spans="2:42">
      <c r="B407" s="122"/>
      <c r="C407" s="122"/>
      <c r="D407" s="122"/>
      <c r="E407" s="122"/>
      <c r="F407" s="122"/>
      <c r="G407" s="122"/>
      <c r="H407" s="122"/>
      <c r="I407" s="275"/>
      <c r="J407" s="130"/>
      <c r="K407" s="130"/>
      <c r="L407" s="130"/>
      <c r="M407" s="130"/>
      <c r="N407" s="291"/>
      <c r="O407" s="291"/>
      <c r="P407" s="122"/>
      <c r="Q407" s="122"/>
      <c r="R407" s="122"/>
      <c r="S407" s="122"/>
      <c r="T407" s="122"/>
      <c r="U407" s="301"/>
      <c r="V407" s="260">
        <f t="shared" ca="1" si="14"/>
        <v>0</v>
      </c>
      <c r="W407" s="348" t="str">
        <f>IF(板块成分!B409="","",板块成分!B409)</f>
        <v>000983.SZ</v>
      </c>
      <c r="X407" s="276" t="str">
        <f>[1]!S_Info_Name(W407)</f>
        <v>山西焦煤</v>
      </c>
      <c r="Y407" s="276" t="str">
        <f ca="1">IF($Y$3="申万一级行业",[1]!s_info_industry_sw_2021(W407,公司分析!D$5,1),IF($Y$3="申万二级行业",[1]!s_info_industry_sw_2021(W407,公司分析!D$5,2),IF($Y$3="申万三级行业",[1]!s_info_industry_sw_2021(W407,公司分析!D$5,3),IF($Y$3="wind一级行业",[1]!s_info_industry_gics(W407,1),IF($Y$3="wind二级行业",[1]!s_info_industry_gics(W407,2),IF($Y$3="wind三级行业",[1]!s_info_industry_gics(W407,3),IF($Y$3="wind四级行业",[1]!s_info_industry_gics(W407,4),IF($Y$3="证监会门类行业",[1]!s_info_industry_csrc12_n(W407,公司分析!D$5,1),""))))))))</f>
        <v>煤炭开采</v>
      </c>
      <c r="Z407" s="302" t="str">
        <f ca="1">IF(Y407=行业比较!$E$6,ROW(),"")</f>
        <v/>
      </c>
      <c r="AA407" s="122"/>
      <c r="AB407" s="122"/>
      <c r="AC407" s="122"/>
      <c r="AD407" s="122"/>
      <c r="AE407" s="122"/>
      <c r="AF407" s="122"/>
      <c r="AG407" s="122"/>
      <c r="AH407" s="122"/>
      <c r="AI407" s="122"/>
      <c r="AJ407" s="122"/>
      <c r="AK407" s="122"/>
      <c r="AL407" s="122"/>
      <c r="AM407" s="122"/>
      <c r="AN407" s="122"/>
      <c r="AO407" s="122"/>
      <c r="AP407" s="122"/>
    </row>
    <row r="408" spans="2:42">
      <c r="B408" s="122"/>
      <c r="C408" s="122"/>
      <c r="D408" s="122"/>
      <c r="E408" s="122"/>
      <c r="F408" s="122"/>
      <c r="G408" s="122"/>
      <c r="H408" s="122"/>
      <c r="I408" s="275"/>
      <c r="J408" s="130"/>
      <c r="K408" s="130"/>
      <c r="L408" s="130"/>
      <c r="M408" s="130"/>
      <c r="N408" s="291"/>
      <c r="O408" s="291"/>
      <c r="P408" s="122"/>
      <c r="Q408" s="122"/>
      <c r="R408" s="122"/>
      <c r="S408" s="122"/>
      <c r="T408" s="122"/>
      <c r="U408" s="301"/>
      <c r="V408" s="260">
        <f t="shared" ca="1" si="14"/>
        <v>0</v>
      </c>
      <c r="W408" s="348" t="str">
        <f>IF(板块成分!B410="","",板块成分!B410)</f>
        <v>000985.SZ</v>
      </c>
      <c r="X408" s="276" t="str">
        <f>[1]!S_Info_Name(W408)</f>
        <v>大庆华科</v>
      </c>
      <c r="Y408" s="276" t="str">
        <f ca="1">IF($Y$3="申万一级行业",[1]!s_info_industry_sw_2021(W408,公司分析!D$5,1),IF($Y$3="申万二级行业",[1]!s_info_industry_sw_2021(W408,公司分析!D$5,2),IF($Y$3="申万三级行业",[1]!s_info_industry_sw_2021(W408,公司分析!D$5,3),IF($Y$3="wind一级行业",[1]!s_info_industry_gics(W408,1),IF($Y$3="wind二级行业",[1]!s_info_industry_gics(W408,2),IF($Y$3="wind三级行业",[1]!s_info_industry_gics(W408,3),IF($Y$3="wind四级行业",[1]!s_info_industry_gics(W408,4),IF($Y$3="证监会门类行业",[1]!s_info_industry_csrc12_n(W408,公司分析!D$5,1),""))))))))</f>
        <v>炼化及贸易</v>
      </c>
      <c r="Z408" s="302" t="str">
        <f ca="1">IF(Y408=行业比较!$E$6,ROW(),"")</f>
        <v/>
      </c>
      <c r="AA408" s="122"/>
      <c r="AB408" s="122"/>
      <c r="AC408" s="122"/>
      <c r="AD408" s="122"/>
      <c r="AE408" s="122"/>
      <c r="AF408" s="122"/>
      <c r="AG408" s="122"/>
      <c r="AH408" s="122"/>
      <c r="AI408" s="122"/>
      <c r="AJ408" s="122"/>
      <c r="AK408" s="122"/>
      <c r="AL408" s="122"/>
      <c r="AM408" s="122"/>
      <c r="AN408" s="122"/>
      <c r="AO408" s="122"/>
      <c r="AP408" s="122"/>
    </row>
    <row r="409" spans="2:42">
      <c r="B409" s="122"/>
      <c r="C409" s="122"/>
      <c r="D409" s="122"/>
      <c r="E409" s="122"/>
      <c r="F409" s="122"/>
      <c r="G409" s="122"/>
      <c r="H409" s="122"/>
      <c r="I409" s="275"/>
      <c r="J409" s="130"/>
      <c r="K409" s="130"/>
      <c r="L409" s="130"/>
      <c r="M409" s="130"/>
      <c r="N409" s="291"/>
      <c r="O409" s="291"/>
      <c r="P409" s="122"/>
      <c r="Q409" s="122"/>
      <c r="R409" s="122"/>
      <c r="S409" s="122"/>
      <c r="T409" s="122"/>
      <c r="U409" s="301"/>
      <c r="V409" s="260">
        <f t="shared" ca="1" si="14"/>
        <v>0</v>
      </c>
      <c r="W409" s="348" t="str">
        <f>IF(板块成分!B411="","",板块成分!B411)</f>
        <v>000987.SZ</v>
      </c>
      <c r="X409" s="276" t="str">
        <f>[1]!S_Info_Name(W409)</f>
        <v>越秀资本</v>
      </c>
      <c r="Y409" s="276" t="str">
        <f ca="1">IF($Y$3="申万一级行业",[1]!s_info_industry_sw_2021(W409,公司分析!D$5,1),IF($Y$3="申万二级行业",[1]!s_info_industry_sw_2021(W409,公司分析!D$5,2),IF($Y$3="申万三级行业",[1]!s_info_industry_sw_2021(W409,公司分析!D$5,3),IF($Y$3="wind一级行业",[1]!s_info_industry_gics(W409,1),IF($Y$3="wind二级行业",[1]!s_info_industry_gics(W409,2),IF($Y$3="wind三级行业",[1]!s_info_industry_gics(W409,3),IF($Y$3="wind四级行业",[1]!s_info_industry_gics(W409,4),IF($Y$3="证监会门类行业",[1]!s_info_industry_csrc12_n(W409,公司分析!D$5,1),""))))))))</f>
        <v>多元金融</v>
      </c>
      <c r="Z409" s="302" t="str">
        <f ca="1">IF(Y409=行业比较!$E$6,ROW(),"")</f>
        <v/>
      </c>
      <c r="AA409" s="122"/>
      <c r="AB409" s="122"/>
      <c r="AC409" s="122"/>
      <c r="AD409" s="122"/>
      <c r="AE409" s="122"/>
      <c r="AF409" s="122"/>
      <c r="AG409" s="122"/>
      <c r="AH409" s="122"/>
      <c r="AI409" s="122"/>
      <c r="AJ409" s="122"/>
      <c r="AK409" s="122"/>
      <c r="AL409" s="122"/>
      <c r="AM409" s="122"/>
      <c r="AN409" s="122"/>
      <c r="AO409" s="122"/>
      <c r="AP409" s="122"/>
    </row>
    <row r="410" spans="2:42">
      <c r="B410" s="122"/>
      <c r="C410" s="122"/>
      <c r="D410" s="122"/>
      <c r="E410" s="122"/>
      <c r="F410" s="122"/>
      <c r="G410" s="122"/>
      <c r="H410" s="122"/>
      <c r="I410" s="275"/>
      <c r="J410" s="130"/>
      <c r="K410" s="130"/>
      <c r="L410" s="130"/>
      <c r="M410" s="130"/>
      <c r="N410" s="291"/>
      <c r="O410" s="291"/>
      <c r="P410" s="122"/>
      <c r="Q410" s="122"/>
      <c r="R410" s="122"/>
      <c r="S410" s="122"/>
      <c r="T410" s="122"/>
      <c r="U410" s="301"/>
      <c r="V410" s="260">
        <f t="shared" ca="1" si="14"/>
        <v>0</v>
      </c>
      <c r="W410" s="348" t="str">
        <f>IF(板块成分!B412="","",板块成分!B412)</f>
        <v>000988.SZ</v>
      </c>
      <c r="X410" s="276" t="str">
        <f>[1]!S_Info_Name(W410)</f>
        <v>华工科技</v>
      </c>
      <c r="Y410" s="276" t="str">
        <f ca="1">IF($Y$3="申万一级行业",[1]!s_info_industry_sw_2021(W410,公司分析!D$5,1),IF($Y$3="申万二级行业",[1]!s_info_industry_sw_2021(W410,公司分析!D$5,2),IF($Y$3="申万三级行业",[1]!s_info_industry_sw_2021(W410,公司分析!D$5,3),IF($Y$3="wind一级行业",[1]!s_info_industry_gics(W410,1),IF($Y$3="wind二级行业",[1]!s_info_industry_gics(W410,2),IF($Y$3="wind三级行业",[1]!s_info_industry_gics(W410,3),IF($Y$3="wind四级行业",[1]!s_info_industry_gics(W410,4),IF($Y$3="证监会门类行业",[1]!s_info_industry_csrc12_n(W410,公司分析!D$5,1),""))))))))</f>
        <v>自动化设备</v>
      </c>
      <c r="Z410" s="302" t="str">
        <f ca="1">IF(Y410=行业比较!$E$6,ROW(),"")</f>
        <v/>
      </c>
      <c r="AA410" s="122"/>
      <c r="AB410" s="122"/>
      <c r="AC410" s="122"/>
      <c r="AD410" s="122"/>
      <c r="AE410" s="122"/>
      <c r="AF410" s="122"/>
      <c r="AG410" s="122"/>
      <c r="AH410" s="122"/>
      <c r="AI410" s="122"/>
      <c r="AJ410" s="122"/>
      <c r="AK410" s="122"/>
      <c r="AL410" s="122"/>
      <c r="AM410" s="122"/>
      <c r="AN410" s="122"/>
      <c r="AO410" s="122"/>
      <c r="AP410" s="122"/>
    </row>
    <row r="411" spans="2:42">
      <c r="B411" s="122"/>
      <c r="C411" s="122"/>
      <c r="D411" s="122"/>
      <c r="E411" s="122"/>
      <c r="F411" s="122"/>
      <c r="G411" s="122"/>
      <c r="H411" s="122"/>
      <c r="I411" s="275"/>
      <c r="J411" s="130"/>
      <c r="K411" s="130"/>
      <c r="L411" s="130"/>
      <c r="M411" s="130"/>
      <c r="N411" s="291"/>
      <c r="O411" s="291"/>
      <c r="P411" s="122"/>
      <c r="Q411" s="122"/>
      <c r="R411" s="122"/>
      <c r="S411" s="122"/>
      <c r="T411" s="122"/>
      <c r="U411" s="301"/>
      <c r="V411" s="260">
        <f t="shared" ca="1" si="14"/>
        <v>0</v>
      </c>
      <c r="W411" s="348" t="str">
        <f>IF(板块成分!B413="","",板块成分!B413)</f>
        <v>000989.SZ</v>
      </c>
      <c r="X411" s="276" t="str">
        <f>[1]!S_Info_Name(W411)</f>
        <v>九芝堂</v>
      </c>
      <c r="Y411" s="276" t="str">
        <f ca="1">IF($Y$3="申万一级行业",[1]!s_info_industry_sw_2021(W411,公司分析!D$5,1),IF($Y$3="申万二级行业",[1]!s_info_industry_sw_2021(W411,公司分析!D$5,2),IF($Y$3="申万三级行业",[1]!s_info_industry_sw_2021(W411,公司分析!D$5,3),IF($Y$3="wind一级行业",[1]!s_info_industry_gics(W411,1),IF($Y$3="wind二级行业",[1]!s_info_industry_gics(W411,2),IF($Y$3="wind三级行业",[1]!s_info_industry_gics(W411,3),IF($Y$3="wind四级行业",[1]!s_info_industry_gics(W411,4),IF($Y$3="证监会门类行业",[1]!s_info_industry_csrc12_n(W411,公司分析!D$5,1),""))))))))</f>
        <v>中药Ⅱ</v>
      </c>
      <c r="Z411" s="302" t="str">
        <f ca="1">IF(Y411=行业比较!$E$6,ROW(),"")</f>
        <v/>
      </c>
      <c r="AA411" s="122"/>
      <c r="AB411" s="122"/>
      <c r="AC411" s="122"/>
      <c r="AD411" s="122"/>
      <c r="AE411" s="122"/>
      <c r="AF411" s="122"/>
      <c r="AG411" s="122"/>
      <c r="AH411" s="122"/>
      <c r="AI411" s="122"/>
      <c r="AJ411" s="122"/>
      <c r="AK411" s="122"/>
      <c r="AL411" s="122"/>
      <c r="AM411" s="122"/>
      <c r="AN411" s="122"/>
      <c r="AO411" s="122"/>
      <c r="AP411" s="122"/>
    </row>
    <row r="412" spans="2:42">
      <c r="B412" s="122"/>
      <c r="C412" s="122"/>
      <c r="D412" s="122"/>
      <c r="E412" s="122"/>
      <c r="F412" s="122"/>
      <c r="G412" s="122"/>
      <c r="H412" s="122"/>
      <c r="I412" s="275"/>
      <c r="J412" s="130"/>
      <c r="K412" s="130"/>
      <c r="L412" s="130"/>
      <c r="M412" s="130"/>
      <c r="N412" s="291"/>
      <c r="O412" s="291"/>
      <c r="P412" s="122"/>
      <c r="Q412" s="122"/>
      <c r="R412" s="122"/>
      <c r="S412" s="122"/>
      <c r="T412" s="122"/>
      <c r="U412" s="301"/>
      <c r="V412" s="260">
        <f t="shared" ca="1" si="14"/>
        <v>0</v>
      </c>
      <c r="W412" s="348" t="str">
        <f>IF(板块成分!B414="","",板块成分!B414)</f>
        <v>000990.SZ</v>
      </c>
      <c r="X412" s="276" t="str">
        <f>[1]!S_Info_Name(W412)</f>
        <v>诚志股份</v>
      </c>
      <c r="Y412" s="276" t="str">
        <f ca="1">IF($Y$3="申万一级行业",[1]!s_info_industry_sw_2021(W412,公司分析!D$5,1),IF($Y$3="申万二级行业",[1]!s_info_industry_sw_2021(W412,公司分析!D$5,2),IF($Y$3="申万三级行业",[1]!s_info_industry_sw_2021(W412,公司分析!D$5,3),IF($Y$3="wind一级行业",[1]!s_info_industry_gics(W412,1),IF($Y$3="wind二级行业",[1]!s_info_industry_gics(W412,2),IF($Y$3="wind三级行业",[1]!s_info_industry_gics(W412,3),IF($Y$3="wind四级行业",[1]!s_info_industry_gics(W412,4),IF($Y$3="证监会门类行业",[1]!s_info_industry_csrc12_n(W412,公司分析!D$5,1),""))))))))</f>
        <v>化学原料</v>
      </c>
      <c r="Z412" s="302" t="str">
        <f ca="1">IF(Y412=行业比较!$E$6,ROW(),"")</f>
        <v/>
      </c>
      <c r="AA412" s="122"/>
      <c r="AB412" s="122"/>
      <c r="AC412" s="122"/>
      <c r="AD412" s="122"/>
      <c r="AE412" s="122"/>
      <c r="AF412" s="122"/>
      <c r="AG412" s="122"/>
      <c r="AH412" s="122"/>
      <c r="AI412" s="122"/>
      <c r="AJ412" s="122"/>
      <c r="AK412" s="122"/>
      <c r="AL412" s="122"/>
      <c r="AM412" s="122"/>
      <c r="AN412" s="122"/>
      <c r="AO412" s="122"/>
      <c r="AP412" s="122"/>
    </row>
    <row r="413" spans="2:42">
      <c r="B413" s="122"/>
      <c r="C413" s="122"/>
      <c r="D413" s="122"/>
      <c r="E413" s="122"/>
      <c r="F413" s="122"/>
      <c r="G413" s="122"/>
      <c r="H413" s="122"/>
      <c r="I413" s="275"/>
      <c r="J413" s="130"/>
      <c r="K413" s="130"/>
      <c r="L413" s="130"/>
      <c r="M413" s="130"/>
      <c r="N413" s="291"/>
      <c r="O413" s="291"/>
      <c r="P413" s="122"/>
      <c r="Q413" s="122"/>
      <c r="R413" s="122"/>
      <c r="S413" s="122"/>
      <c r="T413" s="122"/>
      <c r="U413" s="301"/>
      <c r="V413" s="260">
        <f t="shared" ca="1" si="14"/>
        <v>0</v>
      </c>
      <c r="W413" s="348" t="str">
        <f>IF(板块成分!B415="","",板块成分!B415)</f>
        <v>000993.SZ</v>
      </c>
      <c r="X413" s="276" t="str">
        <f>[1]!S_Info_Name(W413)</f>
        <v>闽东电力</v>
      </c>
      <c r="Y413" s="276" t="str">
        <f ca="1">IF($Y$3="申万一级行业",[1]!s_info_industry_sw_2021(W413,公司分析!D$5,1),IF($Y$3="申万二级行业",[1]!s_info_industry_sw_2021(W413,公司分析!D$5,2),IF($Y$3="申万三级行业",[1]!s_info_industry_sw_2021(W413,公司分析!D$5,3),IF($Y$3="wind一级行业",[1]!s_info_industry_gics(W413,1),IF($Y$3="wind二级行业",[1]!s_info_industry_gics(W413,2),IF($Y$3="wind三级行业",[1]!s_info_industry_gics(W413,3),IF($Y$3="wind四级行业",[1]!s_info_industry_gics(W413,4),IF($Y$3="证监会门类行业",[1]!s_info_industry_csrc12_n(W413,公司分析!D$5,1),""))))))))</f>
        <v>电力</v>
      </c>
      <c r="Z413" s="302" t="str">
        <f ca="1">IF(Y413=行业比较!$E$6,ROW(),"")</f>
        <v/>
      </c>
      <c r="AA413" s="122"/>
      <c r="AB413" s="122"/>
      <c r="AC413" s="122"/>
      <c r="AD413" s="122"/>
      <c r="AE413" s="122"/>
      <c r="AF413" s="122"/>
      <c r="AG413" s="122"/>
      <c r="AH413" s="122"/>
      <c r="AI413" s="122"/>
      <c r="AJ413" s="122"/>
      <c r="AK413" s="122"/>
      <c r="AL413" s="122"/>
      <c r="AM413" s="122"/>
      <c r="AN413" s="122"/>
      <c r="AO413" s="122"/>
      <c r="AP413" s="122"/>
    </row>
    <row r="414" spans="2:42">
      <c r="B414" s="122"/>
      <c r="C414" s="122"/>
      <c r="D414" s="122"/>
      <c r="E414" s="122"/>
      <c r="F414" s="122"/>
      <c r="G414" s="122"/>
      <c r="H414" s="122"/>
      <c r="I414" s="275"/>
      <c r="J414" s="130"/>
      <c r="K414" s="130"/>
      <c r="L414" s="130"/>
      <c r="M414" s="130"/>
      <c r="N414" s="291"/>
      <c r="O414" s="291"/>
      <c r="P414" s="122"/>
      <c r="Q414" s="122"/>
      <c r="R414" s="122"/>
      <c r="S414" s="122"/>
      <c r="T414" s="122"/>
      <c r="U414" s="301"/>
      <c r="V414" s="260">
        <f t="shared" ca="1" si="14"/>
        <v>0</v>
      </c>
      <c r="W414" s="348" t="str">
        <f>IF(板块成分!B416="","",板块成分!B416)</f>
        <v>000995.SZ</v>
      </c>
      <c r="X414" s="276" t="str">
        <f>[1]!S_Info_Name(W414)</f>
        <v>皇台酒业</v>
      </c>
      <c r="Y414" s="276" t="str">
        <f ca="1">IF($Y$3="申万一级行业",[1]!s_info_industry_sw_2021(W414,公司分析!D$5,1),IF($Y$3="申万二级行业",[1]!s_info_industry_sw_2021(W414,公司分析!D$5,2),IF($Y$3="申万三级行业",[1]!s_info_industry_sw_2021(W414,公司分析!D$5,3),IF($Y$3="wind一级行业",[1]!s_info_industry_gics(W414,1),IF($Y$3="wind二级行业",[1]!s_info_industry_gics(W414,2),IF($Y$3="wind三级行业",[1]!s_info_industry_gics(W414,3),IF($Y$3="wind四级行业",[1]!s_info_industry_gics(W414,4),IF($Y$3="证监会门类行业",[1]!s_info_industry_csrc12_n(W414,公司分析!D$5,1),""))))))))</f>
        <v>白酒Ⅱ</v>
      </c>
      <c r="Z414" s="302" t="str">
        <f ca="1">IF(Y414=行业比较!$E$6,ROW(),"")</f>
        <v/>
      </c>
      <c r="AA414" s="122"/>
      <c r="AB414" s="122"/>
      <c r="AC414" s="122"/>
      <c r="AD414" s="122"/>
      <c r="AE414" s="122"/>
      <c r="AF414" s="122"/>
      <c r="AG414" s="122"/>
      <c r="AH414" s="122"/>
      <c r="AI414" s="122"/>
      <c r="AJ414" s="122"/>
      <c r="AK414" s="122"/>
      <c r="AL414" s="122"/>
      <c r="AM414" s="122"/>
      <c r="AN414" s="122"/>
      <c r="AO414" s="122"/>
      <c r="AP414" s="122"/>
    </row>
    <row r="415" spans="2:42">
      <c r="B415" s="122"/>
      <c r="C415" s="122"/>
      <c r="D415" s="122"/>
      <c r="E415" s="122"/>
      <c r="F415" s="122"/>
      <c r="G415" s="122"/>
      <c r="H415" s="122"/>
      <c r="I415" s="275"/>
      <c r="J415" s="130"/>
      <c r="K415" s="130"/>
      <c r="L415" s="130"/>
      <c r="M415" s="130"/>
      <c r="N415" s="291"/>
      <c r="O415" s="291"/>
      <c r="P415" s="122"/>
      <c r="Q415" s="122"/>
      <c r="R415" s="122"/>
      <c r="S415" s="122"/>
      <c r="T415" s="122"/>
      <c r="U415" s="301"/>
      <c r="V415" s="260">
        <f t="shared" ca="1" si="14"/>
        <v>0</v>
      </c>
      <c r="W415" s="348" t="str">
        <f>IF(板块成分!B417="","",板块成分!B417)</f>
        <v>000997.SZ</v>
      </c>
      <c r="X415" s="276" t="str">
        <f>[1]!S_Info_Name(W415)</f>
        <v>新大陆</v>
      </c>
      <c r="Y415" s="276" t="str">
        <f ca="1">IF($Y$3="申万一级行业",[1]!s_info_industry_sw_2021(W415,公司分析!D$5,1),IF($Y$3="申万二级行业",[1]!s_info_industry_sw_2021(W415,公司分析!D$5,2),IF($Y$3="申万三级行业",[1]!s_info_industry_sw_2021(W415,公司分析!D$5,3),IF($Y$3="wind一级行业",[1]!s_info_industry_gics(W415,1),IF($Y$3="wind二级行业",[1]!s_info_industry_gics(W415,2),IF($Y$3="wind三级行业",[1]!s_info_industry_gics(W415,3),IF($Y$3="wind四级行业",[1]!s_info_industry_gics(W415,4),IF($Y$3="证监会门类行业",[1]!s_info_industry_csrc12_n(W415,公司分析!D$5,1),""))))))))</f>
        <v>计算机设备</v>
      </c>
      <c r="Z415" s="302" t="str">
        <f ca="1">IF(Y415=行业比较!$E$6,ROW(),"")</f>
        <v/>
      </c>
      <c r="AA415" s="122"/>
      <c r="AB415" s="122"/>
      <c r="AC415" s="122"/>
      <c r="AD415" s="122"/>
      <c r="AE415" s="122"/>
      <c r="AF415" s="122"/>
      <c r="AG415" s="122"/>
      <c r="AH415" s="122"/>
      <c r="AI415" s="122"/>
      <c r="AJ415" s="122"/>
      <c r="AK415" s="122"/>
      <c r="AL415" s="122"/>
      <c r="AM415" s="122"/>
      <c r="AN415" s="122"/>
      <c r="AO415" s="122"/>
      <c r="AP415" s="122"/>
    </row>
    <row r="416" spans="2:42">
      <c r="B416" s="122"/>
      <c r="C416" s="122"/>
      <c r="D416" s="122"/>
      <c r="E416" s="122"/>
      <c r="F416" s="122"/>
      <c r="G416" s="122"/>
      <c r="H416" s="122"/>
      <c r="I416" s="275"/>
      <c r="J416" s="130"/>
      <c r="K416" s="130"/>
      <c r="L416" s="130"/>
      <c r="M416" s="130"/>
      <c r="N416" s="291"/>
      <c r="O416" s="291"/>
      <c r="P416" s="122"/>
      <c r="Q416" s="122"/>
      <c r="R416" s="122"/>
      <c r="S416" s="122"/>
      <c r="T416" s="122"/>
      <c r="U416" s="301"/>
      <c r="V416" s="260">
        <f t="shared" ca="1" si="14"/>
        <v>0</v>
      </c>
      <c r="W416" s="348" t="str">
        <f>IF(板块成分!B418="","",板块成分!B418)</f>
        <v>000998.SZ</v>
      </c>
      <c r="X416" s="276" t="str">
        <f>[1]!S_Info_Name(W416)</f>
        <v>隆平高科</v>
      </c>
      <c r="Y416" s="276" t="str">
        <f ca="1">IF($Y$3="申万一级行业",[1]!s_info_industry_sw_2021(W416,公司分析!D$5,1),IF($Y$3="申万二级行业",[1]!s_info_industry_sw_2021(W416,公司分析!D$5,2),IF($Y$3="申万三级行业",[1]!s_info_industry_sw_2021(W416,公司分析!D$5,3),IF($Y$3="wind一级行业",[1]!s_info_industry_gics(W416,1),IF($Y$3="wind二级行业",[1]!s_info_industry_gics(W416,2),IF($Y$3="wind三级行业",[1]!s_info_industry_gics(W416,3),IF($Y$3="wind四级行业",[1]!s_info_industry_gics(W416,4),IF($Y$3="证监会门类行业",[1]!s_info_industry_csrc12_n(W416,公司分析!D$5,1),""))))))))</f>
        <v>种植业</v>
      </c>
      <c r="Z416" s="302" t="str">
        <f ca="1">IF(Y416=行业比较!$E$6,ROW(),"")</f>
        <v/>
      </c>
      <c r="AA416" s="122"/>
      <c r="AB416" s="122"/>
      <c r="AC416" s="122"/>
      <c r="AD416" s="122"/>
      <c r="AE416" s="122"/>
      <c r="AF416" s="122"/>
      <c r="AG416" s="122"/>
      <c r="AH416" s="122"/>
      <c r="AI416" s="122"/>
      <c r="AJ416" s="122"/>
      <c r="AK416" s="122"/>
      <c r="AL416" s="122"/>
      <c r="AM416" s="122"/>
      <c r="AN416" s="122"/>
      <c r="AO416" s="122"/>
      <c r="AP416" s="122"/>
    </row>
    <row r="417" spans="2:42">
      <c r="B417" s="122"/>
      <c r="C417" s="122"/>
      <c r="D417" s="122"/>
      <c r="E417" s="122"/>
      <c r="F417" s="122"/>
      <c r="G417" s="122"/>
      <c r="H417" s="122"/>
      <c r="I417" s="275"/>
      <c r="J417" s="130"/>
      <c r="K417" s="130"/>
      <c r="L417" s="130"/>
      <c r="M417" s="130"/>
      <c r="N417" s="291"/>
      <c r="O417" s="291"/>
      <c r="P417" s="122"/>
      <c r="Q417" s="122"/>
      <c r="R417" s="122"/>
      <c r="S417" s="122"/>
      <c r="T417" s="122"/>
      <c r="U417" s="301"/>
      <c r="V417" s="260">
        <f t="shared" ca="1" si="14"/>
        <v>0</v>
      </c>
      <c r="W417" s="348" t="str">
        <f>IF(板块成分!B419="","",板块成分!B419)</f>
        <v>000999.SZ</v>
      </c>
      <c r="X417" s="276" t="str">
        <f>[1]!S_Info_Name(W417)</f>
        <v>华润三九</v>
      </c>
      <c r="Y417" s="276" t="str">
        <f ca="1">IF($Y$3="申万一级行业",[1]!s_info_industry_sw_2021(W417,公司分析!D$5,1),IF($Y$3="申万二级行业",[1]!s_info_industry_sw_2021(W417,公司分析!D$5,2),IF($Y$3="申万三级行业",[1]!s_info_industry_sw_2021(W417,公司分析!D$5,3),IF($Y$3="wind一级行业",[1]!s_info_industry_gics(W417,1),IF($Y$3="wind二级行业",[1]!s_info_industry_gics(W417,2),IF($Y$3="wind三级行业",[1]!s_info_industry_gics(W417,3),IF($Y$3="wind四级行业",[1]!s_info_industry_gics(W417,4),IF($Y$3="证监会门类行业",[1]!s_info_industry_csrc12_n(W417,公司分析!D$5,1),""))))))))</f>
        <v>中药Ⅱ</v>
      </c>
      <c r="Z417" s="302" t="str">
        <f ca="1">IF(Y417=行业比较!$E$6,ROW(),"")</f>
        <v/>
      </c>
      <c r="AA417" s="122"/>
      <c r="AB417" s="122"/>
      <c r="AC417" s="122"/>
      <c r="AD417" s="122"/>
      <c r="AE417" s="122"/>
      <c r="AF417" s="122"/>
      <c r="AG417" s="122"/>
      <c r="AH417" s="122"/>
      <c r="AI417" s="122"/>
      <c r="AJ417" s="122"/>
      <c r="AK417" s="122"/>
      <c r="AL417" s="122"/>
      <c r="AM417" s="122"/>
      <c r="AN417" s="122"/>
      <c r="AO417" s="122"/>
      <c r="AP417" s="122"/>
    </row>
    <row r="418" spans="2:42">
      <c r="B418" s="122"/>
      <c r="C418" s="122"/>
      <c r="D418" s="122"/>
      <c r="E418" s="122"/>
      <c r="F418" s="122"/>
      <c r="G418" s="122"/>
      <c r="H418" s="122"/>
      <c r="I418" s="275"/>
      <c r="J418" s="130"/>
      <c r="K418" s="130"/>
      <c r="L418" s="130"/>
      <c r="M418" s="130"/>
      <c r="N418" s="291"/>
      <c r="O418" s="291"/>
      <c r="P418" s="122"/>
      <c r="Q418" s="122"/>
      <c r="R418" s="122"/>
      <c r="S418" s="122"/>
      <c r="T418" s="122"/>
      <c r="U418" s="301"/>
      <c r="V418" s="260">
        <f t="shared" ca="1" si="14"/>
        <v>0</v>
      </c>
      <c r="W418" s="348" t="str">
        <f>IF(板块成分!B420="","",板块成分!B420)</f>
        <v>001201.SZ</v>
      </c>
      <c r="X418" s="276" t="str">
        <f>[1]!S_Info_Name(W418)</f>
        <v>东瑞股份</v>
      </c>
      <c r="Y418" s="276" t="str">
        <f ca="1">IF($Y$3="申万一级行业",[1]!s_info_industry_sw_2021(W418,公司分析!D$5,1),IF($Y$3="申万二级行业",[1]!s_info_industry_sw_2021(W418,公司分析!D$5,2),IF($Y$3="申万三级行业",[1]!s_info_industry_sw_2021(W418,公司分析!D$5,3),IF($Y$3="wind一级行业",[1]!s_info_industry_gics(W418,1),IF($Y$3="wind二级行业",[1]!s_info_industry_gics(W418,2),IF($Y$3="wind三级行业",[1]!s_info_industry_gics(W418,3),IF($Y$3="wind四级行业",[1]!s_info_industry_gics(W418,4),IF($Y$3="证监会门类行业",[1]!s_info_industry_csrc12_n(W418,公司分析!D$5,1),""))))))))</f>
        <v>养殖业</v>
      </c>
      <c r="Z418" s="302" t="str">
        <f ca="1">IF(Y418=行业比较!$E$6,ROW(),"")</f>
        <v/>
      </c>
      <c r="AA418" s="122"/>
      <c r="AB418" s="122"/>
      <c r="AC418" s="122"/>
      <c r="AD418" s="122"/>
      <c r="AE418" s="122"/>
      <c r="AF418" s="122"/>
      <c r="AG418" s="122"/>
      <c r="AH418" s="122"/>
      <c r="AI418" s="122"/>
      <c r="AJ418" s="122"/>
      <c r="AK418" s="122"/>
      <c r="AL418" s="122"/>
      <c r="AM418" s="122"/>
      <c r="AN418" s="122"/>
      <c r="AO418" s="122"/>
      <c r="AP418" s="122"/>
    </row>
    <row r="419" spans="2:42">
      <c r="B419" s="122"/>
      <c r="C419" s="122"/>
      <c r="D419" s="122"/>
      <c r="E419" s="122"/>
      <c r="F419" s="122"/>
      <c r="G419" s="122"/>
      <c r="H419" s="122"/>
      <c r="I419" s="275"/>
      <c r="J419" s="130"/>
      <c r="K419" s="130"/>
      <c r="L419" s="130"/>
      <c r="M419" s="130"/>
      <c r="N419" s="291"/>
      <c r="O419" s="291"/>
      <c r="P419" s="122"/>
      <c r="Q419" s="122"/>
      <c r="R419" s="122"/>
      <c r="S419" s="122"/>
      <c r="T419" s="122"/>
      <c r="U419" s="301"/>
      <c r="V419" s="260">
        <f t="shared" ca="1" si="14"/>
        <v>0</v>
      </c>
      <c r="W419" s="348" t="str">
        <f>IF(板块成分!B421="","",板块成分!B421)</f>
        <v>001202.SZ</v>
      </c>
      <c r="X419" s="276" t="str">
        <f>[1]!S_Info_Name(W419)</f>
        <v>炬申股份</v>
      </c>
      <c r="Y419" s="276" t="str">
        <f ca="1">IF($Y$3="申万一级行业",[1]!s_info_industry_sw_2021(W419,公司分析!D$5,1),IF($Y$3="申万二级行业",[1]!s_info_industry_sw_2021(W419,公司分析!D$5,2),IF($Y$3="申万三级行业",[1]!s_info_industry_sw_2021(W419,公司分析!D$5,3),IF($Y$3="wind一级行业",[1]!s_info_industry_gics(W419,1),IF($Y$3="wind二级行业",[1]!s_info_industry_gics(W419,2),IF($Y$3="wind三级行业",[1]!s_info_industry_gics(W419,3),IF($Y$3="wind四级行业",[1]!s_info_industry_gics(W419,4),IF($Y$3="证监会门类行业",[1]!s_info_industry_csrc12_n(W419,公司分析!D$5,1),""))))))))</f>
        <v>物流</v>
      </c>
      <c r="Z419" s="302" t="str">
        <f ca="1">IF(Y419=行业比较!$E$6,ROW(),"")</f>
        <v/>
      </c>
      <c r="AA419" s="122"/>
      <c r="AB419" s="122"/>
      <c r="AC419" s="122"/>
      <c r="AD419" s="122"/>
      <c r="AE419" s="122"/>
      <c r="AF419" s="122"/>
      <c r="AG419" s="122"/>
      <c r="AH419" s="122"/>
      <c r="AI419" s="122"/>
      <c r="AJ419" s="122"/>
      <c r="AK419" s="122"/>
      <c r="AL419" s="122"/>
      <c r="AM419" s="122"/>
      <c r="AN419" s="122"/>
      <c r="AO419" s="122"/>
      <c r="AP419" s="122"/>
    </row>
    <row r="420" spans="2:42">
      <c r="B420" s="122"/>
      <c r="C420" s="122"/>
      <c r="D420" s="122"/>
      <c r="E420" s="122"/>
      <c r="F420" s="122"/>
      <c r="G420" s="122"/>
      <c r="H420" s="122"/>
      <c r="I420" s="275"/>
      <c r="J420" s="130"/>
      <c r="K420" s="130"/>
      <c r="L420" s="130"/>
      <c r="M420" s="130"/>
      <c r="N420" s="291"/>
      <c r="O420" s="291"/>
      <c r="P420" s="122"/>
      <c r="Q420" s="122"/>
      <c r="R420" s="122"/>
      <c r="S420" s="122"/>
      <c r="T420" s="122"/>
      <c r="U420" s="301"/>
      <c r="V420" s="260">
        <f t="shared" ca="1" si="14"/>
        <v>0</v>
      </c>
      <c r="W420" s="348" t="str">
        <f>IF(板块成分!B422="","",板块成分!B422)</f>
        <v>001203.SZ</v>
      </c>
      <c r="X420" s="276" t="str">
        <f>[1]!S_Info_Name(W420)</f>
        <v>大中矿业</v>
      </c>
      <c r="Y420" s="276" t="str">
        <f ca="1">IF($Y$3="申万一级行业",[1]!s_info_industry_sw_2021(W420,公司分析!D$5,1),IF($Y$3="申万二级行业",[1]!s_info_industry_sw_2021(W420,公司分析!D$5,2),IF($Y$3="申万三级行业",[1]!s_info_industry_sw_2021(W420,公司分析!D$5,3),IF($Y$3="wind一级行业",[1]!s_info_industry_gics(W420,1),IF($Y$3="wind二级行业",[1]!s_info_industry_gics(W420,2),IF($Y$3="wind三级行业",[1]!s_info_industry_gics(W420,3),IF($Y$3="wind四级行业",[1]!s_info_industry_gics(W420,4),IF($Y$3="证监会门类行业",[1]!s_info_industry_csrc12_n(W420,公司分析!D$5,1),""))))))))</f>
        <v>冶钢原料</v>
      </c>
      <c r="Z420" s="302" t="str">
        <f ca="1">IF(Y420=行业比较!$E$6,ROW(),"")</f>
        <v/>
      </c>
      <c r="AA420" s="122"/>
      <c r="AB420" s="122"/>
      <c r="AC420" s="122"/>
      <c r="AD420" s="122"/>
      <c r="AE420" s="122"/>
      <c r="AF420" s="122"/>
      <c r="AG420" s="122"/>
      <c r="AH420" s="122"/>
      <c r="AI420" s="122"/>
      <c r="AJ420" s="122"/>
      <c r="AK420" s="122"/>
      <c r="AL420" s="122"/>
      <c r="AM420" s="122"/>
      <c r="AN420" s="122"/>
      <c r="AO420" s="122"/>
      <c r="AP420" s="122"/>
    </row>
    <row r="421" spans="2:42">
      <c r="B421" s="122"/>
      <c r="C421" s="122"/>
      <c r="D421" s="122"/>
      <c r="E421" s="122"/>
      <c r="F421" s="122"/>
      <c r="G421" s="122"/>
      <c r="H421" s="122"/>
      <c r="I421" s="275"/>
      <c r="J421" s="130"/>
      <c r="K421" s="130"/>
      <c r="L421" s="130"/>
      <c r="M421" s="130"/>
      <c r="N421" s="291"/>
      <c r="O421" s="291"/>
      <c r="P421" s="122"/>
      <c r="Q421" s="122"/>
      <c r="R421" s="122"/>
      <c r="S421" s="122"/>
      <c r="T421" s="122"/>
      <c r="U421" s="301"/>
      <c r="V421" s="260">
        <f t="shared" ca="1" si="14"/>
        <v>0</v>
      </c>
      <c r="W421" s="348" t="str">
        <f>IF(板块成分!B423="","",板块成分!B423)</f>
        <v>001205.SZ</v>
      </c>
      <c r="X421" s="276" t="str">
        <f>[1]!S_Info_Name(W421)</f>
        <v>盛航股份</v>
      </c>
      <c r="Y421" s="276" t="str">
        <f ca="1">IF($Y$3="申万一级行业",[1]!s_info_industry_sw_2021(W421,公司分析!D$5,1),IF($Y$3="申万二级行业",[1]!s_info_industry_sw_2021(W421,公司分析!D$5,2),IF($Y$3="申万三级行业",[1]!s_info_industry_sw_2021(W421,公司分析!D$5,3),IF($Y$3="wind一级行业",[1]!s_info_industry_gics(W421,1),IF($Y$3="wind二级行业",[1]!s_info_industry_gics(W421,2),IF($Y$3="wind三级行业",[1]!s_info_industry_gics(W421,3),IF($Y$3="wind四级行业",[1]!s_info_industry_gics(W421,4),IF($Y$3="证监会门类行业",[1]!s_info_industry_csrc12_n(W421,公司分析!D$5,1),""))))))))</f>
        <v>航运港口</v>
      </c>
      <c r="Z421" s="302" t="str">
        <f ca="1">IF(Y421=行业比较!$E$6,ROW(),"")</f>
        <v/>
      </c>
      <c r="AA421" s="122"/>
      <c r="AB421" s="122"/>
      <c r="AC421" s="122"/>
      <c r="AD421" s="122"/>
      <c r="AE421" s="122"/>
      <c r="AF421" s="122"/>
      <c r="AG421" s="122"/>
      <c r="AH421" s="122"/>
      <c r="AI421" s="122"/>
      <c r="AJ421" s="122"/>
      <c r="AK421" s="122"/>
      <c r="AL421" s="122"/>
      <c r="AM421" s="122"/>
      <c r="AN421" s="122"/>
      <c r="AO421" s="122"/>
      <c r="AP421" s="122"/>
    </row>
    <row r="422" spans="2:42">
      <c r="B422" s="122"/>
      <c r="C422" s="122"/>
      <c r="D422" s="122"/>
      <c r="E422" s="122"/>
      <c r="F422" s="122"/>
      <c r="G422" s="122"/>
      <c r="H422" s="122"/>
      <c r="I422" s="275"/>
      <c r="J422" s="130"/>
      <c r="K422" s="130"/>
      <c r="L422" s="130"/>
      <c r="M422" s="130"/>
      <c r="N422" s="291"/>
      <c r="O422" s="291"/>
      <c r="P422" s="122"/>
      <c r="Q422" s="122"/>
      <c r="R422" s="122"/>
      <c r="S422" s="122"/>
      <c r="T422" s="122"/>
      <c r="U422" s="301"/>
      <c r="V422" s="260">
        <f t="shared" ca="1" si="14"/>
        <v>0</v>
      </c>
      <c r="W422" s="348" t="str">
        <f>IF(板块成分!B424="","",板块成分!B424)</f>
        <v>001206.SZ</v>
      </c>
      <c r="X422" s="276" t="str">
        <f>[1]!S_Info_Name(W422)</f>
        <v>依依股份</v>
      </c>
      <c r="Y422" s="276" t="str">
        <f ca="1">IF($Y$3="申万一级行业",[1]!s_info_industry_sw_2021(W422,公司分析!D$5,1),IF($Y$3="申万二级行业",[1]!s_info_industry_sw_2021(W422,公司分析!D$5,2),IF($Y$3="申万三级行业",[1]!s_info_industry_sw_2021(W422,公司分析!D$5,3),IF($Y$3="wind一级行业",[1]!s_info_industry_gics(W422,1),IF($Y$3="wind二级行业",[1]!s_info_industry_gics(W422,2),IF($Y$3="wind三级行业",[1]!s_info_industry_gics(W422,3),IF($Y$3="wind四级行业",[1]!s_info_industry_gics(W422,4),IF($Y$3="证监会门类行业",[1]!s_info_industry_csrc12_n(W422,公司分析!D$5,1),""))))))))</f>
        <v>个护用品</v>
      </c>
      <c r="Z422" s="302" t="str">
        <f ca="1">IF(Y422=行业比较!$E$6,ROW(),"")</f>
        <v/>
      </c>
      <c r="AA422" s="122"/>
      <c r="AB422" s="122"/>
      <c r="AC422" s="122"/>
      <c r="AD422" s="122"/>
      <c r="AE422" s="122"/>
      <c r="AF422" s="122"/>
      <c r="AG422" s="122"/>
      <c r="AH422" s="122"/>
      <c r="AI422" s="122"/>
      <c r="AJ422" s="122"/>
      <c r="AK422" s="122"/>
      <c r="AL422" s="122"/>
      <c r="AM422" s="122"/>
      <c r="AN422" s="122"/>
      <c r="AO422" s="122"/>
      <c r="AP422" s="122"/>
    </row>
    <row r="423" spans="2:42">
      <c r="B423" s="122"/>
      <c r="C423" s="122"/>
      <c r="D423" s="122"/>
      <c r="E423" s="122"/>
      <c r="F423" s="122"/>
      <c r="G423" s="122"/>
      <c r="H423" s="122"/>
      <c r="I423" s="275"/>
      <c r="J423" s="130"/>
      <c r="K423" s="130"/>
      <c r="L423" s="130"/>
      <c r="M423" s="130"/>
      <c r="N423" s="291"/>
      <c r="O423" s="291"/>
      <c r="P423" s="122"/>
      <c r="Q423" s="122"/>
      <c r="R423" s="122"/>
      <c r="S423" s="122"/>
      <c r="T423" s="122"/>
      <c r="U423" s="301"/>
      <c r="V423" s="260">
        <f t="shared" ca="1" si="14"/>
        <v>0</v>
      </c>
      <c r="W423" s="348" t="str">
        <f>IF(板块成分!B425="","",板块成分!B425)</f>
        <v>001207.SZ</v>
      </c>
      <c r="X423" s="276" t="str">
        <f>[1]!S_Info_Name(W423)</f>
        <v>联科科技</v>
      </c>
      <c r="Y423" s="276" t="str">
        <f ca="1">IF($Y$3="申万一级行业",[1]!s_info_industry_sw_2021(W423,公司分析!D$5,1),IF($Y$3="申万二级行业",[1]!s_info_industry_sw_2021(W423,公司分析!D$5,2),IF($Y$3="申万三级行业",[1]!s_info_industry_sw_2021(W423,公司分析!D$5,3),IF($Y$3="wind一级行业",[1]!s_info_industry_gics(W423,1),IF($Y$3="wind二级行业",[1]!s_info_industry_gics(W423,2),IF($Y$3="wind三级行业",[1]!s_info_industry_gics(W423,3),IF($Y$3="wind四级行业",[1]!s_info_industry_gics(W423,4),IF($Y$3="证监会门类行业",[1]!s_info_industry_csrc12_n(W423,公司分析!D$5,1),""))))))))</f>
        <v>橡胶</v>
      </c>
      <c r="Z423" s="302" t="str">
        <f ca="1">IF(Y423=行业比较!$E$6,ROW(),"")</f>
        <v/>
      </c>
      <c r="AA423" s="122"/>
      <c r="AB423" s="122"/>
      <c r="AC423" s="122"/>
      <c r="AD423" s="122"/>
      <c r="AE423" s="122"/>
      <c r="AF423" s="122"/>
      <c r="AG423" s="122"/>
      <c r="AH423" s="122"/>
      <c r="AI423" s="122"/>
      <c r="AJ423" s="122"/>
      <c r="AK423" s="122"/>
      <c r="AL423" s="122"/>
      <c r="AM423" s="122"/>
      <c r="AN423" s="122"/>
      <c r="AO423" s="122"/>
      <c r="AP423" s="122"/>
    </row>
    <row r="424" spans="2:42">
      <c r="B424" s="122"/>
      <c r="C424" s="122"/>
      <c r="D424" s="122"/>
      <c r="E424" s="122"/>
      <c r="F424" s="122"/>
      <c r="G424" s="122"/>
      <c r="H424" s="122"/>
      <c r="I424" s="275"/>
      <c r="J424" s="130"/>
      <c r="K424" s="130"/>
      <c r="L424" s="130"/>
      <c r="M424" s="130"/>
      <c r="N424" s="291"/>
      <c r="O424" s="291"/>
      <c r="P424" s="122"/>
      <c r="Q424" s="122"/>
      <c r="R424" s="122"/>
      <c r="S424" s="122"/>
      <c r="T424" s="122"/>
      <c r="U424" s="301"/>
      <c r="V424" s="260">
        <f t="shared" ca="1" si="14"/>
        <v>0</v>
      </c>
      <c r="W424" s="348" t="str">
        <f>IF(板块成分!B426="","",板块成分!B426)</f>
        <v>001208.SZ</v>
      </c>
      <c r="X424" s="276" t="str">
        <f>[1]!S_Info_Name(W424)</f>
        <v>华菱线缆</v>
      </c>
      <c r="Y424" s="276" t="str">
        <f ca="1">IF($Y$3="申万一级行业",[1]!s_info_industry_sw_2021(W424,公司分析!D$5,1),IF($Y$3="申万二级行业",[1]!s_info_industry_sw_2021(W424,公司分析!D$5,2),IF($Y$3="申万三级行业",[1]!s_info_industry_sw_2021(W424,公司分析!D$5,3),IF($Y$3="wind一级行业",[1]!s_info_industry_gics(W424,1),IF($Y$3="wind二级行业",[1]!s_info_industry_gics(W424,2),IF($Y$3="wind三级行业",[1]!s_info_industry_gics(W424,3),IF($Y$3="wind四级行业",[1]!s_info_industry_gics(W424,4),IF($Y$3="证监会门类行业",[1]!s_info_industry_csrc12_n(W424,公司分析!D$5,1),""))))))))</f>
        <v>电网设备</v>
      </c>
      <c r="Z424" s="302" t="str">
        <f ca="1">IF(Y424=行业比较!$E$6,ROW(),"")</f>
        <v/>
      </c>
      <c r="AA424" s="122"/>
      <c r="AB424" s="122"/>
      <c r="AC424" s="122"/>
      <c r="AD424" s="122"/>
      <c r="AE424" s="122"/>
      <c r="AF424" s="122"/>
      <c r="AG424" s="122"/>
      <c r="AH424" s="122"/>
      <c r="AI424" s="122"/>
      <c r="AJ424" s="122"/>
      <c r="AK424" s="122"/>
      <c r="AL424" s="122"/>
      <c r="AM424" s="122"/>
      <c r="AN424" s="122"/>
      <c r="AO424" s="122"/>
      <c r="AP424" s="122"/>
    </row>
    <row r="425" spans="2:42">
      <c r="B425" s="122"/>
      <c r="C425" s="122"/>
      <c r="D425" s="122"/>
      <c r="E425" s="122"/>
      <c r="F425" s="122"/>
      <c r="G425" s="122"/>
      <c r="H425" s="122"/>
      <c r="I425" s="275"/>
      <c r="J425" s="130"/>
      <c r="K425" s="130"/>
      <c r="L425" s="130"/>
      <c r="M425" s="130"/>
      <c r="N425" s="291"/>
      <c r="O425" s="291"/>
      <c r="P425" s="122"/>
      <c r="Q425" s="122"/>
      <c r="R425" s="122"/>
      <c r="S425" s="122"/>
      <c r="T425" s="122"/>
      <c r="U425" s="301"/>
      <c r="V425" s="260">
        <f t="shared" ca="1" si="14"/>
        <v>0</v>
      </c>
      <c r="W425" s="348" t="str">
        <f>IF(板块成分!B427="","",板块成分!B427)</f>
        <v>001209.SZ</v>
      </c>
      <c r="X425" s="276" t="str">
        <f>[1]!S_Info_Name(W425)</f>
        <v>洪兴股份</v>
      </c>
      <c r="Y425" s="276" t="str">
        <f ca="1">IF($Y$3="申万一级行业",[1]!s_info_industry_sw_2021(W425,公司分析!D$5,1),IF($Y$3="申万二级行业",[1]!s_info_industry_sw_2021(W425,公司分析!D$5,2),IF($Y$3="申万三级行业",[1]!s_info_industry_sw_2021(W425,公司分析!D$5,3),IF($Y$3="wind一级行业",[1]!s_info_industry_gics(W425,1),IF($Y$3="wind二级行业",[1]!s_info_industry_gics(W425,2),IF($Y$3="wind三级行业",[1]!s_info_industry_gics(W425,3),IF($Y$3="wind四级行业",[1]!s_info_industry_gics(W425,4),IF($Y$3="证监会门类行业",[1]!s_info_industry_csrc12_n(W425,公司分析!D$5,1),""))))))))</f>
        <v>服装家纺</v>
      </c>
      <c r="Z425" s="302" t="str">
        <f ca="1">IF(Y425=行业比较!$E$6,ROW(),"")</f>
        <v/>
      </c>
      <c r="AA425" s="122"/>
      <c r="AB425" s="122"/>
      <c r="AC425" s="122"/>
      <c r="AD425" s="122"/>
      <c r="AE425" s="122"/>
      <c r="AF425" s="122"/>
      <c r="AG425" s="122"/>
      <c r="AH425" s="122"/>
      <c r="AI425" s="122"/>
      <c r="AJ425" s="122"/>
      <c r="AK425" s="122"/>
      <c r="AL425" s="122"/>
      <c r="AM425" s="122"/>
      <c r="AN425" s="122"/>
      <c r="AO425" s="122"/>
      <c r="AP425" s="122"/>
    </row>
    <row r="426" spans="2:42">
      <c r="B426" s="122"/>
      <c r="C426" s="122"/>
      <c r="D426" s="122"/>
      <c r="E426" s="122"/>
      <c r="F426" s="122"/>
      <c r="G426" s="122"/>
      <c r="H426" s="122"/>
      <c r="I426" s="275"/>
      <c r="J426" s="130"/>
      <c r="K426" s="130"/>
      <c r="L426" s="130"/>
      <c r="M426" s="130"/>
      <c r="N426" s="291"/>
      <c r="O426" s="291"/>
      <c r="P426" s="122"/>
      <c r="Q426" s="122"/>
      <c r="R426" s="122"/>
      <c r="S426" s="122"/>
      <c r="T426" s="122"/>
      <c r="U426" s="301"/>
      <c r="V426" s="260">
        <f t="shared" ca="1" si="14"/>
        <v>0</v>
      </c>
      <c r="W426" s="348" t="str">
        <f>IF(板块成分!B428="","",板块成分!B428)</f>
        <v>001210.SZ</v>
      </c>
      <c r="X426" s="276" t="str">
        <f>[1]!S_Info_Name(W426)</f>
        <v>金房能源</v>
      </c>
      <c r="Y426" s="276" t="str">
        <f ca="1">IF($Y$3="申万一级行业",[1]!s_info_industry_sw_2021(W426,公司分析!D$5,1),IF($Y$3="申万二级行业",[1]!s_info_industry_sw_2021(W426,公司分析!D$5,2),IF($Y$3="申万三级行业",[1]!s_info_industry_sw_2021(W426,公司分析!D$5,3),IF($Y$3="wind一级行业",[1]!s_info_industry_gics(W426,1),IF($Y$3="wind二级行业",[1]!s_info_industry_gics(W426,2),IF($Y$3="wind三级行业",[1]!s_info_industry_gics(W426,3),IF($Y$3="wind四级行业",[1]!s_info_industry_gics(W426,4),IF($Y$3="证监会门类行业",[1]!s_info_industry_csrc12_n(W426,公司分析!D$5,1),""))))))))</f>
        <v>电力</v>
      </c>
      <c r="Z426" s="302" t="str">
        <f ca="1">IF(Y426=行业比较!$E$6,ROW(),"")</f>
        <v/>
      </c>
      <c r="AA426" s="122"/>
      <c r="AB426" s="122"/>
      <c r="AC426" s="122"/>
      <c r="AD426" s="122"/>
      <c r="AE426" s="122"/>
      <c r="AF426" s="122"/>
      <c r="AG426" s="122"/>
      <c r="AH426" s="122"/>
      <c r="AI426" s="122"/>
      <c r="AJ426" s="122"/>
      <c r="AK426" s="122"/>
      <c r="AL426" s="122"/>
      <c r="AM426" s="122"/>
      <c r="AN426" s="122"/>
      <c r="AO426" s="122"/>
      <c r="AP426" s="122"/>
    </row>
    <row r="427" spans="2:42">
      <c r="B427" s="122"/>
      <c r="C427" s="122"/>
      <c r="D427" s="122"/>
      <c r="E427" s="122"/>
      <c r="F427" s="122"/>
      <c r="G427" s="122"/>
      <c r="H427" s="122"/>
      <c r="I427" s="275"/>
      <c r="J427" s="130"/>
      <c r="K427" s="130"/>
      <c r="L427" s="130"/>
      <c r="M427" s="130"/>
      <c r="N427" s="291"/>
      <c r="O427" s="291"/>
      <c r="P427" s="122"/>
      <c r="Q427" s="122"/>
      <c r="R427" s="122"/>
      <c r="S427" s="122"/>
      <c r="T427" s="122"/>
      <c r="U427" s="301"/>
      <c r="V427" s="260">
        <f t="shared" ca="1" si="14"/>
        <v>0</v>
      </c>
      <c r="W427" s="348" t="str">
        <f>IF(板块成分!B429="","",板块成分!B429)</f>
        <v>001211.SZ</v>
      </c>
      <c r="X427" s="276" t="str">
        <f>[1]!S_Info_Name(W427)</f>
        <v>双枪科技</v>
      </c>
      <c r="Y427" s="276" t="str">
        <f ca="1">IF($Y$3="申万一级行业",[1]!s_info_industry_sw_2021(W427,公司分析!D$5,1),IF($Y$3="申万二级行业",[1]!s_info_industry_sw_2021(W427,公司分析!D$5,2),IF($Y$3="申万三级行业",[1]!s_info_industry_sw_2021(W427,公司分析!D$5,3),IF($Y$3="wind一级行业",[1]!s_info_industry_gics(W427,1),IF($Y$3="wind二级行业",[1]!s_info_industry_gics(W427,2),IF($Y$3="wind三级行业",[1]!s_info_industry_gics(W427,3),IF($Y$3="wind四级行业",[1]!s_info_industry_gics(W427,4),IF($Y$3="证监会门类行业",[1]!s_info_industry_csrc12_n(W427,公司分析!D$5,1),""))))))))</f>
        <v>家居用品</v>
      </c>
      <c r="Z427" s="302" t="str">
        <f ca="1">IF(Y427=行业比较!$E$6,ROW(),"")</f>
        <v/>
      </c>
      <c r="AA427" s="122"/>
      <c r="AB427" s="122"/>
      <c r="AC427" s="122"/>
      <c r="AD427" s="122"/>
      <c r="AE427" s="122"/>
      <c r="AF427" s="122"/>
      <c r="AG427" s="122"/>
      <c r="AH427" s="122"/>
      <c r="AI427" s="122"/>
      <c r="AJ427" s="122"/>
      <c r="AK427" s="122"/>
      <c r="AL427" s="122"/>
      <c r="AM427" s="122"/>
      <c r="AN427" s="122"/>
      <c r="AO427" s="122"/>
      <c r="AP427" s="122"/>
    </row>
    <row r="428" spans="2:42">
      <c r="B428" s="122"/>
      <c r="C428" s="122"/>
      <c r="D428" s="122"/>
      <c r="E428" s="122"/>
      <c r="F428" s="122"/>
      <c r="G428" s="122"/>
      <c r="H428" s="122"/>
      <c r="I428" s="275"/>
      <c r="J428" s="130"/>
      <c r="K428" s="130"/>
      <c r="L428" s="130"/>
      <c r="M428" s="130"/>
      <c r="N428" s="291"/>
      <c r="O428" s="291"/>
      <c r="P428" s="122"/>
      <c r="Q428" s="122"/>
      <c r="R428" s="122"/>
      <c r="S428" s="122"/>
      <c r="T428" s="122"/>
      <c r="U428" s="301"/>
      <c r="V428" s="260">
        <f t="shared" ca="1" si="14"/>
        <v>0</v>
      </c>
      <c r="W428" s="348" t="str">
        <f>IF(板块成分!B430="","",板块成分!B430)</f>
        <v>001212.SZ</v>
      </c>
      <c r="X428" s="276" t="str">
        <f>[1]!S_Info_Name(W428)</f>
        <v>中旗新材</v>
      </c>
      <c r="Y428" s="276" t="str">
        <f ca="1">IF($Y$3="申万一级行业",[1]!s_info_industry_sw_2021(W428,公司分析!D$5,1),IF($Y$3="申万二级行业",[1]!s_info_industry_sw_2021(W428,公司分析!D$5,2),IF($Y$3="申万三级行业",[1]!s_info_industry_sw_2021(W428,公司分析!D$5,3),IF($Y$3="wind一级行业",[1]!s_info_industry_gics(W428,1),IF($Y$3="wind二级行业",[1]!s_info_industry_gics(W428,2),IF($Y$3="wind三级行业",[1]!s_info_industry_gics(W428,3),IF($Y$3="wind四级行业",[1]!s_info_industry_gics(W428,4),IF($Y$3="证监会门类行业",[1]!s_info_industry_csrc12_n(W428,公司分析!D$5,1),""))))))))</f>
        <v>装修建材</v>
      </c>
      <c r="Z428" s="302" t="str">
        <f ca="1">IF(Y428=行业比较!$E$6,ROW(),"")</f>
        <v/>
      </c>
      <c r="AA428" s="122"/>
      <c r="AB428" s="122"/>
      <c r="AC428" s="122"/>
      <c r="AD428" s="122"/>
      <c r="AE428" s="122"/>
      <c r="AF428" s="122"/>
      <c r="AG428" s="122"/>
      <c r="AH428" s="122"/>
      <c r="AI428" s="122"/>
      <c r="AJ428" s="122"/>
      <c r="AK428" s="122"/>
      <c r="AL428" s="122"/>
      <c r="AM428" s="122"/>
      <c r="AN428" s="122"/>
      <c r="AO428" s="122"/>
      <c r="AP428" s="122"/>
    </row>
    <row r="429" spans="2:42">
      <c r="B429" s="122"/>
      <c r="C429" s="122"/>
      <c r="D429" s="122"/>
      <c r="E429" s="122"/>
      <c r="F429" s="122"/>
      <c r="G429" s="122"/>
      <c r="H429" s="122"/>
      <c r="I429" s="275"/>
      <c r="J429" s="130"/>
      <c r="K429" s="130"/>
      <c r="L429" s="130"/>
      <c r="M429" s="130"/>
      <c r="N429" s="291"/>
      <c r="O429" s="291"/>
      <c r="P429" s="122"/>
      <c r="Q429" s="122"/>
      <c r="R429" s="122"/>
      <c r="S429" s="122"/>
      <c r="T429" s="122"/>
      <c r="U429" s="301"/>
      <c r="V429" s="260">
        <f t="shared" ca="1" si="14"/>
        <v>0</v>
      </c>
      <c r="W429" s="348" t="str">
        <f>IF(板块成分!B431="","",板块成分!B431)</f>
        <v>001213.SZ</v>
      </c>
      <c r="X429" s="276" t="str">
        <f>[1]!S_Info_Name(W429)</f>
        <v>中铁特货</v>
      </c>
      <c r="Y429" s="276" t="str">
        <f ca="1">IF($Y$3="申万一级行业",[1]!s_info_industry_sw_2021(W429,公司分析!D$5,1),IF($Y$3="申万二级行业",[1]!s_info_industry_sw_2021(W429,公司分析!D$5,2),IF($Y$3="申万三级行业",[1]!s_info_industry_sw_2021(W429,公司分析!D$5,3),IF($Y$3="wind一级行业",[1]!s_info_industry_gics(W429,1),IF($Y$3="wind二级行业",[1]!s_info_industry_gics(W429,2),IF($Y$3="wind三级行业",[1]!s_info_industry_gics(W429,3),IF($Y$3="wind四级行业",[1]!s_info_industry_gics(W429,4),IF($Y$3="证监会门类行业",[1]!s_info_industry_csrc12_n(W429,公司分析!D$5,1),""))))))))</f>
        <v>铁路公路</v>
      </c>
      <c r="Z429" s="302" t="str">
        <f ca="1">IF(Y429=行业比较!$E$6,ROW(),"")</f>
        <v/>
      </c>
      <c r="AA429" s="122"/>
      <c r="AB429" s="122"/>
      <c r="AC429" s="122"/>
      <c r="AD429" s="122"/>
      <c r="AE429" s="122"/>
      <c r="AF429" s="122"/>
      <c r="AG429" s="122"/>
      <c r="AH429" s="122"/>
      <c r="AI429" s="122"/>
      <c r="AJ429" s="122"/>
      <c r="AK429" s="122"/>
      <c r="AL429" s="122"/>
      <c r="AM429" s="122"/>
      <c r="AN429" s="122"/>
      <c r="AO429" s="122"/>
      <c r="AP429" s="122"/>
    </row>
    <row r="430" spans="2:42">
      <c r="B430" s="122"/>
      <c r="C430" s="122"/>
      <c r="D430" s="122"/>
      <c r="E430" s="122"/>
      <c r="F430" s="122"/>
      <c r="G430" s="122"/>
      <c r="H430" s="122"/>
      <c r="I430" s="275"/>
      <c r="J430" s="130"/>
      <c r="K430" s="130"/>
      <c r="L430" s="130"/>
      <c r="M430" s="130"/>
      <c r="N430" s="291"/>
      <c r="O430" s="291"/>
      <c r="P430" s="122"/>
      <c r="Q430" s="122"/>
      <c r="R430" s="122"/>
      <c r="S430" s="122"/>
      <c r="T430" s="122"/>
      <c r="U430" s="301"/>
      <c r="V430" s="260">
        <f t="shared" ca="1" si="14"/>
        <v>0</v>
      </c>
      <c r="W430" s="348" t="str">
        <f>IF(板块成分!B432="","",板块成分!B432)</f>
        <v>001215.SZ</v>
      </c>
      <c r="X430" s="276" t="str">
        <f>[1]!S_Info_Name(W430)</f>
        <v>千味央厨</v>
      </c>
      <c r="Y430" s="276" t="str">
        <f ca="1">IF($Y$3="申万一级行业",[1]!s_info_industry_sw_2021(W430,公司分析!D$5,1),IF($Y$3="申万二级行业",[1]!s_info_industry_sw_2021(W430,公司分析!D$5,2),IF($Y$3="申万三级行业",[1]!s_info_industry_sw_2021(W430,公司分析!D$5,3),IF($Y$3="wind一级行业",[1]!s_info_industry_gics(W430,1),IF($Y$3="wind二级行业",[1]!s_info_industry_gics(W430,2),IF($Y$3="wind三级行业",[1]!s_info_industry_gics(W430,3),IF($Y$3="wind四级行业",[1]!s_info_industry_gics(W430,4),IF($Y$3="证监会门类行业",[1]!s_info_industry_csrc12_n(W430,公司分析!D$5,1),""))))))))</f>
        <v>食品加工</v>
      </c>
      <c r="Z430" s="302" t="str">
        <f ca="1">IF(Y430=行业比较!$E$6,ROW(),"")</f>
        <v/>
      </c>
      <c r="AA430" s="122"/>
      <c r="AB430" s="122"/>
      <c r="AC430" s="122"/>
      <c r="AD430" s="122"/>
      <c r="AE430" s="122"/>
      <c r="AF430" s="122"/>
      <c r="AG430" s="122"/>
      <c r="AH430" s="122"/>
      <c r="AI430" s="122"/>
      <c r="AJ430" s="122"/>
      <c r="AK430" s="122"/>
      <c r="AL430" s="122"/>
      <c r="AM430" s="122"/>
      <c r="AN430" s="122"/>
      <c r="AO430" s="122"/>
      <c r="AP430" s="122"/>
    </row>
    <row r="431" spans="2:42">
      <c r="B431" s="122"/>
      <c r="C431" s="122"/>
      <c r="D431" s="122"/>
      <c r="E431" s="122"/>
      <c r="F431" s="122"/>
      <c r="G431" s="122"/>
      <c r="H431" s="122"/>
      <c r="I431" s="275"/>
      <c r="J431" s="130"/>
      <c r="K431" s="130"/>
      <c r="L431" s="130"/>
      <c r="M431" s="130"/>
      <c r="N431" s="291"/>
      <c r="O431" s="291"/>
      <c r="P431" s="122"/>
      <c r="Q431" s="122"/>
      <c r="R431" s="122"/>
      <c r="S431" s="122"/>
      <c r="T431" s="122"/>
      <c r="U431" s="301"/>
      <c r="V431" s="260">
        <f t="shared" ca="1" si="14"/>
        <v>0</v>
      </c>
      <c r="W431" s="348" t="str">
        <f>IF(板块成分!B433="","",板块成分!B433)</f>
        <v>001216.SZ</v>
      </c>
      <c r="X431" s="276" t="str">
        <f>[1]!S_Info_Name(W431)</f>
        <v>华瓷股份</v>
      </c>
      <c r="Y431" s="276" t="str">
        <f ca="1">IF($Y$3="申万一级行业",[1]!s_info_industry_sw_2021(W431,公司分析!D$5,1),IF($Y$3="申万二级行业",[1]!s_info_industry_sw_2021(W431,公司分析!D$5,2),IF($Y$3="申万三级行业",[1]!s_info_industry_sw_2021(W431,公司分析!D$5,3),IF($Y$3="wind一级行业",[1]!s_info_industry_gics(W431,1),IF($Y$3="wind二级行业",[1]!s_info_industry_gics(W431,2),IF($Y$3="wind三级行业",[1]!s_info_industry_gics(W431,3),IF($Y$3="wind四级行业",[1]!s_info_industry_gics(W431,4),IF($Y$3="证监会门类行业",[1]!s_info_industry_csrc12_n(W431,公司分析!D$5,1),""))))))))</f>
        <v>家居用品</v>
      </c>
      <c r="Z431" s="302" t="str">
        <f ca="1">IF(Y431=行业比较!$E$6,ROW(),"")</f>
        <v/>
      </c>
      <c r="AA431" s="122"/>
      <c r="AB431" s="122"/>
      <c r="AC431" s="122"/>
      <c r="AD431" s="122"/>
      <c r="AE431" s="122"/>
      <c r="AF431" s="122"/>
      <c r="AG431" s="122"/>
      <c r="AH431" s="122"/>
      <c r="AI431" s="122"/>
      <c r="AJ431" s="122"/>
      <c r="AK431" s="122"/>
      <c r="AL431" s="122"/>
      <c r="AM431" s="122"/>
      <c r="AN431" s="122"/>
      <c r="AO431" s="122"/>
      <c r="AP431" s="122"/>
    </row>
    <row r="432" spans="2:42">
      <c r="B432" s="122"/>
      <c r="C432" s="122"/>
      <c r="D432" s="122"/>
      <c r="E432" s="122"/>
      <c r="F432" s="122"/>
      <c r="G432" s="122"/>
      <c r="H432" s="122"/>
      <c r="I432" s="275"/>
      <c r="J432" s="130"/>
      <c r="K432" s="130"/>
      <c r="L432" s="130"/>
      <c r="M432" s="130"/>
      <c r="N432" s="291"/>
      <c r="O432" s="291"/>
      <c r="P432" s="122"/>
      <c r="Q432" s="122"/>
      <c r="R432" s="122"/>
      <c r="S432" s="122"/>
      <c r="T432" s="122"/>
      <c r="U432" s="301"/>
      <c r="V432" s="260">
        <f t="shared" ca="1" si="14"/>
        <v>0</v>
      </c>
      <c r="W432" s="348" t="str">
        <f>IF(板块成分!B434="","",板块成分!B434)</f>
        <v>001217.SZ</v>
      </c>
      <c r="X432" s="276" t="str">
        <f>[1]!S_Info_Name(W432)</f>
        <v>华尔泰</v>
      </c>
      <c r="Y432" s="276" t="str">
        <f ca="1">IF($Y$3="申万一级行业",[1]!s_info_industry_sw_2021(W432,公司分析!D$5,1),IF($Y$3="申万二级行业",[1]!s_info_industry_sw_2021(W432,公司分析!D$5,2),IF($Y$3="申万三级行业",[1]!s_info_industry_sw_2021(W432,公司分析!D$5,3),IF($Y$3="wind一级行业",[1]!s_info_industry_gics(W432,1),IF($Y$3="wind二级行业",[1]!s_info_industry_gics(W432,2),IF($Y$3="wind三级行业",[1]!s_info_industry_gics(W432,3),IF($Y$3="wind四级行业",[1]!s_info_industry_gics(W432,4),IF($Y$3="证监会门类行业",[1]!s_info_industry_csrc12_n(W432,公司分析!D$5,1),""))))))))</f>
        <v>化学原料</v>
      </c>
      <c r="Z432" s="302" t="str">
        <f ca="1">IF(Y432=行业比较!$E$6,ROW(),"")</f>
        <v/>
      </c>
      <c r="AA432" s="122"/>
      <c r="AB432" s="122"/>
      <c r="AC432" s="122"/>
      <c r="AD432" s="122"/>
      <c r="AE432" s="122"/>
      <c r="AF432" s="122"/>
      <c r="AG432" s="122"/>
      <c r="AH432" s="122"/>
      <c r="AI432" s="122"/>
      <c r="AJ432" s="122"/>
      <c r="AK432" s="122"/>
      <c r="AL432" s="122"/>
      <c r="AM432" s="122"/>
      <c r="AN432" s="122"/>
      <c r="AO432" s="122"/>
      <c r="AP432" s="122"/>
    </row>
    <row r="433" spans="2:42">
      <c r="B433" s="122"/>
      <c r="C433" s="122"/>
      <c r="D433" s="122"/>
      <c r="E433" s="122"/>
      <c r="F433" s="122"/>
      <c r="G433" s="122"/>
      <c r="H433" s="122"/>
      <c r="I433" s="275"/>
      <c r="J433" s="130"/>
      <c r="K433" s="130"/>
      <c r="L433" s="130"/>
      <c r="M433" s="130"/>
      <c r="N433" s="291"/>
      <c r="O433" s="291"/>
      <c r="P433" s="122"/>
      <c r="Q433" s="122"/>
      <c r="R433" s="122"/>
      <c r="S433" s="122"/>
      <c r="T433" s="122"/>
      <c r="U433" s="301"/>
      <c r="V433" s="260">
        <f t="shared" ca="1" si="14"/>
        <v>0</v>
      </c>
      <c r="W433" s="348" t="str">
        <f>IF(板块成分!B435="","",板块成分!B435)</f>
        <v>001218.SZ</v>
      </c>
      <c r="X433" s="276" t="str">
        <f>[1]!S_Info_Name(W433)</f>
        <v>丽臣实业</v>
      </c>
      <c r="Y433" s="276" t="str">
        <f ca="1">IF($Y$3="申万一级行业",[1]!s_info_industry_sw_2021(W433,公司分析!D$5,1),IF($Y$3="申万二级行业",[1]!s_info_industry_sw_2021(W433,公司分析!D$5,2),IF($Y$3="申万三级行业",[1]!s_info_industry_sw_2021(W433,公司分析!D$5,3),IF($Y$3="wind一级行业",[1]!s_info_industry_gics(W433,1),IF($Y$3="wind二级行业",[1]!s_info_industry_gics(W433,2),IF($Y$3="wind三级行业",[1]!s_info_industry_gics(W433,3),IF($Y$3="wind四级行业",[1]!s_info_industry_gics(W433,4),IF($Y$3="证监会门类行业",[1]!s_info_industry_csrc12_n(W433,公司分析!D$5,1),""))))))))</f>
        <v>化学制品</v>
      </c>
      <c r="Z433" s="302" t="str">
        <f ca="1">IF(Y433=行业比较!$E$6,ROW(),"")</f>
        <v/>
      </c>
      <c r="AA433" s="122"/>
      <c r="AB433" s="122"/>
      <c r="AC433" s="122"/>
      <c r="AD433" s="122"/>
      <c r="AE433" s="122"/>
      <c r="AF433" s="122"/>
      <c r="AG433" s="122"/>
      <c r="AH433" s="122"/>
      <c r="AI433" s="122"/>
      <c r="AJ433" s="122"/>
      <c r="AK433" s="122"/>
      <c r="AL433" s="122"/>
      <c r="AM433" s="122"/>
      <c r="AN433" s="122"/>
      <c r="AO433" s="122"/>
      <c r="AP433" s="122"/>
    </row>
    <row r="434" spans="2:42">
      <c r="B434" s="122"/>
      <c r="C434" s="122"/>
      <c r="D434" s="122"/>
      <c r="E434" s="122"/>
      <c r="F434" s="122"/>
      <c r="G434" s="122"/>
      <c r="H434" s="122"/>
      <c r="I434" s="275"/>
      <c r="J434" s="130"/>
      <c r="K434" s="130"/>
      <c r="L434" s="130"/>
      <c r="M434" s="130"/>
      <c r="N434" s="291"/>
      <c r="O434" s="291"/>
      <c r="P434" s="122"/>
      <c r="Q434" s="122"/>
      <c r="R434" s="122"/>
      <c r="S434" s="122"/>
      <c r="T434" s="122"/>
      <c r="U434" s="301"/>
      <c r="V434" s="260">
        <f t="shared" ca="1" si="14"/>
        <v>0</v>
      </c>
      <c r="W434" s="348" t="str">
        <f>IF(板块成分!B436="","",板块成分!B436)</f>
        <v>001219.SZ</v>
      </c>
      <c r="X434" s="276" t="str">
        <f>[1]!S_Info_Name(W434)</f>
        <v>青岛食品</v>
      </c>
      <c r="Y434" s="276" t="str">
        <f ca="1">IF($Y$3="申万一级行业",[1]!s_info_industry_sw_2021(W434,公司分析!D$5,1),IF($Y$3="申万二级行业",[1]!s_info_industry_sw_2021(W434,公司分析!D$5,2),IF($Y$3="申万三级行业",[1]!s_info_industry_sw_2021(W434,公司分析!D$5,3),IF($Y$3="wind一级行业",[1]!s_info_industry_gics(W434,1),IF($Y$3="wind二级行业",[1]!s_info_industry_gics(W434,2),IF($Y$3="wind三级行业",[1]!s_info_industry_gics(W434,3),IF($Y$3="wind四级行业",[1]!s_info_industry_gics(W434,4),IF($Y$3="证监会门类行业",[1]!s_info_industry_csrc12_n(W434,公司分析!D$5,1),""))))))))</f>
        <v>休闲食品</v>
      </c>
      <c r="Z434" s="302" t="str">
        <f ca="1">IF(Y434=行业比较!$E$6,ROW(),"")</f>
        <v/>
      </c>
      <c r="AA434" s="122"/>
      <c r="AB434" s="122"/>
      <c r="AC434" s="122"/>
      <c r="AD434" s="122"/>
      <c r="AE434" s="122"/>
      <c r="AF434" s="122"/>
      <c r="AG434" s="122"/>
      <c r="AH434" s="122"/>
      <c r="AI434" s="122"/>
      <c r="AJ434" s="122"/>
      <c r="AK434" s="122"/>
      <c r="AL434" s="122"/>
      <c r="AM434" s="122"/>
      <c r="AN434" s="122"/>
      <c r="AO434" s="122"/>
      <c r="AP434" s="122"/>
    </row>
    <row r="435" spans="2:42">
      <c r="B435" s="122"/>
      <c r="C435" s="122"/>
      <c r="D435" s="122"/>
      <c r="E435" s="122"/>
      <c r="F435" s="122"/>
      <c r="G435" s="122"/>
      <c r="H435" s="122"/>
      <c r="I435" s="275"/>
      <c r="J435" s="130"/>
      <c r="K435" s="130"/>
      <c r="L435" s="130"/>
      <c r="M435" s="130"/>
      <c r="N435" s="291"/>
      <c r="O435" s="291"/>
      <c r="P435" s="122"/>
      <c r="Q435" s="122"/>
      <c r="R435" s="122"/>
      <c r="S435" s="122"/>
      <c r="T435" s="122"/>
      <c r="U435" s="301"/>
      <c r="V435" s="260">
        <f t="shared" ca="1" si="14"/>
        <v>0</v>
      </c>
      <c r="W435" s="348" t="str">
        <f>IF(板块成分!B437="","",板块成分!B437)</f>
        <v>001220.SZ</v>
      </c>
      <c r="X435" s="276" t="str">
        <f>[1]!S_Info_Name(W435)</f>
        <v>世盟股份</v>
      </c>
      <c r="Y435" s="276" t="str">
        <f ca="1">IF($Y$3="申万一级行业",[1]!s_info_industry_sw_2021(W435,公司分析!D$5,1),IF($Y$3="申万二级行业",[1]!s_info_industry_sw_2021(W435,公司分析!D$5,2),IF($Y$3="申万三级行业",[1]!s_info_industry_sw_2021(W435,公司分析!D$5,3),IF($Y$3="wind一级行业",[1]!s_info_industry_gics(W435,1),IF($Y$3="wind二级行业",[1]!s_info_industry_gics(W435,2),IF($Y$3="wind三级行业",[1]!s_info_industry_gics(W435,3),IF($Y$3="wind四级行业",[1]!s_info_industry_gics(W435,4),IF($Y$3="证监会门类行业",[1]!s_info_industry_csrc12_n(W435,公司分析!D$5,1),""))))))))</f>
        <v>物流</v>
      </c>
      <c r="Z435" s="302" t="str">
        <f ca="1">IF(Y435=行业比较!$E$6,ROW(),"")</f>
        <v/>
      </c>
      <c r="AA435" s="122"/>
      <c r="AB435" s="122"/>
      <c r="AC435" s="122"/>
      <c r="AD435" s="122"/>
      <c r="AE435" s="122"/>
      <c r="AF435" s="122"/>
      <c r="AG435" s="122"/>
      <c r="AH435" s="122"/>
      <c r="AI435" s="122"/>
      <c r="AJ435" s="122"/>
      <c r="AK435" s="122"/>
      <c r="AL435" s="122"/>
      <c r="AM435" s="122"/>
      <c r="AN435" s="122"/>
      <c r="AO435" s="122"/>
      <c r="AP435" s="122"/>
    </row>
    <row r="436" spans="2:42">
      <c r="B436" s="122"/>
      <c r="C436" s="122"/>
      <c r="D436" s="122"/>
      <c r="E436" s="122"/>
      <c r="F436" s="122"/>
      <c r="G436" s="122"/>
      <c r="H436" s="122"/>
      <c r="I436" s="275"/>
      <c r="J436" s="130"/>
      <c r="K436" s="130"/>
      <c r="L436" s="130"/>
      <c r="M436" s="130"/>
      <c r="N436" s="291"/>
      <c r="O436" s="291"/>
      <c r="P436" s="122"/>
      <c r="Q436" s="122"/>
      <c r="R436" s="122"/>
      <c r="S436" s="122"/>
      <c r="T436" s="122"/>
      <c r="U436" s="301"/>
      <c r="V436" s="260">
        <f t="shared" ca="1" si="14"/>
        <v>0</v>
      </c>
      <c r="W436" s="348" t="str">
        <f>IF(板块成分!B438="","",板块成分!B438)</f>
        <v>001221.SZ</v>
      </c>
      <c r="X436" s="276" t="str">
        <f>[1]!S_Info_Name(W436)</f>
        <v>悍高集团</v>
      </c>
      <c r="Y436" s="276" t="str">
        <f ca="1">IF($Y$3="申万一级行业",[1]!s_info_industry_sw_2021(W436,公司分析!D$5,1),IF($Y$3="申万二级行业",[1]!s_info_industry_sw_2021(W436,公司分析!D$5,2),IF($Y$3="申万三级行业",[1]!s_info_industry_sw_2021(W436,公司分析!D$5,3),IF($Y$3="wind一级行业",[1]!s_info_industry_gics(W436,1),IF($Y$3="wind二级行业",[1]!s_info_industry_gics(W436,2),IF($Y$3="wind三级行业",[1]!s_info_industry_gics(W436,3),IF($Y$3="wind四级行业",[1]!s_info_industry_gics(W436,4),IF($Y$3="证监会门类行业",[1]!s_info_industry_csrc12_n(W436,公司分析!D$5,1),""))))))))</f>
        <v>家居用品</v>
      </c>
      <c r="Z436" s="302" t="str">
        <f ca="1">IF(Y436=行业比较!$E$6,ROW(),"")</f>
        <v/>
      </c>
      <c r="AA436" s="122"/>
      <c r="AB436" s="122"/>
      <c r="AC436" s="122"/>
      <c r="AD436" s="122"/>
      <c r="AE436" s="122"/>
      <c r="AF436" s="122"/>
      <c r="AG436" s="122"/>
      <c r="AH436" s="122"/>
      <c r="AI436" s="122"/>
      <c r="AJ436" s="122"/>
      <c r="AK436" s="122"/>
      <c r="AL436" s="122"/>
      <c r="AM436" s="122"/>
      <c r="AN436" s="122"/>
      <c r="AO436" s="122"/>
      <c r="AP436" s="122"/>
    </row>
    <row r="437" spans="2:42">
      <c r="B437" s="122"/>
      <c r="C437" s="122"/>
      <c r="D437" s="122"/>
      <c r="E437" s="122"/>
      <c r="F437" s="122"/>
      <c r="G437" s="122"/>
      <c r="H437" s="122"/>
      <c r="I437" s="275"/>
      <c r="J437" s="130"/>
      <c r="K437" s="130"/>
      <c r="L437" s="130"/>
      <c r="M437" s="130"/>
      <c r="N437" s="291"/>
      <c r="O437" s="291"/>
      <c r="P437" s="122"/>
      <c r="Q437" s="122"/>
      <c r="R437" s="122"/>
      <c r="S437" s="122"/>
      <c r="T437" s="122"/>
      <c r="U437" s="301"/>
      <c r="V437" s="260">
        <f t="shared" ca="1" si="14"/>
        <v>0</v>
      </c>
      <c r="W437" s="348" t="str">
        <f>IF(板块成分!B439="","",板块成分!B439)</f>
        <v>001222.SZ</v>
      </c>
      <c r="X437" s="276" t="str">
        <f>[1]!S_Info_Name(W437)</f>
        <v>源飞宠物</v>
      </c>
      <c r="Y437" s="276" t="str">
        <f ca="1">IF($Y$3="申万一级行业",[1]!s_info_industry_sw_2021(W437,公司分析!D$5,1),IF($Y$3="申万二级行业",[1]!s_info_industry_sw_2021(W437,公司分析!D$5,2),IF($Y$3="申万三级行业",[1]!s_info_industry_sw_2021(W437,公司分析!D$5,3),IF($Y$3="wind一级行业",[1]!s_info_industry_gics(W437,1),IF($Y$3="wind二级行业",[1]!s_info_industry_gics(W437,2),IF($Y$3="wind三级行业",[1]!s_info_industry_gics(W437,3),IF($Y$3="wind四级行业",[1]!s_info_industry_gics(W437,4),IF($Y$3="证监会门类行业",[1]!s_info_industry_csrc12_n(W437,公司分析!D$5,1),""))))))))</f>
        <v>文娱用品</v>
      </c>
      <c r="Z437" s="302" t="str">
        <f ca="1">IF(Y437=行业比较!$E$6,ROW(),"")</f>
        <v/>
      </c>
      <c r="AA437" s="122"/>
      <c r="AB437" s="122"/>
      <c r="AC437" s="122"/>
      <c r="AD437" s="122"/>
      <c r="AE437" s="122"/>
      <c r="AF437" s="122"/>
      <c r="AG437" s="122"/>
      <c r="AH437" s="122"/>
      <c r="AI437" s="122"/>
      <c r="AJ437" s="122"/>
      <c r="AK437" s="122"/>
      <c r="AL437" s="122"/>
      <c r="AM437" s="122"/>
      <c r="AN437" s="122"/>
      <c r="AO437" s="122"/>
      <c r="AP437" s="122"/>
    </row>
    <row r="438" spans="2:42">
      <c r="B438" s="122"/>
      <c r="C438" s="122"/>
      <c r="D438" s="122"/>
      <c r="E438" s="122"/>
      <c r="F438" s="122"/>
      <c r="G438" s="122"/>
      <c r="H438" s="122"/>
      <c r="I438" s="275"/>
      <c r="J438" s="130"/>
      <c r="K438" s="130"/>
      <c r="L438" s="130"/>
      <c r="M438" s="130"/>
      <c r="N438" s="291"/>
      <c r="O438" s="291"/>
      <c r="P438" s="122"/>
      <c r="Q438" s="122"/>
      <c r="R438" s="122"/>
      <c r="S438" s="122"/>
      <c r="T438" s="122"/>
      <c r="U438" s="301"/>
      <c r="V438" s="260">
        <f t="shared" ca="1" si="14"/>
        <v>0</v>
      </c>
      <c r="W438" s="348" t="str">
        <f>IF(板块成分!B440="","",板块成分!B440)</f>
        <v>001223.SZ</v>
      </c>
      <c r="X438" s="276" t="str">
        <f>[1]!S_Info_Name(W438)</f>
        <v>欧克科技</v>
      </c>
      <c r="Y438" s="276" t="str">
        <f ca="1">IF($Y$3="申万一级行业",[1]!s_info_industry_sw_2021(W438,公司分析!D$5,1),IF($Y$3="申万二级行业",[1]!s_info_industry_sw_2021(W438,公司分析!D$5,2),IF($Y$3="申万三级行业",[1]!s_info_industry_sw_2021(W438,公司分析!D$5,3),IF($Y$3="wind一级行业",[1]!s_info_industry_gics(W438,1),IF($Y$3="wind二级行业",[1]!s_info_industry_gics(W438,2),IF($Y$3="wind三级行业",[1]!s_info_industry_gics(W438,3),IF($Y$3="wind四级行业",[1]!s_info_industry_gics(W438,4),IF($Y$3="证监会门类行业",[1]!s_info_industry_csrc12_n(W438,公司分析!D$5,1),""))))))))</f>
        <v>自动化设备</v>
      </c>
      <c r="Z438" s="302" t="str">
        <f ca="1">IF(Y438=行业比较!$E$6,ROW(),"")</f>
        <v/>
      </c>
      <c r="AA438" s="122"/>
      <c r="AB438" s="122"/>
      <c r="AC438" s="122"/>
      <c r="AD438" s="122"/>
      <c r="AE438" s="122"/>
      <c r="AF438" s="122"/>
      <c r="AG438" s="122"/>
      <c r="AH438" s="122"/>
      <c r="AI438" s="122"/>
      <c r="AJ438" s="122"/>
      <c r="AK438" s="122"/>
      <c r="AL438" s="122"/>
      <c r="AM438" s="122"/>
      <c r="AN438" s="122"/>
      <c r="AO438" s="122"/>
      <c r="AP438" s="122"/>
    </row>
    <row r="439" spans="2:42">
      <c r="B439" s="122"/>
      <c r="C439" s="122"/>
      <c r="D439" s="122"/>
      <c r="E439" s="122"/>
      <c r="F439" s="122"/>
      <c r="G439" s="122"/>
      <c r="H439" s="122"/>
      <c r="I439" s="275"/>
      <c r="J439" s="130"/>
      <c r="K439" s="130"/>
      <c r="L439" s="130"/>
      <c r="M439" s="130"/>
      <c r="N439" s="291"/>
      <c r="O439" s="291"/>
      <c r="P439" s="122"/>
      <c r="Q439" s="122"/>
      <c r="R439" s="122"/>
      <c r="S439" s="122"/>
      <c r="T439" s="122"/>
      <c r="U439" s="301"/>
      <c r="V439" s="260">
        <f t="shared" ca="1" si="14"/>
        <v>0</v>
      </c>
      <c r="W439" s="348" t="str">
        <f>IF(板块成分!B441="","",板块成分!B441)</f>
        <v>001225.SZ</v>
      </c>
      <c r="X439" s="276" t="str">
        <f>[1]!S_Info_Name(W439)</f>
        <v>和泰机电</v>
      </c>
      <c r="Y439" s="276" t="str">
        <f ca="1">IF($Y$3="申万一级行业",[1]!s_info_industry_sw_2021(W439,公司分析!D$5,1),IF($Y$3="申万二级行业",[1]!s_info_industry_sw_2021(W439,公司分析!D$5,2),IF($Y$3="申万三级行业",[1]!s_info_industry_sw_2021(W439,公司分析!D$5,3),IF($Y$3="wind一级行业",[1]!s_info_industry_gics(W439,1),IF($Y$3="wind二级行业",[1]!s_info_industry_gics(W439,2),IF($Y$3="wind三级行业",[1]!s_info_industry_gics(W439,3),IF($Y$3="wind四级行业",[1]!s_info_industry_gics(W439,4),IF($Y$3="证监会门类行业",[1]!s_info_industry_csrc12_n(W439,公司分析!D$5,1),""))))))))</f>
        <v>专用设备</v>
      </c>
      <c r="Z439" s="302" t="str">
        <f ca="1">IF(Y439=行业比较!$E$6,ROW(),"")</f>
        <v/>
      </c>
      <c r="AA439" s="122"/>
      <c r="AB439" s="122"/>
      <c r="AC439" s="122"/>
      <c r="AD439" s="122"/>
      <c r="AE439" s="122"/>
      <c r="AF439" s="122"/>
      <c r="AG439" s="122"/>
      <c r="AH439" s="122"/>
      <c r="AI439" s="122"/>
      <c r="AJ439" s="122"/>
      <c r="AK439" s="122"/>
      <c r="AL439" s="122"/>
      <c r="AM439" s="122"/>
      <c r="AN439" s="122"/>
      <c r="AO439" s="122"/>
      <c r="AP439" s="122"/>
    </row>
    <row r="440" spans="2:42">
      <c r="B440" s="122"/>
      <c r="C440" s="122"/>
      <c r="D440" s="122"/>
      <c r="E440" s="122"/>
      <c r="F440" s="122"/>
      <c r="G440" s="122"/>
      <c r="H440" s="122"/>
      <c r="I440" s="275"/>
      <c r="J440" s="130"/>
      <c r="K440" s="130"/>
      <c r="L440" s="130"/>
      <c r="M440" s="130"/>
      <c r="N440" s="291"/>
      <c r="O440" s="291"/>
      <c r="P440" s="122"/>
      <c r="Q440" s="122"/>
      <c r="R440" s="122"/>
      <c r="S440" s="122"/>
      <c r="T440" s="122"/>
      <c r="U440" s="301"/>
      <c r="V440" s="260">
        <f t="shared" ca="1" si="14"/>
        <v>0</v>
      </c>
      <c r="W440" s="348" t="str">
        <f>IF(板块成分!B442="","",板块成分!B442)</f>
        <v>001226.SZ</v>
      </c>
      <c r="X440" s="276" t="str">
        <f>[1]!S_Info_Name(W440)</f>
        <v>拓山重工</v>
      </c>
      <c r="Y440" s="276" t="str">
        <f ca="1">IF($Y$3="申万一级行业",[1]!s_info_industry_sw_2021(W440,公司分析!D$5,1),IF($Y$3="申万二级行业",[1]!s_info_industry_sw_2021(W440,公司分析!D$5,2),IF($Y$3="申万三级行业",[1]!s_info_industry_sw_2021(W440,公司分析!D$5,3),IF($Y$3="wind一级行业",[1]!s_info_industry_gics(W440,1),IF($Y$3="wind二级行业",[1]!s_info_industry_gics(W440,2),IF($Y$3="wind三级行业",[1]!s_info_industry_gics(W440,3),IF($Y$3="wind四级行业",[1]!s_info_industry_gics(W440,4),IF($Y$3="证监会门类行业",[1]!s_info_industry_csrc12_n(W440,公司分析!D$5,1),""))))))))</f>
        <v>工程机械</v>
      </c>
      <c r="Z440" s="302" t="str">
        <f ca="1">IF(Y440=行业比较!$E$6,ROW(),"")</f>
        <v/>
      </c>
      <c r="AA440" s="122"/>
      <c r="AB440" s="122"/>
      <c r="AC440" s="122"/>
      <c r="AD440" s="122"/>
      <c r="AE440" s="122"/>
      <c r="AF440" s="122"/>
      <c r="AG440" s="122"/>
      <c r="AH440" s="122"/>
      <c r="AI440" s="122"/>
      <c r="AJ440" s="122"/>
      <c r="AK440" s="122"/>
      <c r="AL440" s="122"/>
      <c r="AM440" s="122"/>
      <c r="AN440" s="122"/>
      <c r="AO440" s="122"/>
      <c r="AP440" s="122"/>
    </row>
    <row r="441" spans="2:42">
      <c r="B441" s="122"/>
      <c r="C441" s="122"/>
      <c r="D441" s="122"/>
      <c r="E441" s="122"/>
      <c r="F441" s="122"/>
      <c r="G441" s="122"/>
      <c r="H441" s="122"/>
      <c r="I441" s="275"/>
      <c r="J441" s="130"/>
      <c r="K441" s="130"/>
      <c r="L441" s="130"/>
      <c r="M441" s="130"/>
      <c r="N441" s="291"/>
      <c r="O441" s="291"/>
      <c r="P441" s="122"/>
      <c r="Q441" s="122"/>
      <c r="R441" s="122"/>
      <c r="S441" s="122"/>
      <c r="T441" s="122"/>
      <c r="U441" s="301"/>
      <c r="V441" s="260">
        <f t="shared" ca="1" si="14"/>
        <v>0</v>
      </c>
      <c r="W441" s="348" t="str">
        <f>IF(板块成分!B443="","",板块成分!B443)</f>
        <v>001227.SZ</v>
      </c>
      <c r="X441" s="276" t="str">
        <f>[1]!S_Info_Name(W441)</f>
        <v>兰州银行</v>
      </c>
      <c r="Y441" s="276" t="str">
        <f ca="1">IF($Y$3="申万一级行业",[1]!s_info_industry_sw_2021(W441,公司分析!D$5,1),IF($Y$3="申万二级行业",[1]!s_info_industry_sw_2021(W441,公司分析!D$5,2),IF($Y$3="申万三级行业",[1]!s_info_industry_sw_2021(W441,公司分析!D$5,3),IF($Y$3="wind一级行业",[1]!s_info_industry_gics(W441,1),IF($Y$3="wind二级行业",[1]!s_info_industry_gics(W441,2),IF($Y$3="wind三级行业",[1]!s_info_industry_gics(W441,3),IF($Y$3="wind四级行业",[1]!s_info_industry_gics(W441,4),IF($Y$3="证监会门类行业",[1]!s_info_industry_csrc12_n(W441,公司分析!D$5,1),""))))))))</f>
        <v>城商行Ⅱ</v>
      </c>
      <c r="Z441" s="302" t="str">
        <f ca="1">IF(Y441=行业比较!$E$6,ROW(),"")</f>
        <v/>
      </c>
      <c r="AA441" s="122"/>
      <c r="AB441" s="122"/>
      <c r="AC441" s="122"/>
      <c r="AD441" s="122"/>
      <c r="AE441" s="122"/>
      <c r="AF441" s="122"/>
      <c r="AG441" s="122"/>
      <c r="AH441" s="122"/>
      <c r="AI441" s="122"/>
      <c r="AJ441" s="122"/>
      <c r="AK441" s="122"/>
      <c r="AL441" s="122"/>
      <c r="AM441" s="122"/>
      <c r="AN441" s="122"/>
      <c r="AO441" s="122"/>
      <c r="AP441" s="122"/>
    </row>
    <row r="442" spans="2:42">
      <c r="B442" s="122"/>
      <c r="C442" s="122"/>
      <c r="D442" s="122"/>
      <c r="E442" s="122"/>
      <c r="F442" s="122"/>
      <c r="G442" s="122"/>
      <c r="H442" s="122"/>
      <c r="I442" s="275"/>
      <c r="J442" s="130"/>
      <c r="K442" s="130"/>
      <c r="L442" s="130"/>
      <c r="M442" s="130"/>
      <c r="N442" s="291"/>
      <c r="O442" s="291"/>
      <c r="P442" s="122"/>
      <c r="Q442" s="122"/>
      <c r="R442" s="122"/>
      <c r="S442" s="122"/>
      <c r="T442" s="122"/>
      <c r="U442" s="301"/>
      <c r="V442" s="260">
        <f t="shared" ca="1" si="14"/>
        <v>0</v>
      </c>
      <c r="W442" s="348" t="str">
        <f>IF(板块成分!B444="","",板块成分!B444)</f>
        <v>001228.SZ</v>
      </c>
      <c r="X442" s="276" t="str">
        <f>[1]!S_Info_Name(W442)</f>
        <v>永泰运</v>
      </c>
      <c r="Y442" s="276" t="str">
        <f ca="1">IF($Y$3="申万一级行业",[1]!s_info_industry_sw_2021(W442,公司分析!D$5,1),IF($Y$3="申万二级行业",[1]!s_info_industry_sw_2021(W442,公司分析!D$5,2),IF($Y$3="申万三级行业",[1]!s_info_industry_sw_2021(W442,公司分析!D$5,3),IF($Y$3="wind一级行业",[1]!s_info_industry_gics(W442,1),IF($Y$3="wind二级行业",[1]!s_info_industry_gics(W442,2),IF($Y$3="wind三级行业",[1]!s_info_industry_gics(W442,3),IF($Y$3="wind四级行业",[1]!s_info_industry_gics(W442,4),IF($Y$3="证监会门类行业",[1]!s_info_industry_csrc12_n(W442,公司分析!D$5,1),""))))))))</f>
        <v>物流</v>
      </c>
      <c r="Z442" s="302" t="str">
        <f ca="1">IF(Y442=行业比较!$E$6,ROW(),"")</f>
        <v/>
      </c>
      <c r="AA442" s="122"/>
      <c r="AB442" s="122"/>
      <c r="AC442" s="122"/>
      <c r="AD442" s="122"/>
      <c r="AE442" s="122"/>
      <c r="AF442" s="122"/>
      <c r="AG442" s="122"/>
      <c r="AH442" s="122"/>
      <c r="AI442" s="122"/>
      <c r="AJ442" s="122"/>
      <c r="AK442" s="122"/>
      <c r="AL442" s="122"/>
      <c r="AM442" s="122"/>
      <c r="AN442" s="122"/>
      <c r="AO442" s="122"/>
      <c r="AP442" s="122"/>
    </row>
    <row r="443" spans="2:42">
      <c r="B443" s="122"/>
      <c r="C443" s="122"/>
      <c r="D443" s="122"/>
      <c r="E443" s="122"/>
      <c r="F443" s="122"/>
      <c r="G443" s="122"/>
      <c r="H443" s="122"/>
      <c r="I443" s="275"/>
      <c r="J443" s="130"/>
      <c r="K443" s="130"/>
      <c r="L443" s="130"/>
      <c r="M443" s="130"/>
      <c r="N443" s="291"/>
      <c r="O443" s="291"/>
      <c r="P443" s="122"/>
      <c r="Q443" s="122"/>
      <c r="R443" s="122"/>
      <c r="S443" s="122"/>
      <c r="T443" s="122"/>
      <c r="U443" s="301"/>
      <c r="V443" s="260">
        <f t="shared" ca="1" si="14"/>
        <v>0</v>
      </c>
      <c r="W443" s="348" t="str">
        <f>IF(板块成分!B445="","",板块成分!B445)</f>
        <v>001229.SZ</v>
      </c>
      <c r="X443" s="276" t="str">
        <f>[1]!S_Info_Name(W443)</f>
        <v>魅视科技</v>
      </c>
      <c r="Y443" s="276" t="str">
        <f ca="1">IF($Y$3="申万一级行业",[1]!s_info_industry_sw_2021(W443,公司分析!D$5,1),IF($Y$3="申万二级行业",[1]!s_info_industry_sw_2021(W443,公司分析!D$5,2),IF($Y$3="申万三级行业",[1]!s_info_industry_sw_2021(W443,公司分析!D$5,3),IF($Y$3="wind一级行业",[1]!s_info_industry_gics(W443,1),IF($Y$3="wind二级行业",[1]!s_info_industry_gics(W443,2),IF($Y$3="wind三级行业",[1]!s_info_industry_gics(W443,3),IF($Y$3="wind四级行业",[1]!s_info_industry_gics(W443,4),IF($Y$3="证监会门类行业",[1]!s_info_industry_csrc12_n(W443,公司分析!D$5,1),""))))))))</f>
        <v>计算机设备</v>
      </c>
      <c r="Z443" s="302" t="str">
        <f ca="1">IF(Y443=行业比较!$E$6,ROW(),"")</f>
        <v/>
      </c>
      <c r="AA443" s="122"/>
      <c r="AB443" s="122"/>
      <c r="AC443" s="122"/>
      <c r="AD443" s="122"/>
      <c r="AE443" s="122"/>
      <c r="AF443" s="122"/>
      <c r="AG443" s="122"/>
      <c r="AH443" s="122"/>
      <c r="AI443" s="122"/>
      <c r="AJ443" s="122"/>
      <c r="AK443" s="122"/>
      <c r="AL443" s="122"/>
      <c r="AM443" s="122"/>
      <c r="AN443" s="122"/>
      <c r="AO443" s="122"/>
      <c r="AP443" s="122"/>
    </row>
    <row r="444" spans="2:42">
      <c r="B444" s="122"/>
      <c r="C444" s="122"/>
      <c r="D444" s="122"/>
      <c r="E444" s="122"/>
      <c r="F444" s="122"/>
      <c r="G444" s="122"/>
      <c r="H444" s="122"/>
      <c r="I444" s="275"/>
      <c r="J444" s="130"/>
      <c r="K444" s="130"/>
      <c r="L444" s="130"/>
      <c r="M444" s="130"/>
      <c r="N444" s="291"/>
      <c r="O444" s="291"/>
      <c r="P444" s="122"/>
      <c r="Q444" s="122"/>
      <c r="R444" s="122"/>
      <c r="S444" s="122"/>
      <c r="T444" s="122"/>
      <c r="U444" s="301"/>
      <c r="V444" s="260">
        <f t="shared" ca="1" si="14"/>
        <v>0</v>
      </c>
      <c r="W444" s="348" t="str">
        <f>IF(板块成分!B446="","",板块成分!B446)</f>
        <v>001230.SZ</v>
      </c>
      <c r="X444" s="276" t="str">
        <f>[1]!S_Info_Name(W444)</f>
        <v>劲旅环境</v>
      </c>
      <c r="Y444" s="276" t="str">
        <f ca="1">IF($Y$3="申万一级行业",[1]!s_info_industry_sw_2021(W444,公司分析!D$5,1),IF($Y$3="申万二级行业",[1]!s_info_industry_sw_2021(W444,公司分析!D$5,2),IF($Y$3="申万三级行业",[1]!s_info_industry_sw_2021(W444,公司分析!D$5,3),IF($Y$3="wind一级行业",[1]!s_info_industry_gics(W444,1),IF($Y$3="wind二级行业",[1]!s_info_industry_gics(W444,2),IF($Y$3="wind三级行业",[1]!s_info_industry_gics(W444,3),IF($Y$3="wind四级行业",[1]!s_info_industry_gics(W444,4),IF($Y$3="证监会门类行业",[1]!s_info_industry_csrc12_n(W444,公司分析!D$5,1),""))))))))</f>
        <v>环境治理</v>
      </c>
      <c r="Z444" s="302" t="str">
        <f ca="1">IF(Y444=行业比较!$E$6,ROW(),"")</f>
        <v/>
      </c>
      <c r="AA444" s="122"/>
      <c r="AB444" s="122"/>
      <c r="AC444" s="122"/>
      <c r="AD444" s="122"/>
      <c r="AE444" s="122"/>
      <c r="AF444" s="122"/>
      <c r="AG444" s="122"/>
      <c r="AH444" s="122"/>
      <c r="AI444" s="122"/>
      <c r="AJ444" s="122"/>
      <c r="AK444" s="122"/>
      <c r="AL444" s="122"/>
      <c r="AM444" s="122"/>
      <c r="AN444" s="122"/>
      <c r="AO444" s="122"/>
      <c r="AP444" s="122"/>
    </row>
    <row r="445" spans="2:42">
      <c r="B445" s="122"/>
      <c r="C445" s="122"/>
      <c r="D445" s="122"/>
      <c r="E445" s="122"/>
      <c r="F445" s="122"/>
      <c r="G445" s="122"/>
      <c r="H445" s="122"/>
      <c r="I445" s="275"/>
      <c r="J445" s="130"/>
      <c r="K445" s="130"/>
      <c r="L445" s="130"/>
      <c r="M445" s="130"/>
      <c r="N445" s="291"/>
      <c r="O445" s="291"/>
      <c r="P445" s="122"/>
      <c r="Q445" s="122"/>
      <c r="R445" s="122"/>
      <c r="S445" s="122"/>
      <c r="T445" s="122"/>
      <c r="U445" s="301"/>
      <c r="V445" s="260">
        <f t="shared" ca="1" si="14"/>
        <v>0</v>
      </c>
      <c r="W445" s="348" t="str">
        <f>IF(板块成分!B447="","",板块成分!B447)</f>
        <v>001231.SZ</v>
      </c>
      <c r="X445" s="276" t="str">
        <f>[1]!S_Info_Name(W445)</f>
        <v>农心科技</v>
      </c>
      <c r="Y445" s="276" t="str">
        <f ca="1">IF($Y$3="申万一级行业",[1]!s_info_industry_sw_2021(W445,公司分析!D$5,1),IF($Y$3="申万二级行业",[1]!s_info_industry_sw_2021(W445,公司分析!D$5,2),IF($Y$3="申万三级行业",[1]!s_info_industry_sw_2021(W445,公司分析!D$5,3),IF($Y$3="wind一级行业",[1]!s_info_industry_gics(W445,1),IF($Y$3="wind二级行业",[1]!s_info_industry_gics(W445,2),IF($Y$3="wind三级行业",[1]!s_info_industry_gics(W445,3),IF($Y$3="wind四级行业",[1]!s_info_industry_gics(W445,4),IF($Y$3="证监会门类行业",[1]!s_info_industry_csrc12_n(W445,公司分析!D$5,1),""))))))))</f>
        <v>农化制品</v>
      </c>
      <c r="Z445" s="302" t="str">
        <f ca="1">IF(Y445=行业比较!$E$6,ROW(),"")</f>
        <v/>
      </c>
      <c r="AA445" s="122"/>
      <c r="AB445" s="122"/>
      <c r="AC445" s="122"/>
      <c r="AD445" s="122"/>
      <c r="AE445" s="122"/>
      <c r="AF445" s="122"/>
      <c r="AG445" s="122"/>
      <c r="AH445" s="122"/>
      <c r="AI445" s="122"/>
      <c r="AJ445" s="122"/>
      <c r="AK445" s="122"/>
      <c r="AL445" s="122"/>
      <c r="AM445" s="122"/>
      <c r="AN445" s="122"/>
      <c r="AO445" s="122"/>
      <c r="AP445" s="122"/>
    </row>
    <row r="446" spans="2:42">
      <c r="B446" s="122"/>
      <c r="C446" s="122"/>
      <c r="D446" s="122"/>
      <c r="E446" s="122"/>
      <c r="F446" s="122"/>
      <c r="G446" s="122"/>
      <c r="H446" s="122"/>
      <c r="I446" s="275"/>
      <c r="J446" s="130"/>
      <c r="K446" s="130"/>
      <c r="L446" s="130"/>
      <c r="M446" s="130"/>
      <c r="N446" s="291"/>
      <c r="O446" s="291"/>
      <c r="P446" s="122"/>
      <c r="Q446" s="122"/>
      <c r="R446" s="122"/>
      <c r="S446" s="122"/>
      <c r="T446" s="122"/>
      <c r="U446" s="301"/>
      <c r="V446" s="260">
        <f t="shared" ca="1" si="14"/>
        <v>0</v>
      </c>
      <c r="W446" s="348" t="str">
        <f>IF(板块成分!B448="","",板块成分!B448)</f>
        <v>001233.SZ</v>
      </c>
      <c r="X446" s="276" t="str">
        <f>[1]!S_Info_Name(W446)</f>
        <v>海安集团</v>
      </c>
      <c r="Y446" s="276" t="str">
        <f ca="1">IF($Y$3="申万一级行业",[1]!s_info_industry_sw_2021(W446,公司分析!D$5,1),IF($Y$3="申万二级行业",[1]!s_info_industry_sw_2021(W446,公司分析!D$5,2),IF($Y$3="申万三级行业",[1]!s_info_industry_sw_2021(W446,公司分析!D$5,3),IF($Y$3="wind一级行业",[1]!s_info_industry_gics(W446,1),IF($Y$3="wind二级行业",[1]!s_info_industry_gics(W446,2),IF($Y$3="wind三级行业",[1]!s_info_industry_gics(W446,3),IF($Y$3="wind四级行业",[1]!s_info_industry_gics(W446,4),IF($Y$3="证监会门类行业",[1]!s_info_industry_csrc12_n(W446,公司分析!D$5,1),""))))))))</f>
        <v>汽车零部件</v>
      </c>
      <c r="Z446" s="302" t="str">
        <f ca="1">IF(Y446=行业比较!$E$6,ROW(),"")</f>
        <v/>
      </c>
      <c r="AA446" s="122"/>
      <c r="AB446" s="122"/>
      <c r="AC446" s="122"/>
      <c r="AD446" s="122"/>
      <c r="AE446" s="122"/>
      <c r="AF446" s="122"/>
      <c r="AG446" s="122"/>
      <c r="AH446" s="122"/>
      <c r="AI446" s="122"/>
      <c r="AJ446" s="122"/>
      <c r="AK446" s="122"/>
      <c r="AL446" s="122"/>
      <c r="AM446" s="122"/>
      <c r="AN446" s="122"/>
      <c r="AO446" s="122"/>
      <c r="AP446" s="122"/>
    </row>
    <row r="447" spans="2:42">
      <c r="B447" s="122"/>
      <c r="C447" s="122"/>
      <c r="D447" s="122"/>
      <c r="E447" s="122"/>
      <c r="F447" s="122"/>
      <c r="G447" s="122"/>
      <c r="H447" s="122"/>
      <c r="I447" s="275"/>
      <c r="J447" s="130"/>
      <c r="K447" s="130"/>
      <c r="L447" s="130"/>
      <c r="M447" s="130"/>
      <c r="N447" s="291"/>
      <c r="O447" s="291"/>
      <c r="P447" s="122"/>
      <c r="Q447" s="122"/>
      <c r="R447" s="122"/>
      <c r="S447" s="122"/>
      <c r="T447" s="122"/>
      <c r="U447" s="301"/>
      <c r="V447" s="260">
        <f t="shared" ca="1" si="14"/>
        <v>0</v>
      </c>
      <c r="W447" s="348" t="str">
        <f>IF(板块成分!B449="","",板块成分!B449)</f>
        <v>001234.SZ</v>
      </c>
      <c r="X447" s="276" t="str">
        <f>[1]!S_Info_Name(W447)</f>
        <v>泰慕士</v>
      </c>
      <c r="Y447" s="276" t="str">
        <f ca="1">IF($Y$3="申万一级行业",[1]!s_info_industry_sw_2021(W447,公司分析!D$5,1),IF($Y$3="申万二级行业",[1]!s_info_industry_sw_2021(W447,公司分析!D$5,2),IF($Y$3="申万三级行业",[1]!s_info_industry_sw_2021(W447,公司分析!D$5,3),IF($Y$3="wind一级行业",[1]!s_info_industry_gics(W447,1),IF($Y$3="wind二级行业",[1]!s_info_industry_gics(W447,2),IF($Y$3="wind三级行业",[1]!s_info_industry_gics(W447,3),IF($Y$3="wind四级行业",[1]!s_info_industry_gics(W447,4),IF($Y$3="证监会门类行业",[1]!s_info_industry_csrc12_n(W447,公司分析!D$5,1),""))))))))</f>
        <v>服装家纺</v>
      </c>
      <c r="Z447" s="302" t="str">
        <f ca="1">IF(Y447=行业比较!$E$6,ROW(),"")</f>
        <v/>
      </c>
      <c r="AA447" s="122"/>
      <c r="AB447" s="122"/>
      <c r="AC447" s="122"/>
      <c r="AD447" s="122"/>
      <c r="AE447" s="122"/>
      <c r="AF447" s="122"/>
      <c r="AG447" s="122"/>
      <c r="AH447" s="122"/>
      <c r="AI447" s="122"/>
      <c r="AJ447" s="122"/>
      <c r="AK447" s="122"/>
      <c r="AL447" s="122"/>
      <c r="AM447" s="122"/>
      <c r="AN447" s="122"/>
      <c r="AO447" s="122"/>
      <c r="AP447" s="122"/>
    </row>
    <row r="448" spans="2:42">
      <c r="B448" s="122"/>
      <c r="C448" s="122"/>
      <c r="D448" s="122"/>
      <c r="E448" s="122"/>
      <c r="F448" s="122"/>
      <c r="G448" s="122"/>
      <c r="H448" s="122"/>
      <c r="I448" s="275"/>
      <c r="J448" s="130"/>
      <c r="K448" s="130"/>
      <c r="L448" s="130"/>
      <c r="M448" s="130"/>
      <c r="N448" s="291"/>
      <c r="O448" s="291"/>
      <c r="P448" s="122"/>
      <c r="Q448" s="122"/>
      <c r="R448" s="122"/>
      <c r="S448" s="122"/>
      <c r="T448" s="122"/>
      <c r="U448" s="301"/>
      <c r="V448" s="260">
        <f t="shared" ca="1" si="14"/>
        <v>0</v>
      </c>
      <c r="W448" s="348" t="str">
        <f>IF(板块成分!B450="","",板块成分!B450)</f>
        <v>001236.SZ</v>
      </c>
      <c r="X448" s="276" t="str">
        <f>[1]!S_Info_Name(W448)</f>
        <v>弘业期货</v>
      </c>
      <c r="Y448" s="276" t="str">
        <f ca="1">IF($Y$3="申万一级行业",[1]!s_info_industry_sw_2021(W448,公司分析!D$5,1),IF($Y$3="申万二级行业",[1]!s_info_industry_sw_2021(W448,公司分析!D$5,2),IF($Y$3="申万三级行业",[1]!s_info_industry_sw_2021(W448,公司分析!D$5,3),IF($Y$3="wind一级行业",[1]!s_info_industry_gics(W448,1),IF($Y$3="wind二级行业",[1]!s_info_industry_gics(W448,2),IF($Y$3="wind三级行业",[1]!s_info_industry_gics(W448,3),IF($Y$3="wind四级行业",[1]!s_info_industry_gics(W448,4),IF($Y$3="证监会门类行业",[1]!s_info_industry_csrc12_n(W448,公司分析!D$5,1),""))))))))</f>
        <v>多元金融</v>
      </c>
      <c r="Z448" s="302" t="str">
        <f ca="1">IF(Y448=行业比较!$E$6,ROW(),"")</f>
        <v/>
      </c>
      <c r="AA448" s="122"/>
      <c r="AB448" s="122"/>
      <c r="AC448" s="122"/>
      <c r="AD448" s="122"/>
      <c r="AE448" s="122"/>
      <c r="AF448" s="122"/>
      <c r="AG448" s="122"/>
      <c r="AH448" s="122"/>
      <c r="AI448" s="122"/>
      <c r="AJ448" s="122"/>
      <c r="AK448" s="122"/>
      <c r="AL448" s="122"/>
      <c r="AM448" s="122"/>
      <c r="AN448" s="122"/>
      <c r="AO448" s="122"/>
      <c r="AP448" s="122"/>
    </row>
    <row r="449" spans="2:42">
      <c r="B449" s="122"/>
      <c r="C449" s="122"/>
      <c r="D449" s="122"/>
      <c r="E449" s="122"/>
      <c r="F449" s="122"/>
      <c r="G449" s="122"/>
      <c r="H449" s="122"/>
      <c r="I449" s="275"/>
      <c r="J449" s="130"/>
      <c r="K449" s="130"/>
      <c r="L449" s="130"/>
      <c r="M449" s="130"/>
      <c r="N449" s="291"/>
      <c r="O449" s="291"/>
      <c r="P449" s="122"/>
      <c r="Q449" s="122"/>
      <c r="R449" s="122"/>
      <c r="S449" s="122"/>
      <c r="T449" s="122"/>
      <c r="U449" s="301"/>
      <c r="V449" s="260">
        <f t="shared" ca="1" si="14"/>
        <v>0</v>
      </c>
      <c r="W449" s="348" t="str">
        <f>IF(板块成分!B451="","",板块成分!B451)</f>
        <v>001238.SZ</v>
      </c>
      <c r="X449" s="276" t="str">
        <f>[1]!S_Info_Name(W449)</f>
        <v>浙江正特</v>
      </c>
      <c r="Y449" s="276" t="str">
        <f ca="1">IF($Y$3="申万一级行业",[1]!s_info_industry_sw_2021(W449,公司分析!D$5,1),IF($Y$3="申万二级行业",[1]!s_info_industry_sw_2021(W449,公司分析!D$5,2),IF($Y$3="申万三级行业",[1]!s_info_industry_sw_2021(W449,公司分析!D$5,3),IF($Y$3="wind一级行业",[1]!s_info_industry_gics(W449,1),IF($Y$3="wind二级行业",[1]!s_info_industry_gics(W449,2),IF($Y$3="wind三级行业",[1]!s_info_industry_gics(W449,3),IF($Y$3="wind四级行业",[1]!s_info_industry_gics(W449,4),IF($Y$3="证监会门类行业",[1]!s_info_industry_csrc12_n(W449,公司分析!D$5,1),""))))))))</f>
        <v>文娱用品</v>
      </c>
      <c r="Z449" s="302" t="str">
        <f ca="1">IF(Y449=行业比较!$E$6,ROW(),"")</f>
        <v/>
      </c>
      <c r="AA449" s="122"/>
      <c r="AB449" s="122"/>
      <c r="AC449" s="122"/>
      <c r="AD449" s="122"/>
      <c r="AE449" s="122"/>
      <c r="AF449" s="122"/>
      <c r="AG449" s="122"/>
      <c r="AH449" s="122"/>
      <c r="AI449" s="122"/>
      <c r="AJ449" s="122"/>
      <c r="AK449" s="122"/>
      <c r="AL449" s="122"/>
      <c r="AM449" s="122"/>
      <c r="AN449" s="122"/>
      <c r="AO449" s="122"/>
      <c r="AP449" s="122"/>
    </row>
    <row r="450" spans="2:42">
      <c r="B450" s="122"/>
      <c r="C450" s="122"/>
      <c r="D450" s="122"/>
      <c r="E450" s="122"/>
      <c r="F450" s="122"/>
      <c r="G450" s="122"/>
      <c r="H450" s="122"/>
      <c r="I450" s="275"/>
      <c r="J450" s="130"/>
      <c r="K450" s="130"/>
      <c r="L450" s="130"/>
      <c r="M450" s="130"/>
      <c r="N450" s="291"/>
      <c r="O450" s="291"/>
      <c r="P450" s="122"/>
      <c r="Q450" s="122"/>
      <c r="R450" s="122"/>
      <c r="S450" s="122"/>
      <c r="T450" s="122"/>
      <c r="U450" s="301"/>
      <c r="V450" s="260">
        <f t="shared" ca="1" si="14"/>
        <v>0</v>
      </c>
      <c r="W450" s="348" t="str">
        <f>IF(板块成分!B452="","",板块成分!B452)</f>
        <v>001239.SZ</v>
      </c>
      <c r="X450" s="276" t="str">
        <f>[1]!S_Info_Name(W450)</f>
        <v>永达股份</v>
      </c>
      <c r="Y450" s="276" t="str">
        <f ca="1">IF($Y$3="申万一级行业",[1]!s_info_industry_sw_2021(W450,公司分析!D$5,1),IF($Y$3="申万二级行业",[1]!s_info_industry_sw_2021(W450,公司分析!D$5,2),IF($Y$3="申万三级行业",[1]!s_info_industry_sw_2021(W450,公司分析!D$5,3),IF($Y$3="wind一级行业",[1]!s_info_industry_gics(W450,1),IF($Y$3="wind二级行业",[1]!s_info_industry_gics(W450,2),IF($Y$3="wind三级行业",[1]!s_info_industry_gics(W450,3),IF($Y$3="wind四级行业",[1]!s_info_industry_gics(W450,4),IF($Y$3="证监会门类行业",[1]!s_info_industry_csrc12_n(W450,公司分析!D$5,1),""))))))))</f>
        <v>工程机械</v>
      </c>
      <c r="Z450" s="302" t="str">
        <f ca="1">IF(Y450=行业比较!$E$6,ROW(),"")</f>
        <v/>
      </c>
      <c r="AA450" s="122"/>
      <c r="AB450" s="122"/>
      <c r="AC450" s="122"/>
      <c r="AD450" s="122"/>
      <c r="AE450" s="122"/>
      <c r="AF450" s="122"/>
      <c r="AG450" s="122"/>
      <c r="AH450" s="122"/>
      <c r="AI450" s="122"/>
      <c r="AJ450" s="122"/>
      <c r="AK450" s="122"/>
      <c r="AL450" s="122"/>
      <c r="AM450" s="122"/>
      <c r="AN450" s="122"/>
      <c r="AO450" s="122"/>
      <c r="AP450" s="122"/>
    </row>
    <row r="451" spans="2:42">
      <c r="B451" s="122"/>
      <c r="C451" s="122"/>
      <c r="D451" s="122"/>
      <c r="E451" s="122"/>
      <c r="F451" s="122"/>
      <c r="G451" s="122"/>
      <c r="H451" s="122"/>
      <c r="I451" s="275"/>
      <c r="J451" s="130"/>
      <c r="K451" s="130"/>
      <c r="L451" s="130"/>
      <c r="M451" s="130"/>
      <c r="N451" s="291"/>
      <c r="O451" s="291"/>
      <c r="P451" s="122"/>
      <c r="Q451" s="122"/>
      <c r="R451" s="122"/>
      <c r="S451" s="122"/>
      <c r="T451" s="122"/>
      <c r="U451" s="301"/>
      <c r="V451" s="260">
        <f t="shared" ca="1" si="14"/>
        <v>0</v>
      </c>
      <c r="W451" s="348" t="str">
        <f>IF(板块成分!B453="","",板块成分!B453)</f>
        <v>001255.SZ</v>
      </c>
      <c r="X451" s="276" t="str">
        <f>[1]!S_Info_Name(W451)</f>
        <v>博菲电气</v>
      </c>
      <c r="Y451" s="276" t="str">
        <f ca="1">IF($Y$3="申万一级行业",[1]!s_info_industry_sw_2021(W451,公司分析!D$5,1),IF($Y$3="申万二级行业",[1]!s_info_industry_sw_2021(W451,公司分析!D$5,2),IF($Y$3="申万三级行业",[1]!s_info_industry_sw_2021(W451,公司分析!D$5,3),IF($Y$3="wind一级行业",[1]!s_info_industry_gics(W451,1),IF($Y$3="wind二级行业",[1]!s_info_industry_gics(W451,2),IF($Y$3="wind三级行业",[1]!s_info_industry_gics(W451,3),IF($Y$3="wind四级行业",[1]!s_info_industry_gics(W451,4),IF($Y$3="证监会门类行业",[1]!s_info_industry_csrc12_n(W451,公司分析!D$5,1),""))))))))</f>
        <v>塑料</v>
      </c>
      <c r="Z451" s="302" t="str">
        <f ca="1">IF(Y451=行业比较!$E$6,ROW(),"")</f>
        <v/>
      </c>
      <c r="AA451" s="122"/>
      <c r="AB451" s="122"/>
      <c r="AC451" s="122"/>
      <c r="AD451" s="122"/>
      <c r="AE451" s="122"/>
      <c r="AF451" s="122"/>
      <c r="AG451" s="122"/>
      <c r="AH451" s="122"/>
      <c r="AI451" s="122"/>
      <c r="AJ451" s="122"/>
      <c r="AK451" s="122"/>
      <c r="AL451" s="122"/>
      <c r="AM451" s="122"/>
      <c r="AN451" s="122"/>
      <c r="AO451" s="122"/>
      <c r="AP451" s="122"/>
    </row>
    <row r="452" spans="2:42">
      <c r="B452" s="122"/>
      <c r="C452" s="122"/>
      <c r="D452" s="122"/>
      <c r="E452" s="122"/>
      <c r="F452" s="122"/>
      <c r="G452" s="122"/>
      <c r="H452" s="122"/>
      <c r="I452" s="275"/>
      <c r="J452" s="130"/>
      <c r="K452" s="130"/>
      <c r="L452" s="130"/>
      <c r="M452" s="130"/>
      <c r="N452" s="291"/>
      <c r="O452" s="291"/>
      <c r="P452" s="122"/>
      <c r="Q452" s="122"/>
      <c r="R452" s="122"/>
      <c r="S452" s="122"/>
      <c r="T452" s="122"/>
      <c r="U452" s="301"/>
      <c r="V452" s="260">
        <f t="shared" ca="1" si="14"/>
        <v>0</v>
      </c>
      <c r="W452" s="348" t="str">
        <f>IF(板块成分!B454="","",板块成分!B454)</f>
        <v>001256.SZ</v>
      </c>
      <c r="X452" s="276" t="str">
        <f>[1]!S_Info_Name(W452)</f>
        <v>炜冈科技</v>
      </c>
      <c r="Y452" s="276" t="str">
        <f ca="1">IF($Y$3="申万一级行业",[1]!s_info_industry_sw_2021(W452,公司分析!D$5,1),IF($Y$3="申万二级行业",[1]!s_info_industry_sw_2021(W452,公司分析!D$5,2),IF($Y$3="申万三级行业",[1]!s_info_industry_sw_2021(W452,公司分析!D$5,3),IF($Y$3="wind一级行业",[1]!s_info_industry_gics(W452,1),IF($Y$3="wind二级行业",[1]!s_info_industry_gics(W452,2),IF($Y$3="wind三级行业",[1]!s_info_industry_gics(W452,3),IF($Y$3="wind四级行业",[1]!s_info_industry_gics(W452,4),IF($Y$3="证监会门类行业",[1]!s_info_industry_csrc12_n(W452,公司分析!D$5,1),""))))))))</f>
        <v>专用设备</v>
      </c>
      <c r="Z452" s="302" t="str">
        <f ca="1">IF(Y452=行业比较!$E$6,ROW(),"")</f>
        <v/>
      </c>
      <c r="AA452" s="122"/>
      <c r="AB452" s="122"/>
      <c r="AC452" s="122"/>
      <c r="AD452" s="122"/>
      <c r="AE452" s="122"/>
      <c r="AF452" s="122"/>
      <c r="AG452" s="122"/>
      <c r="AH452" s="122"/>
      <c r="AI452" s="122"/>
      <c r="AJ452" s="122"/>
      <c r="AK452" s="122"/>
      <c r="AL452" s="122"/>
      <c r="AM452" s="122"/>
      <c r="AN452" s="122"/>
      <c r="AO452" s="122"/>
      <c r="AP452" s="122"/>
    </row>
    <row r="453" spans="2:42">
      <c r="B453" s="122"/>
      <c r="C453" s="122"/>
      <c r="D453" s="122"/>
      <c r="E453" s="122"/>
      <c r="F453" s="122"/>
      <c r="G453" s="122"/>
      <c r="H453" s="122"/>
      <c r="I453" s="275"/>
      <c r="J453" s="130"/>
      <c r="K453" s="130"/>
      <c r="L453" s="130"/>
      <c r="M453" s="130"/>
      <c r="N453" s="291"/>
      <c r="O453" s="291"/>
      <c r="P453" s="122"/>
      <c r="Q453" s="122"/>
      <c r="R453" s="122"/>
      <c r="S453" s="122"/>
      <c r="T453" s="122"/>
      <c r="U453" s="301"/>
      <c r="V453" s="260">
        <f t="shared" ref="V453:V516" ca="1" si="15">IF(Z453="",0,RANK(Z453,Z:Z,1))</f>
        <v>0</v>
      </c>
      <c r="W453" s="348" t="str">
        <f>IF(板块成分!B455="","",板块成分!B455)</f>
        <v>001258.SZ</v>
      </c>
      <c r="X453" s="276" t="str">
        <f>[1]!S_Info_Name(W453)</f>
        <v>立新能源</v>
      </c>
      <c r="Y453" s="276" t="str">
        <f ca="1">IF($Y$3="申万一级行业",[1]!s_info_industry_sw_2021(W453,公司分析!D$5,1),IF($Y$3="申万二级行业",[1]!s_info_industry_sw_2021(W453,公司分析!D$5,2),IF($Y$3="申万三级行业",[1]!s_info_industry_sw_2021(W453,公司分析!D$5,3),IF($Y$3="wind一级行业",[1]!s_info_industry_gics(W453,1),IF($Y$3="wind二级行业",[1]!s_info_industry_gics(W453,2),IF($Y$3="wind三级行业",[1]!s_info_industry_gics(W453,3),IF($Y$3="wind四级行业",[1]!s_info_industry_gics(W453,4),IF($Y$3="证监会门类行业",[1]!s_info_industry_csrc12_n(W453,公司分析!D$5,1),""))))))))</f>
        <v>电力</v>
      </c>
      <c r="Z453" s="302" t="str">
        <f ca="1">IF(Y453=行业比较!$E$6,ROW(),"")</f>
        <v/>
      </c>
      <c r="AA453" s="122"/>
      <c r="AB453" s="122"/>
      <c r="AC453" s="122"/>
      <c r="AD453" s="122"/>
      <c r="AE453" s="122"/>
      <c r="AF453" s="122"/>
      <c r="AG453" s="122"/>
      <c r="AH453" s="122"/>
      <c r="AI453" s="122"/>
      <c r="AJ453" s="122"/>
      <c r="AK453" s="122"/>
      <c r="AL453" s="122"/>
      <c r="AM453" s="122"/>
      <c r="AN453" s="122"/>
      <c r="AO453" s="122"/>
      <c r="AP453" s="122"/>
    </row>
    <row r="454" spans="2:42">
      <c r="B454" s="122"/>
      <c r="C454" s="122"/>
      <c r="D454" s="122"/>
      <c r="E454" s="122"/>
      <c r="F454" s="122"/>
      <c r="G454" s="122"/>
      <c r="H454" s="122"/>
      <c r="I454" s="275"/>
      <c r="J454" s="130"/>
      <c r="K454" s="130"/>
      <c r="L454" s="130"/>
      <c r="M454" s="130"/>
      <c r="N454" s="291"/>
      <c r="O454" s="291"/>
      <c r="P454" s="122"/>
      <c r="Q454" s="122"/>
      <c r="R454" s="122"/>
      <c r="S454" s="122"/>
      <c r="T454" s="122"/>
      <c r="U454" s="301"/>
      <c r="V454" s="260">
        <f t="shared" ca="1" si="15"/>
        <v>0</v>
      </c>
      <c r="W454" s="348" t="str">
        <f>IF(板块成分!B456="","",板块成分!B456)</f>
        <v>001259.SZ</v>
      </c>
      <c r="X454" s="276" t="str">
        <f>[1]!S_Info_Name(W454)</f>
        <v>利仁科技</v>
      </c>
      <c r="Y454" s="276" t="str">
        <f ca="1">IF($Y$3="申万一级行业",[1]!s_info_industry_sw_2021(W454,公司分析!D$5,1),IF($Y$3="申万二级行业",[1]!s_info_industry_sw_2021(W454,公司分析!D$5,2),IF($Y$3="申万三级行业",[1]!s_info_industry_sw_2021(W454,公司分析!D$5,3),IF($Y$3="wind一级行业",[1]!s_info_industry_gics(W454,1),IF($Y$3="wind二级行业",[1]!s_info_industry_gics(W454,2),IF($Y$3="wind三级行业",[1]!s_info_industry_gics(W454,3),IF($Y$3="wind四级行业",[1]!s_info_industry_gics(W454,4),IF($Y$3="证监会门类行业",[1]!s_info_industry_csrc12_n(W454,公司分析!D$5,1),""))))))))</f>
        <v>小家电</v>
      </c>
      <c r="Z454" s="302" t="str">
        <f ca="1">IF(Y454=行业比较!$E$6,ROW(),"")</f>
        <v/>
      </c>
      <c r="AA454" s="122"/>
      <c r="AB454" s="122"/>
      <c r="AC454" s="122"/>
      <c r="AD454" s="122"/>
      <c r="AE454" s="122"/>
      <c r="AF454" s="122"/>
      <c r="AG454" s="122"/>
      <c r="AH454" s="122"/>
      <c r="AI454" s="122"/>
      <c r="AJ454" s="122"/>
      <c r="AK454" s="122"/>
      <c r="AL454" s="122"/>
      <c r="AM454" s="122"/>
      <c r="AN454" s="122"/>
      <c r="AO454" s="122"/>
      <c r="AP454" s="122"/>
    </row>
    <row r="455" spans="2:42">
      <c r="B455" s="122"/>
      <c r="C455" s="122"/>
      <c r="D455" s="122"/>
      <c r="E455" s="122"/>
      <c r="F455" s="122"/>
      <c r="G455" s="122"/>
      <c r="H455" s="122"/>
      <c r="I455" s="275"/>
      <c r="J455" s="130"/>
      <c r="K455" s="130"/>
      <c r="L455" s="130"/>
      <c r="M455" s="130"/>
      <c r="N455" s="291"/>
      <c r="O455" s="291"/>
      <c r="P455" s="122"/>
      <c r="Q455" s="122"/>
      <c r="R455" s="122"/>
      <c r="S455" s="122"/>
      <c r="T455" s="122"/>
      <c r="U455" s="301"/>
      <c r="V455" s="260">
        <f t="shared" ca="1" si="15"/>
        <v>0</v>
      </c>
      <c r="W455" s="348" t="str">
        <f>IF(板块成分!B457="","",板块成分!B457)</f>
        <v>001260.SZ</v>
      </c>
      <c r="X455" s="276" t="str">
        <f>[1]!S_Info_Name(W455)</f>
        <v>坤泰股份</v>
      </c>
      <c r="Y455" s="276" t="str">
        <f ca="1">IF($Y$3="申万一级行业",[1]!s_info_industry_sw_2021(W455,公司分析!D$5,1),IF($Y$3="申万二级行业",[1]!s_info_industry_sw_2021(W455,公司分析!D$5,2),IF($Y$3="申万三级行业",[1]!s_info_industry_sw_2021(W455,公司分析!D$5,3),IF($Y$3="wind一级行业",[1]!s_info_industry_gics(W455,1),IF($Y$3="wind二级行业",[1]!s_info_industry_gics(W455,2),IF($Y$3="wind三级行业",[1]!s_info_industry_gics(W455,3),IF($Y$3="wind四级行业",[1]!s_info_industry_gics(W455,4),IF($Y$3="证监会门类行业",[1]!s_info_industry_csrc12_n(W455,公司分析!D$5,1),""))))))))</f>
        <v>汽车零部件</v>
      </c>
      <c r="Z455" s="302" t="str">
        <f ca="1">IF(Y455=行业比较!$E$6,ROW(),"")</f>
        <v/>
      </c>
      <c r="AA455" s="122"/>
      <c r="AB455" s="122"/>
      <c r="AC455" s="122"/>
      <c r="AD455" s="122"/>
      <c r="AE455" s="122"/>
      <c r="AF455" s="122"/>
      <c r="AG455" s="122"/>
      <c r="AH455" s="122"/>
      <c r="AI455" s="122"/>
      <c r="AJ455" s="122"/>
      <c r="AK455" s="122"/>
      <c r="AL455" s="122"/>
      <c r="AM455" s="122"/>
      <c r="AN455" s="122"/>
      <c r="AO455" s="122"/>
      <c r="AP455" s="122"/>
    </row>
    <row r="456" spans="2:42">
      <c r="B456" s="122"/>
      <c r="C456" s="122"/>
      <c r="D456" s="122"/>
      <c r="E456" s="122"/>
      <c r="F456" s="122"/>
      <c r="G456" s="122"/>
      <c r="H456" s="122"/>
      <c r="I456" s="275"/>
      <c r="J456" s="130"/>
      <c r="K456" s="130"/>
      <c r="L456" s="130"/>
      <c r="M456" s="130"/>
      <c r="N456" s="291"/>
      <c r="O456" s="291"/>
      <c r="P456" s="122"/>
      <c r="Q456" s="122"/>
      <c r="R456" s="122"/>
      <c r="S456" s="122"/>
      <c r="T456" s="122"/>
      <c r="U456" s="301"/>
      <c r="V456" s="260">
        <f t="shared" ca="1" si="15"/>
        <v>0</v>
      </c>
      <c r="W456" s="348" t="str">
        <f>IF(板块成分!B458="","",板块成分!B458)</f>
        <v>001266.SZ</v>
      </c>
      <c r="X456" s="276" t="str">
        <f>[1]!S_Info_Name(W456)</f>
        <v>宏英智能</v>
      </c>
      <c r="Y456" s="276" t="str">
        <f ca="1">IF($Y$3="申万一级行业",[1]!s_info_industry_sw_2021(W456,公司分析!D$5,1),IF($Y$3="申万二级行业",[1]!s_info_industry_sw_2021(W456,公司分析!D$5,2),IF($Y$3="申万三级行业",[1]!s_info_industry_sw_2021(W456,公司分析!D$5,3),IF($Y$3="wind一级行业",[1]!s_info_industry_gics(W456,1),IF($Y$3="wind二级行业",[1]!s_info_industry_gics(W456,2),IF($Y$3="wind三级行业",[1]!s_info_industry_gics(W456,3),IF($Y$3="wind四级行业",[1]!s_info_industry_gics(W456,4),IF($Y$3="证监会门类行业",[1]!s_info_industry_csrc12_n(W456,公司分析!D$5,1),""))))))))</f>
        <v>自动化设备</v>
      </c>
      <c r="Z456" s="302" t="str">
        <f ca="1">IF(Y456=行业比较!$E$6,ROW(),"")</f>
        <v/>
      </c>
      <c r="AA456" s="122"/>
      <c r="AB456" s="122"/>
      <c r="AC456" s="122"/>
      <c r="AD456" s="122"/>
      <c r="AE456" s="122"/>
      <c r="AF456" s="122"/>
      <c r="AG456" s="122"/>
      <c r="AH456" s="122"/>
      <c r="AI456" s="122"/>
      <c r="AJ456" s="122"/>
      <c r="AK456" s="122"/>
      <c r="AL456" s="122"/>
      <c r="AM456" s="122"/>
      <c r="AN456" s="122"/>
      <c r="AO456" s="122"/>
      <c r="AP456" s="122"/>
    </row>
    <row r="457" spans="2:42">
      <c r="B457" s="122"/>
      <c r="C457" s="122"/>
      <c r="D457" s="122"/>
      <c r="E457" s="122"/>
      <c r="F457" s="122"/>
      <c r="G457" s="122"/>
      <c r="H457" s="122"/>
      <c r="I457" s="275"/>
      <c r="J457" s="130"/>
      <c r="K457" s="130"/>
      <c r="L457" s="130"/>
      <c r="M457" s="130"/>
      <c r="N457" s="291"/>
      <c r="O457" s="291"/>
      <c r="P457" s="122"/>
      <c r="Q457" s="122"/>
      <c r="R457" s="122"/>
      <c r="S457" s="122"/>
      <c r="T457" s="122"/>
      <c r="U457" s="301"/>
      <c r="V457" s="260">
        <f t="shared" ca="1" si="15"/>
        <v>0</v>
      </c>
      <c r="W457" s="348" t="str">
        <f>IF(板块成分!B459="","",板块成分!B459)</f>
        <v>001267.SZ</v>
      </c>
      <c r="X457" s="276" t="str">
        <f>[1]!S_Info_Name(W457)</f>
        <v>汇绿生态</v>
      </c>
      <c r="Y457" s="276" t="str">
        <f ca="1">IF($Y$3="申万一级行业",[1]!s_info_industry_sw_2021(W457,公司分析!D$5,1),IF($Y$3="申万二级行业",[1]!s_info_industry_sw_2021(W457,公司分析!D$5,2),IF($Y$3="申万三级行业",[1]!s_info_industry_sw_2021(W457,公司分析!D$5,3),IF($Y$3="wind一级行业",[1]!s_info_industry_gics(W457,1),IF($Y$3="wind二级行业",[1]!s_info_industry_gics(W457,2),IF($Y$3="wind三级行业",[1]!s_info_industry_gics(W457,3),IF($Y$3="wind四级行业",[1]!s_info_industry_gics(W457,4),IF($Y$3="证监会门类行业",[1]!s_info_industry_csrc12_n(W457,公司分析!D$5,1),""))))))))</f>
        <v>基础建设</v>
      </c>
      <c r="Z457" s="302" t="str">
        <f ca="1">IF(Y457=行业比较!$E$6,ROW(),"")</f>
        <v/>
      </c>
      <c r="AA457" s="122"/>
      <c r="AB457" s="122"/>
      <c r="AC457" s="122"/>
      <c r="AD457" s="122"/>
      <c r="AE457" s="122"/>
      <c r="AF457" s="122"/>
      <c r="AG457" s="122"/>
      <c r="AH457" s="122"/>
      <c r="AI457" s="122"/>
      <c r="AJ457" s="122"/>
      <c r="AK457" s="122"/>
      <c r="AL457" s="122"/>
      <c r="AM457" s="122"/>
      <c r="AN457" s="122"/>
      <c r="AO457" s="122"/>
      <c r="AP457" s="122"/>
    </row>
    <row r="458" spans="2:42">
      <c r="B458" s="122"/>
      <c r="C458" s="122"/>
      <c r="D458" s="122"/>
      <c r="E458" s="122"/>
      <c r="F458" s="122"/>
      <c r="G458" s="122"/>
      <c r="H458" s="122"/>
      <c r="I458" s="275"/>
      <c r="J458" s="130"/>
      <c r="K458" s="130"/>
      <c r="L458" s="130"/>
      <c r="M458" s="130"/>
      <c r="N458" s="291"/>
      <c r="O458" s="291"/>
      <c r="P458" s="122"/>
      <c r="Q458" s="122"/>
      <c r="R458" s="122"/>
      <c r="S458" s="122"/>
      <c r="T458" s="122"/>
      <c r="U458" s="301"/>
      <c r="V458" s="260">
        <f t="shared" ca="1" si="15"/>
        <v>0</v>
      </c>
      <c r="W458" s="348" t="str">
        <f>IF(板块成分!B460="","",板块成分!B460)</f>
        <v>001268.SZ</v>
      </c>
      <c r="X458" s="276" t="str">
        <f>[1]!S_Info_Name(W458)</f>
        <v>联合精密</v>
      </c>
      <c r="Y458" s="276" t="str">
        <f ca="1">IF($Y$3="申万一级行业",[1]!s_info_industry_sw_2021(W458,公司分析!D$5,1),IF($Y$3="申万二级行业",[1]!s_info_industry_sw_2021(W458,公司分析!D$5,2),IF($Y$3="申万三级行业",[1]!s_info_industry_sw_2021(W458,公司分析!D$5,3),IF($Y$3="wind一级行业",[1]!s_info_industry_gics(W458,1),IF($Y$3="wind二级行业",[1]!s_info_industry_gics(W458,2),IF($Y$3="wind三级行业",[1]!s_info_industry_gics(W458,3),IF($Y$3="wind四级行业",[1]!s_info_industry_gics(W458,4),IF($Y$3="证监会门类行业",[1]!s_info_industry_csrc12_n(W458,公司分析!D$5,1),""))))))))</f>
        <v>家电零部件Ⅱ</v>
      </c>
      <c r="Z458" s="302" t="str">
        <f ca="1">IF(Y458=行业比较!$E$6,ROW(),"")</f>
        <v/>
      </c>
      <c r="AA458" s="122"/>
      <c r="AB458" s="122"/>
      <c r="AC458" s="122"/>
      <c r="AD458" s="122"/>
      <c r="AE458" s="122"/>
      <c r="AF458" s="122"/>
      <c r="AG458" s="122"/>
      <c r="AH458" s="122"/>
      <c r="AI458" s="122"/>
      <c r="AJ458" s="122"/>
      <c r="AK458" s="122"/>
      <c r="AL458" s="122"/>
      <c r="AM458" s="122"/>
      <c r="AN458" s="122"/>
      <c r="AO458" s="122"/>
      <c r="AP458" s="122"/>
    </row>
    <row r="459" spans="2:42">
      <c r="B459" s="122"/>
      <c r="C459" s="122"/>
      <c r="D459" s="122"/>
      <c r="E459" s="122"/>
      <c r="F459" s="122"/>
      <c r="G459" s="122"/>
      <c r="H459" s="122"/>
      <c r="I459" s="275"/>
      <c r="J459" s="130"/>
      <c r="K459" s="130"/>
      <c r="L459" s="130"/>
      <c r="M459" s="130"/>
      <c r="N459" s="291"/>
      <c r="O459" s="291"/>
      <c r="P459" s="122"/>
      <c r="Q459" s="122"/>
      <c r="R459" s="122"/>
      <c r="S459" s="122"/>
      <c r="T459" s="122"/>
      <c r="U459" s="301"/>
      <c r="V459" s="260">
        <f t="shared" ca="1" si="15"/>
        <v>0</v>
      </c>
      <c r="W459" s="348" t="str">
        <f>IF(板块成分!B461="","",板块成分!B461)</f>
        <v>001269.SZ</v>
      </c>
      <c r="X459" s="276" t="str">
        <f>[1]!S_Info_Name(W459)</f>
        <v>欧晶科技</v>
      </c>
      <c r="Y459" s="276" t="str">
        <f ca="1">IF($Y$3="申万一级行业",[1]!s_info_industry_sw_2021(W459,公司分析!D$5,1),IF($Y$3="申万二级行业",[1]!s_info_industry_sw_2021(W459,公司分析!D$5,2),IF($Y$3="申万三级行业",[1]!s_info_industry_sw_2021(W459,公司分析!D$5,3),IF($Y$3="wind一级行业",[1]!s_info_industry_gics(W459,1),IF($Y$3="wind二级行业",[1]!s_info_industry_gics(W459,2),IF($Y$3="wind三级行业",[1]!s_info_industry_gics(W459,3),IF($Y$3="wind四级行业",[1]!s_info_industry_gics(W459,4),IF($Y$3="证监会门类行业",[1]!s_info_industry_csrc12_n(W459,公司分析!D$5,1),""))))))))</f>
        <v>光伏设备</v>
      </c>
      <c r="Z459" s="302" t="str">
        <f ca="1">IF(Y459=行业比较!$E$6,ROW(),"")</f>
        <v/>
      </c>
      <c r="AA459" s="122"/>
      <c r="AB459" s="122"/>
      <c r="AC459" s="122"/>
      <c r="AD459" s="122"/>
      <c r="AE459" s="122"/>
      <c r="AF459" s="122"/>
      <c r="AG459" s="122"/>
      <c r="AH459" s="122"/>
      <c r="AI459" s="122"/>
      <c r="AJ459" s="122"/>
      <c r="AK459" s="122"/>
      <c r="AL459" s="122"/>
      <c r="AM459" s="122"/>
      <c r="AN459" s="122"/>
      <c r="AO459" s="122"/>
      <c r="AP459" s="122"/>
    </row>
    <row r="460" spans="2:42">
      <c r="B460" s="122"/>
      <c r="C460" s="122"/>
      <c r="D460" s="122"/>
      <c r="E460" s="122"/>
      <c r="F460" s="122"/>
      <c r="G460" s="122"/>
      <c r="H460" s="122"/>
      <c r="I460" s="275"/>
      <c r="J460" s="130"/>
      <c r="K460" s="130"/>
      <c r="L460" s="130"/>
      <c r="M460" s="130"/>
      <c r="N460" s="291"/>
      <c r="O460" s="291"/>
      <c r="P460" s="122"/>
      <c r="Q460" s="122"/>
      <c r="R460" s="122"/>
      <c r="S460" s="122"/>
      <c r="T460" s="122"/>
      <c r="U460" s="301"/>
      <c r="V460" s="260">
        <f t="shared" ca="1" si="15"/>
        <v>0</v>
      </c>
      <c r="W460" s="348" t="str">
        <f>IF(板块成分!B462="","",板块成分!B462)</f>
        <v>001270.SZ</v>
      </c>
      <c r="X460" s="276" t="str">
        <f>[1]!S_Info_Name(W460)</f>
        <v>*ST铖昌</v>
      </c>
      <c r="Y460" s="276" t="str">
        <f ca="1">IF($Y$3="申万一级行业",[1]!s_info_industry_sw_2021(W460,公司分析!D$5,1),IF($Y$3="申万二级行业",[1]!s_info_industry_sw_2021(W460,公司分析!D$5,2),IF($Y$3="申万三级行业",[1]!s_info_industry_sw_2021(W460,公司分析!D$5,3),IF($Y$3="wind一级行业",[1]!s_info_industry_gics(W460,1),IF($Y$3="wind二级行业",[1]!s_info_industry_gics(W460,2),IF($Y$3="wind三级行业",[1]!s_info_industry_gics(W460,3),IF($Y$3="wind四级行业",[1]!s_info_industry_gics(W460,4),IF($Y$3="证监会门类行业",[1]!s_info_industry_csrc12_n(W460,公司分析!D$5,1),""))))))))</f>
        <v>军工电子Ⅱ</v>
      </c>
      <c r="Z460" s="302" t="str">
        <f ca="1">IF(Y460=行业比较!$E$6,ROW(),"")</f>
        <v/>
      </c>
      <c r="AA460" s="122"/>
      <c r="AB460" s="122"/>
      <c r="AC460" s="122"/>
      <c r="AD460" s="122"/>
      <c r="AE460" s="122"/>
      <c r="AF460" s="122"/>
      <c r="AG460" s="122"/>
      <c r="AH460" s="122"/>
      <c r="AI460" s="122"/>
      <c r="AJ460" s="122"/>
      <c r="AK460" s="122"/>
      <c r="AL460" s="122"/>
      <c r="AM460" s="122"/>
      <c r="AN460" s="122"/>
      <c r="AO460" s="122"/>
      <c r="AP460" s="122"/>
    </row>
    <row r="461" spans="2:42">
      <c r="B461" s="122"/>
      <c r="C461" s="122"/>
      <c r="D461" s="122"/>
      <c r="E461" s="122"/>
      <c r="F461" s="122"/>
      <c r="G461" s="122"/>
      <c r="H461" s="122"/>
      <c r="I461" s="275"/>
      <c r="J461" s="130"/>
      <c r="K461" s="130"/>
      <c r="L461" s="130"/>
      <c r="M461" s="130"/>
      <c r="N461" s="291"/>
      <c r="O461" s="291"/>
      <c r="P461" s="122"/>
      <c r="Q461" s="122"/>
      <c r="R461" s="122"/>
      <c r="S461" s="122"/>
      <c r="T461" s="122"/>
      <c r="U461" s="301"/>
      <c r="V461" s="260">
        <f t="shared" ca="1" si="15"/>
        <v>0</v>
      </c>
      <c r="W461" s="348" t="str">
        <f>IF(板块成分!B463="","",板块成分!B463)</f>
        <v>001277.SZ</v>
      </c>
      <c r="X461" s="276" t="str">
        <f>[1]!S_Info_Name(W461)</f>
        <v>速达股份</v>
      </c>
      <c r="Y461" s="276" t="str">
        <f ca="1">IF($Y$3="申万一级行业",[1]!s_info_industry_sw_2021(W461,公司分析!D$5,1),IF($Y$3="申万二级行业",[1]!s_info_industry_sw_2021(W461,公司分析!D$5,2),IF($Y$3="申万三级行业",[1]!s_info_industry_sw_2021(W461,公司分析!D$5,3),IF($Y$3="wind一级行业",[1]!s_info_industry_gics(W461,1),IF($Y$3="wind二级行业",[1]!s_info_industry_gics(W461,2),IF($Y$3="wind三级行业",[1]!s_info_industry_gics(W461,3),IF($Y$3="wind四级行业",[1]!s_info_industry_gics(W461,4),IF($Y$3="证监会门类行业",[1]!s_info_industry_csrc12_n(W461,公司分析!D$5,1),""))))))))</f>
        <v>专用设备</v>
      </c>
      <c r="Z461" s="302" t="str">
        <f ca="1">IF(Y461=行业比较!$E$6,ROW(),"")</f>
        <v/>
      </c>
      <c r="AA461" s="122"/>
      <c r="AB461" s="122"/>
      <c r="AC461" s="122"/>
      <c r="AD461" s="122"/>
      <c r="AE461" s="122"/>
      <c r="AF461" s="122"/>
      <c r="AG461" s="122"/>
      <c r="AH461" s="122"/>
      <c r="AI461" s="122"/>
      <c r="AJ461" s="122"/>
      <c r="AK461" s="122"/>
      <c r="AL461" s="122"/>
      <c r="AM461" s="122"/>
      <c r="AN461" s="122"/>
      <c r="AO461" s="122"/>
      <c r="AP461" s="122"/>
    </row>
    <row r="462" spans="2:42">
      <c r="B462" s="122"/>
      <c r="C462" s="122"/>
      <c r="D462" s="122"/>
      <c r="E462" s="122"/>
      <c r="F462" s="122"/>
      <c r="G462" s="122"/>
      <c r="H462" s="122"/>
      <c r="I462" s="275"/>
      <c r="J462" s="130"/>
      <c r="K462" s="130"/>
      <c r="L462" s="130"/>
      <c r="M462" s="130"/>
      <c r="N462" s="291"/>
      <c r="O462" s="291"/>
      <c r="P462" s="122"/>
      <c r="Q462" s="122"/>
      <c r="R462" s="122"/>
      <c r="S462" s="122"/>
      <c r="T462" s="122"/>
      <c r="U462" s="301"/>
      <c r="V462" s="260">
        <f t="shared" ca="1" si="15"/>
        <v>0</v>
      </c>
      <c r="W462" s="348" t="str">
        <f>IF(板块成分!B464="","",板块成分!B464)</f>
        <v>001278.SZ</v>
      </c>
      <c r="X462" s="276" t="str">
        <f>[1]!S_Info_Name(W462)</f>
        <v>一彬科技</v>
      </c>
      <c r="Y462" s="276" t="str">
        <f ca="1">IF($Y$3="申万一级行业",[1]!s_info_industry_sw_2021(W462,公司分析!D$5,1),IF($Y$3="申万二级行业",[1]!s_info_industry_sw_2021(W462,公司分析!D$5,2),IF($Y$3="申万三级行业",[1]!s_info_industry_sw_2021(W462,公司分析!D$5,3),IF($Y$3="wind一级行业",[1]!s_info_industry_gics(W462,1),IF($Y$3="wind二级行业",[1]!s_info_industry_gics(W462,2),IF($Y$3="wind三级行业",[1]!s_info_industry_gics(W462,3),IF($Y$3="wind四级行业",[1]!s_info_industry_gics(W462,4),IF($Y$3="证监会门类行业",[1]!s_info_industry_csrc12_n(W462,公司分析!D$5,1),""))))))))</f>
        <v>汽车零部件</v>
      </c>
      <c r="Z462" s="302" t="str">
        <f ca="1">IF(Y462=行业比较!$E$6,ROW(),"")</f>
        <v/>
      </c>
      <c r="AA462" s="122"/>
      <c r="AB462" s="122"/>
      <c r="AC462" s="122"/>
      <c r="AD462" s="122"/>
      <c r="AE462" s="122"/>
      <c r="AF462" s="122"/>
      <c r="AG462" s="122"/>
      <c r="AH462" s="122"/>
      <c r="AI462" s="122"/>
      <c r="AJ462" s="122"/>
      <c r="AK462" s="122"/>
      <c r="AL462" s="122"/>
      <c r="AM462" s="122"/>
      <c r="AN462" s="122"/>
      <c r="AO462" s="122"/>
      <c r="AP462" s="122"/>
    </row>
    <row r="463" spans="2:42">
      <c r="B463" s="122"/>
      <c r="C463" s="122"/>
      <c r="D463" s="122"/>
      <c r="E463" s="122"/>
      <c r="F463" s="122"/>
      <c r="G463" s="122"/>
      <c r="H463" s="122"/>
      <c r="I463" s="275"/>
      <c r="J463" s="130"/>
      <c r="K463" s="130"/>
      <c r="L463" s="130"/>
      <c r="M463" s="130"/>
      <c r="N463" s="291"/>
      <c r="O463" s="291"/>
      <c r="P463" s="122"/>
      <c r="Q463" s="122"/>
      <c r="R463" s="122"/>
      <c r="S463" s="122"/>
      <c r="T463" s="122"/>
      <c r="U463" s="301"/>
      <c r="V463" s="260">
        <f t="shared" ca="1" si="15"/>
        <v>0</v>
      </c>
      <c r="W463" s="348" t="str">
        <f>IF(板块成分!B465="","",板块成分!B465)</f>
        <v>001279.SZ</v>
      </c>
      <c r="X463" s="276" t="str">
        <f>[1]!S_Info_Name(W463)</f>
        <v>强邦新材</v>
      </c>
      <c r="Y463" s="276" t="str">
        <f ca="1">IF($Y$3="申万一级行业",[1]!s_info_industry_sw_2021(W463,公司分析!D$5,1),IF($Y$3="申万二级行业",[1]!s_info_industry_sw_2021(W463,公司分析!D$5,2),IF($Y$3="申万三级行业",[1]!s_info_industry_sw_2021(W463,公司分析!D$5,3),IF($Y$3="wind一级行业",[1]!s_info_industry_gics(W463,1),IF($Y$3="wind二级行业",[1]!s_info_industry_gics(W463,2),IF($Y$3="wind三级行业",[1]!s_info_industry_gics(W463,3),IF($Y$3="wind四级行业",[1]!s_info_industry_gics(W463,4),IF($Y$3="证监会门类行业",[1]!s_info_industry_csrc12_n(W463,公司分析!D$5,1),""))))))))</f>
        <v>包装印刷</v>
      </c>
      <c r="Z463" s="302" t="str">
        <f ca="1">IF(Y463=行业比较!$E$6,ROW(),"")</f>
        <v/>
      </c>
      <c r="AA463" s="122"/>
      <c r="AB463" s="122"/>
      <c r="AC463" s="122"/>
      <c r="AD463" s="122"/>
      <c r="AE463" s="122"/>
      <c r="AF463" s="122"/>
      <c r="AG463" s="122"/>
      <c r="AH463" s="122"/>
      <c r="AI463" s="122"/>
      <c r="AJ463" s="122"/>
      <c r="AK463" s="122"/>
      <c r="AL463" s="122"/>
      <c r="AM463" s="122"/>
      <c r="AN463" s="122"/>
      <c r="AO463" s="122"/>
      <c r="AP463" s="122"/>
    </row>
    <row r="464" spans="2:42">
      <c r="B464" s="122"/>
      <c r="C464" s="122"/>
      <c r="D464" s="122"/>
      <c r="E464" s="122"/>
      <c r="F464" s="122"/>
      <c r="G464" s="122"/>
      <c r="H464" s="122"/>
      <c r="I464" s="275"/>
      <c r="J464" s="130"/>
      <c r="K464" s="130"/>
      <c r="L464" s="130"/>
      <c r="M464" s="130"/>
      <c r="N464" s="291"/>
      <c r="O464" s="291"/>
      <c r="P464" s="122"/>
      <c r="Q464" s="122"/>
      <c r="R464" s="122"/>
      <c r="S464" s="122"/>
      <c r="T464" s="122"/>
      <c r="U464" s="301"/>
      <c r="V464" s="260">
        <f t="shared" ca="1" si="15"/>
        <v>0</v>
      </c>
      <c r="W464" s="348" t="str">
        <f>IF(板块成分!B466="","",板块成分!B466)</f>
        <v>001280.SZ</v>
      </c>
      <c r="X464" s="276" t="str">
        <f>[1]!S_Info_Name(W464)</f>
        <v>中国铀业</v>
      </c>
      <c r="Y464" s="276" t="str">
        <f ca="1">IF($Y$3="申万一级行业",[1]!s_info_industry_sw_2021(W464,公司分析!D$5,1),IF($Y$3="申万二级行业",[1]!s_info_industry_sw_2021(W464,公司分析!D$5,2),IF($Y$3="申万三级行业",[1]!s_info_industry_sw_2021(W464,公司分析!D$5,3),IF($Y$3="wind一级行业",[1]!s_info_industry_gics(W464,1),IF($Y$3="wind二级行业",[1]!s_info_industry_gics(W464,2),IF($Y$3="wind三级行业",[1]!s_info_industry_gics(W464,3),IF($Y$3="wind四级行业",[1]!s_info_industry_gics(W464,4),IF($Y$3="证监会门类行业",[1]!s_info_industry_csrc12_n(W464,公司分析!D$5,1),""))))))))</f>
        <v>小金属</v>
      </c>
      <c r="Z464" s="302" t="str">
        <f ca="1">IF(Y464=行业比较!$E$6,ROW(),"")</f>
        <v/>
      </c>
      <c r="AA464" s="122"/>
      <c r="AB464" s="122"/>
      <c r="AC464" s="122"/>
      <c r="AD464" s="122"/>
      <c r="AE464" s="122"/>
      <c r="AF464" s="122"/>
      <c r="AG464" s="122"/>
      <c r="AH464" s="122"/>
      <c r="AI464" s="122"/>
      <c r="AJ464" s="122"/>
      <c r="AK464" s="122"/>
      <c r="AL464" s="122"/>
      <c r="AM464" s="122"/>
      <c r="AN464" s="122"/>
      <c r="AO464" s="122"/>
      <c r="AP464" s="122"/>
    </row>
    <row r="465" spans="2:42">
      <c r="B465" s="122"/>
      <c r="C465" s="122"/>
      <c r="D465" s="122"/>
      <c r="E465" s="122"/>
      <c r="F465" s="122"/>
      <c r="G465" s="122"/>
      <c r="H465" s="122"/>
      <c r="I465" s="275"/>
      <c r="J465" s="130"/>
      <c r="K465" s="130"/>
      <c r="L465" s="130"/>
      <c r="M465" s="130"/>
      <c r="N465" s="291"/>
      <c r="O465" s="291"/>
      <c r="P465" s="122"/>
      <c r="Q465" s="122"/>
      <c r="R465" s="122"/>
      <c r="S465" s="122"/>
      <c r="T465" s="122"/>
      <c r="U465" s="301"/>
      <c r="V465" s="260">
        <f t="shared" ca="1" si="15"/>
        <v>0</v>
      </c>
      <c r="W465" s="348" t="str">
        <f>IF(板块成分!B467="","",板块成分!B467)</f>
        <v>001282.SZ</v>
      </c>
      <c r="X465" s="276" t="str">
        <f>[1]!S_Info_Name(W465)</f>
        <v>三联锻造</v>
      </c>
      <c r="Y465" s="276" t="str">
        <f ca="1">IF($Y$3="申万一级行业",[1]!s_info_industry_sw_2021(W465,公司分析!D$5,1),IF($Y$3="申万二级行业",[1]!s_info_industry_sw_2021(W465,公司分析!D$5,2),IF($Y$3="申万三级行业",[1]!s_info_industry_sw_2021(W465,公司分析!D$5,3),IF($Y$3="wind一级行业",[1]!s_info_industry_gics(W465,1),IF($Y$3="wind二级行业",[1]!s_info_industry_gics(W465,2),IF($Y$3="wind三级行业",[1]!s_info_industry_gics(W465,3),IF($Y$3="wind四级行业",[1]!s_info_industry_gics(W465,4),IF($Y$3="证监会门类行业",[1]!s_info_industry_csrc12_n(W465,公司分析!D$5,1),""))))))))</f>
        <v>汽车零部件</v>
      </c>
      <c r="Z465" s="302" t="str">
        <f ca="1">IF(Y465=行业比较!$E$6,ROW(),"")</f>
        <v/>
      </c>
      <c r="AA465" s="122"/>
      <c r="AB465" s="122"/>
      <c r="AC465" s="122"/>
      <c r="AD465" s="122"/>
      <c r="AE465" s="122"/>
      <c r="AF465" s="122"/>
      <c r="AG465" s="122"/>
      <c r="AH465" s="122"/>
      <c r="AI465" s="122"/>
      <c r="AJ465" s="122"/>
      <c r="AK465" s="122"/>
      <c r="AL465" s="122"/>
      <c r="AM465" s="122"/>
      <c r="AN465" s="122"/>
      <c r="AO465" s="122"/>
      <c r="AP465" s="122"/>
    </row>
    <row r="466" spans="2:42">
      <c r="B466" s="122"/>
      <c r="C466" s="122"/>
      <c r="D466" s="122"/>
      <c r="E466" s="122"/>
      <c r="F466" s="122"/>
      <c r="G466" s="122"/>
      <c r="H466" s="122"/>
      <c r="I466" s="275"/>
      <c r="J466" s="130"/>
      <c r="K466" s="130"/>
      <c r="L466" s="130"/>
      <c r="M466" s="130"/>
      <c r="N466" s="291"/>
      <c r="O466" s="291"/>
      <c r="P466" s="122"/>
      <c r="Q466" s="122"/>
      <c r="R466" s="122"/>
      <c r="S466" s="122"/>
      <c r="T466" s="122"/>
      <c r="U466" s="301"/>
      <c r="V466" s="260">
        <f t="shared" ca="1" si="15"/>
        <v>0</v>
      </c>
      <c r="W466" s="348" t="str">
        <f>IF(板块成分!B468="","",板块成分!B468)</f>
        <v>001283.SZ</v>
      </c>
      <c r="X466" s="276" t="str">
        <f>[1]!S_Info_Name(W466)</f>
        <v>豪鹏科技</v>
      </c>
      <c r="Y466" s="276" t="str">
        <f ca="1">IF($Y$3="申万一级行业",[1]!s_info_industry_sw_2021(W466,公司分析!D$5,1),IF($Y$3="申万二级行业",[1]!s_info_industry_sw_2021(W466,公司分析!D$5,2),IF($Y$3="申万三级行业",[1]!s_info_industry_sw_2021(W466,公司分析!D$5,3),IF($Y$3="wind一级行业",[1]!s_info_industry_gics(W466,1),IF($Y$3="wind二级行业",[1]!s_info_industry_gics(W466,2),IF($Y$3="wind三级行业",[1]!s_info_industry_gics(W466,3),IF($Y$3="wind四级行业",[1]!s_info_industry_gics(W466,4),IF($Y$3="证监会门类行业",[1]!s_info_industry_csrc12_n(W466,公司分析!D$5,1),""))))))))</f>
        <v>电池</v>
      </c>
      <c r="Z466" s="302" t="str">
        <f ca="1">IF(Y466=行业比较!$E$6,ROW(),"")</f>
        <v/>
      </c>
      <c r="AA466" s="122"/>
      <c r="AB466" s="122"/>
      <c r="AC466" s="122"/>
      <c r="AD466" s="122"/>
      <c r="AE466" s="122"/>
      <c r="AF466" s="122"/>
      <c r="AG466" s="122"/>
      <c r="AH466" s="122"/>
      <c r="AI466" s="122"/>
      <c r="AJ466" s="122"/>
      <c r="AK466" s="122"/>
      <c r="AL466" s="122"/>
      <c r="AM466" s="122"/>
      <c r="AN466" s="122"/>
      <c r="AO466" s="122"/>
      <c r="AP466" s="122"/>
    </row>
    <row r="467" spans="2:42">
      <c r="B467" s="122"/>
      <c r="C467" s="122"/>
      <c r="D467" s="122"/>
      <c r="E467" s="122"/>
      <c r="F467" s="122"/>
      <c r="G467" s="122"/>
      <c r="H467" s="122"/>
      <c r="I467" s="275"/>
      <c r="J467" s="130"/>
      <c r="K467" s="130"/>
      <c r="L467" s="130"/>
      <c r="M467" s="130"/>
      <c r="N467" s="291"/>
      <c r="O467" s="291"/>
      <c r="P467" s="122"/>
      <c r="Q467" s="122"/>
      <c r="R467" s="122"/>
      <c r="S467" s="122"/>
      <c r="T467" s="122"/>
      <c r="U467" s="301"/>
      <c r="V467" s="260">
        <f t="shared" ca="1" si="15"/>
        <v>0</v>
      </c>
      <c r="W467" s="348" t="str">
        <f>IF(板块成分!B469="","",板块成分!B469)</f>
        <v>001285.SZ</v>
      </c>
      <c r="X467" s="276" t="str">
        <f>[1]!S_Info_Name(W467)</f>
        <v>瑞立科密</v>
      </c>
      <c r="Y467" s="276" t="str">
        <f ca="1">IF($Y$3="申万一级行业",[1]!s_info_industry_sw_2021(W467,公司分析!D$5,1),IF($Y$3="申万二级行业",[1]!s_info_industry_sw_2021(W467,公司分析!D$5,2),IF($Y$3="申万三级行业",[1]!s_info_industry_sw_2021(W467,公司分析!D$5,3),IF($Y$3="wind一级行业",[1]!s_info_industry_gics(W467,1),IF($Y$3="wind二级行业",[1]!s_info_industry_gics(W467,2),IF($Y$3="wind三级行业",[1]!s_info_industry_gics(W467,3),IF($Y$3="wind四级行业",[1]!s_info_industry_gics(W467,4),IF($Y$3="证监会门类行业",[1]!s_info_industry_csrc12_n(W467,公司分析!D$5,1),""))))))))</f>
        <v>汽车零部件</v>
      </c>
      <c r="Z467" s="302" t="str">
        <f ca="1">IF(Y467=行业比较!$E$6,ROW(),"")</f>
        <v/>
      </c>
      <c r="AA467" s="122"/>
      <c r="AB467" s="122"/>
      <c r="AC467" s="122"/>
      <c r="AD467" s="122"/>
      <c r="AE467" s="122"/>
      <c r="AF467" s="122"/>
      <c r="AG467" s="122"/>
      <c r="AH467" s="122"/>
      <c r="AI467" s="122"/>
      <c r="AJ467" s="122"/>
      <c r="AK467" s="122"/>
      <c r="AL467" s="122"/>
      <c r="AM467" s="122"/>
      <c r="AN467" s="122"/>
      <c r="AO467" s="122"/>
      <c r="AP467" s="122"/>
    </row>
    <row r="468" spans="2:42">
      <c r="B468" s="122"/>
      <c r="C468" s="122"/>
      <c r="D468" s="122"/>
      <c r="E468" s="122"/>
      <c r="F468" s="122"/>
      <c r="G468" s="122"/>
      <c r="H468" s="122"/>
      <c r="I468" s="275"/>
      <c r="J468" s="130"/>
      <c r="K468" s="130"/>
      <c r="L468" s="130"/>
      <c r="M468" s="130"/>
      <c r="N468" s="291"/>
      <c r="O468" s="291"/>
      <c r="P468" s="122"/>
      <c r="Q468" s="122"/>
      <c r="R468" s="122"/>
      <c r="S468" s="122"/>
      <c r="T468" s="122"/>
      <c r="U468" s="301"/>
      <c r="V468" s="260">
        <f t="shared" ca="1" si="15"/>
        <v>0</v>
      </c>
      <c r="W468" s="348" t="str">
        <f>IF(板块成分!B470="","",板块成分!B470)</f>
        <v>001286.SZ</v>
      </c>
      <c r="X468" s="276" t="str">
        <f>[1]!S_Info_Name(W468)</f>
        <v>陕西能源</v>
      </c>
      <c r="Y468" s="276" t="str">
        <f ca="1">IF($Y$3="申万一级行业",[1]!s_info_industry_sw_2021(W468,公司分析!D$5,1),IF($Y$3="申万二级行业",[1]!s_info_industry_sw_2021(W468,公司分析!D$5,2),IF($Y$3="申万三级行业",[1]!s_info_industry_sw_2021(W468,公司分析!D$5,3),IF($Y$3="wind一级行业",[1]!s_info_industry_gics(W468,1),IF($Y$3="wind二级行业",[1]!s_info_industry_gics(W468,2),IF($Y$3="wind三级行业",[1]!s_info_industry_gics(W468,3),IF($Y$3="wind四级行业",[1]!s_info_industry_gics(W468,4),IF($Y$3="证监会门类行业",[1]!s_info_industry_csrc12_n(W468,公司分析!D$5,1),""))))))))</f>
        <v>电力</v>
      </c>
      <c r="Z468" s="302" t="str">
        <f ca="1">IF(Y468=行业比较!$E$6,ROW(),"")</f>
        <v/>
      </c>
      <c r="AA468" s="122"/>
      <c r="AB468" s="122"/>
      <c r="AC468" s="122"/>
      <c r="AD468" s="122"/>
      <c r="AE468" s="122"/>
      <c r="AF468" s="122"/>
      <c r="AG468" s="122"/>
      <c r="AH468" s="122"/>
      <c r="AI468" s="122"/>
      <c r="AJ468" s="122"/>
      <c r="AK468" s="122"/>
      <c r="AL468" s="122"/>
      <c r="AM468" s="122"/>
      <c r="AN468" s="122"/>
      <c r="AO468" s="122"/>
      <c r="AP468" s="122"/>
    </row>
    <row r="469" spans="2:42">
      <c r="B469" s="122"/>
      <c r="C469" s="122"/>
      <c r="D469" s="122"/>
      <c r="E469" s="122"/>
      <c r="F469" s="122"/>
      <c r="G469" s="122"/>
      <c r="H469" s="122"/>
      <c r="I469" s="275"/>
      <c r="J469" s="130"/>
      <c r="K469" s="130"/>
      <c r="L469" s="130"/>
      <c r="M469" s="130"/>
      <c r="N469" s="291"/>
      <c r="O469" s="291"/>
      <c r="P469" s="122"/>
      <c r="Q469" s="122"/>
      <c r="R469" s="122"/>
      <c r="S469" s="122"/>
      <c r="T469" s="122"/>
      <c r="U469" s="301"/>
      <c r="V469" s="260">
        <f t="shared" ca="1" si="15"/>
        <v>0</v>
      </c>
      <c r="W469" s="348" t="str">
        <f>IF(板块成分!B471="","",板块成分!B471)</f>
        <v>001287.SZ</v>
      </c>
      <c r="X469" s="276" t="str">
        <f>[1]!S_Info_Name(W469)</f>
        <v>中电港</v>
      </c>
      <c r="Y469" s="276" t="str">
        <f ca="1">IF($Y$3="申万一级行业",[1]!s_info_industry_sw_2021(W469,公司分析!D$5,1),IF($Y$3="申万二级行业",[1]!s_info_industry_sw_2021(W469,公司分析!D$5,2),IF($Y$3="申万三级行业",[1]!s_info_industry_sw_2021(W469,公司分析!D$5,3),IF($Y$3="wind一级行业",[1]!s_info_industry_gics(W469,1),IF($Y$3="wind二级行业",[1]!s_info_industry_gics(W469,2),IF($Y$3="wind三级行业",[1]!s_info_industry_gics(W469,3),IF($Y$3="wind四级行业",[1]!s_info_industry_gics(W469,4),IF($Y$3="证监会门类行业",[1]!s_info_industry_csrc12_n(W469,公司分析!D$5,1),""))))))))</f>
        <v>其他电子Ⅱ</v>
      </c>
      <c r="Z469" s="302" t="str">
        <f ca="1">IF(Y469=行业比较!$E$6,ROW(),"")</f>
        <v/>
      </c>
      <c r="AA469" s="122"/>
      <c r="AB469" s="122"/>
      <c r="AC469" s="122"/>
      <c r="AD469" s="122"/>
      <c r="AE469" s="122"/>
      <c r="AF469" s="122"/>
      <c r="AG469" s="122"/>
      <c r="AH469" s="122"/>
      <c r="AI469" s="122"/>
      <c r="AJ469" s="122"/>
      <c r="AK469" s="122"/>
      <c r="AL469" s="122"/>
      <c r="AM469" s="122"/>
      <c r="AN469" s="122"/>
      <c r="AO469" s="122"/>
      <c r="AP469" s="122"/>
    </row>
    <row r="470" spans="2:42">
      <c r="B470" s="122"/>
      <c r="C470" s="122"/>
      <c r="D470" s="122"/>
      <c r="E470" s="122"/>
      <c r="F470" s="122"/>
      <c r="G470" s="122"/>
      <c r="H470" s="122"/>
      <c r="I470" s="275"/>
      <c r="J470" s="130"/>
      <c r="K470" s="130"/>
      <c r="L470" s="130"/>
      <c r="M470" s="130"/>
      <c r="N470" s="291"/>
      <c r="O470" s="291"/>
      <c r="P470" s="122"/>
      <c r="Q470" s="122"/>
      <c r="R470" s="122"/>
      <c r="S470" s="122"/>
      <c r="T470" s="122"/>
      <c r="U470" s="301"/>
      <c r="V470" s="260">
        <f t="shared" ca="1" si="15"/>
        <v>0</v>
      </c>
      <c r="W470" s="348" t="str">
        <f>IF(板块成分!B472="","",板块成分!B472)</f>
        <v>001288.SZ</v>
      </c>
      <c r="X470" s="276" t="str">
        <f>[1]!S_Info_Name(W470)</f>
        <v>运机集团</v>
      </c>
      <c r="Y470" s="276" t="str">
        <f ca="1">IF($Y$3="申万一级行业",[1]!s_info_industry_sw_2021(W470,公司分析!D$5,1),IF($Y$3="申万二级行业",[1]!s_info_industry_sw_2021(W470,公司分析!D$5,2),IF($Y$3="申万三级行业",[1]!s_info_industry_sw_2021(W470,公司分析!D$5,3),IF($Y$3="wind一级行业",[1]!s_info_industry_gics(W470,1),IF($Y$3="wind二级行业",[1]!s_info_industry_gics(W470,2),IF($Y$3="wind三级行业",[1]!s_info_industry_gics(W470,3),IF($Y$3="wind四级行业",[1]!s_info_industry_gics(W470,4),IF($Y$3="证监会门类行业",[1]!s_info_industry_csrc12_n(W470,公司分析!D$5,1),""))))))))</f>
        <v>专用设备</v>
      </c>
      <c r="Z470" s="302" t="str">
        <f ca="1">IF(Y470=行业比较!$E$6,ROW(),"")</f>
        <v/>
      </c>
      <c r="AA470" s="122"/>
      <c r="AB470" s="122"/>
      <c r="AC470" s="122"/>
      <c r="AD470" s="122"/>
      <c r="AE470" s="122"/>
      <c r="AF470" s="122"/>
      <c r="AG470" s="122"/>
      <c r="AH470" s="122"/>
      <c r="AI470" s="122"/>
      <c r="AJ470" s="122"/>
      <c r="AK470" s="122"/>
      <c r="AL470" s="122"/>
      <c r="AM470" s="122"/>
      <c r="AN470" s="122"/>
      <c r="AO470" s="122"/>
      <c r="AP470" s="122"/>
    </row>
    <row r="471" spans="2:42">
      <c r="B471" s="122"/>
      <c r="C471" s="122"/>
      <c r="D471" s="122"/>
      <c r="E471" s="122"/>
      <c r="F471" s="122"/>
      <c r="G471" s="122"/>
      <c r="H471" s="122"/>
      <c r="I471" s="275"/>
      <c r="J471" s="130"/>
      <c r="K471" s="130"/>
      <c r="L471" s="130"/>
      <c r="M471" s="130"/>
      <c r="N471" s="291"/>
      <c r="O471" s="291"/>
      <c r="P471" s="122"/>
      <c r="Q471" s="122"/>
      <c r="R471" s="122"/>
      <c r="S471" s="122"/>
      <c r="T471" s="122"/>
      <c r="U471" s="301"/>
      <c r="V471" s="260">
        <f t="shared" ca="1" si="15"/>
        <v>0</v>
      </c>
      <c r="W471" s="348" t="str">
        <f>IF(板块成分!B473="","",板块成分!B473)</f>
        <v>001289.SZ</v>
      </c>
      <c r="X471" s="276" t="str">
        <f>[1]!S_Info_Name(W471)</f>
        <v>龙源电力</v>
      </c>
      <c r="Y471" s="276" t="str">
        <f ca="1">IF($Y$3="申万一级行业",[1]!s_info_industry_sw_2021(W471,公司分析!D$5,1),IF($Y$3="申万二级行业",[1]!s_info_industry_sw_2021(W471,公司分析!D$5,2),IF($Y$3="申万三级行业",[1]!s_info_industry_sw_2021(W471,公司分析!D$5,3),IF($Y$3="wind一级行业",[1]!s_info_industry_gics(W471,1),IF($Y$3="wind二级行业",[1]!s_info_industry_gics(W471,2),IF($Y$3="wind三级行业",[1]!s_info_industry_gics(W471,3),IF($Y$3="wind四级行业",[1]!s_info_industry_gics(W471,4),IF($Y$3="证监会门类行业",[1]!s_info_industry_csrc12_n(W471,公司分析!D$5,1),""))))))))</f>
        <v>电力</v>
      </c>
      <c r="Z471" s="302" t="str">
        <f ca="1">IF(Y471=行业比较!$E$6,ROW(),"")</f>
        <v/>
      </c>
      <c r="AA471" s="122"/>
      <c r="AB471" s="122"/>
      <c r="AC471" s="122"/>
      <c r="AD471" s="122"/>
      <c r="AE471" s="122"/>
      <c r="AF471" s="122"/>
      <c r="AG471" s="122"/>
      <c r="AH471" s="122"/>
      <c r="AI471" s="122"/>
      <c r="AJ471" s="122"/>
      <c r="AK471" s="122"/>
      <c r="AL471" s="122"/>
      <c r="AM471" s="122"/>
      <c r="AN471" s="122"/>
      <c r="AO471" s="122"/>
      <c r="AP471" s="122"/>
    </row>
    <row r="472" spans="2:42">
      <c r="B472" s="122"/>
      <c r="C472" s="122"/>
      <c r="D472" s="122"/>
      <c r="E472" s="122"/>
      <c r="F472" s="122"/>
      <c r="G472" s="122"/>
      <c r="H472" s="122"/>
      <c r="I472" s="275"/>
      <c r="J472" s="130"/>
      <c r="K472" s="130"/>
      <c r="L472" s="130"/>
      <c r="M472" s="130"/>
      <c r="N472" s="291"/>
      <c r="O472" s="291"/>
      <c r="P472" s="122"/>
      <c r="Q472" s="122"/>
      <c r="R472" s="122"/>
      <c r="S472" s="122"/>
      <c r="T472" s="122"/>
      <c r="U472" s="301"/>
      <c r="V472" s="260">
        <f t="shared" ca="1" si="15"/>
        <v>0</v>
      </c>
      <c r="W472" s="348" t="str">
        <f>IF(板块成分!B474="","",板块成分!B474)</f>
        <v>001296.SZ</v>
      </c>
      <c r="X472" s="276" t="str">
        <f>[1]!S_Info_Name(W472)</f>
        <v>长江材料</v>
      </c>
      <c r="Y472" s="276" t="str">
        <f ca="1">IF($Y$3="申万一级行业",[1]!s_info_industry_sw_2021(W472,公司分析!D$5,1),IF($Y$3="申万二级行业",[1]!s_info_industry_sw_2021(W472,公司分析!D$5,2),IF($Y$3="申万三级行业",[1]!s_info_industry_sw_2021(W472,公司分析!D$5,3),IF($Y$3="wind一级行业",[1]!s_info_industry_gics(W472,1),IF($Y$3="wind二级行业",[1]!s_info_industry_gics(W472,2),IF($Y$3="wind三级行业",[1]!s_info_industry_gics(W472,3),IF($Y$3="wind四级行业",[1]!s_info_industry_gics(W472,4),IF($Y$3="证监会门类行业",[1]!s_info_industry_csrc12_n(W472,公司分析!D$5,1),""))))))))</f>
        <v>非金属材料Ⅱ</v>
      </c>
      <c r="Z472" s="302" t="str">
        <f ca="1">IF(Y472=行业比较!$E$6,ROW(),"")</f>
        <v/>
      </c>
      <c r="AA472" s="122"/>
      <c r="AB472" s="122"/>
      <c r="AC472" s="122"/>
      <c r="AD472" s="122"/>
      <c r="AE472" s="122"/>
      <c r="AF472" s="122"/>
      <c r="AG472" s="122"/>
      <c r="AH472" s="122"/>
      <c r="AI472" s="122"/>
      <c r="AJ472" s="122"/>
      <c r="AK472" s="122"/>
      <c r="AL472" s="122"/>
      <c r="AM472" s="122"/>
      <c r="AN472" s="122"/>
      <c r="AO472" s="122"/>
      <c r="AP472" s="122"/>
    </row>
    <row r="473" spans="2:42">
      <c r="B473" s="122"/>
      <c r="C473" s="122"/>
      <c r="D473" s="122"/>
      <c r="E473" s="122"/>
      <c r="F473" s="122"/>
      <c r="G473" s="122"/>
      <c r="H473" s="122"/>
      <c r="I473" s="275"/>
      <c r="J473" s="130"/>
      <c r="K473" s="130"/>
      <c r="L473" s="130"/>
      <c r="M473" s="130"/>
      <c r="N473" s="291"/>
      <c r="O473" s="291"/>
      <c r="P473" s="122"/>
      <c r="Q473" s="122"/>
      <c r="R473" s="122"/>
      <c r="S473" s="122"/>
      <c r="T473" s="122"/>
      <c r="U473" s="301"/>
      <c r="V473" s="260">
        <f t="shared" ca="1" si="15"/>
        <v>0</v>
      </c>
      <c r="W473" s="348" t="str">
        <f>IF(板块成分!B475="","",板块成分!B475)</f>
        <v>001298.SZ</v>
      </c>
      <c r="X473" s="276" t="str">
        <f>[1]!S_Info_Name(W473)</f>
        <v>好上好</v>
      </c>
      <c r="Y473" s="276" t="str">
        <f ca="1">IF($Y$3="申万一级行业",[1]!s_info_industry_sw_2021(W473,公司分析!D$5,1),IF($Y$3="申万二级行业",[1]!s_info_industry_sw_2021(W473,公司分析!D$5,2),IF($Y$3="申万三级行业",[1]!s_info_industry_sw_2021(W473,公司分析!D$5,3),IF($Y$3="wind一级行业",[1]!s_info_industry_gics(W473,1),IF($Y$3="wind二级行业",[1]!s_info_industry_gics(W473,2),IF($Y$3="wind三级行业",[1]!s_info_industry_gics(W473,3),IF($Y$3="wind四级行业",[1]!s_info_industry_gics(W473,4),IF($Y$3="证监会门类行业",[1]!s_info_industry_csrc12_n(W473,公司分析!D$5,1),""))))))))</f>
        <v>其他电子Ⅱ</v>
      </c>
      <c r="Z473" s="302" t="str">
        <f ca="1">IF(Y473=行业比较!$E$6,ROW(),"")</f>
        <v/>
      </c>
      <c r="AA473" s="122"/>
      <c r="AB473" s="122"/>
      <c r="AC473" s="122"/>
      <c r="AD473" s="122"/>
      <c r="AE473" s="122"/>
      <c r="AF473" s="122"/>
      <c r="AG473" s="122"/>
      <c r="AH473" s="122"/>
      <c r="AI473" s="122"/>
      <c r="AJ473" s="122"/>
      <c r="AK473" s="122"/>
      <c r="AL473" s="122"/>
      <c r="AM473" s="122"/>
      <c r="AN473" s="122"/>
      <c r="AO473" s="122"/>
      <c r="AP473" s="122"/>
    </row>
    <row r="474" spans="2:42">
      <c r="B474" s="122"/>
      <c r="C474" s="122"/>
      <c r="D474" s="122"/>
      <c r="E474" s="122"/>
      <c r="F474" s="122"/>
      <c r="G474" s="122"/>
      <c r="H474" s="122"/>
      <c r="I474" s="275"/>
      <c r="J474" s="130"/>
      <c r="K474" s="130"/>
      <c r="L474" s="130"/>
      <c r="M474" s="130"/>
      <c r="N474" s="291"/>
      <c r="O474" s="291"/>
      <c r="P474" s="122"/>
      <c r="Q474" s="122"/>
      <c r="R474" s="122"/>
      <c r="S474" s="122"/>
      <c r="T474" s="122"/>
      <c r="U474" s="301"/>
      <c r="V474" s="260">
        <f t="shared" ca="1" si="15"/>
        <v>0</v>
      </c>
      <c r="W474" s="348" t="str">
        <f>IF(板块成分!B476="","",板块成分!B476)</f>
        <v>001299.SZ</v>
      </c>
      <c r="X474" s="276" t="str">
        <f>[1]!S_Info_Name(W474)</f>
        <v>美能能源</v>
      </c>
      <c r="Y474" s="276" t="str">
        <f ca="1">IF($Y$3="申万一级行业",[1]!s_info_industry_sw_2021(W474,公司分析!D$5,1),IF($Y$3="申万二级行业",[1]!s_info_industry_sw_2021(W474,公司分析!D$5,2),IF($Y$3="申万三级行业",[1]!s_info_industry_sw_2021(W474,公司分析!D$5,3),IF($Y$3="wind一级行业",[1]!s_info_industry_gics(W474,1),IF($Y$3="wind二级行业",[1]!s_info_industry_gics(W474,2),IF($Y$3="wind三级行业",[1]!s_info_industry_gics(W474,3),IF($Y$3="wind四级行业",[1]!s_info_industry_gics(W474,4),IF($Y$3="证监会门类行业",[1]!s_info_industry_csrc12_n(W474,公司分析!D$5,1),""))))))))</f>
        <v>燃气Ⅱ</v>
      </c>
      <c r="Z474" s="302" t="str">
        <f ca="1">IF(Y474=行业比较!$E$6,ROW(),"")</f>
        <v/>
      </c>
      <c r="AA474" s="122"/>
      <c r="AB474" s="122"/>
      <c r="AC474" s="122"/>
      <c r="AD474" s="122"/>
      <c r="AE474" s="122"/>
      <c r="AF474" s="122"/>
      <c r="AG474" s="122"/>
      <c r="AH474" s="122"/>
      <c r="AI474" s="122"/>
      <c r="AJ474" s="122"/>
      <c r="AK474" s="122"/>
      <c r="AL474" s="122"/>
      <c r="AM474" s="122"/>
      <c r="AN474" s="122"/>
      <c r="AO474" s="122"/>
      <c r="AP474" s="122"/>
    </row>
    <row r="475" spans="2:42">
      <c r="B475" s="122"/>
      <c r="C475" s="122"/>
      <c r="D475" s="122"/>
      <c r="E475" s="122"/>
      <c r="F475" s="122"/>
      <c r="G475" s="122"/>
      <c r="H475" s="122"/>
      <c r="I475" s="275"/>
      <c r="J475" s="130"/>
      <c r="K475" s="130"/>
      <c r="L475" s="130"/>
      <c r="M475" s="130"/>
      <c r="N475" s="291"/>
      <c r="O475" s="291"/>
      <c r="P475" s="122"/>
      <c r="Q475" s="122"/>
      <c r="R475" s="122"/>
      <c r="S475" s="122"/>
      <c r="T475" s="122"/>
      <c r="U475" s="301"/>
      <c r="V475" s="260">
        <f t="shared" ca="1" si="15"/>
        <v>0</v>
      </c>
      <c r="W475" s="348" t="str">
        <f>IF(板块成分!B477="","",板块成分!B477)</f>
        <v>001300.SZ</v>
      </c>
      <c r="X475" s="276" t="str">
        <f>[1]!S_Info_Name(W475)</f>
        <v>三柏硕</v>
      </c>
      <c r="Y475" s="276" t="str">
        <f ca="1">IF($Y$3="申万一级行业",[1]!s_info_industry_sw_2021(W475,公司分析!D$5,1),IF($Y$3="申万二级行业",[1]!s_info_industry_sw_2021(W475,公司分析!D$5,2),IF($Y$3="申万三级行业",[1]!s_info_industry_sw_2021(W475,公司分析!D$5,3),IF($Y$3="wind一级行业",[1]!s_info_industry_gics(W475,1),IF($Y$3="wind二级行业",[1]!s_info_industry_gics(W475,2),IF($Y$3="wind三级行业",[1]!s_info_industry_gics(W475,3),IF($Y$3="wind四级行业",[1]!s_info_industry_gics(W475,4),IF($Y$3="证监会门类行业",[1]!s_info_industry_csrc12_n(W475,公司分析!D$5,1),""))))))))</f>
        <v>文娱用品</v>
      </c>
      <c r="Z475" s="302" t="str">
        <f ca="1">IF(Y475=行业比较!$E$6,ROW(),"")</f>
        <v/>
      </c>
      <c r="AA475" s="122"/>
      <c r="AB475" s="122"/>
      <c r="AC475" s="122"/>
      <c r="AD475" s="122"/>
      <c r="AE475" s="122"/>
      <c r="AF475" s="122"/>
      <c r="AG475" s="122"/>
      <c r="AH475" s="122"/>
      <c r="AI475" s="122"/>
      <c r="AJ475" s="122"/>
      <c r="AK475" s="122"/>
      <c r="AL475" s="122"/>
      <c r="AM475" s="122"/>
      <c r="AN475" s="122"/>
      <c r="AO475" s="122"/>
      <c r="AP475" s="122"/>
    </row>
    <row r="476" spans="2:42">
      <c r="B476" s="122"/>
      <c r="C476" s="122"/>
      <c r="D476" s="122"/>
      <c r="E476" s="122"/>
      <c r="F476" s="122"/>
      <c r="G476" s="122"/>
      <c r="H476" s="122"/>
      <c r="I476" s="275"/>
      <c r="J476" s="130"/>
      <c r="K476" s="130"/>
      <c r="L476" s="130"/>
      <c r="M476" s="130"/>
      <c r="N476" s="291"/>
      <c r="O476" s="291"/>
      <c r="P476" s="122"/>
      <c r="Q476" s="122"/>
      <c r="R476" s="122"/>
      <c r="S476" s="122"/>
      <c r="T476" s="122"/>
      <c r="U476" s="301"/>
      <c r="V476" s="260">
        <f t="shared" ca="1" si="15"/>
        <v>0</v>
      </c>
      <c r="W476" s="348" t="str">
        <f>IF(板块成分!B478="","",板块成分!B478)</f>
        <v>001301.SZ</v>
      </c>
      <c r="X476" s="276" t="str">
        <f>[1]!S_Info_Name(W476)</f>
        <v>尚太科技</v>
      </c>
      <c r="Y476" s="276" t="str">
        <f ca="1">IF($Y$3="申万一级行业",[1]!s_info_industry_sw_2021(W476,公司分析!D$5,1),IF($Y$3="申万二级行业",[1]!s_info_industry_sw_2021(W476,公司分析!D$5,2),IF($Y$3="申万三级行业",[1]!s_info_industry_sw_2021(W476,公司分析!D$5,3),IF($Y$3="wind一级行业",[1]!s_info_industry_gics(W476,1),IF($Y$3="wind二级行业",[1]!s_info_industry_gics(W476,2),IF($Y$3="wind三级行业",[1]!s_info_industry_gics(W476,3),IF($Y$3="wind四级行业",[1]!s_info_industry_gics(W476,4),IF($Y$3="证监会门类行业",[1]!s_info_industry_csrc12_n(W476,公司分析!D$5,1),""))))))))</f>
        <v>电池</v>
      </c>
      <c r="Z476" s="302" t="str">
        <f ca="1">IF(Y476=行业比较!$E$6,ROW(),"")</f>
        <v/>
      </c>
      <c r="AA476" s="122"/>
      <c r="AB476" s="122"/>
      <c r="AC476" s="122"/>
      <c r="AD476" s="122"/>
      <c r="AE476" s="122"/>
      <c r="AF476" s="122"/>
      <c r="AG476" s="122"/>
      <c r="AH476" s="122"/>
      <c r="AI476" s="122"/>
      <c r="AJ476" s="122"/>
      <c r="AK476" s="122"/>
      <c r="AL476" s="122"/>
      <c r="AM476" s="122"/>
      <c r="AN476" s="122"/>
      <c r="AO476" s="122"/>
      <c r="AP476" s="122"/>
    </row>
    <row r="477" spans="2:42">
      <c r="B477" s="122"/>
      <c r="C477" s="122"/>
      <c r="D477" s="122"/>
      <c r="E477" s="122"/>
      <c r="F477" s="122"/>
      <c r="G477" s="122"/>
      <c r="H477" s="122"/>
      <c r="I477" s="275"/>
      <c r="J477" s="130"/>
      <c r="K477" s="130"/>
      <c r="L477" s="130"/>
      <c r="M477" s="130"/>
      <c r="N477" s="291"/>
      <c r="O477" s="291"/>
      <c r="P477" s="122"/>
      <c r="Q477" s="122"/>
      <c r="R477" s="122"/>
      <c r="S477" s="122"/>
      <c r="T477" s="122"/>
      <c r="U477" s="301"/>
      <c r="V477" s="260">
        <f t="shared" ca="1" si="15"/>
        <v>0</v>
      </c>
      <c r="W477" s="348" t="str">
        <f>IF(板块成分!B479="","",板块成分!B479)</f>
        <v>001306.SZ</v>
      </c>
      <c r="X477" s="276" t="str">
        <f>[1]!S_Info_Name(W477)</f>
        <v>夏厦精密</v>
      </c>
      <c r="Y477" s="276" t="str">
        <f ca="1">IF($Y$3="申万一级行业",[1]!s_info_industry_sw_2021(W477,公司分析!D$5,1),IF($Y$3="申万二级行业",[1]!s_info_industry_sw_2021(W477,公司分析!D$5,2),IF($Y$3="申万三级行业",[1]!s_info_industry_sw_2021(W477,公司分析!D$5,3),IF($Y$3="wind一级行业",[1]!s_info_industry_gics(W477,1),IF($Y$3="wind二级行业",[1]!s_info_industry_gics(W477,2),IF($Y$3="wind三级行业",[1]!s_info_industry_gics(W477,3),IF($Y$3="wind四级行业",[1]!s_info_industry_gics(W477,4),IF($Y$3="证监会门类行业",[1]!s_info_industry_csrc12_n(W477,公司分析!D$5,1),""))))))))</f>
        <v>通用设备</v>
      </c>
      <c r="Z477" s="302" t="str">
        <f ca="1">IF(Y477=行业比较!$E$6,ROW(),"")</f>
        <v/>
      </c>
      <c r="AA477" s="122"/>
      <c r="AB477" s="122"/>
      <c r="AC477" s="122"/>
      <c r="AD477" s="122"/>
      <c r="AE477" s="122"/>
      <c r="AF477" s="122"/>
      <c r="AG477" s="122"/>
      <c r="AH477" s="122"/>
      <c r="AI477" s="122"/>
      <c r="AJ477" s="122"/>
      <c r="AK477" s="122"/>
      <c r="AL477" s="122"/>
      <c r="AM477" s="122"/>
      <c r="AN477" s="122"/>
      <c r="AO477" s="122"/>
      <c r="AP477" s="122"/>
    </row>
    <row r="478" spans="2:42">
      <c r="B478" s="122"/>
      <c r="C478" s="122"/>
      <c r="D478" s="122"/>
      <c r="E478" s="122"/>
      <c r="F478" s="122"/>
      <c r="G478" s="122"/>
      <c r="H478" s="122"/>
      <c r="I478" s="275"/>
      <c r="J478" s="130"/>
      <c r="K478" s="130"/>
      <c r="L478" s="130"/>
      <c r="M478" s="130"/>
      <c r="N478" s="291"/>
      <c r="O478" s="291"/>
      <c r="P478" s="122"/>
      <c r="Q478" s="122"/>
      <c r="R478" s="122"/>
      <c r="S478" s="122"/>
      <c r="T478" s="122"/>
      <c r="U478" s="301"/>
      <c r="V478" s="260">
        <f t="shared" ca="1" si="15"/>
        <v>0</v>
      </c>
      <c r="W478" s="348" t="str">
        <f>IF(板块成分!B480="","",板块成分!B480)</f>
        <v>001308.SZ</v>
      </c>
      <c r="X478" s="276" t="str">
        <f>[1]!S_Info_Name(W478)</f>
        <v>康冠科技</v>
      </c>
      <c r="Y478" s="276" t="str">
        <f ca="1">IF($Y$3="申万一级行业",[1]!s_info_industry_sw_2021(W478,公司分析!D$5,1),IF($Y$3="申万二级行业",[1]!s_info_industry_sw_2021(W478,公司分析!D$5,2),IF($Y$3="申万三级行业",[1]!s_info_industry_sw_2021(W478,公司分析!D$5,3),IF($Y$3="wind一级行业",[1]!s_info_industry_gics(W478,1),IF($Y$3="wind二级行业",[1]!s_info_industry_gics(W478,2),IF($Y$3="wind三级行业",[1]!s_info_industry_gics(W478,3),IF($Y$3="wind四级行业",[1]!s_info_industry_gics(W478,4),IF($Y$3="证监会门类行业",[1]!s_info_industry_csrc12_n(W478,公司分析!D$5,1),""))))))))</f>
        <v>光学光电子</v>
      </c>
      <c r="Z478" s="302" t="str">
        <f ca="1">IF(Y478=行业比较!$E$6,ROW(),"")</f>
        <v/>
      </c>
      <c r="AA478" s="122"/>
      <c r="AB478" s="122"/>
      <c r="AC478" s="122"/>
      <c r="AD478" s="122"/>
      <c r="AE478" s="122"/>
      <c r="AF478" s="122"/>
      <c r="AG478" s="122"/>
      <c r="AH478" s="122"/>
      <c r="AI478" s="122"/>
      <c r="AJ478" s="122"/>
      <c r="AK478" s="122"/>
      <c r="AL478" s="122"/>
      <c r="AM478" s="122"/>
      <c r="AN478" s="122"/>
      <c r="AO478" s="122"/>
      <c r="AP478" s="122"/>
    </row>
    <row r="479" spans="2:42">
      <c r="B479" s="122"/>
      <c r="C479" s="122"/>
      <c r="D479" s="122"/>
      <c r="E479" s="122"/>
      <c r="F479" s="122"/>
      <c r="G479" s="122"/>
      <c r="H479" s="122"/>
      <c r="I479" s="275"/>
      <c r="J479" s="130"/>
      <c r="K479" s="130"/>
      <c r="L479" s="130"/>
      <c r="M479" s="130"/>
      <c r="N479" s="291"/>
      <c r="O479" s="291"/>
      <c r="P479" s="122"/>
      <c r="Q479" s="122"/>
      <c r="R479" s="122"/>
      <c r="S479" s="122"/>
      <c r="T479" s="122"/>
      <c r="U479" s="301"/>
      <c r="V479" s="260">
        <f t="shared" ca="1" si="15"/>
        <v>0</v>
      </c>
      <c r="W479" s="348" t="str">
        <f>IF(板块成分!B481="","",板块成分!B481)</f>
        <v>001309.SZ</v>
      </c>
      <c r="X479" s="276" t="str">
        <f>[1]!S_Info_Name(W479)</f>
        <v>德明利</v>
      </c>
      <c r="Y479" s="276" t="str">
        <f ca="1">IF($Y$3="申万一级行业",[1]!s_info_industry_sw_2021(W479,公司分析!D$5,1),IF($Y$3="申万二级行业",[1]!s_info_industry_sw_2021(W479,公司分析!D$5,2),IF($Y$3="申万三级行业",[1]!s_info_industry_sw_2021(W479,公司分析!D$5,3),IF($Y$3="wind一级行业",[1]!s_info_industry_gics(W479,1),IF($Y$3="wind二级行业",[1]!s_info_industry_gics(W479,2),IF($Y$3="wind三级行业",[1]!s_info_industry_gics(W479,3),IF($Y$3="wind四级行业",[1]!s_info_industry_gics(W479,4),IF($Y$3="证监会门类行业",[1]!s_info_industry_csrc12_n(W479,公司分析!D$5,1),""))))))))</f>
        <v>半导体</v>
      </c>
      <c r="Z479" s="302" t="str">
        <f ca="1">IF(Y479=行业比较!$E$6,ROW(),"")</f>
        <v/>
      </c>
      <c r="AA479" s="122"/>
      <c r="AB479" s="122"/>
      <c r="AC479" s="122"/>
      <c r="AD479" s="122"/>
      <c r="AE479" s="122"/>
      <c r="AF479" s="122"/>
      <c r="AG479" s="122"/>
      <c r="AH479" s="122"/>
      <c r="AI479" s="122"/>
      <c r="AJ479" s="122"/>
      <c r="AK479" s="122"/>
      <c r="AL479" s="122"/>
      <c r="AM479" s="122"/>
      <c r="AN479" s="122"/>
      <c r="AO479" s="122"/>
      <c r="AP479" s="122"/>
    </row>
    <row r="480" spans="2:42">
      <c r="B480" s="122"/>
      <c r="C480" s="122"/>
      <c r="D480" s="122"/>
      <c r="E480" s="122"/>
      <c r="F480" s="122"/>
      <c r="G480" s="122"/>
      <c r="H480" s="122"/>
      <c r="I480" s="275"/>
      <c r="J480" s="130"/>
      <c r="K480" s="130"/>
      <c r="L480" s="130"/>
      <c r="M480" s="130"/>
      <c r="N480" s="291"/>
      <c r="O480" s="291"/>
      <c r="P480" s="122"/>
      <c r="Q480" s="122"/>
      <c r="R480" s="122"/>
      <c r="S480" s="122"/>
      <c r="T480" s="122"/>
      <c r="U480" s="301"/>
      <c r="V480" s="260">
        <f t="shared" ca="1" si="15"/>
        <v>0</v>
      </c>
      <c r="W480" s="348" t="str">
        <f>IF(板块成分!B482="","",板块成分!B482)</f>
        <v>001311.SZ</v>
      </c>
      <c r="X480" s="276" t="str">
        <f>[1]!S_Info_Name(W480)</f>
        <v>多利科技</v>
      </c>
      <c r="Y480" s="276" t="str">
        <f ca="1">IF($Y$3="申万一级行业",[1]!s_info_industry_sw_2021(W480,公司分析!D$5,1),IF($Y$3="申万二级行业",[1]!s_info_industry_sw_2021(W480,公司分析!D$5,2),IF($Y$3="申万三级行业",[1]!s_info_industry_sw_2021(W480,公司分析!D$5,3),IF($Y$3="wind一级行业",[1]!s_info_industry_gics(W480,1),IF($Y$3="wind二级行业",[1]!s_info_industry_gics(W480,2),IF($Y$3="wind三级行业",[1]!s_info_industry_gics(W480,3),IF($Y$3="wind四级行业",[1]!s_info_industry_gics(W480,4),IF($Y$3="证监会门类行业",[1]!s_info_industry_csrc12_n(W480,公司分析!D$5,1),""))))))))</f>
        <v>汽车零部件</v>
      </c>
      <c r="Z480" s="302" t="str">
        <f ca="1">IF(Y480=行业比较!$E$6,ROW(),"")</f>
        <v/>
      </c>
      <c r="AA480" s="122"/>
      <c r="AB480" s="122"/>
      <c r="AC480" s="122"/>
      <c r="AD480" s="122"/>
      <c r="AE480" s="122"/>
      <c r="AF480" s="122"/>
      <c r="AG480" s="122"/>
      <c r="AH480" s="122"/>
      <c r="AI480" s="122"/>
      <c r="AJ480" s="122"/>
      <c r="AK480" s="122"/>
      <c r="AL480" s="122"/>
      <c r="AM480" s="122"/>
      <c r="AN480" s="122"/>
      <c r="AO480" s="122"/>
      <c r="AP480" s="122"/>
    </row>
    <row r="481" spans="2:42">
      <c r="B481" s="122"/>
      <c r="C481" s="122"/>
      <c r="D481" s="122"/>
      <c r="E481" s="122"/>
      <c r="F481" s="122"/>
      <c r="G481" s="122"/>
      <c r="H481" s="122"/>
      <c r="I481" s="275"/>
      <c r="J481" s="130"/>
      <c r="K481" s="130"/>
      <c r="L481" s="130"/>
      <c r="M481" s="130"/>
      <c r="N481" s="291"/>
      <c r="O481" s="291"/>
      <c r="P481" s="122"/>
      <c r="Q481" s="122"/>
      <c r="R481" s="122"/>
      <c r="S481" s="122"/>
      <c r="T481" s="122"/>
      <c r="U481" s="301"/>
      <c r="V481" s="260">
        <f t="shared" ca="1" si="15"/>
        <v>0</v>
      </c>
      <c r="W481" s="348" t="str">
        <f>IF(板块成分!B483="","",板块成分!B483)</f>
        <v>001313.SZ</v>
      </c>
      <c r="X481" s="276" t="str">
        <f>[1]!S_Info_Name(W481)</f>
        <v>粤海饲料</v>
      </c>
      <c r="Y481" s="276" t="str">
        <f ca="1">IF($Y$3="申万一级行业",[1]!s_info_industry_sw_2021(W481,公司分析!D$5,1),IF($Y$3="申万二级行业",[1]!s_info_industry_sw_2021(W481,公司分析!D$5,2),IF($Y$3="申万三级行业",[1]!s_info_industry_sw_2021(W481,公司分析!D$5,3),IF($Y$3="wind一级行业",[1]!s_info_industry_gics(W481,1),IF($Y$3="wind二级行业",[1]!s_info_industry_gics(W481,2),IF($Y$3="wind三级行业",[1]!s_info_industry_gics(W481,3),IF($Y$3="wind四级行业",[1]!s_info_industry_gics(W481,4),IF($Y$3="证监会门类行业",[1]!s_info_industry_csrc12_n(W481,公司分析!D$5,1),""))))))))</f>
        <v>饲料</v>
      </c>
      <c r="Z481" s="302" t="str">
        <f ca="1">IF(Y481=行业比较!$E$6,ROW(),"")</f>
        <v/>
      </c>
      <c r="AA481" s="122"/>
      <c r="AB481" s="122"/>
      <c r="AC481" s="122"/>
      <c r="AD481" s="122"/>
      <c r="AE481" s="122"/>
      <c r="AF481" s="122"/>
      <c r="AG481" s="122"/>
      <c r="AH481" s="122"/>
      <c r="AI481" s="122"/>
      <c r="AJ481" s="122"/>
      <c r="AK481" s="122"/>
      <c r="AL481" s="122"/>
      <c r="AM481" s="122"/>
      <c r="AN481" s="122"/>
      <c r="AO481" s="122"/>
      <c r="AP481" s="122"/>
    </row>
    <row r="482" spans="2:42">
      <c r="B482" s="122"/>
      <c r="C482" s="122"/>
      <c r="D482" s="122"/>
      <c r="E482" s="122"/>
      <c r="F482" s="122"/>
      <c r="G482" s="122"/>
      <c r="H482" s="122"/>
      <c r="I482" s="275"/>
      <c r="J482" s="130"/>
      <c r="K482" s="130"/>
      <c r="L482" s="130"/>
      <c r="M482" s="130"/>
      <c r="N482" s="291"/>
      <c r="O482" s="291"/>
      <c r="P482" s="122"/>
      <c r="Q482" s="122"/>
      <c r="R482" s="122"/>
      <c r="S482" s="122"/>
      <c r="T482" s="122"/>
      <c r="U482" s="301"/>
      <c r="V482" s="260">
        <f t="shared" ca="1" si="15"/>
        <v>0</v>
      </c>
      <c r="W482" s="348" t="str">
        <f>IF(板块成分!B484="","",板块成分!B484)</f>
        <v>001314.SZ</v>
      </c>
      <c r="X482" s="276" t="str">
        <f>[1]!S_Info_Name(W482)</f>
        <v>亿道信息</v>
      </c>
      <c r="Y482" s="276" t="str">
        <f ca="1">IF($Y$3="申万一级行业",[1]!s_info_industry_sw_2021(W482,公司分析!D$5,1),IF($Y$3="申万二级行业",[1]!s_info_industry_sw_2021(W482,公司分析!D$5,2),IF($Y$3="申万三级行业",[1]!s_info_industry_sw_2021(W482,公司分析!D$5,3),IF($Y$3="wind一级行业",[1]!s_info_industry_gics(W482,1),IF($Y$3="wind二级行业",[1]!s_info_industry_gics(W482,2),IF($Y$3="wind三级行业",[1]!s_info_industry_gics(W482,3),IF($Y$3="wind四级行业",[1]!s_info_industry_gics(W482,4),IF($Y$3="证监会门类行业",[1]!s_info_industry_csrc12_n(W482,公司分析!D$5,1),""))))))))</f>
        <v>消费电子</v>
      </c>
      <c r="Z482" s="302" t="str">
        <f ca="1">IF(Y482=行业比较!$E$6,ROW(),"")</f>
        <v/>
      </c>
      <c r="AA482" s="122"/>
      <c r="AB482" s="122"/>
      <c r="AC482" s="122"/>
      <c r="AD482" s="122"/>
      <c r="AE482" s="122"/>
      <c r="AF482" s="122"/>
      <c r="AG482" s="122"/>
      <c r="AH482" s="122"/>
      <c r="AI482" s="122"/>
      <c r="AJ482" s="122"/>
      <c r="AK482" s="122"/>
      <c r="AL482" s="122"/>
      <c r="AM482" s="122"/>
      <c r="AN482" s="122"/>
      <c r="AO482" s="122"/>
      <c r="AP482" s="122"/>
    </row>
    <row r="483" spans="2:42">
      <c r="B483" s="122"/>
      <c r="C483" s="122"/>
      <c r="D483" s="122"/>
      <c r="E483" s="122"/>
      <c r="F483" s="122"/>
      <c r="G483" s="122"/>
      <c r="H483" s="122"/>
      <c r="I483" s="275"/>
      <c r="J483" s="130"/>
      <c r="K483" s="130"/>
      <c r="L483" s="130"/>
      <c r="M483" s="130"/>
      <c r="N483" s="291"/>
      <c r="O483" s="291"/>
      <c r="P483" s="122"/>
      <c r="Q483" s="122"/>
      <c r="R483" s="122"/>
      <c r="S483" s="122"/>
      <c r="T483" s="122"/>
      <c r="U483" s="301"/>
      <c r="V483" s="260">
        <f t="shared" ca="1" si="15"/>
        <v>0</v>
      </c>
      <c r="W483" s="348" t="str">
        <f>IF(板块成分!B485="","",板块成分!B485)</f>
        <v>001316.SZ</v>
      </c>
      <c r="X483" s="276" t="str">
        <f>[1]!S_Info_Name(W483)</f>
        <v>润贝航科</v>
      </c>
      <c r="Y483" s="276" t="str">
        <f ca="1">IF($Y$3="申万一级行业",[1]!s_info_industry_sw_2021(W483,公司分析!D$5,1),IF($Y$3="申万二级行业",[1]!s_info_industry_sw_2021(W483,公司分析!D$5,2),IF($Y$3="申万三级行业",[1]!s_info_industry_sw_2021(W483,公司分析!D$5,3),IF($Y$3="wind一级行业",[1]!s_info_industry_gics(W483,1),IF($Y$3="wind二级行业",[1]!s_info_industry_gics(W483,2),IF($Y$3="wind三级行业",[1]!s_info_industry_gics(W483,3),IF($Y$3="wind四级行业",[1]!s_info_industry_gics(W483,4),IF($Y$3="证监会门类行业",[1]!s_info_industry_csrc12_n(W483,公司分析!D$5,1),""))))))))</f>
        <v>炼化及贸易</v>
      </c>
      <c r="Z483" s="302" t="str">
        <f ca="1">IF(Y483=行业比较!$E$6,ROW(),"")</f>
        <v/>
      </c>
      <c r="AA483" s="122"/>
      <c r="AB483" s="122"/>
      <c r="AC483" s="122"/>
      <c r="AD483" s="122"/>
      <c r="AE483" s="122"/>
      <c r="AF483" s="122"/>
      <c r="AG483" s="122"/>
      <c r="AH483" s="122"/>
      <c r="AI483" s="122"/>
      <c r="AJ483" s="122"/>
      <c r="AK483" s="122"/>
      <c r="AL483" s="122"/>
      <c r="AM483" s="122"/>
      <c r="AN483" s="122"/>
      <c r="AO483" s="122"/>
      <c r="AP483" s="122"/>
    </row>
    <row r="484" spans="2:42">
      <c r="B484" s="122"/>
      <c r="C484" s="122"/>
      <c r="D484" s="122"/>
      <c r="E484" s="122"/>
      <c r="F484" s="122"/>
      <c r="G484" s="122"/>
      <c r="H484" s="122"/>
      <c r="I484" s="275"/>
      <c r="J484" s="130"/>
      <c r="K484" s="130"/>
      <c r="L484" s="130"/>
      <c r="M484" s="130"/>
      <c r="N484" s="291"/>
      <c r="O484" s="291"/>
      <c r="P484" s="122"/>
      <c r="Q484" s="122"/>
      <c r="R484" s="122"/>
      <c r="S484" s="122"/>
      <c r="T484" s="122"/>
      <c r="U484" s="301"/>
      <c r="V484" s="260">
        <f t="shared" ca="1" si="15"/>
        <v>0</v>
      </c>
      <c r="W484" s="348" t="str">
        <f>IF(板块成分!B486="","",板块成分!B486)</f>
        <v>001317.SZ</v>
      </c>
      <c r="X484" s="276" t="str">
        <f>[1]!S_Info_Name(W484)</f>
        <v>三羊马</v>
      </c>
      <c r="Y484" s="276" t="str">
        <f ca="1">IF($Y$3="申万一级行业",[1]!s_info_industry_sw_2021(W484,公司分析!D$5,1),IF($Y$3="申万二级行业",[1]!s_info_industry_sw_2021(W484,公司分析!D$5,2),IF($Y$3="申万三级行业",[1]!s_info_industry_sw_2021(W484,公司分析!D$5,3),IF($Y$3="wind一级行业",[1]!s_info_industry_gics(W484,1),IF($Y$3="wind二级行业",[1]!s_info_industry_gics(W484,2),IF($Y$3="wind三级行业",[1]!s_info_industry_gics(W484,3),IF($Y$3="wind四级行业",[1]!s_info_industry_gics(W484,4),IF($Y$3="证监会门类行业",[1]!s_info_industry_csrc12_n(W484,公司分析!D$5,1),""))))))))</f>
        <v>铁路公路</v>
      </c>
      <c r="Z484" s="302" t="str">
        <f ca="1">IF(Y484=行业比较!$E$6,ROW(),"")</f>
        <v/>
      </c>
      <c r="AA484" s="122"/>
      <c r="AB484" s="122"/>
      <c r="AC484" s="122"/>
      <c r="AD484" s="122"/>
      <c r="AE484" s="122"/>
      <c r="AF484" s="122"/>
      <c r="AG484" s="122"/>
      <c r="AH484" s="122"/>
      <c r="AI484" s="122"/>
      <c r="AJ484" s="122"/>
      <c r="AK484" s="122"/>
      <c r="AL484" s="122"/>
      <c r="AM484" s="122"/>
      <c r="AN484" s="122"/>
      <c r="AO484" s="122"/>
      <c r="AP484" s="122"/>
    </row>
    <row r="485" spans="2:42">
      <c r="B485" s="122"/>
      <c r="C485" s="122"/>
      <c r="D485" s="122"/>
      <c r="E485" s="122"/>
      <c r="F485" s="122"/>
      <c r="G485" s="122"/>
      <c r="H485" s="122"/>
      <c r="I485" s="275"/>
      <c r="J485" s="130"/>
      <c r="K485" s="130"/>
      <c r="L485" s="130"/>
      <c r="M485" s="130"/>
      <c r="N485" s="291"/>
      <c r="O485" s="291"/>
      <c r="P485" s="122"/>
      <c r="Q485" s="122"/>
      <c r="R485" s="122"/>
      <c r="S485" s="122"/>
      <c r="T485" s="122"/>
      <c r="U485" s="301"/>
      <c r="V485" s="260">
        <f t="shared" ca="1" si="15"/>
        <v>0</v>
      </c>
      <c r="W485" s="348" t="str">
        <f>IF(板块成分!B487="","",板块成分!B487)</f>
        <v>001318.SZ</v>
      </c>
      <c r="X485" s="276" t="str">
        <f>[1]!S_Info_Name(W485)</f>
        <v>阳光乳业</v>
      </c>
      <c r="Y485" s="276" t="str">
        <f ca="1">IF($Y$3="申万一级行业",[1]!s_info_industry_sw_2021(W485,公司分析!D$5,1),IF($Y$3="申万二级行业",[1]!s_info_industry_sw_2021(W485,公司分析!D$5,2),IF($Y$3="申万三级行业",[1]!s_info_industry_sw_2021(W485,公司分析!D$5,3),IF($Y$3="wind一级行业",[1]!s_info_industry_gics(W485,1),IF($Y$3="wind二级行业",[1]!s_info_industry_gics(W485,2),IF($Y$3="wind三级行业",[1]!s_info_industry_gics(W485,3),IF($Y$3="wind四级行业",[1]!s_info_industry_gics(W485,4),IF($Y$3="证监会门类行业",[1]!s_info_industry_csrc12_n(W485,公司分析!D$5,1),""))))))))</f>
        <v>饮料乳品</v>
      </c>
      <c r="Z485" s="302" t="str">
        <f ca="1">IF(Y485=行业比较!$E$6,ROW(),"")</f>
        <v/>
      </c>
      <c r="AA485" s="122"/>
      <c r="AB485" s="122"/>
      <c r="AC485" s="122"/>
      <c r="AD485" s="122"/>
      <c r="AE485" s="122"/>
      <c r="AF485" s="122"/>
      <c r="AG485" s="122"/>
      <c r="AH485" s="122"/>
      <c r="AI485" s="122"/>
      <c r="AJ485" s="122"/>
      <c r="AK485" s="122"/>
      <c r="AL485" s="122"/>
      <c r="AM485" s="122"/>
      <c r="AN485" s="122"/>
      <c r="AO485" s="122"/>
      <c r="AP485" s="122"/>
    </row>
    <row r="486" spans="2:42">
      <c r="B486" s="122"/>
      <c r="C486" s="122"/>
      <c r="D486" s="122"/>
      <c r="E486" s="122"/>
      <c r="F486" s="122"/>
      <c r="G486" s="122"/>
      <c r="H486" s="122"/>
      <c r="I486" s="275"/>
      <c r="J486" s="130"/>
      <c r="K486" s="130"/>
      <c r="L486" s="130"/>
      <c r="M486" s="130"/>
      <c r="N486" s="291"/>
      <c r="O486" s="291"/>
      <c r="P486" s="122"/>
      <c r="Q486" s="122"/>
      <c r="R486" s="122"/>
      <c r="S486" s="122"/>
      <c r="T486" s="122"/>
      <c r="U486" s="301"/>
      <c r="V486" s="260">
        <f t="shared" ca="1" si="15"/>
        <v>0</v>
      </c>
      <c r="W486" s="348" t="str">
        <f>IF(板块成分!B488="","",板块成分!B488)</f>
        <v>001319.SZ</v>
      </c>
      <c r="X486" s="276" t="str">
        <f>[1]!S_Info_Name(W486)</f>
        <v>铭科精技</v>
      </c>
      <c r="Y486" s="276" t="str">
        <f ca="1">IF($Y$3="申万一级行业",[1]!s_info_industry_sw_2021(W486,公司分析!D$5,1),IF($Y$3="申万二级行业",[1]!s_info_industry_sw_2021(W486,公司分析!D$5,2),IF($Y$3="申万三级行业",[1]!s_info_industry_sw_2021(W486,公司分析!D$5,3),IF($Y$3="wind一级行业",[1]!s_info_industry_gics(W486,1),IF($Y$3="wind二级行业",[1]!s_info_industry_gics(W486,2),IF($Y$3="wind三级行业",[1]!s_info_industry_gics(W486,3),IF($Y$3="wind四级行业",[1]!s_info_industry_gics(W486,4),IF($Y$3="证监会门类行业",[1]!s_info_industry_csrc12_n(W486,公司分析!D$5,1),""))))))))</f>
        <v>汽车零部件</v>
      </c>
      <c r="Z486" s="302" t="str">
        <f ca="1">IF(Y486=行业比较!$E$6,ROW(),"")</f>
        <v/>
      </c>
      <c r="AA486" s="122"/>
      <c r="AB486" s="122"/>
      <c r="AC486" s="122"/>
      <c r="AD486" s="122"/>
      <c r="AE486" s="122"/>
      <c r="AF486" s="122"/>
      <c r="AG486" s="122"/>
      <c r="AH486" s="122"/>
      <c r="AI486" s="122"/>
      <c r="AJ486" s="122"/>
      <c r="AK486" s="122"/>
      <c r="AL486" s="122"/>
      <c r="AM486" s="122"/>
      <c r="AN486" s="122"/>
      <c r="AO486" s="122"/>
      <c r="AP486" s="122"/>
    </row>
    <row r="487" spans="2:42">
      <c r="B487" s="122"/>
      <c r="C487" s="122"/>
      <c r="D487" s="122"/>
      <c r="E487" s="122"/>
      <c r="F487" s="122"/>
      <c r="G487" s="122"/>
      <c r="H487" s="122"/>
      <c r="I487" s="275"/>
      <c r="J487" s="130"/>
      <c r="K487" s="130"/>
      <c r="L487" s="130"/>
      <c r="M487" s="130"/>
      <c r="N487" s="291"/>
      <c r="O487" s="291"/>
      <c r="P487" s="122"/>
      <c r="Q487" s="122"/>
      <c r="R487" s="122"/>
      <c r="S487" s="122"/>
      <c r="T487" s="122"/>
      <c r="U487" s="301"/>
      <c r="V487" s="260">
        <f t="shared" ca="1" si="15"/>
        <v>0</v>
      </c>
      <c r="W487" s="348" t="str">
        <f>IF(板块成分!B489="","",板块成分!B489)</f>
        <v>001322.SZ</v>
      </c>
      <c r="X487" s="276" t="str">
        <f>[1]!S_Info_Name(W487)</f>
        <v>箭牌家居</v>
      </c>
      <c r="Y487" s="276" t="str">
        <f ca="1">IF($Y$3="申万一级行业",[1]!s_info_industry_sw_2021(W487,公司分析!D$5,1),IF($Y$3="申万二级行业",[1]!s_info_industry_sw_2021(W487,公司分析!D$5,2),IF($Y$3="申万三级行业",[1]!s_info_industry_sw_2021(W487,公司分析!D$5,3),IF($Y$3="wind一级行业",[1]!s_info_industry_gics(W487,1),IF($Y$3="wind二级行业",[1]!s_info_industry_gics(W487,2),IF($Y$3="wind三级行业",[1]!s_info_industry_gics(W487,3),IF($Y$3="wind四级行业",[1]!s_info_industry_gics(W487,4),IF($Y$3="证监会门类行业",[1]!s_info_industry_csrc12_n(W487,公司分析!D$5,1),""))))))))</f>
        <v>家居用品</v>
      </c>
      <c r="Z487" s="302" t="str">
        <f ca="1">IF(Y487=行业比较!$E$6,ROW(),"")</f>
        <v/>
      </c>
      <c r="AA487" s="122"/>
      <c r="AB487" s="122"/>
      <c r="AC487" s="122"/>
      <c r="AD487" s="122"/>
      <c r="AE487" s="122"/>
      <c r="AF487" s="122"/>
      <c r="AG487" s="122"/>
      <c r="AH487" s="122"/>
      <c r="AI487" s="122"/>
      <c r="AJ487" s="122"/>
      <c r="AK487" s="122"/>
      <c r="AL487" s="122"/>
      <c r="AM487" s="122"/>
      <c r="AN487" s="122"/>
      <c r="AO487" s="122"/>
      <c r="AP487" s="122"/>
    </row>
    <row r="488" spans="2:42">
      <c r="B488" s="122"/>
      <c r="C488" s="122"/>
      <c r="D488" s="122"/>
      <c r="E488" s="122"/>
      <c r="F488" s="122"/>
      <c r="G488" s="122"/>
      <c r="H488" s="122"/>
      <c r="I488" s="275"/>
      <c r="J488" s="130"/>
      <c r="K488" s="130"/>
      <c r="L488" s="130"/>
      <c r="M488" s="130"/>
      <c r="N488" s="291"/>
      <c r="O488" s="291"/>
      <c r="P488" s="122"/>
      <c r="Q488" s="122"/>
      <c r="R488" s="122"/>
      <c r="S488" s="122"/>
      <c r="T488" s="122"/>
      <c r="U488" s="301"/>
      <c r="V488" s="260">
        <f t="shared" ca="1" si="15"/>
        <v>0</v>
      </c>
      <c r="W488" s="348" t="str">
        <f>IF(板块成分!B490="","",板块成分!B490)</f>
        <v>001323.SZ</v>
      </c>
      <c r="X488" s="276" t="str">
        <f>[1]!S_Info_Name(W488)</f>
        <v>慕思股份</v>
      </c>
      <c r="Y488" s="276" t="str">
        <f ca="1">IF($Y$3="申万一级行业",[1]!s_info_industry_sw_2021(W488,公司分析!D$5,1),IF($Y$3="申万二级行业",[1]!s_info_industry_sw_2021(W488,公司分析!D$5,2),IF($Y$3="申万三级行业",[1]!s_info_industry_sw_2021(W488,公司分析!D$5,3),IF($Y$3="wind一级行业",[1]!s_info_industry_gics(W488,1),IF($Y$3="wind二级行业",[1]!s_info_industry_gics(W488,2),IF($Y$3="wind三级行业",[1]!s_info_industry_gics(W488,3),IF($Y$3="wind四级行业",[1]!s_info_industry_gics(W488,4),IF($Y$3="证监会门类行业",[1]!s_info_industry_csrc12_n(W488,公司分析!D$5,1),""))))))))</f>
        <v>家居用品</v>
      </c>
      <c r="Z488" s="302" t="str">
        <f ca="1">IF(Y488=行业比较!$E$6,ROW(),"")</f>
        <v/>
      </c>
      <c r="AA488" s="122"/>
      <c r="AB488" s="122"/>
      <c r="AC488" s="122"/>
      <c r="AD488" s="122"/>
      <c r="AE488" s="122"/>
      <c r="AF488" s="122"/>
      <c r="AG488" s="122"/>
      <c r="AH488" s="122"/>
      <c r="AI488" s="122"/>
      <c r="AJ488" s="122"/>
      <c r="AK488" s="122"/>
      <c r="AL488" s="122"/>
      <c r="AM488" s="122"/>
      <c r="AN488" s="122"/>
      <c r="AO488" s="122"/>
      <c r="AP488" s="122"/>
    </row>
    <row r="489" spans="2:42">
      <c r="B489" s="122"/>
      <c r="C489" s="122"/>
      <c r="D489" s="122"/>
      <c r="E489" s="122"/>
      <c r="F489" s="122"/>
      <c r="G489" s="122"/>
      <c r="H489" s="122"/>
      <c r="I489" s="275"/>
      <c r="J489" s="130"/>
      <c r="K489" s="130"/>
      <c r="L489" s="130"/>
      <c r="M489" s="130"/>
      <c r="N489" s="291"/>
      <c r="O489" s="291"/>
      <c r="P489" s="122"/>
      <c r="Q489" s="122"/>
      <c r="R489" s="122"/>
      <c r="S489" s="122"/>
      <c r="T489" s="122"/>
      <c r="U489" s="301"/>
      <c r="V489" s="260">
        <f t="shared" ca="1" si="15"/>
        <v>0</v>
      </c>
      <c r="W489" s="348" t="str">
        <f>IF(板块成分!B491="","",板块成分!B491)</f>
        <v>001324.SZ</v>
      </c>
      <c r="X489" s="276" t="str">
        <f>[1]!S_Info_Name(W489)</f>
        <v>长青科技</v>
      </c>
      <c r="Y489" s="276" t="str">
        <f ca="1">IF($Y$3="申万一级行业",[1]!s_info_industry_sw_2021(W489,公司分析!D$5,1),IF($Y$3="申万二级行业",[1]!s_info_industry_sw_2021(W489,公司分析!D$5,2),IF($Y$3="申万三级行业",[1]!s_info_industry_sw_2021(W489,公司分析!D$5,3),IF($Y$3="wind一级行业",[1]!s_info_industry_gics(W489,1),IF($Y$3="wind二级行业",[1]!s_info_industry_gics(W489,2),IF($Y$3="wind三级行业",[1]!s_info_industry_gics(W489,3),IF($Y$3="wind四级行业",[1]!s_info_industry_gics(W489,4),IF($Y$3="证监会门类行业",[1]!s_info_industry_csrc12_n(W489,公司分析!D$5,1),""))))))))</f>
        <v>轨交设备Ⅱ</v>
      </c>
      <c r="Z489" s="302" t="str">
        <f ca="1">IF(Y489=行业比较!$E$6,ROW(),"")</f>
        <v/>
      </c>
      <c r="AA489" s="122"/>
      <c r="AB489" s="122"/>
      <c r="AC489" s="122"/>
      <c r="AD489" s="122"/>
      <c r="AE489" s="122"/>
      <c r="AF489" s="122"/>
      <c r="AG489" s="122"/>
      <c r="AH489" s="122"/>
      <c r="AI489" s="122"/>
      <c r="AJ489" s="122"/>
      <c r="AK489" s="122"/>
      <c r="AL489" s="122"/>
      <c r="AM489" s="122"/>
      <c r="AN489" s="122"/>
      <c r="AO489" s="122"/>
      <c r="AP489" s="122"/>
    </row>
    <row r="490" spans="2:42">
      <c r="B490" s="122"/>
      <c r="C490" s="122"/>
      <c r="D490" s="122"/>
      <c r="E490" s="122"/>
      <c r="F490" s="122"/>
      <c r="G490" s="122"/>
      <c r="H490" s="122"/>
      <c r="I490" s="275"/>
      <c r="J490" s="130"/>
      <c r="K490" s="130"/>
      <c r="L490" s="130"/>
      <c r="M490" s="130"/>
      <c r="N490" s="291"/>
      <c r="O490" s="291"/>
      <c r="P490" s="122"/>
      <c r="Q490" s="122"/>
      <c r="R490" s="122"/>
      <c r="S490" s="122"/>
      <c r="T490" s="122"/>
      <c r="U490" s="301"/>
      <c r="V490" s="260">
        <f t="shared" ca="1" si="15"/>
        <v>0</v>
      </c>
      <c r="W490" s="348" t="str">
        <f>IF(板块成分!B492="","",板块成分!B492)</f>
        <v>001325.SZ</v>
      </c>
      <c r="X490" s="276" t="str">
        <f>[1]!S_Info_Name(W490)</f>
        <v>元创股份</v>
      </c>
      <c r="Y490" s="276" t="str">
        <f ca="1">IF($Y$3="申万一级行业",[1]!s_info_industry_sw_2021(W490,公司分析!D$5,1),IF($Y$3="申万二级行业",[1]!s_info_industry_sw_2021(W490,公司分析!D$5,2),IF($Y$3="申万三级行业",[1]!s_info_industry_sw_2021(W490,公司分析!D$5,3),IF($Y$3="wind一级行业",[1]!s_info_industry_gics(W490,1),IF($Y$3="wind二级行业",[1]!s_info_industry_gics(W490,2),IF($Y$3="wind三级行业",[1]!s_info_industry_gics(W490,3),IF($Y$3="wind四级行业",[1]!s_info_industry_gics(W490,4),IF($Y$3="证监会门类行业",[1]!s_info_industry_csrc12_n(W490,公司分析!D$5,1),""))))))))</f>
        <v>橡胶</v>
      </c>
      <c r="Z490" s="302" t="str">
        <f ca="1">IF(Y490=行业比较!$E$6,ROW(),"")</f>
        <v/>
      </c>
      <c r="AA490" s="122"/>
      <c r="AB490" s="122"/>
      <c r="AC490" s="122"/>
      <c r="AD490" s="122"/>
      <c r="AE490" s="122"/>
      <c r="AF490" s="122"/>
      <c r="AG490" s="122"/>
      <c r="AH490" s="122"/>
      <c r="AI490" s="122"/>
      <c r="AJ490" s="122"/>
      <c r="AK490" s="122"/>
      <c r="AL490" s="122"/>
      <c r="AM490" s="122"/>
      <c r="AN490" s="122"/>
      <c r="AO490" s="122"/>
      <c r="AP490" s="122"/>
    </row>
    <row r="491" spans="2:42">
      <c r="B491" s="122"/>
      <c r="C491" s="122"/>
      <c r="D491" s="122"/>
      <c r="E491" s="122"/>
      <c r="F491" s="122"/>
      <c r="G491" s="122"/>
      <c r="H491" s="122"/>
      <c r="I491" s="275"/>
      <c r="J491" s="130"/>
      <c r="K491" s="130"/>
      <c r="L491" s="130"/>
      <c r="M491" s="130"/>
      <c r="N491" s="291"/>
      <c r="O491" s="291"/>
      <c r="P491" s="122"/>
      <c r="Q491" s="122"/>
      <c r="R491" s="122"/>
      <c r="S491" s="122"/>
      <c r="T491" s="122"/>
      <c r="U491" s="301"/>
      <c r="V491" s="260">
        <f t="shared" ca="1" si="15"/>
        <v>0</v>
      </c>
      <c r="W491" s="348" t="str">
        <f>IF(板块成分!B493="","",板块成分!B493)</f>
        <v>001326.SZ</v>
      </c>
      <c r="X491" s="276" t="str">
        <f>[1]!S_Info_Name(W491)</f>
        <v>联域股份</v>
      </c>
      <c r="Y491" s="276" t="str">
        <f ca="1">IF($Y$3="申万一级行业",[1]!s_info_industry_sw_2021(W491,公司分析!D$5,1),IF($Y$3="申万二级行业",[1]!s_info_industry_sw_2021(W491,公司分析!D$5,2),IF($Y$3="申万三级行业",[1]!s_info_industry_sw_2021(W491,公司分析!D$5,3),IF($Y$3="wind一级行业",[1]!s_info_industry_gics(W491,1),IF($Y$3="wind二级行业",[1]!s_info_industry_gics(W491,2),IF($Y$3="wind三级行业",[1]!s_info_industry_gics(W491,3),IF($Y$3="wind四级行业",[1]!s_info_industry_gics(W491,4),IF($Y$3="证监会门类行业",[1]!s_info_industry_csrc12_n(W491,公司分析!D$5,1),""))))))))</f>
        <v>照明设备Ⅱ</v>
      </c>
      <c r="Z491" s="302" t="str">
        <f ca="1">IF(Y491=行业比较!$E$6,ROW(),"")</f>
        <v/>
      </c>
      <c r="AA491" s="122"/>
      <c r="AB491" s="122"/>
      <c r="AC491" s="122"/>
      <c r="AD491" s="122"/>
      <c r="AE491" s="122"/>
      <c r="AF491" s="122"/>
      <c r="AG491" s="122"/>
      <c r="AH491" s="122"/>
      <c r="AI491" s="122"/>
      <c r="AJ491" s="122"/>
      <c r="AK491" s="122"/>
      <c r="AL491" s="122"/>
      <c r="AM491" s="122"/>
      <c r="AN491" s="122"/>
      <c r="AO491" s="122"/>
      <c r="AP491" s="122"/>
    </row>
    <row r="492" spans="2:42">
      <c r="B492" s="122"/>
      <c r="C492" s="122"/>
      <c r="D492" s="122"/>
      <c r="E492" s="122"/>
      <c r="F492" s="122"/>
      <c r="G492" s="122"/>
      <c r="H492" s="122"/>
      <c r="I492" s="275"/>
      <c r="J492" s="130"/>
      <c r="K492" s="130"/>
      <c r="L492" s="130"/>
      <c r="M492" s="130"/>
      <c r="N492" s="291"/>
      <c r="O492" s="291"/>
      <c r="P492" s="122"/>
      <c r="Q492" s="122"/>
      <c r="R492" s="122"/>
      <c r="S492" s="122"/>
      <c r="T492" s="122"/>
      <c r="U492" s="301"/>
      <c r="V492" s="260">
        <f t="shared" ca="1" si="15"/>
        <v>0</v>
      </c>
      <c r="W492" s="348" t="str">
        <f>IF(板块成分!B494="","",板块成分!B494)</f>
        <v>001328.SZ</v>
      </c>
      <c r="X492" s="276" t="str">
        <f>[1]!S_Info_Name(W492)</f>
        <v>登康口腔</v>
      </c>
      <c r="Y492" s="276" t="str">
        <f ca="1">IF($Y$3="申万一级行业",[1]!s_info_industry_sw_2021(W492,公司分析!D$5,1),IF($Y$3="申万二级行业",[1]!s_info_industry_sw_2021(W492,公司分析!D$5,2),IF($Y$3="申万三级行业",[1]!s_info_industry_sw_2021(W492,公司分析!D$5,3),IF($Y$3="wind一级行业",[1]!s_info_industry_gics(W492,1),IF($Y$3="wind二级行业",[1]!s_info_industry_gics(W492,2),IF($Y$3="wind三级行业",[1]!s_info_industry_gics(W492,3),IF($Y$3="wind四级行业",[1]!s_info_industry_gics(W492,4),IF($Y$3="证监会门类行业",[1]!s_info_industry_csrc12_n(W492,公司分析!D$5,1),""))))))))</f>
        <v>个护用品</v>
      </c>
      <c r="Z492" s="302" t="str">
        <f ca="1">IF(Y492=行业比较!$E$6,ROW(),"")</f>
        <v/>
      </c>
      <c r="AA492" s="122"/>
      <c r="AB492" s="122"/>
      <c r="AC492" s="122"/>
      <c r="AD492" s="122"/>
      <c r="AE492" s="122"/>
      <c r="AF492" s="122"/>
      <c r="AG492" s="122"/>
      <c r="AH492" s="122"/>
      <c r="AI492" s="122"/>
      <c r="AJ492" s="122"/>
      <c r="AK492" s="122"/>
      <c r="AL492" s="122"/>
      <c r="AM492" s="122"/>
      <c r="AN492" s="122"/>
      <c r="AO492" s="122"/>
      <c r="AP492" s="122"/>
    </row>
    <row r="493" spans="2:42">
      <c r="B493" s="122"/>
      <c r="C493" s="122"/>
      <c r="D493" s="122"/>
      <c r="E493" s="122"/>
      <c r="F493" s="122"/>
      <c r="G493" s="122"/>
      <c r="H493" s="122"/>
      <c r="I493" s="275"/>
      <c r="J493" s="130"/>
      <c r="K493" s="130"/>
      <c r="L493" s="130"/>
      <c r="M493" s="130"/>
      <c r="N493" s="291"/>
      <c r="O493" s="291"/>
      <c r="P493" s="122"/>
      <c r="Q493" s="122"/>
      <c r="R493" s="122"/>
      <c r="S493" s="122"/>
      <c r="T493" s="122"/>
      <c r="U493" s="301"/>
      <c r="V493" s="260">
        <f t="shared" ca="1" si="15"/>
        <v>0</v>
      </c>
      <c r="W493" s="348" t="str">
        <f>IF(板块成分!B495="","",板块成分!B495)</f>
        <v>001330.SZ</v>
      </c>
      <c r="X493" s="276" t="str">
        <f>[1]!S_Info_Name(W493)</f>
        <v>博纳影业</v>
      </c>
      <c r="Y493" s="276" t="str">
        <f ca="1">IF($Y$3="申万一级行业",[1]!s_info_industry_sw_2021(W493,公司分析!D$5,1),IF($Y$3="申万二级行业",[1]!s_info_industry_sw_2021(W493,公司分析!D$5,2),IF($Y$3="申万三级行业",[1]!s_info_industry_sw_2021(W493,公司分析!D$5,3),IF($Y$3="wind一级行业",[1]!s_info_industry_gics(W493,1),IF($Y$3="wind二级行业",[1]!s_info_industry_gics(W493,2),IF($Y$3="wind三级行业",[1]!s_info_industry_gics(W493,3),IF($Y$3="wind四级行业",[1]!s_info_industry_gics(W493,4),IF($Y$3="证监会门类行业",[1]!s_info_industry_csrc12_n(W493,公司分析!D$5,1),""))))))))</f>
        <v>影视院线</v>
      </c>
      <c r="Z493" s="302" t="str">
        <f ca="1">IF(Y493=行业比较!$E$6,ROW(),"")</f>
        <v/>
      </c>
      <c r="AA493" s="122"/>
      <c r="AB493" s="122"/>
      <c r="AC493" s="122"/>
      <c r="AD493" s="122"/>
      <c r="AE493" s="122"/>
      <c r="AF493" s="122"/>
      <c r="AG493" s="122"/>
      <c r="AH493" s="122"/>
      <c r="AI493" s="122"/>
      <c r="AJ493" s="122"/>
      <c r="AK493" s="122"/>
      <c r="AL493" s="122"/>
      <c r="AM493" s="122"/>
      <c r="AN493" s="122"/>
      <c r="AO493" s="122"/>
      <c r="AP493" s="122"/>
    </row>
    <row r="494" spans="2:42">
      <c r="B494" s="122"/>
      <c r="C494" s="122"/>
      <c r="D494" s="122"/>
      <c r="E494" s="122"/>
      <c r="F494" s="122"/>
      <c r="G494" s="122"/>
      <c r="H494" s="122"/>
      <c r="I494" s="275"/>
      <c r="J494" s="130"/>
      <c r="K494" s="130"/>
      <c r="L494" s="130"/>
      <c r="M494" s="130"/>
      <c r="N494" s="291"/>
      <c r="O494" s="291"/>
      <c r="P494" s="122"/>
      <c r="Q494" s="122"/>
      <c r="R494" s="122"/>
      <c r="S494" s="122"/>
      <c r="T494" s="122"/>
      <c r="U494" s="301"/>
      <c r="V494" s="260">
        <f t="shared" ca="1" si="15"/>
        <v>0</v>
      </c>
      <c r="W494" s="348" t="str">
        <f>IF(板块成分!B496="","",板块成分!B496)</f>
        <v>001331.SZ</v>
      </c>
      <c r="X494" s="276" t="str">
        <f>[1]!S_Info_Name(W494)</f>
        <v>胜通能源</v>
      </c>
      <c r="Y494" s="276" t="str">
        <f ca="1">IF($Y$3="申万一级行业",[1]!s_info_industry_sw_2021(W494,公司分析!D$5,1),IF($Y$3="申万二级行业",[1]!s_info_industry_sw_2021(W494,公司分析!D$5,2),IF($Y$3="申万三级行业",[1]!s_info_industry_sw_2021(W494,公司分析!D$5,3),IF($Y$3="wind一级行业",[1]!s_info_industry_gics(W494,1),IF($Y$3="wind二级行业",[1]!s_info_industry_gics(W494,2),IF($Y$3="wind三级行业",[1]!s_info_industry_gics(W494,3),IF($Y$3="wind四级行业",[1]!s_info_industry_gics(W494,4),IF($Y$3="证监会门类行业",[1]!s_info_industry_csrc12_n(W494,公司分析!D$5,1),""))))))))</f>
        <v>燃气Ⅱ</v>
      </c>
      <c r="Z494" s="302" t="str">
        <f ca="1">IF(Y494=行业比较!$E$6,ROW(),"")</f>
        <v/>
      </c>
      <c r="AA494" s="122"/>
      <c r="AB494" s="122"/>
      <c r="AC494" s="122"/>
      <c r="AD494" s="122"/>
      <c r="AE494" s="122"/>
      <c r="AF494" s="122"/>
      <c r="AG494" s="122"/>
      <c r="AH494" s="122"/>
      <c r="AI494" s="122"/>
      <c r="AJ494" s="122"/>
      <c r="AK494" s="122"/>
      <c r="AL494" s="122"/>
      <c r="AM494" s="122"/>
      <c r="AN494" s="122"/>
      <c r="AO494" s="122"/>
      <c r="AP494" s="122"/>
    </row>
    <row r="495" spans="2:42">
      <c r="B495" s="122"/>
      <c r="C495" s="122"/>
      <c r="D495" s="122"/>
      <c r="E495" s="122"/>
      <c r="F495" s="122"/>
      <c r="G495" s="122"/>
      <c r="H495" s="122"/>
      <c r="I495" s="275"/>
      <c r="J495" s="130"/>
      <c r="K495" s="130"/>
      <c r="L495" s="130"/>
      <c r="M495" s="130"/>
      <c r="N495" s="291"/>
      <c r="O495" s="291"/>
      <c r="P495" s="122"/>
      <c r="Q495" s="122"/>
      <c r="R495" s="122"/>
      <c r="S495" s="122"/>
      <c r="T495" s="122"/>
      <c r="U495" s="301"/>
      <c r="V495" s="260">
        <f t="shared" ca="1" si="15"/>
        <v>0</v>
      </c>
      <c r="W495" s="348" t="str">
        <f>IF(板块成分!B497="","",板块成分!B497)</f>
        <v>001332.SZ</v>
      </c>
      <c r="X495" s="276" t="str">
        <f>[1]!S_Info_Name(W495)</f>
        <v>锡装股份</v>
      </c>
      <c r="Y495" s="276" t="str">
        <f ca="1">IF($Y$3="申万一级行业",[1]!s_info_industry_sw_2021(W495,公司分析!D$5,1),IF($Y$3="申万二级行业",[1]!s_info_industry_sw_2021(W495,公司分析!D$5,2),IF($Y$3="申万三级行业",[1]!s_info_industry_sw_2021(W495,公司分析!D$5,3),IF($Y$3="wind一级行业",[1]!s_info_industry_gics(W495,1),IF($Y$3="wind二级行业",[1]!s_info_industry_gics(W495,2),IF($Y$3="wind三级行业",[1]!s_info_industry_gics(W495,3),IF($Y$3="wind四级行业",[1]!s_info_industry_gics(W495,4),IF($Y$3="证监会门类行业",[1]!s_info_industry_csrc12_n(W495,公司分析!D$5,1),""))))))))</f>
        <v>专用设备</v>
      </c>
      <c r="Z495" s="302" t="str">
        <f ca="1">IF(Y495=行业比较!$E$6,ROW(),"")</f>
        <v/>
      </c>
      <c r="AA495" s="122"/>
      <c r="AB495" s="122"/>
      <c r="AC495" s="122"/>
      <c r="AD495" s="122"/>
      <c r="AE495" s="122"/>
      <c r="AF495" s="122"/>
      <c r="AG495" s="122"/>
      <c r="AH495" s="122"/>
      <c r="AI495" s="122"/>
      <c r="AJ495" s="122"/>
      <c r="AK495" s="122"/>
      <c r="AL495" s="122"/>
      <c r="AM495" s="122"/>
      <c r="AN495" s="122"/>
      <c r="AO495" s="122"/>
      <c r="AP495" s="122"/>
    </row>
    <row r="496" spans="2:42">
      <c r="B496" s="122"/>
      <c r="C496" s="122"/>
      <c r="D496" s="122"/>
      <c r="E496" s="122"/>
      <c r="F496" s="122"/>
      <c r="G496" s="122"/>
      <c r="H496" s="122"/>
      <c r="I496" s="275"/>
      <c r="J496" s="130"/>
      <c r="K496" s="130"/>
      <c r="L496" s="130"/>
      <c r="M496" s="130"/>
      <c r="N496" s="291"/>
      <c r="O496" s="291"/>
      <c r="P496" s="122"/>
      <c r="Q496" s="122"/>
      <c r="R496" s="122"/>
      <c r="S496" s="122"/>
      <c r="T496" s="122"/>
      <c r="U496" s="301"/>
      <c r="V496" s="260">
        <f t="shared" ca="1" si="15"/>
        <v>0</v>
      </c>
      <c r="W496" s="348" t="str">
        <f>IF(板块成分!B498="","",板块成分!B498)</f>
        <v>001333.SZ</v>
      </c>
      <c r="X496" s="276" t="str">
        <f>[1]!S_Info_Name(W496)</f>
        <v>光华股份</v>
      </c>
      <c r="Y496" s="276" t="str">
        <f ca="1">IF($Y$3="申万一级行业",[1]!s_info_industry_sw_2021(W496,公司分析!D$5,1),IF($Y$3="申万二级行业",[1]!s_info_industry_sw_2021(W496,公司分析!D$5,2),IF($Y$3="申万三级行业",[1]!s_info_industry_sw_2021(W496,公司分析!D$5,3),IF($Y$3="wind一级行业",[1]!s_info_industry_gics(W496,1),IF($Y$3="wind二级行业",[1]!s_info_industry_gics(W496,2),IF($Y$3="wind三级行业",[1]!s_info_industry_gics(W496,3),IF($Y$3="wind四级行业",[1]!s_info_industry_gics(W496,4),IF($Y$3="证监会门类行业",[1]!s_info_industry_csrc12_n(W496,公司分析!D$5,1),""))))))))</f>
        <v>塑料</v>
      </c>
      <c r="Z496" s="302" t="str">
        <f ca="1">IF(Y496=行业比较!$E$6,ROW(),"")</f>
        <v/>
      </c>
      <c r="AA496" s="122"/>
      <c r="AB496" s="122"/>
      <c r="AC496" s="122"/>
      <c r="AD496" s="122"/>
      <c r="AE496" s="122"/>
      <c r="AF496" s="122"/>
      <c r="AG496" s="122"/>
      <c r="AH496" s="122"/>
      <c r="AI496" s="122"/>
      <c r="AJ496" s="122"/>
      <c r="AK496" s="122"/>
      <c r="AL496" s="122"/>
      <c r="AM496" s="122"/>
      <c r="AN496" s="122"/>
      <c r="AO496" s="122"/>
      <c r="AP496" s="122"/>
    </row>
    <row r="497" spans="2:42">
      <c r="B497" s="122"/>
      <c r="C497" s="122"/>
      <c r="D497" s="122"/>
      <c r="E497" s="122"/>
      <c r="F497" s="122"/>
      <c r="G497" s="122"/>
      <c r="H497" s="122"/>
      <c r="I497" s="275"/>
      <c r="J497" s="130"/>
      <c r="K497" s="130"/>
      <c r="L497" s="130"/>
      <c r="M497" s="130"/>
      <c r="N497" s="291"/>
      <c r="O497" s="291"/>
      <c r="P497" s="122"/>
      <c r="Q497" s="122"/>
      <c r="R497" s="122"/>
      <c r="S497" s="122"/>
      <c r="T497" s="122"/>
      <c r="U497" s="301"/>
      <c r="V497" s="260">
        <f t="shared" ca="1" si="15"/>
        <v>0</v>
      </c>
      <c r="W497" s="348" t="str">
        <f>IF(板块成分!B499="","",板块成分!B499)</f>
        <v>001335.SZ</v>
      </c>
      <c r="X497" s="276" t="str">
        <f>[1]!S_Info_Name(W497)</f>
        <v>信凯科技</v>
      </c>
      <c r="Y497" s="276" t="str">
        <f ca="1">IF($Y$3="申万一级行业",[1]!s_info_industry_sw_2021(W497,公司分析!D$5,1),IF($Y$3="申万二级行业",[1]!s_info_industry_sw_2021(W497,公司分析!D$5,2),IF($Y$3="申万三级行业",[1]!s_info_industry_sw_2021(W497,公司分析!D$5,3),IF($Y$3="wind一级行业",[1]!s_info_industry_gics(W497,1),IF($Y$3="wind二级行业",[1]!s_info_industry_gics(W497,2),IF($Y$3="wind三级行业",[1]!s_info_industry_gics(W497,3),IF($Y$3="wind四级行业",[1]!s_info_industry_gics(W497,4),IF($Y$3="证监会门类行业",[1]!s_info_industry_csrc12_n(W497,公司分析!D$5,1),""))))))))</f>
        <v>化学制品</v>
      </c>
      <c r="Z497" s="302" t="str">
        <f ca="1">IF(Y497=行业比较!$E$6,ROW(),"")</f>
        <v/>
      </c>
      <c r="AA497" s="122"/>
      <c r="AB497" s="122"/>
      <c r="AC497" s="122"/>
      <c r="AD497" s="122"/>
      <c r="AE497" s="122"/>
      <c r="AF497" s="122"/>
      <c r="AG497" s="122"/>
      <c r="AH497" s="122"/>
      <c r="AI497" s="122"/>
      <c r="AJ497" s="122"/>
      <c r="AK497" s="122"/>
      <c r="AL497" s="122"/>
      <c r="AM497" s="122"/>
      <c r="AN497" s="122"/>
      <c r="AO497" s="122"/>
      <c r="AP497" s="122"/>
    </row>
    <row r="498" spans="2:42">
      <c r="B498" s="122"/>
      <c r="C498" s="122"/>
      <c r="D498" s="122"/>
      <c r="E498" s="122"/>
      <c r="F498" s="122"/>
      <c r="G498" s="122"/>
      <c r="H498" s="122"/>
      <c r="I498" s="275"/>
      <c r="J498" s="130"/>
      <c r="K498" s="130"/>
      <c r="L498" s="130"/>
      <c r="M498" s="130"/>
      <c r="N498" s="291"/>
      <c r="O498" s="291"/>
      <c r="P498" s="122"/>
      <c r="Q498" s="122"/>
      <c r="R498" s="122"/>
      <c r="S498" s="122"/>
      <c r="T498" s="122"/>
      <c r="U498" s="301"/>
      <c r="V498" s="260">
        <f t="shared" ca="1" si="15"/>
        <v>0</v>
      </c>
      <c r="W498" s="348" t="str">
        <f>IF(板块成分!B500="","",板块成分!B500)</f>
        <v>001336.SZ</v>
      </c>
      <c r="X498" s="276" t="str">
        <f>[1]!S_Info_Name(W498)</f>
        <v>楚环科技</v>
      </c>
      <c r="Y498" s="276" t="str">
        <f ca="1">IF($Y$3="申万一级行业",[1]!s_info_industry_sw_2021(W498,公司分析!D$5,1),IF($Y$3="申万二级行业",[1]!s_info_industry_sw_2021(W498,公司分析!D$5,2),IF($Y$3="申万三级行业",[1]!s_info_industry_sw_2021(W498,公司分析!D$5,3),IF($Y$3="wind一级行业",[1]!s_info_industry_gics(W498,1),IF($Y$3="wind二级行业",[1]!s_info_industry_gics(W498,2),IF($Y$3="wind三级行业",[1]!s_info_industry_gics(W498,3),IF($Y$3="wind四级行业",[1]!s_info_industry_gics(W498,4),IF($Y$3="证监会门类行业",[1]!s_info_industry_csrc12_n(W498,公司分析!D$5,1),""))))))))</f>
        <v>环保设备Ⅱ</v>
      </c>
      <c r="Z498" s="302" t="str">
        <f ca="1">IF(Y498=行业比较!$E$6,ROW(),"")</f>
        <v/>
      </c>
      <c r="AA498" s="122"/>
      <c r="AB498" s="122"/>
      <c r="AC498" s="122"/>
      <c r="AD498" s="122"/>
      <c r="AE498" s="122"/>
      <c r="AF498" s="122"/>
      <c r="AG498" s="122"/>
      <c r="AH498" s="122"/>
      <c r="AI498" s="122"/>
      <c r="AJ498" s="122"/>
      <c r="AK498" s="122"/>
      <c r="AL498" s="122"/>
      <c r="AM498" s="122"/>
      <c r="AN498" s="122"/>
      <c r="AO498" s="122"/>
      <c r="AP498" s="122"/>
    </row>
    <row r="499" spans="2:42">
      <c r="B499" s="122"/>
      <c r="C499" s="122"/>
      <c r="D499" s="122"/>
      <c r="E499" s="122"/>
      <c r="F499" s="122"/>
      <c r="G499" s="122"/>
      <c r="H499" s="122"/>
      <c r="I499" s="275"/>
      <c r="J499" s="130"/>
      <c r="K499" s="130"/>
      <c r="L499" s="130"/>
      <c r="M499" s="130"/>
      <c r="N499" s="291"/>
      <c r="O499" s="291"/>
      <c r="P499" s="122"/>
      <c r="Q499" s="122"/>
      <c r="R499" s="122"/>
      <c r="S499" s="122"/>
      <c r="T499" s="122"/>
      <c r="U499" s="301"/>
      <c r="V499" s="260">
        <f t="shared" ca="1" si="15"/>
        <v>0</v>
      </c>
      <c r="W499" s="348" t="str">
        <f>IF(板块成分!B501="","",板块成分!B501)</f>
        <v>001337.SZ</v>
      </c>
      <c r="X499" s="276" t="str">
        <f>[1]!S_Info_Name(W499)</f>
        <v>四川黄金</v>
      </c>
      <c r="Y499" s="276" t="str">
        <f ca="1">IF($Y$3="申万一级行业",[1]!s_info_industry_sw_2021(W499,公司分析!D$5,1),IF($Y$3="申万二级行业",[1]!s_info_industry_sw_2021(W499,公司分析!D$5,2),IF($Y$3="申万三级行业",[1]!s_info_industry_sw_2021(W499,公司分析!D$5,3),IF($Y$3="wind一级行业",[1]!s_info_industry_gics(W499,1),IF($Y$3="wind二级行业",[1]!s_info_industry_gics(W499,2),IF($Y$3="wind三级行业",[1]!s_info_industry_gics(W499,3),IF($Y$3="wind四级行业",[1]!s_info_industry_gics(W499,4),IF($Y$3="证监会门类行业",[1]!s_info_industry_csrc12_n(W499,公司分析!D$5,1),""))))))))</f>
        <v>贵金属</v>
      </c>
      <c r="Z499" s="302" t="str">
        <f ca="1">IF(Y499=行业比较!$E$6,ROW(),"")</f>
        <v/>
      </c>
      <c r="AA499" s="122"/>
      <c r="AB499" s="122"/>
      <c r="AC499" s="122"/>
      <c r="AD499" s="122"/>
      <c r="AE499" s="122"/>
      <c r="AF499" s="122"/>
      <c r="AG499" s="122"/>
      <c r="AH499" s="122"/>
      <c r="AI499" s="122"/>
      <c r="AJ499" s="122"/>
      <c r="AK499" s="122"/>
      <c r="AL499" s="122"/>
      <c r="AM499" s="122"/>
      <c r="AN499" s="122"/>
      <c r="AO499" s="122"/>
      <c r="AP499" s="122"/>
    </row>
    <row r="500" spans="2:42">
      <c r="B500" s="122"/>
      <c r="C500" s="122"/>
      <c r="D500" s="122"/>
      <c r="E500" s="122"/>
      <c r="F500" s="122"/>
      <c r="G500" s="122"/>
      <c r="H500" s="122"/>
      <c r="I500" s="275"/>
      <c r="J500" s="130"/>
      <c r="K500" s="130"/>
      <c r="L500" s="130"/>
      <c r="M500" s="130"/>
      <c r="N500" s="291"/>
      <c r="O500" s="291"/>
      <c r="P500" s="122"/>
      <c r="Q500" s="122"/>
      <c r="R500" s="122"/>
      <c r="S500" s="122"/>
      <c r="T500" s="122"/>
      <c r="U500" s="301"/>
      <c r="V500" s="260">
        <f t="shared" ca="1" si="15"/>
        <v>0</v>
      </c>
      <c r="W500" s="348" t="str">
        <f>IF(板块成分!B502="","",板块成分!B502)</f>
        <v>001338.SZ</v>
      </c>
      <c r="X500" s="276" t="str">
        <f>[1]!S_Info_Name(W500)</f>
        <v>永顺泰</v>
      </c>
      <c r="Y500" s="276" t="str">
        <f ca="1">IF($Y$3="申万一级行业",[1]!s_info_industry_sw_2021(W500,公司分析!D$5,1),IF($Y$3="申万二级行业",[1]!s_info_industry_sw_2021(W500,公司分析!D$5,2),IF($Y$3="申万三级行业",[1]!s_info_industry_sw_2021(W500,公司分析!D$5,3),IF($Y$3="wind一级行业",[1]!s_info_industry_gics(W500,1),IF($Y$3="wind二级行业",[1]!s_info_industry_gics(W500,2),IF($Y$3="wind三级行业",[1]!s_info_industry_gics(W500,3),IF($Y$3="wind四级行业",[1]!s_info_industry_gics(W500,4),IF($Y$3="证监会门类行业",[1]!s_info_industry_csrc12_n(W500,公司分析!D$5,1),""))))))))</f>
        <v>农产品加工</v>
      </c>
      <c r="Z500" s="302" t="str">
        <f ca="1">IF(Y500=行业比较!$E$6,ROW(),"")</f>
        <v/>
      </c>
      <c r="AA500" s="122"/>
      <c r="AB500" s="122"/>
      <c r="AC500" s="122"/>
      <c r="AD500" s="122"/>
      <c r="AE500" s="122"/>
      <c r="AF500" s="122"/>
      <c r="AG500" s="122"/>
      <c r="AH500" s="122"/>
      <c r="AI500" s="122"/>
      <c r="AJ500" s="122"/>
      <c r="AK500" s="122"/>
      <c r="AL500" s="122"/>
      <c r="AM500" s="122"/>
      <c r="AN500" s="122"/>
      <c r="AO500" s="122"/>
      <c r="AP500" s="122"/>
    </row>
    <row r="501" spans="2:42">
      <c r="B501" s="122"/>
      <c r="C501" s="122"/>
      <c r="D501" s="122"/>
      <c r="E501" s="122"/>
      <c r="F501" s="122"/>
      <c r="G501" s="122"/>
      <c r="H501" s="122"/>
      <c r="I501" s="275"/>
      <c r="J501" s="130"/>
      <c r="K501" s="130"/>
      <c r="L501" s="130"/>
      <c r="M501" s="130"/>
      <c r="N501" s="291"/>
      <c r="O501" s="291"/>
      <c r="P501" s="122"/>
      <c r="Q501" s="122"/>
      <c r="R501" s="122"/>
      <c r="S501" s="122"/>
      <c r="T501" s="122"/>
      <c r="U501" s="301"/>
      <c r="V501" s="260">
        <f t="shared" ca="1" si="15"/>
        <v>0</v>
      </c>
      <c r="W501" s="348" t="str">
        <f>IF(板块成分!B503="","",板块成分!B503)</f>
        <v>001339.SZ</v>
      </c>
      <c r="X501" s="276" t="str">
        <f>[1]!S_Info_Name(W501)</f>
        <v>智微智能</v>
      </c>
      <c r="Y501" s="276" t="str">
        <f ca="1">IF($Y$3="申万一级行业",[1]!s_info_industry_sw_2021(W501,公司分析!D$5,1),IF($Y$3="申万二级行业",[1]!s_info_industry_sw_2021(W501,公司分析!D$5,2),IF($Y$3="申万三级行业",[1]!s_info_industry_sw_2021(W501,公司分析!D$5,3),IF($Y$3="wind一级行业",[1]!s_info_industry_gics(W501,1),IF($Y$3="wind二级行业",[1]!s_info_industry_gics(W501,2),IF($Y$3="wind三级行业",[1]!s_info_industry_gics(W501,3),IF($Y$3="wind四级行业",[1]!s_info_industry_gics(W501,4),IF($Y$3="证监会门类行业",[1]!s_info_industry_csrc12_n(W501,公司分析!D$5,1),""))))))))</f>
        <v>计算机设备</v>
      </c>
      <c r="Z501" s="302" t="str">
        <f ca="1">IF(Y501=行业比较!$E$6,ROW(),"")</f>
        <v/>
      </c>
      <c r="AA501" s="122"/>
      <c r="AB501" s="122"/>
      <c r="AC501" s="122"/>
      <c r="AD501" s="122"/>
      <c r="AE501" s="122"/>
      <c r="AF501" s="122"/>
      <c r="AG501" s="122"/>
      <c r="AH501" s="122"/>
      <c r="AI501" s="122"/>
      <c r="AJ501" s="122"/>
      <c r="AK501" s="122"/>
      <c r="AL501" s="122"/>
      <c r="AM501" s="122"/>
      <c r="AN501" s="122"/>
      <c r="AO501" s="122"/>
      <c r="AP501" s="122"/>
    </row>
    <row r="502" spans="2:42">
      <c r="B502" s="122"/>
      <c r="C502" s="122"/>
      <c r="D502" s="122"/>
      <c r="E502" s="122"/>
      <c r="F502" s="122"/>
      <c r="G502" s="122"/>
      <c r="H502" s="122"/>
      <c r="I502" s="275"/>
      <c r="J502" s="130"/>
      <c r="K502" s="130"/>
      <c r="L502" s="130"/>
      <c r="M502" s="130"/>
      <c r="N502" s="291"/>
      <c r="O502" s="291"/>
      <c r="P502" s="122"/>
      <c r="Q502" s="122"/>
      <c r="R502" s="122"/>
      <c r="S502" s="122"/>
      <c r="T502" s="122"/>
      <c r="U502" s="301"/>
      <c r="V502" s="260">
        <f t="shared" ca="1" si="15"/>
        <v>0</v>
      </c>
      <c r="W502" s="348" t="str">
        <f>IF(板块成分!B504="","",板块成分!B504)</f>
        <v>001356.SZ</v>
      </c>
      <c r="X502" s="276" t="str">
        <f>[1]!S_Info_Name(W502)</f>
        <v>富岭股份</v>
      </c>
      <c r="Y502" s="276" t="str">
        <f ca="1">IF($Y$3="申万一级行业",[1]!s_info_industry_sw_2021(W502,公司分析!D$5,1),IF($Y$3="申万二级行业",[1]!s_info_industry_sw_2021(W502,公司分析!D$5,2),IF($Y$3="申万三级行业",[1]!s_info_industry_sw_2021(W502,公司分析!D$5,3),IF($Y$3="wind一级行业",[1]!s_info_industry_gics(W502,1),IF($Y$3="wind二级行业",[1]!s_info_industry_gics(W502,2),IF($Y$3="wind三级行业",[1]!s_info_industry_gics(W502,3),IF($Y$3="wind四级行业",[1]!s_info_industry_gics(W502,4),IF($Y$3="证监会门类行业",[1]!s_info_industry_csrc12_n(W502,公司分析!D$5,1),""))))))))</f>
        <v>家居用品</v>
      </c>
      <c r="Z502" s="302" t="str">
        <f ca="1">IF(Y502=行业比较!$E$6,ROW(),"")</f>
        <v/>
      </c>
      <c r="AA502" s="122"/>
      <c r="AB502" s="122"/>
      <c r="AC502" s="122"/>
      <c r="AD502" s="122"/>
      <c r="AE502" s="122"/>
      <c r="AF502" s="122"/>
      <c r="AG502" s="122"/>
      <c r="AH502" s="122"/>
      <c r="AI502" s="122"/>
      <c r="AJ502" s="122"/>
      <c r="AK502" s="122"/>
      <c r="AL502" s="122"/>
      <c r="AM502" s="122"/>
      <c r="AN502" s="122"/>
      <c r="AO502" s="122"/>
      <c r="AP502" s="122"/>
    </row>
    <row r="503" spans="2:42">
      <c r="B503" s="122"/>
      <c r="C503" s="122"/>
      <c r="D503" s="122"/>
      <c r="E503" s="122"/>
      <c r="F503" s="122"/>
      <c r="G503" s="122"/>
      <c r="H503" s="122"/>
      <c r="I503" s="275"/>
      <c r="J503" s="130"/>
      <c r="K503" s="130"/>
      <c r="L503" s="130"/>
      <c r="M503" s="130"/>
      <c r="N503" s="291"/>
      <c r="O503" s="291"/>
      <c r="P503" s="122"/>
      <c r="Q503" s="122"/>
      <c r="R503" s="122"/>
      <c r="S503" s="122"/>
      <c r="T503" s="122"/>
      <c r="U503" s="301"/>
      <c r="V503" s="260">
        <f t="shared" ca="1" si="15"/>
        <v>0</v>
      </c>
      <c r="W503" s="348" t="str">
        <f>IF(板块成分!B505="","",板块成分!B505)</f>
        <v>001358.SZ</v>
      </c>
      <c r="X503" s="276" t="str">
        <f>[1]!S_Info_Name(W503)</f>
        <v>兴欣新材</v>
      </c>
      <c r="Y503" s="276" t="str">
        <f ca="1">IF($Y$3="申万一级行业",[1]!s_info_industry_sw_2021(W503,公司分析!D$5,1),IF($Y$3="申万二级行业",[1]!s_info_industry_sw_2021(W503,公司分析!D$5,2),IF($Y$3="申万三级行业",[1]!s_info_industry_sw_2021(W503,公司分析!D$5,3),IF($Y$3="wind一级行业",[1]!s_info_industry_gics(W503,1),IF($Y$3="wind二级行业",[1]!s_info_industry_gics(W503,2),IF($Y$3="wind三级行业",[1]!s_info_industry_gics(W503,3),IF($Y$3="wind四级行业",[1]!s_info_industry_gics(W503,4),IF($Y$3="证监会门类行业",[1]!s_info_industry_csrc12_n(W503,公司分析!D$5,1),""))))))))</f>
        <v>化学制品</v>
      </c>
      <c r="Z503" s="302" t="str">
        <f ca="1">IF(Y503=行业比较!$E$6,ROW(),"")</f>
        <v/>
      </c>
      <c r="AA503" s="122"/>
      <c r="AB503" s="122"/>
      <c r="AC503" s="122"/>
      <c r="AD503" s="122"/>
      <c r="AE503" s="122"/>
      <c r="AF503" s="122"/>
      <c r="AG503" s="122"/>
      <c r="AH503" s="122"/>
      <c r="AI503" s="122"/>
      <c r="AJ503" s="122"/>
      <c r="AK503" s="122"/>
      <c r="AL503" s="122"/>
      <c r="AM503" s="122"/>
      <c r="AN503" s="122"/>
      <c r="AO503" s="122"/>
      <c r="AP503" s="122"/>
    </row>
    <row r="504" spans="2:42">
      <c r="B504" s="122"/>
      <c r="C504" s="122"/>
      <c r="D504" s="122"/>
      <c r="E504" s="122"/>
      <c r="F504" s="122"/>
      <c r="G504" s="122"/>
      <c r="H504" s="122"/>
      <c r="I504" s="275"/>
      <c r="J504" s="130"/>
      <c r="K504" s="130"/>
      <c r="L504" s="130"/>
      <c r="M504" s="130"/>
      <c r="N504" s="291"/>
      <c r="O504" s="291"/>
      <c r="P504" s="122"/>
      <c r="Q504" s="122"/>
      <c r="R504" s="122"/>
      <c r="S504" s="122"/>
      <c r="T504" s="122"/>
      <c r="U504" s="301"/>
      <c r="V504" s="260">
        <f t="shared" ca="1" si="15"/>
        <v>0</v>
      </c>
      <c r="W504" s="348" t="str">
        <f>IF(板块成分!B506="","",板块成分!B506)</f>
        <v>001359.SZ</v>
      </c>
      <c r="X504" s="276" t="str">
        <f>[1]!S_Info_Name(W504)</f>
        <v>平安电工</v>
      </c>
      <c r="Y504" s="276" t="str">
        <f ca="1">IF($Y$3="申万一级行业",[1]!s_info_industry_sw_2021(W504,公司分析!D$5,1),IF($Y$3="申万二级行业",[1]!s_info_industry_sw_2021(W504,公司分析!D$5,2),IF($Y$3="申万三级行业",[1]!s_info_industry_sw_2021(W504,公司分析!D$5,3),IF($Y$3="wind一级行业",[1]!s_info_industry_gics(W504,1),IF($Y$3="wind二级行业",[1]!s_info_industry_gics(W504,2),IF($Y$3="wind三级行业",[1]!s_info_industry_gics(W504,3),IF($Y$3="wind四级行业",[1]!s_info_industry_gics(W504,4),IF($Y$3="证监会门类行业",[1]!s_info_industry_csrc12_n(W504,公司分析!D$5,1),""))))))))</f>
        <v>塑料</v>
      </c>
      <c r="Z504" s="302" t="str">
        <f ca="1">IF(Y504=行业比较!$E$6,ROW(),"")</f>
        <v/>
      </c>
      <c r="AA504" s="122"/>
      <c r="AB504" s="122"/>
      <c r="AC504" s="122"/>
      <c r="AD504" s="122"/>
      <c r="AE504" s="122"/>
      <c r="AF504" s="122"/>
      <c r="AG504" s="122"/>
      <c r="AH504" s="122"/>
      <c r="AI504" s="122"/>
      <c r="AJ504" s="122"/>
      <c r="AK504" s="122"/>
      <c r="AL504" s="122"/>
      <c r="AM504" s="122"/>
      <c r="AN504" s="122"/>
      <c r="AO504" s="122"/>
      <c r="AP504" s="122"/>
    </row>
    <row r="505" spans="2:42">
      <c r="B505" s="122"/>
      <c r="C505" s="122"/>
      <c r="D505" s="122"/>
      <c r="E505" s="122"/>
      <c r="F505" s="122"/>
      <c r="G505" s="122"/>
      <c r="H505" s="122"/>
      <c r="I505" s="275"/>
      <c r="J505" s="130"/>
      <c r="K505" s="130"/>
      <c r="L505" s="130"/>
      <c r="M505" s="130"/>
      <c r="N505" s="291"/>
      <c r="O505" s="291"/>
      <c r="P505" s="122"/>
      <c r="Q505" s="122"/>
      <c r="R505" s="122"/>
      <c r="S505" s="122"/>
      <c r="T505" s="122"/>
      <c r="U505" s="301"/>
      <c r="V505" s="260">
        <f t="shared" ca="1" si="15"/>
        <v>0</v>
      </c>
      <c r="W505" s="348" t="str">
        <f>IF(板块成分!B507="","",板块成分!B507)</f>
        <v>001360.SZ</v>
      </c>
      <c r="X505" s="276" t="str">
        <f>[1]!S_Info_Name(W505)</f>
        <v>南矿集团</v>
      </c>
      <c r="Y505" s="276" t="str">
        <f ca="1">IF($Y$3="申万一级行业",[1]!s_info_industry_sw_2021(W505,公司分析!D$5,1),IF($Y$3="申万二级行业",[1]!s_info_industry_sw_2021(W505,公司分析!D$5,2),IF($Y$3="申万三级行业",[1]!s_info_industry_sw_2021(W505,公司分析!D$5,3),IF($Y$3="wind一级行业",[1]!s_info_industry_gics(W505,1),IF($Y$3="wind二级行业",[1]!s_info_industry_gics(W505,2),IF($Y$3="wind三级行业",[1]!s_info_industry_gics(W505,3),IF($Y$3="wind四级行业",[1]!s_info_industry_gics(W505,4),IF($Y$3="证监会门类行业",[1]!s_info_industry_csrc12_n(W505,公司分析!D$5,1),""))))))))</f>
        <v>专用设备</v>
      </c>
      <c r="Z505" s="302" t="str">
        <f ca="1">IF(Y505=行业比较!$E$6,ROW(),"")</f>
        <v/>
      </c>
      <c r="AA505" s="122"/>
      <c r="AB505" s="122"/>
      <c r="AC505" s="122"/>
      <c r="AD505" s="122"/>
      <c r="AE505" s="122"/>
      <c r="AF505" s="122"/>
      <c r="AG505" s="122"/>
      <c r="AH505" s="122"/>
      <c r="AI505" s="122"/>
      <c r="AJ505" s="122"/>
      <c r="AK505" s="122"/>
      <c r="AL505" s="122"/>
      <c r="AM505" s="122"/>
      <c r="AN505" s="122"/>
      <c r="AO505" s="122"/>
      <c r="AP505" s="122"/>
    </row>
    <row r="506" spans="2:42">
      <c r="B506" s="122"/>
      <c r="C506" s="122"/>
      <c r="D506" s="122"/>
      <c r="E506" s="122"/>
      <c r="F506" s="122"/>
      <c r="G506" s="122"/>
      <c r="H506" s="122"/>
      <c r="I506" s="275"/>
      <c r="J506" s="130"/>
      <c r="K506" s="130"/>
      <c r="L506" s="130"/>
      <c r="M506" s="130"/>
      <c r="N506" s="291"/>
      <c r="O506" s="291"/>
      <c r="P506" s="122"/>
      <c r="Q506" s="122"/>
      <c r="R506" s="122"/>
      <c r="S506" s="122"/>
      <c r="T506" s="122"/>
      <c r="U506" s="301"/>
      <c r="V506" s="260">
        <f t="shared" ca="1" si="15"/>
        <v>0</v>
      </c>
      <c r="W506" s="348" t="str">
        <f>IF(板块成分!B508="","",板块成分!B508)</f>
        <v>001366.SZ</v>
      </c>
      <c r="X506" s="276" t="str">
        <f>[1]!S_Info_Name(W506)</f>
        <v>播恩集团</v>
      </c>
      <c r="Y506" s="276" t="str">
        <f ca="1">IF($Y$3="申万一级行业",[1]!s_info_industry_sw_2021(W506,公司分析!D$5,1),IF($Y$3="申万二级行业",[1]!s_info_industry_sw_2021(W506,公司分析!D$5,2),IF($Y$3="申万三级行业",[1]!s_info_industry_sw_2021(W506,公司分析!D$5,3),IF($Y$3="wind一级行业",[1]!s_info_industry_gics(W506,1),IF($Y$3="wind二级行业",[1]!s_info_industry_gics(W506,2),IF($Y$3="wind三级行业",[1]!s_info_industry_gics(W506,3),IF($Y$3="wind四级行业",[1]!s_info_industry_gics(W506,4),IF($Y$3="证监会门类行业",[1]!s_info_industry_csrc12_n(W506,公司分析!D$5,1),""))))))))</f>
        <v>饲料</v>
      </c>
      <c r="Z506" s="302" t="str">
        <f ca="1">IF(Y506=行业比较!$E$6,ROW(),"")</f>
        <v/>
      </c>
      <c r="AA506" s="122"/>
      <c r="AB506" s="122"/>
      <c r="AC506" s="122"/>
      <c r="AD506" s="122"/>
      <c r="AE506" s="122"/>
      <c r="AF506" s="122"/>
      <c r="AG506" s="122"/>
      <c r="AH506" s="122"/>
      <c r="AI506" s="122"/>
      <c r="AJ506" s="122"/>
      <c r="AK506" s="122"/>
      <c r="AL506" s="122"/>
      <c r="AM506" s="122"/>
      <c r="AN506" s="122"/>
      <c r="AO506" s="122"/>
      <c r="AP506" s="122"/>
    </row>
    <row r="507" spans="2:42">
      <c r="B507" s="122"/>
      <c r="C507" s="122"/>
      <c r="D507" s="122"/>
      <c r="E507" s="122"/>
      <c r="F507" s="122"/>
      <c r="G507" s="122"/>
      <c r="H507" s="122"/>
      <c r="I507" s="275"/>
      <c r="J507" s="130"/>
      <c r="K507" s="130"/>
      <c r="L507" s="130"/>
      <c r="M507" s="130"/>
      <c r="N507" s="291"/>
      <c r="O507" s="291"/>
      <c r="P507" s="122"/>
      <c r="Q507" s="122"/>
      <c r="R507" s="122"/>
      <c r="S507" s="122"/>
      <c r="T507" s="122"/>
      <c r="U507" s="301"/>
      <c r="V507" s="260">
        <f t="shared" ca="1" si="15"/>
        <v>0</v>
      </c>
      <c r="W507" s="348" t="str">
        <f>IF(板块成分!B509="","",板块成分!B509)</f>
        <v>001367.SZ</v>
      </c>
      <c r="X507" s="276" t="str">
        <f>[1]!S_Info_Name(W507)</f>
        <v>海森药业</v>
      </c>
      <c r="Y507" s="276" t="str">
        <f ca="1">IF($Y$3="申万一级行业",[1]!s_info_industry_sw_2021(W507,公司分析!D$5,1),IF($Y$3="申万二级行业",[1]!s_info_industry_sw_2021(W507,公司分析!D$5,2),IF($Y$3="申万三级行业",[1]!s_info_industry_sw_2021(W507,公司分析!D$5,3),IF($Y$3="wind一级行业",[1]!s_info_industry_gics(W507,1),IF($Y$3="wind二级行业",[1]!s_info_industry_gics(W507,2),IF($Y$3="wind三级行业",[1]!s_info_industry_gics(W507,3),IF($Y$3="wind四级行业",[1]!s_info_industry_gics(W507,4),IF($Y$3="证监会门类行业",[1]!s_info_industry_csrc12_n(W507,公司分析!D$5,1),""))))))))</f>
        <v>化学制药</v>
      </c>
      <c r="Z507" s="302" t="str">
        <f ca="1">IF(Y507=行业比较!$E$6,ROW(),"")</f>
        <v/>
      </c>
      <c r="AA507" s="122"/>
      <c r="AB507" s="122"/>
      <c r="AC507" s="122"/>
      <c r="AD507" s="122"/>
      <c r="AE507" s="122"/>
      <c r="AF507" s="122"/>
      <c r="AG507" s="122"/>
      <c r="AH507" s="122"/>
      <c r="AI507" s="122"/>
      <c r="AJ507" s="122"/>
      <c r="AK507" s="122"/>
      <c r="AL507" s="122"/>
      <c r="AM507" s="122"/>
      <c r="AN507" s="122"/>
      <c r="AO507" s="122"/>
      <c r="AP507" s="122"/>
    </row>
    <row r="508" spans="2:42">
      <c r="B508" s="122"/>
      <c r="C508" s="122"/>
      <c r="D508" s="122"/>
      <c r="E508" s="122"/>
      <c r="F508" s="122"/>
      <c r="G508" s="122"/>
      <c r="H508" s="122"/>
      <c r="I508" s="275"/>
      <c r="J508" s="130"/>
      <c r="K508" s="130"/>
      <c r="L508" s="130"/>
      <c r="M508" s="130"/>
      <c r="N508" s="291"/>
      <c r="O508" s="291"/>
      <c r="P508" s="122"/>
      <c r="Q508" s="122"/>
      <c r="R508" s="122"/>
      <c r="S508" s="122"/>
      <c r="T508" s="122"/>
      <c r="U508" s="301"/>
      <c r="V508" s="260">
        <f t="shared" ca="1" si="15"/>
        <v>0</v>
      </c>
      <c r="W508" s="348" t="str">
        <f>IF(板块成分!B510="","",板块成分!B510)</f>
        <v>001368.SZ</v>
      </c>
      <c r="X508" s="276" t="str">
        <f>[1]!S_Info_Name(W508)</f>
        <v>通达创智</v>
      </c>
      <c r="Y508" s="276" t="str">
        <f ca="1">IF($Y$3="申万一级行业",[1]!s_info_industry_sw_2021(W508,公司分析!D$5,1),IF($Y$3="申万二级行业",[1]!s_info_industry_sw_2021(W508,公司分析!D$5,2),IF($Y$3="申万三级行业",[1]!s_info_industry_sw_2021(W508,公司分析!D$5,3),IF($Y$3="wind一级行业",[1]!s_info_industry_gics(W508,1),IF($Y$3="wind二级行业",[1]!s_info_industry_gics(W508,2),IF($Y$3="wind三级行业",[1]!s_info_industry_gics(W508,3),IF($Y$3="wind四级行业",[1]!s_info_industry_gics(W508,4),IF($Y$3="证监会门类行业",[1]!s_info_industry_csrc12_n(W508,公司分析!D$5,1),""))))))))</f>
        <v>文娱用品</v>
      </c>
      <c r="Z508" s="302" t="str">
        <f ca="1">IF(Y508=行业比较!$E$6,ROW(),"")</f>
        <v/>
      </c>
      <c r="AA508" s="122"/>
      <c r="AB508" s="122"/>
      <c r="AC508" s="122"/>
      <c r="AD508" s="122"/>
      <c r="AE508" s="122"/>
      <c r="AF508" s="122"/>
      <c r="AG508" s="122"/>
      <c r="AH508" s="122"/>
      <c r="AI508" s="122"/>
      <c r="AJ508" s="122"/>
      <c r="AK508" s="122"/>
      <c r="AL508" s="122"/>
      <c r="AM508" s="122"/>
      <c r="AN508" s="122"/>
      <c r="AO508" s="122"/>
      <c r="AP508" s="122"/>
    </row>
    <row r="509" spans="2:42">
      <c r="B509" s="122"/>
      <c r="C509" s="122"/>
      <c r="D509" s="122"/>
      <c r="E509" s="122"/>
      <c r="F509" s="122"/>
      <c r="G509" s="122"/>
      <c r="H509" s="122"/>
      <c r="I509" s="275"/>
      <c r="J509" s="130"/>
      <c r="K509" s="130"/>
      <c r="L509" s="130"/>
      <c r="M509" s="130"/>
      <c r="N509" s="291"/>
      <c r="O509" s="291"/>
      <c r="P509" s="122"/>
      <c r="Q509" s="122"/>
      <c r="R509" s="122"/>
      <c r="S509" s="122"/>
      <c r="T509" s="122"/>
      <c r="U509" s="301"/>
      <c r="V509" s="260">
        <f t="shared" ca="1" si="15"/>
        <v>0</v>
      </c>
      <c r="W509" s="348" t="str">
        <f>IF(板块成分!B511="","",板块成分!B511)</f>
        <v>001369.SZ</v>
      </c>
      <c r="X509" s="276" t="str">
        <f>[1]!S_Info_Name(W509)</f>
        <v>双欣材料</v>
      </c>
      <c r="Y509" s="276" t="str">
        <f ca="1">IF($Y$3="申万一级行业",[1]!s_info_industry_sw_2021(W509,公司分析!D$5,1),IF($Y$3="申万二级行业",[1]!s_info_industry_sw_2021(W509,公司分析!D$5,2),IF($Y$3="申万三级行业",[1]!s_info_industry_sw_2021(W509,公司分析!D$5,3),IF($Y$3="wind一级行业",[1]!s_info_industry_gics(W509,1),IF($Y$3="wind二级行业",[1]!s_info_industry_gics(W509,2),IF($Y$3="wind三级行业",[1]!s_info_industry_gics(W509,3),IF($Y$3="wind四级行业",[1]!s_info_industry_gics(W509,4),IF($Y$3="证监会门类行业",[1]!s_info_industry_csrc12_n(W509,公司分析!D$5,1),""))))))))</f>
        <v>化学纤维</v>
      </c>
      <c r="Z509" s="302" t="str">
        <f ca="1">IF(Y509=行业比较!$E$6,ROW(),"")</f>
        <v/>
      </c>
      <c r="AA509" s="122"/>
      <c r="AB509" s="122"/>
      <c r="AC509" s="122"/>
      <c r="AD509" s="122"/>
      <c r="AE509" s="122"/>
      <c r="AF509" s="122"/>
      <c r="AG509" s="122"/>
      <c r="AH509" s="122"/>
      <c r="AI509" s="122"/>
      <c r="AJ509" s="122"/>
      <c r="AK509" s="122"/>
      <c r="AL509" s="122"/>
      <c r="AM509" s="122"/>
      <c r="AN509" s="122"/>
      <c r="AO509" s="122"/>
      <c r="AP509" s="122"/>
    </row>
    <row r="510" spans="2:42">
      <c r="B510" s="122"/>
      <c r="C510" s="122"/>
      <c r="D510" s="122"/>
      <c r="E510" s="122"/>
      <c r="F510" s="122"/>
      <c r="G510" s="122"/>
      <c r="H510" s="122"/>
      <c r="I510" s="275"/>
      <c r="J510" s="130"/>
      <c r="K510" s="130"/>
      <c r="L510" s="130"/>
      <c r="M510" s="130"/>
      <c r="N510" s="291"/>
      <c r="O510" s="291"/>
      <c r="P510" s="122"/>
      <c r="Q510" s="122"/>
      <c r="R510" s="122"/>
      <c r="S510" s="122"/>
      <c r="T510" s="122"/>
      <c r="U510" s="301"/>
      <c r="V510" s="260">
        <f t="shared" ca="1" si="15"/>
        <v>0</v>
      </c>
      <c r="W510" s="348" t="str">
        <f>IF(板块成分!B512="","",板块成分!B512)</f>
        <v>001373.SZ</v>
      </c>
      <c r="X510" s="276" t="str">
        <f>[1]!S_Info_Name(W510)</f>
        <v>翔腾新材</v>
      </c>
      <c r="Y510" s="276" t="str">
        <f ca="1">IF($Y$3="申万一级行业",[1]!s_info_industry_sw_2021(W510,公司分析!D$5,1),IF($Y$3="申万二级行业",[1]!s_info_industry_sw_2021(W510,公司分析!D$5,2),IF($Y$3="申万三级行业",[1]!s_info_industry_sw_2021(W510,公司分析!D$5,3),IF($Y$3="wind一级行业",[1]!s_info_industry_gics(W510,1),IF($Y$3="wind二级行业",[1]!s_info_industry_gics(W510,2),IF($Y$3="wind三级行业",[1]!s_info_industry_gics(W510,3),IF($Y$3="wind四级行业",[1]!s_info_industry_gics(W510,4),IF($Y$3="证监会门类行业",[1]!s_info_industry_csrc12_n(W510,公司分析!D$5,1),""))))))))</f>
        <v>光学光电子</v>
      </c>
      <c r="Z510" s="302" t="str">
        <f ca="1">IF(Y510=行业比较!$E$6,ROW(),"")</f>
        <v/>
      </c>
      <c r="AA510" s="122"/>
      <c r="AB510" s="122"/>
      <c r="AC510" s="122"/>
      <c r="AD510" s="122"/>
      <c r="AE510" s="122"/>
      <c r="AF510" s="122"/>
      <c r="AG510" s="122"/>
      <c r="AH510" s="122"/>
      <c r="AI510" s="122"/>
      <c r="AJ510" s="122"/>
      <c r="AK510" s="122"/>
      <c r="AL510" s="122"/>
      <c r="AM510" s="122"/>
      <c r="AN510" s="122"/>
      <c r="AO510" s="122"/>
      <c r="AP510" s="122"/>
    </row>
    <row r="511" spans="2:42">
      <c r="B511" s="122"/>
      <c r="C511" s="122"/>
      <c r="D511" s="122"/>
      <c r="E511" s="122"/>
      <c r="F511" s="122"/>
      <c r="G511" s="122"/>
      <c r="H511" s="122"/>
      <c r="I511" s="275"/>
      <c r="J511" s="130"/>
      <c r="K511" s="130"/>
      <c r="L511" s="130"/>
      <c r="M511" s="130"/>
      <c r="N511" s="291"/>
      <c r="O511" s="291"/>
      <c r="P511" s="122"/>
      <c r="Q511" s="122"/>
      <c r="R511" s="122"/>
      <c r="S511" s="122"/>
      <c r="T511" s="122"/>
      <c r="U511" s="301"/>
      <c r="V511" s="260">
        <f t="shared" ca="1" si="15"/>
        <v>0</v>
      </c>
      <c r="W511" s="348" t="str">
        <f>IF(板块成分!B513="","",板块成分!B513)</f>
        <v>001376.SZ</v>
      </c>
      <c r="X511" s="276" t="str">
        <f>[1]!S_Info_Name(W511)</f>
        <v>百通能源</v>
      </c>
      <c r="Y511" s="276" t="str">
        <f ca="1">IF($Y$3="申万一级行业",[1]!s_info_industry_sw_2021(W511,公司分析!D$5,1),IF($Y$3="申万二级行业",[1]!s_info_industry_sw_2021(W511,公司分析!D$5,2),IF($Y$3="申万三级行业",[1]!s_info_industry_sw_2021(W511,公司分析!D$5,3),IF($Y$3="wind一级行业",[1]!s_info_industry_gics(W511,1),IF($Y$3="wind二级行业",[1]!s_info_industry_gics(W511,2),IF($Y$3="wind三级行业",[1]!s_info_industry_gics(W511,3),IF($Y$3="wind四级行业",[1]!s_info_industry_gics(W511,4),IF($Y$3="证监会门类行业",[1]!s_info_industry_csrc12_n(W511,公司分析!D$5,1),""))))))))</f>
        <v>电力</v>
      </c>
      <c r="Z511" s="302" t="str">
        <f ca="1">IF(Y511=行业比较!$E$6,ROW(),"")</f>
        <v/>
      </c>
      <c r="AA511" s="122"/>
      <c r="AB511" s="122"/>
      <c r="AC511" s="122"/>
      <c r="AD511" s="122"/>
      <c r="AE511" s="122"/>
      <c r="AF511" s="122"/>
      <c r="AG511" s="122"/>
      <c r="AH511" s="122"/>
      <c r="AI511" s="122"/>
      <c r="AJ511" s="122"/>
      <c r="AK511" s="122"/>
      <c r="AL511" s="122"/>
      <c r="AM511" s="122"/>
      <c r="AN511" s="122"/>
      <c r="AO511" s="122"/>
      <c r="AP511" s="122"/>
    </row>
    <row r="512" spans="2:42">
      <c r="B512" s="122"/>
      <c r="C512" s="122"/>
      <c r="D512" s="122"/>
      <c r="E512" s="122"/>
      <c r="F512" s="122"/>
      <c r="G512" s="122"/>
      <c r="H512" s="122"/>
      <c r="I512" s="275"/>
      <c r="J512" s="130"/>
      <c r="K512" s="130"/>
      <c r="L512" s="130"/>
      <c r="M512" s="130"/>
      <c r="N512" s="291"/>
      <c r="O512" s="291"/>
      <c r="P512" s="122"/>
      <c r="Q512" s="122"/>
      <c r="R512" s="122"/>
      <c r="S512" s="122"/>
      <c r="T512" s="122"/>
      <c r="U512" s="301"/>
      <c r="V512" s="260">
        <f t="shared" ca="1" si="15"/>
        <v>0</v>
      </c>
      <c r="W512" s="348" t="str">
        <f>IF(板块成分!B514="","",板块成分!B514)</f>
        <v>001378.SZ</v>
      </c>
      <c r="X512" s="276" t="str">
        <f>[1]!S_Info_Name(W512)</f>
        <v>德冠新材</v>
      </c>
      <c r="Y512" s="276" t="str">
        <f ca="1">IF($Y$3="申万一级行业",[1]!s_info_industry_sw_2021(W512,公司分析!D$5,1),IF($Y$3="申万二级行业",[1]!s_info_industry_sw_2021(W512,公司分析!D$5,2),IF($Y$3="申万三级行业",[1]!s_info_industry_sw_2021(W512,公司分析!D$5,3),IF($Y$3="wind一级行业",[1]!s_info_industry_gics(W512,1),IF($Y$3="wind二级行业",[1]!s_info_industry_gics(W512,2),IF($Y$3="wind三级行业",[1]!s_info_industry_gics(W512,3),IF($Y$3="wind四级行业",[1]!s_info_industry_gics(W512,4),IF($Y$3="证监会门类行业",[1]!s_info_industry_csrc12_n(W512,公司分析!D$5,1),""))))))))</f>
        <v>塑料</v>
      </c>
      <c r="Z512" s="302" t="str">
        <f ca="1">IF(Y512=行业比较!$E$6,ROW(),"")</f>
        <v/>
      </c>
      <c r="AA512" s="122"/>
      <c r="AB512" s="122"/>
      <c r="AC512" s="122"/>
      <c r="AD512" s="122"/>
      <c r="AE512" s="122"/>
      <c r="AF512" s="122"/>
      <c r="AG512" s="122"/>
      <c r="AH512" s="122"/>
      <c r="AI512" s="122"/>
      <c r="AJ512" s="122"/>
      <c r="AK512" s="122"/>
      <c r="AL512" s="122"/>
      <c r="AM512" s="122"/>
      <c r="AN512" s="122"/>
      <c r="AO512" s="122"/>
      <c r="AP512" s="122"/>
    </row>
    <row r="513" spans="2:42">
      <c r="B513" s="122"/>
      <c r="C513" s="122"/>
      <c r="D513" s="122"/>
      <c r="E513" s="122"/>
      <c r="F513" s="122"/>
      <c r="G513" s="122"/>
      <c r="H513" s="122"/>
      <c r="I513" s="275"/>
      <c r="J513" s="130"/>
      <c r="K513" s="130"/>
      <c r="L513" s="130"/>
      <c r="M513" s="130"/>
      <c r="N513" s="291"/>
      <c r="O513" s="291"/>
      <c r="P513" s="122"/>
      <c r="Q513" s="122"/>
      <c r="R513" s="122"/>
      <c r="S513" s="122"/>
      <c r="T513" s="122"/>
      <c r="U513" s="301"/>
      <c r="V513" s="260">
        <f t="shared" ca="1" si="15"/>
        <v>0</v>
      </c>
      <c r="W513" s="348" t="str">
        <f>IF(板块成分!B515="","",板块成分!B515)</f>
        <v>001379.SZ</v>
      </c>
      <c r="X513" s="276" t="str">
        <f>[1]!S_Info_Name(W513)</f>
        <v>腾达科技</v>
      </c>
      <c r="Y513" s="276" t="str">
        <f ca="1">IF($Y$3="申万一级行业",[1]!s_info_industry_sw_2021(W513,公司分析!D$5,1),IF($Y$3="申万二级行业",[1]!s_info_industry_sw_2021(W513,公司分析!D$5,2),IF($Y$3="申万三级行业",[1]!s_info_industry_sw_2021(W513,公司分析!D$5,3),IF($Y$3="wind一级行业",[1]!s_info_industry_gics(W513,1),IF($Y$3="wind二级行业",[1]!s_info_industry_gics(W513,2),IF($Y$3="wind三级行业",[1]!s_info_industry_gics(W513,3),IF($Y$3="wind四级行业",[1]!s_info_industry_gics(W513,4),IF($Y$3="证监会门类行业",[1]!s_info_industry_csrc12_n(W513,公司分析!D$5,1),""))))))))</f>
        <v>通用设备</v>
      </c>
      <c r="Z513" s="302" t="str">
        <f ca="1">IF(Y513=行业比较!$E$6,ROW(),"")</f>
        <v/>
      </c>
      <c r="AA513" s="122"/>
      <c r="AB513" s="122"/>
      <c r="AC513" s="122"/>
      <c r="AD513" s="122"/>
      <c r="AE513" s="122"/>
      <c r="AF513" s="122"/>
      <c r="AG513" s="122"/>
      <c r="AH513" s="122"/>
      <c r="AI513" s="122"/>
      <c r="AJ513" s="122"/>
      <c r="AK513" s="122"/>
      <c r="AL513" s="122"/>
      <c r="AM513" s="122"/>
      <c r="AN513" s="122"/>
      <c r="AO513" s="122"/>
      <c r="AP513" s="122"/>
    </row>
    <row r="514" spans="2:42">
      <c r="B514" s="122"/>
      <c r="C514" s="122"/>
      <c r="D514" s="122"/>
      <c r="E514" s="122"/>
      <c r="F514" s="122"/>
      <c r="G514" s="122"/>
      <c r="H514" s="122"/>
      <c r="I514" s="275"/>
      <c r="J514" s="130"/>
      <c r="K514" s="130"/>
      <c r="L514" s="130"/>
      <c r="M514" s="130"/>
      <c r="N514" s="291"/>
      <c r="O514" s="291"/>
      <c r="P514" s="122"/>
      <c r="Q514" s="122"/>
      <c r="R514" s="122"/>
      <c r="S514" s="122"/>
      <c r="T514" s="122"/>
      <c r="U514" s="301"/>
      <c r="V514" s="260">
        <f t="shared" ca="1" si="15"/>
        <v>0</v>
      </c>
      <c r="W514" s="348" t="str">
        <f>IF(板块成分!B516="","",板块成分!B516)</f>
        <v>001380.SZ</v>
      </c>
      <c r="X514" s="276" t="str">
        <f>[1]!S_Info_Name(W514)</f>
        <v>华纬科技</v>
      </c>
      <c r="Y514" s="276" t="str">
        <f ca="1">IF($Y$3="申万一级行业",[1]!s_info_industry_sw_2021(W514,公司分析!D$5,1),IF($Y$3="申万二级行业",[1]!s_info_industry_sw_2021(W514,公司分析!D$5,2),IF($Y$3="申万三级行业",[1]!s_info_industry_sw_2021(W514,公司分析!D$5,3),IF($Y$3="wind一级行业",[1]!s_info_industry_gics(W514,1),IF($Y$3="wind二级行业",[1]!s_info_industry_gics(W514,2),IF($Y$3="wind三级行业",[1]!s_info_industry_gics(W514,3),IF($Y$3="wind四级行业",[1]!s_info_industry_gics(W514,4),IF($Y$3="证监会门类行业",[1]!s_info_industry_csrc12_n(W514,公司分析!D$5,1),""))))))))</f>
        <v>汽车零部件</v>
      </c>
      <c r="Z514" s="302" t="str">
        <f ca="1">IF(Y514=行业比较!$E$6,ROW(),"")</f>
        <v/>
      </c>
      <c r="AA514" s="122"/>
      <c r="AB514" s="122"/>
      <c r="AC514" s="122"/>
      <c r="AD514" s="122"/>
      <c r="AE514" s="122"/>
      <c r="AF514" s="122"/>
      <c r="AG514" s="122"/>
      <c r="AH514" s="122"/>
      <c r="AI514" s="122"/>
      <c r="AJ514" s="122"/>
      <c r="AK514" s="122"/>
      <c r="AL514" s="122"/>
      <c r="AM514" s="122"/>
      <c r="AN514" s="122"/>
      <c r="AO514" s="122"/>
      <c r="AP514" s="122"/>
    </row>
    <row r="515" spans="2:42">
      <c r="B515" s="122"/>
      <c r="C515" s="122"/>
      <c r="D515" s="122"/>
      <c r="E515" s="122"/>
      <c r="F515" s="122"/>
      <c r="G515" s="122"/>
      <c r="H515" s="122"/>
      <c r="I515" s="275"/>
      <c r="J515" s="130"/>
      <c r="K515" s="130"/>
      <c r="L515" s="130"/>
      <c r="M515" s="130"/>
      <c r="N515" s="291"/>
      <c r="O515" s="291"/>
      <c r="P515" s="122"/>
      <c r="Q515" s="122"/>
      <c r="R515" s="122"/>
      <c r="S515" s="122"/>
      <c r="T515" s="122"/>
      <c r="U515" s="301"/>
      <c r="V515" s="260">
        <f t="shared" ca="1" si="15"/>
        <v>0</v>
      </c>
      <c r="W515" s="348" t="str">
        <f>IF(板块成分!B517="","",板块成分!B517)</f>
        <v>001382.SZ</v>
      </c>
      <c r="X515" s="276" t="str">
        <f>[1]!S_Info_Name(W515)</f>
        <v>新亚电缆</v>
      </c>
      <c r="Y515" s="276" t="str">
        <f ca="1">IF($Y$3="申万一级行业",[1]!s_info_industry_sw_2021(W515,公司分析!D$5,1),IF($Y$3="申万二级行业",[1]!s_info_industry_sw_2021(W515,公司分析!D$5,2),IF($Y$3="申万三级行业",[1]!s_info_industry_sw_2021(W515,公司分析!D$5,3),IF($Y$3="wind一级行业",[1]!s_info_industry_gics(W515,1),IF($Y$3="wind二级行业",[1]!s_info_industry_gics(W515,2),IF($Y$3="wind三级行业",[1]!s_info_industry_gics(W515,3),IF($Y$3="wind四级行业",[1]!s_info_industry_gics(W515,4),IF($Y$3="证监会门类行业",[1]!s_info_industry_csrc12_n(W515,公司分析!D$5,1),""))))))))</f>
        <v>电网设备</v>
      </c>
      <c r="Z515" s="302" t="str">
        <f ca="1">IF(Y515=行业比较!$E$6,ROW(),"")</f>
        <v/>
      </c>
      <c r="AA515" s="122"/>
      <c r="AB515" s="122"/>
      <c r="AC515" s="122"/>
      <c r="AD515" s="122"/>
      <c r="AE515" s="122"/>
      <c r="AF515" s="122"/>
      <c r="AG515" s="122"/>
      <c r="AH515" s="122"/>
      <c r="AI515" s="122"/>
      <c r="AJ515" s="122"/>
      <c r="AK515" s="122"/>
      <c r="AL515" s="122"/>
      <c r="AM515" s="122"/>
      <c r="AN515" s="122"/>
      <c r="AO515" s="122"/>
      <c r="AP515" s="122"/>
    </row>
    <row r="516" spans="2:42">
      <c r="B516" s="122"/>
      <c r="C516" s="122"/>
      <c r="D516" s="122"/>
      <c r="E516" s="122"/>
      <c r="F516" s="122"/>
      <c r="G516" s="122"/>
      <c r="H516" s="122"/>
      <c r="I516" s="275"/>
      <c r="J516" s="130"/>
      <c r="K516" s="130"/>
      <c r="L516" s="130"/>
      <c r="M516" s="130"/>
      <c r="N516" s="291"/>
      <c r="O516" s="291"/>
      <c r="P516" s="122"/>
      <c r="Q516" s="122"/>
      <c r="R516" s="122"/>
      <c r="S516" s="122"/>
      <c r="T516" s="122"/>
      <c r="U516" s="301"/>
      <c r="V516" s="260">
        <f t="shared" ca="1" si="15"/>
        <v>0</v>
      </c>
      <c r="W516" s="348" t="str">
        <f>IF(板块成分!B518="","",板块成分!B518)</f>
        <v>001386.SZ</v>
      </c>
      <c r="X516" s="276" t="str">
        <f>[1]!S_Info_Name(W516)</f>
        <v>马可波罗</v>
      </c>
      <c r="Y516" s="276" t="str">
        <f ca="1">IF($Y$3="申万一级行业",[1]!s_info_industry_sw_2021(W516,公司分析!D$5,1),IF($Y$3="申万二级行业",[1]!s_info_industry_sw_2021(W516,公司分析!D$5,2),IF($Y$3="申万三级行业",[1]!s_info_industry_sw_2021(W516,公司分析!D$5,3),IF($Y$3="wind一级行业",[1]!s_info_industry_gics(W516,1),IF($Y$3="wind二级行业",[1]!s_info_industry_gics(W516,2),IF($Y$3="wind三级行业",[1]!s_info_industry_gics(W516,3),IF($Y$3="wind四级行业",[1]!s_info_industry_gics(W516,4),IF($Y$3="证监会门类行业",[1]!s_info_industry_csrc12_n(W516,公司分析!D$5,1),""))))))))</f>
        <v>家居用品</v>
      </c>
      <c r="Z516" s="302" t="str">
        <f ca="1">IF(Y516=行业比较!$E$6,ROW(),"")</f>
        <v/>
      </c>
      <c r="AA516" s="122"/>
      <c r="AB516" s="122"/>
      <c r="AC516" s="122"/>
      <c r="AD516" s="122"/>
      <c r="AE516" s="122"/>
      <c r="AF516" s="122"/>
      <c r="AG516" s="122"/>
      <c r="AH516" s="122"/>
      <c r="AI516" s="122"/>
      <c r="AJ516" s="122"/>
      <c r="AK516" s="122"/>
      <c r="AL516" s="122"/>
      <c r="AM516" s="122"/>
      <c r="AN516" s="122"/>
      <c r="AO516" s="122"/>
      <c r="AP516" s="122"/>
    </row>
    <row r="517" spans="2:42">
      <c r="B517" s="122"/>
      <c r="C517" s="122"/>
      <c r="D517" s="122"/>
      <c r="E517" s="122"/>
      <c r="F517" s="122"/>
      <c r="G517" s="122"/>
      <c r="H517" s="122"/>
      <c r="I517" s="275"/>
      <c r="J517" s="130"/>
      <c r="K517" s="130"/>
      <c r="L517" s="130"/>
      <c r="M517" s="130"/>
      <c r="N517" s="291"/>
      <c r="O517" s="291"/>
      <c r="P517" s="122"/>
      <c r="Q517" s="122"/>
      <c r="R517" s="122"/>
      <c r="S517" s="122"/>
      <c r="T517" s="122"/>
      <c r="U517" s="301"/>
      <c r="V517" s="260">
        <f t="shared" ref="V517:V580" ca="1" si="16">IF(Z517="",0,RANK(Z517,Z:Z,1))</f>
        <v>0</v>
      </c>
      <c r="W517" s="348" t="str">
        <f>IF(板块成分!B519="","",板块成分!B519)</f>
        <v>001387.SZ</v>
      </c>
      <c r="X517" s="276" t="str">
        <f>[1]!S_Info_Name(W517)</f>
        <v>雪祺电气</v>
      </c>
      <c r="Y517" s="276" t="str">
        <f ca="1">IF($Y$3="申万一级行业",[1]!s_info_industry_sw_2021(W517,公司分析!D$5,1),IF($Y$3="申万二级行业",[1]!s_info_industry_sw_2021(W517,公司分析!D$5,2),IF($Y$3="申万三级行业",[1]!s_info_industry_sw_2021(W517,公司分析!D$5,3),IF($Y$3="wind一级行业",[1]!s_info_industry_gics(W517,1),IF($Y$3="wind二级行业",[1]!s_info_industry_gics(W517,2),IF($Y$3="wind三级行业",[1]!s_info_industry_gics(W517,3),IF($Y$3="wind四级行业",[1]!s_info_industry_gics(W517,4),IF($Y$3="证监会门类行业",[1]!s_info_industry_csrc12_n(W517,公司分析!D$5,1),""))))))))</f>
        <v>白色家电</v>
      </c>
      <c r="Z517" s="302" t="str">
        <f ca="1">IF(Y517=行业比较!$E$6,ROW(),"")</f>
        <v/>
      </c>
      <c r="AA517" s="122"/>
      <c r="AB517" s="122"/>
      <c r="AC517" s="122"/>
      <c r="AD517" s="122"/>
      <c r="AE517" s="122"/>
      <c r="AF517" s="122"/>
      <c r="AG517" s="122"/>
      <c r="AH517" s="122"/>
      <c r="AI517" s="122"/>
      <c r="AJ517" s="122"/>
      <c r="AK517" s="122"/>
      <c r="AL517" s="122"/>
      <c r="AM517" s="122"/>
      <c r="AN517" s="122"/>
      <c r="AO517" s="122"/>
      <c r="AP517" s="122"/>
    </row>
    <row r="518" spans="2:42">
      <c r="B518" s="122"/>
      <c r="C518" s="122"/>
      <c r="D518" s="122"/>
      <c r="E518" s="122"/>
      <c r="F518" s="122"/>
      <c r="G518" s="122"/>
      <c r="H518" s="122"/>
      <c r="I518" s="275"/>
      <c r="J518" s="130"/>
      <c r="K518" s="130"/>
      <c r="L518" s="130"/>
      <c r="M518" s="130"/>
      <c r="N518" s="291"/>
      <c r="O518" s="291"/>
      <c r="P518" s="122"/>
      <c r="Q518" s="122"/>
      <c r="R518" s="122"/>
      <c r="S518" s="122"/>
      <c r="T518" s="122"/>
      <c r="U518" s="301"/>
      <c r="V518" s="260">
        <f t="shared" ca="1" si="16"/>
        <v>0</v>
      </c>
      <c r="W518" s="348" t="str">
        <f>IF(板块成分!B520="","",板块成分!B520)</f>
        <v>001388.SZ</v>
      </c>
      <c r="X518" s="276" t="str">
        <f>[1]!S_Info_Name(W518)</f>
        <v>信通电子</v>
      </c>
      <c r="Y518" s="276" t="str">
        <f ca="1">IF($Y$3="申万一级行业",[1]!s_info_industry_sw_2021(W518,公司分析!D$5,1),IF($Y$3="申万二级行业",[1]!s_info_industry_sw_2021(W518,公司分析!D$5,2),IF($Y$3="申万三级行业",[1]!s_info_industry_sw_2021(W518,公司分析!D$5,3),IF($Y$3="wind一级行业",[1]!s_info_industry_gics(W518,1),IF($Y$3="wind二级行业",[1]!s_info_industry_gics(W518,2),IF($Y$3="wind三级行业",[1]!s_info_industry_gics(W518,3),IF($Y$3="wind四级行业",[1]!s_info_industry_gics(W518,4),IF($Y$3="证监会门类行业",[1]!s_info_industry_csrc12_n(W518,公司分析!D$5,1),""))))))))</f>
        <v>电网设备</v>
      </c>
      <c r="Z518" s="302" t="str">
        <f ca="1">IF(Y518=行业比较!$E$6,ROW(),"")</f>
        <v/>
      </c>
      <c r="AA518" s="122"/>
      <c r="AB518" s="122"/>
      <c r="AC518" s="122"/>
      <c r="AD518" s="122"/>
      <c r="AE518" s="122"/>
      <c r="AF518" s="122"/>
      <c r="AG518" s="122"/>
      <c r="AH518" s="122"/>
      <c r="AI518" s="122"/>
      <c r="AJ518" s="122"/>
      <c r="AK518" s="122"/>
      <c r="AL518" s="122"/>
      <c r="AM518" s="122"/>
      <c r="AN518" s="122"/>
      <c r="AO518" s="122"/>
      <c r="AP518" s="122"/>
    </row>
    <row r="519" spans="2:42">
      <c r="B519" s="122"/>
      <c r="C519" s="122"/>
      <c r="D519" s="122"/>
      <c r="E519" s="122"/>
      <c r="F519" s="122"/>
      <c r="G519" s="122"/>
      <c r="H519" s="122"/>
      <c r="I519" s="275"/>
      <c r="J519" s="130"/>
      <c r="K519" s="130"/>
      <c r="L519" s="130"/>
      <c r="M519" s="130"/>
      <c r="N519" s="291"/>
      <c r="O519" s="291"/>
      <c r="P519" s="122"/>
      <c r="Q519" s="122"/>
      <c r="R519" s="122"/>
      <c r="S519" s="122"/>
      <c r="T519" s="122"/>
      <c r="U519" s="301"/>
      <c r="V519" s="260">
        <f t="shared" ca="1" si="16"/>
        <v>0</v>
      </c>
      <c r="W519" s="348" t="str">
        <f>IF(板块成分!B521="","",板块成分!B521)</f>
        <v>001389.SZ</v>
      </c>
      <c r="X519" s="276" t="str">
        <f>[1]!S_Info_Name(W519)</f>
        <v>广合科技</v>
      </c>
      <c r="Y519" s="276" t="str">
        <f ca="1">IF($Y$3="申万一级行业",[1]!s_info_industry_sw_2021(W519,公司分析!D$5,1),IF($Y$3="申万二级行业",[1]!s_info_industry_sw_2021(W519,公司分析!D$5,2),IF($Y$3="申万三级行业",[1]!s_info_industry_sw_2021(W519,公司分析!D$5,3),IF($Y$3="wind一级行业",[1]!s_info_industry_gics(W519,1),IF($Y$3="wind二级行业",[1]!s_info_industry_gics(W519,2),IF($Y$3="wind三级行业",[1]!s_info_industry_gics(W519,3),IF($Y$3="wind四级行业",[1]!s_info_industry_gics(W519,4),IF($Y$3="证监会门类行业",[1]!s_info_industry_csrc12_n(W519,公司分析!D$5,1),""))))))))</f>
        <v>元件</v>
      </c>
      <c r="Z519" s="302" t="str">
        <f ca="1">IF(Y519=行业比较!$E$6,ROW(),"")</f>
        <v/>
      </c>
      <c r="AA519" s="122"/>
      <c r="AB519" s="122"/>
      <c r="AC519" s="122"/>
      <c r="AD519" s="122"/>
      <c r="AE519" s="122"/>
      <c r="AF519" s="122"/>
      <c r="AG519" s="122"/>
      <c r="AH519" s="122"/>
      <c r="AI519" s="122"/>
      <c r="AJ519" s="122"/>
      <c r="AK519" s="122"/>
      <c r="AL519" s="122"/>
      <c r="AM519" s="122"/>
      <c r="AN519" s="122"/>
      <c r="AO519" s="122"/>
      <c r="AP519" s="122"/>
    </row>
    <row r="520" spans="2:42">
      <c r="B520" s="122"/>
      <c r="C520" s="122"/>
      <c r="D520" s="122"/>
      <c r="E520" s="122"/>
      <c r="F520" s="122"/>
      <c r="G520" s="122"/>
      <c r="H520" s="122"/>
      <c r="I520" s="275"/>
      <c r="J520" s="130"/>
      <c r="K520" s="130"/>
      <c r="L520" s="130"/>
      <c r="M520" s="130"/>
      <c r="N520" s="291"/>
      <c r="O520" s="291"/>
      <c r="P520" s="122"/>
      <c r="Q520" s="122"/>
      <c r="R520" s="122"/>
      <c r="S520" s="122"/>
      <c r="T520" s="122"/>
      <c r="U520" s="301"/>
      <c r="V520" s="260">
        <f t="shared" ca="1" si="16"/>
        <v>0</v>
      </c>
      <c r="W520" s="348" t="str">
        <f>IF(板块成分!B522="","",板块成分!B522)</f>
        <v>001390.SZ</v>
      </c>
      <c r="X520" s="276" t="str">
        <f>[1]!S_Info_Name(W520)</f>
        <v>古麒绒材</v>
      </c>
      <c r="Y520" s="276" t="str">
        <f ca="1">IF($Y$3="申万一级行业",[1]!s_info_industry_sw_2021(W520,公司分析!D$5,1),IF($Y$3="申万二级行业",[1]!s_info_industry_sw_2021(W520,公司分析!D$5,2),IF($Y$3="申万三级行业",[1]!s_info_industry_sw_2021(W520,公司分析!D$5,3),IF($Y$3="wind一级行业",[1]!s_info_industry_gics(W520,1),IF($Y$3="wind二级行业",[1]!s_info_industry_gics(W520,2),IF($Y$3="wind三级行业",[1]!s_info_industry_gics(W520,3),IF($Y$3="wind四级行业",[1]!s_info_industry_gics(W520,4),IF($Y$3="证监会门类行业",[1]!s_info_industry_csrc12_n(W520,公司分析!D$5,1),""))))))))</f>
        <v>纺织制造</v>
      </c>
      <c r="Z520" s="302" t="str">
        <f ca="1">IF(Y520=行业比较!$E$6,ROW(),"")</f>
        <v/>
      </c>
      <c r="AA520" s="122"/>
      <c r="AB520" s="122"/>
      <c r="AC520" s="122"/>
      <c r="AD520" s="122"/>
      <c r="AE520" s="122"/>
      <c r="AF520" s="122"/>
      <c r="AG520" s="122"/>
      <c r="AH520" s="122"/>
      <c r="AI520" s="122"/>
      <c r="AJ520" s="122"/>
      <c r="AK520" s="122"/>
      <c r="AL520" s="122"/>
      <c r="AM520" s="122"/>
      <c r="AN520" s="122"/>
      <c r="AO520" s="122"/>
      <c r="AP520" s="122"/>
    </row>
    <row r="521" spans="2:42">
      <c r="B521" s="122"/>
      <c r="C521" s="122"/>
      <c r="D521" s="122"/>
      <c r="E521" s="122"/>
      <c r="F521" s="122"/>
      <c r="G521" s="122"/>
      <c r="H521" s="122"/>
      <c r="I521" s="275"/>
      <c r="J521" s="130"/>
      <c r="K521" s="130"/>
      <c r="L521" s="130"/>
      <c r="M521" s="130"/>
      <c r="N521" s="291"/>
      <c r="O521" s="291"/>
      <c r="P521" s="122"/>
      <c r="Q521" s="122"/>
      <c r="R521" s="122"/>
      <c r="S521" s="122"/>
      <c r="T521" s="122"/>
      <c r="U521" s="301"/>
      <c r="V521" s="260">
        <f t="shared" ca="1" si="16"/>
        <v>0</v>
      </c>
      <c r="W521" s="348" t="str">
        <f>IF(板块成分!B523="","",板块成分!B523)</f>
        <v>001391.SZ</v>
      </c>
      <c r="X521" s="276" t="str">
        <f>[1]!S_Info_Name(W521)</f>
        <v>国货航</v>
      </c>
      <c r="Y521" s="276" t="str">
        <f ca="1">IF($Y$3="申万一级行业",[1]!s_info_industry_sw_2021(W521,公司分析!D$5,1),IF($Y$3="申万二级行业",[1]!s_info_industry_sw_2021(W521,公司分析!D$5,2),IF($Y$3="申万三级行业",[1]!s_info_industry_sw_2021(W521,公司分析!D$5,3),IF($Y$3="wind一级行业",[1]!s_info_industry_gics(W521,1),IF($Y$3="wind二级行业",[1]!s_info_industry_gics(W521,2),IF($Y$3="wind三级行业",[1]!s_info_industry_gics(W521,3),IF($Y$3="wind四级行业",[1]!s_info_industry_gics(W521,4),IF($Y$3="证监会门类行业",[1]!s_info_industry_csrc12_n(W521,公司分析!D$5,1),""))))))))</f>
        <v>物流</v>
      </c>
      <c r="Z521" s="302" t="str">
        <f ca="1">IF(Y521=行业比较!$E$6,ROW(),"")</f>
        <v/>
      </c>
      <c r="AA521" s="122"/>
      <c r="AB521" s="122"/>
      <c r="AC521" s="122"/>
      <c r="AD521" s="122"/>
      <c r="AE521" s="122"/>
      <c r="AF521" s="122"/>
      <c r="AG521" s="122"/>
      <c r="AH521" s="122"/>
      <c r="AI521" s="122"/>
      <c r="AJ521" s="122"/>
      <c r="AK521" s="122"/>
      <c r="AL521" s="122"/>
      <c r="AM521" s="122"/>
      <c r="AN521" s="122"/>
      <c r="AO521" s="122"/>
      <c r="AP521" s="122"/>
    </row>
    <row r="522" spans="2:42">
      <c r="B522" s="122"/>
      <c r="C522" s="122"/>
      <c r="D522" s="122"/>
      <c r="E522" s="122"/>
      <c r="F522" s="122"/>
      <c r="G522" s="122"/>
      <c r="H522" s="122"/>
      <c r="I522" s="275"/>
      <c r="J522" s="130"/>
      <c r="K522" s="130"/>
      <c r="L522" s="130"/>
      <c r="M522" s="130"/>
      <c r="N522" s="291"/>
      <c r="O522" s="291"/>
      <c r="P522" s="122"/>
      <c r="Q522" s="122"/>
      <c r="R522" s="122"/>
      <c r="S522" s="122"/>
      <c r="T522" s="122"/>
      <c r="U522" s="301"/>
      <c r="V522" s="260">
        <f t="shared" ca="1" si="16"/>
        <v>0</v>
      </c>
      <c r="W522" s="348" t="str">
        <f>IF(板块成分!B524="","",板块成分!B524)</f>
        <v>001395.SZ</v>
      </c>
      <c r="X522" s="276" t="str">
        <f>[1]!S_Info_Name(W522)</f>
        <v>亚联机械</v>
      </c>
      <c r="Y522" s="276" t="str">
        <f ca="1">IF($Y$3="申万一级行业",[1]!s_info_industry_sw_2021(W522,公司分析!D$5,1),IF($Y$3="申万二级行业",[1]!s_info_industry_sw_2021(W522,公司分析!D$5,2),IF($Y$3="申万三级行业",[1]!s_info_industry_sw_2021(W522,公司分析!D$5,3),IF($Y$3="wind一级行业",[1]!s_info_industry_gics(W522,1),IF($Y$3="wind二级行业",[1]!s_info_industry_gics(W522,2),IF($Y$3="wind三级行业",[1]!s_info_industry_gics(W522,3),IF($Y$3="wind四级行业",[1]!s_info_industry_gics(W522,4),IF($Y$3="证监会门类行业",[1]!s_info_industry_csrc12_n(W522,公司分析!D$5,1),""))))))))</f>
        <v>专用设备</v>
      </c>
      <c r="Z522" s="302" t="str">
        <f ca="1">IF(Y522=行业比较!$E$6,ROW(),"")</f>
        <v/>
      </c>
      <c r="AA522" s="122"/>
      <c r="AB522" s="122"/>
      <c r="AC522" s="122"/>
      <c r="AD522" s="122"/>
      <c r="AE522" s="122"/>
      <c r="AF522" s="122"/>
      <c r="AG522" s="122"/>
      <c r="AH522" s="122"/>
      <c r="AI522" s="122"/>
      <c r="AJ522" s="122"/>
      <c r="AK522" s="122"/>
      <c r="AL522" s="122"/>
      <c r="AM522" s="122"/>
      <c r="AN522" s="122"/>
      <c r="AO522" s="122"/>
      <c r="AP522" s="122"/>
    </row>
    <row r="523" spans="2:42">
      <c r="B523" s="122"/>
      <c r="C523" s="122"/>
      <c r="D523" s="122"/>
      <c r="E523" s="122"/>
      <c r="F523" s="122"/>
      <c r="G523" s="122"/>
      <c r="H523" s="122"/>
      <c r="I523" s="275"/>
      <c r="J523" s="130"/>
      <c r="K523" s="130"/>
      <c r="L523" s="130"/>
      <c r="M523" s="130"/>
      <c r="N523" s="291"/>
      <c r="O523" s="291"/>
      <c r="P523" s="122"/>
      <c r="Q523" s="122"/>
      <c r="R523" s="122"/>
      <c r="S523" s="122"/>
      <c r="T523" s="122"/>
      <c r="U523" s="301"/>
      <c r="V523" s="260">
        <f t="shared" ca="1" si="16"/>
        <v>0</v>
      </c>
      <c r="W523" s="348" t="str">
        <f>IF(板块成分!B525="","",板块成分!B525)</f>
        <v>001396.SZ</v>
      </c>
      <c r="X523" s="276" t="str">
        <f>[1]!S_Info_Name(W523)</f>
        <v>誉帆科技</v>
      </c>
      <c r="Y523" s="276" t="str">
        <f ca="1">IF($Y$3="申万一级行业",[1]!s_info_industry_sw_2021(W523,公司分析!D$5,1),IF($Y$3="申万二级行业",[1]!s_info_industry_sw_2021(W523,公司分析!D$5,2),IF($Y$3="申万三级行业",[1]!s_info_industry_sw_2021(W523,公司分析!D$5,3),IF($Y$3="wind一级行业",[1]!s_info_industry_gics(W523,1),IF($Y$3="wind二级行业",[1]!s_info_industry_gics(W523,2),IF($Y$3="wind三级行业",[1]!s_info_industry_gics(W523,3),IF($Y$3="wind四级行业",[1]!s_info_industry_gics(W523,4),IF($Y$3="证监会门类行业",[1]!s_info_industry_csrc12_n(W523,公司分析!D$5,1),""))))))))</f>
        <v>基础建设</v>
      </c>
      <c r="Z523" s="302" t="str">
        <f ca="1">IF(Y523=行业比较!$E$6,ROW(),"")</f>
        <v/>
      </c>
      <c r="AA523" s="122"/>
      <c r="AB523" s="122"/>
      <c r="AC523" s="122"/>
      <c r="AD523" s="122"/>
      <c r="AE523" s="122"/>
      <c r="AF523" s="122"/>
      <c r="AG523" s="122"/>
      <c r="AH523" s="122"/>
      <c r="AI523" s="122"/>
      <c r="AJ523" s="122"/>
      <c r="AK523" s="122"/>
      <c r="AL523" s="122"/>
      <c r="AM523" s="122"/>
      <c r="AN523" s="122"/>
      <c r="AO523" s="122"/>
      <c r="AP523" s="122"/>
    </row>
    <row r="524" spans="2:42">
      <c r="B524" s="122"/>
      <c r="C524" s="122"/>
      <c r="D524" s="122"/>
      <c r="E524" s="122"/>
      <c r="F524" s="122"/>
      <c r="G524" s="122"/>
      <c r="H524" s="122"/>
      <c r="I524" s="275"/>
      <c r="J524" s="130"/>
      <c r="K524" s="130"/>
      <c r="L524" s="130"/>
      <c r="M524" s="130"/>
      <c r="N524" s="291"/>
      <c r="O524" s="291"/>
      <c r="P524" s="122"/>
      <c r="Q524" s="122"/>
      <c r="R524" s="122"/>
      <c r="S524" s="122"/>
      <c r="T524" s="122"/>
      <c r="U524" s="301"/>
      <c r="V524" s="260">
        <f t="shared" ca="1" si="16"/>
        <v>0</v>
      </c>
      <c r="W524" s="348" t="str">
        <f>IF(板块成分!B526="","",板块成分!B526)</f>
        <v>001400.SZ</v>
      </c>
      <c r="X524" s="276" t="str">
        <f>[1]!S_Info_Name(W524)</f>
        <v>江顺科技</v>
      </c>
      <c r="Y524" s="276" t="str">
        <f ca="1">IF($Y$3="申万一级行业",[1]!s_info_industry_sw_2021(W524,公司分析!D$5,1),IF($Y$3="申万二级行业",[1]!s_info_industry_sw_2021(W524,公司分析!D$5,2),IF($Y$3="申万三级行业",[1]!s_info_industry_sw_2021(W524,公司分析!D$5,3),IF($Y$3="wind一级行业",[1]!s_info_industry_gics(W524,1),IF($Y$3="wind二级行业",[1]!s_info_industry_gics(W524,2),IF($Y$3="wind三级行业",[1]!s_info_industry_gics(W524,3),IF($Y$3="wind四级行业",[1]!s_info_industry_gics(W524,4),IF($Y$3="证监会门类行业",[1]!s_info_industry_csrc12_n(W524,公司分析!D$5,1),""))))))))</f>
        <v>专用设备</v>
      </c>
      <c r="Z524" s="302" t="str">
        <f ca="1">IF(Y524=行业比较!$E$6,ROW(),"")</f>
        <v/>
      </c>
      <c r="AA524" s="122"/>
      <c r="AB524" s="122"/>
      <c r="AC524" s="122"/>
      <c r="AD524" s="122"/>
      <c r="AE524" s="122"/>
      <c r="AF524" s="122"/>
      <c r="AG524" s="122"/>
      <c r="AH524" s="122"/>
      <c r="AI524" s="122"/>
      <c r="AJ524" s="122"/>
      <c r="AK524" s="122"/>
      <c r="AL524" s="122"/>
      <c r="AM524" s="122"/>
      <c r="AN524" s="122"/>
      <c r="AO524" s="122"/>
      <c r="AP524" s="122"/>
    </row>
    <row r="525" spans="2:42">
      <c r="B525" s="122"/>
      <c r="C525" s="122"/>
      <c r="D525" s="122"/>
      <c r="E525" s="122"/>
      <c r="F525" s="122"/>
      <c r="G525" s="122"/>
      <c r="H525" s="122"/>
      <c r="I525" s="275"/>
      <c r="J525" s="130"/>
      <c r="K525" s="130"/>
      <c r="L525" s="130"/>
      <c r="M525" s="130"/>
      <c r="N525" s="291"/>
      <c r="O525" s="291"/>
      <c r="P525" s="122"/>
      <c r="Q525" s="122"/>
      <c r="R525" s="122"/>
      <c r="S525" s="122"/>
      <c r="T525" s="122"/>
      <c r="U525" s="301"/>
      <c r="V525" s="260">
        <f t="shared" ca="1" si="16"/>
        <v>0</v>
      </c>
      <c r="W525" s="348" t="str">
        <f>IF(板块成分!B527="","",板块成分!B527)</f>
        <v>001696.SZ</v>
      </c>
      <c r="X525" s="276" t="str">
        <f>[1]!S_Info_Name(W525)</f>
        <v>宗申动力</v>
      </c>
      <c r="Y525" s="276" t="str">
        <f ca="1">IF($Y$3="申万一级行业",[1]!s_info_industry_sw_2021(W525,公司分析!D$5,1),IF($Y$3="申万二级行业",[1]!s_info_industry_sw_2021(W525,公司分析!D$5,2),IF($Y$3="申万三级行业",[1]!s_info_industry_sw_2021(W525,公司分析!D$5,3),IF($Y$3="wind一级行业",[1]!s_info_industry_gics(W525,1),IF($Y$3="wind二级行业",[1]!s_info_industry_gics(W525,2),IF($Y$3="wind三级行业",[1]!s_info_industry_gics(W525,3),IF($Y$3="wind四级行业",[1]!s_info_industry_gics(W525,4),IF($Y$3="证监会门类行业",[1]!s_info_industry_csrc12_n(W525,公司分析!D$5,1),""))))))))</f>
        <v>通用设备</v>
      </c>
      <c r="Z525" s="302" t="str">
        <f ca="1">IF(Y525=行业比较!$E$6,ROW(),"")</f>
        <v/>
      </c>
      <c r="AA525" s="122"/>
      <c r="AB525" s="122"/>
      <c r="AC525" s="122"/>
      <c r="AD525" s="122"/>
      <c r="AE525" s="122"/>
      <c r="AF525" s="122"/>
      <c r="AG525" s="122"/>
      <c r="AH525" s="122"/>
      <c r="AI525" s="122"/>
      <c r="AJ525" s="122"/>
      <c r="AK525" s="122"/>
      <c r="AL525" s="122"/>
      <c r="AM525" s="122"/>
      <c r="AN525" s="122"/>
      <c r="AO525" s="122"/>
      <c r="AP525" s="122"/>
    </row>
    <row r="526" spans="2:42">
      <c r="B526" s="122"/>
      <c r="C526" s="122"/>
      <c r="D526" s="122"/>
      <c r="E526" s="122"/>
      <c r="F526" s="122"/>
      <c r="G526" s="122"/>
      <c r="H526" s="122"/>
      <c r="I526" s="275"/>
      <c r="J526" s="130"/>
      <c r="K526" s="130"/>
      <c r="L526" s="130"/>
      <c r="M526" s="130"/>
      <c r="N526" s="291"/>
      <c r="O526" s="291"/>
      <c r="P526" s="122"/>
      <c r="Q526" s="122"/>
      <c r="R526" s="122"/>
      <c r="S526" s="122"/>
      <c r="T526" s="122"/>
      <c r="U526" s="301"/>
      <c r="V526" s="260">
        <f t="shared" ca="1" si="16"/>
        <v>0</v>
      </c>
      <c r="W526" s="348" t="str">
        <f>IF(板块成分!B528="","",板块成分!B528)</f>
        <v>001872.SZ</v>
      </c>
      <c r="X526" s="276" t="str">
        <f>[1]!S_Info_Name(W526)</f>
        <v>招商港口</v>
      </c>
      <c r="Y526" s="276" t="str">
        <f ca="1">IF($Y$3="申万一级行业",[1]!s_info_industry_sw_2021(W526,公司分析!D$5,1),IF($Y$3="申万二级行业",[1]!s_info_industry_sw_2021(W526,公司分析!D$5,2),IF($Y$3="申万三级行业",[1]!s_info_industry_sw_2021(W526,公司分析!D$5,3),IF($Y$3="wind一级行业",[1]!s_info_industry_gics(W526,1),IF($Y$3="wind二级行业",[1]!s_info_industry_gics(W526,2),IF($Y$3="wind三级行业",[1]!s_info_industry_gics(W526,3),IF($Y$3="wind四级行业",[1]!s_info_industry_gics(W526,4),IF($Y$3="证监会门类行业",[1]!s_info_industry_csrc12_n(W526,公司分析!D$5,1),""))))))))</f>
        <v>航运港口</v>
      </c>
      <c r="Z526" s="302" t="str">
        <f ca="1">IF(Y526=行业比较!$E$6,ROW(),"")</f>
        <v/>
      </c>
      <c r="AA526" s="122"/>
      <c r="AB526" s="122"/>
      <c r="AC526" s="122"/>
      <c r="AD526" s="122"/>
      <c r="AE526" s="122"/>
      <c r="AF526" s="122"/>
      <c r="AG526" s="122"/>
      <c r="AH526" s="122"/>
      <c r="AI526" s="122"/>
      <c r="AJ526" s="122"/>
      <c r="AK526" s="122"/>
      <c r="AL526" s="122"/>
      <c r="AM526" s="122"/>
      <c r="AN526" s="122"/>
      <c r="AO526" s="122"/>
      <c r="AP526" s="122"/>
    </row>
    <row r="527" spans="2:42">
      <c r="B527" s="122"/>
      <c r="C527" s="122"/>
      <c r="D527" s="122"/>
      <c r="E527" s="122"/>
      <c r="F527" s="122"/>
      <c r="G527" s="122"/>
      <c r="H527" s="122"/>
      <c r="I527" s="275"/>
      <c r="J527" s="130"/>
      <c r="K527" s="130"/>
      <c r="L527" s="130"/>
      <c r="M527" s="130"/>
      <c r="N527" s="291"/>
      <c r="O527" s="291"/>
      <c r="P527" s="122"/>
      <c r="Q527" s="122"/>
      <c r="R527" s="122"/>
      <c r="S527" s="122"/>
      <c r="T527" s="122"/>
      <c r="U527" s="301"/>
      <c r="V527" s="260">
        <f t="shared" ca="1" si="16"/>
        <v>0</v>
      </c>
      <c r="W527" s="348" t="str">
        <f>IF(板块成分!B529="","",板块成分!B529)</f>
        <v>001896.SZ</v>
      </c>
      <c r="X527" s="276" t="str">
        <f>[1]!S_Info_Name(W527)</f>
        <v>豫能控股</v>
      </c>
      <c r="Y527" s="276" t="str">
        <f ca="1">IF($Y$3="申万一级行业",[1]!s_info_industry_sw_2021(W527,公司分析!D$5,1),IF($Y$3="申万二级行业",[1]!s_info_industry_sw_2021(W527,公司分析!D$5,2),IF($Y$3="申万三级行业",[1]!s_info_industry_sw_2021(W527,公司分析!D$5,3),IF($Y$3="wind一级行业",[1]!s_info_industry_gics(W527,1),IF($Y$3="wind二级行业",[1]!s_info_industry_gics(W527,2),IF($Y$3="wind三级行业",[1]!s_info_industry_gics(W527,3),IF($Y$3="wind四级行业",[1]!s_info_industry_gics(W527,4),IF($Y$3="证监会门类行业",[1]!s_info_industry_csrc12_n(W527,公司分析!D$5,1),""))))))))</f>
        <v>电力</v>
      </c>
      <c r="Z527" s="302" t="str">
        <f ca="1">IF(Y527=行业比较!$E$6,ROW(),"")</f>
        <v/>
      </c>
      <c r="AA527" s="122"/>
      <c r="AB527" s="122"/>
      <c r="AC527" s="122"/>
      <c r="AD527" s="122"/>
      <c r="AE527" s="122"/>
      <c r="AF527" s="122"/>
      <c r="AG527" s="122"/>
      <c r="AH527" s="122"/>
      <c r="AI527" s="122"/>
      <c r="AJ527" s="122"/>
      <c r="AK527" s="122"/>
      <c r="AL527" s="122"/>
      <c r="AM527" s="122"/>
      <c r="AN527" s="122"/>
      <c r="AO527" s="122"/>
      <c r="AP527" s="122"/>
    </row>
    <row r="528" spans="2:42">
      <c r="B528" s="122"/>
      <c r="C528" s="122"/>
      <c r="D528" s="122"/>
      <c r="E528" s="122"/>
      <c r="F528" s="122"/>
      <c r="G528" s="122"/>
      <c r="H528" s="122"/>
      <c r="I528" s="275"/>
      <c r="J528" s="130"/>
      <c r="K528" s="130"/>
      <c r="L528" s="130"/>
      <c r="M528" s="130"/>
      <c r="N528" s="291"/>
      <c r="O528" s="291"/>
      <c r="P528" s="122"/>
      <c r="Q528" s="122"/>
      <c r="R528" s="122"/>
      <c r="S528" s="122"/>
      <c r="T528" s="122"/>
      <c r="U528" s="301"/>
      <c r="V528" s="260">
        <f t="shared" ca="1" si="16"/>
        <v>0</v>
      </c>
      <c r="W528" s="348" t="str">
        <f>IF(板块成分!B530="","",板块成分!B530)</f>
        <v>001914.SZ</v>
      </c>
      <c r="X528" s="276" t="str">
        <f>[1]!S_Info_Name(W528)</f>
        <v>招商积余</v>
      </c>
      <c r="Y528" s="276" t="str">
        <f ca="1">IF($Y$3="申万一级行业",[1]!s_info_industry_sw_2021(W528,公司分析!D$5,1),IF($Y$3="申万二级行业",[1]!s_info_industry_sw_2021(W528,公司分析!D$5,2),IF($Y$3="申万三级行业",[1]!s_info_industry_sw_2021(W528,公司分析!D$5,3),IF($Y$3="wind一级行业",[1]!s_info_industry_gics(W528,1),IF($Y$3="wind二级行业",[1]!s_info_industry_gics(W528,2),IF($Y$3="wind三级行业",[1]!s_info_industry_gics(W528,3),IF($Y$3="wind四级行业",[1]!s_info_industry_gics(W528,4),IF($Y$3="证监会门类行业",[1]!s_info_industry_csrc12_n(W528,公司分析!D$5,1),""))))))))</f>
        <v>房地产服务</v>
      </c>
      <c r="Z528" s="302" t="str">
        <f ca="1">IF(Y528=行业比较!$E$6,ROW(),"")</f>
        <v/>
      </c>
      <c r="AA528" s="122"/>
      <c r="AB528" s="122"/>
      <c r="AC528" s="122"/>
      <c r="AD528" s="122"/>
      <c r="AE528" s="122"/>
      <c r="AF528" s="122"/>
      <c r="AG528" s="122"/>
      <c r="AH528" s="122"/>
      <c r="AI528" s="122"/>
      <c r="AJ528" s="122"/>
      <c r="AK528" s="122"/>
      <c r="AL528" s="122"/>
      <c r="AM528" s="122"/>
      <c r="AN528" s="122"/>
      <c r="AO528" s="122"/>
      <c r="AP528" s="122"/>
    </row>
    <row r="529" spans="2:42">
      <c r="B529" s="122"/>
      <c r="C529" s="122"/>
      <c r="D529" s="122"/>
      <c r="E529" s="122"/>
      <c r="F529" s="122"/>
      <c r="G529" s="122"/>
      <c r="H529" s="122"/>
      <c r="I529" s="275"/>
      <c r="J529" s="130"/>
      <c r="K529" s="130"/>
      <c r="L529" s="130"/>
      <c r="M529" s="130"/>
      <c r="N529" s="291"/>
      <c r="O529" s="291"/>
      <c r="P529" s="122"/>
      <c r="Q529" s="122"/>
      <c r="R529" s="122"/>
      <c r="S529" s="122"/>
      <c r="T529" s="122"/>
      <c r="U529" s="301"/>
      <c r="V529" s="260">
        <f t="shared" ca="1" si="16"/>
        <v>0</v>
      </c>
      <c r="W529" s="348" t="str">
        <f>IF(板块成分!B531="","",板块成分!B531)</f>
        <v>001965.SZ</v>
      </c>
      <c r="X529" s="276" t="str">
        <f>[1]!S_Info_Name(W529)</f>
        <v>招商公路</v>
      </c>
      <c r="Y529" s="276" t="str">
        <f ca="1">IF($Y$3="申万一级行业",[1]!s_info_industry_sw_2021(W529,公司分析!D$5,1),IF($Y$3="申万二级行业",[1]!s_info_industry_sw_2021(W529,公司分析!D$5,2),IF($Y$3="申万三级行业",[1]!s_info_industry_sw_2021(W529,公司分析!D$5,3),IF($Y$3="wind一级行业",[1]!s_info_industry_gics(W529,1),IF($Y$3="wind二级行业",[1]!s_info_industry_gics(W529,2),IF($Y$3="wind三级行业",[1]!s_info_industry_gics(W529,3),IF($Y$3="wind四级行业",[1]!s_info_industry_gics(W529,4),IF($Y$3="证监会门类行业",[1]!s_info_industry_csrc12_n(W529,公司分析!D$5,1),""))))))))</f>
        <v>铁路公路</v>
      </c>
      <c r="Z529" s="302" t="str">
        <f ca="1">IF(Y529=行业比较!$E$6,ROW(),"")</f>
        <v/>
      </c>
      <c r="AA529" s="122"/>
      <c r="AB529" s="122"/>
      <c r="AC529" s="122"/>
      <c r="AD529" s="122"/>
      <c r="AE529" s="122"/>
      <c r="AF529" s="122"/>
      <c r="AG529" s="122"/>
      <c r="AH529" s="122"/>
      <c r="AI529" s="122"/>
      <c r="AJ529" s="122"/>
      <c r="AK529" s="122"/>
      <c r="AL529" s="122"/>
      <c r="AM529" s="122"/>
      <c r="AN529" s="122"/>
      <c r="AO529" s="122"/>
      <c r="AP529" s="122"/>
    </row>
    <row r="530" spans="2:42">
      <c r="B530" s="122"/>
      <c r="C530" s="122"/>
      <c r="D530" s="122"/>
      <c r="E530" s="122"/>
      <c r="F530" s="122"/>
      <c r="G530" s="122"/>
      <c r="H530" s="122"/>
      <c r="I530" s="275"/>
      <c r="J530" s="130"/>
      <c r="K530" s="130"/>
      <c r="L530" s="130"/>
      <c r="M530" s="130"/>
      <c r="N530" s="291"/>
      <c r="O530" s="291"/>
      <c r="P530" s="122"/>
      <c r="Q530" s="122"/>
      <c r="R530" s="122"/>
      <c r="S530" s="122"/>
      <c r="T530" s="122"/>
      <c r="U530" s="301"/>
      <c r="V530" s="260">
        <f t="shared" ca="1" si="16"/>
        <v>0</v>
      </c>
      <c r="W530" s="348" t="str">
        <f>IF(板块成分!B532="","",板块成分!B532)</f>
        <v>001979.SZ</v>
      </c>
      <c r="X530" s="276" t="str">
        <f>[1]!S_Info_Name(W530)</f>
        <v>招商蛇口</v>
      </c>
      <c r="Y530" s="276" t="str">
        <f ca="1">IF($Y$3="申万一级行业",[1]!s_info_industry_sw_2021(W530,公司分析!D$5,1),IF($Y$3="申万二级行业",[1]!s_info_industry_sw_2021(W530,公司分析!D$5,2),IF($Y$3="申万三级行业",[1]!s_info_industry_sw_2021(W530,公司分析!D$5,3),IF($Y$3="wind一级行业",[1]!s_info_industry_gics(W530,1),IF($Y$3="wind二级行业",[1]!s_info_industry_gics(W530,2),IF($Y$3="wind三级行业",[1]!s_info_industry_gics(W530,3),IF($Y$3="wind四级行业",[1]!s_info_industry_gics(W530,4),IF($Y$3="证监会门类行业",[1]!s_info_industry_csrc12_n(W530,公司分析!D$5,1),""))))))))</f>
        <v>房地产开发</v>
      </c>
      <c r="Z530" s="302" t="str">
        <f ca="1">IF(Y530=行业比较!$E$6,ROW(),"")</f>
        <v/>
      </c>
      <c r="AA530" s="122"/>
      <c r="AB530" s="122"/>
      <c r="AC530" s="122"/>
      <c r="AD530" s="122"/>
      <c r="AE530" s="122"/>
      <c r="AF530" s="122"/>
      <c r="AG530" s="122"/>
      <c r="AH530" s="122"/>
      <c r="AI530" s="122"/>
      <c r="AJ530" s="122"/>
      <c r="AK530" s="122"/>
      <c r="AL530" s="122"/>
      <c r="AM530" s="122"/>
      <c r="AN530" s="122"/>
      <c r="AO530" s="122"/>
      <c r="AP530" s="122"/>
    </row>
    <row r="531" spans="2:42">
      <c r="B531" s="122"/>
      <c r="C531" s="122"/>
      <c r="D531" s="122"/>
      <c r="E531" s="122"/>
      <c r="F531" s="122"/>
      <c r="G531" s="122"/>
      <c r="H531" s="122"/>
      <c r="I531" s="275"/>
      <c r="J531" s="130"/>
      <c r="K531" s="130"/>
      <c r="L531" s="130"/>
      <c r="M531" s="130"/>
      <c r="N531" s="291"/>
      <c r="O531" s="291"/>
      <c r="P531" s="122"/>
      <c r="Q531" s="122"/>
      <c r="R531" s="122"/>
      <c r="S531" s="122"/>
      <c r="T531" s="122"/>
      <c r="U531" s="301"/>
      <c r="V531" s="260">
        <f t="shared" ca="1" si="16"/>
        <v>0</v>
      </c>
      <c r="W531" s="348" t="str">
        <f>IF(板块成分!B533="","",板块成分!B533)</f>
        <v>002001.SZ</v>
      </c>
      <c r="X531" s="276" t="str">
        <f>[1]!S_Info_Name(W531)</f>
        <v>新和成</v>
      </c>
      <c r="Y531" s="276" t="str">
        <f ca="1">IF($Y$3="申万一级行业",[1]!s_info_industry_sw_2021(W531,公司分析!D$5,1),IF($Y$3="申万二级行业",[1]!s_info_industry_sw_2021(W531,公司分析!D$5,2),IF($Y$3="申万三级行业",[1]!s_info_industry_sw_2021(W531,公司分析!D$5,3),IF($Y$3="wind一级行业",[1]!s_info_industry_gics(W531,1),IF($Y$3="wind二级行业",[1]!s_info_industry_gics(W531,2),IF($Y$3="wind三级行业",[1]!s_info_industry_gics(W531,3),IF($Y$3="wind四级行业",[1]!s_info_industry_gics(W531,4),IF($Y$3="证监会门类行业",[1]!s_info_industry_csrc12_n(W531,公司分析!D$5,1),""))))))))</f>
        <v>化学制品</v>
      </c>
      <c r="Z531" s="302" t="str">
        <f ca="1">IF(Y531=行业比较!$E$6,ROW(),"")</f>
        <v/>
      </c>
      <c r="AA531" s="122"/>
      <c r="AB531" s="122"/>
      <c r="AC531" s="122"/>
      <c r="AD531" s="122"/>
      <c r="AE531" s="122"/>
      <c r="AF531" s="122"/>
      <c r="AG531" s="122"/>
      <c r="AH531" s="122"/>
      <c r="AI531" s="122"/>
      <c r="AJ531" s="122"/>
      <c r="AK531" s="122"/>
      <c r="AL531" s="122"/>
      <c r="AM531" s="122"/>
      <c r="AN531" s="122"/>
      <c r="AO531" s="122"/>
      <c r="AP531" s="122"/>
    </row>
    <row r="532" spans="2:42">
      <c r="B532" s="122"/>
      <c r="C532" s="122"/>
      <c r="D532" s="122"/>
      <c r="E532" s="122"/>
      <c r="F532" s="122"/>
      <c r="G532" s="122"/>
      <c r="H532" s="122"/>
      <c r="I532" s="275"/>
      <c r="J532" s="130"/>
      <c r="K532" s="130"/>
      <c r="L532" s="130"/>
      <c r="M532" s="130"/>
      <c r="N532" s="291"/>
      <c r="O532" s="291"/>
      <c r="P532" s="122"/>
      <c r="Q532" s="122"/>
      <c r="R532" s="122"/>
      <c r="S532" s="122"/>
      <c r="T532" s="122"/>
      <c r="U532" s="301"/>
      <c r="V532" s="260">
        <f t="shared" ca="1" si="16"/>
        <v>0</v>
      </c>
      <c r="W532" s="348" t="str">
        <f>IF(板块成分!B534="","",板块成分!B534)</f>
        <v>002003.SZ</v>
      </c>
      <c r="X532" s="276" t="str">
        <f>[1]!S_Info_Name(W532)</f>
        <v>伟星股份</v>
      </c>
      <c r="Y532" s="276" t="str">
        <f ca="1">IF($Y$3="申万一级行业",[1]!s_info_industry_sw_2021(W532,公司分析!D$5,1),IF($Y$3="申万二级行业",[1]!s_info_industry_sw_2021(W532,公司分析!D$5,2),IF($Y$3="申万三级行业",[1]!s_info_industry_sw_2021(W532,公司分析!D$5,3),IF($Y$3="wind一级行业",[1]!s_info_industry_gics(W532,1),IF($Y$3="wind二级行业",[1]!s_info_industry_gics(W532,2),IF($Y$3="wind三级行业",[1]!s_info_industry_gics(W532,3),IF($Y$3="wind四级行业",[1]!s_info_industry_gics(W532,4),IF($Y$3="证监会门类行业",[1]!s_info_industry_csrc12_n(W532,公司分析!D$5,1),""))))))))</f>
        <v>纺织制造</v>
      </c>
      <c r="Z532" s="302" t="str">
        <f ca="1">IF(Y532=行业比较!$E$6,ROW(),"")</f>
        <v/>
      </c>
      <c r="AA532" s="122"/>
      <c r="AB532" s="122"/>
      <c r="AC532" s="122"/>
      <c r="AD532" s="122"/>
      <c r="AE532" s="122"/>
      <c r="AF532" s="122"/>
      <c r="AG532" s="122"/>
      <c r="AH532" s="122"/>
      <c r="AI532" s="122"/>
      <c r="AJ532" s="122"/>
      <c r="AK532" s="122"/>
      <c r="AL532" s="122"/>
      <c r="AM532" s="122"/>
      <c r="AN532" s="122"/>
      <c r="AO532" s="122"/>
      <c r="AP532" s="122"/>
    </row>
    <row r="533" spans="2:42">
      <c r="B533" s="122"/>
      <c r="C533" s="122"/>
      <c r="D533" s="122"/>
      <c r="E533" s="122"/>
      <c r="F533" s="122"/>
      <c r="G533" s="122"/>
      <c r="H533" s="122"/>
      <c r="I533" s="275"/>
      <c r="J533" s="130"/>
      <c r="K533" s="130"/>
      <c r="L533" s="130"/>
      <c r="M533" s="130"/>
      <c r="N533" s="291"/>
      <c r="O533" s="291"/>
      <c r="P533" s="122"/>
      <c r="Q533" s="122"/>
      <c r="R533" s="122"/>
      <c r="S533" s="122"/>
      <c r="T533" s="122"/>
      <c r="U533" s="301"/>
      <c r="V533" s="260">
        <f t="shared" ca="1" si="16"/>
        <v>0</v>
      </c>
      <c r="W533" s="348" t="str">
        <f>IF(板块成分!B535="","",板块成分!B535)</f>
        <v>002004.SZ</v>
      </c>
      <c r="X533" s="276" t="str">
        <f>[1]!S_Info_Name(W533)</f>
        <v>华邦健康</v>
      </c>
      <c r="Y533" s="276" t="str">
        <f ca="1">IF($Y$3="申万一级行业",[1]!s_info_industry_sw_2021(W533,公司分析!D$5,1),IF($Y$3="申万二级行业",[1]!s_info_industry_sw_2021(W533,公司分析!D$5,2),IF($Y$3="申万三级行业",[1]!s_info_industry_sw_2021(W533,公司分析!D$5,3),IF($Y$3="wind一级行业",[1]!s_info_industry_gics(W533,1),IF($Y$3="wind二级行业",[1]!s_info_industry_gics(W533,2),IF($Y$3="wind三级行业",[1]!s_info_industry_gics(W533,3),IF($Y$3="wind四级行业",[1]!s_info_industry_gics(W533,4),IF($Y$3="证监会门类行业",[1]!s_info_industry_csrc12_n(W533,公司分析!D$5,1),""))))))))</f>
        <v>化学制药</v>
      </c>
      <c r="Z533" s="302" t="str">
        <f ca="1">IF(Y533=行业比较!$E$6,ROW(),"")</f>
        <v/>
      </c>
      <c r="AA533" s="122"/>
      <c r="AB533" s="122"/>
      <c r="AC533" s="122"/>
      <c r="AD533" s="122"/>
      <c r="AE533" s="122"/>
      <c r="AF533" s="122"/>
      <c r="AG533" s="122"/>
      <c r="AH533" s="122"/>
      <c r="AI533" s="122"/>
      <c r="AJ533" s="122"/>
      <c r="AK533" s="122"/>
      <c r="AL533" s="122"/>
      <c r="AM533" s="122"/>
      <c r="AN533" s="122"/>
      <c r="AO533" s="122"/>
      <c r="AP533" s="122"/>
    </row>
    <row r="534" spans="2:42">
      <c r="B534" s="122"/>
      <c r="C534" s="122"/>
      <c r="D534" s="122"/>
      <c r="E534" s="122"/>
      <c r="F534" s="122"/>
      <c r="G534" s="122"/>
      <c r="H534" s="122"/>
      <c r="I534" s="275"/>
      <c r="J534" s="130"/>
      <c r="K534" s="130"/>
      <c r="L534" s="130"/>
      <c r="M534" s="130"/>
      <c r="N534" s="291"/>
      <c r="O534" s="291"/>
      <c r="P534" s="122"/>
      <c r="Q534" s="122"/>
      <c r="R534" s="122"/>
      <c r="S534" s="122"/>
      <c r="T534" s="122"/>
      <c r="U534" s="301"/>
      <c r="V534" s="260">
        <f t="shared" ca="1" si="16"/>
        <v>0</v>
      </c>
      <c r="W534" s="348" t="str">
        <f>IF(板块成分!B536="","",板块成分!B536)</f>
        <v>002005.SZ</v>
      </c>
      <c r="X534" s="276" t="str">
        <f>[1]!S_Info_Name(W534)</f>
        <v>ST德豪</v>
      </c>
      <c r="Y534" s="276" t="str">
        <f ca="1">IF($Y$3="申万一级行业",[1]!s_info_industry_sw_2021(W534,公司分析!D$5,1),IF($Y$3="申万二级行业",[1]!s_info_industry_sw_2021(W534,公司分析!D$5,2),IF($Y$3="申万三级行业",[1]!s_info_industry_sw_2021(W534,公司分析!D$5,3),IF($Y$3="wind一级行业",[1]!s_info_industry_gics(W534,1),IF($Y$3="wind二级行业",[1]!s_info_industry_gics(W534,2),IF($Y$3="wind三级行业",[1]!s_info_industry_gics(W534,3),IF($Y$3="wind四级行业",[1]!s_info_industry_gics(W534,4),IF($Y$3="证监会门类行业",[1]!s_info_industry_csrc12_n(W534,公司分析!D$5,1),""))))))))</f>
        <v>小家电</v>
      </c>
      <c r="Z534" s="302" t="str">
        <f ca="1">IF(Y534=行业比较!$E$6,ROW(),"")</f>
        <v/>
      </c>
      <c r="AA534" s="122"/>
      <c r="AB534" s="122"/>
      <c r="AC534" s="122"/>
      <c r="AD534" s="122"/>
      <c r="AE534" s="122"/>
      <c r="AF534" s="122"/>
      <c r="AG534" s="122"/>
      <c r="AH534" s="122"/>
      <c r="AI534" s="122"/>
      <c r="AJ534" s="122"/>
      <c r="AK534" s="122"/>
      <c r="AL534" s="122"/>
      <c r="AM534" s="122"/>
      <c r="AN534" s="122"/>
      <c r="AO534" s="122"/>
      <c r="AP534" s="122"/>
    </row>
    <row r="535" spans="2:42">
      <c r="B535" s="122"/>
      <c r="C535" s="122"/>
      <c r="D535" s="122"/>
      <c r="E535" s="122"/>
      <c r="F535" s="122"/>
      <c r="G535" s="122"/>
      <c r="H535" s="122"/>
      <c r="I535" s="275"/>
      <c r="J535" s="130"/>
      <c r="K535" s="130"/>
      <c r="L535" s="130"/>
      <c r="M535" s="130"/>
      <c r="N535" s="291"/>
      <c r="O535" s="291"/>
      <c r="P535" s="122"/>
      <c r="Q535" s="122"/>
      <c r="R535" s="122"/>
      <c r="S535" s="122"/>
      <c r="T535" s="122"/>
      <c r="U535" s="301"/>
      <c r="V535" s="260">
        <f t="shared" ca="1" si="16"/>
        <v>0</v>
      </c>
      <c r="W535" s="348" t="str">
        <f>IF(板块成分!B537="","",板块成分!B537)</f>
        <v>002006.SZ</v>
      </c>
      <c r="X535" s="276" t="str">
        <f>[1]!S_Info_Name(W535)</f>
        <v>精工科技</v>
      </c>
      <c r="Y535" s="276" t="str">
        <f ca="1">IF($Y$3="申万一级行业",[1]!s_info_industry_sw_2021(W535,公司分析!D$5,1),IF($Y$3="申万二级行业",[1]!s_info_industry_sw_2021(W535,公司分析!D$5,2),IF($Y$3="申万三级行业",[1]!s_info_industry_sw_2021(W535,公司分析!D$5,3),IF($Y$3="wind一级行业",[1]!s_info_industry_gics(W535,1),IF($Y$3="wind二级行业",[1]!s_info_industry_gics(W535,2),IF($Y$3="wind三级行业",[1]!s_info_industry_gics(W535,3),IF($Y$3="wind四级行业",[1]!s_info_industry_gics(W535,4),IF($Y$3="证监会门类行业",[1]!s_info_industry_csrc12_n(W535,公司分析!D$5,1),""))))))))</f>
        <v>专用设备</v>
      </c>
      <c r="Z535" s="302" t="str">
        <f ca="1">IF(Y535=行业比较!$E$6,ROW(),"")</f>
        <v/>
      </c>
      <c r="AA535" s="122"/>
      <c r="AB535" s="122"/>
      <c r="AC535" s="122"/>
      <c r="AD535" s="122"/>
      <c r="AE535" s="122"/>
      <c r="AF535" s="122"/>
      <c r="AG535" s="122"/>
      <c r="AH535" s="122"/>
      <c r="AI535" s="122"/>
      <c r="AJ535" s="122"/>
      <c r="AK535" s="122"/>
      <c r="AL535" s="122"/>
      <c r="AM535" s="122"/>
      <c r="AN535" s="122"/>
      <c r="AO535" s="122"/>
      <c r="AP535" s="122"/>
    </row>
    <row r="536" spans="2:42">
      <c r="B536" s="122"/>
      <c r="C536" s="122"/>
      <c r="D536" s="122"/>
      <c r="E536" s="122"/>
      <c r="F536" s="122"/>
      <c r="G536" s="122"/>
      <c r="H536" s="122"/>
      <c r="I536" s="275"/>
      <c r="J536" s="130"/>
      <c r="K536" s="130"/>
      <c r="L536" s="130"/>
      <c r="M536" s="130"/>
      <c r="N536" s="291"/>
      <c r="O536" s="291"/>
      <c r="P536" s="122"/>
      <c r="Q536" s="122"/>
      <c r="R536" s="122"/>
      <c r="S536" s="122"/>
      <c r="T536" s="122"/>
      <c r="U536" s="301"/>
      <c r="V536" s="260">
        <f t="shared" ca="1" si="16"/>
        <v>0</v>
      </c>
      <c r="W536" s="348" t="str">
        <f>IF(板块成分!B538="","",板块成分!B538)</f>
        <v>002007.SZ</v>
      </c>
      <c r="X536" s="276" t="str">
        <f>[1]!S_Info_Name(W536)</f>
        <v>华兰生物</v>
      </c>
      <c r="Y536" s="276" t="str">
        <f ca="1">IF($Y$3="申万一级行业",[1]!s_info_industry_sw_2021(W536,公司分析!D$5,1),IF($Y$3="申万二级行业",[1]!s_info_industry_sw_2021(W536,公司分析!D$5,2),IF($Y$3="申万三级行业",[1]!s_info_industry_sw_2021(W536,公司分析!D$5,3),IF($Y$3="wind一级行业",[1]!s_info_industry_gics(W536,1),IF($Y$3="wind二级行业",[1]!s_info_industry_gics(W536,2),IF($Y$3="wind三级行业",[1]!s_info_industry_gics(W536,3),IF($Y$3="wind四级行业",[1]!s_info_industry_gics(W536,4),IF($Y$3="证监会门类行业",[1]!s_info_industry_csrc12_n(W536,公司分析!D$5,1),""))))))))</f>
        <v>生物制品</v>
      </c>
      <c r="Z536" s="302" t="str">
        <f ca="1">IF(Y536=行业比较!$E$6,ROW(),"")</f>
        <v/>
      </c>
      <c r="AA536" s="122"/>
      <c r="AB536" s="122"/>
      <c r="AC536" s="122"/>
      <c r="AD536" s="122"/>
      <c r="AE536" s="122"/>
      <c r="AF536" s="122"/>
      <c r="AG536" s="122"/>
      <c r="AH536" s="122"/>
      <c r="AI536" s="122"/>
      <c r="AJ536" s="122"/>
      <c r="AK536" s="122"/>
      <c r="AL536" s="122"/>
      <c r="AM536" s="122"/>
      <c r="AN536" s="122"/>
      <c r="AO536" s="122"/>
      <c r="AP536" s="122"/>
    </row>
    <row r="537" spans="2:42">
      <c r="B537" s="122"/>
      <c r="C537" s="122"/>
      <c r="D537" s="122"/>
      <c r="E537" s="122"/>
      <c r="F537" s="122"/>
      <c r="G537" s="122"/>
      <c r="H537" s="122"/>
      <c r="I537" s="275"/>
      <c r="J537" s="130"/>
      <c r="K537" s="130"/>
      <c r="L537" s="130"/>
      <c r="M537" s="130"/>
      <c r="N537" s="291"/>
      <c r="O537" s="291"/>
      <c r="P537" s="122"/>
      <c r="Q537" s="122"/>
      <c r="R537" s="122"/>
      <c r="S537" s="122"/>
      <c r="T537" s="122"/>
      <c r="U537" s="301"/>
      <c r="V537" s="260">
        <f t="shared" ca="1" si="16"/>
        <v>0</v>
      </c>
      <c r="W537" s="348" t="str">
        <f>IF(板块成分!B539="","",板块成分!B539)</f>
        <v>002008.SZ</v>
      </c>
      <c r="X537" s="276" t="str">
        <f>[1]!S_Info_Name(W537)</f>
        <v>大族激光</v>
      </c>
      <c r="Y537" s="276" t="str">
        <f ca="1">IF($Y$3="申万一级行业",[1]!s_info_industry_sw_2021(W537,公司分析!D$5,1),IF($Y$3="申万二级行业",[1]!s_info_industry_sw_2021(W537,公司分析!D$5,2),IF($Y$3="申万三级行业",[1]!s_info_industry_sw_2021(W537,公司分析!D$5,3),IF($Y$3="wind一级行业",[1]!s_info_industry_gics(W537,1),IF($Y$3="wind二级行业",[1]!s_info_industry_gics(W537,2),IF($Y$3="wind三级行业",[1]!s_info_industry_gics(W537,3),IF($Y$3="wind四级行业",[1]!s_info_industry_gics(W537,4),IF($Y$3="证监会门类行业",[1]!s_info_industry_csrc12_n(W537,公司分析!D$5,1),""))))))))</f>
        <v>自动化设备</v>
      </c>
      <c r="Z537" s="302" t="str">
        <f ca="1">IF(Y537=行业比较!$E$6,ROW(),"")</f>
        <v/>
      </c>
      <c r="AA537" s="122"/>
      <c r="AB537" s="122"/>
      <c r="AC537" s="122"/>
      <c r="AD537" s="122"/>
      <c r="AE537" s="122"/>
      <c r="AF537" s="122"/>
      <c r="AG537" s="122"/>
      <c r="AH537" s="122"/>
      <c r="AI537" s="122"/>
      <c r="AJ537" s="122"/>
      <c r="AK537" s="122"/>
      <c r="AL537" s="122"/>
      <c r="AM537" s="122"/>
      <c r="AN537" s="122"/>
      <c r="AO537" s="122"/>
      <c r="AP537" s="122"/>
    </row>
    <row r="538" spans="2:42">
      <c r="B538" s="122"/>
      <c r="C538" s="122"/>
      <c r="D538" s="122"/>
      <c r="E538" s="122"/>
      <c r="F538" s="122"/>
      <c r="G538" s="122"/>
      <c r="H538" s="122"/>
      <c r="I538" s="275"/>
      <c r="J538" s="130"/>
      <c r="K538" s="130"/>
      <c r="L538" s="130"/>
      <c r="M538" s="130"/>
      <c r="N538" s="291"/>
      <c r="O538" s="291"/>
      <c r="P538" s="122"/>
      <c r="Q538" s="122"/>
      <c r="R538" s="122"/>
      <c r="S538" s="122"/>
      <c r="T538" s="122"/>
      <c r="U538" s="301"/>
      <c r="V538" s="260">
        <f t="shared" ca="1" si="16"/>
        <v>0</v>
      </c>
      <c r="W538" s="348" t="str">
        <f>IF(板块成分!B540="","",板块成分!B540)</f>
        <v>002009.SZ</v>
      </c>
      <c r="X538" s="276" t="str">
        <f>[1]!S_Info_Name(W538)</f>
        <v>天奇股份</v>
      </c>
      <c r="Y538" s="276" t="str">
        <f ca="1">IF($Y$3="申万一级行业",[1]!s_info_industry_sw_2021(W538,公司分析!D$5,1),IF($Y$3="申万二级行业",[1]!s_info_industry_sw_2021(W538,公司分析!D$5,2),IF($Y$3="申万三级行业",[1]!s_info_industry_sw_2021(W538,公司分析!D$5,3),IF($Y$3="wind一级行业",[1]!s_info_industry_gics(W538,1),IF($Y$3="wind二级行业",[1]!s_info_industry_gics(W538,2),IF($Y$3="wind三级行业",[1]!s_info_industry_gics(W538,3),IF($Y$3="wind四级行业",[1]!s_info_industry_gics(W538,4),IF($Y$3="证监会门类行业",[1]!s_info_industry_csrc12_n(W538,公司分析!D$5,1),""))))))))</f>
        <v>专用设备</v>
      </c>
      <c r="Z538" s="302" t="str">
        <f ca="1">IF(Y538=行业比较!$E$6,ROW(),"")</f>
        <v/>
      </c>
      <c r="AA538" s="122"/>
      <c r="AB538" s="122"/>
      <c r="AC538" s="122"/>
      <c r="AD538" s="122"/>
      <c r="AE538" s="122"/>
      <c r="AF538" s="122"/>
      <c r="AG538" s="122"/>
      <c r="AH538" s="122"/>
      <c r="AI538" s="122"/>
      <c r="AJ538" s="122"/>
      <c r="AK538" s="122"/>
      <c r="AL538" s="122"/>
      <c r="AM538" s="122"/>
      <c r="AN538" s="122"/>
      <c r="AO538" s="122"/>
      <c r="AP538" s="122"/>
    </row>
    <row r="539" spans="2:42">
      <c r="B539" s="122"/>
      <c r="C539" s="122"/>
      <c r="D539" s="122"/>
      <c r="E539" s="122"/>
      <c r="F539" s="122"/>
      <c r="G539" s="122"/>
      <c r="H539" s="122"/>
      <c r="I539" s="275"/>
      <c r="J539" s="130"/>
      <c r="K539" s="130"/>
      <c r="L539" s="130"/>
      <c r="M539" s="130"/>
      <c r="N539" s="291"/>
      <c r="O539" s="291"/>
      <c r="P539" s="122"/>
      <c r="Q539" s="122"/>
      <c r="R539" s="122"/>
      <c r="S539" s="122"/>
      <c r="T539" s="122"/>
      <c r="U539" s="301"/>
      <c r="V539" s="260">
        <f t="shared" ca="1" si="16"/>
        <v>0</v>
      </c>
      <c r="W539" s="348" t="str">
        <f>IF(板块成分!B541="","",板块成分!B541)</f>
        <v>002010.SZ</v>
      </c>
      <c r="X539" s="276" t="str">
        <f>[1]!S_Info_Name(W539)</f>
        <v>传化智联</v>
      </c>
      <c r="Y539" s="276" t="str">
        <f ca="1">IF($Y$3="申万一级行业",[1]!s_info_industry_sw_2021(W539,公司分析!D$5,1),IF($Y$3="申万二级行业",[1]!s_info_industry_sw_2021(W539,公司分析!D$5,2),IF($Y$3="申万三级行业",[1]!s_info_industry_sw_2021(W539,公司分析!D$5,3),IF($Y$3="wind一级行业",[1]!s_info_industry_gics(W539,1),IF($Y$3="wind二级行业",[1]!s_info_industry_gics(W539,2),IF($Y$3="wind三级行业",[1]!s_info_industry_gics(W539,3),IF($Y$3="wind四级行业",[1]!s_info_industry_gics(W539,4),IF($Y$3="证监会门类行业",[1]!s_info_industry_csrc12_n(W539,公司分析!D$5,1),""))))))))</f>
        <v>物流</v>
      </c>
      <c r="Z539" s="302" t="str">
        <f ca="1">IF(Y539=行业比较!$E$6,ROW(),"")</f>
        <v/>
      </c>
      <c r="AA539" s="122"/>
      <c r="AB539" s="122"/>
      <c r="AC539" s="122"/>
      <c r="AD539" s="122"/>
      <c r="AE539" s="122"/>
      <c r="AF539" s="122"/>
      <c r="AG539" s="122"/>
      <c r="AH539" s="122"/>
      <c r="AI539" s="122"/>
      <c r="AJ539" s="122"/>
      <c r="AK539" s="122"/>
      <c r="AL539" s="122"/>
      <c r="AM539" s="122"/>
      <c r="AN539" s="122"/>
      <c r="AO539" s="122"/>
      <c r="AP539" s="122"/>
    </row>
    <row r="540" spans="2:42">
      <c r="B540" s="122"/>
      <c r="C540" s="122"/>
      <c r="D540" s="122"/>
      <c r="E540" s="122"/>
      <c r="F540" s="122"/>
      <c r="G540" s="122"/>
      <c r="H540" s="122"/>
      <c r="I540" s="275"/>
      <c r="J540" s="130"/>
      <c r="K540" s="130"/>
      <c r="L540" s="130"/>
      <c r="M540" s="130"/>
      <c r="N540" s="291"/>
      <c r="O540" s="291"/>
      <c r="P540" s="122"/>
      <c r="Q540" s="122"/>
      <c r="R540" s="122"/>
      <c r="S540" s="122"/>
      <c r="T540" s="122"/>
      <c r="U540" s="301"/>
      <c r="V540" s="260">
        <f t="shared" ca="1" si="16"/>
        <v>0</v>
      </c>
      <c r="W540" s="348" t="str">
        <f>IF(板块成分!B542="","",板块成分!B542)</f>
        <v>002011.SZ</v>
      </c>
      <c r="X540" s="276" t="str">
        <f>[1]!S_Info_Name(W540)</f>
        <v>盾安环境</v>
      </c>
      <c r="Y540" s="276" t="str">
        <f ca="1">IF($Y$3="申万一级行业",[1]!s_info_industry_sw_2021(W540,公司分析!D$5,1),IF($Y$3="申万二级行业",[1]!s_info_industry_sw_2021(W540,公司分析!D$5,2),IF($Y$3="申万三级行业",[1]!s_info_industry_sw_2021(W540,公司分析!D$5,3),IF($Y$3="wind一级行业",[1]!s_info_industry_gics(W540,1),IF($Y$3="wind二级行业",[1]!s_info_industry_gics(W540,2),IF($Y$3="wind三级行业",[1]!s_info_industry_gics(W540,3),IF($Y$3="wind四级行业",[1]!s_info_industry_gics(W540,4),IF($Y$3="证监会门类行业",[1]!s_info_industry_csrc12_n(W540,公司分析!D$5,1),""))))))))</f>
        <v>家电零部件Ⅱ</v>
      </c>
      <c r="Z540" s="302" t="str">
        <f ca="1">IF(Y540=行业比较!$E$6,ROW(),"")</f>
        <v/>
      </c>
      <c r="AA540" s="122"/>
      <c r="AB540" s="122"/>
      <c r="AC540" s="122"/>
      <c r="AD540" s="122"/>
      <c r="AE540" s="122"/>
      <c r="AF540" s="122"/>
      <c r="AG540" s="122"/>
      <c r="AH540" s="122"/>
      <c r="AI540" s="122"/>
      <c r="AJ540" s="122"/>
      <c r="AK540" s="122"/>
      <c r="AL540" s="122"/>
      <c r="AM540" s="122"/>
      <c r="AN540" s="122"/>
      <c r="AO540" s="122"/>
      <c r="AP540" s="122"/>
    </row>
    <row r="541" spans="2:42">
      <c r="B541" s="122"/>
      <c r="C541" s="122"/>
      <c r="D541" s="122"/>
      <c r="E541" s="122"/>
      <c r="F541" s="122"/>
      <c r="G541" s="122"/>
      <c r="H541" s="122"/>
      <c r="I541" s="275"/>
      <c r="J541" s="130"/>
      <c r="K541" s="130"/>
      <c r="L541" s="130"/>
      <c r="M541" s="130"/>
      <c r="N541" s="291"/>
      <c r="O541" s="291"/>
      <c r="P541" s="122"/>
      <c r="Q541" s="122"/>
      <c r="R541" s="122"/>
      <c r="S541" s="122"/>
      <c r="T541" s="122"/>
      <c r="U541" s="301"/>
      <c r="V541" s="260">
        <f t="shared" ca="1" si="16"/>
        <v>0</v>
      </c>
      <c r="W541" s="348" t="str">
        <f>IF(板块成分!B543="","",板块成分!B543)</f>
        <v>002012.SZ</v>
      </c>
      <c r="X541" s="276" t="str">
        <f>[1]!S_Info_Name(W541)</f>
        <v>凯恩股份</v>
      </c>
      <c r="Y541" s="276" t="str">
        <f ca="1">IF($Y$3="申万一级行业",[1]!s_info_industry_sw_2021(W541,公司分析!D$5,1),IF($Y$3="申万二级行业",[1]!s_info_industry_sw_2021(W541,公司分析!D$5,2),IF($Y$3="申万三级行业",[1]!s_info_industry_sw_2021(W541,公司分析!D$5,3),IF($Y$3="wind一级行业",[1]!s_info_industry_gics(W541,1),IF($Y$3="wind二级行业",[1]!s_info_industry_gics(W541,2),IF($Y$3="wind三级行业",[1]!s_info_industry_gics(W541,3),IF($Y$3="wind四级行业",[1]!s_info_industry_gics(W541,4),IF($Y$3="证监会门类行业",[1]!s_info_industry_csrc12_n(W541,公司分析!D$5,1),""))))))))</f>
        <v>造纸</v>
      </c>
      <c r="Z541" s="302" t="str">
        <f ca="1">IF(Y541=行业比较!$E$6,ROW(),"")</f>
        <v/>
      </c>
      <c r="AA541" s="122"/>
      <c r="AB541" s="122"/>
      <c r="AC541" s="122"/>
      <c r="AD541" s="122"/>
      <c r="AE541" s="122"/>
      <c r="AF541" s="122"/>
      <c r="AG541" s="122"/>
      <c r="AH541" s="122"/>
      <c r="AI541" s="122"/>
      <c r="AJ541" s="122"/>
      <c r="AK541" s="122"/>
      <c r="AL541" s="122"/>
      <c r="AM541" s="122"/>
      <c r="AN541" s="122"/>
      <c r="AO541" s="122"/>
      <c r="AP541" s="122"/>
    </row>
    <row r="542" spans="2:42">
      <c r="B542" s="122"/>
      <c r="C542" s="122"/>
      <c r="D542" s="122"/>
      <c r="E542" s="122"/>
      <c r="F542" s="122"/>
      <c r="G542" s="122"/>
      <c r="H542" s="122"/>
      <c r="I542" s="275"/>
      <c r="J542" s="130"/>
      <c r="K542" s="130"/>
      <c r="L542" s="130"/>
      <c r="M542" s="130"/>
      <c r="N542" s="291"/>
      <c r="O542" s="291"/>
      <c r="P542" s="122"/>
      <c r="Q542" s="122"/>
      <c r="R542" s="122"/>
      <c r="S542" s="122"/>
      <c r="T542" s="122"/>
      <c r="U542" s="301"/>
      <c r="V542" s="260">
        <f t="shared" ca="1" si="16"/>
        <v>0</v>
      </c>
      <c r="W542" s="348" t="str">
        <f>IF(板块成分!B544="","",板块成分!B544)</f>
        <v>002014.SZ</v>
      </c>
      <c r="X542" s="276" t="str">
        <f>[1]!S_Info_Name(W542)</f>
        <v>永新股份</v>
      </c>
      <c r="Y542" s="276" t="str">
        <f ca="1">IF($Y$3="申万一级行业",[1]!s_info_industry_sw_2021(W542,公司分析!D$5,1),IF($Y$3="申万二级行业",[1]!s_info_industry_sw_2021(W542,公司分析!D$5,2),IF($Y$3="申万三级行业",[1]!s_info_industry_sw_2021(W542,公司分析!D$5,3),IF($Y$3="wind一级行业",[1]!s_info_industry_gics(W542,1),IF($Y$3="wind二级行业",[1]!s_info_industry_gics(W542,2),IF($Y$3="wind三级行业",[1]!s_info_industry_gics(W542,3),IF($Y$3="wind四级行业",[1]!s_info_industry_gics(W542,4),IF($Y$3="证监会门类行业",[1]!s_info_industry_csrc12_n(W542,公司分析!D$5,1),""))))))))</f>
        <v>包装印刷</v>
      </c>
      <c r="Z542" s="302" t="str">
        <f ca="1">IF(Y542=行业比较!$E$6,ROW(),"")</f>
        <v/>
      </c>
      <c r="AA542" s="122"/>
      <c r="AB542" s="122"/>
      <c r="AC542" s="122"/>
      <c r="AD542" s="122"/>
      <c r="AE542" s="122"/>
      <c r="AF542" s="122"/>
      <c r="AG542" s="122"/>
      <c r="AH542" s="122"/>
      <c r="AI542" s="122"/>
      <c r="AJ542" s="122"/>
      <c r="AK542" s="122"/>
      <c r="AL542" s="122"/>
      <c r="AM542" s="122"/>
      <c r="AN542" s="122"/>
      <c r="AO542" s="122"/>
      <c r="AP542" s="122"/>
    </row>
    <row r="543" spans="2:42">
      <c r="B543" s="122"/>
      <c r="C543" s="122"/>
      <c r="D543" s="122"/>
      <c r="E543" s="122"/>
      <c r="F543" s="122"/>
      <c r="G543" s="122"/>
      <c r="H543" s="122"/>
      <c r="I543" s="275"/>
      <c r="J543" s="130"/>
      <c r="K543" s="130"/>
      <c r="L543" s="130"/>
      <c r="M543" s="130"/>
      <c r="N543" s="291"/>
      <c r="O543" s="291"/>
      <c r="P543" s="122"/>
      <c r="Q543" s="122"/>
      <c r="R543" s="122"/>
      <c r="S543" s="122"/>
      <c r="T543" s="122"/>
      <c r="U543" s="301"/>
      <c r="V543" s="260">
        <f t="shared" ca="1" si="16"/>
        <v>0</v>
      </c>
      <c r="W543" s="348" t="str">
        <f>IF(板块成分!B545="","",板块成分!B545)</f>
        <v>002015.SZ</v>
      </c>
      <c r="X543" s="276" t="str">
        <f>[1]!S_Info_Name(W543)</f>
        <v>协鑫能科</v>
      </c>
      <c r="Y543" s="276" t="str">
        <f ca="1">IF($Y$3="申万一级行业",[1]!s_info_industry_sw_2021(W543,公司分析!D$5,1),IF($Y$3="申万二级行业",[1]!s_info_industry_sw_2021(W543,公司分析!D$5,2),IF($Y$3="申万三级行业",[1]!s_info_industry_sw_2021(W543,公司分析!D$5,3),IF($Y$3="wind一级行业",[1]!s_info_industry_gics(W543,1),IF($Y$3="wind二级行业",[1]!s_info_industry_gics(W543,2),IF($Y$3="wind三级行业",[1]!s_info_industry_gics(W543,3),IF($Y$3="wind四级行业",[1]!s_info_industry_gics(W543,4),IF($Y$3="证监会门类行业",[1]!s_info_industry_csrc12_n(W543,公司分析!D$5,1),""))))))))</f>
        <v>电力</v>
      </c>
      <c r="Z543" s="302" t="str">
        <f ca="1">IF(Y543=行业比较!$E$6,ROW(),"")</f>
        <v/>
      </c>
      <c r="AA543" s="122"/>
      <c r="AB543" s="122"/>
      <c r="AC543" s="122"/>
      <c r="AD543" s="122"/>
      <c r="AE543" s="122"/>
      <c r="AF543" s="122"/>
      <c r="AG543" s="122"/>
      <c r="AH543" s="122"/>
      <c r="AI543" s="122"/>
      <c r="AJ543" s="122"/>
      <c r="AK543" s="122"/>
      <c r="AL543" s="122"/>
      <c r="AM543" s="122"/>
      <c r="AN543" s="122"/>
      <c r="AO543" s="122"/>
      <c r="AP543" s="122"/>
    </row>
    <row r="544" spans="2:42">
      <c r="B544" s="122"/>
      <c r="C544" s="122"/>
      <c r="D544" s="122"/>
      <c r="E544" s="122"/>
      <c r="F544" s="122"/>
      <c r="G544" s="122"/>
      <c r="H544" s="122"/>
      <c r="I544" s="275"/>
      <c r="J544" s="130"/>
      <c r="K544" s="130"/>
      <c r="L544" s="130"/>
      <c r="M544" s="130"/>
      <c r="N544" s="291"/>
      <c r="O544" s="291"/>
      <c r="P544" s="122"/>
      <c r="Q544" s="122"/>
      <c r="R544" s="122"/>
      <c r="S544" s="122"/>
      <c r="T544" s="122"/>
      <c r="U544" s="301"/>
      <c r="V544" s="260">
        <f t="shared" ca="1" si="16"/>
        <v>0</v>
      </c>
      <c r="W544" s="348" t="str">
        <f>IF(板块成分!B546="","",板块成分!B546)</f>
        <v>002016.SZ</v>
      </c>
      <c r="X544" s="276" t="str">
        <f>[1]!S_Info_Name(W544)</f>
        <v>世荣兆业</v>
      </c>
      <c r="Y544" s="276" t="str">
        <f ca="1">IF($Y$3="申万一级行业",[1]!s_info_industry_sw_2021(W544,公司分析!D$5,1),IF($Y$3="申万二级行业",[1]!s_info_industry_sw_2021(W544,公司分析!D$5,2),IF($Y$3="申万三级行业",[1]!s_info_industry_sw_2021(W544,公司分析!D$5,3),IF($Y$3="wind一级行业",[1]!s_info_industry_gics(W544,1),IF($Y$3="wind二级行业",[1]!s_info_industry_gics(W544,2),IF($Y$3="wind三级行业",[1]!s_info_industry_gics(W544,3),IF($Y$3="wind四级行业",[1]!s_info_industry_gics(W544,4),IF($Y$3="证监会门类行业",[1]!s_info_industry_csrc12_n(W544,公司分析!D$5,1),""))))))))</f>
        <v>房地产开发</v>
      </c>
      <c r="Z544" s="302" t="str">
        <f ca="1">IF(Y544=行业比较!$E$6,ROW(),"")</f>
        <v/>
      </c>
      <c r="AA544" s="122"/>
      <c r="AB544" s="122"/>
      <c r="AC544" s="122"/>
      <c r="AD544" s="122"/>
      <c r="AE544" s="122"/>
      <c r="AF544" s="122"/>
      <c r="AG544" s="122"/>
      <c r="AH544" s="122"/>
      <c r="AI544" s="122"/>
      <c r="AJ544" s="122"/>
      <c r="AK544" s="122"/>
      <c r="AL544" s="122"/>
      <c r="AM544" s="122"/>
      <c r="AN544" s="122"/>
      <c r="AO544" s="122"/>
      <c r="AP544" s="122"/>
    </row>
    <row r="545" spans="2:42">
      <c r="B545" s="122"/>
      <c r="C545" s="122"/>
      <c r="D545" s="122"/>
      <c r="E545" s="122"/>
      <c r="F545" s="122"/>
      <c r="G545" s="122"/>
      <c r="H545" s="122"/>
      <c r="I545" s="275"/>
      <c r="J545" s="130"/>
      <c r="K545" s="130"/>
      <c r="L545" s="130"/>
      <c r="M545" s="130"/>
      <c r="N545" s="291"/>
      <c r="O545" s="291"/>
      <c r="P545" s="122"/>
      <c r="Q545" s="122"/>
      <c r="R545" s="122"/>
      <c r="S545" s="122"/>
      <c r="T545" s="122"/>
      <c r="U545" s="301"/>
      <c r="V545" s="260">
        <f t="shared" ca="1" si="16"/>
        <v>0</v>
      </c>
      <c r="W545" s="348" t="str">
        <f>IF(板块成分!B547="","",板块成分!B547)</f>
        <v>002017.SZ</v>
      </c>
      <c r="X545" s="276" t="str">
        <f>[1]!S_Info_Name(W545)</f>
        <v>东信和平</v>
      </c>
      <c r="Y545" s="276" t="str">
        <f ca="1">IF($Y$3="申万一级行业",[1]!s_info_industry_sw_2021(W545,公司分析!D$5,1),IF($Y$3="申万二级行业",[1]!s_info_industry_sw_2021(W545,公司分析!D$5,2),IF($Y$3="申万三级行业",[1]!s_info_industry_sw_2021(W545,公司分析!D$5,3),IF($Y$3="wind一级行业",[1]!s_info_industry_gics(W545,1),IF($Y$3="wind二级行业",[1]!s_info_industry_gics(W545,2),IF($Y$3="wind三级行业",[1]!s_info_industry_gics(W545,3),IF($Y$3="wind四级行业",[1]!s_info_industry_gics(W545,4),IF($Y$3="证监会门类行业",[1]!s_info_industry_csrc12_n(W545,公司分析!D$5,1),""))))))))</f>
        <v>通信设备</v>
      </c>
      <c r="Z545" s="302" t="str">
        <f ca="1">IF(Y545=行业比较!$E$6,ROW(),"")</f>
        <v/>
      </c>
      <c r="AA545" s="122"/>
      <c r="AB545" s="122"/>
      <c r="AC545" s="122"/>
      <c r="AD545" s="122"/>
      <c r="AE545" s="122"/>
      <c r="AF545" s="122"/>
      <c r="AG545" s="122"/>
      <c r="AH545" s="122"/>
      <c r="AI545" s="122"/>
      <c r="AJ545" s="122"/>
      <c r="AK545" s="122"/>
      <c r="AL545" s="122"/>
      <c r="AM545" s="122"/>
      <c r="AN545" s="122"/>
      <c r="AO545" s="122"/>
      <c r="AP545" s="122"/>
    </row>
    <row r="546" spans="2:42">
      <c r="B546" s="122"/>
      <c r="C546" s="122"/>
      <c r="D546" s="122"/>
      <c r="E546" s="122"/>
      <c r="F546" s="122"/>
      <c r="G546" s="122"/>
      <c r="H546" s="122"/>
      <c r="I546" s="275"/>
      <c r="J546" s="130"/>
      <c r="K546" s="130"/>
      <c r="L546" s="130"/>
      <c r="M546" s="130"/>
      <c r="N546" s="291"/>
      <c r="O546" s="291"/>
      <c r="P546" s="122"/>
      <c r="Q546" s="122"/>
      <c r="R546" s="122"/>
      <c r="S546" s="122"/>
      <c r="T546" s="122"/>
      <c r="U546" s="301"/>
      <c r="V546" s="260">
        <f t="shared" ca="1" si="16"/>
        <v>0</v>
      </c>
      <c r="W546" s="348" t="str">
        <f>IF(板块成分!B548="","",板块成分!B548)</f>
        <v>002019.SZ</v>
      </c>
      <c r="X546" s="276" t="str">
        <f>[1]!S_Info_Name(W546)</f>
        <v>亿帆医药</v>
      </c>
      <c r="Y546" s="276" t="str">
        <f ca="1">IF($Y$3="申万一级行业",[1]!s_info_industry_sw_2021(W546,公司分析!D$5,1),IF($Y$3="申万二级行业",[1]!s_info_industry_sw_2021(W546,公司分析!D$5,2),IF($Y$3="申万三级行业",[1]!s_info_industry_sw_2021(W546,公司分析!D$5,3),IF($Y$3="wind一级行业",[1]!s_info_industry_gics(W546,1),IF($Y$3="wind二级行业",[1]!s_info_industry_gics(W546,2),IF($Y$3="wind三级行业",[1]!s_info_industry_gics(W546,3),IF($Y$3="wind四级行业",[1]!s_info_industry_gics(W546,4),IF($Y$3="证监会门类行业",[1]!s_info_industry_csrc12_n(W546,公司分析!D$5,1),""))))))))</f>
        <v>化学制药</v>
      </c>
      <c r="Z546" s="302" t="str">
        <f ca="1">IF(Y546=行业比较!$E$6,ROW(),"")</f>
        <v/>
      </c>
      <c r="AA546" s="122"/>
      <c r="AB546" s="122"/>
      <c r="AC546" s="122"/>
      <c r="AD546" s="122"/>
      <c r="AE546" s="122"/>
      <c r="AF546" s="122"/>
      <c r="AG546" s="122"/>
      <c r="AH546" s="122"/>
      <c r="AI546" s="122"/>
      <c r="AJ546" s="122"/>
      <c r="AK546" s="122"/>
      <c r="AL546" s="122"/>
      <c r="AM546" s="122"/>
      <c r="AN546" s="122"/>
      <c r="AO546" s="122"/>
      <c r="AP546" s="122"/>
    </row>
    <row r="547" spans="2:42">
      <c r="B547" s="122"/>
      <c r="C547" s="122"/>
      <c r="D547" s="122"/>
      <c r="E547" s="122"/>
      <c r="F547" s="122"/>
      <c r="G547" s="122"/>
      <c r="H547" s="122"/>
      <c r="I547" s="275"/>
      <c r="J547" s="130"/>
      <c r="K547" s="130"/>
      <c r="L547" s="130"/>
      <c r="M547" s="130"/>
      <c r="N547" s="291"/>
      <c r="O547" s="291"/>
      <c r="P547" s="122"/>
      <c r="Q547" s="122"/>
      <c r="R547" s="122"/>
      <c r="S547" s="122"/>
      <c r="T547" s="122"/>
      <c r="U547" s="301"/>
      <c r="V547" s="260">
        <f t="shared" ca="1" si="16"/>
        <v>0</v>
      </c>
      <c r="W547" s="348" t="str">
        <f>IF(板块成分!B549="","",板块成分!B549)</f>
        <v>002020.SZ</v>
      </c>
      <c r="X547" s="276" t="str">
        <f>[1]!S_Info_Name(W547)</f>
        <v>京新药业</v>
      </c>
      <c r="Y547" s="276" t="str">
        <f ca="1">IF($Y$3="申万一级行业",[1]!s_info_industry_sw_2021(W547,公司分析!D$5,1),IF($Y$3="申万二级行业",[1]!s_info_industry_sw_2021(W547,公司分析!D$5,2),IF($Y$3="申万三级行业",[1]!s_info_industry_sw_2021(W547,公司分析!D$5,3),IF($Y$3="wind一级行业",[1]!s_info_industry_gics(W547,1),IF($Y$3="wind二级行业",[1]!s_info_industry_gics(W547,2),IF($Y$3="wind三级行业",[1]!s_info_industry_gics(W547,3),IF($Y$3="wind四级行业",[1]!s_info_industry_gics(W547,4),IF($Y$3="证监会门类行业",[1]!s_info_industry_csrc12_n(W547,公司分析!D$5,1),""))))))))</f>
        <v>化学制药</v>
      </c>
      <c r="Z547" s="302" t="str">
        <f ca="1">IF(Y547=行业比较!$E$6,ROW(),"")</f>
        <v/>
      </c>
      <c r="AA547" s="122"/>
      <c r="AB547" s="122"/>
      <c r="AC547" s="122"/>
      <c r="AD547" s="122"/>
      <c r="AE547" s="122"/>
      <c r="AF547" s="122"/>
      <c r="AG547" s="122"/>
      <c r="AH547" s="122"/>
      <c r="AI547" s="122"/>
      <c r="AJ547" s="122"/>
      <c r="AK547" s="122"/>
      <c r="AL547" s="122"/>
      <c r="AM547" s="122"/>
      <c r="AN547" s="122"/>
      <c r="AO547" s="122"/>
      <c r="AP547" s="122"/>
    </row>
    <row r="548" spans="2:42">
      <c r="B548" s="122"/>
      <c r="C548" s="122"/>
      <c r="D548" s="122"/>
      <c r="E548" s="122"/>
      <c r="F548" s="122"/>
      <c r="G548" s="122"/>
      <c r="H548" s="122"/>
      <c r="I548" s="275"/>
      <c r="J548" s="130"/>
      <c r="K548" s="130"/>
      <c r="L548" s="130"/>
      <c r="M548" s="130"/>
      <c r="N548" s="291"/>
      <c r="O548" s="291"/>
      <c r="P548" s="122"/>
      <c r="Q548" s="122"/>
      <c r="R548" s="122"/>
      <c r="S548" s="122"/>
      <c r="T548" s="122"/>
      <c r="U548" s="301"/>
      <c r="V548" s="260">
        <f t="shared" ca="1" si="16"/>
        <v>0</v>
      </c>
      <c r="W548" s="348" t="str">
        <f>IF(板块成分!B550="","",板块成分!B550)</f>
        <v>002021.SZ</v>
      </c>
      <c r="X548" s="276" t="str">
        <f>[1]!S_Info_Name(W548)</f>
        <v>中捷资源</v>
      </c>
      <c r="Y548" s="276" t="str">
        <f ca="1">IF($Y$3="申万一级行业",[1]!s_info_industry_sw_2021(W548,公司分析!D$5,1),IF($Y$3="申万二级行业",[1]!s_info_industry_sw_2021(W548,公司分析!D$5,2),IF($Y$3="申万三级行业",[1]!s_info_industry_sw_2021(W548,公司分析!D$5,3),IF($Y$3="wind一级行业",[1]!s_info_industry_gics(W548,1),IF($Y$3="wind二级行业",[1]!s_info_industry_gics(W548,2),IF($Y$3="wind三级行业",[1]!s_info_industry_gics(W548,3),IF($Y$3="wind四级行业",[1]!s_info_industry_gics(W548,4),IF($Y$3="证监会门类行业",[1]!s_info_industry_csrc12_n(W548,公司分析!D$5,1),""))))))))</f>
        <v>专用设备</v>
      </c>
      <c r="Z548" s="302" t="str">
        <f ca="1">IF(Y548=行业比较!$E$6,ROW(),"")</f>
        <v/>
      </c>
      <c r="AA548" s="122"/>
      <c r="AB548" s="122"/>
      <c r="AC548" s="122"/>
      <c r="AD548" s="122"/>
      <c r="AE548" s="122"/>
      <c r="AF548" s="122"/>
      <c r="AG548" s="122"/>
      <c r="AH548" s="122"/>
      <c r="AI548" s="122"/>
      <c r="AJ548" s="122"/>
      <c r="AK548" s="122"/>
      <c r="AL548" s="122"/>
      <c r="AM548" s="122"/>
      <c r="AN548" s="122"/>
      <c r="AO548" s="122"/>
      <c r="AP548" s="122"/>
    </row>
    <row r="549" spans="2:42">
      <c r="B549" s="122"/>
      <c r="C549" s="122"/>
      <c r="D549" s="122"/>
      <c r="E549" s="122"/>
      <c r="F549" s="122"/>
      <c r="G549" s="122"/>
      <c r="H549" s="122"/>
      <c r="I549" s="275"/>
      <c r="J549" s="130"/>
      <c r="K549" s="130"/>
      <c r="L549" s="130"/>
      <c r="M549" s="130"/>
      <c r="N549" s="291"/>
      <c r="O549" s="291"/>
      <c r="P549" s="122"/>
      <c r="Q549" s="122"/>
      <c r="R549" s="122"/>
      <c r="S549" s="122"/>
      <c r="T549" s="122"/>
      <c r="U549" s="301"/>
      <c r="V549" s="260">
        <f t="shared" ca="1" si="16"/>
        <v>0</v>
      </c>
      <c r="W549" s="348" t="str">
        <f>IF(板块成分!B551="","",板块成分!B551)</f>
        <v>002022.SZ</v>
      </c>
      <c r="X549" s="276" t="str">
        <f>[1]!S_Info_Name(W549)</f>
        <v>科华生物</v>
      </c>
      <c r="Y549" s="276" t="str">
        <f ca="1">IF($Y$3="申万一级行业",[1]!s_info_industry_sw_2021(W549,公司分析!D$5,1),IF($Y$3="申万二级行业",[1]!s_info_industry_sw_2021(W549,公司分析!D$5,2),IF($Y$3="申万三级行业",[1]!s_info_industry_sw_2021(W549,公司分析!D$5,3),IF($Y$3="wind一级行业",[1]!s_info_industry_gics(W549,1),IF($Y$3="wind二级行业",[1]!s_info_industry_gics(W549,2),IF($Y$3="wind三级行业",[1]!s_info_industry_gics(W549,3),IF($Y$3="wind四级行业",[1]!s_info_industry_gics(W549,4),IF($Y$3="证监会门类行业",[1]!s_info_industry_csrc12_n(W549,公司分析!D$5,1),""))))))))</f>
        <v>医疗器械</v>
      </c>
      <c r="Z549" s="302" t="str">
        <f ca="1">IF(Y549=行业比较!$E$6,ROW(),"")</f>
        <v/>
      </c>
      <c r="AA549" s="122"/>
      <c r="AB549" s="122"/>
      <c r="AC549" s="122"/>
      <c r="AD549" s="122"/>
      <c r="AE549" s="122"/>
      <c r="AF549" s="122"/>
      <c r="AG549" s="122"/>
      <c r="AH549" s="122"/>
      <c r="AI549" s="122"/>
      <c r="AJ549" s="122"/>
      <c r="AK549" s="122"/>
      <c r="AL549" s="122"/>
      <c r="AM549" s="122"/>
      <c r="AN549" s="122"/>
      <c r="AO549" s="122"/>
      <c r="AP549" s="122"/>
    </row>
    <row r="550" spans="2:42">
      <c r="B550" s="122"/>
      <c r="C550" s="122"/>
      <c r="D550" s="122"/>
      <c r="E550" s="122"/>
      <c r="F550" s="122"/>
      <c r="G550" s="122"/>
      <c r="H550" s="122"/>
      <c r="I550" s="275"/>
      <c r="J550" s="130"/>
      <c r="K550" s="130"/>
      <c r="L550" s="130"/>
      <c r="M550" s="130"/>
      <c r="N550" s="291"/>
      <c r="O550" s="291"/>
      <c r="P550" s="122"/>
      <c r="Q550" s="122"/>
      <c r="R550" s="122"/>
      <c r="S550" s="122"/>
      <c r="T550" s="122"/>
      <c r="U550" s="301"/>
      <c r="V550" s="260">
        <f t="shared" ca="1" si="16"/>
        <v>0</v>
      </c>
      <c r="W550" s="348" t="str">
        <f>IF(板块成分!B552="","",板块成分!B552)</f>
        <v>002023.SZ</v>
      </c>
      <c r="X550" s="276" t="str">
        <f>[1]!S_Info_Name(W550)</f>
        <v>海特高新</v>
      </c>
      <c r="Y550" s="276" t="str">
        <f ca="1">IF($Y$3="申万一级行业",[1]!s_info_industry_sw_2021(W550,公司分析!D$5,1),IF($Y$3="申万二级行业",[1]!s_info_industry_sw_2021(W550,公司分析!D$5,2),IF($Y$3="申万三级行业",[1]!s_info_industry_sw_2021(W550,公司分析!D$5,3),IF($Y$3="wind一级行业",[1]!s_info_industry_gics(W550,1),IF($Y$3="wind二级行业",[1]!s_info_industry_gics(W550,2),IF($Y$3="wind三级行业",[1]!s_info_industry_gics(W550,3),IF($Y$3="wind四级行业",[1]!s_info_industry_gics(W550,4),IF($Y$3="证监会门类行业",[1]!s_info_industry_csrc12_n(W550,公司分析!D$5,1),""))))))))</f>
        <v>航空装备Ⅱ</v>
      </c>
      <c r="Z550" s="302" t="str">
        <f ca="1">IF(Y550=行业比较!$E$6,ROW(),"")</f>
        <v/>
      </c>
      <c r="AA550" s="122"/>
      <c r="AB550" s="122"/>
      <c r="AC550" s="122"/>
      <c r="AD550" s="122"/>
      <c r="AE550" s="122"/>
      <c r="AF550" s="122"/>
      <c r="AG550" s="122"/>
      <c r="AH550" s="122"/>
      <c r="AI550" s="122"/>
      <c r="AJ550" s="122"/>
      <c r="AK550" s="122"/>
      <c r="AL550" s="122"/>
      <c r="AM550" s="122"/>
      <c r="AN550" s="122"/>
      <c r="AO550" s="122"/>
      <c r="AP550" s="122"/>
    </row>
    <row r="551" spans="2:42">
      <c r="B551" s="122"/>
      <c r="C551" s="122"/>
      <c r="D551" s="122"/>
      <c r="E551" s="122"/>
      <c r="F551" s="122"/>
      <c r="G551" s="122"/>
      <c r="H551" s="122"/>
      <c r="I551" s="275"/>
      <c r="J551" s="130"/>
      <c r="K551" s="130"/>
      <c r="L551" s="130"/>
      <c r="M551" s="130"/>
      <c r="N551" s="291"/>
      <c r="O551" s="291"/>
      <c r="P551" s="122"/>
      <c r="Q551" s="122"/>
      <c r="R551" s="122"/>
      <c r="S551" s="122"/>
      <c r="T551" s="122"/>
      <c r="U551" s="301"/>
      <c r="V551" s="260">
        <f t="shared" ca="1" si="16"/>
        <v>0</v>
      </c>
      <c r="W551" s="348" t="str">
        <f>IF(板块成分!B553="","",板块成分!B553)</f>
        <v>002024.SZ</v>
      </c>
      <c r="X551" s="276" t="str">
        <f>[1]!S_Info_Name(W551)</f>
        <v>ST易购</v>
      </c>
      <c r="Y551" s="276" t="str">
        <f ca="1">IF($Y$3="申万一级行业",[1]!s_info_industry_sw_2021(W551,公司分析!D$5,1),IF($Y$3="申万二级行业",[1]!s_info_industry_sw_2021(W551,公司分析!D$5,2),IF($Y$3="申万三级行业",[1]!s_info_industry_sw_2021(W551,公司分析!D$5,3),IF($Y$3="wind一级行业",[1]!s_info_industry_gics(W551,1),IF($Y$3="wind二级行业",[1]!s_info_industry_gics(W551,2),IF($Y$3="wind三级行业",[1]!s_info_industry_gics(W551,3),IF($Y$3="wind四级行业",[1]!s_info_industry_gics(W551,4),IF($Y$3="证监会门类行业",[1]!s_info_industry_csrc12_n(W551,公司分析!D$5,1),""))))))))</f>
        <v>互联网电商</v>
      </c>
      <c r="Z551" s="302" t="str">
        <f ca="1">IF(Y551=行业比较!$E$6,ROW(),"")</f>
        <v/>
      </c>
      <c r="AA551" s="122"/>
      <c r="AB551" s="122"/>
      <c r="AC551" s="122"/>
      <c r="AD551" s="122"/>
      <c r="AE551" s="122"/>
      <c r="AF551" s="122"/>
      <c r="AG551" s="122"/>
      <c r="AH551" s="122"/>
      <c r="AI551" s="122"/>
      <c r="AJ551" s="122"/>
      <c r="AK551" s="122"/>
      <c r="AL551" s="122"/>
      <c r="AM551" s="122"/>
      <c r="AN551" s="122"/>
      <c r="AO551" s="122"/>
      <c r="AP551" s="122"/>
    </row>
    <row r="552" spans="2:42">
      <c r="B552" s="122"/>
      <c r="C552" s="122"/>
      <c r="D552" s="122"/>
      <c r="E552" s="122"/>
      <c r="F552" s="122"/>
      <c r="G552" s="122"/>
      <c r="H552" s="122"/>
      <c r="I552" s="275"/>
      <c r="J552" s="130"/>
      <c r="K552" s="130"/>
      <c r="L552" s="130"/>
      <c r="M552" s="130"/>
      <c r="N552" s="291"/>
      <c r="O552" s="291"/>
      <c r="P552" s="122"/>
      <c r="Q552" s="122"/>
      <c r="R552" s="122"/>
      <c r="S552" s="122"/>
      <c r="T552" s="122"/>
      <c r="U552" s="301"/>
      <c r="V552" s="260">
        <f t="shared" ca="1" si="16"/>
        <v>0</v>
      </c>
      <c r="W552" s="348" t="str">
        <f>IF(板块成分!B554="","",板块成分!B554)</f>
        <v>002025.SZ</v>
      </c>
      <c r="X552" s="276" t="str">
        <f>[1]!S_Info_Name(W552)</f>
        <v>航天电器</v>
      </c>
      <c r="Y552" s="276" t="str">
        <f ca="1">IF($Y$3="申万一级行业",[1]!s_info_industry_sw_2021(W552,公司分析!D$5,1),IF($Y$3="申万二级行业",[1]!s_info_industry_sw_2021(W552,公司分析!D$5,2),IF($Y$3="申万三级行业",[1]!s_info_industry_sw_2021(W552,公司分析!D$5,3),IF($Y$3="wind一级行业",[1]!s_info_industry_gics(W552,1),IF($Y$3="wind二级行业",[1]!s_info_industry_gics(W552,2),IF($Y$3="wind三级行业",[1]!s_info_industry_gics(W552,3),IF($Y$3="wind四级行业",[1]!s_info_industry_gics(W552,4),IF($Y$3="证监会门类行业",[1]!s_info_industry_csrc12_n(W552,公司分析!D$5,1),""))))))))</f>
        <v>军工电子Ⅱ</v>
      </c>
      <c r="Z552" s="302" t="str">
        <f ca="1">IF(Y552=行业比较!$E$6,ROW(),"")</f>
        <v/>
      </c>
      <c r="AA552" s="122"/>
      <c r="AB552" s="122"/>
      <c r="AC552" s="122"/>
      <c r="AD552" s="122"/>
      <c r="AE552" s="122"/>
      <c r="AF552" s="122"/>
      <c r="AG552" s="122"/>
      <c r="AH552" s="122"/>
      <c r="AI552" s="122"/>
      <c r="AJ552" s="122"/>
      <c r="AK552" s="122"/>
      <c r="AL552" s="122"/>
      <c r="AM552" s="122"/>
      <c r="AN552" s="122"/>
      <c r="AO552" s="122"/>
      <c r="AP552" s="122"/>
    </row>
    <row r="553" spans="2:42">
      <c r="B553" s="122"/>
      <c r="C553" s="122"/>
      <c r="D553" s="122"/>
      <c r="E553" s="122"/>
      <c r="F553" s="122"/>
      <c r="G553" s="122"/>
      <c r="H553" s="122"/>
      <c r="I553" s="275"/>
      <c r="J553" s="130"/>
      <c r="K553" s="130"/>
      <c r="L553" s="130"/>
      <c r="M553" s="130"/>
      <c r="N553" s="291"/>
      <c r="O553" s="291"/>
      <c r="P553" s="122"/>
      <c r="Q553" s="122"/>
      <c r="R553" s="122"/>
      <c r="S553" s="122"/>
      <c r="T553" s="122"/>
      <c r="U553" s="301"/>
      <c r="V553" s="260">
        <f t="shared" ca="1" si="16"/>
        <v>0</v>
      </c>
      <c r="W553" s="348" t="str">
        <f>IF(板块成分!B555="","",板块成分!B555)</f>
        <v>002026.SZ</v>
      </c>
      <c r="X553" s="276" t="str">
        <f>[1]!S_Info_Name(W553)</f>
        <v>山东威达</v>
      </c>
      <c r="Y553" s="276" t="str">
        <f ca="1">IF($Y$3="申万一级行业",[1]!s_info_industry_sw_2021(W553,公司分析!D$5,1),IF($Y$3="申万二级行业",[1]!s_info_industry_sw_2021(W553,公司分析!D$5,2),IF($Y$3="申万三级行业",[1]!s_info_industry_sw_2021(W553,公司分析!D$5,3),IF($Y$3="wind一级行业",[1]!s_info_industry_gics(W553,1),IF($Y$3="wind二级行业",[1]!s_info_industry_gics(W553,2),IF($Y$3="wind三级行业",[1]!s_info_industry_gics(W553,3),IF($Y$3="wind四级行业",[1]!s_info_industry_gics(W553,4),IF($Y$3="证监会门类行业",[1]!s_info_industry_csrc12_n(W553,公司分析!D$5,1),""))))))))</f>
        <v>通用设备</v>
      </c>
      <c r="Z553" s="302" t="str">
        <f ca="1">IF(Y553=行业比较!$E$6,ROW(),"")</f>
        <v/>
      </c>
      <c r="AA553" s="122"/>
      <c r="AB553" s="122"/>
      <c r="AC553" s="122"/>
      <c r="AD553" s="122"/>
      <c r="AE553" s="122"/>
      <c r="AF553" s="122"/>
      <c r="AG553" s="122"/>
      <c r="AH553" s="122"/>
      <c r="AI553" s="122"/>
      <c r="AJ553" s="122"/>
      <c r="AK553" s="122"/>
      <c r="AL553" s="122"/>
      <c r="AM553" s="122"/>
      <c r="AN553" s="122"/>
      <c r="AO553" s="122"/>
      <c r="AP553" s="122"/>
    </row>
    <row r="554" spans="2:42">
      <c r="B554" s="122"/>
      <c r="C554" s="122"/>
      <c r="D554" s="122"/>
      <c r="E554" s="122"/>
      <c r="F554" s="122"/>
      <c r="G554" s="122"/>
      <c r="H554" s="122"/>
      <c r="I554" s="275"/>
      <c r="J554" s="130"/>
      <c r="K554" s="130"/>
      <c r="L554" s="130"/>
      <c r="M554" s="130"/>
      <c r="N554" s="291"/>
      <c r="O554" s="291"/>
      <c r="P554" s="122"/>
      <c r="Q554" s="122"/>
      <c r="R554" s="122"/>
      <c r="S554" s="122"/>
      <c r="T554" s="122"/>
      <c r="U554" s="301"/>
      <c r="V554" s="260">
        <f t="shared" ca="1" si="16"/>
        <v>0</v>
      </c>
      <c r="W554" s="348" t="str">
        <f>IF(板块成分!B556="","",板块成分!B556)</f>
        <v>002027.SZ</v>
      </c>
      <c r="X554" s="276" t="str">
        <f>[1]!S_Info_Name(W554)</f>
        <v>分众传媒</v>
      </c>
      <c r="Y554" s="276" t="str">
        <f ca="1">IF($Y$3="申万一级行业",[1]!s_info_industry_sw_2021(W554,公司分析!D$5,1),IF($Y$3="申万二级行业",[1]!s_info_industry_sw_2021(W554,公司分析!D$5,2),IF($Y$3="申万三级行业",[1]!s_info_industry_sw_2021(W554,公司分析!D$5,3),IF($Y$3="wind一级行业",[1]!s_info_industry_gics(W554,1),IF($Y$3="wind二级行业",[1]!s_info_industry_gics(W554,2),IF($Y$3="wind三级行业",[1]!s_info_industry_gics(W554,3),IF($Y$3="wind四级行业",[1]!s_info_industry_gics(W554,4),IF($Y$3="证监会门类行业",[1]!s_info_industry_csrc12_n(W554,公司分析!D$5,1),""))))))))</f>
        <v>广告营销</v>
      </c>
      <c r="Z554" s="302" t="str">
        <f ca="1">IF(Y554=行业比较!$E$6,ROW(),"")</f>
        <v/>
      </c>
      <c r="AA554" s="122"/>
      <c r="AB554" s="122"/>
      <c r="AC554" s="122"/>
      <c r="AD554" s="122"/>
      <c r="AE554" s="122"/>
      <c r="AF554" s="122"/>
      <c r="AG554" s="122"/>
      <c r="AH554" s="122"/>
      <c r="AI554" s="122"/>
      <c r="AJ554" s="122"/>
      <c r="AK554" s="122"/>
      <c r="AL554" s="122"/>
      <c r="AM554" s="122"/>
      <c r="AN554" s="122"/>
      <c r="AO554" s="122"/>
      <c r="AP554" s="122"/>
    </row>
    <row r="555" spans="2:42">
      <c r="B555" s="122"/>
      <c r="C555" s="122"/>
      <c r="D555" s="122"/>
      <c r="E555" s="122"/>
      <c r="F555" s="122"/>
      <c r="G555" s="122"/>
      <c r="H555" s="122"/>
      <c r="I555" s="275"/>
      <c r="J555" s="130"/>
      <c r="K555" s="130"/>
      <c r="L555" s="130"/>
      <c r="M555" s="130"/>
      <c r="N555" s="291"/>
      <c r="O555" s="291"/>
      <c r="P555" s="122"/>
      <c r="Q555" s="122"/>
      <c r="R555" s="122"/>
      <c r="S555" s="122"/>
      <c r="T555" s="122"/>
      <c r="U555" s="301"/>
      <c r="V555" s="260">
        <f t="shared" ca="1" si="16"/>
        <v>0</v>
      </c>
      <c r="W555" s="348" t="str">
        <f>IF(板块成分!B557="","",板块成分!B557)</f>
        <v>002028.SZ</v>
      </c>
      <c r="X555" s="276" t="str">
        <f>[1]!S_Info_Name(W555)</f>
        <v>思源电气</v>
      </c>
      <c r="Y555" s="276" t="str">
        <f ca="1">IF($Y$3="申万一级行业",[1]!s_info_industry_sw_2021(W555,公司分析!D$5,1),IF($Y$3="申万二级行业",[1]!s_info_industry_sw_2021(W555,公司分析!D$5,2),IF($Y$3="申万三级行业",[1]!s_info_industry_sw_2021(W555,公司分析!D$5,3),IF($Y$3="wind一级行业",[1]!s_info_industry_gics(W555,1),IF($Y$3="wind二级行业",[1]!s_info_industry_gics(W555,2),IF($Y$3="wind三级行业",[1]!s_info_industry_gics(W555,3),IF($Y$3="wind四级行业",[1]!s_info_industry_gics(W555,4),IF($Y$3="证监会门类行业",[1]!s_info_industry_csrc12_n(W555,公司分析!D$5,1),""))))))))</f>
        <v>电网设备</v>
      </c>
      <c r="Z555" s="302" t="str">
        <f ca="1">IF(Y555=行业比较!$E$6,ROW(),"")</f>
        <v/>
      </c>
      <c r="AA555" s="122"/>
      <c r="AB555" s="122"/>
      <c r="AC555" s="122"/>
      <c r="AD555" s="122"/>
      <c r="AE555" s="122"/>
      <c r="AF555" s="122"/>
      <c r="AG555" s="122"/>
      <c r="AH555" s="122"/>
      <c r="AI555" s="122"/>
      <c r="AJ555" s="122"/>
      <c r="AK555" s="122"/>
      <c r="AL555" s="122"/>
      <c r="AM555" s="122"/>
      <c r="AN555" s="122"/>
      <c r="AO555" s="122"/>
      <c r="AP555" s="122"/>
    </row>
    <row r="556" spans="2:42">
      <c r="B556" s="122"/>
      <c r="C556" s="122"/>
      <c r="D556" s="122"/>
      <c r="E556" s="122"/>
      <c r="F556" s="122"/>
      <c r="G556" s="122"/>
      <c r="H556" s="122"/>
      <c r="I556" s="275"/>
      <c r="J556" s="130"/>
      <c r="K556" s="130"/>
      <c r="L556" s="130"/>
      <c r="M556" s="130"/>
      <c r="N556" s="291"/>
      <c r="O556" s="291"/>
      <c r="P556" s="122"/>
      <c r="Q556" s="122"/>
      <c r="R556" s="122"/>
      <c r="S556" s="122"/>
      <c r="T556" s="122"/>
      <c r="U556" s="301"/>
      <c r="V556" s="260">
        <f t="shared" ca="1" si="16"/>
        <v>0</v>
      </c>
      <c r="W556" s="348" t="str">
        <f>IF(板块成分!B558="","",板块成分!B558)</f>
        <v>002029.SZ</v>
      </c>
      <c r="X556" s="276" t="str">
        <f>[1]!S_Info_Name(W556)</f>
        <v>七匹狼</v>
      </c>
      <c r="Y556" s="276" t="str">
        <f ca="1">IF($Y$3="申万一级行业",[1]!s_info_industry_sw_2021(W556,公司分析!D$5,1),IF($Y$3="申万二级行业",[1]!s_info_industry_sw_2021(W556,公司分析!D$5,2),IF($Y$3="申万三级行业",[1]!s_info_industry_sw_2021(W556,公司分析!D$5,3),IF($Y$3="wind一级行业",[1]!s_info_industry_gics(W556,1),IF($Y$3="wind二级行业",[1]!s_info_industry_gics(W556,2),IF($Y$3="wind三级行业",[1]!s_info_industry_gics(W556,3),IF($Y$3="wind四级行业",[1]!s_info_industry_gics(W556,4),IF($Y$3="证监会门类行业",[1]!s_info_industry_csrc12_n(W556,公司分析!D$5,1),""))))))))</f>
        <v>服装家纺</v>
      </c>
      <c r="Z556" s="302" t="str">
        <f ca="1">IF(Y556=行业比较!$E$6,ROW(),"")</f>
        <v/>
      </c>
      <c r="AA556" s="122"/>
      <c r="AB556" s="122"/>
      <c r="AC556" s="122"/>
      <c r="AD556" s="122"/>
      <c r="AE556" s="122"/>
      <c r="AF556" s="122"/>
      <c r="AG556" s="122"/>
      <c r="AH556" s="122"/>
      <c r="AI556" s="122"/>
      <c r="AJ556" s="122"/>
      <c r="AK556" s="122"/>
      <c r="AL556" s="122"/>
      <c r="AM556" s="122"/>
      <c r="AN556" s="122"/>
      <c r="AO556" s="122"/>
      <c r="AP556" s="122"/>
    </row>
    <row r="557" spans="2:42">
      <c r="B557" s="122"/>
      <c r="C557" s="122"/>
      <c r="D557" s="122"/>
      <c r="E557" s="122"/>
      <c r="F557" s="122"/>
      <c r="G557" s="122"/>
      <c r="H557" s="122"/>
      <c r="I557" s="275"/>
      <c r="J557" s="130"/>
      <c r="K557" s="130"/>
      <c r="L557" s="130"/>
      <c r="M557" s="130"/>
      <c r="N557" s="291"/>
      <c r="O557" s="291"/>
      <c r="P557" s="122"/>
      <c r="Q557" s="122"/>
      <c r="R557" s="122"/>
      <c r="S557" s="122"/>
      <c r="T557" s="122"/>
      <c r="U557" s="301"/>
      <c r="V557" s="260">
        <f t="shared" ca="1" si="16"/>
        <v>0</v>
      </c>
      <c r="W557" s="348" t="str">
        <f>IF(板块成分!B559="","",板块成分!B559)</f>
        <v>002030.SZ</v>
      </c>
      <c r="X557" s="276" t="str">
        <f>[1]!S_Info_Name(W557)</f>
        <v>达安基因</v>
      </c>
      <c r="Y557" s="276" t="str">
        <f ca="1">IF($Y$3="申万一级行业",[1]!s_info_industry_sw_2021(W557,公司分析!D$5,1),IF($Y$3="申万二级行业",[1]!s_info_industry_sw_2021(W557,公司分析!D$5,2),IF($Y$3="申万三级行业",[1]!s_info_industry_sw_2021(W557,公司分析!D$5,3),IF($Y$3="wind一级行业",[1]!s_info_industry_gics(W557,1),IF($Y$3="wind二级行业",[1]!s_info_industry_gics(W557,2),IF($Y$3="wind三级行业",[1]!s_info_industry_gics(W557,3),IF($Y$3="wind四级行业",[1]!s_info_industry_gics(W557,4),IF($Y$3="证监会门类行业",[1]!s_info_industry_csrc12_n(W557,公司分析!D$5,1),""))))))))</f>
        <v>医疗器械</v>
      </c>
      <c r="Z557" s="302" t="str">
        <f ca="1">IF(Y557=行业比较!$E$6,ROW(),"")</f>
        <v/>
      </c>
      <c r="AA557" s="122"/>
      <c r="AB557" s="122"/>
      <c r="AC557" s="122"/>
      <c r="AD557" s="122"/>
      <c r="AE557" s="122"/>
      <c r="AF557" s="122"/>
      <c r="AG557" s="122"/>
      <c r="AH557" s="122"/>
      <c r="AI557" s="122"/>
      <c r="AJ557" s="122"/>
      <c r="AK557" s="122"/>
      <c r="AL557" s="122"/>
      <c r="AM557" s="122"/>
      <c r="AN557" s="122"/>
      <c r="AO557" s="122"/>
      <c r="AP557" s="122"/>
    </row>
    <row r="558" spans="2:42">
      <c r="B558" s="122"/>
      <c r="C558" s="122"/>
      <c r="D558" s="122"/>
      <c r="E558" s="122"/>
      <c r="F558" s="122"/>
      <c r="G558" s="122"/>
      <c r="H558" s="122"/>
      <c r="I558" s="275"/>
      <c r="J558" s="130"/>
      <c r="K558" s="130"/>
      <c r="L558" s="130"/>
      <c r="M558" s="130"/>
      <c r="N558" s="291"/>
      <c r="O558" s="291"/>
      <c r="P558" s="122"/>
      <c r="Q558" s="122"/>
      <c r="R558" s="122"/>
      <c r="S558" s="122"/>
      <c r="T558" s="122"/>
      <c r="U558" s="301"/>
      <c r="V558" s="260">
        <f t="shared" ca="1" si="16"/>
        <v>0</v>
      </c>
      <c r="W558" s="348" t="str">
        <f>IF(板块成分!B560="","",板块成分!B560)</f>
        <v>002031.SZ</v>
      </c>
      <c r="X558" s="276" t="str">
        <f>[1]!S_Info_Name(W558)</f>
        <v>巨轮智能</v>
      </c>
      <c r="Y558" s="276" t="str">
        <f ca="1">IF($Y$3="申万一级行业",[1]!s_info_industry_sw_2021(W558,公司分析!D$5,1),IF($Y$3="申万二级行业",[1]!s_info_industry_sw_2021(W558,公司分析!D$5,2),IF($Y$3="申万三级行业",[1]!s_info_industry_sw_2021(W558,公司分析!D$5,3),IF($Y$3="wind一级行业",[1]!s_info_industry_gics(W558,1),IF($Y$3="wind二级行业",[1]!s_info_industry_gics(W558,2),IF($Y$3="wind三级行业",[1]!s_info_industry_gics(W558,3),IF($Y$3="wind四级行业",[1]!s_info_industry_gics(W558,4),IF($Y$3="证监会门类行业",[1]!s_info_industry_csrc12_n(W558,公司分析!D$5,1),""))))))))</f>
        <v>专用设备</v>
      </c>
      <c r="Z558" s="302" t="str">
        <f ca="1">IF(Y558=行业比较!$E$6,ROW(),"")</f>
        <v/>
      </c>
      <c r="AA558" s="122"/>
      <c r="AB558" s="122"/>
      <c r="AC558" s="122"/>
      <c r="AD558" s="122"/>
      <c r="AE558" s="122"/>
      <c r="AF558" s="122"/>
      <c r="AG558" s="122"/>
      <c r="AH558" s="122"/>
      <c r="AI558" s="122"/>
      <c r="AJ558" s="122"/>
      <c r="AK558" s="122"/>
      <c r="AL558" s="122"/>
      <c r="AM558" s="122"/>
      <c r="AN558" s="122"/>
      <c r="AO558" s="122"/>
      <c r="AP558" s="122"/>
    </row>
    <row r="559" spans="2:42">
      <c r="B559" s="122"/>
      <c r="C559" s="122"/>
      <c r="D559" s="122"/>
      <c r="E559" s="122"/>
      <c r="F559" s="122"/>
      <c r="G559" s="122"/>
      <c r="H559" s="122"/>
      <c r="I559" s="275"/>
      <c r="J559" s="130"/>
      <c r="K559" s="130"/>
      <c r="L559" s="130"/>
      <c r="M559" s="130"/>
      <c r="N559" s="291"/>
      <c r="O559" s="291"/>
      <c r="P559" s="122"/>
      <c r="Q559" s="122"/>
      <c r="R559" s="122"/>
      <c r="S559" s="122"/>
      <c r="T559" s="122"/>
      <c r="U559" s="301"/>
      <c r="V559" s="260">
        <f t="shared" ca="1" si="16"/>
        <v>0</v>
      </c>
      <c r="W559" s="348" t="str">
        <f>IF(板块成分!B561="","",板块成分!B561)</f>
        <v>002032.SZ</v>
      </c>
      <c r="X559" s="276" t="str">
        <f>[1]!S_Info_Name(W559)</f>
        <v>苏泊尔</v>
      </c>
      <c r="Y559" s="276" t="str">
        <f ca="1">IF($Y$3="申万一级行业",[1]!s_info_industry_sw_2021(W559,公司分析!D$5,1),IF($Y$3="申万二级行业",[1]!s_info_industry_sw_2021(W559,公司分析!D$5,2),IF($Y$3="申万三级行业",[1]!s_info_industry_sw_2021(W559,公司分析!D$5,3),IF($Y$3="wind一级行业",[1]!s_info_industry_gics(W559,1),IF($Y$3="wind二级行业",[1]!s_info_industry_gics(W559,2),IF($Y$3="wind三级行业",[1]!s_info_industry_gics(W559,3),IF($Y$3="wind四级行业",[1]!s_info_industry_gics(W559,4),IF($Y$3="证监会门类行业",[1]!s_info_industry_csrc12_n(W559,公司分析!D$5,1),""))))))))</f>
        <v>小家电</v>
      </c>
      <c r="Z559" s="302" t="str">
        <f ca="1">IF(Y559=行业比较!$E$6,ROW(),"")</f>
        <v/>
      </c>
      <c r="AA559" s="122"/>
      <c r="AB559" s="122"/>
      <c r="AC559" s="122"/>
      <c r="AD559" s="122"/>
      <c r="AE559" s="122"/>
      <c r="AF559" s="122"/>
      <c r="AG559" s="122"/>
      <c r="AH559" s="122"/>
      <c r="AI559" s="122"/>
      <c r="AJ559" s="122"/>
      <c r="AK559" s="122"/>
      <c r="AL559" s="122"/>
      <c r="AM559" s="122"/>
      <c r="AN559" s="122"/>
      <c r="AO559" s="122"/>
      <c r="AP559" s="122"/>
    </row>
    <row r="560" spans="2:42">
      <c r="B560" s="122"/>
      <c r="C560" s="122"/>
      <c r="D560" s="122"/>
      <c r="E560" s="122"/>
      <c r="F560" s="122"/>
      <c r="G560" s="122"/>
      <c r="H560" s="122"/>
      <c r="I560" s="275"/>
      <c r="J560" s="130"/>
      <c r="K560" s="130"/>
      <c r="L560" s="130"/>
      <c r="M560" s="130"/>
      <c r="N560" s="291"/>
      <c r="O560" s="291"/>
      <c r="P560" s="122"/>
      <c r="Q560" s="122"/>
      <c r="R560" s="122"/>
      <c r="S560" s="122"/>
      <c r="T560" s="122"/>
      <c r="U560" s="301"/>
      <c r="V560" s="260">
        <f t="shared" ca="1" si="16"/>
        <v>0</v>
      </c>
      <c r="W560" s="348" t="str">
        <f>IF(板块成分!B562="","",板块成分!B562)</f>
        <v>002033.SZ</v>
      </c>
      <c r="X560" s="276" t="str">
        <f>[1]!S_Info_Name(W560)</f>
        <v>丽江股份</v>
      </c>
      <c r="Y560" s="276" t="str">
        <f ca="1">IF($Y$3="申万一级行业",[1]!s_info_industry_sw_2021(W560,公司分析!D$5,1),IF($Y$3="申万二级行业",[1]!s_info_industry_sw_2021(W560,公司分析!D$5,2),IF($Y$3="申万三级行业",[1]!s_info_industry_sw_2021(W560,公司分析!D$5,3),IF($Y$3="wind一级行业",[1]!s_info_industry_gics(W560,1),IF($Y$3="wind二级行业",[1]!s_info_industry_gics(W560,2),IF($Y$3="wind三级行业",[1]!s_info_industry_gics(W560,3),IF($Y$3="wind四级行业",[1]!s_info_industry_gics(W560,4),IF($Y$3="证监会门类行业",[1]!s_info_industry_csrc12_n(W560,公司分析!D$5,1),""))))))))</f>
        <v>旅游及景区</v>
      </c>
      <c r="Z560" s="302" t="str">
        <f ca="1">IF(Y560=行业比较!$E$6,ROW(),"")</f>
        <v/>
      </c>
      <c r="AA560" s="122"/>
      <c r="AB560" s="122"/>
      <c r="AC560" s="122"/>
      <c r="AD560" s="122"/>
      <c r="AE560" s="122"/>
      <c r="AF560" s="122"/>
      <c r="AG560" s="122"/>
      <c r="AH560" s="122"/>
      <c r="AI560" s="122"/>
      <c r="AJ560" s="122"/>
      <c r="AK560" s="122"/>
      <c r="AL560" s="122"/>
      <c r="AM560" s="122"/>
      <c r="AN560" s="122"/>
      <c r="AO560" s="122"/>
      <c r="AP560" s="122"/>
    </row>
    <row r="561" spans="2:42">
      <c r="B561" s="122"/>
      <c r="C561" s="122"/>
      <c r="D561" s="122"/>
      <c r="E561" s="122"/>
      <c r="F561" s="122"/>
      <c r="G561" s="122"/>
      <c r="H561" s="122"/>
      <c r="I561" s="275"/>
      <c r="J561" s="130"/>
      <c r="K561" s="130"/>
      <c r="L561" s="130"/>
      <c r="M561" s="130"/>
      <c r="N561" s="291"/>
      <c r="O561" s="291"/>
      <c r="P561" s="122"/>
      <c r="Q561" s="122"/>
      <c r="R561" s="122"/>
      <c r="S561" s="122"/>
      <c r="T561" s="122"/>
      <c r="U561" s="301"/>
      <c r="V561" s="260">
        <f t="shared" ca="1" si="16"/>
        <v>0</v>
      </c>
      <c r="W561" s="348" t="str">
        <f>IF(板块成分!B563="","",板块成分!B563)</f>
        <v>002034.SZ</v>
      </c>
      <c r="X561" s="276" t="str">
        <f>[1]!S_Info_Name(W561)</f>
        <v>旺能环境</v>
      </c>
      <c r="Y561" s="276" t="str">
        <f ca="1">IF($Y$3="申万一级行业",[1]!s_info_industry_sw_2021(W561,公司分析!D$5,1),IF($Y$3="申万二级行业",[1]!s_info_industry_sw_2021(W561,公司分析!D$5,2),IF($Y$3="申万三级行业",[1]!s_info_industry_sw_2021(W561,公司分析!D$5,3),IF($Y$3="wind一级行业",[1]!s_info_industry_gics(W561,1),IF($Y$3="wind二级行业",[1]!s_info_industry_gics(W561,2),IF($Y$3="wind三级行业",[1]!s_info_industry_gics(W561,3),IF($Y$3="wind四级行业",[1]!s_info_industry_gics(W561,4),IF($Y$3="证监会门类行业",[1]!s_info_industry_csrc12_n(W561,公司分析!D$5,1),""))))))))</f>
        <v>环境治理</v>
      </c>
      <c r="Z561" s="302" t="str">
        <f ca="1">IF(Y561=行业比较!$E$6,ROW(),"")</f>
        <v/>
      </c>
      <c r="AA561" s="122"/>
      <c r="AB561" s="122"/>
      <c r="AC561" s="122"/>
      <c r="AD561" s="122"/>
      <c r="AE561" s="122"/>
      <c r="AF561" s="122"/>
      <c r="AG561" s="122"/>
      <c r="AH561" s="122"/>
      <c r="AI561" s="122"/>
      <c r="AJ561" s="122"/>
      <c r="AK561" s="122"/>
      <c r="AL561" s="122"/>
      <c r="AM561" s="122"/>
      <c r="AN561" s="122"/>
      <c r="AO561" s="122"/>
      <c r="AP561" s="122"/>
    </row>
    <row r="562" spans="2:42">
      <c r="B562" s="122"/>
      <c r="C562" s="122"/>
      <c r="D562" s="122"/>
      <c r="E562" s="122"/>
      <c r="F562" s="122"/>
      <c r="G562" s="122"/>
      <c r="H562" s="122"/>
      <c r="I562" s="275"/>
      <c r="J562" s="130"/>
      <c r="K562" s="130"/>
      <c r="L562" s="130"/>
      <c r="M562" s="130"/>
      <c r="N562" s="291"/>
      <c r="O562" s="291"/>
      <c r="P562" s="122"/>
      <c r="Q562" s="122"/>
      <c r="R562" s="122"/>
      <c r="S562" s="122"/>
      <c r="T562" s="122"/>
      <c r="U562" s="301"/>
      <c r="V562" s="260">
        <f t="shared" ca="1" si="16"/>
        <v>0</v>
      </c>
      <c r="W562" s="348" t="str">
        <f>IF(板块成分!B564="","",板块成分!B564)</f>
        <v>002035.SZ</v>
      </c>
      <c r="X562" s="276" t="str">
        <f>[1]!S_Info_Name(W562)</f>
        <v>华帝股份</v>
      </c>
      <c r="Y562" s="276" t="str">
        <f ca="1">IF($Y$3="申万一级行业",[1]!s_info_industry_sw_2021(W562,公司分析!D$5,1),IF($Y$3="申万二级行业",[1]!s_info_industry_sw_2021(W562,公司分析!D$5,2),IF($Y$3="申万三级行业",[1]!s_info_industry_sw_2021(W562,公司分析!D$5,3),IF($Y$3="wind一级行业",[1]!s_info_industry_gics(W562,1),IF($Y$3="wind二级行业",[1]!s_info_industry_gics(W562,2),IF($Y$3="wind三级行业",[1]!s_info_industry_gics(W562,3),IF($Y$3="wind四级行业",[1]!s_info_industry_gics(W562,4),IF($Y$3="证监会门类行业",[1]!s_info_industry_csrc12_n(W562,公司分析!D$5,1),""))))))))</f>
        <v>厨卫电器</v>
      </c>
      <c r="Z562" s="302" t="str">
        <f ca="1">IF(Y562=行业比较!$E$6,ROW(),"")</f>
        <v/>
      </c>
      <c r="AA562" s="122"/>
      <c r="AB562" s="122"/>
      <c r="AC562" s="122"/>
      <c r="AD562" s="122"/>
      <c r="AE562" s="122"/>
      <c r="AF562" s="122"/>
      <c r="AG562" s="122"/>
      <c r="AH562" s="122"/>
      <c r="AI562" s="122"/>
      <c r="AJ562" s="122"/>
      <c r="AK562" s="122"/>
      <c r="AL562" s="122"/>
      <c r="AM562" s="122"/>
      <c r="AN562" s="122"/>
      <c r="AO562" s="122"/>
      <c r="AP562" s="122"/>
    </row>
    <row r="563" spans="2:42">
      <c r="B563" s="122"/>
      <c r="C563" s="122"/>
      <c r="D563" s="122"/>
      <c r="E563" s="122"/>
      <c r="F563" s="122"/>
      <c r="G563" s="122"/>
      <c r="H563" s="122"/>
      <c r="I563" s="275"/>
      <c r="J563" s="130"/>
      <c r="K563" s="130"/>
      <c r="L563" s="130"/>
      <c r="M563" s="130"/>
      <c r="N563" s="291"/>
      <c r="O563" s="291"/>
      <c r="P563" s="122"/>
      <c r="Q563" s="122"/>
      <c r="R563" s="122"/>
      <c r="S563" s="122"/>
      <c r="T563" s="122"/>
      <c r="U563" s="301"/>
      <c r="V563" s="260">
        <f t="shared" ca="1" si="16"/>
        <v>0</v>
      </c>
      <c r="W563" s="348" t="str">
        <f>IF(板块成分!B565="","",板块成分!B565)</f>
        <v>002036.SZ</v>
      </c>
      <c r="X563" s="276" t="str">
        <f>[1]!S_Info_Name(W563)</f>
        <v>联创电子</v>
      </c>
      <c r="Y563" s="276" t="str">
        <f ca="1">IF($Y$3="申万一级行业",[1]!s_info_industry_sw_2021(W563,公司分析!D$5,1),IF($Y$3="申万二级行业",[1]!s_info_industry_sw_2021(W563,公司分析!D$5,2),IF($Y$3="申万三级行业",[1]!s_info_industry_sw_2021(W563,公司分析!D$5,3),IF($Y$3="wind一级行业",[1]!s_info_industry_gics(W563,1),IF($Y$3="wind二级行业",[1]!s_info_industry_gics(W563,2),IF($Y$3="wind三级行业",[1]!s_info_industry_gics(W563,3),IF($Y$3="wind四级行业",[1]!s_info_industry_gics(W563,4),IF($Y$3="证监会门类行业",[1]!s_info_industry_csrc12_n(W563,公司分析!D$5,1),""))))))))</f>
        <v>光学光电子</v>
      </c>
      <c r="Z563" s="302" t="str">
        <f ca="1">IF(Y563=行业比较!$E$6,ROW(),"")</f>
        <v/>
      </c>
      <c r="AA563" s="122"/>
      <c r="AB563" s="122"/>
      <c r="AC563" s="122"/>
      <c r="AD563" s="122"/>
      <c r="AE563" s="122"/>
      <c r="AF563" s="122"/>
      <c r="AG563" s="122"/>
      <c r="AH563" s="122"/>
      <c r="AI563" s="122"/>
      <c r="AJ563" s="122"/>
      <c r="AK563" s="122"/>
      <c r="AL563" s="122"/>
      <c r="AM563" s="122"/>
      <c r="AN563" s="122"/>
      <c r="AO563" s="122"/>
      <c r="AP563" s="122"/>
    </row>
    <row r="564" spans="2:42">
      <c r="B564" s="122"/>
      <c r="C564" s="122"/>
      <c r="D564" s="122"/>
      <c r="E564" s="122"/>
      <c r="F564" s="122"/>
      <c r="G564" s="122"/>
      <c r="H564" s="122"/>
      <c r="I564" s="275"/>
      <c r="J564" s="130"/>
      <c r="K564" s="130"/>
      <c r="L564" s="130"/>
      <c r="M564" s="130"/>
      <c r="N564" s="291"/>
      <c r="O564" s="291"/>
      <c r="P564" s="122"/>
      <c r="Q564" s="122"/>
      <c r="R564" s="122"/>
      <c r="S564" s="122"/>
      <c r="T564" s="122"/>
      <c r="U564" s="301"/>
      <c r="V564" s="260">
        <f t="shared" ca="1" si="16"/>
        <v>0</v>
      </c>
      <c r="W564" s="348" t="str">
        <f>IF(板块成分!B566="","",板块成分!B566)</f>
        <v>002037.SZ</v>
      </c>
      <c r="X564" s="276" t="str">
        <f>[1]!S_Info_Name(W564)</f>
        <v>保利联合</v>
      </c>
      <c r="Y564" s="276" t="str">
        <f ca="1">IF($Y$3="申万一级行业",[1]!s_info_industry_sw_2021(W564,公司分析!D$5,1),IF($Y$3="申万二级行业",[1]!s_info_industry_sw_2021(W564,公司分析!D$5,2),IF($Y$3="申万三级行业",[1]!s_info_industry_sw_2021(W564,公司分析!D$5,3),IF($Y$3="wind一级行业",[1]!s_info_industry_gics(W564,1),IF($Y$3="wind二级行业",[1]!s_info_industry_gics(W564,2),IF($Y$3="wind三级行业",[1]!s_info_industry_gics(W564,3),IF($Y$3="wind四级行业",[1]!s_info_industry_gics(W564,4),IF($Y$3="证监会门类行业",[1]!s_info_industry_csrc12_n(W564,公司分析!D$5,1),""))))))))</f>
        <v>化学制品</v>
      </c>
      <c r="Z564" s="302" t="str">
        <f ca="1">IF(Y564=行业比较!$E$6,ROW(),"")</f>
        <v/>
      </c>
      <c r="AA564" s="122"/>
      <c r="AB564" s="122"/>
      <c r="AC564" s="122"/>
      <c r="AD564" s="122"/>
      <c r="AE564" s="122"/>
      <c r="AF564" s="122"/>
      <c r="AG564" s="122"/>
      <c r="AH564" s="122"/>
      <c r="AI564" s="122"/>
      <c r="AJ564" s="122"/>
      <c r="AK564" s="122"/>
      <c r="AL564" s="122"/>
      <c r="AM564" s="122"/>
      <c r="AN564" s="122"/>
      <c r="AO564" s="122"/>
      <c r="AP564" s="122"/>
    </row>
    <row r="565" spans="2:42">
      <c r="B565" s="122"/>
      <c r="C565" s="122"/>
      <c r="D565" s="122"/>
      <c r="E565" s="122"/>
      <c r="F565" s="122"/>
      <c r="G565" s="122"/>
      <c r="H565" s="122"/>
      <c r="I565" s="275"/>
      <c r="J565" s="130"/>
      <c r="K565" s="130"/>
      <c r="L565" s="130"/>
      <c r="M565" s="130"/>
      <c r="N565" s="291"/>
      <c r="O565" s="291"/>
      <c r="P565" s="122"/>
      <c r="Q565" s="122"/>
      <c r="R565" s="122"/>
      <c r="S565" s="122"/>
      <c r="T565" s="122"/>
      <c r="U565" s="301"/>
      <c r="V565" s="260">
        <f t="shared" ca="1" si="16"/>
        <v>0</v>
      </c>
      <c r="W565" s="348" t="str">
        <f>IF(板块成分!B567="","",板块成分!B567)</f>
        <v>002038.SZ</v>
      </c>
      <c r="X565" s="276" t="str">
        <f>[1]!S_Info_Name(W565)</f>
        <v>双鹭药业</v>
      </c>
      <c r="Y565" s="276" t="str">
        <f ca="1">IF($Y$3="申万一级行业",[1]!s_info_industry_sw_2021(W565,公司分析!D$5,1),IF($Y$3="申万二级行业",[1]!s_info_industry_sw_2021(W565,公司分析!D$5,2),IF($Y$3="申万三级行业",[1]!s_info_industry_sw_2021(W565,公司分析!D$5,3),IF($Y$3="wind一级行业",[1]!s_info_industry_gics(W565,1),IF($Y$3="wind二级行业",[1]!s_info_industry_gics(W565,2),IF($Y$3="wind三级行业",[1]!s_info_industry_gics(W565,3),IF($Y$3="wind四级行业",[1]!s_info_industry_gics(W565,4),IF($Y$3="证监会门类行业",[1]!s_info_industry_csrc12_n(W565,公司分析!D$5,1),""))))))))</f>
        <v>化学制药</v>
      </c>
      <c r="Z565" s="302" t="str">
        <f ca="1">IF(Y565=行业比较!$E$6,ROW(),"")</f>
        <v/>
      </c>
      <c r="AA565" s="122"/>
      <c r="AB565" s="122"/>
      <c r="AC565" s="122"/>
      <c r="AD565" s="122"/>
      <c r="AE565" s="122"/>
      <c r="AF565" s="122"/>
      <c r="AG565" s="122"/>
      <c r="AH565" s="122"/>
      <c r="AI565" s="122"/>
      <c r="AJ565" s="122"/>
      <c r="AK565" s="122"/>
      <c r="AL565" s="122"/>
      <c r="AM565" s="122"/>
      <c r="AN565" s="122"/>
      <c r="AO565" s="122"/>
      <c r="AP565" s="122"/>
    </row>
    <row r="566" spans="2:42">
      <c r="B566" s="122"/>
      <c r="C566" s="122"/>
      <c r="D566" s="122"/>
      <c r="E566" s="122"/>
      <c r="F566" s="122"/>
      <c r="G566" s="122"/>
      <c r="H566" s="122"/>
      <c r="I566" s="275"/>
      <c r="J566" s="130"/>
      <c r="K566" s="130"/>
      <c r="L566" s="130"/>
      <c r="M566" s="130"/>
      <c r="N566" s="291"/>
      <c r="O566" s="291"/>
      <c r="P566" s="122"/>
      <c r="Q566" s="122"/>
      <c r="R566" s="122"/>
      <c r="S566" s="122"/>
      <c r="T566" s="122"/>
      <c r="U566" s="301"/>
      <c r="V566" s="260">
        <f t="shared" ca="1" si="16"/>
        <v>0</v>
      </c>
      <c r="W566" s="348" t="str">
        <f>IF(板块成分!B568="","",板块成分!B568)</f>
        <v>002039.SZ</v>
      </c>
      <c r="X566" s="276" t="str">
        <f>[1]!S_Info_Name(W566)</f>
        <v>黔源电力</v>
      </c>
      <c r="Y566" s="276" t="str">
        <f ca="1">IF($Y$3="申万一级行业",[1]!s_info_industry_sw_2021(W566,公司分析!D$5,1),IF($Y$3="申万二级行业",[1]!s_info_industry_sw_2021(W566,公司分析!D$5,2),IF($Y$3="申万三级行业",[1]!s_info_industry_sw_2021(W566,公司分析!D$5,3),IF($Y$3="wind一级行业",[1]!s_info_industry_gics(W566,1),IF($Y$3="wind二级行业",[1]!s_info_industry_gics(W566,2),IF($Y$3="wind三级行业",[1]!s_info_industry_gics(W566,3),IF($Y$3="wind四级行业",[1]!s_info_industry_gics(W566,4),IF($Y$3="证监会门类行业",[1]!s_info_industry_csrc12_n(W566,公司分析!D$5,1),""))))))))</f>
        <v>电力</v>
      </c>
      <c r="Z566" s="302" t="str">
        <f ca="1">IF(Y566=行业比较!$E$6,ROW(),"")</f>
        <v/>
      </c>
      <c r="AA566" s="122"/>
      <c r="AB566" s="122"/>
      <c r="AC566" s="122"/>
      <c r="AD566" s="122"/>
      <c r="AE566" s="122"/>
      <c r="AF566" s="122"/>
      <c r="AG566" s="122"/>
      <c r="AH566" s="122"/>
      <c r="AI566" s="122"/>
      <c r="AJ566" s="122"/>
      <c r="AK566" s="122"/>
      <c r="AL566" s="122"/>
      <c r="AM566" s="122"/>
      <c r="AN566" s="122"/>
      <c r="AO566" s="122"/>
      <c r="AP566" s="122"/>
    </row>
    <row r="567" spans="2:42">
      <c r="B567" s="122"/>
      <c r="C567" s="122"/>
      <c r="D567" s="122"/>
      <c r="E567" s="122"/>
      <c r="F567" s="122"/>
      <c r="G567" s="122"/>
      <c r="H567" s="122"/>
      <c r="I567" s="275"/>
      <c r="J567" s="130"/>
      <c r="K567" s="130"/>
      <c r="L567" s="130"/>
      <c r="M567" s="130"/>
      <c r="N567" s="291"/>
      <c r="O567" s="291"/>
      <c r="P567" s="122"/>
      <c r="Q567" s="122"/>
      <c r="R567" s="122"/>
      <c r="S567" s="122"/>
      <c r="T567" s="122"/>
      <c r="U567" s="301"/>
      <c r="V567" s="260">
        <f t="shared" ca="1" si="16"/>
        <v>0</v>
      </c>
      <c r="W567" s="348" t="str">
        <f>IF(板块成分!B569="","",板块成分!B569)</f>
        <v>002040.SZ</v>
      </c>
      <c r="X567" s="276" t="str">
        <f>[1]!S_Info_Name(W567)</f>
        <v>南京港</v>
      </c>
      <c r="Y567" s="276" t="str">
        <f ca="1">IF($Y$3="申万一级行业",[1]!s_info_industry_sw_2021(W567,公司分析!D$5,1),IF($Y$3="申万二级行业",[1]!s_info_industry_sw_2021(W567,公司分析!D$5,2),IF($Y$3="申万三级行业",[1]!s_info_industry_sw_2021(W567,公司分析!D$5,3),IF($Y$3="wind一级行业",[1]!s_info_industry_gics(W567,1),IF($Y$3="wind二级行业",[1]!s_info_industry_gics(W567,2),IF($Y$3="wind三级行业",[1]!s_info_industry_gics(W567,3),IF($Y$3="wind四级行业",[1]!s_info_industry_gics(W567,4),IF($Y$3="证监会门类行业",[1]!s_info_industry_csrc12_n(W567,公司分析!D$5,1),""))))))))</f>
        <v>航运港口</v>
      </c>
      <c r="Z567" s="302" t="str">
        <f ca="1">IF(Y567=行业比较!$E$6,ROW(),"")</f>
        <v/>
      </c>
      <c r="AA567" s="122"/>
      <c r="AB567" s="122"/>
      <c r="AC567" s="122"/>
      <c r="AD567" s="122"/>
      <c r="AE567" s="122"/>
      <c r="AF567" s="122"/>
      <c r="AG567" s="122"/>
      <c r="AH567" s="122"/>
      <c r="AI567" s="122"/>
      <c r="AJ567" s="122"/>
      <c r="AK567" s="122"/>
      <c r="AL567" s="122"/>
      <c r="AM567" s="122"/>
      <c r="AN567" s="122"/>
      <c r="AO567" s="122"/>
      <c r="AP567" s="122"/>
    </row>
    <row r="568" spans="2:42">
      <c r="B568" s="122"/>
      <c r="C568" s="122"/>
      <c r="D568" s="122"/>
      <c r="E568" s="122"/>
      <c r="F568" s="122"/>
      <c r="G568" s="122"/>
      <c r="H568" s="122"/>
      <c r="I568" s="275"/>
      <c r="J568" s="130"/>
      <c r="K568" s="130"/>
      <c r="L568" s="130"/>
      <c r="M568" s="130"/>
      <c r="N568" s="291"/>
      <c r="O568" s="291"/>
      <c r="P568" s="122"/>
      <c r="Q568" s="122"/>
      <c r="R568" s="122"/>
      <c r="S568" s="122"/>
      <c r="T568" s="122"/>
      <c r="U568" s="301"/>
      <c r="V568" s="260">
        <f t="shared" ca="1" si="16"/>
        <v>0</v>
      </c>
      <c r="W568" s="348" t="str">
        <f>IF(板块成分!B570="","",板块成分!B570)</f>
        <v>002041.SZ</v>
      </c>
      <c r="X568" s="276" t="str">
        <f>[1]!S_Info_Name(W568)</f>
        <v>登海种业</v>
      </c>
      <c r="Y568" s="276" t="str">
        <f ca="1">IF($Y$3="申万一级行业",[1]!s_info_industry_sw_2021(W568,公司分析!D$5,1),IF($Y$3="申万二级行业",[1]!s_info_industry_sw_2021(W568,公司分析!D$5,2),IF($Y$3="申万三级行业",[1]!s_info_industry_sw_2021(W568,公司分析!D$5,3),IF($Y$3="wind一级行业",[1]!s_info_industry_gics(W568,1),IF($Y$3="wind二级行业",[1]!s_info_industry_gics(W568,2),IF($Y$3="wind三级行业",[1]!s_info_industry_gics(W568,3),IF($Y$3="wind四级行业",[1]!s_info_industry_gics(W568,4),IF($Y$3="证监会门类行业",[1]!s_info_industry_csrc12_n(W568,公司分析!D$5,1),""))))))))</f>
        <v>种植业</v>
      </c>
      <c r="Z568" s="302" t="str">
        <f ca="1">IF(Y568=行业比较!$E$6,ROW(),"")</f>
        <v/>
      </c>
      <c r="AA568" s="122"/>
      <c r="AB568" s="122"/>
      <c r="AC568" s="122"/>
      <c r="AD568" s="122"/>
      <c r="AE568" s="122"/>
      <c r="AF568" s="122"/>
      <c r="AG568" s="122"/>
      <c r="AH568" s="122"/>
      <c r="AI568" s="122"/>
      <c r="AJ568" s="122"/>
      <c r="AK568" s="122"/>
      <c r="AL568" s="122"/>
      <c r="AM568" s="122"/>
      <c r="AN568" s="122"/>
      <c r="AO568" s="122"/>
      <c r="AP568" s="122"/>
    </row>
    <row r="569" spans="2:42">
      <c r="B569" s="122"/>
      <c r="C569" s="122"/>
      <c r="D569" s="122"/>
      <c r="E569" s="122"/>
      <c r="F569" s="122"/>
      <c r="G569" s="122"/>
      <c r="H569" s="122"/>
      <c r="I569" s="275"/>
      <c r="J569" s="130"/>
      <c r="K569" s="130"/>
      <c r="L569" s="130"/>
      <c r="M569" s="130"/>
      <c r="N569" s="291"/>
      <c r="O569" s="291"/>
      <c r="P569" s="122"/>
      <c r="Q569" s="122"/>
      <c r="R569" s="122"/>
      <c r="S569" s="122"/>
      <c r="T569" s="122"/>
      <c r="U569" s="301"/>
      <c r="V569" s="260">
        <f t="shared" ca="1" si="16"/>
        <v>0</v>
      </c>
      <c r="W569" s="348" t="str">
        <f>IF(板块成分!B571="","",板块成分!B571)</f>
        <v>002042.SZ</v>
      </c>
      <c r="X569" s="276" t="str">
        <f>[1]!S_Info_Name(W569)</f>
        <v>华孚时尚</v>
      </c>
      <c r="Y569" s="276" t="str">
        <f ca="1">IF($Y$3="申万一级行业",[1]!s_info_industry_sw_2021(W569,公司分析!D$5,1),IF($Y$3="申万二级行业",[1]!s_info_industry_sw_2021(W569,公司分析!D$5,2),IF($Y$3="申万三级行业",[1]!s_info_industry_sw_2021(W569,公司分析!D$5,3),IF($Y$3="wind一级行业",[1]!s_info_industry_gics(W569,1),IF($Y$3="wind二级行业",[1]!s_info_industry_gics(W569,2),IF($Y$3="wind三级行业",[1]!s_info_industry_gics(W569,3),IF($Y$3="wind四级行业",[1]!s_info_industry_gics(W569,4),IF($Y$3="证监会门类行业",[1]!s_info_industry_csrc12_n(W569,公司分析!D$5,1),""))))))))</f>
        <v>纺织制造</v>
      </c>
      <c r="Z569" s="302" t="str">
        <f ca="1">IF(Y569=行业比较!$E$6,ROW(),"")</f>
        <v/>
      </c>
      <c r="AA569" s="122"/>
      <c r="AB569" s="122"/>
      <c r="AC569" s="122"/>
      <c r="AD569" s="122"/>
      <c r="AE569" s="122"/>
      <c r="AF569" s="122"/>
      <c r="AG569" s="122"/>
      <c r="AH569" s="122"/>
      <c r="AI569" s="122"/>
      <c r="AJ569" s="122"/>
      <c r="AK569" s="122"/>
      <c r="AL569" s="122"/>
      <c r="AM569" s="122"/>
      <c r="AN569" s="122"/>
      <c r="AO569" s="122"/>
      <c r="AP569" s="122"/>
    </row>
    <row r="570" spans="2:42">
      <c r="B570" s="122"/>
      <c r="C570" s="122"/>
      <c r="D570" s="122"/>
      <c r="E570" s="122"/>
      <c r="F570" s="122"/>
      <c r="G570" s="122"/>
      <c r="H570" s="122"/>
      <c r="I570" s="275"/>
      <c r="J570" s="130"/>
      <c r="K570" s="130"/>
      <c r="L570" s="130"/>
      <c r="M570" s="130"/>
      <c r="N570" s="291"/>
      <c r="O570" s="291"/>
      <c r="P570" s="122"/>
      <c r="Q570" s="122"/>
      <c r="R570" s="122"/>
      <c r="S570" s="122"/>
      <c r="T570" s="122"/>
      <c r="U570" s="301"/>
      <c r="V570" s="260">
        <f t="shared" ca="1" si="16"/>
        <v>0</v>
      </c>
      <c r="W570" s="348" t="str">
        <f>IF(板块成分!B572="","",板块成分!B572)</f>
        <v>002043.SZ</v>
      </c>
      <c r="X570" s="276" t="str">
        <f>[1]!S_Info_Name(W570)</f>
        <v>兔宝宝</v>
      </c>
      <c r="Y570" s="276" t="str">
        <f ca="1">IF($Y$3="申万一级行业",[1]!s_info_industry_sw_2021(W570,公司分析!D$5,1),IF($Y$3="申万二级行业",[1]!s_info_industry_sw_2021(W570,公司分析!D$5,2),IF($Y$3="申万三级行业",[1]!s_info_industry_sw_2021(W570,公司分析!D$5,3),IF($Y$3="wind一级行业",[1]!s_info_industry_gics(W570,1),IF($Y$3="wind二级行业",[1]!s_info_industry_gics(W570,2),IF($Y$3="wind三级行业",[1]!s_info_industry_gics(W570,3),IF($Y$3="wind四级行业",[1]!s_info_industry_gics(W570,4),IF($Y$3="证监会门类行业",[1]!s_info_industry_csrc12_n(W570,公司分析!D$5,1),""))))))))</f>
        <v>装修建材</v>
      </c>
      <c r="Z570" s="302" t="str">
        <f ca="1">IF(Y570=行业比较!$E$6,ROW(),"")</f>
        <v/>
      </c>
      <c r="AA570" s="122"/>
      <c r="AB570" s="122"/>
      <c r="AC570" s="122"/>
      <c r="AD570" s="122"/>
      <c r="AE570" s="122"/>
      <c r="AF570" s="122"/>
      <c r="AG570" s="122"/>
      <c r="AH570" s="122"/>
      <c r="AI570" s="122"/>
      <c r="AJ570" s="122"/>
      <c r="AK570" s="122"/>
      <c r="AL570" s="122"/>
      <c r="AM570" s="122"/>
      <c r="AN570" s="122"/>
      <c r="AO570" s="122"/>
      <c r="AP570" s="122"/>
    </row>
    <row r="571" spans="2:42">
      <c r="B571" s="122"/>
      <c r="C571" s="122"/>
      <c r="D571" s="122"/>
      <c r="E571" s="122"/>
      <c r="F571" s="122"/>
      <c r="G571" s="122"/>
      <c r="H571" s="122"/>
      <c r="I571" s="275"/>
      <c r="J571" s="130"/>
      <c r="K571" s="130"/>
      <c r="L571" s="130"/>
      <c r="M571" s="130"/>
      <c r="N571" s="291"/>
      <c r="O571" s="291"/>
      <c r="P571" s="122"/>
      <c r="Q571" s="122"/>
      <c r="R571" s="122"/>
      <c r="S571" s="122"/>
      <c r="T571" s="122"/>
      <c r="U571" s="301"/>
      <c r="V571" s="260">
        <f t="shared" ca="1" si="16"/>
        <v>0</v>
      </c>
      <c r="W571" s="348" t="str">
        <f>IF(板块成分!B573="","",板块成分!B573)</f>
        <v>002044.SZ</v>
      </c>
      <c r="X571" s="276" t="str">
        <f>[1]!S_Info_Name(W571)</f>
        <v>美年健康</v>
      </c>
      <c r="Y571" s="276" t="str">
        <f ca="1">IF($Y$3="申万一级行业",[1]!s_info_industry_sw_2021(W571,公司分析!D$5,1),IF($Y$3="申万二级行业",[1]!s_info_industry_sw_2021(W571,公司分析!D$5,2),IF($Y$3="申万三级行业",[1]!s_info_industry_sw_2021(W571,公司分析!D$5,3),IF($Y$3="wind一级行业",[1]!s_info_industry_gics(W571,1),IF($Y$3="wind二级行业",[1]!s_info_industry_gics(W571,2),IF($Y$3="wind三级行业",[1]!s_info_industry_gics(W571,3),IF($Y$3="wind四级行业",[1]!s_info_industry_gics(W571,4),IF($Y$3="证监会门类行业",[1]!s_info_industry_csrc12_n(W571,公司分析!D$5,1),""))))))))</f>
        <v>医疗服务</v>
      </c>
      <c r="Z571" s="302" t="str">
        <f ca="1">IF(Y571=行业比较!$E$6,ROW(),"")</f>
        <v/>
      </c>
      <c r="AA571" s="122"/>
      <c r="AB571" s="122"/>
      <c r="AC571" s="122"/>
      <c r="AD571" s="122"/>
      <c r="AE571" s="122"/>
      <c r="AF571" s="122"/>
      <c r="AG571" s="122"/>
      <c r="AH571" s="122"/>
      <c r="AI571" s="122"/>
      <c r="AJ571" s="122"/>
      <c r="AK571" s="122"/>
      <c r="AL571" s="122"/>
      <c r="AM571" s="122"/>
      <c r="AN571" s="122"/>
      <c r="AO571" s="122"/>
      <c r="AP571" s="122"/>
    </row>
    <row r="572" spans="2:42">
      <c r="B572" s="122"/>
      <c r="C572" s="122"/>
      <c r="D572" s="122"/>
      <c r="E572" s="122"/>
      <c r="F572" s="122"/>
      <c r="G572" s="122"/>
      <c r="H572" s="122"/>
      <c r="I572" s="275"/>
      <c r="J572" s="130"/>
      <c r="K572" s="130"/>
      <c r="L572" s="130"/>
      <c r="M572" s="130"/>
      <c r="N572" s="291"/>
      <c r="O572" s="291"/>
      <c r="P572" s="122"/>
      <c r="Q572" s="122"/>
      <c r="R572" s="122"/>
      <c r="S572" s="122"/>
      <c r="T572" s="122"/>
      <c r="U572" s="301"/>
      <c r="V572" s="260">
        <f t="shared" ca="1" si="16"/>
        <v>0</v>
      </c>
      <c r="W572" s="348" t="str">
        <f>IF(板块成分!B574="","",板块成分!B574)</f>
        <v>002045.SZ</v>
      </c>
      <c r="X572" s="276" t="str">
        <f>[1]!S_Info_Name(W572)</f>
        <v>国光电器</v>
      </c>
      <c r="Y572" s="276" t="str">
        <f ca="1">IF($Y$3="申万一级行业",[1]!s_info_industry_sw_2021(W572,公司分析!D$5,1),IF($Y$3="申万二级行业",[1]!s_info_industry_sw_2021(W572,公司分析!D$5,2),IF($Y$3="申万三级行业",[1]!s_info_industry_sw_2021(W572,公司分析!D$5,3),IF($Y$3="wind一级行业",[1]!s_info_industry_gics(W572,1),IF($Y$3="wind二级行业",[1]!s_info_industry_gics(W572,2),IF($Y$3="wind三级行业",[1]!s_info_industry_gics(W572,3),IF($Y$3="wind四级行业",[1]!s_info_industry_gics(W572,4),IF($Y$3="证监会门类行业",[1]!s_info_industry_csrc12_n(W572,公司分析!D$5,1),""))))))))</f>
        <v>消费电子</v>
      </c>
      <c r="Z572" s="302" t="str">
        <f ca="1">IF(Y572=行业比较!$E$6,ROW(),"")</f>
        <v/>
      </c>
      <c r="AA572" s="122"/>
      <c r="AB572" s="122"/>
      <c r="AC572" s="122"/>
      <c r="AD572" s="122"/>
      <c r="AE572" s="122"/>
      <c r="AF572" s="122"/>
      <c r="AG572" s="122"/>
      <c r="AH572" s="122"/>
      <c r="AI572" s="122"/>
      <c r="AJ572" s="122"/>
      <c r="AK572" s="122"/>
      <c r="AL572" s="122"/>
      <c r="AM572" s="122"/>
      <c r="AN572" s="122"/>
      <c r="AO572" s="122"/>
      <c r="AP572" s="122"/>
    </row>
    <row r="573" spans="2:42">
      <c r="B573" s="122"/>
      <c r="C573" s="122"/>
      <c r="D573" s="122"/>
      <c r="E573" s="122"/>
      <c r="F573" s="122"/>
      <c r="G573" s="122"/>
      <c r="H573" s="122"/>
      <c r="I573" s="275"/>
      <c r="J573" s="130"/>
      <c r="K573" s="130"/>
      <c r="L573" s="130"/>
      <c r="M573" s="130"/>
      <c r="N573" s="291"/>
      <c r="O573" s="291"/>
      <c r="P573" s="122"/>
      <c r="Q573" s="122"/>
      <c r="R573" s="122"/>
      <c r="S573" s="122"/>
      <c r="T573" s="122"/>
      <c r="U573" s="301"/>
      <c r="V573" s="260">
        <f t="shared" ca="1" si="16"/>
        <v>0</v>
      </c>
      <c r="W573" s="348" t="str">
        <f>IF(板块成分!B575="","",板块成分!B575)</f>
        <v>002046.SZ</v>
      </c>
      <c r="X573" s="276" t="str">
        <f>[1]!S_Info_Name(W573)</f>
        <v>国机精工</v>
      </c>
      <c r="Y573" s="276" t="str">
        <f ca="1">IF($Y$3="申万一级行业",[1]!s_info_industry_sw_2021(W573,公司分析!D$5,1),IF($Y$3="申万二级行业",[1]!s_info_industry_sw_2021(W573,公司分析!D$5,2),IF($Y$3="申万三级行业",[1]!s_info_industry_sw_2021(W573,公司分析!D$5,3),IF($Y$3="wind一级行业",[1]!s_info_industry_gics(W573,1),IF($Y$3="wind二级行业",[1]!s_info_industry_gics(W573,2),IF($Y$3="wind三级行业",[1]!s_info_industry_gics(W573,3),IF($Y$3="wind四级行业",[1]!s_info_industry_gics(W573,4),IF($Y$3="证监会门类行业",[1]!s_info_industry_csrc12_n(W573,公司分析!D$5,1),""))))))))</f>
        <v>通用设备</v>
      </c>
      <c r="Z573" s="302" t="str">
        <f ca="1">IF(Y573=行业比较!$E$6,ROW(),"")</f>
        <v/>
      </c>
      <c r="AA573" s="122"/>
      <c r="AB573" s="122"/>
      <c r="AC573" s="122"/>
      <c r="AD573" s="122"/>
      <c r="AE573" s="122"/>
      <c r="AF573" s="122"/>
      <c r="AG573" s="122"/>
      <c r="AH573" s="122"/>
      <c r="AI573" s="122"/>
      <c r="AJ573" s="122"/>
      <c r="AK573" s="122"/>
      <c r="AL573" s="122"/>
      <c r="AM573" s="122"/>
      <c r="AN573" s="122"/>
      <c r="AO573" s="122"/>
      <c r="AP573" s="122"/>
    </row>
    <row r="574" spans="2:42">
      <c r="B574" s="122"/>
      <c r="C574" s="122"/>
      <c r="D574" s="122"/>
      <c r="E574" s="122"/>
      <c r="F574" s="122"/>
      <c r="G574" s="122"/>
      <c r="H574" s="122"/>
      <c r="I574" s="275"/>
      <c r="J574" s="130"/>
      <c r="K574" s="130"/>
      <c r="L574" s="130"/>
      <c r="M574" s="130"/>
      <c r="N574" s="291"/>
      <c r="O574" s="291"/>
      <c r="P574" s="122"/>
      <c r="Q574" s="122"/>
      <c r="R574" s="122"/>
      <c r="S574" s="122"/>
      <c r="T574" s="122"/>
      <c r="U574" s="301"/>
      <c r="V574" s="260">
        <f t="shared" ca="1" si="16"/>
        <v>0</v>
      </c>
      <c r="W574" s="348" t="str">
        <f>IF(板块成分!B576="","",板块成分!B576)</f>
        <v>002047.SZ</v>
      </c>
      <c r="X574" s="276" t="str">
        <f>[1]!S_Info_Name(W574)</f>
        <v>*ST宝鹰</v>
      </c>
      <c r="Y574" s="276" t="str">
        <f ca="1">IF($Y$3="申万一级行业",[1]!s_info_industry_sw_2021(W574,公司分析!D$5,1),IF($Y$3="申万二级行业",[1]!s_info_industry_sw_2021(W574,公司分析!D$5,2),IF($Y$3="申万三级行业",[1]!s_info_industry_sw_2021(W574,公司分析!D$5,3),IF($Y$3="wind一级行业",[1]!s_info_industry_gics(W574,1),IF($Y$3="wind二级行业",[1]!s_info_industry_gics(W574,2),IF($Y$3="wind三级行业",[1]!s_info_industry_gics(W574,3),IF($Y$3="wind四级行业",[1]!s_info_industry_gics(W574,4),IF($Y$3="证监会门类行业",[1]!s_info_industry_csrc12_n(W574,公司分析!D$5,1),""))))))))</f>
        <v>装修装饰Ⅱ</v>
      </c>
      <c r="Z574" s="302" t="str">
        <f ca="1">IF(Y574=行业比较!$E$6,ROW(),"")</f>
        <v/>
      </c>
      <c r="AA574" s="122"/>
      <c r="AB574" s="122"/>
      <c r="AC574" s="122"/>
      <c r="AD574" s="122"/>
      <c r="AE574" s="122"/>
      <c r="AF574" s="122"/>
      <c r="AG574" s="122"/>
      <c r="AH574" s="122"/>
      <c r="AI574" s="122"/>
      <c r="AJ574" s="122"/>
      <c r="AK574" s="122"/>
      <c r="AL574" s="122"/>
      <c r="AM574" s="122"/>
      <c r="AN574" s="122"/>
      <c r="AO574" s="122"/>
      <c r="AP574" s="122"/>
    </row>
    <row r="575" spans="2:42">
      <c r="B575" s="122"/>
      <c r="C575" s="122"/>
      <c r="D575" s="122"/>
      <c r="E575" s="122"/>
      <c r="F575" s="122"/>
      <c r="G575" s="122"/>
      <c r="H575" s="122"/>
      <c r="I575" s="275"/>
      <c r="J575" s="130"/>
      <c r="K575" s="130"/>
      <c r="L575" s="130"/>
      <c r="M575" s="130"/>
      <c r="N575" s="291"/>
      <c r="O575" s="291"/>
      <c r="P575" s="122"/>
      <c r="Q575" s="122"/>
      <c r="R575" s="122"/>
      <c r="S575" s="122"/>
      <c r="T575" s="122"/>
      <c r="U575" s="301"/>
      <c r="V575" s="260">
        <f t="shared" ca="1" si="16"/>
        <v>0</v>
      </c>
      <c r="W575" s="348" t="str">
        <f>IF(板块成分!B577="","",板块成分!B577)</f>
        <v>002048.SZ</v>
      </c>
      <c r="X575" s="276" t="str">
        <f>[1]!S_Info_Name(W575)</f>
        <v>宁波华翔</v>
      </c>
      <c r="Y575" s="276" t="str">
        <f ca="1">IF($Y$3="申万一级行业",[1]!s_info_industry_sw_2021(W575,公司分析!D$5,1),IF($Y$3="申万二级行业",[1]!s_info_industry_sw_2021(W575,公司分析!D$5,2),IF($Y$3="申万三级行业",[1]!s_info_industry_sw_2021(W575,公司分析!D$5,3),IF($Y$3="wind一级行业",[1]!s_info_industry_gics(W575,1),IF($Y$3="wind二级行业",[1]!s_info_industry_gics(W575,2),IF($Y$3="wind三级行业",[1]!s_info_industry_gics(W575,3),IF($Y$3="wind四级行业",[1]!s_info_industry_gics(W575,4),IF($Y$3="证监会门类行业",[1]!s_info_industry_csrc12_n(W575,公司分析!D$5,1),""))))))))</f>
        <v>汽车零部件</v>
      </c>
      <c r="Z575" s="302" t="str">
        <f ca="1">IF(Y575=行业比较!$E$6,ROW(),"")</f>
        <v/>
      </c>
      <c r="AA575" s="122"/>
      <c r="AB575" s="122"/>
      <c r="AC575" s="122"/>
      <c r="AD575" s="122"/>
      <c r="AE575" s="122"/>
      <c r="AF575" s="122"/>
      <c r="AG575" s="122"/>
      <c r="AH575" s="122"/>
      <c r="AI575" s="122"/>
      <c r="AJ575" s="122"/>
      <c r="AK575" s="122"/>
      <c r="AL575" s="122"/>
      <c r="AM575" s="122"/>
      <c r="AN575" s="122"/>
      <c r="AO575" s="122"/>
      <c r="AP575" s="122"/>
    </row>
    <row r="576" spans="2:42">
      <c r="B576" s="122"/>
      <c r="C576" s="122"/>
      <c r="D576" s="122"/>
      <c r="E576" s="122"/>
      <c r="F576" s="122"/>
      <c r="G576" s="122"/>
      <c r="H576" s="122"/>
      <c r="I576" s="275"/>
      <c r="J576" s="130"/>
      <c r="K576" s="130"/>
      <c r="L576" s="130"/>
      <c r="M576" s="130"/>
      <c r="N576" s="291"/>
      <c r="O576" s="291"/>
      <c r="P576" s="122"/>
      <c r="Q576" s="122"/>
      <c r="R576" s="122"/>
      <c r="S576" s="122"/>
      <c r="T576" s="122"/>
      <c r="U576" s="301"/>
      <c r="V576" s="260">
        <f t="shared" ca="1" si="16"/>
        <v>0</v>
      </c>
      <c r="W576" s="348" t="str">
        <f>IF(板块成分!B578="","",板块成分!B578)</f>
        <v>002049.SZ</v>
      </c>
      <c r="X576" s="276" t="str">
        <f>[1]!S_Info_Name(W576)</f>
        <v>紫光国微</v>
      </c>
      <c r="Y576" s="276" t="str">
        <f ca="1">IF($Y$3="申万一级行业",[1]!s_info_industry_sw_2021(W576,公司分析!D$5,1),IF($Y$3="申万二级行业",[1]!s_info_industry_sw_2021(W576,公司分析!D$5,2),IF($Y$3="申万三级行业",[1]!s_info_industry_sw_2021(W576,公司分析!D$5,3),IF($Y$3="wind一级行业",[1]!s_info_industry_gics(W576,1),IF($Y$3="wind二级行业",[1]!s_info_industry_gics(W576,2),IF($Y$3="wind三级行业",[1]!s_info_industry_gics(W576,3),IF($Y$3="wind四级行业",[1]!s_info_industry_gics(W576,4),IF($Y$3="证监会门类行业",[1]!s_info_industry_csrc12_n(W576,公司分析!D$5,1),""))))))))</f>
        <v>半导体</v>
      </c>
      <c r="Z576" s="302" t="str">
        <f ca="1">IF(Y576=行业比较!$E$6,ROW(),"")</f>
        <v/>
      </c>
      <c r="AA576" s="122"/>
      <c r="AB576" s="122"/>
      <c r="AC576" s="122"/>
      <c r="AD576" s="122"/>
      <c r="AE576" s="122"/>
      <c r="AF576" s="122"/>
      <c r="AG576" s="122"/>
      <c r="AH576" s="122"/>
      <c r="AI576" s="122"/>
      <c r="AJ576" s="122"/>
      <c r="AK576" s="122"/>
      <c r="AL576" s="122"/>
      <c r="AM576" s="122"/>
      <c r="AN576" s="122"/>
      <c r="AO576" s="122"/>
      <c r="AP576" s="122"/>
    </row>
    <row r="577" spans="2:42">
      <c r="B577" s="122"/>
      <c r="C577" s="122"/>
      <c r="D577" s="122"/>
      <c r="E577" s="122"/>
      <c r="F577" s="122"/>
      <c r="G577" s="122"/>
      <c r="H577" s="122"/>
      <c r="I577" s="275"/>
      <c r="J577" s="130"/>
      <c r="K577" s="130"/>
      <c r="L577" s="130"/>
      <c r="M577" s="130"/>
      <c r="N577" s="291"/>
      <c r="O577" s="291"/>
      <c r="P577" s="122"/>
      <c r="Q577" s="122"/>
      <c r="R577" s="122"/>
      <c r="S577" s="122"/>
      <c r="T577" s="122"/>
      <c r="U577" s="301"/>
      <c r="V577" s="260">
        <f t="shared" ca="1" si="16"/>
        <v>0</v>
      </c>
      <c r="W577" s="348" t="str">
        <f>IF(板块成分!B579="","",板块成分!B579)</f>
        <v>002050.SZ</v>
      </c>
      <c r="X577" s="276" t="str">
        <f>[1]!S_Info_Name(W577)</f>
        <v>三花智控</v>
      </c>
      <c r="Y577" s="276" t="str">
        <f ca="1">IF($Y$3="申万一级行业",[1]!s_info_industry_sw_2021(W577,公司分析!D$5,1),IF($Y$3="申万二级行业",[1]!s_info_industry_sw_2021(W577,公司分析!D$5,2),IF($Y$3="申万三级行业",[1]!s_info_industry_sw_2021(W577,公司分析!D$5,3),IF($Y$3="wind一级行业",[1]!s_info_industry_gics(W577,1),IF($Y$3="wind二级行业",[1]!s_info_industry_gics(W577,2),IF($Y$3="wind三级行业",[1]!s_info_industry_gics(W577,3),IF($Y$3="wind四级行业",[1]!s_info_industry_gics(W577,4),IF($Y$3="证监会门类行业",[1]!s_info_industry_csrc12_n(W577,公司分析!D$5,1),""))))))))</f>
        <v>家电零部件Ⅱ</v>
      </c>
      <c r="Z577" s="302" t="str">
        <f ca="1">IF(Y577=行业比较!$E$6,ROW(),"")</f>
        <v/>
      </c>
      <c r="AA577" s="122"/>
      <c r="AB577" s="122"/>
      <c r="AC577" s="122"/>
      <c r="AD577" s="122"/>
      <c r="AE577" s="122"/>
      <c r="AF577" s="122"/>
      <c r="AG577" s="122"/>
      <c r="AH577" s="122"/>
      <c r="AI577" s="122"/>
      <c r="AJ577" s="122"/>
      <c r="AK577" s="122"/>
      <c r="AL577" s="122"/>
      <c r="AM577" s="122"/>
      <c r="AN577" s="122"/>
      <c r="AO577" s="122"/>
      <c r="AP577" s="122"/>
    </row>
    <row r="578" spans="2:42">
      <c r="B578" s="122"/>
      <c r="C578" s="122"/>
      <c r="D578" s="122"/>
      <c r="E578" s="122"/>
      <c r="F578" s="122"/>
      <c r="G578" s="122"/>
      <c r="H578" s="122"/>
      <c r="I578" s="275"/>
      <c r="J578" s="130"/>
      <c r="K578" s="130"/>
      <c r="L578" s="130"/>
      <c r="M578" s="130"/>
      <c r="N578" s="291"/>
      <c r="O578" s="291"/>
      <c r="P578" s="122"/>
      <c r="Q578" s="122"/>
      <c r="R578" s="122"/>
      <c r="S578" s="122"/>
      <c r="T578" s="122"/>
      <c r="U578" s="301"/>
      <c r="V578" s="260">
        <f t="shared" ca="1" si="16"/>
        <v>0</v>
      </c>
      <c r="W578" s="348" t="str">
        <f>IF(板块成分!B580="","",板块成分!B580)</f>
        <v>002051.SZ</v>
      </c>
      <c r="X578" s="276" t="str">
        <f>[1]!S_Info_Name(W578)</f>
        <v>中工国际</v>
      </c>
      <c r="Y578" s="276" t="str">
        <f ca="1">IF($Y$3="申万一级行业",[1]!s_info_industry_sw_2021(W578,公司分析!D$5,1),IF($Y$3="申万二级行业",[1]!s_info_industry_sw_2021(W578,公司分析!D$5,2),IF($Y$3="申万三级行业",[1]!s_info_industry_sw_2021(W578,公司分析!D$5,3),IF($Y$3="wind一级行业",[1]!s_info_industry_gics(W578,1),IF($Y$3="wind二级行业",[1]!s_info_industry_gics(W578,2),IF($Y$3="wind三级行业",[1]!s_info_industry_gics(W578,3),IF($Y$3="wind四级行业",[1]!s_info_industry_gics(W578,4),IF($Y$3="证监会门类行业",[1]!s_info_industry_csrc12_n(W578,公司分析!D$5,1),""))))))))</f>
        <v>专业工程</v>
      </c>
      <c r="Z578" s="302" t="str">
        <f ca="1">IF(Y578=行业比较!$E$6,ROW(),"")</f>
        <v/>
      </c>
      <c r="AA578" s="122"/>
      <c r="AB578" s="122"/>
      <c r="AC578" s="122"/>
      <c r="AD578" s="122"/>
      <c r="AE578" s="122"/>
      <c r="AF578" s="122"/>
      <c r="AG578" s="122"/>
      <c r="AH578" s="122"/>
      <c r="AI578" s="122"/>
      <c r="AJ578" s="122"/>
      <c r="AK578" s="122"/>
      <c r="AL578" s="122"/>
      <c r="AM578" s="122"/>
      <c r="AN578" s="122"/>
      <c r="AO578" s="122"/>
      <c r="AP578" s="122"/>
    </row>
    <row r="579" spans="2:42">
      <c r="B579" s="122"/>
      <c r="C579" s="122"/>
      <c r="D579" s="122"/>
      <c r="E579" s="122"/>
      <c r="F579" s="122"/>
      <c r="G579" s="122"/>
      <c r="H579" s="122"/>
      <c r="I579" s="275"/>
      <c r="J579" s="130"/>
      <c r="K579" s="130"/>
      <c r="L579" s="130"/>
      <c r="M579" s="130"/>
      <c r="N579" s="291"/>
      <c r="O579" s="291"/>
      <c r="P579" s="122"/>
      <c r="Q579" s="122"/>
      <c r="R579" s="122"/>
      <c r="S579" s="122"/>
      <c r="T579" s="122"/>
      <c r="U579" s="301"/>
      <c r="V579" s="260">
        <f t="shared" ca="1" si="16"/>
        <v>0</v>
      </c>
      <c r="W579" s="348" t="str">
        <f>IF(板块成分!B581="","",板块成分!B581)</f>
        <v>002052.SZ</v>
      </c>
      <c r="X579" s="276" t="str">
        <f>[1]!S_Info_Name(W579)</f>
        <v>同洲电子</v>
      </c>
      <c r="Y579" s="276" t="str">
        <f ca="1">IF($Y$3="申万一级行业",[1]!s_info_industry_sw_2021(W579,公司分析!D$5,1),IF($Y$3="申万二级行业",[1]!s_info_industry_sw_2021(W579,公司分析!D$5,2),IF($Y$3="申万三级行业",[1]!s_info_industry_sw_2021(W579,公司分析!D$5,3),IF($Y$3="wind一级行业",[1]!s_info_industry_gics(W579,1),IF($Y$3="wind二级行业",[1]!s_info_industry_gics(W579,2),IF($Y$3="wind三级行业",[1]!s_info_industry_gics(W579,3),IF($Y$3="wind四级行业",[1]!s_info_industry_gics(W579,4),IF($Y$3="证监会门类行业",[1]!s_info_industry_csrc12_n(W579,公司分析!D$5,1),""))))))))</f>
        <v>黑色家电</v>
      </c>
      <c r="Z579" s="302" t="str">
        <f ca="1">IF(Y579=行业比较!$E$6,ROW(),"")</f>
        <v/>
      </c>
      <c r="AA579" s="122"/>
      <c r="AB579" s="122"/>
      <c r="AC579" s="122"/>
      <c r="AD579" s="122"/>
      <c r="AE579" s="122"/>
      <c r="AF579" s="122"/>
      <c r="AG579" s="122"/>
      <c r="AH579" s="122"/>
      <c r="AI579" s="122"/>
      <c r="AJ579" s="122"/>
      <c r="AK579" s="122"/>
      <c r="AL579" s="122"/>
      <c r="AM579" s="122"/>
      <c r="AN579" s="122"/>
      <c r="AO579" s="122"/>
      <c r="AP579" s="122"/>
    </row>
    <row r="580" spans="2:42">
      <c r="B580" s="122"/>
      <c r="C580" s="122"/>
      <c r="D580" s="122"/>
      <c r="E580" s="122"/>
      <c r="F580" s="122"/>
      <c r="G580" s="122"/>
      <c r="H580" s="122"/>
      <c r="I580" s="275"/>
      <c r="J580" s="130"/>
      <c r="K580" s="130"/>
      <c r="L580" s="130"/>
      <c r="M580" s="130"/>
      <c r="N580" s="291"/>
      <c r="O580" s="291"/>
      <c r="P580" s="122"/>
      <c r="Q580" s="122"/>
      <c r="R580" s="122"/>
      <c r="S580" s="122"/>
      <c r="T580" s="122"/>
      <c r="U580" s="301"/>
      <c r="V580" s="260">
        <f t="shared" ca="1" si="16"/>
        <v>0</v>
      </c>
      <c r="W580" s="348" t="str">
        <f>IF(板块成分!B582="","",板块成分!B582)</f>
        <v>002053.SZ</v>
      </c>
      <c r="X580" s="276" t="str">
        <f>[1]!S_Info_Name(W580)</f>
        <v>云南能投</v>
      </c>
      <c r="Y580" s="276" t="str">
        <f ca="1">IF($Y$3="申万一级行业",[1]!s_info_industry_sw_2021(W580,公司分析!D$5,1),IF($Y$3="申万二级行业",[1]!s_info_industry_sw_2021(W580,公司分析!D$5,2),IF($Y$3="申万三级行业",[1]!s_info_industry_sw_2021(W580,公司分析!D$5,3),IF($Y$3="wind一级行业",[1]!s_info_industry_gics(W580,1),IF($Y$3="wind二级行业",[1]!s_info_industry_gics(W580,2),IF($Y$3="wind三级行业",[1]!s_info_industry_gics(W580,3),IF($Y$3="wind四级行业",[1]!s_info_industry_gics(W580,4),IF($Y$3="证监会门类行业",[1]!s_info_industry_csrc12_n(W580,公司分析!D$5,1),""))))))))</f>
        <v>电力</v>
      </c>
      <c r="Z580" s="302" t="str">
        <f ca="1">IF(Y580=行业比较!$E$6,ROW(),"")</f>
        <v/>
      </c>
      <c r="AA580" s="122"/>
      <c r="AB580" s="122"/>
      <c r="AC580" s="122"/>
      <c r="AD580" s="122"/>
      <c r="AE580" s="122"/>
      <c r="AF580" s="122"/>
      <c r="AG580" s="122"/>
      <c r="AH580" s="122"/>
      <c r="AI580" s="122"/>
      <c r="AJ580" s="122"/>
      <c r="AK580" s="122"/>
      <c r="AL580" s="122"/>
      <c r="AM580" s="122"/>
      <c r="AN580" s="122"/>
      <c r="AO580" s="122"/>
      <c r="AP580" s="122"/>
    </row>
    <row r="581" spans="2:42">
      <c r="B581" s="122"/>
      <c r="C581" s="122"/>
      <c r="D581" s="122"/>
      <c r="E581" s="122"/>
      <c r="F581" s="122"/>
      <c r="G581" s="122"/>
      <c r="H581" s="122"/>
      <c r="I581" s="275"/>
      <c r="J581" s="130"/>
      <c r="K581" s="130"/>
      <c r="L581" s="130"/>
      <c r="M581" s="130"/>
      <c r="N581" s="291"/>
      <c r="O581" s="291"/>
      <c r="P581" s="122"/>
      <c r="Q581" s="122"/>
      <c r="R581" s="122"/>
      <c r="S581" s="122"/>
      <c r="T581" s="122"/>
      <c r="U581" s="301"/>
      <c r="V581" s="260">
        <f t="shared" ref="V581:V644" ca="1" si="17">IF(Z581="",0,RANK(Z581,Z:Z,1))</f>
        <v>0</v>
      </c>
      <c r="W581" s="348" t="str">
        <f>IF(板块成分!B583="","",板块成分!B583)</f>
        <v>002054.SZ</v>
      </c>
      <c r="X581" s="276" t="str">
        <f>[1]!S_Info_Name(W581)</f>
        <v>德美化工</v>
      </c>
      <c r="Y581" s="276" t="str">
        <f ca="1">IF($Y$3="申万一级行业",[1]!s_info_industry_sw_2021(W581,公司分析!D$5,1),IF($Y$3="申万二级行业",[1]!s_info_industry_sw_2021(W581,公司分析!D$5,2),IF($Y$3="申万三级行业",[1]!s_info_industry_sw_2021(W581,公司分析!D$5,3),IF($Y$3="wind一级行业",[1]!s_info_industry_gics(W581,1),IF($Y$3="wind二级行业",[1]!s_info_industry_gics(W581,2),IF($Y$3="wind三级行业",[1]!s_info_industry_gics(W581,3),IF($Y$3="wind四级行业",[1]!s_info_industry_gics(W581,4),IF($Y$3="证监会门类行业",[1]!s_info_industry_csrc12_n(W581,公司分析!D$5,1),""))))))))</f>
        <v>化学制品</v>
      </c>
      <c r="Z581" s="302" t="str">
        <f ca="1">IF(Y581=行业比较!$E$6,ROW(),"")</f>
        <v/>
      </c>
      <c r="AA581" s="122"/>
      <c r="AB581" s="122"/>
      <c r="AC581" s="122"/>
      <c r="AD581" s="122"/>
      <c r="AE581" s="122"/>
      <c r="AF581" s="122"/>
      <c r="AG581" s="122"/>
      <c r="AH581" s="122"/>
      <c r="AI581" s="122"/>
      <c r="AJ581" s="122"/>
      <c r="AK581" s="122"/>
      <c r="AL581" s="122"/>
      <c r="AM581" s="122"/>
      <c r="AN581" s="122"/>
      <c r="AO581" s="122"/>
      <c r="AP581" s="122"/>
    </row>
    <row r="582" spans="2:42">
      <c r="B582" s="122"/>
      <c r="C582" s="122"/>
      <c r="D582" s="122"/>
      <c r="E582" s="122"/>
      <c r="F582" s="122"/>
      <c r="G582" s="122"/>
      <c r="H582" s="122"/>
      <c r="I582" s="275"/>
      <c r="J582" s="130"/>
      <c r="K582" s="130"/>
      <c r="L582" s="130"/>
      <c r="M582" s="130"/>
      <c r="N582" s="291"/>
      <c r="O582" s="291"/>
      <c r="P582" s="122"/>
      <c r="Q582" s="122"/>
      <c r="R582" s="122"/>
      <c r="S582" s="122"/>
      <c r="T582" s="122"/>
      <c r="U582" s="301"/>
      <c r="V582" s="260">
        <f t="shared" ca="1" si="17"/>
        <v>0</v>
      </c>
      <c r="W582" s="348" t="str">
        <f>IF(板块成分!B584="","",板块成分!B584)</f>
        <v>002055.SZ</v>
      </c>
      <c r="X582" s="276" t="str">
        <f>[1]!S_Info_Name(W582)</f>
        <v>ST得润</v>
      </c>
      <c r="Y582" s="276" t="str">
        <f ca="1">IF($Y$3="申万一级行业",[1]!s_info_industry_sw_2021(W582,公司分析!D$5,1),IF($Y$3="申万二级行业",[1]!s_info_industry_sw_2021(W582,公司分析!D$5,2),IF($Y$3="申万三级行业",[1]!s_info_industry_sw_2021(W582,公司分析!D$5,3),IF($Y$3="wind一级行业",[1]!s_info_industry_gics(W582,1),IF($Y$3="wind二级行业",[1]!s_info_industry_gics(W582,2),IF($Y$3="wind三级行业",[1]!s_info_industry_gics(W582,3),IF($Y$3="wind四级行业",[1]!s_info_industry_gics(W582,4),IF($Y$3="证监会门类行业",[1]!s_info_industry_csrc12_n(W582,公司分析!D$5,1),""))))))))</f>
        <v>消费电子</v>
      </c>
      <c r="Z582" s="302" t="str">
        <f ca="1">IF(Y582=行业比较!$E$6,ROW(),"")</f>
        <v/>
      </c>
      <c r="AA582" s="122"/>
      <c r="AB582" s="122"/>
      <c r="AC582" s="122"/>
      <c r="AD582" s="122"/>
      <c r="AE582" s="122"/>
      <c r="AF582" s="122"/>
      <c r="AG582" s="122"/>
      <c r="AH582" s="122"/>
      <c r="AI582" s="122"/>
      <c r="AJ582" s="122"/>
      <c r="AK582" s="122"/>
      <c r="AL582" s="122"/>
      <c r="AM582" s="122"/>
      <c r="AN582" s="122"/>
      <c r="AO582" s="122"/>
      <c r="AP582" s="122"/>
    </row>
    <row r="583" spans="2:42">
      <c r="B583" s="122"/>
      <c r="C583" s="122"/>
      <c r="D583" s="122"/>
      <c r="E583" s="122"/>
      <c r="F583" s="122"/>
      <c r="G583" s="122"/>
      <c r="H583" s="122"/>
      <c r="I583" s="275"/>
      <c r="J583" s="130"/>
      <c r="K583" s="130"/>
      <c r="L583" s="130"/>
      <c r="M583" s="130"/>
      <c r="N583" s="291"/>
      <c r="O583" s="291"/>
      <c r="P583" s="122"/>
      <c r="Q583" s="122"/>
      <c r="R583" s="122"/>
      <c r="S583" s="122"/>
      <c r="T583" s="122"/>
      <c r="U583" s="301"/>
      <c r="V583" s="260">
        <f t="shared" ca="1" si="17"/>
        <v>0</v>
      </c>
      <c r="W583" s="348" t="str">
        <f>IF(板块成分!B585="","",板块成分!B585)</f>
        <v>002056.SZ</v>
      </c>
      <c r="X583" s="276" t="str">
        <f>[1]!S_Info_Name(W583)</f>
        <v>横店东磁</v>
      </c>
      <c r="Y583" s="276" t="str">
        <f ca="1">IF($Y$3="申万一级行业",[1]!s_info_industry_sw_2021(W583,公司分析!D$5,1),IF($Y$3="申万二级行业",[1]!s_info_industry_sw_2021(W583,公司分析!D$5,2),IF($Y$3="申万三级行业",[1]!s_info_industry_sw_2021(W583,公司分析!D$5,3),IF($Y$3="wind一级行业",[1]!s_info_industry_gics(W583,1),IF($Y$3="wind二级行业",[1]!s_info_industry_gics(W583,2),IF($Y$3="wind三级行业",[1]!s_info_industry_gics(W583,3),IF($Y$3="wind四级行业",[1]!s_info_industry_gics(W583,4),IF($Y$3="证监会门类行业",[1]!s_info_industry_csrc12_n(W583,公司分析!D$5,1),""))))))))</f>
        <v>光伏设备</v>
      </c>
      <c r="Z583" s="302" t="str">
        <f ca="1">IF(Y583=行业比较!$E$6,ROW(),"")</f>
        <v/>
      </c>
      <c r="AA583" s="122"/>
      <c r="AB583" s="122"/>
      <c r="AC583" s="122"/>
      <c r="AD583" s="122"/>
      <c r="AE583" s="122"/>
      <c r="AF583" s="122"/>
      <c r="AG583" s="122"/>
      <c r="AH583" s="122"/>
      <c r="AI583" s="122"/>
      <c r="AJ583" s="122"/>
      <c r="AK583" s="122"/>
      <c r="AL583" s="122"/>
      <c r="AM583" s="122"/>
      <c r="AN583" s="122"/>
      <c r="AO583" s="122"/>
      <c r="AP583" s="122"/>
    </row>
    <row r="584" spans="2:42">
      <c r="B584" s="122"/>
      <c r="C584" s="122"/>
      <c r="D584" s="122"/>
      <c r="E584" s="122"/>
      <c r="F584" s="122"/>
      <c r="G584" s="122"/>
      <c r="H584" s="122"/>
      <c r="I584" s="275"/>
      <c r="J584" s="130"/>
      <c r="K584" s="130"/>
      <c r="L584" s="130"/>
      <c r="M584" s="130"/>
      <c r="N584" s="291"/>
      <c r="O584" s="291"/>
      <c r="P584" s="122"/>
      <c r="Q584" s="122"/>
      <c r="R584" s="122"/>
      <c r="S584" s="122"/>
      <c r="T584" s="122"/>
      <c r="U584" s="301"/>
      <c r="V584" s="260">
        <f t="shared" ca="1" si="17"/>
        <v>0</v>
      </c>
      <c r="W584" s="348" t="str">
        <f>IF(板块成分!B586="","",板块成分!B586)</f>
        <v>002057.SZ</v>
      </c>
      <c r="X584" s="276" t="str">
        <f>[1]!S_Info_Name(W584)</f>
        <v>中钢天源</v>
      </c>
      <c r="Y584" s="276" t="str">
        <f ca="1">IF($Y$3="申万一级行业",[1]!s_info_industry_sw_2021(W584,公司分析!D$5,1),IF($Y$3="申万二级行业",[1]!s_info_industry_sw_2021(W584,公司分析!D$5,2),IF($Y$3="申万三级行业",[1]!s_info_industry_sw_2021(W584,公司分析!D$5,3),IF($Y$3="wind一级行业",[1]!s_info_industry_gics(W584,1),IF($Y$3="wind二级行业",[1]!s_info_industry_gics(W584,2),IF($Y$3="wind三级行业",[1]!s_info_industry_gics(W584,3),IF($Y$3="wind四级行业",[1]!s_info_industry_gics(W584,4),IF($Y$3="证监会门类行业",[1]!s_info_industry_csrc12_n(W584,公司分析!D$5,1),""))))))))</f>
        <v>专业服务</v>
      </c>
      <c r="Z584" s="302" t="str">
        <f ca="1">IF(Y584=行业比较!$E$6,ROW(),"")</f>
        <v/>
      </c>
      <c r="AA584" s="122"/>
      <c r="AB584" s="122"/>
      <c r="AC584" s="122"/>
      <c r="AD584" s="122"/>
      <c r="AE584" s="122"/>
      <c r="AF584" s="122"/>
      <c r="AG584" s="122"/>
      <c r="AH584" s="122"/>
      <c r="AI584" s="122"/>
      <c r="AJ584" s="122"/>
      <c r="AK584" s="122"/>
      <c r="AL584" s="122"/>
      <c r="AM584" s="122"/>
      <c r="AN584" s="122"/>
      <c r="AO584" s="122"/>
      <c r="AP584" s="122"/>
    </row>
    <row r="585" spans="2:42">
      <c r="B585" s="122"/>
      <c r="C585" s="122"/>
      <c r="D585" s="122"/>
      <c r="E585" s="122"/>
      <c r="F585" s="122"/>
      <c r="G585" s="122"/>
      <c r="H585" s="122"/>
      <c r="I585" s="275"/>
      <c r="J585" s="130"/>
      <c r="K585" s="130"/>
      <c r="L585" s="130"/>
      <c r="M585" s="130"/>
      <c r="N585" s="291"/>
      <c r="O585" s="291"/>
      <c r="P585" s="122"/>
      <c r="Q585" s="122"/>
      <c r="R585" s="122"/>
      <c r="S585" s="122"/>
      <c r="T585" s="122"/>
      <c r="U585" s="301"/>
      <c r="V585" s="260">
        <f t="shared" ca="1" si="17"/>
        <v>0</v>
      </c>
      <c r="W585" s="348" t="str">
        <f>IF(板块成分!B587="","",板块成分!B587)</f>
        <v>002058.SZ</v>
      </c>
      <c r="X585" s="276" t="str">
        <f>[1]!S_Info_Name(W585)</f>
        <v>*ST威尔</v>
      </c>
      <c r="Y585" s="276" t="str">
        <f ca="1">IF($Y$3="申万一级行业",[1]!s_info_industry_sw_2021(W585,公司分析!D$5,1),IF($Y$3="申万二级行业",[1]!s_info_industry_sw_2021(W585,公司分析!D$5,2),IF($Y$3="申万三级行业",[1]!s_info_industry_sw_2021(W585,公司分析!D$5,3),IF($Y$3="wind一级行业",[1]!s_info_industry_gics(W585,1),IF($Y$3="wind二级行业",[1]!s_info_industry_gics(W585,2),IF($Y$3="wind三级行业",[1]!s_info_industry_gics(W585,3),IF($Y$3="wind四级行业",[1]!s_info_industry_gics(W585,4),IF($Y$3="证监会门类行业",[1]!s_info_industry_csrc12_n(W585,公司分析!D$5,1),""))))))))</f>
        <v>通用设备</v>
      </c>
      <c r="Z585" s="302" t="str">
        <f ca="1">IF(Y585=行业比较!$E$6,ROW(),"")</f>
        <v/>
      </c>
      <c r="AA585" s="122"/>
      <c r="AB585" s="122"/>
      <c r="AC585" s="122"/>
      <c r="AD585" s="122"/>
      <c r="AE585" s="122"/>
      <c r="AF585" s="122"/>
      <c r="AG585" s="122"/>
      <c r="AH585" s="122"/>
      <c r="AI585" s="122"/>
      <c r="AJ585" s="122"/>
      <c r="AK585" s="122"/>
      <c r="AL585" s="122"/>
      <c r="AM585" s="122"/>
      <c r="AN585" s="122"/>
      <c r="AO585" s="122"/>
      <c r="AP585" s="122"/>
    </row>
    <row r="586" spans="2:42">
      <c r="B586" s="122"/>
      <c r="C586" s="122"/>
      <c r="D586" s="122"/>
      <c r="E586" s="122"/>
      <c r="F586" s="122"/>
      <c r="G586" s="122"/>
      <c r="H586" s="122"/>
      <c r="I586" s="275"/>
      <c r="J586" s="130"/>
      <c r="K586" s="130"/>
      <c r="L586" s="130"/>
      <c r="M586" s="130"/>
      <c r="N586" s="291"/>
      <c r="O586" s="291"/>
      <c r="P586" s="122"/>
      <c r="Q586" s="122"/>
      <c r="R586" s="122"/>
      <c r="S586" s="122"/>
      <c r="T586" s="122"/>
      <c r="U586" s="301"/>
      <c r="V586" s="260">
        <f t="shared" ca="1" si="17"/>
        <v>0</v>
      </c>
      <c r="W586" s="348" t="str">
        <f>IF(板块成分!B588="","",板块成分!B588)</f>
        <v>002059.SZ</v>
      </c>
      <c r="X586" s="276" t="str">
        <f>[1]!S_Info_Name(W586)</f>
        <v>云南旅游</v>
      </c>
      <c r="Y586" s="276" t="str">
        <f ca="1">IF($Y$3="申万一级行业",[1]!s_info_industry_sw_2021(W586,公司分析!D$5,1),IF($Y$3="申万二级行业",[1]!s_info_industry_sw_2021(W586,公司分析!D$5,2),IF($Y$3="申万三级行业",[1]!s_info_industry_sw_2021(W586,公司分析!D$5,3),IF($Y$3="wind一级行业",[1]!s_info_industry_gics(W586,1),IF($Y$3="wind二级行业",[1]!s_info_industry_gics(W586,2),IF($Y$3="wind三级行业",[1]!s_info_industry_gics(W586,3),IF($Y$3="wind四级行业",[1]!s_info_industry_gics(W586,4),IF($Y$3="证监会门类行业",[1]!s_info_industry_csrc12_n(W586,公司分析!D$5,1),""))))))))</f>
        <v>旅游及景区</v>
      </c>
      <c r="Z586" s="302" t="str">
        <f ca="1">IF(Y586=行业比较!$E$6,ROW(),"")</f>
        <v/>
      </c>
      <c r="AA586" s="122"/>
      <c r="AB586" s="122"/>
      <c r="AC586" s="122"/>
      <c r="AD586" s="122"/>
      <c r="AE586" s="122"/>
      <c r="AF586" s="122"/>
      <c r="AG586" s="122"/>
      <c r="AH586" s="122"/>
      <c r="AI586" s="122"/>
      <c r="AJ586" s="122"/>
      <c r="AK586" s="122"/>
      <c r="AL586" s="122"/>
      <c r="AM586" s="122"/>
      <c r="AN586" s="122"/>
      <c r="AO586" s="122"/>
      <c r="AP586" s="122"/>
    </row>
    <row r="587" spans="2:42">
      <c r="B587" s="122"/>
      <c r="C587" s="122"/>
      <c r="D587" s="122"/>
      <c r="E587" s="122"/>
      <c r="F587" s="122"/>
      <c r="G587" s="122"/>
      <c r="H587" s="122"/>
      <c r="I587" s="275"/>
      <c r="J587" s="130"/>
      <c r="K587" s="130"/>
      <c r="L587" s="130"/>
      <c r="M587" s="130"/>
      <c r="N587" s="291"/>
      <c r="O587" s="291"/>
      <c r="P587" s="122"/>
      <c r="Q587" s="122"/>
      <c r="R587" s="122"/>
      <c r="S587" s="122"/>
      <c r="T587" s="122"/>
      <c r="U587" s="301"/>
      <c r="V587" s="260">
        <f t="shared" ca="1" si="17"/>
        <v>0</v>
      </c>
      <c r="W587" s="348" t="str">
        <f>IF(板块成分!B589="","",板块成分!B589)</f>
        <v>002060.SZ</v>
      </c>
      <c r="X587" s="276" t="str">
        <f>[1]!S_Info_Name(W587)</f>
        <v>广东建工</v>
      </c>
      <c r="Y587" s="276" t="str">
        <f ca="1">IF($Y$3="申万一级行业",[1]!s_info_industry_sw_2021(W587,公司分析!D$5,1),IF($Y$3="申万二级行业",[1]!s_info_industry_sw_2021(W587,公司分析!D$5,2),IF($Y$3="申万三级行业",[1]!s_info_industry_sw_2021(W587,公司分析!D$5,3),IF($Y$3="wind一级行业",[1]!s_info_industry_gics(W587,1),IF($Y$3="wind二级行业",[1]!s_info_industry_gics(W587,2),IF($Y$3="wind三级行业",[1]!s_info_industry_gics(W587,3),IF($Y$3="wind四级行业",[1]!s_info_industry_gics(W587,4),IF($Y$3="证监会门类行业",[1]!s_info_industry_csrc12_n(W587,公司分析!D$5,1),""))))))))</f>
        <v>电力</v>
      </c>
      <c r="Z587" s="302" t="str">
        <f ca="1">IF(Y587=行业比较!$E$6,ROW(),"")</f>
        <v/>
      </c>
      <c r="AA587" s="122"/>
      <c r="AB587" s="122"/>
      <c r="AC587" s="122"/>
      <c r="AD587" s="122"/>
      <c r="AE587" s="122"/>
      <c r="AF587" s="122"/>
      <c r="AG587" s="122"/>
      <c r="AH587" s="122"/>
      <c r="AI587" s="122"/>
      <c r="AJ587" s="122"/>
      <c r="AK587" s="122"/>
      <c r="AL587" s="122"/>
      <c r="AM587" s="122"/>
      <c r="AN587" s="122"/>
      <c r="AO587" s="122"/>
      <c r="AP587" s="122"/>
    </row>
    <row r="588" spans="2:42">
      <c r="B588" s="122"/>
      <c r="C588" s="122"/>
      <c r="D588" s="122"/>
      <c r="E588" s="122"/>
      <c r="F588" s="122"/>
      <c r="G588" s="122"/>
      <c r="H588" s="122"/>
      <c r="I588" s="275"/>
      <c r="J588" s="130"/>
      <c r="K588" s="130"/>
      <c r="L588" s="130"/>
      <c r="M588" s="130"/>
      <c r="N588" s="291"/>
      <c r="O588" s="291"/>
      <c r="P588" s="122"/>
      <c r="Q588" s="122"/>
      <c r="R588" s="122"/>
      <c r="S588" s="122"/>
      <c r="T588" s="122"/>
      <c r="U588" s="301"/>
      <c r="V588" s="260">
        <f t="shared" ca="1" si="17"/>
        <v>0</v>
      </c>
      <c r="W588" s="348" t="str">
        <f>IF(板块成分!B590="","",板块成分!B590)</f>
        <v>002061.SZ</v>
      </c>
      <c r="X588" s="276" t="str">
        <f>[1]!S_Info_Name(W588)</f>
        <v>浙江交科</v>
      </c>
      <c r="Y588" s="276" t="str">
        <f ca="1">IF($Y$3="申万一级行业",[1]!s_info_industry_sw_2021(W588,公司分析!D$5,1),IF($Y$3="申万二级行业",[1]!s_info_industry_sw_2021(W588,公司分析!D$5,2),IF($Y$3="申万三级行业",[1]!s_info_industry_sw_2021(W588,公司分析!D$5,3),IF($Y$3="wind一级行业",[1]!s_info_industry_gics(W588,1),IF($Y$3="wind二级行业",[1]!s_info_industry_gics(W588,2),IF($Y$3="wind三级行业",[1]!s_info_industry_gics(W588,3),IF($Y$3="wind四级行业",[1]!s_info_industry_gics(W588,4),IF($Y$3="证监会门类行业",[1]!s_info_industry_csrc12_n(W588,公司分析!D$5,1),""))))))))</f>
        <v>基础建设</v>
      </c>
      <c r="Z588" s="302" t="str">
        <f ca="1">IF(Y588=行业比较!$E$6,ROW(),"")</f>
        <v/>
      </c>
      <c r="AA588" s="122"/>
      <c r="AB588" s="122"/>
      <c r="AC588" s="122"/>
      <c r="AD588" s="122"/>
      <c r="AE588" s="122"/>
      <c r="AF588" s="122"/>
      <c r="AG588" s="122"/>
      <c r="AH588" s="122"/>
      <c r="AI588" s="122"/>
      <c r="AJ588" s="122"/>
      <c r="AK588" s="122"/>
      <c r="AL588" s="122"/>
      <c r="AM588" s="122"/>
      <c r="AN588" s="122"/>
      <c r="AO588" s="122"/>
      <c r="AP588" s="122"/>
    </row>
    <row r="589" spans="2:42">
      <c r="B589" s="122"/>
      <c r="C589" s="122"/>
      <c r="D589" s="122"/>
      <c r="E589" s="122"/>
      <c r="F589" s="122"/>
      <c r="G589" s="122"/>
      <c r="H589" s="122"/>
      <c r="I589" s="275"/>
      <c r="J589" s="130"/>
      <c r="K589" s="130"/>
      <c r="L589" s="130"/>
      <c r="M589" s="130"/>
      <c r="N589" s="291"/>
      <c r="O589" s="291"/>
      <c r="P589" s="122"/>
      <c r="Q589" s="122"/>
      <c r="R589" s="122"/>
      <c r="S589" s="122"/>
      <c r="T589" s="122"/>
      <c r="U589" s="301"/>
      <c r="V589" s="260">
        <f t="shared" ca="1" si="17"/>
        <v>0</v>
      </c>
      <c r="W589" s="348" t="str">
        <f>IF(板块成分!B591="","",板块成分!B591)</f>
        <v>002062.SZ</v>
      </c>
      <c r="X589" s="276" t="str">
        <f>[1]!S_Info_Name(W589)</f>
        <v>宏润建设</v>
      </c>
      <c r="Y589" s="276" t="str">
        <f ca="1">IF($Y$3="申万一级行业",[1]!s_info_industry_sw_2021(W589,公司分析!D$5,1),IF($Y$3="申万二级行业",[1]!s_info_industry_sw_2021(W589,公司分析!D$5,2),IF($Y$3="申万三级行业",[1]!s_info_industry_sw_2021(W589,公司分析!D$5,3),IF($Y$3="wind一级行业",[1]!s_info_industry_gics(W589,1),IF($Y$3="wind二级行业",[1]!s_info_industry_gics(W589,2),IF($Y$3="wind三级行业",[1]!s_info_industry_gics(W589,3),IF($Y$3="wind四级行业",[1]!s_info_industry_gics(W589,4),IF($Y$3="证监会门类行业",[1]!s_info_industry_csrc12_n(W589,公司分析!D$5,1),""))))))))</f>
        <v>基础建设</v>
      </c>
      <c r="Z589" s="302" t="str">
        <f ca="1">IF(Y589=行业比较!$E$6,ROW(),"")</f>
        <v/>
      </c>
      <c r="AA589" s="122"/>
      <c r="AB589" s="122"/>
      <c r="AC589" s="122"/>
      <c r="AD589" s="122"/>
      <c r="AE589" s="122"/>
      <c r="AF589" s="122"/>
      <c r="AG589" s="122"/>
      <c r="AH589" s="122"/>
      <c r="AI589" s="122"/>
      <c r="AJ589" s="122"/>
      <c r="AK589" s="122"/>
      <c r="AL589" s="122"/>
      <c r="AM589" s="122"/>
      <c r="AN589" s="122"/>
      <c r="AO589" s="122"/>
      <c r="AP589" s="122"/>
    </row>
    <row r="590" spans="2:42">
      <c r="B590" s="122"/>
      <c r="C590" s="122"/>
      <c r="D590" s="122"/>
      <c r="E590" s="122"/>
      <c r="F590" s="122"/>
      <c r="G590" s="122"/>
      <c r="H590" s="122"/>
      <c r="I590" s="275"/>
      <c r="J590" s="130"/>
      <c r="K590" s="130"/>
      <c r="L590" s="130"/>
      <c r="M590" s="130"/>
      <c r="N590" s="291"/>
      <c r="O590" s="291"/>
      <c r="P590" s="122"/>
      <c r="Q590" s="122"/>
      <c r="R590" s="122"/>
      <c r="S590" s="122"/>
      <c r="T590" s="122"/>
      <c r="U590" s="301"/>
      <c r="V590" s="260">
        <f t="shared" ca="1" si="17"/>
        <v>0</v>
      </c>
      <c r="W590" s="348" t="str">
        <f>IF(板块成分!B592="","",板块成分!B592)</f>
        <v>002063.SZ</v>
      </c>
      <c r="X590" s="276" t="str">
        <f>[1]!S_Info_Name(W590)</f>
        <v>远光软件</v>
      </c>
      <c r="Y590" s="276" t="str">
        <f ca="1">IF($Y$3="申万一级行业",[1]!s_info_industry_sw_2021(W590,公司分析!D$5,1),IF($Y$3="申万二级行业",[1]!s_info_industry_sw_2021(W590,公司分析!D$5,2),IF($Y$3="申万三级行业",[1]!s_info_industry_sw_2021(W590,公司分析!D$5,3),IF($Y$3="wind一级行业",[1]!s_info_industry_gics(W590,1),IF($Y$3="wind二级行业",[1]!s_info_industry_gics(W590,2),IF($Y$3="wind三级行业",[1]!s_info_industry_gics(W590,3),IF($Y$3="wind四级行业",[1]!s_info_industry_gics(W590,4),IF($Y$3="证监会门类行业",[1]!s_info_industry_csrc12_n(W590,公司分析!D$5,1),""))))))))</f>
        <v>软件开发</v>
      </c>
      <c r="Z590" s="302" t="str">
        <f ca="1">IF(Y590=行业比较!$E$6,ROW(),"")</f>
        <v/>
      </c>
      <c r="AA590" s="122"/>
      <c r="AB590" s="122"/>
      <c r="AC590" s="122"/>
      <c r="AD590" s="122"/>
      <c r="AE590" s="122"/>
      <c r="AF590" s="122"/>
      <c r="AG590" s="122"/>
      <c r="AH590" s="122"/>
      <c r="AI590" s="122"/>
      <c r="AJ590" s="122"/>
      <c r="AK590" s="122"/>
      <c r="AL590" s="122"/>
      <c r="AM590" s="122"/>
      <c r="AN590" s="122"/>
      <c r="AO590" s="122"/>
      <c r="AP590" s="122"/>
    </row>
    <row r="591" spans="2:42">
      <c r="B591" s="122"/>
      <c r="C591" s="122"/>
      <c r="D591" s="122"/>
      <c r="E591" s="122"/>
      <c r="F591" s="122"/>
      <c r="G591" s="122"/>
      <c r="H591" s="122"/>
      <c r="I591" s="275"/>
      <c r="J591" s="130"/>
      <c r="K591" s="130"/>
      <c r="L591" s="130"/>
      <c r="M591" s="130"/>
      <c r="N591" s="291"/>
      <c r="O591" s="291"/>
      <c r="P591" s="122"/>
      <c r="Q591" s="122"/>
      <c r="R591" s="122"/>
      <c r="S591" s="122"/>
      <c r="T591" s="122"/>
      <c r="U591" s="301"/>
      <c r="V591" s="260">
        <f t="shared" ca="1" si="17"/>
        <v>0</v>
      </c>
      <c r="W591" s="348" t="str">
        <f>IF(板块成分!B593="","",板块成分!B593)</f>
        <v>002064.SZ</v>
      </c>
      <c r="X591" s="276" t="str">
        <f>[1]!S_Info_Name(W591)</f>
        <v>华峰化学</v>
      </c>
      <c r="Y591" s="276" t="str">
        <f ca="1">IF($Y$3="申万一级行业",[1]!s_info_industry_sw_2021(W591,公司分析!D$5,1),IF($Y$3="申万二级行业",[1]!s_info_industry_sw_2021(W591,公司分析!D$5,2),IF($Y$3="申万三级行业",[1]!s_info_industry_sw_2021(W591,公司分析!D$5,3),IF($Y$3="wind一级行业",[1]!s_info_industry_gics(W591,1),IF($Y$3="wind二级行业",[1]!s_info_industry_gics(W591,2),IF($Y$3="wind三级行业",[1]!s_info_industry_gics(W591,3),IF($Y$3="wind四级行业",[1]!s_info_industry_gics(W591,4),IF($Y$3="证监会门类行业",[1]!s_info_industry_csrc12_n(W591,公司分析!D$5,1),""))))))))</f>
        <v>化学纤维</v>
      </c>
      <c r="Z591" s="302" t="str">
        <f ca="1">IF(Y591=行业比较!$E$6,ROW(),"")</f>
        <v/>
      </c>
      <c r="AA591" s="122"/>
      <c r="AB591" s="122"/>
      <c r="AC591" s="122"/>
      <c r="AD591" s="122"/>
      <c r="AE591" s="122"/>
      <c r="AF591" s="122"/>
      <c r="AG591" s="122"/>
      <c r="AH591" s="122"/>
      <c r="AI591" s="122"/>
      <c r="AJ591" s="122"/>
      <c r="AK591" s="122"/>
      <c r="AL591" s="122"/>
      <c r="AM591" s="122"/>
      <c r="AN591" s="122"/>
      <c r="AO591" s="122"/>
      <c r="AP591" s="122"/>
    </row>
    <row r="592" spans="2:42">
      <c r="B592" s="122"/>
      <c r="C592" s="122"/>
      <c r="D592" s="122"/>
      <c r="E592" s="122"/>
      <c r="F592" s="122"/>
      <c r="G592" s="122"/>
      <c r="H592" s="122"/>
      <c r="I592" s="275"/>
      <c r="J592" s="130"/>
      <c r="K592" s="130"/>
      <c r="L592" s="130"/>
      <c r="M592" s="130"/>
      <c r="N592" s="291"/>
      <c r="O592" s="291"/>
      <c r="P592" s="122"/>
      <c r="Q592" s="122"/>
      <c r="R592" s="122"/>
      <c r="S592" s="122"/>
      <c r="T592" s="122"/>
      <c r="U592" s="301"/>
      <c r="V592" s="260">
        <f t="shared" ca="1" si="17"/>
        <v>0</v>
      </c>
      <c r="W592" s="348" t="str">
        <f>IF(板块成分!B594="","",板块成分!B594)</f>
        <v>002065.SZ</v>
      </c>
      <c r="X592" s="276" t="str">
        <f>[1]!S_Info_Name(W592)</f>
        <v>东华软件</v>
      </c>
      <c r="Y592" s="276" t="str">
        <f ca="1">IF($Y$3="申万一级行业",[1]!s_info_industry_sw_2021(W592,公司分析!D$5,1),IF($Y$3="申万二级行业",[1]!s_info_industry_sw_2021(W592,公司分析!D$5,2),IF($Y$3="申万三级行业",[1]!s_info_industry_sw_2021(W592,公司分析!D$5,3),IF($Y$3="wind一级行业",[1]!s_info_industry_gics(W592,1),IF($Y$3="wind二级行业",[1]!s_info_industry_gics(W592,2),IF($Y$3="wind三级行业",[1]!s_info_industry_gics(W592,3),IF($Y$3="wind四级行业",[1]!s_info_industry_gics(W592,4),IF($Y$3="证监会门类行业",[1]!s_info_industry_csrc12_n(W592,公司分析!D$5,1),""))))))))</f>
        <v>IT服务Ⅱ</v>
      </c>
      <c r="Z592" s="302" t="str">
        <f ca="1">IF(Y592=行业比较!$E$6,ROW(),"")</f>
        <v/>
      </c>
      <c r="AA592" s="122"/>
      <c r="AB592" s="122"/>
      <c r="AC592" s="122"/>
      <c r="AD592" s="122"/>
      <c r="AE592" s="122"/>
      <c r="AF592" s="122"/>
      <c r="AG592" s="122"/>
      <c r="AH592" s="122"/>
      <c r="AI592" s="122"/>
      <c r="AJ592" s="122"/>
      <c r="AK592" s="122"/>
      <c r="AL592" s="122"/>
      <c r="AM592" s="122"/>
      <c r="AN592" s="122"/>
      <c r="AO592" s="122"/>
      <c r="AP592" s="122"/>
    </row>
    <row r="593" spans="2:42">
      <c r="B593" s="122"/>
      <c r="C593" s="122"/>
      <c r="D593" s="122"/>
      <c r="E593" s="122"/>
      <c r="F593" s="122"/>
      <c r="G593" s="122"/>
      <c r="H593" s="122"/>
      <c r="I593" s="275"/>
      <c r="J593" s="130"/>
      <c r="K593" s="130"/>
      <c r="L593" s="130"/>
      <c r="M593" s="130"/>
      <c r="N593" s="291"/>
      <c r="O593" s="291"/>
      <c r="P593" s="122"/>
      <c r="Q593" s="122"/>
      <c r="R593" s="122"/>
      <c r="S593" s="122"/>
      <c r="T593" s="122"/>
      <c r="U593" s="301"/>
      <c r="V593" s="260">
        <f t="shared" ca="1" si="17"/>
        <v>0</v>
      </c>
      <c r="W593" s="348" t="str">
        <f>IF(板块成分!B595="","",板块成分!B595)</f>
        <v>002066.SZ</v>
      </c>
      <c r="X593" s="276" t="str">
        <f>[1]!S_Info_Name(W593)</f>
        <v>瑞泰科技</v>
      </c>
      <c r="Y593" s="276" t="str">
        <f ca="1">IF($Y$3="申万一级行业",[1]!s_info_industry_sw_2021(W593,公司分析!D$5,1),IF($Y$3="申万二级行业",[1]!s_info_industry_sw_2021(W593,公司分析!D$5,2),IF($Y$3="申万三级行业",[1]!s_info_industry_sw_2021(W593,公司分析!D$5,3),IF($Y$3="wind一级行业",[1]!s_info_industry_gics(W593,1),IF($Y$3="wind二级行业",[1]!s_info_industry_gics(W593,2),IF($Y$3="wind三级行业",[1]!s_info_industry_gics(W593,3),IF($Y$3="wind四级行业",[1]!s_info_industry_gics(W593,4),IF($Y$3="证监会门类行业",[1]!s_info_industry_csrc12_n(W593,公司分析!D$5,1),""))))))))</f>
        <v>装修建材</v>
      </c>
      <c r="Z593" s="302" t="str">
        <f ca="1">IF(Y593=行业比较!$E$6,ROW(),"")</f>
        <v/>
      </c>
      <c r="AA593" s="122"/>
      <c r="AB593" s="122"/>
      <c r="AC593" s="122"/>
      <c r="AD593" s="122"/>
      <c r="AE593" s="122"/>
      <c r="AF593" s="122"/>
      <c r="AG593" s="122"/>
      <c r="AH593" s="122"/>
      <c r="AI593" s="122"/>
      <c r="AJ593" s="122"/>
      <c r="AK593" s="122"/>
      <c r="AL593" s="122"/>
      <c r="AM593" s="122"/>
      <c r="AN593" s="122"/>
      <c r="AO593" s="122"/>
      <c r="AP593" s="122"/>
    </row>
    <row r="594" spans="2:42">
      <c r="B594" s="122"/>
      <c r="C594" s="122"/>
      <c r="D594" s="122"/>
      <c r="E594" s="122"/>
      <c r="F594" s="122"/>
      <c r="G594" s="122"/>
      <c r="H594" s="122"/>
      <c r="I594" s="275"/>
      <c r="J594" s="130"/>
      <c r="K594" s="130"/>
      <c r="L594" s="130"/>
      <c r="M594" s="130"/>
      <c r="N594" s="291"/>
      <c r="O594" s="291"/>
      <c r="P594" s="122"/>
      <c r="Q594" s="122"/>
      <c r="R594" s="122"/>
      <c r="S594" s="122"/>
      <c r="T594" s="122"/>
      <c r="U594" s="301"/>
      <c r="V594" s="260">
        <f t="shared" ca="1" si="17"/>
        <v>0</v>
      </c>
      <c r="W594" s="348" t="str">
        <f>IF(板块成分!B596="","",板块成分!B596)</f>
        <v>002067.SZ</v>
      </c>
      <c r="X594" s="276" t="str">
        <f>[1]!S_Info_Name(W594)</f>
        <v>景兴纸业</v>
      </c>
      <c r="Y594" s="276" t="str">
        <f ca="1">IF($Y$3="申万一级行业",[1]!s_info_industry_sw_2021(W594,公司分析!D$5,1),IF($Y$3="申万二级行业",[1]!s_info_industry_sw_2021(W594,公司分析!D$5,2),IF($Y$3="申万三级行业",[1]!s_info_industry_sw_2021(W594,公司分析!D$5,3),IF($Y$3="wind一级行业",[1]!s_info_industry_gics(W594,1),IF($Y$3="wind二级行业",[1]!s_info_industry_gics(W594,2),IF($Y$3="wind三级行业",[1]!s_info_industry_gics(W594,3),IF($Y$3="wind四级行业",[1]!s_info_industry_gics(W594,4),IF($Y$3="证监会门类行业",[1]!s_info_industry_csrc12_n(W594,公司分析!D$5,1),""))))))))</f>
        <v>造纸</v>
      </c>
      <c r="Z594" s="302" t="str">
        <f ca="1">IF(Y594=行业比较!$E$6,ROW(),"")</f>
        <v/>
      </c>
      <c r="AA594" s="122"/>
      <c r="AB594" s="122"/>
      <c r="AC594" s="122"/>
      <c r="AD594" s="122"/>
      <c r="AE594" s="122"/>
      <c r="AF594" s="122"/>
      <c r="AG594" s="122"/>
      <c r="AH594" s="122"/>
      <c r="AI594" s="122"/>
      <c r="AJ594" s="122"/>
      <c r="AK594" s="122"/>
      <c r="AL594" s="122"/>
      <c r="AM594" s="122"/>
      <c r="AN594" s="122"/>
      <c r="AO594" s="122"/>
      <c r="AP594" s="122"/>
    </row>
    <row r="595" spans="2:42">
      <c r="B595" s="122"/>
      <c r="C595" s="122"/>
      <c r="D595" s="122"/>
      <c r="E595" s="122"/>
      <c r="F595" s="122"/>
      <c r="G595" s="122"/>
      <c r="H595" s="122"/>
      <c r="I595" s="275"/>
      <c r="J595" s="130"/>
      <c r="K595" s="130"/>
      <c r="L595" s="130"/>
      <c r="M595" s="130"/>
      <c r="N595" s="291"/>
      <c r="O595" s="291"/>
      <c r="P595" s="122"/>
      <c r="Q595" s="122"/>
      <c r="R595" s="122"/>
      <c r="S595" s="122"/>
      <c r="T595" s="122"/>
      <c r="U595" s="301"/>
      <c r="V595" s="260">
        <f t="shared" ca="1" si="17"/>
        <v>0</v>
      </c>
      <c r="W595" s="348" t="str">
        <f>IF(板块成分!B597="","",板块成分!B597)</f>
        <v>002068.SZ</v>
      </c>
      <c r="X595" s="276" t="str">
        <f>[1]!S_Info_Name(W595)</f>
        <v>黑猫股份</v>
      </c>
      <c r="Y595" s="276" t="str">
        <f ca="1">IF($Y$3="申万一级行业",[1]!s_info_industry_sw_2021(W595,公司分析!D$5,1),IF($Y$3="申万二级行业",[1]!s_info_industry_sw_2021(W595,公司分析!D$5,2),IF($Y$3="申万三级行业",[1]!s_info_industry_sw_2021(W595,公司分析!D$5,3),IF($Y$3="wind一级行业",[1]!s_info_industry_gics(W595,1),IF($Y$3="wind二级行业",[1]!s_info_industry_gics(W595,2),IF($Y$3="wind三级行业",[1]!s_info_industry_gics(W595,3),IF($Y$3="wind四级行业",[1]!s_info_industry_gics(W595,4),IF($Y$3="证监会门类行业",[1]!s_info_industry_csrc12_n(W595,公司分析!D$5,1),""))))))))</f>
        <v>橡胶</v>
      </c>
      <c r="Z595" s="302" t="str">
        <f ca="1">IF(Y595=行业比较!$E$6,ROW(),"")</f>
        <v/>
      </c>
      <c r="AA595" s="122"/>
      <c r="AB595" s="122"/>
      <c r="AC595" s="122"/>
      <c r="AD595" s="122"/>
      <c r="AE595" s="122"/>
      <c r="AF595" s="122"/>
      <c r="AG595" s="122"/>
      <c r="AH595" s="122"/>
      <c r="AI595" s="122"/>
      <c r="AJ595" s="122"/>
      <c r="AK595" s="122"/>
      <c r="AL595" s="122"/>
      <c r="AM595" s="122"/>
      <c r="AN595" s="122"/>
      <c r="AO595" s="122"/>
      <c r="AP595" s="122"/>
    </row>
    <row r="596" spans="2:42">
      <c r="B596" s="122"/>
      <c r="C596" s="122"/>
      <c r="D596" s="122"/>
      <c r="E596" s="122"/>
      <c r="F596" s="122"/>
      <c r="G596" s="122"/>
      <c r="H596" s="122"/>
      <c r="I596" s="275"/>
      <c r="J596" s="130"/>
      <c r="K596" s="130"/>
      <c r="L596" s="130"/>
      <c r="M596" s="130"/>
      <c r="N596" s="291"/>
      <c r="O596" s="291"/>
      <c r="P596" s="122"/>
      <c r="Q596" s="122"/>
      <c r="R596" s="122"/>
      <c r="S596" s="122"/>
      <c r="T596" s="122"/>
      <c r="U596" s="301"/>
      <c r="V596" s="260">
        <f t="shared" ca="1" si="17"/>
        <v>0</v>
      </c>
      <c r="W596" s="348" t="str">
        <f>IF(板块成分!B598="","",板块成分!B598)</f>
        <v>002069.SZ</v>
      </c>
      <c r="X596" s="276" t="str">
        <f>[1]!S_Info_Name(W596)</f>
        <v>獐子岛</v>
      </c>
      <c r="Y596" s="276" t="str">
        <f ca="1">IF($Y$3="申万一级行业",[1]!s_info_industry_sw_2021(W596,公司分析!D$5,1),IF($Y$3="申万二级行业",[1]!s_info_industry_sw_2021(W596,公司分析!D$5,2),IF($Y$3="申万三级行业",[1]!s_info_industry_sw_2021(W596,公司分析!D$5,3),IF($Y$3="wind一级行业",[1]!s_info_industry_gics(W596,1),IF($Y$3="wind二级行业",[1]!s_info_industry_gics(W596,2),IF($Y$3="wind三级行业",[1]!s_info_industry_gics(W596,3),IF($Y$3="wind四级行业",[1]!s_info_industry_gics(W596,4),IF($Y$3="证监会门类行业",[1]!s_info_industry_csrc12_n(W596,公司分析!D$5,1),""))))))))</f>
        <v>渔业</v>
      </c>
      <c r="Z596" s="302" t="str">
        <f ca="1">IF(Y596=行业比较!$E$6,ROW(),"")</f>
        <v/>
      </c>
      <c r="AA596" s="122"/>
      <c r="AB596" s="122"/>
      <c r="AC596" s="122"/>
      <c r="AD596" s="122"/>
      <c r="AE596" s="122"/>
      <c r="AF596" s="122"/>
      <c r="AG596" s="122"/>
      <c r="AH596" s="122"/>
      <c r="AI596" s="122"/>
      <c r="AJ596" s="122"/>
      <c r="AK596" s="122"/>
      <c r="AL596" s="122"/>
      <c r="AM596" s="122"/>
      <c r="AN596" s="122"/>
      <c r="AO596" s="122"/>
      <c r="AP596" s="122"/>
    </row>
    <row r="597" spans="2:42">
      <c r="B597" s="122"/>
      <c r="C597" s="122"/>
      <c r="D597" s="122"/>
      <c r="E597" s="122"/>
      <c r="F597" s="122"/>
      <c r="G597" s="122"/>
      <c r="H597" s="122"/>
      <c r="I597" s="275"/>
      <c r="J597" s="130"/>
      <c r="K597" s="130"/>
      <c r="L597" s="130"/>
      <c r="M597" s="130"/>
      <c r="N597" s="291"/>
      <c r="O597" s="291"/>
      <c r="P597" s="122"/>
      <c r="Q597" s="122"/>
      <c r="R597" s="122"/>
      <c r="S597" s="122"/>
      <c r="T597" s="122"/>
      <c r="U597" s="301"/>
      <c r="V597" s="260">
        <f t="shared" ca="1" si="17"/>
        <v>0</v>
      </c>
      <c r="W597" s="348" t="str">
        <f>IF(板块成分!B599="","",板块成分!B599)</f>
        <v>002072.SZ</v>
      </c>
      <c r="X597" s="276" t="str">
        <f>[1]!S_Info_Name(W597)</f>
        <v>凯瑞德</v>
      </c>
      <c r="Y597" s="276" t="str">
        <f ca="1">IF($Y$3="申万一级行业",[1]!s_info_industry_sw_2021(W597,公司分析!D$5,1),IF($Y$3="申万二级行业",[1]!s_info_industry_sw_2021(W597,公司分析!D$5,2),IF($Y$3="申万三级行业",[1]!s_info_industry_sw_2021(W597,公司分析!D$5,3),IF($Y$3="wind一级行业",[1]!s_info_industry_gics(W597,1),IF($Y$3="wind二级行业",[1]!s_info_industry_gics(W597,2),IF($Y$3="wind三级行业",[1]!s_info_industry_gics(W597,3),IF($Y$3="wind四级行业",[1]!s_info_industry_gics(W597,4),IF($Y$3="证监会门类行业",[1]!s_info_industry_csrc12_n(W597,公司分析!D$5,1),""))))))))</f>
        <v>贸易Ⅱ</v>
      </c>
      <c r="Z597" s="302" t="str">
        <f ca="1">IF(Y597=行业比较!$E$6,ROW(),"")</f>
        <v/>
      </c>
      <c r="AA597" s="122"/>
      <c r="AB597" s="122"/>
      <c r="AC597" s="122"/>
      <c r="AD597" s="122"/>
      <c r="AE597" s="122"/>
      <c r="AF597" s="122"/>
      <c r="AG597" s="122"/>
      <c r="AH597" s="122"/>
      <c r="AI597" s="122"/>
      <c r="AJ597" s="122"/>
      <c r="AK597" s="122"/>
      <c r="AL597" s="122"/>
      <c r="AM597" s="122"/>
      <c r="AN597" s="122"/>
      <c r="AO597" s="122"/>
      <c r="AP597" s="122"/>
    </row>
    <row r="598" spans="2:42">
      <c r="B598" s="122"/>
      <c r="C598" s="122"/>
      <c r="D598" s="122"/>
      <c r="E598" s="122"/>
      <c r="F598" s="122"/>
      <c r="G598" s="122"/>
      <c r="H598" s="122"/>
      <c r="I598" s="275"/>
      <c r="J598" s="130"/>
      <c r="K598" s="130"/>
      <c r="L598" s="130"/>
      <c r="M598" s="130"/>
      <c r="N598" s="291"/>
      <c r="O598" s="291"/>
      <c r="P598" s="122"/>
      <c r="Q598" s="122"/>
      <c r="R598" s="122"/>
      <c r="S598" s="122"/>
      <c r="T598" s="122"/>
      <c r="U598" s="301"/>
      <c r="V598" s="260">
        <f t="shared" ca="1" si="17"/>
        <v>0</v>
      </c>
      <c r="W598" s="348" t="str">
        <f>IF(板块成分!B600="","",板块成分!B600)</f>
        <v>002073.SZ</v>
      </c>
      <c r="X598" s="276" t="str">
        <f>[1]!S_Info_Name(W598)</f>
        <v>软控股份</v>
      </c>
      <c r="Y598" s="276" t="str">
        <f ca="1">IF($Y$3="申万一级行业",[1]!s_info_industry_sw_2021(W598,公司分析!D$5,1),IF($Y$3="申万二级行业",[1]!s_info_industry_sw_2021(W598,公司分析!D$5,2),IF($Y$3="申万三级行业",[1]!s_info_industry_sw_2021(W598,公司分析!D$5,3),IF($Y$3="wind一级行业",[1]!s_info_industry_gics(W598,1),IF($Y$3="wind二级行业",[1]!s_info_industry_gics(W598,2),IF($Y$3="wind三级行业",[1]!s_info_industry_gics(W598,3),IF($Y$3="wind四级行业",[1]!s_info_industry_gics(W598,4),IF($Y$3="证监会门类行业",[1]!s_info_industry_csrc12_n(W598,公司分析!D$5,1),""))))))))</f>
        <v>专用设备</v>
      </c>
      <c r="Z598" s="302" t="str">
        <f ca="1">IF(Y598=行业比较!$E$6,ROW(),"")</f>
        <v/>
      </c>
      <c r="AA598" s="122"/>
      <c r="AB598" s="122"/>
      <c r="AC598" s="122"/>
      <c r="AD598" s="122"/>
      <c r="AE598" s="122"/>
      <c r="AF598" s="122"/>
      <c r="AG598" s="122"/>
      <c r="AH598" s="122"/>
      <c r="AI598" s="122"/>
      <c r="AJ598" s="122"/>
      <c r="AK598" s="122"/>
      <c r="AL598" s="122"/>
      <c r="AM598" s="122"/>
      <c r="AN598" s="122"/>
      <c r="AO598" s="122"/>
      <c r="AP598" s="122"/>
    </row>
    <row r="599" spans="2:42">
      <c r="B599" s="122"/>
      <c r="C599" s="122"/>
      <c r="D599" s="122"/>
      <c r="E599" s="122"/>
      <c r="F599" s="122"/>
      <c r="G599" s="122"/>
      <c r="H599" s="122"/>
      <c r="I599" s="275"/>
      <c r="J599" s="130"/>
      <c r="K599" s="130"/>
      <c r="L599" s="130"/>
      <c r="M599" s="130"/>
      <c r="N599" s="291"/>
      <c r="O599" s="291"/>
      <c r="P599" s="122"/>
      <c r="Q599" s="122"/>
      <c r="R599" s="122"/>
      <c r="S599" s="122"/>
      <c r="T599" s="122"/>
      <c r="U599" s="301"/>
      <c r="V599" s="260">
        <f t="shared" ca="1" si="17"/>
        <v>0</v>
      </c>
      <c r="W599" s="348" t="str">
        <f>IF(板块成分!B601="","",板块成分!B601)</f>
        <v>002074.SZ</v>
      </c>
      <c r="X599" s="276" t="str">
        <f>[1]!S_Info_Name(W599)</f>
        <v>国轩高科</v>
      </c>
      <c r="Y599" s="276" t="str">
        <f ca="1">IF($Y$3="申万一级行业",[1]!s_info_industry_sw_2021(W599,公司分析!D$5,1),IF($Y$3="申万二级行业",[1]!s_info_industry_sw_2021(W599,公司分析!D$5,2),IF($Y$3="申万三级行业",[1]!s_info_industry_sw_2021(W599,公司分析!D$5,3),IF($Y$3="wind一级行业",[1]!s_info_industry_gics(W599,1),IF($Y$3="wind二级行业",[1]!s_info_industry_gics(W599,2),IF($Y$3="wind三级行业",[1]!s_info_industry_gics(W599,3),IF($Y$3="wind四级行业",[1]!s_info_industry_gics(W599,4),IF($Y$3="证监会门类行业",[1]!s_info_industry_csrc12_n(W599,公司分析!D$5,1),""))))))))</f>
        <v>电池</v>
      </c>
      <c r="Z599" s="302" t="str">
        <f ca="1">IF(Y599=行业比较!$E$6,ROW(),"")</f>
        <v/>
      </c>
      <c r="AA599" s="122"/>
      <c r="AB599" s="122"/>
      <c r="AC599" s="122"/>
      <c r="AD599" s="122"/>
      <c r="AE599" s="122"/>
      <c r="AF599" s="122"/>
      <c r="AG599" s="122"/>
      <c r="AH599" s="122"/>
      <c r="AI599" s="122"/>
      <c r="AJ599" s="122"/>
      <c r="AK599" s="122"/>
      <c r="AL599" s="122"/>
      <c r="AM599" s="122"/>
      <c r="AN599" s="122"/>
      <c r="AO599" s="122"/>
      <c r="AP599" s="122"/>
    </row>
    <row r="600" spans="2:42">
      <c r="B600" s="122"/>
      <c r="C600" s="122"/>
      <c r="D600" s="122"/>
      <c r="E600" s="122"/>
      <c r="F600" s="122"/>
      <c r="G600" s="122"/>
      <c r="H600" s="122"/>
      <c r="I600" s="275"/>
      <c r="J600" s="130"/>
      <c r="K600" s="130"/>
      <c r="L600" s="130"/>
      <c r="M600" s="130"/>
      <c r="N600" s="291"/>
      <c r="O600" s="291"/>
      <c r="P600" s="122"/>
      <c r="Q600" s="122"/>
      <c r="R600" s="122"/>
      <c r="S600" s="122"/>
      <c r="T600" s="122"/>
      <c r="U600" s="301"/>
      <c r="V600" s="260">
        <f t="shared" ca="1" si="17"/>
        <v>0</v>
      </c>
      <c r="W600" s="348" t="str">
        <f>IF(板块成分!B602="","",板块成分!B602)</f>
        <v>002075.SZ</v>
      </c>
      <c r="X600" s="276" t="str">
        <f>[1]!S_Info_Name(W600)</f>
        <v>沙钢股份</v>
      </c>
      <c r="Y600" s="276" t="str">
        <f ca="1">IF($Y$3="申万一级行业",[1]!s_info_industry_sw_2021(W600,公司分析!D$5,1),IF($Y$3="申万二级行业",[1]!s_info_industry_sw_2021(W600,公司分析!D$5,2),IF($Y$3="申万三级行业",[1]!s_info_industry_sw_2021(W600,公司分析!D$5,3),IF($Y$3="wind一级行业",[1]!s_info_industry_gics(W600,1),IF($Y$3="wind二级行业",[1]!s_info_industry_gics(W600,2),IF($Y$3="wind三级行业",[1]!s_info_industry_gics(W600,3),IF($Y$3="wind四级行业",[1]!s_info_industry_gics(W600,4),IF($Y$3="证监会门类行业",[1]!s_info_industry_csrc12_n(W600,公司分析!D$5,1),""))))))))</f>
        <v>特钢Ⅱ</v>
      </c>
      <c r="Z600" s="302" t="str">
        <f ca="1">IF(Y600=行业比较!$E$6,ROW(),"")</f>
        <v/>
      </c>
      <c r="AA600" s="122"/>
      <c r="AB600" s="122"/>
      <c r="AC600" s="122"/>
      <c r="AD600" s="122"/>
      <c r="AE600" s="122"/>
      <c r="AF600" s="122"/>
      <c r="AG600" s="122"/>
      <c r="AH600" s="122"/>
      <c r="AI600" s="122"/>
      <c r="AJ600" s="122"/>
      <c r="AK600" s="122"/>
      <c r="AL600" s="122"/>
      <c r="AM600" s="122"/>
      <c r="AN600" s="122"/>
      <c r="AO600" s="122"/>
      <c r="AP600" s="122"/>
    </row>
    <row r="601" spans="2:42">
      <c r="B601" s="122"/>
      <c r="C601" s="122"/>
      <c r="D601" s="122"/>
      <c r="E601" s="122"/>
      <c r="F601" s="122"/>
      <c r="G601" s="122"/>
      <c r="H601" s="122"/>
      <c r="I601" s="275"/>
      <c r="J601" s="130"/>
      <c r="K601" s="130"/>
      <c r="L601" s="130"/>
      <c r="M601" s="130"/>
      <c r="N601" s="291"/>
      <c r="O601" s="291"/>
      <c r="P601" s="122"/>
      <c r="Q601" s="122"/>
      <c r="R601" s="122"/>
      <c r="S601" s="122"/>
      <c r="T601" s="122"/>
      <c r="U601" s="301"/>
      <c r="V601" s="260">
        <f t="shared" ca="1" si="17"/>
        <v>0</v>
      </c>
      <c r="W601" s="348" t="str">
        <f>IF(板块成分!B603="","",板块成分!B603)</f>
        <v>002076.SZ</v>
      </c>
      <c r="X601" s="276" t="str">
        <f>[1]!S_Info_Name(W601)</f>
        <v>*ST星光</v>
      </c>
      <c r="Y601" s="276" t="str">
        <f ca="1">IF($Y$3="申万一级行业",[1]!s_info_industry_sw_2021(W601,公司分析!D$5,1),IF($Y$3="申万二级行业",[1]!s_info_industry_sw_2021(W601,公司分析!D$5,2),IF($Y$3="申万三级行业",[1]!s_info_industry_sw_2021(W601,公司分析!D$5,3),IF($Y$3="wind一级行业",[1]!s_info_industry_gics(W601,1),IF($Y$3="wind二级行业",[1]!s_info_industry_gics(W601,2),IF($Y$3="wind三级行业",[1]!s_info_industry_gics(W601,3),IF($Y$3="wind四级行业",[1]!s_info_industry_gics(W601,4),IF($Y$3="证监会门类行业",[1]!s_info_industry_csrc12_n(W601,公司分析!D$5,1),""))))))))</f>
        <v>照明设备Ⅱ</v>
      </c>
      <c r="Z601" s="302" t="str">
        <f ca="1">IF(Y601=行业比较!$E$6,ROW(),"")</f>
        <v/>
      </c>
      <c r="AA601" s="122"/>
      <c r="AB601" s="122"/>
      <c r="AC601" s="122"/>
      <c r="AD601" s="122"/>
      <c r="AE601" s="122"/>
      <c r="AF601" s="122"/>
      <c r="AG601" s="122"/>
      <c r="AH601" s="122"/>
      <c r="AI601" s="122"/>
      <c r="AJ601" s="122"/>
      <c r="AK601" s="122"/>
      <c r="AL601" s="122"/>
      <c r="AM601" s="122"/>
      <c r="AN601" s="122"/>
      <c r="AO601" s="122"/>
      <c r="AP601" s="122"/>
    </row>
    <row r="602" spans="2:42">
      <c r="B602" s="122"/>
      <c r="C602" s="122"/>
      <c r="D602" s="122"/>
      <c r="E602" s="122"/>
      <c r="F602" s="122"/>
      <c r="G602" s="122"/>
      <c r="H602" s="122"/>
      <c r="I602" s="275"/>
      <c r="J602" s="130"/>
      <c r="K602" s="130"/>
      <c r="L602" s="130"/>
      <c r="M602" s="130"/>
      <c r="N602" s="291"/>
      <c r="O602" s="291"/>
      <c r="P602" s="122"/>
      <c r="Q602" s="122"/>
      <c r="R602" s="122"/>
      <c r="S602" s="122"/>
      <c r="T602" s="122"/>
      <c r="U602" s="301"/>
      <c r="V602" s="260">
        <f t="shared" ca="1" si="17"/>
        <v>0</v>
      </c>
      <c r="W602" s="348" t="str">
        <f>IF(板块成分!B604="","",板块成分!B604)</f>
        <v>002077.SZ</v>
      </c>
      <c r="X602" s="276" t="str">
        <f>[1]!S_Info_Name(W602)</f>
        <v>大港股份</v>
      </c>
      <c r="Y602" s="276" t="str">
        <f ca="1">IF($Y$3="申万一级行业",[1]!s_info_industry_sw_2021(W602,公司分析!D$5,1),IF($Y$3="申万二级行业",[1]!s_info_industry_sw_2021(W602,公司分析!D$5,2),IF($Y$3="申万三级行业",[1]!s_info_industry_sw_2021(W602,公司分析!D$5,3),IF($Y$3="wind一级行业",[1]!s_info_industry_gics(W602,1),IF($Y$3="wind二级行业",[1]!s_info_industry_gics(W602,2),IF($Y$3="wind三级行业",[1]!s_info_industry_gics(W602,3),IF($Y$3="wind四级行业",[1]!s_info_industry_gics(W602,4),IF($Y$3="证监会门类行业",[1]!s_info_industry_csrc12_n(W602,公司分析!D$5,1),""))))))))</f>
        <v>半导体</v>
      </c>
      <c r="Z602" s="302" t="str">
        <f ca="1">IF(Y602=行业比较!$E$6,ROW(),"")</f>
        <v/>
      </c>
      <c r="AA602" s="122"/>
      <c r="AB602" s="122"/>
      <c r="AC602" s="122"/>
      <c r="AD602" s="122"/>
      <c r="AE602" s="122"/>
      <c r="AF602" s="122"/>
      <c r="AG602" s="122"/>
      <c r="AH602" s="122"/>
      <c r="AI602" s="122"/>
      <c r="AJ602" s="122"/>
      <c r="AK602" s="122"/>
      <c r="AL602" s="122"/>
      <c r="AM602" s="122"/>
      <c r="AN602" s="122"/>
      <c r="AO602" s="122"/>
      <c r="AP602" s="122"/>
    </row>
    <row r="603" spans="2:42">
      <c r="B603" s="122"/>
      <c r="C603" s="122"/>
      <c r="D603" s="122"/>
      <c r="E603" s="122"/>
      <c r="F603" s="122"/>
      <c r="G603" s="122"/>
      <c r="H603" s="122"/>
      <c r="I603" s="275"/>
      <c r="J603" s="130"/>
      <c r="K603" s="130"/>
      <c r="L603" s="130"/>
      <c r="M603" s="130"/>
      <c r="N603" s="291"/>
      <c r="O603" s="291"/>
      <c r="P603" s="122"/>
      <c r="Q603" s="122"/>
      <c r="R603" s="122"/>
      <c r="S603" s="122"/>
      <c r="T603" s="122"/>
      <c r="U603" s="301"/>
      <c r="V603" s="260">
        <f t="shared" ca="1" si="17"/>
        <v>0</v>
      </c>
      <c r="W603" s="348" t="str">
        <f>IF(板块成分!B605="","",板块成分!B605)</f>
        <v>002078.SZ</v>
      </c>
      <c r="X603" s="276" t="str">
        <f>[1]!S_Info_Name(W603)</f>
        <v>太阳纸业</v>
      </c>
      <c r="Y603" s="276" t="str">
        <f ca="1">IF($Y$3="申万一级行业",[1]!s_info_industry_sw_2021(W603,公司分析!D$5,1),IF($Y$3="申万二级行业",[1]!s_info_industry_sw_2021(W603,公司分析!D$5,2),IF($Y$3="申万三级行业",[1]!s_info_industry_sw_2021(W603,公司分析!D$5,3),IF($Y$3="wind一级行业",[1]!s_info_industry_gics(W603,1),IF($Y$3="wind二级行业",[1]!s_info_industry_gics(W603,2),IF($Y$3="wind三级行业",[1]!s_info_industry_gics(W603,3),IF($Y$3="wind四级行业",[1]!s_info_industry_gics(W603,4),IF($Y$3="证监会门类行业",[1]!s_info_industry_csrc12_n(W603,公司分析!D$5,1),""))))))))</f>
        <v>造纸</v>
      </c>
      <c r="Z603" s="302" t="str">
        <f ca="1">IF(Y603=行业比较!$E$6,ROW(),"")</f>
        <v/>
      </c>
      <c r="AA603" s="122"/>
      <c r="AB603" s="122"/>
      <c r="AC603" s="122"/>
      <c r="AD603" s="122"/>
      <c r="AE603" s="122"/>
      <c r="AF603" s="122"/>
      <c r="AG603" s="122"/>
      <c r="AH603" s="122"/>
      <c r="AI603" s="122"/>
      <c r="AJ603" s="122"/>
      <c r="AK603" s="122"/>
      <c r="AL603" s="122"/>
      <c r="AM603" s="122"/>
      <c r="AN603" s="122"/>
      <c r="AO603" s="122"/>
      <c r="AP603" s="122"/>
    </row>
    <row r="604" spans="2:42">
      <c r="B604" s="122"/>
      <c r="C604" s="122"/>
      <c r="D604" s="122"/>
      <c r="E604" s="122"/>
      <c r="F604" s="122"/>
      <c r="G604" s="122"/>
      <c r="H604" s="122"/>
      <c r="I604" s="275"/>
      <c r="J604" s="130"/>
      <c r="K604" s="130"/>
      <c r="L604" s="130"/>
      <c r="M604" s="130"/>
      <c r="N604" s="291"/>
      <c r="O604" s="291"/>
      <c r="P604" s="122"/>
      <c r="Q604" s="122"/>
      <c r="R604" s="122"/>
      <c r="S604" s="122"/>
      <c r="T604" s="122"/>
      <c r="U604" s="301"/>
      <c r="V604" s="260">
        <f t="shared" ca="1" si="17"/>
        <v>0</v>
      </c>
      <c r="W604" s="348" t="str">
        <f>IF(板块成分!B606="","",板块成分!B606)</f>
        <v>002079.SZ</v>
      </c>
      <c r="X604" s="276" t="str">
        <f>[1]!S_Info_Name(W604)</f>
        <v>苏州固锝</v>
      </c>
      <c r="Y604" s="276" t="str">
        <f ca="1">IF($Y$3="申万一级行业",[1]!s_info_industry_sw_2021(W604,公司分析!D$5,1),IF($Y$3="申万二级行业",[1]!s_info_industry_sw_2021(W604,公司分析!D$5,2),IF($Y$3="申万三级行业",[1]!s_info_industry_sw_2021(W604,公司分析!D$5,3),IF($Y$3="wind一级行业",[1]!s_info_industry_gics(W604,1),IF($Y$3="wind二级行业",[1]!s_info_industry_gics(W604,2),IF($Y$3="wind三级行业",[1]!s_info_industry_gics(W604,3),IF($Y$3="wind四级行业",[1]!s_info_industry_gics(W604,4),IF($Y$3="证监会门类行业",[1]!s_info_industry_csrc12_n(W604,公司分析!D$5,1),""))))))))</f>
        <v>电池</v>
      </c>
      <c r="Z604" s="302" t="str">
        <f ca="1">IF(Y604=行业比较!$E$6,ROW(),"")</f>
        <v/>
      </c>
      <c r="AA604" s="122"/>
      <c r="AB604" s="122"/>
      <c r="AC604" s="122"/>
      <c r="AD604" s="122"/>
      <c r="AE604" s="122"/>
      <c r="AF604" s="122"/>
      <c r="AG604" s="122"/>
      <c r="AH604" s="122"/>
      <c r="AI604" s="122"/>
      <c r="AJ604" s="122"/>
      <c r="AK604" s="122"/>
      <c r="AL604" s="122"/>
      <c r="AM604" s="122"/>
      <c r="AN604" s="122"/>
      <c r="AO604" s="122"/>
      <c r="AP604" s="122"/>
    </row>
    <row r="605" spans="2:42">
      <c r="B605" s="122"/>
      <c r="C605" s="122"/>
      <c r="D605" s="122"/>
      <c r="E605" s="122"/>
      <c r="F605" s="122"/>
      <c r="G605" s="122"/>
      <c r="H605" s="122"/>
      <c r="I605" s="275"/>
      <c r="J605" s="130"/>
      <c r="K605" s="130"/>
      <c r="L605" s="130"/>
      <c r="M605" s="130"/>
      <c r="N605" s="291"/>
      <c r="O605" s="291"/>
      <c r="P605" s="122"/>
      <c r="Q605" s="122"/>
      <c r="R605" s="122"/>
      <c r="S605" s="122"/>
      <c r="T605" s="122"/>
      <c r="U605" s="301"/>
      <c r="V605" s="260">
        <f t="shared" ca="1" si="17"/>
        <v>0</v>
      </c>
      <c r="W605" s="348" t="str">
        <f>IF(板块成分!B607="","",板块成分!B607)</f>
        <v>002080.SZ</v>
      </c>
      <c r="X605" s="276" t="str">
        <f>[1]!S_Info_Name(W605)</f>
        <v>中材科技</v>
      </c>
      <c r="Y605" s="276" t="str">
        <f ca="1">IF($Y$3="申万一级行业",[1]!s_info_industry_sw_2021(W605,公司分析!D$5,1),IF($Y$3="申万二级行业",[1]!s_info_industry_sw_2021(W605,公司分析!D$5,2),IF($Y$3="申万三级行业",[1]!s_info_industry_sw_2021(W605,公司分析!D$5,3),IF($Y$3="wind一级行业",[1]!s_info_industry_gics(W605,1),IF($Y$3="wind二级行业",[1]!s_info_industry_gics(W605,2),IF($Y$3="wind三级行业",[1]!s_info_industry_gics(W605,3),IF($Y$3="wind四级行业",[1]!s_info_industry_gics(W605,4),IF($Y$3="证监会门类行业",[1]!s_info_industry_csrc12_n(W605,公司分析!D$5,1),""))))))))</f>
        <v>玻璃玻纤</v>
      </c>
      <c r="Z605" s="302" t="str">
        <f ca="1">IF(Y605=行业比较!$E$6,ROW(),"")</f>
        <v/>
      </c>
      <c r="AA605" s="122"/>
      <c r="AB605" s="122"/>
      <c r="AC605" s="122"/>
      <c r="AD605" s="122"/>
      <c r="AE605" s="122"/>
      <c r="AF605" s="122"/>
      <c r="AG605" s="122"/>
      <c r="AH605" s="122"/>
      <c r="AI605" s="122"/>
      <c r="AJ605" s="122"/>
      <c r="AK605" s="122"/>
      <c r="AL605" s="122"/>
      <c r="AM605" s="122"/>
      <c r="AN605" s="122"/>
      <c r="AO605" s="122"/>
      <c r="AP605" s="122"/>
    </row>
    <row r="606" spans="2:42">
      <c r="B606" s="122"/>
      <c r="C606" s="122"/>
      <c r="D606" s="122"/>
      <c r="E606" s="122"/>
      <c r="F606" s="122"/>
      <c r="G606" s="122"/>
      <c r="H606" s="122"/>
      <c r="I606" s="275"/>
      <c r="J606" s="130"/>
      <c r="K606" s="130"/>
      <c r="L606" s="130"/>
      <c r="M606" s="130"/>
      <c r="N606" s="291"/>
      <c r="O606" s="291"/>
      <c r="P606" s="122"/>
      <c r="Q606" s="122"/>
      <c r="R606" s="122"/>
      <c r="S606" s="122"/>
      <c r="T606" s="122"/>
      <c r="U606" s="301"/>
      <c r="V606" s="260">
        <f t="shared" ca="1" si="17"/>
        <v>0</v>
      </c>
      <c r="W606" s="348" t="str">
        <f>IF(板块成分!B608="","",板块成分!B608)</f>
        <v>002081.SZ</v>
      </c>
      <c r="X606" s="276" t="str">
        <f>[1]!S_Info_Name(W606)</f>
        <v>金螳螂</v>
      </c>
      <c r="Y606" s="276" t="str">
        <f ca="1">IF($Y$3="申万一级行业",[1]!s_info_industry_sw_2021(W606,公司分析!D$5,1),IF($Y$3="申万二级行业",[1]!s_info_industry_sw_2021(W606,公司分析!D$5,2),IF($Y$3="申万三级行业",[1]!s_info_industry_sw_2021(W606,公司分析!D$5,3),IF($Y$3="wind一级行业",[1]!s_info_industry_gics(W606,1),IF($Y$3="wind二级行业",[1]!s_info_industry_gics(W606,2),IF($Y$3="wind三级行业",[1]!s_info_industry_gics(W606,3),IF($Y$3="wind四级行业",[1]!s_info_industry_gics(W606,4),IF($Y$3="证监会门类行业",[1]!s_info_industry_csrc12_n(W606,公司分析!D$5,1),""))))))))</f>
        <v>装修装饰Ⅱ</v>
      </c>
      <c r="Z606" s="302" t="str">
        <f ca="1">IF(Y606=行业比较!$E$6,ROW(),"")</f>
        <v/>
      </c>
      <c r="AA606" s="122"/>
      <c r="AB606" s="122"/>
      <c r="AC606" s="122"/>
      <c r="AD606" s="122"/>
      <c r="AE606" s="122"/>
      <c r="AF606" s="122"/>
      <c r="AG606" s="122"/>
      <c r="AH606" s="122"/>
      <c r="AI606" s="122"/>
      <c r="AJ606" s="122"/>
      <c r="AK606" s="122"/>
      <c r="AL606" s="122"/>
      <c r="AM606" s="122"/>
      <c r="AN606" s="122"/>
      <c r="AO606" s="122"/>
      <c r="AP606" s="122"/>
    </row>
    <row r="607" spans="2:42">
      <c r="B607" s="122"/>
      <c r="C607" s="122"/>
      <c r="D607" s="122"/>
      <c r="E607" s="122"/>
      <c r="F607" s="122"/>
      <c r="G607" s="122"/>
      <c r="H607" s="122"/>
      <c r="I607" s="275"/>
      <c r="J607" s="130"/>
      <c r="K607" s="130"/>
      <c r="L607" s="130"/>
      <c r="M607" s="130"/>
      <c r="N607" s="291"/>
      <c r="O607" s="291"/>
      <c r="P607" s="122"/>
      <c r="Q607" s="122"/>
      <c r="R607" s="122"/>
      <c r="S607" s="122"/>
      <c r="T607" s="122"/>
      <c r="U607" s="301"/>
      <c r="V607" s="260">
        <f t="shared" ca="1" si="17"/>
        <v>0</v>
      </c>
      <c r="W607" s="348" t="str">
        <f>IF(板块成分!B609="","",板块成分!B609)</f>
        <v>002082.SZ</v>
      </c>
      <c r="X607" s="276" t="str">
        <f>[1]!S_Info_Name(W607)</f>
        <v>万邦德</v>
      </c>
      <c r="Y607" s="276" t="str">
        <f ca="1">IF($Y$3="申万一级行业",[1]!s_info_industry_sw_2021(W607,公司分析!D$5,1),IF($Y$3="申万二级行业",[1]!s_info_industry_sw_2021(W607,公司分析!D$5,2),IF($Y$3="申万三级行业",[1]!s_info_industry_sw_2021(W607,公司分析!D$5,3),IF($Y$3="wind一级行业",[1]!s_info_industry_gics(W607,1),IF($Y$3="wind二级行业",[1]!s_info_industry_gics(W607,2),IF($Y$3="wind三级行业",[1]!s_info_industry_gics(W607,3),IF($Y$3="wind四级行业",[1]!s_info_industry_gics(W607,4),IF($Y$3="证监会门类行业",[1]!s_info_industry_csrc12_n(W607,公司分析!D$5,1),""))))))))</f>
        <v>中药Ⅱ</v>
      </c>
      <c r="Z607" s="302" t="str">
        <f ca="1">IF(Y607=行业比较!$E$6,ROW(),"")</f>
        <v/>
      </c>
      <c r="AA607" s="122"/>
      <c r="AB607" s="122"/>
      <c r="AC607" s="122"/>
      <c r="AD607" s="122"/>
      <c r="AE607" s="122"/>
      <c r="AF607" s="122"/>
      <c r="AG607" s="122"/>
      <c r="AH607" s="122"/>
      <c r="AI607" s="122"/>
      <c r="AJ607" s="122"/>
      <c r="AK607" s="122"/>
      <c r="AL607" s="122"/>
      <c r="AM607" s="122"/>
      <c r="AN607" s="122"/>
      <c r="AO607" s="122"/>
      <c r="AP607" s="122"/>
    </row>
    <row r="608" spans="2:42">
      <c r="B608" s="122"/>
      <c r="C608" s="122"/>
      <c r="D608" s="122"/>
      <c r="E608" s="122"/>
      <c r="F608" s="122"/>
      <c r="G608" s="122"/>
      <c r="H608" s="122"/>
      <c r="I608" s="275"/>
      <c r="J608" s="130"/>
      <c r="K608" s="130"/>
      <c r="L608" s="130"/>
      <c r="M608" s="130"/>
      <c r="N608" s="291"/>
      <c r="O608" s="291"/>
      <c r="P608" s="122"/>
      <c r="Q608" s="122"/>
      <c r="R608" s="122"/>
      <c r="S608" s="122"/>
      <c r="T608" s="122"/>
      <c r="U608" s="301"/>
      <c r="V608" s="260">
        <f t="shared" ca="1" si="17"/>
        <v>0</v>
      </c>
      <c r="W608" s="348" t="str">
        <f>IF(板块成分!B610="","",板块成分!B610)</f>
        <v>002083.SZ</v>
      </c>
      <c r="X608" s="276" t="str">
        <f>[1]!S_Info_Name(W608)</f>
        <v>孚日股份</v>
      </c>
      <c r="Y608" s="276" t="str">
        <f ca="1">IF($Y$3="申万一级行业",[1]!s_info_industry_sw_2021(W608,公司分析!D$5,1),IF($Y$3="申万二级行业",[1]!s_info_industry_sw_2021(W608,公司分析!D$5,2),IF($Y$3="申万三级行业",[1]!s_info_industry_sw_2021(W608,公司分析!D$5,3),IF($Y$3="wind一级行业",[1]!s_info_industry_gics(W608,1),IF($Y$3="wind二级行业",[1]!s_info_industry_gics(W608,2),IF($Y$3="wind三级行业",[1]!s_info_industry_gics(W608,3),IF($Y$3="wind四级行业",[1]!s_info_industry_gics(W608,4),IF($Y$3="证监会门类行业",[1]!s_info_industry_csrc12_n(W608,公司分析!D$5,1),""))))))))</f>
        <v>纺织制造</v>
      </c>
      <c r="Z608" s="302" t="str">
        <f ca="1">IF(Y608=行业比较!$E$6,ROW(),"")</f>
        <v/>
      </c>
      <c r="AA608" s="122"/>
      <c r="AB608" s="122"/>
      <c r="AC608" s="122"/>
      <c r="AD608" s="122"/>
      <c r="AE608" s="122"/>
      <c r="AF608" s="122"/>
      <c r="AG608" s="122"/>
      <c r="AH608" s="122"/>
      <c r="AI608" s="122"/>
      <c r="AJ608" s="122"/>
      <c r="AK608" s="122"/>
      <c r="AL608" s="122"/>
      <c r="AM608" s="122"/>
      <c r="AN608" s="122"/>
      <c r="AO608" s="122"/>
      <c r="AP608" s="122"/>
    </row>
    <row r="609" spans="2:42">
      <c r="B609" s="122"/>
      <c r="C609" s="122"/>
      <c r="D609" s="122"/>
      <c r="E609" s="122"/>
      <c r="F609" s="122"/>
      <c r="G609" s="122"/>
      <c r="H609" s="122"/>
      <c r="I609" s="275"/>
      <c r="J609" s="130"/>
      <c r="K609" s="130"/>
      <c r="L609" s="130"/>
      <c r="M609" s="130"/>
      <c r="N609" s="291"/>
      <c r="O609" s="291"/>
      <c r="P609" s="122"/>
      <c r="Q609" s="122"/>
      <c r="R609" s="122"/>
      <c r="S609" s="122"/>
      <c r="T609" s="122"/>
      <c r="U609" s="301"/>
      <c r="V609" s="260">
        <f t="shared" ca="1" si="17"/>
        <v>0</v>
      </c>
      <c r="W609" s="348" t="str">
        <f>IF(板块成分!B611="","",板块成分!B611)</f>
        <v>002084.SZ</v>
      </c>
      <c r="X609" s="276" t="str">
        <f>[1]!S_Info_Name(W609)</f>
        <v>海鸥住工</v>
      </c>
      <c r="Y609" s="276" t="str">
        <f ca="1">IF($Y$3="申万一级行业",[1]!s_info_industry_sw_2021(W609,公司分析!D$5,1),IF($Y$3="申万二级行业",[1]!s_info_industry_sw_2021(W609,公司分析!D$5,2),IF($Y$3="申万三级行业",[1]!s_info_industry_sw_2021(W609,公司分析!D$5,3),IF($Y$3="wind一级行业",[1]!s_info_industry_gics(W609,1),IF($Y$3="wind二级行业",[1]!s_info_industry_gics(W609,2),IF($Y$3="wind三级行业",[1]!s_info_industry_gics(W609,3),IF($Y$3="wind四级行业",[1]!s_info_industry_gics(W609,4),IF($Y$3="证监会门类行业",[1]!s_info_industry_csrc12_n(W609,公司分析!D$5,1),""))))))))</f>
        <v>家居用品</v>
      </c>
      <c r="Z609" s="302" t="str">
        <f ca="1">IF(Y609=行业比较!$E$6,ROW(),"")</f>
        <v/>
      </c>
      <c r="AA609" s="122"/>
      <c r="AB609" s="122"/>
      <c r="AC609" s="122"/>
      <c r="AD609" s="122"/>
      <c r="AE609" s="122"/>
      <c r="AF609" s="122"/>
      <c r="AG609" s="122"/>
      <c r="AH609" s="122"/>
      <c r="AI609" s="122"/>
      <c r="AJ609" s="122"/>
      <c r="AK609" s="122"/>
      <c r="AL609" s="122"/>
      <c r="AM609" s="122"/>
      <c r="AN609" s="122"/>
      <c r="AO609" s="122"/>
      <c r="AP609" s="122"/>
    </row>
    <row r="610" spans="2:42">
      <c r="B610" s="122"/>
      <c r="C610" s="122"/>
      <c r="D610" s="122"/>
      <c r="E610" s="122"/>
      <c r="F610" s="122"/>
      <c r="G610" s="122"/>
      <c r="H610" s="122"/>
      <c r="I610" s="275"/>
      <c r="J610" s="130"/>
      <c r="K610" s="130"/>
      <c r="L610" s="130"/>
      <c r="M610" s="130"/>
      <c r="N610" s="291"/>
      <c r="O610" s="291"/>
      <c r="P610" s="122"/>
      <c r="Q610" s="122"/>
      <c r="R610" s="122"/>
      <c r="S610" s="122"/>
      <c r="T610" s="122"/>
      <c r="U610" s="301"/>
      <c r="V610" s="260">
        <f t="shared" ca="1" si="17"/>
        <v>0</v>
      </c>
      <c r="W610" s="348" t="str">
        <f>IF(板块成分!B612="","",板块成分!B612)</f>
        <v>002085.SZ</v>
      </c>
      <c r="X610" s="276" t="str">
        <f>[1]!S_Info_Name(W610)</f>
        <v>万丰奥威</v>
      </c>
      <c r="Y610" s="276" t="str">
        <f ca="1">IF($Y$3="申万一级行业",[1]!s_info_industry_sw_2021(W610,公司分析!D$5,1),IF($Y$3="申万二级行业",[1]!s_info_industry_sw_2021(W610,公司分析!D$5,2),IF($Y$3="申万三级行业",[1]!s_info_industry_sw_2021(W610,公司分析!D$5,3),IF($Y$3="wind一级行业",[1]!s_info_industry_gics(W610,1),IF($Y$3="wind二级行业",[1]!s_info_industry_gics(W610,2),IF($Y$3="wind三级行业",[1]!s_info_industry_gics(W610,3),IF($Y$3="wind四级行业",[1]!s_info_industry_gics(W610,4),IF($Y$3="证监会门类行业",[1]!s_info_industry_csrc12_n(W610,公司分析!D$5,1),""))))))))</f>
        <v>汽车零部件</v>
      </c>
      <c r="Z610" s="302" t="str">
        <f ca="1">IF(Y610=行业比较!$E$6,ROW(),"")</f>
        <v/>
      </c>
      <c r="AA610" s="122"/>
      <c r="AB610" s="122"/>
      <c r="AC610" s="122"/>
      <c r="AD610" s="122"/>
      <c r="AE610" s="122"/>
      <c r="AF610" s="122"/>
      <c r="AG610" s="122"/>
      <c r="AH610" s="122"/>
      <c r="AI610" s="122"/>
      <c r="AJ610" s="122"/>
      <c r="AK610" s="122"/>
      <c r="AL610" s="122"/>
      <c r="AM610" s="122"/>
      <c r="AN610" s="122"/>
      <c r="AO610" s="122"/>
      <c r="AP610" s="122"/>
    </row>
    <row r="611" spans="2:42">
      <c r="B611" s="122"/>
      <c r="C611" s="122"/>
      <c r="D611" s="122"/>
      <c r="E611" s="122"/>
      <c r="F611" s="122"/>
      <c r="G611" s="122"/>
      <c r="H611" s="122"/>
      <c r="I611" s="275"/>
      <c r="J611" s="130"/>
      <c r="K611" s="130"/>
      <c r="L611" s="130"/>
      <c r="M611" s="130"/>
      <c r="N611" s="291"/>
      <c r="O611" s="291"/>
      <c r="P611" s="122"/>
      <c r="Q611" s="122"/>
      <c r="R611" s="122"/>
      <c r="S611" s="122"/>
      <c r="T611" s="122"/>
      <c r="U611" s="301"/>
      <c r="V611" s="260">
        <f t="shared" ca="1" si="17"/>
        <v>0</v>
      </c>
      <c r="W611" s="348" t="str">
        <f>IF(板块成分!B613="","",板块成分!B613)</f>
        <v>002086.SZ</v>
      </c>
      <c r="X611" s="276" t="str">
        <f>[1]!S_Info_Name(W611)</f>
        <v>东方海洋</v>
      </c>
      <c r="Y611" s="276" t="str">
        <f ca="1">IF($Y$3="申万一级行业",[1]!s_info_industry_sw_2021(W611,公司分析!D$5,1),IF($Y$3="申万二级行业",[1]!s_info_industry_sw_2021(W611,公司分析!D$5,2),IF($Y$3="申万三级行业",[1]!s_info_industry_sw_2021(W611,公司分析!D$5,3),IF($Y$3="wind一级行业",[1]!s_info_industry_gics(W611,1),IF($Y$3="wind二级行业",[1]!s_info_industry_gics(W611,2),IF($Y$3="wind三级行业",[1]!s_info_industry_gics(W611,3),IF($Y$3="wind四级行业",[1]!s_info_industry_gics(W611,4),IF($Y$3="证监会门类行业",[1]!s_info_industry_csrc12_n(W611,公司分析!D$5,1),""))))))))</f>
        <v>医疗器械</v>
      </c>
      <c r="Z611" s="302" t="str">
        <f ca="1">IF(Y611=行业比较!$E$6,ROW(),"")</f>
        <v/>
      </c>
      <c r="AA611" s="122"/>
      <c r="AB611" s="122"/>
      <c r="AC611" s="122"/>
      <c r="AD611" s="122"/>
      <c r="AE611" s="122"/>
      <c r="AF611" s="122"/>
      <c r="AG611" s="122"/>
      <c r="AH611" s="122"/>
      <c r="AI611" s="122"/>
      <c r="AJ611" s="122"/>
      <c r="AK611" s="122"/>
      <c r="AL611" s="122"/>
      <c r="AM611" s="122"/>
      <c r="AN611" s="122"/>
      <c r="AO611" s="122"/>
      <c r="AP611" s="122"/>
    </row>
    <row r="612" spans="2:42">
      <c r="B612" s="122"/>
      <c r="C612" s="122"/>
      <c r="D612" s="122"/>
      <c r="E612" s="122"/>
      <c r="F612" s="122"/>
      <c r="G612" s="122"/>
      <c r="H612" s="122"/>
      <c r="I612" s="275"/>
      <c r="J612" s="130"/>
      <c r="K612" s="130"/>
      <c r="L612" s="130"/>
      <c r="M612" s="130"/>
      <c r="N612" s="291"/>
      <c r="O612" s="291"/>
      <c r="P612" s="122"/>
      <c r="Q612" s="122"/>
      <c r="R612" s="122"/>
      <c r="S612" s="122"/>
      <c r="T612" s="122"/>
      <c r="U612" s="301"/>
      <c r="V612" s="260">
        <f t="shared" ca="1" si="17"/>
        <v>0</v>
      </c>
      <c r="W612" s="348" t="str">
        <f>IF(板块成分!B614="","",板块成分!B614)</f>
        <v>002088.SZ</v>
      </c>
      <c r="X612" s="276" t="str">
        <f>[1]!S_Info_Name(W612)</f>
        <v>鲁阳节能</v>
      </c>
      <c r="Y612" s="276" t="str">
        <f ca="1">IF($Y$3="申万一级行业",[1]!s_info_industry_sw_2021(W612,公司分析!D$5,1),IF($Y$3="申万二级行业",[1]!s_info_industry_sw_2021(W612,公司分析!D$5,2),IF($Y$3="申万三级行业",[1]!s_info_industry_sw_2021(W612,公司分析!D$5,3),IF($Y$3="wind一级行业",[1]!s_info_industry_gics(W612,1),IF($Y$3="wind二级行业",[1]!s_info_industry_gics(W612,2),IF($Y$3="wind三级行业",[1]!s_info_industry_gics(W612,3),IF($Y$3="wind四级行业",[1]!s_info_industry_gics(W612,4),IF($Y$3="证监会门类行业",[1]!s_info_industry_csrc12_n(W612,公司分析!D$5,1),""))))))))</f>
        <v>装修建材</v>
      </c>
      <c r="Z612" s="302" t="str">
        <f ca="1">IF(Y612=行业比较!$E$6,ROW(),"")</f>
        <v/>
      </c>
      <c r="AA612" s="122"/>
      <c r="AB612" s="122"/>
      <c r="AC612" s="122"/>
      <c r="AD612" s="122"/>
      <c r="AE612" s="122"/>
      <c r="AF612" s="122"/>
      <c r="AG612" s="122"/>
      <c r="AH612" s="122"/>
      <c r="AI612" s="122"/>
      <c r="AJ612" s="122"/>
      <c r="AK612" s="122"/>
      <c r="AL612" s="122"/>
      <c r="AM612" s="122"/>
      <c r="AN612" s="122"/>
      <c r="AO612" s="122"/>
      <c r="AP612" s="122"/>
    </row>
    <row r="613" spans="2:42">
      <c r="B613" s="122"/>
      <c r="C613" s="122"/>
      <c r="D613" s="122"/>
      <c r="E613" s="122"/>
      <c r="F613" s="122"/>
      <c r="G613" s="122"/>
      <c r="H613" s="122"/>
      <c r="I613" s="275"/>
      <c r="J613" s="130"/>
      <c r="K613" s="130"/>
      <c r="L613" s="130"/>
      <c r="M613" s="130"/>
      <c r="N613" s="291"/>
      <c r="O613" s="291"/>
      <c r="P613" s="122"/>
      <c r="Q613" s="122"/>
      <c r="R613" s="122"/>
      <c r="S613" s="122"/>
      <c r="T613" s="122"/>
      <c r="U613" s="301"/>
      <c r="V613" s="260">
        <f t="shared" ca="1" si="17"/>
        <v>0</v>
      </c>
      <c r="W613" s="348" t="str">
        <f>IF(板块成分!B615="","",板块成分!B615)</f>
        <v>002090.SZ</v>
      </c>
      <c r="X613" s="276" t="str">
        <f>[1]!S_Info_Name(W613)</f>
        <v>金智科技</v>
      </c>
      <c r="Y613" s="276" t="str">
        <f ca="1">IF($Y$3="申万一级行业",[1]!s_info_industry_sw_2021(W613,公司分析!D$5,1),IF($Y$3="申万二级行业",[1]!s_info_industry_sw_2021(W613,公司分析!D$5,2),IF($Y$3="申万三级行业",[1]!s_info_industry_sw_2021(W613,公司分析!D$5,3),IF($Y$3="wind一级行业",[1]!s_info_industry_gics(W613,1),IF($Y$3="wind二级行业",[1]!s_info_industry_gics(W613,2),IF($Y$3="wind三级行业",[1]!s_info_industry_gics(W613,3),IF($Y$3="wind四级行业",[1]!s_info_industry_gics(W613,4),IF($Y$3="证监会门类行业",[1]!s_info_industry_csrc12_n(W613,公司分析!D$5,1),""))))))))</f>
        <v>电网设备</v>
      </c>
      <c r="Z613" s="302" t="str">
        <f ca="1">IF(Y613=行业比较!$E$6,ROW(),"")</f>
        <v/>
      </c>
      <c r="AA613" s="122"/>
      <c r="AB613" s="122"/>
      <c r="AC613" s="122"/>
      <c r="AD613" s="122"/>
      <c r="AE613" s="122"/>
      <c r="AF613" s="122"/>
      <c r="AG613" s="122"/>
      <c r="AH613" s="122"/>
      <c r="AI613" s="122"/>
      <c r="AJ613" s="122"/>
      <c r="AK613" s="122"/>
      <c r="AL613" s="122"/>
      <c r="AM613" s="122"/>
      <c r="AN613" s="122"/>
      <c r="AO613" s="122"/>
      <c r="AP613" s="122"/>
    </row>
    <row r="614" spans="2:42">
      <c r="B614" s="122"/>
      <c r="C614" s="122"/>
      <c r="D614" s="122"/>
      <c r="E614" s="122"/>
      <c r="F614" s="122"/>
      <c r="G614" s="122"/>
      <c r="H614" s="122"/>
      <c r="I614" s="275"/>
      <c r="J614" s="130"/>
      <c r="K614" s="130"/>
      <c r="L614" s="130"/>
      <c r="M614" s="130"/>
      <c r="N614" s="291"/>
      <c r="O614" s="291"/>
      <c r="P614" s="122"/>
      <c r="Q614" s="122"/>
      <c r="R614" s="122"/>
      <c r="S614" s="122"/>
      <c r="T614" s="122"/>
      <c r="U614" s="301"/>
      <c r="V614" s="260">
        <f t="shared" ca="1" si="17"/>
        <v>0</v>
      </c>
      <c r="W614" s="348" t="str">
        <f>IF(板块成分!B616="","",板块成分!B616)</f>
        <v>002091.SZ</v>
      </c>
      <c r="X614" s="276" t="str">
        <f>[1]!S_Info_Name(W614)</f>
        <v>江苏国泰</v>
      </c>
      <c r="Y614" s="276" t="str">
        <f ca="1">IF($Y$3="申万一级行业",[1]!s_info_industry_sw_2021(W614,公司分析!D$5,1),IF($Y$3="申万二级行业",[1]!s_info_industry_sw_2021(W614,公司分析!D$5,2),IF($Y$3="申万三级行业",[1]!s_info_industry_sw_2021(W614,公司分析!D$5,3),IF($Y$3="wind一级行业",[1]!s_info_industry_gics(W614,1),IF($Y$3="wind二级行业",[1]!s_info_industry_gics(W614,2),IF($Y$3="wind三级行业",[1]!s_info_industry_gics(W614,3),IF($Y$3="wind四级行业",[1]!s_info_industry_gics(W614,4),IF($Y$3="证监会门类行业",[1]!s_info_industry_csrc12_n(W614,公司分析!D$5,1),""))))))))</f>
        <v>贸易Ⅱ</v>
      </c>
      <c r="Z614" s="302" t="str">
        <f ca="1">IF(Y614=行业比较!$E$6,ROW(),"")</f>
        <v/>
      </c>
      <c r="AA614" s="122"/>
      <c r="AB614" s="122"/>
      <c r="AC614" s="122"/>
      <c r="AD614" s="122"/>
      <c r="AE614" s="122"/>
      <c r="AF614" s="122"/>
      <c r="AG614" s="122"/>
      <c r="AH614" s="122"/>
      <c r="AI614" s="122"/>
      <c r="AJ614" s="122"/>
      <c r="AK614" s="122"/>
      <c r="AL614" s="122"/>
      <c r="AM614" s="122"/>
      <c r="AN614" s="122"/>
      <c r="AO614" s="122"/>
      <c r="AP614" s="122"/>
    </row>
    <row r="615" spans="2:42">
      <c r="B615" s="122"/>
      <c r="C615" s="122"/>
      <c r="D615" s="122"/>
      <c r="E615" s="122"/>
      <c r="F615" s="122"/>
      <c r="G615" s="122"/>
      <c r="H615" s="122"/>
      <c r="I615" s="275"/>
      <c r="J615" s="130"/>
      <c r="K615" s="130"/>
      <c r="L615" s="130"/>
      <c r="M615" s="130"/>
      <c r="N615" s="291"/>
      <c r="O615" s="291"/>
      <c r="P615" s="122"/>
      <c r="Q615" s="122"/>
      <c r="R615" s="122"/>
      <c r="S615" s="122"/>
      <c r="T615" s="122"/>
      <c r="U615" s="301"/>
      <c r="V615" s="260">
        <f t="shared" ca="1" si="17"/>
        <v>0</v>
      </c>
      <c r="W615" s="348" t="str">
        <f>IF(板块成分!B617="","",板块成分!B617)</f>
        <v>002092.SZ</v>
      </c>
      <c r="X615" s="276" t="str">
        <f>[1]!S_Info_Name(W615)</f>
        <v>中泰化学</v>
      </c>
      <c r="Y615" s="276" t="str">
        <f ca="1">IF($Y$3="申万一级行业",[1]!s_info_industry_sw_2021(W615,公司分析!D$5,1),IF($Y$3="申万二级行业",[1]!s_info_industry_sw_2021(W615,公司分析!D$5,2),IF($Y$3="申万三级行业",[1]!s_info_industry_sw_2021(W615,公司分析!D$5,3),IF($Y$3="wind一级行业",[1]!s_info_industry_gics(W615,1),IF($Y$3="wind二级行业",[1]!s_info_industry_gics(W615,2),IF($Y$3="wind三级行业",[1]!s_info_industry_gics(W615,3),IF($Y$3="wind四级行业",[1]!s_info_industry_gics(W615,4),IF($Y$3="证监会门类行业",[1]!s_info_industry_csrc12_n(W615,公司分析!D$5,1),""))))))))</f>
        <v>化学原料</v>
      </c>
      <c r="Z615" s="302" t="str">
        <f ca="1">IF(Y615=行业比较!$E$6,ROW(),"")</f>
        <v/>
      </c>
      <c r="AA615" s="122"/>
      <c r="AB615" s="122"/>
      <c r="AC615" s="122"/>
      <c r="AD615" s="122"/>
      <c r="AE615" s="122"/>
      <c r="AF615" s="122"/>
      <c r="AG615" s="122"/>
      <c r="AH615" s="122"/>
      <c r="AI615" s="122"/>
      <c r="AJ615" s="122"/>
      <c r="AK615" s="122"/>
      <c r="AL615" s="122"/>
      <c r="AM615" s="122"/>
      <c r="AN615" s="122"/>
      <c r="AO615" s="122"/>
      <c r="AP615" s="122"/>
    </row>
    <row r="616" spans="2:42">
      <c r="B616" s="122"/>
      <c r="C616" s="122"/>
      <c r="D616" s="122"/>
      <c r="E616" s="122"/>
      <c r="F616" s="122"/>
      <c r="G616" s="122"/>
      <c r="H616" s="122"/>
      <c r="I616" s="275"/>
      <c r="J616" s="130"/>
      <c r="K616" s="130"/>
      <c r="L616" s="130"/>
      <c r="M616" s="130"/>
      <c r="N616" s="291"/>
      <c r="O616" s="291"/>
      <c r="P616" s="122"/>
      <c r="Q616" s="122"/>
      <c r="R616" s="122"/>
      <c r="S616" s="122"/>
      <c r="T616" s="122"/>
      <c r="U616" s="301"/>
      <c r="V616" s="260">
        <f t="shared" ca="1" si="17"/>
        <v>0</v>
      </c>
      <c r="W616" s="348" t="str">
        <f>IF(板块成分!B618="","",板块成分!B618)</f>
        <v>002093.SZ</v>
      </c>
      <c r="X616" s="276" t="str">
        <f>[1]!S_Info_Name(W616)</f>
        <v>国脉科技</v>
      </c>
      <c r="Y616" s="276" t="str">
        <f ca="1">IF($Y$3="申万一级行业",[1]!s_info_industry_sw_2021(W616,公司分析!D$5,1),IF($Y$3="申万二级行业",[1]!s_info_industry_sw_2021(W616,公司分析!D$5,2),IF($Y$3="申万三级行业",[1]!s_info_industry_sw_2021(W616,公司分析!D$5,3),IF($Y$3="wind一级行业",[1]!s_info_industry_gics(W616,1),IF($Y$3="wind二级行业",[1]!s_info_industry_gics(W616,2),IF($Y$3="wind三级行业",[1]!s_info_industry_gics(W616,3),IF($Y$3="wind四级行业",[1]!s_info_industry_gics(W616,4),IF($Y$3="证监会门类行业",[1]!s_info_industry_csrc12_n(W616,公司分析!D$5,1),""))))))))</f>
        <v>教育</v>
      </c>
      <c r="Z616" s="302" t="str">
        <f ca="1">IF(Y616=行业比较!$E$6,ROW(),"")</f>
        <v/>
      </c>
      <c r="AA616" s="122"/>
      <c r="AB616" s="122"/>
      <c r="AC616" s="122"/>
      <c r="AD616" s="122"/>
      <c r="AE616" s="122"/>
      <c r="AF616" s="122"/>
      <c r="AG616" s="122"/>
      <c r="AH616" s="122"/>
      <c r="AI616" s="122"/>
      <c r="AJ616" s="122"/>
      <c r="AK616" s="122"/>
      <c r="AL616" s="122"/>
      <c r="AM616" s="122"/>
      <c r="AN616" s="122"/>
      <c r="AO616" s="122"/>
      <c r="AP616" s="122"/>
    </row>
    <row r="617" spans="2:42">
      <c r="B617" s="122"/>
      <c r="C617" s="122"/>
      <c r="D617" s="122"/>
      <c r="E617" s="122"/>
      <c r="F617" s="122"/>
      <c r="G617" s="122"/>
      <c r="H617" s="122"/>
      <c r="I617" s="275"/>
      <c r="J617" s="130"/>
      <c r="K617" s="130"/>
      <c r="L617" s="130"/>
      <c r="M617" s="130"/>
      <c r="N617" s="291"/>
      <c r="O617" s="291"/>
      <c r="P617" s="122"/>
      <c r="Q617" s="122"/>
      <c r="R617" s="122"/>
      <c r="S617" s="122"/>
      <c r="T617" s="122"/>
      <c r="U617" s="301"/>
      <c r="V617" s="260">
        <f t="shared" ca="1" si="17"/>
        <v>0</v>
      </c>
      <c r="W617" s="348" t="str">
        <f>IF(板块成分!B619="","",板块成分!B619)</f>
        <v>002094.SZ</v>
      </c>
      <c r="X617" s="276" t="str">
        <f>[1]!S_Info_Name(W617)</f>
        <v>青岛金王</v>
      </c>
      <c r="Y617" s="276" t="str">
        <f ca="1">IF($Y$3="申万一级行业",[1]!s_info_industry_sw_2021(W617,公司分析!D$5,1),IF($Y$3="申万二级行业",[1]!s_info_industry_sw_2021(W617,公司分析!D$5,2),IF($Y$3="申万三级行业",[1]!s_info_industry_sw_2021(W617,公司分析!D$5,3),IF($Y$3="wind一级行业",[1]!s_info_industry_gics(W617,1),IF($Y$3="wind二级行业",[1]!s_info_industry_gics(W617,2),IF($Y$3="wind三级行业",[1]!s_info_industry_gics(W617,3),IF($Y$3="wind四级行业",[1]!s_info_industry_gics(W617,4),IF($Y$3="证监会门类行业",[1]!s_info_industry_csrc12_n(W617,公司分析!D$5,1),""))))))))</f>
        <v>化妆品</v>
      </c>
      <c r="Z617" s="302" t="str">
        <f ca="1">IF(Y617=行业比较!$E$6,ROW(),"")</f>
        <v/>
      </c>
      <c r="AA617" s="122"/>
      <c r="AB617" s="122"/>
      <c r="AC617" s="122"/>
      <c r="AD617" s="122"/>
      <c r="AE617" s="122"/>
      <c r="AF617" s="122"/>
      <c r="AG617" s="122"/>
      <c r="AH617" s="122"/>
      <c r="AI617" s="122"/>
      <c r="AJ617" s="122"/>
      <c r="AK617" s="122"/>
      <c r="AL617" s="122"/>
      <c r="AM617" s="122"/>
      <c r="AN617" s="122"/>
      <c r="AO617" s="122"/>
      <c r="AP617" s="122"/>
    </row>
    <row r="618" spans="2:42">
      <c r="B618" s="122"/>
      <c r="C618" s="122"/>
      <c r="D618" s="122"/>
      <c r="E618" s="122"/>
      <c r="F618" s="122"/>
      <c r="G618" s="122"/>
      <c r="H618" s="122"/>
      <c r="I618" s="275"/>
      <c r="J618" s="130"/>
      <c r="K618" s="130"/>
      <c r="L618" s="130"/>
      <c r="M618" s="130"/>
      <c r="N618" s="291"/>
      <c r="O618" s="291"/>
      <c r="P618" s="122"/>
      <c r="Q618" s="122"/>
      <c r="R618" s="122"/>
      <c r="S618" s="122"/>
      <c r="T618" s="122"/>
      <c r="U618" s="301"/>
      <c r="V618" s="260">
        <f t="shared" ca="1" si="17"/>
        <v>0</v>
      </c>
      <c r="W618" s="348" t="str">
        <f>IF(板块成分!B620="","",板块成分!B620)</f>
        <v>002095.SZ</v>
      </c>
      <c r="X618" s="276" t="str">
        <f>[1]!S_Info_Name(W618)</f>
        <v>生意宝</v>
      </c>
      <c r="Y618" s="276" t="str">
        <f ca="1">IF($Y$3="申万一级行业",[1]!s_info_industry_sw_2021(W618,公司分析!D$5,1),IF($Y$3="申万二级行业",[1]!s_info_industry_sw_2021(W618,公司分析!D$5,2),IF($Y$3="申万三级行业",[1]!s_info_industry_sw_2021(W618,公司分析!D$5,3),IF($Y$3="wind一级行业",[1]!s_info_industry_gics(W618,1),IF($Y$3="wind二级行业",[1]!s_info_industry_gics(W618,2),IF($Y$3="wind三级行业",[1]!s_info_industry_gics(W618,3),IF($Y$3="wind四级行业",[1]!s_info_industry_gics(W618,4),IF($Y$3="证监会门类行业",[1]!s_info_industry_csrc12_n(W618,公司分析!D$5,1),""))))))))</f>
        <v>数字媒体</v>
      </c>
      <c r="Z618" s="302" t="str">
        <f ca="1">IF(Y618=行业比较!$E$6,ROW(),"")</f>
        <v/>
      </c>
      <c r="AA618" s="122"/>
      <c r="AB618" s="122"/>
      <c r="AC618" s="122"/>
      <c r="AD618" s="122"/>
      <c r="AE618" s="122"/>
      <c r="AF618" s="122"/>
      <c r="AG618" s="122"/>
      <c r="AH618" s="122"/>
      <c r="AI618" s="122"/>
      <c r="AJ618" s="122"/>
      <c r="AK618" s="122"/>
      <c r="AL618" s="122"/>
      <c r="AM618" s="122"/>
      <c r="AN618" s="122"/>
      <c r="AO618" s="122"/>
      <c r="AP618" s="122"/>
    </row>
    <row r="619" spans="2:42">
      <c r="B619" s="122"/>
      <c r="C619" s="122"/>
      <c r="D619" s="122"/>
      <c r="E619" s="122"/>
      <c r="F619" s="122"/>
      <c r="G619" s="122"/>
      <c r="H619" s="122"/>
      <c r="I619" s="275"/>
      <c r="J619" s="130"/>
      <c r="K619" s="130"/>
      <c r="L619" s="130"/>
      <c r="M619" s="130"/>
      <c r="N619" s="291"/>
      <c r="O619" s="291"/>
      <c r="P619" s="122"/>
      <c r="Q619" s="122"/>
      <c r="R619" s="122"/>
      <c r="S619" s="122"/>
      <c r="T619" s="122"/>
      <c r="U619" s="301"/>
      <c r="V619" s="260">
        <f t="shared" ca="1" si="17"/>
        <v>0</v>
      </c>
      <c r="W619" s="348" t="str">
        <f>IF(板块成分!B621="","",板块成分!B621)</f>
        <v>002096.SZ</v>
      </c>
      <c r="X619" s="276" t="str">
        <f>[1]!S_Info_Name(W619)</f>
        <v>易普力</v>
      </c>
      <c r="Y619" s="276" t="str">
        <f ca="1">IF($Y$3="申万一级行业",[1]!s_info_industry_sw_2021(W619,公司分析!D$5,1),IF($Y$3="申万二级行业",[1]!s_info_industry_sw_2021(W619,公司分析!D$5,2),IF($Y$3="申万三级行业",[1]!s_info_industry_sw_2021(W619,公司分析!D$5,3),IF($Y$3="wind一级行业",[1]!s_info_industry_gics(W619,1),IF($Y$3="wind二级行业",[1]!s_info_industry_gics(W619,2),IF($Y$3="wind三级行业",[1]!s_info_industry_gics(W619,3),IF($Y$3="wind四级行业",[1]!s_info_industry_gics(W619,4),IF($Y$3="证监会门类行业",[1]!s_info_industry_csrc12_n(W619,公司分析!D$5,1),""))))))))</f>
        <v>化学制品</v>
      </c>
      <c r="Z619" s="302" t="str">
        <f ca="1">IF(Y619=行业比较!$E$6,ROW(),"")</f>
        <v/>
      </c>
      <c r="AA619" s="122"/>
      <c r="AB619" s="122"/>
      <c r="AC619" s="122"/>
      <c r="AD619" s="122"/>
      <c r="AE619" s="122"/>
      <c r="AF619" s="122"/>
      <c r="AG619" s="122"/>
      <c r="AH619" s="122"/>
      <c r="AI619" s="122"/>
      <c r="AJ619" s="122"/>
      <c r="AK619" s="122"/>
      <c r="AL619" s="122"/>
      <c r="AM619" s="122"/>
      <c r="AN619" s="122"/>
      <c r="AO619" s="122"/>
      <c r="AP619" s="122"/>
    </row>
    <row r="620" spans="2:42">
      <c r="B620" s="122"/>
      <c r="C620" s="122"/>
      <c r="D620" s="122"/>
      <c r="E620" s="122"/>
      <c r="F620" s="122"/>
      <c r="G620" s="122"/>
      <c r="H620" s="122"/>
      <c r="I620" s="275"/>
      <c r="J620" s="130"/>
      <c r="K620" s="130"/>
      <c r="L620" s="130"/>
      <c r="M620" s="130"/>
      <c r="N620" s="291"/>
      <c r="O620" s="291"/>
      <c r="P620" s="122"/>
      <c r="Q620" s="122"/>
      <c r="R620" s="122"/>
      <c r="S620" s="122"/>
      <c r="T620" s="122"/>
      <c r="U620" s="301"/>
      <c r="V620" s="260">
        <f t="shared" ca="1" si="17"/>
        <v>0</v>
      </c>
      <c r="W620" s="348" t="str">
        <f>IF(板块成分!B622="","",板块成分!B622)</f>
        <v>002097.SZ</v>
      </c>
      <c r="X620" s="276" t="str">
        <f>[1]!S_Info_Name(W620)</f>
        <v>山河智能</v>
      </c>
      <c r="Y620" s="276" t="str">
        <f ca="1">IF($Y$3="申万一级行业",[1]!s_info_industry_sw_2021(W620,公司分析!D$5,1),IF($Y$3="申万二级行业",[1]!s_info_industry_sw_2021(W620,公司分析!D$5,2),IF($Y$3="申万三级行业",[1]!s_info_industry_sw_2021(W620,公司分析!D$5,3),IF($Y$3="wind一级行业",[1]!s_info_industry_gics(W620,1),IF($Y$3="wind二级行业",[1]!s_info_industry_gics(W620,2),IF($Y$3="wind三级行业",[1]!s_info_industry_gics(W620,3),IF($Y$3="wind四级行业",[1]!s_info_industry_gics(W620,4),IF($Y$3="证监会门类行业",[1]!s_info_industry_csrc12_n(W620,公司分析!D$5,1),""))))))))</f>
        <v>工程机械</v>
      </c>
      <c r="Z620" s="302" t="str">
        <f ca="1">IF(Y620=行业比较!$E$6,ROW(),"")</f>
        <v/>
      </c>
      <c r="AA620" s="122"/>
      <c r="AB620" s="122"/>
      <c r="AC620" s="122"/>
      <c r="AD620" s="122"/>
      <c r="AE620" s="122"/>
      <c r="AF620" s="122"/>
      <c r="AG620" s="122"/>
      <c r="AH620" s="122"/>
      <c r="AI620" s="122"/>
      <c r="AJ620" s="122"/>
      <c r="AK620" s="122"/>
      <c r="AL620" s="122"/>
      <c r="AM620" s="122"/>
      <c r="AN620" s="122"/>
      <c r="AO620" s="122"/>
      <c r="AP620" s="122"/>
    </row>
    <row r="621" spans="2:42">
      <c r="B621" s="122"/>
      <c r="C621" s="122"/>
      <c r="D621" s="122"/>
      <c r="E621" s="122"/>
      <c r="F621" s="122"/>
      <c r="G621" s="122"/>
      <c r="H621" s="122"/>
      <c r="I621" s="275"/>
      <c r="J621" s="130"/>
      <c r="K621" s="130"/>
      <c r="L621" s="130"/>
      <c r="M621" s="130"/>
      <c r="N621" s="291"/>
      <c r="O621" s="291"/>
      <c r="P621" s="122"/>
      <c r="Q621" s="122"/>
      <c r="R621" s="122"/>
      <c r="S621" s="122"/>
      <c r="T621" s="122"/>
      <c r="U621" s="301"/>
      <c r="V621" s="260">
        <f t="shared" ca="1" si="17"/>
        <v>0</v>
      </c>
      <c r="W621" s="348" t="str">
        <f>IF(板块成分!B623="","",板块成分!B623)</f>
        <v>002098.SZ</v>
      </c>
      <c r="X621" s="276" t="str">
        <f>[1]!S_Info_Name(W621)</f>
        <v>浔兴股份</v>
      </c>
      <c r="Y621" s="276" t="str">
        <f ca="1">IF($Y$3="申万一级行业",[1]!s_info_industry_sw_2021(W621,公司分析!D$5,1),IF($Y$3="申万二级行业",[1]!s_info_industry_sw_2021(W621,公司分析!D$5,2),IF($Y$3="申万三级行业",[1]!s_info_industry_sw_2021(W621,公司分析!D$5,3),IF($Y$3="wind一级行业",[1]!s_info_industry_gics(W621,1),IF($Y$3="wind二级行业",[1]!s_info_industry_gics(W621,2),IF($Y$3="wind三级行业",[1]!s_info_industry_gics(W621,3),IF($Y$3="wind四级行业",[1]!s_info_industry_gics(W621,4),IF($Y$3="证监会门类行业",[1]!s_info_industry_csrc12_n(W621,公司分析!D$5,1),""))))))))</f>
        <v>纺织制造</v>
      </c>
      <c r="Z621" s="302" t="str">
        <f ca="1">IF(Y621=行业比较!$E$6,ROW(),"")</f>
        <v/>
      </c>
      <c r="AA621" s="122"/>
      <c r="AB621" s="122"/>
      <c r="AC621" s="122"/>
      <c r="AD621" s="122"/>
      <c r="AE621" s="122"/>
      <c r="AF621" s="122"/>
      <c r="AG621" s="122"/>
      <c r="AH621" s="122"/>
      <c r="AI621" s="122"/>
      <c r="AJ621" s="122"/>
      <c r="AK621" s="122"/>
      <c r="AL621" s="122"/>
      <c r="AM621" s="122"/>
      <c r="AN621" s="122"/>
      <c r="AO621" s="122"/>
      <c r="AP621" s="122"/>
    </row>
    <row r="622" spans="2:42">
      <c r="B622" s="122"/>
      <c r="C622" s="122"/>
      <c r="D622" s="122"/>
      <c r="E622" s="122"/>
      <c r="F622" s="122"/>
      <c r="G622" s="122"/>
      <c r="H622" s="122"/>
      <c r="I622" s="275"/>
      <c r="J622" s="130"/>
      <c r="K622" s="130"/>
      <c r="L622" s="130"/>
      <c r="M622" s="130"/>
      <c r="N622" s="291"/>
      <c r="O622" s="291"/>
      <c r="P622" s="122"/>
      <c r="Q622" s="122"/>
      <c r="R622" s="122"/>
      <c r="S622" s="122"/>
      <c r="T622" s="122"/>
      <c r="U622" s="301"/>
      <c r="V622" s="260">
        <f t="shared" ca="1" si="17"/>
        <v>0</v>
      </c>
      <c r="W622" s="348" t="str">
        <f>IF(板块成分!B624="","",板块成分!B624)</f>
        <v>002099.SZ</v>
      </c>
      <c r="X622" s="276" t="str">
        <f>[1]!S_Info_Name(W622)</f>
        <v>海翔药业</v>
      </c>
      <c r="Y622" s="276" t="str">
        <f ca="1">IF($Y$3="申万一级行业",[1]!s_info_industry_sw_2021(W622,公司分析!D$5,1),IF($Y$3="申万二级行业",[1]!s_info_industry_sw_2021(W622,公司分析!D$5,2),IF($Y$3="申万三级行业",[1]!s_info_industry_sw_2021(W622,公司分析!D$5,3),IF($Y$3="wind一级行业",[1]!s_info_industry_gics(W622,1),IF($Y$3="wind二级行业",[1]!s_info_industry_gics(W622,2),IF($Y$3="wind三级行业",[1]!s_info_industry_gics(W622,3),IF($Y$3="wind四级行业",[1]!s_info_industry_gics(W622,4),IF($Y$3="证监会门类行业",[1]!s_info_industry_csrc12_n(W622,公司分析!D$5,1),""))))))))</f>
        <v>化学制药</v>
      </c>
      <c r="Z622" s="302" t="str">
        <f ca="1">IF(Y622=行业比较!$E$6,ROW(),"")</f>
        <v/>
      </c>
      <c r="AA622" s="122"/>
      <c r="AB622" s="122"/>
      <c r="AC622" s="122"/>
      <c r="AD622" s="122"/>
      <c r="AE622" s="122"/>
      <c r="AF622" s="122"/>
      <c r="AG622" s="122"/>
      <c r="AH622" s="122"/>
      <c r="AI622" s="122"/>
      <c r="AJ622" s="122"/>
      <c r="AK622" s="122"/>
      <c r="AL622" s="122"/>
      <c r="AM622" s="122"/>
      <c r="AN622" s="122"/>
      <c r="AO622" s="122"/>
      <c r="AP622" s="122"/>
    </row>
    <row r="623" spans="2:42">
      <c r="B623" s="122"/>
      <c r="C623" s="122"/>
      <c r="D623" s="122"/>
      <c r="E623" s="122"/>
      <c r="F623" s="122"/>
      <c r="G623" s="122"/>
      <c r="H623" s="122"/>
      <c r="I623" s="275"/>
      <c r="J623" s="130"/>
      <c r="K623" s="130"/>
      <c r="L623" s="130"/>
      <c r="M623" s="130"/>
      <c r="N623" s="291"/>
      <c r="O623" s="291"/>
      <c r="P623" s="122"/>
      <c r="Q623" s="122"/>
      <c r="R623" s="122"/>
      <c r="S623" s="122"/>
      <c r="T623" s="122"/>
      <c r="U623" s="301"/>
      <c r="V623" s="260">
        <f t="shared" ca="1" si="17"/>
        <v>0</v>
      </c>
      <c r="W623" s="348" t="str">
        <f>IF(板块成分!B625="","",板块成分!B625)</f>
        <v>002100.SZ</v>
      </c>
      <c r="X623" s="276" t="str">
        <f>[1]!S_Info_Name(W623)</f>
        <v>天康生物</v>
      </c>
      <c r="Y623" s="276" t="str">
        <f ca="1">IF($Y$3="申万一级行业",[1]!s_info_industry_sw_2021(W623,公司分析!D$5,1),IF($Y$3="申万二级行业",[1]!s_info_industry_sw_2021(W623,公司分析!D$5,2),IF($Y$3="申万三级行业",[1]!s_info_industry_sw_2021(W623,公司分析!D$5,3),IF($Y$3="wind一级行业",[1]!s_info_industry_gics(W623,1),IF($Y$3="wind二级行业",[1]!s_info_industry_gics(W623,2),IF($Y$3="wind三级行业",[1]!s_info_industry_gics(W623,3),IF($Y$3="wind四级行业",[1]!s_info_industry_gics(W623,4),IF($Y$3="证监会门类行业",[1]!s_info_industry_csrc12_n(W623,公司分析!D$5,1),""))))))))</f>
        <v>饲料</v>
      </c>
      <c r="Z623" s="302" t="str">
        <f ca="1">IF(Y623=行业比较!$E$6,ROW(),"")</f>
        <v/>
      </c>
      <c r="AA623" s="122"/>
      <c r="AB623" s="122"/>
      <c r="AC623" s="122"/>
      <c r="AD623" s="122"/>
      <c r="AE623" s="122"/>
      <c r="AF623" s="122"/>
      <c r="AG623" s="122"/>
      <c r="AH623" s="122"/>
      <c r="AI623" s="122"/>
      <c r="AJ623" s="122"/>
      <c r="AK623" s="122"/>
      <c r="AL623" s="122"/>
      <c r="AM623" s="122"/>
      <c r="AN623" s="122"/>
      <c r="AO623" s="122"/>
      <c r="AP623" s="122"/>
    </row>
    <row r="624" spans="2:42">
      <c r="B624" s="122"/>
      <c r="C624" s="122"/>
      <c r="D624" s="122"/>
      <c r="E624" s="122"/>
      <c r="F624" s="122"/>
      <c r="G624" s="122"/>
      <c r="H624" s="122"/>
      <c r="I624" s="275"/>
      <c r="J624" s="130"/>
      <c r="K624" s="130"/>
      <c r="L624" s="130"/>
      <c r="M624" s="130"/>
      <c r="N624" s="291"/>
      <c r="O624" s="291"/>
      <c r="P624" s="122"/>
      <c r="Q624" s="122"/>
      <c r="R624" s="122"/>
      <c r="S624" s="122"/>
      <c r="T624" s="122"/>
      <c r="U624" s="301"/>
      <c r="V624" s="260">
        <f t="shared" ca="1" si="17"/>
        <v>0</v>
      </c>
      <c r="W624" s="348" t="str">
        <f>IF(板块成分!B626="","",板块成分!B626)</f>
        <v>002101.SZ</v>
      </c>
      <c r="X624" s="276" t="str">
        <f>[1]!S_Info_Name(W624)</f>
        <v>广东鸿图</v>
      </c>
      <c r="Y624" s="276" t="str">
        <f ca="1">IF($Y$3="申万一级行业",[1]!s_info_industry_sw_2021(W624,公司分析!D$5,1),IF($Y$3="申万二级行业",[1]!s_info_industry_sw_2021(W624,公司分析!D$5,2),IF($Y$3="申万三级行业",[1]!s_info_industry_sw_2021(W624,公司分析!D$5,3),IF($Y$3="wind一级行业",[1]!s_info_industry_gics(W624,1),IF($Y$3="wind二级行业",[1]!s_info_industry_gics(W624,2),IF($Y$3="wind三级行业",[1]!s_info_industry_gics(W624,3),IF($Y$3="wind四级行业",[1]!s_info_industry_gics(W624,4),IF($Y$3="证监会门类行业",[1]!s_info_industry_csrc12_n(W624,公司分析!D$5,1),""))))))))</f>
        <v>汽车零部件</v>
      </c>
      <c r="Z624" s="302" t="str">
        <f ca="1">IF(Y624=行业比较!$E$6,ROW(),"")</f>
        <v/>
      </c>
      <c r="AA624" s="122"/>
      <c r="AB624" s="122"/>
      <c r="AC624" s="122"/>
      <c r="AD624" s="122"/>
      <c r="AE624" s="122"/>
      <c r="AF624" s="122"/>
      <c r="AG624" s="122"/>
      <c r="AH624" s="122"/>
      <c r="AI624" s="122"/>
      <c r="AJ624" s="122"/>
      <c r="AK624" s="122"/>
      <c r="AL624" s="122"/>
      <c r="AM624" s="122"/>
      <c r="AN624" s="122"/>
      <c r="AO624" s="122"/>
      <c r="AP624" s="122"/>
    </row>
    <row r="625" spans="2:42">
      <c r="B625" s="122"/>
      <c r="C625" s="122"/>
      <c r="D625" s="122"/>
      <c r="E625" s="122"/>
      <c r="F625" s="122"/>
      <c r="G625" s="122"/>
      <c r="H625" s="122"/>
      <c r="I625" s="275"/>
      <c r="J625" s="130"/>
      <c r="K625" s="130"/>
      <c r="L625" s="130"/>
      <c r="M625" s="130"/>
      <c r="N625" s="291"/>
      <c r="O625" s="291"/>
      <c r="P625" s="122"/>
      <c r="Q625" s="122"/>
      <c r="R625" s="122"/>
      <c r="S625" s="122"/>
      <c r="T625" s="122"/>
      <c r="U625" s="301"/>
      <c r="V625" s="260">
        <f t="shared" ca="1" si="17"/>
        <v>0</v>
      </c>
      <c r="W625" s="348" t="str">
        <f>IF(板块成分!B627="","",板块成分!B627)</f>
        <v>002102.SZ</v>
      </c>
      <c r="X625" s="276" t="str">
        <f>[1]!S_Info_Name(W625)</f>
        <v>能特科技</v>
      </c>
      <c r="Y625" s="276" t="str">
        <f ca="1">IF($Y$3="申万一级行业",[1]!s_info_industry_sw_2021(W625,公司分析!D$5,1),IF($Y$3="申万二级行业",[1]!s_info_industry_sw_2021(W625,公司分析!D$5,2),IF($Y$3="申万三级行业",[1]!s_info_industry_sw_2021(W625,公司分析!D$5,3),IF($Y$3="wind一级行业",[1]!s_info_industry_gics(W625,1),IF($Y$3="wind二级行业",[1]!s_info_industry_gics(W625,2),IF($Y$3="wind三级行业",[1]!s_info_industry_gics(W625,3),IF($Y$3="wind四级行业",[1]!s_info_industry_gics(W625,4),IF($Y$3="证监会门类行业",[1]!s_info_industry_csrc12_n(W625,公司分析!D$5,1),""))))))))</f>
        <v>化学制药</v>
      </c>
      <c r="Z625" s="302" t="str">
        <f ca="1">IF(Y625=行业比较!$E$6,ROW(),"")</f>
        <v/>
      </c>
      <c r="AA625" s="122"/>
      <c r="AB625" s="122"/>
      <c r="AC625" s="122"/>
      <c r="AD625" s="122"/>
      <c r="AE625" s="122"/>
      <c r="AF625" s="122"/>
      <c r="AG625" s="122"/>
      <c r="AH625" s="122"/>
      <c r="AI625" s="122"/>
      <c r="AJ625" s="122"/>
      <c r="AK625" s="122"/>
      <c r="AL625" s="122"/>
      <c r="AM625" s="122"/>
      <c r="AN625" s="122"/>
      <c r="AO625" s="122"/>
      <c r="AP625" s="122"/>
    </row>
    <row r="626" spans="2:42">
      <c r="B626" s="122"/>
      <c r="C626" s="122"/>
      <c r="D626" s="122"/>
      <c r="E626" s="122"/>
      <c r="F626" s="122"/>
      <c r="G626" s="122"/>
      <c r="H626" s="122"/>
      <c r="I626" s="275"/>
      <c r="J626" s="130"/>
      <c r="K626" s="130"/>
      <c r="L626" s="130"/>
      <c r="M626" s="130"/>
      <c r="N626" s="291"/>
      <c r="O626" s="291"/>
      <c r="P626" s="122"/>
      <c r="Q626" s="122"/>
      <c r="R626" s="122"/>
      <c r="S626" s="122"/>
      <c r="T626" s="122"/>
      <c r="U626" s="301"/>
      <c r="V626" s="260">
        <f t="shared" ca="1" si="17"/>
        <v>0</v>
      </c>
      <c r="W626" s="348" t="str">
        <f>IF(板块成分!B628="","",板块成分!B628)</f>
        <v>002103.SZ</v>
      </c>
      <c r="X626" s="276" t="str">
        <f>[1]!S_Info_Name(W626)</f>
        <v>广博股份</v>
      </c>
      <c r="Y626" s="276" t="str">
        <f ca="1">IF($Y$3="申万一级行业",[1]!s_info_industry_sw_2021(W626,公司分析!D$5,1),IF($Y$3="申万二级行业",[1]!s_info_industry_sw_2021(W626,公司分析!D$5,2),IF($Y$3="申万三级行业",[1]!s_info_industry_sw_2021(W626,公司分析!D$5,3),IF($Y$3="wind一级行业",[1]!s_info_industry_gics(W626,1),IF($Y$3="wind二级行业",[1]!s_info_industry_gics(W626,2),IF($Y$3="wind三级行业",[1]!s_info_industry_gics(W626,3),IF($Y$3="wind四级行业",[1]!s_info_industry_gics(W626,4),IF($Y$3="证监会门类行业",[1]!s_info_industry_csrc12_n(W626,公司分析!D$5,1),""))))))))</f>
        <v>文娱用品</v>
      </c>
      <c r="Z626" s="302" t="str">
        <f ca="1">IF(Y626=行业比较!$E$6,ROW(),"")</f>
        <v/>
      </c>
      <c r="AA626" s="122"/>
      <c r="AB626" s="122"/>
      <c r="AC626" s="122"/>
      <c r="AD626" s="122"/>
      <c r="AE626" s="122"/>
      <c r="AF626" s="122"/>
      <c r="AG626" s="122"/>
      <c r="AH626" s="122"/>
      <c r="AI626" s="122"/>
      <c r="AJ626" s="122"/>
      <c r="AK626" s="122"/>
      <c r="AL626" s="122"/>
      <c r="AM626" s="122"/>
      <c r="AN626" s="122"/>
      <c r="AO626" s="122"/>
      <c r="AP626" s="122"/>
    </row>
    <row r="627" spans="2:42">
      <c r="B627" s="122"/>
      <c r="C627" s="122"/>
      <c r="D627" s="122"/>
      <c r="E627" s="122"/>
      <c r="F627" s="122"/>
      <c r="G627" s="122"/>
      <c r="H627" s="122"/>
      <c r="I627" s="275"/>
      <c r="J627" s="130"/>
      <c r="K627" s="130"/>
      <c r="L627" s="130"/>
      <c r="M627" s="130"/>
      <c r="N627" s="291"/>
      <c r="O627" s="291"/>
      <c r="P627" s="122"/>
      <c r="Q627" s="122"/>
      <c r="R627" s="122"/>
      <c r="S627" s="122"/>
      <c r="T627" s="122"/>
      <c r="U627" s="301"/>
      <c r="V627" s="260">
        <f t="shared" ca="1" si="17"/>
        <v>0</v>
      </c>
      <c r="W627" s="348" t="str">
        <f>IF(板块成分!B629="","",板块成分!B629)</f>
        <v>002104.SZ</v>
      </c>
      <c r="X627" s="276" t="str">
        <f>[1]!S_Info_Name(W627)</f>
        <v>恒宝股份</v>
      </c>
      <c r="Y627" s="276" t="str">
        <f ca="1">IF($Y$3="申万一级行业",[1]!s_info_industry_sw_2021(W627,公司分析!D$5,1),IF($Y$3="申万二级行业",[1]!s_info_industry_sw_2021(W627,公司分析!D$5,2),IF($Y$3="申万三级行业",[1]!s_info_industry_sw_2021(W627,公司分析!D$5,3),IF($Y$3="wind一级行业",[1]!s_info_industry_gics(W627,1),IF($Y$3="wind二级行业",[1]!s_info_industry_gics(W627,2),IF($Y$3="wind三级行业",[1]!s_info_industry_gics(W627,3),IF($Y$3="wind四级行业",[1]!s_info_industry_gics(W627,4),IF($Y$3="证监会门类行业",[1]!s_info_industry_csrc12_n(W627,公司分析!D$5,1),""))))))))</f>
        <v>通信设备</v>
      </c>
      <c r="Z627" s="302" t="str">
        <f ca="1">IF(Y627=行业比较!$E$6,ROW(),"")</f>
        <v/>
      </c>
      <c r="AA627" s="122"/>
      <c r="AB627" s="122"/>
      <c r="AC627" s="122"/>
      <c r="AD627" s="122"/>
      <c r="AE627" s="122"/>
      <c r="AF627" s="122"/>
      <c r="AG627" s="122"/>
      <c r="AH627" s="122"/>
      <c r="AI627" s="122"/>
      <c r="AJ627" s="122"/>
      <c r="AK627" s="122"/>
      <c r="AL627" s="122"/>
      <c r="AM627" s="122"/>
      <c r="AN627" s="122"/>
      <c r="AO627" s="122"/>
      <c r="AP627" s="122"/>
    </row>
    <row r="628" spans="2:42">
      <c r="B628" s="122"/>
      <c r="C628" s="122"/>
      <c r="D628" s="122"/>
      <c r="E628" s="122"/>
      <c r="F628" s="122"/>
      <c r="G628" s="122"/>
      <c r="H628" s="122"/>
      <c r="I628" s="275"/>
      <c r="J628" s="130"/>
      <c r="K628" s="130"/>
      <c r="L628" s="130"/>
      <c r="M628" s="130"/>
      <c r="N628" s="291"/>
      <c r="O628" s="291"/>
      <c r="P628" s="122"/>
      <c r="Q628" s="122"/>
      <c r="R628" s="122"/>
      <c r="S628" s="122"/>
      <c r="T628" s="122"/>
      <c r="U628" s="301"/>
      <c r="V628" s="260">
        <f t="shared" ca="1" si="17"/>
        <v>0</v>
      </c>
      <c r="W628" s="348" t="str">
        <f>IF(板块成分!B630="","",板块成分!B630)</f>
        <v>002105.SZ</v>
      </c>
      <c r="X628" s="276" t="str">
        <f>[1]!S_Info_Name(W628)</f>
        <v>信隆健康</v>
      </c>
      <c r="Y628" s="276" t="str">
        <f ca="1">IF($Y$3="申万一级行业",[1]!s_info_industry_sw_2021(W628,公司分析!D$5,1),IF($Y$3="申万二级行业",[1]!s_info_industry_sw_2021(W628,公司分析!D$5,2),IF($Y$3="申万三级行业",[1]!s_info_industry_sw_2021(W628,公司分析!D$5,3),IF($Y$3="wind一级行业",[1]!s_info_industry_gics(W628,1),IF($Y$3="wind二级行业",[1]!s_info_industry_gics(W628,2),IF($Y$3="wind三级行业",[1]!s_info_industry_gics(W628,3),IF($Y$3="wind四级行业",[1]!s_info_industry_gics(W628,4),IF($Y$3="证监会门类行业",[1]!s_info_industry_csrc12_n(W628,公司分析!D$5,1),""))))))))</f>
        <v>摩托车及其他</v>
      </c>
      <c r="Z628" s="302" t="str">
        <f ca="1">IF(Y628=行业比较!$E$6,ROW(),"")</f>
        <v/>
      </c>
      <c r="AA628" s="122"/>
      <c r="AB628" s="122"/>
      <c r="AC628" s="122"/>
      <c r="AD628" s="122"/>
      <c r="AE628" s="122"/>
      <c r="AF628" s="122"/>
      <c r="AG628" s="122"/>
      <c r="AH628" s="122"/>
      <c r="AI628" s="122"/>
      <c r="AJ628" s="122"/>
      <c r="AK628" s="122"/>
      <c r="AL628" s="122"/>
      <c r="AM628" s="122"/>
      <c r="AN628" s="122"/>
      <c r="AO628" s="122"/>
      <c r="AP628" s="122"/>
    </row>
    <row r="629" spans="2:42">
      <c r="B629" s="122"/>
      <c r="C629" s="122"/>
      <c r="D629" s="122"/>
      <c r="E629" s="122"/>
      <c r="F629" s="122"/>
      <c r="G629" s="122"/>
      <c r="H629" s="122"/>
      <c r="I629" s="275"/>
      <c r="J629" s="130"/>
      <c r="K629" s="130"/>
      <c r="L629" s="130"/>
      <c r="M629" s="130"/>
      <c r="N629" s="291"/>
      <c r="O629" s="291"/>
      <c r="P629" s="122"/>
      <c r="Q629" s="122"/>
      <c r="R629" s="122"/>
      <c r="S629" s="122"/>
      <c r="T629" s="122"/>
      <c r="U629" s="301"/>
      <c r="V629" s="260">
        <f t="shared" ca="1" si="17"/>
        <v>0</v>
      </c>
      <c r="W629" s="348" t="str">
        <f>IF(板块成分!B631="","",板块成分!B631)</f>
        <v>002106.SZ</v>
      </c>
      <c r="X629" s="276" t="str">
        <f>[1]!S_Info_Name(W629)</f>
        <v>莱宝高科</v>
      </c>
      <c r="Y629" s="276" t="str">
        <f ca="1">IF($Y$3="申万一级行业",[1]!s_info_industry_sw_2021(W629,公司分析!D$5,1),IF($Y$3="申万二级行业",[1]!s_info_industry_sw_2021(W629,公司分析!D$5,2),IF($Y$3="申万三级行业",[1]!s_info_industry_sw_2021(W629,公司分析!D$5,3),IF($Y$3="wind一级行业",[1]!s_info_industry_gics(W629,1),IF($Y$3="wind二级行业",[1]!s_info_industry_gics(W629,2),IF($Y$3="wind三级行业",[1]!s_info_industry_gics(W629,3),IF($Y$3="wind四级行业",[1]!s_info_industry_gics(W629,4),IF($Y$3="证监会门类行业",[1]!s_info_industry_csrc12_n(W629,公司分析!D$5,1),""))))))))</f>
        <v>光学光电子</v>
      </c>
      <c r="Z629" s="302" t="str">
        <f ca="1">IF(Y629=行业比较!$E$6,ROW(),"")</f>
        <v/>
      </c>
      <c r="AA629" s="122"/>
      <c r="AB629" s="122"/>
      <c r="AC629" s="122"/>
      <c r="AD629" s="122"/>
      <c r="AE629" s="122"/>
      <c r="AF629" s="122"/>
      <c r="AG629" s="122"/>
      <c r="AH629" s="122"/>
      <c r="AI629" s="122"/>
      <c r="AJ629" s="122"/>
      <c r="AK629" s="122"/>
      <c r="AL629" s="122"/>
      <c r="AM629" s="122"/>
      <c r="AN629" s="122"/>
      <c r="AO629" s="122"/>
      <c r="AP629" s="122"/>
    </row>
    <row r="630" spans="2:42">
      <c r="B630" s="122"/>
      <c r="C630" s="122"/>
      <c r="D630" s="122"/>
      <c r="E630" s="122"/>
      <c r="F630" s="122"/>
      <c r="G630" s="122"/>
      <c r="H630" s="122"/>
      <c r="I630" s="275"/>
      <c r="J630" s="130"/>
      <c r="K630" s="130"/>
      <c r="L630" s="130"/>
      <c r="M630" s="130"/>
      <c r="N630" s="291"/>
      <c r="O630" s="291"/>
      <c r="P630" s="122"/>
      <c r="Q630" s="122"/>
      <c r="R630" s="122"/>
      <c r="S630" s="122"/>
      <c r="T630" s="122"/>
      <c r="U630" s="301"/>
      <c r="V630" s="260">
        <f t="shared" ca="1" si="17"/>
        <v>0</v>
      </c>
      <c r="W630" s="348" t="str">
        <f>IF(板块成分!B632="","",板块成分!B632)</f>
        <v>002107.SZ</v>
      </c>
      <c r="X630" s="276" t="str">
        <f>[1]!S_Info_Name(W630)</f>
        <v>沃华医药</v>
      </c>
      <c r="Y630" s="276" t="str">
        <f ca="1">IF($Y$3="申万一级行业",[1]!s_info_industry_sw_2021(W630,公司分析!D$5,1),IF($Y$3="申万二级行业",[1]!s_info_industry_sw_2021(W630,公司分析!D$5,2),IF($Y$3="申万三级行业",[1]!s_info_industry_sw_2021(W630,公司分析!D$5,3),IF($Y$3="wind一级行业",[1]!s_info_industry_gics(W630,1),IF($Y$3="wind二级行业",[1]!s_info_industry_gics(W630,2),IF($Y$3="wind三级行业",[1]!s_info_industry_gics(W630,3),IF($Y$3="wind四级行业",[1]!s_info_industry_gics(W630,4),IF($Y$3="证监会门类行业",[1]!s_info_industry_csrc12_n(W630,公司分析!D$5,1),""))))))))</f>
        <v>中药Ⅱ</v>
      </c>
      <c r="Z630" s="302" t="str">
        <f ca="1">IF(Y630=行业比较!$E$6,ROW(),"")</f>
        <v/>
      </c>
      <c r="AA630" s="122"/>
      <c r="AB630" s="122"/>
      <c r="AC630" s="122"/>
      <c r="AD630" s="122"/>
      <c r="AE630" s="122"/>
      <c r="AF630" s="122"/>
      <c r="AG630" s="122"/>
      <c r="AH630" s="122"/>
      <c r="AI630" s="122"/>
      <c r="AJ630" s="122"/>
      <c r="AK630" s="122"/>
      <c r="AL630" s="122"/>
      <c r="AM630" s="122"/>
      <c r="AN630" s="122"/>
      <c r="AO630" s="122"/>
      <c r="AP630" s="122"/>
    </row>
    <row r="631" spans="2:42">
      <c r="B631" s="122"/>
      <c r="C631" s="122"/>
      <c r="D631" s="122"/>
      <c r="E631" s="122"/>
      <c r="F631" s="122"/>
      <c r="G631" s="122"/>
      <c r="H631" s="122"/>
      <c r="I631" s="275"/>
      <c r="J631" s="130"/>
      <c r="K631" s="130"/>
      <c r="L631" s="130"/>
      <c r="M631" s="130"/>
      <c r="N631" s="291"/>
      <c r="O631" s="291"/>
      <c r="P631" s="122"/>
      <c r="Q631" s="122"/>
      <c r="R631" s="122"/>
      <c r="S631" s="122"/>
      <c r="T631" s="122"/>
      <c r="U631" s="301"/>
      <c r="V631" s="260">
        <f t="shared" ca="1" si="17"/>
        <v>0</v>
      </c>
      <c r="W631" s="348" t="str">
        <f>IF(板块成分!B633="","",板块成分!B633)</f>
        <v>002108.SZ</v>
      </c>
      <c r="X631" s="276" t="str">
        <f>[1]!S_Info_Name(W631)</f>
        <v>沧州明珠</v>
      </c>
      <c r="Y631" s="276" t="str">
        <f ca="1">IF($Y$3="申万一级行业",[1]!s_info_industry_sw_2021(W631,公司分析!D$5,1),IF($Y$3="申万二级行业",[1]!s_info_industry_sw_2021(W631,公司分析!D$5,2),IF($Y$3="申万三级行业",[1]!s_info_industry_sw_2021(W631,公司分析!D$5,3),IF($Y$3="wind一级行业",[1]!s_info_industry_gics(W631,1),IF($Y$3="wind二级行业",[1]!s_info_industry_gics(W631,2),IF($Y$3="wind三级行业",[1]!s_info_industry_gics(W631,3),IF($Y$3="wind四级行业",[1]!s_info_industry_gics(W631,4),IF($Y$3="证监会门类行业",[1]!s_info_industry_csrc12_n(W631,公司分析!D$5,1),""))))))))</f>
        <v>塑料</v>
      </c>
      <c r="Z631" s="302" t="str">
        <f ca="1">IF(Y631=行业比较!$E$6,ROW(),"")</f>
        <v/>
      </c>
      <c r="AA631" s="122"/>
      <c r="AB631" s="122"/>
      <c r="AC631" s="122"/>
      <c r="AD631" s="122"/>
      <c r="AE631" s="122"/>
      <c r="AF631" s="122"/>
      <c r="AG631" s="122"/>
      <c r="AH631" s="122"/>
      <c r="AI631" s="122"/>
      <c r="AJ631" s="122"/>
      <c r="AK631" s="122"/>
      <c r="AL631" s="122"/>
      <c r="AM631" s="122"/>
      <c r="AN631" s="122"/>
      <c r="AO631" s="122"/>
      <c r="AP631" s="122"/>
    </row>
    <row r="632" spans="2:42">
      <c r="B632" s="122"/>
      <c r="C632" s="122"/>
      <c r="D632" s="122"/>
      <c r="E632" s="122"/>
      <c r="F632" s="122"/>
      <c r="G632" s="122"/>
      <c r="H632" s="122"/>
      <c r="I632" s="275"/>
      <c r="J632" s="130"/>
      <c r="K632" s="130"/>
      <c r="L632" s="130"/>
      <c r="M632" s="130"/>
      <c r="N632" s="291"/>
      <c r="O632" s="291"/>
      <c r="P632" s="122"/>
      <c r="Q632" s="122"/>
      <c r="R632" s="122"/>
      <c r="S632" s="122"/>
      <c r="T632" s="122"/>
      <c r="U632" s="301"/>
      <c r="V632" s="260">
        <f t="shared" ca="1" si="17"/>
        <v>0</v>
      </c>
      <c r="W632" s="348" t="str">
        <f>IF(板块成分!B634="","",板块成分!B634)</f>
        <v>002109.SZ</v>
      </c>
      <c r="X632" s="276" t="str">
        <f>[1]!S_Info_Name(W632)</f>
        <v>兴化股份</v>
      </c>
      <c r="Y632" s="276" t="str">
        <f ca="1">IF($Y$3="申万一级行业",[1]!s_info_industry_sw_2021(W632,公司分析!D$5,1),IF($Y$3="申万二级行业",[1]!s_info_industry_sw_2021(W632,公司分析!D$5,2),IF($Y$3="申万三级行业",[1]!s_info_industry_sw_2021(W632,公司分析!D$5,3),IF($Y$3="wind一级行业",[1]!s_info_industry_gics(W632,1),IF($Y$3="wind二级行业",[1]!s_info_industry_gics(W632,2),IF($Y$3="wind三级行业",[1]!s_info_industry_gics(W632,3),IF($Y$3="wind四级行业",[1]!s_info_industry_gics(W632,4),IF($Y$3="证监会门类行业",[1]!s_info_industry_csrc12_n(W632,公司分析!D$5,1),""))))))))</f>
        <v>化学原料</v>
      </c>
      <c r="Z632" s="302" t="str">
        <f ca="1">IF(Y632=行业比较!$E$6,ROW(),"")</f>
        <v/>
      </c>
      <c r="AA632" s="122"/>
      <c r="AB632" s="122"/>
      <c r="AC632" s="122"/>
      <c r="AD632" s="122"/>
      <c r="AE632" s="122"/>
      <c r="AF632" s="122"/>
      <c r="AG632" s="122"/>
      <c r="AH632" s="122"/>
      <c r="AI632" s="122"/>
      <c r="AJ632" s="122"/>
      <c r="AK632" s="122"/>
      <c r="AL632" s="122"/>
      <c r="AM632" s="122"/>
      <c r="AN632" s="122"/>
      <c r="AO632" s="122"/>
      <c r="AP632" s="122"/>
    </row>
    <row r="633" spans="2:42">
      <c r="B633" s="122"/>
      <c r="C633" s="122"/>
      <c r="D633" s="122"/>
      <c r="E633" s="122"/>
      <c r="F633" s="122"/>
      <c r="G633" s="122"/>
      <c r="H633" s="122"/>
      <c r="I633" s="275"/>
      <c r="J633" s="130"/>
      <c r="K633" s="130"/>
      <c r="L633" s="130"/>
      <c r="M633" s="130"/>
      <c r="N633" s="291"/>
      <c r="O633" s="291"/>
      <c r="P633" s="122"/>
      <c r="Q633" s="122"/>
      <c r="R633" s="122"/>
      <c r="S633" s="122"/>
      <c r="T633" s="122"/>
      <c r="U633" s="301"/>
      <c r="V633" s="260">
        <f t="shared" ca="1" si="17"/>
        <v>0</v>
      </c>
      <c r="W633" s="348" t="str">
        <f>IF(板块成分!B635="","",板块成分!B635)</f>
        <v>002110.SZ</v>
      </c>
      <c r="X633" s="276" t="str">
        <f>[1]!S_Info_Name(W633)</f>
        <v>三钢闽光</v>
      </c>
      <c r="Y633" s="276" t="str">
        <f ca="1">IF($Y$3="申万一级行业",[1]!s_info_industry_sw_2021(W633,公司分析!D$5,1),IF($Y$3="申万二级行业",[1]!s_info_industry_sw_2021(W633,公司分析!D$5,2),IF($Y$3="申万三级行业",[1]!s_info_industry_sw_2021(W633,公司分析!D$5,3),IF($Y$3="wind一级行业",[1]!s_info_industry_gics(W633,1),IF($Y$3="wind二级行业",[1]!s_info_industry_gics(W633,2),IF($Y$3="wind三级行业",[1]!s_info_industry_gics(W633,3),IF($Y$3="wind四级行业",[1]!s_info_industry_gics(W633,4),IF($Y$3="证监会门类行业",[1]!s_info_industry_csrc12_n(W633,公司分析!D$5,1),""))))))))</f>
        <v>普钢</v>
      </c>
      <c r="Z633" s="302" t="str">
        <f ca="1">IF(Y633=行业比较!$E$6,ROW(),"")</f>
        <v/>
      </c>
      <c r="AA633" s="122"/>
      <c r="AB633" s="122"/>
      <c r="AC633" s="122"/>
      <c r="AD633" s="122"/>
      <c r="AE633" s="122"/>
      <c r="AF633" s="122"/>
      <c r="AG633" s="122"/>
      <c r="AH633" s="122"/>
      <c r="AI633" s="122"/>
      <c r="AJ633" s="122"/>
      <c r="AK633" s="122"/>
      <c r="AL633" s="122"/>
      <c r="AM633" s="122"/>
      <c r="AN633" s="122"/>
      <c r="AO633" s="122"/>
      <c r="AP633" s="122"/>
    </row>
    <row r="634" spans="2:42">
      <c r="B634" s="122"/>
      <c r="C634" s="122"/>
      <c r="D634" s="122"/>
      <c r="E634" s="122"/>
      <c r="F634" s="122"/>
      <c r="G634" s="122"/>
      <c r="H634" s="122"/>
      <c r="I634" s="275"/>
      <c r="J634" s="130"/>
      <c r="K634" s="130"/>
      <c r="L634" s="130"/>
      <c r="M634" s="130"/>
      <c r="N634" s="291"/>
      <c r="O634" s="291"/>
      <c r="P634" s="122"/>
      <c r="Q634" s="122"/>
      <c r="R634" s="122"/>
      <c r="S634" s="122"/>
      <c r="T634" s="122"/>
      <c r="U634" s="301"/>
      <c r="V634" s="260">
        <f t="shared" ca="1" si="17"/>
        <v>0</v>
      </c>
      <c r="W634" s="348" t="str">
        <f>IF(板块成分!B636="","",板块成分!B636)</f>
        <v>002111.SZ</v>
      </c>
      <c r="X634" s="276" t="str">
        <f>[1]!S_Info_Name(W634)</f>
        <v>威海广泰</v>
      </c>
      <c r="Y634" s="276" t="str">
        <f ca="1">IF($Y$3="申万一级行业",[1]!s_info_industry_sw_2021(W634,公司分析!D$5,1),IF($Y$3="申万二级行业",[1]!s_info_industry_sw_2021(W634,公司分析!D$5,2),IF($Y$3="申万三级行业",[1]!s_info_industry_sw_2021(W634,公司分析!D$5,3),IF($Y$3="wind一级行业",[1]!s_info_industry_gics(W634,1),IF($Y$3="wind二级行业",[1]!s_info_industry_gics(W634,2),IF($Y$3="wind三级行业",[1]!s_info_industry_gics(W634,3),IF($Y$3="wind四级行业",[1]!s_info_industry_gics(W634,4),IF($Y$3="证监会门类行业",[1]!s_info_industry_csrc12_n(W634,公司分析!D$5,1),""))))))))</f>
        <v>航空装备Ⅱ</v>
      </c>
      <c r="Z634" s="302" t="str">
        <f ca="1">IF(Y634=行业比较!$E$6,ROW(),"")</f>
        <v/>
      </c>
      <c r="AA634" s="122"/>
      <c r="AB634" s="122"/>
      <c r="AC634" s="122"/>
      <c r="AD634" s="122"/>
      <c r="AE634" s="122"/>
      <c r="AF634" s="122"/>
      <c r="AG634" s="122"/>
      <c r="AH634" s="122"/>
      <c r="AI634" s="122"/>
      <c r="AJ634" s="122"/>
      <c r="AK634" s="122"/>
      <c r="AL634" s="122"/>
      <c r="AM634" s="122"/>
      <c r="AN634" s="122"/>
      <c r="AO634" s="122"/>
      <c r="AP634" s="122"/>
    </row>
    <row r="635" spans="2:42">
      <c r="B635" s="122"/>
      <c r="C635" s="122"/>
      <c r="D635" s="122"/>
      <c r="E635" s="122"/>
      <c r="F635" s="122"/>
      <c r="G635" s="122"/>
      <c r="H635" s="122"/>
      <c r="I635" s="275"/>
      <c r="J635" s="130"/>
      <c r="K635" s="130"/>
      <c r="L635" s="130"/>
      <c r="M635" s="130"/>
      <c r="N635" s="291"/>
      <c r="O635" s="291"/>
      <c r="P635" s="122"/>
      <c r="Q635" s="122"/>
      <c r="R635" s="122"/>
      <c r="S635" s="122"/>
      <c r="T635" s="122"/>
      <c r="U635" s="301"/>
      <c r="V635" s="260">
        <f t="shared" ca="1" si="17"/>
        <v>0</v>
      </c>
      <c r="W635" s="348" t="str">
        <f>IF(板块成分!B637="","",板块成分!B637)</f>
        <v>002112.SZ</v>
      </c>
      <c r="X635" s="276" t="str">
        <f>[1]!S_Info_Name(W635)</f>
        <v>三变科技</v>
      </c>
      <c r="Y635" s="276" t="str">
        <f ca="1">IF($Y$3="申万一级行业",[1]!s_info_industry_sw_2021(W635,公司分析!D$5,1),IF($Y$3="申万二级行业",[1]!s_info_industry_sw_2021(W635,公司分析!D$5,2),IF($Y$3="申万三级行业",[1]!s_info_industry_sw_2021(W635,公司分析!D$5,3),IF($Y$3="wind一级行业",[1]!s_info_industry_gics(W635,1),IF($Y$3="wind二级行业",[1]!s_info_industry_gics(W635,2),IF($Y$3="wind三级行业",[1]!s_info_industry_gics(W635,3),IF($Y$3="wind四级行业",[1]!s_info_industry_gics(W635,4),IF($Y$3="证监会门类行业",[1]!s_info_industry_csrc12_n(W635,公司分析!D$5,1),""))))))))</f>
        <v>电网设备</v>
      </c>
      <c r="Z635" s="302" t="str">
        <f ca="1">IF(Y635=行业比较!$E$6,ROW(),"")</f>
        <v/>
      </c>
      <c r="AA635" s="122"/>
      <c r="AB635" s="122"/>
      <c r="AC635" s="122"/>
      <c r="AD635" s="122"/>
      <c r="AE635" s="122"/>
      <c r="AF635" s="122"/>
      <c r="AG635" s="122"/>
      <c r="AH635" s="122"/>
      <c r="AI635" s="122"/>
      <c r="AJ635" s="122"/>
      <c r="AK635" s="122"/>
      <c r="AL635" s="122"/>
      <c r="AM635" s="122"/>
      <c r="AN635" s="122"/>
      <c r="AO635" s="122"/>
      <c r="AP635" s="122"/>
    </row>
    <row r="636" spans="2:42">
      <c r="B636" s="122"/>
      <c r="C636" s="122"/>
      <c r="D636" s="122"/>
      <c r="E636" s="122"/>
      <c r="F636" s="122"/>
      <c r="G636" s="122"/>
      <c r="H636" s="122"/>
      <c r="I636" s="275"/>
      <c r="J636" s="130"/>
      <c r="K636" s="130"/>
      <c r="L636" s="130"/>
      <c r="M636" s="130"/>
      <c r="N636" s="291"/>
      <c r="O636" s="291"/>
      <c r="P636" s="122"/>
      <c r="Q636" s="122"/>
      <c r="R636" s="122"/>
      <c r="S636" s="122"/>
      <c r="T636" s="122"/>
      <c r="U636" s="301"/>
      <c r="V636" s="260">
        <f t="shared" ca="1" si="17"/>
        <v>13</v>
      </c>
      <c r="W636" s="348" t="str">
        <f>IF(板块成分!B638="","",板块成分!B638)</f>
        <v>002114.SZ</v>
      </c>
      <c r="X636" s="276" t="str">
        <f>[1]!S_Info_Name(W636)</f>
        <v>罗平锌电</v>
      </c>
      <c r="Y636" s="276" t="str">
        <f ca="1">IF($Y$3="申万一级行业",[1]!s_info_industry_sw_2021(W636,公司分析!D$5,1),IF($Y$3="申万二级行业",[1]!s_info_industry_sw_2021(W636,公司分析!D$5,2),IF($Y$3="申万三级行业",[1]!s_info_industry_sw_2021(W636,公司分析!D$5,3),IF($Y$3="wind一级行业",[1]!s_info_industry_gics(W636,1),IF($Y$3="wind二级行业",[1]!s_info_industry_gics(W636,2),IF($Y$3="wind三级行业",[1]!s_info_industry_gics(W636,3),IF($Y$3="wind四级行业",[1]!s_info_industry_gics(W636,4),IF($Y$3="证监会门类行业",[1]!s_info_industry_csrc12_n(W636,公司分析!D$5,1),""))))))))</f>
        <v>工业金属</v>
      </c>
      <c r="Z636" s="302">
        <f ca="1">IF(Y636=行业比较!$E$6,ROW(),"")</f>
        <v>636</v>
      </c>
      <c r="AA636" s="122"/>
      <c r="AB636" s="122"/>
      <c r="AC636" s="122"/>
      <c r="AD636" s="122"/>
      <c r="AE636" s="122"/>
      <c r="AF636" s="122"/>
      <c r="AG636" s="122"/>
      <c r="AH636" s="122"/>
      <c r="AI636" s="122"/>
      <c r="AJ636" s="122"/>
      <c r="AK636" s="122"/>
      <c r="AL636" s="122"/>
      <c r="AM636" s="122"/>
      <c r="AN636" s="122"/>
      <c r="AO636" s="122"/>
      <c r="AP636" s="122"/>
    </row>
    <row r="637" spans="2:42">
      <c r="B637" s="122"/>
      <c r="C637" s="122"/>
      <c r="D637" s="122"/>
      <c r="E637" s="122"/>
      <c r="F637" s="122"/>
      <c r="G637" s="122"/>
      <c r="H637" s="122"/>
      <c r="I637" s="275"/>
      <c r="J637" s="130"/>
      <c r="K637" s="130"/>
      <c r="L637" s="130"/>
      <c r="M637" s="130"/>
      <c r="N637" s="291"/>
      <c r="O637" s="291"/>
      <c r="P637" s="122"/>
      <c r="Q637" s="122"/>
      <c r="R637" s="122"/>
      <c r="S637" s="122"/>
      <c r="T637" s="122"/>
      <c r="U637" s="301"/>
      <c r="V637" s="260">
        <f t="shared" ca="1" si="17"/>
        <v>0</v>
      </c>
      <c r="W637" s="348" t="str">
        <f>IF(板块成分!B639="","",板块成分!B639)</f>
        <v>002115.SZ</v>
      </c>
      <c r="X637" s="276" t="str">
        <f>[1]!S_Info_Name(W637)</f>
        <v>三维通信</v>
      </c>
      <c r="Y637" s="276" t="str">
        <f ca="1">IF($Y$3="申万一级行业",[1]!s_info_industry_sw_2021(W637,公司分析!D$5,1),IF($Y$3="申万二级行业",[1]!s_info_industry_sw_2021(W637,公司分析!D$5,2),IF($Y$3="申万三级行业",[1]!s_info_industry_sw_2021(W637,公司分析!D$5,3),IF($Y$3="wind一级行业",[1]!s_info_industry_gics(W637,1),IF($Y$3="wind二级行业",[1]!s_info_industry_gics(W637,2),IF($Y$3="wind三级行业",[1]!s_info_industry_gics(W637,3),IF($Y$3="wind四级行业",[1]!s_info_industry_gics(W637,4),IF($Y$3="证监会门类行业",[1]!s_info_industry_csrc12_n(W637,公司分析!D$5,1),""))))))))</f>
        <v>通信服务</v>
      </c>
      <c r="Z637" s="302" t="str">
        <f ca="1">IF(Y637=行业比较!$E$6,ROW(),"")</f>
        <v/>
      </c>
      <c r="AA637" s="122"/>
      <c r="AB637" s="122"/>
      <c r="AC637" s="122"/>
      <c r="AD637" s="122"/>
      <c r="AE637" s="122"/>
      <c r="AF637" s="122"/>
      <c r="AG637" s="122"/>
      <c r="AH637" s="122"/>
      <c r="AI637" s="122"/>
      <c r="AJ637" s="122"/>
      <c r="AK637" s="122"/>
      <c r="AL637" s="122"/>
      <c r="AM637" s="122"/>
      <c r="AN637" s="122"/>
      <c r="AO637" s="122"/>
      <c r="AP637" s="122"/>
    </row>
    <row r="638" spans="2:42">
      <c r="B638" s="122"/>
      <c r="C638" s="122"/>
      <c r="D638" s="122"/>
      <c r="E638" s="122"/>
      <c r="F638" s="122"/>
      <c r="G638" s="122"/>
      <c r="H638" s="122"/>
      <c r="I638" s="275"/>
      <c r="J638" s="130"/>
      <c r="K638" s="130"/>
      <c r="L638" s="130"/>
      <c r="M638" s="130"/>
      <c r="N638" s="291"/>
      <c r="O638" s="291"/>
      <c r="P638" s="122"/>
      <c r="Q638" s="122"/>
      <c r="R638" s="122"/>
      <c r="S638" s="122"/>
      <c r="T638" s="122"/>
      <c r="U638" s="301"/>
      <c r="V638" s="260">
        <f t="shared" ca="1" si="17"/>
        <v>0</v>
      </c>
      <c r="W638" s="348" t="str">
        <f>IF(板块成分!B640="","",板块成分!B640)</f>
        <v>002116.SZ</v>
      </c>
      <c r="X638" s="276" t="str">
        <f>[1]!S_Info_Name(W638)</f>
        <v>中国海诚</v>
      </c>
      <c r="Y638" s="276" t="str">
        <f ca="1">IF($Y$3="申万一级行业",[1]!s_info_industry_sw_2021(W638,公司分析!D$5,1),IF($Y$3="申万二级行业",[1]!s_info_industry_sw_2021(W638,公司分析!D$5,2),IF($Y$3="申万三级行业",[1]!s_info_industry_sw_2021(W638,公司分析!D$5,3),IF($Y$3="wind一级行业",[1]!s_info_industry_gics(W638,1),IF($Y$3="wind二级行业",[1]!s_info_industry_gics(W638,2),IF($Y$3="wind三级行业",[1]!s_info_industry_gics(W638,3),IF($Y$3="wind四级行业",[1]!s_info_industry_gics(W638,4),IF($Y$3="证监会门类行业",[1]!s_info_industry_csrc12_n(W638,公司分析!D$5,1),""))))))))</f>
        <v>专业工程</v>
      </c>
      <c r="Z638" s="302" t="str">
        <f ca="1">IF(Y638=行业比较!$E$6,ROW(),"")</f>
        <v/>
      </c>
      <c r="AA638" s="122"/>
      <c r="AB638" s="122"/>
      <c r="AC638" s="122"/>
      <c r="AD638" s="122"/>
      <c r="AE638" s="122"/>
      <c r="AF638" s="122"/>
      <c r="AG638" s="122"/>
      <c r="AH638" s="122"/>
      <c r="AI638" s="122"/>
      <c r="AJ638" s="122"/>
      <c r="AK638" s="122"/>
      <c r="AL638" s="122"/>
      <c r="AM638" s="122"/>
      <c r="AN638" s="122"/>
      <c r="AO638" s="122"/>
      <c r="AP638" s="122"/>
    </row>
    <row r="639" spans="2:42">
      <c r="B639" s="122"/>
      <c r="C639" s="122"/>
      <c r="D639" s="122"/>
      <c r="E639" s="122"/>
      <c r="F639" s="122"/>
      <c r="G639" s="122"/>
      <c r="H639" s="122"/>
      <c r="I639" s="275"/>
      <c r="J639" s="130"/>
      <c r="K639" s="130"/>
      <c r="L639" s="130"/>
      <c r="M639" s="130"/>
      <c r="N639" s="291"/>
      <c r="O639" s="291"/>
      <c r="P639" s="122"/>
      <c r="Q639" s="122"/>
      <c r="R639" s="122"/>
      <c r="S639" s="122"/>
      <c r="T639" s="122"/>
      <c r="U639" s="301"/>
      <c r="V639" s="260">
        <f t="shared" ca="1" si="17"/>
        <v>0</v>
      </c>
      <c r="W639" s="348" t="str">
        <f>IF(板块成分!B641="","",板块成分!B641)</f>
        <v>002117.SZ</v>
      </c>
      <c r="X639" s="276" t="str">
        <f>[1]!S_Info_Name(W639)</f>
        <v>东港股份</v>
      </c>
      <c r="Y639" s="276" t="str">
        <f ca="1">IF($Y$3="申万一级行业",[1]!s_info_industry_sw_2021(W639,公司分析!D$5,1),IF($Y$3="申万二级行业",[1]!s_info_industry_sw_2021(W639,公司分析!D$5,2),IF($Y$3="申万三级行业",[1]!s_info_industry_sw_2021(W639,公司分析!D$5,3),IF($Y$3="wind一级行业",[1]!s_info_industry_gics(W639,1),IF($Y$3="wind二级行业",[1]!s_info_industry_gics(W639,2),IF($Y$3="wind三级行业",[1]!s_info_industry_gics(W639,3),IF($Y$3="wind四级行业",[1]!s_info_industry_gics(W639,4),IF($Y$3="证监会门类行业",[1]!s_info_industry_csrc12_n(W639,公司分析!D$5,1),""))))))))</f>
        <v>包装印刷</v>
      </c>
      <c r="Z639" s="302" t="str">
        <f ca="1">IF(Y639=行业比较!$E$6,ROW(),"")</f>
        <v/>
      </c>
      <c r="AA639" s="122"/>
      <c r="AB639" s="122"/>
      <c r="AC639" s="122"/>
      <c r="AD639" s="122"/>
      <c r="AE639" s="122"/>
      <c r="AF639" s="122"/>
      <c r="AG639" s="122"/>
      <c r="AH639" s="122"/>
      <c r="AI639" s="122"/>
      <c r="AJ639" s="122"/>
      <c r="AK639" s="122"/>
      <c r="AL639" s="122"/>
      <c r="AM639" s="122"/>
      <c r="AN639" s="122"/>
      <c r="AO639" s="122"/>
      <c r="AP639" s="122"/>
    </row>
    <row r="640" spans="2:42">
      <c r="B640" s="122"/>
      <c r="C640" s="122"/>
      <c r="D640" s="122"/>
      <c r="E640" s="122"/>
      <c r="F640" s="122"/>
      <c r="G640" s="122"/>
      <c r="H640" s="122"/>
      <c r="I640" s="275"/>
      <c r="J640" s="130"/>
      <c r="K640" s="130"/>
      <c r="L640" s="130"/>
      <c r="M640" s="130"/>
      <c r="N640" s="291"/>
      <c r="O640" s="291"/>
      <c r="P640" s="122"/>
      <c r="Q640" s="122"/>
      <c r="R640" s="122"/>
      <c r="S640" s="122"/>
      <c r="T640" s="122"/>
      <c r="U640" s="301"/>
      <c r="V640" s="260">
        <f t="shared" ca="1" si="17"/>
        <v>0</v>
      </c>
      <c r="W640" s="348" t="str">
        <f>IF(板块成分!B642="","",板块成分!B642)</f>
        <v>002119.SZ</v>
      </c>
      <c r="X640" s="276" t="str">
        <f>[1]!S_Info_Name(W640)</f>
        <v>康强电子</v>
      </c>
      <c r="Y640" s="276" t="str">
        <f ca="1">IF($Y$3="申万一级行业",[1]!s_info_industry_sw_2021(W640,公司分析!D$5,1),IF($Y$3="申万二级行业",[1]!s_info_industry_sw_2021(W640,公司分析!D$5,2),IF($Y$3="申万三级行业",[1]!s_info_industry_sw_2021(W640,公司分析!D$5,3),IF($Y$3="wind一级行业",[1]!s_info_industry_gics(W640,1),IF($Y$3="wind二级行业",[1]!s_info_industry_gics(W640,2),IF($Y$3="wind三级行业",[1]!s_info_industry_gics(W640,3),IF($Y$3="wind四级行业",[1]!s_info_industry_gics(W640,4),IF($Y$3="证监会门类行业",[1]!s_info_industry_csrc12_n(W640,公司分析!D$5,1),""))))))))</f>
        <v>半导体</v>
      </c>
      <c r="Z640" s="302" t="str">
        <f ca="1">IF(Y640=行业比较!$E$6,ROW(),"")</f>
        <v/>
      </c>
      <c r="AA640" s="122"/>
      <c r="AB640" s="122"/>
      <c r="AC640" s="122"/>
      <c r="AD640" s="122"/>
      <c r="AE640" s="122"/>
      <c r="AF640" s="122"/>
      <c r="AG640" s="122"/>
      <c r="AH640" s="122"/>
      <c r="AI640" s="122"/>
      <c r="AJ640" s="122"/>
      <c r="AK640" s="122"/>
      <c r="AL640" s="122"/>
      <c r="AM640" s="122"/>
      <c r="AN640" s="122"/>
      <c r="AO640" s="122"/>
      <c r="AP640" s="122"/>
    </row>
    <row r="641" spans="2:42">
      <c r="B641" s="122"/>
      <c r="C641" s="122"/>
      <c r="D641" s="122"/>
      <c r="E641" s="122"/>
      <c r="F641" s="122"/>
      <c r="G641" s="122"/>
      <c r="H641" s="122"/>
      <c r="I641" s="275"/>
      <c r="J641" s="130"/>
      <c r="K641" s="130"/>
      <c r="L641" s="130"/>
      <c r="M641" s="130"/>
      <c r="N641" s="291"/>
      <c r="O641" s="291"/>
      <c r="P641" s="122"/>
      <c r="Q641" s="122"/>
      <c r="R641" s="122"/>
      <c r="S641" s="122"/>
      <c r="T641" s="122"/>
      <c r="U641" s="301"/>
      <c r="V641" s="260">
        <f t="shared" ca="1" si="17"/>
        <v>0</v>
      </c>
      <c r="W641" s="348" t="str">
        <f>IF(板块成分!B643="","",板块成分!B643)</f>
        <v>002120.SZ</v>
      </c>
      <c r="X641" s="276" t="str">
        <f>[1]!S_Info_Name(W641)</f>
        <v>韵达股份</v>
      </c>
      <c r="Y641" s="276" t="str">
        <f ca="1">IF($Y$3="申万一级行业",[1]!s_info_industry_sw_2021(W641,公司分析!D$5,1),IF($Y$3="申万二级行业",[1]!s_info_industry_sw_2021(W641,公司分析!D$5,2),IF($Y$3="申万三级行业",[1]!s_info_industry_sw_2021(W641,公司分析!D$5,3),IF($Y$3="wind一级行业",[1]!s_info_industry_gics(W641,1),IF($Y$3="wind二级行业",[1]!s_info_industry_gics(W641,2),IF($Y$3="wind三级行业",[1]!s_info_industry_gics(W641,3),IF($Y$3="wind四级行业",[1]!s_info_industry_gics(W641,4),IF($Y$3="证监会门类行业",[1]!s_info_industry_csrc12_n(W641,公司分析!D$5,1),""))))))))</f>
        <v>物流</v>
      </c>
      <c r="Z641" s="302" t="str">
        <f ca="1">IF(Y641=行业比较!$E$6,ROW(),"")</f>
        <v/>
      </c>
      <c r="AA641" s="122"/>
      <c r="AB641" s="122"/>
      <c r="AC641" s="122"/>
      <c r="AD641" s="122"/>
      <c r="AE641" s="122"/>
      <c r="AF641" s="122"/>
      <c r="AG641" s="122"/>
      <c r="AH641" s="122"/>
      <c r="AI641" s="122"/>
      <c r="AJ641" s="122"/>
      <c r="AK641" s="122"/>
      <c r="AL641" s="122"/>
      <c r="AM641" s="122"/>
      <c r="AN641" s="122"/>
      <c r="AO641" s="122"/>
      <c r="AP641" s="122"/>
    </row>
    <row r="642" spans="2:42">
      <c r="B642" s="122"/>
      <c r="C642" s="122"/>
      <c r="D642" s="122"/>
      <c r="E642" s="122"/>
      <c r="F642" s="122"/>
      <c r="G642" s="122"/>
      <c r="H642" s="122"/>
      <c r="I642" s="275"/>
      <c r="J642" s="130"/>
      <c r="K642" s="130"/>
      <c r="L642" s="130"/>
      <c r="M642" s="130"/>
      <c r="N642" s="291"/>
      <c r="O642" s="291"/>
      <c r="P642" s="122"/>
      <c r="Q642" s="122"/>
      <c r="R642" s="122"/>
      <c r="S642" s="122"/>
      <c r="T642" s="122"/>
      <c r="U642" s="301"/>
      <c r="V642" s="260">
        <f t="shared" ca="1" si="17"/>
        <v>0</v>
      </c>
      <c r="W642" s="348" t="str">
        <f>IF(板块成分!B644="","",板块成分!B644)</f>
        <v>002121.SZ</v>
      </c>
      <c r="X642" s="276" t="str">
        <f>[1]!S_Info_Name(W642)</f>
        <v>科陆电子</v>
      </c>
      <c r="Y642" s="276" t="str">
        <f ca="1">IF($Y$3="申万一级行业",[1]!s_info_industry_sw_2021(W642,公司分析!D$5,1),IF($Y$3="申万二级行业",[1]!s_info_industry_sw_2021(W642,公司分析!D$5,2),IF($Y$3="申万三级行业",[1]!s_info_industry_sw_2021(W642,公司分析!D$5,3),IF($Y$3="wind一级行业",[1]!s_info_industry_gics(W642,1),IF($Y$3="wind二级行业",[1]!s_info_industry_gics(W642,2),IF($Y$3="wind三级行业",[1]!s_info_industry_gics(W642,3),IF($Y$3="wind四级行业",[1]!s_info_industry_gics(W642,4),IF($Y$3="证监会门类行业",[1]!s_info_industry_csrc12_n(W642,公司分析!D$5,1),""))))))))</f>
        <v>电网设备</v>
      </c>
      <c r="Z642" s="302" t="str">
        <f ca="1">IF(Y642=行业比较!$E$6,ROW(),"")</f>
        <v/>
      </c>
      <c r="AA642" s="122"/>
      <c r="AB642" s="122"/>
      <c r="AC642" s="122"/>
      <c r="AD642" s="122"/>
      <c r="AE642" s="122"/>
      <c r="AF642" s="122"/>
      <c r="AG642" s="122"/>
      <c r="AH642" s="122"/>
      <c r="AI642" s="122"/>
      <c r="AJ642" s="122"/>
      <c r="AK642" s="122"/>
      <c r="AL642" s="122"/>
      <c r="AM642" s="122"/>
      <c r="AN642" s="122"/>
      <c r="AO642" s="122"/>
      <c r="AP642" s="122"/>
    </row>
    <row r="643" spans="2:42">
      <c r="B643" s="122"/>
      <c r="C643" s="122"/>
      <c r="D643" s="122"/>
      <c r="E643" s="122"/>
      <c r="F643" s="122"/>
      <c r="G643" s="122"/>
      <c r="H643" s="122"/>
      <c r="I643" s="275"/>
      <c r="J643" s="130"/>
      <c r="K643" s="130"/>
      <c r="L643" s="130"/>
      <c r="M643" s="130"/>
      <c r="N643" s="291"/>
      <c r="O643" s="291"/>
      <c r="P643" s="122"/>
      <c r="Q643" s="122"/>
      <c r="R643" s="122"/>
      <c r="S643" s="122"/>
      <c r="T643" s="122"/>
      <c r="U643" s="301"/>
      <c r="V643" s="260">
        <f t="shared" ca="1" si="17"/>
        <v>0</v>
      </c>
      <c r="W643" s="348" t="str">
        <f>IF(板块成分!B645="","",板块成分!B645)</f>
        <v>002122.SZ</v>
      </c>
      <c r="X643" s="276" t="str">
        <f>[1]!S_Info_Name(W643)</f>
        <v>ST汇洲</v>
      </c>
      <c r="Y643" s="276" t="str">
        <f ca="1">IF($Y$3="申万一级行业",[1]!s_info_industry_sw_2021(W643,公司分析!D$5,1),IF($Y$3="申万二级行业",[1]!s_info_industry_sw_2021(W643,公司分析!D$5,2),IF($Y$3="申万三级行业",[1]!s_info_industry_sw_2021(W643,公司分析!D$5,3),IF($Y$3="wind一级行业",[1]!s_info_industry_gics(W643,1),IF($Y$3="wind二级行业",[1]!s_info_industry_gics(W643,2),IF($Y$3="wind三级行业",[1]!s_info_industry_gics(W643,3),IF($Y$3="wind四级行业",[1]!s_info_industry_gics(W643,4),IF($Y$3="证监会门类行业",[1]!s_info_industry_csrc12_n(W643,公司分析!D$5,1),""))))))))</f>
        <v>通用设备</v>
      </c>
      <c r="Z643" s="302" t="str">
        <f ca="1">IF(Y643=行业比较!$E$6,ROW(),"")</f>
        <v/>
      </c>
      <c r="AA643" s="122"/>
      <c r="AB643" s="122"/>
      <c r="AC643" s="122"/>
      <c r="AD643" s="122"/>
      <c r="AE643" s="122"/>
      <c r="AF643" s="122"/>
      <c r="AG643" s="122"/>
      <c r="AH643" s="122"/>
      <c r="AI643" s="122"/>
      <c r="AJ643" s="122"/>
      <c r="AK643" s="122"/>
      <c r="AL643" s="122"/>
      <c r="AM643" s="122"/>
      <c r="AN643" s="122"/>
      <c r="AO643" s="122"/>
      <c r="AP643" s="122"/>
    </row>
    <row r="644" spans="2:42">
      <c r="B644" s="122"/>
      <c r="C644" s="122"/>
      <c r="D644" s="122"/>
      <c r="E644" s="122"/>
      <c r="F644" s="122"/>
      <c r="G644" s="122"/>
      <c r="H644" s="122"/>
      <c r="I644" s="275"/>
      <c r="J644" s="130"/>
      <c r="K644" s="130"/>
      <c r="L644" s="130"/>
      <c r="M644" s="130"/>
      <c r="N644" s="291"/>
      <c r="O644" s="291"/>
      <c r="P644" s="122"/>
      <c r="Q644" s="122"/>
      <c r="R644" s="122"/>
      <c r="S644" s="122"/>
      <c r="T644" s="122"/>
      <c r="U644" s="301"/>
      <c r="V644" s="260">
        <f t="shared" ca="1" si="17"/>
        <v>0</v>
      </c>
      <c r="W644" s="348" t="str">
        <f>IF(板块成分!B646="","",板块成分!B646)</f>
        <v>002123.SZ</v>
      </c>
      <c r="X644" s="276" t="str">
        <f>[1]!S_Info_Name(W644)</f>
        <v>梦网科技</v>
      </c>
      <c r="Y644" s="276" t="str">
        <f ca="1">IF($Y$3="申万一级行业",[1]!s_info_industry_sw_2021(W644,公司分析!D$5,1),IF($Y$3="申万二级行业",[1]!s_info_industry_sw_2021(W644,公司分析!D$5,2),IF($Y$3="申万三级行业",[1]!s_info_industry_sw_2021(W644,公司分析!D$5,3),IF($Y$3="wind一级行业",[1]!s_info_industry_gics(W644,1),IF($Y$3="wind二级行业",[1]!s_info_industry_gics(W644,2),IF($Y$3="wind三级行业",[1]!s_info_industry_gics(W644,3),IF($Y$3="wind四级行业",[1]!s_info_industry_gics(W644,4),IF($Y$3="证监会门类行业",[1]!s_info_industry_csrc12_n(W644,公司分析!D$5,1),""))))))))</f>
        <v>通信服务</v>
      </c>
      <c r="Z644" s="302" t="str">
        <f ca="1">IF(Y644=行业比较!$E$6,ROW(),"")</f>
        <v/>
      </c>
      <c r="AA644" s="122"/>
      <c r="AB644" s="122"/>
      <c r="AC644" s="122"/>
      <c r="AD644" s="122"/>
      <c r="AE644" s="122"/>
      <c r="AF644" s="122"/>
      <c r="AG644" s="122"/>
      <c r="AH644" s="122"/>
      <c r="AI644" s="122"/>
      <c r="AJ644" s="122"/>
      <c r="AK644" s="122"/>
      <c r="AL644" s="122"/>
      <c r="AM644" s="122"/>
      <c r="AN644" s="122"/>
      <c r="AO644" s="122"/>
      <c r="AP644" s="122"/>
    </row>
    <row r="645" spans="2:42">
      <c r="B645" s="122"/>
      <c r="C645" s="122"/>
      <c r="D645" s="122"/>
      <c r="E645" s="122"/>
      <c r="F645" s="122"/>
      <c r="G645" s="122"/>
      <c r="H645" s="122"/>
      <c r="I645" s="275"/>
      <c r="J645" s="130"/>
      <c r="K645" s="130"/>
      <c r="L645" s="130"/>
      <c r="M645" s="130"/>
      <c r="N645" s="291"/>
      <c r="O645" s="291"/>
      <c r="P645" s="122"/>
      <c r="Q645" s="122"/>
      <c r="R645" s="122"/>
      <c r="S645" s="122"/>
      <c r="T645" s="122"/>
      <c r="U645" s="301"/>
      <c r="V645" s="260">
        <f t="shared" ref="V645:V708" ca="1" si="18">IF(Z645="",0,RANK(Z645,Z:Z,1))</f>
        <v>0</v>
      </c>
      <c r="W645" s="348" t="str">
        <f>IF(板块成分!B647="","",板块成分!B647)</f>
        <v>002124.SZ</v>
      </c>
      <c r="X645" s="276" t="str">
        <f>[1]!S_Info_Name(W645)</f>
        <v>天邦食品</v>
      </c>
      <c r="Y645" s="276" t="str">
        <f ca="1">IF($Y$3="申万一级行业",[1]!s_info_industry_sw_2021(W645,公司分析!D$5,1),IF($Y$3="申万二级行业",[1]!s_info_industry_sw_2021(W645,公司分析!D$5,2),IF($Y$3="申万三级行业",[1]!s_info_industry_sw_2021(W645,公司分析!D$5,3),IF($Y$3="wind一级行业",[1]!s_info_industry_gics(W645,1),IF($Y$3="wind二级行业",[1]!s_info_industry_gics(W645,2),IF($Y$3="wind三级行业",[1]!s_info_industry_gics(W645,3),IF($Y$3="wind四级行业",[1]!s_info_industry_gics(W645,4),IF($Y$3="证监会门类行业",[1]!s_info_industry_csrc12_n(W645,公司分析!D$5,1),""))))))))</f>
        <v>养殖业</v>
      </c>
      <c r="Z645" s="302" t="str">
        <f ca="1">IF(Y645=行业比较!$E$6,ROW(),"")</f>
        <v/>
      </c>
      <c r="AA645" s="122"/>
      <c r="AB645" s="122"/>
      <c r="AC645" s="122"/>
      <c r="AD645" s="122"/>
      <c r="AE645" s="122"/>
      <c r="AF645" s="122"/>
      <c r="AG645" s="122"/>
      <c r="AH645" s="122"/>
      <c r="AI645" s="122"/>
      <c r="AJ645" s="122"/>
      <c r="AK645" s="122"/>
      <c r="AL645" s="122"/>
      <c r="AM645" s="122"/>
      <c r="AN645" s="122"/>
      <c r="AO645" s="122"/>
      <c r="AP645" s="122"/>
    </row>
    <row r="646" spans="2:42">
      <c r="B646" s="122"/>
      <c r="C646" s="122"/>
      <c r="D646" s="122"/>
      <c r="E646" s="122"/>
      <c r="F646" s="122"/>
      <c r="G646" s="122"/>
      <c r="H646" s="122"/>
      <c r="I646" s="275"/>
      <c r="J646" s="130"/>
      <c r="K646" s="130"/>
      <c r="L646" s="130"/>
      <c r="M646" s="130"/>
      <c r="N646" s="291"/>
      <c r="O646" s="291"/>
      <c r="P646" s="122"/>
      <c r="Q646" s="122"/>
      <c r="R646" s="122"/>
      <c r="S646" s="122"/>
      <c r="T646" s="122"/>
      <c r="U646" s="301"/>
      <c r="V646" s="260">
        <f t="shared" ca="1" si="18"/>
        <v>0</v>
      </c>
      <c r="W646" s="348" t="str">
        <f>IF(板块成分!B648="","",板块成分!B648)</f>
        <v>002125.SZ</v>
      </c>
      <c r="X646" s="276" t="str">
        <f>[1]!S_Info_Name(W646)</f>
        <v>湘潭电化</v>
      </c>
      <c r="Y646" s="276" t="str">
        <f ca="1">IF($Y$3="申万一级行业",[1]!s_info_industry_sw_2021(W646,公司分析!D$5,1),IF($Y$3="申万二级行业",[1]!s_info_industry_sw_2021(W646,公司分析!D$5,2),IF($Y$3="申万三级行业",[1]!s_info_industry_sw_2021(W646,公司分析!D$5,3),IF($Y$3="wind一级行业",[1]!s_info_industry_gics(W646,1),IF($Y$3="wind二级行业",[1]!s_info_industry_gics(W646,2),IF($Y$3="wind三级行业",[1]!s_info_industry_gics(W646,3),IF($Y$3="wind四级行业",[1]!s_info_industry_gics(W646,4),IF($Y$3="证监会门类行业",[1]!s_info_industry_csrc12_n(W646,公司分析!D$5,1),""))))))))</f>
        <v>电池</v>
      </c>
      <c r="Z646" s="302" t="str">
        <f ca="1">IF(Y646=行业比较!$E$6,ROW(),"")</f>
        <v/>
      </c>
      <c r="AA646" s="122"/>
      <c r="AB646" s="122"/>
      <c r="AC646" s="122"/>
      <c r="AD646" s="122"/>
      <c r="AE646" s="122"/>
      <c r="AF646" s="122"/>
      <c r="AG646" s="122"/>
      <c r="AH646" s="122"/>
      <c r="AI646" s="122"/>
      <c r="AJ646" s="122"/>
      <c r="AK646" s="122"/>
      <c r="AL646" s="122"/>
      <c r="AM646" s="122"/>
      <c r="AN646" s="122"/>
      <c r="AO646" s="122"/>
      <c r="AP646" s="122"/>
    </row>
    <row r="647" spans="2:42">
      <c r="B647" s="122"/>
      <c r="C647" s="122"/>
      <c r="D647" s="122"/>
      <c r="E647" s="122"/>
      <c r="F647" s="122"/>
      <c r="G647" s="122"/>
      <c r="H647" s="122"/>
      <c r="I647" s="275"/>
      <c r="J647" s="130"/>
      <c r="K647" s="130"/>
      <c r="L647" s="130"/>
      <c r="M647" s="130"/>
      <c r="N647" s="291"/>
      <c r="O647" s="291"/>
      <c r="P647" s="122"/>
      <c r="Q647" s="122"/>
      <c r="R647" s="122"/>
      <c r="S647" s="122"/>
      <c r="T647" s="122"/>
      <c r="U647" s="301"/>
      <c r="V647" s="260">
        <f t="shared" ca="1" si="18"/>
        <v>0</v>
      </c>
      <c r="W647" s="348" t="str">
        <f>IF(板块成分!B649="","",板块成分!B649)</f>
        <v>002126.SZ</v>
      </c>
      <c r="X647" s="276" t="str">
        <f>[1]!S_Info_Name(W647)</f>
        <v>银轮股份</v>
      </c>
      <c r="Y647" s="276" t="str">
        <f ca="1">IF($Y$3="申万一级行业",[1]!s_info_industry_sw_2021(W647,公司分析!D$5,1),IF($Y$3="申万二级行业",[1]!s_info_industry_sw_2021(W647,公司分析!D$5,2),IF($Y$3="申万三级行业",[1]!s_info_industry_sw_2021(W647,公司分析!D$5,3),IF($Y$3="wind一级行业",[1]!s_info_industry_gics(W647,1),IF($Y$3="wind二级行业",[1]!s_info_industry_gics(W647,2),IF($Y$3="wind三级行业",[1]!s_info_industry_gics(W647,3),IF($Y$3="wind四级行业",[1]!s_info_industry_gics(W647,4),IF($Y$3="证监会门类行业",[1]!s_info_industry_csrc12_n(W647,公司分析!D$5,1),""))))))))</f>
        <v>汽车零部件</v>
      </c>
      <c r="Z647" s="302" t="str">
        <f ca="1">IF(Y647=行业比较!$E$6,ROW(),"")</f>
        <v/>
      </c>
      <c r="AA647" s="122"/>
      <c r="AB647" s="122"/>
      <c r="AC647" s="122"/>
      <c r="AD647" s="122"/>
      <c r="AE647" s="122"/>
      <c r="AF647" s="122"/>
      <c r="AG647" s="122"/>
      <c r="AH647" s="122"/>
      <c r="AI647" s="122"/>
      <c r="AJ647" s="122"/>
      <c r="AK647" s="122"/>
      <c r="AL647" s="122"/>
      <c r="AM647" s="122"/>
      <c r="AN647" s="122"/>
      <c r="AO647" s="122"/>
      <c r="AP647" s="122"/>
    </row>
    <row r="648" spans="2:42">
      <c r="B648" s="122"/>
      <c r="C648" s="122"/>
      <c r="D648" s="122"/>
      <c r="E648" s="122"/>
      <c r="F648" s="122"/>
      <c r="G648" s="122"/>
      <c r="H648" s="122"/>
      <c r="I648" s="275"/>
      <c r="J648" s="130"/>
      <c r="K648" s="130"/>
      <c r="L648" s="130"/>
      <c r="M648" s="130"/>
      <c r="N648" s="291"/>
      <c r="O648" s="291"/>
      <c r="P648" s="122"/>
      <c r="Q648" s="122"/>
      <c r="R648" s="122"/>
      <c r="S648" s="122"/>
      <c r="T648" s="122"/>
      <c r="U648" s="301"/>
      <c r="V648" s="260">
        <f t="shared" ca="1" si="18"/>
        <v>0</v>
      </c>
      <c r="W648" s="348" t="str">
        <f>IF(板块成分!B650="","",板块成分!B650)</f>
        <v>002127.SZ</v>
      </c>
      <c r="X648" s="276" t="str">
        <f>[1]!S_Info_Name(W648)</f>
        <v>南极电商</v>
      </c>
      <c r="Y648" s="276" t="str">
        <f ca="1">IF($Y$3="申万一级行业",[1]!s_info_industry_sw_2021(W648,公司分析!D$5,1),IF($Y$3="申万二级行业",[1]!s_info_industry_sw_2021(W648,公司分析!D$5,2),IF($Y$3="申万三级行业",[1]!s_info_industry_sw_2021(W648,公司分析!D$5,3),IF($Y$3="wind一级行业",[1]!s_info_industry_gics(W648,1),IF($Y$3="wind二级行业",[1]!s_info_industry_gics(W648,2),IF($Y$3="wind三级行业",[1]!s_info_industry_gics(W648,3),IF($Y$3="wind四级行业",[1]!s_info_industry_gics(W648,4),IF($Y$3="证监会门类行业",[1]!s_info_industry_csrc12_n(W648,公司分析!D$5,1),""))))))))</f>
        <v>互联网电商</v>
      </c>
      <c r="Z648" s="302" t="str">
        <f ca="1">IF(Y648=行业比较!$E$6,ROW(),"")</f>
        <v/>
      </c>
      <c r="AA648" s="122"/>
      <c r="AB648" s="122"/>
      <c r="AC648" s="122"/>
      <c r="AD648" s="122"/>
      <c r="AE648" s="122"/>
      <c r="AF648" s="122"/>
      <c r="AG648" s="122"/>
      <c r="AH648" s="122"/>
      <c r="AI648" s="122"/>
      <c r="AJ648" s="122"/>
      <c r="AK648" s="122"/>
      <c r="AL648" s="122"/>
      <c r="AM648" s="122"/>
      <c r="AN648" s="122"/>
      <c r="AO648" s="122"/>
      <c r="AP648" s="122"/>
    </row>
    <row r="649" spans="2:42">
      <c r="B649" s="122"/>
      <c r="C649" s="122"/>
      <c r="D649" s="122"/>
      <c r="E649" s="122"/>
      <c r="F649" s="122"/>
      <c r="G649" s="122"/>
      <c r="H649" s="122"/>
      <c r="I649" s="275"/>
      <c r="J649" s="130"/>
      <c r="K649" s="130"/>
      <c r="L649" s="130"/>
      <c r="M649" s="130"/>
      <c r="N649" s="291"/>
      <c r="O649" s="291"/>
      <c r="P649" s="122"/>
      <c r="Q649" s="122"/>
      <c r="R649" s="122"/>
      <c r="S649" s="122"/>
      <c r="T649" s="122"/>
      <c r="U649" s="301"/>
      <c r="V649" s="260">
        <f t="shared" ca="1" si="18"/>
        <v>0</v>
      </c>
      <c r="W649" s="348" t="str">
        <f>IF(板块成分!B651="","",板块成分!B651)</f>
        <v>002128.SZ</v>
      </c>
      <c r="X649" s="276" t="str">
        <f>[1]!S_Info_Name(W649)</f>
        <v>电投能源</v>
      </c>
      <c r="Y649" s="276" t="str">
        <f ca="1">IF($Y$3="申万一级行业",[1]!s_info_industry_sw_2021(W649,公司分析!D$5,1),IF($Y$3="申万二级行业",[1]!s_info_industry_sw_2021(W649,公司分析!D$5,2),IF($Y$3="申万三级行业",[1]!s_info_industry_sw_2021(W649,公司分析!D$5,3),IF($Y$3="wind一级行业",[1]!s_info_industry_gics(W649,1),IF($Y$3="wind二级行业",[1]!s_info_industry_gics(W649,2),IF($Y$3="wind三级行业",[1]!s_info_industry_gics(W649,3),IF($Y$3="wind四级行业",[1]!s_info_industry_gics(W649,4),IF($Y$3="证监会门类行业",[1]!s_info_industry_csrc12_n(W649,公司分析!D$5,1),""))))))))</f>
        <v>煤炭开采</v>
      </c>
      <c r="Z649" s="302" t="str">
        <f ca="1">IF(Y649=行业比较!$E$6,ROW(),"")</f>
        <v/>
      </c>
      <c r="AA649" s="122"/>
      <c r="AB649" s="122"/>
      <c r="AC649" s="122"/>
      <c r="AD649" s="122"/>
      <c r="AE649" s="122"/>
      <c r="AF649" s="122"/>
      <c r="AG649" s="122"/>
      <c r="AH649" s="122"/>
      <c r="AI649" s="122"/>
      <c r="AJ649" s="122"/>
      <c r="AK649" s="122"/>
      <c r="AL649" s="122"/>
      <c r="AM649" s="122"/>
      <c r="AN649" s="122"/>
      <c r="AO649" s="122"/>
      <c r="AP649" s="122"/>
    </row>
    <row r="650" spans="2:42">
      <c r="B650" s="122"/>
      <c r="C650" s="122"/>
      <c r="D650" s="122"/>
      <c r="E650" s="122"/>
      <c r="F650" s="122"/>
      <c r="G650" s="122"/>
      <c r="H650" s="122"/>
      <c r="I650" s="275"/>
      <c r="J650" s="130"/>
      <c r="K650" s="130"/>
      <c r="L650" s="130"/>
      <c r="M650" s="130"/>
      <c r="N650" s="291"/>
      <c r="O650" s="291"/>
      <c r="P650" s="122"/>
      <c r="Q650" s="122"/>
      <c r="R650" s="122"/>
      <c r="S650" s="122"/>
      <c r="T650" s="122"/>
      <c r="U650" s="301"/>
      <c r="V650" s="260">
        <f t="shared" ca="1" si="18"/>
        <v>0</v>
      </c>
      <c r="W650" s="348" t="str">
        <f>IF(板块成分!B652="","",板块成分!B652)</f>
        <v>002129.SZ</v>
      </c>
      <c r="X650" s="276" t="str">
        <f>[1]!S_Info_Name(W650)</f>
        <v>TCL中环</v>
      </c>
      <c r="Y650" s="276" t="str">
        <f ca="1">IF($Y$3="申万一级行业",[1]!s_info_industry_sw_2021(W650,公司分析!D$5,1),IF($Y$3="申万二级行业",[1]!s_info_industry_sw_2021(W650,公司分析!D$5,2),IF($Y$3="申万三级行业",[1]!s_info_industry_sw_2021(W650,公司分析!D$5,3),IF($Y$3="wind一级行业",[1]!s_info_industry_gics(W650,1),IF($Y$3="wind二级行业",[1]!s_info_industry_gics(W650,2),IF($Y$3="wind三级行业",[1]!s_info_industry_gics(W650,3),IF($Y$3="wind四级行业",[1]!s_info_industry_gics(W650,4),IF($Y$3="证监会门类行业",[1]!s_info_industry_csrc12_n(W650,公司分析!D$5,1),""))))))))</f>
        <v>光伏设备</v>
      </c>
      <c r="Z650" s="302" t="str">
        <f ca="1">IF(Y650=行业比较!$E$6,ROW(),"")</f>
        <v/>
      </c>
      <c r="AA650" s="122"/>
      <c r="AB650" s="122"/>
      <c r="AC650" s="122"/>
      <c r="AD650" s="122"/>
      <c r="AE650" s="122"/>
      <c r="AF650" s="122"/>
      <c r="AG650" s="122"/>
      <c r="AH650" s="122"/>
      <c r="AI650" s="122"/>
      <c r="AJ650" s="122"/>
      <c r="AK650" s="122"/>
      <c r="AL650" s="122"/>
      <c r="AM650" s="122"/>
      <c r="AN650" s="122"/>
      <c r="AO650" s="122"/>
      <c r="AP650" s="122"/>
    </row>
    <row r="651" spans="2:42">
      <c r="B651" s="122"/>
      <c r="C651" s="122"/>
      <c r="D651" s="122"/>
      <c r="E651" s="122"/>
      <c r="F651" s="122"/>
      <c r="G651" s="122"/>
      <c r="H651" s="122"/>
      <c r="I651" s="275"/>
      <c r="J651" s="130"/>
      <c r="K651" s="130"/>
      <c r="L651" s="130"/>
      <c r="M651" s="130"/>
      <c r="N651" s="291"/>
      <c r="O651" s="291"/>
      <c r="P651" s="122"/>
      <c r="Q651" s="122"/>
      <c r="R651" s="122"/>
      <c r="S651" s="122"/>
      <c r="T651" s="122"/>
      <c r="U651" s="301"/>
      <c r="V651" s="260">
        <f t="shared" ca="1" si="18"/>
        <v>0</v>
      </c>
      <c r="W651" s="348" t="str">
        <f>IF(板块成分!B653="","",板块成分!B653)</f>
        <v>002130.SZ</v>
      </c>
      <c r="X651" s="276" t="str">
        <f>[1]!S_Info_Name(W651)</f>
        <v>沃尔核材</v>
      </c>
      <c r="Y651" s="276" t="str">
        <f ca="1">IF($Y$3="申万一级行业",[1]!s_info_industry_sw_2021(W651,公司分析!D$5,1),IF($Y$3="申万二级行业",[1]!s_info_industry_sw_2021(W651,公司分析!D$5,2),IF($Y$3="申万三级行业",[1]!s_info_industry_sw_2021(W651,公司分析!D$5,3),IF($Y$3="wind一级行业",[1]!s_info_industry_gics(W651,1),IF($Y$3="wind二级行业",[1]!s_info_industry_gics(W651,2),IF($Y$3="wind三级行业",[1]!s_info_industry_gics(W651,3),IF($Y$3="wind四级行业",[1]!s_info_industry_gics(W651,4),IF($Y$3="证监会门类行业",[1]!s_info_industry_csrc12_n(W651,公司分析!D$5,1),""))))))))</f>
        <v>其他电子Ⅱ</v>
      </c>
      <c r="Z651" s="302" t="str">
        <f ca="1">IF(Y651=行业比较!$E$6,ROW(),"")</f>
        <v/>
      </c>
      <c r="AA651" s="122"/>
      <c r="AB651" s="122"/>
      <c r="AC651" s="122"/>
      <c r="AD651" s="122"/>
      <c r="AE651" s="122"/>
      <c r="AF651" s="122"/>
      <c r="AG651" s="122"/>
      <c r="AH651" s="122"/>
      <c r="AI651" s="122"/>
      <c r="AJ651" s="122"/>
      <c r="AK651" s="122"/>
      <c r="AL651" s="122"/>
      <c r="AM651" s="122"/>
      <c r="AN651" s="122"/>
      <c r="AO651" s="122"/>
      <c r="AP651" s="122"/>
    </row>
    <row r="652" spans="2:42">
      <c r="B652" s="122"/>
      <c r="C652" s="122"/>
      <c r="D652" s="122"/>
      <c r="E652" s="122"/>
      <c r="F652" s="122"/>
      <c r="G652" s="122"/>
      <c r="H652" s="122"/>
      <c r="I652" s="275"/>
      <c r="J652" s="130"/>
      <c r="K652" s="130"/>
      <c r="L652" s="130"/>
      <c r="M652" s="130"/>
      <c r="N652" s="291"/>
      <c r="O652" s="291"/>
      <c r="P652" s="122"/>
      <c r="Q652" s="122"/>
      <c r="R652" s="122"/>
      <c r="S652" s="122"/>
      <c r="T652" s="122"/>
      <c r="U652" s="301"/>
      <c r="V652" s="260">
        <f t="shared" ca="1" si="18"/>
        <v>0</v>
      </c>
      <c r="W652" s="348" t="str">
        <f>IF(板块成分!B654="","",板块成分!B654)</f>
        <v>002131.SZ</v>
      </c>
      <c r="X652" s="276" t="str">
        <f>[1]!S_Info_Name(W652)</f>
        <v>利欧股份</v>
      </c>
      <c r="Y652" s="276" t="str">
        <f ca="1">IF($Y$3="申万一级行业",[1]!s_info_industry_sw_2021(W652,公司分析!D$5,1),IF($Y$3="申万二级行业",[1]!s_info_industry_sw_2021(W652,公司分析!D$5,2),IF($Y$3="申万三级行业",[1]!s_info_industry_sw_2021(W652,公司分析!D$5,3),IF($Y$3="wind一级行业",[1]!s_info_industry_gics(W652,1),IF($Y$3="wind二级行业",[1]!s_info_industry_gics(W652,2),IF($Y$3="wind三级行业",[1]!s_info_industry_gics(W652,3),IF($Y$3="wind四级行业",[1]!s_info_industry_gics(W652,4),IF($Y$3="证监会门类行业",[1]!s_info_industry_csrc12_n(W652,公司分析!D$5,1),""))))))))</f>
        <v>通用设备</v>
      </c>
      <c r="Z652" s="302" t="str">
        <f ca="1">IF(Y652=行业比较!$E$6,ROW(),"")</f>
        <v/>
      </c>
      <c r="AA652" s="122"/>
      <c r="AB652" s="122"/>
      <c r="AC652" s="122"/>
      <c r="AD652" s="122"/>
      <c r="AE652" s="122"/>
      <c r="AF652" s="122"/>
      <c r="AG652" s="122"/>
      <c r="AH652" s="122"/>
      <c r="AI652" s="122"/>
      <c r="AJ652" s="122"/>
      <c r="AK652" s="122"/>
      <c r="AL652" s="122"/>
      <c r="AM652" s="122"/>
      <c r="AN652" s="122"/>
      <c r="AO652" s="122"/>
      <c r="AP652" s="122"/>
    </row>
    <row r="653" spans="2:42">
      <c r="B653" s="122"/>
      <c r="C653" s="122"/>
      <c r="D653" s="122"/>
      <c r="E653" s="122"/>
      <c r="F653" s="122"/>
      <c r="G653" s="122"/>
      <c r="H653" s="122"/>
      <c r="I653" s="275"/>
      <c r="J653" s="130"/>
      <c r="K653" s="130"/>
      <c r="L653" s="130"/>
      <c r="M653" s="130"/>
      <c r="N653" s="291"/>
      <c r="O653" s="291"/>
      <c r="P653" s="122"/>
      <c r="Q653" s="122"/>
      <c r="R653" s="122"/>
      <c r="S653" s="122"/>
      <c r="T653" s="122"/>
      <c r="U653" s="301"/>
      <c r="V653" s="260">
        <f t="shared" ca="1" si="18"/>
        <v>0</v>
      </c>
      <c r="W653" s="348" t="str">
        <f>IF(板块成分!B655="","",板块成分!B655)</f>
        <v>002132.SZ</v>
      </c>
      <c r="X653" s="276" t="str">
        <f>[1]!S_Info_Name(W653)</f>
        <v>恒星科技</v>
      </c>
      <c r="Y653" s="276" t="str">
        <f ca="1">IF($Y$3="申万一级行业",[1]!s_info_industry_sw_2021(W653,公司分析!D$5,1),IF($Y$3="申万二级行业",[1]!s_info_industry_sw_2021(W653,公司分析!D$5,2),IF($Y$3="申万三级行业",[1]!s_info_industry_sw_2021(W653,公司分析!D$5,3),IF($Y$3="wind一级行业",[1]!s_info_industry_gics(W653,1),IF($Y$3="wind二级行业",[1]!s_info_industry_gics(W653,2),IF($Y$3="wind三级行业",[1]!s_info_industry_gics(W653,3),IF($Y$3="wind四级行业",[1]!s_info_industry_gics(W653,4),IF($Y$3="证监会门类行业",[1]!s_info_industry_csrc12_n(W653,公司分析!D$5,1),""))))))))</f>
        <v>通用设备</v>
      </c>
      <c r="Z653" s="302" t="str">
        <f ca="1">IF(Y653=行业比较!$E$6,ROW(),"")</f>
        <v/>
      </c>
      <c r="AA653" s="122"/>
      <c r="AB653" s="122"/>
      <c r="AC653" s="122"/>
      <c r="AD653" s="122"/>
      <c r="AE653" s="122"/>
      <c r="AF653" s="122"/>
      <c r="AG653" s="122"/>
      <c r="AH653" s="122"/>
      <c r="AI653" s="122"/>
      <c r="AJ653" s="122"/>
      <c r="AK653" s="122"/>
      <c r="AL653" s="122"/>
      <c r="AM653" s="122"/>
      <c r="AN653" s="122"/>
      <c r="AO653" s="122"/>
      <c r="AP653" s="122"/>
    </row>
    <row r="654" spans="2:42">
      <c r="B654" s="122"/>
      <c r="C654" s="122"/>
      <c r="D654" s="122"/>
      <c r="E654" s="122"/>
      <c r="F654" s="122"/>
      <c r="G654" s="122"/>
      <c r="H654" s="122"/>
      <c r="I654" s="275"/>
      <c r="J654" s="130"/>
      <c r="K654" s="130"/>
      <c r="L654" s="130"/>
      <c r="M654" s="130"/>
      <c r="N654" s="291"/>
      <c r="O654" s="291"/>
      <c r="P654" s="122"/>
      <c r="Q654" s="122"/>
      <c r="R654" s="122"/>
      <c r="S654" s="122"/>
      <c r="T654" s="122"/>
      <c r="U654" s="301"/>
      <c r="V654" s="260">
        <f t="shared" ca="1" si="18"/>
        <v>0</v>
      </c>
      <c r="W654" s="348" t="str">
        <f>IF(板块成分!B656="","",板块成分!B656)</f>
        <v>002133.SZ</v>
      </c>
      <c r="X654" s="276" t="str">
        <f>[1]!S_Info_Name(W654)</f>
        <v>广宇集团</v>
      </c>
      <c r="Y654" s="276" t="str">
        <f ca="1">IF($Y$3="申万一级行业",[1]!s_info_industry_sw_2021(W654,公司分析!D$5,1),IF($Y$3="申万二级行业",[1]!s_info_industry_sw_2021(W654,公司分析!D$5,2),IF($Y$3="申万三级行业",[1]!s_info_industry_sw_2021(W654,公司分析!D$5,3),IF($Y$3="wind一级行业",[1]!s_info_industry_gics(W654,1),IF($Y$3="wind二级行业",[1]!s_info_industry_gics(W654,2),IF($Y$3="wind三级行业",[1]!s_info_industry_gics(W654,3),IF($Y$3="wind四级行业",[1]!s_info_industry_gics(W654,4),IF($Y$3="证监会门类行业",[1]!s_info_industry_csrc12_n(W654,公司分析!D$5,1),""))))))))</f>
        <v>房地产开发</v>
      </c>
      <c r="Z654" s="302" t="str">
        <f ca="1">IF(Y654=行业比较!$E$6,ROW(),"")</f>
        <v/>
      </c>
      <c r="AA654" s="122"/>
      <c r="AB654" s="122"/>
      <c r="AC654" s="122"/>
      <c r="AD654" s="122"/>
      <c r="AE654" s="122"/>
      <c r="AF654" s="122"/>
      <c r="AG654" s="122"/>
      <c r="AH654" s="122"/>
      <c r="AI654" s="122"/>
      <c r="AJ654" s="122"/>
      <c r="AK654" s="122"/>
      <c r="AL654" s="122"/>
      <c r="AM654" s="122"/>
      <c r="AN654" s="122"/>
      <c r="AO654" s="122"/>
      <c r="AP654" s="122"/>
    </row>
    <row r="655" spans="2:42">
      <c r="B655" s="122"/>
      <c r="C655" s="122"/>
      <c r="D655" s="122"/>
      <c r="E655" s="122"/>
      <c r="F655" s="122"/>
      <c r="G655" s="122"/>
      <c r="H655" s="122"/>
      <c r="I655" s="275"/>
      <c r="J655" s="130"/>
      <c r="K655" s="130"/>
      <c r="L655" s="130"/>
      <c r="M655" s="130"/>
      <c r="N655" s="291"/>
      <c r="O655" s="291"/>
      <c r="P655" s="122"/>
      <c r="Q655" s="122"/>
      <c r="R655" s="122"/>
      <c r="S655" s="122"/>
      <c r="T655" s="122"/>
      <c r="U655" s="301"/>
      <c r="V655" s="260">
        <f t="shared" ca="1" si="18"/>
        <v>0</v>
      </c>
      <c r="W655" s="348" t="str">
        <f>IF(板块成分!B657="","",板块成分!B657)</f>
        <v>002134.SZ</v>
      </c>
      <c r="X655" s="276" t="str">
        <f>[1]!S_Info_Name(W655)</f>
        <v>天津普林</v>
      </c>
      <c r="Y655" s="276" t="str">
        <f ca="1">IF($Y$3="申万一级行业",[1]!s_info_industry_sw_2021(W655,公司分析!D$5,1),IF($Y$3="申万二级行业",[1]!s_info_industry_sw_2021(W655,公司分析!D$5,2),IF($Y$3="申万三级行业",[1]!s_info_industry_sw_2021(W655,公司分析!D$5,3),IF($Y$3="wind一级行业",[1]!s_info_industry_gics(W655,1),IF($Y$3="wind二级行业",[1]!s_info_industry_gics(W655,2),IF($Y$3="wind三级行业",[1]!s_info_industry_gics(W655,3),IF($Y$3="wind四级行业",[1]!s_info_industry_gics(W655,4),IF($Y$3="证监会门类行业",[1]!s_info_industry_csrc12_n(W655,公司分析!D$5,1),""))))))))</f>
        <v>元件</v>
      </c>
      <c r="Z655" s="302" t="str">
        <f ca="1">IF(Y655=行业比较!$E$6,ROW(),"")</f>
        <v/>
      </c>
      <c r="AA655" s="122"/>
      <c r="AB655" s="122"/>
      <c r="AC655" s="122"/>
      <c r="AD655" s="122"/>
      <c r="AE655" s="122"/>
      <c r="AF655" s="122"/>
      <c r="AG655" s="122"/>
      <c r="AH655" s="122"/>
      <c r="AI655" s="122"/>
      <c r="AJ655" s="122"/>
      <c r="AK655" s="122"/>
      <c r="AL655" s="122"/>
      <c r="AM655" s="122"/>
      <c r="AN655" s="122"/>
      <c r="AO655" s="122"/>
      <c r="AP655" s="122"/>
    </row>
    <row r="656" spans="2:42">
      <c r="B656" s="122"/>
      <c r="C656" s="122"/>
      <c r="D656" s="122"/>
      <c r="E656" s="122"/>
      <c r="F656" s="122"/>
      <c r="G656" s="122"/>
      <c r="H656" s="122"/>
      <c r="I656" s="275"/>
      <c r="J656" s="130"/>
      <c r="K656" s="130"/>
      <c r="L656" s="130"/>
      <c r="M656" s="130"/>
      <c r="N656" s="291"/>
      <c r="O656" s="291"/>
      <c r="P656" s="122"/>
      <c r="Q656" s="122"/>
      <c r="R656" s="122"/>
      <c r="S656" s="122"/>
      <c r="T656" s="122"/>
      <c r="U656" s="301"/>
      <c r="V656" s="260">
        <f t="shared" ca="1" si="18"/>
        <v>0</v>
      </c>
      <c r="W656" s="348" t="str">
        <f>IF(板块成分!B658="","",板块成分!B658)</f>
        <v>002135.SZ</v>
      </c>
      <c r="X656" s="276" t="str">
        <f>[1]!S_Info_Name(W656)</f>
        <v>东南网架</v>
      </c>
      <c r="Y656" s="276" t="str">
        <f ca="1">IF($Y$3="申万一级行业",[1]!s_info_industry_sw_2021(W656,公司分析!D$5,1),IF($Y$3="申万二级行业",[1]!s_info_industry_sw_2021(W656,公司分析!D$5,2),IF($Y$3="申万三级行业",[1]!s_info_industry_sw_2021(W656,公司分析!D$5,3),IF($Y$3="wind一级行业",[1]!s_info_industry_gics(W656,1),IF($Y$3="wind二级行业",[1]!s_info_industry_gics(W656,2),IF($Y$3="wind三级行业",[1]!s_info_industry_gics(W656,3),IF($Y$3="wind四级行业",[1]!s_info_industry_gics(W656,4),IF($Y$3="证监会门类行业",[1]!s_info_industry_csrc12_n(W656,公司分析!D$5,1),""))))))))</f>
        <v>专业工程</v>
      </c>
      <c r="Z656" s="302" t="str">
        <f ca="1">IF(Y656=行业比较!$E$6,ROW(),"")</f>
        <v/>
      </c>
      <c r="AA656" s="122"/>
      <c r="AB656" s="122"/>
      <c r="AC656" s="122"/>
      <c r="AD656" s="122"/>
      <c r="AE656" s="122"/>
      <c r="AF656" s="122"/>
      <c r="AG656" s="122"/>
      <c r="AH656" s="122"/>
      <c r="AI656" s="122"/>
      <c r="AJ656" s="122"/>
      <c r="AK656" s="122"/>
      <c r="AL656" s="122"/>
      <c r="AM656" s="122"/>
      <c r="AN656" s="122"/>
      <c r="AO656" s="122"/>
      <c r="AP656" s="122"/>
    </row>
    <row r="657" spans="2:42">
      <c r="B657" s="122"/>
      <c r="C657" s="122"/>
      <c r="D657" s="122"/>
      <c r="E657" s="122"/>
      <c r="F657" s="122"/>
      <c r="G657" s="122"/>
      <c r="H657" s="122"/>
      <c r="I657" s="275"/>
      <c r="J657" s="130"/>
      <c r="K657" s="130"/>
      <c r="L657" s="130"/>
      <c r="M657" s="130"/>
      <c r="N657" s="291"/>
      <c r="O657" s="291"/>
      <c r="P657" s="122"/>
      <c r="Q657" s="122"/>
      <c r="R657" s="122"/>
      <c r="S657" s="122"/>
      <c r="T657" s="122"/>
      <c r="U657" s="301"/>
      <c r="V657" s="260">
        <f t="shared" ca="1" si="18"/>
        <v>0</v>
      </c>
      <c r="W657" s="348" t="str">
        <f>IF(板块成分!B659="","",板块成分!B659)</f>
        <v>002136.SZ</v>
      </c>
      <c r="X657" s="276" t="str">
        <f>[1]!S_Info_Name(W657)</f>
        <v>安纳达</v>
      </c>
      <c r="Y657" s="276" t="str">
        <f ca="1">IF($Y$3="申万一级行业",[1]!s_info_industry_sw_2021(W657,公司分析!D$5,1),IF($Y$3="申万二级行业",[1]!s_info_industry_sw_2021(W657,公司分析!D$5,2),IF($Y$3="申万三级行业",[1]!s_info_industry_sw_2021(W657,公司分析!D$5,3),IF($Y$3="wind一级行业",[1]!s_info_industry_gics(W657,1),IF($Y$3="wind二级行业",[1]!s_info_industry_gics(W657,2),IF($Y$3="wind三级行业",[1]!s_info_industry_gics(W657,3),IF($Y$3="wind四级行业",[1]!s_info_industry_gics(W657,4),IF($Y$3="证监会门类行业",[1]!s_info_industry_csrc12_n(W657,公司分析!D$5,1),""))))))))</f>
        <v>化学原料</v>
      </c>
      <c r="Z657" s="302" t="str">
        <f ca="1">IF(Y657=行业比较!$E$6,ROW(),"")</f>
        <v/>
      </c>
      <c r="AA657" s="122"/>
      <c r="AB657" s="122"/>
      <c r="AC657" s="122"/>
      <c r="AD657" s="122"/>
      <c r="AE657" s="122"/>
      <c r="AF657" s="122"/>
      <c r="AG657" s="122"/>
      <c r="AH657" s="122"/>
      <c r="AI657" s="122"/>
      <c r="AJ657" s="122"/>
      <c r="AK657" s="122"/>
      <c r="AL657" s="122"/>
      <c r="AM657" s="122"/>
      <c r="AN657" s="122"/>
      <c r="AO657" s="122"/>
      <c r="AP657" s="122"/>
    </row>
    <row r="658" spans="2:42">
      <c r="B658" s="122"/>
      <c r="C658" s="122"/>
      <c r="D658" s="122"/>
      <c r="E658" s="122"/>
      <c r="F658" s="122"/>
      <c r="G658" s="122"/>
      <c r="H658" s="122"/>
      <c r="I658" s="275"/>
      <c r="J658" s="130"/>
      <c r="K658" s="130"/>
      <c r="L658" s="130"/>
      <c r="M658" s="130"/>
      <c r="N658" s="291"/>
      <c r="O658" s="291"/>
      <c r="P658" s="122"/>
      <c r="Q658" s="122"/>
      <c r="R658" s="122"/>
      <c r="S658" s="122"/>
      <c r="T658" s="122"/>
      <c r="U658" s="301"/>
      <c r="V658" s="260">
        <f t="shared" ca="1" si="18"/>
        <v>0</v>
      </c>
      <c r="W658" s="348" t="str">
        <f>IF(板块成分!B660="","",板块成分!B660)</f>
        <v>002137.SZ</v>
      </c>
      <c r="X658" s="276" t="str">
        <f>[1]!S_Info_Name(W658)</f>
        <v>实益达</v>
      </c>
      <c r="Y658" s="276" t="str">
        <f ca="1">IF($Y$3="申万一级行业",[1]!s_info_industry_sw_2021(W658,公司分析!D$5,1),IF($Y$3="申万二级行业",[1]!s_info_industry_sw_2021(W658,公司分析!D$5,2),IF($Y$3="申万三级行业",[1]!s_info_industry_sw_2021(W658,公司分析!D$5,3),IF($Y$3="wind一级行业",[1]!s_info_industry_gics(W658,1),IF($Y$3="wind二级行业",[1]!s_info_industry_gics(W658,2),IF($Y$3="wind三级行业",[1]!s_info_industry_gics(W658,3),IF($Y$3="wind四级行业",[1]!s_info_industry_gics(W658,4),IF($Y$3="证监会门类行业",[1]!s_info_industry_csrc12_n(W658,公司分析!D$5,1),""))))))))</f>
        <v>光学光电子</v>
      </c>
      <c r="Z658" s="302" t="str">
        <f ca="1">IF(Y658=行业比较!$E$6,ROW(),"")</f>
        <v/>
      </c>
      <c r="AA658" s="122"/>
      <c r="AB658" s="122"/>
      <c r="AC658" s="122"/>
      <c r="AD658" s="122"/>
      <c r="AE658" s="122"/>
      <c r="AF658" s="122"/>
      <c r="AG658" s="122"/>
      <c r="AH658" s="122"/>
      <c r="AI658" s="122"/>
      <c r="AJ658" s="122"/>
      <c r="AK658" s="122"/>
      <c r="AL658" s="122"/>
      <c r="AM658" s="122"/>
      <c r="AN658" s="122"/>
      <c r="AO658" s="122"/>
      <c r="AP658" s="122"/>
    </row>
    <row r="659" spans="2:42">
      <c r="B659" s="122"/>
      <c r="C659" s="122"/>
      <c r="D659" s="122"/>
      <c r="E659" s="122"/>
      <c r="F659" s="122"/>
      <c r="G659" s="122"/>
      <c r="H659" s="122"/>
      <c r="I659" s="275"/>
      <c r="J659" s="130"/>
      <c r="K659" s="130"/>
      <c r="L659" s="130"/>
      <c r="M659" s="130"/>
      <c r="N659" s="291"/>
      <c r="O659" s="291"/>
      <c r="P659" s="122"/>
      <c r="Q659" s="122"/>
      <c r="R659" s="122"/>
      <c r="S659" s="122"/>
      <c r="T659" s="122"/>
      <c r="U659" s="301"/>
      <c r="V659" s="260">
        <f t="shared" ca="1" si="18"/>
        <v>0</v>
      </c>
      <c r="W659" s="348" t="str">
        <f>IF(板块成分!B661="","",板块成分!B661)</f>
        <v>002138.SZ</v>
      </c>
      <c r="X659" s="276" t="str">
        <f>[1]!S_Info_Name(W659)</f>
        <v>顺络电子</v>
      </c>
      <c r="Y659" s="276" t="str">
        <f ca="1">IF($Y$3="申万一级行业",[1]!s_info_industry_sw_2021(W659,公司分析!D$5,1),IF($Y$3="申万二级行业",[1]!s_info_industry_sw_2021(W659,公司分析!D$5,2),IF($Y$3="申万三级行业",[1]!s_info_industry_sw_2021(W659,公司分析!D$5,3),IF($Y$3="wind一级行业",[1]!s_info_industry_gics(W659,1),IF($Y$3="wind二级行业",[1]!s_info_industry_gics(W659,2),IF($Y$3="wind三级行业",[1]!s_info_industry_gics(W659,3),IF($Y$3="wind四级行业",[1]!s_info_industry_gics(W659,4),IF($Y$3="证监会门类行业",[1]!s_info_industry_csrc12_n(W659,公司分析!D$5,1),""))))))))</f>
        <v>元件</v>
      </c>
      <c r="Z659" s="302" t="str">
        <f ca="1">IF(Y659=行业比较!$E$6,ROW(),"")</f>
        <v/>
      </c>
      <c r="AA659" s="122"/>
      <c r="AB659" s="122"/>
      <c r="AC659" s="122"/>
      <c r="AD659" s="122"/>
      <c r="AE659" s="122"/>
      <c r="AF659" s="122"/>
      <c r="AG659" s="122"/>
      <c r="AH659" s="122"/>
      <c r="AI659" s="122"/>
      <c r="AJ659" s="122"/>
      <c r="AK659" s="122"/>
      <c r="AL659" s="122"/>
      <c r="AM659" s="122"/>
      <c r="AN659" s="122"/>
      <c r="AO659" s="122"/>
      <c r="AP659" s="122"/>
    </row>
    <row r="660" spans="2:42">
      <c r="B660" s="122"/>
      <c r="C660" s="122"/>
      <c r="D660" s="122"/>
      <c r="E660" s="122"/>
      <c r="F660" s="122"/>
      <c r="G660" s="122"/>
      <c r="H660" s="122"/>
      <c r="I660" s="275"/>
      <c r="J660" s="130"/>
      <c r="K660" s="130"/>
      <c r="L660" s="130"/>
      <c r="M660" s="130"/>
      <c r="N660" s="291"/>
      <c r="O660" s="291"/>
      <c r="P660" s="122"/>
      <c r="Q660" s="122"/>
      <c r="R660" s="122"/>
      <c r="S660" s="122"/>
      <c r="T660" s="122"/>
      <c r="U660" s="301"/>
      <c r="V660" s="260">
        <f t="shared" ca="1" si="18"/>
        <v>0</v>
      </c>
      <c r="W660" s="348" t="str">
        <f>IF(板块成分!B662="","",板块成分!B662)</f>
        <v>002139.SZ</v>
      </c>
      <c r="X660" s="276" t="str">
        <f>[1]!S_Info_Name(W660)</f>
        <v>拓邦股份</v>
      </c>
      <c r="Y660" s="276" t="str">
        <f ca="1">IF($Y$3="申万一级行业",[1]!s_info_industry_sw_2021(W660,公司分析!D$5,1),IF($Y$3="申万二级行业",[1]!s_info_industry_sw_2021(W660,公司分析!D$5,2),IF($Y$3="申万三级行业",[1]!s_info_industry_sw_2021(W660,公司分析!D$5,3),IF($Y$3="wind一级行业",[1]!s_info_industry_gics(W660,1),IF($Y$3="wind二级行业",[1]!s_info_industry_gics(W660,2),IF($Y$3="wind三级行业",[1]!s_info_industry_gics(W660,3),IF($Y$3="wind四级行业",[1]!s_info_industry_gics(W660,4),IF($Y$3="证监会门类行业",[1]!s_info_industry_csrc12_n(W660,公司分析!D$5,1),""))))))))</f>
        <v>消费电子</v>
      </c>
      <c r="Z660" s="302" t="str">
        <f ca="1">IF(Y660=行业比较!$E$6,ROW(),"")</f>
        <v/>
      </c>
      <c r="AA660" s="122"/>
      <c r="AB660" s="122"/>
      <c r="AC660" s="122"/>
      <c r="AD660" s="122"/>
      <c r="AE660" s="122"/>
      <c r="AF660" s="122"/>
      <c r="AG660" s="122"/>
      <c r="AH660" s="122"/>
      <c r="AI660" s="122"/>
      <c r="AJ660" s="122"/>
      <c r="AK660" s="122"/>
      <c r="AL660" s="122"/>
      <c r="AM660" s="122"/>
      <c r="AN660" s="122"/>
      <c r="AO660" s="122"/>
      <c r="AP660" s="122"/>
    </row>
    <row r="661" spans="2:42">
      <c r="B661" s="122"/>
      <c r="C661" s="122"/>
      <c r="D661" s="122"/>
      <c r="E661" s="122"/>
      <c r="F661" s="122"/>
      <c r="G661" s="122"/>
      <c r="H661" s="122"/>
      <c r="I661" s="275"/>
      <c r="J661" s="130"/>
      <c r="K661" s="130"/>
      <c r="L661" s="130"/>
      <c r="M661" s="130"/>
      <c r="N661" s="291"/>
      <c r="O661" s="291"/>
      <c r="P661" s="122"/>
      <c r="Q661" s="122"/>
      <c r="R661" s="122"/>
      <c r="S661" s="122"/>
      <c r="T661" s="122"/>
      <c r="U661" s="301"/>
      <c r="V661" s="260">
        <f t="shared" ca="1" si="18"/>
        <v>0</v>
      </c>
      <c r="W661" s="348" t="str">
        <f>IF(板块成分!B663="","",板块成分!B663)</f>
        <v>002140.SZ</v>
      </c>
      <c r="X661" s="276" t="str">
        <f>[1]!S_Info_Name(W661)</f>
        <v>东华科技</v>
      </c>
      <c r="Y661" s="276" t="str">
        <f ca="1">IF($Y$3="申万一级行业",[1]!s_info_industry_sw_2021(W661,公司分析!D$5,1),IF($Y$3="申万二级行业",[1]!s_info_industry_sw_2021(W661,公司分析!D$5,2),IF($Y$3="申万三级行业",[1]!s_info_industry_sw_2021(W661,公司分析!D$5,3),IF($Y$3="wind一级行业",[1]!s_info_industry_gics(W661,1),IF($Y$3="wind二级行业",[1]!s_info_industry_gics(W661,2),IF($Y$3="wind三级行业",[1]!s_info_industry_gics(W661,3),IF($Y$3="wind四级行业",[1]!s_info_industry_gics(W661,4),IF($Y$3="证监会门类行业",[1]!s_info_industry_csrc12_n(W661,公司分析!D$5,1),""))))))))</f>
        <v>专业工程</v>
      </c>
      <c r="Z661" s="302" t="str">
        <f ca="1">IF(Y661=行业比较!$E$6,ROW(),"")</f>
        <v/>
      </c>
      <c r="AA661" s="122"/>
      <c r="AB661" s="122"/>
      <c r="AC661" s="122"/>
      <c r="AD661" s="122"/>
      <c r="AE661" s="122"/>
      <c r="AF661" s="122"/>
      <c r="AG661" s="122"/>
      <c r="AH661" s="122"/>
      <c r="AI661" s="122"/>
      <c r="AJ661" s="122"/>
      <c r="AK661" s="122"/>
      <c r="AL661" s="122"/>
      <c r="AM661" s="122"/>
      <c r="AN661" s="122"/>
      <c r="AO661" s="122"/>
      <c r="AP661" s="122"/>
    </row>
    <row r="662" spans="2:42">
      <c r="B662" s="122"/>
      <c r="C662" s="122"/>
      <c r="D662" s="122"/>
      <c r="E662" s="122"/>
      <c r="F662" s="122"/>
      <c r="G662" s="122"/>
      <c r="H662" s="122"/>
      <c r="I662" s="275"/>
      <c r="J662" s="130"/>
      <c r="K662" s="130"/>
      <c r="L662" s="130"/>
      <c r="M662" s="130"/>
      <c r="N662" s="291"/>
      <c r="O662" s="291"/>
      <c r="P662" s="122"/>
      <c r="Q662" s="122"/>
      <c r="R662" s="122"/>
      <c r="S662" s="122"/>
      <c r="T662" s="122"/>
      <c r="U662" s="301"/>
      <c r="V662" s="260">
        <f t="shared" ca="1" si="18"/>
        <v>0</v>
      </c>
      <c r="W662" s="348" t="str">
        <f>IF(板块成分!B664="","",板块成分!B664)</f>
        <v>002141.SZ</v>
      </c>
      <c r="X662" s="276" t="str">
        <f>[1]!S_Info_Name(W662)</f>
        <v>贤丰控股</v>
      </c>
      <c r="Y662" s="276" t="str">
        <f ca="1">IF($Y$3="申万一级行业",[1]!s_info_industry_sw_2021(W662,公司分析!D$5,1),IF($Y$3="申万二级行业",[1]!s_info_industry_sw_2021(W662,公司分析!D$5,2),IF($Y$3="申万三级行业",[1]!s_info_industry_sw_2021(W662,公司分析!D$5,3),IF($Y$3="wind一级行业",[1]!s_info_industry_gics(W662,1),IF($Y$3="wind二级行业",[1]!s_info_industry_gics(W662,2),IF($Y$3="wind三级行业",[1]!s_info_industry_gics(W662,3),IF($Y$3="wind四级行业",[1]!s_info_industry_gics(W662,4),IF($Y$3="证监会门类行业",[1]!s_info_industry_csrc12_n(W662,公司分析!D$5,1),""))))))))</f>
        <v>动物保健Ⅱ</v>
      </c>
      <c r="Z662" s="302" t="str">
        <f ca="1">IF(Y662=行业比较!$E$6,ROW(),"")</f>
        <v/>
      </c>
      <c r="AA662" s="122"/>
      <c r="AB662" s="122"/>
      <c r="AC662" s="122"/>
      <c r="AD662" s="122"/>
      <c r="AE662" s="122"/>
      <c r="AF662" s="122"/>
      <c r="AG662" s="122"/>
      <c r="AH662" s="122"/>
      <c r="AI662" s="122"/>
      <c r="AJ662" s="122"/>
      <c r="AK662" s="122"/>
      <c r="AL662" s="122"/>
      <c r="AM662" s="122"/>
      <c r="AN662" s="122"/>
      <c r="AO662" s="122"/>
      <c r="AP662" s="122"/>
    </row>
    <row r="663" spans="2:42">
      <c r="B663" s="122"/>
      <c r="C663" s="122"/>
      <c r="D663" s="122"/>
      <c r="E663" s="122"/>
      <c r="F663" s="122"/>
      <c r="G663" s="122"/>
      <c r="H663" s="122"/>
      <c r="I663" s="275"/>
      <c r="J663" s="130"/>
      <c r="K663" s="130"/>
      <c r="L663" s="130"/>
      <c r="M663" s="130"/>
      <c r="N663" s="291"/>
      <c r="O663" s="291"/>
      <c r="P663" s="122"/>
      <c r="Q663" s="122"/>
      <c r="R663" s="122"/>
      <c r="S663" s="122"/>
      <c r="T663" s="122"/>
      <c r="U663" s="301"/>
      <c r="V663" s="260">
        <f t="shared" ca="1" si="18"/>
        <v>0</v>
      </c>
      <c r="W663" s="348" t="str">
        <f>IF(板块成分!B665="","",板块成分!B665)</f>
        <v>002142.SZ</v>
      </c>
      <c r="X663" s="276" t="str">
        <f>[1]!S_Info_Name(W663)</f>
        <v>宁波银行</v>
      </c>
      <c r="Y663" s="276" t="str">
        <f ca="1">IF($Y$3="申万一级行业",[1]!s_info_industry_sw_2021(W663,公司分析!D$5,1),IF($Y$3="申万二级行业",[1]!s_info_industry_sw_2021(W663,公司分析!D$5,2),IF($Y$3="申万三级行业",[1]!s_info_industry_sw_2021(W663,公司分析!D$5,3),IF($Y$3="wind一级行业",[1]!s_info_industry_gics(W663,1),IF($Y$3="wind二级行业",[1]!s_info_industry_gics(W663,2),IF($Y$3="wind三级行业",[1]!s_info_industry_gics(W663,3),IF($Y$3="wind四级行业",[1]!s_info_industry_gics(W663,4),IF($Y$3="证监会门类行业",[1]!s_info_industry_csrc12_n(W663,公司分析!D$5,1),""))))))))</f>
        <v>城商行Ⅱ</v>
      </c>
      <c r="Z663" s="302" t="str">
        <f ca="1">IF(Y663=行业比较!$E$6,ROW(),"")</f>
        <v/>
      </c>
      <c r="AA663" s="122"/>
      <c r="AB663" s="122"/>
      <c r="AC663" s="122"/>
      <c r="AD663" s="122"/>
      <c r="AE663" s="122"/>
      <c r="AF663" s="122"/>
      <c r="AG663" s="122"/>
      <c r="AH663" s="122"/>
      <c r="AI663" s="122"/>
      <c r="AJ663" s="122"/>
      <c r="AK663" s="122"/>
      <c r="AL663" s="122"/>
      <c r="AM663" s="122"/>
      <c r="AN663" s="122"/>
      <c r="AO663" s="122"/>
      <c r="AP663" s="122"/>
    </row>
    <row r="664" spans="2:42">
      <c r="B664" s="122"/>
      <c r="C664" s="122"/>
      <c r="D664" s="122"/>
      <c r="E664" s="122"/>
      <c r="F664" s="122"/>
      <c r="G664" s="122"/>
      <c r="H664" s="122"/>
      <c r="I664" s="275"/>
      <c r="J664" s="130"/>
      <c r="K664" s="130"/>
      <c r="L664" s="130"/>
      <c r="M664" s="130"/>
      <c r="N664" s="291"/>
      <c r="O664" s="291"/>
      <c r="P664" s="122"/>
      <c r="Q664" s="122"/>
      <c r="R664" s="122"/>
      <c r="S664" s="122"/>
      <c r="T664" s="122"/>
      <c r="U664" s="301"/>
      <c r="V664" s="260">
        <f t="shared" ca="1" si="18"/>
        <v>0</v>
      </c>
      <c r="W664" s="348" t="str">
        <f>IF(板块成分!B666="","",板块成分!B666)</f>
        <v>002144.SZ</v>
      </c>
      <c r="X664" s="276" t="str">
        <f>[1]!S_Info_Name(W664)</f>
        <v>宏达高科</v>
      </c>
      <c r="Y664" s="276" t="str">
        <f ca="1">IF($Y$3="申万一级行业",[1]!s_info_industry_sw_2021(W664,公司分析!D$5,1),IF($Y$3="申万二级行业",[1]!s_info_industry_sw_2021(W664,公司分析!D$5,2),IF($Y$3="申万三级行业",[1]!s_info_industry_sw_2021(W664,公司分析!D$5,3),IF($Y$3="wind一级行业",[1]!s_info_industry_gics(W664,1),IF($Y$3="wind二级行业",[1]!s_info_industry_gics(W664,2),IF($Y$3="wind三级行业",[1]!s_info_industry_gics(W664,3),IF($Y$3="wind四级行业",[1]!s_info_industry_gics(W664,4),IF($Y$3="证监会门类行业",[1]!s_info_industry_csrc12_n(W664,公司分析!D$5,1),""))))))))</f>
        <v>纺织制造</v>
      </c>
      <c r="Z664" s="302" t="str">
        <f ca="1">IF(Y664=行业比较!$E$6,ROW(),"")</f>
        <v/>
      </c>
      <c r="AA664" s="122"/>
      <c r="AB664" s="122"/>
      <c r="AC664" s="122"/>
      <c r="AD664" s="122"/>
      <c r="AE664" s="122"/>
      <c r="AF664" s="122"/>
      <c r="AG664" s="122"/>
      <c r="AH664" s="122"/>
      <c r="AI664" s="122"/>
      <c r="AJ664" s="122"/>
      <c r="AK664" s="122"/>
      <c r="AL664" s="122"/>
      <c r="AM664" s="122"/>
      <c r="AN664" s="122"/>
      <c r="AO664" s="122"/>
      <c r="AP664" s="122"/>
    </row>
    <row r="665" spans="2:42">
      <c r="B665" s="122"/>
      <c r="C665" s="122"/>
      <c r="D665" s="122"/>
      <c r="E665" s="122"/>
      <c r="F665" s="122"/>
      <c r="G665" s="122"/>
      <c r="H665" s="122"/>
      <c r="I665" s="275"/>
      <c r="J665" s="130"/>
      <c r="K665" s="130"/>
      <c r="L665" s="130"/>
      <c r="M665" s="130"/>
      <c r="N665" s="291"/>
      <c r="O665" s="291"/>
      <c r="P665" s="122"/>
      <c r="Q665" s="122"/>
      <c r="R665" s="122"/>
      <c r="S665" s="122"/>
      <c r="T665" s="122"/>
      <c r="U665" s="301"/>
      <c r="V665" s="260">
        <f t="shared" ca="1" si="18"/>
        <v>0</v>
      </c>
      <c r="W665" s="348" t="str">
        <f>IF(板块成分!B667="","",板块成分!B667)</f>
        <v>002145.SZ</v>
      </c>
      <c r="X665" s="276" t="str">
        <f>[1]!S_Info_Name(W665)</f>
        <v>钛能化学</v>
      </c>
      <c r="Y665" s="276" t="str">
        <f ca="1">IF($Y$3="申万一级行业",[1]!s_info_industry_sw_2021(W665,公司分析!D$5,1),IF($Y$3="申万二级行业",[1]!s_info_industry_sw_2021(W665,公司分析!D$5,2),IF($Y$3="申万三级行业",[1]!s_info_industry_sw_2021(W665,公司分析!D$5,3),IF($Y$3="wind一级行业",[1]!s_info_industry_gics(W665,1),IF($Y$3="wind二级行业",[1]!s_info_industry_gics(W665,2),IF($Y$3="wind三级行业",[1]!s_info_industry_gics(W665,3),IF($Y$3="wind四级行业",[1]!s_info_industry_gics(W665,4),IF($Y$3="证监会门类行业",[1]!s_info_industry_csrc12_n(W665,公司分析!D$5,1),""))))))))</f>
        <v>化学原料</v>
      </c>
      <c r="Z665" s="302" t="str">
        <f ca="1">IF(Y665=行业比较!$E$6,ROW(),"")</f>
        <v/>
      </c>
      <c r="AA665" s="122"/>
      <c r="AB665" s="122"/>
      <c r="AC665" s="122"/>
      <c r="AD665" s="122"/>
      <c r="AE665" s="122"/>
      <c r="AF665" s="122"/>
      <c r="AG665" s="122"/>
      <c r="AH665" s="122"/>
      <c r="AI665" s="122"/>
      <c r="AJ665" s="122"/>
      <c r="AK665" s="122"/>
      <c r="AL665" s="122"/>
      <c r="AM665" s="122"/>
      <c r="AN665" s="122"/>
      <c r="AO665" s="122"/>
      <c r="AP665" s="122"/>
    </row>
    <row r="666" spans="2:42">
      <c r="B666" s="122"/>
      <c r="C666" s="122"/>
      <c r="D666" s="122"/>
      <c r="E666" s="122"/>
      <c r="F666" s="122"/>
      <c r="G666" s="122"/>
      <c r="H666" s="122"/>
      <c r="I666" s="275"/>
      <c r="J666" s="130"/>
      <c r="K666" s="130"/>
      <c r="L666" s="130"/>
      <c r="M666" s="130"/>
      <c r="N666" s="291"/>
      <c r="O666" s="291"/>
      <c r="P666" s="122"/>
      <c r="Q666" s="122"/>
      <c r="R666" s="122"/>
      <c r="S666" s="122"/>
      <c r="T666" s="122"/>
      <c r="U666" s="301"/>
      <c r="V666" s="260">
        <f t="shared" ca="1" si="18"/>
        <v>0</v>
      </c>
      <c r="W666" s="348" t="str">
        <f>IF(板块成分!B668="","",板块成分!B668)</f>
        <v>002146.SZ</v>
      </c>
      <c r="X666" s="276" t="str">
        <f>[1]!S_Info_Name(W666)</f>
        <v>荣盛发展</v>
      </c>
      <c r="Y666" s="276" t="str">
        <f ca="1">IF($Y$3="申万一级行业",[1]!s_info_industry_sw_2021(W666,公司分析!D$5,1),IF($Y$3="申万二级行业",[1]!s_info_industry_sw_2021(W666,公司分析!D$5,2),IF($Y$3="申万三级行业",[1]!s_info_industry_sw_2021(W666,公司分析!D$5,3),IF($Y$3="wind一级行业",[1]!s_info_industry_gics(W666,1),IF($Y$3="wind二级行业",[1]!s_info_industry_gics(W666,2),IF($Y$3="wind三级行业",[1]!s_info_industry_gics(W666,3),IF($Y$3="wind四级行业",[1]!s_info_industry_gics(W666,4),IF($Y$3="证监会门类行业",[1]!s_info_industry_csrc12_n(W666,公司分析!D$5,1),""))))))))</f>
        <v>房地产开发</v>
      </c>
      <c r="Z666" s="302" t="str">
        <f ca="1">IF(Y666=行业比较!$E$6,ROW(),"")</f>
        <v/>
      </c>
      <c r="AA666" s="122"/>
      <c r="AB666" s="122"/>
      <c r="AC666" s="122"/>
      <c r="AD666" s="122"/>
      <c r="AE666" s="122"/>
      <c r="AF666" s="122"/>
      <c r="AG666" s="122"/>
      <c r="AH666" s="122"/>
      <c r="AI666" s="122"/>
      <c r="AJ666" s="122"/>
      <c r="AK666" s="122"/>
      <c r="AL666" s="122"/>
      <c r="AM666" s="122"/>
      <c r="AN666" s="122"/>
      <c r="AO666" s="122"/>
      <c r="AP666" s="122"/>
    </row>
    <row r="667" spans="2:42">
      <c r="B667" s="122"/>
      <c r="C667" s="122"/>
      <c r="D667" s="122"/>
      <c r="E667" s="122"/>
      <c r="F667" s="122"/>
      <c r="G667" s="122"/>
      <c r="H667" s="122"/>
      <c r="I667" s="275"/>
      <c r="J667" s="130"/>
      <c r="K667" s="130"/>
      <c r="L667" s="130"/>
      <c r="M667" s="130"/>
      <c r="N667" s="291"/>
      <c r="O667" s="291"/>
      <c r="P667" s="122"/>
      <c r="Q667" s="122"/>
      <c r="R667" s="122"/>
      <c r="S667" s="122"/>
      <c r="T667" s="122"/>
      <c r="U667" s="301"/>
      <c r="V667" s="260">
        <f t="shared" ca="1" si="18"/>
        <v>0</v>
      </c>
      <c r="W667" s="348" t="str">
        <f>IF(板块成分!B669="","",板块成分!B669)</f>
        <v>002148.SZ</v>
      </c>
      <c r="X667" s="276" t="str">
        <f>[1]!S_Info_Name(W667)</f>
        <v>北纬科技</v>
      </c>
      <c r="Y667" s="276" t="str">
        <f ca="1">IF($Y$3="申万一级行业",[1]!s_info_industry_sw_2021(W667,公司分析!D$5,1),IF($Y$3="申万二级行业",[1]!s_info_industry_sw_2021(W667,公司分析!D$5,2),IF($Y$3="申万三级行业",[1]!s_info_industry_sw_2021(W667,公司分析!D$5,3),IF($Y$3="wind一级行业",[1]!s_info_industry_gics(W667,1),IF($Y$3="wind二级行业",[1]!s_info_industry_gics(W667,2),IF($Y$3="wind三级行业",[1]!s_info_industry_gics(W667,3),IF($Y$3="wind四级行业",[1]!s_info_industry_gics(W667,4),IF($Y$3="证监会门类行业",[1]!s_info_industry_csrc12_n(W667,公司分析!D$5,1),""))))))))</f>
        <v>通信服务</v>
      </c>
      <c r="Z667" s="302" t="str">
        <f ca="1">IF(Y667=行业比较!$E$6,ROW(),"")</f>
        <v/>
      </c>
      <c r="AA667" s="122"/>
      <c r="AB667" s="122"/>
      <c r="AC667" s="122"/>
      <c r="AD667" s="122"/>
      <c r="AE667" s="122"/>
      <c r="AF667" s="122"/>
      <c r="AG667" s="122"/>
      <c r="AH667" s="122"/>
      <c r="AI667" s="122"/>
      <c r="AJ667" s="122"/>
      <c r="AK667" s="122"/>
      <c r="AL667" s="122"/>
      <c r="AM667" s="122"/>
      <c r="AN667" s="122"/>
      <c r="AO667" s="122"/>
      <c r="AP667" s="122"/>
    </row>
    <row r="668" spans="2:42">
      <c r="B668" s="122"/>
      <c r="C668" s="122"/>
      <c r="D668" s="122"/>
      <c r="E668" s="122"/>
      <c r="F668" s="122"/>
      <c r="G668" s="122"/>
      <c r="H668" s="122"/>
      <c r="I668" s="275"/>
      <c r="J668" s="130"/>
      <c r="K668" s="130"/>
      <c r="L668" s="130"/>
      <c r="M668" s="130"/>
      <c r="N668" s="291"/>
      <c r="O668" s="291"/>
      <c r="P668" s="122"/>
      <c r="Q668" s="122"/>
      <c r="R668" s="122"/>
      <c r="S668" s="122"/>
      <c r="T668" s="122"/>
      <c r="U668" s="301"/>
      <c r="V668" s="260">
        <f t="shared" ca="1" si="18"/>
        <v>0</v>
      </c>
      <c r="W668" s="348" t="str">
        <f>IF(板块成分!B670="","",板块成分!B670)</f>
        <v>002149.SZ</v>
      </c>
      <c r="X668" s="276" t="str">
        <f>[1]!S_Info_Name(W668)</f>
        <v>西部材料</v>
      </c>
      <c r="Y668" s="276" t="str">
        <f ca="1">IF($Y$3="申万一级行业",[1]!s_info_industry_sw_2021(W668,公司分析!D$5,1),IF($Y$3="申万二级行业",[1]!s_info_industry_sw_2021(W668,公司分析!D$5,2),IF($Y$3="申万三级行业",[1]!s_info_industry_sw_2021(W668,公司分析!D$5,3),IF($Y$3="wind一级行业",[1]!s_info_industry_gics(W668,1),IF($Y$3="wind二级行业",[1]!s_info_industry_gics(W668,2),IF($Y$3="wind三级行业",[1]!s_info_industry_gics(W668,3),IF($Y$3="wind四级行业",[1]!s_info_industry_gics(W668,4),IF($Y$3="证监会门类行业",[1]!s_info_industry_csrc12_n(W668,公司分析!D$5,1),""))))))))</f>
        <v>小金属</v>
      </c>
      <c r="Z668" s="302" t="str">
        <f ca="1">IF(Y668=行业比较!$E$6,ROW(),"")</f>
        <v/>
      </c>
      <c r="AA668" s="122"/>
      <c r="AB668" s="122"/>
      <c r="AC668" s="122"/>
      <c r="AD668" s="122"/>
      <c r="AE668" s="122"/>
      <c r="AF668" s="122"/>
      <c r="AG668" s="122"/>
      <c r="AH668" s="122"/>
      <c r="AI668" s="122"/>
      <c r="AJ668" s="122"/>
      <c r="AK668" s="122"/>
      <c r="AL668" s="122"/>
      <c r="AM668" s="122"/>
      <c r="AN668" s="122"/>
      <c r="AO668" s="122"/>
      <c r="AP668" s="122"/>
    </row>
    <row r="669" spans="2:42">
      <c r="B669" s="122"/>
      <c r="C669" s="122"/>
      <c r="D669" s="122"/>
      <c r="E669" s="122"/>
      <c r="F669" s="122"/>
      <c r="G669" s="122"/>
      <c r="H669" s="122"/>
      <c r="I669" s="275"/>
      <c r="J669" s="130"/>
      <c r="K669" s="130"/>
      <c r="L669" s="130"/>
      <c r="M669" s="130"/>
      <c r="N669" s="291"/>
      <c r="O669" s="291"/>
      <c r="P669" s="122"/>
      <c r="Q669" s="122"/>
      <c r="R669" s="122"/>
      <c r="S669" s="122"/>
      <c r="T669" s="122"/>
      <c r="U669" s="301"/>
      <c r="V669" s="260">
        <f t="shared" ca="1" si="18"/>
        <v>0</v>
      </c>
      <c r="W669" s="348" t="str">
        <f>IF(板块成分!B671="","",板块成分!B671)</f>
        <v>002150.SZ</v>
      </c>
      <c r="X669" s="276" t="str">
        <f>[1]!S_Info_Name(W669)</f>
        <v>正泰电源</v>
      </c>
      <c r="Y669" s="276" t="str">
        <f ca="1">IF($Y$3="申万一级行业",[1]!s_info_industry_sw_2021(W669,公司分析!D$5,1),IF($Y$3="申万二级行业",[1]!s_info_industry_sw_2021(W669,公司分析!D$5,2),IF($Y$3="申万三级行业",[1]!s_info_industry_sw_2021(W669,公司分析!D$5,3),IF($Y$3="wind一级行业",[1]!s_info_industry_gics(W669,1),IF($Y$3="wind二级行业",[1]!s_info_industry_gics(W669,2),IF($Y$3="wind三级行业",[1]!s_info_industry_gics(W669,3),IF($Y$3="wind四级行业",[1]!s_info_industry_gics(W669,4),IF($Y$3="证监会门类行业",[1]!s_info_industry_csrc12_n(W669,公司分析!D$5,1),""))))))))</f>
        <v>通用设备</v>
      </c>
      <c r="Z669" s="302" t="str">
        <f ca="1">IF(Y669=行业比较!$E$6,ROW(),"")</f>
        <v/>
      </c>
      <c r="AA669" s="122"/>
      <c r="AB669" s="122"/>
      <c r="AC669" s="122"/>
      <c r="AD669" s="122"/>
      <c r="AE669" s="122"/>
      <c r="AF669" s="122"/>
      <c r="AG669" s="122"/>
      <c r="AH669" s="122"/>
      <c r="AI669" s="122"/>
      <c r="AJ669" s="122"/>
      <c r="AK669" s="122"/>
      <c r="AL669" s="122"/>
      <c r="AM669" s="122"/>
      <c r="AN669" s="122"/>
      <c r="AO669" s="122"/>
      <c r="AP669" s="122"/>
    </row>
    <row r="670" spans="2:42">
      <c r="B670" s="122"/>
      <c r="C670" s="122"/>
      <c r="D670" s="122"/>
      <c r="E670" s="122"/>
      <c r="F670" s="122"/>
      <c r="G670" s="122"/>
      <c r="H670" s="122"/>
      <c r="I670" s="275"/>
      <c r="J670" s="130"/>
      <c r="K670" s="130"/>
      <c r="L670" s="130"/>
      <c r="M670" s="130"/>
      <c r="N670" s="291"/>
      <c r="O670" s="291"/>
      <c r="P670" s="122"/>
      <c r="Q670" s="122"/>
      <c r="R670" s="122"/>
      <c r="S670" s="122"/>
      <c r="T670" s="122"/>
      <c r="U670" s="301"/>
      <c r="V670" s="260">
        <f t="shared" ca="1" si="18"/>
        <v>0</v>
      </c>
      <c r="W670" s="348" t="str">
        <f>IF(板块成分!B672="","",板块成分!B672)</f>
        <v>002151.SZ</v>
      </c>
      <c r="X670" s="276" t="str">
        <f>[1]!S_Info_Name(W670)</f>
        <v>北斗星通</v>
      </c>
      <c r="Y670" s="276" t="str">
        <f ca="1">IF($Y$3="申万一级行业",[1]!s_info_industry_sw_2021(W670,公司分析!D$5,1),IF($Y$3="申万二级行业",[1]!s_info_industry_sw_2021(W670,公司分析!D$5,2),IF($Y$3="申万三级行业",[1]!s_info_industry_sw_2021(W670,公司分析!D$5,3),IF($Y$3="wind一级行业",[1]!s_info_industry_gics(W670,1),IF($Y$3="wind二级行业",[1]!s_info_industry_gics(W670,2),IF($Y$3="wind三级行业",[1]!s_info_industry_gics(W670,3),IF($Y$3="wind四级行业",[1]!s_info_industry_gics(W670,4),IF($Y$3="证监会门类行业",[1]!s_info_industry_csrc12_n(W670,公司分析!D$5,1),""))))))))</f>
        <v>军工电子Ⅱ</v>
      </c>
      <c r="Z670" s="302" t="str">
        <f ca="1">IF(Y670=行业比较!$E$6,ROW(),"")</f>
        <v/>
      </c>
      <c r="AA670" s="122"/>
      <c r="AB670" s="122"/>
      <c r="AC670" s="122"/>
      <c r="AD670" s="122"/>
      <c r="AE670" s="122"/>
      <c r="AF670" s="122"/>
      <c r="AG670" s="122"/>
      <c r="AH670" s="122"/>
      <c r="AI670" s="122"/>
      <c r="AJ670" s="122"/>
      <c r="AK670" s="122"/>
      <c r="AL670" s="122"/>
      <c r="AM670" s="122"/>
      <c r="AN670" s="122"/>
      <c r="AO670" s="122"/>
      <c r="AP670" s="122"/>
    </row>
    <row r="671" spans="2:42">
      <c r="B671" s="122"/>
      <c r="C671" s="122"/>
      <c r="D671" s="122"/>
      <c r="E671" s="122"/>
      <c r="F671" s="122"/>
      <c r="G671" s="122"/>
      <c r="H671" s="122"/>
      <c r="I671" s="275"/>
      <c r="J671" s="130"/>
      <c r="K671" s="130"/>
      <c r="L671" s="130"/>
      <c r="M671" s="130"/>
      <c r="N671" s="291"/>
      <c r="O671" s="291"/>
      <c r="P671" s="122"/>
      <c r="Q671" s="122"/>
      <c r="R671" s="122"/>
      <c r="S671" s="122"/>
      <c r="T671" s="122"/>
      <c r="U671" s="301"/>
      <c r="V671" s="260">
        <f t="shared" ca="1" si="18"/>
        <v>0</v>
      </c>
      <c r="W671" s="348" t="str">
        <f>IF(板块成分!B673="","",板块成分!B673)</f>
        <v>002152.SZ</v>
      </c>
      <c r="X671" s="276" t="str">
        <f>[1]!S_Info_Name(W671)</f>
        <v>广电运通</v>
      </c>
      <c r="Y671" s="276" t="str">
        <f ca="1">IF($Y$3="申万一级行业",[1]!s_info_industry_sw_2021(W671,公司分析!D$5,1),IF($Y$3="申万二级行业",[1]!s_info_industry_sw_2021(W671,公司分析!D$5,2),IF($Y$3="申万三级行业",[1]!s_info_industry_sw_2021(W671,公司分析!D$5,3),IF($Y$3="wind一级行业",[1]!s_info_industry_gics(W671,1),IF($Y$3="wind二级行业",[1]!s_info_industry_gics(W671,2),IF($Y$3="wind三级行业",[1]!s_info_industry_gics(W671,3),IF($Y$3="wind四级行业",[1]!s_info_industry_gics(W671,4),IF($Y$3="证监会门类行业",[1]!s_info_industry_csrc12_n(W671,公司分析!D$5,1),""))))))))</f>
        <v>计算机设备</v>
      </c>
      <c r="Z671" s="302" t="str">
        <f ca="1">IF(Y671=行业比较!$E$6,ROW(),"")</f>
        <v/>
      </c>
      <c r="AA671" s="122"/>
      <c r="AB671" s="122"/>
      <c r="AC671" s="122"/>
      <c r="AD671" s="122"/>
      <c r="AE671" s="122"/>
      <c r="AF671" s="122"/>
      <c r="AG671" s="122"/>
      <c r="AH671" s="122"/>
      <c r="AI671" s="122"/>
      <c r="AJ671" s="122"/>
      <c r="AK671" s="122"/>
      <c r="AL671" s="122"/>
      <c r="AM671" s="122"/>
      <c r="AN671" s="122"/>
      <c r="AO671" s="122"/>
      <c r="AP671" s="122"/>
    </row>
    <row r="672" spans="2:42">
      <c r="B672" s="122"/>
      <c r="C672" s="122"/>
      <c r="D672" s="122"/>
      <c r="E672" s="122"/>
      <c r="F672" s="122"/>
      <c r="G672" s="122"/>
      <c r="H672" s="122"/>
      <c r="I672" s="275"/>
      <c r="J672" s="130"/>
      <c r="K672" s="130"/>
      <c r="L672" s="130"/>
      <c r="M672" s="130"/>
      <c r="N672" s="291"/>
      <c r="O672" s="291"/>
      <c r="P672" s="122"/>
      <c r="Q672" s="122"/>
      <c r="R672" s="122"/>
      <c r="S672" s="122"/>
      <c r="T672" s="122"/>
      <c r="U672" s="301"/>
      <c r="V672" s="260">
        <f t="shared" ca="1" si="18"/>
        <v>0</v>
      </c>
      <c r="W672" s="348" t="str">
        <f>IF(板块成分!B674="","",板块成分!B674)</f>
        <v>002153.SZ</v>
      </c>
      <c r="X672" s="276" t="str">
        <f>[1]!S_Info_Name(W672)</f>
        <v>石基信息</v>
      </c>
      <c r="Y672" s="276" t="str">
        <f ca="1">IF($Y$3="申万一级行业",[1]!s_info_industry_sw_2021(W672,公司分析!D$5,1),IF($Y$3="申万二级行业",[1]!s_info_industry_sw_2021(W672,公司分析!D$5,2),IF($Y$3="申万三级行业",[1]!s_info_industry_sw_2021(W672,公司分析!D$5,3),IF($Y$3="wind一级行业",[1]!s_info_industry_gics(W672,1),IF($Y$3="wind二级行业",[1]!s_info_industry_gics(W672,2),IF($Y$3="wind三级行业",[1]!s_info_industry_gics(W672,3),IF($Y$3="wind四级行业",[1]!s_info_industry_gics(W672,4),IF($Y$3="证监会门类行业",[1]!s_info_industry_csrc12_n(W672,公司分析!D$5,1),""))))))))</f>
        <v>软件开发</v>
      </c>
      <c r="Z672" s="302" t="str">
        <f ca="1">IF(Y672=行业比较!$E$6,ROW(),"")</f>
        <v/>
      </c>
      <c r="AA672" s="122"/>
      <c r="AB672" s="122"/>
      <c r="AC672" s="122"/>
      <c r="AD672" s="122"/>
      <c r="AE672" s="122"/>
      <c r="AF672" s="122"/>
      <c r="AG672" s="122"/>
      <c r="AH672" s="122"/>
      <c r="AI672" s="122"/>
      <c r="AJ672" s="122"/>
      <c r="AK672" s="122"/>
      <c r="AL672" s="122"/>
      <c r="AM672" s="122"/>
      <c r="AN672" s="122"/>
      <c r="AO672" s="122"/>
      <c r="AP672" s="122"/>
    </row>
    <row r="673" spans="2:42">
      <c r="B673" s="122"/>
      <c r="C673" s="122"/>
      <c r="D673" s="122"/>
      <c r="E673" s="122"/>
      <c r="F673" s="122"/>
      <c r="G673" s="122"/>
      <c r="H673" s="122"/>
      <c r="I673" s="275"/>
      <c r="J673" s="130"/>
      <c r="K673" s="130"/>
      <c r="L673" s="130"/>
      <c r="M673" s="130"/>
      <c r="N673" s="291"/>
      <c r="O673" s="291"/>
      <c r="P673" s="122"/>
      <c r="Q673" s="122"/>
      <c r="R673" s="122"/>
      <c r="S673" s="122"/>
      <c r="T673" s="122"/>
      <c r="U673" s="301"/>
      <c r="V673" s="260">
        <f t="shared" ca="1" si="18"/>
        <v>0</v>
      </c>
      <c r="W673" s="348" t="str">
        <f>IF(板块成分!B675="","",板块成分!B675)</f>
        <v>002154.SZ</v>
      </c>
      <c r="X673" s="276" t="str">
        <f>[1]!S_Info_Name(W673)</f>
        <v>报喜鸟</v>
      </c>
      <c r="Y673" s="276" t="str">
        <f ca="1">IF($Y$3="申万一级行业",[1]!s_info_industry_sw_2021(W673,公司分析!D$5,1),IF($Y$3="申万二级行业",[1]!s_info_industry_sw_2021(W673,公司分析!D$5,2),IF($Y$3="申万三级行业",[1]!s_info_industry_sw_2021(W673,公司分析!D$5,3),IF($Y$3="wind一级行业",[1]!s_info_industry_gics(W673,1),IF($Y$3="wind二级行业",[1]!s_info_industry_gics(W673,2),IF($Y$3="wind三级行业",[1]!s_info_industry_gics(W673,3),IF($Y$3="wind四级行业",[1]!s_info_industry_gics(W673,4),IF($Y$3="证监会门类行业",[1]!s_info_industry_csrc12_n(W673,公司分析!D$5,1),""))))))))</f>
        <v>服装家纺</v>
      </c>
      <c r="Z673" s="302" t="str">
        <f ca="1">IF(Y673=行业比较!$E$6,ROW(),"")</f>
        <v/>
      </c>
      <c r="AA673" s="122"/>
      <c r="AB673" s="122"/>
      <c r="AC673" s="122"/>
      <c r="AD673" s="122"/>
      <c r="AE673" s="122"/>
      <c r="AF673" s="122"/>
      <c r="AG673" s="122"/>
      <c r="AH673" s="122"/>
      <c r="AI673" s="122"/>
      <c r="AJ673" s="122"/>
      <c r="AK673" s="122"/>
      <c r="AL673" s="122"/>
      <c r="AM673" s="122"/>
      <c r="AN673" s="122"/>
      <c r="AO673" s="122"/>
      <c r="AP673" s="122"/>
    </row>
    <row r="674" spans="2:42">
      <c r="B674" s="122"/>
      <c r="C674" s="122"/>
      <c r="D674" s="122"/>
      <c r="E674" s="122"/>
      <c r="F674" s="122"/>
      <c r="G674" s="122"/>
      <c r="H674" s="122"/>
      <c r="I674" s="275"/>
      <c r="J674" s="130"/>
      <c r="K674" s="130"/>
      <c r="L674" s="130"/>
      <c r="M674" s="130"/>
      <c r="N674" s="291"/>
      <c r="O674" s="291"/>
      <c r="P674" s="122"/>
      <c r="Q674" s="122"/>
      <c r="R674" s="122"/>
      <c r="S674" s="122"/>
      <c r="T674" s="122"/>
      <c r="U674" s="301"/>
      <c r="V674" s="260">
        <f t="shared" ca="1" si="18"/>
        <v>0</v>
      </c>
      <c r="W674" s="348" t="str">
        <f>IF(板块成分!B676="","",板块成分!B676)</f>
        <v>002155.SZ</v>
      </c>
      <c r="X674" s="276" t="str">
        <f>[1]!S_Info_Name(W674)</f>
        <v>湖南黄金</v>
      </c>
      <c r="Y674" s="276" t="str">
        <f ca="1">IF($Y$3="申万一级行业",[1]!s_info_industry_sw_2021(W674,公司分析!D$5,1),IF($Y$3="申万二级行业",[1]!s_info_industry_sw_2021(W674,公司分析!D$5,2),IF($Y$3="申万三级行业",[1]!s_info_industry_sw_2021(W674,公司分析!D$5,3),IF($Y$3="wind一级行业",[1]!s_info_industry_gics(W674,1),IF($Y$3="wind二级行业",[1]!s_info_industry_gics(W674,2),IF($Y$3="wind三级行业",[1]!s_info_industry_gics(W674,3),IF($Y$3="wind四级行业",[1]!s_info_industry_gics(W674,4),IF($Y$3="证监会门类行业",[1]!s_info_industry_csrc12_n(W674,公司分析!D$5,1),""))))))))</f>
        <v>贵金属</v>
      </c>
      <c r="Z674" s="302" t="str">
        <f ca="1">IF(Y674=行业比较!$E$6,ROW(),"")</f>
        <v/>
      </c>
      <c r="AA674" s="122"/>
      <c r="AB674" s="122"/>
      <c r="AC674" s="122"/>
      <c r="AD674" s="122"/>
      <c r="AE674" s="122"/>
      <c r="AF674" s="122"/>
      <c r="AG674" s="122"/>
      <c r="AH674" s="122"/>
      <c r="AI674" s="122"/>
      <c r="AJ674" s="122"/>
      <c r="AK674" s="122"/>
      <c r="AL674" s="122"/>
      <c r="AM674" s="122"/>
      <c r="AN674" s="122"/>
      <c r="AO674" s="122"/>
      <c r="AP674" s="122"/>
    </row>
    <row r="675" spans="2:42">
      <c r="B675" s="122"/>
      <c r="C675" s="122"/>
      <c r="D675" s="122"/>
      <c r="E675" s="122"/>
      <c r="F675" s="122"/>
      <c r="G675" s="122"/>
      <c r="H675" s="122"/>
      <c r="I675" s="275"/>
      <c r="J675" s="130"/>
      <c r="K675" s="130"/>
      <c r="L675" s="130"/>
      <c r="M675" s="130"/>
      <c r="N675" s="291"/>
      <c r="O675" s="291"/>
      <c r="P675" s="122"/>
      <c r="Q675" s="122"/>
      <c r="R675" s="122"/>
      <c r="S675" s="122"/>
      <c r="T675" s="122"/>
      <c r="U675" s="301"/>
      <c r="V675" s="260">
        <f t="shared" ca="1" si="18"/>
        <v>0</v>
      </c>
      <c r="W675" s="348" t="str">
        <f>IF(板块成分!B677="","",板块成分!B677)</f>
        <v>002156.SZ</v>
      </c>
      <c r="X675" s="276" t="str">
        <f>[1]!S_Info_Name(W675)</f>
        <v>通富微电</v>
      </c>
      <c r="Y675" s="276" t="str">
        <f ca="1">IF($Y$3="申万一级行业",[1]!s_info_industry_sw_2021(W675,公司分析!D$5,1),IF($Y$3="申万二级行业",[1]!s_info_industry_sw_2021(W675,公司分析!D$5,2),IF($Y$3="申万三级行业",[1]!s_info_industry_sw_2021(W675,公司分析!D$5,3),IF($Y$3="wind一级行业",[1]!s_info_industry_gics(W675,1),IF($Y$3="wind二级行业",[1]!s_info_industry_gics(W675,2),IF($Y$3="wind三级行业",[1]!s_info_industry_gics(W675,3),IF($Y$3="wind四级行业",[1]!s_info_industry_gics(W675,4),IF($Y$3="证监会门类行业",[1]!s_info_industry_csrc12_n(W675,公司分析!D$5,1),""))))))))</f>
        <v>半导体</v>
      </c>
      <c r="Z675" s="302" t="str">
        <f ca="1">IF(Y675=行业比较!$E$6,ROW(),"")</f>
        <v/>
      </c>
      <c r="AA675" s="122"/>
      <c r="AB675" s="122"/>
      <c r="AC675" s="122"/>
      <c r="AD675" s="122"/>
      <c r="AE675" s="122"/>
      <c r="AF675" s="122"/>
      <c r="AG675" s="122"/>
      <c r="AH675" s="122"/>
      <c r="AI675" s="122"/>
      <c r="AJ675" s="122"/>
      <c r="AK675" s="122"/>
      <c r="AL675" s="122"/>
      <c r="AM675" s="122"/>
      <c r="AN675" s="122"/>
      <c r="AO675" s="122"/>
      <c r="AP675" s="122"/>
    </row>
    <row r="676" spans="2:42">
      <c r="B676" s="122"/>
      <c r="C676" s="122"/>
      <c r="D676" s="122"/>
      <c r="E676" s="122"/>
      <c r="F676" s="122"/>
      <c r="G676" s="122"/>
      <c r="H676" s="122"/>
      <c r="I676" s="275"/>
      <c r="J676" s="130"/>
      <c r="K676" s="130"/>
      <c r="L676" s="130"/>
      <c r="M676" s="130"/>
      <c r="N676" s="291"/>
      <c r="O676" s="291"/>
      <c r="P676" s="122"/>
      <c r="Q676" s="122"/>
      <c r="R676" s="122"/>
      <c r="S676" s="122"/>
      <c r="T676" s="122"/>
      <c r="U676" s="301"/>
      <c r="V676" s="260">
        <f t="shared" ca="1" si="18"/>
        <v>0</v>
      </c>
      <c r="W676" s="348" t="str">
        <f>IF(板块成分!B678="","",板块成分!B678)</f>
        <v>002157.SZ</v>
      </c>
      <c r="X676" s="276" t="str">
        <f>[1]!S_Info_Name(W676)</f>
        <v>正邦科技</v>
      </c>
      <c r="Y676" s="276" t="str">
        <f ca="1">IF($Y$3="申万一级行业",[1]!s_info_industry_sw_2021(W676,公司分析!D$5,1),IF($Y$3="申万二级行业",[1]!s_info_industry_sw_2021(W676,公司分析!D$5,2),IF($Y$3="申万三级行业",[1]!s_info_industry_sw_2021(W676,公司分析!D$5,3),IF($Y$3="wind一级行业",[1]!s_info_industry_gics(W676,1),IF($Y$3="wind二级行业",[1]!s_info_industry_gics(W676,2),IF($Y$3="wind三级行业",[1]!s_info_industry_gics(W676,3),IF($Y$3="wind四级行业",[1]!s_info_industry_gics(W676,4),IF($Y$3="证监会门类行业",[1]!s_info_industry_csrc12_n(W676,公司分析!D$5,1),""))))))))</f>
        <v>养殖业</v>
      </c>
      <c r="Z676" s="302" t="str">
        <f ca="1">IF(Y676=行业比较!$E$6,ROW(),"")</f>
        <v/>
      </c>
      <c r="AA676" s="122"/>
      <c r="AB676" s="122"/>
      <c r="AC676" s="122"/>
      <c r="AD676" s="122"/>
      <c r="AE676" s="122"/>
      <c r="AF676" s="122"/>
      <c r="AG676" s="122"/>
      <c r="AH676" s="122"/>
      <c r="AI676" s="122"/>
      <c r="AJ676" s="122"/>
      <c r="AK676" s="122"/>
      <c r="AL676" s="122"/>
      <c r="AM676" s="122"/>
      <c r="AN676" s="122"/>
      <c r="AO676" s="122"/>
      <c r="AP676" s="122"/>
    </row>
    <row r="677" spans="2:42">
      <c r="B677" s="122"/>
      <c r="C677" s="122"/>
      <c r="D677" s="122"/>
      <c r="E677" s="122"/>
      <c r="F677" s="122"/>
      <c r="G677" s="122"/>
      <c r="H677" s="122"/>
      <c r="I677" s="275"/>
      <c r="J677" s="130"/>
      <c r="K677" s="130"/>
      <c r="L677" s="130"/>
      <c r="M677" s="130"/>
      <c r="N677" s="291"/>
      <c r="O677" s="291"/>
      <c r="P677" s="122"/>
      <c r="Q677" s="122"/>
      <c r="R677" s="122"/>
      <c r="S677" s="122"/>
      <c r="T677" s="122"/>
      <c r="U677" s="301"/>
      <c r="V677" s="260">
        <f t="shared" ca="1" si="18"/>
        <v>0</v>
      </c>
      <c r="W677" s="348" t="str">
        <f>IF(板块成分!B679="","",板块成分!B679)</f>
        <v>002158.SZ</v>
      </c>
      <c r="X677" s="276" t="str">
        <f>[1]!S_Info_Name(W677)</f>
        <v>汉钟精机</v>
      </c>
      <c r="Y677" s="276" t="str">
        <f ca="1">IF($Y$3="申万一级行业",[1]!s_info_industry_sw_2021(W677,公司分析!D$5,1),IF($Y$3="申万二级行业",[1]!s_info_industry_sw_2021(W677,公司分析!D$5,2),IF($Y$3="申万三级行业",[1]!s_info_industry_sw_2021(W677,公司分析!D$5,3),IF($Y$3="wind一级行业",[1]!s_info_industry_gics(W677,1),IF($Y$3="wind二级行业",[1]!s_info_industry_gics(W677,2),IF($Y$3="wind三级行业",[1]!s_info_industry_gics(W677,3),IF($Y$3="wind四级行业",[1]!s_info_industry_gics(W677,4),IF($Y$3="证监会门类行业",[1]!s_info_industry_csrc12_n(W677,公司分析!D$5,1),""))))))))</f>
        <v>通用设备</v>
      </c>
      <c r="Z677" s="302" t="str">
        <f ca="1">IF(Y677=行业比较!$E$6,ROW(),"")</f>
        <v/>
      </c>
      <c r="AA677" s="122"/>
      <c r="AB677" s="122"/>
      <c r="AC677" s="122"/>
      <c r="AD677" s="122"/>
      <c r="AE677" s="122"/>
      <c r="AF677" s="122"/>
      <c r="AG677" s="122"/>
      <c r="AH677" s="122"/>
      <c r="AI677" s="122"/>
      <c r="AJ677" s="122"/>
      <c r="AK677" s="122"/>
      <c r="AL677" s="122"/>
      <c r="AM677" s="122"/>
      <c r="AN677" s="122"/>
      <c r="AO677" s="122"/>
      <c r="AP677" s="122"/>
    </row>
    <row r="678" spans="2:42">
      <c r="B678" s="122"/>
      <c r="C678" s="122"/>
      <c r="D678" s="122"/>
      <c r="E678" s="122"/>
      <c r="F678" s="122"/>
      <c r="G678" s="122"/>
      <c r="H678" s="122"/>
      <c r="I678" s="275"/>
      <c r="J678" s="130"/>
      <c r="K678" s="130"/>
      <c r="L678" s="130"/>
      <c r="M678" s="130"/>
      <c r="N678" s="291"/>
      <c r="O678" s="291"/>
      <c r="P678" s="122"/>
      <c r="Q678" s="122"/>
      <c r="R678" s="122"/>
      <c r="S678" s="122"/>
      <c r="T678" s="122"/>
      <c r="U678" s="301"/>
      <c r="V678" s="260">
        <f t="shared" ca="1" si="18"/>
        <v>0</v>
      </c>
      <c r="W678" s="348" t="str">
        <f>IF(板块成分!B680="","",板块成分!B680)</f>
        <v>002159.SZ</v>
      </c>
      <c r="X678" s="276" t="str">
        <f>[1]!S_Info_Name(W678)</f>
        <v>三特索道</v>
      </c>
      <c r="Y678" s="276" t="str">
        <f ca="1">IF($Y$3="申万一级行业",[1]!s_info_industry_sw_2021(W678,公司分析!D$5,1),IF($Y$3="申万二级行业",[1]!s_info_industry_sw_2021(W678,公司分析!D$5,2),IF($Y$3="申万三级行业",[1]!s_info_industry_sw_2021(W678,公司分析!D$5,3),IF($Y$3="wind一级行业",[1]!s_info_industry_gics(W678,1),IF($Y$3="wind二级行业",[1]!s_info_industry_gics(W678,2),IF($Y$3="wind三级行业",[1]!s_info_industry_gics(W678,3),IF($Y$3="wind四级行业",[1]!s_info_industry_gics(W678,4),IF($Y$3="证监会门类行业",[1]!s_info_industry_csrc12_n(W678,公司分析!D$5,1),""))))))))</f>
        <v>旅游及景区</v>
      </c>
      <c r="Z678" s="302" t="str">
        <f ca="1">IF(Y678=行业比较!$E$6,ROW(),"")</f>
        <v/>
      </c>
      <c r="AA678" s="122"/>
      <c r="AB678" s="122"/>
      <c r="AC678" s="122"/>
      <c r="AD678" s="122"/>
      <c r="AE678" s="122"/>
      <c r="AF678" s="122"/>
      <c r="AG678" s="122"/>
      <c r="AH678" s="122"/>
      <c r="AI678" s="122"/>
      <c r="AJ678" s="122"/>
      <c r="AK678" s="122"/>
      <c r="AL678" s="122"/>
      <c r="AM678" s="122"/>
      <c r="AN678" s="122"/>
      <c r="AO678" s="122"/>
      <c r="AP678" s="122"/>
    </row>
    <row r="679" spans="2:42">
      <c r="B679" s="122"/>
      <c r="C679" s="122"/>
      <c r="D679" s="122"/>
      <c r="E679" s="122"/>
      <c r="F679" s="122"/>
      <c r="G679" s="122"/>
      <c r="H679" s="122"/>
      <c r="I679" s="275"/>
      <c r="J679" s="130"/>
      <c r="K679" s="130"/>
      <c r="L679" s="130"/>
      <c r="M679" s="130"/>
      <c r="N679" s="291"/>
      <c r="O679" s="291"/>
      <c r="P679" s="122"/>
      <c r="Q679" s="122"/>
      <c r="R679" s="122"/>
      <c r="S679" s="122"/>
      <c r="T679" s="122"/>
      <c r="U679" s="301"/>
      <c r="V679" s="260">
        <f t="shared" ca="1" si="18"/>
        <v>14</v>
      </c>
      <c r="W679" s="348" t="str">
        <f>IF(板块成分!B681="","",板块成分!B681)</f>
        <v>002160.SZ</v>
      </c>
      <c r="X679" s="276" t="str">
        <f>[1]!S_Info_Name(W679)</f>
        <v>常铝股份</v>
      </c>
      <c r="Y679" s="276" t="str">
        <f ca="1">IF($Y$3="申万一级行业",[1]!s_info_industry_sw_2021(W679,公司分析!D$5,1),IF($Y$3="申万二级行业",[1]!s_info_industry_sw_2021(W679,公司分析!D$5,2),IF($Y$3="申万三级行业",[1]!s_info_industry_sw_2021(W679,公司分析!D$5,3),IF($Y$3="wind一级行业",[1]!s_info_industry_gics(W679,1),IF($Y$3="wind二级行业",[1]!s_info_industry_gics(W679,2),IF($Y$3="wind三级行业",[1]!s_info_industry_gics(W679,3),IF($Y$3="wind四级行业",[1]!s_info_industry_gics(W679,4),IF($Y$3="证监会门类行业",[1]!s_info_industry_csrc12_n(W679,公司分析!D$5,1),""))))))))</f>
        <v>工业金属</v>
      </c>
      <c r="Z679" s="302">
        <f ca="1">IF(Y679=行业比较!$E$6,ROW(),"")</f>
        <v>679</v>
      </c>
      <c r="AA679" s="122"/>
      <c r="AB679" s="122"/>
      <c r="AC679" s="122"/>
      <c r="AD679" s="122"/>
      <c r="AE679" s="122"/>
      <c r="AF679" s="122"/>
      <c r="AG679" s="122"/>
      <c r="AH679" s="122"/>
      <c r="AI679" s="122"/>
      <c r="AJ679" s="122"/>
      <c r="AK679" s="122"/>
      <c r="AL679" s="122"/>
      <c r="AM679" s="122"/>
      <c r="AN679" s="122"/>
      <c r="AO679" s="122"/>
      <c r="AP679" s="122"/>
    </row>
    <row r="680" spans="2:42">
      <c r="B680" s="122"/>
      <c r="C680" s="122"/>
      <c r="D680" s="122"/>
      <c r="E680" s="122"/>
      <c r="F680" s="122"/>
      <c r="G680" s="122"/>
      <c r="H680" s="122"/>
      <c r="I680" s="275"/>
      <c r="J680" s="130"/>
      <c r="K680" s="130"/>
      <c r="L680" s="130"/>
      <c r="M680" s="130"/>
      <c r="N680" s="291"/>
      <c r="O680" s="291"/>
      <c r="P680" s="122"/>
      <c r="Q680" s="122"/>
      <c r="R680" s="122"/>
      <c r="S680" s="122"/>
      <c r="T680" s="122"/>
      <c r="U680" s="301"/>
      <c r="V680" s="260">
        <f t="shared" ca="1" si="18"/>
        <v>0</v>
      </c>
      <c r="W680" s="348" t="str">
        <f>IF(板块成分!B682="","",板块成分!B682)</f>
        <v>002161.SZ</v>
      </c>
      <c r="X680" s="276" t="str">
        <f>[1]!S_Info_Name(W680)</f>
        <v>远望谷</v>
      </c>
      <c r="Y680" s="276" t="str">
        <f ca="1">IF($Y$3="申万一级行业",[1]!s_info_industry_sw_2021(W680,公司分析!D$5,1),IF($Y$3="申万二级行业",[1]!s_info_industry_sw_2021(W680,公司分析!D$5,2),IF($Y$3="申万三级行业",[1]!s_info_industry_sw_2021(W680,公司分析!D$5,3),IF($Y$3="wind一级行业",[1]!s_info_industry_gics(W680,1),IF($Y$3="wind二级行业",[1]!s_info_industry_gics(W680,2),IF($Y$3="wind三级行业",[1]!s_info_industry_gics(W680,3),IF($Y$3="wind四级行业",[1]!s_info_industry_gics(W680,4),IF($Y$3="证监会门类行业",[1]!s_info_industry_csrc12_n(W680,公司分析!D$5,1),""))))))))</f>
        <v>其他电子Ⅱ</v>
      </c>
      <c r="Z680" s="302" t="str">
        <f ca="1">IF(Y680=行业比较!$E$6,ROW(),"")</f>
        <v/>
      </c>
      <c r="AA680" s="122"/>
      <c r="AB680" s="122"/>
      <c r="AC680" s="122"/>
      <c r="AD680" s="122"/>
      <c r="AE680" s="122"/>
      <c r="AF680" s="122"/>
      <c r="AG680" s="122"/>
      <c r="AH680" s="122"/>
      <c r="AI680" s="122"/>
      <c r="AJ680" s="122"/>
      <c r="AK680" s="122"/>
      <c r="AL680" s="122"/>
      <c r="AM680" s="122"/>
      <c r="AN680" s="122"/>
      <c r="AO680" s="122"/>
      <c r="AP680" s="122"/>
    </row>
    <row r="681" spans="2:42">
      <c r="B681" s="122"/>
      <c r="C681" s="122"/>
      <c r="D681" s="122"/>
      <c r="E681" s="122"/>
      <c r="F681" s="122"/>
      <c r="G681" s="122"/>
      <c r="H681" s="122"/>
      <c r="I681" s="275"/>
      <c r="J681" s="130"/>
      <c r="K681" s="130"/>
      <c r="L681" s="130"/>
      <c r="M681" s="130"/>
      <c r="N681" s="291"/>
      <c r="O681" s="291"/>
      <c r="P681" s="122"/>
      <c r="Q681" s="122"/>
      <c r="R681" s="122"/>
      <c r="S681" s="122"/>
      <c r="T681" s="122"/>
      <c r="U681" s="301"/>
      <c r="V681" s="260">
        <f t="shared" ca="1" si="18"/>
        <v>0</v>
      </c>
      <c r="W681" s="348" t="str">
        <f>IF(板块成分!B683="","",板块成分!B683)</f>
        <v>002162.SZ</v>
      </c>
      <c r="X681" s="276" t="str">
        <f>[1]!S_Info_Name(W681)</f>
        <v>悦心健康</v>
      </c>
      <c r="Y681" s="276" t="str">
        <f ca="1">IF($Y$3="申万一级行业",[1]!s_info_industry_sw_2021(W681,公司分析!D$5,1),IF($Y$3="申万二级行业",[1]!s_info_industry_sw_2021(W681,公司分析!D$5,2),IF($Y$3="申万三级行业",[1]!s_info_industry_sw_2021(W681,公司分析!D$5,3),IF($Y$3="wind一级行业",[1]!s_info_industry_gics(W681,1),IF($Y$3="wind二级行业",[1]!s_info_industry_gics(W681,2),IF($Y$3="wind三级行业",[1]!s_info_industry_gics(W681,3),IF($Y$3="wind四级行业",[1]!s_info_industry_gics(W681,4),IF($Y$3="证监会门类行业",[1]!s_info_industry_csrc12_n(W681,公司分析!D$5,1),""))))))))</f>
        <v>家居用品</v>
      </c>
      <c r="Z681" s="302" t="str">
        <f ca="1">IF(Y681=行业比较!$E$6,ROW(),"")</f>
        <v/>
      </c>
      <c r="AA681" s="122"/>
      <c r="AB681" s="122"/>
      <c r="AC681" s="122"/>
      <c r="AD681" s="122"/>
      <c r="AE681" s="122"/>
      <c r="AF681" s="122"/>
      <c r="AG681" s="122"/>
      <c r="AH681" s="122"/>
      <c r="AI681" s="122"/>
      <c r="AJ681" s="122"/>
      <c r="AK681" s="122"/>
      <c r="AL681" s="122"/>
      <c r="AM681" s="122"/>
      <c r="AN681" s="122"/>
      <c r="AO681" s="122"/>
      <c r="AP681" s="122"/>
    </row>
    <row r="682" spans="2:42">
      <c r="B682" s="122"/>
      <c r="C682" s="122"/>
      <c r="D682" s="122"/>
      <c r="E682" s="122"/>
      <c r="F682" s="122"/>
      <c r="G682" s="122"/>
      <c r="H682" s="122"/>
      <c r="I682" s="275"/>
      <c r="J682" s="130"/>
      <c r="K682" s="130"/>
      <c r="L682" s="130"/>
      <c r="M682" s="130"/>
      <c r="N682" s="291"/>
      <c r="O682" s="291"/>
      <c r="P682" s="122"/>
      <c r="Q682" s="122"/>
      <c r="R682" s="122"/>
      <c r="S682" s="122"/>
      <c r="T682" s="122"/>
      <c r="U682" s="301"/>
      <c r="V682" s="260">
        <f t="shared" ca="1" si="18"/>
        <v>0</v>
      </c>
      <c r="W682" s="348" t="str">
        <f>IF(板块成分!B684="","",板块成分!B684)</f>
        <v>002163.SZ</v>
      </c>
      <c r="X682" s="276" t="str">
        <f>[1]!S_Info_Name(W682)</f>
        <v>海南发展</v>
      </c>
      <c r="Y682" s="276" t="str">
        <f ca="1">IF($Y$3="申万一级行业",[1]!s_info_industry_sw_2021(W682,公司分析!D$5,1),IF($Y$3="申万二级行业",[1]!s_info_industry_sw_2021(W682,公司分析!D$5,2),IF($Y$3="申万三级行业",[1]!s_info_industry_sw_2021(W682,公司分析!D$5,3),IF($Y$3="wind一级行业",[1]!s_info_industry_gics(W682,1),IF($Y$3="wind二级行业",[1]!s_info_industry_gics(W682,2),IF($Y$3="wind三级行业",[1]!s_info_industry_gics(W682,3),IF($Y$3="wind四级行业",[1]!s_info_industry_gics(W682,4),IF($Y$3="证监会门类行业",[1]!s_info_industry_csrc12_n(W682,公司分析!D$5,1),""))))))))</f>
        <v>装修装饰Ⅱ</v>
      </c>
      <c r="Z682" s="302" t="str">
        <f ca="1">IF(Y682=行业比较!$E$6,ROW(),"")</f>
        <v/>
      </c>
      <c r="AA682" s="122"/>
      <c r="AB682" s="122"/>
      <c r="AC682" s="122"/>
      <c r="AD682" s="122"/>
      <c r="AE682" s="122"/>
      <c r="AF682" s="122"/>
      <c r="AG682" s="122"/>
      <c r="AH682" s="122"/>
      <c r="AI682" s="122"/>
      <c r="AJ682" s="122"/>
      <c r="AK682" s="122"/>
      <c r="AL682" s="122"/>
      <c r="AM682" s="122"/>
      <c r="AN682" s="122"/>
      <c r="AO682" s="122"/>
      <c r="AP682" s="122"/>
    </row>
    <row r="683" spans="2:42">
      <c r="B683" s="122"/>
      <c r="C683" s="122"/>
      <c r="D683" s="122"/>
      <c r="E683" s="122"/>
      <c r="F683" s="122"/>
      <c r="G683" s="122"/>
      <c r="H683" s="122"/>
      <c r="I683" s="275"/>
      <c r="J683" s="130"/>
      <c r="K683" s="130"/>
      <c r="L683" s="130"/>
      <c r="M683" s="130"/>
      <c r="N683" s="291"/>
      <c r="O683" s="291"/>
      <c r="P683" s="122"/>
      <c r="Q683" s="122"/>
      <c r="R683" s="122"/>
      <c r="S683" s="122"/>
      <c r="T683" s="122"/>
      <c r="U683" s="301"/>
      <c r="V683" s="260">
        <f t="shared" ca="1" si="18"/>
        <v>0</v>
      </c>
      <c r="W683" s="348" t="str">
        <f>IF(板块成分!B685="","",板块成分!B685)</f>
        <v>002164.SZ</v>
      </c>
      <c r="X683" s="276" t="str">
        <f>[1]!S_Info_Name(W683)</f>
        <v>宁波东力</v>
      </c>
      <c r="Y683" s="276" t="str">
        <f ca="1">IF($Y$3="申万一级行业",[1]!s_info_industry_sw_2021(W683,公司分析!D$5,1),IF($Y$3="申万二级行业",[1]!s_info_industry_sw_2021(W683,公司分析!D$5,2),IF($Y$3="申万三级行业",[1]!s_info_industry_sw_2021(W683,公司分析!D$5,3),IF($Y$3="wind一级行业",[1]!s_info_industry_gics(W683,1),IF($Y$3="wind二级行业",[1]!s_info_industry_gics(W683,2),IF($Y$3="wind三级行业",[1]!s_info_industry_gics(W683,3),IF($Y$3="wind四级行业",[1]!s_info_industry_gics(W683,4),IF($Y$3="证监会门类行业",[1]!s_info_industry_csrc12_n(W683,公司分析!D$5,1),""))))))))</f>
        <v>通用设备</v>
      </c>
      <c r="Z683" s="302" t="str">
        <f ca="1">IF(Y683=行业比较!$E$6,ROW(),"")</f>
        <v/>
      </c>
      <c r="AA683" s="122"/>
      <c r="AB683" s="122"/>
      <c r="AC683" s="122"/>
      <c r="AD683" s="122"/>
      <c r="AE683" s="122"/>
      <c r="AF683" s="122"/>
      <c r="AG683" s="122"/>
      <c r="AH683" s="122"/>
      <c r="AI683" s="122"/>
      <c r="AJ683" s="122"/>
      <c r="AK683" s="122"/>
      <c r="AL683" s="122"/>
      <c r="AM683" s="122"/>
      <c r="AN683" s="122"/>
      <c r="AO683" s="122"/>
      <c r="AP683" s="122"/>
    </row>
    <row r="684" spans="2:42">
      <c r="B684" s="122"/>
      <c r="C684" s="122"/>
      <c r="D684" s="122"/>
      <c r="E684" s="122"/>
      <c r="F684" s="122"/>
      <c r="G684" s="122"/>
      <c r="H684" s="122"/>
      <c r="I684" s="275"/>
      <c r="J684" s="130"/>
      <c r="K684" s="130"/>
      <c r="L684" s="130"/>
      <c r="M684" s="130"/>
      <c r="N684" s="291"/>
      <c r="O684" s="291"/>
      <c r="P684" s="122"/>
      <c r="Q684" s="122"/>
      <c r="R684" s="122"/>
      <c r="S684" s="122"/>
      <c r="T684" s="122"/>
      <c r="U684" s="301"/>
      <c r="V684" s="260">
        <f t="shared" ca="1" si="18"/>
        <v>0</v>
      </c>
      <c r="W684" s="348" t="str">
        <f>IF(板块成分!B686="","",板块成分!B686)</f>
        <v>002165.SZ</v>
      </c>
      <c r="X684" s="276" t="str">
        <f>[1]!S_Info_Name(W684)</f>
        <v>红宝丽</v>
      </c>
      <c r="Y684" s="276" t="str">
        <f ca="1">IF($Y$3="申万一级行业",[1]!s_info_industry_sw_2021(W684,公司分析!D$5,1),IF($Y$3="申万二级行业",[1]!s_info_industry_sw_2021(W684,公司分析!D$5,2),IF($Y$3="申万三级行业",[1]!s_info_industry_sw_2021(W684,公司分析!D$5,3),IF($Y$3="wind一级行业",[1]!s_info_industry_gics(W684,1),IF($Y$3="wind二级行业",[1]!s_info_industry_gics(W684,2),IF($Y$3="wind三级行业",[1]!s_info_industry_gics(W684,3),IF($Y$3="wind四级行业",[1]!s_info_industry_gics(W684,4),IF($Y$3="证监会门类行业",[1]!s_info_industry_csrc12_n(W684,公司分析!D$5,1),""))))))))</f>
        <v>化学制品</v>
      </c>
      <c r="Z684" s="302" t="str">
        <f ca="1">IF(Y684=行业比较!$E$6,ROW(),"")</f>
        <v/>
      </c>
      <c r="AA684" s="122"/>
      <c r="AB684" s="122"/>
      <c r="AC684" s="122"/>
      <c r="AD684" s="122"/>
      <c r="AE684" s="122"/>
      <c r="AF684" s="122"/>
      <c r="AG684" s="122"/>
      <c r="AH684" s="122"/>
      <c r="AI684" s="122"/>
      <c r="AJ684" s="122"/>
      <c r="AK684" s="122"/>
      <c r="AL684" s="122"/>
      <c r="AM684" s="122"/>
      <c r="AN684" s="122"/>
      <c r="AO684" s="122"/>
      <c r="AP684" s="122"/>
    </row>
    <row r="685" spans="2:42">
      <c r="B685" s="122"/>
      <c r="C685" s="122"/>
      <c r="D685" s="122"/>
      <c r="E685" s="122"/>
      <c r="F685" s="122"/>
      <c r="G685" s="122"/>
      <c r="H685" s="122"/>
      <c r="I685" s="275"/>
      <c r="J685" s="130"/>
      <c r="K685" s="130"/>
      <c r="L685" s="130"/>
      <c r="M685" s="130"/>
      <c r="N685" s="291"/>
      <c r="O685" s="291"/>
      <c r="P685" s="122"/>
      <c r="Q685" s="122"/>
      <c r="R685" s="122"/>
      <c r="S685" s="122"/>
      <c r="T685" s="122"/>
      <c r="U685" s="301"/>
      <c r="V685" s="260">
        <f t="shared" ca="1" si="18"/>
        <v>0</v>
      </c>
      <c r="W685" s="348" t="str">
        <f>IF(板块成分!B687="","",板块成分!B687)</f>
        <v>002166.SZ</v>
      </c>
      <c r="X685" s="276" t="str">
        <f>[1]!S_Info_Name(W685)</f>
        <v>莱茵生物</v>
      </c>
      <c r="Y685" s="276" t="str">
        <f ca="1">IF($Y$3="申万一级行业",[1]!s_info_industry_sw_2021(W685,公司分析!D$5,1),IF($Y$3="申万二级行业",[1]!s_info_industry_sw_2021(W685,公司分析!D$5,2),IF($Y$3="申万三级行业",[1]!s_info_industry_sw_2021(W685,公司分析!D$5,3),IF($Y$3="wind一级行业",[1]!s_info_industry_gics(W685,1),IF($Y$3="wind二级行业",[1]!s_info_industry_gics(W685,2),IF($Y$3="wind三级行业",[1]!s_info_industry_gics(W685,3),IF($Y$3="wind四级行业",[1]!s_info_industry_gics(W685,4),IF($Y$3="证监会门类行业",[1]!s_info_industry_csrc12_n(W685,公司分析!D$5,1),""))))))))</f>
        <v>化学制品</v>
      </c>
      <c r="Z685" s="302" t="str">
        <f ca="1">IF(Y685=行业比较!$E$6,ROW(),"")</f>
        <v/>
      </c>
      <c r="AA685" s="122"/>
      <c r="AB685" s="122"/>
      <c r="AC685" s="122"/>
      <c r="AD685" s="122"/>
      <c r="AE685" s="122"/>
      <c r="AF685" s="122"/>
      <c r="AG685" s="122"/>
      <c r="AH685" s="122"/>
      <c r="AI685" s="122"/>
      <c r="AJ685" s="122"/>
      <c r="AK685" s="122"/>
      <c r="AL685" s="122"/>
      <c r="AM685" s="122"/>
      <c r="AN685" s="122"/>
      <c r="AO685" s="122"/>
      <c r="AP685" s="122"/>
    </row>
    <row r="686" spans="2:42">
      <c r="B686" s="122"/>
      <c r="C686" s="122"/>
      <c r="D686" s="122"/>
      <c r="E686" s="122"/>
      <c r="F686" s="122"/>
      <c r="G686" s="122"/>
      <c r="H686" s="122"/>
      <c r="I686" s="275"/>
      <c r="J686" s="130"/>
      <c r="K686" s="130"/>
      <c r="L686" s="130"/>
      <c r="M686" s="130"/>
      <c r="N686" s="291"/>
      <c r="O686" s="291"/>
      <c r="P686" s="122"/>
      <c r="Q686" s="122"/>
      <c r="R686" s="122"/>
      <c r="S686" s="122"/>
      <c r="T686" s="122"/>
      <c r="U686" s="301"/>
      <c r="V686" s="260">
        <f t="shared" ca="1" si="18"/>
        <v>0</v>
      </c>
      <c r="W686" s="348" t="str">
        <f>IF(板块成分!B688="","",板块成分!B688)</f>
        <v>002167.SZ</v>
      </c>
      <c r="X686" s="276" t="str">
        <f>[1]!S_Info_Name(W686)</f>
        <v>东方锆业</v>
      </c>
      <c r="Y686" s="276" t="str">
        <f ca="1">IF($Y$3="申万一级行业",[1]!s_info_industry_sw_2021(W686,公司分析!D$5,1),IF($Y$3="申万二级行业",[1]!s_info_industry_sw_2021(W686,公司分析!D$5,2),IF($Y$3="申万三级行业",[1]!s_info_industry_sw_2021(W686,公司分析!D$5,3),IF($Y$3="wind一级行业",[1]!s_info_industry_gics(W686,1),IF($Y$3="wind二级行业",[1]!s_info_industry_gics(W686,2),IF($Y$3="wind三级行业",[1]!s_info_industry_gics(W686,3),IF($Y$3="wind四级行业",[1]!s_info_industry_gics(W686,4),IF($Y$3="证监会门类行业",[1]!s_info_industry_csrc12_n(W686,公司分析!D$5,1),""))))))))</f>
        <v>小金属</v>
      </c>
      <c r="Z686" s="302" t="str">
        <f ca="1">IF(Y686=行业比较!$E$6,ROW(),"")</f>
        <v/>
      </c>
      <c r="AA686" s="122"/>
      <c r="AB686" s="122"/>
      <c r="AC686" s="122"/>
      <c r="AD686" s="122"/>
      <c r="AE686" s="122"/>
      <c r="AF686" s="122"/>
      <c r="AG686" s="122"/>
      <c r="AH686" s="122"/>
      <c r="AI686" s="122"/>
      <c r="AJ686" s="122"/>
      <c r="AK686" s="122"/>
      <c r="AL686" s="122"/>
      <c r="AM686" s="122"/>
      <c r="AN686" s="122"/>
      <c r="AO686" s="122"/>
      <c r="AP686" s="122"/>
    </row>
    <row r="687" spans="2:42">
      <c r="B687" s="122"/>
      <c r="C687" s="122"/>
      <c r="D687" s="122"/>
      <c r="E687" s="122"/>
      <c r="F687" s="122"/>
      <c r="G687" s="122"/>
      <c r="H687" s="122"/>
      <c r="I687" s="275"/>
      <c r="J687" s="130"/>
      <c r="K687" s="130"/>
      <c r="L687" s="130"/>
      <c r="M687" s="130"/>
      <c r="N687" s="291"/>
      <c r="O687" s="291"/>
      <c r="P687" s="122"/>
      <c r="Q687" s="122"/>
      <c r="R687" s="122"/>
      <c r="S687" s="122"/>
      <c r="T687" s="122"/>
      <c r="U687" s="301"/>
      <c r="V687" s="260">
        <f t="shared" ca="1" si="18"/>
        <v>0</v>
      </c>
      <c r="W687" s="348" t="str">
        <f>IF(板块成分!B689="","",板块成分!B689)</f>
        <v>002168.SZ</v>
      </c>
      <c r="X687" s="276" t="str">
        <f>[1]!S_Info_Name(W687)</f>
        <v>*ST惠程</v>
      </c>
      <c r="Y687" s="276" t="str">
        <f ca="1">IF($Y$3="申万一级行业",[1]!s_info_industry_sw_2021(W687,公司分析!D$5,1),IF($Y$3="申万二级行业",[1]!s_info_industry_sw_2021(W687,公司分析!D$5,2),IF($Y$3="申万三级行业",[1]!s_info_industry_sw_2021(W687,公司分析!D$5,3),IF($Y$3="wind一级行业",[1]!s_info_industry_gics(W687,1),IF($Y$3="wind二级行业",[1]!s_info_industry_gics(W687,2),IF($Y$3="wind三级行业",[1]!s_info_industry_gics(W687,3),IF($Y$3="wind四级行业",[1]!s_info_industry_gics(W687,4),IF($Y$3="证监会门类行业",[1]!s_info_industry_csrc12_n(W687,公司分析!D$5,1),""))))))))</f>
        <v>电网设备</v>
      </c>
      <c r="Z687" s="302" t="str">
        <f ca="1">IF(Y687=行业比较!$E$6,ROW(),"")</f>
        <v/>
      </c>
      <c r="AA687" s="122"/>
      <c r="AB687" s="122"/>
      <c r="AC687" s="122"/>
      <c r="AD687" s="122"/>
      <c r="AE687" s="122"/>
      <c r="AF687" s="122"/>
      <c r="AG687" s="122"/>
      <c r="AH687" s="122"/>
      <c r="AI687" s="122"/>
      <c r="AJ687" s="122"/>
      <c r="AK687" s="122"/>
      <c r="AL687" s="122"/>
      <c r="AM687" s="122"/>
      <c r="AN687" s="122"/>
      <c r="AO687" s="122"/>
      <c r="AP687" s="122"/>
    </row>
    <row r="688" spans="2:42">
      <c r="B688" s="122"/>
      <c r="C688" s="122"/>
      <c r="D688" s="122"/>
      <c r="E688" s="122"/>
      <c r="F688" s="122"/>
      <c r="G688" s="122"/>
      <c r="H688" s="122"/>
      <c r="I688" s="275"/>
      <c r="J688" s="130"/>
      <c r="K688" s="130"/>
      <c r="L688" s="130"/>
      <c r="M688" s="130"/>
      <c r="N688" s="291"/>
      <c r="O688" s="291"/>
      <c r="P688" s="122"/>
      <c r="Q688" s="122"/>
      <c r="R688" s="122"/>
      <c r="S688" s="122"/>
      <c r="T688" s="122"/>
      <c r="U688" s="301"/>
      <c r="V688" s="260">
        <f t="shared" ca="1" si="18"/>
        <v>0</v>
      </c>
      <c r="W688" s="348" t="str">
        <f>IF(板块成分!B690="","",板块成分!B690)</f>
        <v>002169.SZ</v>
      </c>
      <c r="X688" s="276" t="str">
        <f>[1]!S_Info_Name(W688)</f>
        <v>智光电气</v>
      </c>
      <c r="Y688" s="276" t="str">
        <f ca="1">IF($Y$3="申万一级行业",[1]!s_info_industry_sw_2021(W688,公司分析!D$5,1),IF($Y$3="申万二级行业",[1]!s_info_industry_sw_2021(W688,公司分析!D$5,2),IF($Y$3="申万三级行业",[1]!s_info_industry_sw_2021(W688,公司分析!D$5,3),IF($Y$3="wind一级行业",[1]!s_info_industry_gics(W688,1),IF($Y$3="wind二级行业",[1]!s_info_industry_gics(W688,2),IF($Y$3="wind三级行业",[1]!s_info_industry_gics(W688,3),IF($Y$3="wind四级行业",[1]!s_info_industry_gics(W688,4),IF($Y$3="证监会门类行业",[1]!s_info_industry_csrc12_n(W688,公司分析!D$5,1),""))))))))</f>
        <v>电网设备</v>
      </c>
      <c r="Z688" s="302" t="str">
        <f ca="1">IF(Y688=行业比较!$E$6,ROW(),"")</f>
        <v/>
      </c>
      <c r="AA688" s="122"/>
      <c r="AB688" s="122"/>
      <c r="AC688" s="122"/>
      <c r="AD688" s="122"/>
      <c r="AE688" s="122"/>
      <c r="AF688" s="122"/>
      <c r="AG688" s="122"/>
      <c r="AH688" s="122"/>
      <c r="AI688" s="122"/>
      <c r="AJ688" s="122"/>
      <c r="AK688" s="122"/>
      <c r="AL688" s="122"/>
      <c r="AM688" s="122"/>
      <c r="AN688" s="122"/>
      <c r="AO688" s="122"/>
      <c r="AP688" s="122"/>
    </row>
    <row r="689" spans="2:42">
      <c r="B689" s="122"/>
      <c r="C689" s="122"/>
      <c r="D689" s="122"/>
      <c r="E689" s="122"/>
      <c r="F689" s="122"/>
      <c r="G689" s="122"/>
      <c r="H689" s="122"/>
      <c r="I689" s="275"/>
      <c r="J689" s="130"/>
      <c r="K689" s="130"/>
      <c r="L689" s="130"/>
      <c r="M689" s="130"/>
      <c r="N689" s="291"/>
      <c r="O689" s="291"/>
      <c r="P689" s="122"/>
      <c r="Q689" s="122"/>
      <c r="R689" s="122"/>
      <c r="S689" s="122"/>
      <c r="T689" s="122"/>
      <c r="U689" s="301"/>
      <c r="V689" s="260">
        <f t="shared" ca="1" si="18"/>
        <v>0</v>
      </c>
      <c r="W689" s="348" t="str">
        <f>IF(板块成分!B691="","",板块成分!B691)</f>
        <v>002170.SZ</v>
      </c>
      <c r="X689" s="276" t="str">
        <f>[1]!S_Info_Name(W689)</f>
        <v>芭田股份</v>
      </c>
      <c r="Y689" s="276" t="str">
        <f ca="1">IF($Y$3="申万一级行业",[1]!s_info_industry_sw_2021(W689,公司分析!D$5,1),IF($Y$3="申万二级行业",[1]!s_info_industry_sw_2021(W689,公司分析!D$5,2),IF($Y$3="申万三级行业",[1]!s_info_industry_sw_2021(W689,公司分析!D$5,3),IF($Y$3="wind一级行业",[1]!s_info_industry_gics(W689,1),IF($Y$3="wind二级行业",[1]!s_info_industry_gics(W689,2),IF($Y$3="wind三级行业",[1]!s_info_industry_gics(W689,3),IF($Y$3="wind四级行业",[1]!s_info_industry_gics(W689,4),IF($Y$3="证监会门类行业",[1]!s_info_industry_csrc12_n(W689,公司分析!D$5,1),""))))))))</f>
        <v>农化制品</v>
      </c>
      <c r="Z689" s="302" t="str">
        <f ca="1">IF(Y689=行业比较!$E$6,ROW(),"")</f>
        <v/>
      </c>
      <c r="AA689" s="122"/>
      <c r="AB689" s="122"/>
      <c r="AC689" s="122"/>
      <c r="AD689" s="122"/>
      <c r="AE689" s="122"/>
      <c r="AF689" s="122"/>
      <c r="AG689" s="122"/>
      <c r="AH689" s="122"/>
      <c r="AI689" s="122"/>
      <c r="AJ689" s="122"/>
      <c r="AK689" s="122"/>
      <c r="AL689" s="122"/>
      <c r="AM689" s="122"/>
      <c r="AN689" s="122"/>
      <c r="AO689" s="122"/>
      <c r="AP689" s="122"/>
    </row>
    <row r="690" spans="2:42">
      <c r="B690" s="122"/>
      <c r="C690" s="122"/>
      <c r="D690" s="122"/>
      <c r="E690" s="122"/>
      <c r="F690" s="122"/>
      <c r="G690" s="122"/>
      <c r="H690" s="122"/>
      <c r="I690" s="275"/>
      <c r="J690" s="130"/>
      <c r="K690" s="130"/>
      <c r="L690" s="130"/>
      <c r="M690" s="130"/>
      <c r="N690" s="291"/>
      <c r="O690" s="291"/>
      <c r="P690" s="122"/>
      <c r="Q690" s="122"/>
      <c r="R690" s="122"/>
      <c r="S690" s="122"/>
      <c r="T690" s="122"/>
      <c r="U690" s="301"/>
      <c r="V690" s="260">
        <f t="shared" ca="1" si="18"/>
        <v>15</v>
      </c>
      <c r="W690" s="348" t="str">
        <f>IF(板块成分!B692="","",板块成分!B692)</f>
        <v>002171.SZ</v>
      </c>
      <c r="X690" s="276" t="str">
        <f>[1]!S_Info_Name(W690)</f>
        <v>楚江新材</v>
      </c>
      <c r="Y690" s="276" t="str">
        <f ca="1">IF($Y$3="申万一级行业",[1]!s_info_industry_sw_2021(W690,公司分析!D$5,1),IF($Y$3="申万二级行业",[1]!s_info_industry_sw_2021(W690,公司分析!D$5,2),IF($Y$3="申万三级行业",[1]!s_info_industry_sw_2021(W690,公司分析!D$5,3),IF($Y$3="wind一级行业",[1]!s_info_industry_gics(W690,1),IF($Y$3="wind二级行业",[1]!s_info_industry_gics(W690,2),IF($Y$3="wind三级行业",[1]!s_info_industry_gics(W690,3),IF($Y$3="wind四级行业",[1]!s_info_industry_gics(W690,4),IF($Y$3="证监会门类行业",[1]!s_info_industry_csrc12_n(W690,公司分析!D$5,1),""))))))))</f>
        <v>工业金属</v>
      </c>
      <c r="Z690" s="302">
        <f ca="1">IF(Y690=行业比较!$E$6,ROW(),"")</f>
        <v>690</v>
      </c>
      <c r="AA690" s="122"/>
      <c r="AB690" s="122"/>
      <c r="AC690" s="122"/>
      <c r="AD690" s="122"/>
      <c r="AE690" s="122"/>
      <c r="AF690" s="122"/>
      <c r="AG690" s="122"/>
      <c r="AH690" s="122"/>
      <c r="AI690" s="122"/>
      <c r="AJ690" s="122"/>
      <c r="AK690" s="122"/>
      <c r="AL690" s="122"/>
      <c r="AM690" s="122"/>
      <c r="AN690" s="122"/>
      <c r="AO690" s="122"/>
      <c r="AP690" s="122"/>
    </row>
    <row r="691" spans="2:42">
      <c r="B691" s="122"/>
      <c r="C691" s="122"/>
      <c r="D691" s="122"/>
      <c r="E691" s="122"/>
      <c r="F691" s="122"/>
      <c r="G691" s="122"/>
      <c r="H691" s="122"/>
      <c r="I691" s="275"/>
      <c r="J691" s="130"/>
      <c r="K691" s="130"/>
      <c r="L691" s="130"/>
      <c r="M691" s="130"/>
      <c r="N691" s="291"/>
      <c r="O691" s="291"/>
      <c r="P691" s="122"/>
      <c r="Q691" s="122"/>
      <c r="R691" s="122"/>
      <c r="S691" s="122"/>
      <c r="T691" s="122"/>
      <c r="U691" s="301"/>
      <c r="V691" s="260">
        <f t="shared" ca="1" si="18"/>
        <v>0</v>
      </c>
      <c r="W691" s="348" t="str">
        <f>IF(板块成分!B693="","",板块成分!B693)</f>
        <v>002172.SZ</v>
      </c>
      <c r="X691" s="276" t="str">
        <f>[1]!S_Info_Name(W691)</f>
        <v>澳洋健康</v>
      </c>
      <c r="Y691" s="276" t="str">
        <f ca="1">IF($Y$3="申万一级行业",[1]!s_info_industry_sw_2021(W691,公司分析!D$5,1),IF($Y$3="申万二级行业",[1]!s_info_industry_sw_2021(W691,公司分析!D$5,2),IF($Y$3="申万三级行业",[1]!s_info_industry_sw_2021(W691,公司分析!D$5,3),IF($Y$3="wind一级行业",[1]!s_info_industry_gics(W691,1),IF($Y$3="wind二级行业",[1]!s_info_industry_gics(W691,2),IF($Y$3="wind三级行业",[1]!s_info_industry_gics(W691,3),IF($Y$3="wind四级行业",[1]!s_info_industry_gics(W691,4),IF($Y$3="证监会门类行业",[1]!s_info_industry_csrc12_n(W691,公司分析!D$5,1),""))))))))</f>
        <v>医疗服务</v>
      </c>
      <c r="Z691" s="302" t="str">
        <f ca="1">IF(Y691=行业比较!$E$6,ROW(),"")</f>
        <v/>
      </c>
      <c r="AA691" s="122"/>
      <c r="AB691" s="122"/>
      <c r="AC691" s="122"/>
      <c r="AD691" s="122"/>
      <c r="AE691" s="122"/>
      <c r="AF691" s="122"/>
      <c r="AG691" s="122"/>
      <c r="AH691" s="122"/>
      <c r="AI691" s="122"/>
      <c r="AJ691" s="122"/>
      <c r="AK691" s="122"/>
      <c r="AL691" s="122"/>
      <c r="AM691" s="122"/>
      <c r="AN691" s="122"/>
      <c r="AO691" s="122"/>
      <c r="AP691" s="122"/>
    </row>
    <row r="692" spans="2:42">
      <c r="B692" s="122"/>
      <c r="C692" s="122"/>
      <c r="D692" s="122"/>
      <c r="E692" s="122"/>
      <c r="F692" s="122"/>
      <c r="G692" s="122"/>
      <c r="H692" s="122"/>
      <c r="I692" s="275"/>
      <c r="J692" s="130"/>
      <c r="K692" s="130"/>
      <c r="L692" s="130"/>
      <c r="M692" s="130"/>
      <c r="N692" s="291"/>
      <c r="O692" s="291"/>
      <c r="P692" s="122"/>
      <c r="Q692" s="122"/>
      <c r="R692" s="122"/>
      <c r="S692" s="122"/>
      <c r="T692" s="122"/>
      <c r="U692" s="301"/>
      <c r="V692" s="260">
        <f t="shared" ca="1" si="18"/>
        <v>0</v>
      </c>
      <c r="W692" s="348" t="str">
        <f>IF(板块成分!B694="","",板块成分!B694)</f>
        <v>002173.SZ</v>
      </c>
      <c r="X692" s="276" t="str">
        <f>[1]!S_Info_Name(W692)</f>
        <v>创新医疗</v>
      </c>
      <c r="Y692" s="276" t="str">
        <f ca="1">IF($Y$3="申万一级行业",[1]!s_info_industry_sw_2021(W692,公司分析!D$5,1),IF($Y$3="申万二级行业",[1]!s_info_industry_sw_2021(W692,公司分析!D$5,2),IF($Y$3="申万三级行业",[1]!s_info_industry_sw_2021(W692,公司分析!D$5,3),IF($Y$3="wind一级行业",[1]!s_info_industry_gics(W692,1),IF($Y$3="wind二级行业",[1]!s_info_industry_gics(W692,2),IF($Y$3="wind三级行业",[1]!s_info_industry_gics(W692,3),IF($Y$3="wind四级行业",[1]!s_info_industry_gics(W692,4),IF($Y$3="证监会门类行业",[1]!s_info_industry_csrc12_n(W692,公司分析!D$5,1),""))))))))</f>
        <v>医疗服务</v>
      </c>
      <c r="Z692" s="302" t="str">
        <f ca="1">IF(Y692=行业比较!$E$6,ROW(),"")</f>
        <v/>
      </c>
      <c r="AA692" s="122"/>
      <c r="AB692" s="122"/>
      <c r="AC692" s="122"/>
      <c r="AD692" s="122"/>
      <c r="AE692" s="122"/>
      <c r="AF692" s="122"/>
      <c r="AG692" s="122"/>
      <c r="AH692" s="122"/>
      <c r="AI692" s="122"/>
      <c r="AJ692" s="122"/>
      <c r="AK692" s="122"/>
      <c r="AL692" s="122"/>
      <c r="AM692" s="122"/>
      <c r="AN692" s="122"/>
      <c r="AO692" s="122"/>
      <c r="AP692" s="122"/>
    </row>
    <row r="693" spans="2:42">
      <c r="B693" s="122"/>
      <c r="C693" s="122"/>
      <c r="D693" s="122"/>
      <c r="E693" s="122"/>
      <c r="F693" s="122"/>
      <c r="G693" s="122"/>
      <c r="H693" s="122"/>
      <c r="I693" s="275"/>
      <c r="J693" s="130"/>
      <c r="K693" s="130"/>
      <c r="L693" s="130"/>
      <c r="M693" s="130"/>
      <c r="N693" s="291"/>
      <c r="O693" s="291"/>
      <c r="P693" s="122"/>
      <c r="Q693" s="122"/>
      <c r="R693" s="122"/>
      <c r="S693" s="122"/>
      <c r="T693" s="122"/>
      <c r="U693" s="301"/>
      <c r="V693" s="260">
        <f t="shared" ca="1" si="18"/>
        <v>0</v>
      </c>
      <c r="W693" s="348" t="str">
        <f>IF(板块成分!B695="","",板块成分!B695)</f>
        <v>002174.SZ</v>
      </c>
      <c r="X693" s="276" t="str">
        <f>[1]!S_Info_Name(W693)</f>
        <v>游族网络</v>
      </c>
      <c r="Y693" s="276" t="str">
        <f ca="1">IF($Y$3="申万一级行业",[1]!s_info_industry_sw_2021(W693,公司分析!D$5,1),IF($Y$3="申万二级行业",[1]!s_info_industry_sw_2021(W693,公司分析!D$5,2),IF($Y$3="申万三级行业",[1]!s_info_industry_sw_2021(W693,公司分析!D$5,3),IF($Y$3="wind一级行业",[1]!s_info_industry_gics(W693,1),IF($Y$3="wind二级行业",[1]!s_info_industry_gics(W693,2),IF($Y$3="wind三级行业",[1]!s_info_industry_gics(W693,3),IF($Y$3="wind四级行业",[1]!s_info_industry_gics(W693,4),IF($Y$3="证监会门类行业",[1]!s_info_industry_csrc12_n(W693,公司分析!D$5,1),""))))))))</f>
        <v>游戏Ⅱ</v>
      </c>
      <c r="Z693" s="302" t="str">
        <f ca="1">IF(Y693=行业比较!$E$6,ROW(),"")</f>
        <v/>
      </c>
      <c r="AA693" s="122"/>
      <c r="AB693" s="122"/>
      <c r="AC693" s="122"/>
      <c r="AD693" s="122"/>
      <c r="AE693" s="122"/>
      <c r="AF693" s="122"/>
      <c r="AG693" s="122"/>
      <c r="AH693" s="122"/>
      <c r="AI693" s="122"/>
      <c r="AJ693" s="122"/>
      <c r="AK693" s="122"/>
      <c r="AL693" s="122"/>
      <c r="AM693" s="122"/>
      <c r="AN693" s="122"/>
      <c r="AO693" s="122"/>
      <c r="AP693" s="122"/>
    </row>
    <row r="694" spans="2:42">
      <c r="B694" s="122"/>
      <c r="C694" s="122"/>
      <c r="D694" s="122"/>
      <c r="E694" s="122"/>
      <c r="F694" s="122"/>
      <c r="G694" s="122"/>
      <c r="H694" s="122"/>
      <c r="I694" s="275"/>
      <c r="J694" s="130"/>
      <c r="K694" s="130"/>
      <c r="L694" s="130"/>
      <c r="M694" s="130"/>
      <c r="N694" s="291"/>
      <c r="O694" s="291"/>
      <c r="P694" s="122"/>
      <c r="Q694" s="122"/>
      <c r="R694" s="122"/>
      <c r="S694" s="122"/>
      <c r="T694" s="122"/>
      <c r="U694" s="301"/>
      <c r="V694" s="260">
        <f t="shared" ca="1" si="18"/>
        <v>0</v>
      </c>
      <c r="W694" s="348" t="str">
        <f>IF(板块成分!B696="","",板块成分!B696)</f>
        <v>002175.SZ</v>
      </c>
      <c r="X694" s="276" t="str">
        <f>[1]!S_Info_Name(W694)</f>
        <v>东方智造</v>
      </c>
      <c r="Y694" s="276" t="str">
        <f ca="1">IF($Y$3="申万一级行业",[1]!s_info_industry_sw_2021(W694,公司分析!D$5,1),IF($Y$3="申万二级行业",[1]!s_info_industry_sw_2021(W694,公司分析!D$5,2),IF($Y$3="申万三级行业",[1]!s_info_industry_sw_2021(W694,公司分析!D$5,3),IF($Y$3="wind一级行业",[1]!s_info_industry_gics(W694,1),IF($Y$3="wind二级行业",[1]!s_info_industry_gics(W694,2),IF($Y$3="wind三级行业",[1]!s_info_industry_gics(W694,3),IF($Y$3="wind四级行业",[1]!s_info_industry_gics(W694,4),IF($Y$3="证监会门类行业",[1]!s_info_industry_csrc12_n(W694,公司分析!D$5,1),""))))))))</f>
        <v>通用设备</v>
      </c>
      <c r="Z694" s="302" t="str">
        <f ca="1">IF(Y694=行业比较!$E$6,ROW(),"")</f>
        <v/>
      </c>
      <c r="AA694" s="122"/>
      <c r="AB694" s="122"/>
      <c r="AC694" s="122"/>
      <c r="AD694" s="122"/>
      <c r="AE694" s="122"/>
      <c r="AF694" s="122"/>
      <c r="AG694" s="122"/>
      <c r="AH694" s="122"/>
      <c r="AI694" s="122"/>
      <c r="AJ694" s="122"/>
      <c r="AK694" s="122"/>
      <c r="AL694" s="122"/>
      <c r="AM694" s="122"/>
      <c r="AN694" s="122"/>
      <c r="AO694" s="122"/>
      <c r="AP694" s="122"/>
    </row>
    <row r="695" spans="2:42">
      <c r="B695" s="122"/>
      <c r="C695" s="122"/>
      <c r="D695" s="122"/>
      <c r="E695" s="122"/>
      <c r="F695" s="122"/>
      <c r="G695" s="122"/>
      <c r="H695" s="122"/>
      <c r="I695" s="275"/>
      <c r="J695" s="130"/>
      <c r="K695" s="130"/>
      <c r="L695" s="130"/>
      <c r="M695" s="130"/>
      <c r="N695" s="291"/>
      <c r="O695" s="291"/>
      <c r="P695" s="122"/>
      <c r="Q695" s="122"/>
      <c r="R695" s="122"/>
      <c r="S695" s="122"/>
      <c r="T695" s="122"/>
      <c r="U695" s="301"/>
      <c r="V695" s="260">
        <f t="shared" ca="1" si="18"/>
        <v>0</v>
      </c>
      <c r="W695" s="348" t="str">
        <f>IF(板块成分!B697="","",板块成分!B697)</f>
        <v>002176.SZ</v>
      </c>
      <c r="X695" s="276" t="str">
        <f>[1]!S_Info_Name(W695)</f>
        <v>江特电机</v>
      </c>
      <c r="Y695" s="276" t="str">
        <f ca="1">IF($Y$3="申万一级行业",[1]!s_info_industry_sw_2021(W695,公司分析!D$5,1),IF($Y$3="申万二级行业",[1]!s_info_industry_sw_2021(W695,公司分析!D$5,2),IF($Y$3="申万三级行业",[1]!s_info_industry_sw_2021(W695,公司分析!D$5,3),IF($Y$3="wind一级行业",[1]!s_info_industry_gics(W695,1),IF($Y$3="wind二级行业",[1]!s_info_industry_gics(W695,2),IF($Y$3="wind三级行业",[1]!s_info_industry_gics(W695,3),IF($Y$3="wind四级行业",[1]!s_info_industry_gics(W695,4),IF($Y$3="证监会门类行业",[1]!s_info_industry_csrc12_n(W695,公司分析!D$5,1),""))))))))</f>
        <v>电机Ⅱ</v>
      </c>
      <c r="Z695" s="302" t="str">
        <f ca="1">IF(Y695=行业比较!$E$6,ROW(),"")</f>
        <v/>
      </c>
      <c r="AA695" s="122"/>
      <c r="AB695" s="122"/>
      <c r="AC695" s="122"/>
      <c r="AD695" s="122"/>
      <c r="AE695" s="122"/>
      <c r="AF695" s="122"/>
      <c r="AG695" s="122"/>
      <c r="AH695" s="122"/>
      <c r="AI695" s="122"/>
      <c r="AJ695" s="122"/>
      <c r="AK695" s="122"/>
      <c r="AL695" s="122"/>
      <c r="AM695" s="122"/>
      <c r="AN695" s="122"/>
      <c r="AO695" s="122"/>
      <c r="AP695" s="122"/>
    </row>
    <row r="696" spans="2:42">
      <c r="B696" s="122"/>
      <c r="C696" s="122"/>
      <c r="D696" s="122"/>
      <c r="E696" s="122"/>
      <c r="F696" s="122"/>
      <c r="G696" s="122"/>
      <c r="H696" s="122"/>
      <c r="I696" s="275"/>
      <c r="J696" s="130"/>
      <c r="K696" s="130"/>
      <c r="L696" s="130"/>
      <c r="M696" s="130"/>
      <c r="N696" s="291"/>
      <c r="O696" s="291"/>
      <c r="P696" s="122"/>
      <c r="Q696" s="122"/>
      <c r="R696" s="122"/>
      <c r="S696" s="122"/>
      <c r="T696" s="122"/>
      <c r="U696" s="301"/>
      <c r="V696" s="260">
        <f t="shared" ca="1" si="18"/>
        <v>0</v>
      </c>
      <c r="W696" s="348" t="str">
        <f>IF(板块成分!B698="","",板块成分!B698)</f>
        <v>002177.SZ</v>
      </c>
      <c r="X696" s="276" t="str">
        <f>[1]!S_Info_Name(W696)</f>
        <v>御银股份</v>
      </c>
      <c r="Y696" s="276" t="str">
        <f ca="1">IF($Y$3="申万一级行业",[1]!s_info_industry_sw_2021(W696,公司分析!D$5,1),IF($Y$3="申万二级行业",[1]!s_info_industry_sw_2021(W696,公司分析!D$5,2),IF($Y$3="申万三级行业",[1]!s_info_industry_sw_2021(W696,公司分析!D$5,3),IF($Y$3="wind一级行业",[1]!s_info_industry_gics(W696,1),IF($Y$3="wind二级行业",[1]!s_info_industry_gics(W696,2),IF($Y$3="wind三级行业",[1]!s_info_industry_gics(W696,3),IF($Y$3="wind四级行业",[1]!s_info_industry_gics(W696,4),IF($Y$3="证监会门类行业",[1]!s_info_industry_csrc12_n(W696,公司分析!D$5,1),""))))))))</f>
        <v>计算机设备</v>
      </c>
      <c r="Z696" s="302" t="str">
        <f ca="1">IF(Y696=行业比较!$E$6,ROW(),"")</f>
        <v/>
      </c>
      <c r="AA696" s="122"/>
      <c r="AB696" s="122"/>
      <c r="AC696" s="122"/>
      <c r="AD696" s="122"/>
      <c r="AE696" s="122"/>
      <c r="AF696" s="122"/>
      <c r="AG696" s="122"/>
      <c r="AH696" s="122"/>
      <c r="AI696" s="122"/>
      <c r="AJ696" s="122"/>
      <c r="AK696" s="122"/>
      <c r="AL696" s="122"/>
      <c r="AM696" s="122"/>
      <c r="AN696" s="122"/>
      <c r="AO696" s="122"/>
      <c r="AP696" s="122"/>
    </row>
    <row r="697" spans="2:42">
      <c r="B697" s="122"/>
      <c r="C697" s="122"/>
      <c r="D697" s="122"/>
      <c r="E697" s="122"/>
      <c r="F697" s="122"/>
      <c r="G697" s="122"/>
      <c r="H697" s="122"/>
      <c r="I697" s="275"/>
      <c r="J697" s="130"/>
      <c r="K697" s="130"/>
      <c r="L697" s="130"/>
      <c r="M697" s="130"/>
      <c r="N697" s="291"/>
      <c r="O697" s="291"/>
      <c r="P697" s="122"/>
      <c r="Q697" s="122"/>
      <c r="R697" s="122"/>
      <c r="S697" s="122"/>
      <c r="T697" s="122"/>
      <c r="U697" s="301"/>
      <c r="V697" s="260">
        <f t="shared" ca="1" si="18"/>
        <v>0</v>
      </c>
      <c r="W697" s="348" t="str">
        <f>IF(板块成分!B699="","",板块成分!B699)</f>
        <v>002178.SZ</v>
      </c>
      <c r="X697" s="276" t="str">
        <f>[1]!S_Info_Name(W697)</f>
        <v>延华智能</v>
      </c>
      <c r="Y697" s="276" t="str">
        <f ca="1">IF($Y$3="申万一级行业",[1]!s_info_industry_sw_2021(W697,公司分析!D$5,1),IF($Y$3="申万二级行业",[1]!s_info_industry_sw_2021(W697,公司分析!D$5,2),IF($Y$3="申万三级行业",[1]!s_info_industry_sw_2021(W697,公司分析!D$5,3),IF($Y$3="wind一级行业",[1]!s_info_industry_gics(W697,1),IF($Y$3="wind二级行业",[1]!s_info_industry_gics(W697,2),IF($Y$3="wind三级行业",[1]!s_info_industry_gics(W697,3),IF($Y$3="wind四级行业",[1]!s_info_industry_gics(W697,4),IF($Y$3="证监会门类行业",[1]!s_info_industry_csrc12_n(W697,公司分析!D$5,1),""))))))))</f>
        <v>软件开发</v>
      </c>
      <c r="Z697" s="302" t="str">
        <f ca="1">IF(Y697=行业比较!$E$6,ROW(),"")</f>
        <v/>
      </c>
      <c r="AA697" s="122"/>
      <c r="AB697" s="122"/>
      <c r="AC697" s="122"/>
      <c r="AD697" s="122"/>
      <c r="AE697" s="122"/>
      <c r="AF697" s="122"/>
      <c r="AG697" s="122"/>
      <c r="AH697" s="122"/>
      <c r="AI697" s="122"/>
      <c r="AJ697" s="122"/>
      <c r="AK697" s="122"/>
      <c r="AL697" s="122"/>
      <c r="AM697" s="122"/>
      <c r="AN697" s="122"/>
      <c r="AO697" s="122"/>
      <c r="AP697" s="122"/>
    </row>
    <row r="698" spans="2:42">
      <c r="B698" s="122"/>
      <c r="C698" s="122"/>
      <c r="D698" s="122"/>
      <c r="E698" s="122"/>
      <c r="F698" s="122"/>
      <c r="G698" s="122"/>
      <c r="H698" s="122"/>
      <c r="I698" s="275"/>
      <c r="J698" s="130"/>
      <c r="K698" s="130"/>
      <c r="L698" s="130"/>
      <c r="M698" s="130"/>
      <c r="N698" s="291"/>
      <c r="O698" s="291"/>
      <c r="P698" s="122"/>
      <c r="Q698" s="122"/>
      <c r="R698" s="122"/>
      <c r="S698" s="122"/>
      <c r="T698" s="122"/>
      <c r="U698" s="301"/>
      <c r="V698" s="260">
        <f t="shared" ca="1" si="18"/>
        <v>0</v>
      </c>
      <c r="W698" s="348" t="str">
        <f>IF(板块成分!B700="","",板块成分!B700)</f>
        <v>002179.SZ</v>
      </c>
      <c r="X698" s="276" t="str">
        <f>[1]!S_Info_Name(W698)</f>
        <v>中航光电</v>
      </c>
      <c r="Y698" s="276" t="str">
        <f ca="1">IF($Y$3="申万一级行业",[1]!s_info_industry_sw_2021(W698,公司分析!D$5,1),IF($Y$3="申万二级行业",[1]!s_info_industry_sw_2021(W698,公司分析!D$5,2),IF($Y$3="申万三级行业",[1]!s_info_industry_sw_2021(W698,公司分析!D$5,3),IF($Y$3="wind一级行业",[1]!s_info_industry_gics(W698,1),IF($Y$3="wind二级行业",[1]!s_info_industry_gics(W698,2),IF($Y$3="wind三级行业",[1]!s_info_industry_gics(W698,3),IF($Y$3="wind四级行业",[1]!s_info_industry_gics(W698,4),IF($Y$3="证监会门类行业",[1]!s_info_industry_csrc12_n(W698,公司分析!D$5,1),""))))))))</f>
        <v>军工电子Ⅱ</v>
      </c>
      <c r="Z698" s="302" t="str">
        <f ca="1">IF(Y698=行业比较!$E$6,ROW(),"")</f>
        <v/>
      </c>
      <c r="AA698" s="122"/>
      <c r="AB698" s="122"/>
      <c r="AC698" s="122"/>
      <c r="AD698" s="122"/>
      <c r="AE698" s="122"/>
      <c r="AF698" s="122"/>
      <c r="AG698" s="122"/>
      <c r="AH698" s="122"/>
      <c r="AI698" s="122"/>
      <c r="AJ698" s="122"/>
      <c r="AK698" s="122"/>
      <c r="AL698" s="122"/>
      <c r="AM698" s="122"/>
      <c r="AN698" s="122"/>
      <c r="AO698" s="122"/>
      <c r="AP698" s="122"/>
    </row>
    <row r="699" spans="2:42">
      <c r="B699" s="122"/>
      <c r="C699" s="122"/>
      <c r="D699" s="122"/>
      <c r="E699" s="122"/>
      <c r="F699" s="122"/>
      <c r="G699" s="122"/>
      <c r="H699" s="122"/>
      <c r="I699" s="275"/>
      <c r="J699" s="130"/>
      <c r="K699" s="130"/>
      <c r="L699" s="130"/>
      <c r="M699" s="130"/>
      <c r="N699" s="291"/>
      <c r="O699" s="291"/>
      <c r="P699" s="122"/>
      <c r="Q699" s="122"/>
      <c r="R699" s="122"/>
      <c r="S699" s="122"/>
      <c r="T699" s="122"/>
      <c r="U699" s="301"/>
      <c r="V699" s="260">
        <f t="shared" ca="1" si="18"/>
        <v>0</v>
      </c>
      <c r="W699" s="348" t="str">
        <f>IF(板块成分!B701="","",板块成分!B701)</f>
        <v>002180.SZ</v>
      </c>
      <c r="X699" s="276" t="str">
        <f>[1]!S_Info_Name(W699)</f>
        <v>纳思达</v>
      </c>
      <c r="Y699" s="276" t="str">
        <f ca="1">IF($Y$3="申万一级行业",[1]!s_info_industry_sw_2021(W699,公司分析!D$5,1),IF($Y$3="申万二级行业",[1]!s_info_industry_sw_2021(W699,公司分析!D$5,2),IF($Y$3="申万三级行业",[1]!s_info_industry_sw_2021(W699,公司分析!D$5,3),IF($Y$3="wind一级行业",[1]!s_info_industry_gics(W699,1),IF($Y$3="wind二级行业",[1]!s_info_industry_gics(W699,2),IF($Y$3="wind三级行业",[1]!s_info_industry_gics(W699,3),IF($Y$3="wind四级行业",[1]!s_info_industry_gics(W699,4),IF($Y$3="证监会门类行业",[1]!s_info_industry_csrc12_n(W699,公司分析!D$5,1),""))))))))</f>
        <v>计算机设备</v>
      </c>
      <c r="Z699" s="302" t="str">
        <f ca="1">IF(Y699=行业比较!$E$6,ROW(),"")</f>
        <v/>
      </c>
      <c r="AA699" s="122"/>
      <c r="AB699" s="122"/>
      <c r="AC699" s="122"/>
      <c r="AD699" s="122"/>
      <c r="AE699" s="122"/>
      <c r="AF699" s="122"/>
      <c r="AG699" s="122"/>
      <c r="AH699" s="122"/>
      <c r="AI699" s="122"/>
      <c r="AJ699" s="122"/>
      <c r="AK699" s="122"/>
      <c r="AL699" s="122"/>
      <c r="AM699" s="122"/>
      <c r="AN699" s="122"/>
      <c r="AO699" s="122"/>
      <c r="AP699" s="122"/>
    </row>
    <row r="700" spans="2:42">
      <c r="B700" s="122"/>
      <c r="C700" s="122"/>
      <c r="D700" s="122"/>
      <c r="E700" s="122"/>
      <c r="F700" s="122"/>
      <c r="G700" s="122"/>
      <c r="H700" s="122"/>
      <c r="I700" s="275"/>
      <c r="J700" s="130"/>
      <c r="K700" s="130"/>
      <c r="L700" s="130"/>
      <c r="M700" s="130"/>
      <c r="N700" s="291"/>
      <c r="O700" s="291"/>
      <c r="P700" s="122"/>
      <c r="Q700" s="122"/>
      <c r="R700" s="122"/>
      <c r="S700" s="122"/>
      <c r="T700" s="122"/>
      <c r="U700" s="301"/>
      <c r="V700" s="260">
        <f t="shared" ca="1" si="18"/>
        <v>0</v>
      </c>
      <c r="W700" s="348" t="str">
        <f>IF(板块成分!B702="","",板块成分!B702)</f>
        <v>002181.SZ</v>
      </c>
      <c r="X700" s="276" t="str">
        <f>[1]!S_Info_Name(W700)</f>
        <v>粤传媒</v>
      </c>
      <c r="Y700" s="276" t="str">
        <f ca="1">IF($Y$3="申万一级行业",[1]!s_info_industry_sw_2021(W700,公司分析!D$5,1),IF($Y$3="申万二级行业",[1]!s_info_industry_sw_2021(W700,公司分析!D$5,2),IF($Y$3="申万三级行业",[1]!s_info_industry_sw_2021(W700,公司分析!D$5,3),IF($Y$3="wind一级行业",[1]!s_info_industry_gics(W700,1),IF($Y$3="wind二级行业",[1]!s_info_industry_gics(W700,2),IF($Y$3="wind三级行业",[1]!s_info_industry_gics(W700,3),IF($Y$3="wind四级行业",[1]!s_info_industry_gics(W700,4),IF($Y$3="证监会门类行业",[1]!s_info_industry_csrc12_n(W700,公司分析!D$5,1),""))))))))</f>
        <v>出版</v>
      </c>
      <c r="Z700" s="302" t="str">
        <f ca="1">IF(Y700=行业比较!$E$6,ROW(),"")</f>
        <v/>
      </c>
      <c r="AA700" s="122"/>
      <c r="AB700" s="122"/>
      <c r="AC700" s="122"/>
      <c r="AD700" s="122"/>
      <c r="AE700" s="122"/>
      <c r="AF700" s="122"/>
      <c r="AG700" s="122"/>
      <c r="AH700" s="122"/>
      <c r="AI700" s="122"/>
      <c r="AJ700" s="122"/>
      <c r="AK700" s="122"/>
      <c r="AL700" s="122"/>
      <c r="AM700" s="122"/>
      <c r="AN700" s="122"/>
      <c r="AO700" s="122"/>
      <c r="AP700" s="122"/>
    </row>
    <row r="701" spans="2:42">
      <c r="B701" s="122"/>
      <c r="C701" s="122"/>
      <c r="D701" s="122"/>
      <c r="E701" s="122"/>
      <c r="F701" s="122"/>
      <c r="G701" s="122"/>
      <c r="H701" s="122"/>
      <c r="I701" s="275"/>
      <c r="J701" s="130"/>
      <c r="K701" s="130"/>
      <c r="L701" s="130"/>
      <c r="M701" s="130"/>
      <c r="N701" s="291"/>
      <c r="O701" s="291"/>
      <c r="P701" s="122"/>
      <c r="Q701" s="122"/>
      <c r="R701" s="122"/>
      <c r="S701" s="122"/>
      <c r="T701" s="122"/>
      <c r="U701" s="301"/>
      <c r="V701" s="260">
        <f t="shared" ca="1" si="18"/>
        <v>0</v>
      </c>
      <c r="W701" s="348" t="str">
        <f>IF(板块成分!B703="","",板块成分!B703)</f>
        <v>002182.SZ</v>
      </c>
      <c r="X701" s="276" t="str">
        <f>[1]!S_Info_Name(W701)</f>
        <v>宝武镁业</v>
      </c>
      <c r="Y701" s="276" t="str">
        <f ca="1">IF($Y$3="申万一级行业",[1]!s_info_industry_sw_2021(W701,公司分析!D$5,1),IF($Y$3="申万二级行业",[1]!s_info_industry_sw_2021(W701,公司分析!D$5,2),IF($Y$3="申万三级行业",[1]!s_info_industry_sw_2021(W701,公司分析!D$5,3),IF($Y$3="wind一级行业",[1]!s_info_industry_gics(W701,1),IF($Y$3="wind二级行业",[1]!s_info_industry_gics(W701,2),IF($Y$3="wind三级行业",[1]!s_info_industry_gics(W701,3),IF($Y$3="wind四级行业",[1]!s_info_industry_gics(W701,4),IF($Y$3="证监会门类行业",[1]!s_info_industry_csrc12_n(W701,公司分析!D$5,1),""))))))))</f>
        <v>小金属</v>
      </c>
      <c r="Z701" s="302" t="str">
        <f ca="1">IF(Y701=行业比较!$E$6,ROW(),"")</f>
        <v/>
      </c>
      <c r="AA701" s="122"/>
      <c r="AB701" s="122"/>
      <c r="AC701" s="122"/>
      <c r="AD701" s="122"/>
      <c r="AE701" s="122"/>
      <c r="AF701" s="122"/>
      <c r="AG701" s="122"/>
      <c r="AH701" s="122"/>
      <c r="AI701" s="122"/>
      <c r="AJ701" s="122"/>
      <c r="AK701" s="122"/>
      <c r="AL701" s="122"/>
      <c r="AM701" s="122"/>
      <c r="AN701" s="122"/>
      <c r="AO701" s="122"/>
      <c r="AP701" s="122"/>
    </row>
    <row r="702" spans="2:42">
      <c r="B702" s="122"/>
      <c r="C702" s="122"/>
      <c r="D702" s="122"/>
      <c r="E702" s="122"/>
      <c r="F702" s="122"/>
      <c r="G702" s="122"/>
      <c r="H702" s="122"/>
      <c r="I702" s="275"/>
      <c r="J702" s="130"/>
      <c r="K702" s="130"/>
      <c r="L702" s="130"/>
      <c r="M702" s="130"/>
      <c r="N702" s="291"/>
      <c r="O702" s="291"/>
      <c r="P702" s="122"/>
      <c r="Q702" s="122"/>
      <c r="R702" s="122"/>
      <c r="S702" s="122"/>
      <c r="T702" s="122"/>
      <c r="U702" s="301"/>
      <c r="V702" s="260">
        <f t="shared" ca="1" si="18"/>
        <v>0</v>
      </c>
      <c r="W702" s="348" t="str">
        <f>IF(板块成分!B704="","",板块成分!B704)</f>
        <v>002183.SZ</v>
      </c>
      <c r="X702" s="276" t="str">
        <f>[1]!S_Info_Name(W702)</f>
        <v>怡亚通</v>
      </c>
      <c r="Y702" s="276" t="str">
        <f ca="1">IF($Y$3="申万一级行业",[1]!s_info_industry_sw_2021(W702,公司分析!D$5,1),IF($Y$3="申万二级行业",[1]!s_info_industry_sw_2021(W702,公司分析!D$5,2),IF($Y$3="申万三级行业",[1]!s_info_industry_sw_2021(W702,公司分析!D$5,3),IF($Y$3="wind一级行业",[1]!s_info_industry_gics(W702,1),IF($Y$3="wind二级行业",[1]!s_info_industry_gics(W702,2),IF($Y$3="wind三级行业",[1]!s_info_industry_gics(W702,3),IF($Y$3="wind四级行业",[1]!s_info_industry_gics(W702,4),IF($Y$3="证监会门类行业",[1]!s_info_industry_csrc12_n(W702,公司分析!D$5,1),""))))))))</f>
        <v>贸易Ⅱ</v>
      </c>
      <c r="Z702" s="302" t="str">
        <f ca="1">IF(Y702=行业比较!$E$6,ROW(),"")</f>
        <v/>
      </c>
      <c r="AA702" s="122"/>
      <c r="AB702" s="122"/>
      <c r="AC702" s="122"/>
      <c r="AD702" s="122"/>
      <c r="AE702" s="122"/>
      <c r="AF702" s="122"/>
      <c r="AG702" s="122"/>
      <c r="AH702" s="122"/>
      <c r="AI702" s="122"/>
      <c r="AJ702" s="122"/>
      <c r="AK702" s="122"/>
      <c r="AL702" s="122"/>
      <c r="AM702" s="122"/>
      <c r="AN702" s="122"/>
      <c r="AO702" s="122"/>
      <c r="AP702" s="122"/>
    </row>
    <row r="703" spans="2:42">
      <c r="B703" s="122"/>
      <c r="C703" s="122"/>
      <c r="D703" s="122"/>
      <c r="E703" s="122"/>
      <c r="F703" s="122"/>
      <c r="G703" s="122"/>
      <c r="H703" s="122"/>
      <c r="I703" s="275"/>
      <c r="J703" s="130"/>
      <c r="K703" s="130"/>
      <c r="L703" s="130"/>
      <c r="M703" s="130"/>
      <c r="N703" s="291"/>
      <c r="O703" s="291"/>
      <c r="P703" s="122"/>
      <c r="Q703" s="122"/>
      <c r="R703" s="122"/>
      <c r="S703" s="122"/>
      <c r="T703" s="122"/>
      <c r="U703" s="301"/>
      <c r="V703" s="260">
        <f t="shared" ca="1" si="18"/>
        <v>0</v>
      </c>
      <c r="W703" s="348" t="str">
        <f>IF(板块成分!B705="","",板块成分!B705)</f>
        <v>002184.SZ</v>
      </c>
      <c r="X703" s="276" t="str">
        <f>[1]!S_Info_Name(W703)</f>
        <v>海得控制</v>
      </c>
      <c r="Y703" s="276" t="str">
        <f ca="1">IF($Y$3="申万一级行业",[1]!s_info_industry_sw_2021(W703,公司分析!D$5,1),IF($Y$3="申万二级行业",[1]!s_info_industry_sw_2021(W703,公司分析!D$5,2),IF($Y$3="申万三级行业",[1]!s_info_industry_sw_2021(W703,公司分析!D$5,3),IF($Y$3="wind一级行业",[1]!s_info_industry_gics(W703,1),IF($Y$3="wind二级行业",[1]!s_info_industry_gics(W703,2),IF($Y$3="wind三级行业",[1]!s_info_industry_gics(W703,3),IF($Y$3="wind四级行业",[1]!s_info_industry_gics(W703,4),IF($Y$3="证监会门类行业",[1]!s_info_industry_csrc12_n(W703,公司分析!D$5,1),""))))))))</f>
        <v>自动化设备</v>
      </c>
      <c r="Z703" s="302" t="str">
        <f ca="1">IF(Y703=行业比较!$E$6,ROW(),"")</f>
        <v/>
      </c>
      <c r="AA703" s="122"/>
      <c r="AB703" s="122"/>
      <c r="AC703" s="122"/>
      <c r="AD703" s="122"/>
      <c r="AE703" s="122"/>
      <c r="AF703" s="122"/>
      <c r="AG703" s="122"/>
      <c r="AH703" s="122"/>
      <c r="AI703" s="122"/>
      <c r="AJ703" s="122"/>
      <c r="AK703" s="122"/>
      <c r="AL703" s="122"/>
      <c r="AM703" s="122"/>
      <c r="AN703" s="122"/>
      <c r="AO703" s="122"/>
      <c r="AP703" s="122"/>
    </row>
    <row r="704" spans="2:42">
      <c r="B704" s="122"/>
      <c r="C704" s="122"/>
      <c r="D704" s="122"/>
      <c r="E704" s="122"/>
      <c r="F704" s="122"/>
      <c r="G704" s="122"/>
      <c r="H704" s="122"/>
      <c r="I704" s="275"/>
      <c r="J704" s="130"/>
      <c r="K704" s="130"/>
      <c r="L704" s="130"/>
      <c r="M704" s="130"/>
      <c r="N704" s="291"/>
      <c r="O704" s="291"/>
      <c r="P704" s="122"/>
      <c r="Q704" s="122"/>
      <c r="R704" s="122"/>
      <c r="S704" s="122"/>
      <c r="T704" s="122"/>
      <c r="U704" s="301"/>
      <c r="V704" s="260">
        <f t="shared" ca="1" si="18"/>
        <v>0</v>
      </c>
      <c r="W704" s="348" t="str">
        <f>IF(板块成分!B706="","",板块成分!B706)</f>
        <v>002185.SZ</v>
      </c>
      <c r="X704" s="276" t="str">
        <f>[1]!S_Info_Name(W704)</f>
        <v>华天科技</v>
      </c>
      <c r="Y704" s="276" t="str">
        <f ca="1">IF($Y$3="申万一级行业",[1]!s_info_industry_sw_2021(W704,公司分析!D$5,1),IF($Y$3="申万二级行业",[1]!s_info_industry_sw_2021(W704,公司分析!D$5,2),IF($Y$3="申万三级行业",[1]!s_info_industry_sw_2021(W704,公司分析!D$5,3),IF($Y$3="wind一级行业",[1]!s_info_industry_gics(W704,1),IF($Y$3="wind二级行业",[1]!s_info_industry_gics(W704,2),IF($Y$3="wind三级行业",[1]!s_info_industry_gics(W704,3),IF($Y$3="wind四级行业",[1]!s_info_industry_gics(W704,4),IF($Y$3="证监会门类行业",[1]!s_info_industry_csrc12_n(W704,公司分析!D$5,1),""))))))))</f>
        <v>半导体</v>
      </c>
      <c r="Z704" s="302" t="str">
        <f ca="1">IF(Y704=行业比较!$E$6,ROW(),"")</f>
        <v/>
      </c>
      <c r="AA704" s="122"/>
      <c r="AB704" s="122"/>
      <c r="AC704" s="122"/>
      <c r="AD704" s="122"/>
      <c r="AE704" s="122"/>
      <c r="AF704" s="122"/>
      <c r="AG704" s="122"/>
      <c r="AH704" s="122"/>
      <c r="AI704" s="122"/>
      <c r="AJ704" s="122"/>
      <c r="AK704" s="122"/>
      <c r="AL704" s="122"/>
      <c r="AM704" s="122"/>
      <c r="AN704" s="122"/>
      <c r="AO704" s="122"/>
      <c r="AP704" s="122"/>
    </row>
    <row r="705" spans="2:42">
      <c r="B705" s="122"/>
      <c r="C705" s="122"/>
      <c r="D705" s="122"/>
      <c r="E705" s="122"/>
      <c r="F705" s="122"/>
      <c r="G705" s="122"/>
      <c r="H705" s="122"/>
      <c r="I705" s="275"/>
      <c r="J705" s="130"/>
      <c r="K705" s="130"/>
      <c r="L705" s="130"/>
      <c r="M705" s="130"/>
      <c r="N705" s="291"/>
      <c r="O705" s="291"/>
      <c r="P705" s="122"/>
      <c r="Q705" s="122"/>
      <c r="R705" s="122"/>
      <c r="S705" s="122"/>
      <c r="T705" s="122"/>
      <c r="U705" s="301"/>
      <c r="V705" s="260">
        <f t="shared" ca="1" si="18"/>
        <v>0</v>
      </c>
      <c r="W705" s="348" t="str">
        <f>IF(板块成分!B707="","",板块成分!B707)</f>
        <v>002186.SZ</v>
      </c>
      <c r="X705" s="276" t="str">
        <f>[1]!S_Info_Name(W705)</f>
        <v>全聚德</v>
      </c>
      <c r="Y705" s="276" t="str">
        <f ca="1">IF($Y$3="申万一级行业",[1]!s_info_industry_sw_2021(W705,公司分析!D$5,1),IF($Y$3="申万二级行业",[1]!s_info_industry_sw_2021(W705,公司分析!D$5,2),IF($Y$3="申万三级行业",[1]!s_info_industry_sw_2021(W705,公司分析!D$5,3),IF($Y$3="wind一级行业",[1]!s_info_industry_gics(W705,1),IF($Y$3="wind二级行业",[1]!s_info_industry_gics(W705,2),IF($Y$3="wind三级行业",[1]!s_info_industry_gics(W705,3),IF($Y$3="wind四级行业",[1]!s_info_industry_gics(W705,4),IF($Y$3="证监会门类行业",[1]!s_info_industry_csrc12_n(W705,公司分析!D$5,1),""))))))))</f>
        <v>酒店餐饮</v>
      </c>
      <c r="Z705" s="302" t="str">
        <f ca="1">IF(Y705=行业比较!$E$6,ROW(),"")</f>
        <v/>
      </c>
      <c r="AA705" s="122"/>
      <c r="AB705" s="122"/>
      <c r="AC705" s="122"/>
      <c r="AD705" s="122"/>
      <c r="AE705" s="122"/>
      <c r="AF705" s="122"/>
      <c r="AG705" s="122"/>
      <c r="AH705" s="122"/>
      <c r="AI705" s="122"/>
      <c r="AJ705" s="122"/>
      <c r="AK705" s="122"/>
      <c r="AL705" s="122"/>
      <c r="AM705" s="122"/>
      <c r="AN705" s="122"/>
      <c r="AO705" s="122"/>
      <c r="AP705" s="122"/>
    </row>
    <row r="706" spans="2:42">
      <c r="B706" s="122"/>
      <c r="C706" s="122"/>
      <c r="D706" s="122"/>
      <c r="E706" s="122"/>
      <c r="F706" s="122"/>
      <c r="G706" s="122"/>
      <c r="H706" s="122"/>
      <c r="I706" s="275"/>
      <c r="J706" s="130"/>
      <c r="K706" s="130"/>
      <c r="L706" s="130"/>
      <c r="M706" s="130"/>
      <c r="N706" s="291"/>
      <c r="O706" s="291"/>
      <c r="P706" s="122"/>
      <c r="Q706" s="122"/>
      <c r="R706" s="122"/>
      <c r="S706" s="122"/>
      <c r="T706" s="122"/>
      <c r="U706" s="301"/>
      <c r="V706" s="260">
        <f t="shared" ca="1" si="18"/>
        <v>0</v>
      </c>
      <c r="W706" s="348" t="str">
        <f>IF(板块成分!B708="","",板块成分!B708)</f>
        <v>002187.SZ</v>
      </c>
      <c r="X706" s="276" t="str">
        <f>[1]!S_Info_Name(W706)</f>
        <v>广百股份</v>
      </c>
      <c r="Y706" s="276" t="str">
        <f ca="1">IF($Y$3="申万一级行业",[1]!s_info_industry_sw_2021(W706,公司分析!D$5,1),IF($Y$3="申万二级行业",[1]!s_info_industry_sw_2021(W706,公司分析!D$5,2),IF($Y$3="申万三级行业",[1]!s_info_industry_sw_2021(W706,公司分析!D$5,3),IF($Y$3="wind一级行业",[1]!s_info_industry_gics(W706,1),IF($Y$3="wind二级行业",[1]!s_info_industry_gics(W706,2),IF($Y$3="wind三级行业",[1]!s_info_industry_gics(W706,3),IF($Y$3="wind四级行业",[1]!s_info_industry_gics(W706,4),IF($Y$3="证监会门类行业",[1]!s_info_industry_csrc12_n(W706,公司分析!D$5,1),""))))))))</f>
        <v>一般零售</v>
      </c>
      <c r="Z706" s="302" t="str">
        <f ca="1">IF(Y706=行业比较!$E$6,ROW(),"")</f>
        <v/>
      </c>
      <c r="AA706" s="122"/>
      <c r="AB706" s="122"/>
      <c r="AC706" s="122"/>
      <c r="AD706" s="122"/>
      <c r="AE706" s="122"/>
      <c r="AF706" s="122"/>
      <c r="AG706" s="122"/>
      <c r="AH706" s="122"/>
      <c r="AI706" s="122"/>
      <c r="AJ706" s="122"/>
      <c r="AK706" s="122"/>
      <c r="AL706" s="122"/>
      <c r="AM706" s="122"/>
      <c r="AN706" s="122"/>
      <c r="AO706" s="122"/>
      <c r="AP706" s="122"/>
    </row>
    <row r="707" spans="2:42">
      <c r="B707" s="122"/>
      <c r="C707" s="122"/>
      <c r="D707" s="122"/>
      <c r="E707" s="122"/>
      <c r="F707" s="122"/>
      <c r="G707" s="122"/>
      <c r="H707" s="122"/>
      <c r="I707" s="275"/>
      <c r="J707" s="130"/>
      <c r="K707" s="130"/>
      <c r="L707" s="130"/>
      <c r="M707" s="130"/>
      <c r="N707" s="291"/>
      <c r="O707" s="291"/>
      <c r="P707" s="122"/>
      <c r="Q707" s="122"/>
      <c r="R707" s="122"/>
      <c r="S707" s="122"/>
      <c r="T707" s="122"/>
      <c r="U707" s="301"/>
      <c r="V707" s="260">
        <f t="shared" ca="1" si="18"/>
        <v>0</v>
      </c>
      <c r="W707" s="348" t="str">
        <f>IF(板块成分!B709="","",板块成分!B709)</f>
        <v>002188.SZ</v>
      </c>
      <c r="X707" s="276" t="str">
        <f>[1]!S_Info_Name(W707)</f>
        <v>中天服务</v>
      </c>
      <c r="Y707" s="276" t="str">
        <f ca="1">IF($Y$3="申万一级行业",[1]!s_info_industry_sw_2021(W707,公司分析!D$5,1),IF($Y$3="申万二级行业",[1]!s_info_industry_sw_2021(W707,公司分析!D$5,2),IF($Y$3="申万三级行业",[1]!s_info_industry_sw_2021(W707,公司分析!D$5,3),IF($Y$3="wind一级行业",[1]!s_info_industry_gics(W707,1),IF($Y$3="wind二级行业",[1]!s_info_industry_gics(W707,2),IF($Y$3="wind三级行业",[1]!s_info_industry_gics(W707,3),IF($Y$3="wind四级行业",[1]!s_info_industry_gics(W707,4),IF($Y$3="证监会门类行业",[1]!s_info_industry_csrc12_n(W707,公司分析!D$5,1),""))))))))</f>
        <v>房地产服务</v>
      </c>
      <c r="Z707" s="302" t="str">
        <f ca="1">IF(Y707=行业比较!$E$6,ROW(),"")</f>
        <v/>
      </c>
      <c r="AA707" s="122"/>
      <c r="AB707" s="122"/>
      <c r="AC707" s="122"/>
      <c r="AD707" s="122"/>
      <c r="AE707" s="122"/>
      <c r="AF707" s="122"/>
      <c r="AG707" s="122"/>
      <c r="AH707" s="122"/>
      <c r="AI707" s="122"/>
      <c r="AJ707" s="122"/>
      <c r="AK707" s="122"/>
      <c r="AL707" s="122"/>
      <c r="AM707" s="122"/>
      <c r="AN707" s="122"/>
      <c r="AO707" s="122"/>
      <c r="AP707" s="122"/>
    </row>
    <row r="708" spans="2:42">
      <c r="B708" s="122"/>
      <c r="C708" s="122"/>
      <c r="D708" s="122"/>
      <c r="E708" s="122"/>
      <c r="F708" s="122"/>
      <c r="G708" s="122"/>
      <c r="H708" s="122"/>
      <c r="I708" s="275"/>
      <c r="J708" s="130"/>
      <c r="K708" s="130"/>
      <c r="L708" s="130"/>
      <c r="M708" s="130"/>
      <c r="N708" s="291"/>
      <c r="O708" s="291"/>
      <c r="P708" s="122"/>
      <c r="Q708" s="122"/>
      <c r="R708" s="122"/>
      <c r="S708" s="122"/>
      <c r="T708" s="122"/>
      <c r="U708" s="301"/>
      <c r="V708" s="260">
        <f t="shared" ca="1" si="18"/>
        <v>0</v>
      </c>
      <c r="W708" s="348" t="str">
        <f>IF(板块成分!B710="","",板块成分!B710)</f>
        <v>002189.SZ</v>
      </c>
      <c r="X708" s="276" t="str">
        <f>[1]!S_Info_Name(W708)</f>
        <v>中光学</v>
      </c>
      <c r="Y708" s="276" t="str">
        <f ca="1">IF($Y$3="申万一级行业",[1]!s_info_industry_sw_2021(W708,公司分析!D$5,1),IF($Y$3="申万二级行业",[1]!s_info_industry_sw_2021(W708,公司分析!D$5,2),IF($Y$3="申万三级行业",[1]!s_info_industry_sw_2021(W708,公司分析!D$5,3),IF($Y$3="wind一级行业",[1]!s_info_industry_gics(W708,1),IF($Y$3="wind二级行业",[1]!s_info_industry_gics(W708,2),IF($Y$3="wind三级行业",[1]!s_info_industry_gics(W708,3),IF($Y$3="wind四级行业",[1]!s_info_industry_gics(W708,4),IF($Y$3="证监会门类行业",[1]!s_info_industry_csrc12_n(W708,公司分析!D$5,1),""))))))))</f>
        <v>军工电子Ⅱ</v>
      </c>
      <c r="Z708" s="302" t="str">
        <f ca="1">IF(Y708=行业比较!$E$6,ROW(),"")</f>
        <v/>
      </c>
      <c r="AA708" s="122"/>
      <c r="AB708" s="122"/>
      <c r="AC708" s="122"/>
      <c r="AD708" s="122"/>
      <c r="AE708" s="122"/>
      <c r="AF708" s="122"/>
      <c r="AG708" s="122"/>
      <c r="AH708" s="122"/>
      <c r="AI708" s="122"/>
      <c r="AJ708" s="122"/>
      <c r="AK708" s="122"/>
      <c r="AL708" s="122"/>
      <c r="AM708" s="122"/>
      <c r="AN708" s="122"/>
      <c r="AO708" s="122"/>
      <c r="AP708" s="122"/>
    </row>
    <row r="709" spans="2:42">
      <c r="B709" s="122"/>
      <c r="C709" s="122"/>
      <c r="D709" s="122"/>
      <c r="E709" s="122"/>
      <c r="F709" s="122"/>
      <c r="G709" s="122"/>
      <c r="H709" s="122"/>
      <c r="I709" s="275"/>
      <c r="J709" s="130"/>
      <c r="K709" s="130"/>
      <c r="L709" s="130"/>
      <c r="M709" s="130"/>
      <c r="N709" s="291"/>
      <c r="O709" s="291"/>
      <c r="P709" s="122"/>
      <c r="Q709" s="122"/>
      <c r="R709" s="122"/>
      <c r="S709" s="122"/>
      <c r="T709" s="122"/>
      <c r="U709" s="301"/>
      <c r="V709" s="260">
        <f t="shared" ref="V709:V772" ca="1" si="19">IF(Z709="",0,RANK(Z709,Z:Z,1))</f>
        <v>0</v>
      </c>
      <c r="W709" s="348" t="str">
        <f>IF(板块成分!B711="","",板块成分!B711)</f>
        <v>002190.SZ</v>
      </c>
      <c r="X709" s="276" t="str">
        <f>[1]!S_Info_Name(W709)</f>
        <v>成飞集成</v>
      </c>
      <c r="Y709" s="276" t="str">
        <f ca="1">IF($Y$3="申万一级行业",[1]!s_info_industry_sw_2021(W709,公司分析!D$5,1),IF($Y$3="申万二级行业",[1]!s_info_industry_sw_2021(W709,公司分析!D$5,2),IF($Y$3="申万三级行业",[1]!s_info_industry_sw_2021(W709,公司分析!D$5,3),IF($Y$3="wind一级行业",[1]!s_info_industry_gics(W709,1),IF($Y$3="wind二级行业",[1]!s_info_industry_gics(W709,2),IF($Y$3="wind三级行业",[1]!s_info_industry_gics(W709,3),IF($Y$3="wind四级行业",[1]!s_info_industry_gics(W709,4),IF($Y$3="证监会门类行业",[1]!s_info_industry_csrc12_n(W709,公司分析!D$5,1),""))))))))</f>
        <v>汽车零部件</v>
      </c>
      <c r="Z709" s="302" t="str">
        <f ca="1">IF(Y709=行业比较!$E$6,ROW(),"")</f>
        <v/>
      </c>
      <c r="AA709" s="122"/>
      <c r="AB709" s="122"/>
      <c r="AC709" s="122"/>
      <c r="AD709" s="122"/>
      <c r="AE709" s="122"/>
      <c r="AF709" s="122"/>
      <c r="AG709" s="122"/>
      <c r="AH709" s="122"/>
      <c r="AI709" s="122"/>
      <c r="AJ709" s="122"/>
      <c r="AK709" s="122"/>
      <c r="AL709" s="122"/>
      <c r="AM709" s="122"/>
      <c r="AN709" s="122"/>
      <c r="AO709" s="122"/>
      <c r="AP709" s="122"/>
    </row>
    <row r="710" spans="2:42">
      <c r="B710" s="122"/>
      <c r="C710" s="122"/>
      <c r="D710" s="122"/>
      <c r="E710" s="122"/>
      <c r="F710" s="122"/>
      <c r="G710" s="122"/>
      <c r="H710" s="122"/>
      <c r="I710" s="275"/>
      <c r="J710" s="130"/>
      <c r="K710" s="130"/>
      <c r="L710" s="130"/>
      <c r="M710" s="130"/>
      <c r="N710" s="291"/>
      <c r="O710" s="291"/>
      <c r="P710" s="122"/>
      <c r="Q710" s="122"/>
      <c r="R710" s="122"/>
      <c r="S710" s="122"/>
      <c r="T710" s="122"/>
      <c r="U710" s="301"/>
      <c r="V710" s="260">
        <f t="shared" ca="1" si="19"/>
        <v>0</v>
      </c>
      <c r="W710" s="348" t="str">
        <f>IF(板块成分!B712="","",板块成分!B712)</f>
        <v>002191.SZ</v>
      </c>
      <c r="X710" s="276" t="str">
        <f>[1]!S_Info_Name(W710)</f>
        <v>劲嘉股份</v>
      </c>
      <c r="Y710" s="276" t="str">
        <f ca="1">IF($Y$3="申万一级行业",[1]!s_info_industry_sw_2021(W710,公司分析!D$5,1),IF($Y$3="申万二级行业",[1]!s_info_industry_sw_2021(W710,公司分析!D$5,2),IF($Y$3="申万三级行业",[1]!s_info_industry_sw_2021(W710,公司分析!D$5,3),IF($Y$3="wind一级行业",[1]!s_info_industry_gics(W710,1),IF($Y$3="wind二级行业",[1]!s_info_industry_gics(W710,2),IF($Y$3="wind三级行业",[1]!s_info_industry_gics(W710,3),IF($Y$3="wind四级行业",[1]!s_info_industry_gics(W710,4),IF($Y$3="证监会门类行业",[1]!s_info_industry_csrc12_n(W710,公司分析!D$5,1),""))))))))</f>
        <v>包装印刷</v>
      </c>
      <c r="Z710" s="302" t="str">
        <f ca="1">IF(Y710=行业比较!$E$6,ROW(),"")</f>
        <v/>
      </c>
      <c r="AA710" s="122"/>
      <c r="AB710" s="122"/>
      <c r="AC710" s="122"/>
      <c r="AD710" s="122"/>
      <c r="AE710" s="122"/>
      <c r="AF710" s="122"/>
      <c r="AG710" s="122"/>
      <c r="AH710" s="122"/>
      <c r="AI710" s="122"/>
      <c r="AJ710" s="122"/>
      <c r="AK710" s="122"/>
      <c r="AL710" s="122"/>
      <c r="AM710" s="122"/>
      <c r="AN710" s="122"/>
      <c r="AO710" s="122"/>
      <c r="AP710" s="122"/>
    </row>
    <row r="711" spans="2:42">
      <c r="B711" s="122"/>
      <c r="C711" s="122"/>
      <c r="D711" s="122"/>
      <c r="E711" s="122"/>
      <c r="F711" s="122"/>
      <c r="G711" s="122"/>
      <c r="H711" s="122"/>
      <c r="I711" s="275"/>
      <c r="J711" s="130"/>
      <c r="K711" s="130"/>
      <c r="L711" s="130"/>
      <c r="M711" s="130"/>
      <c r="N711" s="291"/>
      <c r="O711" s="291"/>
      <c r="P711" s="122"/>
      <c r="Q711" s="122"/>
      <c r="R711" s="122"/>
      <c r="S711" s="122"/>
      <c r="T711" s="122"/>
      <c r="U711" s="301"/>
      <c r="V711" s="260">
        <f t="shared" ca="1" si="19"/>
        <v>0</v>
      </c>
      <c r="W711" s="348" t="str">
        <f>IF(板块成分!B713="","",板块成分!B713)</f>
        <v>002192.SZ</v>
      </c>
      <c r="X711" s="276" t="str">
        <f>[1]!S_Info_Name(W711)</f>
        <v>融捷股份</v>
      </c>
      <c r="Y711" s="276" t="str">
        <f ca="1">IF($Y$3="申万一级行业",[1]!s_info_industry_sw_2021(W711,公司分析!D$5,1),IF($Y$3="申万二级行业",[1]!s_info_industry_sw_2021(W711,公司分析!D$5,2),IF($Y$3="申万三级行业",[1]!s_info_industry_sw_2021(W711,公司分析!D$5,3),IF($Y$3="wind一级行业",[1]!s_info_industry_gics(W711,1),IF($Y$3="wind二级行业",[1]!s_info_industry_gics(W711,2),IF($Y$3="wind三级行业",[1]!s_info_industry_gics(W711,3),IF($Y$3="wind四级行业",[1]!s_info_industry_gics(W711,4),IF($Y$3="证监会门类行业",[1]!s_info_industry_csrc12_n(W711,公司分析!D$5,1),""))))))))</f>
        <v>能源金属</v>
      </c>
      <c r="Z711" s="302" t="str">
        <f ca="1">IF(Y711=行业比较!$E$6,ROW(),"")</f>
        <v/>
      </c>
      <c r="AA711" s="122"/>
      <c r="AB711" s="122"/>
      <c r="AC711" s="122"/>
      <c r="AD711" s="122"/>
      <c r="AE711" s="122"/>
      <c r="AF711" s="122"/>
      <c r="AG711" s="122"/>
      <c r="AH711" s="122"/>
      <c r="AI711" s="122"/>
      <c r="AJ711" s="122"/>
      <c r="AK711" s="122"/>
      <c r="AL711" s="122"/>
      <c r="AM711" s="122"/>
      <c r="AN711" s="122"/>
      <c r="AO711" s="122"/>
      <c r="AP711" s="122"/>
    </row>
    <row r="712" spans="2:42">
      <c r="B712" s="122"/>
      <c r="C712" s="122"/>
      <c r="D712" s="122"/>
      <c r="E712" s="122"/>
      <c r="F712" s="122"/>
      <c r="G712" s="122"/>
      <c r="H712" s="122"/>
      <c r="I712" s="275"/>
      <c r="J712" s="130"/>
      <c r="K712" s="130"/>
      <c r="L712" s="130"/>
      <c r="M712" s="130"/>
      <c r="N712" s="291"/>
      <c r="O712" s="291"/>
      <c r="P712" s="122"/>
      <c r="Q712" s="122"/>
      <c r="R712" s="122"/>
      <c r="S712" s="122"/>
      <c r="T712" s="122"/>
      <c r="U712" s="301"/>
      <c r="V712" s="260">
        <f t="shared" ca="1" si="19"/>
        <v>0</v>
      </c>
      <c r="W712" s="348" t="str">
        <f>IF(板块成分!B714="","",板块成分!B714)</f>
        <v>002193.SZ</v>
      </c>
      <c r="X712" s="276" t="str">
        <f>[1]!S_Info_Name(W712)</f>
        <v>如意集团</v>
      </c>
      <c r="Y712" s="276" t="str">
        <f ca="1">IF($Y$3="申万一级行业",[1]!s_info_industry_sw_2021(W712,公司分析!D$5,1),IF($Y$3="申万二级行业",[1]!s_info_industry_sw_2021(W712,公司分析!D$5,2),IF($Y$3="申万三级行业",[1]!s_info_industry_sw_2021(W712,公司分析!D$5,3),IF($Y$3="wind一级行业",[1]!s_info_industry_gics(W712,1),IF($Y$3="wind二级行业",[1]!s_info_industry_gics(W712,2),IF($Y$3="wind三级行业",[1]!s_info_industry_gics(W712,3),IF($Y$3="wind四级行业",[1]!s_info_industry_gics(W712,4),IF($Y$3="证监会门类行业",[1]!s_info_industry_csrc12_n(W712,公司分析!D$5,1),""))))))))</f>
        <v>服装家纺</v>
      </c>
      <c r="Z712" s="302" t="str">
        <f ca="1">IF(Y712=行业比较!$E$6,ROW(),"")</f>
        <v/>
      </c>
      <c r="AA712" s="122"/>
      <c r="AB712" s="122"/>
      <c r="AC712" s="122"/>
      <c r="AD712" s="122"/>
      <c r="AE712" s="122"/>
      <c r="AF712" s="122"/>
      <c r="AG712" s="122"/>
      <c r="AH712" s="122"/>
      <c r="AI712" s="122"/>
      <c r="AJ712" s="122"/>
      <c r="AK712" s="122"/>
      <c r="AL712" s="122"/>
      <c r="AM712" s="122"/>
      <c r="AN712" s="122"/>
      <c r="AO712" s="122"/>
      <c r="AP712" s="122"/>
    </row>
    <row r="713" spans="2:42">
      <c r="B713" s="122"/>
      <c r="C713" s="122"/>
      <c r="D713" s="122"/>
      <c r="E713" s="122"/>
      <c r="F713" s="122"/>
      <c r="G713" s="122"/>
      <c r="H713" s="122"/>
      <c r="I713" s="275"/>
      <c r="J713" s="130"/>
      <c r="K713" s="130"/>
      <c r="L713" s="130"/>
      <c r="M713" s="130"/>
      <c r="N713" s="291"/>
      <c r="O713" s="291"/>
      <c r="P713" s="122"/>
      <c r="Q713" s="122"/>
      <c r="R713" s="122"/>
      <c r="S713" s="122"/>
      <c r="T713" s="122"/>
      <c r="U713" s="301"/>
      <c r="V713" s="260">
        <f t="shared" ca="1" si="19"/>
        <v>0</v>
      </c>
      <c r="W713" s="348" t="str">
        <f>IF(板块成分!B715="","",板块成分!B715)</f>
        <v>002194.SZ</v>
      </c>
      <c r="X713" s="276" t="str">
        <f>[1]!S_Info_Name(W713)</f>
        <v>武汉凡谷</v>
      </c>
      <c r="Y713" s="276" t="str">
        <f ca="1">IF($Y$3="申万一级行业",[1]!s_info_industry_sw_2021(W713,公司分析!D$5,1),IF($Y$3="申万二级行业",[1]!s_info_industry_sw_2021(W713,公司分析!D$5,2),IF($Y$3="申万三级行业",[1]!s_info_industry_sw_2021(W713,公司分析!D$5,3),IF($Y$3="wind一级行业",[1]!s_info_industry_gics(W713,1),IF($Y$3="wind二级行业",[1]!s_info_industry_gics(W713,2),IF($Y$3="wind三级行业",[1]!s_info_industry_gics(W713,3),IF($Y$3="wind四级行业",[1]!s_info_industry_gics(W713,4),IF($Y$3="证监会门类行业",[1]!s_info_industry_csrc12_n(W713,公司分析!D$5,1),""))))))))</f>
        <v>通信设备</v>
      </c>
      <c r="Z713" s="302" t="str">
        <f ca="1">IF(Y713=行业比较!$E$6,ROW(),"")</f>
        <v/>
      </c>
      <c r="AA713" s="122"/>
      <c r="AB713" s="122"/>
      <c r="AC713" s="122"/>
      <c r="AD713" s="122"/>
      <c r="AE713" s="122"/>
      <c r="AF713" s="122"/>
      <c r="AG713" s="122"/>
      <c r="AH713" s="122"/>
      <c r="AI713" s="122"/>
      <c r="AJ713" s="122"/>
      <c r="AK713" s="122"/>
      <c r="AL713" s="122"/>
      <c r="AM713" s="122"/>
      <c r="AN713" s="122"/>
      <c r="AO713" s="122"/>
      <c r="AP713" s="122"/>
    </row>
    <row r="714" spans="2:42">
      <c r="B714" s="122"/>
      <c r="C714" s="122"/>
      <c r="D714" s="122"/>
      <c r="E714" s="122"/>
      <c r="F714" s="122"/>
      <c r="G714" s="122"/>
      <c r="H714" s="122"/>
      <c r="I714" s="275"/>
      <c r="J714" s="130"/>
      <c r="K714" s="130"/>
      <c r="L714" s="130"/>
      <c r="M714" s="130"/>
      <c r="N714" s="291"/>
      <c r="O714" s="291"/>
      <c r="P714" s="122"/>
      <c r="Q714" s="122"/>
      <c r="R714" s="122"/>
      <c r="S714" s="122"/>
      <c r="T714" s="122"/>
      <c r="U714" s="301"/>
      <c r="V714" s="260">
        <f t="shared" ca="1" si="19"/>
        <v>0</v>
      </c>
      <c r="W714" s="348" t="str">
        <f>IF(板块成分!B716="","",板块成分!B716)</f>
        <v>002195.SZ</v>
      </c>
      <c r="X714" s="276" t="str">
        <f>[1]!S_Info_Name(W714)</f>
        <v>岩山科技</v>
      </c>
      <c r="Y714" s="276" t="str">
        <f ca="1">IF($Y$3="申万一级行业",[1]!s_info_industry_sw_2021(W714,公司分析!D$5,1),IF($Y$3="申万二级行业",[1]!s_info_industry_sw_2021(W714,公司分析!D$5,2),IF($Y$3="申万三级行业",[1]!s_info_industry_sw_2021(W714,公司分析!D$5,3),IF($Y$3="wind一级行业",[1]!s_info_industry_gics(W714,1),IF($Y$3="wind二级行业",[1]!s_info_industry_gics(W714,2),IF($Y$3="wind三级行业",[1]!s_info_industry_gics(W714,3),IF($Y$3="wind四级行业",[1]!s_info_industry_gics(W714,4),IF($Y$3="证监会门类行业",[1]!s_info_industry_csrc12_n(W714,公司分析!D$5,1),""))))))))</f>
        <v>IT服务Ⅱ</v>
      </c>
      <c r="Z714" s="302" t="str">
        <f ca="1">IF(Y714=行业比较!$E$6,ROW(),"")</f>
        <v/>
      </c>
      <c r="AA714" s="122"/>
      <c r="AB714" s="122"/>
      <c r="AC714" s="122"/>
      <c r="AD714" s="122"/>
      <c r="AE714" s="122"/>
      <c r="AF714" s="122"/>
      <c r="AG714" s="122"/>
      <c r="AH714" s="122"/>
      <c r="AI714" s="122"/>
      <c r="AJ714" s="122"/>
      <c r="AK714" s="122"/>
      <c r="AL714" s="122"/>
      <c r="AM714" s="122"/>
      <c r="AN714" s="122"/>
      <c r="AO714" s="122"/>
      <c r="AP714" s="122"/>
    </row>
    <row r="715" spans="2:42">
      <c r="B715" s="122"/>
      <c r="C715" s="122"/>
      <c r="D715" s="122"/>
      <c r="E715" s="122"/>
      <c r="F715" s="122"/>
      <c r="G715" s="122"/>
      <c r="H715" s="122"/>
      <c r="I715" s="275"/>
      <c r="J715" s="130"/>
      <c r="K715" s="130"/>
      <c r="L715" s="130"/>
      <c r="M715" s="130"/>
      <c r="N715" s="291"/>
      <c r="O715" s="291"/>
      <c r="P715" s="122"/>
      <c r="Q715" s="122"/>
      <c r="R715" s="122"/>
      <c r="S715" s="122"/>
      <c r="T715" s="122"/>
      <c r="U715" s="301"/>
      <c r="V715" s="260">
        <f t="shared" ca="1" si="19"/>
        <v>0</v>
      </c>
      <c r="W715" s="348" t="str">
        <f>IF(板块成分!B717="","",板块成分!B717)</f>
        <v>002196.SZ</v>
      </c>
      <c r="X715" s="276" t="str">
        <f>[1]!S_Info_Name(W715)</f>
        <v>方正电机</v>
      </c>
      <c r="Y715" s="276" t="str">
        <f ca="1">IF($Y$3="申万一级行业",[1]!s_info_industry_sw_2021(W715,公司分析!D$5,1),IF($Y$3="申万二级行业",[1]!s_info_industry_sw_2021(W715,公司分析!D$5,2),IF($Y$3="申万三级行业",[1]!s_info_industry_sw_2021(W715,公司分析!D$5,3),IF($Y$3="wind一级行业",[1]!s_info_industry_gics(W715,1),IF($Y$3="wind二级行业",[1]!s_info_industry_gics(W715,2),IF($Y$3="wind三级行业",[1]!s_info_industry_gics(W715,3),IF($Y$3="wind四级行业",[1]!s_info_industry_gics(W715,4),IF($Y$3="证监会门类行业",[1]!s_info_industry_csrc12_n(W715,公司分析!D$5,1),""))))))))</f>
        <v>电机Ⅱ</v>
      </c>
      <c r="Z715" s="302" t="str">
        <f ca="1">IF(Y715=行业比较!$E$6,ROW(),"")</f>
        <v/>
      </c>
      <c r="AA715" s="122"/>
      <c r="AB715" s="122"/>
      <c r="AC715" s="122"/>
      <c r="AD715" s="122"/>
      <c r="AE715" s="122"/>
      <c r="AF715" s="122"/>
      <c r="AG715" s="122"/>
      <c r="AH715" s="122"/>
      <c r="AI715" s="122"/>
      <c r="AJ715" s="122"/>
      <c r="AK715" s="122"/>
      <c r="AL715" s="122"/>
      <c r="AM715" s="122"/>
      <c r="AN715" s="122"/>
      <c r="AO715" s="122"/>
      <c r="AP715" s="122"/>
    </row>
    <row r="716" spans="2:42">
      <c r="B716" s="122"/>
      <c r="C716" s="122"/>
      <c r="D716" s="122"/>
      <c r="E716" s="122"/>
      <c r="F716" s="122"/>
      <c r="G716" s="122"/>
      <c r="H716" s="122"/>
      <c r="I716" s="275"/>
      <c r="J716" s="130"/>
      <c r="K716" s="130"/>
      <c r="L716" s="130"/>
      <c r="M716" s="130"/>
      <c r="N716" s="291"/>
      <c r="O716" s="291"/>
      <c r="P716" s="122"/>
      <c r="Q716" s="122"/>
      <c r="R716" s="122"/>
      <c r="S716" s="122"/>
      <c r="T716" s="122"/>
      <c r="U716" s="301"/>
      <c r="V716" s="260">
        <f t="shared" ca="1" si="19"/>
        <v>0</v>
      </c>
      <c r="W716" s="348" t="str">
        <f>IF(板块成分!B718="","",板块成分!B718)</f>
        <v>002197.SZ</v>
      </c>
      <c r="X716" s="276" t="str">
        <f>[1]!S_Info_Name(W716)</f>
        <v>证通电子</v>
      </c>
      <c r="Y716" s="276" t="str">
        <f ca="1">IF($Y$3="申万一级行业",[1]!s_info_industry_sw_2021(W716,公司分析!D$5,1),IF($Y$3="申万二级行业",[1]!s_info_industry_sw_2021(W716,公司分析!D$5,2),IF($Y$3="申万三级行业",[1]!s_info_industry_sw_2021(W716,公司分析!D$5,3),IF($Y$3="wind一级行业",[1]!s_info_industry_gics(W716,1),IF($Y$3="wind二级行业",[1]!s_info_industry_gics(W716,2),IF($Y$3="wind三级行业",[1]!s_info_industry_gics(W716,3),IF($Y$3="wind四级行业",[1]!s_info_industry_gics(W716,4),IF($Y$3="证监会门类行业",[1]!s_info_industry_csrc12_n(W716,公司分析!D$5,1),""))))))))</f>
        <v>计算机设备</v>
      </c>
      <c r="Z716" s="302" t="str">
        <f ca="1">IF(Y716=行业比较!$E$6,ROW(),"")</f>
        <v/>
      </c>
      <c r="AA716" s="122"/>
      <c r="AB716" s="122"/>
      <c r="AC716" s="122"/>
      <c r="AD716" s="122"/>
      <c r="AE716" s="122"/>
      <c r="AF716" s="122"/>
      <c r="AG716" s="122"/>
      <c r="AH716" s="122"/>
      <c r="AI716" s="122"/>
      <c r="AJ716" s="122"/>
      <c r="AK716" s="122"/>
      <c r="AL716" s="122"/>
      <c r="AM716" s="122"/>
      <c r="AN716" s="122"/>
      <c r="AO716" s="122"/>
      <c r="AP716" s="122"/>
    </row>
    <row r="717" spans="2:42">
      <c r="B717" s="122"/>
      <c r="C717" s="122"/>
      <c r="D717" s="122"/>
      <c r="E717" s="122"/>
      <c r="F717" s="122"/>
      <c r="G717" s="122"/>
      <c r="H717" s="122"/>
      <c r="I717" s="275"/>
      <c r="J717" s="130"/>
      <c r="K717" s="130"/>
      <c r="L717" s="130"/>
      <c r="M717" s="130"/>
      <c r="N717" s="291"/>
      <c r="O717" s="291"/>
      <c r="P717" s="122"/>
      <c r="Q717" s="122"/>
      <c r="R717" s="122"/>
      <c r="S717" s="122"/>
      <c r="T717" s="122"/>
      <c r="U717" s="301"/>
      <c r="V717" s="260">
        <f t="shared" ca="1" si="19"/>
        <v>0</v>
      </c>
      <c r="W717" s="348" t="str">
        <f>IF(板块成分!B719="","",板块成分!B719)</f>
        <v>002198.SZ</v>
      </c>
      <c r="X717" s="276" t="str">
        <f>[1]!S_Info_Name(W717)</f>
        <v>嘉应制药</v>
      </c>
      <c r="Y717" s="276" t="str">
        <f ca="1">IF($Y$3="申万一级行业",[1]!s_info_industry_sw_2021(W717,公司分析!D$5,1),IF($Y$3="申万二级行业",[1]!s_info_industry_sw_2021(W717,公司分析!D$5,2),IF($Y$3="申万三级行业",[1]!s_info_industry_sw_2021(W717,公司分析!D$5,3),IF($Y$3="wind一级行业",[1]!s_info_industry_gics(W717,1),IF($Y$3="wind二级行业",[1]!s_info_industry_gics(W717,2),IF($Y$3="wind三级行业",[1]!s_info_industry_gics(W717,3),IF($Y$3="wind四级行业",[1]!s_info_industry_gics(W717,4),IF($Y$3="证监会门类行业",[1]!s_info_industry_csrc12_n(W717,公司分析!D$5,1),""))))))))</f>
        <v>中药Ⅱ</v>
      </c>
      <c r="Z717" s="302" t="str">
        <f ca="1">IF(Y717=行业比较!$E$6,ROW(),"")</f>
        <v/>
      </c>
      <c r="AA717" s="122"/>
      <c r="AB717" s="122"/>
      <c r="AC717" s="122"/>
      <c r="AD717" s="122"/>
      <c r="AE717" s="122"/>
      <c r="AF717" s="122"/>
      <c r="AG717" s="122"/>
      <c r="AH717" s="122"/>
      <c r="AI717" s="122"/>
      <c r="AJ717" s="122"/>
      <c r="AK717" s="122"/>
      <c r="AL717" s="122"/>
      <c r="AM717" s="122"/>
      <c r="AN717" s="122"/>
      <c r="AO717" s="122"/>
      <c r="AP717" s="122"/>
    </row>
    <row r="718" spans="2:42">
      <c r="B718" s="122"/>
      <c r="C718" s="122"/>
      <c r="D718" s="122"/>
      <c r="E718" s="122"/>
      <c r="F718" s="122"/>
      <c r="G718" s="122"/>
      <c r="H718" s="122"/>
      <c r="I718" s="275"/>
      <c r="J718" s="130"/>
      <c r="K718" s="130"/>
      <c r="L718" s="130"/>
      <c r="M718" s="130"/>
      <c r="N718" s="291"/>
      <c r="O718" s="291"/>
      <c r="P718" s="122"/>
      <c r="Q718" s="122"/>
      <c r="R718" s="122"/>
      <c r="S718" s="122"/>
      <c r="T718" s="122"/>
      <c r="U718" s="301"/>
      <c r="V718" s="260">
        <f t="shared" ca="1" si="19"/>
        <v>0</v>
      </c>
      <c r="W718" s="348" t="str">
        <f>IF(板块成分!B720="","",板块成分!B720)</f>
        <v>002199.SZ</v>
      </c>
      <c r="X718" s="276" t="str">
        <f>[1]!S_Info_Name(W718)</f>
        <v>*ST东晶</v>
      </c>
      <c r="Y718" s="276" t="str">
        <f ca="1">IF($Y$3="申万一级行业",[1]!s_info_industry_sw_2021(W718,公司分析!D$5,1),IF($Y$3="申万二级行业",[1]!s_info_industry_sw_2021(W718,公司分析!D$5,2),IF($Y$3="申万三级行业",[1]!s_info_industry_sw_2021(W718,公司分析!D$5,3),IF($Y$3="wind一级行业",[1]!s_info_industry_gics(W718,1),IF($Y$3="wind二级行业",[1]!s_info_industry_gics(W718,2),IF($Y$3="wind三级行业",[1]!s_info_industry_gics(W718,3),IF($Y$3="wind四级行业",[1]!s_info_industry_gics(W718,4),IF($Y$3="证监会门类行业",[1]!s_info_industry_csrc12_n(W718,公司分析!D$5,1),""))))))))</f>
        <v>元件</v>
      </c>
      <c r="Z718" s="302" t="str">
        <f ca="1">IF(Y718=行业比较!$E$6,ROW(),"")</f>
        <v/>
      </c>
      <c r="AA718" s="122"/>
      <c r="AB718" s="122"/>
      <c r="AC718" s="122"/>
      <c r="AD718" s="122"/>
      <c r="AE718" s="122"/>
      <c r="AF718" s="122"/>
      <c r="AG718" s="122"/>
      <c r="AH718" s="122"/>
      <c r="AI718" s="122"/>
      <c r="AJ718" s="122"/>
      <c r="AK718" s="122"/>
      <c r="AL718" s="122"/>
      <c r="AM718" s="122"/>
      <c r="AN718" s="122"/>
      <c r="AO718" s="122"/>
      <c r="AP718" s="122"/>
    </row>
    <row r="719" spans="2:42">
      <c r="B719" s="122"/>
      <c r="C719" s="122"/>
      <c r="D719" s="122"/>
      <c r="E719" s="122"/>
      <c r="F719" s="122"/>
      <c r="G719" s="122"/>
      <c r="H719" s="122"/>
      <c r="I719" s="275"/>
      <c r="J719" s="130"/>
      <c r="K719" s="130"/>
      <c r="L719" s="130"/>
      <c r="M719" s="130"/>
      <c r="N719" s="291"/>
      <c r="O719" s="291"/>
      <c r="P719" s="122"/>
      <c r="Q719" s="122"/>
      <c r="R719" s="122"/>
      <c r="S719" s="122"/>
      <c r="T719" s="122"/>
      <c r="U719" s="301"/>
      <c r="V719" s="260">
        <f t="shared" ca="1" si="19"/>
        <v>0</v>
      </c>
      <c r="W719" s="348" t="str">
        <f>IF(板块成分!B721="","",板块成分!B721)</f>
        <v>002200.SZ</v>
      </c>
      <c r="X719" s="276" t="str">
        <f>[1]!S_Info_Name(W719)</f>
        <v>*ST交投</v>
      </c>
      <c r="Y719" s="276" t="str">
        <f ca="1">IF($Y$3="申万一级行业",[1]!s_info_industry_sw_2021(W719,公司分析!D$5,1),IF($Y$3="申万二级行业",[1]!s_info_industry_sw_2021(W719,公司分析!D$5,2),IF($Y$3="申万三级行业",[1]!s_info_industry_sw_2021(W719,公司分析!D$5,3),IF($Y$3="wind一级行业",[1]!s_info_industry_gics(W719,1),IF($Y$3="wind二级行业",[1]!s_info_industry_gics(W719,2),IF($Y$3="wind三级行业",[1]!s_info_industry_gics(W719,3),IF($Y$3="wind四级行业",[1]!s_info_industry_gics(W719,4),IF($Y$3="证监会门类行业",[1]!s_info_industry_csrc12_n(W719,公司分析!D$5,1),""))))))))</f>
        <v>基础建设</v>
      </c>
      <c r="Z719" s="302" t="str">
        <f ca="1">IF(Y719=行业比较!$E$6,ROW(),"")</f>
        <v/>
      </c>
      <c r="AA719" s="122"/>
      <c r="AB719" s="122"/>
      <c r="AC719" s="122"/>
      <c r="AD719" s="122"/>
      <c r="AE719" s="122"/>
      <c r="AF719" s="122"/>
      <c r="AG719" s="122"/>
      <c r="AH719" s="122"/>
      <c r="AI719" s="122"/>
      <c r="AJ719" s="122"/>
      <c r="AK719" s="122"/>
      <c r="AL719" s="122"/>
      <c r="AM719" s="122"/>
      <c r="AN719" s="122"/>
      <c r="AO719" s="122"/>
      <c r="AP719" s="122"/>
    </row>
    <row r="720" spans="2:42">
      <c r="B720" s="122"/>
      <c r="C720" s="122"/>
      <c r="D720" s="122"/>
      <c r="E720" s="122"/>
      <c r="F720" s="122"/>
      <c r="G720" s="122"/>
      <c r="H720" s="122"/>
      <c r="I720" s="275"/>
      <c r="J720" s="130"/>
      <c r="K720" s="130"/>
      <c r="L720" s="130"/>
      <c r="M720" s="130"/>
      <c r="N720" s="291"/>
      <c r="O720" s="291"/>
      <c r="P720" s="122"/>
      <c r="Q720" s="122"/>
      <c r="R720" s="122"/>
      <c r="S720" s="122"/>
      <c r="T720" s="122"/>
      <c r="U720" s="301"/>
      <c r="V720" s="260">
        <f t="shared" ca="1" si="19"/>
        <v>0</v>
      </c>
      <c r="W720" s="348" t="str">
        <f>IF(板块成分!B722="","",板块成分!B722)</f>
        <v>002201.SZ</v>
      </c>
      <c r="X720" s="276" t="str">
        <f>[1]!S_Info_Name(W720)</f>
        <v>九鼎新材</v>
      </c>
      <c r="Y720" s="276" t="str">
        <f ca="1">IF($Y$3="申万一级行业",[1]!s_info_industry_sw_2021(W720,公司分析!D$5,1),IF($Y$3="申万二级行业",[1]!s_info_industry_sw_2021(W720,公司分析!D$5,2),IF($Y$3="申万三级行业",[1]!s_info_industry_sw_2021(W720,公司分析!D$5,3),IF($Y$3="wind一级行业",[1]!s_info_industry_gics(W720,1),IF($Y$3="wind二级行业",[1]!s_info_industry_gics(W720,2),IF($Y$3="wind三级行业",[1]!s_info_industry_gics(W720,3),IF($Y$3="wind四级行业",[1]!s_info_industry_gics(W720,4),IF($Y$3="证监会门类行业",[1]!s_info_industry_csrc12_n(W720,公司分析!D$5,1),""))))))))</f>
        <v>玻璃玻纤</v>
      </c>
      <c r="Z720" s="302" t="str">
        <f ca="1">IF(Y720=行业比较!$E$6,ROW(),"")</f>
        <v/>
      </c>
      <c r="AA720" s="122"/>
      <c r="AB720" s="122"/>
      <c r="AC720" s="122"/>
      <c r="AD720" s="122"/>
      <c r="AE720" s="122"/>
      <c r="AF720" s="122"/>
      <c r="AG720" s="122"/>
      <c r="AH720" s="122"/>
      <c r="AI720" s="122"/>
      <c r="AJ720" s="122"/>
      <c r="AK720" s="122"/>
      <c r="AL720" s="122"/>
      <c r="AM720" s="122"/>
      <c r="AN720" s="122"/>
      <c r="AO720" s="122"/>
      <c r="AP720" s="122"/>
    </row>
    <row r="721" spans="2:42">
      <c r="B721" s="122"/>
      <c r="C721" s="122"/>
      <c r="D721" s="122"/>
      <c r="E721" s="122"/>
      <c r="F721" s="122"/>
      <c r="G721" s="122"/>
      <c r="H721" s="122"/>
      <c r="I721" s="275"/>
      <c r="J721" s="130"/>
      <c r="K721" s="130"/>
      <c r="L721" s="130"/>
      <c r="M721" s="130"/>
      <c r="N721" s="291"/>
      <c r="O721" s="291"/>
      <c r="P721" s="122"/>
      <c r="Q721" s="122"/>
      <c r="R721" s="122"/>
      <c r="S721" s="122"/>
      <c r="T721" s="122"/>
      <c r="U721" s="301"/>
      <c r="V721" s="260">
        <f t="shared" ca="1" si="19"/>
        <v>0</v>
      </c>
      <c r="W721" s="348" t="str">
        <f>IF(板块成分!B723="","",板块成分!B723)</f>
        <v>002202.SZ</v>
      </c>
      <c r="X721" s="276" t="str">
        <f>[1]!S_Info_Name(W721)</f>
        <v>金风科技</v>
      </c>
      <c r="Y721" s="276" t="str">
        <f ca="1">IF($Y$3="申万一级行业",[1]!s_info_industry_sw_2021(W721,公司分析!D$5,1),IF($Y$3="申万二级行业",[1]!s_info_industry_sw_2021(W721,公司分析!D$5,2),IF($Y$3="申万三级行业",[1]!s_info_industry_sw_2021(W721,公司分析!D$5,3),IF($Y$3="wind一级行业",[1]!s_info_industry_gics(W721,1),IF($Y$3="wind二级行业",[1]!s_info_industry_gics(W721,2),IF($Y$3="wind三级行业",[1]!s_info_industry_gics(W721,3),IF($Y$3="wind四级行业",[1]!s_info_industry_gics(W721,4),IF($Y$3="证监会门类行业",[1]!s_info_industry_csrc12_n(W721,公司分析!D$5,1),""))))))))</f>
        <v>风电设备</v>
      </c>
      <c r="Z721" s="302" t="str">
        <f ca="1">IF(Y721=行业比较!$E$6,ROW(),"")</f>
        <v/>
      </c>
      <c r="AA721" s="122"/>
      <c r="AB721" s="122"/>
      <c r="AC721" s="122"/>
      <c r="AD721" s="122"/>
      <c r="AE721" s="122"/>
      <c r="AF721" s="122"/>
      <c r="AG721" s="122"/>
      <c r="AH721" s="122"/>
      <c r="AI721" s="122"/>
      <c r="AJ721" s="122"/>
      <c r="AK721" s="122"/>
      <c r="AL721" s="122"/>
      <c r="AM721" s="122"/>
      <c r="AN721" s="122"/>
      <c r="AO721" s="122"/>
      <c r="AP721" s="122"/>
    </row>
    <row r="722" spans="2:42">
      <c r="B722" s="122"/>
      <c r="C722" s="122"/>
      <c r="D722" s="122"/>
      <c r="E722" s="122"/>
      <c r="F722" s="122"/>
      <c r="G722" s="122"/>
      <c r="H722" s="122"/>
      <c r="I722" s="275"/>
      <c r="J722" s="130"/>
      <c r="K722" s="130"/>
      <c r="L722" s="130"/>
      <c r="M722" s="130"/>
      <c r="N722" s="291"/>
      <c r="O722" s="291"/>
      <c r="P722" s="122"/>
      <c r="Q722" s="122"/>
      <c r="R722" s="122"/>
      <c r="S722" s="122"/>
      <c r="T722" s="122"/>
      <c r="U722" s="301"/>
      <c r="V722" s="260">
        <f t="shared" ca="1" si="19"/>
        <v>16</v>
      </c>
      <c r="W722" s="348" t="str">
        <f>IF(板块成分!B724="","",板块成分!B724)</f>
        <v>002203.SZ</v>
      </c>
      <c r="X722" s="276" t="str">
        <f>[1]!S_Info_Name(W722)</f>
        <v>海亮股份</v>
      </c>
      <c r="Y722" s="276" t="str">
        <f ca="1">IF($Y$3="申万一级行业",[1]!s_info_industry_sw_2021(W722,公司分析!D$5,1),IF($Y$3="申万二级行业",[1]!s_info_industry_sw_2021(W722,公司分析!D$5,2),IF($Y$3="申万三级行业",[1]!s_info_industry_sw_2021(W722,公司分析!D$5,3),IF($Y$3="wind一级行业",[1]!s_info_industry_gics(W722,1),IF($Y$3="wind二级行业",[1]!s_info_industry_gics(W722,2),IF($Y$3="wind三级行业",[1]!s_info_industry_gics(W722,3),IF($Y$3="wind四级行业",[1]!s_info_industry_gics(W722,4),IF($Y$3="证监会门类行业",[1]!s_info_industry_csrc12_n(W722,公司分析!D$5,1),""))))))))</f>
        <v>工业金属</v>
      </c>
      <c r="Z722" s="302">
        <f ca="1">IF(Y722=行业比较!$E$6,ROW(),"")</f>
        <v>722</v>
      </c>
      <c r="AA722" s="122"/>
      <c r="AB722" s="122"/>
      <c r="AC722" s="122"/>
      <c r="AD722" s="122"/>
      <c r="AE722" s="122"/>
      <c r="AF722" s="122"/>
      <c r="AG722" s="122"/>
      <c r="AH722" s="122"/>
      <c r="AI722" s="122"/>
      <c r="AJ722" s="122"/>
      <c r="AK722" s="122"/>
      <c r="AL722" s="122"/>
      <c r="AM722" s="122"/>
      <c r="AN722" s="122"/>
      <c r="AO722" s="122"/>
      <c r="AP722" s="122"/>
    </row>
    <row r="723" spans="2:42">
      <c r="B723" s="122"/>
      <c r="C723" s="122"/>
      <c r="D723" s="122"/>
      <c r="E723" s="122"/>
      <c r="F723" s="122"/>
      <c r="G723" s="122"/>
      <c r="H723" s="122"/>
      <c r="I723" s="275"/>
      <c r="J723" s="130"/>
      <c r="K723" s="130"/>
      <c r="L723" s="130"/>
      <c r="M723" s="130"/>
      <c r="N723" s="291"/>
      <c r="O723" s="291"/>
      <c r="P723" s="122"/>
      <c r="Q723" s="122"/>
      <c r="R723" s="122"/>
      <c r="S723" s="122"/>
      <c r="T723" s="122"/>
      <c r="U723" s="301"/>
      <c r="V723" s="260">
        <f t="shared" ca="1" si="19"/>
        <v>0</v>
      </c>
      <c r="W723" s="348" t="str">
        <f>IF(板块成分!B725="","",板块成分!B725)</f>
        <v>002204.SZ</v>
      </c>
      <c r="X723" s="276" t="str">
        <f>[1]!S_Info_Name(W723)</f>
        <v>大连重工</v>
      </c>
      <c r="Y723" s="276" t="str">
        <f ca="1">IF($Y$3="申万一级行业",[1]!s_info_industry_sw_2021(W723,公司分析!D$5,1),IF($Y$3="申万二级行业",[1]!s_info_industry_sw_2021(W723,公司分析!D$5,2),IF($Y$3="申万三级行业",[1]!s_info_industry_sw_2021(W723,公司分析!D$5,3),IF($Y$3="wind一级行业",[1]!s_info_industry_gics(W723,1),IF($Y$3="wind二级行业",[1]!s_info_industry_gics(W723,2),IF($Y$3="wind三级行业",[1]!s_info_industry_gics(W723,3),IF($Y$3="wind四级行业",[1]!s_info_industry_gics(W723,4),IF($Y$3="证监会门类行业",[1]!s_info_industry_csrc12_n(W723,公司分析!D$5,1),""))))))))</f>
        <v>专用设备</v>
      </c>
      <c r="Z723" s="302" t="str">
        <f ca="1">IF(Y723=行业比较!$E$6,ROW(),"")</f>
        <v/>
      </c>
      <c r="AA723" s="122"/>
      <c r="AB723" s="122"/>
      <c r="AC723" s="122"/>
      <c r="AD723" s="122"/>
      <c r="AE723" s="122"/>
      <c r="AF723" s="122"/>
      <c r="AG723" s="122"/>
      <c r="AH723" s="122"/>
      <c r="AI723" s="122"/>
      <c r="AJ723" s="122"/>
      <c r="AK723" s="122"/>
      <c r="AL723" s="122"/>
      <c r="AM723" s="122"/>
      <c r="AN723" s="122"/>
      <c r="AO723" s="122"/>
      <c r="AP723" s="122"/>
    </row>
    <row r="724" spans="2:42">
      <c r="B724" s="122"/>
      <c r="C724" s="122"/>
      <c r="D724" s="122"/>
      <c r="E724" s="122"/>
      <c r="F724" s="122"/>
      <c r="G724" s="122"/>
      <c r="H724" s="122"/>
      <c r="I724" s="275"/>
      <c r="J724" s="130"/>
      <c r="K724" s="130"/>
      <c r="L724" s="130"/>
      <c r="M724" s="130"/>
      <c r="N724" s="291"/>
      <c r="O724" s="291"/>
      <c r="P724" s="122"/>
      <c r="Q724" s="122"/>
      <c r="R724" s="122"/>
      <c r="S724" s="122"/>
      <c r="T724" s="122"/>
      <c r="U724" s="301"/>
      <c r="V724" s="260">
        <f t="shared" ca="1" si="19"/>
        <v>0</v>
      </c>
      <c r="W724" s="348" t="str">
        <f>IF(板块成分!B726="","",板块成分!B726)</f>
        <v>002205.SZ</v>
      </c>
      <c r="X724" s="276" t="str">
        <f>[1]!S_Info_Name(W724)</f>
        <v>国统股份</v>
      </c>
      <c r="Y724" s="276" t="str">
        <f ca="1">IF($Y$3="申万一级行业",[1]!s_info_industry_sw_2021(W724,公司分析!D$5,1),IF($Y$3="申万二级行业",[1]!s_info_industry_sw_2021(W724,公司分析!D$5,2),IF($Y$3="申万三级行业",[1]!s_info_industry_sw_2021(W724,公司分析!D$5,3),IF($Y$3="wind一级行业",[1]!s_info_industry_gics(W724,1),IF($Y$3="wind二级行业",[1]!s_info_industry_gics(W724,2),IF($Y$3="wind三级行业",[1]!s_info_industry_gics(W724,3),IF($Y$3="wind四级行业",[1]!s_info_industry_gics(W724,4),IF($Y$3="证监会门类行业",[1]!s_info_industry_csrc12_n(W724,公司分析!D$5,1),""))))))))</f>
        <v>水泥</v>
      </c>
      <c r="Z724" s="302" t="str">
        <f ca="1">IF(Y724=行业比较!$E$6,ROW(),"")</f>
        <v/>
      </c>
      <c r="AA724" s="122"/>
      <c r="AB724" s="122"/>
      <c r="AC724" s="122"/>
      <c r="AD724" s="122"/>
      <c r="AE724" s="122"/>
      <c r="AF724" s="122"/>
      <c r="AG724" s="122"/>
      <c r="AH724" s="122"/>
      <c r="AI724" s="122"/>
      <c r="AJ724" s="122"/>
      <c r="AK724" s="122"/>
      <c r="AL724" s="122"/>
      <c r="AM724" s="122"/>
      <c r="AN724" s="122"/>
      <c r="AO724" s="122"/>
      <c r="AP724" s="122"/>
    </row>
    <row r="725" spans="2:42">
      <c r="B725" s="122"/>
      <c r="C725" s="122"/>
      <c r="D725" s="122"/>
      <c r="E725" s="122"/>
      <c r="F725" s="122"/>
      <c r="G725" s="122"/>
      <c r="H725" s="122"/>
      <c r="I725" s="275"/>
      <c r="J725" s="130"/>
      <c r="K725" s="130"/>
      <c r="L725" s="130"/>
      <c r="M725" s="130"/>
      <c r="N725" s="291"/>
      <c r="O725" s="291"/>
      <c r="P725" s="122"/>
      <c r="Q725" s="122"/>
      <c r="R725" s="122"/>
      <c r="S725" s="122"/>
      <c r="T725" s="122"/>
      <c r="U725" s="301"/>
      <c r="V725" s="260">
        <f t="shared" ca="1" si="19"/>
        <v>0</v>
      </c>
      <c r="W725" s="348" t="str">
        <f>IF(板块成分!B727="","",板块成分!B727)</f>
        <v>002206.SZ</v>
      </c>
      <c r="X725" s="276" t="str">
        <f>[1]!S_Info_Name(W725)</f>
        <v>海利得</v>
      </c>
      <c r="Y725" s="276" t="str">
        <f ca="1">IF($Y$3="申万一级行业",[1]!s_info_industry_sw_2021(W725,公司分析!D$5,1),IF($Y$3="申万二级行业",[1]!s_info_industry_sw_2021(W725,公司分析!D$5,2),IF($Y$3="申万三级行业",[1]!s_info_industry_sw_2021(W725,公司分析!D$5,3),IF($Y$3="wind一级行业",[1]!s_info_industry_gics(W725,1),IF($Y$3="wind二级行业",[1]!s_info_industry_gics(W725,2),IF($Y$3="wind三级行业",[1]!s_info_industry_gics(W725,3),IF($Y$3="wind四级行业",[1]!s_info_industry_gics(W725,4),IF($Y$3="证监会门类行业",[1]!s_info_industry_csrc12_n(W725,公司分析!D$5,1),""))))))))</f>
        <v>化学纤维</v>
      </c>
      <c r="Z725" s="302" t="str">
        <f ca="1">IF(Y725=行业比较!$E$6,ROW(),"")</f>
        <v/>
      </c>
      <c r="AA725" s="122"/>
      <c r="AB725" s="122"/>
      <c r="AC725" s="122"/>
      <c r="AD725" s="122"/>
      <c r="AE725" s="122"/>
      <c r="AF725" s="122"/>
      <c r="AG725" s="122"/>
      <c r="AH725" s="122"/>
      <c r="AI725" s="122"/>
      <c r="AJ725" s="122"/>
      <c r="AK725" s="122"/>
      <c r="AL725" s="122"/>
      <c r="AM725" s="122"/>
      <c r="AN725" s="122"/>
      <c r="AO725" s="122"/>
      <c r="AP725" s="122"/>
    </row>
    <row r="726" spans="2:42">
      <c r="B726" s="122"/>
      <c r="C726" s="122"/>
      <c r="D726" s="122"/>
      <c r="E726" s="122"/>
      <c r="F726" s="122"/>
      <c r="G726" s="122"/>
      <c r="H726" s="122"/>
      <c r="I726" s="275"/>
      <c r="J726" s="130"/>
      <c r="K726" s="130"/>
      <c r="L726" s="130"/>
      <c r="M726" s="130"/>
      <c r="N726" s="291"/>
      <c r="O726" s="291"/>
      <c r="P726" s="122"/>
      <c r="Q726" s="122"/>
      <c r="R726" s="122"/>
      <c r="S726" s="122"/>
      <c r="T726" s="122"/>
      <c r="U726" s="301"/>
      <c r="V726" s="260">
        <f t="shared" ca="1" si="19"/>
        <v>0</v>
      </c>
      <c r="W726" s="348" t="str">
        <f>IF(板块成分!B728="","",板块成分!B728)</f>
        <v>002207.SZ</v>
      </c>
      <c r="X726" s="276" t="str">
        <f>[1]!S_Info_Name(W726)</f>
        <v>准油股份</v>
      </c>
      <c r="Y726" s="276" t="str">
        <f ca="1">IF($Y$3="申万一级行业",[1]!s_info_industry_sw_2021(W726,公司分析!D$5,1),IF($Y$3="申万二级行业",[1]!s_info_industry_sw_2021(W726,公司分析!D$5,2),IF($Y$3="申万三级行业",[1]!s_info_industry_sw_2021(W726,公司分析!D$5,3),IF($Y$3="wind一级行业",[1]!s_info_industry_gics(W726,1),IF($Y$3="wind二级行业",[1]!s_info_industry_gics(W726,2),IF($Y$3="wind三级行业",[1]!s_info_industry_gics(W726,3),IF($Y$3="wind四级行业",[1]!s_info_industry_gics(W726,4),IF($Y$3="证监会门类行业",[1]!s_info_industry_csrc12_n(W726,公司分析!D$5,1),""))))))))</f>
        <v>油服工程</v>
      </c>
      <c r="Z726" s="302" t="str">
        <f ca="1">IF(Y726=行业比较!$E$6,ROW(),"")</f>
        <v/>
      </c>
      <c r="AA726" s="122"/>
      <c r="AB726" s="122"/>
      <c r="AC726" s="122"/>
      <c r="AD726" s="122"/>
      <c r="AE726" s="122"/>
      <c r="AF726" s="122"/>
      <c r="AG726" s="122"/>
      <c r="AH726" s="122"/>
      <c r="AI726" s="122"/>
      <c r="AJ726" s="122"/>
      <c r="AK726" s="122"/>
      <c r="AL726" s="122"/>
      <c r="AM726" s="122"/>
      <c r="AN726" s="122"/>
      <c r="AO726" s="122"/>
      <c r="AP726" s="122"/>
    </row>
    <row r="727" spans="2:42">
      <c r="B727" s="122"/>
      <c r="C727" s="122"/>
      <c r="D727" s="122"/>
      <c r="E727" s="122"/>
      <c r="F727" s="122"/>
      <c r="G727" s="122"/>
      <c r="H727" s="122"/>
      <c r="I727" s="275"/>
      <c r="J727" s="130"/>
      <c r="K727" s="130"/>
      <c r="L727" s="130"/>
      <c r="M727" s="130"/>
      <c r="N727" s="291"/>
      <c r="O727" s="291"/>
      <c r="P727" s="122"/>
      <c r="Q727" s="122"/>
      <c r="R727" s="122"/>
      <c r="S727" s="122"/>
      <c r="T727" s="122"/>
      <c r="U727" s="301"/>
      <c r="V727" s="260">
        <f t="shared" ca="1" si="19"/>
        <v>0</v>
      </c>
      <c r="W727" s="348" t="str">
        <f>IF(板块成分!B729="","",板块成分!B729)</f>
        <v>002208.SZ</v>
      </c>
      <c r="X727" s="276" t="str">
        <f>[1]!S_Info_Name(W727)</f>
        <v>合肥城建</v>
      </c>
      <c r="Y727" s="276" t="str">
        <f ca="1">IF($Y$3="申万一级行业",[1]!s_info_industry_sw_2021(W727,公司分析!D$5,1),IF($Y$3="申万二级行业",[1]!s_info_industry_sw_2021(W727,公司分析!D$5,2),IF($Y$3="申万三级行业",[1]!s_info_industry_sw_2021(W727,公司分析!D$5,3),IF($Y$3="wind一级行业",[1]!s_info_industry_gics(W727,1),IF($Y$3="wind二级行业",[1]!s_info_industry_gics(W727,2),IF($Y$3="wind三级行业",[1]!s_info_industry_gics(W727,3),IF($Y$3="wind四级行业",[1]!s_info_industry_gics(W727,4),IF($Y$3="证监会门类行业",[1]!s_info_industry_csrc12_n(W727,公司分析!D$5,1),""))))))))</f>
        <v>房地产开发</v>
      </c>
      <c r="Z727" s="302" t="str">
        <f ca="1">IF(Y727=行业比较!$E$6,ROW(),"")</f>
        <v/>
      </c>
      <c r="AA727" s="122"/>
      <c r="AB727" s="122"/>
      <c r="AC727" s="122"/>
      <c r="AD727" s="122"/>
      <c r="AE727" s="122"/>
      <c r="AF727" s="122"/>
      <c r="AG727" s="122"/>
      <c r="AH727" s="122"/>
      <c r="AI727" s="122"/>
      <c r="AJ727" s="122"/>
      <c r="AK727" s="122"/>
      <c r="AL727" s="122"/>
      <c r="AM727" s="122"/>
      <c r="AN727" s="122"/>
      <c r="AO727" s="122"/>
      <c r="AP727" s="122"/>
    </row>
    <row r="728" spans="2:42">
      <c r="B728" s="122"/>
      <c r="C728" s="122"/>
      <c r="D728" s="122"/>
      <c r="E728" s="122"/>
      <c r="F728" s="122"/>
      <c r="G728" s="122"/>
      <c r="H728" s="122"/>
      <c r="I728" s="275"/>
      <c r="J728" s="130"/>
      <c r="K728" s="130"/>
      <c r="L728" s="130"/>
      <c r="M728" s="130"/>
      <c r="N728" s="291"/>
      <c r="O728" s="291"/>
      <c r="P728" s="122"/>
      <c r="Q728" s="122"/>
      <c r="R728" s="122"/>
      <c r="S728" s="122"/>
      <c r="T728" s="122"/>
      <c r="U728" s="301"/>
      <c r="V728" s="260">
        <f t="shared" ca="1" si="19"/>
        <v>0</v>
      </c>
      <c r="W728" s="348" t="str">
        <f>IF(板块成分!B730="","",板块成分!B730)</f>
        <v>002209.SZ</v>
      </c>
      <c r="X728" s="276" t="str">
        <f>[1]!S_Info_Name(W728)</f>
        <v>达意隆</v>
      </c>
      <c r="Y728" s="276" t="str">
        <f ca="1">IF($Y$3="申万一级行业",[1]!s_info_industry_sw_2021(W728,公司分析!D$5,1),IF($Y$3="申万二级行业",[1]!s_info_industry_sw_2021(W728,公司分析!D$5,2),IF($Y$3="申万三级行业",[1]!s_info_industry_sw_2021(W728,公司分析!D$5,3),IF($Y$3="wind一级行业",[1]!s_info_industry_gics(W728,1),IF($Y$3="wind二级行业",[1]!s_info_industry_gics(W728,2),IF($Y$3="wind三级行业",[1]!s_info_industry_gics(W728,3),IF($Y$3="wind四级行业",[1]!s_info_industry_gics(W728,4),IF($Y$3="证监会门类行业",[1]!s_info_industry_csrc12_n(W728,公司分析!D$5,1),""))))))))</f>
        <v>专用设备</v>
      </c>
      <c r="Z728" s="302" t="str">
        <f ca="1">IF(Y728=行业比较!$E$6,ROW(),"")</f>
        <v/>
      </c>
      <c r="AA728" s="122"/>
      <c r="AB728" s="122"/>
      <c r="AC728" s="122"/>
      <c r="AD728" s="122"/>
      <c r="AE728" s="122"/>
      <c r="AF728" s="122"/>
      <c r="AG728" s="122"/>
      <c r="AH728" s="122"/>
      <c r="AI728" s="122"/>
      <c r="AJ728" s="122"/>
      <c r="AK728" s="122"/>
      <c r="AL728" s="122"/>
      <c r="AM728" s="122"/>
      <c r="AN728" s="122"/>
      <c r="AO728" s="122"/>
      <c r="AP728" s="122"/>
    </row>
    <row r="729" spans="2:42">
      <c r="B729" s="122"/>
      <c r="C729" s="122"/>
      <c r="D729" s="122"/>
      <c r="E729" s="122"/>
      <c r="F729" s="122"/>
      <c r="G729" s="122"/>
      <c r="H729" s="122"/>
      <c r="I729" s="275"/>
      <c r="J729" s="130"/>
      <c r="K729" s="130"/>
      <c r="L729" s="130"/>
      <c r="M729" s="130"/>
      <c r="N729" s="291"/>
      <c r="O729" s="291"/>
      <c r="P729" s="122"/>
      <c r="Q729" s="122"/>
      <c r="R729" s="122"/>
      <c r="S729" s="122"/>
      <c r="T729" s="122"/>
      <c r="U729" s="301"/>
      <c r="V729" s="260">
        <f t="shared" ca="1" si="19"/>
        <v>0</v>
      </c>
      <c r="W729" s="348" t="str">
        <f>IF(板块成分!B731="","",板块成分!B731)</f>
        <v>002210.SZ</v>
      </c>
      <c r="X729" s="276" t="str">
        <f>[1]!S_Info_Name(W729)</f>
        <v>飞马国际</v>
      </c>
      <c r="Y729" s="276" t="str">
        <f ca="1">IF($Y$3="申万一级行业",[1]!s_info_industry_sw_2021(W729,公司分析!D$5,1),IF($Y$3="申万二级行业",[1]!s_info_industry_sw_2021(W729,公司分析!D$5,2),IF($Y$3="申万三级行业",[1]!s_info_industry_sw_2021(W729,公司分析!D$5,3),IF($Y$3="wind一级行业",[1]!s_info_industry_gics(W729,1),IF($Y$3="wind二级行业",[1]!s_info_industry_gics(W729,2),IF($Y$3="wind三级行业",[1]!s_info_industry_gics(W729,3),IF($Y$3="wind四级行业",[1]!s_info_industry_gics(W729,4),IF($Y$3="证监会门类行业",[1]!s_info_industry_csrc12_n(W729,公司分析!D$5,1),""))))))))</f>
        <v>环境治理</v>
      </c>
      <c r="Z729" s="302" t="str">
        <f ca="1">IF(Y729=行业比较!$E$6,ROW(),"")</f>
        <v/>
      </c>
      <c r="AA729" s="122"/>
      <c r="AB729" s="122"/>
      <c r="AC729" s="122"/>
      <c r="AD729" s="122"/>
      <c r="AE729" s="122"/>
      <c r="AF729" s="122"/>
      <c r="AG729" s="122"/>
      <c r="AH729" s="122"/>
      <c r="AI729" s="122"/>
      <c r="AJ729" s="122"/>
      <c r="AK729" s="122"/>
      <c r="AL729" s="122"/>
      <c r="AM729" s="122"/>
      <c r="AN729" s="122"/>
      <c r="AO729" s="122"/>
      <c r="AP729" s="122"/>
    </row>
    <row r="730" spans="2:42">
      <c r="B730" s="122"/>
      <c r="C730" s="122"/>
      <c r="D730" s="122"/>
      <c r="E730" s="122"/>
      <c r="F730" s="122"/>
      <c r="G730" s="122"/>
      <c r="H730" s="122"/>
      <c r="I730" s="275"/>
      <c r="J730" s="130"/>
      <c r="K730" s="130"/>
      <c r="L730" s="130"/>
      <c r="M730" s="130"/>
      <c r="N730" s="291"/>
      <c r="O730" s="291"/>
      <c r="P730" s="122"/>
      <c r="Q730" s="122"/>
      <c r="R730" s="122"/>
      <c r="S730" s="122"/>
      <c r="T730" s="122"/>
      <c r="U730" s="301"/>
      <c r="V730" s="260">
        <f t="shared" ca="1" si="19"/>
        <v>0</v>
      </c>
      <c r="W730" s="348" t="str">
        <f>IF(板块成分!B732="","",板块成分!B732)</f>
        <v>002211.SZ</v>
      </c>
      <c r="X730" s="276" t="str">
        <f>[1]!S_Info_Name(W730)</f>
        <v>ST宏达</v>
      </c>
      <c r="Y730" s="276" t="str">
        <f ca="1">IF($Y$3="申万一级行业",[1]!s_info_industry_sw_2021(W730,公司分析!D$5,1),IF($Y$3="申万二级行业",[1]!s_info_industry_sw_2021(W730,公司分析!D$5,2),IF($Y$3="申万三级行业",[1]!s_info_industry_sw_2021(W730,公司分析!D$5,3),IF($Y$3="wind一级行业",[1]!s_info_industry_gics(W730,1),IF($Y$3="wind二级行业",[1]!s_info_industry_gics(W730,2),IF($Y$3="wind三级行业",[1]!s_info_industry_gics(W730,3),IF($Y$3="wind四级行业",[1]!s_info_industry_gics(W730,4),IF($Y$3="证监会门类行业",[1]!s_info_industry_csrc12_n(W730,公司分析!D$5,1),""))))))))</f>
        <v>化学制品</v>
      </c>
      <c r="Z730" s="302" t="str">
        <f ca="1">IF(Y730=行业比较!$E$6,ROW(),"")</f>
        <v/>
      </c>
      <c r="AA730" s="122"/>
      <c r="AB730" s="122"/>
      <c r="AC730" s="122"/>
      <c r="AD730" s="122"/>
      <c r="AE730" s="122"/>
      <c r="AF730" s="122"/>
      <c r="AG730" s="122"/>
      <c r="AH730" s="122"/>
      <c r="AI730" s="122"/>
      <c r="AJ730" s="122"/>
      <c r="AK730" s="122"/>
      <c r="AL730" s="122"/>
      <c r="AM730" s="122"/>
      <c r="AN730" s="122"/>
      <c r="AO730" s="122"/>
      <c r="AP730" s="122"/>
    </row>
    <row r="731" spans="2:42">
      <c r="B731" s="122"/>
      <c r="C731" s="122"/>
      <c r="D731" s="122"/>
      <c r="E731" s="122"/>
      <c r="F731" s="122"/>
      <c r="G731" s="122"/>
      <c r="H731" s="122"/>
      <c r="I731" s="275"/>
      <c r="J731" s="130"/>
      <c r="K731" s="130"/>
      <c r="L731" s="130"/>
      <c r="M731" s="130"/>
      <c r="N731" s="291"/>
      <c r="O731" s="291"/>
      <c r="P731" s="122"/>
      <c r="Q731" s="122"/>
      <c r="R731" s="122"/>
      <c r="S731" s="122"/>
      <c r="T731" s="122"/>
      <c r="U731" s="301"/>
      <c r="V731" s="260">
        <f t="shared" ca="1" si="19"/>
        <v>0</v>
      </c>
      <c r="W731" s="348" t="str">
        <f>IF(板块成分!B733="","",板块成分!B733)</f>
        <v>002212.SZ</v>
      </c>
      <c r="X731" s="276" t="str">
        <f>[1]!S_Info_Name(W731)</f>
        <v>天融信</v>
      </c>
      <c r="Y731" s="276" t="str">
        <f ca="1">IF($Y$3="申万一级行业",[1]!s_info_industry_sw_2021(W731,公司分析!D$5,1),IF($Y$3="申万二级行业",[1]!s_info_industry_sw_2021(W731,公司分析!D$5,2),IF($Y$3="申万三级行业",[1]!s_info_industry_sw_2021(W731,公司分析!D$5,3),IF($Y$3="wind一级行业",[1]!s_info_industry_gics(W731,1),IF($Y$3="wind二级行业",[1]!s_info_industry_gics(W731,2),IF($Y$3="wind三级行业",[1]!s_info_industry_gics(W731,3),IF($Y$3="wind四级行业",[1]!s_info_industry_gics(W731,4),IF($Y$3="证监会门类行业",[1]!s_info_industry_csrc12_n(W731,公司分析!D$5,1),""))))))))</f>
        <v>软件开发</v>
      </c>
      <c r="Z731" s="302" t="str">
        <f ca="1">IF(Y731=行业比较!$E$6,ROW(),"")</f>
        <v/>
      </c>
      <c r="AA731" s="122"/>
      <c r="AB731" s="122"/>
      <c r="AC731" s="122"/>
      <c r="AD731" s="122"/>
      <c r="AE731" s="122"/>
      <c r="AF731" s="122"/>
      <c r="AG731" s="122"/>
      <c r="AH731" s="122"/>
      <c r="AI731" s="122"/>
      <c r="AJ731" s="122"/>
      <c r="AK731" s="122"/>
      <c r="AL731" s="122"/>
      <c r="AM731" s="122"/>
      <c r="AN731" s="122"/>
      <c r="AO731" s="122"/>
      <c r="AP731" s="122"/>
    </row>
    <row r="732" spans="2:42">
      <c r="B732" s="122"/>
      <c r="C732" s="122"/>
      <c r="D732" s="122"/>
      <c r="E732" s="122"/>
      <c r="F732" s="122"/>
      <c r="G732" s="122"/>
      <c r="H732" s="122"/>
      <c r="I732" s="275"/>
      <c r="J732" s="130"/>
      <c r="K732" s="130"/>
      <c r="L732" s="130"/>
      <c r="M732" s="130"/>
      <c r="N732" s="291"/>
      <c r="O732" s="291"/>
      <c r="P732" s="122"/>
      <c r="Q732" s="122"/>
      <c r="R732" s="122"/>
      <c r="S732" s="122"/>
      <c r="T732" s="122"/>
      <c r="U732" s="301"/>
      <c r="V732" s="260">
        <f t="shared" ca="1" si="19"/>
        <v>0</v>
      </c>
      <c r="W732" s="348" t="str">
        <f>IF(板块成分!B734="","",板块成分!B734)</f>
        <v>002213.SZ</v>
      </c>
      <c r="X732" s="276" t="str">
        <f>[1]!S_Info_Name(W732)</f>
        <v>大为股份</v>
      </c>
      <c r="Y732" s="276" t="str">
        <f ca="1">IF($Y$3="申万一级行业",[1]!s_info_industry_sw_2021(W732,公司分析!D$5,1),IF($Y$3="申万二级行业",[1]!s_info_industry_sw_2021(W732,公司分析!D$5,2),IF($Y$3="申万三级行业",[1]!s_info_industry_sw_2021(W732,公司分析!D$5,3),IF($Y$3="wind一级行业",[1]!s_info_industry_gics(W732,1),IF($Y$3="wind二级行业",[1]!s_info_industry_gics(W732,2),IF($Y$3="wind三级行业",[1]!s_info_industry_gics(W732,3),IF($Y$3="wind四级行业",[1]!s_info_industry_gics(W732,4),IF($Y$3="证监会门类行业",[1]!s_info_industry_csrc12_n(W732,公司分析!D$5,1),""))))))))</f>
        <v>半导体</v>
      </c>
      <c r="Z732" s="302" t="str">
        <f ca="1">IF(Y732=行业比较!$E$6,ROW(),"")</f>
        <v/>
      </c>
      <c r="AA732" s="122"/>
      <c r="AB732" s="122"/>
      <c r="AC732" s="122"/>
      <c r="AD732" s="122"/>
      <c r="AE732" s="122"/>
      <c r="AF732" s="122"/>
      <c r="AG732" s="122"/>
      <c r="AH732" s="122"/>
      <c r="AI732" s="122"/>
      <c r="AJ732" s="122"/>
      <c r="AK732" s="122"/>
      <c r="AL732" s="122"/>
      <c r="AM732" s="122"/>
      <c r="AN732" s="122"/>
      <c r="AO732" s="122"/>
      <c r="AP732" s="122"/>
    </row>
    <row r="733" spans="2:42">
      <c r="B733" s="122"/>
      <c r="C733" s="122"/>
      <c r="D733" s="122"/>
      <c r="E733" s="122"/>
      <c r="F733" s="122"/>
      <c r="G733" s="122"/>
      <c r="H733" s="122"/>
      <c r="I733" s="275"/>
      <c r="J733" s="130"/>
      <c r="K733" s="130"/>
      <c r="L733" s="130"/>
      <c r="M733" s="130"/>
      <c r="N733" s="291"/>
      <c r="O733" s="291"/>
      <c r="P733" s="122"/>
      <c r="Q733" s="122"/>
      <c r="R733" s="122"/>
      <c r="S733" s="122"/>
      <c r="T733" s="122"/>
      <c r="U733" s="301"/>
      <c r="V733" s="260">
        <f t="shared" ca="1" si="19"/>
        <v>0</v>
      </c>
      <c r="W733" s="348" t="str">
        <f>IF(板块成分!B735="","",板块成分!B735)</f>
        <v>002214.SZ</v>
      </c>
      <c r="X733" s="276" t="str">
        <f>[1]!S_Info_Name(W733)</f>
        <v>*ST大立</v>
      </c>
      <c r="Y733" s="276" t="str">
        <f ca="1">IF($Y$3="申万一级行业",[1]!s_info_industry_sw_2021(W733,公司分析!D$5,1),IF($Y$3="申万二级行业",[1]!s_info_industry_sw_2021(W733,公司分析!D$5,2),IF($Y$3="申万三级行业",[1]!s_info_industry_sw_2021(W733,公司分析!D$5,3),IF($Y$3="wind一级行业",[1]!s_info_industry_gics(W733,1),IF($Y$3="wind二级行业",[1]!s_info_industry_gics(W733,2),IF($Y$3="wind三级行业",[1]!s_info_industry_gics(W733,3),IF($Y$3="wind四级行业",[1]!s_info_industry_gics(W733,4),IF($Y$3="证监会门类行业",[1]!s_info_industry_csrc12_n(W733,公司分析!D$5,1),""))))))))</f>
        <v>军工电子Ⅱ</v>
      </c>
      <c r="Z733" s="302" t="str">
        <f ca="1">IF(Y733=行业比较!$E$6,ROW(),"")</f>
        <v/>
      </c>
      <c r="AA733" s="122"/>
      <c r="AB733" s="122"/>
      <c r="AC733" s="122"/>
      <c r="AD733" s="122"/>
      <c r="AE733" s="122"/>
      <c r="AF733" s="122"/>
      <c r="AG733" s="122"/>
      <c r="AH733" s="122"/>
      <c r="AI733" s="122"/>
      <c r="AJ733" s="122"/>
      <c r="AK733" s="122"/>
      <c r="AL733" s="122"/>
      <c r="AM733" s="122"/>
      <c r="AN733" s="122"/>
      <c r="AO733" s="122"/>
      <c r="AP733" s="122"/>
    </row>
    <row r="734" spans="2:42">
      <c r="B734" s="122"/>
      <c r="C734" s="122"/>
      <c r="D734" s="122"/>
      <c r="E734" s="122"/>
      <c r="F734" s="122"/>
      <c r="G734" s="122"/>
      <c r="H734" s="122"/>
      <c r="I734" s="275"/>
      <c r="J734" s="130"/>
      <c r="K734" s="130"/>
      <c r="L734" s="130"/>
      <c r="M734" s="130"/>
      <c r="N734" s="291"/>
      <c r="O734" s="291"/>
      <c r="P734" s="122"/>
      <c r="Q734" s="122"/>
      <c r="R734" s="122"/>
      <c r="S734" s="122"/>
      <c r="T734" s="122"/>
      <c r="U734" s="301"/>
      <c r="V734" s="260">
        <f t="shared" ca="1" si="19"/>
        <v>0</v>
      </c>
      <c r="W734" s="348" t="str">
        <f>IF(板块成分!B736="","",板块成分!B736)</f>
        <v>002215.SZ</v>
      </c>
      <c r="X734" s="276" t="str">
        <f>[1]!S_Info_Name(W734)</f>
        <v>诺普信</v>
      </c>
      <c r="Y734" s="276" t="str">
        <f ca="1">IF($Y$3="申万一级行业",[1]!s_info_industry_sw_2021(W734,公司分析!D$5,1),IF($Y$3="申万二级行业",[1]!s_info_industry_sw_2021(W734,公司分析!D$5,2),IF($Y$3="申万三级行业",[1]!s_info_industry_sw_2021(W734,公司分析!D$5,3),IF($Y$3="wind一级行业",[1]!s_info_industry_gics(W734,1),IF($Y$3="wind二级行业",[1]!s_info_industry_gics(W734,2),IF($Y$3="wind三级行业",[1]!s_info_industry_gics(W734,3),IF($Y$3="wind四级行业",[1]!s_info_industry_gics(W734,4),IF($Y$3="证监会门类行业",[1]!s_info_industry_csrc12_n(W734,公司分析!D$5,1),""))))))))</f>
        <v>种植业</v>
      </c>
      <c r="Z734" s="302" t="str">
        <f ca="1">IF(Y734=行业比较!$E$6,ROW(),"")</f>
        <v/>
      </c>
      <c r="AA734" s="122"/>
      <c r="AB734" s="122"/>
      <c r="AC734" s="122"/>
      <c r="AD734" s="122"/>
      <c r="AE734" s="122"/>
      <c r="AF734" s="122"/>
      <c r="AG734" s="122"/>
      <c r="AH734" s="122"/>
      <c r="AI734" s="122"/>
      <c r="AJ734" s="122"/>
      <c r="AK734" s="122"/>
      <c r="AL734" s="122"/>
      <c r="AM734" s="122"/>
      <c r="AN734" s="122"/>
      <c r="AO734" s="122"/>
      <c r="AP734" s="122"/>
    </row>
    <row r="735" spans="2:42">
      <c r="B735" s="122"/>
      <c r="C735" s="122"/>
      <c r="D735" s="122"/>
      <c r="E735" s="122"/>
      <c r="F735" s="122"/>
      <c r="G735" s="122"/>
      <c r="H735" s="122"/>
      <c r="I735" s="275"/>
      <c r="J735" s="130"/>
      <c r="K735" s="130"/>
      <c r="L735" s="130"/>
      <c r="M735" s="130"/>
      <c r="N735" s="291"/>
      <c r="O735" s="291"/>
      <c r="P735" s="122"/>
      <c r="Q735" s="122"/>
      <c r="R735" s="122"/>
      <c r="S735" s="122"/>
      <c r="T735" s="122"/>
      <c r="U735" s="301"/>
      <c r="V735" s="260">
        <f t="shared" ca="1" si="19"/>
        <v>0</v>
      </c>
      <c r="W735" s="348" t="str">
        <f>IF(板块成分!B737="","",板块成分!B737)</f>
        <v>002216.SZ</v>
      </c>
      <c r="X735" s="276" t="str">
        <f>[1]!S_Info_Name(W735)</f>
        <v>三全食品</v>
      </c>
      <c r="Y735" s="276" t="str">
        <f ca="1">IF($Y$3="申万一级行业",[1]!s_info_industry_sw_2021(W735,公司分析!D$5,1),IF($Y$3="申万二级行业",[1]!s_info_industry_sw_2021(W735,公司分析!D$5,2),IF($Y$3="申万三级行业",[1]!s_info_industry_sw_2021(W735,公司分析!D$5,3),IF($Y$3="wind一级行业",[1]!s_info_industry_gics(W735,1),IF($Y$3="wind二级行业",[1]!s_info_industry_gics(W735,2),IF($Y$3="wind三级行业",[1]!s_info_industry_gics(W735,3),IF($Y$3="wind四级行业",[1]!s_info_industry_gics(W735,4),IF($Y$3="证监会门类行业",[1]!s_info_industry_csrc12_n(W735,公司分析!D$5,1),""))))))))</f>
        <v>食品加工</v>
      </c>
      <c r="Z735" s="302" t="str">
        <f ca="1">IF(Y735=行业比较!$E$6,ROW(),"")</f>
        <v/>
      </c>
      <c r="AA735" s="122"/>
      <c r="AB735" s="122"/>
      <c r="AC735" s="122"/>
      <c r="AD735" s="122"/>
      <c r="AE735" s="122"/>
      <c r="AF735" s="122"/>
      <c r="AG735" s="122"/>
      <c r="AH735" s="122"/>
      <c r="AI735" s="122"/>
      <c r="AJ735" s="122"/>
      <c r="AK735" s="122"/>
      <c r="AL735" s="122"/>
      <c r="AM735" s="122"/>
      <c r="AN735" s="122"/>
      <c r="AO735" s="122"/>
      <c r="AP735" s="122"/>
    </row>
    <row r="736" spans="2:42">
      <c r="B736" s="122"/>
      <c r="C736" s="122"/>
      <c r="D736" s="122"/>
      <c r="E736" s="122"/>
      <c r="F736" s="122"/>
      <c r="G736" s="122"/>
      <c r="H736" s="122"/>
      <c r="I736" s="275"/>
      <c r="J736" s="130"/>
      <c r="K736" s="130"/>
      <c r="L736" s="130"/>
      <c r="M736" s="130"/>
      <c r="N736" s="291"/>
      <c r="O736" s="291"/>
      <c r="P736" s="122"/>
      <c r="Q736" s="122"/>
      <c r="R736" s="122"/>
      <c r="S736" s="122"/>
      <c r="T736" s="122"/>
      <c r="U736" s="301"/>
      <c r="V736" s="260">
        <f t="shared" ca="1" si="19"/>
        <v>0</v>
      </c>
      <c r="W736" s="348" t="str">
        <f>IF(板块成分!B738="","",板块成分!B738)</f>
        <v>002217.SZ</v>
      </c>
      <c r="X736" s="276" t="str">
        <f>[1]!S_Info_Name(W736)</f>
        <v>合力泰</v>
      </c>
      <c r="Y736" s="276" t="str">
        <f ca="1">IF($Y$3="申万一级行业",[1]!s_info_industry_sw_2021(W736,公司分析!D$5,1),IF($Y$3="申万二级行业",[1]!s_info_industry_sw_2021(W736,公司分析!D$5,2),IF($Y$3="申万三级行业",[1]!s_info_industry_sw_2021(W736,公司分析!D$5,3),IF($Y$3="wind一级行业",[1]!s_info_industry_gics(W736,1),IF($Y$3="wind二级行业",[1]!s_info_industry_gics(W736,2),IF($Y$3="wind三级行业",[1]!s_info_industry_gics(W736,3),IF($Y$3="wind四级行业",[1]!s_info_industry_gics(W736,4),IF($Y$3="证监会门类行业",[1]!s_info_industry_csrc12_n(W736,公司分析!D$5,1),""))))))))</f>
        <v>光学光电子</v>
      </c>
      <c r="Z736" s="302" t="str">
        <f ca="1">IF(Y736=行业比较!$E$6,ROW(),"")</f>
        <v/>
      </c>
      <c r="AA736" s="122"/>
      <c r="AB736" s="122"/>
      <c r="AC736" s="122"/>
      <c r="AD736" s="122"/>
      <c r="AE736" s="122"/>
      <c r="AF736" s="122"/>
      <c r="AG736" s="122"/>
      <c r="AH736" s="122"/>
      <c r="AI736" s="122"/>
      <c r="AJ736" s="122"/>
      <c r="AK736" s="122"/>
      <c r="AL736" s="122"/>
      <c r="AM736" s="122"/>
      <c r="AN736" s="122"/>
      <c r="AO736" s="122"/>
      <c r="AP736" s="122"/>
    </row>
    <row r="737" spans="2:42">
      <c r="B737" s="122"/>
      <c r="C737" s="122"/>
      <c r="D737" s="122"/>
      <c r="E737" s="122"/>
      <c r="F737" s="122"/>
      <c r="G737" s="122"/>
      <c r="H737" s="122"/>
      <c r="I737" s="275"/>
      <c r="J737" s="130"/>
      <c r="K737" s="130"/>
      <c r="L737" s="130"/>
      <c r="M737" s="130"/>
      <c r="N737" s="291"/>
      <c r="O737" s="291"/>
      <c r="P737" s="122"/>
      <c r="Q737" s="122"/>
      <c r="R737" s="122"/>
      <c r="S737" s="122"/>
      <c r="T737" s="122"/>
      <c r="U737" s="301"/>
      <c r="V737" s="260">
        <f t="shared" ca="1" si="19"/>
        <v>0</v>
      </c>
      <c r="W737" s="348" t="str">
        <f>IF(板块成分!B739="","",板块成分!B739)</f>
        <v>002218.SZ</v>
      </c>
      <c r="X737" s="276" t="str">
        <f>[1]!S_Info_Name(W737)</f>
        <v>拓日新能</v>
      </c>
      <c r="Y737" s="276" t="str">
        <f ca="1">IF($Y$3="申万一级行业",[1]!s_info_industry_sw_2021(W737,公司分析!D$5,1),IF($Y$3="申万二级行业",[1]!s_info_industry_sw_2021(W737,公司分析!D$5,2),IF($Y$3="申万三级行业",[1]!s_info_industry_sw_2021(W737,公司分析!D$5,3),IF($Y$3="wind一级行业",[1]!s_info_industry_gics(W737,1),IF($Y$3="wind二级行业",[1]!s_info_industry_gics(W737,2),IF($Y$3="wind三级行业",[1]!s_info_industry_gics(W737,3),IF($Y$3="wind四级行业",[1]!s_info_industry_gics(W737,4),IF($Y$3="证监会门类行业",[1]!s_info_industry_csrc12_n(W737,公司分析!D$5,1),""))))))))</f>
        <v>电力</v>
      </c>
      <c r="Z737" s="302" t="str">
        <f ca="1">IF(Y737=行业比较!$E$6,ROW(),"")</f>
        <v/>
      </c>
      <c r="AA737" s="122"/>
      <c r="AB737" s="122"/>
      <c r="AC737" s="122"/>
      <c r="AD737" s="122"/>
      <c r="AE737" s="122"/>
      <c r="AF737" s="122"/>
      <c r="AG737" s="122"/>
      <c r="AH737" s="122"/>
      <c r="AI737" s="122"/>
      <c r="AJ737" s="122"/>
      <c r="AK737" s="122"/>
      <c r="AL737" s="122"/>
      <c r="AM737" s="122"/>
      <c r="AN737" s="122"/>
      <c r="AO737" s="122"/>
      <c r="AP737" s="122"/>
    </row>
    <row r="738" spans="2:42">
      <c r="B738" s="122"/>
      <c r="C738" s="122"/>
      <c r="D738" s="122"/>
      <c r="E738" s="122"/>
      <c r="F738" s="122"/>
      <c r="G738" s="122"/>
      <c r="H738" s="122"/>
      <c r="I738" s="275"/>
      <c r="J738" s="130"/>
      <c r="K738" s="130"/>
      <c r="L738" s="130"/>
      <c r="M738" s="130"/>
      <c r="N738" s="291"/>
      <c r="O738" s="291"/>
      <c r="P738" s="122"/>
      <c r="Q738" s="122"/>
      <c r="R738" s="122"/>
      <c r="S738" s="122"/>
      <c r="T738" s="122"/>
      <c r="U738" s="301"/>
      <c r="V738" s="260">
        <f t="shared" ca="1" si="19"/>
        <v>0</v>
      </c>
      <c r="W738" s="348" t="str">
        <f>IF(板块成分!B740="","",板块成分!B740)</f>
        <v>002219.SZ</v>
      </c>
      <c r="X738" s="276" t="str">
        <f>[1]!S_Info_Name(W738)</f>
        <v>新里程</v>
      </c>
      <c r="Y738" s="276" t="str">
        <f ca="1">IF($Y$3="申万一级行业",[1]!s_info_industry_sw_2021(W738,公司分析!D$5,1),IF($Y$3="申万二级行业",[1]!s_info_industry_sw_2021(W738,公司分析!D$5,2),IF($Y$3="申万三级行业",[1]!s_info_industry_sw_2021(W738,公司分析!D$5,3),IF($Y$3="wind一级行业",[1]!s_info_industry_gics(W738,1),IF($Y$3="wind二级行业",[1]!s_info_industry_gics(W738,2),IF($Y$3="wind三级行业",[1]!s_info_industry_gics(W738,3),IF($Y$3="wind四级行业",[1]!s_info_industry_gics(W738,4),IF($Y$3="证监会门类行业",[1]!s_info_industry_csrc12_n(W738,公司分析!D$5,1),""))))))))</f>
        <v>医疗服务</v>
      </c>
      <c r="Z738" s="302" t="str">
        <f ca="1">IF(Y738=行业比较!$E$6,ROW(),"")</f>
        <v/>
      </c>
      <c r="AA738" s="122"/>
      <c r="AB738" s="122"/>
      <c r="AC738" s="122"/>
      <c r="AD738" s="122"/>
      <c r="AE738" s="122"/>
      <c r="AF738" s="122"/>
      <c r="AG738" s="122"/>
      <c r="AH738" s="122"/>
      <c r="AI738" s="122"/>
      <c r="AJ738" s="122"/>
      <c r="AK738" s="122"/>
      <c r="AL738" s="122"/>
      <c r="AM738" s="122"/>
      <c r="AN738" s="122"/>
      <c r="AO738" s="122"/>
      <c r="AP738" s="122"/>
    </row>
    <row r="739" spans="2:42">
      <c r="B739" s="122"/>
      <c r="C739" s="122"/>
      <c r="D739" s="122"/>
      <c r="E739" s="122"/>
      <c r="F739" s="122"/>
      <c r="G739" s="122"/>
      <c r="H739" s="122"/>
      <c r="I739" s="275"/>
      <c r="J739" s="130"/>
      <c r="K739" s="130"/>
      <c r="L739" s="130"/>
      <c r="M739" s="130"/>
      <c r="N739" s="291"/>
      <c r="O739" s="291"/>
      <c r="P739" s="122"/>
      <c r="Q739" s="122"/>
      <c r="R739" s="122"/>
      <c r="S739" s="122"/>
      <c r="T739" s="122"/>
      <c r="U739" s="301"/>
      <c r="V739" s="260">
        <f t="shared" ca="1" si="19"/>
        <v>0</v>
      </c>
      <c r="W739" s="348" t="str">
        <f>IF(板块成分!B741="","",板块成分!B741)</f>
        <v>002221.SZ</v>
      </c>
      <c r="X739" s="276" t="str">
        <f>[1]!S_Info_Name(W739)</f>
        <v>东华能源</v>
      </c>
      <c r="Y739" s="276" t="str">
        <f ca="1">IF($Y$3="申万一级行业",[1]!s_info_industry_sw_2021(W739,公司分析!D$5,1),IF($Y$3="申万二级行业",[1]!s_info_industry_sw_2021(W739,公司分析!D$5,2),IF($Y$3="申万三级行业",[1]!s_info_industry_sw_2021(W739,公司分析!D$5,3),IF($Y$3="wind一级行业",[1]!s_info_industry_gics(W739,1),IF($Y$3="wind二级行业",[1]!s_info_industry_gics(W739,2),IF($Y$3="wind三级行业",[1]!s_info_industry_gics(W739,3),IF($Y$3="wind四级行业",[1]!s_info_industry_gics(W739,4),IF($Y$3="证监会门类行业",[1]!s_info_industry_csrc12_n(W739,公司分析!D$5,1),""))))))))</f>
        <v>炼化及贸易</v>
      </c>
      <c r="Z739" s="302" t="str">
        <f ca="1">IF(Y739=行业比较!$E$6,ROW(),"")</f>
        <v/>
      </c>
      <c r="AA739" s="122"/>
      <c r="AB739" s="122"/>
      <c r="AC739" s="122"/>
      <c r="AD739" s="122"/>
      <c r="AE739" s="122"/>
      <c r="AF739" s="122"/>
      <c r="AG739" s="122"/>
      <c r="AH739" s="122"/>
      <c r="AI739" s="122"/>
      <c r="AJ739" s="122"/>
      <c r="AK739" s="122"/>
      <c r="AL739" s="122"/>
      <c r="AM739" s="122"/>
      <c r="AN739" s="122"/>
      <c r="AO739" s="122"/>
      <c r="AP739" s="122"/>
    </row>
    <row r="740" spans="2:42">
      <c r="B740" s="122"/>
      <c r="C740" s="122"/>
      <c r="D740" s="122"/>
      <c r="E740" s="122"/>
      <c r="F740" s="122"/>
      <c r="G740" s="122"/>
      <c r="H740" s="122"/>
      <c r="I740" s="275"/>
      <c r="J740" s="130"/>
      <c r="K740" s="130"/>
      <c r="L740" s="130"/>
      <c r="M740" s="130"/>
      <c r="N740" s="291"/>
      <c r="O740" s="291"/>
      <c r="P740" s="122"/>
      <c r="Q740" s="122"/>
      <c r="R740" s="122"/>
      <c r="S740" s="122"/>
      <c r="T740" s="122"/>
      <c r="U740" s="301"/>
      <c r="V740" s="260">
        <f t="shared" ca="1" si="19"/>
        <v>0</v>
      </c>
      <c r="W740" s="348" t="str">
        <f>IF(板块成分!B742="","",板块成分!B742)</f>
        <v>002222.SZ</v>
      </c>
      <c r="X740" s="276" t="str">
        <f>[1]!S_Info_Name(W740)</f>
        <v>福晶科技</v>
      </c>
      <c r="Y740" s="276" t="str">
        <f ca="1">IF($Y$3="申万一级行业",[1]!s_info_industry_sw_2021(W740,公司分析!D$5,1),IF($Y$3="申万二级行业",[1]!s_info_industry_sw_2021(W740,公司分析!D$5,2),IF($Y$3="申万三级行业",[1]!s_info_industry_sw_2021(W740,公司分析!D$5,3),IF($Y$3="wind一级行业",[1]!s_info_industry_gics(W740,1),IF($Y$3="wind二级行业",[1]!s_info_industry_gics(W740,2),IF($Y$3="wind三级行业",[1]!s_info_industry_gics(W740,3),IF($Y$3="wind四级行业",[1]!s_info_industry_gics(W740,4),IF($Y$3="证监会门类行业",[1]!s_info_industry_csrc12_n(W740,公司分析!D$5,1),""))))))))</f>
        <v>光学光电子</v>
      </c>
      <c r="Z740" s="302" t="str">
        <f ca="1">IF(Y740=行业比较!$E$6,ROW(),"")</f>
        <v/>
      </c>
      <c r="AA740" s="122"/>
      <c r="AB740" s="122"/>
      <c r="AC740" s="122"/>
      <c r="AD740" s="122"/>
      <c r="AE740" s="122"/>
      <c r="AF740" s="122"/>
      <c r="AG740" s="122"/>
      <c r="AH740" s="122"/>
      <c r="AI740" s="122"/>
      <c r="AJ740" s="122"/>
      <c r="AK740" s="122"/>
      <c r="AL740" s="122"/>
      <c r="AM740" s="122"/>
      <c r="AN740" s="122"/>
      <c r="AO740" s="122"/>
      <c r="AP740" s="122"/>
    </row>
    <row r="741" spans="2:42">
      <c r="B741" s="122"/>
      <c r="C741" s="122"/>
      <c r="D741" s="122"/>
      <c r="E741" s="122"/>
      <c r="F741" s="122"/>
      <c r="G741" s="122"/>
      <c r="H741" s="122"/>
      <c r="I741" s="275"/>
      <c r="J741" s="130"/>
      <c r="K741" s="130"/>
      <c r="L741" s="130"/>
      <c r="M741" s="130"/>
      <c r="N741" s="291"/>
      <c r="O741" s="291"/>
      <c r="P741" s="122"/>
      <c r="Q741" s="122"/>
      <c r="R741" s="122"/>
      <c r="S741" s="122"/>
      <c r="T741" s="122"/>
      <c r="U741" s="301"/>
      <c r="V741" s="260">
        <f t="shared" ca="1" si="19"/>
        <v>0</v>
      </c>
      <c r="W741" s="348" t="str">
        <f>IF(板块成分!B743="","",板块成分!B743)</f>
        <v>002223.SZ</v>
      </c>
      <c r="X741" s="276" t="str">
        <f>[1]!S_Info_Name(W741)</f>
        <v>鱼跃医疗</v>
      </c>
      <c r="Y741" s="276" t="str">
        <f ca="1">IF($Y$3="申万一级行业",[1]!s_info_industry_sw_2021(W741,公司分析!D$5,1),IF($Y$3="申万二级行业",[1]!s_info_industry_sw_2021(W741,公司分析!D$5,2),IF($Y$3="申万三级行业",[1]!s_info_industry_sw_2021(W741,公司分析!D$5,3),IF($Y$3="wind一级行业",[1]!s_info_industry_gics(W741,1),IF($Y$3="wind二级行业",[1]!s_info_industry_gics(W741,2),IF($Y$3="wind三级行业",[1]!s_info_industry_gics(W741,3),IF($Y$3="wind四级行业",[1]!s_info_industry_gics(W741,4),IF($Y$3="证监会门类行业",[1]!s_info_industry_csrc12_n(W741,公司分析!D$5,1),""))))))))</f>
        <v>医疗器械</v>
      </c>
      <c r="Z741" s="302" t="str">
        <f ca="1">IF(Y741=行业比较!$E$6,ROW(),"")</f>
        <v/>
      </c>
      <c r="AA741" s="122"/>
      <c r="AB741" s="122"/>
      <c r="AC741" s="122"/>
      <c r="AD741" s="122"/>
      <c r="AE741" s="122"/>
      <c r="AF741" s="122"/>
      <c r="AG741" s="122"/>
      <c r="AH741" s="122"/>
      <c r="AI741" s="122"/>
      <c r="AJ741" s="122"/>
      <c r="AK741" s="122"/>
      <c r="AL741" s="122"/>
      <c r="AM741" s="122"/>
      <c r="AN741" s="122"/>
      <c r="AO741" s="122"/>
      <c r="AP741" s="122"/>
    </row>
    <row r="742" spans="2:42">
      <c r="B742" s="122"/>
      <c r="C742" s="122"/>
      <c r="D742" s="122"/>
      <c r="E742" s="122"/>
      <c r="F742" s="122"/>
      <c r="G742" s="122"/>
      <c r="H742" s="122"/>
      <c r="I742" s="275"/>
      <c r="J742" s="130"/>
      <c r="K742" s="130"/>
      <c r="L742" s="130"/>
      <c r="M742" s="130"/>
      <c r="N742" s="291"/>
      <c r="O742" s="291"/>
      <c r="P742" s="122"/>
      <c r="Q742" s="122"/>
      <c r="R742" s="122"/>
      <c r="S742" s="122"/>
      <c r="T742" s="122"/>
      <c r="U742" s="301"/>
      <c r="V742" s="260">
        <f t="shared" ca="1" si="19"/>
        <v>0</v>
      </c>
      <c r="W742" s="348" t="str">
        <f>IF(板块成分!B744="","",板块成分!B744)</f>
        <v>002224.SZ</v>
      </c>
      <c r="X742" s="276" t="str">
        <f>[1]!S_Info_Name(W742)</f>
        <v>三力士</v>
      </c>
      <c r="Y742" s="276" t="str">
        <f ca="1">IF($Y$3="申万一级行业",[1]!s_info_industry_sw_2021(W742,公司分析!D$5,1),IF($Y$3="申万二级行业",[1]!s_info_industry_sw_2021(W742,公司分析!D$5,2),IF($Y$3="申万三级行业",[1]!s_info_industry_sw_2021(W742,公司分析!D$5,3),IF($Y$3="wind一级行业",[1]!s_info_industry_gics(W742,1),IF($Y$3="wind二级行业",[1]!s_info_industry_gics(W742,2),IF($Y$3="wind三级行业",[1]!s_info_industry_gics(W742,3),IF($Y$3="wind四级行业",[1]!s_info_industry_gics(W742,4),IF($Y$3="证监会门类行业",[1]!s_info_industry_csrc12_n(W742,公司分析!D$5,1),""))))))))</f>
        <v>橡胶</v>
      </c>
      <c r="Z742" s="302" t="str">
        <f ca="1">IF(Y742=行业比较!$E$6,ROW(),"")</f>
        <v/>
      </c>
      <c r="AA742" s="122"/>
      <c r="AB742" s="122"/>
      <c r="AC742" s="122"/>
      <c r="AD742" s="122"/>
      <c r="AE742" s="122"/>
      <c r="AF742" s="122"/>
      <c r="AG742" s="122"/>
      <c r="AH742" s="122"/>
      <c r="AI742" s="122"/>
      <c r="AJ742" s="122"/>
      <c r="AK742" s="122"/>
      <c r="AL742" s="122"/>
      <c r="AM742" s="122"/>
      <c r="AN742" s="122"/>
      <c r="AO742" s="122"/>
      <c r="AP742" s="122"/>
    </row>
    <row r="743" spans="2:42">
      <c r="B743" s="122"/>
      <c r="C743" s="122"/>
      <c r="D743" s="122"/>
      <c r="E743" s="122"/>
      <c r="F743" s="122"/>
      <c r="G743" s="122"/>
      <c r="H743" s="122"/>
      <c r="I743" s="275"/>
      <c r="J743" s="130"/>
      <c r="K743" s="130"/>
      <c r="L743" s="130"/>
      <c r="M743" s="130"/>
      <c r="N743" s="291"/>
      <c r="O743" s="291"/>
      <c r="P743" s="122"/>
      <c r="Q743" s="122"/>
      <c r="R743" s="122"/>
      <c r="S743" s="122"/>
      <c r="T743" s="122"/>
      <c r="U743" s="301"/>
      <c r="V743" s="260">
        <f t="shared" ca="1" si="19"/>
        <v>0</v>
      </c>
      <c r="W743" s="348" t="str">
        <f>IF(板块成分!B745="","",板块成分!B745)</f>
        <v>002225.SZ</v>
      </c>
      <c r="X743" s="276" t="str">
        <f>[1]!S_Info_Name(W743)</f>
        <v>濮耐股份</v>
      </c>
      <c r="Y743" s="276" t="str">
        <f ca="1">IF($Y$3="申万一级行业",[1]!s_info_industry_sw_2021(W743,公司分析!D$5,1),IF($Y$3="申万二级行业",[1]!s_info_industry_sw_2021(W743,公司分析!D$5,2),IF($Y$3="申万三级行业",[1]!s_info_industry_sw_2021(W743,公司分析!D$5,3),IF($Y$3="wind一级行业",[1]!s_info_industry_gics(W743,1),IF($Y$3="wind二级行业",[1]!s_info_industry_gics(W743,2),IF($Y$3="wind三级行业",[1]!s_info_industry_gics(W743,3),IF($Y$3="wind四级行业",[1]!s_info_industry_gics(W743,4),IF($Y$3="证监会门类行业",[1]!s_info_industry_csrc12_n(W743,公司分析!D$5,1),""))))))))</f>
        <v>装修建材</v>
      </c>
      <c r="Z743" s="302" t="str">
        <f ca="1">IF(Y743=行业比较!$E$6,ROW(),"")</f>
        <v/>
      </c>
      <c r="AA743" s="122"/>
      <c r="AB743" s="122"/>
      <c r="AC743" s="122"/>
      <c r="AD743" s="122"/>
      <c r="AE743" s="122"/>
      <c r="AF743" s="122"/>
      <c r="AG743" s="122"/>
      <c r="AH743" s="122"/>
      <c r="AI743" s="122"/>
      <c r="AJ743" s="122"/>
      <c r="AK743" s="122"/>
      <c r="AL743" s="122"/>
      <c r="AM743" s="122"/>
      <c r="AN743" s="122"/>
      <c r="AO743" s="122"/>
      <c r="AP743" s="122"/>
    </row>
    <row r="744" spans="2:42">
      <c r="B744" s="122"/>
      <c r="C744" s="122"/>
      <c r="D744" s="122"/>
      <c r="E744" s="122"/>
      <c r="F744" s="122"/>
      <c r="G744" s="122"/>
      <c r="H744" s="122"/>
      <c r="I744" s="275"/>
      <c r="J744" s="130"/>
      <c r="K744" s="130"/>
      <c r="L744" s="130"/>
      <c r="M744" s="130"/>
      <c r="N744" s="291"/>
      <c r="O744" s="291"/>
      <c r="P744" s="122"/>
      <c r="Q744" s="122"/>
      <c r="R744" s="122"/>
      <c r="S744" s="122"/>
      <c r="T744" s="122"/>
      <c r="U744" s="301"/>
      <c r="V744" s="260">
        <f t="shared" ca="1" si="19"/>
        <v>0</v>
      </c>
      <c r="W744" s="348" t="str">
        <f>IF(板块成分!B746="","",板块成分!B746)</f>
        <v>002226.SZ</v>
      </c>
      <c r="X744" s="276" t="str">
        <f>[1]!S_Info_Name(W744)</f>
        <v>江南化工</v>
      </c>
      <c r="Y744" s="276" t="str">
        <f ca="1">IF($Y$3="申万一级行业",[1]!s_info_industry_sw_2021(W744,公司分析!D$5,1),IF($Y$3="申万二级行业",[1]!s_info_industry_sw_2021(W744,公司分析!D$5,2),IF($Y$3="申万三级行业",[1]!s_info_industry_sw_2021(W744,公司分析!D$5,3),IF($Y$3="wind一级行业",[1]!s_info_industry_gics(W744,1),IF($Y$3="wind二级行业",[1]!s_info_industry_gics(W744,2),IF($Y$3="wind三级行业",[1]!s_info_industry_gics(W744,3),IF($Y$3="wind四级行业",[1]!s_info_industry_gics(W744,4),IF($Y$3="证监会门类行业",[1]!s_info_industry_csrc12_n(W744,公司分析!D$5,1),""))))))))</f>
        <v>化学制品</v>
      </c>
      <c r="Z744" s="302" t="str">
        <f ca="1">IF(Y744=行业比较!$E$6,ROW(),"")</f>
        <v/>
      </c>
      <c r="AA744" s="122"/>
      <c r="AB744" s="122"/>
      <c r="AC744" s="122"/>
      <c r="AD744" s="122"/>
      <c r="AE744" s="122"/>
      <c r="AF744" s="122"/>
      <c r="AG744" s="122"/>
      <c r="AH744" s="122"/>
      <c r="AI744" s="122"/>
      <c r="AJ744" s="122"/>
      <c r="AK744" s="122"/>
      <c r="AL744" s="122"/>
      <c r="AM744" s="122"/>
      <c r="AN744" s="122"/>
      <c r="AO744" s="122"/>
      <c r="AP744" s="122"/>
    </row>
    <row r="745" spans="2:42">
      <c r="B745" s="122"/>
      <c r="C745" s="122"/>
      <c r="D745" s="122"/>
      <c r="E745" s="122"/>
      <c r="F745" s="122"/>
      <c r="G745" s="122"/>
      <c r="H745" s="122"/>
      <c r="I745" s="275"/>
      <c r="J745" s="130"/>
      <c r="K745" s="130"/>
      <c r="L745" s="130"/>
      <c r="M745" s="130"/>
      <c r="N745" s="291"/>
      <c r="O745" s="291"/>
      <c r="P745" s="122"/>
      <c r="Q745" s="122"/>
      <c r="R745" s="122"/>
      <c r="S745" s="122"/>
      <c r="T745" s="122"/>
      <c r="U745" s="301"/>
      <c r="V745" s="260">
        <f t="shared" ca="1" si="19"/>
        <v>0</v>
      </c>
      <c r="W745" s="348" t="str">
        <f>IF(板块成分!B747="","",板块成分!B747)</f>
        <v>002227.SZ</v>
      </c>
      <c r="X745" s="276" t="str">
        <f>[1]!S_Info_Name(W745)</f>
        <v>奥特迅</v>
      </c>
      <c r="Y745" s="276" t="str">
        <f ca="1">IF($Y$3="申万一级行业",[1]!s_info_industry_sw_2021(W745,公司分析!D$5,1),IF($Y$3="申万二级行业",[1]!s_info_industry_sw_2021(W745,公司分析!D$5,2),IF($Y$3="申万三级行业",[1]!s_info_industry_sw_2021(W745,公司分析!D$5,3),IF($Y$3="wind一级行业",[1]!s_info_industry_gics(W745,1),IF($Y$3="wind二级行业",[1]!s_info_industry_gics(W745,2),IF($Y$3="wind三级行业",[1]!s_info_industry_gics(W745,3),IF($Y$3="wind四级行业",[1]!s_info_industry_gics(W745,4),IF($Y$3="证监会门类行业",[1]!s_info_industry_csrc12_n(W745,公司分析!D$5,1),""))))))))</f>
        <v>其他电源设备Ⅱ</v>
      </c>
      <c r="Z745" s="302" t="str">
        <f ca="1">IF(Y745=行业比较!$E$6,ROW(),"")</f>
        <v/>
      </c>
      <c r="AA745" s="122"/>
      <c r="AB745" s="122"/>
      <c r="AC745" s="122"/>
      <c r="AD745" s="122"/>
      <c r="AE745" s="122"/>
      <c r="AF745" s="122"/>
      <c r="AG745" s="122"/>
      <c r="AH745" s="122"/>
      <c r="AI745" s="122"/>
      <c r="AJ745" s="122"/>
      <c r="AK745" s="122"/>
      <c r="AL745" s="122"/>
      <c r="AM745" s="122"/>
      <c r="AN745" s="122"/>
      <c r="AO745" s="122"/>
      <c r="AP745" s="122"/>
    </row>
    <row r="746" spans="2:42">
      <c r="B746" s="122"/>
      <c r="C746" s="122"/>
      <c r="D746" s="122"/>
      <c r="E746" s="122"/>
      <c r="F746" s="122"/>
      <c r="G746" s="122"/>
      <c r="H746" s="122"/>
      <c r="I746" s="275"/>
      <c r="J746" s="130"/>
      <c r="K746" s="130"/>
      <c r="L746" s="130"/>
      <c r="M746" s="130"/>
      <c r="N746" s="291"/>
      <c r="O746" s="291"/>
      <c r="P746" s="122"/>
      <c r="Q746" s="122"/>
      <c r="R746" s="122"/>
      <c r="S746" s="122"/>
      <c r="T746" s="122"/>
      <c r="U746" s="301"/>
      <c r="V746" s="260">
        <f t="shared" ca="1" si="19"/>
        <v>0</v>
      </c>
      <c r="W746" s="348" t="str">
        <f>IF(板块成分!B748="","",板块成分!B748)</f>
        <v>002228.SZ</v>
      </c>
      <c r="X746" s="276" t="str">
        <f>[1]!S_Info_Name(W746)</f>
        <v>合兴包装</v>
      </c>
      <c r="Y746" s="276" t="str">
        <f ca="1">IF($Y$3="申万一级行业",[1]!s_info_industry_sw_2021(W746,公司分析!D$5,1),IF($Y$3="申万二级行业",[1]!s_info_industry_sw_2021(W746,公司分析!D$5,2),IF($Y$3="申万三级行业",[1]!s_info_industry_sw_2021(W746,公司分析!D$5,3),IF($Y$3="wind一级行业",[1]!s_info_industry_gics(W746,1),IF($Y$3="wind二级行业",[1]!s_info_industry_gics(W746,2),IF($Y$3="wind三级行业",[1]!s_info_industry_gics(W746,3),IF($Y$3="wind四级行业",[1]!s_info_industry_gics(W746,4),IF($Y$3="证监会门类行业",[1]!s_info_industry_csrc12_n(W746,公司分析!D$5,1),""))))))))</f>
        <v>包装印刷</v>
      </c>
      <c r="Z746" s="302" t="str">
        <f ca="1">IF(Y746=行业比较!$E$6,ROW(),"")</f>
        <v/>
      </c>
      <c r="AA746" s="122"/>
      <c r="AB746" s="122"/>
      <c r="AC746" s="122"/>
      <c r="AD746" s="122"/>
      <c r="AE746" s="122"/>
      <c r="AF746" s="122"/>
      <c r="AG746" s="122"/>
      <c r="AH746" s="122"/>
      <c r="AI746" s="122"/>
      <c r="AJ746" s="122"/>
      <c r="AK746" s="122"/>
      <c r="AL746" s="122"/>
      <c r="AM746" s="122"/>
      <c r="AN746" s="122"/>
      <c r="AO746" s="122"/>
      <c r="AP746" s="122"/>
    </row>
    <row r="747" spans="2:42">
      <c r="B747" s="122"/>
      <c r="C747" s="122"/>
      <c r="D747" s="122"/>
      <c r="E747" s="122"/>
      <c r="F747" s="122"/>
      <c r="G747" s="122"/>
      <c r="H747" s="122"/>
      <c r="I747" s="275"/>
      <c r="J747" s="130"/>
      <c r="K747" s="130"/>
      <c r="L747" s="130"/>
      <c r="M747" s="130"/>
      <c r="N747" s="291"/>
      <c r="O747" s="291"/>
      <c r="P747" s="122"/>
      <c r="Q747" s="122"/>
      <c r="R747" s="122"/>
      <c r="S747" s="122"/>
      <c r="T747" s="122"/>
      <c r="U747" s="301"/>
      <c r="V747" s="260">
        <f t="shared" ca="1" si="19"/>
        <v>0</v>
      </c>
      <c r="W747" s="348" t="str">
        <f>IF(板块成分!B749="","",板块成分!B749)</f>
        <v>002229.SZ</v>
      </c>
      <c r="X747" s="276" t="str">
        <f>[1]!S_Info_Name(W747)</f>
        <v>鸿博股份</v>
      </c>
      <c r="Y747" s="276" t="str">
        <f ca="1">IF($Y$3="申万一级行业",[1]!s_info_industry_sw_2021(W747,公司分析!D$5,1),IF($Y$3="申万二级行业",[1]!s_info_industry_sw_2021(W747,公司分析!D$5,2),IF($Y$3="申万三级行业",[1]!s_info_industry_sw_2021(W747,公司分析!D$5,3),IF($Y$3="wind一级行业",[1]!s_info_industry_gics(W747,1),IF($Y$3="wind二级行业",[1]!s_info_industry_gics(W747,2),IF($Y$3="wind三级行业",[1]!s_info_industry_gics(W747,3),IF($Y$3="wind四级行业",[1]!s_info_industry_gics(W747,4),IF($Y$3="证监会门类行业",[1]!s_info_industry_csrc12_n(W747,公司分析!D$5,1),""))))))))</f>
        <v>包装印刷</v>
      </c>
      <c r="Z747" s="302" t="str">
        <f ca="1">IF(Y747=行业比较!$E$6,ROW(),"")</f>
        <v/>
      </c>
      <c r="AA747" s="122"/>
      <c r="AB747" s="122"/>
      <c r="AC747" s="122"/>
      <c r="AD747" s="122"/>
      <c r="AE747" s="122"/>
      <c r="AF747" s="122"/>
      <c r="AG747" s="122"/>
      <c r="AH747" s="122"/>
      <c r="AI747" s="122"/>
      <c r="AJ747" s="122"/>
      <c r="AK747" s="122"/>
      <c r="AL747" s="122"/>
      <c r="AM747" s="122"/>
      <c r="AN747" s="122"/>
      <c r="AO747" s="122"/>
      <c r="AP747" s="122"/>
    </row>
    <row r="748" spans="2:42">
      <c r="B748" s="122"/>
      <c r="C748" s="122"/>
      <c r="D748" s="122"/>
      <c r="E748" s="122"/>
      <c r="F748" s="122"/>
      <c r="G748" s="122"/>
      <c r="H748" s="122"/>
      <c r="I748" s="275"/>
      <c r="J748" s="130"/>
      <c r="K748" s="130"/>
      <c r="L748" s="130"/>
      <c r="M748" s="130"/>
      <c r="N748" s="291"/>
      <c r="O748" s="291"/>
      <c r="P748" s="122"/>
      <c r="Q748" s="122"/>
      <c r="R748" s="122"/>
      <c r="S748" s="122"/>
      <c r="T748" s="122"/>
      <c r="U748" s="301"/>
      <c r="V748" s="260">
        <f t="shared" ca="1" si="19"/>
        <v>0</v>
      </c>
      <c r="W748" s="348" t="str">
        <f>IF(板块成分!B750="","",板块成分!B750)</f>
        <v>002230.SZ</v>
      </c>
      <c r="X748" s="276" t="str">
        <f>[1]!S_Info_Name(W748)</f>
        <v>科大讯飞</v>
      </c>
      <c r="Y748" s="276" t="str">
        <f ca="1">IF($Y$3="申万一级行业",[1]!s_info_industry_sw_2021(W748,公司分析!D$5,1),IF($Y$3="申万二级行业",[1]!s_info_industry_sw_2021(W748,公司分析!D$5,2),IF($Y$3="申万三级行业",[1]!s_info_industry_sw_2021(W748,公司分析!D$5,3),IF($Y$3="wind一级行业",[1]!s_info_industry_gics(W748,1),IF($Y$3="wind二级行业",[1]!s_info_industry_gics(W748,2),IF($Y$3="wind三级行业",[1]!s_info_industry_gics(W748,3),IF($Y$3="wind四级行业",[1]!s_info_industry_gics(W748,4),IF($Y$3="证监会门类行业",[1]!s_info_industry_csrc12_n(W748,公司分析!D$5,1),""))))))))</f>
        <v>软件开发</v>
      </c>
      <c r="Z748" s="302" t="str">
        <f ca="1">IF(Y748=行业比较!$E$6,ROW(),"")</f>
        <v/>
      </c>
      <c r="AA748" s="122"/>
      <c r="AB748" s="122"/>
      <c r="AC748" s="122"/>
      <c r="AD748" s="122"/>
      <c r="AE748" s="122"/>
      <c r="AF748" s="122"/>
      <c r="AG748" s="122"/>
      <c r="AH748" s="122"/>
      <c r="AI748" s="122"/>
      <c r="AJ748" s="122"/>
      <c r="AK748" s="122"/>
      <c r="AL748" s="122"/>
      <c r="AM748" s="122"/>
      <c r="AN748" s="122"/>
      <c r="AO748" s="122"/>
      <c r="AP748" s="122"/>
    </row>
    <row r="749" spans="2:42">
      <c r="B749" s="122"/>
      <c r="C749" s="122"/>
      <c r="D749" s="122"/>
      <c r="E749" s="122"/>
      <c r="F749" s="122"/>
      <c r="G749" s="122"/>
      <c r="H749" s="122"/>
      <c r="I749" s="275"/>
      <c r="J749" s="130"/>
      <c r="K749" s="130"/>
      <c r="L749" s="130"/>
      <c r="M749" s="130"/>
      <c r="N749" s="291"/>
      <c r="O749" s="291"/>
      <c r="P749" s="122"/>
      <c r="Q749" s="122"/>
      <c r="R749" s="122"/>
      <c r="S749" s="122"/>
      <c r="T749" s="122"/>
      <c r="U749" s="301"/>
      <c r="V749" s="260">
        <f t="shared" ca="1" si="19"/>
        <v>0</v>
      </c>
      <c r="W749" s="348" t="str">
        <f>IF(板块成分!B751="","",板块成分!B751)</f>
        <v>002231.SZ</v>
      </c>
      <c r="X749" s="276" t="str">
        <f>[1]!S_Info_Name(W749)</f>
        <v>*ST奥维</v>
      </c>
      <c r="Y749" s="276" t="str">
        <f ca="1">IF($Y$3="申万一级行业",[1]!s_info_industry_sw_2021(W749,公司分析!D$5,1),IF($Y$3="申万二级行业",[1]!s_info_industry_sw_2021(W749,公司分析!D$5,2),IF($Y$3="申万三级行业",[1]!s_info_industry_sw_2021(W749,公司分析!D$5,3),IF($Y$3="wind一级行业",[1]!s_info_industry_gics(W749,1),IF($Y$3="wind二级行业",[1]!s_info_industry_gics(W749,2),IF($Y$3="wind三级行业",[1]!s_info_industry_gics(W749,3),IF($Y$3="wind四级行业",[1]!s_info_industry_gics(W749,4),IF($Y$3="证监会门类行业",[1]!s_info_industry_csrc12_n(W749,公司分析!D$5,1),""))))))))</f>
        <v>军工电子Ⅱ</v>
      </c>
      <c r="Z749" s="302" t="str">
        <f ca="1">IF(Y749=行业比较!$E$6,ROW(),"")</f>
        <v/>
      </c>
      <c r="AA749" s="122"/>
      <c r="AB749" s="122"/>
      <c r="AC749" s="122"/>
      <c r="AD749" s="122"/>
      <c r="AE749" s="122"/>
      <c r="AF749" s="122"/>
      <c r="AG749" s="122"/>
      <c r="AH749" s="122"/>
      <c r="AI749" s="122"/>
      <c r="AJ749" s="122"/>
      <c r="AK749" s="122"/>
      <c r="AL749" s="122"/>
      <c r="AM749" s="122"/>
      <c r="AN749" s="122"/>
      <c r="AO749" s="122"/>
      <c r="AP749" s="122"/>
    </row>
    <row r="750" spans="2:42">
      <c r="B750" s="122"/>
      <c r="C750" s="122"/>
      <c r="D750" s="122"/>
      <c r="E750" s="122"/>
      <c r="F750" s="122"/>
      <c r="G750" s="122"/>
      <c r="H750" s="122"/>
      <c r="I750" s="275"/>
      <c r="J750" s="130"/>
      <c r="K750" s="130"/>
      <c r="L750" s="130"/>
      <c r="M750" s="130"/>
      <c r="N750" s="291"/>
      <c r="O750" s="291"/>
      <c r="P750" s="122"/>
      <c r="Q750" s="122"/>
      <c r="R750" s="122"/>
      <c r="S750" s="122"/>
      <c r="T750" s="122"/>
      <c r="U750" s="301"/>
      <c r="V750" s="260">
        <f t="shared" ca="1" si="19"/>
        <v>0</v>
      </c>
      <c r="W750" s="348" t="str">
        <f>IF(板块成分!B752="","",板块成分!B752)</f>
        <v>002232.SZ</v>
      </c>
      <c r="X750" s="276" t="str">
        <f>[1]!S_Info_Name(W750)</f>
        <v>启明信息</v>
      </c>
      <c r="Y750" s="276" t="str">
        <f ca="1">IF($Y$3="申万一级行业",[1]!s_info_industry_sw_2021(W750,公司分析!D$5,1),IF($Y$3="申万二级行业",[1]!s_info_industry_sw_2021(W750,公司分析!D$5,2),IF($Y$3="申万三级行业",[1]!s_info_industry_sw_2021(W750,公司分析!D$5,3),IF($Y$3="wind一级行业",[1]!s_info_industry_gics(W750,1),IF($Y$3="wind二级行业",[1]!s_info_industry_gics(W750,2),IF($Y$3="wind三级行业",[1]!s_info_industry_gics(W750,3),IF($Y$3="wind四级行业",[1]!s_info_industry_gics(W750,4),IF($Y$3="证监会门类行业",[1]!s_info_industry_csrc12_n(W750,公司分析!D$5,1),""))))))))</f>
        <v>IT服务Ⅱ</v>
      </c>
      <c r="Z750" s="302" t="str">
        <f ca="1">IF(Y750=行业比较!$E$6,ROW(),"")</f>
        <v/>
      </c>
      <c r="AA750" s="122"/>
      <c r="AB750" s="122"/>
      <c r="AC750" s="122"/>
      <c r="AD750" s="122"/>
      <c r="AE750" s="122"/>
      <c r="AF750" s="122"/>
      <c r="AG750" s="122"/>
      <c r="AH750" s="122"/>
      <c r="AI750" s="122"/>
      <c r="AJ750" s="122"/>
      <c r="AK750" s="122"/>
      <c r="AL750" s="122"/>
      <c r="AM750" s="122"/>
      <c r="AN750" s="122"/>
      <c r="AO750" s="122"/>
      <c r="AP750" s="122"/>
    </row>
    <row r="751" spans="2:42">
      <c r="B751" s="122"/>
      <c r="C751" s="122"/>
      <c r="D751" s="122"/>
      <c r="E751" s="122"/>
      <c r="F751" s="122"/>
      <c r="G751" s="122"/>
      <c r="H751" s="122"/>
      <c r="I751" s="275"/>
      <c r="J751" s="130"/>
      <c r="K751" s="130"/>
      <c r="L751" s="130"/>
      <c r="M751" s="130"/>
      <c r="N751" s="291"/>
      <c r="O751" s="291"/>
      <c r="P751" s="122"/>
      <c r="Q751" s="122"/>
      <c r="R751" s="122"/>
      <c r="S751" s="122"/>
      <c r="T751" s="122"/>
      <c r="U751" s="301"/>
      <c r="V751" s="260">
        <f t="shared" ca="1" si="19"/>
        <v>0</v>
      </c>
      <c r="W751" s="348" t="str">
        <f>IF(板块成分!B753="","",板块成分!B753)</f>
        <v>002233.SZ</v>
      </c>
      <c r="X751" s="276" t="str">
        <f>[1]!S_Info_Name(W751)</f>
        <v>塔牌集团</v>
      </c>
      <c r="Y751" s="276" t="str">
        <f ca="1">IF($Y$3="申万一级行业",[1]!s_info_industry_sw_2021(W751,公司分析!D$5,1),IF($Y$3="申万二级行业",[1]!s_info_industry_sw_2021(W751,公司分析!D$5,2),IF($Y$3="申万三级行业",[1]!s_info_industry_sw_2021(W751,公司分析!D$5,3),IF($Y$3="wind一级行业",[1]!s_info_industry_gics(W751,1),IF($Y$3="wind二级行业",[1]!s_info_industry_gics(W751,2),IF($Y$3="wind三级行业",[1]!s_info_industry_gics(W751,3),IF($Y$3="wind四级行业",[1]!s_info_industry_gics(W751,4),IF($Y$3="证监会门类行业",[1]!s_info_industry_csrc12_n(W751,公司分析!D$5,1),""))))))))</f>
        <v>水泥</v>
      </c>
      <c r="Z751" s="302" t="str">
        <f ca="1">IF(Y751=行业比较!$E$6,ROW(),"")</f>
        <v/>
      </c>
      <c r="AA751" s="122"/>
      <c r="AB751" s="122"/>
      <c r="AC751" s="122"/>
      <c r="AD751" s="122"/>
      <c r="AE751" s="122"/>
      <c r="AF751" s="122"/>
      <c r="AG751" s="122"/>
      <c r="AH751" s="122"/>
      <c r="AI751" s="122"/>
      <c r="AJ751" s="122"/>
      <c r="AK751" s="122"/>
      <c r="AL751" s="122"/>
      <c r="AM751" s="122"/>
      <c r="AN751" s="122"/>
      <c r="AO751" s="122"/>
      <c r="AP751" s="122"/>
    </row>
    <row r="752" spans="2:42">
      <c r="B752" s="122"/>
      <c r="C752" s="122"/>
      <c r="D752" s="122"/>
      <c r="E752" s="122"/>
      <c r="F752" s="122"/>
      <c r="G752" s="122"/>
      <c r="H752" s="122"/>
      <c r="I752" s="275"/>
      <c r="J752" s="130"/>
      <c r="K752" s="130"/>
      <c r="L752" s="130"/>
      <c r="M752" s="130"/>
      <c r="N752" s="291"/>
      <c r="O752" s="291"/>
      <c r="P752" s="122"/>
      <c r="Q752" s="122"/>
      <c r="R752" s="122"/>
      <c r="S752" s="122"/>
      <c r="T752" s="122"/>
      <c r="U752" s="301"/>
      <c r="V752" s="260">
        <f t="shared" ca="1" si="19"/>
        <v>0</v>
      </c>
      <c r="W752" s="348" t="str">
        <f>IF(板块成分!B754="","",板块成分!B754)</f>
        <v>002234.SZ</v>
      </c>
      <c r="X752" s="276" t="str">
        <f>[1]!S_Info_Name(W752)</f>
        <v>民和股份</v>
      </c>
      <c r="Y752" s="276" t="str">
        <f ca="1">IF($Y$3="申万一级行业",[1]!s_info_industry_sw_2021(W752,公司分析!D$5,1),IF($Y$3="申万二级行业",[1]!s_info_industry_sw_2021(W752,公司分析!D$5,2),IF($Y$3="申万三级行业",[1]!s_info_industry_sw_2021(W752,公司分析!D$5,3),IF($Y$3="wind一级行业",[1]!s_info_industry_gics(W752,1),IF($Y$3="wind二级行业",[1]!s_info_industry_gics(W752,2),IF($Y$3="wind三级行业",[1]!s_info_industry_gics(W752,3),IF($Y$3="wind四级行业",[1]!s_info_industry_gics(W752,4),IF($Y$3="证监会门类行业",[1]!s_info_industry_csrc12_n(W752,公司分析!D$5,1),""))))))))</f>
        <v>养殖业</v>
      </c>
      <c r="Z752" s="302" t="str">
        <f ca="1">IF(Y752=行业比较!$E$6,ROW(),"")</f>
        <v/>
      </c>
      <c r="AA752" s="122"/>
      <c r="AB752" s="122"/>
      <c r="AC752" s="122"/>
      <c r="AD752" s="122"/>
      <c r="AE752" s="122"/>
      <c r="AF752" s="122"/>
      <c r="AG752" s="122"/>
      <c r="AH752" s="122"/>
      <c r="AI752" s="122"/>
      <c r="AJ752" s="122"/>
      <c r="AK752" s="122"/>
      <c r="AL752" s="122"/>
      <c r="AM752" s="122"/>
      <c r="AN752" s="122"/>
      <c r="AO752" s="122"/>
      <c r="AP752" s="122"/>
    </row>
    <row r="753" spans="2:42">
      <c r="B753" s="122"/>
      <c r="C753" s="122"/>
      <c r="D753" s="122"/>
      <c r="E753" s="122"/>
      <c r="F753" s="122"/>
      <c r="G753" s="122"/>
      <c r="H753" s="122"/>
      <c r="I753" s="275"/>
      <c r="J753" s="130"/>
      <c r="K753" s="130"/>
      <c r="L753" s="130"/>
      <c r="M753" s="130"/>
      <c r="N753" s="291"/>
      <c r="O753" s="291"/>
      <c r="P753" s="122"/>
      <c r="Q753" s="122"/>
      <c r="R753" s="122"/>
      <c r="S753" s="122"/>
      <c r="T753" s="122"/>
      <c r="U753" s="301"/>
      <c r="V753" s="260">
        <f t="shared" ca="1" si="19"/>
        <v>0</v>
      </c>
      <c r="W753" s="348" t="str">
        <f>IF(板块成分!B755="","",板块成分!B755)</f>
        <v>002235.SZ</v>
      </c>
      <c r="X753" s="276" t="str">
        <f>[1]!S_Info_Name(W753)</f>
        <v>安妮股份</v>
      </c>
      <c r="Y753" s="276" t="str">
        <f ca="1">IF($Y$3="申万一级行业",[1]!s_info_industry_sw_2021(W753,公司分析!D$5,1),IF($Y$3="申万二级行业",[1]!s_info_industry_sw_2021(W753,公司分析!D$5,2),IF($Y$3="申万三级行业",[1]!s_info_industry_sw_2021(W753,公司分析!D$5,3),IF($Y$3="wind一级行业",[1]!s_info_industry_gics(W753,1),IF($Y$3="wind二级行业",[1]!s_info_industry_gics(W753,2),IF($Y$3="wind三级行业",[1]!s_info_industry_gics(W753,3),IF($Y$3="wind四级行业",[1]!s_info_industry_gics(W753,4),IF($Y$3="证监会门类行业",[1]!s_info_industry_csrc12_n(W753,公司分析!D$5,1),""))))))))</f>
        <v>造纸</v>
      </c>
      <c r="Z753" s="302" t="str">
        <f ca="1">IF(Y753=行业比较!$E$6,ROW(),"")</f>
        <v/>
      </c>
      <c r="AA753" s="122"/>
      <c r="AB753" s="122"/>
      <c r="AC753" s="122"/>
      <c r="AD753" s="122"/>
      <c r="AE753" s="122"/>
      <c r="AF753" s="122"/>
      <c r="AG753" s="122"/>
      <c r="AH753" s="122"/>
      <c r="AI753" s="122"/>
      <c r="AJ753" s="122"/>
      <c r="AK753" s="122"/>
      <c r="AL753" s="122"/>
      <c r="AM753" s="122"/>
      <c r="AN753" s="122"/>
      <c r="AO753" s="122"/>
      <c r="AP753" s="122"/>
    </row>
    <row r="754" spans="2:42">
      <c r="B754" s="122"/>
      <c r="C754" s="122"/>
      <c r="D754" s="122"/>
      <c r="E754" s="122"/>
      <c r="F754" s="122"/>
      <c r="G754" s="122"/>
      <c r="H754" s="122"/>
      <c r="I754" s="275"/>
      <c r="J754" s="130"/>
      <c r="K754" s="130"/>
      <c r="L754" s="130"/>
      <c r="M754" s="130"/>
      <c r="N754" s="291"/>
      <c r="O754" s="291"/>
      <c r="P754" s="122"/>
      <c r="Q754" s="122"/>
      <c r="R754" s="122"/>
      <c r="S754" s="122"/>
      <c r="T754" s="122"/>
      <c r="U754" s="301"/>
      <c r="V754" s="260">
        <f t="shared" ca="1" si="19"/>
        <v>0</v>
      </c>
      <c r="W754" s="348" t="str">
        <f>IF(板块成分!B756="","",板块成分!B756)</f>
        <v>002236.SZ</v>
      </c>
      <c r="X754" s="276" t="str">
        <f>[1]!S_Info_Name(W754)</f>
        <v>大华股份</v>
      </c>
      <c r="Y754" s="276" t="str">
        <f ca="1">IF($Y$3="申万一级行业",[1]!s_info_industry_sw_2021(W754,公司分析!D$5,1),IF($Y$3="申万二级行业",[1]!s_info_industry_sw_2021(W754,公司分析!D$5,2),IF($Y$3="申万三级行业",[1]!s_info_industry_sw_2021(W754,公司分析!D$5,3),IF($Y$3="wind一级行业",[1]!s_info_industry_gics(W754,1),IF($Y$3="wind二级行业",[1]!s_info_industry_gics(W754,2),IF($Y$3="wind三级行业",[1]!s_info_industry_gics(W754,3),IF($Y$3="wind四级行业",[1]!s_info_industry_gics(W754,4),IF($Y$3="证监会门类行业",[1]!s_info_industry_csrc12_n(W754,公司分析!D$5,1),""))))))))</f>
        <v>计算机设备</v>
      </c>
      <c r="Z754" s="302" t="str">
        <f ca="1">IF(Y754=行业比较!$E$6,ROW(),"")</f>
        <v/>
      </c>
      <c r="AA754" s="122"/>
      <c r="AB754" s="122"/>
      <c r="AC754" s="122"/>
      <c r="AD754" s="122"/>
      <c r="AE754" s="122"/>
      <c r="AF754" s="122"/>
      <c r="AG754" s="122"/>
      <c r="AH754" s="122"/>
      <c r="AI754" s="122"/>
      <c r="AJ754" s="122"/>
      <c r="AK754" s="122"/>
      <c r="AL754" s="122"/>
      <c r="AM754" s="122"/>
      <c r="AN754" s="122"/>
      <c r="AO754" s="122"/>
      <c r="AP754" s="122"/>
    </row>
    <row r="755" spans="2:42">
      <c r="B755" s="122"/>
      <c r="C755" s="122"/>
      <c r="D755" s="122"/>
      <c r="E755" s="122"/>
      <c r="F755" s="122"/>
      <c r="G755" s="122"/>
      <c r="H755" s="122"/>
      <c r="I755" s="275"/>
      <c r="J755" s="130"/>
      <c r="K755" s="130"/>
      <c r="L755" s="130"/>
      <c r="M755" s="130"/>
      <c r="N755" s="291"/>
      <c r="O755" s="291"/>
      <c r="P755" s="122"/>
      <c r="Q755" s="122"/>
      <c r="R755" s="122"/>
      <c r="S755" s="122"/>
      <c r="T755" s="122"/>
      <c r="U755" s="301"/>
      <c r="V755" s="260">
        <f t="shared" ca="1" si="19"/>
        <v>0</v>
      </c>
      <c r="W755" s="348" t="str">
        <f>IF(板块成分!B757="","",板块成分!B757)</f>
        <v>002237.SZ</v>
      </c>
      <c r="X755" s="276" t="str">
        <f>[1]!S_Info_Name(W755)</f>
        <v>恒邦股份</v>
      </c>
      <c r="Y755" s="276" t="str">
        <f ca="1">IF($Y$3="申万一级行业",[1]!s_info_industry_sw_2021(W755,公司分析!D$5,1),IF($Y$3="申万二级行业",[1]!s_info_industry_sw_2021(W755,公司分析!D$5,2),IF($Y$3="申万三级行业",[1]!s_info_industry_sw_2021(W755,公司分析!D$5,3),IF($Y$3="wind一级行业",[1]!s_info_industry_gics(W755,1),IF($Y$3="wind二级行业",[1]!s_info_industry_gics(W755,2),IF($Y$3="wind三级行业",[1]!s_info_industry_gics(W755,3),IF($Y$3="wind四级行业",[1]!s_info_industry_gics(W755,4),IF($Y$3="证监会门类行业",[1]!s_info_industry_csrc12_n(W755,公司分析!D$5,1),""))))))))</f>
        <v>贵金属</v>
      </c>
      <c r="Z755" s="302" t="str">
        <f ca="1">IF(Y755=行业比较!$E$6,ROW(),"")</f>
        <v/>
      </c>
      <c r="AA755" s="122"/>
      <c r="AB755" s="122"/>
      <c r="AC755" s="122"/>
      <c r="AD755" s="122"/>
      <c r="AE755" s="122"/>
      <c r="AF755" s="122"/>
      <c r="AG755" s="122"/>
      <c r="AH755" s="122"/>
      <c r="AI755" s="122"/>
      <c r="AJ755" s="122"/>
      <c r="AK755" s="122"/>
      <c r="AL755" s="122"/>
      <c r="AM755" s="122"/>
      <c r="AN755" s="122"/>
      <c r="AO755" s="122"/>
      <c r="AP755" s="122"/>
    </row>
    <row r="756" spans="2:42">
      <c r="B756" s="122"/>
      <c r="C756" s="122"/>
      <c r="D756" s="122"/>
      <c r="E756" s="122"/>
      <c r="F756" s="122"/>
      <c r="G756" s="122"/>
      <c r="H756" s="122"/>
      <c r="I756" s="275"/>
      <c r="J756" s="130"/>
      <c r="K756" s="130"/>
      <c r="L756" s="130"/>
      <c r="M756" s="130"/>
      <c r="N756" s="291"/>
      <c r="O756" s="291"/>
      <c r="P756" s="122"/>
      <c r="Q756" s="122"/>
      <c r="R756" s="122"/>
      <c r="S756" s="122"/>
      <c r="T756" s="122"/>
      <c r="U756" s="301"/>
      <c r="V756" s="260">
        <f t="shared" ca="1" si="19"/>
        <v>0</v>
      </c>
      <c r="W756" s="348" t="str">
        <f>IF(板块成分!B758="","",板块成分!B758)</f>
        <v>002238.SZ</v>
      </c>
      <c r="X756" s="276" t="str">
        <f>[1]!S_Info_Name(W756)</f>
        <v>天威视讯</v>
      </c>
      <c r="Y756" s="276" t="str">
        <f ca="1">IF($Y$3="申万一级行业",[1]!s_info_industry_sw_2021(W756,公司分析!D$5,1),IF($Y$3="申万二级行业",[1]!s_info_industry_sw_2021(W756,公司分析!D$5,2),IF($Y$3="申万三级行业",[1]!s_info_industry_sw_2021(W756,公司分析!D$5,3),IF($Y$3="wind一级行业",[1]!s_info_industry_gics(W756,1),IF($Y$3="wind二级行业",[1]!s_info_industry_gics(W756,2),IF($Y$3="wind三级行业",[1]!s_info_industry_gics(W756,3),IF($Y$3="wind四级行业",[1]!s_info_industry_gics(W756,4),IF($Y$3="证监会门类行业",[1]!s_info_industry_csrc12_n(W756,公司分析!D$5,1),""))))))))</f>
        <v>电视广播Ⅱ</v>
      </c>
      <c r="Z756" s="302" t="str">
        <f ca="1">IF(Y756=行业比较!$E$6,ROW(),"")</f>
        <v/>
      </c>
      <c r="AA756" s="122"/>
      <c r="AB756" s="122"/>
      <c r="AC756" s="122"/>
      <c r="AD756" s="122"/>
      <c r="AE756" s="122"/>
      <c r="AF756" s="122"/>
      <c r="AG756" s="122"/>
      <c r="AH756" s="122"/>
      <c r="AI756" s="122"/>
      <c r="AJ756" s="122"/>
      <c r="AK756" s="122"/>
      <c r="AL756" s="122"/>
      <c r="AM756" s="122"/>
      <c r="AN756" s="122"/>
      <c r="AO756" s="122"/>
      <c r="AP756" s="122"/>
    </row>
    <row r="757" spans="2:42">
      <c r="B757" s="122"/>
      <c r="C757" s="122"/>
      <c r="D757" s="122"/>
      <c r="E757" s="122"/>
      <c r="F757" s="122"/>
      <c r="G757" s="122"/>
      <c r="H757" s="122"/>
      <c r="I757" s="275"/>
      <c r="J757" s="130"/>
      <c r="K757" s="130"/>
      <c r="L757" s="130"/>
      <c r="M757" s="130"/>
      <c r="N757" s="291"/>
      <c r="O757" s="291"/>
      <c r="P757" s="122"/>
      <c r="Q757" s="122"/>
      <c r="R757" s="122"/>
      <c r="S757" s="122"/>
      <c r="T757" s="122"/>
      <c r="U757" s="301"/>
      <c r="V757" s="260">
        <f t="shared" ca="1" si="19"/>
        <v>0</v>
      </c>
      <c r="W757" s="348" t="str">
        <f>IF(板块成分!B759="","",板块成分!B759)</f>
        <v>002239.SZ</v>
      </c>
      <c r="X757" s="276" t="str">
        <f>[1]!S_Info_Name(W757)</f>
        <v>奥特佳</v>
      </c>
      <c r="Y757" s="276" t="str">
        <f ca="1">IF($Y$3="申万一级行业",[1]!s_info_industry_sw_2021(W757,公司分析!D$5,1),IF($Y$3="申万二级行业",[1]!s_info_industry_sw_2021(W757,公司分析!D$5,2),IF($Y$3="申万三级行业",[1]!s_info_industry_sw_2021(W757,公司分析!D$5,3),IF($Y$3="wind一级行业",[1]!s_info_industry_gics(W757,1),IF($Y$3="wind二级行业",[1]!s_info_industry_gics(W757,2),IF($Y$3="wind三级行业",[1]!s_info_industry_gics(W757,3),IF($Y$3="wind四级行业",[1]!s_info_industry_gics(W757,4),IF($Y$3="证监会门类行业",[1]!s_info_industry_csrc12_n(W757,公司分析!D$5,1),""))))))))</f>
        <v>汽车零部件</v>
      </c>
      <c r="Z757" s="302" t="str">
        <f ca="1">IF(Y757=行业比较!$E$6,ROW(),"")</f>
        <v/>
      </c>
      <c r="AA757" s="122"/>
      <c r="AB757" s="122"/>
      <c r="AC757" s="122"/>
      <c r="AD757" s="122"/>
      <c r="AE757" s="122"/>
      <c r="AF757" s="122"/>
      <c r="AG757" s="122"/>
      <c r="AH757" s="122"/>
      <c r="AI757" s="122"/>
      <c r="AJ757" s="122"/>
      <c r="AK757" s="122"/>
      <c r="AL757" s="122"/>
      <c r="AM757" s="122"/>
      <c r="AN757" s="122"/>
      <c r="AO757" s="122"/>
      <c r="AP757" s="122"/>
    </row>
    <row r="758" spans="2:42">
      <c r="B758" s="122"/>
      <c r="C758" s="122"/>
      <c r="D758" s="122"/>
      <c r="E758" s="122"/>
      <c r="F758" s="122"/>
      <c r="G758" s="122"/>
      <c r="H758" s="122"/>
      <c r="I758" s="275"/>
      <c r="J758" s="130"/>
      <c r="K758" s="130"/>
      <c r="L758" s="130"/>
      <c r="M758" s="130"/>
      <c r="N758" s="291"/>
      <c r="O758" s="291"/>
      <c r="P758" s="122"/>
      <c r="Q758" s="122"/>
      <c r="R758" s="122"/>
      <c r="S758" s="122"/>
      <c r="T758" s="122"/>
      <c r="U758" s="301"/>
      <c r="V758" s="260">
        <f t="shared" ca="1" si="19"/>
        <v>0</v>
      </c>
      <c r="W758" s="348" t="str">
        <f>IF(板块成分!B760="","",板块成分!B760)</f>
        <v>002240.SZ</v>
      </c>
      <c r="X758" s="276" t="str">
        <f>[1]!S_Info_Name(W758)</f>
        <v>盛新锂能</v>
      </c>
      <c r="Y758" s="276" t="str">
        <f ca="1">IF($Y$3="申万一级行业",[1]!s_info_industry_sw_2021(W758,公司分析!D$5,1),IF($Y$3="申万二级行业",[1]!s_info_industry_sw_2021(W758,公司分析!D$5,2),IF($Y$3="申万三级行业",[1]!s_info_industry_sw_2021(W758,公司分析!D$5,3),IF($Y$3="wind一级行业",[1]!s_info_industry_gics(W758,1),IF($Y$3="wind二级行业",[1]!s_info_industry_gics(W758,2),IF($Y$3="wind三级行业",[1]!s_info_industry_gics(W758,3),IF($Y$3="wind四级行业",[1]!s_info_industry_gics(W758,4),IF($Y$3="证监会门类行业",[1]!s_info_industry_csrc12_n(W758,公司分析!D$5,1),""))))))))</f>
        <v>能源金属</v>
      </c>
      <c r="Z758" s="302" t="str">
        <f ca="1">IF(Y758=行业比较!$E$6,ROW(),"")</f>
        <v/>
      </c>
      <c r="AA758" s="122"/>
      <c r="AB758" s="122"/>
      <c r="AC758" s="122"/>
      <c r="AD758" s="122"/>
      <c r="AE758" s="122"/>
      <c r="AF758" s="122"/>
      <c r="AG758" s="122"/>
      <c r="AH758" s="122"/>
      <c r="AI758" s="122"/>
      <c r="AJ758" s="122"/>
      <c r="AK758" s="122"/>
      <c r="AL758" s="122"/>
      <c r="AM758" s="122"/>
      <c r="AN758" s="122"/>
      <c r="AO758" s="122"/>
      <c r="AP758" s="122"/>
    </row>
    <row r="759" spans="2:42">
      <c r="B759" s="122"/>
      <c r="C759" s="122"/>
      <c r="D759" s="122"/>
      <c r="E759" s="122"/>
      <c r="F759" s="122"/>
      <c r="G759" s="122"/>
      <c r="H759" s="122"/>
      <c r="I759" s="275"/>
      <c r="J759" s="130"/>
      <c r="K759" s="130"/>
      <c r="L759" s="130"/>
      <c r="M759" s="130"/>
      <c r="N759" s="291"/>
      <c r="O759" s="291"/>
      <c r="P759" s="122"/>
      <c r="Q759" s="122"/>
      <c r="R759" s="122"/>
      <c r="S759" s="122"/>
      <c r="T759" s="122"/>
      <c r="U759" s="301"/>
      <c r="V759" s="260">
        <f t="shared" ca="1" si="19"/>
        <v>0</v>
      </c>
      <c r="W759" s="348" t="str">
        <f>IF(板块成分!B761="","",板块成分!B761)</f>
        <v>002241.SZ</v>
      </c>
      <c r="X759" s="276" t="str">
        <f>[1]!S_Info_Name(W759)</f>
        <v>歌尔股份</v>
      </c>
      <c r="Y759" s="276" t="str">
        <f ca="1">IF($Y$3="申万一级行业",[1]!s_info_industry_sw_2021(W759,公司分析!D$5,1),IF($Y$3="申万二级行业",[1]!s_info_industry_sw_2021(W759,公司分析!D$5,2),IF($Y$3="申万三级行业",[1]!s_info_industry_sw_2021(W759,公司分析!D$5,3),IF($Y$3="wind一级行业",[1]!s_info_industry_gics(W759,1),IF($Y$3="wind二级行业",[1]!s_info_industry_gics(W759,2),IF($Y$3="wind三级行业",[1]!s_info_industry_gics(W759,3),IF($Y$3="wind四级行业",[1]!s_info_industry_gics(W759,4),IF($Y$3="证监会门类行业",[1]!s_info_industry_csrc12_n(W759,公司分析!D$5,1),""))))))))</f>
        <v>消费电子</v>
      </c>
      <c r="Z759" s="302" t="str">
        <f ca="1">IF(Y759=行业比较!$E$6,ROW(),"")</f>
        <v/>
      </c>
      <c r="AA759" s="122"/>
      <c r="AB759" s="122"/>
      <c r="AC759" s="122"/>
      <c r="AD759" s="122"/>
      <c r="AE759" s="122"/>
      <c r="AF759" s="122"/>
      <c r="AG759" s="122"/>
      <c r="AH759" s="122"/>
      <c r="AI759" s="122"/>
      <c r="AJ759" s="122"/>
      <c r="AK759" s="122"/>
      <c r="AL759" s="122"/>
      <c r="AM759" s="122"/>
      <c r="AN759" s="122"/>
      <c r="AO759" s="122"/>
      <c r="AP759" s="122"/>
    </row>
    <row r="760" spans="2:42">
      <c r="B760" s="122"/>
      <c r="C760" s="122"/>
      <c r="D760" s="122"/>
      <c r="E760" s="122"/>
      <c r="F760" s="122"/>
      <c r="G760" s="122"/>
      <c r="H760" s="122"/>
      <c r="I760" s="275"/>
      <c r="J760" s="130"/>
      <c r="K760" s="130"/>
      <c r="L760" s="130"/>
      <c r="M760" s="130"/>
      <c r="N760" s="291"/>
      <c r="O760" s="291"/>
      <c r="P760" s="122"/>
      <c r="Q760" s="122"/>
      <c r="R760" s="122"/>
      <c r="S760" s="122"/>
      <c r="T760" s="122"/>
      <c r="U760" s="301"/>
      <c r="V760" s="260">
        <f t="shared" ca="1" si="19"/>
        <v>0</v>
      </c>
      <c r="W760" s="348" t="str">
        <f>IF(板块成分!B762="","",板块成分!B762)</f>
        <v>002242.SZ</v>
      </c>
      <c r="X760" s="276" t="str">
        <f>[1]!S_Info_Name(W760)</f>
        <v>九阳股份</v>
      </c>
      <c r="Y760" s="276" t="str">
        <f ca="1">IF($Y$3="申万一级行业",[1]!s_info_industry_sw_2021(W760,公司分析!D$5,1),IF($Y$3="申万二级行业",[1]!s_info_industry_sw_2021(W760,公司分析!D$5,2),IF($Y$3="申万三级行业",[1]!s_info_industry_sw_2021(W760,公司分析!D$5,3),IF($Y$3="wind一级行业",[1]!s_info_industry_gics(W760,1),IF($Y$3="wind二级行业",[1]!s_info_industry_gics(W760,2),IF($Y$3="wind三级行业",[1]!s_info_industry_gics(W760,3),IF($Y$3="wind四级行业",[1]!s_info_industry_gics(W760,4),IF($Y$3="证监会门类行业",[1]!s_info_industry_csrc12_n(W760,公司分析!D$5,1),""))))))))</f>
        <v>小家电</v>
      </c>
      <c r="Z760" s="302" t="str">
        <f ca="1">IF(Y760=行业比较!$E$6,ROW(),"")</f>
        <v/>
      </c>
      <c r="AA760" s="122"/>
      <c r="AB760" s="122"/>
      <c r="AC760" s="122"/>
      <c r="AD760" s="122"/>
      <c r="AE760" s="122"/>
      <c r="AF760" s="122"/>
      <c r="AG760" s="122"/>
      <c r="AH760" s="122"/>
      <c r="AI760" s="122"/>
      <c r="AJ760" s="122"/>
      <c r="AK760" s="122"/>
      <c r="AL760" s="122"/>
      <c r="AM760" s="122"/>
      <c r="AN760" s="122"/>
      <c r="AO760" s="122"/>
      <c r="AP760" s="122"/>
    </row>
    <row r="761" spans="2:42">
      <c r="B761" s="122"/>
      <c r="C761" s="122"/>
      <c r="D761" s="122"/>
      <c r="E761" s="122"/>
      <c r="F761" s="122"/>
      <c r="G761" s="122"/>
      <c r="H761" s="122"/>
      <c r="I761" s="275"/>
      <c r="J761" s="130"/>
      <c r="K761" s="130"/>
      <c r="L761" s="130"/>
      <c r="M761" s="130"/>
      <c r="N761" s="291"/>
      <c r="O761" s="291"/>
      <c r="P761" s="122"/>
      <c r="Q761" s="122"/>
      <c r="R761" s="122"/>
      <c r="S761" s="122"/>
      <c r="T761" s="122"/>
      <c r="U761" s="301"/>
      <c r="V761" s="260">
        <f t="shared" ca="1" si="19"/>
        <v>0</v>
      </c>
      <c r="W761" s="348" t="str">
        <f>IF(板块成分!B763="","",板块成分!B763)</f>
        <v>002243.SZ</v>
      </c>
      <c r="X761" s="276" t="str">
        <f>[1]!S_Info_Name(W761)</f>
        <v>力合科创</v>
      </c>
      <c r="Y761" s="276" t="str">
        <f ca="1">IF($Y$3="申万一级行业",[1]!s_info_industry_sw_2021(W761,公司分析!D$5,1),IF($Y$3="申万二级行业",[1]!s_info_industry_sw_2021(W761,公司分析!D$5,2),IF($Y$3="申万三级行业",[1]!s_info_industry_sw_2021(W761,公司分析!D$5,3),IF($Y$3="wind一级行业",[1]!s_info_industry_gics(W761,1),IF($Y$3="wind二级行业",[1]!s_info_industry_gics(W761,2),IF($Y$3="wind三级行业",[1]!s_info_industry_gics(W761,3),IF($Y$3="wind四级行业",[1]!s_info_industry_gics(W761,4),IF($Y$3="证监会门类行业",[1]!s_info_industry_csrc12_n(W761,公司分析!D$5,1),""))))))))</f>
        <v>专业服务</v>
      </c>
      <c r="Z761" s="302" t="str">
        <f ca="1">IF(Y761=行业比较!$E$6,ROW(),"")</f>
        <v/>
      </c>
      <c r="AA761" s="122"/>
      <c r="AB761" s="122"/>
      <c r="AC761" s="122"/>
      <c r="AD761" s="122"/>
      <c r="AE761" s="122"/>
      <c r="AF761" s="122"/>
      <c r="AG761" s="122"/>
      <c r="AH761" s="122"/>
      <c r="AI761" s="122"/>
      <c r="AJ761" s="122"/>
      <c r="AK761" s="122"/>
      <c r="AL761" s="122"/>
      <c r="AM761" s="122"/>
      <c r="AN761" s="122"/>
      <c r="AO761" s="122"/>
      <c r="AP761" s="122"/>
    </row>
    <row r="762" spans="2:42">
      <c r="B762" s="122"/>
      <c r="C762" s="122"/>
      <c r="D762" s="122"/>
      <c r="E762" s="122"/>
      <c r="F762" s="122"/>
      <c r="G762" s="122"/>
      <c r="H762" s="122"/>
      <c r="I762" s="275"/>
      <c r="J762" s="130"/>
      <c r="K762" s="130"/>
      <c r="L762" s="130"/>
      <c r="M762" s="130"/>
      <c r="N762" s="291"/>
      <c r="O762" s="291"/>
      <c r="P762" s="122"/>
      <c r="Q762" s="122"/>
      <c r="R762" s="122"/>
      <c r="S762" s="122"/>
      <c r="T762" s="122"/>
      <c r="U762" s="301"/>
      <c r="V762" s="260">
        <f t="shared" ca="1" si="19"/>
        <v>0</v>
      </c>
      <c r="W762" s="348" t="str">
        <f>IF(板块成分!B764="","",板块成分!B764)</f>
        <v>002244.SZ</v>
      </c>
      <c r="X762" s="276" t="str">
        <f>[1]!S_Info_Name(W762)</f>
        <v>滨江集团</v>
      </c>
      <c r="Y762" s="276" t="str">
        <f ca="1">IF($Y$3="申万一级行业",[1]!s_info_industry_sw_2021(W762,公司分析!D$5,1),IF($Y$3="申万二级行业",[1]!s_info_industry_sw_2021(W762,公司分析!D$5,2),IF($Y$3="申万三级行业",[1]!s_info_industry_sw_2021(W762,公司分析!D$5,3),IF($Y$3="wind一级行业",[1]!s_info_industry_gics(W762,1),IF($Y$3="wind二级行业",[1]!s_info_industry_gics(W762,2),IF($Y$3="wind三级行业",[1]!s_info_industry_gics(W762,3),IF($Y$3="wind四级行业",[1]!s_info_industry_gics(W762,4),IF($Y$3="证监会门类行业",[1]!s_info_industry_csrc12_n(W762,公司分析!D$5,1),""))))))))</f>
        <v>房地产开发</v>
      </c>
      <c r="Z762" s="302" t="str">
        <f ca="1">IF(Y762=行业比较!$E$6,ROW(),"")</f>
        <v/>
      </c>
      <c r="AA762" s="122"/>
      <c r="AB762" s="122"/>
      <c r="AC762" s="122"/>
      <c r="AD762" s="122"/>
      <c r="AE762" s="122"/>
      <c r="AF762" s="122"/>
      <c r="AG762" s="122"/>
      <c r="AH762" s="122"/>
      <c r="AI762" s="122"/>
      <c r="AJ762" s="122"/>
      <c r="AK762" s="122"/>
      <c r="AL762" s="122"/>
      <c r="AM762" s="122"/>
      <c r="AN762" s="122"/>
      <c r="AO762" s="122"/>
      <c r="AP762" s="122"/>
    </row>
    <row r="763" spans="2:42">
      <c r="B763" s="122"/>
      <c r="C763" s="122"/>
      <c r="D763" s="122"/>
      <c r="E763" s="122"/>
      <c r="F763" s="122"/>
      <c r="G763" s="122"/>
      <c r="H763" s="122"/>
      <c r="I763" s="275"/>
      <c r="J763" s="130"/>
      <c r="K763" s="130"/>
      <c r="L763" s="130"/>
      <c r="M763" s="130"/>
      <c r="N763" s="291"/>
      <c r="O763" s="291"/>
      <c r="P763" s="122"/>
      <c r="Q763" s="122"/>
      <c r="R763" s="122"/>
      <c r="S763" s="122"/>
      <c r="T763" s="122"/>
      <c r="U763" s="301"/>
      <c r="V763" s="260">
        <f t="shared" ca="1" si="19"/>
        <v>0</v>
      </c>
      <c r="W763" s="348" t="str">
        <f>IF(板块成分!B765="","",板块成分!B765)</f>
        <v>002245.SZ</v>
      </c>
      <c r="X763" s="276" t="str">
        <f>[1]!S_Info_Name(W763)</f>
        <v>蔚蓝锂芯</v>
      </c>
      <c r="Y763" s="276" t="str">
        <f ca="1">IF($Y$3="申万一级行业",[1]!s_info_industry_sw_2021(W763,公司分析!D$5,1),IF($Y$3="申万二级行业",[1]!s_info_industry_sw_2021(W763,公司分析!D$5,2),IF($Y$3="申万三级行业",[1]!s_info_industry_sw_2021(W763,公司分析!D$5,3),IF($Y$3="wind一级行业",[1]!s_info_industry_gics(W763,1),IF($Y$3="wind二级行业",[1]!s_info_industry_gics(W763,2),IF($Y$3="wind三级行业",[1]!s_info_industry_gics(W763,3),IF($Y$3="wind四级行业",[1]!s_info_industry_gics(W763,4),IF($Y$3="证监会门类行业",[1]!s_info_industry_csrc12_n(W763,公司分析!D$5,1),""))))))))</f>
        <v>电池</v>
      </c>
      <c r="Z763" s="302" t="str">
        <f ca="1">IF(Y763=行业比较!$E$6,ROW(),"")</f>
        <v/>
      </c>
      <c r="AA763" s="122"/>
      <c r="AB763" s="122"/>
      <c r="AC763" s="122"/>
      <c r="AD763" s="122"/>
      <c r="AE763" s="122"/>
      <c r="AF763" s="122"/>
      <c r="AG763" s="122"/>
      <c r="AH763" s="122"/>
      <c r="AI763" s="122"/>
      <c r="AJ763" s="122"/>
      <c r="AK763" s="122"/>
      <c r="AL763" s="122"/>
      <c r="AM763" s="122"/>
      <c r="AN763" s="122"/>
      <c r="AO763" s="122"/>
      <c r="AP763" s="122"/>
    </row>
    <row r="764" spans="2:42">
      <c r="B764" s="122"/>
      <c r="C764" s="122"/>
      <c r="D764" s="122"/>
      <c r="E764" s="122"/>
      <c r="F764" s="122"/>
      <c r="G764" s="122"/>
      <c r="H764" s="122"/>
      <c r="I764" s="275"/>
      <c r="J764" s="130"/>
      <c r="K764" s="130"/>
      <c r="L764" s="130"/>
      <c r="M764" s="130"/>
      <c r="N764" s="291"/>
      <c r="O764" s="291"/>
      <c r="P764" s="122"/>
      <c r="Q764" s="122"/>
      <c r="R764" s="122"/>
      <c r="S764" s="122"/>
      <c r="T764" s="122"/>
      <c r="U764" s="301"/>
      <c r="V764" s="260">
        <f t="shared" ca="1" si="19"/>
        <v>0</v>
      </c>
      <c r="W764" s="348" t="str">
        <f>IF(板块成分!B766="","",板块成分!B766)</f>
        <v>002246.SZ</v>
      </c>
      <c r="X764" s="276" t="str">
        <f>[1]!S_Info_Name(W764)</f>
        <v>北化股份</v>
      </c>
      <c r="Y764" s="276" t="str">
        <f ca="1">IF($Y$3="申万一级行业",[1]!s_info_industry_sw_2021(W764,公司分析!D$5,1),IF($Y$3="申万二级行业",[1]!s_info_industry_sw_2021(W764,公司分析!D$5,2),IF($Y$3="申万三级行业",[1]!s_info_industry_sw_2021(W764,公司分析!D$5,3),IF($Y$3="wind一级行业",[1]!s_info_industry_gics(W764,1),IF($Y$3="wind二级行业",[1]!s_info_industry_gics(W764,2),IF($Y$3="wind三级行业",[1]!s_info_industry_gics(W764,3),IF($Y$3="wind四级行业",[1]!s_info_industry_gics(W764,4),IF($Y$3="证监会门类行业",[1]!s_info_industry_csrc12_n(W764,公司分析!D$5,1),""))))))))</f>
        <v>化学制品</v>
      </c>
      <c r="Z764" s="302" t="str">
        <f ca="1">IF(Y764=行业比较!$E$6,ROW(),"")</f>
        <v/>
      </c>
      <c r="AA764" s="122"/>
      <c r="AB764" s="122"/>
      <c r="AC764" s="122"/>
      <c r="AD764" s="122"/>
      <c r="AE764" s="122"/>
      <c r="AF764" s="122"/>
      <c r="AG764" s="122"/>
      <c r="AH764" s="122"/>
      <c r="AI764" s="122"/>
      <c r="AJ764" s="122"/>
      <c r="AK764" s="122"/>
      <c r="AL764" s="122"/>
      <c r="AM764" s="122"/>
      <c r="AN764" s="122"/>
      <c r="AO764" s="122"/>
      <c r="AP764" s="122"/>
    </row>
    <row r="765" spans="2:42">
      <c r="B765" s="122"/>
      <c r="C765" s="122"/>
      <c r="D765" s="122"/>
      <c r="E765" s="122"/>
      <c r="F765" s="122"/>
      <c r="G765" s="122"/>
      <c r="H765" s="122"/>
      <c r="I765" s="275"/>
      <c r="J765" s="130"/>
      <c r="K765" s="130"/>
      <c r="L765" s="130"/>
      <c r="M765" s="130"/>
      <c r="N765" s="291"/>
      <c r="O765" s="291"/>
      <c r="P765" s="122"/>
      <c r="Q765" s="122"/>
      <c r="R765" s="122"/>
      <c r="S765" s="122"/>
      <c r="T765" s="122"/>
      <c r="U765" s="301"/>
      <c r="V765" s="260">
        <f t="shared" ca="1" si="19"/>
        <v>0</v>
      </c>
      <c r="W765" s="348" t="str">
        <f>IF(板块成分!B767="","",板块成分!B767)</f>
        <v>002247.SZ</v>
      </c>
      <c r="X765" s="276" t="str">
        <f>[1]!S_Info_Name(W765)</f>
        <v>聚力文化</v>
      </c>
      <c r="Y765" s="276" t="str">
        <f ca="1">IF($Y$3="申万一级行业",[1]!s_info_industry_sw_2021(W765,公司分析!D$5,1),IF($Y$3="申万二级行业",[1]!s_info_industry_sw_2021(W765,公司分析!D$5,2),IF($Y$3="申万三级行业",[1]!s_info_industry_sw_2021(W765,公司分析!D$5,3),IF($Y$3="wind一级行业",[1]!s_info_industry_gics(W765,1),IF($Y$3="wind二级行业",[1]!s_info_industry_gics(W765,2),IF($Y$3="wind三级行业",[1]!s_info_industry_gics(W765,3),IF($Y$3="wind四级行业",[1]!s_info_industry_gics(W765,4),IF($Y$3="证监会门类行业",[1]!s_info_industry_csrc12_n(W765,公司分析!D$5,1),""))))))))</f>
        <v>装修建材</v>
      </c>
      <c r="Z765" s="302" t="str">
        <f ca="1">IF(Y765=行业比较!$E$6,ROW(),"")</f>
        <v/>
      </c>
      <c r="AA765" s="122"/>
      <c r="AB765" s="122"/>
      <c r="AC765" s="122"/>
      <c r="AD765" s="122"/>
      <c r="AE765" s="122"/>
      <c r="AF765" s="122"/>
      <c r="AG765" s="122"/>
      <c r="AH765" s="122"/>
      <c r="AI765" s="122"/>
      <c r="AJ765" s="122"/>
      <c r="AK765" s="122"/>
      <c r="AL765" s="122"/>
      <c r="AM765" s="122"/>
      <c r="AN765" s="122"/>
      <c r="AO765" s="122"/>
      <c r="AP765" s="122"/>
    </row>
    <row r="766" spans="2:42">
      <c r="B766" s="122"/>
      <c r="C766" s="122"/>
      <c r="D766" s="122"/>
      <c r="E766" s="122"/>
      <c r="F766" s="122"/>
      <c r="G766" s="122"/>
      <c r="H766" s="122"/>
      <c r="I766" s="275"/>
      <c r="J766" s="130"/>
      <c r="K766" s="130"/>
      <c r="L766" s="130"/>
      <c r="M766" s="130"/>
      <c r="N766" s="291"/>
      <c r="O766" s="291"/>
      <c r="P766" s="122"/>
      <c r="Q766" s="122"/>
      <c r="R766" s="122"/>
      <c r="S766" s="122"/>
      <c r="T766" s="122"/>
      <c r="U766" s="301"/>
      <c r="V766" s="260">
        <f t="shared" ca="1" si="19"/>
        <v>0</v>
      </c>
      <c r="W766" s="348" t="str">
        <f>IF(板块成分!B768="","",板块成分!B768)</f>
        <v>002248.SZ</v>
      </c>
      <c r="X766" s="276" t="str">
        <f>[1]!S_Info_Name(W766)</f>
        <v>华东数控</v>
      </c>
      <c r="Y766" s="276" t="str">
        <f ca="1">IF($Y$3="申万一级行业",[1]!s_info_industry_sw_2021(W766,公司分析!D$5,1),IF($Y$3="申万二级行业",[1]!s_info_industry_sw_2021(W766,公司分析!D$5,2),IF($Y$3="申万三级行业",[1]!s_info_industry_sw_2021(W766,公司分析!D$5,3),IF($Y$3="wind一级行业",[1]!s_info_industry_gics(W766,1),IF($Y$3="wind二级行业",[1]!s_info_industry_gics(W766,2),IF($Y$3="wind三级行业",[1]!s_info_industry_gics(W766,3),IF($Y$3="wind四级行业",[1]!s_info_industry_gics(W766,4),IF($Y$3="证监会门类行业",[1]!s_info_industry_csrc12_n(W766,公司分析!D$5,1),""))))))))</f>
        <v>通用设备</v>
      </c>
      <c r="Z766" s="302" t="str">
        <f ca="1">IF(Y766=行业比较!$E$6,ROW(),"")</f>
        <v/>
      </c>
      <c r="AA766" s="122"/>
      <c r="AB766" s="122"/>
      <c r="AC766" s="122"/>
      <c r="AD766" s="122"/>
      <c r="AE766" s="122"/>
      <c r="AF766" s="122"/>
      <c r="AG766" s="122"/>
      <c r="AH766" s="122"/>
      <c r="AI766" s="122"/>
      <c r="AJ766" s="122"/>
      <c r="AK766" s="122"/>
      <c r="AL766" s="122"/>
      <c r="AM766" s="122"/>
      <c r="AN766" s="122"/>
      <c r="AO766" s="122"/>
      <c r="AP766" s="122"/>
    </row>
    <row r="767" spans="2:42">
      <c r="B767" s="122"/>
      <c r="C767" s="122"/>
      <c r="D767" s="122"/>
      <c r="E767" s="122"/>
      <c r="F767" s="122"/>
      <c r="G767" s="122"/>
      <c r="H767" s="122"/>
      <c r="I767" s="275"/>
      <c r="J767" s="130"/>
      <c r="K767" s="130"/>
      <c r="L767" s="130"/>
      <c r="M767" s="130"/>
      <c r="N767" s="291"/>
      <c r="O767" s="291"/>
      <c r="P767" s="122"/>
      <c r="Q767" s="122"/>
      <c r="R767" s="122"/>
      <c r="S767" s="122"/>
      <c r="T767" s="122"/>
      <c r="U767" s="301"/>
      <c r="V767" s="260">
        <f t="shared" ca="1" si="19"/>
        <v>0</v>
      </c>
      <c r="W767" s="348" t="str">
        <f>IF(板块成分!B769="","",板块成分!B769)</f>
        <v>002249.SZ</v>
      </c>
      <c r="X767" s="276" t="str">
        <f>[1]!S_Info_Name(W767)</f>
        <v>大洋电机</v>
      </c>
      <c r="Y767" s="276" t="str">
        <f ca="1">IF($Y$3="申万一级行业",[1]!s_info_industry_sw_2021(W767,公司分析!D$5,1),IF($Y$3="申万二级行业",[1]!s_info_industry_sw_2021(W767,公司分析!D$5,2),IF($Y$3="申万三级行业",[1]!s_info_industry_sw_2021(W767,公司分析!D$5,3),IF($Y$3="wind一级行业",[1]!s_info_industry_gics(W767,1),IF($Y$3="wind二级行业",[1]!s_info_industry_gics(W767,2),IF($Y$3="wind三级行业",[1]!s_info_industry_gics(W767,3),IF($Y$3="wind四级行业",[1]!s_info_industry_gics(W767,4),IF($Y$3="证监会门类行业",[1]!s_info_industry_csrc12_n(W767,公司分析!D$5,1),""))))))))</f>
        <v>电机Ⅱ</v>
      </c>
      <c r="Z767" s="302" t="str">
        <f ca="1">IF(Y767=行业比较!$E$6,ROW(),"")</f>
        <v/>
      </c>
      <c r="AA767" s="122"/>
      <c r="AB767" s="122"/>
      <c r="AC767" s="122"/>
      <c r="AD767" s="122"/>
      <c r="AE767" s="122"/>
      <c r="AF767" s="122"/>
      <c r="AG767" s="122"/>
      <c r="AH767" s="122"/>
      <c r="AI767" s="122"/>
      <c r="AJ767" s="122"/>
      <c r="AK767" s="122"/>
      <c r="AL767" s="122"/>
      <c r="AM767" s="122"/>
      <c r="AN767" s="122"/>
      <c r="AO767" s="122"/>
      <c r="AP767" s="122"/>
    </row>
    <row r="768" spans="2:42">
      <c r="B768" s="122"/>
      <c r="C768" s="122"/>
      <c r="D768" s="122"/>
      <c r="E768" s="122"/>
      <c r="F768" s="122"/>
      <c r="G768" s="122"/>
      <c r="H768" s="122"/>
      <c r="I768" s="275"/>
      <c r="J768" s="130"/>
      <c r="K768" s="130"/>
      <c r="L768" s="130"/>
      <c r="M768" s="130"/>
      <c r="N768" s="291"/>
      <c r="O768" s="291"/>
      <c r="P768" s="122"/>
      <c r="Q768" s="122"/>
      <c r="R768" s="122"/>
      <c r="S768" s="122"/>
      <c r="T768" s="122"/>
      <c r="U768" s="301"/>
      <c r="V768" s="260">
        <f t="shared" ca="1" si="19"/>
        <v>0</v>
      </c>
      <c r="W768" s="348" t="str">
        <f>IF(板块成分!B770="","",板块成分!B770)</f>
        <v>002250.SZ</v>
      </c>
      <c r="X768" s="276" t="str">
        <f>[1]!S_Info_Name(W768)</f>
        <v>联化科技</v>
      </c>
      <c r="Y768" s="276" t="str">
        <f ca="1">IF($Y$3="申万一级行业",[1]!s_info_industry_sw_2021(W768,公司分析!D$5,1),IF($Y$3="申万二级行业",[1]!s_info_industry_sw_2021(W768,公司分析!D$5,2),IF($Y$3="申万三级行业",[1]!s_info_industry_sw_2021(W768,公司分析!D$5,3),IF($Y$3="wind一级行业",[1]!s_info_industry_gics(W768,1),IF($Y$3="wind二级行业",[1]!s_info_industry_gics(W768,2),IF($Y$3="wind三级行业",[1]!s_info_industry_gics(W768,3),IF($Y$3="wind四级行业",[1]!s_info_industry_gics(W768,4),IF($Y$3="证监会门类行业",[1]!s_info_industry_csrc12_n(W768,公司分析!D$5,1),""))))))))</f>
        <v>农化制品</v>
      </c>
      <c r="Z768" s="302" t="str">
        <f ca="1">IF(Y768=行业比较!$E$6,ROW(),"")</f>
        <v/>
      </c>
      <c r="AA768" s="122"/>
      <c r="AB768" s="122"/>
      <c r="AC768" s="122"/>
      <c r="AD768" s="122"/>
      <c r="AE768" s="122"/>
      <c r="AF768" s="122"/>
      <c r="AG768" s="122"/>
      <c r="AH768" s="122"/>
      <c r="AI768" s="122"/>
      <c r="AJ768" s="122"/>
      <c r="AK768" s="122"/>
      <c r="AL768" s="122"/>
      <c r="AM768" s="122"/>
      <c r="AN768" s="122"/>
      <c r="AO768" s="122"/>
      <c r="AP768" s="122"/>
    </row>
    <row r="769" spans="2:42">
      <c r="B769" s="122"/>
      <c r="C769" s="122"/>
      <c r="D769" s="122"/>
      <c r="E769" s="122"/>
      <c r="F769" s="122"/>
      <c r="G769" s="122"/>
      <c r="H769" s="122"/>
      <c r="I769" s="275"/>
      <c r="J769" s="130"/>
      <c r="K769" s="130"/>
      <c r="L769" s="130"/>
      <c r="M769" s="130"/>
      <c r="N769" s="291"/>
      <c r="O769" s="291"/>
      <c r="P769" s="122"/>
      <c r="Q769" s="122"/>
      <c r="R769" s="122"/>
      <c r="S769" s="122"/>
      <c r="T769" s="122"/>
      <c r="U769" s="301"/>
      <c r="V769" s="260">
        <f t="shared" ca="1" si="19"/>
        <v>0</v>
      </c>
      <c r="W769" s="348" t="str">
        <f>IF(板块成分!B771="","",板块成分!B771)</f>
        <v>002251.SZ</v>
      </c>
      <c r="X769" s="276" t="str">
        <f>[1]!S_Info_Name(W769)</f>
        <v>步步高</v>
      </c>
      <c r="Y769" s="276" t="str">
        <f ca="1">IF($Y$3="申万一级行业",[1]!s_info_industry_sw_2021(W769,公司分析!D$5,1),IF($Y$3="申万二级行业",[1]!s_info_industry_sw_2021(W769,公司分析!D$5,2),IF($Y$3="申万三级行业",[1]!s_info_industry_sw_2021(W769,公司分析!D$5,3),IF($Y$3="wind一级行业",[1]!s_info_industry_gics(W769,1),IF($Y$3="wind二级行业",[1]!s_info_industry_gics(W769,2),IF($Y$3="wind三级行业",[1]!s_info_industry_gics(W769,3),IF($Y$3="wind四级行业",[1]!s_info_industry_gics(W769,4),IF($Y$3="证监会门类行业",[1]!s_info_industry_csrc12_n(W769,公司分析!D$5,1),""))))))))</f>
        <v>一般零售</v>
      </c>
      <c r="Z769" s="302" t="str">
        <f ca="1">IF(Y769=行业比较!$E$6,ROW(),"")</f>
        <v/>
      </c>
      <c r="AA769" s="122"/>
      <c r="AB769" s="122"/>
      <c r="AC769" s="122"/>
      <c r="AD769" s="122"/>
      <c r="AE769" s="122"/>
      <c r="AF769" s="122"/>
      <c r="AG769" s="122"/>
      <c r="AH769" s="122"/>
      <c r="AI769" s="122"/>
      <c r="AJ769" s="122"/>
      <c r="AK769" s="122"/>
      <c r="AL769" s="122"/>
      <c r="AM769" s="122"/>
      <c r="AN769" s="122"/>
      <c r="AO769" s="122"/>
      <c r="AP769" s="122"/>
    </row>
    <row r="770" spans="2:42">
      <c r="B770" s="122"/>
      <c r="C770" s="122"/>
      <c r="D770" s="122"/>
      <c r="E770" s="122"/>
      <c r="F770" s="122"/>
      <c r="G770" s="122"/>
      <c r="H770" s="122"/>
      <c r="I770" s="275"/>
      <c r="J770" s="130"/>
      <c r="K770" s="130"/>
      <c r="L770" s="130"/>
      <c r="M770" s="130"/>
      <c r="N770" s="291"/>
      <c r="O770" s="291"/>
      <c r="P770" s="122"/>
      <c r="Q770" s="122"/>
      <c r="R770" s="122"/>
      <c r="S770" s="122"/>
      <c r="T770" s="122"/>
      <c r="U770" s="301"/>
      <c r="V770" s="260">
        <f t="shared" ca="1" si="19"/>
        <v>0</v>
      </c>
      <c r="W770" s="348" t="str">
        <f>IF(板块成分!B772="","",板块成分!B772)</f>
        <v>002252.SZ</v>
      </c>
      <c r="X770" s="276" t="str">
        <f>[1]!S_Info_Name(W770)</f>
        <v>上海莱士</v>
      </c>
      <c r="Y770" s="276" t="str">
        <f ca="1">IF($Y$3="申万一级行业",[1]!s_info_industry_sw_2021(W770,公司分析!D$5,1),IF($Y$3="申万二级行业",[1]!s_info_industry_sw_2021(W770,公司分析!D$5,2),IF($Y$3="申万三级行业",[1]!s_info_industry_sw_2021(W770,公司分析!D$5,3),IF($Y$3="wind一级行业",[1]!s_info_industry_gics(W770,1),IF($Y$3="wind二级行业",[1]!s_info_industry_gics(W770,2),IF($Y$3="wind三级行业",[1]!s_info_industry_gics(W770,3),IF($Y$3="wind四级行业",[1]!s_info_industry_gics(W770,4),IF($Y$3="证监会门类行业",[1]!s_info_industry_csrc12_n(W770,公司分析!D$5,1),""))))))))</f>
        <v>生物制品</v>
      </c>
      <c r="Z770" s="302" t="str">
        <f ca="1">IF(Y770=行业比较!$E$6,ROW(),"")</f>
        <v/>
      </c>
      <c r="AA770" s="122"/>
      <c r="AB770" s="122"/>
      <c r="AC770" s="122"/>
      <c r="AD770" s="122"/>
      <c r="AE770" s="122"/>
      <c r="AF770" s="122"/>
      <c r="AG770" s="122"/>
      <c r="AH770" s="122"/>
      <c r="AI770" s="122"/>
      <c r="AJ770" s="122"/>
      <c r="AK770" s="122"/>
      <c r="AL770" s="122"/>
      <c r="AM770" s="122"/>
      <c r="AN770" s="122"/>
      <c r="AO770" s="122"/>
      <c r="AP770" s="122"/>
    </row>
    <row r="771" spans="2:42">
      <c r="B771" s="122"/>
      <c r="C771" s="122"/>
      <c r="D771" s="122"/>
      <c r="E771" s="122"/>
      <c r="F771" s="122"/>
      <c r="G771" s="122"/>
      <c r="H771" s="122"/>
      <c r="I771" s="275"/>
      <c r="J771" s="130"/>
      <c r="K771" s="130"/>
      <c r="L771" s="130"/>
      <c r="M771" s="130"/>
      <c r="N771" s="291"/>
      <c r="O771" s="291"/>
      <c r="P771" s="122"/>
      <c r="Q771" s="122"/>
      <c r="R771" s="122"/>
      <c r="S771" s="122"/>
      <c r="T771" s="122"/>
      <c r="U771" s="301"/>
      <c r="V771" s="260">
        <f t="shared" ca="1" si="19"/>
        <v>0</v>
      </c>
      <c r="W771" s="348" t="str">
        <f>IF(板块成分!B773="","",板块成分!B773)</f>
        <v>002253.SZ</v>
      </c>
      <c r="X771" s="276" t="str">
        <f>[1]!S_Info_Name(W771)</f>
        <v>*ST智胜</v>
      </c>
      <c r="Y771" s="276" t="str">
        <f ca="1">IF($Y$3="申万一级行业",[1]!s_info_industry_sw_2021(W771,公司分析!D$5,1),IF($Y$3="申万二级行业",[1]!s_info_industry_sw_2021(W771,公司分析!D$5,2),IF($Y$3="申万三级行业",[1]!s_info_industry_sw_2021(W771,公司分析!D$5,3),IF($Y$3="wind一级行业",[1]!s_info_industry_gics(W771,1),IF($Y$3="wind二级行业",[1]!s_info_industry_gics(W771,2),IF($Y$3="wind三级行业",[1]!s_info_industry_gics(W771,3),IF($Y$3="wind四级行业",[1]!s_info_industry_gics(W771,4),IF($Y$3="证监会门类行业",[1]!s_info_industry_csrc12_n(W771,公司分析!D$5,1),""))))))))</f>
        <v>软件开发</v>
      </c>
      <c r="Z771" s="302" t="str">
        <f ca="1">IF(Y771=行业比较!$E$6,ROW(),"")</f>
        <v/>
      </c>
      <c r="AA771" s="122"/>
      <c r="AB771" s="122"/>
      <c r="AC771" s="122"/>
      <c r="AD771" s="122"/>
      <c r="AE771" s="122"/>
      <c r="AF771" s="122"/>
      <c r="AG771" s="122"/>
      <c r="AH771" s="122"/>
      <c r="AI771" s="122"/>
      <c r="AJ771" s="122"/>
      <c r="AK771" s="122"/>
      <c r="AL771" s="122"/>
      <c r="AM771" s="122"/>
      <c r="AN771" s="122"/>
      <c r="AO771" s="122"/>
      <c r="AP771" s="122"/>
    </row>
    <row r="772" spans="2:42">
      <c r="B772" s="122"/>
      <c r="C772" s="122"/>
      <c r="D772" s="122"/>
      <c r="E772" s="122"/>
      <c r="F772" s="122"/>
      <c r="G772" s="122"/>
      <c r="H772" s="122"/>
      <c r="I772" s="275"/>
      <c r="J772" s="130"/>
      <c r="K772" s="130"/>
      <c r="L772" s="130"/>
      <c r="M772" s="130"/>
      <c r="N772" s="291"/>
      <c r="O772" s="291"/>
      <c r="P772" s="122"/>
      <c r="Q772" s="122"/>
      <c r="R772" s="122"/>
      <c r="S772" s="122"/>
      <c r="T772" s="122"/>
      <c r="U772" s="301"/>
      <c r="V772" s="260">
        <f t="shared" ca="1" si="19"/>
        <v>0</v>
      </c>
      <c r="W772" s="348" t="str">
        <f>IF(板块成分!B774="","",板块成分!B774)</f>
        <v>002254.SZ</v>
      </c>
      <c r="X772" s="276" t="str">
        <f>[1]!S_Info_Name(W772)</f>
        <v>泰和新材</v>
      </c>
      <c r="Y772" s="276" t="str">
        <f ca="1">IF($Y$3="申万一级行业",[1]!s_info_industry_sw_2021(W772,公司分析!D$5,1),IF($Y$3="申万二级行业",[1]!s_info_industry_sw_2021(W772,公司分析!D$5,2),IF($Y$3="申万三级行业",[1]!s_info_industry_sw_2021(W772,公司分析!D$5,3),IF($Y$3="wind一级行业",[1]!s_info_industry_gics(W772,1),IF($Y$3="wind二级行业",[1]!s_info_industry_gics(W772,2),IF($Y$3="wind三级行业",[1]!s_info_industry_gics(W772,3),IF($Y$3="wind四级行业",[1]!s_info_industry_gics(W772,4),IF($Y$3="证监会门类行业",[1]!s_info_industry_csrc12_n(W772,公司分析!D$5,1),""))))))))</f>
        <v>化学纤维</v>
      </c>
      <c r="Z772" s="302" t="str">
        <f ca="1">IF(Y772=行业比较!$E$6,ROW(),"")</f>
        <v/>
      </c>
      <c r="AA772" s="122"/>
      <c r="AB772" s="122"/>
      <c r="AC772" s="122"/>
      <c r="AD772" s="122"/>
      <c r="AE772" s="122"/>
      <c r="AF772" s="122"/>
      <c r="AG772" s="122"/>
      <c r="AH772" s="122"/>
      <c r="AI772" s="122"/>
      <c r="AJ772" s="122"/>
      <c r="AK772" s="122"/>
      <c r="AL772" s="122"/>
      <c r="AM772" s="122"/>
      <c r="AN772" s="122"/>
      <c r="AO772" s="122"/>
      <c r="AP772" s="122"/>
    </row>
    <row r="773" spans="2:42">
      <c r="B773" s="122"/>
      <c r="C773" s="122"/>
      <c r="D773" s="122"/>
      <c r="E773" s="122"/>
      <c r="F773" s="122"/>
      <c r="G773" s="122"/>
      <c r="H773" s="122"/>
      <c r="I773" s="275"/>
      <c r="J773" s="130"/>
      <c r="K773" s="130"/>
      <c r="L773" s="130"/>
      <c r="M773" s="130"/>
      <c r="N773" s="291"/>
      <c r="O773" s="291"/>
      <c r="P773" s="122"/>
      <c r="Q773" s="122"/>
      <c r="R773" s="122"/>
      <c r="S773" s="122"/>
      <c r="T773" s="122"/>
      <c r="U773" s="301"/>
      <c r="V773" s="260">
        <f t="shared" ref="V773:V836" ca="1" si="20">IF(Z773="",0,RANK(Z773,Z:Z,1))</f>
        <v>0</v>
      </c>
      <c r="W773" s="348" t="str">
        <f>IF(板块成分!B775="","",板块成分!B775)</f>
        <v>002255.SZ</v>
      </c>
      <c r="X773" s="276" t="str">
        <f>[1]!S_Info_Name(W773)</f>
        <v>海陆重工</v>
      </c>
      <c r="Y773" s="276" t="str">
        <f ca="1">IF($Y$3="申万一级行业",[1]!s_info_industry_sw_2021(W773,公司分析!D$5,1),IF($Y$3="申万二级行业",[1]!s_info_industry_sw_2021(W773,公司分析!D$5,2),IF($Y$3="申万三级行业",[1]!s_info_industry_sw_2021(W773,公司分析!D$5,3),IF($Y$3="wind一级行业",[1]!s_info_industry_gics(W773,1),IF($Y$3="wind二级行业",[1]!s_info_industry_gics(W773,2),IF($Y$3="wind三级行业",[1]!s_info_industry_gics(W773,3),IF($Y$3="wind四级行业",[1]!s_info_industry_gics(W773,4),IF($Y$3="证监会门类行业",[1]!s_info_industry_csrc12_n(W773,公司分析!D$5,1),""))))))))</f>
        <v>其他电源设备Ⅱ</v>
      </c>
      <c r="Z773" s="302" t="str">
        <f ca="1">IF(Y773=行业比较!$E$6,ROW(),"")</f>
        <v/>
      </c>
      <c r="AA773" s="122"/>
      <c r="AB773" s="122"/>
      <c r="AC773" s="122"/>
      <c r="AD773" s="122"/>
      <c r="AE773" s="122"/>
      <c r="AF773" s="122"/>
      <c r="AG773" s="122"/>
      <c r="AH773" s="122"/>
      <c r="AI773" s="122"/>
      <c r="AJ773" s="122"/>
      <c r="AK773" s="122"/>
      <c r="AL773" s="122"/>
      <c r="AM773" s="122"/>
      <c r="AN773" s="122"/>
      <c r="AO773" s="122"/>
      <c r="AP773" s="122"/>
    </row>
    <row r="774" spans="2:42">
      <c r="B774" s="122"/>
      <c r="C774" s="122"/>
      <c r="D774" s="122"/>
      <c r="E774" s="122"/>
      <c r="F774" s="122"/>
      <c r="G774" s="122"/>
      <c r="H774" s="122"/>
      <c r="I774" s="275"/>
      <c r="J774" s="130"/>
      <c r="K774" s="130"/>
      <c r="L774" s="130"/>
      <c r="M774" s="130"/>
      <c r="N774" s="291"/>
      <c r="O774" s="291"/>
      <c r="P774" s="122"/>
      <c r="Q774" s="122"/>
      <c r="R774" s="122"/>
      <c r="S774" s="122"/>
      <c r="T774" s="122"/>
      <c r="U774" s="301"/>
      <c r="V774" s="260">
        <f t="shared" ca="1" si="20"/>
        <v>0</v>
      </c>
      <c r="W774" s="348" t="str">
        <f>IF(板块成分!B776="","",板块成分!B776)</f>
        <v>002256.SZ</v>
      </c>
      <c r="X774" s="276" t="str">
        <f>[1]!S_Info_Name(W774)</f>
        <v>兆新股份</v>
      </c>
      <c r="Y774" s="276" t="str">
        <f ca="1">IF($Y$3="申万一级行业",[1]!s_info_industry_sw_2021(W774,公司分析!D$5,1),IF($Y$3="申万二级行业",[1]!s_info_industry_sw_2021(W774,公司分析!D$5,2),IF($Y$3="申万三级行业",[1]!s_info_industry_sw_2021(W774,公司分析!D$5,3),IF($Y$3="wind一级行业",[1]!s_info_industry_gics(W774,1),IF($Y$3="wind二级行业",[1]!s_info_industry_gics(W774,2),IF($Y$3="wind三级行业",[1]!s_info_industry_gics(W774,3),IF($Y$3="wind四级行业",[1]!s_info_industry_gics(W774,4),IF($Y$3="证监会门类行业",[1]!s_info_industry_csrc12_n(W774,公司分析!D$5,1),""))))))))</f>
        <v>电力</v>
      </c>
      <c r="Z774" s="302" t="str">
        <f ca="1">IF(Y774=行业比较!$E$6,ROW(),"")</f>
        <v/>
      </c>
      <c r="AA774" s="122"/>
      <c r="AB774" s="122"/>
      <c r="AC774" s="122"/>
      <c r="AD774" s="122"/>
      <c r="AE774" s="122"/>
      <c r="AF774" s="122"/>
      <c r="AG774" s="122"/>
      <c r="AH774" s="122"/>
      <c r="AI774" s="122"/>
      <c r="AJ774" s="122"/>
      <c r="AK774" s="122"/>
      <c r="AL774" s="122"/>
      <c r="AM774" s="122"/>
      <c r="AN774" s="122"/>
      <c r="AO774" s="122"/>
      <c r="AP774" s="122"/>
    </row>
    <row r="775" spans="2:42">
      <c r="B775" s="122"/>
      <c r="C775" s="122"/>
      <c r="D775" s="122"/>
      <c r="E775" s="122"/>
      <c r="F775" s="122"/>
      <c r="G775" s="122"/>
      <c r="H775" s="122"/>
      <c r="I775" s="275"/>
      <c r="J775" s="130"/>
      <c r="K775" s="130"/>
      <c r="L775" s="130"/>
      <c r="M775" s="130"/>
      <c r="N775" s="291"/>
      <c r="O775" s="291"/>
      <c r="P775" s="122"/>
      <c r="Q775" s="122"/>
      <c r="R775" s="122"/>
      <c r="S775" s="122"/>
      <c r="T775" s="122"/>
      <c r="U775" s="301"/>
      <c r="V775" s="260">
        <f t="shared" ca="1" si="20"/>
        <v>0</v>
      </c>
      <c r="W775" s="348" t="str">
        <f>IF(板块成分!B777="","",板块成分!B777)</f>
        <v>002258.SZ</v>
      </c>
      <c r="X775" s="276" t="str">
        <f>[1]!S_Info_Name(W775)</f>
        <v>利尔化学</v>
      </c>
      <c r="Y775" s="276" t="str">
        <f ca="1">IF($Y$3="申万一级行业",[1]!s_info_industry_sw_2021(W775,公司分析!D$5,1),IF($Y$3="申万二级行业",[1]!s_info_industry_sw_2021(W775,公司分析!D$5,2),IF($Y$3="申万三级行业",[1]!s_info_industry_sw_2021(W775,公司分析!D$5,3),IF($Y$3="wind一级行业",[1]!s_info_industry_gics(W775,1),IF($Y$3="wind二级行业",[1]!s_info_industry_gics(W775,2),IF($Y$3="wind三级行业",[1]!s_info_industry_gics(W775,3),IF($Y$3="wind四级行业",[1]!s_info_industry_gics(W775,4),IF($Y$3="证监会门类行业",[1]!s_info_industry_csrc12_n(W775,公司分析!D$5,1),""))))))))</f>
        <v>农化制品</v>
      </c>
      <c r="Z775" s="302" t="str">
        <f ca="1">IF(Y775=行业比较!$E$6,ROW(),"")</f>
        <v/>
      </c>
      <c r="AA775" s="122"/>
      <c r="AB775" s="122"/>
      <c r="AC775" s="122"/>
      <c r="AD775" s="122"/>
      <c r="AE775" s="122"/>
      <c r="AF775" s="122"/>
      <c r="AG775" s="122"/>
      <c r="AH775" s="122"/>
      <c r="AI775" s="122"/>
      <c r="AJ775" s="122"/>
      <c r="AK775" s="122"/>
      <c r="AL775" s="122"/>
      <c r="AM775" s="122"/>
      <c r="AN775" s="122"/>
      <c r="AO775" s="122"/>
      <c r="AP775" s="122"/>
    </row>
    <row r="776" spans="2:42">
      <c r="B776" s="122"/>
      <c r="C776" s="122"/>
      <c r="D776" s="122"/>
      <c r="E776" s="122"/>
      <c r="F776" s="122"/>
      <c r="G776" s="122"/>
      <c r="H776" s="122"/>
      <c r="I776" s="275"/>
      <c r="J776" s="130"/>
      <c r="K776" s="130"/>
      <c r="L776" s="130"/>
      <c r="M776" s="130"/>
      <c r="N776" s="291"/>
      <c r="O776" s="291"/>
      <c r="P776" s="122"/>
      <c r="Q776" s="122"/>
      <c r="R776" s="122"/>
      <c r="S776" s="122"/>
      <c r="T776" s="122"/>
      <c r="U776" s="301"/>
      <c r="V776" s="260">
        <f t="shared" ca="1" si="20"/>
        <v>0</v>
      </c>
      <c r="W776" s="348" t="str">
        <f>IF(板块成分!B778="","",板块成分!B778)</f>
        <v>002259.SZ</v>
      </c>
      <c r="X776" s="276" t="str">
        <f>[1]!S_Info_Name(W776)</f>
        <v>升达林业</v>
      </c>
      <c r="Y776" s="276" t="str">
        <f ca="1">IF($Y$3="申万一级行业",[1]!s_info_industry_sw_2021(W776,公司分析!D$5,1),IF($Y$3="申万二级行业",[1]!s_info_industry_sw_2021(W776,公司分析!D$5,2),IF($Y$3="申万三级行业",[1]!s_info_industry_sw_2021(W776,公司分析!D$5,3),IF($Y$3="wind一级行业",[1]!s_info_industry_gics(W776,1),IF($Y$3="wind二级行业",[1]!s_info_industry_gics(W776,2),IF($Y$3="wind三级行业",[1]!s_info_industry_gics(W776,3),IF($Y$3="wind四级行业",[1]!s_info_industry_gics(W776,4),IF($Y$3="证监会门类行业",[1]!s_info_industry_csrc12_n(W776,公司分析!D$5,1),""))))))))</f>
        <v>燃气Ⅱ</v>
      </c>
      <c r="Z776" s="302" t="str">
        <f ca="1">IF(Y776=行业比较!$E$6,ROW(),"")</f>
        <v/>
      </c>
      <c r="AA776" s="122"/>
      <c r="AB776" s="122"/>
      <c r="AC776" s="122"/>
      <c r="AD776" s="122"/>
      <c r="AE776" s="122"/>
      <c r="AF776" s="122"/>
      <c r="AG776" s="122"/>
      <c r="AH776" s="122"/>
      <c r="AI776" s="122"/>
      <c r="AJ776" s="122"/>
      <c r="AK776" s="122"/>
      <c r="AL776" s="122"/>
      <c r="AM776" s="122"/>
      <c r="AN776" s="122"/>
      <c r="AO776" s="122"/>
      <c r="AP776" s="122"/>
    </row>
    <row r="777" spans="2:42">
      <c r="B777" s="122"/>
      <c r="C777" s="122"/>
      <c r="D777" s="122"/>
      <c r="E777" s="122"/>
      <c r="F777" s="122"/>
      <c r="G777" s="122"/>
      <c r="H777" s="122"/>
      <c r="I777" s="275"/>
      <c r="J777" s="130"/>
      <c r="K777" s="130"/>
      <c r="L777" s="130"/>
      <c r="M777" s="130"/>
      <c r="N777" s="291"/>
      <c r="O777" s="291"/>
      <c r="P777" s="122"/>
      <c r="Q777" s="122"/>
      <c r="R777" s="122"/>
      <c r="S777" s="122"/>
      <c r="T777" s="122"/>
      <c r="U777" s="301"/>
      <c r="V777" s="260">
        <f t="shared" ca="1" si="20"/>
        <v>0</v>
      </c>
      <c r="W777" s="348" t="str">
        <f>IF(板块成分!B779="","",板块成分!B779)</f>
        <v>002261.SZ</v>
      </c>
      <c r="X777" s="276" t="str">
        <f>[1]!S_Info_Name(W777)</f>
        <v>拓维信息</v>
      </c>
      <c r="Y777" s="276" t="str">
        <f ca="1">IF($Y$3="申万一级行业",[1]!s_info_industry_sw_2021(W777,公司分析!D$5,1),IF($Y$3="申万二级行业",[1]!s_info_industry_sw_2021(W777,公司分析!D$5,2),IF($Y$3="申万三级行业",[1]!s_info_industry_sw_2021(W777,公司分析!D$5,3),IF($Y$3="wind一级行业",[1]!s_info_industry_gics(W777,1),IF($Y$3="wind二级行业",[1]!s_info_industry_gics(W777,2),IF($Y$3="wind三级行业",[1]!s_info_industry_gics(W777,3),IF($Y$3="wind四级行业",[1]!s_info_industry_gics(W777,4),IF($Y$3="证监会门类行业",[1]!s_info_industry_csrc12_n(W777,公司分析!D$5,1),""))))))))</f>
        <v>软件开发</v>
      </c>
      <c r="Z777" s="302" t="str">
        <f ca="1">IF(Y777=行业比较!$E$6,ROW(),"")</f>
        <v/>
      </c>
      <c r="AA777" s="122"/>
      <c r="AB777" s="122"/>
      <c r="AC777" s="122"/>
      <c r="AD777" s="122"/>
      <c r="AE777" s="122"/>
      <c r="AF777" s="122"/>
      <c r="AG777" s="122"/>
      <c r="AH777" s="122"/>
      <c r="AI777" s="122"/>
      <c r="AJ777" s="122"/>
      <c r="AK777" s="122"/>
      <c r="AL777" s="122"/>
      <c r="AM777" s="122"/>
      <c r="AN777" s="122"/>
      <c r="AO777" s="122"/>
      <c r="AP777" s="122"/>
    </row>
    <row r="778" spans="2:42">
      <c r="B778" s="122"/>
      <c r="C778" s="122"/>
      <c r="D778" s="122"/>
      <c r="E778" s="122"/>
      <c r="F778" s="122"/>
      <c r="G778" s="122"/>
      <c r="H778" s="122"/>
      <c r="I778" s="275"/>
      <c r="J778" s="130"/>
      <c r="K778" s="130"/>
      <c r="L778" s="130"/>
      <c r="M778" s="130"/>
      <c r="N778" s="291"/>
      <c r="O778" s="291"/>
      <c r="P778" s="122"/>
      <c r="Q778" s="122"/>
      <c r="R778" s="122"/>
      <c r="S778" s="122"/>
      <c r="T778" s="122"/>
      <c r="U778" s="301"/>
      <c r="V778" s="260">
        <f t="shared" ca="1" si="20"/>
        <v>0</v>
      </c>
      <c r="W778" s="348" t="str">
        <f>IF(板块成分!B780="","",板块成分!B780)</f>
        <v>002262.SZ</v>
      </c>
      <c r="X778" s="276" t="str">
        <f>[1]!S_Info_Name(W778)</f>
        <v>恩华药业</v>
      </c>
      <c r="Y778" s="276" t="str">
        <f ca="1">IF($Y$3="申万一级行业",[1]!s_info_industry_sw_2021(W778,公司分析!D$5,1),IF($Y$3="申万二级行业",[1]!s_info_industry_sw_2021(W778,公司分析!D$5,2),IF($Y$3="申万三级行业",[1]!s_info_industry_sw_2021(W778,公司分析!D$5,3),IF($Y$3="wind一级行业",[1]!s_info_industry_gics(W778,1),IF($Y$3="wind二级行业",[1]!s_info_industry_gics(W778,2),IF($Y$3="wind三级行业",[1]!s_info_industry_gics(W778,3),IF($Y$3="wind四级行业",[1]!s_info_industry_gics(W778,4),IF($Y$3="证监会门类行业",[1]!s_info_industry_csrc12_n(W778,公司分析!D$5,1),""))))))))</f>
        <v>化学制药</v>
      </c>
      <c r="Z778" s="302" t="str">
        <f ca="1">IF(Y778=行业比较!$E$6,ROW(),"")</f>
        <v/>
      </c>
      <c r="AA778" s="122"/>
      <c r="AB778" s="122"/>
      <c r="AC778" s="122"/>
      <c r="AD778" s="122"/>
      <c r="AE778" s="122"/>
      <c r="AF778" s="122"/>
      <c r="AG778" s="122"/>
      <c r="AH778" s="122"/>
      <c r="AI778" s="122"/>
      <c r="AJ778" s="122"/>
      <c r="AK778" s="122"/>
      <c r="AL778" s="122"/>
      <c r="AM778" s="122"/>
      <c r="AN778" s="122"/>
      <c r="AO778" s="122"/>
      <c r="AP778" s="122"/>
    </row>
    <row r="779" spans="2:42">
      <c r="B779" s="122"/>
      <c r="C779" s="122"/>
      <c r="D779" s="122"/>
      <c r="E779" s="122"/>
      <c r="F779" s="122"/>
      <c r="G779" s="122"/>
      <c r="H779" s="122"/>
      <c r="I779" s="275"/>
      <c r="J779" s="130"/>
      <c r="K779" s="130"/>
      <c r="L779" s="130"/>
      <c r="M779" s="130"/>
      <c r="N779" s="291"/>
      <c r="O779" s="291"/>
      <c r="P779" s="122"/>
      <c r="Q779" s="122"/>
      <c r="R779" s="122"/>
      <c r="S779" s="122"/>
      <c r="T779" s="122"/>
      <c r="U779" s="301"/>
      <c r="V779" s="260">
        <f t="shared" ca="1" si="20"/>
        <v>0</v>
      </c>
      <c r="W779" s="348" t="str">
        <f>IF(板块成分!B781="","",板块成分!B781)</f>
        <v>002263.SZ</v>
      </c>
      <c r="X779" s="276" t="str">
        <f>[1]!S_Info_Name(W779)</f>
        <v>大东南</v>
      </c>
      <c r="Y779" s="276" t="str">
        <f ca="1">IF($Y$3="申万一级行业",[1]!s_info_industry_sw_2021(W779,公司分析!D$5,1),IF($Y$3="申万二级行业",[1]!s_info_industry_sw_2021(W779,公司分析!D$5,2),IF($Y$3="申万三级行业",[1]!s_info_industry_sw_2021(W779,公司分析!D$5,3),IF($Y$3="wind一级行业",[1]!s_info_industry_gics(W779,1),IF($Y$3="wind二级行业",[1]!s_info_industry_gics(W779,2),IF($Y$3="wind三级行业",[1]!s_info_industry_gics(W779,3),IF($Y$3="wind四级行业",[1]!s_info_industry_gics(W779,4),IF($Y$3="证监会门类行业",[1]!s_info_industry_csrc12_n(W779,公司分析!D$5,1),""))))))))</f>
        <v>塑料</v>
      </c>
      <c r="Z779" s="302" t="str">
        <f ca="1">IF(Y779=行业比较!$E$6,ROW(),"")</f>
        <v/>
      </c>
      <c r="AA779" s="122"/>
      <c r="AB779" s="122"/>
      <c r="AC779" s="122"/>
      <c r="AD779" s="122"/>
      <c r="AE779" s="122"/>
      <c r="AF779" s="122"/>
      <c r="AG779" s="122"/>
      <c r="AH779" s="122"/>
      <c r="AI779" s="122"/>
      <c r="AJ779" s="122"/>
      <c r="AK779" s="122"/>
      <c r="AL779" s="122"/>
      <c r="AM779" s="122"/>
      <c r="AN779" s="122"/>
      <c r="AO779" s="122"/>
      <c r="AP779" s="122"/>
    </row>
    <row r="780" spans="2:42">
      <c r="B780" s="122"/>
      <c r="C780" s="122"/>
      <c r="D780" s="122"/>
      <c r="E780" s="122"/>
      <c r="F780" s="122"/>
      <c r="G780" s="122"/>
      <c r="H780" s="122"/>
      <c r="I780" s="275"/>
      <c r="J780" s="130"/>
      <c r="K780" s="130"/>
      <c r="L780" s="130"/>
      <c r="M780" s="130"/>
      <c r="N780" s="291"/>
      <c r="O780" s="291"/>
      <c r="P780" s="122"/>
      <c r="Q780" s="122"/>
      <c r="R780" s="122"/>
      <c r="S780" s="122"/>
      <c r="T780" s="122"/>
      <c r="U780" s="301"/>
      <c r="V780" s="260">
        <f t="shared" ca="1" si="20"/>
        <v>0</v>
      </c>
      <c r="W780" s="348" t="str">
        <f>IF(板块成分!B782="","",板块成分!B782)</f>
        <v>002264.SZ</v>
      </c>
      <c r="X780" s="276" t="str">
        <f>[1]!S_Info_Name(W780)</f>
        <v>新华都</v>
      </c>
      <c r="Y780" s="276" t="str">
        <f ca="1">IF($Y$3="申万一级行业",[1]!s_info_industry_sw_2021(W780,公司分析!D$5,1),IF($Y$3="申万二级行业",[1]!s_info_industry_sw_2021(W780,公司分析!D$5,2),IF($Y$3="申万三级行业",[1]!s_info_industry_sw_2021(W780,公司分析!D$5,3),IF($Y$3="wind一级行业",[1]!s_info_industry_gics(W780,1),IF($Y$3="wind二级行业",[1]!s_info_industry_gics(W780,2),IF($Y$3="wind三级行业",[1]!s_info_industry_gics(W780,3),IF($Y$3="wind四级行业",[1]!s_info_industry_gics(W780,4),IF($Y$3="证监会门类行业",[1]!s_info_industry_csrc12_n(W780,公司分析!D$5,1),""))))))))</f>
        <v>广告营销</v>
      </c>
      <c r="Z780" s="302" t="str">
        <f ca="1">IF(Y780=行业比较!$E$6,ROW(),"")</f>
        <v/>
      </c>
      <c r="AA780" s="122"/>
      <c r="AB780" s="122"/>
      <c r="AC780" s="122"/>
      <c r="AD780" s="122"/>
      <c r="AE780" s="122"/>
      <c r="AF780" s="122"/>
      <c r="AG780" s="122"/>
      <c r="AH780" s="122"/>
      <c r="AI780" s="122"/>
      <c r="AJ780" s="122"/>
      <c r="AK780" s="122"/>
      <c r="AL780" s="122"/>
      <c r="AM780" s="122"/>
      <c r="AN780" s="122"/>
      <c r="AO780" s="122"/>
      <c r="AP780" s="122"/>
    </row>
    <row r="781" spans="2:42">
      <c r="B781" s="122"/>
      <c r="C781" s="122"/>
      <c r="D781" s="122"/>
      <c r="E781" s="122"/>
      <c r="F781" s="122"/>
      <c r="G781" s="122"/>
      <c r="H781" s="122"/>
      <c r="I781" s="275"/>
      <c r="J781" s="130"/>
      <c r="K781" s="130"/>
      <c r="L781" s="130"/>
      <c r="M781" s="130"/>
      <c r="N781" s="291"/>
      <c r="O781" s="291"/>
      <c r="P781" s="122"/>
      <c r="Q781" s="122"/>
      <c r="R781" s="122"/>
      <c r="S781" s="122"/>
      <c r="T781" s="122"/>
      <c r="U781" s="301"/>
      <c r="V781" s="260">
        <f t="shared" ca="1" si="20"/>
        <v>0</v>
      </c>
      <c r="W781" s="348" t="str">
        <f>IF(板块成分!B783="","",板块成分!B783)</f>
        <v>002265.SZ</v>
      </c>
      <c r="X781" s="276" t="str">
        <f>[1]!S_Info_Name(W781)</f>
        <v>建设工业</v>
      </c>
      <c r="Y781" s="276" t="str">
        <f ca="1">IF($Y$3="申万一级行业",[1]!s_info_industry_sw_2021(W781,公司分析!D$5,1),IF($Y$3="申万二级行业",[1]!s_info_industry_sw_2021(W781,公司分析!D$5,2),IF($Y$3="申万三级行业",[1]!s_info_industry_sw_2021(W781,公司分析!D$5,3),IF($Y$3="wind一级行业",[1]!s_info_industry_gics(W781,1),IF($Y$3="wind二级行业",[1]!s_info_industry_gics(W781,2),IF($Y$3="wind三级行业",[1]!s_info_industry_gics(W781,3),IF($Y$3="wind四级行业",[1]!s_info_industry_gics(W781,4),IF($Y$3="证监会门类行业",[1]!s_info_industry_csrc12_n(W781,公司分析!D$5,1),""))))))))</f>
        <v>汽车零部件</v>
      </c>
      <c r="Z781" s="302" t="str">
        <f ca="1">IF(Y781=行业比较!$E$6,ROW(),"")</f>
        <v/>
      </c>
      <c r="AA781" s="122"/>
      <c r="AB781" s="122"/>
      <c r="AC781" s="122"/>
      <c r="AD781" s="122"/>
      <c r="AE781" s="122"/>
      <c r="AF781" s="122"/>
      <c r="AG781" s="122"/>
      <c r="AH781" s="122"/>
      <c r="AI781" s="122"/>
      <c r="AJ781" s="122"/>
      <c r="AK781" s="122"/>
      <c r="AL781" s="122"/>
      <c r="AM781" s="122"/>
      <c r="AN781" s="122"/>
      <c r="AO781" s="122"/>
      <c r="AP781" s="122"/>
    </row>
    <row r="782" spans="2:42">
      <c r="B782" s="122"/>
      <c r="C782" s="122"/>
      <c r="D782" s="122"/>
      <c r="E782" s="122"/>
      <c r="F782" s="122"/>
      <c r="G782" s="122"/>
      <c r="H782" s="122"/>
      <c r="I782" s="275"/>
      <c r="J782" s="130"/>
      <c r="K782" s="130"/>
      <c r="L782" s="130"/>
      <c r="M782" s="130"/>
      <c r="N782" s="291"/>
      <c r="O782" s="291"/>
      <c r="P782" s="122"/>
      <c r="Q782" s="122"/>
      <c r="R782" s="122"/>
      <c r="S782" s="122"/>
      <c r="T782" s="122"/>
      <c r="U782" s="301"/>
      <c r="V782" s="260">
        <f t="shared" ca="1" si="20"/>
        <v>0</v>
      </c>
      <c r="W782" s="348" t="str">
        <f>IF(板块成分!B784="","",板块成分!B784)</f>
        <v>002266.SZ</v>
      </c>
      <c r="X782" s="276" t="str">
        <f>[1]!S_Info_Name(W782)</f>
        <v>浙富控股</v>
      </c>
      <c r="Y782" s="276" t="str">
        <f ca="1">IF($Y$3="申万一级行业",[1]!s_info_industry_sw_2021(W782,公司分析!D$5,1),IF($Y$3="申万二级行业",[1]!s_info_industry_sw_2021(W782,公司分析!D$5,2),IF($Y$3="申万三级行业",[1]!s_info_industry_sw_2021(W782,公司分析!D$5,3),IF($Y$3="wind一级行业",[1]!s_info_industry_gics(W782,1),IF($Y$3="wind二级行业",[1]!s_info_industry_gics(W782,2),IF($Y$3="wind三级行业",[1]!s_info_industry_gics(W782,3),IF($Y$3="wind四级行业",[1]!s_info_industry_gics(W782,4),IF($Y$3="证监会门类行业",[1]!s_info_industry_csrc12_n(W782,公司分析!D$5,1),""))))))))</f>
        <v>环境治理</v>
      </c>
      <c r="Z782" s="302" t="str">
        <f ca="1">IF(Y782=行业比较!$E$6,ROW(),"")</f>
        <v/>
      </c>
      <c r="AA782" s="122"/>
      <c r="AB782" s="122"/>
      <c r="AC782" s="122"/>
      <c r="AD782" s="122"/>
      <c r="AE782" s="122"/>
      <c r="AF782" s="122"/>
      <c r="AG782" s="122"/>
      <c r="AH782" s="122"/>
      <c r="AI782" s="122"/>
      <c r="AJ782" s="122"/>
      <c r="AK782" s="122"/>
      <c r="AL782" s="122"/>
      <c r="AM782" s="122"/>
      <c r="AN782" s="122"/>
      <c r="AO782" s="122"/>
      <c r="AP782" s="122"/>
    </row>
    <row r="783" spans="2:42">
      <c r="B783" s="122"/>
      <c r="C783" s="122"/>
      <c r="D783" s="122"/>
      <c r="E783" s="122"/>
      <c r="F783" s="122"/>
      <c r="G783" s="122"/>
      <c r="H783" s="122"/>
      <c r="I783" s="275"/>
      <c r="J783" s="130"/>
      <c r="K783" s="130"/>
      <c r="L783" s="130"/>
      <c r="M783" s="130"/>
      <c r="N783" s="291"/>
      <c r="O783" s="291"/>
      <c r="P783" s="122"/>
      <c r="Q783" s="122"/>
      <c r="R783" s="122"/>
      <c r="S783" s="122"/>
      <c r="T783" s="122"/>
      <c r="U783" s="301"/>
      <c r="V783" s="260">
        <f t="shared" ca="1" si="20"/>
        <v>0</v>
      </c>
      <c r="W783" s="348" t="str">
        <f>IF(板块成分!B785="","",板块成分!B785)</f>
        <v>002267.SZ</v>
      </c>
      <c r="X783" s="276" t="str">
        <f>[1]!S_Info_Name(W783)</f>
        <v>陕天然气</v>
      </c>
      <c r="Y783" s="276" t="str">
        <f ca="1">IF($Y$3="申万一级行业",[1]!s_info_industry_sw_2021(W783,公司分析!D$5,1),IF($Y$3="申万二级行业",[1]!s_info_industry_sw_2021(W783,公司分析!D$5,2),IF($Y$3="申万三级行业",[1]!s_info_industry_sw_2021(W783,公司分析!D$5,3),IF($Y$3="wind一级行业",[1]!s_info_industry_gics(W783,1),IF($Y$3="wind二级行业",[1]!s_info_industry_gics(W783,2),IF($Y$3="wind三级行业",[1]!s_info_industry_gics(W783,3),IF($Y$3="wind四级行业",[1]!s_info_industry_gics(W783,4),IF($Y$3="证监会门类行业",[1]!s_info_industry_csrc12_n(W783,公司分析!D$5,1),""))))))))</f>
        <v>燃气Ⅱ</v>
      </c>
      <c r="Z783" s="302" t="str">
        <f ca="1">IF(Y783=行业比较!$E$6,ROW(),"")</f>
        <v/>
      </c>
      <c r="AA783" s="122"/>
      <c r="AB783" s="122"/>
      <c r="AC783" s="122"/>
      <c r="AD783" s="122"/>
      <c r="AE783" s="122"/>
      <c r="AF783" s="122"/>
      <c r="AG783" s="122"/>
      <c r="AH783" s="122"/>
      <c r="AI783" s="122"/>
      <c r="AJ783" s="122"/>
      <c r="AK783" s="122"/>
      <c r="AL783" s="122"/>
      <c r="AM783" s="122"/>
      <c r="AN783" s="122"/>
      <c r="AO783" s="122"/>
      <c r="AP783" s="122"/>
    </row>
    <row r="784" spans="2:42">
      <c r="B784" s="122"/>
      <c r="C784" s="122"/>
      <c r="D784" s="122"/>
      <c r="E784" s="122"/>
      <c r="F784" s="122"/>
      <c r="G784" s="122"/>
      <c r="H784" s="122"/>
      <c r="I784" s="275"/>
      <c r="J784" s="130"/>
      <c r="K784" s="130"/>
      <c r="L784" s="130"/>
      <c r="M784" s="130"/>
      <c r="N784" s="291"/>
      <c r="O784" s="291"/>
      <c r="P784" s="122"/>
      <c r="Q784" s="122"/>
      <c r="R784" s="122"/>
      <c r="S784" s="122"/>
      <c r="T784" s="122"/>
      <c r="U784" s="301"/>
      <c r="V784" s="260">
        <f t="shared" ca="1" si="20"/>
        <v>0</v>
      </c>
      <c r="W784" s="348" t="str">
        <f>IF(板块成分!B786="","",板块成分!B786)</f>
        <v>002268.SZ</v>
      </c>
      <c r="X784" s="276" t="str">
        <f>[1]!S_Info_Name(W784)</f>
        <v>电科网安</v>
      </c>
      <c r="Y784" s="276" t="str">
        <f ca="1">IF($Y$3="申万一级行业",[1]!s_info_industry_sw_2021(W784,公司分析!D$5,1),IF($Y$3="申万二级行业",[1]!s_info_industry_sw_2021(W784,公司分析!D$5,2),IF($Y$3="申万三级行业",[1]!s_info_industry_sw_2021(W784,公司分析!D$5,3),IF($Y$3="wind一级行业",[1]!s_info_industry_gics(W784,1),IF($Y$3="wind二级行业",[1]!s_info_industry_gics(W784,2),IF($Y$3="wind三级行业",[1]!s_info_industry_gics(W784,3),IF($Y$3="wind四级行业",[1]!s_info_industry_gics(W784,4),IF($Y$3="证监会门类行业",[1]!s_info_industry_csrc12_n(W784,公司分析!D$5,1),""))))))))</f>
        <v>计算机设备</v>
      </c>
      <c r="Z784" s="302" t="str">
        <f ca="1">IF(Y784=行业比较!$E$6,ROW(),"")</f>
        <v/>
      </c>
      <c r="AA784" s="122"/>
      <c r="AB784" s="122"/>
      <c r="AC784" s="122"/>
      <c r="AD784" s="122"/>
      <c r="AE784" s="122"/>
      <c r="AF784" s="122"/>
      <c r="AG784" s="122"/>
      <c r="AH784" s="122"/>
      <c r="AI784" s="122"/>
      <c r="AJ784" s="122"/>
      <c r="AK784" s="122"/>
      <c r="AL784" s="122"/>
      <c r="AM784" s="122"/>
      <c r="AN784" s="122"/>
      <c r="AO784" s="122"/>
      <c r="AP784" s="122"/>
    </row>
    <row r="785" spans="2:42">
      <c r="B785" s="122"/>
      <c r="C785" s="122"/>
      <c r="D785" s="122"/>
      <c r="E785" s="122"/>
      <c r="F785" s="122"/>
      <c r="G785" s="122"/>
      <c r="H785" s="122"/>
      <c r="I785" s="275"/>
      <c r="J785" s="130"/>
      <c r="K785" s="130"/>
      <c r="L785" s="130"/>
      <c r="M785" s="130"/>
      <c r="N785" s="291"/>
      <c r="O785" s="291"/>
      <c r="P785" s="122"/>
      <c r="Q785" s="122"/>
      <c r="R785" s="122"/>
      <c r="S785" s="122"/>
      <c r="T785" s="122"/>
      <c r="U785" s="301"/>
      <c r="V785" s="260">
        <f t="shared" ca="1" si="20"/>
        <v>0</v>
      </c>
      <c r="W785" s="348" t="str">
        <f>IF(板块成分!B787="","",板块成分!B787)</f>
        <v>002269.SZ</v>
      </c>
      <c r="X785" s="276" t="str">
        <f>[1]!S_Info_Name(W785)</f>
        <v>美邦服饰</v>
      </c>
      <c r="Y785" s="276" t="str">
        <f ca="1">IF($Y$3="申万一级行业",[1]!s_info_industry_sw_2021(W785,公司分析!D$5,1),IF($Y$3="申万二级行业",[1]!s_info_industry_sw_2021(W785,公司分析!D$5,2),IF($Y$3="申万三级行业",[1]!s_info_industry_sw_2021(W785,公司分析!D$5,3),IF($Y$3="wind一级行业",[1]!s_info_industry_gics(W785,1),IF($Y$3="wind二级行业",[1]!s_info_industry_gics(W785,2),IF($Y$3="wind三级行业",[1]!s_info_industry_gics(W785,3),IF($Y$3="wind四级行业",[1]!s_info_industry_gics(W785,4),IF($Y$3="证监会门类行业",[1]!s_info_industry_csrc12_n(W785,公司分析!D$5,1),""))))))))</f>
        <v>服装家纺</v>
      </c>
      <c r="Z785" s="302" t="str">
        <f ca="1">IF(Y785=行业比较!$E$6,ROW(),"")</f>
        <v/>
      </c>
      <c r="AA785" s="122"/>
      <c r="AB785" s="122"/>
      <c r="AC785" s="122"/>
      <c r="AD785" s="122"/>
      <c r="AE785" s="122"/>
      <c r="AF785" s="122"/>
      <c r="AG785" s="122"/>
      <c r="AH785" s="122"/>
      <c r="AI785" s="122"/>
      <c r="AJ785" s="122"/>
      <c r="AK785" s="122"/>
      <c r="AL785" s="122"/>
      <c r="AM785" s="122"/>
      <c r="AN785" s="122"/>
      <c r="AO785" s="122"/>
      <c r="AP785" s="122"/>
    </row>
    <row r="786" spans="2:42">
      <c r="B786" s="122"/>
      <c r="C786" s="122"/>
      <c r="D786" s="122"/>
      <c r="E786" s="122"/>
      <c r="F786" s="122"/>
      <c r="G786" s="122"/>
      <c r="H786" s="122"/>
      <c r="I786" s="275"/>
      <c r="J786" s="130"/>
      <c r="K786" s="130"/>
      <c r="L786" s="130"/>
      <c r="M786" s="130"/>
      <c r="N786" s="291"/>
      <c r="O786" s="291"/>
      <c r="P786" s="122"/>
      <c r="Q786" s="122"/>
      <c r="R786" s="122"/>
      <c r="S786" s="122"/>
      <c r="T786" s="122"/>
      <c r="U786" s="301"/>
      <c r="V786" s="260">
        <f t="shared" ca="1" si="20"/>
        <v>0</v>
      </c>
      <c r="W786" s="348" t="str">
        <f>IF(板块成分!B788="","",板块成分!B788)</f>
        <v>002270.SZ</v>
      </c>
      <c r="X786" s="276" t="str">
        <f>[1]!S_Info_Name(W786)</f>
        <v>华明装备</v>
      </c>
      <c r="Y786" s="276" t="str">
        <f ca="1">IF($Y$3="申万一级行业",[1]!s_info_industry_sw_2021(W786,公司分析!D$5,1),IF($Y$3="申万二级行业",[1]!s_info_industry_sw_2021(W786,公司分析!D$5,2),IF($Y$3="申万三级行业",[1]!s_info_industry_sw_2021(W786,公司分析!D$5,3),IF($Y$3="wind一级行业",[1]!s_info_industry_gics(W786,1),IF($Y$3="wind二级行业",[1]!s_info_industry_gics(W786,2),IF($Y$3="wind三级行业",[1]!s_info_industry_gics(W786,3),IF($Y$3="wind四级行业",[1]!s_info_industry_gics(W786,4),IF($Y$3="证监会门类行业",[1]!s_info_industry_csrc12_n(W786,公司分析!D$5,1),""))))))))</f>
        <v>电网设备</v>
      </c>
      <c r="Z786" s="302" t="str">
        <f ca="1">IF(Y786=行业比较!$E$6,ROW(),"")</f>
        <v/>
      </c>
      <c r="AA786" s="122"/>
      <c r="AB786" s="122"/>
      <c r="AC786" s="122"/>
      <c r="AD786" s="122"/>
      <c r="AE786" s="122"/>
      <c r="AF786" s="122"/>
      <c r="AG786" s="122"/>
      <c r="AH786" s="122"/>
      <c r="AI786" s="122"/>
      <c r="AJ786" s="122"/>
      <c r="AK786" s="122"/>
      <c r="AL786" s="122"/>
      <c r="AM786" s="122"/>
      <c r="AN786" s="122"/>
      <c r="AO786" s="122"/>
      <c r="AP786" s="122"/>
    </row>
    <row r="787" spans="2:42">
      <c r="B787" s="122"/>
      <c r="C787" s="122"/>
      <c r="D787" s="122"/>
      <c r="E787" s="122"/>
      <c r="F787" s="122"/>
      <c r="G787" s="122"/>
      <c r="H787" s="122"/>
      <c r="I787" s="275"/>
      <c r="J787" s="130"/>
      <c r="K787" s="130"/>
      <c r="L787" s="130"/>
      <c r="M787" s="130"/>
      <c r="N787" s="291"/>
      <c r="O787" s="291"/>
      <c r="P787" s="122"/>
      <c r="Q787" s="122"/>
      <c r="R787" s="122"/>
      <c r="S787" s="122"/>
      <c r="T787" s="122"/>
      <c r="U787" s="301"/>
      <c r="V787" s="260">
        <f t="shared" ca="1" si="20"/>
        <v>0</v>
      </c>
      <c r="W787" s="348" t="str">
        <f>IF(板块成分!B789="","",板块成分!B789)</f>
        <v>002271.SZ</v>
      </c>
      <c r="X787" s="276" t="str">
        <f>[1]!S_Info_Name(W787)</f>
        <v>东方雨虹</v>
      </c>
      <c r="Y787" s="276" t="str">
        <f ca="1">IF($Y$3="申万一级行业",[1]!s_info_industry_sw_2021(W787,公司分析!D$5,1),IF($Y$3="申万二级行业",[1]!s_info_industry_sw_2021(W787,公司分析!D$5,2),IF($Y$3="申万三级行业",[1]!s_info_industry_sw_2021(W787,公司分析!D$5,3),IF($Y$3="wind一级行业",[1]!s_info_industry_gics(W787,1),IF($Y$3="wind二级行业",[1]!s_info_industry_gics(W787,2),IF($Y$3="wind三级行业",[1]!s_info_industry_gics(W787,3),IF($Y$3="wind四级行业",[1]!s_info_industry_gics(W787,4),IF($Y$3="证监会门类行业",[1]!s_info_industry_csrc12_n(W787,公司分析!D$5,1),""))))))))</f>
        <v>装修建材</v>
      </c>
      <c r="Z787" s="302" t="str">
        <f ca="1">IF(Y787=行业比较!$E$6,ROW(),"")</f>
        <v/>
      </c>
      <c r="AA787" s="122"/>
      <c r="AB787" s="122"/>
      <c r="AC787" s="122"/>
      <c r="AD787" s="122"/>
      <c r="AE787" s="122"/>
      <c r="AF787" s="122"/>
      <c r="AG787" s="122"/>
      <c r="AH787" s="122"/>
      <c r="AI787" s="122"/>
      <c r="AJ787" s="122"/>
      <c r="AK787" s="122"/>
      <c r="AL787" s="122"/>
      <c r="AM787" s="122"/>
      <c r="AN787" s="122"/>
      <c r="AO787" s="122"/>
      <c r="AP787" s="122"/>
    </row>
    <row r="788" spans="2:42">
      <c r="B788" s="122"/>
      <c r="C788" s="122"/>
      <c r="D788" s="122"/>
      <c r="E788" s="122"/>
      <c r="F788" s="122"/>
      <c r="G788" s="122"/>
      <c r="H788" s="122"/>
      <c r="I788" s="275"/>
      <c r="J788" s="130"/>
      <c r="K788" s="130"/>
      <c r="L788" s="130"/>
      <c r="M788" s="130"/>
      <c r="N788" s="291"/>
      <c r="O788" s="291"/>
      <c r="P788" s="122"/>
      <c r="Q788" s="122"/>
      <c r="R788" s="122"/>
      <c r="S788" s="122"/>
      <c r="T788" s="122"/>
      <c r="U788" s="301"/>
      <c r="V788" s="260">
        <f t="shared" ca="1" si="20"/>
        <v>0</v>
      </c>
      <c r="W788" s="348" t="str">
        <f>IF(板块成分!B790="","",板块成分!B790)</f>
        <v>002272.SZ</v>
      </c>
      <c r="X788" s="276" t="str">
        <f>[1]!S_Info_Name(W788)</f>
        <v>川润股份</v>
      </c>
      <c r="Y788" s="276" t="str">
        <f ca="1">IF($Y$3="申万一级行业",[1]!s_info_industry_sw_2021(W788,公司分析!D$5,1),IF($Y$3="申万二级行业",[1]!s_info_industry_sw_2021(W788,公司分析!D$5,2),IF($Y$3="申万三级行业",[1]!s_info_industry_sw_2021(W788,公司分析!D$5,3),IF($Y$3="wind一级行业",[1]!s_info_industry_gics(W788,1),IF($Y$3="wind二级行业",[1]!s_info_industry_gics(W788,2),IF($Y$3="wind三级行业",[1]!s_info_industry_gics(W788,3),IF($Y$3="wind四级行业",[1]!s_info_industry_gics(W788,4),IF($Y$3="证监会门类行业",[1]!s_info_industry_csrc12_n(W788,公司分析!D$5,1),""))))))))</f>
        <v>通用设备</v>
      </c>
      <c r="Z788" s="302" t="str">
        <f ca="1">IF(Y788=行业比较!$E$6,ROW(),"")</f>
        <v/>
      </c>
      <c r="AA788" s="122"/>
      <c r="AB788" s="122"/>
      <c r="AC788" s="122"/>
      <c r="AD788" s="122"/>
      <c r="AE788" s="122"/>
      <c r="AF788" s="122"/>
      <c r="AG788" s="122"/>
      <c r="AH788" s="122"/>
      <c r="AI788" s="122"/>
      <c r="AJ788" s="122"/>
      <c r="AK788" s="122"/>
      <c r="AL788" s="122"/>
      <c r="AM788" s="122"/>
      <c r="AN788" s="122"/>
      <c r="AO788" s="122"/>
      <c r="AP788" s="122"/>
    </row>
    <row r="789" spans="2:42">
      <c r="B789" s="122"/>
      <c r="C789" s="122"/>
      <c r="D789" s="122"/>
      <c r="E789" s="122"/>
      <c r="F789" s="122"/>
      <c r="G789" s="122"/>
      <c r="H789" s="122"/>
      <c r="I789" s="275"/>
      <c r="J789" s="130"/>
      <c r="K789" s="130"/>
      <c r="L789" s="130"/>
      <c r="M789" s="130"/>
      <c r="N789" s="291"/>
      <c r="O789" s="291"/>
      <c r="P789" s="122"/>
      <c r="Q789" s="122"/>
      <c r="R789" s="122"/>
      <c r="S789" s="122"/>
      <c r="T789" s="122"/>
      <c r="U789" s="301"/>
      <c r="V789" s="260">
        <f t="shared" ca="1" si="20"/>
        <v>0</v>
      </c>
      <c r="W789" s="348" t="str">
        <f>IF(板块成分!B791="","",板块成分!B791)</f>
        <v>002273.SZ</v>
      </c>
      <c r="X789" s="276" t="str">
        <f>[1]!S_Info_Name(W789)</f>
        <v>水晶光电</v>
      </c>
      <c r="Y789" s="276" t="str">
        <f ca="1">IF($Y$3="申万一级行业",[1]!s_info_industry_sw_2021(W789,公司分析!D$5,1),IF($Y$3="申万二级行业",[1]!s_info_industry_sw_2021(W789,公司分析!D$5,2),IF($Y$3="申万三级行业",[1]!s_info_industry_sw_2021(W789,公司分析!D$5,3),IF($Y$3="wind一级行业",[1]!s_info_industry_gics(W789,1),IF($Y$3="wind二级行业",[1]!s_info_industry_gics(W789,2),IF($Y$3="wind三级行业",[1]!s_info_industry_gics(W789,3),IF($Y$3="wind四级行业",[1]!s_info_industry_gics(W789,4),IF($Y$3="证监会门类行业",[1]!s_info_industry_csrc12_n(W789,公司分析!D$5,1),""))))))))</f>
        <v>光学光电子</v>
      </c>
      <c r="Z789" s="302" t="str">
        <f ca="1">IF(Y789=行业比较!$E$6,ROW(),"")</f>
        <v/>
      </c>
      <c r="AA789" s="122"/>
      <c r="AB789" s="122"/>
      <c r="AC789" s="122"/>
      <c r="AD789" s="122"/>
      <c r="AE789" s="122"/>
      <c r="AF789" s="122"/>
      <c r="AG789" s="122"/>
      <c r="AH789" s="122"/>
      <c r="AI789" s="122"/>
      <c r="AJ789" s="122"/>
      <c r="AK789" s="122"/>
      <c r="AL789" s="122"/>
      <c r="AM789" s="122"/>
      <c r="AN789" s="122"/>
      <c r="AO789" s="122"/>
      <c r="AP789" s="122"/>
    </row>
    <row r="790" spans="2:42">
      <c r="B790" s="122"/>
      <c r="C790" s="122"/>
      <c r="D790" s="122"/>
      <c r="E790" s="122"/>
      <c r="F790" s="122"/>
      <c r="G790" s="122"/>
      <c r="H790" s="122"/>
      <c r="I790" s="275"/>
      <c r="J790" s="130"/>
      <c r="K790" s="130"/>
      <c r="L790" s="130"/>
      <c r="M790" s="130"/>
      <c r="N790" s="291"/>
      <c r="O790" s="291"/>
      <c r="P790" s="122"/>
      <c r="Q790" s="122"/>
      <c r="R790" s="122"/>
      <c r="S790" s="122"/>
      <c r="T790" s="122"/>
      <c r="U790" s="301"/>
      <c r="V790" s="260">
        <f t="shared" ca="1" si="20"/>
        <v>0</v>
      </c>
      <c r="W790" s="348" t="str">
        <f>IF(板块成分!B792="","",板块成分!B792)</f>
        <v>002274.SZ</v>
      </c>
      <c r="X790" s="276" t="str">
        <f>[1]!S_Info_Name(W790)</f>
        <v>华昌化工</v>
      </c>
      <c r="Y790" s="276" t="str">
        <f ca="1">IF($Y$3="申万一级行业",[1]!s_info_industry_sw_2021(W790,公司分析!D$5,1),IF($Y$3="申万二级行业",[1]!s_info_industry_sw_2021(W790,公司分析!D$5,2),IF($Y$3="申万三级行业",[1]!s_info_industry_sw_2021(W790,公司分析!D$5,3),IF($Y$3="wind一级行业",[1]!s_info_industry_gics(W790,1),IF($Y$3="wind二级行业",[1]!s_info_industry_gics(W790,2),IF($Y$3="wind三级行业",[1]!s_info_industry_gics(W790,3),IF($Y$3="wind四级行业",[1]!s_info_industry_gics(W790,4),IF($Y$3="证监会门类行业",[1]!s_info_industry_csrc12_n(W790,公司分析!D$5,1),""))))))))</f>
        <v>化学原料</v>
      </c>
      <c r="Z790" s="302" t="str">
        <f ca="1">IF(Y790=行业比较!$E$6,ROW(),"")</f>
        <v/>
      </c>
      <c r="AA790" s="122"/>
      <c r="AB790" s="122"/>
      <c r="AC790" s="122"/>
      <c r="AD790" s="122"/>
      <c r="AE790" s="122"/>
      <c r="AF790" s="122"/>
      <c r="AG790" s="122"/>
      <c r="AH790" s="122"/>
      <c r="AI790" s="122"/>
      <c r="AJ790" s="122"/>
      <c r="AK790" s="122"/>
      <c r="AL790" s="122"/>
      <c r="AM790" s="122"/>
      <c r="AN790" s="122"/>
      <c r="AO790" s="122"/>
      <c r="AP790" s="122"/>
    </row>
    <row r="791" spans="2:42">
      <c r="B791" s="122"/>
      <c r="C791" s="122"/>
      <c r="D791" s="122"/>
      <c r="E791" s="122"/>
      <c r="F791" s="122"/>
      <c r="G791" s="122"/>
      <c r="H791" s="122"/>
      <c r="I791" s="275"/>
      <c r="J791" s="130"/>
      <c r="K791" s="130"/>
      <c r="L791" s="130"/>
      <c r="M791" s="130"/>
      <c r="N791" s="291"/>
      <c r="O791" s="291"/>
      <c r="P791" s="122"/>
      <c r="Q791" s="122"/>
      <c r="R791" s="122"/>
      <c r="S791" s="122"/>
      <c r="T791" s="122"/>
      <c r="U791" s="301"/>
      <c r="V791" s="260">
        <f t="shared" ca="1" si="20"/>
        <v>0</v>
      </c>
      <c r="W791" s="348" t="str">
        <f>IF(板块成分!B793="","",板块成分!B793)</f>
        <v>002275.SZ</v>
      </c>
      <c r="X791" s="276" t="str">
        <f>[1]!S_Info_Name(W791)</f>
        <v>桂林三金</v>
      </c>
      <c r="Y791" s="276" t="str">
        <f ca="1">IF($Y$3="申万一级行业",[1]!s_info_industry_sw_2021(W791,公司分析!D$5,1),IF($Y$3="申万二级行业",[1]!s_info_industry_sw_2021(W791,公司分析!D$5,2),IF($Y$3="申万三级行业",[1]!s_info_industry_sw_2021(W791,公司分析!D$5,3),IF($Y$3="wind一级行业",[1]!s_info_industry_gics(W791,1),IF($Y$3="wind二级行业",[1]!s_info_industry_gics(W791,2),IF($Y$3="wind三级行业",[1]!s_info_industry_gics(W791,3),IF($Y$3="wind四级行业",[1]!s_info_industry_gics(W791,4),IF($Y$3="证监会门类行业",[1]!s_info_industry_csrc12_n(W791,公司分析!D$5,1),""))))))))</f>
        <v>中药Ⅱ</v>
      </c>
      <c r="Z791" s="302" t="str">
        <f ca="1">IF(Y791=行业比较!$E$6,ROW(),"")</f>
        <v/>
      </c>
      <c r="AA791" s="122"/>
      <c r="AB791" s="122"/>
      <c r="AC791" s="122"/>
      <c r="AD791" s="122"/>
      <c r="AE791" s="122"/>
      <c r="AF791" s="122"/>
      <c r="AG791" s="122"/>
      <c r="AH791" s="122"/>
      <c r="AI791" s="122"/>
      <c r="AJ791" s="122"/>
      <c r="AK791" s="122"/>
      <c r="AL791" s="122"/>
      <c r="AM791" s="122"/>
      <c r="AN791" s="122"/>
      <c r="AO791" s="122"/>
      <c r="AP791" s="122"/>
    </row>
    <row r="792" spans="2:42">
      <c r="B792" s="122"/>
      <c r="C792" s="122"/>
      <c r="D792" s="122"/>
      <c r="E792" s="122"/>
      <c r="F792" s="122"/>
      <c r="G792" s="122"/>
      <c r="H792" s="122"/>
      <c r="I792" s="275"/>
      <c r="J792" s="130"/>
      <c r="K792" s="130"/>
      <c r="L792" s="130"/>
      <c r="M792" s="130"/>
      <c r="N792" s="291"/>
      <c r="O792" s="291"/>
      <c r="P792" s="122"/>
      <c r="Q792" s="122"/>
      <c r="R792" s="122"/>
      <c r="S792" s="122"/>
      <c r="T792" s="122"/>
      <c r="U792" s="301"/>
      <c r="V792" s="260">
        <f t="shared" ca="1" si="20"/>
        <v>0</v>
      </c>
      <c r="W792" s="348" t="str">
        <f>IF(板块成分!B794="","",板块成分!B794)</f>
        <v>002276.SZ</v>
      </c>
      <c r="X792" s="276" t="str">
        <f>[1]!S_Info_Name(W792)</f>
        <v>万马股份</v>
      </c>
      <c r="Y792" s="276" t="str">
        <f ca="1">IF($Y$3="申万一级行业",[1]!s_info_industry_sw_2021(W792,公司分析!D$5,1),IF($Y$3="申万二级行业",[1]!s_info_industry_sw_2021(W792,公司分析!D$5,2),IF($Y$3="申万三级行业",[1]!s_info_industry_sw_2021(W792,公司分析!D$5,3),IF($Y$3="wind一级行业",[1]!s_info_industry_gics(W792,1),IF($Y$3="wind二级行业",[1]!s_info_industry_gics(W792,2),IF($Y$3="wind三级行业",[1]!s_info_industry_gics(W792,3),IF($Y$3="wind四级行业",[1]!s_info_industry_gics(W792,4),IF($Y$3="证监会门类行业",[1]!s_info_industry_csrc12_n(W792,公司分析!D$5,1),""))))))))</f>
        <v>电网设备</v>
      </c>
      <c r="Z792" s="302" t="str">
        <f ca="1">IF(Y792=行业比较!$E$6,ROW(),"")</f>
        <v/>
      </c>
      <c r="AA792" s="122"/>
      <c r="AB792" s="122"/>
      <c r="AC792" s="122"/>
      <c r="AD792" s="122"/>
      <c r="AE792" s="122"/>
      <c r="AF792" s="122"/>
      <c r="AG792" s="122"/>
      <c r="AH792" s="122"/>
      <c r="AI792" s="122"/>
      <c r="AJ792" s="122"/>
      <c r="AK792" s="122"/>
      <c r="AL792" s="122"/>
      <c r="AM792" s="122"/>
      <c r="AN792" s="122"/>
      <c r="AO792" s="122"/>
      <c r="AP792" s="122"/>
    </row>
    <row r="793" spans="2:42">
      <c r="B793" s="122"/>
      <c r="C793" s="122"/>
      <c r="D793" s="122"/>
      <c r="E793" s="122"/>
      <c r="F793" s="122"/>
      <c r="G793" s="122"/>
      <c r="H793" s="122"/>
      <c r="I793" s="275"/>
      <c r="J793" s="130"/>
      <c r="K793" s="130"/>
      <c r="L793" s="130"/>
      <c r="M793" s="130"/>
      <c r="N793" s="291"/>
      <c r="O793" s="291"/>
      <c r="P793" s="122"/>
      <c r="Q793" s="122"/>
      <c r="R793" s="122"/>
      <c r="S793" s="122"/>
      <c r="T793" s="122"/>
      <c r="U793" s="301"/>
      <c r="V793" s="260">
        <f t="shared" ca="1" si="20"/>
        <v>0</v>
      </c>
      <c r="W793" s="348" t="str">
        <f>IF(板块成分!B795="","",板块成分!B795)</f>
        <v>002277.SZ</v>
      </c>
      <c r="X793" s="276" t="str">
        <f>[1]!S_Info_Name(W793)</f>
        <v>友阿股份</v>
      </c>
      <c r="Y793" s="276" t="str">
        <f ca="1">IF($Y$3="申万一级行业",[1]!s_info_industry_sw_2021(W793,公司分析!D$5,1),IF($Y$3="申万二级行业",[1]!s_info_industry_sw_2021(W793,公司分析!D$5,2),IF($Y$3="申万三级行业",[1]!s_info_industry_sw_2021(W793,公司分析!D$5,3),IF($Y$3="wind一级行业",[1]!s_info_industry_gics(W793,1),IF($Y$3="wind二级行业",[1]!s_info_industry_gics(W793,2),IF($Y$3="wind三级行业",[1]!s_info_industry_gics(W793,3),IF($Y$3="wind四级行业",[1]!s_info_industry_gics(W793,4),IF($Y$3="证监会门类行业",[1]!s_info_industry_csrc12_n(W793,公司分析!D$5,1),""))))))))</f>
        <v>一般零售</v>
      </c>
      <c r="Z793" s="302" t="str">
        <f ca="1">IF(Y793=行业比较!$E$6,ROW(),"")</f>
        <v/>
      </c>
      <c r="AA793" s="122"/>
      <c r="AB793" s="122"/>
      <c r="AC793" s="122"/>
      <c r="AD793" s="122"/>
      <c r="AE793" s="122"/>
      <c r="AF793" s="122"/>
      <c r="AG793" s="122"/>
      <c r="AH793" s="122"/>
      <c r="AI793" s="122"/>
      <c r="AJ793" s="122"/>
      <c r="AK793" s="122"/>
      <c r="AL793" s="122"/>
      <c r="AM793" s="122"/>
      <c r="AN793" s="122"/>
      <c r="AO793" s="122"/>
      <c r="AP793" s="122"/>
    </row>
    <row r="794" spans="2:42">
      <c r="B794" s="122"/>
      <c r="C794" s="122"/>
      <c r="D794" s="122"/>
      <c r="E794" s="122"/>
      <c r="F794" s="122"/>
      <c r="G794" s="122"/>
      <c r="H794" s="122"/>
      <c r="I794" s="275"/>
      <c r="J794" s="130"/>
      <c r="K794" s="130"/>
      <c r="L794" s="130"/>
      <c r="M794" s="130"/>
      <c r="N794" s="291"/>
      <c r="O794" s="291"/>
      <c r="P794" s="122"/>
      <c r="Q794" s="122"/>
      <c r="R794" s="122"/>
      <c r="S794" s="122"/>
      <c r="T794" s="122"/>
      <c r="U794" s="301"/>
      <c r="V794" s="260">
        <f t="shared" ca="1" si="20"/>
        <v>0</v>
      </c>
      <c r="W794" s="348" t="str">
        <f>IF(板块成分!B796="","",板块成分!B796)</f>
        <v>002278.SZ</v>
      </c>
      <c r="X794" s="276" t="str">
        <f>[1]!S_Info_Name(W794)</f>
        <v>神开股份</v>
      </c>
      <c r="Y794" s="276" t="str">
        <f ca="1">IF($Y$3="申万一级行业",[1]!s_info_industry_sw_2021(W794,公司分析!D$5,1),IF($Y$3="申万二级行业",[1]!s_info_industry_sw_2021(W794,公司分析!D$5,2),IF($Y$3="申万三级行业",[1]!s_info_industry_sw_2021(W794,公司分析!D$5,3),IF($Y$3="wind一级行业",[1]!s_info_industry_gics(W794,1),IF($Y$3="wind二级行业",[1]!s_info_industry_gics(W794,2),IF($Y$3="wind三级行业",[1]!s_info_industry_gics(W794,3),IF($Y$3="wind四级行业",[1]!s_info_industry_gics(W794,4),IF($Y$3="证监会门类行业",[1]!s_info_industry_csrc12_n(W794,公司分析!D$5,1),""))))))))</f>
        <v>专用设备</v>
      </c>
      <c r="Z794" s="302" t="str">
        <f ca="1">IF(Y794=行业比较!$E$6,ROW(),"")</f>
        <v/>
      </c>
      <c r="AA794" s="122"/>
      <c r="AB794" s="122"/>
      <c r="AC794" s="122"/>
      <c r="AD794" s="122"/>
      <c r="AE794" s="122"/>
      <c r="AF794" s="122"/>
      <c r="AG794" s="122"/>
      <c r="AH794" s="122"/>
      <c r="AI794" s="122"/>
      <c r="AJ794" s="122"/>
      <c r="AK794" s="122"/>
      <c r="AL794" s="122"/>
      <c r="AM794" s="122"/>
      <c r="AN794" s="122"/>
      <c r="AO794" s="122"/>
      <c r="AP794" s="122"/>
    </row>
    <row r="795" spans="2:42">
      <c r="B795" s="122"/>
      <c r="C795" s="122"/>
      <c r="D795" s="122"/>
      <c r="E795" s="122"/>
      <c r="F795" s="122"/>
      <c r="G795" s="122"/>
      <c r="H795" s="122"/>
      <c r="I795" s="275"/>
      <c r="J795" s="130"/>
      <c r="K795" s="130"/>
      <c r="L795" s="130"/>
      <c r="M795" s="130"/>
      <c r="N795" s="291"/>
      <c r="O795" s="291"/>
      <c r="P795" s="122"/>
      <c r="Q795" s="122"/>
      <c r="R795" s="122"/>
      <c r="S795" s="122"/>
      <c r="T795" s="122"/>
      <c r="U795" s="301"/>
      <c r="V795" s="260">
        <f t="shared" ca="1" si="20"/>
        <v>0</v>
      </c>
      <c r="W795" s="348" t="str">
        <f>IF(板块成分!B797="","",板块成分!B797)</f>
        <v>002279.SZ</v>
      </c>
      <c r="X795" s="276" t="str">
        <f>[1]!S_Info_Name(W795)</f>
        <v>久其软件</v>
      </c>
      <c r="Y795" s="276" t="str">
        <f ca="1">IF($Y$3="申万一级行业",[1]!s_info_industry_sw_2021(W795,公司分析!D$5,1),IF($Y$3="申万二级行业",[1]!s_info_industry_sw_2021(W795,公司分析!D$5,2),IF($Y$3="申万三级行业",[1]!s_info_industry_sw_2021(W795,公司分析!D$5,3),IF($Y$3="wind一级行业",[1]!s_info_industry_gics(W795,1),IF($Y$3="wind二级行业",[1]!s_info_industry_gics(W795,2),IF($Y$3="wind三级行业",[1]!s_info_industry_gics(W795,3),IF($Y$3="wind四级行业",[1]!s_info_industry_gics(W795,4),IF($Y$3="证监会门类行业",[1]!s_info_industry_csrc12_n(W795,公司分析!D$5,1),""))))))))</f>
        <v>软件开发</v>
      </c>
      <c r="Z795" s="302" t="str">
        <f ca="1">IF(Y795=行业比较!$E$6,ROW(),"")</f>
        <v/>
      </c>
      <c r="AA795" s="122"/>
      <c r="AB795" s="122"/>
      <c r="AC795" s="122"/>
      <c r="AD795" s="122"/>
      <c r="AE795" s="122"/>
      <c r="AF795" s="122"/>
      <c r="AG795" s="122"/>
      <c r="AH795" s="122"/>
      <c r="AI795" s="122"/>
      <c r="AJ795" s="122"/>
      <c r="AK795" s="122"/>
      <c r="AL795" s="122"/>
      <c r="AM795" s="122"/>
      <c r="AN795" s="122"/>
      <c r="AO795" s="122"/>
      <c r="AP795" s="122"/>
    </row>
    <row r="796" spans="2:42">
      <c r="B796" s="122"/>
      <c r="C796" s="122"/>
      <c r="D796" s="122"/>
      <c r="E796" s="122"/>
      <c r="F796" s="122"/>
      <c r="G796" s="122"/>
      <c r="H796" s="122"/>
      <c r="I796" s="275"/>
      <c r="J796" s="130"/>
      <c r="K796" s="130"/>
      <c r="L796" s="130"/>
      <c r="M796" s="130"/>
      <c r="N796" s="291"/>
      <c r="O796" s="291"/>
      <c r="P796" s="122"/>
      <c r="Q796" s="122"/>
      <c r="R796" s="122"/>
      <c r="S796" s="122"/>
      <c r="T796" s="122"/>
      <c r="U796" s="301"/>
      <c r="V796" s="260">
        <f t="shared" ca="1" si="20"/>
        <v>0</v>
      </c>
      <c r="W796" s="348" t="str">
        <f>IF(板块成分!B798="","",板块成分!B798)</f>
        <v>002281.SZ</v>
      </c>
      <c r="X796" s="276" t="str">
        <f>[1]!S_Info_Name(W796)</f>
        <v>光迅科技</v>
      </c>
      <c r="Y796" s="276" t="str">
        <f ca="1">IF($Y$3="申万一级行业",[1]!s_info_industry_sw_2021(W796,公司分析!D$5,1),IF($Y$3="申万二级行业",[1]!s_info_industry_sw_2021(W796,公司分析!D$5,2),IF($Y$3="申万三级行业",[1]!s_info_industry_sw_2021(W796,公司分析!D$5,3),IF($Y$3="wind一级行业",[1]!s_info_industry_gics(W796,1),IF($Y$3="wind二级行业",[1]!s_info_industry_gics(W796,2),IF($Y$3="wind三级行业",[1]!s_info_industry_gics(W796,3),IF($Y$3="wind四级行业",[1]!s_info_industry_gics(W796,4),IF($Y$3="证监会门类行业",[1]!s_info_industry_csrc12_n(W796,公司分析!D$5,1),""))))))))</f>
        <v>通信设备</v>
      </c>
      <c r="Z796" s="302" t="str">
        <f ca="1">IF(Y796=行业比较!$E$6,ROW(),"")</f>
        <v/>
      </c>
      <c r="AA796" s="122"/>
      <c r="AB796" s="122"/>
      <c r="AC796" s="122"/>
      <c r="AD796" s="122"/>
      <c r="AE796" s="122"/>
      <c r="AF796" s="122"/>
      <c r="AG796" s="122"/>
      <c r="AH796" s="122"/>
      <c r="AI796" s="122"/>
      <c r="AJ796" s="122"/>
      <c r="AK796" s="122"/>
      <c r="AL796" s="122"/>
      <c r="AM796" s="122"/>
      <c r="AN796" s="122"/>
      <c r="AO796" s="122"/>
      <c r="AP796" s="122"/>
    </row>
    <row r="797" spans="2:42">
      <c r="B797" s="122"/>
      <c r="C797" s="122"/>
      <c r="D797" s="122"/>
      <c r="E797" s="122"/>
      <c r="F797" s="122"/>
      <c r="G797" s="122"/>
      <c r="H797" s="122"/>
      <c r="I797" s="275"/>
      <c r="J797" s="130"/>
      <c r="K797" s="130"/>
      <c r="L797" s="130"/>
      <c r="M797" s="130"/>
      <c r="N797" s="291"/>
      <c r="O797" s="291"/>
      <c r="P797" s="122"/>
      <c r="Q797" s="122"/>
      <c r="R797" s="122"/>
      <c r="S797" s="122"/>
      <c r="T797" s="122"/>
      <c r="U797" s="301"/>
      <c r="V797" s="260">
        <f t="shared" ca="1" si="20"/>
        <v>0</v>
      </c>
      <c r="W797" s="348" t="str">
        <f>IF(板块成分!B799="","",板块成分!B799)</f>
        <v>002282.SZ</v>
      </c>
      <c r="X797" s="276" t="str">
        <f>[1]!S_Info_Name(W797)</f>
        <v>博深股份</v>
      </c>
      <c r="Y797" s="276" t="str">
        <f ca="1">IF($Y$3="申万一级行业",[1]!s_info_industry_sw_2021(W797,公司分析!D$5,1),IF($Y$3="申万二级行业",[1]!s_info_industry_sw_2021(W797,公司分析!D$5,2),IF($Y$3="申万三级行业",[1]!s_info_industry_sw_2021(W797,公司分析!D$5,3),IF($Y$3="wind一级行业",[1]!s_info_industry_gics(W797,1),IF($Y$3="wind二级行业",[1]!s_info_industry_gics(W797,2),IF($Y$3="wind三级行业",[1]!s_info_industry_gics(W797,3),IF($Y$3="wind四级行业",[1]!s_info_industry_gics(W797,4),IF($Y$3="证监会门类行业",[1]!s_info_industry_csrc12_n(W797,公司分析!D$5,1),""))))))))</f>
        <v>通用设备</v>
      </c>
      <c r="Z797" s="302" t="str">
        <f ca="1">IF(Y797=行业比较!$E$6,ROW(),"")</f>
        <v/>
      </c>
      <c r="AA797" s="122"/>
      <c r="AB797" s="122"/>
      <c r="AC797" s="122"/>
      <c r="AD797" s="122"/>
      <c r="AE797" s="122"/>
      <c r="AF797" s="122"/>
      <c r="AG797" s="122"/>
      <c r="AH797" s="122"/>
      <c r="AI797" s="122"/>
      <c r="AJ797" s="122"/>
      <c r="AK797" s="122"/>
      <c r="AL797" s="122"/>
      <c r="AM797" s="122"/>
      <c r="AN797" s="122"/>
      <c r="AO797" s="122"/>
      <c r="AP797" s="122"/>
    </row>
    <row r="798" spans="2:42">
      <c r="B798" s="122"/>
      <c r="C798" s="122"/>
      <c r="D798" s="122"/>
      <c r="E798" s="122"/>
      <c r="F798" s="122"/>
      <c r="G798" s="122"/>
      <c r="H798" s="122"/>
      <c r="I798" s="275"/>
      <c r="J798" s="130"/>
      <c r="K798" s="130"/>
      <c r="L798" s="130"/>
      <c r="M798" s="130"/>
      <c r="N798" s="291"/>
      <c r="O798" s="291"/>
      <c r="P798" s="122"/>
      <c r="Q798" s="122"/>
      <c r="R798" s="122"/>
      <c r="S798" s="122"/>
      <c r="T798" s="122"/>
      <c r="U798" s="301"/>
      <c r="V798" s="260">
        <f t="shared" ca="1" si="20"/>
        <v>0</v>
      </c>
      <c r="W798" s="348" t="str">
        <f>IF(板块成分!B800="","",板块成分!B800)</f>
        <v>002283.SZ</v>
      </c>
      <c r="X798" s="276" t="str">
        <f>[1]!S_Info_Name(W798)</f>
        <v>天润工业</v>
      </c>
      <c r="Y798" s="276" t="str">
        <f ca="1">IF($Y$3="申万一级行业",[1]!s_info_industry_sw_2021(W798,公司分析!D$5,1),IF($Y$3="申万二级行业",[1]!s_info_industry_sw_2021(W798,公司分析!D$5,2),IF($Y$3="申万三级行业",[1]!s_info_industry_sw_2021(W798,公司分析!D$5,3),IF($Y$3="wind一级行业",[1]!s_info_industry_gics(W798,1),IF($Y$3="wind二级行业",[1]!s_info_industry_gics(W798,2),IF($Y$3="wind三级行业",[1]!s_info_industry_gics(W798,3),IF($Y$3="wind四级行业",[1]!s_info_industry_gics(W798,4),IF($Y$3="证监会门类行业",[1]!s_info_industry_csrc12_n(W798,公司分析!D$5,1),""))))))))</f>
        <v>汽车零部件</v>
      </c>
      <c r="Z798" s="302" t="str">
        <f ca="1">IF(Y798=行业比较!$E$6,ROW(),"")</f>
        <v/>
      </c>
      <c r="AA798" s="122"/>
      <c r="AB798" s="122"/>
      <c r="AC798" s="122"/>
      <c r="AD798" s="122"/>
      <c r="AE798" s="122"/>
      <c r="AF798" s="122"/>
      <c r="AG798" s="122"/>
      <c r="AH798" s="122"/>
      <c r="AI798" s="122"/>
      <c r="AJ798" s="122"/>
      <c r="AK798" s="122"/>
      <c r="AL798" s="122"/>
      <c r="AM798" s="122"/>
      <c r="AN798" s="122"/>
      <c r="AO798" s="122"/>
      <c r="AP798" s="122"/>
    </row>
    <row r="799" spans="2:42">
      <c r="B799" s="122"/>
      <c r="C799" s="122"/>
      <c r="D799" s="122"/>
      <c r="E799" s="122"/>
      <c r="F799" s="122"/>
      <c r="G799" s="122"/>
      <c r="H799" s="122"/>
      <c r="I799" s="275"/>
      <c r="J799" s="130"/>
      <c r="K799" s="130"/>
      <c r="L799" s="130"/>
      <c r="M799" s="130"/>
      <c r="N799" s="291"/>
      <c r="O799" s="291"/>
      <c r="P799" s="122"/>
      <c r="Q799" s="122"/>
      <c r="R799" s="122"/>
      <c r="S799" s="122"/>
      <c r="T799" s="122"/>
      <c r="U799" s="301"/>
      <c r="V799" s="260">
        <f t="shared" ca="1" si="20"/>
        <v>0</v>
      </c>
      <c r="W799" s="348" t="str">
        <f>IF(板块成分!B801="","",板块成分!B801)</f>
        <v>002284.SZ</v>
      </c>
      <c r="X799" s="276" t="str">
        <f>[1]!S_Info_Name(W799)</f>
        <v>亚太股份</v>
      </c>
      <c r="Y799" s="276" t="str">
        <f ca="1">IF($Y$3="申万一级行业",[1]!s_info_industry_sw_2021(W799,公司分析!D$5,1),IF($Y$3="申万二级行业",[1]!s_info_industry_sw_2021(W799,公司分析!D$5,2),IF($Y$3="申万三级行业",[1]!s_info_industry_sw_2021(W799,公司分析!D$5,3),IF($Y$3="wind一级行业",[1]!s_info_industry_gics(W799,1),IF($Y$3="wind二级行业",[1]!s_info_industry_gics(W799,2),IF($Y$3="wind三级行业",[1]!s_info_industry_gics(W799,3),IF($Y$3="wind四级行业",[1]!s_info_industry_gics(W799,4),IF($Y$3="证监会门类行业",[1]!s_info_industry_csrc12_n(W799,公司分析!D$5,1),""))))))))</f>
        <v>汽车零部件</v>
      </c>
      <c r="Z799" s="302" t="str">
        <f ca="1">IF(Y799=行业比较!$E$6,ROW(),"")</f>
        <v/>
      </c>
      <c r="AA799" s="122"/>
      <c r="AB799" s="122"/>
      <c r="AC799" s="122"/>
      <c r="AD799" s="122"/>
      <c r="AE799" s="122"/>
      <c r="AF799" s="122"/>
      <c r="AG799" s="122"/>
      <c r="AH799" s="122"/>
      <c r="AI799" s="122"/>
      <c r="AJ799" s="122"/>
      <c r="AK799" s="122"/>
      <c r="AL799" s="122"/>
      <c r="AM799" s="122"/>
      <c r="AN799" s="122"/>
      <c r="AO799" s="122"/>
      <c r="AP799" s="122"/>
    </row>
    <row r="800" spans="2:42">
      <c r="B800" s="122"/>
      <c r="C800" s="122"/>
      <c r="D800" s="122"/>
      <c r="E800" s="122"/>
      <c r="F800" s="122"/>
      <c r="G800" s="122"/>
      <c r="H800" s="122"/>
      <c r="I800" s="275"/>
      <c r="J800" s="130"/>
      <c r="K800" s="130"/>
      <c r="L800" s="130"/>
      <c r="M800" s="130"/>
      <c r="N800" s="291"/>
      <c r="O800" s="291"/>
      <c r="P800" s="122"/>
      <c r="Q800" s="122"/>
      <c r="R800" s="122"/>
      <c r="S800" s="122"/>
      <c r="T800" s="122"/>
      <c r="U800" s="301"/>
      <c r="V800" s="260">
        <f t="shared" ca="1" si="20"/>
        <v>0</v>
      </c>
      <c r="W800" s="348" t="str">
        <f>IF(板块成分!B802="","",板块成分!B802)</f>
        <v>002285.SZ</v>
      </c>
      <c r="X800" s="276" t="str">
        <f>[1]!S_Info_Name(W800)</f>
        <v>世联行</v>
      </c>
      <c r="Y800" s="276" t="str">
        <f ca="1">IF($Y$3="申万一级行业",[1]!s_info_industry_sw_2021(W800,公司分析!D$5,1),IF($Y$3="申万二级行业",[1]!s_info_industry_sw_2021(W800,公司分析!D$5,2),IF($Y$3="申万三级行业",[1]!s_info_industry_sw_2021(W800,公司分析!D$5,3),IF($Y$3="wind一级行业",[1]!s_info_industry_gics(W800,1),IF($Y$3="wind二级行业",[1]!s_info_industry_gics(W800,2),IF($Y$3="wind三级行业",[1]!s_info_industry_gics(W800,3),IF($Y$3="wind四级行业",[1]!s_info_industry_gics(W800,4),IF($Y$3="证监会门类行业",[1]!s_info_industry_csrc12_n(W800,公司分析!D$5,1),""))))))))</f>
        <v>房地产服务</v>
      </c>
      <c r="Z800" s="302" t="str">
        <f ca="1">IF(Y800=行业比较!$E$6,ROW(),"")</f>
        <v/>
      </c>
      <c r="AA800" s="122"/>
      <c r="AB800" s="122"/>
      <c r="AC800" s="122"/>
      <c r="AD800" s="122"/>
      <c r="AE800" s="122"/>
      <c r="AF800" s="122"/>
      <c r="AG800" s="122"/>
      <c r="AH800" s="122"/>
      <c r="AI800" s="122"/>
      <c r="AJ800" s="122"/>
      <c r="AK800" s="122"/>
      <c r="AL800" s="122"/>
      <c r="AM800" s="122"/>
      <c r="AN800" s="122"/>
      <c r="AO800" s="122"/>
      <c r="AP800" s="122"/>
    </row>
    <row r="801" spans="2:42">
      <c r="B801" s="122"/>
      <c r="C801" s="122"/>
      <c r="D801" s="122"/>
      <c r="E801" s="122"/>
      <c r="F801" s="122"/>
      <c r="G801" s="122"/>
      <c r="H801" s="122"/>
      <c r="I801" s="275"/>
      <c r="J801" s="130"/>
      <c r="K801" s="130"/>
      <c r="L801" s="130"/>
      <c r="M801" s="130"/>
      <c r="N801" s="291"/>
      <c r="O801" s="291"/>
      <c r="P801" s="122"/>
      <c r="Q801" s="122"/>
      <c r="R801" s="122"/>
      <c r="S801" s="122"/>
      <c r="T801" s="122"/>
      <c r="U801" s="301"/>
      <c r="V801" s="260">
        <f t="shared" ca="1" si="20"/>
        <v>0</v>
      </c>
      <c r="W801" s="348" t="str">
        <f>IF(板块成分!B803="","",板块成分!B803)</f>
        <v>002286.SZ</v>
      </c>
      <c r="X801" s="276" t="str">
        <f>[1]!S_Info_Name(W801)</f>
        <v>保龄宝</v>
      </c>
      <c r="Y801" s="276" t="str">
        <f ca="1">IF($Y$3="申万一级行业",[1]!s_info_industry_sw_2021(W801,公司分析!D$5,1),IF($Y$3="申万二级行业",[1]!s_info_industry_sw_2021(W801,公司分析!D$5,2),IF($Y$3="申万三级行业",[1]!s_info_industry_sw_2021(W801,公司分析!D$5,3),IF($Y$3="wind一级行业",[1]!s_info_industry_gics(W801,1),IF($Y$3="wind二级行业",[1]!s_info_industry_gics(W801,2),IF($Y$3="wind三级行业",[1]!s_info_industry_gics(W801,3),IF($Y$3="wind四级行业",[1]!s_info_industry_gics(W801,4),IF($Y$3="证监会门类行业",[1]!s_info_industry_csrc12_n(W801,公司分析!D$5,1),""))))))))</f>
        <v>农产品加工</v>
      </c>
      <c r="Z801" s="302" t="str">
        <f ca="1">IF(Y801=行业比较!$E$6,ROW(),"")</f>
        <v/>
      </c>
      <c r="AA801" s="122"/>
      <c r="AB801" s="122"/>
      <c r="AC801" s="122"/>
      <c r="AD801" s="122"/>
      <c r="AE801" s="122"/>
      <c r="AF801" s="122"/>
      <c r="AG801" s="122"/>
      <c r="AH801" s="122"/>
      <c r="AI801" s="122"/>
      <c r="AJ801" s="122"/>
      <c r="AK801" s="122"/>
      <c r="AL801" s="122"/>
      <c r="AM801" s="122"/>
      <c r="AN801" s="122"/>
      <c r="AO801" s="122"/>
      <c r="AP801" s="122"/>
    </row>
    <row r="802" spans="2:42">
      <c r="B802" s="122"/>
      <c r="C802" s="122"/>
      <c r="D802" s="122"/>
      <c r="E802" s="122"/>
      <c r="F802" s="122"/>
      <c r="G802" s="122"/>
      <c r="H802" s="122"/>
      <c r="I802" s="275"/>
      <c r="J802" s="130"/>
      <c r="K802" s="130"/>
      <c r="L802" s="130"/>
      <c r="M802" s="130"/>
      <c r="N802" s="291"/>
      <c r="O802" s="291"/>
      <c r="P802" s="122"/>
      <c r="Q802" s="122"/>
      <c r="R802" s="122"/>
      <c r="S802" s="122"/>
      <c r="T802" s="122"/>
      <c r="U802" s="301"/>
      <c r="V802" s="260">
        <f t="shared" ca="1" si="20"/>
        <v>0</v>
      </c>
      <c r="W802" s="348" t="str">
        <f>IF(板块成分!B804="","",板块成分!B804)</f>
        <v>002287.SZ</v>
      </c>
      <c r="X802" s="276" t="str">
        <f>[1]!S_Info_Name(W802)</f>
        <v>奇正藏药</v>
      </c>
      <c r="Y802" s="276" t="str">
        <f ca="1">IF($Y$3="申万一级行业",[1]!s_info_industry_sw_2021(W802,公司分析!D$5,1),IF($Y$3="申万二级行业",[1]!s_info_industry_sw_2021(W802,公司分析!D$5,2),IF($Y$3="申万三级行业",[1]!s_info_industry_sw_2021(W802,公司分析!D$5,3),IF($Y$3="wind一级行业",[1]!s_info_industry_gics(W802,1),IF($Y$3="wind二级行业",[1]!s_info_industry_gics(W802,2),IF($Y$3="wind三级行业",[1]!s_info_industry_gics(W802,3),IF($Y$3="wind四级行业",[1]!s_info_industry_gics(W802,4),IF($Y$3="证监会门类行业",[1]!s_info_industry_csrc12_n(W802,公司分析!D$5,1),""))))))))</f>
        <v>中药Ⅱ</v>
      </c>
      <c r="Z802" s="302" t="str">
        <f ca="1">IF(Y802=行业比较!$E$6,ROW(),"")</f>
        <v/>
      </c>
      <c r="AA802" s="122"/>
      <c r="AB802" s="122"/>
      <c r="AC802" s="122"/>
      <c r="AD802" s="122"/>
      <c r="AE802" s="122"/>
      <c r="AF802" s="122"/>
      <c r="AG802" s="122"/>
      <c r="AH802" s="122"/>
      <c r="AI802" s="122"/>
      <c r="AJ802" s="122"/>
      <c r="AK802" s="122"/>
      <c r="AL802" s="122"/>
      <c r="AM802" s="122"/>
      <c r="AN802" s="122"/>
      <c r="AO802" s="122"/>
      <c r="AP802" s="122"/>
    </row>
    <row r="803" spans="2:42">
      <c r="B803" s="122"/>
      <c r="C803" s="122"/>
      <c r="D803" s="122"/>
      <c r="E803" s="122"/>
      <c r="F803" s="122"/>
      <c r="G803" s="122"/>
      <c r="H803" s="122"/>
      <c r="I803" s="275"/>
      <c r="J803" s="130"/>
      <c r="K803" s="130"/>
      <c r="L803" s="130"/>
      <c r="M803" s="130"/>
      <c r="N803" s="291"/>
      <c r="O803" s="291"/>
      <c r="P803" s="122"/>
      <c r="Q803" s="122"/>
      <c r="R803" s="122"/>
      <c r="S803" s="122"/>
      <c r="T803" s="122"/>
      <c r="U803" s="301"/>
      <c r="V803" s="260">
        <f t="shared" ca="1" si="20"/>
        <v>0</v>
      </c>
      <c r="W803" s="348" t="str">
        <f>IF(板块成分!B805="","",板块成分!B805)</f>
        <v>002289.SZ</v>
      </c>
      <c r="X803" s="276" t="str">
        <f>[1]!S_Info_Name(W803)</f>
        <v>*ST宇顺</v>
      </c>
      <c r="Y803" s="276" t="str">
        <f ca="1">IF($Y$3="申万一级行业",[1]!s_info_industry_sw_2021(W803,公司分析!D$5,1),IF($Y$3="申万二级行业",[1]!s_info_industry_sw_2021(W803,公司分析!D$5,2),IF($Y$3="申万三级行业",[1]!s_info_industry_sw_2021(W803,公司分析!D$5,3),IF($Y$3="wind一级行业",[1]!s_info_industry_gics(W803,1),IF($Y$3="wind二级行业",[1]!s_info_industry_gics(W803,2),IF($Y$3="wind三级行业",[1]!s_info_industry_gics(W803,3),IF($Y$3="wind四级行业",[1]!s_info_industry_gics(W803,4),IF($Y$3="证监会门类行业",[1]!s_info_industry_csrc12_n(W803,公司分析!D$5,1),""))))))))</f>
        <v>光学光电子</v>
      </c>
      <c r="Z803" s="302" t="str">
        <f ca="1">IF(Y803=行业比较!$E$6,ROW(),"")</f>
        <v/>
      </c>
      <c r="AA803" s="122"/>
      <c r="AB803" s="122"/>
      <c r="AC803" s="122"/>
      <c r="AD803" s="122"/>
      <c r="AE803" s="122"/>
      <c r="AF803" s="122"/>
      <c r="AG803" s="122"/>
      <c r="AH803" s="122"/>
      <c r="AI803" s="122"/>
      <c r="AJ803" s="122"/>
      <c r="AK803" s="122"/>
      <c r="AL803" s="122"/>
      <c r="AM803" s="122"/>
      <c r="AN803" s="122"/>
      <c r="AO803" s="122"/>
      <c r="AP803" s="122"/>
    </row>
    <row r="804" spans="2:42">
      <c r="B804" s="122"/>
      <c r="C804" s="122"/>
      <c r="D804" s="122"/>
      <c r="E804" s="122"/>
      <c r="F804" s="122"/>
      <c r="G804" s="122"/>
      <c r="H804" s="122"/>
      <c r="I804" s="275"/>
      <c r="J804" s="130"/>
      <c r="K804" s="130"/>
      <c r="L804" s="130"/>
      <c r="M804" s="130"/>
      <c r="N804" s="291"/>
      <c r="O804" s="291"/>
      <c r="P804" s="122"/>
      <c r="Q804" s="122"/>
      <c r="R804" s="122"/>
      <c r="S804" s="122"/>
      <c r="T804" s="122"/>
      <c r="U804" s="301"/>
      <c r="V804" s="260">
        <f t="shared" ca="1" si="20"/>
        <v>0</v>
      </c>
      <c r="W804" s="348" t="str">
        <f>IF(板块成分!B806="","",板块成分!B806)</f>
        <v>002290.SZ</v>
      </c>
      <c r="X804" s="276" t="str">
        <f>[1]!S_Info_Name(W804)</f>
        <v>禾盛新材</v>
      </c>
      <c r="Y804" s="276" t="str">
        <f ca="1">IF($Y$3="申万一级行业",[1]!s_info_industry_sw_2021(W804,公司分析!D$5,1),IF($Y$3="申万二级行业",[1]!s_info_industry_sw_2021(W804,公司分析!D$5,2),IF($Y$3="申万三级行业",[1]!s_info_industry_sw_2021(W804,公司分析!D$5,3),IF($Y$3="wind一级行业",[1]!s_info_industry_gics(W804,1),IF($Y$3="wind二级行业",[1]!s_info_industry_gics(W804,2),IF($Y$3="wind三级行业",[1]!s_info_industry_gics(W804,3),IF($Y$3="wind四级行业",[1]!s_info_industry_gics(W804,4),IF($Y$3="证监会门类行业",[1]!s_info_industry_csrc12_n(W804,公司分析!D$5,1),""))))))))</f>
        <v>家电零部件Ⅱ</v>
      </c>
      <c r="Z804" s="302" t="str">
        <f ca="1">IF(Y804=行业比较!$E$6,ROW(),"")</f>
        <v/>
      </c>
      <c r="AA804" s="122"/>
      <c r="AB804" s="122"/>
      <c r="AC804" s="122"/>
      <c r="AD804" s="122"/>
      <c r="AE804" s="122"/>
      <c r="AF804" s="122"/>
      <c r="AG804" s="122"/>
      <c r="AH804" s="122"/>
      <c r="AI804" s="122"/>
      <c r="AJ804" s="122"/>
      <c r="AK804" s="122"/>
      <c r="AL804" s="122"/>
      <c r="AM804" s="122"/>
      <c r="AN804" s="122"/>
      <c r="AO804" s="122"/>
      <c r="AP804" s="122"/>
    </row>
    <row r="805" spans="2:42">
      <c r="B805" s="122"/>
      <c r="C805" s="122"/>
      <c r="D805" s="122"/>
      <c r="E805" s="122"/>
      <c r="F805" s="122"/>
      <c r="G805" s="122"/>
      <c r="H805" s="122"/>
      <c r="I805" s="275"/>
      <c r="J805" s="130"/>
      <c r="K805" s="130"/>
      <c r="L805" s="130"/>
      <c r="M805" s="130"/>
      <c r="N805" s="291"/>
      <c r="O805" s="291"/>
      <c r="P805" s="122"/>
      <c r="Q805" s="122"/>
      <c r="R805" s="122"/>
      <c r="S805" s="122"/>
      <c r="T805" s="122"/>
      <c r="U805" s="301"/>
      <c r="V805" s="260">
        <f t="shared" ca="1" si="20"/>
        <v>0</v>
      </c>
      <c r="W805" s="348" t="str">
        <f>IF(板块成分!B807="","",板块成分!B807)</f>
        <v>002291.SZ</v>
      </c>
      <c r="X805" s="276" t="str">
        <f>[1]!S_Info_Name(W805)</f>
        <v>遥望科技</v>
      </c>
      <c r="Y805" s="276" t="str">
        <f ca="1">IF($Y$3="申万一级行业",[1]!s_info_industry_sw_2021(W805,公司分析!D$5,1),IF($Y$3="申万二级行业",[1]!s_info_industry_sw_2021(W805,公司分析!D$5,2),IF($Y$3="申万三级行业",[1]!s_info_industry_sw_2021(W805,公司分析!D$5,3),IF($Y$3="wind一级行业",[1]!s_info_industry_gics(W805,1),IF($Y$3="wind二级行业",[1]!s_info_industry_gics(W805,2),IF($Y$3="wind三级行业",[1]!s_info_industry_gics(W805,3),IF($Y$3="wind四级行业",[1]!s_info_industry_gics(W805,4),IF($Y$3="证监会门类行业",[1]!s_info_industry_csrc12_n(W805,公司分析!D$5,1),""))))))))</f>
        <v>广告营销</v>
      </c>
      <c r="Z805" s="302" t="str">
        <f ca="1">IF(Y805=行业比较!$E$6,ROW(),"")</f>
        <v/>
      </c>
      <c r="AA805" s="122"/>
      <c r="AB805" s="122"/>
      <c r="AC805" s="122"/>
      <c r="AD805" s="122"/>
      <c r="AE805" s="122"/>
      <c r="AF805" s="122"/>
      <c r="AG805" s="122"/>
      <c r="AH805" s="122"/>
      <c r="AI805" s="122"/>
      <c r="AJ805" s="122"/>
      <c r="AK805" s="122"/>
      <c r="AL805" s="122"/>
      <c r="AM805" s="122"/>
      <c r="AN805" s="122"/>
      <c r="AO805" s="122"/>
      <c r="AP805" s="122"/>
    </row>
    <row r="806" spans="2:42">
      <c r="B806" s="122"/>
      <c r="C806" s="122"/>
      <c r="D806" s="122"/>
      <c r="E806" s="122"/>
      <c r="F806" s="122"/>
      <c r="G806" s="122"/>
      <c r="H806" s="122"/>
      <c r="I806" s="275"/>
      <c r="J806" s="130"/>
      <c r="K806" s="130"/>
      <c r="L806" s="130"/>
      <c r="M806" s="130"/>
      <c r="N806" s="291"/>
      <c r="O806" s="291"/>
      <c r="P806" s="122"/>
      <c r="Q806" s="122"/>
      <c r="R806" s="122"/>
      <c r="S806" s="122"/>
      <c r="T806" s="122"/>
      <c r="U806" s="301"/>
      <c r="V806" s="260">
        <f t="shared" ca="1" si="20"/>
        <v>0</v>
      </c>
      <c r="W806" s="348" t="str">
        <f>IF(板块成分!B808="","",板块成分!B808)</f>
        <v>002292.SZ</v>
      </c>
      <c r="X806" s="276" t="str">
        <f>[1]!S_Info_Name(W806)</f>
        <v>奥飞娱乐</v>
      </c>
      <c r="Y806" s="276" t="str">
        <f ca="1">IF($Y$3="申万一级行业",[1]!s_info_industry_sw_2021(W806,公司分析!D$5,1),IF($Y$3="申万二级行业",[1]!s_info_industry_sw_2021(W806,公司分析!D$5,2),IF($Y$3="申万三级行业",[1]!s_info_industry_sw_2021(W806,公司分析!D$5,3),IF($Y$3="wind一级行业",[1]!s_info_industry_gics(W806,1),IF($Y$3="wind二级行业",[1]!s_info_industry_gics(W806,2),IF($Y$3="wind三级行业",[1]!s_info_industry_gics(W806,3),IF($Y$3="wind四级行业",[1]!s_info_industry_gics(W806,4),IF($Y$3="证监会门类行业",[1]!s_info_industry_csrc12_n(W806,公司分析!D$5,1),""))))))))</f>
        <v>影视院线</v>
      </c>
      <c r="Z806" s="302" t="str">
        <f ca="1">IF(Y806=行业比较!$E$6,ROW(),"")</f>
        <v/>
      </c>
      <c r="AA806" s="122"/>
      <c r="AB806" s="122"/>
      <c r="AC806" s="122"/>
      <c r="AD806" s="122"/>
      <c r="AE806" s="122"/>
      <c r="AF806" s="122"/>
      <c r="AG806" s="122"/>
      <c r="AH806" s="122"/>
      <c r="AI806" s="122"/>
      <c r="AJ806" s="122"/>
      <c r="AK806" s="122"/>
      <c r="AL806" s="122"/>
      <c r="AM806" s="122"/>
      <c r="AN806" s="122"/>
      <c r="AO806" s="122"/>
      <c r="AP806" s="122"/>
    </row>
    <row r="807" spans="2:42">
      <c r="B807" s="122"/>
      <c r="C807" s="122"/>
      <c r="D807" s="122"/>
      <c r="E807" s="122"/>
      <c r="F807" s="122"/>
      <c r="G807" s="122"/>
      <c r="H807" s="122"/>
      <c r="I807" s="275"/>
      <c r="J807" s="130"/>
      <c r="K807" s="130"/>
      <c r="L807" s="130"/>
      <c r="M807" s="130"/>
      <c r="N807" s="291"/>
      <c r="O807" s="291"/>
      <c r="P807" s="122"/>
      <c r="Q807" s="122"/>
      <c r="R807" s="122"/>
      <c r="S807" s="122"/>
      <c r="T807" s="122"/>
      <c r="U807" s="301"/>
      <c r="V807" s="260">
        <f t="shared" ca="1" si="20"/>
        <v>0</v>
      </c>
      <c r="W807" s="348" t="str">
        <f>IF(板块成分!B809="","",板块成分!B809)</f>
        <v>002293.SZ</v>
      </c>
      <c r="X807" s="276" t="str">
        <f>[1]!S_Info_Name(W807)</f>
        <v>罗莱生活</v>
      </c>
      <c r="Y807" s="276" t="str">
        <f ca="1">IF($Y$3="申万一级行业",[1]!s_info_industry_sw_2021(W807,公司分析!D$5,1),IF($Y$3="申万二级行业",[1]!s_info_industry_sw_2021(W807,公司分析!D$5,2),IF($Y$3="申万三级行业",[1]!s_info_industry_sw_2021(W807,公司分析!D$5,3),IF($Y$3="wind一级行业",[1]!s_info_industry_gics(W807,1),IF($Y$3="wind二级行业",[1]!s_info_industry_gics(W807,2),IF($Y$3="wind三级行业",[1]!s_info_industry_gics(W807,3),IF($Y$3="wind四级行业",[1]!s_info_industry_gics(W807,4),IF($Y$3="证监会门类行业",[1]!s_info_industry_csrc12_n(W807,公司分析!D$5,1),""))))))))</f>
        <v>服装家纺</v>
      </c>
      <c r="Z807" s="302" t="str">
        <f ca="1">IF(Y807=行业比较!$E$6,ROW(),"")</f>
        <v/>
      </c>
      <c r="AA807" s="122"/>
      <c r="AB807" s="122"/>
      <c r="AC807" s="122"/>
      <c r="AD807" s="122"/>
      <c r="AE807" s="122"/>
      <c r="AF807" s="122"/>
      <c r="AG807" s="122"/>
      <c r="AH807" s="122"/>
      <c r="AI807" s="122"/>
      <c r="AJ807" s="122"/>
      <c r="AK807" s="122"/>
      <c r="AL807" s="122"/>
      <c r="AM807" s="122"/>
      <c r="AN807" s="122"/>
      <c r="AO807" s="122"/>
      <c r="AP807" s="122"/>
    </row>
    <row r="808" spans="2:42">
      <c r="B808" s="122"/>
      <c r="C808" s="122"/>
      <c r="D808" s="122"/>
      <c r="E808" s="122"/>
      <c r="F808" s="122"/>
      <c r="G808" s="122"/>
      <c r="H808" s="122"/>
      <c r="I808" s="275"/>
      <c r="J808" s="130"/>
      <c r="K808" s="130"/>
      <c r="L808" s="130"/>
      <c r="M808" s="130"/>
      <c r="N808" s="291"/>
      <c r="O808" s="291"/>
      <c r="P808" s="122"/>
      <c r="Q808" s="122"/>
      <c r="R808" s="122"/>
      <c r="S808" s="122"/>
      <c r="T808" s="122"/>
      <c r="U808" s="301"/>
      <c r="V808" s="260">
        <f t="shared" ca="1" si="20"/>
        <v>0</v>
      </c>
      <c r="W808" s="348" t="str">
        <f>IF(板块成分!B810="","",板块成分!B810)</f>
        <v>002294.SZ</v>
      </c>
      <c r="X808" s="276" t="str">
        <f>[1]!S_Info_Name(W808)</f>
        <v>信立泰</v>
      </c>
      <c r="Y808" s="276" t="str">
        <f ca="1">IF($Y$3="申万一级行业",[1]!s_info_industry_sw_2021(W808,公司分析!D$5,1),IF($Y$3="申万二级行业",[1]!s_info_industry_sw_2021(W808,公司分析!D$5,2),IF($Y$3="申万三级行业",[1]!s_info_industry_sw_2021(W808,公司分析!D$5,3),IF($Y$3="wind一级行业",[1]!s_info_industry_gics(W808,1),IF($Y$3="wind二级行业",[1]!s_info_industry_gics(W808,2),IF($Y$3="wind三级行业",[1]!s_info_industry_gics(W808,3),IF($Y$3="wind四级行业",[1]!s_info_industry_gics(W808,4),IF($Y$3="证监会门类行业",[1]!s_info_industry_csrc12_n(W808,公司分析!D$5,1),""))))))))</f>
        <v>化学制药</v>
      </c>
      <c r="Z808" s="302" t="str">
        <f ca="1">IF(Y808=行业比较!$E$6,ROW(),"")</f>
        <v/>
      </c>
      <c r="AA808" s="122"/>
      <c r="AB808" s="122"/>
      <c r="AC808" s="122"/>
      <c r="AD808" s="122"/>
      <c r="AE808" s="122"/>
      <c r="AF808" s="122"/>
      <c r="AG808" s="122"/>
      <c r="AH808" s="122"/>
      <c r="AI808" s="122"/>
      <c r="AJ808" s="122"/>
      <c r="AK808" s="122"/>
      <c r="AL808" s="122"/>
      <c r="AM808" s="122"/>
      <c r="AN808" s="122"/>
      <c r="AO808" s="122"/>
      <c r="AP808" s="122"/>
    </row>
    <row r="809" spans="2:42">
      <c r="B809" s="122"/>
      <c r="C809" s="122"/>
      <c r="D809" s="122"/>
      <c r="E809" s="122"/>
      <c r="F809" s="122"/>
      <c r="G809" s="122"/>
      <c r="H809" s="122"/>
      <c r="I809" s="275"/>
      <c r="J809" s="130"/>
      <c r="K809" s="130"/>
      <c r="L809" s="130"/>
      <c r="M809" s="130"/>
      <c r="N809" s="291"/>
      <c r="O809" s="291"/>
      <c r="P809" s="122"/>
      <c r="Q809" s="122"/>
      <c r="R809" s="122"/>
      <c r="S809" s="122"/>
      <c r="T809" s="122"/>
      <c r="U809" s="301"/>
      <c r="V809" s="260">
        <f t="shared" ca="1" si="20"/>
        <v>17</v>
      </c>
      <c r="W809" s="348" t="str">
        <f>IF(板块成分!B811="","",板块成分!B811)</f>
        <v>002295.SZ</v>
      </c>
      <c r="X809" s="276" t="str">
        <f>[1]!S_Info_Name(W809)</f>
        <v>精艺股份</v>
      </c>
      <c r="Y809" s="276" t="str">
        <f ca="1">IF($Y$3="申万一级行业",[1]!s_info_industry_sw_2021(W809,公司分析!D$5,1),IF($Y$3="申万二级行业",[1]!s_info_industry_sw_2021(W809,公司分析!D$5,2),IF($Y$3="申万三级行业",[1]!s_info_industry_sw_2021(W809,公司分析!D$5,3),IF($Y$3="wind一级行业",[1]!s_info_industry_gics(W809,1),IF($Y$3="wind二级行业",[1]!s_info_industry_gics(W809,2),IF($Y$3="wind三级行业",[1]!s_info_industry_gics(W809,3),IF($Y$3="wind四级行业",[1]!s_info_industry_gics(W809,4),IF($Y$3="证监会门类行业",[1]!s_info_industry_csrc12_n(W809,公司分析!D$5,1),""))))))))</f>
        <v>工业金属</v>
      </c>
      <c r="Z809" s="302">
        <f ca="1">IF(Y809=行业比较!$E$6,ROW(),"")</f>
        <v>809</v>
      </c>
      <c r="AA809" s="122"/>
      <c r="AB809" s="122"/>
      <c r="AC809" s="122"/>
      <c r="AD809" s="122"/>
      <c r="AE809" s="122"/>
      <c r="AF809" s="122"/>
      <c r="AG809" s="122"/>
      <c r="AH809" s="122"/>
      <c r="AI809" s="122"/>
      <c r="AJ809" s="122"/>
      <c r="AK809" s="122"/>
      <c r="AL809" s="122"/>
      <c r="AM809" s="122"/>
      <c r="AN809" s="122"/>
      <c r="AO809" s="122"/>
      <c r="AP809" s="122"/>
    </row>
    <row r="810" spans="2:42">
      <c r="B810" s="122"/>
      <c r="C810" s="122"/>
      <c r="D810" s="122"/>
      <c r="E810" s="122"/>
      <c r="F810" s="122"/>
      <c r="G810" s="122"/>
      <c r="H810" s="122"/>
      <c r="I810" s="275"/>
      <c r="J810" s="130"/>
      <c r="K810" s="130"/>
      <c r="L810" s="130"/>
      <c r="M810" s="130"/>
      <c r="N810" s="291"/>
      <c r="O810" s="291"/>
      <c r="P810" s="122"/>
      <c r="Q810" s="122"/>
      <c r="R810" s="122"/>
      <c r="S810" s="122"/>
      <c r="T810" s="122"/>
      <c r="U810" s="301"/>
      <c r="V810" s="260">
        <f t="shared" ca="1" si="20"/>
        <v>0</v>
      </c>
      <c r="W810" s="348" t="str">
        <f>IF(板块成分!B812="","",板块成分!B812)</f>
        <v>002296.SZ</v>
      </c>
      <c r="X810" s="276" t="str">
        <f>[1]!S_Info_Name(W810)</f>
        <v>辉煌科技</v>
      </c>
      <c r="Y810" s="276" t="str">
        <f ca="1">IF($Y$3="申万一级行业",[1]!s_info_industry_sw_2021(W810,公司分析!D$5,1),IF($Y$3="申万二级行业",[1]!s_info_industry_sw_2021(W810,公司分析!D$5,2),IF($Y$3="申万三级行业",[1]!s_info_industry_sw_2021(W810,公司分析!D$5,3),IF($Y$3="wind一级行业",[1]!s_info_industry_gics(W810,1),IF($Y$3="wind二级行业",[1]!s_info_industry_gics(W810,2),IF($Y$3="wind三级行业",[1]!s_info_industry_gics(W810,3),IF($Y$3="wind四级行业",[1]!s_info_industry_gics(W810,4),IF($Y$3="证监会门类行业",[1]!s_info_industry_csrc12_n(W810,公司分析!D$5,1),""))))))))</f>
        <v>通信设备</v>
      </c>
      <c r="Z810" s="302" t="str">
        <f ca="1">IF(Y810=行业比较!$E$6,ROW(),"")</f>
        <v/>
      </c>
      <c r="AA810" s="122"/>
      <c r="AB810" s="122"/>
      <c r="AC810" s="122"/>
      <c r="AD810" s="122"/>
      <c r="AE810" s="122"/>
      <c r="AF810" s="122"/>
      <c r="AG810" s="122"/>
      <c r="AH810" s="122"/>
      <c r="AI810" s="122"/>
      <c r="AJ810" s="122"/>
      <c r="AK810" s="122"/>
      <c r="AL810" s="122"/>
      <c r="AM810" s="122"/>
      <c r="AN810" s="122"/>
      <c r="AO810" s="122"/>
      <c r="AP810" s="122"/>
    </row>
    <row r="811" spans="2:42">
      <c r="B811" s="122"/>
      <c r="C811" s="122"/>
      <c r="D811" s="122"/>
      <c r="E811" s="122"/>
      <c r="F811" s="122"/>
      <c r="G811" s="122"/>
      <c r="H811" s="122"/>
      <c r="I811" s="275"/>
      <c r="J811" s="130"/>
      <c r="K811" s="130"/>
      <c r="L811" s="130"/>
      <c r="M811" s="130"/>
      <c r="N811" s="291"/>
      <c r="O811" s="291"/>
      <c r="P811" s="122"/>
      <c r="Q811" s="122"/>
      <c r="R811" s="122"/>
      <c r="S811" s="122"/>
      <c r="T811" s="122"/>
      <c r="U811" s="301"/>
      <c r="V811" s="260">
        <f t="shared" ca="1" si="20"/>
        <v>0</v>
      </c>
      <c r="W811" s="348" t="str">
        <f>IF(板块成分!B813="","",板块成分!B813)</f>
        <v>002297.SZ</v>
      </c>
      <c r="X811" s="276" t="str">
        <f>[1]!S_Info_Name(W811)</f>
        <v>博云新材</v>
      </c>
      <c r="Y811" s="276" t="str">
        <f ca="1">IF($Y$3="申万一级行业",[1]!s_info_industry_sw_2021(W811,公司分析!D$5,1),IF($Y$3="申万二级行业",[1]!s_info_industry_sw_2021(W811,公司分析!D$5,2),IF($Y$3="申万三级行业",[1]!s_info_industry_sw_2021(W811,公司分析!D$5,3),IF($Y$3="wind一级行业",[1]!s_info_industry_gics(W811,1),IF($Y$3="wind二级行业",[1]!s_info_industry_gics(W811,2),IF($Y$3="wind三级行业",[1]!s_info_industry_gics(W811,3),IF($Y$3="wind四级行业",[1]!s_info_industry_gics(W811,4),IF($Y$3="证监会门类行业",[1]!s_info_industry_csrc12_n(W811,公司分析!D$5,1),""))))))))</f>
        <v>航空装备Ⅱ</v>
      </c>
      <c r="Z811" s="302" t="str">
        <f ca="1">IF(Y811=行业比较!$E$6,ROW(),"")</f>
        <v/>
      </c>
      <c r="AA811" s="122"/>
      <c r="AB811" s="122"/>
      <c r="AC811" s="122"/>
      <c r="AD811" s="122"/>
      <c r="AE811" s="122"/>
      <c r="AF811" s="122"/>
      <c r="AG811" s="122"/>
      <c r="AH811" s="122"/>
      <c r="AI811" s="122"/>
      <c r="AJ811" s="122"/>
      <c r="AK811" s="122"/>
      <c r="AL811" s="122"/>
      <c r="AM811" s="122"/>
      <c r="AN811" s="122"/>
      <c r="AO811" s="122"/>
      <c r="AP811" s="122"/>
    </row>
    <row r="812" spans="2:42">
      <c r="B812" s="122"/>
      <c r="C812" s="122"/>
      <c r="D812" s="122"/>
      <c r="E812" s="122"/>
      <c r="F812" s="122"/>
      <c r="G812" s="122"/>
      <c r="H812" s="122"/>
      <c r="I812" s="275"/>
      <c r="J812" s="130"/>
      <c r="K812" s="130"/>
      <c r="L812" s="130"/>
      <c r="M812" s="130"/>
      <c r="N812" s="291"/>
      <c r="O812" s="291"/>
      <c r="P812" s="122"/>
      <c r="Q812" s="122"/>
      <c r="R812" s="122"/>
      <c r="S812" s="122"/>
      <c r="T812" s="122"/>
      <c r="U812" s="301"/>
      <c r="V812" s="260">
        <f t="shared" ca="1" si="20"/>
        <v>0</v>
      </c>
      <c r="W812" s="348" t="str">
        <f>IF(板块成分!B814="","",板块成分!B814)</f>
        <v>002298.SZ</v>
      </c>
      <c r="X812" s="276" t="str">
        <f>[1]!S_Info_Name(W812)</f>
        <v>中电鑫龙</v>
      </c>
      <c r="Y812" s="276" t="str">
        <f ca="1">IF($Y$3="申万一级行业",[1]!s_info_industry_sw_2021(W812,公司分析!D$5,1),IF($Y$3="申万二级行业",[1]!s_info_industry_sw_2021(W812,公司分析!D$5,2),IF($Y$3="申万三级行业",[1]!s_info_industry_sw_2021(W812,公司分析!D$5,3),IF($Y$3="wind一级行业",[1]!s_info_industry_gics(W812,1),IF($Y$3="wind二级行业",[1]!s_info_industry_gics(W812,2),IF($Y$3="wind三级行业",[1]!s_info_industry_gics(W812,3),IF($Y$3="wind四级行业",[1]!s_info_industry_gics(W812,4),IF($Y$3="证监会门类行业",[1]!s_info_industry_csrc12_n(W812,公司分析!D$5,1),""))))))))</f>
        <v>软件开发</v>
      </c>
      <c r="Z812" s="302" t="str">
        <f ca="1">IF(Y812=行业比较!$E$6,ROW(),"")</f>
        <v/>
      </c>
      <c r="AA812" s="122"/>
      <c r="AB812" s="122"/>
      <c r="AC812" s="122"/>
      <c r="AD812" s="122"/>
      <c r="AE812" s="122"/>
      <c r="AF812" s="122"/>
      <c r="AG812" s="122"/>
      <c r="AH812" s="122"/>
      <c r="AI812" s="122"/>
      <c r="AJ812" s="122"/>
      <c r="AK812" s="122"/>
      <c r="AL812" s="122"/>
      <c r="AM812" s="122"/>
      <c r="AN812" s="122"/>
      <c r="AO812" s="122"/>
      <c r="AP812" s="122"/>
    </row>
    <row r="813" spans="2:42">
      <c r="B813" s="122"/>
      <c r="C813" s="122"/>
      <c r="D813" s="122"/>
      <c r="E813" s="122"/>
      <c r="F813" s="122"/>
      <c r="G813" s="122"/>
      <c r="H813" s="122"/>
      <c r="I813" s="275"/>
      <c r="J813" s="130"/>
      <c r="K813" s="130"/>
      <c r="L813" s="130"/>
      <c r="M813" s="130"/>
      <c r="N813" s="291"/>
      <c r="O813" s="291"/>
      <c r="P813" s="122"/>
      <c r="Q813" s="122"/>
      <c r="R813" s="122"/>
      <c r="S813" s="122"/>
      <c r="T813" s="122"/>
      <c r="U813" s="301"/>
      <c r="V813" s="260">
        <f t="shared" ca="1" si="20"/>
        <v>0</v>
      </c>
      <c r="W813" s="348" t="str">
        <f>IF(板块成分!B815="","",板块成分!B815)</f>
        <v>002299.SZ</v>
      </c>
      <c r="X813" s="276" t="str">
        <f>[1]!S_Info_Name(W813)</f>
        <v>圣农发展</v>
      </c>
      <c r="Y813" s="276" t="str">
        <f ca="1">IF($Y$3="申万一级行业",[1]!s_info_industry_sw_2021(W813,公司分析!D$5,1),IF($Y$3="申万二级行业",[1]!s_info_industry_sw_2021(W813,公司分析!D$5,2),IF($Y$3="申万三级行业",[1]!s_info_industry_sw_2021(W813,公司分析!D$5,3),IF($Y$3="wind一级行业",[1]!s_info_industry_gics(W813,1),IF($Y$3="wind二级行业",[1]!s_info_industry_gics(W813,2),IF($Y$3="wind三级行业",[1]!s_info_industry_gics(W813,3),IF($Y$3="wind四级行业",[1]!s_info_industry_gics(W813,4),IF($Y$3="证监会门类行业",[1]!s_info_industry_csrc12_n(W813,公司分析!D$5,1),""))))))))</f>
        <v>养殖业</v>
      </c>
      <c r="Z813" s="302" t="str">
        <f ca="1">IF(Y813=行业比较!$E$6,ROW(),"")</f>
        <v/>
      </c>
      <c r="AA813" s="122"/>
      <c r="AB813" s="122"/>
      <c r="AC813" s="122"/>
      <c r="AD813" s="122"/>
      <c r="AE813" s="122"/>
      <c r="AF813" s="122"/>
      <c r="AG813" s="122"/>
      <c r="AH813" s="122"/>
      <c r="AI813" s="122"/>
      <c r="AJ813" s="122"/>
      <c r="AK813" s="122"/>
      <c r="AL813" s="122"/>
      <c r="AM813" s="122"/>
      <c r="AN813" s="122"/>
      <c r="AO813" s="122"/>
      <c r="AP813" s="122"/>
    </row>
    <row r="814" spans="2:42">
      <c r="B814" s="122"/>
      <c r="C814" s="122"/>
      <c r="D814" s="122"/>
      <c r="E814" s="122"/>
      <c r="F814" s="122"/>
      <c r="G814" s="122"/>
      <c r="H814" s="122"/>
      <c r="I814" s="275"/>
      <c r="J814" s="130"/>
      <c r="K814" s="130"/>
      <c r="L814" s="130"/>
      <c r="M814" s="130"/>
      <c r="N814" s="291"/>
      <c r="O814" s="291"/>
      <c r="P814" s="122"/>
      <c r="Q814" s="122"/>
      <c r="R814" s="122"/>
      <c r="S814" s="122"/>
      <c r="T814" s="122"/>
      <c r="U814" s="301"/>
      <c r="V814" s="260">
        <f t="shared" ca="1" si="20"/>
        <v>0</v>
      </c>
      <c r="W814" s="348" t="str">
        <f>IF(板块成分!B816="","",板块成分!B816)</f>
        <v>002300.SZ</v>
      </c>
      <c r="X814" s="276" t="str">
        <f>[1]!S_Info_Name(W814)</f>
        <v>太阳电缆</v>
      </c>
      <c r="Y814" s="276" t="str">
        <f ca="1">IF($Y$3="申万一级行业",[1]!s_info_industry_sw_2021(W814,公司分析!D$5,1),IF($Y$3="申万二级行业",[1]!s_info_industry_sw_2021(W814,公司分析!D$5,2),IF($Y$3="申万三级行业",[1]!s_info_industry_sw_2021(W814,公司分析!D$5,3),IF($Y$3="wind一级行业",[1]!s_info_industry_gics(W814,1),IF($Y$3="wind二级行业",[1]!s_info_industry_gics(W814,2),IF($Y$3="wind三级行业",[1]!s_info_industry_gics(W814,3),IF($Y$3="wind四级行业",[1]!s_info_industry_gics(W814,4),IF($Y$3="证监会门类行业",[1]!s_info_industry_csrc12_n(W814,公司分析!D$5,1),""))))))))</f>
        <v>电网设备</v>
      </c>
      <c r="Z814" s="302" t="str">
        <f ca="1">IF(Y814=行业比较!$E$6,ROW(),"")</f>
        <v/>
      </c>
      <c r="AA814" s="122"/>
      <c r="AB814" s="122"/>
      <c r="AC814" s="122"/>
      <c r="AD814" s="122"/>
      <c r="AE814" s="122"/>
      <c r="AF814" s="122"/>
      <c r="AG814" s="122"/>
      <c r="AH814" s="122"/>
      <c r="AI814" s="122"/>
      <c r="AJ814" s="122"/>
      <c r="AK814" s="122"/>
      <c r="AL814" s="122"/>
      <c r="AM814" s="122"/>
      <c r="AN814" s="122"/>
      <c r="AO814" s="122"/>
      <c r="AP814" s="122"/>
    </row>
    <row r="815" spans="2:42">
      <c r="B815" s="122"/>
      <c r="C815" s="122"/>
      <c r="D815" s="122"/>
      <c r="E815" s="122"/>
      <c r="F815" s="122"/>
      <c r="G815" s="122"/>
      <c r="H815" s="122"/>
      <c r="I815" s="275"/>
      <c r="J815" s="130"/>
      <c r="K815" s="130"/>
      <c r="L815" s="130"/>
      <c r="M815" s="130"/>
      <c r="N815" s="291"/>
      <c r="O815" s="291"/>
      <c r="P815" s="122"/>
      <c r="Q815" s="122"/>
      <c r="R815" s="122"/>
      <c r="S815" s="122"/>
      <c r="T815" s="122"/>
      <c r="U815" s="301"/>
      <c r="V815" s="260">
        <f t="shared" ca="1" si="20"/>
        <v>0</v>
      </c>
      <c r="W815" s="348" t="str">
        <f>IF(板块成分!B817="","",板块成分!B817)</f>
        <v>002301.SZ</v>
      </c>
      <c r="X815" s="276" t="str">
        <f>[1]!S_Info_Name(W815)</f>
        <v>齐心集团</v>
      </c>
      <c r="Y815" s="276" t="str">
        <f ca="1">IF($Y$3="申万一级行业",[1]!s_info_industry_sw_2021(W815,公司分析!D$5,1),IF($Y$3="申万二级行业",[1]!s_info_industry_sw_2021(W815,公司分析!D$5,2),IF($Y$3="申万三级行业",[1]!s_info_industry_sw_2021(W815,公司分析!D$5,3),IF($Y$3="wind一级行业",[1]!s_info_industry_gics(W815,1),IF($Y$3="wind二级行业",[1]!s_info_industry_gics(W815,2),IF($Y$3="wind三级行业",[1]!s_info_industry_gics(W815,3),IF($Y$3="wind四级行业",[1]!s_info_industry_gics(W815,4),IF($Y$3="证监会门类行业",[1]!s_info_industry_csrc12_n(W815,公司分析!D$5,1),""))))))))</f>
        <v>文娱用品</v>
      </c>
      <c r="Z815" s="302" t="str">
        <f ca="1">IF(Y815=行业比较!$E$6,ROW(),"")</f>
        <v/>
      </c>
      <c r="AA815" s="122"/>
      <c r="AB815" s="122"/>
      <c r="AC815" s="122"/>
      <c r="AD815" s="122"/>
      <c r="AE815" s="122"/>
      <c r="AF815" s="122"/>
      <c r="AG815" s="122"/>
      <c r="AH815" s="122"/>
      <c r="AI815" s="122"/>
      <c r="AJ815" s="122"/>
      <c r="AK815" s="122"/>
      <c r="AL815" s="122"/>
      <c r="AM815" s="122"/>
      <c r="AN815" s="122"/>
      <c r="AO815" s="122"/>
      <c r="AP815" s="122"/>
    </row>
    <row r="816" spans="2:42">
      <c r="B816" s="122"/>
      <c r="C816" s="122"/>
      <c r="D816" s="122"/>
      <c r="E816" s="122"/>
      <c r="F816" s="122"/>
      <c r="G816" s="122"/>
      <c r="H816" s="122"/>
      <c r="I816" s="275"/>
      <c r="J816" s="130"/>
      <c r="K816" s="130"/>
      <c r="L816" s="130"/>
      <c r="M816" s="130"/>
      <c r="N816" s="291"/>
      <c r="O816" s="291"/>
      <c r="P816" s="122"/>
      <c r="Q816" s="122"/>
      <c r="R816" s="122"/>
      <c r="S816" s="122"/>
      <c r="T816" s="122"/>
      <c r="U816" s="301"/>
      <c r="V816" s="260">
        <f t="shared" ca="1" si="20"/>
        <v>0</v>
      </c>
      <c r="W816" s="348" t="str">
        <f>IF(板块成分!B818="","",板块成分!B818)</f>
        <v>002302.SZ</v>
      </c>
      <c r="X816" s="276" t="str">
        <f>[1]!S_Info_Name(W816)</f>
        <v>西部建设</v>
      </c>
      <c r="Y816" s="276" t="str">
        <f ca="1">IF($Y$3="申万一级行业",[1]!s_info_industry_sw_2021(W816,公司分析!D$5,1),IF($Y$3="申万二级行业",[1]!s_info_industry_sw_2021(W816,公司分析!D$5,2),IF($Y$3="申万三级行业",[1]!s_info_industry_sw_2021(W816,公司分析!D$5,3),IF($Y$3="wind一级行业",[1]!s_info_industry_gics(W816,1),IF($Y$3="wind二级行业",[1]!s_info_industry_gics(W816,2),IF($Y$3="wind三级行业",[1]!s_info_industry_gics(W816,3),IF($Y$3="wind四级行业",[1]!s_info_industry_gics(W816,4),IF($Y$3="证监会门类行业",[1]!s_info_industry_csrc12_n(W816,公司分析!D$5,1),""))))))))</f>
        <v>水泥</v>
      </c>
      <c r="Z816" s="302" t="str">
        <f ca="1">IF(Y816=行业比较!$E$6,ROW(),"")</f>
        <v/>
      </c>
      <c r="AA816" s="122"/>
      <c r="AB816" s="122"/>
      <c r="AC816" s="122"/>
      <c r="AD816" s="122"/>
      <c r="AE816" s="122"/>
      <c r="AF816" s="122"/>
      <c r="AG816" s="122"/>
      <c r="AH816" s="122"/>
      <c r="AI816" s="122"/>
      <c r="AJ816" s="122"/>
      <c r="AK816" s="122"/>
      <c r="AL816" s="122"/>
      <c r="AM816" s="122"/>
      <c r="AN816" s="122"/>
      <c r="AO816" s="122"/>
      <c r="AP816" s="122"/>
    </row>
    <row r="817" spans="2:42">
      <c r="B817" s="122"/>
      <c r="C817" s="122"/>
      <c r="D817" s="122"/>
      <c r="E817" s="122"/>
      <c r="F817" s="122"/>
      <c r="G817" s="122"/>
      <c r="H817" s="122"/>
      <c r="I817" s="275"/>
      <c r="J817" s="130"/>
      <c r="K817" s="130"/>
      <c r="L817" s="130"/>
      <c r="M817" s="130"/>
      <c r="N817" s="291"/>
      <c r="O817" s="291"/>
      <c r="P817" s="122"/>
      <c r="Q817" s="122"/>
      <c r="R817" s="122"/>
      <c r="S817" s="122"/>
      <c r="T817" s="122"/>
      <c r="U817" s="301"/>
      <c r="V817" s="260">
        <f t="shared" ca="1" si="20"/>
        <v>0</v>
      </c>
      <c r="W817" s="348" t="str">
        <f>IF(板块成分!B819="","",板块成分!B819)</f>
        <v>002303.SZ</v>
      </c>
      <c r="X817" s="276" t="str">
        <f>[1]!S_Info_Name(W817)</f>
        <v>美盈森</v>
      </c>
      <c r="Y817" s="276" t="str">
        <f ca="1">IF($Y$3="申万一级行业",[1]!s_info_industry_sw_2021(W817,公司分析!D$5,1),IF($Y$3="申万二级行业",[1]!s_info_industry_sw_2021(W817,公司分析!D$5,2),IF($Y$3="申万三级行业",[1]!s_info_industry_sw_2021(W817,公司分析!D$5,3),IF($Y$3="wind一级行业",[1]!s_info_industry_gics(W817,1),IF($Y$3="wind二级行业",[1]!s_info_industry_gics(W817,2),IF($Y$3="wind三级行业",[1]!s_info_industry_gics(W817,3),IF($Y$3="wind四级行业",[1]!s_info_industry_gics(W817,4),IF($Y$3="证监会门类行业",[1]!s_info_industry_csrc12_n(W817,公司分析!D$5,1),""))))))))</f>
        <v>包装印刷</v>
      </c>
      <c r="Z817" s="302" t="str">
        <f ca="1">IF(Y817=行业比较!$E$6,ROW(),"")</f>
        <v/>
      </c>
      <c r="AA817" s="122"/>
      <c r="AB817" s="122"/>
      <c r="AC817" s="122"/>
      <c r="AD817" s="122"/>
      <c r="AE817" s="122"/>
      <c r="AF817" s="122"/>
      <c r="AG817" s="122"/>
      <c r="AH817" s="122"/>
      <c r="AI817" s="122"/>
      <c r="AJ817" s="122"/>
      <c r="AK817" s="122"/>
      <c r="AL817" s="122"/>
      <c r="AM817" s="122"/>
      <c r="AN817" s="122"/>
      <c r="AO817" s="122"/>
      <c r="AP817" s="122"/>
    </row>
    <row r="818" spans="2:42">
      <c r="B818" s="122"/>
      <c r="C818" s="122"/>
      <c r="D818" s="122"/>
      <c r="E818" s="122"/>
      <c r="F818" s="122"/>
      <c r="G818" s="122"/>
      <c r="H818" s="122"/>
      <c r="I818" s="275"/>
      <c r="J818" s="130"/>
      <c r="K818" s="130"/>
      <c r="L818" s="130"/>
      <c r="M818" s="130"/>
      <c r="N818" s="291"/>
      <c r="O818" s="291"/>
      <c r="P818" s="122"/>
      <c r="Q818" s="122"/>
      <c r="R818" s="122"/>
      <c r="S818" s="122"/>
      <c r="T818" s="122"/>
      <c r="U818" s="301"/>
      <c r="V818" s="260">
        <f t="shared" ca="1" si="20"/>
        <v>0</v>
      </c>
      <c r="W818" s="348" t="str">
        <f>IF(板块成分!B820="","",板块成分!B820)</f>
        <v>002304.SZ</v>
      </c>
      <c r="X818" s="276" t="str">
        <f>[1]!S_Info_Name(W818)</f>
        <v>洋河股份</v>
      </c>
      <c r="Y818" s="276" t="str">
        <f ca="1">IF($Y$3="申万一级行业",[1]!s_info_industry_sw_2021(W818,公司分析!D$5,1),IF($Y$3="申万二级行业",[1]!s_info_industry_sw_2021(W818,公司分析!D$5,2),IF($Y$3="申万三级行业",[1]!s_info_industry_sw_2021(W818,公司分析!D$5,3),IF($Y$3="wind一级行业",[1]!s_info_industry_gics(W818,1),IF($Y$3="wind二级行业",[1]!s_info_industry_gics(W818,2),IF($Y$3="wind三级行业",[1]!s_info_industry_gics(W818,3),IF($Y$3="wind四级行业",[1]!s_info_industry_gics(W818,4),IF($Y$3="证监会门类行业",[1]!s_info_industry_csrc12_n(W818,公司分析!D$5,1),""))))))))</f>
        <v>白酒Ⅱ</v>
      </c>
      <c r="Z818" s="302" t="str">
        <f ca="1">IF(Y818=行业比较!$E$6,ROW(),"")</f>
        <v/>
      </c>
      <c r="AA818" s="122"/>
      <c r="AB818" s="122"/>
      <c r="AC818" s="122"/>
      <c r="AD818" s="122"/>
      <c r="AE818" s="122"/>
      <c r="AF818" s="122"/>
      <c r="AG818" s="122"/>
      <c r="AH818" s="122"/>
      <c r="AI818" s="122"/>
      <c r="AJ818" s="122"/>
      <c r="AK818" s="122"/>
      <c r="AL818" s="122"/>
      <c r="AM818" s="122"/>
      <c r="AN818" s="122"/>
      <c r="AO818" s="122"/>
      <c r="AP818" s="122"/>
    </row>
    <row r="819" spans="2:42">
      <c r="B819" s="122"/>
      <c r="C819" s="122"/>
      <c r="D819" s="122"/>
      <c r="E819" s="122"/>
      <c r="F819" s="122"/>
      <c r="G819" s="122"/>
      <c r="H819" s="122"/>
      <c r="I819" s="275"/>
      <c r="J819" s="130"/>
      <c r="K819" s="130"/>
      <c r="L819" s="130"/>
      <c r="M819" s="130"/>
      <c r="N819" s="291"/>
      <c r="O819" s="291"/>
      <c r="P819" s="122"/>
      <c r="Q819" s="122"/>
      <c r="R819" s="122"/>
      <c r="S819" s="122"/>
      <c r="T819" s="122"/>
      <c r="U819" s="301"/>
      <c r="V819" s="260">
        <f t="shared" ca="1" si="20"/>
        <v>0</v>
      </c>
      <c r="W819" s="348" t="str">
        <f>IF(板块成分!B821="","",板块成分!B821)</f>
        <v>002305.SZ</v>
      </c>
      <c r="X819" s="276" t="str">
        <f>[1]!S_Info_Name(W819)</f>
        <v>*ST南置</v>
      </c>
      <c r="Y819" s="276" t="str">
        <f ca="1">IF($Y$3="申万一级行业",[1]!s_info_industry_sw_2021(W819,公司分析!D$5,1),IF($Y$3="申万二级行业",[1]!s_info_industry_sw_2021(W819,公司分析!D$5,2),IF($Y$3="申万三级行业",[1]!s_info_industry_sw_2021(W819,公司分析!D$5,3),IF($Y$3="wind一级行业",[1]!s_info_industry_gics(W819,1),IF($Y$3="wind二级行业",[1]!s_info_industry_gics(W819,2),IF($Y$3="wind三级行业",[1]!s_info_industry_gics(W819,3),IF($Y$3="wind四级行业",[1]!s_info_industry_gics(W819,4),IF($Y$3="证监会门类行业",[1]!s_info_industry_csrc12_n(W819,公司分析!D$5,1),""))))))))</f>
        <v>房地产开发</v>
      </c>
      <c r="Z819" s="302" t="str">
        <f ca="1">IF(Y819=行业比较!$E$6,ROW(),"")</f>
        <v/>
      </c>
      <c r="AA819" s="122"/>
      <c r="AB819" s="122"/>
      <c r="AC819" s="122"/>
      <c r="AD819" s="122"/>
      <c r="AE819" s="122"/>
      <c r="AF819" s="122"/>
      <c r="AG819" s="122"/>
      <c r="AH819" s="122"/>
      <c r="AI819" s="122"/>
      <c r="AJ819" s="122"/>
      <c r="AK819" s="122"/>
      <c r="AL819" s="122"/>
      <c r="AM819" s="122"/>
      <c r="AN819" s="122"/>
      <c r="AO819" s="122"/>
      <c r="AP819" s="122"/>
    </row>
    <row r="820" spans="2:42">
      <c r="B820" s="122"/>
      <c r="C820" s="122"/>
      <c r="D820" s="122"/>
      <c r="E820" s="122"/>
      <c r="F820" s="122"/>
      <c r="G820" s="122"/>
      <c r="H820" s="122"/>
      <c r="I820" s="275"/>
      <c r="J820" s="130"/>
      <c r="K820" s="130"/>
      <c r="L820" s="130"/>
      <c r="M820" s="130"/>
      <c r="N820" s="291"/>
      <c r="O820" s="291"/>
      <c r="P820" s="122"/>
      <c r="Q820" s="122"/>
      <c r="R820" s="122"/>
      <c r="S820" s="122"/>
      <c r="T820" s="122"/>
      <c r="U820" s="301"/>
      <c r="V820" s="260">
        <f t="shared" ca="1" si="20"/>
        <v>0</v>
      </c>
      <c r="W820" s="348" t="str">
        <f>IF(板块成分!B822="","",板块成分!B822)</f>
        <v>002306.SZ</v>
      </c>
      <c r="X820" s="276" t="str">
        <f>[1]!S_Info_Name(W820)</f>
        <v>*ST云网</v>
      </c>
      <c r="Y820" s="276" t="str">
        <f ca="1">IF($Y$3="申万一级行业",[1]!s_info_industry_sw_2021(W820,公司分析!D$5,1),IF($Y$3="申万二级行业",[1]!s_info_industry_sw_2021(W820,公司分析!D$5,2),IF($Y$3="申万三级行业",[1]!s_info_industry_sw_2021(W820,公司分析!D$5,3),IF($Y$3="wind一级行业",[1]!s_info_industry_gics(W820,1),IF($Y$3="wind二级行业",[1]!s_info_industry_gics(W820,2),IF($Y$3="wind三级行业",[1]!s_info_industry_gics(W820,3),IF($Y$3="wind四级行业",[1]!s_info_industry_gics(W820,4),IF($Y$3="证监会门类行业",[1]!s_info_industry_csrc12_n(W820,公司分析!D$5,1),""))))))))</f>
        <v>酒店餐饮</v>
      </c>
      <c r="Z820" s="302" t="str">
        <f ca="1">IF(Y820=行业比较!$E$6,ROW(),"")</f>
        <v/>
      </c>
      <c r="AA820" s="122"/>
      <c r="AB820" s="122"/>
      <c r="AC820" s="122"/>
      <c r="AD820" s="122"/>
      <c r="AE820" s="122"/>
      <c r="AF820" s="122"/>
      <c r="AG820" s="122"/>
      <c r="AH820" s="122"/>
      <c r="AI820" s="122"/>
      <c r="AJ820" s="122"/>
      <c r="AK820" s="122"/>
      <c r="AL820" s="122"/>
      <c r="AM820" s="122"/>
      <c r="AN820" s="122"/>
      <c r="AO820" s="122"/>
      <c r="AP820" s="122"/>
    </row>
    <row r="821" spans="2:42">
      <c r="B821" s="122"/>
      <c r="C821" s="122"/>
      <c r="D821" s="122"/>
      <c r="E821" s="122"/>
      <c r="F821" s="122"/>
      <c r="G821" s="122"/>
      <c r="H821" s="122"/>
      <c r="I821" s="275"/>
      <c r="J821" s="130"/>
      <c r="K821" s="130"/>
      <c r="L821" s="130"/>
      <c r="M821" s="130"/>
      <c r="N821" s="291"/>
      <c r="O821" s="291"/>
      <c r="P821" s="122"/>
      <c r="Q821" s="122"/>
      <c r="R821" s="122"/>
      <c r="S821" s="122"/>
      <c r="T821" s="122"/>
      <c r="U821" s="301"/>
      <c r="V821" s="260">
        <f t="shared" ca="1" si="20"/>
        <v>0</v>
      </c>
      <c r="W821" s="348" t="str">
        <f>IF(板块成分!B823="","",板块成分!B823)</f>
        <v>002307.SZ</v>
      </c>
      <c r="X821" s="276" t="str">
        <f>[1]!S_Info_Name(W821)</f>
        <v>北新路桥</v>
      </c>
      <c r="Y821" s="276" t="str">
        <f ca="1">IF($Y$3="申万一级行业",[1]!s_info_industry_sw_2021(W821,公司分析!D$5,1),IF($Y$3="申万二级行业",[1]!s_info_industry_sw_2021(W821,公司分析!D$5,2),IF($Y$3="申万三级行业",[1]!s_info_industry_sw_2021(W821,公司分析!D$5,3),IF($Y$3="wind一级行业",[1]!s_info_industry_gics(W821,1),IF($Y$3="wind二级行业",[1]!s_info_industry_gics(W821,2),IF($Y$3="wind三级行业",[1]!s_info_industry_gics(W821,3),IF($Y$3="wind四级行业",[1]!s_info_industry_gics(W821,4),IF($Y$3="证监会门类行业",[1]!s_info_industry_csrc12_n(W821,公司分析!D$5,1),""))))))))</f>
        <v>基础建设</v>
      </c>
      <c r="Z821" s="302" t="str">
        <f ca="1">IF(Y821=行业比较!$E$6,ROW(),"")</f>
        <v/>
      </c>
      <c r="AA821" s="122"/>
      <c r="AB821" s="122"/>
      <c r="AC821" s="122"/>
      <c r="AD821" s="122"/>
      <c r="AE821" s="122"/>
      <c r="AF821" s="122"/>
      <c r="AG821" s="122"/>
      <c r="AH821" s="122"/>
      <c r="AI821" s="122"/>
      <c r="AJ821" s="122"/>
      <c r="AK821" s="122"/>
      <c r="AL821" s="122"/>
      <c r="AM821" s="122"/>
      <c r="AN821" s="122"/>
      <c r="AO821" s="122"/>
      <c r="AP821" s="122"/>
    </row>
    <row r="822" spans="2:42">
      <c r="B822" s="122"/>
      <c r="C822" s="122"/>
      <c r="D822" s="122"/>
      <c r="E822" s="122"/>
      <c r="F822" s="122"/>
      <c r="G822" s="122"/>
      <c r="H822" s="122"/>
      <c r="I822" s="275"/>
      <c r="J822" s="130"/>
      <c r="K822" s="130"/>
      <c r="L822" s="130"/>
      <c r="M822" s="130"/>
      <c r="N822" s="291"/>
      <c r="O822" s="291"/>
      <c r="P822" s="122"/>
      <c r="Q822" s="122"/>
      <c r="R822" s="122"/>
      <c r="S822" s="122"/>
      <c r="T822" s="122"/>
      <c r="U822" s="301"/>
      <c r="V822" s="260">
        <f t="shared" ca="1" si="20"/>
        <v>0</v>
      </c>
      <c r="W822" s="348" t="str">
        <f>IF(板块成分!B824="","",板块成分!B824)</f>
        <v>002309.SZ</v>
      </c>
      <c r="X822" s="276" t="str">
        <f>[1]!S_Info_Name(W822)</f>
        <v>中利集团</v>
      </c>
      <c r="Y822" s="276" t="str">
        <f ca="1">IF($Y$3="申万一级行业",[1]!s_info_industry_sw_2021(W822,公司分析!D$5,1),IF($Y$3="申万二级行业",[1]!s_info_industry_sw_2021(W822,公司分析!D$5,2),IF($Y$3="申万三级行业",[1]!s_info_industry_sw_2021(W822,公司分析!D$5,3),IF($Y$3="wind一级行业",[1]!s_info_industry_gics(W822,1),IF($Y$3="wind二级行业",[1]!s_info_industry_gics(W822,2),IF($Y$3="wind三级行业",[1]!s_info_industry_gics(W822,3),IF($Y$3="wind四级行业",[1]!s_info_industry_gics(W822,4),IF($Y$3="证监会门类行业",[1]!s_info_industry_csrc12_n(W822,公司分析!D$5,1),""))))))))</f>
        <v>电网设备</v>
      </c>
      <c r="Z822" s="302" t="str">
        <f ca="1">IF(Y822=行业比较!$E$6,ROW(),"")</f>
        <v/>
      </c>
      <c r="AA822" s="122"/>
      <c r="AB822" s="122"/>
      <c r="AC822" s="122"/>
      <c r="AD822" s="122"/>
      <c r="AE822" s="122"/>
      <c r="AF822" s="122"/>
      <c r="AG822" s="122"/>
      <c r="AH822" s="122"/>
      <c r="AI822" s="122"/>
      <c r="AJ822" s="122"/>
      <c r="AK822" s="122"/>
      <c r="AL822" s="122"/>
      <c r="AM822" s="122"/>
      <c r="AN822" s="122"/>
      <c r="AO822" s="122"/>
      <c r="AP822" s="122"/>
    </row>
    <row r="823" spans="2:42">
      <c r="B823" s="122"/>
      <c r="C823" s="122"/>
      <c r="D823" s="122"/>
      <c r="E823" s="122"/>
      <c r="F823" s="122"/>
      <c r="G823" s="122"/>
      <c r="H823" s="122"/>
      <c r="I823" s="275"/>
      <c r="J823" s="130"/>
      <c r="K823" s="130"/>
      <c r="L823" s="130"/>
      <c r="M823" s="130"/>
      <c r="N823" s="291"/>
      <c r="O823" s="291"/>
      <c r="P823" s="122"/>
      <c r="Q823" s="122"/>
      <c r="R823" s="122"/>
      <c r="S823" s="122"/>
      <c r="T823" s="122"/>
      <c r="U823" s="301"/>
      <c r="V823" s="260">
        <f t="shared" ca="1" si="20"/>
        <v>0</v>
      </c>
      <c r="W823" s="348" t="str">
        <f>IF(板块成分!B825="","",板块成分!B825)</f>
        <v>002310.SZ</v>
      </c>
      <c r="X823" s="276" t="str">
        <f>[1]!S_Info_Name(W823)</f>
        <v>东方新能</v>
      </c>
      <c r="Y823" s="276" t="str">
        <f ca="1">IF($Y$3="申万一级行业",[1]!s_info_industry_sw_2021(W823,公司分析!D$5,1),IF($Y$3="申万二级行业",[1]!s_info_industry_sw_2021(W823,公司分析!D$5,2),IF($Y$3="申万三级行业",[1]!s_info_industry_sw_2021(W823,公司分析!D$5,3),IF($Y$3="wind一级行业",[1]!s_info_industry_gics(W823,1),IF($Y$3="wind二级行业",[1]!s_info_industry_gics(W823,2),IF($Y$3="wind三级行业",[1]!s_info_industry_gics(W823,3),IF($Y$3="wind四级行业",[1]!s_info_industry_gics(W823,4),IF($Y$3="证监会门类行业",[1]!s_info_industry_csrc12_n(W823,公司分析!D$5,1),""))))))))</f>
        <v>基础建设</v>
      </c>
      <c r="Z823" s="302" t="str">
        <f ca="1">IF(Y823=行业比较!$E$6,ROW(),"")</f>
        <v/>
      </c>
      <c r="AA823" s="122"/>
      <c r="AB823" s="122"/>
      <c r="AC823" s="122"/>
      <c r="AD823" s="122"/>
      <c r="AE823" s="122"/>
      <c r="AF823" s="122"/>
      <c r="AG823" s="122"/>
      <c r="AH823" s="122"/>
      <c r="AI823" s="122"/>
      <c r="AJ823" s="122"/>
      <c r="AK823" s="122"/>
      <c r="AL823" s="122"/>
      <c r="AM823" s="122"/>
      <c r="AN823" s="122"/>
      <c r="AO823" s="122"/>
      <c r="AP823" s="122"/>
    </row>
    <row r="824" spans="2:42">
      <c r="B824" s="122"/>
      <c r="C824" s="122"/>
      <c r="D824" s="122"/>
      <c r="E824" s="122"/>
      <c r="F824" s="122"/>
      <c r="G824" s="122"/>
      <c r="H824" s="122"/>
      <c r="I824" s="275"/>
      <c r="J824" s="130"/>
      <c r="K824" s="130"/>
      <c r="L824" s="130"/>
      <c r="M824" s="130"/>
      <c r="N824" s="291"/>
      <c r="O824" s="291"/>
      <c r="P824" s="122"/>
      <c r="Q824" s="122"/>
      <c r="R824" s="122"/>
      <c r="S824" s="122"/>
      <c r="T824" s="122"/>
      <c r="U824" s="301"/>
      <c r="V824" s="260">
        <f t="shared" ca="1" si="20"/>
        <v>0</v>
      </c>
      <c r="W824" s="348" t="str">
        <f>IF(板块成分!B826="","",板块成分!B826)</f>
        <v>002311.SZ</v>
      </c>
      <c r="X824" s="276" t="str">
        <f>[1]!S_Info_Name(W824)</f>
        <v>海大集团</v>
      </c>
      <c r="Y824" s="276" t="str">
        <f ca="1">IF($Y$3="申万一级行业",[1]!s_info_industry_sw_2021(W824,公司分析!D$5,1),IF($Y$3="申万二级行业",[1]!s_info_industry_sw_2021(W824,公司分析!D$5,2),IF($Y$3="申万三级行业",[1]!s_info_industry_sw_2021(W824,公司分析!D$5,3),IF($Y$3="wind一级行业",[1]!s_info_industry_gics(W824,1),IF($Y$3="wind二级行业",[1]!s_info_industry_gics(W824,2),IF($Y$3="wind三级行业",[1]!s_info_industry_gics(W824,3),IF($Y$3="wind四级行业",[1]!s_info_industry_gics(W824,4),IF($Y$3="证监会门类行业",[1]!s_info_industry_csrc12_n(W824,公司分析!D$5,1),""))))))))</f>
        <v>饲料</v>
      </c>
      <c r="Z824" s="302" t="str">
        <f ca="1">IF(Y824=行业比较!$E$6,ROW(),"")</f>
        <v/>
      </c>
      <c r="AA824" s="122"/>
      <c r="AB824" s="122"/>
      <c r="AC824" s="122"/>
      <c r="AD824" s="122"/>
      <c r="AE824" s="122"/>
      <c r="AF824" s="122"/>
      <c r="AG824" s="122"/>
      <c r="AH824" s="122"/>
      <c r="AI824" s="122"/>
      <c r="AJ824" s="122"/>
      <c r="AK824" s="122"/>
      <c r="AL824" s="122"/>
      <c r="AM824" s="122"/>
      <c r="AN824" s="122"/>
      <c r="AO824" s="122"/>
      <c r="AP824" s="122"/>
    </row>
    <row r="825" spans="2:42">
      <c r="B825" s="122"/>
      <c r="C825" s="122"/>
      <c r="D825" s="122"/>
      <c r="E825" s="122"/>
      <c r="F825" s="122"/>
      <c r="G825" s="122"/>
      <c r="H825" s="122"/>
      <c r="I825" s="275"/>
      <c r="J825" s="130"/>
      <c r="K825" s="130"/>
      <c r="L825" s="130"/>
      <c r="M825" s="130"/>
      <c r="N825" s="291"/>
      <c r="O825" s="291"/>
      <c r="P825" s="122"/>
      <c r="Q825" s="122"/>
      <c r="R825" s="122"/>
      <c r="S825" s="122"/>
      <c r="T825" s="122"/>
      <c r="U825" s="301"/>
      <c r="V825" s="260">
        <f t="shared" ca="1" si="20"/>
        <v>0</v>
      </c>
      <c r="W825" s="348" t="str">
        <f>IF(板块成分!B827="","",板块成分!B827)</f>
        <v>002312.SZ</v>
      </c>
      <c r="X825" s="276" t="str">
        <f>[1]!S_Info_Name(W825)</f>
        <v>川发龙蟒</v>
      </c>
      <c r="Y825" s="276" t="str">
        <f ca="1">IF($Y$3="申万一级行业",[1]!s_info_industry_sw_2021(W825,公司分析!D$5,1),IF($Y$3="申万二级行业",[1]!s_info_industry_sw_2021(W825,公司分析!D$5,2),IF($Y$3="申万三级行业",[1]!s_info_industry_sw_2021(W825,公司分析!D$5,3),IF($Y$3="wind一级行业",[1]!s_info_industry_gics(W825,1),IF($Y$3="wind二级行业",[1]!s_info_industry_gics(W825,2),IF($Y$3="wind三级行业",[1]!s_info_industry_gics(W825,3),IF($Y$3="wind四级行业",[1]!s_info_industry_gics(W825,4),IF($Y$3="证监会门类行业",[1]!s_info_industry_csrc12_n(W825,公司分析!D$5,1),""))))))))</f>
        <v>农化制品</v>
      </c>
      <c r="Z825" s="302" t="str">
        <f ca="1">IF(Y825=行业比较!$E$6,ROW(),"")</f>
        <v/>
      </c>
      <c r="AA825" s="122"/>
      <c r="AB825" s="122"/>
      <c r="AC825" s="122"/>
      <c r="AD825" s="122"/>
      <c r="AE825" s="122"/>
      <c r="AF825" s="122"/>
      <c r="AG825" s="122"/>
      <c r="AH825" s="122"/>
      <c r="AI825" s="122"/>
      <c r="AJ825" s="122"/>
      <c r="AK825" s="122"/>
      <c r="AL825" s="122"/>
      <c r="AM825" s="122"/>
      <c r="AN825" s="122"/>
      <c r="AO825" s="122"/>
      <c r="AP825" s="122"/>
    </row>
    <row r="826" spans="2:42">
      <c r="B826" s="122"/>
      <c r="C826" s="122"/>
      <c r="D826" s="122"/>
      <c r="E826" s="122"/>
      <c r="F826" s="122"/>
      <c r="G826" s="122"/>
      <c r="H826" s="122"/>
      <c r="I826" s="275"/>
      <c r="J826" s="130"/>
      <c r="K826" s="130"/>
      <c r="L826" s="130"/>
      <c r="M826" s="130"/>
      <c r="N826" s="291"/>
      <c r="O826" s="291"/>
      <c r="P826" s="122"/>
      <c r="Q826" s="122"/>
      <c r="R826" s="122"/>
      <c r="S826" s="122"/>
      <c r="T826" s="122"/>
      <c r="U826" s="301"/>
      <c r="V826" s="260">
        <f t="shared" ca="1" si="20"/>
        <v>0</v>
      </c>
      <c r="W826" s="348" t="str">
        <f>IF(板块成分!B828="","",板块成分!B828)</f>
        <v>002313.SZ</v>
      </c>
      <c r="X826" s="276" t="str">
        <f>[1]!S_Info_Name(W826)</f>
        <v>日海智能</v>
      </c>
      <c r="Y826" s="276" t="str">
        <f ca="1">IF($Y$3="申万一级行业",[1]!s_info_industry_sw_2021(W826,公司分析!D$5,1),IF($Y$3="申万二级行业",[1]!s_info_industry_sw_2021(W826,公司分析!D$5,2),IF($Y$3="申万三级行业",[1]!s_info_industry_sw_2021(W826,公司分析!D$5,3),IF($Y$3="wind一级行业",[1]!s_info_industry_gics(W826,1),IF($Y$3="wind二级行业",[1]!s_info_industry_gics(W826,2),IF($Y$3="wind三级行业",[1]!s_info_industry_gics(W826,3),IF($Y$3="wind四级行业",[1]!s_info_industry_gics(W826,4),IF($Y$3="证监会门类行业",[1]!s_info_industry_csrc12_n(W826,公司分析!D$5,1),""))))))))</f>
        <v>通信设备</v>
      </c>
      <c r="Z826" s="302" t="str">
        <f ca="1">IF(Y826=行业比较!$E$6,ROW(),"")</f>
        <v/>
      </c>
      <c r="AA826" s="122"/>
      <c r="AB826" s="122"/>
      <c r="AC826" s="122"/>
      <c r="AD826" s="122"/>
      <c r="AE826" s="122"/>
      <c r="AF826" s="122"/>
      <c r="AG826" s="122"/>
      <c r="AH826" s="122"/>
      <c r="AI826" s="122"/>
      <c r="AJ826" s="122"/>
      <c r="AK826" s="122"/>
      <c r="AL826" s="122"/>
      <c r="AM826" s="122"/>
      <c r="AN826" s="122"/>
      <c r="AO826" s="122"/>
      <c r="AP826" s="122"/>
    </row>
    <row r="827" spans="2:42">
      <c r="B827" s="122"/>
      <c r="C827" s="122"/>
      <c r="D827" s="122"/>
      <c r="E827" s="122"/>
      <c r="F827" s="122"/>
      <c r="G827" s="122"/>
      <c r="H827" s="122"/>
      <c r="I827" s="275"/>
      <c r="J827" s="130"/>
      <c r="K827" s="130"/>
      <c r="L827" s="130"/>
      <c r="M827" s="130"/>
      <c r="N827" s="291"/>
      <c r="O827" s="291"/>
      <c r="P827" s="122"/>
      <c r="Q827" s="122"/>
      <c r="R827" s="122"/>
      <c r="S827" s="122"/>
      <c r="T827" s="122"/>
      <c r="U827" s="301"/>
      <c r="V827" s="260">
        <f t="shared" ca="1" si="20"/>
        <v>0</v>
      </c>
      <c r="W827" s="348" t="str">
        <f>IF(板块成分!B829="","",板块成分!B829)</f>
        <v>002314.SZ</v>
      </c>
      <c r="X827" s="276" t="str">
        <f>[1]!S_Info_Name(W827)</f>
        <v>南山控股</v>
      </c>
      <c r="Y827" s="276" t="str">
        <f ca="1">IF($Y$3="申万一级行业",[1]!s_info_industry_sw_2021(W827,公司分析!D$5,1),IF($Y$3="申万二级行业",[1]!s_info_industry_sw_2021(W827,公司分析!D$5,2),IF($Y$3="申万三级行业",[1]!s_info_industry_sw_2021(W827,公司分析!D$5,3),IF($Y$3="wind一级行业",[1]!s_info_industry_gics(W827,1),IF($Y$3="wind二级行业",[1]!s_info_industry_gics(W827,2),IF($Y$3="wind三级行业",[1]!s_info_industry_gics(W827,3),IF($Y$3="wind四级行业",[1]!s_info_industry_gics(W827,4),IF($Y$3="证监会门类行业",[1]!s_info_industry_csrc12_n(W827,公司分析!D$5,1),""))))))))</f>
        <v>房地产开发</v>
      </c>
      <c r="Z827" s="302" t="str">
        <f ca="1">IF(Y827=行业比较!$E$6,ROW(),"")</f>
        <v/>
      </c>
      <c r="AA827" s="122"/>
      <c r="AB827" s="122"/>
      <c r="AC827" s="122"/>
      <c r="AD827" s="122"/>
      <c r="AE827" s="122"/>
      <c r="AF827" s="122"/>
      <c r="AG827" s="122"/>
      <c r="AH827" s="122"/>
      <c r="AI827" s="122"/>
      <c r="AJ827" s="122"/>
      <c r="AK827" s="122"/>
      <c r="AL827" s="122"/>
      <c r="AM827" s="122"/>
      <c r="AN827" s="122"/>
      <c r="AO827" s="122"/>
      <c r="AP827" s="122"/>
    </row>
    <row r="828" spans="2:42">
      <c r="B828" s="122"/>
      <c r="C828" s="122"/>
      <c r="D828" s="122"/>
      <c r="E828" s="122"/>
      <c r="F828" s="122"/>
      <c r="G828" s="122"/>
      <c r="H828" s="122"/>
      <c r="I828" s="275"/>
      <c r="J828" s="130"/>
      <c r="K828" s="130"/>
      <c r="L828" s="130"/>
      <c r="M828" s="130"/>
      <c r="N828" s="291"/>
      <c r="O828" s="291"/>
      <c r="P828" s="122"/>
      <c r="Q828" s="122"/>
      <c r="R828" s="122"/>
      <c r="S828" s="122"/>
      <c r="T828" s="122"/>
      <c r="U828" s="301"/>
      <c r="V828" s="260">
        <f t="shared" ca="1" si="20"/>
        <v>0</v>
      </c>
      <c r="W828" s="348" t="str">
        <f>IF(板块成分!B830="","",板块成分!B830)</f>
        <v>002315.SZ</v>
      </c>
      <c r="X828" s="276" t="str">
        <f>[1]!S_Info_Name(W828)</f>
        <v>焦点科技</v>
      </c>
      <c r="Y828" s="276" t="str">
        <f ca="1">IF($Y$3="申万一级行业",[1]!s_info_industry_sw_2021(W828,公司分析!D$5,1),IF($Y$3="申万二级行业",[1]!s_info_industry_sw_2021(W828,公司分析!D$5,2),IF($Y$3="申万三级行业",[1]!s_info_industry_sw_2021(W828,公司分析!D$5,3),IF($Y$3="wind一级行业",[1]!s_info_industry_gics(W828,1),IF($Y$3="wind二级行业",[1]!s_info_industry_gics(W828,2),IF($Y$3="wind三级行业",[1]!s_info_industry_gics(W828,3),IF($Y$3="wind四级行业",[1]!s_info_industry_gics(W828,4),IF($Y$3="证监会门类行业",[1]!s_info_industry_csrc12_n(W828,公司分析!D$5,1),""))))))))</f>
        <v>互联网电商</v>
      </c>
      <c r="Z828" s="302" t="str">
        <f ca="1">IF(Y828=行业比较!$E$6,ROW(),"")</f>
        <v/>
      </c>
      <c r="AA828" s="122"/>
      <c r="AB828" s="122"/>
      <c r="AC828" s="122"/>
      <c r="AD828" s="122"/>
      <c r="AE828" s="122"/>
      <c r="AF828" s="122"/>
      <c r="AG828" s="122"/>
      <c r="AH828" s="122"/>
      <c r="AI828" s="122"/>
      <c r="AJ828" s="122"/>
      <c r="AK828" s="122"/>
      <c r="AL828" s="122"/>
      <c r="AM828" s="122"/>
      <c r="AN828" s="122"/>
      <c r="AO828" s="122"/>
      <c r="AP828" s="122"/>
    </row>
    <row r="829" spans="2:42">
      <c r="B829" s="122"/>
      <c r="C829" s="122"/>
      <c r="D829" s="122"/>
      <c r="E829" s="122"/>
      <c r="F829" s="122"/>
      <c r="G829" s="122"/>
      <c r="H829" s="122"/>
      <c r="I829" s="275"/>
      <c r="J829" s="130"/>
      <c r="K829" s="130"/>
      <c r="L829" s="130"/>
      <c r="M829" s="130"/>
      <c r="N829" s="291"/>
      <c r="O829" s="291"/>
      <c r="P829" s="122"/>
      <c r="Q829" s="122"/>
      <c r="R829" s="122"/>
      <c r="S829" s="122"/>
      <c r="T829" s="122"/>
      <c r="U829" s="301"/>
      <c r="V829" s="260">
        <f t="shared" ca="1" si="20"/>
        <v>0</v>
      </c>
      <c r="W829" s="348" t="str">
        <f>IF(板块成分!B831="","",板块成分!B831)</f>
        <v>002316.SZ</v>
      </c>
      <c r="X829" s="276" t="str">
        <f>[1]!S_Info_Name(W829)</f>
        <v>亚联发展</v>
      </c>
      <c r="Y829" s="276" t="str">
        <f ca="1">IF($Y$3="申万一级行业",[1]!s_info_industry_sw_2021(W829,公司分析!D$5,1),IF($Y$3="申万二级行业",[1]!s_info_industry_sw_2021(W829,公司分析!D$5,2),IF($Y$3="申万三级行业",[1]!s_info_industry_sw_2021(W829,公司分析!D$5,3),IF($Y$3="wind一级行业",[1]!s_info_industry_gics(W829,1),IF($Y$3="wind二级行业",[1]!s_info_industry_gics(W829,2),IF($Y$3="wind三级行业",[1]!s_info_industry_gics(W829,3),IF($Y$3="wind四级行业",[1]!s_info_industry_gics(W829,4),IF($Y$3="证监会门类行业",[1]!s_info_industry_csrc12_n(W829,公司分析!D$5,1),""))))))))</f>
        <v>多元金融</v>
      </c>
      <c r="Z829" s="302" t="str">
        <f ca="1">IF(Y829=行业比较!$E$6,ROW(),"")</f>
        <v/>
      </c>
      <c r="AA829" s="122"/>
      <c r="AB829" s="122"/>
      <c r="AC829" s="122"/>
      <c r="AD829" s="122"/>
      <c r="AE829" s="122"/>
      <c r="AF829" s="122"/>
      <c r="AG829" s="122"/>
      <c r="AH829" s="122"/>
      <c r="AI829" s="122"/>
      <c r="AJ829" s="122"/>
      <c r="AK829" s="122"/>
      <c r="AL829" s="122"/>
      <c r="AM829" s="122"/>
      <c r="AN829" s="122"/>
      <c r="AO829" s="122"/>
      <c r="AP829" s="122"/>
    </row>
    <row r="830" spans="2:42">
      <c r="B830" s="122"/>
      <c r="C830" s="122"/>
      <c r="D830" s="122"/>
      <c r="E830" s="122"/>
      <c r="F830" s="122"/>
      <c r="G830" s="122"/>
      <c r="H830" s="122"/>
      <c r="I830" s="275"/>
      <c r="J830" s="130"/>
      <c r="K830" s="130"/>
      <c r="L830" s="130"/>
      <c r="M830" s="130"/>
      <c r="N830" s="291"/>
      <c r="O830" s="291"/>
      <c r="P830" s="122"/>
      <c r="Q830" s="122"/>
      <c r="R830" s="122"/>
      <c r="S830" s="122"/>
      <c r="T830" s="122"/>
      <c r="U830" s="301"/>
      <c r="V830" s="260">
        <f t="shared" ca="1" si="20"/>
        <v>0</v>
      </c>
      <c r="W830" s="348" t="str">
        <f>IF(板块成分!B832="","",板块成分!B832)</f>
        <v>002317.SZ</v>
      </c>
      <c r="X830" s="276" t="str">
        <f>[1]!S_Info_Name(W830)</f>
        <v>众生药业</v>
      </c>
      <c r="Y830" s="276" t="str">
        <f ca="1">IF($Y$3="申万一级行业",[1]!s_info_industry_sw_2021(W830,公司分析!D$5,1),IF($Y$3="申万二级行业",[1]!s_info_industry_sw_2021(W830,公司分析!D$5,2),IF($Y$3="申万三级行业",[1]!s_info_industry_sw_2021(W830,公司分析!D$5,3),IF($Y$3="wind一级行业",[1]!s_info_industry_gics(W830,1),IF($Y$3="wind二级行业",[1]!s_info_industry_gics(W830,2),IF($Y$3="wind三级行业",[1]!s_info_industry_gics(W830,3),IF($Y$3="wind四级行业",[1]!s_info_industry_gics(W830,4),IF($Y$3="证监会门类行业",[1]!s_info_industry_csrc12_n(W830,公司分析!D$5,1),""))))))))</f>
        <v>中药Ⅱ</v>
      </c>
      <c r="Z830" s="302" t="str">
        <f ca="1">IF(Y830=行业比较!$E$6,ROW(),"")</f>
        <v/>
      </c>
      <c r="AA830" s="122"/>
      <c r="AB830" s="122"/>
      <c r="AC830" s="122"/>
      <c r="AD830" s="122"/>
      <c r="AE830" s="122"/>
      <c r="AF830" s="122"/>
      <c r="AG830" s="122"/>
      <c r="AH830" s="122"/>
      <c r="AI830" s="122"/>
      <c r="AJ830" s="122"/>
      <c r="AK830" s="122"/>
      <c r="AL830" s="122"/>
      <c r="AM830" s="122"/>
      <c r="AN830" s="122"/>
      <c r="AO830" s="122"/>
      <c r="AP830" s="122"/>
    </row>
    <row r="831" spans="2:42">
      <c r="B831" s="122"/>
      <c r="C831" s="122"/>
      <c r="D831" s="122"/>
      <c r="E831" s="122"/>
      <c r="F831" s="122"/>
      <c r="G831" s="122"/>
      <c r="H831" s="122"/>
      <c r="I831" s="275"/>
      <c r="J831" s="130"/>
      <c r="K831" s="130"/>
      <c r="L831" s="130"/>
      <c r="M831" s="130"/>
      <c r="N831" s="291"/>
      <c r="O831" s="291"/>
      <c r="P831" s="122"/>
      <c r="Q831" s="122"/>
      <c r="R831" s="122"/>
      <c r="S831" s="122"/>
      <c r="T831" s="122"/>
      <c r="U831" s="301"/>
      <c r="V831" s="260">
        <f t="shared" ca="1" si="20"/>
        <v>0</v>
      </c>
      <c r="W831" s="348" t="str">
        <f>IF(板块成分!B833="","",板块成分!B833)</f>
        <v>002318.SZ</v>
      </c>
      <c r="X831" s="276" t="str">
        <f>[1]!S_Info_Name(W831)</f>
        <v>久立特材</v>
      </c>
      <c r="Y831" s="276" t="str">
        <f ca="1">IF($Y$3="申万一级行业",[1]!s_info_industry_sw_2021(W831,公司分析!D$5,1),IF($Y$3="申万二级行业",[1]!s_info_industry_sw_2021(W831,公司分析!D$5,2),IF($Y$3="申万三级行业",[1]!s_info_industry_sw_2021(W831,公司分析!D$5,3),IF($Y$3="wind一级行业",[1]!s_info_industry_gics(W831,1),IF($Y$3="wind二级行业",[1]!s_info_industry_gics(W831,2),IF($Y$3="wind三级行业",[1]!s_info_industry_gics(W831,3),IF($Y$3="wind四级行业",[1]!s_info_industry_gics(W831,4),IF($Y$3="证监会门类行业",[1]!s_info_industry_csrc12_n(W831,公司分析!D$5,1),""))))))))</f>
        <v>特钢Ⅱ</v>
      </c>
      <c r="Z831" s="302" t="str">
        <f ca="1">IF(Y831=行业比较!$E$6,ROW(),"")</f>
        <v/>
      </c>
      <c r="AA831" s="122"/>
      <c r="AB831" s="122"/>
      <c r="AC831" s="122"/>
      <c r="AD831" s="122"/>
      <c r="AE831" s="122"/>
      <c r="AF831" s="122"/>
      <c r="AG831" s="122"/>
      <c r="AH831" s="122"/>
      <c r="AI831" s="122"/>
      <c r="AJ831" s="122"/>
      <c r="AK831" s="122"/>
      <c r="AL831" s="122"/>
      <c r="AM831" s="122"/>
      <c r="AN831" s="122"/>
      <c r="AO831" s="122"/>
      <c r="AP831" s="122"/>
    </row>
    <row r="832" spans="2:42">
      <c r="B832" s="122"/>
      <c r="C832" s="122"/>
      <c r="D832" s="122"/>
      <c r="E832" s="122"/>
      <c r="F832" s="122"/>
      <c r="G832" s="122"/>
      <c r="H832" s="122"/>
      <c r="I832" s="275"/>
      <c r="J832" s="130"/>
      <c r="K832" s="130"/>
      <c r="L832" s="130"/>
      <c r="M832" s="130"/>
      <c r="N832" s="291"/>
      <c r="O832" s="291"/>
      <c r="P832" s="122"/>
      <c r="Q832" s="122"/>
      <c r="R832" s="122"/>
      <c r="S832" s="122"/>
      <c r="T832" s="122"/>
      <c r="U832" s="301"/>
      <c r="V832" s="260">
        <f t="shared" ca="1" si="20"/>
        <v>0</v>
      </c>
      <c r="W832" s="348" t="str">
        <f>IF(板块成分!B834="","",板块成分!B834)</f>
        <v>002319.SZ</v>
      </c>
      <c r="X832" s="276" t="str">
        <f>[1]!S_Info_Name(W832)</f>
        <v>乐通股份</v>
      </c>
      <c r="Y832" s="276" t="str">
        <f ca="1">IF($Y$3="申万一级行业",[1]!s_info_industry_sw_2021(W832,公司分析!D$5,1),IF($Y$3="申万二级行业",[1]!s_info_industry_sw_2021(W832,公司分析!D$5,2),IF($Y$3="申万三级行业",[1]!s_info_industry_sw_2021(W832,公司分析!D$5,3),IF($Y$3="wind一级行业",[1]!s_info_industry_gics(W832,1),IF($Y$3="wind二级行业",[1]!s_info_industry_gics(W832,2),IF($Y$3="wind三级行业",[1]!s_info_industry_gics(W832,3),IF($Y$3="wind四级行业",[1]!s_info_industry_gics(W832,4),IF($Y$3="证监会门类行业",[1]!s_info_industry_csrc12_n(W832,公司分析!D$5,1),""))))))))</f>
        <v>化学制品</v>
      </c>
      <c r="Z832" s="302" t="str">
        <f ca="1">IF(Y832=行业比较!$E$6,ROW(),"")</f>
        <v/>
      </c>
      <c r="AA832" s="122"/>
      <c r="AB832" s="122"/>
      <c r="AC832" s="122"/>
      <c r="AD832" s="122"/>
      <c r="AE832" s="122"/>
      <c r="AF832" s="122"/>
      <c r="AG832" s="122"/>
      <c r="AH832" s="122"/>
      <c r="AI832" s="122"/>
      <c r="AJ832" s="122"/>
      <c r="AK832" s="122"/>
      <c r="AL832" s="122"/>
      <c r="AM832" s="122"/>
      <c r="AN832" s="122"/>
      <c r="AO832" s="122"/>
      <c r="AP832" s="122"/>
    </row>
    <row r="833" spans="2:42">
      <c r="B833" s="122"/>
      <c r="C833" s="122"/>
      <c r="D833" s="122"/>
      <c r="E833" s="122"/>
      <c r="F833" s="122"/>
      <c r="G833" s="122"/>
      <c r="H833" s="122"/>
      <c r="I833" s="275"/>
      <c r="J833" s="130"/>
      <c r="K833" s="130"/>
      <c r="L833" s="130"/>
      <c r="M833" s="130"/>
      <c r="N833" s="291"/>
      <c r="O833" s="291"/>
      <c r="P833" s="122"/>
      <c r="Q833" s="122"/>
      <c r="R833" s="122"/>
      <c r="S833" s="122"/>
      <c r="T833" s="122"/>
      <c r="U833" s="301"/>
      <c r="V833" s="260">
        <f t="shared" ca="1" si="20"/>
        <v>0</v>
      </c>
      <c r="W833" s="348" t="str">
        <f>IF(板块成分!B835="","",板块成分!B835)</f>
        <v>002320.SZ</v>
      </c>
      <c r="X833" s="276" t="str">
        <f>[1]!S_Info_Name(W833)</f>
        <v>海峡股份</v>
      </c>
      <c r="Y833" s="276" t="str">
        <f ca="1">IF($Y$3="申万一级行业",[1]!s_info_industry_sw_2021(W833,公司分析!D$5,1),IF($Y$3="申万二级行业",[1]!s_info_industry_sw_2021(W833,公司分析!D$5,2),IF($Y$3="申万三级行业",[1]!s_info_industry_sw_2021(W833,公司分析!D$5,3),IF($Y$3="wind一级行业",[1]!s_info_industry_gics(W833,1),IF($Y$3="wind二级行业",[1]!s_info_industry_gics(W833,2),IF($Y$3="wind三级行业",[1]!s_info_industry_gics(W833,3),IF($Y$3="wind四级行业",[1]!s_info_industry_gics(W833,4),IF($Y$3="证监会门类行业",[1]!s_info_industry_csrc12_n(W833,公司分析!D$5,1),""))))))))</f>
        <v>航运港口</v>
      </c>
      <c r="Z833" s="302" t="str">
        <f ca="1">IF(Y833=行业比较!$E$6,ROW(),"")</f>
        <v/>
      </c>
      <c r="AA833" s="122"/>
      <c r="AB833" s="122"/>
      <c r="AC833" s="122"/>
      <c r="AD833" s="122"/>
      <c r="AE833" s="122"/>
      <c r="AF833" s="122"/>
      <c r="AG833" s="122"/>
      <c r="AH833" s="122"/>
      <c r="AI833" s="122"/>
      <c r="AJ833" s="122"/>
      <c r="AK833" s="122"/>
      <c r="AL833" s="122"/>
      <c r="AM833" s="122"/>
      <c r="AN833" s="122"/>
      <c r="AO833" s="122"/>
      <c r="AP833" s="122"/>
    </row>
    <row r="834" spans="2:42">
      <c r="B834" s="122"/>
      <c r="C834" s="122"/>
      <c r="D834" s="122"/>
      <c r="E834" s="122"/>
      <c r="F834" s="122"/>
      <c r="G834" s="122"/>
      <c r="H834" s="122"/>
      <c r="I834" s="275"/>
      <c r="J834" s="130"/>
      <c r="K834" s="130"/>
      <c r="L834" s="130"/>
      <c r="M834" s="130"/>
      <c r="N834" s="291"/>
      <c r="O834" s="291"/>
      <c r="P834" s="122"/>
      <c r="Q834" s="122"/>
      <c r="R834" s="122"/>
      <c r="S834" s="122"/>
      <c r="T834" s="122"/>
      <c r="U834" s="301"/>
      <c r="V834" s="260">
        <f t="shared" ca="1" si="20"/>
        <v>0</v>
      </c>
      <c r="W834" s="348" t="str">
        <f>IF(板块成分!B836="","",板块成分!B836)</f>
        <v>002321.SZ</v>
      </c>
      <c r="X834" s="276" t="str">
        <f>[1]!S_Info_Name(W834)</f>
        <v>华英农业</v>
      </c>
      <c r="Y834" s="276" t="str">
        <f ca="1">IF($Y$3="申万一级行业",[1]!s_info_industry_sw_2021(W834,公司分析!D$5,1),IF($Y$3="申万二级行业",[1]!s_info_industry_sw_2021(W834,公司分析!D$5,2),IF($Y$3="申万三级行业",[1]!s_info_industry_sw_2021(W834,公司分析!D$5,3),IF($Y$3="wind一级行业",[1]!s_info_industry_gics(W834,1),IF($Y$3="wind二级行业",[1]!s_info_industry_gics(W834,2),IF($Y$3="wind三级行业",[1]!s_info_industry_gics(W834,3),IF($Y$3="wind四级行业",[1]!s_info_industry_gics(W834,4),IF($Y$3="证监会门类行业",[1]!s_info_industry_csrc12_n(W834,公司分析!D$5,1),""))))))))</f>
        <v>养殖业</v>
      </c>
      <c r="Z834" s="302" t="str">
        <f ca="1">IF(Y834=行业比较!$E$6,ROW(),"")</f>
        <v/>
      </c>
      <c r="AA834" s="122"/>
      <c r="AB834" s="122"/>
      <c r="AC834" s="122"/>
      <c r="AD834" s="122"/>
      <c r="AE834" s="122"/>
      <c r="AF834" s="122"/>
      <c r="AG834" s="122"/>
      <c r="AH834" s="122"/>
      <c r="AI834" s="122"/>
      <c r="AJ834" s="122"/>
      <c r="AK834" s="122"/>
      <c r="AL834" s="122"/>
      <c r="AM834" s="122"/>
      <c r="AN834" s="122"/>
      <c r="AO834" s="122"/>
      <c r="AP834" s="122"/>
    </row>
    <row r="835" spans="2:42">
      <c r="B835" s="122"/>
      <c r="C835" s="122"/>
      <c r="D835" s="122"/>
      <c r="E835" s="122"/>
      <c r="F835" s="122"/>
      <c r="G835" s="122"/>
      <c r="H835" s="122"/>
      <c r="I835" s="275"/>
      <c r="J835" s="130"/>
      <c r="K835" s="130"/>
      <c r="L835" s="130"/>
      <c r="M835" s="130"/>
      <c r="N835" s="291"/>
      <c r="O835" s="291"/>
      <c r="P835" s="122"/>
      <c r="Q835" s="122"/>
      <c r="R835" s="122"/>
      <c r="S835" s="122"/>
      <c r="T835" s="122"/>
      <c r="U835" s="301"/>
      <c r="V835" s="260">
        <f t="shared" ca="1" si="20"/>
        <v>0</v>
      </c>
      <c r="W835" s="348" t="str">
        <f>IF(板块成分!B837="","",板块成分!B837)</f>
        <v>002322.SZ</v>
      </c>
      <c r="X835" s="276" t="str">
        <f>[1]!S_Info_Name(W835)</f>
        <v>理工能科</v>
      </c>
      <c r="Y835" s="276" t="str">
        <f ca="1">IF($Y$3="申万一级行业",[1]!s_info_industry_sw_2021(W835,公司分析!D$5,1),IF($Y$3="申万二级行业",[1]!s_info_industry_sw_2021(W835,公司分析!D$5,2),IF($Y$3="申万三级行业",[1]!s_info_industry_sw_2021(W835,公司分析!D$5,3),IF($Y$3="wind一级行业",[1]!s_info_industry_gics(W835,1),IF($Y$3="wind二级行业",[1]!s_info_industry_gics(W835,2),IF($Y$3="wind三级行业",[1]!s_info_industry_gics(W835,3),IF($Y$3="wind四级行业",[1]!s_info_industry_gics(W835,4),IF($Y$3="证监会门类行业",[1]!s_info_industry_csrc12_n(W835,公司分析!D$5,1),""))))))))</f>
        <v>软件开发</v>
      </c>
      <c r="Z835" s="302" t="str">
        <f ca="1">IF(Y835=行业比较!$E$6,ROW(),"")</f>
        <v/>
      </c>
      <c r="AA835" s="122"/>
      <c r="AB835" s="122"/>
      <c r="AC835" s="122"/>
      <c r="AD835" s="122"/>
      <c r="AE835" s="122"/>
      <c r="AF835" s="122"/>
      <c r="AG835" s="122"/>
      <c r="AH835" s="122"/>
      <c r="AI835" s="122"/>
      <c r="AJ835" s="122"/>
      <c r="AK835" s="122"/>
      <c r="AL835" s="122"/>
      <c r="AM835" s="122"/>
      <c r="AN835" s="122"/>
      <c r="AO835" s="122"/>
      <c r="AP835" s="122"/>
    </row>
    <row r="836" spans="2:42">
      <c r="B836" s="122"/>
      <c r="C836" s="122"/>
      <c r="D836" s="122"/>
      <c r="E836" s="122"/>
      <c r="F836" s="122"/>
      <c r="G836" s="122"/>
      <c r="H836" s="122"/>
      <c r="I836" s="275"/>
      <c r="J836" s="130"/>
      <c r="K836" s="130"/>
      <c r="L836" s="130"/>
      <c r="M836" s="130"/>
      <c r="N836" s="291"/>
      <c r="O836" s="291"/>
      <c r="P836" s="122"/>
      <c r="Q836" s="122"/>
      <c r="R836" s="122"/>
      <c r="S836" s="122"/>
      <c r="T836" s="122"/>
      <c r="U836" s="301"/>
      <c r="V836" s="260">
        <f t="shared" ca="1" si="20"/>
        <v>0</v>
      </c>
      <c r="W836" s="348" t="str">
        <f>IF(板块成分!B838="","",板块成分!B838)</f>
        <v>002323.SZ</v>
      </c>
      <c r="X836" s="276" t="str">
        <f>[1]!S_Info_Name(W836)</f>
        <v>雅博股份</v>
      </c>
      <c r="Y836" s="276" t="str">
        <f ca="1">IF($Y$3="申万一级行业",[1]!s_info_industry_sw_2021(W836,公司分析!D$5,1),IF($Y$3="申万二级行业",[1]!s_info_industry_sw_2021(W836,公司分析!D$5,2),IF($Y$3="申万三级行业",[1]!s_info_industry_sw_2021(W836,公司分析!D$5,3),IF($Y$3="wind一级行业",[1]!s_info_industry_gics(W836,1),IF($Y$3="wind二级行业",[1]!s_info_industry_gics(W836,2),IF($Y$3="wind三级行业",[1]!s_info_industry_gics(W836,3),IF($Y$3="wind四级行业",[1]!s_info_industry_gics(W836,4),IF($Y$3="证监会门类行业",[1]!s_info_industry_csrc12_n(W836,公司分析!D$5,1),""))))))))</f>
        <v>专业工程</v>
      </c>
      <c r="Z836" s="302" t="str">
        <f ca="1">IF(Y836=行业比较!$E$6,ROW(),"")</f>
        <v/>
      </c>
      <c r="AA836" s="122"/>
      <c r="AB836" s="122"/>
      <c r="AC836" s="122"/>
      <c r="AD836" s="122"/>
      <c r="AE836" s="122"/>
      <c r="AF836" s="122"/>
      <c r="AG836" s="122"/>
      <c r="AH836" s="122"/>
      <c r="AI836" s="122"/>
      <c r="AJ836" s="122"/>
      <c r="AK836" s="122"/>
      <c r="AL836" s="122"/>
      <c r="AM836" s="122"/>
      <c r="AN836" s="122"/>
      <c r="AO836" s="122"/>
      <c r="AP836" s="122"/>
    </row>
    <row r="837" spans="2:42">
      <c r="B837" s="122"/>
      <c r="C837" s="122"/>
      <c r="D837" s="122"/>
      <c r="E837" s="122"/>
      <c r="F837" s="122"/>
      <c r="G837" s="122"/>
      <c r="H837" s="122"/>
      <c r="I837" s="275"/>
      <c r="J837" s="130"/>
      <c r="K837" s="130"/>
      <c r="L837" s="130"/>
      <c r="M837" s="130"/>
      <c r="N837" s="291"/>
      <c r="O837" s="291"/>
      <c r="P837" s="122"/>
      <c r="Q837" s="122"/>
      <c r="R837" s="122"/>
      <c r="S837" s="122"/>
      <c r="T837" s="122"/>
      <c r="U837" s="301"/>
      <c r="V837" s="260">
        <f t="shared" ref="V837:V900" ca="1" si="21">IF(Z837="",0,RANK(Z837,Z:Z,1))</f>
        <v>0</v>
      </c>
      <c r="W837" s="348" t="str">
        <f>IF(板块成分!B839="","",板块成分!B839)</f>
        <v>002324.SZ</v>
      </c>
      <c r="X837" s="276" t="str">
        <f>[1]!S_Info_Name(W837)</f>
        <v>普利特</v>
      </c>
      <c r="Y837" s="276" t="str">
        <f ca="1">IF($Y$3="申万一级行业",[1]!s_info_industry_sw_2021(W837,公司分析!D$5,1),IF($Y$3="申万二级行业",[1]!s_info_industry_sw_2021(W837,公司分析!D$5,2),IF($Y$3="申万三级行业",[1]!s_info_industry_sw_2021(W837,公司分析!D$5,3),IF($Y$3="wind一级行业",[1]!s_info_industry_gics(W837,1),IF($Y$3="wind二级行业",[1]!s_info_industry_gics(W837,2),IF($Y$3="wind三级行业",[1]!s_info_industry_gics(W837,3),IF($Y$3="wind四级行业",[1]!s_info_industry_gics(W837,4),IF($Y$3="证监会门类行业",[1]!s_info_industry_csrc12_n(W837,公司分析!D$5,1),""))))))))</f>
        <v>塑料</v>
      </c>
      <c r="Z837" s="302" t="str">
        <f ca="1">IF(Y837=行业比较!$E$6,ROW(),"")</f>
        <v/>
      </c>
      <c r="AA837" s="122"/>
      <c r="AB837" s="122"/>
      <c r="AC837" s="122"/>
      <c r="AD837" s="122"/>
      <c r="AE837" s="122"/>
      <c r="AF837" s="122"/>
      <c r="AG837" s="122"/>
      <c r="AH837" s="122"/>
      <c r="AI837" s="122"/>
      <c r="AJ837" s="122"/>
      <c r="AK837" s="122"/>
      <c r="AL837" s="122"/>
      <c r="AM837" s="122"/>
      <c r="AN837" s="122"/>
      <c r="AO837" s="122"/>
      <c r="AP837" s="122"/>
    </row>
    <row r="838" spans="2:42">
      <c r="B838" s="122"/>
      <c r="C838" s="122"/>
      <c r="D838" s="122"/>
      <c r="E838" s="122"/>
      <c r="F838" s="122"/>
      <c r="G838" s="122"/>
      <c r="H838" s="122"/>
      <c r="I838" s="275"/>
      <c r="J838" s="130"/>
      <c r="K838" s="130"/>
      <c r="L838" s="130"/>
      <c r="M838" s="130"/>
      <c r="N838" s="291"/>
      <c r="O838" s="291"/>
      <c r="P838" s="122"/>
      <c r="Q838" s="122"/>
      <c r="R838" s="122"/>
      <c r="S838" s="122"/>
      <c r="T838" s="122"/>
      <c r="U838" s="301"/>
      <c r="V838" s="260">
        <f t="shared" ca="1" si="21"/>
        <v>0</v>
      </c>
      <c r="W838" s="348" t="str">
        <f>IF(板块成分!B840="","",板块成分!B840)</f>
        <v>002326.SZ</v>
      </c>
      <c r="X838" s="276" t="str">
        <f>[1]!S_Info_Name(W838)</f>
        <v>永太科技</v>
      </c>
      <c r="Y838" s="276" t="str">
        <f ca="1">IF($Y$3="申万一级行业",[1]!s_info_industry_sw_2021(W838,公司分析!D$5,1),IF($Y$3="申万二级行业",[1]!s_info_industry_sw_2021(W838,公司分析!D$5,2),IF($Y$3="申万三级行业",[1]!s_info_industry_sw_2021(W838,公司分析!D$5,3),IF($Y$3="wind一级行业",[1]!s_info_industry_gics(W838,1),IF($Y$3="wind二级行业",[1]!s_info_industry_gics(W838,2),IF($Y$3="wind三级行业",[1]!s_info_industry_gics(W838,3),IF($Y$3="wind四级行业",[1]!s_info_industry_gics(W838,4),IF($Y$3="证监会门类行业",[1]!s_info_industry_csrc12_n(W838,公司分析!D$5,1),""))))))))</f>
        <v>化学制品</v>
      </c>
      <c r="Z838" s="302" t="str">
        <f ca="1">IF(Y838=行业比较!$E$6,ROW(),"")</f>
        <v/>
      </c>
      <c r="AA838" s="122"/>
      <c r="AB838" s="122"/>
      <c r="AC838" s="122"/>
      <c r="AD838" s="122"/>
      <c r="AE838" s="122"/>
      <c r="AF838" s="122"/>
      <c r="AG838" s="122"/>
      <c r="AH838" s="122"/>
      <c r="AI838" s="122"/>
      <c r="AJ838" s="122"/>
      <c r="AK838" s="122"/>
      <c r="AL838" s="122"/>
      <c r="AM838" s="122"/>
      <c r="AN838" s="122"/>
      <c r="AO838" s="122"/>
      <c r="AP838" s="122"/>
    </row>
    <row r="839" spans="2:42">
      <c r="B839" s="122"/>
      <c r="C839" s="122"/>
      <c r="D839" s="122"/>
      <c r="E839" s="122"/>
      <c r="F839" s="122"/>
      <c r="G839" s="122"/>
      <c r="H839" s="122"/>
      <c r="I839" s="275"/>
      <c r="J839" s="130"/>
      <c r="K839" s="130"/>
      <c r="L839" s="130"/>
      <c r="M839" s="130"/>
      <c r="N839" s="291"/>
      <c r="O839" s="291"/>
      <c r="P839" s="122"/>
      <c r="Q839" s="122"/>
      <c r="R839" s="122"/>
      <c r="S839" s="122"/>
      <c r="T839" s="122"/>
      <c r="U839" s="301"/>
      <c r="V839" s="260">
        <f t="shared" ca="1" si="21"/>
        <v>0</v>
      </c>
      <c r="W839" s="348" t="str">
        <f>IF(板块成分!B841="","",板块成分!B841)</f>
        <v>002327.SZ</v>
      </c>
      <c r="X839" s="276" t="str">
        <f>[1]!S_Info_Name(W839)</f>
        <v>富安娜</v>
      </c>
      <c r="Y839" s="276" t="str">
        <f ca="1">IF($Y$3="申万一级行业",[1]!s_info_industry_sw_2021(W839,公司分析!D$5,1),IF($Y$3="申万二级行业",[1]!s_info_industry_sw_2021(W839,公司分析!D$5,2),IF($Y$3="申万三级行业",[1]!s_info_industry_sw_2021(W839,公司分析!D$5,3),IF($Y$3="wind一级行业",[1]!s_info_industry_gics(W839,1),IF($Y$3="wind二级行业",[1]!s_info_industry_gics(W839,2),IF($Y$3="wind三级行业",[1]!s_info_industry_gics(W839,3),IF($Y$3="wind四级行业",[1]!s_info_industry_gics(W839,4),IF($Y$3="证监会门类行业",[1]!s_info_industry_csrc12_n(W839,公司分析!D$5,1),""))))))))</f>
        <v>服装家纺</v>
      </c>
      <c r="Z839" s="302" t="str">
        <f ca="1">IF(Y839=行业比较!$E$6,ROW(),"")</f>
        <v/>
      </c>
      <c r="AA839" s="122"/>
      <c r="AB839" s="122"/>
      <c r="AC839" s="122"/>
      <c r="AD839" s="122"/>
      <c r="AE839" s="122"/>
      <c r="AF839" s="122"/>
      <c r="AG839" s="122"/>
      <c r="AH839" s="122"/>
      <c r="AI839" s="122"/>
      <c r="AJ839" s="122"/>
      <c r="AK839" s="122"/>
      <c r="AL839" s="122"/>
      <c r="AM839" s="122"/>
      <c r="AN839" s="122"/>
      <c r="AO839" s="122"/>
      <c r="AP839" s="122"/>
    </row>
    <row r="840" spans="2:42">
      <c r="B840" s="122"/>
      <c r="C840" s="122"/>
      <c r="D840" s="122"/>
      <c r="E840" s="122"/>
      <c r="F840" s="122"/>
      <c r="G840" s="122"/>
      <c r="H840" s="122"/>
      <c r="I840" s="275"/>
      <c r="J840" s="130"/>
      <c r="K840" s="130"/>
      <c r="L840" s="130"/>
      <c r="M840" s="130"/>
      <c r="N840" s="291"/>
      <c r="O840" s="291"/>
      <c r="P840" s="122"/>
      <c r="Q840" s="122"/>
      <c r="R840" s="122"/>
      <c r="S840" s="122"/>
      <c r="T840" s="122"/>
      <c r="U840" s="301"/>
      <c r="V840" s="260">
        <f t="shared" ca="1" si="21"/>
        <v>0</v>
      </c>
      <c r="W840" s="348" t="str">
        <f>IF(板块成分!B842="","",板块成分!B842)</f>
        <v>002328.SZ</v>
      </c>
      <c r="X840" s="276" t="str">
        <f>[1]!S_Info_Name(W840)</f>
        <v>新朋股份</v>
      </c>
      <c r="Y840" s="276" t="str">
        <f ca="1">IF($Y$3="申万一级行业",[1]!s_info_industry_sw_2021(W840,公司分析!D$5,1),IF($Y$3="申万二级行业",[1]!s_info_industry_sw_2021(W840,公司分析!D$5,2),IF($Y$3="申万三级行业",[1]!s_info_industry_sw_2021(W840,公司分析!D$5,3),IF($Y$3="wind一级行业",[1]!s_info_industry_gics(W840,1),IF($Y$3="wind二级行业",[1]!s_info_industry_gics(W840,2),IF($Y$3="wind三级行业",[1]!s_info_industry_gics(W840,3),IF($Y$3="wind四级行业",[1]!s_info_industry_gics(W840,4),IF($Y$3="证监会门类行业",[1]!s_info_industry_csrc12_n(W840,公司分析!D$5,1),""))))))))</f>
        <v>汽车零部件</v>
      </c>
      <c r="Z840" s="302" t="str">
        <f ca="1">IF(Y840=行业比较!$E$6,ROW(),"")</f>
        <v/>
      </c>
      <c r="AA840" s="122"/>
      <c r="AB840" s="122"/>
      <c r="AC840" s="122"/>
      <c r="AD840" s="122"/>
      <c r="AE840" s="122"/>
      <c r="AF840" s="122"/>
      <c r="AG840" s="122"/>
      <c r="AH840" s="122"/>
      <c r="AI840" s="122"/>
      <c r="AJ840" s="122"/>
      <c r="AK840" s="122"/>
      <c r="AL840" s="122"/>
      <c r="AM840" s="122"/>
      <c r="AN840" s="122"/>
      <c r="AO840" s="122"/>
      <c r="AP840" s="122"/>
    </row>
    <row r="841" spans="2:42">
      <c r="B841" s="122"/>
      <c r="C841" s="122"/>
      <c r="D841" s="122"/>
      <c r="E841" s="122"/>
      <c r="F841" s="122"/>
      <c r="G841" s="122"/>
      <c r="H841" s="122"/>
      <c r="I841" s="275"/>
      <c r="J841" s="130"/>
      <c r="K841" s="130"/>
      <c r="L841" s="130"/>
      <c r="M841" s="130"/>
      <c r="N841" s="291"/>
      <c r="O841" s="291"/>
      <c r="P841" s="122"/>
      <c r="Q841" s="122"/>
      <c r="R841" s="122"/>
      <c r="S841" s="122"/>
      <c r="T841" s="122"/>
      <c r="U841" s="301"/>
      <c r="V841" s="260">
        <f t="shared" ca="1" si="21"/>
        <v>0</v>
      </c>
      <c r="W841" s="348" t="str">
        <f>IF(板块成分!B843="","",板块成分!B843)</f>
        <v>002329.SZ</v>
      </c>
      <c r="X841" s="276" t="str">
        <f>[1]!S_Info_Name(W841)</f>
        <v>皇氏集团</v>
      </c>
      <c r="Y841" s="276" t="str">
        <f ca="1">IF($Y$3="申万一级行业",[1]!s_info_industry_sw_2021(W841,公司分析!D$5,1),IF($Y$3="申万二级行业",[1]!s_info_industry_sw_2021(W841,公司分析!D$5,2),IF($Y$3="申万三级行业",[1]!s_info_industry_sw_2021(W841,公司分析!D$5,3),IF($Y$3="wind一级行业",[1]!s_info_industry_gics(W841,1),IF($Y$3="wind二级行业",[1]!s_info_industry_gics(W841,2),IF($Y$3="wind三级行业",[1]!s_info_industry_gics(W841,3),IF($Y$3="wind四级行业",[1]!s_info_industry_gics(W841,4),IF($Y$3="证监会门类行业",[1]!s_info_industry_csrc12_n(W841,公司分析!D$5,1),""))))))))</f>
        <v>饮料乳品</v>
      </c>
      <c r="Z841" s="302" t="str">
        <f ca="1">IF(Y841=行业比较!$E$6,ROW(),"")</f>
        <v/>
      </c>
      <c r="AA841" s="122"/>
      <c r="AB841" s="122"/>
      <c r="AC841" s="122"/>
      <c r="AD841" s="122"/>
      <c r="AE841" s="122"/>
      <c r="AF841" s="122"/>
      <c r="AG841" s="122"/>
      <c r="AH841" s="122"/>
      <c r="AI841" s="122"/>
      <c r="AJ841" s="122"/>
      <c r="AK841" s="122"/>
      <c r="AL841" s="122"/>
      <c r="AM841" s="122"/>
      <c r="AN841" s="122"/>
      <c r="AO841" s="122"/>
      <c r="AP841" s="122"/>
    </row>
    <row r="842" spans="2:42">
      <c r="B842" s="122"/>
      <c r="C842" s="122"/>
      <c r="D842" s="122"/>
      <c r="E842" s="122"/>
      <c r="F842" s="122"/>
      <c r="G842" s="122"/>
      <c r="H842" s="122"/>
      <c r="I842" s="275"/>
      <c r="J842" s="130"/>
      <c r="K842" s="130"/>
      <c r="L842" s="130"/>
      <c r="M842" s="130"/>
      <c r="N842" s="291"/>
      <c r="O842" s="291"/>
      <c r="P842" s="122"/>
      <c r="Q842" s="122"/>
      <c r="R842" s="122"/>
      <c r="S842" s="122"/>
      <c r="T842" s="122"/>
      <c r="U842" s="301"/>
      <c r="V842" s="260">
        <f t="shared" ca="1" si="21"/>
        <v>0</v>
      </c>
      <c r="W842" s="348" t="str">
        <f>IF(板块成分!B844="","",板块成分!B844)</f>
        <v>002330.SZ</v>
      </c>
      <c r="X842" s="276" t="str">
        <f>[1]!S_Info_Name(W842)</f>
        <v>得利斯</v>
      </c>
      <c r="Y842" s="276" t="str">
        <f ca="1">IF($Y$3="申万一级行业",[1]!s_info_industry_sw_2021(W842,公司分析!D$5,1),IF($Y$3="申万二级行业",[1]!s_info_industry_sw_2021(W842,公司分析!D$5,2),IF($Y$3="申万三级行业",[1]!s_info_industry_sw_2021(W842,公司分析!D$5,3),IF($Y$3="wind一级行业",[1]!s_info_industry_gics(W842,1),IF($Y$3="wind二级行业",[1]!s_info_industry_gics(W842,2),IF($Y$3="wind三级行业",[1]!s_info_industry_gics(W842,3),IF($Y$3="wind四级行业",[1]!s_info_industry_gics(W842,4),IF($Y$3="证监会门类行业",[1]!s_info_industry_csrc12_n(W842,公司分析!D$5,1),""))))))))</f>
        <v>食品加工</v>
      </c>
      <c r="Z842" s="302" t="str">
        <f ca="1">IF(Y842=行业比较!$E$6,ROW(),"")</f>
        <v/>
      </c>
      <c r="AA842" s="122"/>
      <c r="AB842" s="122"/>
      <c r="AC842" s="122"/>
      <c r="AD842" s="122"/>
      <c r="AE842" s="122"/>
      <c r="AF842" s="122"/>
      <c r="AG842" s="122"/>
      <c r="AH842" s="122"/>
      <c r="AI842" s="122"/>
      <c r="AJ842" s="122"/>
      <c r="AK842" s="122"/>
      <c r="AL842" s="122"/>
      <c r="AM842" s="122"/>
      <c r="AN842" s="122"/>
      <c r="AO842" s="122"/>
      <c r="AP842" s="122"/>
    </row>
    <row r="843" spans="2:42">
      <c r="B843" s="122"/>
      <c r="C843" s="122"/>
      <c r="D843" s="122"/>
      <c r="E843" s="122"/>
      <c r="F843" s="122"/>
      <c r="G843" s="122"/>
      <c r="H843" s="122"/>
      <c r="I843" s="275"/>
      <c r="J843" s="130"/>
      <c r="K843" s="130"/>
      <c r="L843" s="130"/>
      <c r="M843" s="130"/>
      <c r="N843" s="291"/>
      <c r="O843" s="291"/>
      <c r="P843" s="122"/>
      <c r="Q843" s="122"/>
      <c r="R843" s="122"/>
      <c r="S843" s="122"/>
      <c r="T843" s="122"/>
      <c r="U843" s="301"/>
      <c r="V843" s="260">
        <f t="shared" ca="1" si="21"/>
        <v>0</v>
      </c>
      <c r="W843" s="348" t="str">
        <f>IF(板块成分!B845="","",板块成分!B845)</f>
        <v>002331.SZ</v>
      </c>
      <c r="X843" s="276" t="str">
        <f>[1]!S_Info_Name(W843)</f>
        <v>皖通科技</v>
      </c>
      <c r="Y843" s="276" t="str">
        <f ca="1">IF($Y$3="申万一级行业",[1]!s_info_industry_sw_2021(W843,公司分析!D$5,1),IF($Y$3="申万二级行业",[1]!s_info_industry_sw_2021(W843,公司分析!D$5,2),IF($Y$3="申万三级行业",[1]!s_info_industry_sw_2021(W843,公司分析!D$5,3),IF($Y$3="wind一级行业",[1]!s_info_industry_gics(W843,1),IF($Y$3="wind二级行业",[1]!s_info_industry_gics(W843,2),IF($Y$3="wind三级行业",[1]!s_info_industry_gics(W843,3),IF($Y$3="wind四级行业",[1]!s_info_industry_gics(W843,4),IF($Y$3="证监会门类行业",[1]!s_info_industry_csrc12_n(W843,公司分析!D$5,1),""))))))))</f>
        <v>IT服务Ⅱ</v>
      </c>
      <c r="Z843" s="302" t="str">
        <f ca="1">IF(Y843=行业比较!$E$6,ROW(),"")</f>
        <v/>
      </c>
      <c r="AA843" s="122"/>
      <c r="AB843" s="122"/>
      <c r="AC843" s="122"/>
      <c r="AD843" s="122"/>
      <c r="AE843" s="122"/>
      <c r="AF843" s="122"/>
      <c r="AG843" s="122"/>
      <c r="AH843" s="122"/>
      <c r="AI843" s="122"/>
      <c r="AJ843" s="122"/>
      <c r="AK843" s="122"/>
      <c r="AL843" s="122"/>
      <c r="AM843" s="122"/>
      <c r="AN843" s="122"/>
      <c r="AO843" s="122"/>
      <c r="AP843" s="122"/>
    </row>
    <row r="844" spans="2:42">
      <c r="B844" s="122"/>
      <c r="C844" s="122"/>
      <c r="D844" s="122"/>
      <c r="E844" s="122"/>
      <c r="F844" s="122"/>
      <c r="G844" s="122"/>
      <c r="H844" s="122"/>
      <c r="I844" s="275"/>
      <c r="J844" s="130"/>
      <c r="K844" s="130"/>
      <c r="L844" s="130"/>
      <c r="M844" s="130"/>
      <c r="N844" s="291"/>
      <c r="O844" s="291"/>
      <c r="P844" s="122"/>
      <c r="Q844" s="122"/>
      <c r="R844" s="122"/>
      <c r="S844" s="122"/>
      <c r="T844" s="122"/>
      <c r="U844" s="301"/>
      <c r="V844" s="260">
        <f t="shared" ca="1" si="21"/>
        <v>0</v>
      </c>
      <c r="W844" s="348" t="str">
        <f>IF(板块成分!B846="","",板块成分!B846)</f>
        <v>002332.SZ</v>
      </c>
      <c r="X844" s="276" t="str">
        <f>[1]!S_Info_Name(W844)</f>
        <v>仙琚制药</v>
      </c>
      <c r="Y844" s="276" t="str">
        <f ca="1">IF($Y$3="申万一级行业",[1]!s_info_industry_sw_2021(W844,公司分析!D$5,1),IF($Y$3="申万二级行业",[1]!s_info_industry_sw_2021(W844,公司分析!D$5,2),IF($Y$3="申万三级行业",[1]!s_info_industry_sw_2021(W844,公司分析!D$5,3),IF($Y$3="wind一级行业",[1]!s_info_industry_gics(W844,1),IF($Y$3="wind二级行业",[1]!s_info_industry_gics(W844,2),IF($Y$3="wind三级行业",[1]!s_info_industry_gics(W844,3),IF($Y$3="wind四级行业",[1]!s_info_industry_gics(W844,4),IF($Y$3="证监会门类行业",[1]!s_info_industry_csrc12_n(W844,公司分析!D$5,1),""))))))))</f>
        <v>化学制药</v>
      </c>
      <c r="Z844" s="302" t="str">
        <f ca="1">IF(Y844=行业比较!$E$6,ROW(),"")</f>
        <v/>
      </c>
      <c r="AA844" s="122"/>
      <c r="AB844" s="122"/>
      <c r="AC844" s="122"/>
      <c r="AD844" s="122"/>
      <c r="AE844" s="122"/>
      <c r="AF844" s="122"/>
      <c r="AG844" s="122"/>
      <c r="AH844" s="122"/>
      <c r="AI844" s="122"/>
      <c r="AJ844" s="122"/>
      <c r="AK844" s="122"/>
      <c r="AL844" s="122"/>
      <c r="AM844" s="122"/>
      <c r="AN844" s="122"/>
      <c r="AO844" s="122"/>
      <c r="AP844" s="122"/>
    </row>
    <row r="845" spans="2:42">
      <c r="B845" s="122"/>
      <c r="C845" s="122"/>
      <c r="D845" s="122"/>
      <c r="E845" s="122"/>
      <c r="F845" s="122"/>
      <c r="G845" s="122"/>
      <c r="H845" s="122"/>
      <c r="I845" s="275"/>
      <c r="J845" s="130"/>
      <c r="K845" s="130"/>
      <c r="L845" s="130"/>
      <c r="M845" s="130"/>
      <c r="N845" s="291"/>
      <c r="O845" s="291"/>
      <c r="P845" s="122"/>
      <c r="Q845" s="122"/>
      <c r="R845" s="122"/>
      <c r="S845" s="122"/>
      <c r="T845" s="122"/>
      <c r="U845" s="301"/>
      <c r="V845" s="260">
        <f t="shared" ca="1" si="21"/>
        <v>0</v>
      </c>
      <c r="W845" s="348" t="str">
        <f>IF(板块成分!B847="","",板块成分!B847)</f>
        <v>002333.SZ</v>
      </c>
      <c r="X845" s="276" t="str">
        <f>[1]!S_Info_Name(W845)</f>
        <v>罗普斯金</v>
      </c>
      <c r="Y845" s="276" t="str">
        <f ca="1">IF($Y$3="申万一级行业",[1]!s_info_industry_sw_2021(W845,公司分析!D$5,1),IF($Y$3="申万二级行业",[1]!s_info_industry_sw_2021(W845,公司分析!D$5,2),IF($Y$3="申万三级行业",[1]!s_info_industry_sw_2021(W845,公司分析!D$5,3),IF($Y$3="wind一级行业",[1]!s_info_industry_gics(W845,1),IF($Y$3="wind二级行业",[1]!s_info_industry_gics(W845,2),IF($Y$3="wind三级行业",[1]!s_info_industry_gics(W845,3),IF($Y$3="wind四级行业",[1]!s_info_industry_gics(W845,4),IF($Y$3="证监会门类行业",[1]!s_info_industry_csrc12_n(W845,公司分析!D$5,1),""))))))))</f>
        <v>装修建材</v>
      </c>
      <c r="Z845" s="302" t="str">
        <f ca="1">IF(Y845=行业比较!$E$6,ROW(),"")</f>
        <v/>
      </c>
      <c r="AA845" s="122"/>
      <c r="AB845" s="122"/>
      <c r="AC845" s="122"/>
      <c r="AD845" s="122"/>
      <c r="AE845" s="122"/>
      <c r="AF845" s="122"/>
      <c r="AG845" s="122"/>
      <c r="AH845" s="122"/>
      <c r="AI845" s="122"/>
      <c r="AJ845" s="122"/>
      <c r="AK845" s="122"/>
      <c r="AL845" s="122"/>
      <c r="AM845" s="122"/>
      <c r="AN845" s="122"/>
      <c r="AO845" s="122"/>
      <c r="AP845" s="122"/>
    </row>
    <row r="846" spans="2:42">
      <c r="B846" s="122"/>
      <c r="C846" s="122"/>
      <c r="D846" s="122"/>
      <c r="E846" s="122"/>
      <c r="F846" s="122"/>
      <c r="G846" s="122"/>
      <c r="H846" s="122"/>
      <c r="I846" s="275"/>
      <c r="J846" s="130"/>
      <c r="K846" s="130"/>
      <c r="L846" s="130"/>
      <c r="M846" s="130"/>
      <c r="N846" s="291"/>
      <c r="O846" s="291"/>
      <c r="P846" s="122"/>
      <c r="Q846" s="122"/>
      <c r="R846" s="122"/>
      <c r="S846" s="122"/>
      <c r="T846" s="122"/>
      <c r="U846" s="301"/>
      <c r="V846" s="260">
        <f t="shared" ca="1" si="21"/>
        <v>0</v>
      </c>
      <c r="W846" s="348" t="str">
        <f>IF(板块成分!B848="","",板块成分!B848)</f>
        <v>002334.SZ</v>
      </c>
      <c r="X846" s="276" t="str">
        <f>[1]!S_Info_Name(W846)</f>
        <v>英威腾</v>
      </c>
      <c r="Y846" s="276" t="str">
        <f ca="1">IF($Y$3="申万一级行业",[1]!s_info_industry_sw_2021(W846,公司分析!D$5,1),IF($Y$3="申万二级行业",[1]!s_info_industry_sw_2021(W846,公司分析!D$5,2),IF($Y$3="申万三级行业",[1]!s_info_industry_sw_2021(W846,公司分析!D$5,3),IF($Y$3="wind一级行业",[1]!s_info_industry_gics(W846,1),IF($Y$3="wind二级行业",[1]!s_info_industry_gics(W846,2),IF($Y$3="wind三级行业",[1]!s_info_industry_gics(W846,3),IF($Y$3="wind四级行业",[1]!s_info_industry_gics(W846,4),IF($Y$3="证监会门类行业",[1]!s_info_industry_csrc12_n(W846,公司分析!D$5,1),""))))))))</f>
        <v>自动化设备</v>
      </c>
      <c r="Z846" s="302" t="str">
        <f ca="1">IF(Y846=行业比较!$E$6,ROW(),"")</f>
        <v/>
      </c>
      <c r="AA846" s="122"/>
      <c r="AB846" s="122"/>
      <c r="AC846" s="122"/>
      <c r="AD846" s="122"/>
      <c r="AE846" s="122"/>
      <c r="AF846" s="122"/>
      <c r="AG846" s="122"/>
      <c r="AH846" s="122"/>
      <c r="AI846" s="122"/>
      <c r="AJ846" s="122"/>
      <c r="AK846" s="122"/>
      <c r="AL846" s="122"/>
      <c r="AM846" s="122"/>
      <c r="AN846" s="122"/>
      <c r="AO846" s="122"/>
      <c r="AP846" s="122"/>
    </row>
    <row r="847" spans="2:42">
      <c r="B847" s="122"/>
      <c r="C847" s="122"/>
      <c r="D847" s="122"/>
      <c r="E847" s="122"/>
      <c r="F847" s="122"/>
      <c r="G847" s="122"/>
      <c r="H847" s="122"/>
      <c r="I847" s="275"/>
      <c r="J847" s="130"/>
      <c r="K847" s="130"/>
      <c r="L847" s="130"/>
      <c r="M847" s="130"/>
      <c r="N847" s="291"/>
      <c r="O847" s="291"/>
      <c r="P847" s="122"/>
      <c r="Q847" s="122"/>
      <c r="R847" s="122"/>
      <c r="S847" s="122"/>
      <c r="T847" s="122"/>
      <c r="U847" s="301"/>
      <c r="V847" s="260">
        <f t="shared" ca="1" si="21"/>
        <v>0</v>
      </c>
      <c r="W847" s="348" t="str">
        <f>IF(板块成分!B849="","",板块成分!B849)</f>
        <v>002335.SZ</v>
      </c>
      <c r="X847" s="276" t="str">
        <f>[1]!S_Info_Name(W847)</f>
        <v>科华数据</v>
      </c>
      <c r="Y847" s="276" t="str">
        <f ca="1">IF($Y$3="申万一级行业",[1]!s_info_industry_sw_2021(W847,公司分析!D$5,1),IF($Y$3="申万二级行业",[1]!s_info_industry_sw_2021(W847,公司分析!D$5,2),IF($Y$3="申万三级行业",[1]!s_info_industry_sw_2021(W847,公司分析!D$5,3),IF($Y$3="wind一级行业",[1]!s_info_industry_gics(W847,1),IF($Y$3="wind二级行业",[1]!s_info_industry_gics(W847,2),IF($Y$3="wind三级行业",[1]!s_info_industry_gics(W847,3),IF($Y$3="wind四级行业",[1]!s_info_industry_gics(W847,4),IF($Y$3="证监会门类行业",[1]!s_info_industry_csrc12_n(W847,公司分析!D$5,1),""))))))))</f>
        <v>其他电源设备Ⅱ</v>
      </c>
      <c r="Z847" s="302" t="str">
        <f ca="1">IF(Y847=行业比较!$E$6,ROW(),"")</f>
        <v/>
      </c>
      <c r="AA847" s="122"/>
      <c r="AB847" s="122"/>
      <c r="AC847" s="122"/>
      <c r="AD847" s="122"/>
      <c r="AE847" s="122"/>
      <c r="AF847" s="122"/>
      <c r="AG847" s="122"/>
      <c r="AH847" s="122"/>
      <c r="AI847" s="122"/>
      <c r="AJ847" s="122"/>
      <c r="AK847" s="122"/>
      <c r="AL847" s="122"/>
      <c r="AM847" s="122"/>
      <c r="AN847" s="122"/>
      <c r="AO847" s="122"/>
      <c r="AP847" s="122"/>
    </row>
    <row r="848" spans="2:42">
      <c r="B848" s="122"/>
      <c r="C848" s="122"/>
      <c r="D848" s="122"/>
      <c r="E848" s="122"/>
      <c r="F848" s="122"/>
      <c r="G848" s="122"/>
      <c r="H848" s="122"/>
      <c r="I848" s="275"/>
      <c r="J848" s="130"/>
      <c r="K848" s="130"/>
      <c r="L848" s="130"/>
      <c r="M848" s="130"/>
      <c r="N848" s="291"/>
      <c r="O848" s="291"/>
      <c r="P848" s="122"/>
      <c r="Q848" s="122"/>
      <c r="R848" s="122"/>
      <c r="S848" s="122"/>
      <c r="T848" s="122"/>
      <c r="U848" s="301"/>
      <c r="V848" s="260">
        <f t="shared" ca="1" si="21"/>
        <v>0</v>
      </c>
      <c r="W848" s="348" t="str">
        <f>IF(板块成分!B850="","",板块成分!B850)</f>
        <v>002337.SZ</v>
      </c>
      <c r="X848" s="276" t="str">
        <f>[1]!S_Info_Name(W848)</f>
        <v>赛象科技</v>
      </c>
      <c r="Y848" s="276" t="str">
        <f ca="1">IF($Y$3="申万一级行业",[1]!s_info_industry_sw_2021(W848,公司分析!D$5,1),IF($Y$3="申万二级行业",[1]!s_info_industry_sw_2021(W848,公司分析!D$5,2),IF($Y$3="申万三级行业",[1]!s_info_industry_sw_2021(W848,公司分析!D$5,3),IF($Y$3="wind一级行业",[1]!s_info_industry_gics(W848,1),IF($Y$3="wind二级行业",[1]!s_info_industry_gics(W848,2),IF($Y$3="wind三级行业",[1]!s_info_industry_gics(W848,3),IF($Y$3="wind四级行业",[1]!s_info_industry_gics(W848,4),IF($Y$3="证监会门类行业",[1]!s_info_industry_csrc12_n(W848,公司分析!D$5,1),""))))))))</f>
        <v>专用设备</v>
      </c>
      <c r="Z848" s="302" t="str">
        <f ca="1">IF(Y848=行业比较!$E$6,ROW(),"")</f>
        <v/>
      </c>
      <c r="AA848" s="122"/>
      <c r="AB848" s="122"/>
      <c r="AC848" s="122"/>
      <c r="AD848" s="122"/>
      <c r="AE848" s="122"/>
      <c r="AF848" s="122"/>
      <c r="AG848" s="122"/>
      <c r="AH848" s="122"/>
      <c r="AI848" s="122"/>
      <c r="AJ848" s="122"/>
      <c r="AK848" s="122"/>
      <c r="AL848" s="122"/>
      <c r="AM848" s="122"/>
      <c r="AN848" s="122"/>
      <c r="AO848" s="122"/>
      <c r="AP848" s="122"/>
    </row>
    <row r="849" spans="2:42">
      <c r="B849" s="122"/>
      <c r="C849" s="122"/>
      <c r="D849" s="122"/>
      <c r="E849" s="122"/>
      <c r="F849" s="122"/>
      <c r="G849" s="122"/>
      <c r="H849" s="122"/>
      <c r="I849" s="275"/>
      <c r="J849" s="130"/>
      <c r="K849" s="130"/>
      <c r="L849" s="130"/>
      <c r="M849" s="130"/>
      <c r="N849" s="291"/>
      <c r="O849" s="291"/>
      <c r="P849" s="122"/>
      <c r="Q849" s="122"/>
      <c r="R849" s="122"/>
      <c r="S849" s="122"/>
      <c r="T849" s="122"/>
      <c r="U849" s="301"/>
      <c r="V849" s="260">
        <f t="shared" ca="1" si="21"/>
        <v>0</v>
      </c>
      <c r="W849" s="348" t="str">
        <f>IF(板块成分!B851="","",板块成分!B851)</f>
        <v>002338.SZ</v>
      </c>
      <c r="X849" s="276" t="str">
        <f>[1]!S_Info_Name(W849)</f>
        <v>奥普光电</v>
      </c>
      <c r="Y849" s="276" t="str">
        <f ca="1">IF($Y$3="申万一级行业",[1]!s_info_industry_sw_2021(W849,公司分析!D$5,1),IF($Y$3="申万二级行业",[1]!s_info_industry_sw_2021(W849,公司分析!D$5,2),IF($Y$3="申万三级行业",[1]!s_info_industry_sw_2021(W849,公司分析!D$5,3),IF($Y$3="wind一级行业",[1]!s_info_industry_gics(W849,1),IF($Y$3="wind二级行业",[1]!s_info_industry_gics(W849,2),IF($Y$3="wind三级行业",[1]!s_info_industry_gics(W849,3),IF($Y$3="wind四级行业",[1]!s_info_industry_gics(W849,4),IF($Y$3="证监会门类行业",[1]!s_info_industry_csrc12_n(W849,公司分析!D$5,1),""))))))))</f>
        <v>军工电子Ⅱ</v>
      </c>
      <c r="Z849" s="302" t="str">
        <f ca="1">IF(Y849=行业比较!$E$6,ROW(),"")</f>
        <v/>
      </c>
      <c r="AA849" s="122"/>
      <c r="AB849" s="122"/>
      <c r="AC849" s="122"/>
      <c r="AD849" s="122"/>
      <c r="AE849" s="122"/>
      <c r="AF849" s="122"/>
      <c r="AG849" s="122"/>
      <c r="AH849" s="122"/>
      <c r="AI849" s="122"/>
      <c r="AJ849" s="122"/>
      <c r="AK849" s="122"/>
      <c r="AL849" s="122"/>
      <c r="AM849" s="122"/>
      <c r="AN849" s="122"/>
      <c r="AO849" s="122"/>
      <c r="AP849" s="122"/>
    </row>
    <row r="850" spans="2:42">
      <c r="B850" s="122"/>
      <c r="C850" s="122"/>
      <c r="D850" s="122"/>
      <c r="E850" s="122"/>
      <c r="F850" s="122"/>
      <c r="G850" s="122"/>
      <c r="H850" s="122"/>
      <c r="I850" s="275"/>
      <c r="J850" s="130"/>
      <c r="K850" s="130"/>
      <c r="L850" s="130"/>
      <c r="M850" s="130"/>
      <c r="N850" s="291"/>
      <c r="O850" s="291"/>
      <c r="P850" s="122"/>
      <c r="Q850" s="122"/>
      <c r="R850" s="122"/>
      <c r="S850" s="122"/>
      <c r="T850" s="122"/>
      <c r="U850" s="301"/>
      <c r="V850" s="260">
        <f t="shared" ca="1" si="21"/>
        <v>0</v>
      </c>
      <c r="W850" s="348" t="str">
        <f>IF(板块成分!B852="","",板块成分!B852)</f>
        <v>002339.SZ</v>
      </c>
      <c r="X850" s="276" t="str">
        <f>[1]!S_Info_Name(W850)</f>
        <v>积成电子</v>
      </c>
      <c r="Y850" s="276" t="str">
        <f ca="1">IF($Y$3="申万一级行业",[1]!s_info_industry_sw_2021(W850,公司分析!D$5,1),IF($Y$3="申万二级行业",[1]!s_info_industry_sw_2021(W850,公司分析!D$5,2),IF($Y$3="申万三级行业",[1]!s_info_industry_sw_2021(W850,公司分析!D$5,3),IF($Y$3="wind一级行业",[1]!s_info_industry_gics(W850,1),IF($Y$3="wind二级行业",[1]!s_info_industry_gics(W850,2),IF($Y$3="wind三级行业",[1]!s_info_industry_gics(W850,3),IF($Y$3="wind四级行业",[1]!s_info_industry_gics(W850,4),IF($Y$3="证监会门类行业",[1]!s_info_industry_csrc12_n(W850,公司分析!D$5,1),""))))))))</f>
        <v>电网设备</v>
      </c>
      <c r="Z850" s="302" t="str">
        <f ca="1">IF(Y850=行业比较!$E$6,ROW(),"")</f>
        <v/>
      </c>
      <c r="AA850" s="122"/>
      <c r="AB850" s="122"/>
      <c r="AC850" s="122"/>
      <c r="AD850" s="122"/>
      <c r="AE850" s="122"/>
      <c r="AF850" s="122"/>
      <c r="AG850" s="122"/>
      <c r="AH850" s="122"/>
      <c r="AI850" s="122"/>
      <c r="AJ850" s="122"/>
      <c r="AK850" s="122"/>
      <c r="AL850" s="122"/>
      <c r="AM850" s="122"/>
      <c r="AN850" s="122"/>
      <c r="AO850" s="122"/>
      <c r="AP850" s="122"/>
    </row>
    <row r="851" spans="2:42">
      <c r="B851" s="122"/>
      <c r="C851" s="122"/>
      <c r="D851" s="122"/>
      <c r="E851" s="122"/>
      <c r="F851" s="122"/>
      <c r="G851" s="122"/>
      <c r="H851" s="122"/>
      <c r="I851" s="275"/>
      <c r="J851" s="130"/>
      <c r="K851" s="130"/>
      <c r="L851" s="130"/>
      <c r="M851" s="130"/>
      <c r="N851" s="291"/>
      <c r="O851" s="291"/>
      <c r="P851" s="122"/>
      <c r="Q851" s="122"/>
      <c r="R851" s="122"/>
      <c r="S851" s="122"/>
      <c r="T851" s="122"/>
      <c r="U851" s="301"/>
      <c r="V851" s="260">
        <f t="shared" ca="1" si="21"/>
        <v>0</v>
      </c>
      <c r="W851" s="348" t="str">
        <f>IF(板块成分!B853="","",板块成分!B853)</f>
        <v>002340.SZ</v>
      </c>
      <c r="X851" s="276" t="str">
        <f>[1]!S_Info_Name(W851)</f>
        <v>格林美</v>
      </c>
      <c r="Y851" s="276" t="str">
        <f ca="1">IF($Y$3="申万一级行业",[1]!s_info_industry_sw_2021(W851,公司分析!D$5,1),IF($Y$3="申万二级行业",[1]!s_info_industry_sw_2021(W851,公司分析!D$5,2),IF($Y$3="申万三级行业",[1]!s_info_industry_sw_2021(W851,公司分析!D$5,3),IF($Y$3="wind一级行业",[1]!s_info_industry_gics(W851,1),IF($Y$3="wind二级行业",[1]!s_info_industry_gics(W851,2),IF($Y$3="wind三级行业",[1]!s_info_industry_gics(W851,3),IF($Y$3="wind四级行业",[1]!s_info_industry_gics(W851,4),IF($Y$3="证监会门类行业",[1]!s_info_industry_csrc12_n(W851,公司分析!D$5,1),""))))))))</f>
        <v>电池</v>
      </c>
      <c r="Z851" s="302" t="str">
        <f ca="1">IF(Y851=行业比较!$E$6,ROW(),"")</f>
        <v/>
      </c>
      <c r="AA851" s="122"/>
      <c r="AB851" s="122"/>
      <c r="AC851" s="122"/>
      <c r="AD851" s="122"/>
      <c r="AE851" s="122"/>
      <c r="AF851" s="122"/>
      <c r="AG851" s="122"/>
      <c r="AH851" s="122"/>
      <c r="AI851" s="122"/>
      <c r="AJ851" s="122"/>
      <c r="AK851" s="122"/>
      <c r="AL851" s="122"/>
      <c r="AM851" s="122"/>
      <c r="AN851" s="122"/>
      <c r="AO851" s="122"/>
      <c r="AP851" s="122"/>
    </row>
    <row r="852" spans="2:42">
      <c r="B852" s="122"/>
      <c r="C852" s="122"/>
      <c r="D852" s="122"/>
      <c r="E852" s="122"/>
      <c r="F852" s="122"/>
      <c r="G852" s="122"/>
      <c r="H852" s="122"/>
      <c r="I852" s="275"/>
      <c r="J852" s="130"/>
      <c r="K852" s="130"/>
      <c r="L852" s="130"/>
      <c r="M852" s="130"/>
      <c r="N852" s="291"/>
      <c r="O852" s="291"/>
      <c r="P852" s="122"/>
      <c r="Q852" s="122"/>
      <c r="R852" s="122"/>
      <c r="S852" s="122"/>
      <c r="T852" s="122"/>
      <c r="U852" s="301"/>
      <c r="V852" s="260">
        <f t="shared" ca="1" si="21"/>
        <v>0</v>
      </c>
      <c r="W852" s="348" t="str">
        <f>IF(板块成分!B854="","",板块成分!B854)</f>
        <v>002342.SZ</v>
      </c>
      <c r="X852" s="276" t="str">
        <f>[1]!S_Info_Name(W852)</f>
        <v>巨力索具</v>
      </c>
      <c r="Y852" s="276" t="str">
        <f ca="1">IF($Y$3="申万一级行业",[1]!s_info_industry_sw_2021(W852,公司分析!D$5,1),IF($Y$3="申万二级行业",[1]!s_info_industry_sw_2021(W852,公司分析!D$5,2),IF($Y$3="申万三级行业",[1]!s_info_industry_sw_2021(W852,公司分析!D$5,3),IF($Y$3="wind一级行业",[1]!s_info_industry_gics(W852,1),IF($Y$3="wind二级行业",[1]!s_info_industry_gics(W852,2),IF($Y$3="wind三级行业",[1]!s_info_industry_gics(W852,3),IF($Y$3="wind四级行业",[1]!s_info_industry_gics(W852,4),IF($Y$3="证监会门类行业",[1]!s_info_industry_csrc12_n(W852,公司分析!D$5,1),""))))))))</f>
        <v>通用设备</v>
      </c>
      <c r="Z852" s="302" t="str">
        <f ca="1">IF(Y852=行业比较!$E$6,ROW(),"")</f>
        <v/>
      </c>
      <c r="AA852" s="122"/>
      <c r="AB852" s="122"/>
      <c r="AC852" s="122"/>
      <c r="AD852" s="122"/>
      <c r="AE852" s="122"/>
      <c r="AF852" s="122"/>
      <c r="AG852" s="122"/>
      <c r="AH852" s="122"/>
      <c r="AI852" s="122"/>
      <c r="AJ852" s="122"/>
      <c r="AK852" s="122"/>
      <c r="AL852" s="122"/>
      <c r="AM852" s="122"/>
      <c r="AN852" s="122"/>
      <c r="AO852" s="122"/>
      <c r="AP852" s="122"/>
    </row>
    <row r="853" spans="2:42">
      <c r="B853" s="122"/>
      <c r="C853" s="122"/>
      <c r="D853" s="122"/>
      <c r="E853" s="122"/>
      <c r="F853" s="122"/>
      <c r="G853" s="122"/>
      <c r="H853" s="122"/>
      <c r="I853" s="275"/>
      <c r="J853" s="130"/>
      <c r="K853" s="130"/>
      <c r="L853" s="130"/>
      <c r="M853" s="130"/>
      <c r="N853" s="291"/>
      <c r="O853" s="291"/>
      <c r="P853" s="122"/>
      <c r="Q853" s="122"/>
      <c r="R853" s="122"/>
      <c r="S853" s="122"/>
      <c r="T853" s="122"/>
      <c r="U853" s="301"/>
      <c r="V853" s="260">
        <f t="shared" ca="1" si="21"/>
        <v>0</v>
      </c>
      <c r="W853" s="348" t="str">
        <f>IF(板块成分!B855="","",板块成分!B855)</f>
        <v>002343.SZ</v>
      </c>
      <c r="X853" s="276" t="str">
        <f>[1]!S_Info_Name(W853)</f>
        <v>慈文传媒</v>
      </c>
      <c r="Y853" s="276" t="str">
        <f ca="1">IF($Y$3="申万一级行业",[1]!s_info_industry_sw_2021(W853,公司分析!D$5,1),IF($Y$3="申万二级行业",[1]!s_info_industry_sw_2021(W853,公司分析!D$5,2),IF($Y$3="申万三级行业",[1]!s_info_industry_sw_2021(W853,公司分析!D$5,3),IF($Y$3="wind一级行业",[1]!s_info_industry_gics(W853,1),IF($Y$3="wind二级行业",[1]!s_info_industry_gics(W853,2),IF($Y$3="wind三级行业",[1]!s_info_industry_gics(W853,3),IF($Y$3="wind四级行业",[1]!s_info_industry_gics(W853,4),IF($Y$3="证监会门类行业",[1]!s_info_industry_csrc12_n(W853,公司分析!D$5,1),""))))))))</f>
        <v>影视院线</v>
      </c>
      <c r="Z853" s="302" t="str">
        <f ca="1">IF(Y853=行业比较!$E$6,ROW(),"")</f>
        <v/>
      </c>
      <c r="AA853" s="122"/>
      <c r="AB853" s="122"/>
      <c r="AC853" s="122"/>
      <c r="AD853" s="122"/>
      <c r="AE853" s="122"/>
      <c r="AF853" s="122"/>
      <c r="AG853" s="122"/>
      <c r="AH853" s="122"/>
      <c r="AI853" s="122"/>
      <c r="AJ853" s="122"/>
      <c r="AK853" s="122"/>
      <c r="AL853" s="122"/>
      <c r="AM853" s="122"/>
      <c r="AN853" s="122"/>
      <c r="AO853" s="122"/>
      <c r="AP853" s="122"/>
    </row>
    <row r="854" spans="2:42">
      <c r="B854" s="122"/>
      <c r="C854" s="122"/>
      <c r="D854" s="122"/>
      <c r="E854" s="122"/>
      <c r="F854" s="122"/>
      <c r="G854" s="122"/>
      <c r="H854" s="122"/>
      <c r="I854" s="275"/>
      <c r="J854" s="130"/>
      <c r="K854" s="130"/>
      <c r="L854" s="130"/>
      <c r="M854" s="130"/>
      <c r="N854" s="291"/>
      <c r="O854" s="291"/>
      <c r="P854" s="122"/>
      <c r="Q854" s="122"/>
      <c r="R854" s="122"/>
      <c r="S854" s="122"/>
      <c r="T854" s="122"/>
      <c r="U854" s="301"/>
      <c r="V854" s="260">
        <f t="shared" ca="1" si="21"/>
        <v>0</v>
      </c>
      <c r="W854" s="348" t="str">
        <f>IF(板块成分!B856="","",板块成分!B856)</f>
        <v>002344.SZ</v>
      </c>
      <c r="X854" s="276" t="str">
        <f>[1]!S_Info_Name(W854)</f>
        <v>海宁皮城</v>
      </c>
      <c r="Y854" s="276" t="str">
        <f ca="1">IF($Y$3="申万一级行业",[1]!s_info_industry_sw_2021(W854,公司分析!D$5,1),IF($Y$3="申万二级行业",[1]!s_info_industry_sw_2021(W854,公司分析!D$5,2),IF($Y$3="申万三级行业",[1]!s_info_industry_sw_2021(W854,公司分析!D$5,3),IF($Y$3="wind一级行业",[1]!s_info_industry_gics(W854,1),IF($Y$3="wind二级行业",[1]!s_info_industry_gics(W854,2),IF($Y$3="wind三级行业",[1]!s_info_industry_gics(W854,3),IF($Y$3="wind四级行业",[1]!s_info_industry_gics(W854,4),IF($Y$3="证监会门类行业",[1]!s_info_industry_csrc12_n(W854,公司分析!D$5,1),""))))))))</f>
        <v>一般零售</v>
      </c>
      <c r="Z854" s="302" t="str">
        <f ca="1">IF(Y854=行业比较!$E$6,ROW(),"")</f>
        <v/>
      </c>
      <c r="AA854" s="122"/>
      <c r="AB854" s="122"/>
      <c r="AC854" s="122"/>
      <c r="AD854" s="122"/>
      <c r="AE854" s="122"/>
      <c r="AF854" s="122"/>
      <c r="AG854" s="122"/>
      <c r="AH854" s="122"/>
      <c r="AI854" s="122"/>
      <c r="AJ854" s="122"/>
      <c r="AK854" s="122"/>
      <c r="AL854" s="122"/>
      <c r="AM854" s="122"/>
      <c r="AN854" s="122"/>
      <c r="AO854" s="122"/>
      <c r="AP854" s="122"/>
    </row>
    <row r="855" spans="2:42">
      <c r="B855" s="122"/>
      <c r="C855" s="122"/>
      <c r="D855" s="122"/>
      <c r="E855" s="122"/>
      <c r="F855" s="122"/>
      <c r="G855" s="122"/>
      <c r="H855" s="122"/>
      <c r="I855" s="275"/>
      <c r="J855" s="130"/>
      <c r="K855" s="130"/>
      <c r="L855" s="130"/>
      <c r="M855" s="130"/>
      <c r="N855" s="291"/>
      <c r="O855" s="291"/>
      <c r="P855" s="122"/>
      <c r="Q855" s="122"/>
      <c r="R855" s="122"/>
      <c r="S855" s="122"/>
      <c r="T855" s="122"/>
      <c r="U855" s="301"/>
      <c r="V855" s="260">
        <f t="shared" ca="1" si="21"/>
        <v>0</v>
      </c>
      <c r="W855" s="348" t="str">
        <f>IF(板块成分!B857="","",板块成分!B857)</f>
        <v>002345.SZ</v>
      </c>
      <c r="X855" s="276" t="str">
        <f>[1]!S_Info_Name(W855)</f>
        <v>潮宏基</v>
      </c>
      <c r="Y855" s="276" t="str">
        <f ca="1">IF($Y$3="申万一级行业",[1]!s_info_industry_sw_2021(W855,公司分析!D$5,1),IF($Y$3="申万二级行业",[1]!s_info_industry_sw_2021(W855,公司分析!D$5,2),IF($Y$3="申万三级行业",[1]!s_info_industry_sw_2021(W855,公司分析!D$5,3),IF($Y$3="wind一级行业",[1]!s_info_industry_gics(W855,1),IF($Y$3="wind二级行业",[1]!s_info_industry_gics(W855,2),IF($Y$3="wind三级行业",[1]!s_info_industry_gics(W855,3),IF($Y$3="wind四级行业",[1]!s_info_industry_gics(W855,4),IF($Y$3="证监会门类行业",[1]!s_info_industry_csrc12_n(W855,公司分析!D$5,1),""))))))))</f>
        <v>饰品</v>
      </c>
      <c r="Z855" s="302" t="str">
        <f ca="1">IF(Y855=行业比较!$E$6,ROW(),"")</f>
        <v/>
      </c>
      <c r="AA855" s="122"/>
      <c r="AB855" s="122"/>
      <c r="AC855" s="122"/>
      <c r="AD855" s="122"/>
      <c r="AE855" s="122"/>
      <c r="AF855" s="122"/>
      <c r="AG855" s="122"/>
      <c r="AH855" s="122"/>
      <c r="AI855" s="122"/>
      <c r="AJ855" s="122"/>
      <c r="AK855" s="122"/>
      <c r="AL855" s="122"/>
      <c r="AM855" s="122"/>
      <c r="AN855" s="122"/>
      <c r="AO855" s="122"/>
      <c r="AP855" s="122"/>
    </row>
    <row r="856" spans="2:42">
      <c r="B856" s="122"/>
      <c r="C856" s="122"/>
      <c r="D856" s="122"/>
      <c r="E856" s="122"/>
      <c r="F856" s="122"/>
      <c r="G856" s="122"/>
      <c r="H856" s="122"/>
      <c r="I856" s="275"/>
      <c r="J856" s="130"/>
      <c r="K856" s="130"/>
      <c r="L856" s="130"/>
      <c r="M856" s="130"/>
      <c r="N856" s="291"/>
      <c r="O856" s="291"/>
      <c r="P856" s="122"/>
      <c r="Q856" s="122"/>
      <c r="R856" s="122"/>
      <c r="S856" s="122"/>
      <c r="T856" s="122"/>
      <c r="U856" s="301"/>
      <c r="V856" s="260">
        <f t="shared" ca="1" si="21"/>
        <v>0</v>
      </c>
      <c r="W856" s="348" t="str">
        <f>IF(板块成分!B858="","",板块成分!B858)</f>
        <v>002346.SZ</v>
      </c>
      <c r="X856" s="276" t="str">
        <f>[1]!S_Info_Name(W856)</f>
        <v>柘中股份</v>
      </c>
      <c r="Y856" s="276" t="str">
        <f ca="1">IF($Y$3="申万一级行业",[1]!s_info_industry_sw_2021(W856,公司分析!D$5,1),IF($Y$3="申万二级行业",[1]!s_info_industry_sw_2021(W856,公司分析!D$5,2),IF($Y$3="申万三级行业",[1]!s_info_industry_sw_2021(W856,公司分析!D$5,3),IF($Y$3="wind一级行业",[1]!s_info_industry_gics(W856,1),IF($Y$3="wind二级行业",[1]!s_info_industry_gics(W856,2),IF($Y$3="wind三级行业",[1]!s_info_industry_gics(W856,3),IF($Y$3="wind四级行业",[1]!s_info_industry_gics(W856,4),IF($Y$3="证监会门类行业",[1]!s_info_industry_csrc12_n(W856,公司分析!D$5,1),""))))))))</f>
        <v>电网设备</v>
      </c>
      <c r="Z856" s="302" t="str">
        <f ca="1">IF(Y856=行业比较!$E$6,ROW(),"")</f>
        <v/>
      </c>
      <c r="AA856" s="122"/>
      <c r="AB856" s="122"/>
      <c r="AC856" s="122"/>
      <c r="AD856" s="122"/>
      <c r="AE856" s="122"/>
      <c r="AF856" s="122"/>
      <c r="AG856" s="122"/>
      <c r="AH856" s="122"/>
      <c r="AI856" s="122"/>
      <c r="AJ856" s="122"/>
      <c r="AK856" s="122"/>
      <c r="AL856" s="122"/>
      <c r="AM856" s="122"/>
      <c r="AN856" s="122"/>
      <c r="AO856" s="122"/>
      <c r="AP856" s="122"/>
    </row>
    <row r="857" spans="2:42">
      <c r="B857" s="122"/>
      <c r="C857" s="122"/>
      <c r="D857" s="122"/>
      <c r="E857" s="122"/>
      <c r="F857" s="122"/>
      <c r="G857" s="122"/>
      <c r="H857" s="122"/>
      <c r="I857" s="275"/>
      <c r="J857" s="130"/>
      <c r="K857" s="130"/>
      <c r="L857" s="130"/>
      <c r="M857" s="130"/>
      <c r="N857" s="291"/>
      <c r="O857" s="291"/>
      <c r="P857" s="122"/>
      <c r="Q857" s="122"/>
      <c r="R857" s="122"/>
      <c r="S857" s="122"/>
      <c r="T857" s="122"/>
      <c r="U857" s="301"/>
      <c r="V857" s="260">
        <f t="shared" ca="1" si="21"/>
        <v>0</v>
      </c>
      <c r="W857" s="348" t="str">
        <f>IF(板块成分!B859="","",板块成分!B859)</f>
        <v>002347.SZ</v>
      </c>
      <c r="X857" s="276" t="str">
        <f>[1]!S_Info_Name(W857)</f>
        <v>泰尔股份</v>
      </c>
      <c r="Y857" s="276" t="str">
        <f ca="1">IF($Y$3="申万一级行业",[1]!s_info_industry_sw_2021(W857,公司分析!D$5,1),IF($Y$3="申万二级行业",[1]!s_info_industry_sw_2021(W857,公司分析!D$5,2),IF($Y$3="申万三级行业",[1]!s_info_industry_sw_2021(W857,公司分析!D$5,3),IF($Y$3="wind一级行业",[1]!s_info_industry_gics(W857,1),IF($Y$3="wind二级行业",[1]!s_info_industry_gics(W857,2),IF($Y$3="wind三级行业",[1]!s_info_industry_gics(W857,3),IF($Y$3="wind四级行业",[1]!s_info_industry_gics(W857,4),IF($Y$3="证监会门类行业",[1]!s_info_industry_csrc12_n(W857,公司分析!D$5,1),""))))))))</f>
        <v>通用设备</v>
      </c>
      <c r="Z857" s="302" t="str">
        <f ca="1">IF(Y857=行业比较!$E$6,ROW(),"")</f>
        <v/>
      </c>
      <c r="AA857" s="122"/>
      <c r="AB857" s="122"/>
      <c r="AC857" s="122"/>
      <c r="AD857" s="122"/>
      <c r="AE857" s="122"/>
      <c r="AF857" s="122"/>
      <c r="AG857" s="122"/>
      <c r="AH857" s="122"/>
      <c r="AI857" s="122"/>
      <c r="AJ857" s="122"/>
      <c r="AK857" s="122"/>
      <c r="AL857" s="122"/>
      <c r="AM857" s="122"/>
      <c r="AN857" s="122"/>
      <c r="AO857" s="122"/>
      <c r="AP857" s="122"/>
    </row>
    <row r="858" spans="2:42">
      <c r="B858" s="122"/>
      <c r="C858" s="122"/>
      <c r="D858" s="122"/>
      <c r="E858" s="122"/>
      <c r="F858" s="122"/>
      <c r="G858" s="122"/>
      <c r="H858" s="122"/>
      <c r="I858" s="275"/>
      <c r="J858" s="130"/>
      <c r="K858" s="130"/>
      <c r="L858" s="130"/>
      <c r="M858" s="130"/>
      <c r="N858" s="291"/>
      <c r="O858" s="291"/>
      <c r="P858" s="122"/>
      <c r="Q858" s="122"/>
      <c r="R858" s="122"/>
      <c r="S858" s="122"/>
      <c r="T858" s="122"/>
      <c r="U858" s="301"/>
      <c r="V858" s="260">
        <f t="shared" ca="1" si="21"/>
        <v>0</v>
      </c>
      <c r="W858" s="348" t="str">
        <f>IF(板块成分!B860="","",板块成分!B860)</f>
        <v>002348.SZ</v>
      </c>
      <c r="X858" s="276" t="str">
        <f>[1]!S_Info_Name(W858)</f>
        <v>高乐股份</v>
      </c>
      <c r="Y858" s="276" t="str">
        <f ca="1">IF($Y$3="申万一级行业",[1]!s_info_industry_sw_2021(W858,公司分析!D$5,1),IF($Y$3="申万二级行业",[1]!s_info_industry_sw_2021(W858,公司分析!D$5,2),IF($Y$3="申万三级行业",[1]!s_info_industry_sw_2021(W858,公司分析!D$5,3),IF($Y$3="wind一级行业",[1]!s_info_industry_gics(W858,1),IF($Y$3="wind二级行业",[1]!s_info_industry_gics(W858,2),IF($Y$3="wind三级行业",[1]!s_info_industry_gics(W858,3),IF($Y$3="wind四级行业",[1]!s_info_industry_gics(W858,4),IF($Y$3="证监会门类行业",[1]!s_info_industry_csrc12_n(W858,公司分析!D$5,1),""))))))))</f>
        <v>文娱用品</v>
      </c>
      <c r="Z858" s="302" t="str">
        <f ca="1">IF(Y858=行业比较!$E$6,ROW(),"")</f>
        <v/>
      </c>
      <c r="AA858" s="122"/>
      <c r="AB858" s="122"/>
      <c r="AC858" s="122"/>
      <c r="AD858" s="122"/>
      <c r="AE858" s="122"/>
      <c r="AF858" s="122"/>
      <c r="AG858" s="122"/>
      <c r="AH858" s="122"/>
      <c r="AI858" s="122"/>
      <c r="AJ858" s="122"/>
      <c r="AK858" s="122"/>
      <c r="AL858" s="122"/>
      <c r="AM858" s="122"/>
      <c r="AN858" s="122"/>
      <c r="AO858" s="122"/>
      <c r="AP858" s="122"/>
    </row>
    <row r="859" spans="2:42">
      <c r="B859" s="122"/>
      <c r="C859" s="122"/>
      <c r="D859" s="122"/>
      <c r="E859" s="122"/>
      <c r="F859" s="122"/>
      <c r="G859" s="122"/>
      <c r="H859" s="122"/>
      <c r="I859" s="275"/>
      <c r="J859" s="130"/>
      <c r="K859" s="130"/>
      <c r="L859" s="130"/>
      <c r="M859" s="130"/>
      <c r="N859" s="291"/>
      <c r="O859" s="291"/>
      <c r="P859" s="122"/>
      <c r="Q859" s="122"/>
      <c r="R859" s="122"/>
      <c r="S859" s="122"/>
      <c r="T859" s="122"/>
      <c r="U859" s="301"/>
      <c r="V859" s="260">
        <f t="shared" ca="1" si="21"/>
        <v>0</v>
      </c>
      <c r="W859" s="348" t="str">
        <f>IF(板块成分!B861="","",板块成分!B861)</f>
        <v>002349.SZ</v>
      </c>
      <c r="X859" s="276" t="str">
        <f>[1]!S_Info_Name(W859)</f>
        <v>精华制药</v>
      </c>
      <c r="Y859" s="276" t="str">
        <f ca="1">IF($Y$3="申万一级行业",[1]!s_info_industry_sw_2021(W859,公司分析!D$5,1),IF($Y$3="申万二级行业",[1]!s_info_industry_sw_2021(W859,公司分析!D$5,2),IF($Y$3="申万三级行业",[1]!s_info_industry_sw_2021(W859,公司分析!D$5,3),IF($Y$3="wind一级行业",[1]!s_info_industry_gics(W859,1),IF($Y$3="wind二级行业",[1]!s_info_industry_gics(W859,2),IF($Y$3="wind三级行业",[1]!s_info_industry_gics(W859,3),IF($Y$3="wind四级行业",[1]!s_info_industry_gics(W859,4),IF($Y$3="证监会门类行业",[1]!s_info_industry_csrc12_n(W859,公司分析!D$5,1),""))))))))</f>
        <v>中药Ⅱ</v>
      </c>
      <c r="Z859" s="302" t="str">
        <f ca="1">IF(Y859=行业比较!$E$6,ROW(),"")</f>
        <v/>
      </c>
      <c r="AA859" s="122"/>
      <c r="AB859" s="122"/>
      <c r="AC859" s="122"/>
      <c r="AD859" s="122"/>
      <c r="AE859" s="122"/>
      <c r="AF859" s="122"/>
      <c r="AG859" s="122"/>
      <c r="AH859" s="122"/>
      <c r="AI859" s="122"/>
      <c r="AJ859" s="122"/>
      <c r="AK859" s="122"/>
      <c r="AL859" s="122"/>
      <c r="AM859" s="122"/>
      <c r="AN859" s="122"/>
      <c r="AO859" s="122"/>
      <c r="AP859" s="122"/>
    </row>
    <row r="860" spans="2:42">
      <c r="B860" s="122"/>
      <c r="C860" s="122"/>
      <c r="D860" s="122"/>
      <c r="E860" s="122"/>
      <c r="F860" s="122"/>
      <c r="G860" s="122"/>
      <c r="H860" s="122"/>
      <c r="I860" s="275"/>
      <c r="J860" s="130"/>
      <c r="K860" s="130"/>
      <c r="L860" s="130"/>
      <c r="M860" s="130"/>
      <c r="N860" s="291"/>
      <c r="O860" s="291"/>
      <c r="P860" s="122"/>
      <c r="Q860" s="122"/>
      <c r="R860" s="122"/>
      <c r="S860" s="122"/>
      <c r="T860" s="122"/>
      <c r="U860" s="301"/>
      <c r="V860" s="260">
        <f t="shared" ca="1" si="21"/>
        <v>0</v>
      </c>
      <c r="W860" s="348" t="str">
        <f>IF(板块成分!B862="","",板块成分!B862)</f>
        <v>002350.SZ</v>
      </c>
      <c r="X860" s="276" t="str">
        <f>[1]!S_Info_Name(W860)</f>
        <v>北京科锐</v>
      </c>
      <c r="Y860" s="276" t="str">
        <f ca="1">IF($Y$3="申万一级行业",[1]!s_info_industry_sw_2021(W860,公司分析!D$5,1),IF($Y$3="申万二级行业",[1]!s_info_industry_sw_2021(W860,公司分析!D$5,2),IF($Y$3="申万三级行业",[1]!s_info_industry_sw_2021(W860,公司分析!D$5,3),IF($Y$3="wind一级行业",[1]!s_info_industry_gics(W860,1),IF($Y$3="wind二级行业",[1]!s_info_industry_gics(W860,2),IF($Y$3="wind三级行业",[1]!s_info_industry_gics(W860,3),IF($Y$3="wind四级行业",[1]!s_info_industry_gics(W860,4),IF($Y$3="证监会门类行业",[1]!s_info_industry_csrc12_n(W860,公司分析!D$5,1),""))))))))</f>
        <v>电网设备</v>
      </c>
      <c r="Z860" s="302" t="str">
        <f ca="1">IF(Y860=行业比较!$E$6,ROW(),"")</f>
        <v/>
      </c>
      <c r="AA860" s="122"/>
      <c r="AB860" s="122"/>
      <c r="AC860" s="122"/>
      <c r="AD860" s="122"/>
      <c r="AE860" s="122"/>
      <c r="AF860" s="122"/>
      <c r="AG860" s="122"/>
      <c r="AH860" s="122"/>
      <c r="AI860" s="122"/>
      <c r="AJ860" s="122"/>
      <c r="AK860" s="122"/>
      <c r="AL860" s="122"/>
      <c r="AM860" s="122"/>
      <c r="AN860" s="122"/>
      <c r="AO860" s="122"/>
      <c r="AP860" s="122"/>
    </row>
    <row r="861" spans="2:42">
      <c r="B861" s="122"/>
      <c r="C861" s="122"/>
      <c r="D861" s="122"/>
      <c r="E861" s="122"/>
      <c r="F861" s="122"/>
      <c r="G861" s="122"/>
      <c r="H861" s="122"/>
      <c r="I861" s="275"/>
      <c r="J861" s="130"/>
      <c r="K861" s="130"/>
      <c r="L861" s="130"/>
      <c r="M861" s="130"/>
      <c r="N861" s="291"/>
      <c r="O861" s="291"/>
      <c r="P861" s="122"/>
      <c r="Q861" s="122"/>
      <c r="R861" s="122"/>
      <c r="S861" s="122"/>
      <c r="T861" s="122"/>
      <c r="U861" s="301"/>
      <c r="V861" s="260">
        <f t="shared" ca="1" si="21"/>
        <v>0</v>
      </c>
      <c r="W861" s="348" t="str">
        <f>IF(板块成分!B863="","",板块成分!B863)</f>
        <v>002351.SZ</v>
      </c>
      <c r="X861" s="276" t="str">
        <f>[1]!S_Info_Name(W861)</f>
        <v>漫步者</v>
      </c>
      <c r="Y861" s="276" t="str">
        <f ca="1">IF($Y$3="申万一级行业",[1]!s_info_industry_sw_2021(W861,公司分析!D$5,1),IF($Y$3="申万二级行业",[1]!s_info_industry_sw_2021(W861,公司分析!D$5,2),IF($Y$3="申万三级行业",[1]!s_info_industry_sw_2021(W861,公司分析!D$5,3),IF($Y$3="wind一级行业",[1]!s_info_industry_gics(W861,1),IF($Y$3="wind二级行业",[1]!s_info_industry_gics(W861,2),IF($Y$3="wind三级行业",[1]!s_info_industry_gics(W861,3),IF($Y$3="wind四级行业",[1]!s_info_industry_gics(W861,4),IF($Y$3="证监会门类行业",[1]!s_info_industry_csrc12_n(W861,公司分析!D$5,1),""))))))))</f>
        <v>消费电子</v>
      </c>
      <c r="Z861" s="302" t="str">
        <f ca="1">IF(Y861=行业比较!$E$6,ROW(),"")</f>
        <v/>
      </c>
      <c r="AA861" s="122"/>
      <c r="AB861" s="122"/>
      <c r="AC861" s="122"/>
      <c r="AD861" s="122"/>
      <c r="AE861" s="122"/>
      <c r="AF861" s="122"/>
      <c r="AG861" s="122"/>
      <c r="AH861" s="122"/>
      <c r="AI861" s="122"/>
      <c r="AJ861" s="122"/>
      <c r="AK861" s="122"/>
      <c r="AL861" s="122"/>
      <c r="AM861" s="122"/>
      <c r="AN861" s="122"/>
      <c r="AO861" s="122"/>
      <c r="AP861" s="122"/>
    </row>
    <row r="862" spans="2:42">
      <c r="B862" s="122"/>
      <c r="C862" s="122"/>
      <c r="D862" s="122"/>
      <c r="E862" s="122"/>
      <c r="F862" s="122"/>
      <c r="G862" s="122"/>
      <c r="H862" s="122"/>
      <c r="I862" s="275"/>
      <c r="J862" s="130"/>
      <c r="K862" s="130"/>
      <c r="L862" s="130"/>
      <c r="M862" s="130"/>
      <c r="N862" s="291"/>
      <c r="O862" s="291"/>
      <c r="P862" s="122"/>
      <c r="Q862" s="122"/>
      <c r="R862" s="122"/>
      <c r="S862" s="122"/>
      <c r="T862" s="122"/>
      <c r="U862" s="301"/>
      <c r="V862" s="260">
        <f t="shared" ca="1" si="21"/>
        <v>0</v>
      </c>
      <c r="W862" s="348" t="str">
        <f>IF(板块成分!B864="","",板块成分!B864)</f>
        <v>002352.SZ</v>
      </c>
      <c r="X862" s="276" t="str">
        <f>[1]!S_Info_Name(W862)</f>
        <v>顺丰控股</v>
      </c>
      <c r="Y862" s="276" t="str">
        <f ca="1">IF($Y$3="申万一级行业",[1]!s_info_industry_sw_2021(W862,公司分析!D$5,1),IF($Y$3="申万二级行业",[1]!s_info_industry_sw_2021(W862,公司分析!D$5,2),IF($Y$3="申万三级行业",[1]!s_info_industry_sw_2021(W862,公司分析!D$5,3),IF($Y$3="wind一级行业",[1]!s_info_industry_gics(W862,1),IF($Y$3="wind二级行业",[1]!s_info_industry_gics(W862,2),IF($Y$3="wind三级行业",[1]!s_info_industry_gics(W862,3),IF($Y$3="wind四级行业",[1]!s_info_industry_gics(W862,4),IF($Y$3="证监会门类行业",[1]!s_info_industry_csrc12_n(W862,公司分析!D$5,1),""))))))))</f>
        <v>物流</v>
      </c>
      <c r="Z862" s="302" t="str">
        <f ca="1">IF(Y862=行业比较!$E$6,ROW(),"")</f>
        <v/>
      </c>
      <c r="AA862" s="122"/>
      <c r="AB862" s="122"/>
      <c r="AC862" s="122"/>
      <c r="AD862" s="122"/>
      <c r="AE862" s="122"/>
      <c r="AF862" s="122"/>
      <c r="AG862" s="122"/>
      <c r="AH862" s="122"/>
      <c r="AI862" s="122"/>
      <c r="AJ862" s="122"/>
      <c r="AK862" s="122"/>
      <c r="AL862" s="122"/>
      <c r="AM862" s="122"/>
      <c r="AN862" s="122"/>
      <c r="AO862" s="122"/>
      <c r="AP862" s="122"/>
    </row>
    <row r="863" spans="2:42">
      <c r="B863" s="122"/>
      <c r="C863" s="122"/>
      <c r="D863" s="122"/>
      <c r="E863" s="122"/>
      <c r="F863" s="122"/>
      <c r="G863" s="122"/>
      <c r="H863" s="122"/>
      <c r="I863" s="275"/>
      <c r="J863" s="130"/>
      <c r="K863" s="130"/>
      <c r="L863" s="130"/>
      <c r="M863" s="130"/>
      <c r="N863" s="291"/>
      <c r="O863" s="291"/>
      <c r="P863" s="122"/>
      <c r="Q863" s="122"/>
      <c r="R863" s="122"/>
      <c r="S863" s="122"/>
      <c r="T863" s="122"/>
      <c r="U863" s="301"/>
      <c r="V863" s="260">
        <f t="shared" ca="1" si="21"/>
        <v>0</v>
      </c>
      <c r="W863" s="348" t="str">
        <f>IF(板块成分!B865="","",板块成分!B865)</f>
        <v>002353.SZ</v>
      </c>
      <c r="X863" s="276" t="str">
        <f>[1]!S_Info_Name(W863)</f>
        <v>杰瑞股份</v>
      </c>
      <c r="Y863" s="276" t="str">
        <f ca="1">IF($Y$3="申万一级行业",[1]!s_info_industry_sw_2021(W863,公司分析!D$5,1),IF($Y$3="申万二级行业",[1]!s_info_industry_sw_2021(W863,公司分析!D$5,2),IF($Y$3="申万三级行业",[1]!s_info_industry_sw_2021(W863,公司分析!D$5,3),IF($Y$3="wind一级行业",[1]!s_info_industry_gics(W863,1),IF($Y$3="wind二级行业",[1]!s_info_industry_gics(W863,2),IF($Y$3="wind三级行业",[1]!s_info_industry_gics(W863,3),IF($Y$3="wind四级行业",[1]!s_info_industry_gics(W863,4),IF($Y$3="证监会门类行业",[1]!s_info_industry_csrc12_n(W863,公司分析!D$5,1),""))))))))</f>
        <v>专用设备</v>
      </c>
      <c r="Z863" s="302" t="str">
        <f ca="1">IF(Y863=行业比较!$E$6,ROW(),"")</f>
        <v/>
      </c>
      <c r="AA863" s="122"/>
      <c r="AB863" s="122"/>
      <c r="AC863" s="122"/>
      <c r="AD863" s="122"/>
      <c r="AE863" s="122"/>
      <c r="AF863" s="122"/>
      <c r="AG863" s="122"/>
      <c r="AH863" s="122"/>
      <c r="AI863" s="122"/>
      <c r="AJ863" s="122"/>
      <c r="AK863" s="122"/>
      <c r="AL863" s="122"/>
      <c r="AM863" s="122"/>
      <c r="AN863" s="122"/>
      <c r="AO863" s="122"/>
      <c r="AP863" s="122"/>
    </row>
    <row r="864" spans="2:42">
      <c r="B864" s="122"/>
      <c r="C864" s="122"/>
      <c r="D864" s="122"/>
      <c r="E864" s="122"/>
      <c r="F864" s="122"/>
      <c r="G864" s="122"/>
      <c r="H864" s="122"/>
      <c r="I864" s="275"/>
      <c r="J864" s="130"/>
      <c r="K864" s="130"/>
      <c r="L864" s="130"/>
      <c r="M864" s="130"/>
      <c r="N864" s="291"/>
      <c r="O864" s="291"/>
      <c r="P864" s="122"/>
      <c r="Q864" s="122"/>
      <c r="R864" s="122"/>
      <c r="S864" s="122"/>
      <c r="T864" s="122"/>
      <c r="U864" s="301"/>
      <c r="V864" s="260">
        <f t="shared" ca="1" si="21"/>
        <v>0</v>
      </c>
      <c r="W864" s="348" t="str">
        <f>IF(板块成分!B866="","",板块成分!B866)</f>
        <v>002354.SZ</v>
      </c>
      <c r="X864" s="276" t="str">
        <f>[1]!S_Info_Name(W864)</f>
        <v>天娱数科</v>
      </c>
      <c r="Y864" s="276" t="str">
        <f ca="1">IF($Y$3="申万一级行业",[1]!s_info_industry_sw_2021(W864,公司分析!D$5,1),IF($Y$3="申万二级行业",[1]!s_info_industry_sw_2021(W864,公司分析!D$5,2),IF($Y$3="申万三级行业",[1]!s_info_industry_sw_2021(W864,公司分析!D$5,3),IF($Y$3="wind一级行业",[1]!s_info_industry_gics(W864,1),IF($Y$3="wind二级行业",[1]!s_info_industry_gics(W864,2),IF($Y$3="wind三级行业",[1]!s_info_industry_gics(W864,3),IF($Y$3="wind四级行业",[1]!s_info_industry_gics(W864,4),IF($Y$3="证监会门类行业",[1]!s_info_industry_csrc12_n(W864,公司分析!D$5,1),""))))))))</f>
        <v>广告营销</v>
      </c>
      <c r="Z864" s="302" t="str">
        <f ca="1">IF(Y864=行业比较!$E$6,ROW(),"")</f>
        <v/>
      </c>
      <c r="AA864" s="122"/>
      <c r="AB864" s="122"/>
      <c r="AC864" s="122"/>
      <c r="AD864" s="122"/>
      <c r="AE864" s="122"/>
      <c r="AF864" s="122"/>
      <c r="AG864" s="122"/>
      <c r="AH864" s="122"/>
      <c r="AI864" s="122"/>
      <c r="AJ864" s="122"/>
      <c r="AK864" s="122"/>
      <c r="AL864" s="122"/>
      <c r="AM864" s="122"/>
      <c r="AN864" s="122"/>
      <c r="AO864" s="122"/>
      <c r="AP864" s="122"/>
    </row>
    <row r="865" spans="2:42">
      <c r="B865" s="122"/>
      <c r="C865" s="122"/>
      <c r="D865" s="122"/>
      <c r="E865" s="122"/>
      <c r="F865" s="122"/>
      <c r="G865" s="122"/>
      <c r="H865" s="122"/>
      <c r="I865" s="275"/>
      <c r="J865" s="130"/>
      <c r="K865" s="130"/>
      <c r="L865" s="130"/>
      <c r="M865" s="130"/>
      <c r="N865" s="291"/>
      <c r="O865" s="291"/>
      <c r="P865" s="122"/>
      <c r="Q865" s="122"/>
      <c r="R865" s="122"/>
      <c r="S865" s="122"/>
      <c r="T865" s="122"/>
      <c r="U865" s="301"/>
      <c r="V865" s="260">
        <f t="shared" ca="1" si="21"/>
        <v>0</v>
      </c>
      <c r="W865" s="348" t="str">
        <f>IF(板块成分!B867="","",板块成分!B867)</f>
        <v>002355.SZ</v>
      </c>
      <c r="X865" s="276" t="str">
        <f>[1]!S_Info_Name(W865)</f>
        <v>兴民智通</v>
      </c>
      <c r="Y865" s="276" t="str">
        <f ca="1">IF($Y$3="申万一级行业",[1]!s_info_industry_sw_2021(W865,公司分析!D$5,1),IF($Y$3="申万二级行业",[1]!s_info_industry_sw_2021(W865,公司分析!D$5,2),IF($Y$3="申万三级行业",[1]!s_info_industry_sw_2021(W865,公司分析!D$5,3),IF($Y$3="wind一级行业",[1]!s_info_industry_gics(W865,1),IF($Y$3="wind二级行业",[1]!s_info_industry_gics(W865,2),IF($Y$3="wind三级行业",[1]!s_info_industry_gics(W865,3),IF($Y$3="wind四级行业",[1]!s_info_industry_gics(W865,4),IF($Y$3="证监会门类行业",[1]!s_info_industry_csrc12_n(W865,公司分析!D$5,1),""))))))))</f>
        <v>汽车零部件</v>
      </c>
      <c r="Z865" s="302" t="str">
        <f ca="1">IF(Y865=行业比较!$E$6,ROW(),"")</f>
        <v/>
      </c>
      <c r="AA865" s="122"/>
      <c r="AB865" s="122"/>
      <c r="AC865" s="122"/>
      <c r="AD865" s="122"/>
      <c r="AE865" s="122"/>
      <c r="AF865" s="122"/>
      <c r="AG865" s="122"/>
      <c r="AH865" s="122"/>
      <c r="AI865" s="122"/>
      <c r="AJ865" s="122"/>
      <c r="AK865" s="122"/>
      <c r="AL865" s="122"/>
      <c r="AM865" s="122"/>
      <c r="AN865" s="122"/>
      <c r="AO865" s="122"/>
      <c r="AP865" s="122"/>
    </row>
    <row r="866" spans="2:42">
      <c r="B866" s="122"/>
      <c r="C866" s="122"/>
      <c r="D866" s="122"/>
      <c r="E866" s="122"/>
      <c r="F866" s="122"/>
      <c r="G866" s="122"/>
      <c r="H866" s="122"/>
      <c r="I866" s="275"/>
      <c r="J866" s="130"/>
      <c r="K866" s="130"/>
      <c r="L866" s="130"/>
      <c r="M866" s="130"/>
      <c r="N866" s="291"/>
      <c r="O866" s="291"/>
      <c r="P866" s="122"/>
      <c r="Q866" s="122"/>
      <c r="R866" s="122"/>
      <c r="S866" s="122"/>
      <c r="T866" s="122"/>
      <c r="U866" s="301"/>
      <c r="V866" s="260">
        <f t="shared" ca="1" si="21"/>
        <v>0</v>
      </c>
      <c r="W866" s="348" t="str">
        <f>IF(板块成分!B868="","",板块成分!B868)</f>
        <v>002356.SZ</v>
      </c>
      <c r="X866" s="276" t="str">
        <f>[1]!S_Info_Name(W866)</f>
        <v>赫美集团</v>
      </c>
      <c r="Y866" s="276" t="str">
        <f ca="1">IF($Y$3="申万一级行业",[1]!s_info_industry_sw_2021(W866,公司分析!D$5,1),IF($Y$3="申万二级行业",[1]!s_info_industry_sw_2021(W866,公司分析!D$5,2),IF($Y$3="申万三级行业",[1]!s_info_industry_sw_2021(W866,公司分析!D$5,3),IF($Y$3="wind一级行业",[1]!s_info_industry_gics(W866,1),IF($Y$3="wind二级行业",[1]!s_info_industry_gics(W866,2),IF($Y$3="wind三级行业",[1]!s_info_industry_gics(W866,3),IF($Y$3="wind四级行业",[1]!s_info_industry_gics(W866,4),IF($Y$3="证监会门类行业",[1]!s_info_industry_csrc12_n(W866,公司分析!D$5,1),""))))))))</f>
        <v>一般零售</v>
      </c>
      <c r="Z866" s="302" t="str">
        <f ca="1">IF(Y866=行业比较!$E$6,ROW(),"")</f>
        <v/>
      </c>
      <c r="AA866" s="122"/>
      <c r="AB866" s="122"/>
      <c r="AC866" s="122"/>
      <c r="AD866" s="122"/>
      <c r="AE866" s="122"/>
      <c r="AF866" s="122"/>
      <c r="AG866" s="122"/>
      <c r="AH866" s="122"/>
      <c r="AI866" s="122"/>
      <c r="AJ866" s="122"/>
      <c r="AK866" s="122"/>
      <c r="AL866" s="122"/>
      <c r="AM866" s="122"/>
      <c r="AN866" s="122"/>
      <c r="AO866" s="122"/>
      <c r="AP866" s="122"/>
    </row>
    <row r="867" spans="2:42">
      <c r="B867" s="122"/>
      <c r="C867" s="122"/>
      <c r="D867" s="122"/>
      <c r="E867" s="122"/>
      <c r="F867" s="122"/>
      <c r="G867" s="122"/>
      <c r="H867" s="122"/>
      <c r="I867" s="275"/>
      <c r="J867" s="130"/>
      <c r="K867" s="130"/>
      <c r="L867" s="130"/>
      <c r="M867" s="130"/>
      <c r="N867" s="291"/>
      <c r="O867" s="291"/>
      <c r="P867" s="122"/>
      <c r="Q867" s="122"/>
      <c r="R867" s="122"/>
      <c r="S867" s="122"/>
      <c r="T867" s="122"/>
      <c r="U867" s="301"/>
      <c r="V867" s="260">
        <f t="shared" ca="1" si="21"/>
        <v>0</v>
      </c>
      <c r="W867" s="348" t="str">
        <f>IF(板块成分!B869="","",板块成分!B869)</f>
        <v>002357.SZ</v>
      </c>
      <c r="X867" s="276" t="str">
        <f>[1]!S_Info_Name(W867)</f>
        <v>富临运业</v>
      </c>
      <c r="Y867" s="276" t="str">
        <f ca="1">IF($Y$3="申万一级行业",[1]!s_info_industry_sw_2021(W867,公司分析!D$5,1),IF($Y$3="申万二级行业",[1]!s_info_industry_sw_2021(W867,公司分析!D$5,2),IF($Y$3="申万三级行业",[1]!s_info_industry_sw_2021(W867,公司分析!D$5,3),IF($Y$3="wind一级行业",[1]!s_info_industry_gics(W867,1),IF($Y$3="wind二级行业",[1]!s_info_industry_gics(W867,2),IF($Y$3="wind三级行业",[1]!s_info_industry_gics(W867,3),IF($Y$3="wind四级行业",[1]!s_info_industry_gics(W867,4),IF($Y$3="证监会门类行业",[1]!s_info_industry_csrc12_n(W867,公司分析!D$5,1),""))))))))</f>
        <v>铁路公路</v>
      </c>
      <c r="Z867" s="302" t="str">
        <f ca="1">IF(Y867=行业比较!$E$6,ROW(),"")</f>
        <v/>
      </c>
      <c r="AA867" s="122"/>
      <c r="AB867" s="122"/>
      <c r="AC867" s="122"/>
      <c r="AD867" s="122"/>
      <c r="AE867" s="122"/>
      <c r="AF867" s="122"/>
      <c r="AG867" s="122"/>
      <c r="AH867" s="122"/>
      <c r="AI867" s="122"/>
      <c r="AJ867" s="122"/>
      <c r="AK867" s="122"/>
      <c r="AL867" s="122"/>
      <c r="AM867" s="122"/>
      <c r="AN867" s="122"/>
      <c r="AO867" s="122"/>
      <c r="AP867" s="122"/>
    </row>
    <row r="868" spans="2:42">
      <c r="B868" s="122"/>
      <c r="C868" s="122"/>
      <c r="D868" s="122"/>
      <c r="E868" s="122"/>
      <c r="F868" s="122"/>
      <c r="G868" s="122"/>
      <c r="H868" s="122"/>
      <c r="I868" s="275"/>
      <c r="J868" s="130"/>
      <c r="K868" s="130"/>
      <c r="L868" s="130"/>
      <c r="M868" s="130"/>
      <c r="N868" s="291"/>
      <c r="O868" s="291"/>
      <c r="P868" s="122"/>
      <c r="Q868" s="122"/>
      <c r="R868" s="122"/>
      <c r="S868" s="122"/>
      <c r="T868" s="122"/>
      <c r="U868" s="301"/>
      <c r="V868" s="260">
        <f t="shared" ca="1" si="21"/>
        <v>0</v>
      </c>
      <c r="W868" s="348" t="str">
        <f>IF(板块成分!B870="","",板块成分!B870)</f>
        <v>002358.SZ</v>
      </c>
      <c r="X868" s="276" t="str">
        <f>[1]!S_Info_Name(W868)</f>
        <v>森源电气</v>
      </c>
      <c r="Y868" s="276" t="str">
        <f ca="1">IF($Y$3="申万一级行业",[1]!s_info_industry_sw_2021(W868,公司分析!D$5,1),IF($Y$3="申万二级行业",[1]!s_info_industry_sw_2021(W868,公司分析!D$5,2),IF($Y$3="申万三级行业",[1]!s_info_industry_sw_2021(W868,公司分析!D$5,3),IF($Y$3="wind一级行业",[1]!s_info_industry_gics(W868,1),IF($Y$3="wind二级行业",[1]!s_info_industry_gics(W868,2),IF($Y$3="wind三级行业",[1]!s_info_industry_gics(W868,3),IF($Y$3="wind四级行业",[1]!s_info_industry_gics(W868,4),IF($Y$3="证监会门类行业",[1]!s_info_industry_csrc12_n(W868,公司分析!D$5,1),""))))))))</f>
        <v>电网设备</v>
      </c>
      <c r="Z868" s="302" t="str">
        <f ca="1">IF(Y868=行业比较!$E$6,ROW(),"")</f>
        <v/>
      </c>
      <c r="AA868" s="122"/>
      <c r="AB868" s="122"/>
      <c r="AC868" s="122"/>
      <c r="AD868" s="122"/>
      <c r="AE868" s="122"/>
      <c r="AF868" s="122"/>
      <c r="AG868" s="122"/>
      <c r="AH868" s="122"/>
      <c r="AI868" s="122"/>
      <c r="AJ868" s="122"/>
      <c r="AK868" s="122"/>
      <c r="AL868" s="122"/>
      <c r="AM868" s="122"/>
      <c r="AN868" s="122"/>
      <c r="AO868" s="122"/>
      <c r="AP868" s="122"/>
    </row>
    <row r="869" spans="2:42">
      <c r="B869" s="122"/>
      <c r="C869" s="122"/>
      <c r="D869" s="122"/>
      <c r="E869" s="122"/>
      <c r="F869" s="122"/>
      <c r="G869" s="122"/>
      <c r="H869" s="122"/>
      <c r="I869" s="275"/>
      <c r="J869" s="130"/>
      <c r="K869" s="130"/>
      <c r="L869" s="130"/>
      <c r="M869" s="130"/>
      <c r="N869" s="291"/>
      <c r="O869" s="291"/>
      <c r="P869" s="122"/>
      <c r="Q869" s="122"/>
      <c r="R869" s="122"/>
      <c r="S869" s="122"/>
      <c r="T869" s="122"/>
      <c r="U869" s="301"/>
      <c r="V869" s="260">
        <f t="shared" ca="1" si="21"/>
        <v>0</v>
      </c>
      <c r="W869" s="348" t="str">
        <f>IF(板块成分!B871="","",板块成分!B871)</f>
        <v>002360.SZ</v>
      </c>
      <c r="X869" s="276" t="str">
        <f>[1]!S_Info_Name(W869)</f>
        <v>同德化工</v>
      </c>
      <c r="Y869" s="276" t="str">
        <f ca="1">IF($Y$3="申万一级行业",[1]!s_info_industry_sw_2021(W869,公司分析!D$5,1),IF($Y$3="申万二级行业",[1]!s_info_industry_sw_2021(W869,公司分析!D$5,2),IF($Y$3="申万三级行业",[1]!s_info_industry_sw_2021(W869,公司分析!D$5,3),IF($Y$3="wind一级行业",[1]!s_info_industry_gics(W869,1),IF($Y$3="wind二级行业",[1]!s_info_industry_gics(W869,2),IF($Y$3="wind三级行业",[1]!s_info_industry_gics(W869,3),IF($Y$3="wind四级行业",[1]!s_info_industry_gics(W869,4),IF($Y$3="证监会门类行业",[1]!s_info_industry_csrc12_n(W869,公司分析!D$5,1),""))))))))</f>
        <v>化学制品</v>
      </c>
      <c r="Z869" s="302" t="str">
        <f ca="1">IF(Y869=行业比较!$E$6,ROW(),"")</f>
        <v/>
      </c>
      <c r="AA869" s="122"/>
      <c r="AB869" s="122"/>
      <c r="AC869" s="122"/>
      <c r="AD869" s="122"/>
      <c r="AE869" s="122"/>
      <c r="AF869" s="122"/>
      <c r="AG869" s="122"/>
      <c r="AH869" s="122"/>
      <c r="AI869" s="122"/>
      <c r="AJ869" s="122"/>
      <c r="AK869" s="122"/>
      <c r="AL869" s="122"/>
      <c r="AM869" s="122"/>
      <c r="AN869" s="122"/>
      <c r="AO869" s="122"/>
      <c r="AP869" s="122"/>
    </row>
    <row r="870" spans="2:42">
      <c r="B870" s="122"/>
      <c r="C870" s="122"/>
      <c r="D870" s="122"/>
      <c r="E870" s="122"/>
      <c r="F870" s="122"/>
      <c r="G870" s="122"/>
      <c r="H870" s="122"/>
      <c r="I870" s="275"/>
      <c r="J870" s="130"/>
      <c r="K870" s="130"/>
      <c r="L870" s="130"/>
      <c r="M870" s="130"/>
      <c r="N870" s="291"/>
      <c r="O870" s="291"/>
      <c r="P870" s="122"/>
      <c r="Q870" s="122"/>
      <c r="R870" s="122"/>
      <c r="S870" s="122"/>
      <c r="T870" s="122"/>
      <c r="U870" s="301"/>
      <c r="V870" s="260">
        <f t="shared" ca="1" si="21"/>
        <v>0</v>
      </c>
      <c r="W870" s="348" t="str">
        <f>IF(板块成分!B872="","",板块成分!B872)</f>
        <v>002361.SZ</v>
      </c>
      <c r="X870" s="276" t="str">
        <f>[1]!S_Info_Name(W870)</f>
        <v>神剑股份</v>
      </c>
      <c r="Y870" s="276" t="str">
        <f ca="1">IF($Y$3="申万一级行业",[1]!s_info_industry_sw_2021(W870,公司分析!D$5,1),IF($Y$3="申万二级行业",[1]!s_info_industry_sw_2021(W870,公司分析!D$5,2),IF($Y$3="申万三级行业",[1]!s_info_industry_sw_2021(W870,公司分析!D$5,3),IF($Y$3="wind一级行业",[1]!s_info_industry_gics(W870,1),IF($Y$3="wind二级行业",[1]!s_info_industry_gics(W870,2),IF($Y$3="wind三级行业",[1]!s_info_industry_gics(W870,3),IF($Y$3="wind四级行业",[1]!s_info_industry_gics(W870,4),IF($Y$3="证监会门类行业",[1]!s_info_industry_csrc12_n(W870,公司分析!D$5,1),""))))))))</f>
        <v>塑料</v>
      </c>
      <c r="Z870" s="302" t="str">
        <f ca="1">IF(Y870=行业比较!$E$6,ROW(),"")</f>
        <v/>
      </c>
      <c r="AA870" s="122"/>
      <c r="AB870" s="122"/>
      <c r="AC870" s="122"/>
      <c r="AD870" s="122"/>
      <c r="AE870" s="122"/>
      <c r="AF870" s="122"/>
      <c r="AG870" s="122"/>
      <c r="AH870" s="122"/>
      <c r="AI870" s="122"/>
      <c r="AJ870" s="122"/>
      <c r="AK870" s="122"/>
      <c r="AL870" s="122"/>
      <c r="AM870" s="122"/>
      <c r="AN870" s="122"/>
      <c r="AO870" s="122"/>
      <c r="AP870" s="122"/>
    </row>
    <row r="871" spans="2:42">
      <c r="B871" s="122"/>
      <c r="C871" s="122"/>
      <c r="D871" s="122"/>
      <c r="E871" s="122"/>
      <c r="F871" s="122"/>
      <c r="G871" s="122"/>
      <c r="H871" s="122"/>
      <c r="I871" s="275"/>
      <c r="J871" s="130"/>
      <c r="K871" s="130"/>
      <c r="L871" s="130"/>
      <c r="M871" s="130"/>
      <c r="N871" s="291"/>
      <c r="O871" s="291"/>
      <c r="P871" s="122"/>
      <c r="Q871" s="122"/>
      <c r="R871" s="122"/>
      <c r="S871" s="122"/>
      <c r="T871" s="122"/>
      <c r="U871" s="301"/>
      <c r="V871" s="260">
        <f t="shared" ca="1" si="21"/>
        <v>0</v>
      </c>
      <c r="W871" s="348" t="str">
        <f>IF(板块成分!B873="","",板块成分!B873)</f>
        <v>002362.SZ</v>
      </c>
      <c r="X871" s="276" t="str">
        <f>[1]!S_Info_Name(W871)</f>
        <v>汉王科技</v>
      </c>
      <c r="Y871" s="276" t="str">
        <f ca="1">IF($Y$3="申万一级行业",[1]!s_info_industry_sw_2021(W871,公司分析!D$5,1),IF($Y$3="申万二级行业",[1]!s_info_industry_sw_2021(W871,公司分析!D$5,2),IF($Y$3="申万三级行业",[1]!s_info_industry_sw_2021(W871,公司分析!D$5,3),IF($Y$3="wind一级行业",[1]!s_info_industry_gics(W871,1),IF($Y$3="wind二级行业",[1]!s_info_industry_gics(W871,2),IF($Y$3="wind三级行业",[1]!s_info_industry_gics(W871,3),IF($Y$3="wind四级行业",[1]!s_info_industry_gics(W871,4),IF($Y$3="证监会门类行业",[1]!s_info_industry_csrc12_n(W871,公司分析!D$5,1),""))))))))</f>
        <v>软件开发</v>
      </c>
      <c r="Z871" s="302" t="str">
        <f ca="1">IF(Y871=行业比较!$E$6,ROW(),"")</f>
        <v/>
      </c>
      <c r="AA871" s="122"/>
      <c r="AB871" s="122"/>
      <c r="AC871" s="122"/>
      <c r="AD871" s="122"/>
      <c r="AE871" s="122"/>
      <c r="AF871" s="122"/>
      <c r="AG871" s="122"/>
      <c r="AH871" s="122"/>
      <c r="AI871" s="122"/>
      <c r="AJ871" s="122"/>
      <c r="AK871" s="122"/>
      <c r="AL871" s="122"/>
      <c r="AM871" s="122"/>
      <c r="AN871" s="122"/>
      <c r="AO871" s="122"/>
      <c r="AP871" s="122"/>
    </row>
    <row r="872" spans="2:42">
      <c r="B872" s="122"/>
      <c r="C872" s="122"/>
      <c r="D872" s="122"/>
      <c r="E872" s="122"/>
      <c r="F872" s="122"/>
      <c r="G872" s="122"/>
      <c r="H872" s="122"/>
      <c r="I872" s="275"/>
      <c r="J872" s="130"/>
      <c r="K872" s="130"/>
      <c r="L872" s="130"/>
      <c r="M872" s="130"/>
      <c r="N872" s="291"/>
      <c r="O872" s="291"/>
      <c r="P872" s="122"/>
      <c r="Q872" s="122"/>
      <c r="R872" s="122"/>
      <c r="S872" s="122"/>
      <c r="T872" s="122"/>
      <c r="U872" s="301"/>
      <c r="V872" s="260">
        <f t="shared" ca="1" si="21"/>
        <v>0</v>
      </c>
      <c r="W872" s="348" t="str">
        <f>IF(板块成分!B874="","",板块成分!B874)</f>
        <v>002363.SZ</v>
      </c>
      <c r="X872" s="276" t="str">
        <f>[1]!S_Info_Name(W872)</f>
        <v>隆基机械</v>
      </c>
      <c r="Y872" s="276" t="str">
        <f ca="1">IF($Y$3="申万一级行业",[1]!s_info_industry_sw_2021(W872,公司分析!D$5,1),IF($Y$3="申万二级行业",[1]!s_info_industry_sw_2021(W872,公司分析!D$5,2),IF($Y$3="申万三级行业",[1]!s_info_industry_sw_2021(W872,公司分析!D$5,3),IF($Y$3="wind一级行业",[1]!s_info_industry_gics(W872,1),IF($Y$3="wind二级行业",[1]!s_info_industry_gics(W872,2),IF($Y$3="wind三级行业",[1]!s_info_industry_gics(W872,3),IF($Y$3="wind四级行业",[1]!s_info_industry_gics(W872,4),IF($Y$3="证监会门类行业",[1]!s_info_industry_csrc12_n(W872,公司分析!D$5,1),""))))))))</f>
        <v>汽车零部件</v>
      </c>
      <c r="Z872" s="302" t="str">
        <f ca="1">IF(Y872=行业比较!$E$6,ROW(),"")</f>
        <v/>
      </c>
      <c r="AA872" s="122"/>
      <c r="AB872" s="122"/>
      <c r="AC872" s="122"/>
      <c r="AD872" s="122"/>
      <c r="AE872" s="122"/>
      <c r="AF872" s="122"/>
      <c r="AG872" s="122"/>
      <c r="AH872" s="122"/>
      <c r="AI872" s="122"/>
      <c r="AJ872" s="122"/>
      <c r="AK872" s="122"/>
      <c r="AL872" s="122"/>
      <c r="AM872" s="122"/>
      <c r="AN872" s="122"/>
      <c r="AO872" s="122"/>
      <c r="AP872" s="122"/>
    </row>
    <row r="873" spans="2:42">
      <c r="B873" s="122"/>
      <c r="C873" s="122"/>
      <c r="D873" s="122"/>
      <c r="E873" s="122"/>
      <c r="F873" s="122"/>
      <c r="G873" s="122"/>
      <c r="H873" s="122"/>
      <c r="I873" s="275"/>
      <c r="J873" s="130"/>
      <c r="K873" s="130"/>
      <c r="L873" s="130"/>
      <c r="M873" s="130"/>
      <c r="N873" s="291"/>
      <c r="O873" s="291"/>
      <c r="P873" s="122"/>
      <c r="Q873" s="122"/>
      <c r="R873" s="122"/>
      <c r="S873" s="122"/>
      <c r="T873" s="122"/>
      <c r="U873" s="301"/>
      <c r="V873" s="260">
        <f t="shared" ca="1" si="21"/>
        <v>0</v>
      </c>
      <c r="W873" s="348" t="str">
        <f>IF(板块成分!B875="","",板块成分!B875)</f>
        <v>002364.SZ</v>
      </c>
      <c r="X873" s="276" t="str">
        <f>[1]!S_Info_Name(W873)</f>
        <v>中恒电气</v>
      </c>
      <c r="Y873" s="276" t="str">
        <f ca="1">IF($Y$3="申万一级行业",[1]!s_info_industry_sw_2021(W873,公司分析!D$5,1),IF($Y$3="申万二级行业",[1]!s_info_industry_sw_2021(W873,公司分析!D$5,2),IF($Y$3="申万三级行业",[1]!s_info_industry_sw_2021(W873,公司分析!D$5,3),IF($Y$3="wind一级行业",[1]!s_info_industry_gics(W873,1),IF($Y$3="wind二级行业",[1]!s_info_industry_gics(W873,2),IF($Y$3="wind三级行业",[1]!s_info_industry_gics(W873,3),IF($Y$3="wind四级行业",[1]!s_info_industry_gics(W873,4),IF($Y$3="证监会门类行业",[1]!s_info_industry_csrc12_n(W873,公司分析!D$5,1),""))))))))</f>
        <v>其他电源设备Ⅱ</v>
      </c>
      <c r="Z873" s="302" t="str">
        <f ca="1">IF(Y873=行业比较!$E$6,ROW(),"")</f>
        <v/>
      </c>
      <c r="AA873" s="122"/>
      <c r="AB873" s="122"/>
      <c r="AC873" s="122"/>
      <c r="AD873" s="122"/>
      <c r="AE873" s="122"/>
      <c r="AF873" s="122"/>
      <c r="AG873" s="122"/>
      <c r="AH873" s="122"/>
      <c r="AI873" s="122"/>
      <c r="AJ873" s="122"/>
      <c r="AK873" s="122"/>
      <c r="AL873" s="122"/>
      <c r="AM873" s="122"/>
      <c r="AN873" s="122"/>
      <c r="AO873" s="122"/>
      <c r="AP873" s="122"/>
    </row>
    <row r="874" spans="2:42">
      <c r="B874" s="122"/>
      <c r="C874" s="122"/>
      <c r="D874" s="122"/>
      <c r="E874" s="122"/>
      <c r="F874" s="122"/>
      <c r="G874" s="122"/>
      <c r="H874" s="122"/>
      <c r="I874" s="275"/>
      <c r="J874" s="130"/>
      <c r="K874" s="130"/>
      <c r="L874" s="130"/>
      <c r="M874" s="130"/>
      <c r="N874" s="291"/>
      <c r="O874" s="291"/>
      <c r="P874" s="122"/>
      <c r="Q874" s="122"/>
      <c r="R874" s="122"/>
      <c r="S874" s="122"/>
      <c r="T874" s="122"/>
      <c r="U874" s="301"/>
      <c r="V874" s="260">
        <f t="shared" ca="1" si="21"/>
        <v>0</v>
      </c>
      <c r="W874" s="348" t="str">
        <f>IF(板块成分!B876="","",板块成分!B876)</f>
        <v>002365.SZ</v>
      </c>
      <c r="X874" s="276" t="str">
        <f>[1]!S_Info_Name(W874)</f>
        <v>永安药业</v>
      </c>
      <c r="Y874" s="276" t="str">
        <f ca="1">IF($Y$3="申万一级行业",[1]!s_info_industry_sw_2021(W874,公司分析!D$5,1),IF($Y$3="申万二级行业",[1]!s_info_industry_sw_2021(W874,公司分析!D$5,2),IF($Y$3="申万三级行业",[1]!s_info_industry_sw_2021(W874,公司分析!D$5,3),IF($Y$3="wind一级行业",[1]!s_info_industry_gics(W874,1),IF($Y$3="wind二级行业",[1]!s_info_industry_gics(W874,2),IF($Y$3="wind三级行业",[1]!s_info_industry_gics(W874,3),IF($Y$3="wind四级行业",[1]!s_info_industry_gics(W874,4),IF($Y$3="证监会门类行业",[1]!s_info_industry_csrc12_n(W874,公司分析!D$5,1),""))))))))</f>
        <v>化学制药</v>
      </c>
      <c r="Z874" s="302" t="str">
        <f ca="1">IF(Y874=行业比较!$E$6,ROW(),"")</f>
        <v/>
      </c>
      <c r="AA874" s="122"/>
      <c r="AB874" s="122"/>
      <c r="AC874" s="122"/>
      <c r="AD874" s="122"/>
      <c r="AE874" s="122"/>
      <c r="AF874" s="122"/>
      <c r="AG874" s="122"/>
      <c r="AH874" s="122"/>
      <c r="AI874" s="122"/>
      <c r="AJ874" s="122"/>
      <c r="AK874" s="122"/>
      <c r="AL874" s="122"/>
      <c r="AM874" s="122"/>
      <c r="AN874" s="122"/>
      <c r="AO874" s="122"/>
      <c r="AP874" s="122"/>
    </row>
    <row r="875" spans="2:42">
      <c r="B875" s="122"/>
      <c r="C875" s="122"/>
      <c r="D875" s="122"/>
      <c r="E875" s="122"/>
      <c r="F875" s="122"/>
      <c r="G875" s="122"/>
      <c r="H875" s="122"/>
      <c r="I875" s="275"/>
      <c r="J875" s="130"/>
      <c r="K875" s="130"/>
      <c r="L875" s="130"/>
      <c r="M875" s="130"/>
      <c r="N875" s="291"/>
      <c r="O875" s="291"/>
      <c r="P875" s="122"/>
      <c r="Q875" s="122"/>
      <c r="R875" s="122"/>
      <c r="S875" s="122"/>
      <c r="T875" s="122"/>
      <c r="U875" s="301"/>
      <c r="V875" s="260">
        <f t="shared" ca="1" si="21"/>
        <v>0</v>
      </c>
      <c r="W875" s="348" t="str">
        <f>IF(板块成分!B877="","",板块成分!B877)</f>
        <v>002366.SZ</v>
      </c>
      <c r="X875" s="276" t="str">
        <f>[1]!S_Info_Name(W875)</f>
        <v>融发核电</v>
      </c>
      <c r="Y875" s="276" t="str">
        <f ca="1">IF($Y$3="申万一级行业",[1]!s_info_industry_sw_2021(W875,公司分析!D$5,1),IF($Y$3="申万二级行业",[1]!s_info_industry_sw_2021(W875,公司分析!D$5,2),IF($Y$3="申万三级行业",[1]!s_info_industry_sw_2021(W875,公司分析!D$5,3),IF($Y$3="wind一级行业",[1]!s_info_industry_gics(W875,1),IF($Y$3="wind二级行业",[1]!s_info_industry_gics(W875,2),IF($Y$3="wind三级行业",[1]!s_info_industry_gics(W875,3),IF($Y$3="wind四级行业",[1]!s_info_industry_gics(W875,4),IF($Y$3="证监会门类行业",[1]!s_info_industry_csrc12_n(W875,公司分析!D$5,1),""))))))))</f>
        <v>其他电源设备Ⅱ</v>
      </c>
      <c r="Z875" s="302" t="str">
        <f ca="1">IF(Y875=行业比较!$E$6,ROW(),"")</f>
        <v/>
      </c>
      <c r="AA875" s="122"/>
      <c r="AB875" s="122"/>
      <c r="AC875" s="122"/>
      <c r="AD875" s="122"/>
      <c r="AE875" s="122"/>
      <c r="AF875" s="122"/>
      <c r="AG875" s="122"/>
      <c r="AH875" s="122"/>
      <c r="AI875" s="122"/>
      <c r="AJ875" s="122"/>
      <c r="AK875" s="122"/>
      <c r="AL875" s="122"/>
      <c r="AM875" s="122"/>
      <c r="AN875" s="122"/>
      <c r="AO875" s="122"/>
      <c r="AP875" s="122"/>
    </row>
    <row r="876" spans="2:42">
      <c r="B876" s="122"/>
      <c r="C876" s="122"/>
      <c r="D876" s="122"/>
      <c r="E876" s="122"/>
      <c r="F876" s="122"/>
      <c r="G876" s="122"/>
      <c r="H876" s="122"/>
      <c r="I876" s="275"/>
      <c r="J876" s="130"/>
      <c r="K876" s="130"/>
      <c r="L876" s="130"/>
      <c r="M876" s="130"/>
      <c r="N876" s="291"/>
      <c r="O876" s="291"/>
      <c r="P876" s="122"/>
      <c r="Q876" s="122"/>
      <c r="R876" s="122"/>
      <c r="S876" s="122"/>
      <c r="T876" s="122"/>
      <c r="U876" s="301"/>
      <c r="V876" s="260">
        <f t="shared" ca="1" si="21"/>
        <v>0</v>
      </c>
      <c r="W876" s="348" t="str">
        <f>IF(板块成分!B878="","",板块成分!B878)</f>
        <v>002367.SZ</v>
      </c>
      <c r="X876" s="276" t="str">
        <f>[1]!S_Info_Name(W876)</f>
        <v>康力电梯</v>
      </c>
      <c r="Y876" s="276" t="str">
        <f ca="1">IF($Y$3="申万一级行业",[1]!s_info_industry_sw_2021(W876,公司分析!D$5,1),IF($Y$3="申万二级行业",[1]!s_info_industry_sw_2021(W876,公司分析!D$5,2),IF($Y$3="申万三级行业",[1]!s_info_industry_sw_2021(W876,公司分析!D$5,3),IF($Y$3="wind一级行业",[1]!s_info_industry_gics(W876,1),IF($Y$3="wind二级行业",[1]!s_info_industry_gics(W876,2),IF($Y$3="wind三级行业",[1]!s_info_industry_gics(W876,3),IF($Y$3="wind四级行业",[1]!s_info_industry_gics(W876,4),IF($Y$3="证监会门类行业",[1]!s_info_industry_csrc12_n(W876,公司分析!D$5,1),""))))))))</f>
        <v>专用设备</v>
      </c>
      <c r="Z876" s="302" t="str">
        <f ca="1">IF(Y876=行业比较!$E$6,ROW(),"")</f>
        <v/>
      </c>
      <c r="AA876" s="122"/>
      <c r="AB876" s="122"/>
      <c r="AC876" s="122"/>
      <c r="AD876" s="122"/>
      <c r="AE876" s="122"/>
      <c r="AF876" s="122"/>
      <c r="AG876" s="122"/>
      <c r="AH876" s="122"/>
      <c r="AI876" s="122"/>
      <c r="AJ876" s="122"/>
      <c r="AK876" s="122"/>
      <c r="AL876" s="122"/>
      <c r="AM876" s="122"/>
      <c r="AN876" s="122"/>
      <c r="AO876" s="122"/>
      <c r="AP876" s="122"/>
    </row>
    <row r="877" spans="2:42">
      <c r="B877" s="122"/>
      <c r="C877" s="122"/>
      <c r="D877" s="122"/>
      <c r="E877" s="122"/>
      <c r="F877" s="122"/>
      <c r="G877" s="122"/>
      <c r="H877" s="122"/>
      <c r="I877" s="275"/>
      <c r="J877" s="130"/>
      <c r="K877" s="130"/>
      <c r="L877" s="130"/>
      <c r="M877" s="130"/>
      <c r="N877" s="291"/>
      <c r="O877" s="291"/>
      <c r="P877" s="122"/>
      <c r="Q877" s="122"/>
      <c r="R877" s="122"/>
      <c r="S877" s="122"/>
      <c r="T877" s="122"/>
      <c r="U877" s="301"/>
      <c r="V877" s="260">
        <f t="shared" ca="1" si="21"/>
        <v>0</v>
      </c>
      <c r="W877" s="348" t="str">
        <f>IF(板块成分!B879="","",板块成分!B879)</f>
        <v>002368.SZ</v>
      </c>
      <c r="X877" s="276" t="str">
        <f>[1]!S_Info_Name(W877)</f>
        <v>太极股份</v>
      </c>
      <c r="Y877" s="276" t="str">
        <f ca="1">IF($Y$3="申万一级行业",[1]!s_info_industry_sw_2021(W877,公司分析!D$5,1),IF($Y$3="申万二级行业",[1]!s_info_industry_sw_2021(W877,公司分析!D$5,2),IF($Y$3="申万三级行业",[1]!s_info_industry_sw_2021(W877,公司分析!D$5,3),IF($Y$3="wind一级行业",[1]!s_info_industry_gics(W877,1),IF($Y$3="wind二级行业",[1]!s_info_industry_gics(W877,2),IF($Y$3="wind三级行业",[1]!s_info_industry_gics(W877,3),IF($Y$3="wind四级行业",[1]!s_info_industry_gics(W877,4),IF($Y$3="证监会门类行业",[1]!s_info_industry_csrc12_n(W877,公司分析!D$5,1),""))))))))</f>
        <v>IT服务Ⅱ</v>
      </c>
      <c r="Z877" s="302" t="str">
        <f ca="1">IF(Y877=行业比较!$E$6,ROW(),"")</f>
        <v/>
      </c>
      <c r="AA877" s="122"/>
      <c r="AB877" s="122"/>
      <c r="AC877" s="122"/>
      <c r="AD877" s="122"/>
      <c r="AE877" s="122"/>
      <c r="AF877" s="122"/>
      <c r="AG877" s="122"/>
      <c r="AH877" s="122"/>
      <c r="AI877" s="122"/>
      <c r="AJ877" s="122"/>
      <c r="AK877" s="122"/>
      <c r="AL877" s="122"/>
      <c r="AM877" s="122"/>
      <c r="AN877" s="122"/>
      <c r="AO877" s="122"/>
      <c r="AP877" s="122"/>
    </row>
    <row r="878" spans="2:42">
      <c r="B878" s="122"/>
      <c r="C878" s="122"/>
      <c r="D878" s="122"/>
      <c r="E878" s="122"/>
      <c r="F878" s="122"/>
      <c r="G878" s="122"/>
      <c r="H878" s="122"/>
      <c r="I878" s="275"/>
      <c r="J878" s="130"/>
      <c r="K878" s="130"/>
      <c r="L878" s="130"/>
      <c r="M878" s="130"/>
      <c r="N878" s="291"/>
      <c r="O878" s="291"/>
      <c r="P878" s="122"/>
      <c r="Q878" s="122"/>
      <c r="R878" s="122"/>
      <c r="S878" s="122"/>
      <c r="T878" s="122"/>
      <c r="U878" s="301"/>
      <c r="V878" s="260">
        <f t="shared" ca="1" si="21"/>
        <v>0</v>
      </c>
      <c r="W878" s="348" t="str">
        <f>IF(板块成分!B880="","",板块成分!B880)</f>
        <v>002369.SZ</v>
      </c>
      <c r="X878" s="276" t="str">
        <f>[1]!S_Info_Name(W878)</f>
        <v>卓翼科技</v>
      </c>
      <c r="Y878" s="276" t="str">
        <f ca="1">IF($Y$3="申万一级行业",[1]!s_info_industry_sw_2021(W878,公司分析!D$5,1),IF($Y$3="申万二级行业",[1]!s_info_industry_sw_2021(W878,公司分析!D$5,2),IF($Y$3="申万三级行业",[1]!s_info_industry_sw_2021(W878,公司分析!D$5,3),IF($Y$3="wind一级行业",[1]!s_info_industry_gics(W878,1),IF($Y$3="wind二级行业",[1]!s_info_industry_gics(W878,2),IF($Y$3="wind三级行业",[1]!s_info_industry_gics(W878,3),IF($Y$3="wind四级行业",[1]!s_info_industry_gics(W878,4),IF($Y$3="证监会门类行业",[1]!s_info_industry_csrc12_n(W878,公司分析!D$5,1),""))))))))</f>
        <v>消费电子</v>
      </c>
      <c r="Z878" s="302" t="str">
        <f ca="1">IF(Y878=行业比较!$E$6,ROW(),"")</f>
        <v/>
      </c>
      <c r="AA878" s="122"/>
      <c r="AB878" s="122"/>
      <c r="AC878" s="122"/>
      <c r="AD878" s="122"/>
      <c r="AE878" s="122"/>
      <c r="AF878" s="122"/>
      <c r="AG878" s="122"/>
      <c r="AH878" s="122"/>
      <c r="AI878" s="122"/>
      <c r="AJ878" s="122"/>
      <c r="AK878" s="122"/>
      <c r="AL878" s="122"/>
      <c r="AM878" s="122"/>
      <c r="AN878" s="122"/>
      <c r="AO878" s="122"/>
      <c r="AP878" s="122"/>
    </row>
    <row r="879" spans="2:42">
      <c r="B879" s="122"/>
      <c r="C879" s="122"/>
      <c r="D879" s="122"/>
      <c r="E879" s="122"/>
      <c r="F879" s="122"/>
      <c r="G879" s="122"/>
      <c r="H879" s="122"/>
      <c r="I879" s="275"/>
      <c r="J879" s="130"/>
      <c r="K879" s="130"/>
      <c r="L879" s="130"/>
      <c r="M879" s="130"/>
      <c r="N879" s="291"/>
      <c r="O879" s="291"/>
      <c r="P879" s="122"/>
      <c r="Q879" s="122"/>
      <c r="R879" s="122"/>
      <c r="S879" s="122"/>
      <c r="T879" s="122"/>
      <c r="U879" s="301"/>
      <c r="V879" s="260">
        <f t="shared" ca="1" si="21"/>
        <v>0</v>
      </c>
      <c r="W879" s="348" t="str">
        <f>IF(板块成分!B881="","",板块成分!B881)</f>
        <v>002370.SZ</v>
      </c>
      <c r="X879" s="276" t="str">
        <f>[1]!S_Info_Name(W879)</f>
        <v>亚太药业</v>
      </c>
      <c r="Y879" s="276" t="str">
        <f ca="1">IF($Y$3="申万一级行业",[1]!s_info_industry_sw_2021(W879,公司分析!D$5,1),IF($Y$3="申万二级行业",[1]!s_info_industry_sw_2021(W879,公司分析!D$5,2),IF($Y$3="申万三级行业",[1]!s_info_industry_sw_2021(W879,公司分析!D$5,3),IF($Y$3="wind一级行业",[1]!s_info_industry_gics(W879,1),IF($Y$3="wind二级行业",[1]!s_info_industry_gics(W879,2),IF($Y$3="wind三级行业",[1]!s_info_industry_gics(W879,3),IF($Y$3="wind四级行业",[1]!s_info_industry_gics(W879,4),IF($Y$3="证监会门类行业",[1]!s_info_industry_csrc12_n(W879,公司分析!D$5,1),""))))))))</f>
        <v>化学制药</v>
      </c>
      <c r="Z879" s="302" t="str">
        <f ca="1">IF(Y879=行业比较!$E$6,ROW(),"")</f>
        <v/>
      </c>
      <c r="AA879" s="122"/>
      <c r="AB879" s="122"/>
      <c r="AC879" s="122"/>
      <c r="AD879" s="122"/>
      <c r="AE879" s="122"/>
      <c r="AF879" s="122"/>
      <c r="AG879" s="122"/>
      <c r="AH879" s="122"/>
      <c r="AI879" s="122"/>
      <c r="AJ879" s="122"/>
      <c r="AK879" s="122"/>
      <c r="AL879" s="122"/>
      <c r="AM879" s="122"/>
      <c r="AN879" s="122"/>
      <c r="AO879" s="122"/>
      <c r="AP879" s="122"/>
    </row>
    <row r="880" spans="2:42">
      <c r="B880" s="122"/>
      <c r="C880" s="122"/>
      <c r="D880" s="122"/>
      <c r="E880" s="122"/>
      <c r="F880" s="122"/>
      <c r="G880" s="122"/>
      <c r="H880" s="122"/>
      <c r="I880" s="275"/>
      <c r="J880" s="130"/>
      <c r="K880" s="130"/>
      <c r="L880" s="130"/>
      <c r="M880" s="130"/>
      <c r="N880" s="291"/>
      <c r="O880" s="291"/>
      <c r="P880" s="122"/>
      <c r="Q880" s="122"/>
      <c r="R880" s="122"/>
      <c r="S880" s="122"/>
      <c r="T880" s="122"/>
      <c r="U880" s="301"/>
      <c r="V880" s="260">
        <f t="shared" ca="1" si="21"/>
        <v>0</v>
      </c>
      <c r="W880" s="348" t="str">
        <f>IF(板块成分!B882="","",板块成分!B882)</f>
        <v>002371.SZ</v>
      </c>
      <c r="X880" s="276" t="str">
        <f>[1]!S_Info_Name(W880)</f>
        <v>北方华创</v>
      </c>
      <c r="Y880" s="276" t="str">
        <f ca="1">IF($Y$3="申万一级行业",[1]!s_info_industry_sw_2021(W880,公司分析!D$5,1),IF($Y$3="申万二级行业",[1]!s_info_industry_sw_2021(W880,公司分析!D$5,2),IF($Y$3="申万三级行业",[1]!s_info_industry_sw_2021(W880,公司分析!D$5,3),IF($Y$3="wind一级行业",[1]!s_info_industry_gics(W880,1),IF($Y$3="wind二级行业",[1]!s_info_industry_gics(W880,2),IF($Y$3="wind三级行业",[1]!s_info_industry_gics(W880,3),IF($Y$3="wind四级行业",[1]!s_info_industry_gics(W880,4),IF($Y$3="证监会门类行业",[1]!s_info_industry_csrc12_n(W880,公司分析!D$5,1),""))))))))</f>
        <v>半导体</v>
      </c>
      <c r="Z880" s="302" t="str">
        <f ca="1">IF(Y880=行业比较!$E$6,ROW(),"")</f>
        <v/>
      </c>
      <c r="AA880" s="122"/>
      <c r="AB880" s="122"/>
      <c r="AC880" s="122"/>
      <c r="AD880" s="122"/>
      <c r="AE880" s="122"/>
      <c r="AF880" s="122"/>
      <c r="AG880" s="122"/>
      <c r="AH880" s="122"/>
      <c r="AI880" s="122"/>
      <c r="AJ880" s="122"/>
      <c r="AK880" s="122"/>
      <c r="AL880" s="122"/>
      <c r="AM880" s="122"/>
      <c r="AN880" s="122"/>
      <c r="AO880" s="122"/>
      <c r="AP880" s="122"/>
    </row>
    <row r="881" spans="2:42">
      <c r="B881" s="122"/>
      <c r="C881" s="122"/>
      <c r="D881" s="122"/>
      <c r="E881" s="122"/>
      <c r="F881" s="122"/>
      <c r="G881" s="122"/>
      <c r="H881" s="122"/>
      <c r="I881" s="275"/>
      <c r="J881" s="130"/>
      <c r="K881" s="130"/>
      <c r="L881" s="130"/>
      <c r="M881" s="130"/>
      <c r="N881" s="291"/>
      <c r="O881" s="291"/>
      <c r="P881" s="122"/>
      <c r="Q881" s="122"/>
      <c r="R881" s="122"/>
      <c r="S881" s="122"/>
      <c r="T881" s="122"/>
      <c r="U881" s="301"/>
      <c r="V881" s="260">
        <f t="shared" ca="1" si="21"/>
        <v>0</v>
      </c>
      <c r="W881" s="348" t="str">
        <f>IF(板块成分!B883="","",板块成分!B883)</f>
        <v>002372.SZ</v>
      </c>
      <c r="X881" s="276" t="str">
        <f>[1]!S_Info_Name(W881)</f>
        <v>伟星新材</v>
      </c>
      <c r="Y881" s="276" t="str">
        <f ca="1">IF($Y$3="申万一级行业",[1]!s_info_industry_sw_2021(W881,公司分析!D$5,1),IF($Y$3="申万二级行业",[1]!s_info_industry_sw_2021(W881,公司分析!D$5,2),IF($Y$3="申万三级行业",[1]!s_info_industry_sw_2021(W881,公司分析!D$5,3),IF($Y$3="wind一级行业",[1]!s_info_industry_gics(W881,1),IF($Y$3="wind二级行业",[1]!s_info_industry_gics(W881,2),IF($Y$3="wind三级行业",[1]!s_info_industry_gics(W881,3),IF($Y$3="wind四级行业",[1]!s_info_industry_gics(W881,4),IF($Y$3="证监会门类行业",[1]!s_info_industry_csrc12_n(W881,公司分析!D$5,1),""))))))))</f>
        <v>装修建材</v>
      </c>
      <c r="Z881" s="302" t="str">
        <f ca="1">IF(Y881=行业比较!$E$6,ROW(),"")</f>
        <v/>
      </c>
      <c r="AA881" s="122"/>
      <c r="AB881" s="122"/>
      <c r="AC881" s="122"/>
      <c r="AD881" s="122"/>
      <c r="AE881" s="122"/>
      <c r="AF881" s="122"/>
      <c r="AG881" s="122"/>
      <c r="AH881" s="122"/>
      <c r="AI881" s="122"/>
      <c r="AJ881" s="122"/>
      <c r="AK881" s="122"/>
      <c r="AL881" s="122"/>
      <c r="AM881" s="122"/>
      <c r="AN881" s="122"/>
      <c r="AO881" s="122"/>
      <c r="AP881" s="122"/>
    </row>
    <row r="882" spans="2:42">
      <c r="B882" s="122"/>
      <c r="C882" s="122"/>
      <c r="D882" s="122"/>
      <c r="E882" s="122"/>
      <c r="F882" s="122"/>
      <c r="G882" s="122"/>
      <c r="H882" s="122"/>
      <c r="I882" s="275"/>
      <c r="J882" s="130"/>
      <c r="K882" s="130"/>
      <c r="L882" s="130"/>
      <c r="M882" s="130"/>
      <c r="N882" s="291"/>
      <c r="O882" s="291"/>
      <c r="P882" s="122"/>
      <c r="Q882" s="122"/>
      <c r="R882" s="122"/>
      <c r="S882" s="122"/>
      <c r="T882" s="122"/>
      <c r="U882" s="301"/>
      <c r="V882" s="260">
        <f t="shared" ca="1" si="21"/>
        <v>0</v>
      </c>
      <c r="W882" s="348" t="str">
        <f>IF(板块成分!B884="","",板块成分!B884)</f>
        <v>002373.SZ</v>
      </c>
      <c r="X882" s="276" t="str">
        <f>[1]!S_Info_Name(W882)</f>
        <v>千方科技</v>
      </c>
      <c r="Y882" s="276" t="str">
        <f ca="1">IF($Y$3="申万一级行业",[1]!s_info_industry_sw_2021(W882,公司分析!D$5,1),IF($Y$3="申万二级行业",[1]!s_info_industry_sw_2021(W882,公司分析!D$5,2),IF($Y$3="申万三级行业",[1]!s_info_industry_sw_2021(W882,公司分析!D$5,3),IF($Y$3="wind一级行业",[1]!s_info_industry_gics(W882,1),IF($Y$3="wind二级行业",[1]!s_info_industry_gics(W882,2),IF($Y$3="wind三级行业",[1]!s_info_industry_gics(W882,3),IF($Y$3="wind四级行业",[1]!s_info_industry_gics(W882,4),IF($Y$3="证监会门类行业",[1]!s_info_industry_csrc12_n(W882,公司分析!D$5,1),""))))))))</f>
        <v>IT服务Ⅱ</v>
      </c>
      <c r="Z882" s="302" t="str">
        <f ca="1">IF(Y882=行业比较!$E$6,ROW(),"")</f>
        <v/>
      </c>
      <c r="AA882" s="122"/>
      <c r="AB882" s="122"/>
      <c r="AC882" s="122"/>
      <c r="AD882" s="122"/>
      <c r="AE882" s="122"/>
      <c r="AF882" s="122"/>
      <c r="AG882" s="122"/>
      <c r="AH882" s="122"/>
      <c r="AI882" s="122"/>
      <c r="AJ882" s="122"/>
      <c r="AK882" s="122"/>
      <c r="AL882" s="122"/>
      <c r="AM882" s="122"/>
      <c r="AN882" s="122"/>
      <c r="AO882" s="122"/>
      <c r="AP882" s="122"/>
    </row>
    <row r="883" spans="2:42">
      <c r="B883" s="122"/>
      <c r="C883" s="122"/>
      <c r="D883" s="122"/>
      <c r="E883" s="122"/>
      <c r="F883" s="122"/>
      <c r="G883" s="122"/>
      <c r="H883" s="122"/>
      <c r="I883" s="275"/>
      <c r="J883" s="130"/>
      <c r="K883" s="130"/>
      <c r="L883" s="130"/>
      <c r="M883" s="130"/>
      <c r="N883" s="291"/>
      <c r="O883" s="291"/>
      <c r="P883" s="122"/>
      <c r="Q883" s="122"/>
      <c r="R883" s="122"/>
      <c r="S883" s="122"/>
      <c r="T883" s="122"/>
      <c r="U883" s="301"/>
      <c r="V883" s="260">
        <f t="shared" ca="1" si="21"/>
        <v>0</v>
      </c>
      <c r="W883" s="348" t="str">
        <f>IF(板块成分!B885="","",板块成分!B885)</f>
        <v>002374.SZ</v>
      </c>
      <c r="X883" s="276" t="str">
        <f>[1]!S_Info_Name(W883)</f>
        <v>中锐股份</v>
      </c>
      <c r="Y883" s="276" t="str">
        <f ca="1">IF($Y$3="申万一级行业",[1]!s_info_industry_sw_2021(W883,公司分析!D$5,1),IF($Y$3="申万二级行业",[1]!s_info_industry_sw_2021(W883,公司分析!D$5,2),IF($Y$3="申万三级行业",[1]!s_info_industry_sw_2021(W883,公司分析!D$5,3),IF($Y$3="wind一级行业",[1]!s_info_industry_gics(W883,1),IF($Y$3="wind二级行业",[1]!s_info_industry_gics(W883,2),IF($Y$3="wind三级行业",[1]!s_info_industry_gics(W883,3),IF($Y$3="wind四级行业",[1]!s_info_industry_gics(W883,4),IF($Y$3="证监会门类行业",[1]!s_info_industry_csrc12_n(W883,公司分析!D$5,1),""))))))))</f>
        <v>包装印刷</v>
      </c>
      <c r="Z883" s="302" t="str">
        <f ca="1">IF(Y883=行业比较!$E$6,ROW(),"")</f>
        <v/>
      </c>
      <c r="AA883" s="122"/>
      <c r="AB883" s="122"/>
      <c r="AC883" s="122"/>
      <c r="AD883" s="122"/>
      <c r="AE883" s="122"/>
      <c r="AF883" s="122"/>
      <c r="AG883" s="122"/>
      <c r="AH883" s="122"/>
      <c r="AI883" s="122"/>
      <c r="AJ883" s="122"/>
      <c r="AK883" s="122"/>
      <c r="AL883" s="122"/>
      <c r="AM883" s="122"/>
      <c r="AN883" s="122"/>
      <c r="AO883" s="122"/>
      <c r="AP883" s="122"/>
    </row>
    <row r="884" spans="2:42">
      <c r="B884" s="122"/>
      <c r="C884" s="122"/>
      <c r="D884" s="122"/>
      <c r="E884" s="122"/>
      <c r="F884" s="122"/>
      <c r="G884" s="122"/>
      <c r="H884" s="122"/>
      <c r="I884" s="275"/>
      <c r="J884" s="130"/>
      <c r="K884" s="130"/>
      <c r="L884" s="130"/>
      <c r="M884" s="130"/>
      <c r="N884" s="291"/>
      <c r="O884" s="291"/>
      <c r="P884" s="122"/>
      <c r="Q884" s="122"/>
      <c r="R884" s="122"/>
      <c r="S884" s="122"/>
      <c r="T884" s="122"/>
      <c r="U884" s="301"/>
      <c r="V884" s="260">
        <f t="shared" ca="1" si="21"/>
        <v>0</v>
      </c>
      <c r="W884" s="348" t="str">
        <f>IF(板块成分!B886="","",板块成分!B886)</f>
        <v>002375.SZ</v>
      </c>
      <c r="X884" s="276" t="str">
        <f>[1]!S_Info_Name(W884)</f>
        <v>亚厦股份</v>
      </c>
      <c r="Y884" s="276" t="str">
        <f ca="1">IF($Y$3="申万一级行业",[1]!s_info_industry_sw_2021(W884,公司分析!D$5,1),IF($Y$3="申万二级行业",[1]!s_info_industry_sw_2021(W884,公司分析!D$5,2),IF($Y$3="申万三级行业",[1]!s_info_industry_sw_2021(W884,公司分析!D$5,3),IF($Y$3="wind一级行业",[1]!s_info_industry_gics(W884,1),IF($Y$3="wind二级行业",[1]!s_info_industry_gics(W884,2),IF($Y$3="wind三级行业",[1]!s_info_industry_gics(W884,3),IF($Y$3="wind四级行业",[1]!s_info_industry_gics(W884,4),IF($Y$3="证监会门类行业",[1]!s_info_industry_csrc12_n(W884,公司分析!D$5,1),""))))))))</f>
        <v>装修装饰Ⅱ</v>
      </c>
      <c r="Z884" s="302" t="str">
        <f ca="1">IF(Y884=行业比较!$E$6,ROW(),"")</f>
        <v/>
      </c>
      <c r="AA884" s="122"/>
      <c r="AB884" s="122"/>
      <c r="AC884" s="122"/>
      <c r="AD884" s="122"/>
      <c r="AE884" s="122"/>
      <c r="AF884" s="122"/>
      <c r="AG884" s="122"/>
      <c r="AH884" s="122"/>
      <c r="AI884" s="122"/>
      <c r="AJ884" s="122"/>
      <c r="AK884" s="122"/>
      <c r="AL884" s="122"/>
      <c r="AM884" s="122"/>
      <c r="AN884" s="122"/>
      <c r="AO884" s="122"/>
      <c r="AP884" s="122"/>
    </row>
    <row r="885" spans="2:42">
      <c r="B885" s="122"/>
      <c r="C885" s="122"/>
      <c r="D885" s="122"/>
      <c r="E885" s="122"/>
      <c r="F885" s="122"/>
      <c r="G885" s="122"/>
      <c r="H885" s="122"/>
      <c r="I885" s="275"/>
      <c r="J885" s="130"/>
      <c r="K885" s="130"/>
      <c r="L885" s="130"/>
      <c r="M885" s="130"/>
      <c r="N885" s="291"/>
      <c r="O885" s="291"/>
      <c r="P885" s="122"/>
      <c r="Q885" s="122"/>
      <c r="R885" s="122"/>
      <c r="S885" s="122"/>
      <c r="T885" s="122"/>
      <c r="U885" s="301"/>
      <c r="V885" s="260">
        <f t="shared" ca="1" si="21"/>
        <v>0</v>
      </c>
      <c r="W885" s="348" t="str">
        <f>IF(板块成分!B887="","",板块成分!B887)</f>
        <v>002376.SZ</v>
      </c>
      <c r="X885" s="276" t="str">
        <f>[1]!S_Info_Name(W885)</f>
        <v>新北洋</v>
      </c>
      <c r="Y885" s="276" t="str">
        <f ca="1">IF($Y$3="申万一级行业",[1]!s_info_industry_sw_2021(W885,公司分析!D$5,1),IF($Y$3="申万二级行业",[1]!s_info_industry_sw_2021(W885,公司分析!D$5,2),IF($Y$3="申万三级行业",[1]!s_info_industry_sw_2021(W885,公司分析!D$5,3),IF($Y$3="wind一级行业",[1]!s_info_industry_gics(W885,1),IF($Y$3="wind二级行业",[1]!s_info_industry_gics(W885,2),IF($Y$3="wind三级行业",[1]!s_info_industry_gics(W885,3),IF($Y$3="wind四级行业",[1]!s_info_industry_gics(W885,4),IF($Y$3="证监会门类行业",[1]!s_info_industry_csrc12_n(W885,公司分析!D$5,1),""))))))))</f>
        <v>计算机设备</v>
      </c>
      <c r="Z885" s="302" t="str">
        <f ca="1">IF(Y885=行业比较!$E$6,ROW(),"")</f>
        <v/>
      </c>
      <c r="AA885" s="122"/>
      <c r="AB885" s="122"/>
      <c r="AC885" s="122"/>
      <c r="AD885" s="122"/>
      <c r="AE885" s="122"/>
      <c r="AF885" s="122"/>
      <c r="AG885" s="122"/>
      <c r="AH885" s="122"/>
      <c r="AI885" s="122"/>
      <c r="AJ885" s="122"/>
      <c r="AK885" s="122"/>
      <c r="AL885" s="122"/>
      <c r="AM885" s="122"/>
      <c r="AN885" s="122"/>
      <c r="AO885" s="122"/>
      <c r="AP885" s="122"/>
    </row>
    <row r="886" spans="2:42">
      <c r="B886" s="122"/>
      <c r="C886" s="122"/>
      <c r="D886" s="122"/>
      <c r="E886" s="122"/>
      <c r="F886" s="122"/>
      <c r="G886" s="122"/>
      <c r="H886" s="122"/>
      <c r="I886" s="275"/>
      <c r="J886" s="130"/>
      <c r="K886" s="130"/>
      <c r="L886" s="130"/>
      <c r="M886" s="130"/>
      <c r="N886" s="291"/>
      <c r="O886" s="291"/>
      <c r="P886" s="122"/>
      <c r="Q886" s="122"/>
      <c r="R886" s="122"/>
      <c r="S886" s="122"/>
      <c r="T886" s="122"/>
      <c r="U886" s="301"/>
      <c r="V886" s="260">
        <f t="shared" ca="1" si="21"/>
        <v>0</v>
      </c>
      <c r="W886" s="348" t="str">
        <f>IF(板块成分!B888="","",板块成分!B888)</f>
        <v>002377.SZ</v>
      </c>
      <c r="X886" s="276" t="str">
        <f>[1]!S_Info_Name(W886)</f>
        <v>国创高新</v>
      </c>
      <c r="Y886" s="276" t="str">
        <f ca="1">IF($Y$3="申万一级行业",[1]!s_info_industry_sw_2021(W886,公司分析!D$5,1),IF($Y$3="申万二级行业",[1]!s_info_industry_sw_2021(W886,公司分析!D$5,2),IF($Y$3="申万三级行业",[1]!s_info_industry_sw_2021(W886,公司分析!D$5,3),IF($Y$3="wind一级行业",[1]!s_info_industry_gics(W886,1),IF($Y$3="wind二级行业",[1]!s_info_industry_gics(W886,2),IF($Y$3="wind三级行业",[1]!s_info_industry_gics(W886,3),IF($Y$3="wind四级行业",[1]!s_info_industry_gics(W886,4),IF($Y$3="证监会门类行业",[1]!s_info_industry_csrc12_n(W886,公司分析!D$5,1),""))))))))</f>
        <v>炼化及贸易</v>
      </c>
      <c r="Z886" s="302" t="str">
        <f ca="1">IF(Y886=行业比较!$E$6,ROW(),"")</f>
        <v/>
      </c>
      <c r="AA886" s="122"/>
      <c r="AB886" s="122"/>
      <c r="AC886" s="122"/>
      <c r="AD886" s="122"/>
      <c r="AE886" s="122"/>
      <c r="AF886" s="122"/>
      <c r="AG886" s="122"/>
      <c r="AH886" s="122"/>
      <c r="AI886" s="122"/>
      <c r="AJ886" s="122"/>
      <c r="AK886" s="122"/>
      <c r="AL886" s="122"/>
      <c r="AM886" s="122"/>
      <c r="AN886" s="122"/>
      <c r="AO886" s="122"/>
      <c r="AP886" s="122"/>
    </row>
    <row r="887" spans="2:42">
      <c r="B887" s="122"/>
      <c r="C887" s="122"/>
      <c r="D887" s="122"/>
      <c r="E887" s="122"/>
      <c r="F887" s="122"/>
      <c r="G887" s="122"/>
      <c r="H887" s="122"/>
      <c r="I887" s="275"/>
      <c r="J887" s="130"/>
      <c r="K887" s="130"/>
      <c r="L887" s="130"/>
      <c r="M887" s="130"/>
      <c r="N887" s="291"/>
      <c r="O887" s="291"/>
      <c r="P887" s="122"/>
      <c r="Q887" s="122"/>
      <c r="R887" s="122"/>
      <c r="S887" s="122"/>
      <c r="T887" s="122"/>
      <c r="U887" s="301"/>
      <c r="V887" s="260">
        <f t="shared" ca="1" si="21"/>
        <v>0</v>
      </c>
      <c r="W887" s="348" t="str">
        <f>IF(板块成分!B889="","",板块成分!B889)</f>
        <v>002378.SZ</v>
      </c>
      <c r="X887" s="276" t="str">
        <f>[1]!S_Info_Name(W887)</f>
        <v>章源钨业</v>
      </c>
      <c r="Y887" s="276" t="str">
        <f ca="1">IF($Y$3="申万一级行业",[1]!s_info_industry_sw_2021(W887,公司分析!D$5,1),IF($Y$3="申万二级行业",[1]!s_info_industry_sw_2021(W887,公司分析!D$5,2),IF($Y$3="申万三级行业",[1]!s_info_industry_sw_2021(W887,公司分析!D$5,3),IF($Y$3="wind一级行业",[1]!s_info_industry_gics(W887,1),IF($Y$3="wind二级行业",[1]!s_info_industry_gics(W887,2),IF($Y$3="wind三级行业",[1]!s_info_industry_gics(W887,3),IF($Y$3="wind四级行业",[1]!s_info_industry_gics(W887,4),IF($Y$3="证监会门类行业",[1]!s_info_industry_csrc12_n(W887,公司分析!D$5,1),""))))))))</f>
        <v>小金属</v>
      </c>
      <c r="Z887" s="302" t="str">
        <f ca="1">IF(Y887=行业比较!$E$6,ROW(),"")</f>
        <v/>
      </c>
      <c r="AA887" s="122"/>
      <c r="AB887" s="122"/>
      <c r="AC887" s="122"/>
      <c r="AD887" s="122"/>
      <c r="AE887" s="122"/>
      <c r="AF887" s="122"/>
      <c r="AG887" s="122"/>
      <c r="AH887" s="122"/>
      <c r="AI887" s="122"/>
      <c r="AJ887" s="122"/>
      <c r="AK887" s="122"/>
      <c r="AL887" s="122"/>
      <c r="AM887" s="122"/>
      <c r="AN887" s="122"/>
      <c r="AO887" s="122"/>
      <c r="AP887" s="122"/>
    </row>
    <row r="888" spans="2:42">
      <c r="B888" s="122"/>
      <c r="C888" s="122"/>
      <c r="D888" s="122"/>
      <c r="E888" s="122"/>
      <c r="F888" s="122"/>
      <c r="G888" s="122"/>
      <c r="H888" s="122"/>
      <c r="I888" s="275"/>
      <c r="J888" s="130"/>
      <c r="K888" s="130"/>
      <c r="L888" s="130"/>
      <c r="M888" s="130"/>
      <c r="N888" s="291"/>
      <c r="O888" s="291"/>
      <c r="P888" s="122"/>
      <c r="Q888" s="122"/>
      <c r="R888" s="122"/>
      <c r="S888" s="122"/>
      <c r="T888" s="122"/>
      <c r="U888" s="301"/>
      <c r="V888" s="260">
        <f t="shared" ca="1" si="21"/>
        <v>18</v>
      </c>
      <c r="W888" s="348" t="str">
        <f>IF(板块成分!B890="","",板块成分!B890)</f>
        <v>002379.SZ</v>
      </c>
      <c r="X888" s="276" t="str">
        <f>[1]!S_Info_Name(W888)</f>
        <v>宏桥控股</v>
      </c>
      <c r="Y888" s="276" t="str">
        <f ca="1">IF($Y$3="申万一级行业",[1]!s_info_industry_sw_2021(W888,公司分析!D$5,1),IF($Y$3="申万二级行业",[1]!s_info_industry_sw_2021(W888,公司分析!D$5,2),IF($Y$3="申万三级行业",[1]!s_info_industry_sw_2021(W888,公司分析!D$5,3),IF($Y$3="wind一级行业",[1]!s_info_industry_gics(W888,1),IF($Y$3="wind二级行业",[1]!s_info_industry_gics(W888,2),IF($Y$3="wind三级行业",[1]!s_info_industry_gics(W888,3),IF($Y$3="wind四级行业",[1]!s_info_industry_gics(W888,4),IF($Y$3="证监会门类行业",[1]!s_info_industry_csrc12_n(W888,公司分析!D$5,1),""))))))))</f>
        <v>工业金属</v>
      </c>
      <c r="Z888" s="302">
        <f ca="1">IF(Y888=行业比较!$E$6,ROW(),"")</f>
        <v>888</v>
      </c>
      <c r="AA888" s="122"/>
      <c r="AB888" s="122"/>
      <c r="AC888" s="122"/>
      <c r="AD888" s="122"/>
      <c r="AE888" s="122"/>
      <c r="AF888" s="122"/>
      <c r="AG888" s="122"/>
      <c r="AH888" s="122"/>
      <c r="AI888" s="122"/>
      <c r="AJ888" s="122"/>
      <c r="AK888" s="122"/>
      <c r="AL888" s="122"/>
      <c r="AM888" s="122"/>
      <c r="AN888" s="122"/>
      <c r="AO888" s="122"/>
      <c r="AP888" s="122"/>
    </row>
    <row r="889" spans="2:42">
      <c r="B889" s="122"/>
      <c r="C889" s="122"/>
      <c r="D889" s="122"/>
      <c r="E889" s="122"/>
      <c r="F889" s="122"/>
      <c r="G889" s="122"/>
      <c r="H889" s="122"/>
      <c r="I889" s="275"/>
      <c r="J889" s="130"/>
      <c r="K889" s="130"/>
      <c r="L889" s="130"/>
      <c r="M889" s="130"/>
      <c r="N889" s="291"/>
      <c r="O889" s="291"/>
      <c r="P889" s="122"/>
      <c r="Q889" s="122"/>
      <c r="R889" s="122"/>
      <c r="S889" s="122"/>
      <c r="T889" s="122"/>
      <c r="U889" s="301"/>
      <c r="V889" s="260">
        <f t="shared" ca="1" si="21"/>
        <v>0</v>
      </c>
      <c r="W889" s="348" t="str">
        <f>IF(板块成分!B891="","",板块成分!B891)</f>
        <v>002380.SZ</v>
      </c>
      <c r="X889" s="276" t="str">
        <f>[1]!S_Info_Name(W889)</f>
        <v>科远智慧</v>
      </c>
      <c r="Y889" s="276" t="str">
        <f ca="1">IF($Y$3="申万一级行业",[1]!s_info_industry_sw_2021(W889,公司分析!D$5,1),IF($Y$3="申万二级行业",[1]!s_info_industry_sw_2021(W889,公司分析!D$5,2),IF($Y$3="申万三级行业",[1]!s_info_industry_sw_2021(W889,公司分析!D$5,3),IF($Y$3="wind一级行业",[1]!s_info_industry_gics(W889,1),IF($Y$3="wind二级行业",[1]!s_info_industry_gics(W889,2),IF($Y$3="wind三级行业",[1]!s_info_industry_gics(W889,3),IF($Y$3="wind四级行业",[1]!s_info_industry_gics(W889,4),IF($Y$3="证监会门类行业",[1]!s_info_industry_csrc12_n(W889,公司分析!D$5,1),""))))))))</f>
        <v>IT服务Ⅱ</v>
      </c>
      <c r="Z889" s="302" t="str">
        <f ca="1">IF(Y889=行业比较!$E$6,ROW(),"")</f>
        <v/>
      </c>
      <c r="AA889" s="122"/>
      <c r="AB889" s="122"/>
      <c r="AC889" s="122"/>
      <c r="AD889" s="122"/>
      <c r="AE889" s="122"/>
      <c r="AF889" s="122"/>
      <c r="AG889" s="122"/>
      <c r="AH889" s="122"/>
      <c r="AI889" s="122"/>
      <c r="AJ889" s="122"/>
      <c r="AK889" s="122"/>
      <c r="AL889" s="122"/>
      <c r="AM889" s="122"/>
      <c r="AN889" s="122"/>
      <c r="AO889" s="122"/>
      <c r="AP889" s="122"/>
    </row>
    <row r="890" spans="2:42">
      <c r="B890" s="122"/>
      <c r="C890" s="122"/>
      <c r="D890" s="122"/>
      <c r="E890" s="122"/>
      <c r="F890" s="122"/>
      <c r="G890" s="122"/>
      <c r="H890" s="122"/>
      <c r="I890" s="275"/>
      <c r="J890" s="130"/>
      <c r="K890" s="130"/>
      <c r="L890" s="130"/>
      <c r="M890" s="130"/>
      <c r="N890" s="291"/>
      <c r="O890" s="291"/>
      <c r="P890" s="122"/>
      <c r="Q890" s="122"/>
      <c r="R890" s="122"/>
      <c r="S890" s="122"/>
      <c r="T890" s="122"/>
      <c r="U890" s="301"/>
      <c r="V890" s="260">
        <f t="shared" ca="1" si="21"/>
        <v>0</v>
      </c>
      <c r="W890" s="348" t="str">
        <f>IF(板块成分!B892="","",板块成分!B892)</f>
        <v>002381.SZ</v>
      </c>
      <c r="X890" s="276" t="str">
        <f>[1]!S_Info_Name(W890)</f>
        <v>双箭股份</v>
      </c>
      <c r="Y890" s="276" t="str">
        <f ca="1">IF($Y$3="申万一级行业",[1]!s_info_industry_sw_2021(W890,公司分析!D$5,1),IF($Y$3="申万二级行业",[1]!s_info_industry_sw_2021(W890,公司分析!D$5,2),IF($Y$3="申万三级行业",[1]!s_info_industry_sw_2021(W890,公司分析!D$5,3),IF($Y$3="wind一级行业",[1]!s_info_industry_gics(W890,1),IF($Y$3="wind二级行业",[1]!s_info_industry_gics(W890,2),IF($Y$3="wind三级行业",[1]!s_info_industry_gics(W890,3),IF($Y$3="wind四级行业",[1]!s_info_industry_gics(W890,4),IF($Y$3="证监会门类行业",[1]!s_info_industry_csrc12_n(W890,公司分析!D$5,1),""))))))))</f>
        <v>橡胶</v>
      </c>
      <c r="Z890" s="302" t="str">
        <f ca="1">IF(Y890=行业比较!$E$6,ROW(),"")</f>
        <v/>
      </c>
      <c r="AA890" s="122"/>
      <c r="AB890" s="122"/>
      <c r="AC890" s="122"/>
      <c r="AD890" s="122"/>
      <c r="AE890" s="122"/>
      <c r="AF890" s="122"/>
      <c r="AG890" s="122"/>
      <c r="AH890" s="122"/>
      <c r="AI890" s="122"/>
      <c r="AJ890" s="122"/>
      <c r="AK890" s="122"/>
      <c r="AL890" s="122"/>
      <c r="AM890" s="122"/>
      <c r="AN890" s="122"/>
      <c r="AO890" s="122"/>
      <c r="AP890" s="122"/>
    </row>
    <row r="891" spans="2:42">
      <c r="B891" s="122"/>
      <c r="C891" s="122"/>
      <c r="D891" s="122"/>
      <c r="E891" s="122"/>
      <c r="F891" s="122"/>
      <c r="G891" s="122"/>
      <c r="H891" s="122"/>
      <c r="I891" s="275"/>
      <c r="J891" s="130"/>
      <c r="K891" s="130"/>
      <c r="L891" s="130"/>
      <c r="M891" s="130"/>
      <c r="N891" s="291"/>
      <c r="O891" s="291"/>
      <c r="P891" s="122"/>
      <c r="Q891" s="122"/>
      <c r="R891" s="122"/>
      <c r="S891" s="122"/>
      <c r="T891" s="122"/>
      <c r="U891" s="301"/>
      <c r="V891" s="260">
        <f t="shared" ca="1" si="21"/>
        <v>0</v>
      </c>
      <c r="W891" s="348" t="str">
        <f>IF(板块成分!B893="","",板块成分!B893)</f>
        <v>002382.SZ</v>
      </c>
      <c r="X891" s="276" t="str">
        <f>[1]!S_Info_Name(W891)</f>
        <v>蓝帆医疗</v>
      </c>
      <c r="Y891" s="276" t="str">
        <f ca="1">IF($Y$3="申万一级行业",[1]!s_info_industry_sw_2021(W891,公司分析!D$5,1),IF($Y$3="申万二级行业",[1]!s_info_industry_sw_2021(W891,公司分析!D$5,2),IF($Y$3="申万三级行业",[1]!s_info_industry_sw_2021(W891,公司分析!D$5,3),IF($Y$3="wind一级行业",[1]!s_info_industry_gics(W891,1),IF($Y$3="wind二级行业",[1]!s_info_industry_gics(W891,2),IF($Y$3="wind三级行业",[1]!s_info_industry_gics(W891,3),IF($Y$3="wind四级行业",[1]!s_info_industry_gics(W891,4),IF($Y$3="证监会门类行业",[1]!s_info_industry_csrc12_n(W891,公司分析!D$5,1),""))))))))</f>
        <v>医疗器械</v>
      </c>
      <c r="Z891" s="302" t="str">
        <f ca="1">IF(Y891=行业比较!$E$6,ROW(),"")</f>
        <v/>
      </c>
      <c r="AA891" s="122"/>
      <c r="AB891" s="122"/>
      <c r="AC891" s="122"/>
      <c r="AD891" s="122"/>
      <c r="AE891" s="122"/>
      <c r="AF891" s="122"/>
      <c r="AG891" s="122"/>
      <c r="AH891" s="122"/>
      <c r="AI891" s="122"/>
      <c r="AJ891" s="122"/>
      <c r="AK891" s="122"/>
      <c r="AL891" s="122"/>
      <c r="AM891" s="122"/>
      <c r="AN891" s="122"/>
      <c r="AO891" s="122"/>
      <c r="AP891" s="122"/>
    </row>
    <row r="892" spans="2:42">
      <c r="B892" s="122"/>
      <c r="C892" s="122"/>
      <c r="D892" s="122"/>
      <c r="E892" s="122"/>
      <c r="F892" s="122"/>
      <c r="G892" s="122"/>
      <c r="H892" s="122"/>
      <c r="I892" s="275"/>
      <c r="J892" s="130"/>
      <c r="K892" s="130"/>
      <c r="L892" s="130"/>
      <c r="M892" s="130"/>
      <c r="N892" s="291"/>
      <c r="O892" s="291"/>
      <c r="P892" s="122"/>
      <c r="Q892" s="122"/>
      <c r="R892" s="122"/>
      <c r="S892" s="122"/>
      <c r="T892" s="122"/>
      <c r="U892" s="301"/>
      <c r="V892" s="260">
        <f t="shared" ca="1" si="21"/>
        <v>0</v>
      </c>
      <c r="W892" s="348" t="str">
        <f>IF(板块成分!B894="","",板块成分!B894)</f>
        <v>002383.SZ</v>
      </c>
      <c r="X892" s="276" t="str">
        <f>[1]!S_Info_Name(W892)</f>
        <v>合众思壮</v>
      </c>
      <c r="Y892" s="276" t="str">
        <f ca="1">IF($Y$3="申万一级行业",[1]!s_info_industry_sw_2021(W892,公司分析!D$5,1),IF($Y$3="申万二级行业",[1]!s_info_industry_sw_2021(W892,公司分析!D$5,2),IF($Y$3="申万三级行业",[1]!s_info_industry_sw_2021(W892,公司分析!D$5,3),IF($Y$3="wind一级行业",[1]!s_info_industry_gics(W892,1),IF($Y$3="wind二级行业",[1]!s_info_industry_gics(W892,2),IF($Y$3="wind三级行业",[1]!s_info_industry_gics(W892,3),IF($Y$3="wind四级行业",[1]!s_info_industry_gics(W892,4),IF($Y$3="证监会门类行业",[1]!s_info_industry_csrc12_n(W892,公司分析!D$5,1),""))))))))</f>
        <v>军工电子Ⅱ</v>
      </c>
      <c r="Z892" s="302" t="str">
        <f ca="1">IF(Y892=行业比较!$E$6,ROW(),"")</f>
        <v/>
      </c>
      <c r="AA892" s="122"/>
      <c r="AB892" s="122"/>
      <c r="AC892" s="122"/>
      <c r="AD892" s="122"/>
      <c r="AE892" s="122"/>
      <c r="AF892" s="122"/>
      <c r="AG892" s="122"/>
      <c r="AH892" s="122"/>
      <c r="AI892" s="122"/>
      <c r="AJ892" s="122"/>
      <c r="AK892" s="122"/>
      <c r="AL892" s="122"/>
      <c r="AM892" s="122"/>
      <c r="AN892" s="122"/>
      <c r="AO892" s="122"/>
      <c r="AP892" s="122"/>
    </row>
    <row r="893" spans="2:42">
      <c r="B893" s="122"/>
      <c r="C893" s="122"/>
      <c r="D893" s="122"/>
      <c r="E893" s="122"/>
      <c r="F893" s="122"/>
      <c r="G893" s="122"/>
      <c r="H893" s="122"/>
      <c r="I893" s="275"/>
      <c r="J893" s="130"/>
      <c r="K893" s="130"/>
      <c r="L893" s="130"/>
      <c r="M893" s="130"/>
      <c r="N893" s="291"/>
      <c r="O893" s="291"/>
      <c r="P893" s="122"/>
      <c r="Q893" s="122"/>
      <c r="R893" s="122"/>
      <c r="S893" s="122"/>
      <c r="T893" s="122"/>
      <c r="U893" s="301"/>
      <c r="V893" s="260">
        <f t="shared" ca="1" si="21"/>
        <v>0</v>
      </c>
      <c r="W893" s="348" t="str">
        <f>IF(板块成分!B895="","",板块成分!B895)</f>
        <v>002384.SZ</v>
      </c>
      <c r="X893" s="276" t="str">
        <f>[1]!S_Info_Name(W893)</f>
        <v>东山精密</v>
      </c>
      <c r="Y893" s="276" t="str">
        <f ca="1">IF($Y$3="申万一级行业",[1]!s_info_industry_sw_2021(W893,公司分析!D$5,1),IF($Y$3="申万二级行业",[1]!s_info_industry_sw_2021(W893,公司分析!D$5,2),IF($Y$3="申万三级行业",[1]!s_info_industry_sw_2021(W893,公司分析!D$5,3),IF($Y$3="wind一级行业",[1]!s_info_industry_gics(W893,1),IF($Y$3="wind二级行业",[1]!s_info_industry_gics(W893,2),IF($Y$3="wind三级行业",[1]!s_info_industry_gics(W893,3),IF($Y$3="wind四级行业",[1]!s_info_industry_gics(W893,4),IF($Y$3="证监会门类行业",[1]!s_info_industry_csrc12_n(W893,公司分析!D$5,1),""))))))))</f>
        <v>元件</v>
      </c>
      <c r="Z893" s="302" t="str">
        <f ca="1">IF(Y893=行业比较!$E$6,ROW(),"")</f>
        <v/>
      </c>
      <c r="AA893" s="122"/>
      <c r="AB893" s="122"/>
      <c r="AC893" s="122"/>
      <c r="AD893" s="122"/>
      <c r="AE893" s="122"/>
      <c r="AF893" s="122"/>
      <c r="AG893" s="122"/>
      <c r="AH893" s="122"/>
      <c r="AI893" s="122"/>
      <c r="AJ893" s="122"/>
      <c r="AK893" s="122"/>
      <c r="AL893" s="122"/>
      <c r="AM893" s="122"/>
      <c r="AN893" s="122"/>
      <c r="AO893" s="122"/>
      <c r="AP893" s="122"/>
    </row>
    <row r="894" spans="2:42">
      <c r="B894" s="122"/>
      <c r="C894" s="122"/>
      <c r="D894" s="122"/>
      <c r="E894" s="122"/>
      <c r="F894" s="122"/>
      <c r="G894" s="122"/>
      <c r="H894" s="122"/>
      <c r="I894" s="275"/>
      <c r="J894" s="130"/>
      <c r="K894" s="130"/>
      <c r="L894" s="130"/>
      <c r="M894" s="130"/>
      <c r="N894" s="291"/>
      <c r="O894" s="291"/>
      <c r="P894" s="122"/>
      <c r="Q894" s="122"/>
      <c r="R894" s="122"/>
      <c r="S894" s="122"/>
      <c r="T894" s="122"/>
      <c r="U894" s="301"/>
      <c r="V894" s="260">
        <f t="shared" ca="1" si="21"/>
        <v>0</v>
      </c>
      <c r="W894" s="348" t="str">
        <f>IF(板块成分!B896="","",板块成分!B896)</f>
        <v>002385.SZ</v>
      </c>
      <c r="X894" s="276" t="str">
        <f>[1]!S_Info_Name(W894)</f>
        <v>大北农</v>
      </c>
      <c r="Y894" s="276" t="str">
        <f ca="1">IF($Y$3="申万一级行业",[1]!s_info_industry_sw_2021(W894,公司分析!D$5,1),IF($Y$3="申万二级行业",[1]!s_info_industry_sw_2021(W894,公司分析!D$5,2),IF($Y$3="申万三级行业",[1]!s_info_industry_sw_2021(W894,公司分析!D$5,3),IF($Y$3="wind一级行业",[1]!s_info_industry_gics(W894,1),IF($Y$3="wind二级行业",[1]!s_info_industry_gics(W894,2),IF($Y$3="wind三级行业",[1]!s_info_industry_gics(W894,3),IF($Y$3="wind四级行业",[1]!s_info_industry_gics(W894,4),IF($Y$3="证监会门类行业",[1]!s_info_industry_csrc12_n(W894,公司分析!D$5,1),""))))))))</f>
        <v>饲料</v>
      </c>
      <c r="Z894" s="302" t="str">
        <f ca="1">IF(Y894=行业比较!$E$6,ROW(),"")</f>
        <v/>
      </c>
      <c r="AA894" s="122"/>
      <c r="AB894" s="122"/>
      <c r="AC894" s="122"/>
      <c r="AD894" s="122"/>
      <c r="AE894" s="122"/>
      <c r="AF894" s="122"/>
      <c r="AG894" s="122"/>
      <c r="AH894" s="122"/>
      <c r="AI894" s="122"/>
      <c r="AJ894" s="122"/>
      <c r="AK894" s="122"/>
      <c r="AL894" s="122"/>
      <c r="AM894" s="122"/>
      <c r="AN894" s="122"/>
      <c r="AO894" s="122"/>
      <c r="AP894" s="122"/>
    </row>
    <row r="895" spans="2:42">
      <c r="B895" s="122"/>
      <c r="C895" s="122"/>
      <c r="D895" s="122"/>
      <c r="E895" s="122"/>
      <c r="F895" s="122"/>
      <c r="G895" s="122"/>
      <c r="H895" s="122"/>
      <c r="I895" s="275"/>
      <c r="J895" s="130"/>
      <c r="K895" s="130"/>
      <c r="L895" s="130"/>
      <c r="M895" s="130"/>
      <c r="N895" s="291"/>
      <c r="O895" s="291"/>
      <c r="P895" s="122"/>
      <c r="Q895" s="122"/>
      <c r="R895" s="122"/>
      <c r="S895" s="122"/>
      <c r="T895" s="122"/>
      <c r="U895" s="301"/>
      <c r="V895" s="260">
        <f t="shared" ca="1" si="21"/>
        <v>0</v>
      </c>
      <c r="W895" s="348" t="str">
        <f>IF(板块成分!B897="","",板块成分!B897)</f>
        <v>002386.SZ</v>
      </c>
      <c r="X895" s="276" t="str">
        <f>[1]!S_Info_Name(W895)</f>
        <v>天原股份</v>
      </c>
      <c r="Y895" s="276" t="str">
        <f ca="1">IF($Y$3="申万一级行业",[1]!s_info_industry_sw_2021(W895,公司分析!D$5,1),IF($Y$3="申万二级行业",[1]!s_info_industry_sw_2021(W895,公司分析!D$5,2),IF($Y$3="申万三级行业",[1]!s_info_industry_sw_2021(W895,公司分析!D$5,3),IF($Y$3="wind一级行业",[1]!s_info_industry_gics(W895,1),IF($Y$3="wind二级行业",[1]!s_info_industry_gics(W895,2),IF($Y$3="wind三级行业",[1]!s_info_industry_gics(W895,3),IF($Y$3="wind四级行业",[1]!s_info_industry_gics(W895,4),IF($Y$3="证监会门类行业",[1]!s_info_industry_csrc12_n(W895,公司分析!D$5,1),""))))))))</f>
        <v>化学原料</v>
      </c>
      <c r="Z895" s="302" t="str">
        <f ca="1">IF(Y895=行业比较!$E$6,ROW(),"")</f>
        <v/>
      </c>
      <c r="AA895" s="122"/>
      <c r="AB895" s="122"/>
      <c r="AC895" s="122"/>
      <c r="AD895" s="122"/>
      <c r="AE895" s="122"/>
      <c r="AF895" s="122"/>
      <c r="AG895" s="122"/>
      <c r="AH895" s="122"/>
      <c r="AI895" s="122"/>
      <c r="AJ895" s="122"/>
      <c r="AK895" s="122"/>
      <c r="AL895" s="122"/>
      <c r="AM895" s="122"/>
      <c r="AN895" s="122"/>
      <c r="AO895" s="122"/>
      <c r="AP895" s="122"/>
    </row>
    <row r="896" spans="2:42">
      <c r="B896" s="122"/>
      <c r="C896" s="122"/>
      <c r="D896" s="122"/>
      <c r="E896" s="122"/>
      <c r="F896" s="122"/>
      <c r="G896" s="122"/>
      <c r="H896" s="122"/>
      <c r="I896" s="275"/>
      <c r="J896" s="130"/>
      <c r="K896" s="130"/>
      <c r="L896" s="130"/>
      <c r="M896" s="130"/>
      <c r="N896" s="291"/>
      <c r="O896" s="291"/>
      <c r="P896" s="122"/>
      <c r="Q896" s="122"/>
      <c r="R896" s="122"/>
      <c r="S896" s="122"/>
      <c r="T896" s="122"/>
      <c r="U896" s="301"/>
      <c r="V896" s="260">
        <f t="shared" ca="1" si="21"/>
        <v>0</v>
      </c>
      <c r="W896" s="348" t="str">
        <f>IF(板块成分!B898="","",板块成分!B898)</f>
        <v>002387.SZ</v>
      </c>
      <c r="X896" s="276" t="str">
        <f>[1]!S_Info_Name(W896)</f>
        <v>维信诺</v>
      </c>
      <c r="Y896" s="276" t="str">
        <f ca="1">IF($Y$3="申万一级行业",[1]!s_info_industry_sw_2021(W896,公司分析!D$5,1),IF($Y$3="申万二级行业",[1]!s_info_industry_sw_2021(W896,公司分析!D$5,2),IF($Y$3="申万三级行业",[1]!s_info_industry_sw_2021(W896,公司分析!D$5,3),IF($Y$3="wind一级行业",[1]!s_info_industry_gics(W896,1),IF($Y$3="wind二级行业",[1]!s_info_industry_gics(W896,2),IF($Y$3="wind三级行业",[1]!s_info_industry_gics(W896,3),IF($Y$3="wind四级行业",[1]!s_info_industry_gics(W896,4),IF($Y$3="证监会门类行业",[1]!s_info_industry_csrc12_n(W896,公司分析!D$5,1),""))))))))</f>
        <v>光学光电子</v>
      </c>
      <c r="Z896" s="302" t="str">
        <f ca="1">IF(Y896=行业比较!$E$6,ROW(),"")</f>
        <v/>
      </c>
      <c r="AA896" s="122"/>
      <c r="AB896" s="122"/>
      <c r="AC896" s="122"/>
      <c r="AD896" s="122"/>
      <c r="AE896" s="122"/>
      <c r="AF896" s="122"/>
      <c r="AG896" s="122"/>
      <c r="AH896" s="122"/>
      <c r="AI896" s="122"/>
      <c r="AJ896" s="122"/>
      <c r="AK896" s="122"/>
      <c r="AL896" s="122"/>
      <c r="AM896" s="122"/>
      <c r="AN896" s="122"/>
      <c r="AO896" s="122"/>
      <c r="AP896" s="122"/>
    </row>
    <row r="897" spans="2:42">
      <c r="B897" s="122"/>
      <c r="C897" s="122"/>
      <c r="D897" s="122"/>
      <c r="E897" s="122"/>
      <c r="F897" s="122"/>
      <c r="G897" s="122"/>
      <c r="H897" s="122"/>
      <c r="I897" s="275"/>
      <c r="J897" s="130"/>
      <c r="K897" s="130"/>
      <c r="L897" s="130"/>
      <c r="M897" s="130"/>
      <c r="N897" s="291"/>
      <c r="O897" s="291"/>
      <c r="P897" s="122"/>
      <c r="Q897" s="122"/>
      <c r="R897" s="122"/>
      <c r="S897" s="122"/>
      <c r="T897" s="122"/>
      <c r="U897" s="301"/>
      <c r="V897" s="260">
        <f t="shared" ca="1" si="21"/>
        <v>0</v>
      </c>
      <c r="W897" s="348" t="str">
        <f>IF(板块成分!B899="","",板块成分!B899)</f>
        <v>002388.SZ</v>
      </c>
      <c r="X897" s="276" t="str">
        <f>[1]!S_Info_Name(W897)</f>
        <v>新亚制程</v>
      </c>
      <c r="Y897" s="276" t="str">
        <f ca="1">IF($Y$3="申万一级行业",[1]!s_info_industry_sw_2021(W897,公司分析!D$5,1),IF($Y$3="申万二级行业",[1]!s_info_industry_sw_2021(W897,公司分析!D$5,2),IF($Y$3="申万三级行业",[1]!s_info_industry_sw_2021(W897,公司分析!D$5,3),IF($Y$3="wind一级行业",[1]!s_info_industry_gics(W897,1),IF($Y$3="wind二级行业",[1]!s_info_industry_gics(W897,2),IF($Y$3="wind三级行业",[1]!s_info_industry_gics(W897,3),IF($Y$3="wind四级行业",[1]!s_info_industry_gics(W897,4),IF($Y$3="证监会门类行业",[1]!s_info_industry_csrc12_n(W897,公司分析!D$5,1),""))))))))</f>
        <v>其他电子Ⅱ</v>
      </c>
      <c r="Z897" s="302" t="str">
        <f ca="1">IF(Y897=行业比较!$E$6,ROW(),"")</f>
        <v/>
      </c>
      <c r="AA897" s="122"/>
      <c r="AB897" s="122"/>
      <c r="AC897" s="122"/>
      <c r="AD897" s="122"/>
      <c r="AE897" s="122"/>
      <c r="AF897" s="122"/>
      <c r="AG897" s="122"/>
      <c r="AH897" s="122"/>
      <c r="AI897" s="122"/>
      <c r="AJ897" s="122"/>
      <c r="AK897" s="122"/>
      <c r="AL897" s="122"/>
      <c r="AM897" s="122"/>
      <c r="AN897" s="122"/>
      <c r="AO897" s="122"/>
      <c r="AP897" s="122"/>
    </row>
    <row r="898" spans="2:42">
      <c r="B898" s="122"/>
      <c r="C898" s="122"/>
      <c r="D898" s="122"/>
      <c r="E898" s="122"/>
      <c r="F898" s="122"/>
      <c r="G898" s="122"/>
      <c r="H898" s="122"/>
      <c r="I898" s="275"/>
      <c r="J898" s="130"/>
      <c r="K898" s="130"/>
      <c r="L898" s="130"/>
      <c r="M898" s="130"/>
      <c r="N898" s="291"/>
      <c r="O898" s="291"/>
      <c r="P898" s="122"/>
      <c r="Q898" s="122"/>
      <c r="R898" s="122"/>
      <c r="S898" s="122"/>
      <c r="T898" s="122"/>
      <c r="U898" s="301"/>
      <c r="V898" s="260">
        <f t="shared" ca="1" si="21"/>
        <v>0</v>
      </c>
      <c r="W898" s="348" t="str">
        <f>IF(板块成分!B900="","",板块成分!B900)</f>
        <v>002389.SZ</v>
      </c>
      <c r="X898" s="276" t="str">
        <f>[1]!S_Info_Name(W898)</f>
        <v>航天彩虹</v>
      </c>
      <c r="Y898" s="276" t="str">
        <f ca="1">IF($Y$3="申万一级行业",[1]!s_info_industry_sw_2021(W898,公司分析!D$5,1),IF($Y$3="申万二级行业",[1]!s_info_industry_sw_2021(W898,公司分析!D$5,2),IF($Y$3="申万三级行业",[1]!s_info_industry_sw_2021(W898,公司分析!D$5,3),IF($Y$3="wind一级行业",[1]!s_info_industry_gics(W898,1),IF($Y$3="wind二级行业",[1]!s_info_industry_gics(W898,2),IF($Y$3="wind三级行业",[1]!s_info_industry_gics(W898,3),IF($Y$3="wind四级行业",[1]!s_info_industry_gics(W898,4),IF($Y$3="证监会门类行业",[1]!s_info_industry_csrc12_n(W898,公司分析!D$5,1),""))))))))</f>
        <v>航空装备Ⅱ</v>
      </c>
      <c r="Z898" s="302" t="str">
        <f ca="1">IF(Y898=行业比较!$E$6,ROW(),"")</f>
        <v/>
      </c>
      <c r="AA898" s="122"/>
      <c r="AB898" s="122"/>
      <c r="AC898" s="122"/>
      <c r="AD898" s="122"/>
      <c r="AE898" s="122"/>
      <c r="AF898" s="122"/>
      <c r="AG898" s="122"/>
      <c r="AH898" s="122"/>
      <c r="AI898" s="122"/>
      <c r="AJ898" s="122"/>
      <c r="AK898" s="122"/>
      <c r="AL898" s="122"/>
      <c r="AM898" s="122"/>
      <c r="AN898" s="122"/>
      <c r="AO898" s="122"/>
      <c r="AP898" s="122"/>
    </row>
    <row r="899" spans="2:42">
      <c r="B899" s="122"/>
      <c r="C899" s="122"/>
      <c r="D899" s="122"/>
      <c r="E899" s="122"/>
      <c r="F899" s="122"/>
      <c r="G899" s="122"/>
      <c r="H899" s="122"/>
      <c r="I899" s="275"/>
      <c r="J899" s="130"/>
      <c r="K899" s="130"/>
      <c r="L899" s="130"/>
      <c r="M899" s="130"/>
      <c r="N899" s="291"/>
      <c r="O899" s="291"/>
      <c r="P899" s="122"/>
      <c r="Q899" s="122"/>
      <c r="R899" s="122"/>
      <c r="S899" s="122"/>
      <c r="T899" s="122"/>
      <c r="U899" s="301"/>
      <c r="V899" s="260">
        <f t="shared" ca="1" si="21"/>
        <v>0</v>
      </c>
      <c r="W899" s="348" t="str">
        <f>IF(板块成分!B901="","",板块成分!B901)</f>
        <v>002390.SZ</v>
      </c>
      <c r="X899" s="276" t="str">
        <f>[1]!S_Info_Name(W899)</f>
        <v>信邦制药</v>
      </c>
      <c r="Y899" s="276" t="str">
        <f ca="1">IF($Y$3="申万一级行业",[1]!s_info_industry_sw_2021(W899,公司分析!D$5,1),IF($Y$3="申万二级行业",[1]!s_info_industry_sw_2021(W899,公司分析!D$5,2),IF($Y$3="申万三级行业",[1]!s_info_industry_sw_2021(W899,公司分析!D$5,3),IF($Y$3="wind一级行业",[1]!s_info_industry_gics(W899,1),IF($Y$3="wind二级行业",[1]!s_info_industry_gics(W899,2),IF($Y$3="wind三级行业",[1]!s_info_industry_gics(W899,3),IF($Y$3="wind四级行业",[1]!s_info_industry_gics(W899,4),IF($Y$3="证监会门类行业",[1]!s_info_industry_csrc12_n(W899,公司分析!D$5,1),""))))))))</f>
        <v>中药Ⅱ</v>
      </c>
      <c r="Z899" s="302" t="str">
        <f ca="1">IF(Y899=行业比较!$E$6,ROW(),"")</f>
        <v/>
      </c>
      <c r="AA899" s="122"/>
      <c r="AB899" s="122"/>
      <c r="AC899" s="122"/>
      <c r="AD899" s="122"/>
      <c r="AE899" s="122"/>
      <c r="AF899" s="122"/>
      <c r="AG899" s="122"/>
      <c r="AH899" s="122"/>
      <c r="AI899" s="122"/>
      <c r="AJ899" s="122"/>
      <c r="AK899" s="122"/>
      <c r="AL899" s="122"/>
      <c r="AM899" s="122"/>
      <c r="AN899" s="122"/>
      <c r="AO899" s="122"/>
      <c r="AP899" s="122"/>
    </row>
    <row r="900" spans="2:42">
      <c r="B900" s="122"/>
      <c r="C900" s="122"/>
      <c r="D900" s="122"/>
      <c r="E900" s="122"/>
      <c r="F900" s="122"/>
      <c r="G900" s="122"/>
      <c r="H900" s="122"/>
      <c r="I900" s="275"/>
      <c r="J900" s="130"/>
      <c r="K900" s="130"/>
      <c r="L900" s="130"/>
      <c r="M900" s="130"/>
      <c r="N900" s="291"/>
      <c r="O900" s="291"/>
      <c r="P900" s="122"/>
      <c r="Q900" s="122"/>
      <c r="R900" s="122"/>
      <c r="S900" s="122"/>
      <c r="T900" s="122"/>
      <c r="U900" s="301"/>
      <c r="V900" s="260">
        <f t="shared" ca="1" si="21"/>
        <v>0</v>
      </c>
      <c r="W900" s="348" t="str">
        <f>IF(板块成分!B902="","",板块成分!B902)</f>
        <v>002391.SZ</v>
      </c>
      <c r="X900" s="276" t="str">
        <f>[1]!S_Info_Name(W900)</f>
        <v>长青股份</v>
      </c>
      <c r="Y900" s="276" t="str">
        <f ca="1">IF($Y$3="申万一级行业",[1]!s_info_industry_sw_2021(W900,公司分析!D$5,1),IF($Y$3="申万二级行业",[1]!s_info_industry_sw_2021(W900,公司分析!D$5,2),IF($Y$3="申万三级行业",[1]!s_info_industry_sw_2021(W900,公司分析!D$5,3),IF($Y$3="wind一级行业",[1]!s_info_industry_gics(W900,1),IF($Y$3="wind二级行业",[1]!s_info_industry_gics(W900,2),IF($Y$3="wind三级行业",[1]!s_info_industry_gics(W900,3),IF($Y$3="wind四级行业",[1]!s_info_industry_gics(W900,4),IF($Y$3="证监会门类行业",[1]!s_info_industry_csrc12_n(W900,公司分析!D$5,1),""))))))))</f>
        <v>农化制品</v>
      </c>
      <c r="Z900" s="302" t="str">
        <f ca="1">IF(Y900=行业比较!$E$6,ROW(),"")</f>
        <v/>
      </c>
      <c r="AA900" s="122"/>
      <c r="AB900" s="122"/>
      <c r="AC900" s="122"/>
      <c r="AD900" s="122"/>
      <c r="AE900" s="122"/>
      <c r="AF900" s="122"/>
      <c r="AG900" s="122"/>
      <c r="AH900" s="122"/>
      <c r="AI900" s="122"/>
      <c r="AJ900" s="122"/>
      <c r="AK900" s="122"/>
      <c r="AL900" s="122"/>
      <c r="AM900" s="122"/>
      <c r="AN900" s="122"/>
      <c r="AO900" s="122"/>
      <c r="AP900" s="122"/>
    </row>
    <row r="901" spans="2:42">
      <c r="B901" s="122"/>
      <c r="C901" s="122"/>
      <c r="D901" s="122"/>
      <c r="E901" s="122"/>
      <c r="F901" s="122"/>
      <c r="G901" s="122"/>
      <c r="H901" s="122"/>
      <c r="I901" s="275"/>
      <c r="J901" s="130"/>
      <c r="K901" s="130"/>
      <c r="L901" s="130"/>
      <c r="M901" s="130"/>
      <c r="N901" s="291"/>
      <c r="O901" s="291"/>
      <c r="P901" s="122"/>
      <c r="Q901" s="122"/>
      <c r="R901" s="122"/>
      <c r="S901" s="122"/>
      <c r="T901" s="122"/>
      <c r="U901" s="301"/>
      <c r="V901" s="260">
        <f t="shared" ref="V901:V964" ca="1" si="22">IF(Z901="",0,RANK(Z901,Z:Z,1))</f>
        <v>0</v>
      </c>
      <c r="W901" s="348" t="str">
        <f>IF(板块成分!B903="","",板块成分!B903)</f>
        <v>002392.SZ</v>
      </c>
      <c r="X901" s="276" t="str">
        <f>[1]!S_Info_Name(W901)</f>
        <v>北京利尔</v>
      </c>
      <c r="Y901" s="276" t="str">
        <f ca="1">IF($Y$3="申万一级行业",[1]!s_info_industry_sw_2021(W901,公司分析!D$5,1),IF($Y$3="申万二级行业",[1]!s_info_industry_sw_2021(W901,公司分析!D$5,2),IF($Y$3="申万三级行业",[1]!s_info_industry_sw_2021(W901,公司分析!D$5,3),IF($Y$3="wind一级行业",[1]!s_info_industry_gics(W901,1),IF($Y$3="wind二级行业",[1]!s_info_industry_gics(W901,2),IF($Y$3="wind三级行业",[1]!s_info_industry_gics(W901,3),IF($Y$3="wind四级行业",[1]!s_info_industry_gics(W901,4),IF($Y$3="证监会门类行业",[1]!s_info_industry_csrc12_n(W901,公司分析!D$5,1),""))))))))</f>
        <v>装修建材</v>
      </c>
      <c r="Z901" s="302" t="str">
        <f ca="1">IF(Y901=行业比较!$E$6,ROW(),"")</f>
        <v/>
      </c>
      <c r="AA901" s="122"/>
      <c r="AB901" s="122"/>
      <c r="AC901" s="122"/>
      <c r="AD901" s="122"/>
      <c r="AE901" s="122"/>
      <c r="AF901" s="122"/>
      <c r="AG901" s="122"/>
      <c r="AH901" s="122"/>
      <c r="AI901" s="122"/>
      <c r="AJ901" s="122"/>
      <c r="AK901" s="122"/>
      <c r="AL901" s="122"/>
      <c r="AM901" s="122"/>
      <c r="AN901" s="122"/>
      <c r="AO901" s="122"/>
      <c r="AP901" s="122"/>
    </row>
    <row r="902" spans="2:42">
      <c r="B902" s="122"/>
      <c r="C902" s="122"/>
      <c r="D902" s="122"/>
      <c r="E902" s="122"/>
      <c r="F902" s="122"/>
      <c r="G902" s="122"/>
      <c r="H902" s="122"/>
      <c r="I902" s="275"/>
      <c r="J902" s="130"/>
      <c r="K902" s="130"/>
      <c r="L902" s="130"/>
      <c r="M902" s="130"/>
      <c r="N902" s="291"/>
      <c r="O902" s="291"/>
      <c r="P902" s="122"/>
      <c r="Q902" s="122"/>
      <c r="R902" s="122"/>
      <c r="S902" s="122"/>
      <c r="T902" s="122"/>
      <c r="U902" s="301"/>
      <c r="V902" s="260">
        <f t="shared" ca="1" si="22"/>
        <v>0</v>
      </c>
      <c r="W902" s="348" t="str">
        <f>IF(板块成分!B904="","",板块成分!B904)</f>
        <v>002393.SZ</v>
      </c>
      <c r="X902" s="276" t="str">
        <f>[1]!S_Info_Name(W902)</f>
        <v>力生制药</v>
      </c>
      <c r="Y902" s="276" t="str">
        <f ca="1">IF($Y$3="申万一级行业",[1]!s_info_industry_sw_2021(W902,公司分析!D$5,1),IF($Y$3="申万二级行业",[1]!s_info_industry_sw_2021(W902,公司分析!D$5,2),IF($Y$3="申万三级行业",[1]!s_info_industry_sw_2021(W902,公司分析!D$5,3),IF($Y$3="wind一级行业",[1]!s_info_industry_gics(W902,1),IF($Y$3="wind二级行业",[1]!s_info_industry_gics(W902,2),IF($Y$3="wind三级行业",[1]!s_info_industry_gics(W902,3),IF($Y$3="wind四级行业",[1]!s_info_industry_gics(W902,4),IF($Y$3="证监会门类行业",[1]!s_info_industry_csrc12_n(W902,公司分析!D$5,1),""))))))))</f>
        <v>化学制药</v>
      </c>
      <c r="Z902" s="302" t="str">
        <f ca="1">IF(Y902=行业比较!$E$6,ROW(),"")</f>
        <v/>
      </c>
      <c r="AA902" s="122"/>
      <c r="AB902" s="122"/>
      <c r="AC902" s="122"/>
      <c r="AD902" s="122"/>
      <c r="AE902" s="122"/>
      <c r="AF902" s="122"/>
      <c r="AG902" s="122"/>
      <c r="AH902" s="122"/>
      <c r="AI902" s="122"/>
      <c r="AJ902" s="122"/>
      <c r="AK902" s="122"/>
      <c r="AL902" s="122"/>
      <c r="AM902" s="122"/>
      <c r="AN902" s="122"/>
      <c r="AO902" s="122"/>
      <c r="AP902" s="122"/>
    </row>
    <row r="903" spans="2:42">
      <c r="B903" s="122"/>
      <c r="C903" s="122"/>
      <c r="D903" s="122"/>
      <c r="E903" s="122"/>
      <c r="F903" s="122"/>
      <c r="G903" s="122"/>
      <c r="H903" s="122"/>
      <c r="I903" s="275"/>
      <c r="J903" s="130"/>
      <c r="K903" s="130"/>
      <c r="L903" s="130"/>
      <c r="M903" s="130"/>
      <c r="N903" s="291"/>
      <c r="O903" s="291"/>
      <c r="P903" s="122"/>
      <c r="Q903" s="122"/>
      <c r="R903" s="122"/>
      <c r="S903" s="122"/>
      <c r="T903" s="122"/>
      <c r="U903" s="301"/>
      <c r="V903" s="260">
        <f t="shared" ca="1" si="22"/>
        <v>0</v>
      </c>
      <c r="W903" s="348" t="str">
        <f>IF(板块成分!B905="","",板块成分!B905)</f>
        <v>002394.SZ</v>
      </c>
      <c r="X903" s="276" t="str">
        <f>[1]!S_Info_Name(W903)</f>
        <v>联发股份</v>
      </c>
      <c r="Y903" s="276" t="str">
        <f ca="1">IF($Y$3="申万一级行业",[1]!s_info_industry_sw_2021(W903,公司分析!D$5,1),IF($Y$3="申万二级行业",[1]!s_info_industry_sw_2021(W903,公司分析!D$5,2),IF($Y$3="申万三级行业",[1]!s_info_industry_sw_2021(W903,公司分析!D$5,3),IF($Y$3="wind一级行业",[1]!s_info_industry_gics(W903,1),IF($Y$3="wind二级行业",[1]!s_info_industry_gics(W903,2),IF($Y$3="wind三级行业",[1]!s_info_industry_gics(W903,3),IF($Y$3="wind四级行业",[1]!s_info_industry_gics(W903,4),IF($Y$3="证监会门类行业",[1]!s_info_industry_csrc12_n(W903,公司分析!D$5,1),""))))))))</f>
        <v>纺织制造</v>
      </c>
      <c r="Z903" s="302" t="str">
        <f ca="1">IF(Y903=行业比较!$E$6,ROW(),"")</f>
        <v/>
      </c>
      <c r="AA903" s="122"/>
      <c r="AB903" s="122"/>
      <c r="AC903" s="122"/>
      <c r="AD903" s="122"/>
      <c r="AE903" s="122"/>
      <c r="AF903" s="122"/>
      <c r="AG903" s="122"/>
      <c r="AH903" s="122"/>
      <c r="AI903" s="122"/>
      <c r="AJ903" s="122"/>
      <c r="AK903" s="122"/>
      <c r="AL903" s="122"/>
      <c r="AM903" s="122"/>
      <c r="AN903" s="122"/>
      <c r="AO903" s="122"/>
      <c r="AP903" s="122"/>
    </row>
    <row r="904" spans="2:42">
      <c r="B904" s="122"/>
      <c r="C904" s="122"/>
      <c r="D904" s="122"/>
      <c r="E904" s="122"/>
      <c r="F904" s="122"/>
      <c r="G904" s="122"/>
      <c r="H904" s="122"/>
      <c r="I904" s="275"/>
      <c r="J904" s="130"/>
      <c r="K904" s="130"/>
      <c r="L904" s="130"/>
      <c r="M904" s="130"/>
      <c r="N904" s="291"/>
      <c r="O904" s="291"/>
      <c r="P904" s="122"/>
      <c r="Q904" s="122"/>
      <c r="R904" s="122"/>
      <c r="S904" s="122"/>
      <c r="T904" s="122"/>
      <c r="U904" s="301"/>
      <c r="V904" s="260">
        <f t="shared" ca="1" si="22"/>
        <v>0</v>
      </c>
      <c r="W904" s="348" t="str">
        <f>IF(板块成分!B906="","",板块成分!B906)</f>
        <v>002395.SZ</v>
      </c>
      <c r="X904" s="276" t="str">
        <f>[1]!S_Info_Name(W904)</f>
        <v>双象股份</v>
      </c>
      <c r="Y904" s="276" t="str">
        <f ca="1">IF($Y$3="申万一级行业",[1]!s_info_industry_sw_2021(W904,公司分析!D$5,1),IF($Y$3="申万二级行业",[1]!s_info_industry_sw_2021(W904,公司分析!D$5,2),IF($Y$3="申万三级行业",[1]!s_info_industry_sw_2021(W904,公司分析!D$5,3),IF($Y$3="wind一级行业",[1]!s_info_industry_gics(W904,1),IF($Y$3="wind二级行业",[1]!s_info_industry_gics(W904,2),IF($Y$3="wind三级行业",[1]!s_info_industry_gics(W904,3),IF($Y$3="wind四级行业",[1]!s_info_industry_gics(W904,4),IF($Y$3="证监会门类行业",[1]!s_info_industry_csrc12_n(W904,公司分析!D$5,1),""))))))))</f>
        <v>塑料</v>
      </c>
      <c r="Z904" s="302" t="str">
        <f ca="1">IF(Y904=行业比较!$E$6,ROW(),"")</f>
        <v/>
      </c>
      <c r="AA904" s="122"/>
      <c r="AB904" s="122"/>
      <c r="AC904" s="122"/>
      <c r="AD904" s="122"/>
      <c r="AE904" s="122"/>
      <c r="AF904" s="122"/>
      <c r="AG904" s="122"/>
      <c r="AH904" s="122"/>
      <c r="AI904" s="122"/>
      <c r="AJ904" s="122"/>
      <c r="AK904" s="122"/>
      <c r="AL904" s="122"/>
      <c r="AM904" s="122"/>
      <c r="AN904" s="122"/>
      <c r="AO904" s="122"/>
      <c r="AP904" s="122"/>
    </row>
    <row r="905" spans="2:42">
      <c r="B905" s="122"/>
      <c r="C905" s="122"/>
      <c r="D905" s="122"/>
      <c r="E905" s="122"/>
      <c r="F905" s="122"/>
      <c r="G905" s="122"/>
      <c r="H905" s="122"/>
      <c r="I905" s="275"/>
      <c r="J905" s="130"/>
      <c r="K905" s="130"/>
      <c r="L905" s="130"/>
      <c r="M905" s="130"/>
      <c r="N905" s="291"/>
      <c r="O905" s="291"/>
      <c r="P905" s="122"/>
      <c r="Q905" s="122"/>
      <c r="R905" s="122"/>
      <c r="S905" s="122"/>
      <c r="T905" s="122"/>
      <c r="U905" s="301"/>
      <c r="V905" s="260">
        <f t="shared" ca="1" si="22"/>
        <v>0</v>
      </c>
      <c r="W905" s="348" t="str">
        <f>IF(板块成分!B907="","",板块成分!B907)</f>
        <v>002396.SZ</v>
      </c>
      <c r="X905" s="276" t="str">
        <f>[1]!S_Info_Name(W905)</f>
        <v>星网锐捷</v>
      </c>
      <c r="Y905" s="276" t="str">
        <f ca="1">IF($Y$3="申万一级行业",[1]!s_info_industry_sw_2021(W905,公司分析!D$5,1),IF($Y$3="申万二级行业",[1]!s_info_industry_sw_2021(W905,公司分析!D$5,2),IF($Y$3="申万三级行业",[1]!s_info_industry_sw_2021(W905,公司分析!D$5,3),IF($Y$3="wind一级行业",[1]!s_info_industry_gics(W905,1),IF($Y$3="wind二级行业",[1]!s_info_industry_gics(W905,2),IF($Y$3="wind三级行业",[1]!s_info_industry_gics(W905,3),IF($Y$3="wind四级行业",[1]!s_info_industry_gics(W905,4),IF($Y$3="证监会门类行业",[1]!s_info_industry_csrc12_n(W905,公司分析!D$5,1),""))))))))</f>
        <v>通信设备</v>
      </c>
      <c r="Z905" s="302" t="str">
        <f ca="1">IF(Y905=行业比较!$E$6,ROW(),"")</f>
        <v/>
      </c>
      <c r="AA905" s="122"/>
      <c r="AB905" s="122"/>
      <c r="AC905" s="122"/>
      <c r="AD905" s="122"/>
      <c r="AE905" s="122"/>
      <c r="AF905" s="122"/>
      <c r="AG905" s="122"/>
      <c r="AH905" s="122"/>
      <c r="AI905" s="122"/>
      <c r="AJ905" s="122"/>
      <c r="AK905" s="122"/>
      <c r="AL905" s="122"/>
      <c r="AM905" s="122"/>
      <c r="AN905" s="122"/>
      <c r="AO905" s="122"/>
      <c r="AP905" s="122"/>
    </row>
    <row r="906" spans="2:42">
      <c r="B906" s="122"/>
      <c r="C906" s="122"/>
      <c r="D906" s="122"/>
      <c r="E906" s="122"/>
      <c r="F906" s="122"/>
      <c r="G906" s="122"/>
      <c r="H906" s="122"/>
      <c r="I906" s="275"/>
      <c r="J906" s="130"/>
      <c r="K906" s="130"/>
      <c r="L906" s="130"/>
      <c r="M906" s="130"/>
      <c r="N906" s="291"/>
      <c r="O906" s="291"/>
      <c r="P906" s="122"/>
      <c r="Q906" s="122"/>
      <c r="R906" s="122"/>
      <c r="S906" s="122"/>
      <c r="T906" s="122"/>
      <c r="U906" s="301"/>
      <c r="V906" s="260">
        <f t="shared" ca="1" si="22"/>
        <v>0</v>
      </c>
      <c r="W906" s="348" t="str">
        <f>IF(板块成分!B908="","",板块成分!B908)</f>
        <v>002397.SZ</v>
      </c>
      <c r="X906" s="276" t="str">
        <f>[1]!S_Info_Name(W906)</f>
        <v>梦洁股份</v>
      </c>
      <c r="Y906" s="276" t="str">
        <f ca="1">IF($Y$3="申万一级行业",[1]!s_info_industry_sw_2021(W906,公司分析!D$5,1),IF($Y$3="申万二级行业",[1]!s_info_industry_sw_2021(W906,公司分析!D$5,2),IF($Y$3="申万三级行业",[1]!s_info_industry_sw_2021(W906,公司分析!D$5,3),IF($Y$3="wind一级行业",[1]!s_info_industry_gics(W906,1),IF($Y$3="wind二级行业",[1]!s_info_industry_gics(W906,2),IF($Y$3="wind三级行业",[1]!s_info_industry_gics(W906,3),IF($Y$3="wind四级行业",[1]!s_info_industry_gics(W906,4),IF($Y$3="证监会门类行业",[1]!s_info_industry_csrc12_n(W906,公司分析!D$5,1),""))))))))</f>
        <v>服装家纺</v>
      </c>
      <c r="Z906" s="302" t="str">
        <f ca="1">IF(Y906=行业比较!$E$6,ROW(),"")</f>
        <v/>
      </c>
      <c r="AA906" s="122"/>
      <c r="AB906" s="122"/>
      <c r="AC906" s="122"/>
      <c r="AD906" s="122"/>
      <c r="AE906" s="122"/>
      <c r="AF906" s="122"/>
      <c r="AG906" s="122"/>
      <c r="AH906" s="122"/>
      <c r="AI906" s="122"/>
      <c r="AJ906" s="122"/>
      <c r="AK906" s="122"/>
      <c r="AL906" s="122"/>
      <c r="AM906" s="122"/>
      <c r="AN906" s="122"/>
      <c r="AO906" s="122"/>
      <c r="AP906" s="122"/>
    </row>
    <row r="907" spans="2:42">
      <c r="B907" s="122"/>
      <c r="C907" s="122"/>
      <c r="D907" s="122"/>
      <c r="E907" s="122"/>
      <c r="F907" s="122"/>
      <c r="G907" s="122"/>
      <c r="H907" s="122"/>
      <c r="I907" s="275"/>
      <c r="J907" s="130"/>
      <c r="K907" s="130"/>
      <c r="L907" s="130"/>
      <c r="M907" s="130"/>
      <c r="N907" s="291"/>
      <c r="O907" s="291"/>
      <c r="P907" s="122"/>
      <c r="Q907" s="122"/>
      <c r="R907" s="122"/>
      <c r="S907" s="122"/>
      <c r="T907" s="122"/>
      <c r="U907" s="301"/>
      <c r="V907" s="260">
        <f t="shared" ca="1" si="22"/>
        <v>0</v>
      </c>
      <c r="W907" s="348" t="str">
        <f>IF(板块成分!B909="","",板块成分!B909)</f>
        <v>002398.SZ</v>
      </c>
      <c r="X907" s="276" t="str">
        <f>[1]!S_Info_Name(W907)</f>
        <v>垒知集团</v>
      </c>
      <c r="Y907" s="276" t="str">
        <f ca="1">IF($Y$3="申万一级行业",[1]!s_info_industry_sw_2021(W907,公司分析!D$5,1),IF($Y$3="申万二级行业",[1]!s_info_industry_sw_2021(W907,公司分析!D$5,2),IF($Y$3="申万三级行业",[1]!s_info_industry_sw_2021(W907,公司分析!D$5,3),IF($Y$3="wind一级行业",[1]!s_info_industry_gics(W907,1),IF($Y$3="wind二级行业",[1]!s_info_industry_gics(W907,2),IF($Y$3="wind三级行业",[1]!s_info_industry_gics(W907,3),IF($Y$3="wind四级行业",[1]!s_info_industry_gics(W907,4),IF($Y$3="证监会门类行业",[1]!s_info_industry_csrc12_n(W907,公司分析!D$5,1),""))))))))</f>
        <v>装修建材</v>
      </c>
      <c r="Z907" s="302" t="str">
        <f ca="1">IF(Y907=行业比较!$E$6,ROW(),"")</f>
        <v/>
      </c>
      <c r="AA907" s="122"/>
      <c r="AB907" s="122"/>
      <c r="AC907" s="122"/>
      <c r="AD907" s="122"/>
      <c r="AE907" s="122"/>
      <c r="AF907" s="122"/>
      <c r="AG907" s="122"/>
      <c r="AH907" s="122"/>
      <c r="AI907" s="122"/>
      <c r="AJ907" s="122"/>
      <c r="AK907" s="122"/>
      <c r="AL907" s="122"/>
      <c r="AM907" s="122"/>
      <c r="AN907" s="122"/>
      <c r="AO907" s="122"/>
      <c r="AP907" s="122"/>
    </row>
    <row r="908" spans="2:42">
      <c r="B908" s="122"/>
      <c r="C908" s="122"/>
      <c r="D908" s="122"/>
      <c r="E908" s="122"/>
      <c r="F908" s="122"/>
      <c r="G908" s="122"/>
      <c r="H908" s="122"/>
      <c r="I908" s="275"/>
      <c r="J908" s="130"/>
      <c r="K908" s="130"/>
      <c r="L908" s="130"/>
      <c r="M908" s="130"/>
      <c r="N908" s="291"/>
      <c r="O908" s="291"/>
      <c r="P908" s="122"/>
      <c r="Q908" s="122"/>
      <c r="R908" s="122"/>
      <c r="S908" s="122"/>
      <c r="T908" s="122"/>
      <c r="U908" s="301"/>
      <c r="V908" s="260">
        <f t="shared" ca="1" si="22"/>
        <v>0</v>
      </c>
      <c r="W908" s="348" t="str">
        <f>IF(板块成分!B910="","",板块成分!B910)</f>
        <v>002399.SZ</v>
      </c>
      <c r="X908" s="276" t="str">
        <f>[1]!S_Info_Name(W908)</f>
        <v>海普瑞</v>
      </c>
      <c r="Y908" s="276" t="str">
        <f ca="1">IF($Y$3="申万一级行业",[1]!s_info_industry_sw_2021(W908,公司分析!D$5,1),IF($Y$3="申万二级行业",[1]!s_info_industry_sw_2021(W908,公司分析!D$5,2),IF($Y$3="申万三级行业",[1]!s_info_industry_sw_2021(W908,公司分析!D$5,3),IF($Y$3="wind一级行业",[1]!s_info_industry_gics(W908,1),IF($Y$3="wind二级行业",[1]!s_info_industry_gics(W908,2),IF($Y$3="wind三级行业",[1]!s_info_industry_gics(W908,3),IF($Y$3="wind四级行业",[1]!s_info_industry_gics(W908,4),IF($Y$3="证监会门类行业",[1]!s_info_industry_csrc12_n(W908,公司分析!D$5,1),""))))))))</f>
        <v>化学制药</v>
      </c>
      <c r="Z908" s="302" t="str">
        <f ca="1">IF(Y908=行业比较!$E$6,ROW(),"")</f>
        <v/>
      </c>
      <c r="AA908" s="122"/>
      <c r="AB908" s="122"/>
      <c r="AC908" s="122"/>
      <c r="AD908" s="122"/>
      <c r="AE908" s="122"/>
      <c r="AF908" s="122"/>
      <c r="AG908" s="122"/>
      <c r="AH908" s="122"/>
      <c r="AI908" s="122"/>
      <c r="AJ908" s="122"/>
      <c r="AK908" s="122"/>
      <c r="AL908" s="122"/>
      <c r="AM908" s="122"/>
      <c r="AN908" s="122"/>
      <c r="AO908" s="122"/>
      <c r="AP908" s="122"/>
    </row>
    <row r="909" spans="2:42">
      <c r="B909" s="122"/>
      <c r="C909" s="122"/>
      <c r="D909" s="122"/>
      <c r="E909" s="122"/>
      <c r="F909" s="122"/>
      <c r="G909" s="122"/>
      <c r="H909" s="122"/>
      <c r="I909" s="275"/>
      <c r="J909" s="130"/>
      <c r="K909" s="130"/>
      <c r="L909" s="130"/>
      <c r="M909" s="130"/>
      <c r="N909" s="291"/>
      <c r="O909" s="291"/>
      <c r="P909" s="122"/>
      <c r="Q909" s="122"/>
      <c r="R909" s="122"/>
      <c r="S909" s="122"/>
      <c r="T909" s="122"/>
      <c r="U909" s="301"/>
      <c r="V909" s="260">
        <f t="shared" ca="1" si="22"/>
        <v>0</v>
      </c>
      <c r="W909" s="348" t="str">
        <f>IF(板块成分!B911="","",板块成分!B911)</f>
        <v>002400.SZ</v>
      </c>
      <c r="X909" s="276" t="str">
        <f>[1]!S_Info_Name(W909)</f>
        <v>省广集团</v>
      </c>
      <c r="Y909" s="276" t="str">
        <f ca="1">IF($Y$3="申万一级行业",[1]!s_info_industry_sw_2021(W909,公司分析!D$5,1),IF($Y$3="申万二级行业",[1]!s_info_industry_sw_2021(W909,公司分析!D$5,2),IF($Y$3="申万三级行业",[1]!s_info_industry_sw_2021(W909,公司分析!D$5,3),IF($Y$3="wind一级行业",[1]!s_info_industry_gics(W909,1),IF($Y$3="wind二级行业",[1]!s_info_industry_gics(W909,2),IF($Y$3="wind三级行业",[1]!s_info_industry_gics(W909,3),IF($Y$3="wind四级行业",[1]!s_info_industry_gics(W909,4),IF($Y$3="证监会门类行业",[1]!s_info_industry_csrc12_n(W909,公司分析!D$5,1),""))))))))</f>
        <v>广告营销</v>
      </c>
      <c r="Z909" s="302" t="str">
        <f ca="1">IF(Y909=行业比较!$E$6,ROW(),"")</f>
        <v/>
      </c>
      <c r="AA909" s="122"/>
      <c r="AB909" s="122"/>
      <c r="AC909" s="122"/>
      <c r="AD909" s="122"/>
      <c r="AE909" s="122"/>
      <c r="AF909" s="122"/>
      <c r="AG909" s="122"/>
      <c r="AH909" s="122"/>
      <c r="AI909" s="122"/>
      <c r="AJ909" s="122"/>
      <c r="AK909" s="122"/>
      <c r="AL909" s="122"/>
      <c r="AM909" s="122"/>
      <c r="AN909" s="122"/>
      <c r="AO909" s="122"/>
      <c r="AP909" s="122"/>
    </row>
    <row r="910" spans="2:42">
      <c r="B910" s="122"/>
      <c r="C910" s="122"/>
      <c r="D910" s="122"/>
      <c r="E910" s="122"/>
      <c r="F910" s="122"/>
      <c r="G910" s="122"/>
      <c r="H910" s="122"/>
      <c r="I910" s="275"/>
      <c r="J910" s="130"/>
      <c r="K910" s="130"/>
      <c r="L910" s="130"/>
      <c r="M910" s="130"/>
      <c r="N910" s="291"/>
      <c r="O910" s="291"/>
      <c r="P910" s="122"/>
      <c r="Q910" s="122"/>
      <c r="R910" s="122"/>
      <c r="S910" s="122"/>
      <c r="T910" s="122"/>
      <c r="U910" s="301"/>
      <c r="V910" s="260">
        <f t="shared" ca="1" si="22"/>
        <v>0</v>
      </c>
      <c r="W910" s="348" t="str">
        <f>IF(板块成分!B912="","",板块成分!B912)</f>
        <v>002401.SZ</v>
      </c>
      <c r="X910" s="276" t="str">
        <f>[1]!S_Info_Name(W910)</f>
        <v>中远海科</v>
      </c>
      <c r="Y910" s="276" t="str">
        <f ca="1">IF($Y$3="申万一级行业",[1]!s_info_industry_sw_2021(W910,公司分析!D$5,1),IF($Y$3="申万二级行业",[1]!s_info_industry_sw_2021(W910,公司分析!D$5,2),IF($Y$3="申万三级行业",[1]!s_info_industry_sw_2021(W910,公司分析!D$5,3),IF($Y$3="wind一级行业",[1]!s_info_industry_gics(W910,1),IF($Y$3="wind二级行业",[1]!s_info_industry_gics(W910,2),IF($Y$3="wind三级行业",[1]!s_info_industry_gics(W910,3),IF($Y$3="wind四级行业",[1]!s_info_industry_gics(W910,4),IF($Y$3="证监会门类行业",[1]!s_info_industry_csrc12_n(W910,公司分析!D$5,1),""))))))))</f>
        <v>IT服务Ⅱ</v>
      </c>
      <c r="Z910" s="302" t="str">
        <f ca="1">IF(Y910=行业比较!$E$6,ROW(),"")</f>
        <v/>
      </c>
      <c r="AA910" s="122"/>
      <c r="AB910" s="122"/>
      <c r="AC910" s="122"/>
      <c r="AD910" s="122"/>
      <c r="AE910" s="122"/>
      <c r="AF910" s="122"/>
      <c r="AG910" s="122"/>
      <c r="AH910" s="122"/>
      <c r="AI910" s="122"/>
      <c r="AJ910" s="122"/>
      <c r="AK910" s="122"/>
      <c r="AL910" s="122"/>
      <c r="AM910" s="122"/>
      <c r="AN910" s="122"/>
      <c r="AO910" s="122"/>
      <c r="AP910" s="122"/>
    </row>
    <row r="911" spans="2:42">
      <c r="B911" s="122"/>
      <c r="C911" s="122"/>
      <c r="D911" s="122"/>
      <c r="E911" s="122"/>
      <c r="F911" s="122"/>
      <c r="G911" s="122"/>
      <c r="H911" s="122"/>
      <c r="I911" s="275"/>
      <c r="J911" s="130"/>
      <c r="K911" s="130"/>
      <c r="L911" s="130"/>
      <c r="M911" s="130"/>
      <c r="N911" s="291"/>
      <c r="O911" s="291"/>
      <c r="P911" s="122"/>
      <c r="Q911" s="122"/>
      <c r="R911" s="122"/>
      <c r="S911" s="122"/>
      <c r="T911" s="122"/>
      <c r="U911" s="301"/>
      <c r="V911" s="260">
        <f t="shared" ca="1" si="22"/>
        <v>0</v>
      </c>
      <c r="W911" s="348" t="str">
        <f>IF(板块成分!B913="","",板块成分!B913)</f>
        <v>002402.SZ</v>
      </c>
      <c r="X911" s="276" t="str">
        <f>[1]!S_Info_Name(W911)</f>
        <v>和而泰</v>
      </c>
      <c r="Y911" s="276" t="str">
        <f ca="1">IF($Y$3="申万一级行业",[1]!s_info_industry_sw_2021(W911,公司分析!D$5,1),IF($Y$3="申万二级行业",[1]!s_info_industry_sw_2021(W911,公司分析!D$5,2),IF($Y$3="申万三级行业",[1]!s_info_industry_sw_2021(W911,公司分析!D$5,3),IF($Y$3="wind一级行业",[1]!s_info_industry_gics(W911,1),IF($Y$3="wind二级行业",[1]!s_info_industry_gics(W911,2),IF($Y$3="wind三级行业",[1]!s_info_industry_gics(W911,3),IF($Y$3="wind四级行业",[1]!s_info_industry_gics(W911,4),IF($Y$3="证监会门类行业",[1]!s_info_industry_csrc12_n(W911,公司分析!D$5,1),""))))))))</f>
        <v>消费电子</v>
      </c>
      <c r="Z911" s="302" t="str">
        <f ca="1">IF(Y911=行业比较!$E$6,ROW(),"")</f>
        <v/>
      </c>
      <c r="AA911" s="122"/>
      <c r="AB911" s="122"/>
      <c r="AC911" s="122"/>
      <c r="AD911" s="122"/>
      <c r="AE911" s="122"/>
      <c r="AF911" s="122"/>
      <c r="AG911" s="122"/>
      <c r="AH911" s="122"/>
      <c r="AI911" s="122"/>
      <c r="AJ911" s="122"/>
      <c r="AK911" s="122"/>
      <c r="AL911" s="122"/>
      <c r="AM911" s="122"/>
      <c r="AN911" s="122"/>
      <c r="AO911" s="122"/>
      <c r="AP911" s="122"/>
    </row>
    <row r="912" spans="2:42">
      <c r="B912" s="122"/>
      <c r="C912" s="122"/>
      <c r="D912" s="122"/>
      <c r="E912" s="122"/>
      <c r="F912" s="122"/>
      <c r="G912" s="122"/>
      <c r="H912" s="122"/>
      <c r="I912" s="275"/>
      <c r="J912" s="130"/>
      <c r="K912" s="130"/>
      <c r="L912" s="130"/>
      <c r="M912" s="130"/>
      <c r="N912" s="291"/>
      <c r="O912" s="291"/>
      <c r="P912" s="122"/>
      <c r="Q912" s="122"/>
      <c r="R912" s="122"/>
      <c r="S912" s="122"/>
      <c r="T912" s="122"/>
      <c r="U912" s="301"/>
      <c r="V912" s="260">
        <f t="shared" ca="1" si="22"/>
        <v>0</v>
      </c>
      <c r="W912" s="348" t="str">
        <f>IF(板块成分!B914="","",板块成分!B914)</f>
        <v>002403.SZ</v>
      </c>
      <c r="X912" s="276" t="str">
        <f>[1]!S_Info_Name(W912)</f>
        <v>爱仕达</v>
      </c>
      <c r="Y912" s="276" t="str">
        <f ca="1">IF($Y$3="申万一级行业",[1]!s_info_industry_sw_2021(W912,公司分析!D$5,1),IF($Y$3="申万二级行业",[1]!s_info_industry_sw_2021(W912,公司分析!D$5,2),IF($Y$3="申万三级行业",[1]!s_info_industry_sw_2021(W912,公司分析!D$5,3),IF($Y$3="wind一级行业",[1]!s_info_industry_gics(W912,1),IF($Y$3="wind二级行业",[1]!s_info_industry_gics(W912,2),IF($Y$3="wind三级行业",[1]!s_info_industry_gics(W912,3),IF($Y$3="wind四级行业",[1]!s_info_industry_gics(W912,4),IF($Y$3="证监会门类行业",[1]!s_info_industry_csrc12_n(W912,公司分析!D$5,1),""))))))))</f>
        <v>小家电</v>
      </c>
      <c r="Z912" s="302" t="str">
        <f ca="1">IF(Y912=行业比较!$E$6,ROW(),"")</f>
        <v/>
      </c>
      <c r="AA912" s="122"/>
      <c r="AB912" s="122"/>
      <c r="AC912" s="122"/>
      <c r="AD912" s="122"/>
      <c r="AE912" s="122"/>
      <c r="AF912" s="122"/>
      <c r="AG912" s="122"/>
      <c r="AH912" s="122"/>
      <c r="AI912" s="122"/>
      <c r="AJ912" s="122"/>
      <c r="AK912" s="122"/>
      <c r="AL912" s="122"/>
      <c r="AM912" s="122"/>
      <c r="AN912" s="122"/>
      <c r="AO912" s="122"/>
      <c r="AP912" s="122"/>
    </row>
    <row r="913" spans="2:42">
      <c r="B913" s="122"/>
      <c r="C913" s="122"/>
      <c r="D913" s="122"/>
      <c r="E913" s="122"/>
      <c r="F913" s="122"/>
      <c r="G913" s="122"/>
      <c r="H913" s="122"/>
      <c r="I913" s="275"/>
      <c r="J913" s="130"/>
      <c r="K913" s="130"/>
      <c r="L913" s="130"/>
      <c r="M913" s="130"/>
      <c r="N913" s="291"/>
      <c r="O913" s="291"/>
      <c r="P913" s="122"/>
      <c r="Q913" s="122"/>
      <c r="R913" s="122"/>
      <c r="S913" s="122"/>
      <c r="T913" s="122"/>
      <c r="U913" s="301"/>
      <c r="V913" s="260">
        <f t="shared" ca="1" si="22"/>
        <v>0</v>
      </c>
      <c r="W913" s="348" t="str">
        <f>IF(板块成分!B915="","",板块成分!B915)</f>
        <v>002404.SZ</v>
      </c>
      <c r="X913" s="276" t="str">
        <f>[1]!S_Info_Name(W913)</f>
        <v>嘉欣丝绸</v>
      </c>
      <c r="Y913" s="276" t="str">
        <f ca="1">IF($Y$3="申万一级行业",[1]!s_info_industry_sw_2021(W913,公司分析!D$5,1),IF($Y$3="申万二级行业",[1]!s_info_industry_sw_2021(W913,公司分析!D$5,2),IF($Y$3="申万三级行业",[1]!s_info_industry_sw_2021(W913,公司分析!D$5,3),IF($Y$3="wind一级行业",[1]!s_info_industry_gics(W913,1),IF($Y$3="wind二级行业",[1]!s_info_industry_gics(W913,2),IF($Y$3="wind三级行业",[1]!s_info_industry_gics(W913,3),IF($Y$3="wind四级行业",[1]!s_info_industry_gics(W913,4),IF($Y$3="证监会门类行业",[1]!s_info_industry_csrc12_n(W913,公司分析!D$5,1),""))))))))</f>
        <v>服装家纺</v>
      </c>
      <c r="Z913" s="302" t="str">
        <f ca="1">IF(Y913=行业比较!$E$6,ROW(),"")</f>
        <v/>
      </c>
      <c r="AA913" s="122"/>
      <c r="AB913" s="122"/>
      <c r="AC913" s="122"/>
      <c r="AD913" s="122"/>
      <c r="AE913" s="122"/>
      <c r="AF913" s="122"/>
      <c r="AG913" s="122"/>
      <c r="AH913" s="122"/>
      <c r="AI913" s="122"/>
      <c r="AJ913" s="122"/>
      <c r="AK913" s="122"/>
      <c r="AL913" s="122"/>
      <c r="AM913" s="122"/>
      <c r="AN913" s="122"/>
      <c r="AO913" s="122"/>
      <c r="AP913" s="122"/>
    </row>
    <row r="914" spans="2:42">
      <c r="B914" s="122"/>
      <c r="C914" s="122"/>
      <c r="D914" s="122"/>
      <c r="E914" s="122"/>
      <c r="F914" s="122"/>
      <c r="G914" s="122"/>
      <c r="H914" s="122"/>
      <c r="I914" s="275"/>
      <c r="J914" s="130"/>
      <c r="K914" s="130"/>
      <c r="L914" s="130"/>
      <c r="M914" s="130"/>
      <c r="N914" s="291"/>
      <c r="O914" s="291"/>
      <c r="P914" s="122"/>
      <c r="Q914" s="122"/>
      <c r="R914" s="122"/>
      <c r="S914" s="122"/>
      <c r="T914" s="122"/>
      <c r="U914" s="301"/>
      <c r="V914" s="260">
        <f t="shared" ca="1" si="22"/>
        <v>0</v>
      </c>
      <c r="W914" s="348" t="str">
        <f>IF(板块成分!B916="","",板块成分!B916)</f>
        <v>002405.SZ</v>
      </c>
      <c r="X914" s="276" t="str">
        <f>[1]!S_Info_Name(W914)</f>
        <v>四维图新</v>
      </c>
      <c r="Y914" s="276" t="str">
        <f ca="1">IF($Y$3="申万一级行业",[1]!s_info_industry_sw_2021(W914,公司分析!D$5,1),IF($Y$3="申万二级行业",[1]!s_info_industry_sw_2021(W914,公司分析!D$5,2),IF($Y$3="申万三级行业",[1]!s_info_industry_sw_2021(W914,公司分析!D$5,3),IF($Y$3="wind一级行业",[1]!s_info_industry_gics(W914,1),IF($Y$3="wind二级行业",[1]!s_info_industry_gics(W914,2),IF($Y$3="wind三级行业",[1]!s_info_industry_gics(W914,3),IF($Y$3="wind四级行业",[1]!s_info_industry_gics(W914,4),IF($Y$3="证监会门类行业",[1]!s_info_industry_csrc12_n(W914,公司分析!D$5,1),""))))))))</f>
        <v>软件开发</v>
      </c>
      <c r="Z914" s="302" t="str">
        <f ca="1">IF(Y914=行业比较!$E$6,ROW(),"")</f>
        <v/>
      </c>
      <c r="AA914" s="122"/>
      <c r="AB914" s="122"/>
      <c r="AC914" s="122"/>
      <c r="AD914" s="122"/>
      <c r="AE914" s="122"/>
      <c r="AF914" s="122"/>
      <c r="AG914" s="122"/>
      <c r="AH914" s="122"/>
      <c r="AI914" s="122"/>
      <c r="AJ914" s="122"/>
      <c r="AK914" s="122"/>
      <c r="AL914" s="122"/>
      <c r="AM914" s="122"/>
      <c r="AN914" s="122"/>
      <c r="AO914" s="122"/>
      <c r="AP914" s="122"/>
    </row>
    <row r="915" spans="2:42">
      <c r="B915" s="122"/>
      <c r="C915" s="122"/>
      <c r="D915" s="122"/>
      <c r="E915" s="122"/>
      <c r="F915" s="122"/>
      <c r="G915" s="122"/>
      <c r="H915" s="122"/>
      <c r="I915" s="275"/>
      <c r="J915" s="130"/>
      <c r="K915" s="130"/>
      <c r="L915" s="130"/>
      <c r="M915" s="130"/>
      <c r="N915" s="291"/>
      <c r="O915" s="291"/>
      <c r="P915" s="122"/>
      <c r="Q915" s="122"/>
      <c r="R915" s="122"/>
      <c r="S915" s="122"/>
      <c r="T915" s="122"/>
      <c r="U915" s="301"/>
      <c r="V915" s="260">
        <f t="shared" ca="1" si="22"/>
        <v>0</v>
      </c>
      <c r="W915" s="348" t="str">
        <f>IF(板块成分!B917="","",板块成分!B917)</f>
        <v>002406.SZ</v>
      </c>
      <c r="X915" s="276" t="str">
        <f>[1]!S_Info_Name(W915)</f>
        <v>远东传动</v>
      </c>
      <c r="Y915" s="276" t="str">
        <f ca="1">IF($Y$3="申万一级行业",[1]!s_info_industry_sw_2021(W915,公司分析!D$5,1),IF($Y$3="申万二级行业",[1]!s_info_industry_sw_2021(W915,公司分析!D$5,2),IF($Y$3="申万三级行业",[1]!s_info_industry_sw_2021(W915,公司分析!D$5,3),IF($Y$3="wind一级行业",[1]!s_info_industry_gics(W915,1),IF($Y$3="wind二级行业",[1]!s_info_industry_gics(W915,2),IF($Y$3="wind三级行业",[1]!s_info_industry_gics(W915,3),IF($Y$3="wind四级行业",[1]!s_info_industry_gics(W915,4),IF($Y$3="证监会门类行业",[1]!s_info_industry_csrc12_n(W915,公司分析!D$5,1),""))))))))</f>
        <v>汽车零部件</v>
      </c>
      <c r="Z915" s="302" t="str">
        <f ca="1">IF(Y915=行业比较!$E$6,ROW(),"")</f>
        <v/>
      </c>
      <c r="AA915" s="122"/>
      <c r="AB915" s="122"/>
      <c r="AC915" s="122"/>
      <c r="AD915" s="122"/>
      <c r="AE915" s="122"/>
      <c r="AF915" s="122"/>
      <c r="AG915" s="122"/>
      <c r="AH915" s="122"/>
      <c r="AI915" s="122"/>
      <c r="AJ915" s="122"/>
      <c r="AK915" s="122"/>
      <c r="AL915" s="122"/>
      <c r="AM915" s="122"/>
      <c r="AN915" s="122"/>
      <c r="AO915" s="122"/>
      <c r="AP915" s="122"/>
    </row>
    <row r="916" spans="2:42">
      <c r="B916" s="122"/>
      <c r="C916" s="122"/>
      <c r="D916" s="122"/>
      <c r="E916" s="122"/>
      <c r="F916" s="122"/>
      <c r="G916" s="122"/>
      <c r="H916" s="122"/>
      <c r="I916" s="275"/>
      <c r="J916" s="130"/>
      <c r="K916" s="130"/>
      <c r="L916" s="130"/>
      <c r="M916" s="130"/>
      <c r="N916" s="291"/>
      <c r="O916" s="291"/>
      <c r="P916" s="122"/>
      <c r="Q916" s="122"/>
      <c r="R916" s="122"/>
      <c r="S916" s="122"/>
      <c r="T916" s="122"/>
      <c r="U916" s="301"/>
      <c r="V916" s="260">
        <f t="shared" ca="1" si="22"/>
        <v>0</v>
      </c>
      <c r="W916" s="348" t="str">
        <f>IF(板块成分!B918="","",板块成分!B918)</f>
        <v>002407.SZ</v>
      </c>
      <c r="X916" s="276" t="str">
        <f>[1]!S_Info_Name(W916)</f>
        <v>多氟多</v>
      </c>
      <c r="Y916" s="276" t="str">
        <f ca="1">IF($Y$3="申万一级行业",[1]!s_info_industry_sw_2021(W916,公司分析!D$5,1),IF($Y$3="申万二级行业",[1]!s_info_industry_sw_2021(W916,公司分析!D$5,2),IF($Y$3="申万三级行业",[1]!s_info_industry_sw_2021(W916,公司分析!D$5,3),IF($Y$3="wind一级行业",[1]!s_info_industry_gics(W916,1),IF($Y$3="wind二级行业",[1]!s_info_industry_gics(W916,2),IF($Y$3="wind三级行业",[1]!s_info_industry_gics(W916,3),IF($Y$3="wind四级行业",[1]!s_info_industry_gics(W916,4),IF($Y$3="证监会门类行业",[1]!s_info_industry_csrc12_n(W916,公司分析!D$5,1),""))))))))</f>
        <v>化学制品</v>
      </c>
      <c r="Z916" s="302" t="str">
        <f ca="1">IF(Y916=行业比较!$E$6,ROW(),"")</f>
        <v/>
      </c>
      <c r="AA916" s="122"/>
      <c r="AB916" s="122"/>
      <c r="AC916" s="122"/>
      <c r="AD916" s="122"/>
      <c r="AE916" s="122"/>
      <c r="AF916" s="122"/>
      <c r="AG916" s="122"/>
      <c r="AH916" s="122"/>
      <c r="AI916" s="122"/>
      <c r="AJ916" s="122"/>
      <c r="AK916" s="122"/>
      <c r="AL916" s="122"/>
      <c r="AM916" s="122"/>
      <c r="AN916" s="122"/>
      <c r="AO916" s="122"/>
      <c r="AP916" s="122"/>
    </row>
    <row r="917" spans="2:42">
      <c r="B917" s="122"/>
      <c r="C917" s="122"/>
      <c r="D917" s="122"/>
      <c r="E917" s="122"/>
      <c r="F917" s="122"/>
      <c r="G917" s="122"/>
      <c r="H917" s="122"/>
      <c r="I917" s="275"/>
      <c r="J917" s="130"/>
      <c r="K917" s="130"/>
      <c r="L917" s="130"/>
      <c r="M917" s="130"/>
      <c r="N917" s="291"/>
      <c r="O917" s="291"/>
      <c r="P917" s="122"/>
      <c r="Q917" s="122"/>
      <c r="R917" s="122"/>
      <c r="S917" s="122"/>
      <c r="T917" s="122"/>
      <c r="U917" s="301"/>
      <c r="V917" s="260">
        <f t="shared" ca="1" si="22"/>
        <v>0</v>
      </c>
      <c r="W917" s="348" t="str">
        <f>IF(板块成分!B919="","",板块成分!B919)</f>
        <v>002408.SZ</v>
      </c>
      <c r="X917" s="276" t="str">
        <f>[1]!S_Info_Name(W917)</f>
        <v>齐翔腾达</v>
      </c>
      <c r="Y917" s="276" t="str">
        <f ca="1">IF($Y$3="申万一级行业",[1]!s_info_industry_sw_2021(W917,公司分析!D$5,1),IF($Y$3="申万二级行业",[1]!s_info_industry_sw_2021(W917,公司分析!D$5,2),IF($Y$3="申万三级行业",[1]!s_info_industry_sw_2021(W917,公司分析!D$5,3),IF($Y$3="wind一级行业",[1]!s_info_industry_gics(W917,1),IF($Y$3="wind二级行业",[1]!s_info_industry_gics(W917,2),IF($Y$3="wind三级行业",[1]!s_info_industry_gics(W917,3),IF($Y$3="wind四级行业",[1]!s_info_industry_gics(W917,4),IF($Y$3="证监会门类行业",[1]!s_info_industry_csrc12_n(W917,公司分析!D$5,1),""))))))))</f>
        <v>炼化及贸易</v>
      </c>
      <c r="Z917" s="302" t="str">
        <f ca="1">IF(Y917=行业比较!$E$6,ROW(),"")</f>
        <v/>
      </c>
      <c r="AA917" s="122"/>
      <c r="AB917" s="122"/>
      <c r="AC917" s="122"/>
      <c r="AD917" s="122"/>
      <c r="AE917" s="122"/>
      <c r="AF917" s="122"/>
      <c r="AG917" s="122"/>
      <c r="AH917" s="122"/>
      <c r="AI917" s="122"/>
      <c r="AJ917" s="122"/>
      <c r="AK917" s="122"/>
      <c r="AL917" s="122"/>
      <c r="AM917" s="122"/>
      <c r="AN917" s="122"/>
      <c r="AO917" s="122"/>
      <c r="AP917" s="122"/>
    </row>
    <row r="918" spans="2:42">
      <c r="B918" s="122"/>
      <c r="C918" s="122"/>
      <c r="D918" s="122"/>
      <c r="E918" s="122"/>
      <c r="F918" s="122"/>
      <c r="G918" s="122"/>
      <c r="H918" s="122"/>
      <c r="I918" s="275"/>
      <c r="J918" s="130"/>
      <c r="K918" s="130"/>
      <c r="L918" s="130"/>
      <c r="M918" s="130"/>
      <c r="N918" s="291"/>
      <c r="O918" s="291"/>
      <c r="P918" s="122"/>
      <c r="Q918" s="122"/>
      <c r="R918" s="122"/>
      <c r="S918" s="122"/>
      <c r="T918" s="122"/>
      <c r="U918" s="301"/>
      <c r="V918" s="260">
        <f t="shared" ca="1" si="22"/>
        <v>0</v>
      </c>
      <c r="W918" s="348" t="str">
        <f>IF(板块成分!B920="","",板块成分!B920)</f>
        <v>002409.SZ</v>
      </c>
      <c r="X918" s="276" t="str">
        <f>[1]!S_Info_Name(W918)</f>
        <v>雅克科技</v>
      </c>
      <c r="Y918" s="276" t="str">
        <f ca="1">IF($Y$3="申万一级行业",[1]!s_info_industry_sw_2021(W918,公司分析!D$5,1),IF($Y$3="申万二级行业",[1]!s_info_industry_sw_2021(W918,公司分析!D$5,2),IF($Y$3="申万三级行业",[1]!s_info_industry_sw_2021(W918,公司分析!D$5,3),IF($Y$3="wind一级行业",[1]!s_info_industry_gics(W918,1),IF($Y$3="wind二级行业",[1]!s_info_industry_gics(W918,2),IF($Y$3="wind三级行业",[1]!s_info_industry_gics(W918,3),IF($Y$3="wind四级行业",[1]!s_info_industry_gics(W918,4),IF($Y$3="证监会门类行业",[1]!s_info_industry_csrc12_n(W918,公司分析!D$5,1),""))))))))</f>
        <v>半导体</v>
      </c>
      <c r="Z918" s="302" t="str">
        <f ca="1">IF(Y918=行业比较!$E$6,ROW(),"")</f>
        <v/>
      </c>
      <c r="AA918" s="122"/>
      <c r="AB918" s="122"/>
      <c r="AC918" s="122"/>
      <c r="AD918" s="122"/>
      <c r="AE918" s="122"/>
      <c r="AF918" s="122"/>
      <c r="AG918" s="122"/>
      <c r="AH918" s="122"/>
      <c r="AI918" s="122"/>
      <c r="AJ918" s="122"/>
      <c r="AK918" s="122"/>
      <c r="AL918" s="122"/>
      <c r="AM918" s="122"/>
      <c r="AN918" s="122"/>
      <c r="AO918" s="122"/>
      <c r="AP918" s="122"/>
    </row>
    <row r="919" spans="2:42">
      <c r="B919" s="122"/>
      <c r="C919" s="122"/>
      <c r="D919" s="122"/>
      <c r="E919" s="122"/>
      <c r="F919" s="122"/>
      <c r="G919" s="122"/>
      <c r="H919" s="122"/>
      <c r="I919" s="275"/>
      <c r="J919" s="130"/>
      <c r="K919" s="130"/>
      <c r="L919" s="130"/>
      <c r="M919" s="130"/>
      <c r="N919" s="291"/>
      <c r="O919" s="291"/>
      <c r="P919" s="122"/>
      <c r="Q919" s="122"/>
      <c r="R919" s="122"/>
      <c r="S919" s="122"/>
      <c r="T919" s="122"/>
      <c r="U919" s="301"/>
      <c r="V919" s="260">
        <f t="shared" ca="1" si="22"/>
        <v>0</v>
      </c>
      <c r="W919" s="348" t="str">
        <f>IF(板块成分!B921="","",板块成分!B921)</f>
        <v>002410.SZ</v>
      </c>
      <c r="X919" s="276" t="str">
        <f>[1]!S_Info_Name(W919)</f>
        <v>广联达</v>
      </c>
      <c r="Y919" s="276" t="str">
        <f ca="1">IF($Y$3="申万一级行业",[1]!s_info_industry_sw_2021(W919,公司分析!D$5,1),IF($Y$3="申万二级行业",[1]!s_info_industry_sw_2021(W919,公司分析!D$5,2),IF($Y$3="申万三级行业",[1]!s_info_industry_sw_2021(W919,公司分析!D$5,3),IF($Y$3="wind一级行业",[1]!s_info_industry_gics(W919,1),IF($Y$3="wind二级行业",[1]!s_info_industry_gics(W919,2),IF($Y$3="wind三级行业",[1]!s_info_industry_gics(W919,3),IF($Y$3="wind四级行业",[1]!s_info_industry_gics(W919,4),IF($Y$3="证监会门类行业",[1]!s_info_industry_csrc12_n(W919,公司分析!D$5,1),""))))))))</f>
        <v>软件开发</v>
      </c>
      <c r="Z919" s="302" t="str">
        <f ca="1">IF(Y919=行业比较!$E$6,ROW(),"")</f>
        <v/>
      </c>
      <c r="AA919" s="122"/>
      <c r="AB919" s="122"/>
      <c r="AC919" s="122"/>
      <c r="AD919" s="122"/>
      <c r="AE919" s="122"/>
      <c r="AF919" s="122"/>
      <c r="AG919" s="122"/>
      <c r="AH919" s="122"/>
      <c r="AI919" s="122"/>
      <c r="AJ919" s="122"/>
      <c r="AK919" s="122"/>
      <c r="AL919" s="122"/>
      <c r="AM919" s="122"/>
      <c r="AN919" s="122"/>
      <c r="AO919" s="122"/>
      <c r="AP919" s="122"/>
    </row>
    <row r="920" spans="2:42">
      <c r="B920" s="122"/>
      <c r="C920" s="122"/>
      <c r="D920" s="122"/>
      <c r="E920" s="122"/>
      <c r="F920" s="122"/>
      <c r="G920" s="122"/>
      <c r="H920" s="122"/>
      <c r="I920" s="275"/>
      <c r="J920" s="130"/>
      <c r="K920" s="130"/>
      <c r="L920" s="130"/>
      <c r="M920" s="130"/>
      <c r="N920" s="291"/>
      <c r="O920" s="291"/>
      <c r="P920" s="122"/>
      <c r="Q920" s="122"/>
      <c r="R920" s="122"/>
      <c r="S920" s="122"/>
      <c r="T920" s="122"/>
      <c r="U920" s="301"/>
      <c r="V920" s="260">
        <f t="shared" ca="1" si="22"/>
        <v>0</v>
      </c>
      <c r="W920" s="348" t="str">
        <f>IF(板块成分!B922="","",板块成分!B922)</f>
        <v>002412.SZ</v>
      </c>
      <c r="X920" s="276" t="str">
        <f>[1]!S_Info_Name(W920)</f>
        <v>汉森制药</v>
      </c>
      <c r="Y920" s="276" t="str">
        <f ca="1">IF($Y$3="申万一级行业",[1]!s_info_industry_sw_2021(W920,公司分析!D$5,1),IF($Y$3="申万二级行业",[1]!s_info_industry_sw_2021(W920,公司分析!D$5,2),IF($Y$3="申万三级行业",[1]!s_info_industry_sw_2021(W920,公司分析!D$5,3),IF($Y$3="wind一级行业",[1]!s_info_industry_gics(W920,1),IF($Y$3="wind二级行业",[1]!s_info_industry_gics(W920,2),IF($Y$3="wind三级行业",[1]!s_info_industry_gics(W920,3),IF($Y$3="wind四级行业",[1]!s_info_industry_gics(W920,4),IF($Y$3="证监会门类行业",[1]!s_info_industry_csrc12_n(W920,公司分析!D$5,1),""))))))))</f>
        <v>中药Ⅱ</v>
      </c>
      <c r="Z920" s="302" t="str">
        <f ca="1">IF(Y920=行业比较!$E$6,ROW(),"")</f>
        <v/>
      </c>
      <c r="AA920" s="122"/>
      <c r="AB920" s="122"/>
      <c r="AC920" s="122"/>
      <c r="AD920" s="122"/>
      <c r="AE920" s="122"/>
      <c r="AF920" s="122"/>
      <c r="AG920" s="122"/>
      <c r="AH920" s="122"/>
      <c r="AI920" s="122"/>
      <c r="AJ920" s="122"/>
      <c r="AK920" s="122"/>
      <c r="AL920" s="122"/>
      <c r="AM920" s="122"/>
      <c r="AN920" s="122"/>
      <c r="AO920" s="122"/>
      <c r="AP920" s="122"/>
    </row>
    <row r="921" spans="2:42">
      <c r="B921" s="122"/>
      <c r="C921" s="122"/>
      <c r="D921" s="122"/>
      <c r="E921" s="122"/>
      <c r="F921" s="122"/>
      <c r="G921" s="122"/>
      <c r="H921" s="122"/>
      <c r="I921" s="275"/>
      <c r="J921" s="130"/>
      <c r="K921" s="130"/>
      <c r="L921" s="130"/>
      <c r="M921" s="130"/>
      <c r="N921" s="291"/>
      <c r="O921" s="291"/>
      <c r="P921" s="122"/>
      <c r="Q921" s="122"/>
      <c r="R921" s="122"/>
      <c r="S921" s="122"/>
      <c r="T921" s="122"/>
      <c r="U921" s="301"/>
      <c r="V921" s="260">
        <f t="shared" ca="1" si="22"/>
        <v>0</v>
      </c>
      <c r="W921" s="348" t="str">
        <f>IF(板块成分!B923="","",板块成分!B923)</f>
        <v>002413.SZ</v>
      </c>
      <c r="X921" s="276" t="str">
        <f>[1]!S_Info_Name(W921)</f>
        <v>雷科防务</v>
      </c>
      <c r="Y921" s="276" t="str">
        <f ca="1">IF($Y$3="申万一级行业",[1]!s_info_industry_sw_2021(W921,公司分析!D$5,1),IF($Y$3="申万二级行业",[1]!s_info_industry_sw_2021(W921,公司分析!D$5,2),IF($Y$3="申万三级行业",[1]!s_info_industry_sw_2021(W921,公司分析!D$5,3),IF($Y$3="wind一级行业",[1]!s_info_industry_gics(W921,1),IF($Y$3="wind二级行业",[1]!s_info_industry_gics(W921,2),IF($Y$3="wind三级行业",[1]!s_info_industry_gics(W921,3),IF($Y$3="wind四级行业",[1]!s_info_industry_gics(W921,4),IF($Y$3="证监会门类行业",[1]!s_info_industry_csrc12_n(W921,公司分析!D$5,1),""))))))))</f>
        <v>军工电子Ⅱ</v>
      </c>
      <c r="Z921" s="302" t="str">
        <f ca="1">IF(Y921=行业比较!$E$6,ROW(),"")</f>
        <v/>
      </c>
      <c r="AA921" s="122"/>
      <c r="AB921" s="122"/>
      <c r="AC921" s="122"/>
      <c r="AD921" s="122"/>
      <c r="AE921" s="122"/>
      <c r="AF921" s="122"/>
      <c r="AG921" s="122"/>
      <c r="AH921" s="122"/>
      <c r="AI921" s="122"/>
      <c r="AJ921" s="122"/>
      <c r="AK921" s="122"/>
      <c r="AL921" s="122"/>
      <c r="AM921" s="122"/>
      <c r="AN921" s="122"/>
      <c r="AO921" s="122"/>
      <c r="AP921" s="122"/>
    </row>
    <row r="922" spans="2:42">
      <c r="B922" s="122"/>
      <c r="C922" s="122"/>
      <c r="D922" s="122"/>
      <c r="E922" s="122"/>
      <c r="F922" s="122"/>
      <c r="G922" s="122"/>
      <c r="H922" s="122"/>
      <c r="I922" s="275"/>
      <c r="J922" s="130"/>
      <c r="K922" s="130"/>
      <c r="L922" s="130"/>
      <c r="M922" s="130"/>
      <c r="N922" s="291"/>
      <c r="O922" s="291"/>
      <c r="P922" s="122"/>
      <c r="Q922" s="122"/>
      <c r="R922" s="122"/>
      <c r="S922" s="122"/>
      <c r="T922" s="122"/>
      <c r="U922" s="301"/>
      <c r="V922" s="260">
        <f t="shared" ca="1" si="22"/>
        <v>0</v>
      </c>
      <c r="W922" s="348" t="str">
        <f>IF(板块成分!B924="","",板块成分!B924)</f>
        <v>002414.SZ</v>
      </c>
      <c r="X922" s="276" t="str">
        <f>[1]!S_Info_Name(W922)</f>
        <v>高德红外</v>
      </c>
      <c r="Y922" s="276" t="str">
        <f ca="1">IF($Y$3="申万一级行业",[1]!s_info_industry_sw_2021(W922,公司分析!D$5,1),IF($Y$3="申万二级行业",[1]!s_info_industry_sw_2021(W922,公司分析!D$5,2),IF($Y$3="申万三级行业",[1]!s_info_industry_sw_2021(W922,公司分析!D$5,3),IF($Y$3="wind一级行业",[1]!s_info_industry_gics(W922,1),IF($Y$3="wind二级行业",[1]!s_info_industry_gics(W922,2),IF($Y$3="wind三级行业",[1]!s_info_industry_gics(W922,3),IF($Y$3="wind四级行业",[1]!s_info_industry_gics(W922,4),IF($Y$3="证监会门类行业",[1]!s_info_industry_csrc12_n(W922,公司分析!D$5,1),""))))))))</f>
        <v>军工电子Ⅱ</v>
      </c>
      <c r="Z922" s="302" t="str">
        <f ca="1">IF(Y922=行业比较!$E$6,ROW(),"")</f>
        <v/>
      </c>
      <c r="AA922" s="122"/>
      <c r="AB922" s="122"/>
      <c r="AC922" s="122"/>
      <c r="AD922" s="122"/>
      <c r="AE922" s="122"/>
      <c r="AF922" s="122"/>
      <c r="AG922" s="122"/>
      <c r="AH922" s="122"/>
      <c r="AI922" s="122"/>
      <c r="AJ922" s="122"/>
      <c r="AK922" s="122"/>
      <c r="AL922" s="122"/>
      <c r="AM922" s="122"/>
      <c r="AN922" s="122"/>
      <c r="AO922" s="122"/>
      <c r="AP922" s="122"/>
    </row>
    <row r="923" spans="2:42">
      <c r="B923" s="122"/>
      <c r="C923" s="122"/>
      <c r="D923" s="122"/>
      <c r="E923" s="122"/>
      <c r="F923" s="122"/>
      <c r="G923" s="122"/>
      <c r="H923" s="122"/>
      <c r="I923" s="275"/>
      <c r="J923" s="130"/>
      <c r="K923" s="130"/>
      <c r="L923" s="130"/>
      <c r="M923" s="130"/>
      <c r="N923" s="291"/>
      <c r="O923" s="291"/>
      <c r="P923" s="122"/>
      <c r="Q923" s="122"/>
      <c r="R923" s="122"/>
      <c r="S923" s="122"/>
      <c r="T923" s="122"/>
      <c r="U923" s="301"/>
      <c r="V923" s="260">
        <f t="shared" ca="1" si="22"/>
        <v>0</v>
      </c>
      <c r="W923" s="348" t="str">
        <f>IF(板块成分!B925="","",板块成分!B925)</f>
        <v>002415.SZ</v>
      </c>
      <c r="X923" s="276" t="str">
        <f>[1]!S_Info_Name(W923)</f>
        <v>海康威视</v>
      </c>
      <c r="Y923" s="276" t="str">
        <f ca="1">IF($Y$3="申万一级行业",[1]!s_info_industry_sw_2021(W923,公司分析!D$5,1),IF($Y$3="申万二级行业",[1]!s_info_industry_sw_2021(W923,公司分析!D$5,2),IF($Y$3="申万三级行业",[1]!s_info_industry_sw_2021(W923,公司分析!D$5,3),IF($Y$3="wind一级行业",[1]!s_info_industry_gics(W923,1),IF($Y$3="wind二级行业",[1]!s_info_industry_gics(W923,2),IF($Y$3="wind三级行业",[1]!s_info_industry_gics(W923,3),IF($Y$3="wind四级行业",[1]!s_info_industry_gics(W923,4),IF($Y$3="证监会门类行业",[1]!s_info_industry_csrc12_n(W923,公司分析!D$5,1),""))))))))</f>
        <v>计算机设备</v>
      </c>
      <c r="Z923" s="302" t="str">
        <f ca="1">IF(Y923=行业比较!$E$6,ROW(),"")</f>
        <v/>
      </c>
      <c r="AA923" s="122"/>
      <c r="AB923" s="122"/>
      <c r="AC923" s="122"/>
      <c r="AD923" s="122"/>
      <c r="AE923" s="122"/>
      <c r="AF923" s="122"/>
      <c r="AG923" s="122"/>
      <c r="AH923" s="122"/>
      <c r="AI923" s="122"/>
      <c r="AJ923" s="122"/>
      <c r="AK923" s="122"/>
      <c r="AL923" s="122"/>
      <c r="AM923" s="122"/>
      <c r="AN923" s="122"/>
      <c r="AO923" s="122"/>
      <c r="AP923" s="122"/>
    </row>
    <row r="924" spans="2:42">
      <c r="B924" s="122"/>
      <c r="C924" s="122"/>
      <c r="D924" s="122"/>
      <c r="E924" s="122"/>
      <c r="F924" s="122"/>
      <c r="G924" s="122"/>
      <c r="H924" s="122"/>
      <c r="I924" s="275"/>
      <c r="J924" s="130"/>
      <c r="K924" s="130"/>
      <c r="L924" s="130"/>
      <c r="M924" s="130"/>
      <c r="N924" s="291"/>
      <c r="O924" s="291"/>
      <c r="P924" s="122"/>
      <c r="Q924" s="122"/>
      <c r="R924" s="122"/>
      <c r="S924" s="122"/>
      <c r="T924" s="122"/>
      <c r="U924" s="301"/>
      <c r="V924" s="260">
        <f t="shared" ca="1" si="22"/>
        <v>0</v>
      </c>
      <c r="W924" s="348" t="str">
        <f>IF(板块成分!B926="","",板块成分!B926)</f>
        <v>002416.SZ</v>
      </c>
      <c r="X924" s="276" t="str">
        <f>[1]!S_Info_Name(W924)</f>
        <v>爱施德</v>
      </c>
      <c r="Y924" s="276" t="str">
        <f ca="1">IF($Y$3="申万一级行业",[1]!s_info_industry_sw_2021(W924,公司分析!D$5,1),IF($Y$3="申万二级行业",[1]!s_info_industry_sw_2021(W924,公司分析!D$5,2),IF($Y$3="申万三级行业",[1]!s_info_industry_sw_2021(W924,公司分析!D$5,3),IF($Y$3="wind一级行业",[1]!s_info_industry_gics(W924,1),IF($Y$3="wind二级行业",[1]!s_info_industry_gics(W924,2),IF($Y$3="wind三级行业",[1]!s_info_industry_gics(W924,3),IF($Y$3="wind四级行业",[1]!s_info_industry_gics(W924,4),IF($Y$3="证监会门类行业",[1]!s_info_industry_csrc12_n(W924,公司分析!D$5,1),""))))))))</f>
        <v>专业连锁Ⅱ</v>
      </c>
      <c r="Z924" s="302" t="str">
        <f ca="1">IF(Y924=行业比较!$E$6,ROW(),"")</f>
        <v/>
      </c>
      <c r="AA924" s="122"/>
      <c r="AB924" s="122"/>
      <c r="AC924" s="122"/>
      <c r="AD924" s="122"/>
      <c r="AE924" s="122"/>
      <c r="AF924" s="122"/>
      <c r="AG924" s="122"/>
      <c r="AH924" s="122"/>
      <c r="AI924" s="122"/>
      <c r="AJ924" s="122"/>
      <c r="AK924" s="122"/>
      <c r="AL924" s="122"/>
      <c r="AM924" s="122"/>
      <c r="AN924" s="122"/>
      <c r="AO924" s="122"/>
      <c r="AP924" s="122"/>
    </row>
    <row r="925" spans="2:42">
      <c r="B925" s="122"/>
      <c r="C925" s="122"/>
      <c r="D925" s="122"/>
      <c r="E925" s="122"/>
      <c r="F925" s="122"/>
      <c r="G925" s="122"/>
      <c r="H925" s="122"/>
      <c r="I925" s="275"/>
      <c r="J925" s="130"/>
      <c r="K925" s="130"/>
      <c r="L925" s="130"/>
      <c r="M925" s="130"/>
      <c r="N925" s="291"/>
      <c r="O925" s="291"/>
      <c r="P925" s="122"/>
      <c r="Q925" s="122"/>
      <c r="R925" s="122"/>
      <c r="S925" s="122"/>
      <c r="T925" s="122"/>
      <c r="U925" s="301"/>
      <c r="V925" s="260">
        <f t="shared" ca="1" si="22"/>
        <v>0</v>
      </c>
      <c r="W925" s="348" t="str">
        <f>IF(板块成分!B927="","",板块成分!B927)</f>
        <v>002418.SZ</v>
      </c>
      <c r="X925" s="276" t="str">
        <f>[1]!S_Info_Name(W925)</f>
        <v>康盛股份</v>
      </c>
      <c r="Y925" s="276" t="str">
        <f ca="1">IF($Y$3="申万一级行业",[1]!s_info_industry_sw_2021(W925,公司分析!D$5,1),IF($Y$3="申万二级行业",[1]!s_info_industry_sw_2021(W925,公司分析!D$5,2),IF($Y$3="申万三级行业",[1]!s_info_industry_sw_2021(W925,公司分析!D$5,3),IF($Y$3="wind一级行业",[1]!s_info_industry_gics(W925,1),IF($Y$3="wind二级行业",[1]!s_info_industry_gics(W925,2),IF($Y$3="wind三级行业",[1]!s_info_industry_gics(W925,3),IF($Y$3="wind四级行业",[1]!s_info_industry_gics(W925,4),IF($Y$3="证监会门类行业",[1]!s_info_industry_csrc12_n(W925,公司分析!D$5,1),""))))))))</f>
        <v>家电零部件Ⅱ</v>
      </c>
      <c r="Z925" s="302" t="str">
        <f ca="1">IF(Y925=行业比较!$E$6,ROW(),"")</f>
        <v/>
      </c>
      <c r="AA925" s="122"/>
      <c r="AB925" s="122"/>
      <c r="AC925" s="122"/>
      <c r="AD925" s="122"/>
      <c r="AE925" s="122"/>
      <c r="AF925" s="122"/>
      <c r="AG925" s="122"/>
      <c r="AH925" s="122"/>
      <c r="AI925" s="122"/>
      <c r="AJ925" s="122"/>
      <c r="AK925" s="122"/>
      <c r="AL925" s="122"/>
      <c r="AM925" s="122"/>
      <c r="AN925" s="122"/>
      <c r="AO925" s="122"/>
      <c r="AP925" s="122"/>
    </row>
    <row r="926" spans="2:42">
      <c r="B926" s="122"/>
      <c r="C926" s="122"/>
      <c r="D926" s="122"/>
      <c r="E926" s="122"/>
      <c r="F926" s="122"/>
      <c r="G926" s="122"/>
      <c r="H926" s="122"/>
      <c r="I926" s="275"/>
      <c r="J926" s="130"/>
      <c r="K926" s="130"/>
      <c r="L926" s="130"/>
      <c r="M926" s="130"/>
      <c r="N926" s="291"/>
      <c r="O926" s="291"/>
      <c r="P926" s="122"/>
      <c r="Q926" s="122"/>
      <c r="R926" s="122"/>
      <c r="S926" s="122"/>
      <c r="T926" s="122"/>
      <c r="U926" s="301"/>
      <c r="V926" s="260">
        <f t="shared" ca="1" si="22"/>
        <v>0</v>
      </c>
      <c r="W926" s="348" t="str">
        <f>IF(板块成分!B928="","",板块成分!B928)</f>
        <v>002419.SZ</v>
      </c>
      <c r="X926" s="276" t="str">
        <f>[1]!S_Info_Name(W926)</f>
        <v>天虹股份</v>
      </c>
      <c r="Y926" s="276" t="str">
        <f ca="1">IF($Y$3="申万一级行业",[1]!s_info_industry_sw_2021(W926,公司分析!D$5,1),IF($Y$3="申万二级行业",[1]!s_info_industry_sw_2021(W926,公司分析!D$5,2),IF($Y$3="申万三级行业",[1]!s_info_industry_sw_2021(W926,公司分析!D$5,3),IF($Y$3="wind一级行业",[1]!s_info_industry_gics(W926,1),IF($Y$3="wind二级行业",[1]!s_info_industry_gics(W926,2),IF($Y$3="wind三级行业",[1]!s_info_industry_gics(W926,3),IF($Y$3="wind四级行业",[1]!s_info_industry_gics(W926,4),IF($Y$3="证监会门类行业",[1]!s_info_industry_csrc12_n(W926,公司分析!D$5,1),""))))))))</f>
        <v>一般零售</v>
      </c>
      <c r="Z926" s="302" t="str">
        <f ca="1">IF(Y926=行业比较!$E$6,ROW(),"")</f>
        <v/>
      </c>
      <c r="AA926" s="122"/>
      <c r="AB926" s="122"/>
      <c r="AC926" s="122"/>
      <c r="AD926" s="122"/>
      <c r="AE926" s="122"/>
      <c r="AF926" s="122"/>
      <c r="AG926" s="122"/>
      <c r="AH926" s="122"/>
      <c r="AI926" s="122"/>
      <c r="AJ926" s="122"/>
      <c r="AK926" s="122"/>
      <c r="AL926" s="122"/>
      <c r="AM926" s="122"/>
      <c r="AN926" s="122"/>
      <c r="AO926" s="122"/>
      <c r="AP926" s="122"/>
    </row>
    <row r="927" spans="2:42">
      <c r="B927" s="122"/>
      <c r="C927" s="122"/>
      <c r="D927" s="122"/>
      <c r="E927" s="122"/>
      <c r="F927" s="122"/>
      <c r="G927" s="122"/>
      <c r="H927" s="122"/>
      <c r="I927" s="275"/>
      <c r="J927" s="130"/>
      <c r="K927" s="130"/>
      <c r="L927" s="130"/>
      <c r="M927" s="130"/>
      <c r="N927" s="291"/>
      <c r="O927" s="291"/>
      <c r="P927" s="122"/>
      <c r="Q927" s="122"/>
      <c r="R927" s="122"/>
      <c r="S927" s="122"/>
      <c r="T927" s="122"/>
      <c r="U927" s="301"/>
      <c r="V927" s="260">
        <f t="shared" ca="1" si="22"/>
        <v>0</v>
      </c>
      <c r="W927" s="348" t="str">
        <f>IF(板块成分!B929="","",板块成分!B929)</f>
        <v>002420.SZ</v>
      </c>
      <c r="X927" s="276" t="str">
        <f>[1]!S_Info_Name(W927)</f>
        <v>毅昌科技</v>
      </c>
      <c r="Y927" s="276" t="str">
        <f ca="1">IF($Y$3="申万一级行业",[1]!s_info_industry_sw_2021(W927,公司分析!D$5,1),IF($Y$3="申万二级行业",[1]!s_info_industry_sw_2021(W927,公司分析!D$5,2),IF($Y$3="申万三级行业",[1]!s_info_industry_sw_2021(W927,公司分析!D$5,3),IF($Y$3="wind一级行业",[1]!s_info_industry_gics(W927,1),IF($Y$3="wind二级行业",[1]!s_info_industry_gics(W927,2),IF($Y$3="wind三级行业",[1]!s_info_industry_gics(W927,3),IF($Y$3="wind四级行业",[1]!s_info_industry_gics(W927,4),IF($Y$3="证监会门类行业",[1]!s_info_industry_csrc12_n(W927,公司分析!D$5,1),""))))))))</f>
        <v>家电零部件Ⅱ</v>
      </c>
      <c r="Z927" s="302" t="str">
        <f ca="1">IF(Y927=行业比较!$E$6,ROW(),"")</f>
        <v/>
      </c>
      <c r="AA927" s="122"/>
      <c r="AB927" s="122"/>
      <c r="AC927" s="122"/>
      <c r="AD927" s="122"/>
      <c r="AE927" s="122"/>
      <c r="AF927" s="122"/>
      <c r="AG927" s="122"/>
      <c r="AH927" s="122"/>
      <c r="AI927" s="122"/>
      <c r="AJ927" s="122"/>
      <c r="AK927" s="122"/>
      <c r="AL927" s="122"/>
      <c r="AM927" s="122"/>
      <c r="AN927" s="122"/>
      <c r="AO927" s="122"/>
      <c r="AP927" s="122"/>
    </row>
    <row r="928" spans="2:42">
      <c r="B928" s="122"/>
      <c r="C928" s="122"/>
      <c r="D928" s="122"/>
      <c r="E928" s="122"/>
      <c r="F928" s="122"/>
      <c r="G928" s="122"/>
      <c r="H928" s="122"/>
      <c r="I928" s="275"/>
      <c r="J928" s="130"/>
      <c r="K928" s="130"/>
      <c r="L928" s="130"/>
      <c r="M928" s="130"/>
      <c r="N928" s="291"/>
      <c r="O928" s="291"/>
      <c r="P928" s="122"/>
      <c r="Q928" s="122"/>
      <c r="R928" s="122"/>
      <c r="S928" s="122"/>
      <c r="T928" s="122"/>
      <c r="U928" s="301"/>
      <c r="V928" s="260">
        <f t="shared" ca="1" si="22"/>
        <v>0</v>
      </c>
      <c r="W928" s="348" t="str">
        <f>IF(板块成分!B930="","",板块成分!B930)</f>
        <v>002421.SZ</v>
      </c>
      <c r="X928" s="276" t="str">
        <f>[1]!S_Info_Name(W928)</f>
        <v>达实智能</v>
      </c>
      <c r="Y928" s="276" t="str">
        <f ca="1">IF($Y$3="申万一级行业",[1]!s_info_industry_sw_2021(W928,公司分析!D$5,1),IF($Y$3="申万二级行业",[1]!s_info_industry_sw_2021(W928,公司分析!D$5,2),IF($Y$3="申万三级行业",[1]!s_info_industry_sw_2021(W928,公司分析!D$5,3),IF($Y$3="wind一级行业",[1]!s_info_industry_gics(W928,1),IF($Y$3="wind二级行业",[1]!s_info_industry_gics(W928,2),IF($Y$3="wind三级行业",[1]!s_info_industry_gics(W928,3),IF($Y$3="wind四级行业",[1]!s_info_industry_gics(W928,4),IF($Y$3="证监会门类行业",[1]!s_info_industry_csrc12_n(W928,公司分析!D$5,1),""))))))))</f>
        <v>IT服务Ⅱ</v>
      </c>
      <c r="Z928" s="302" t="str">
        <f ca="1">IF(Y928=行业比较!$E$6,ROW(),"")</f>
        <v/>
      </c>
      <c r="AA928" s="122"/>
      <c r="AB928" s="122"/>
      <c r="AC928" s="122"/>
      <c r="AD928" s="122"/>
      <c r="AE928" s="122"/>
      <c r="AF928" s="122"/>
      <c r="AG928" s="122"/>
      <c r="AH928" s="122"/>
      <c r="AI928" s="122"/>
      <c r="AJ928" s="122"/>
      <c r="AK928" s="122"/>
      <c r="AL928" s="122"/>
      <c r="AM928" s="122"/>
      <c r="AN928" s="122"/>
      <c r="AO928" s="122"/>
      <c r="AP928" s="122"/>
    </row>
    <row r="929" spans="2:42">
      <c r="B929" s="122"/>
      <c r="C929" s="122"/>
      <c r="D929" s="122"/>
      <c r="E929" s="122"/>
      <c r="F929" s="122"/>
      <c r="G929" s="122"/>
      <c r="H929" s="122"/>
      <c r="I929" s="275"/>
      <c r="J929" s="130"/>
      <c r="K929" s="130"/>
      <c r="L929" s="130"/>
      <c r="M929" s="130"/>
      <c r="N929" s="291"/>
      <c r="O929" s="291"/>
      <c r="P929" s="122"/>
      <c r="Q929" s="122"/>
      <c r="R929" s="122"/>
      <c r="S929" s="122"/>
      <c r="T929" s="122"/>
      <c r="U929" s="301"/>
      <c r="V929" s="260">
        <f t="shared" ca="1" si="22"/>
        <v>0</v>
      </c>
      <c r="W929" s="348" t="str">
        <f>IF(板块成分!B931="","",板块成分!B931)</f>
        <v>002422.SZ</v>
      </c>
      <c r="X929" s="276" t="str">
        <f>[1]!S_Info_Name(W929)</f>
        <v>科伦药业</v>
      </c>
      <c r="Y929" s="276" t="str">
        <f ca="1">IF($Y$3="申万一级行业",[1]!s_info_industry_sw_2021(W929,公司分析!D$5,1),IF($Y$3="申万二级行业",[1]!s_info_industry_sw_2021(W929,公司分析!D$5,2),IF($Y$3="申万三级行业",[1]!s_info_industry_sw_2021(W929,公司分析!D$5,3),IF($Y$3="wind一级行业",[1]!s_info_industry_gics(W929,1),IF($Y$3="wind二级行业",[1]!s_info_industry_gics(W929,2),IF($Y$3="wind三级行业",[1]!s_info_industry_gics(W929,3),IF($Y$3="wind四级行业",[1]!s_info_industry_gics(W929,4),IF($Y$3="证监会门类行业",[1]!s_info_industry_csrc12_n(W929,公司分析!D$5,1),""))))))))</f>
        <v>化学制药</v>
      </c>
      <c r="Z929" s="302" t="str">
        <f ca="1">IF(Y929=行业比较!$E$6,ROW(),"")</f>
        <v/>
      </c>
      <c r="AA929" s="122"/>
      <c r="AB929" s="122"/>
      <c r="AC929" s="122"/>
      <c r="AD929" s="122"/>
      <c r="AE929" s="122"/>
      <c r="AF929" s="122"/>
      <c r="AG929" s="122"/>
      <c r="AH929" s="122"/>
      <c r="AI929" s="122"/>
      <c r="AJ929" s="122"/>
      <c r="AK929" s="122"/>
      <c r="AL929" s="122"/>
      <c r="AM929" s="122"/>
      <c r="AN929" s="122"/>
      <c r="AO929" s="122"/>
      <c r="AP929" s="122"/>
    </row>
    <row r="930" spans="2:42">
      <c r="B930" s="122"/>
      <c r="C930" s="122"/>
      <c r="D930" s="122"/>
      <c r="E930" s="122"/>
      <c r="F930" s="122"/>
      <c r="G930" s="122"/>
      <c r="H930" s="122"/>
      <c r="I930" s="275"/>
      <c r="J930" s="130"/>
      <c r="K930" s="130"/>
      <c r="L930" s="130"/>
      <c r="M930" s="130"/>
      <c r="N930" s="291"/>
      <c r="O930" s="291"/>
      <c r="P930" s="122"/>
      <c r="Q930" s="122"/>
      <c r="R930" s="122"/>
      <c r="S930" s="122"/>
      <c r="T930" s="122"/>
      <c r="U930" s="301"/>
      <c r="V930" s="260">
        <f t="shared" ca="1" si="22"/>
        <v>0</v>
      </c>
      <c r="W930" s="348" t="str">
        <f>IF(板块成分!B932="","",板块成分!B932)</f>
        <v>002423.SZ</v>
      </c>
      <c r="X930" s="276" t="str">
        <f>[1]!S_Info_Name(W930)</f>
        <v>中粮资本</v>
      </c>
      <c r="Y930" s="276" t="str">
        <f ca="1">IF($Y$3="申万一级行业",[1]!s_info_industry_sw_2021(W930,公司分析!D$5,1),IF($Y$3="申万二级行业",[1]!s_info_industry_sw_2021(W930,公司分析!D$5,2),IF($Y$3="申万三级行业",[1]!s_info_industry_sw_2021(W930,公司分析!D$5,3),IF($Y$3="wind一级行业",[1]!s_info_industry_gics(W930,1),IF($Y$3="wind二级行业",[1]!s_info_industry_gics(W930,2),IF($Y$3="wind三级行业",[1]!s_info_industry_gics(W930,3),IF($Y$3="wind四级行业",[1]!s_info_industry_gics(W930,4),IF($Y$3="证监会门类行业",[1]!s_info_industry_csrc12_n(W930,公司分析!D$5,1),""))))))))</f>
        <v>多元金融</v>
      </c>
      <c r="Z930" s="302" t="str">
        <f ca="1">IF(Y930=行业比较!$E$6,ROW(),"")</f>
        <v/>
      </c>
      <c r="AA930" s="122"/>
      <c r="AB930" s="122"/>
      <c r="AC930" s="122"/>
      <c r="AD930" s="122"/>
      <c r="AE930" s="122"/>
      <c r="AF930" s="122"/>
      <c r="AG930" s="122"/>
      <c r="AH930" s="122"/>
      <c r="AI930" s="122"/>
      <c r="AJ930" s="122"/>
      <c r="AK930" s="122"/>
      <c r="AL930" s="122"/>
      <c r="AM930" s="122"/>
      <c r="AN930" s="122"/>
      <c r="AO930" s="122"/>
      <c r="AP930" s="122"/>
    </row>
    <row r="931" spans="2:42">
      <c r="B931" s="122"/>
      <c r="C931" s="122"/>
      <c r="D931" s="122"/>
      <c r="E931" s="122"/>
      <c r="F931" s="122"/>
      <c r="G931" s="122"/>
      <c r="H931" s="122"/>
      <c r="I931" s="275"/>
      <c r="J931" s="130"/>
      <c r="K931" s="130"/>
      <c r="L931" s="130"/>
      <c r="M931" s="130"/>
      <c r="N931" s="291"/>
      <c r="O931" s="291"/>
      <c r="P931" s="122"/>
      <c r="Q931" s="122"/>
      <c r="R931" s="122"/>
      <c r="S931" s="122"/>
      <c r="T931" s="122"/>
      <c r="U931" s="301"/>
      <c r="V931" s="260">
        <f t="shared" ca="1" si="22"/>
        <v>0</v>
      </c>
      <c r="W931" s="348" t="str">
        <f>IF(板块成分!B933="","",板块成分!B933)</f>
        <v>002424.SZ</v>
      </c>
      <c r="X931" s="276" t="str">
        <f>[1]!S_Info_Name(W931)</f>
        <v>ST百灵</v>
      </c>
      <c r="Y931" s="276" t="str">
        <f ca="1">IF($Y$3="申万一级行业",[1]!s_info_industry_sw_2021(W931,公司分析!D$5,1),IF($Y$3="申万二级行业",[1]!s_info_industry_sw_2021(W931,公司分析!D$5,2),IF($Y$3="申万三级行业",[1]!s_info_industry_sw_2021(W931,公司分析!D$5,3),IF($Y$3="wind一级行业",[1]!s_info_industry_gics(W931,1),IF($Y$3="wind二级行业",[1]!s_info_industry_gics(W931,2),IF($Y$3="wind三级行业",[1]!s_info_industry_gics(W931,3),IF($Y$3="wind四级行业",[1]!s_info_industry_gics(W931,4),IF($Y$3="证监会门类行业",[1]!s_info_industry_csrc12_n(W931,公司分析!D$5,1),""))))))))</f>
        <v>中药Ⅱ</v>
      </c>
      <c r="Z931" s="302" t="str">
        <f ca="1">IF(Y931=行业比较!$E$6,ROW(),"")</f>
        <v/>
      </c>
      <c r="AA931" s="122"/>
      <c r="AB931" s="122"/>
      <c r="AC931" s="122"/>
      <c r="AD931" s="122"/>
      <c r="AE931" s="122"/>
      <c r="AF931" s="122"/>
      <c r="AG931" s="122"/>
      <c r="AH931" s="122"/>
      <c r="AI931" s="122"/>
      <c r="AJ931" s="122"/>
      <c r="AK931" s="122"/>
      <c r="AL931" s="122"/>
      <c r="AM931" s="122"/>
      <c r="AN931" s="122"/>
      <c r="AO931" s="122"/>
      <c r="AP931" s="122"/>
    </row>
    <row r="932" spans="2:42">
      <c r="B932" s="122"/>
      <c r="C932" s="122"/>
      <c r="D932" s="122"/>
      <c r="E932" s="122"/>
      <c r="F932" s="122"/>
      <c r="G932" s="122"/>
      <c r="H932" s="122"/>
      <c r="I932" s="275"/>
      <c r="J932" s="130"/>
      <c r="K932" s="130"/>
      <c r="L932" s="130"/>
      <c r="M932" s="130"/>
      <c r="N932" s="291"/>
      <c r="O932" s="291"/>
      <c r="P932" s="122"/>
      <c r="Q932" s="122"/>
      <c r="R932" s="122"/>
      <c r="S932" s="122"/>
      <c r="T932" s="122"/>
      <c r="U932" s="301"/>
      <c r="V932" s="260">
        <f t="shared" ca="1" si="22"/>
        <v>0</v>
      </c>
      <c r="W932" s="348" t="str">
        <f>IF(板块成分!B934="","",板块成分!B934)</f>
        <v>002425.SZ</v>
      </c>
      <c r="X932" s="276" t="str">
        <f>[1]!S_Info_Name(W932)</f>
        <v>凯撒文化</v>
      </c>
      <c r="Y932" s="276" t="str">
        <f ca="1">IF($Y$3="申万一级行业",[1]!s_info_industry_sw_2021(W932,公司分析!D$5,1),IF($Y$3="申万二级行业",[1]!s_info_industry_sw_2021(W932,公司分析!D$5,2),IF($Y$3="申万三级行业",[1]!s_info_industry_sw_2021(W932,公司分析!D$5,3),IF($Y$3="wind一级行业",[1]!s_info_industry_gics(W932,1),IF($Y$3="wind二级行业",[1]!s_info_industry_gics(W932,2),IF($Y$3="wind三级行业",[1]!s_info_industry_gics(W932,3),IF($Y$3="wind四级行业",[1]!s_info_industry_gics(W932,4),IF($Y$3="证监会门类行业",[1]!s_info_industry_csrc12_n(W932,公司分析!D$5,1),""))))))))</f>
        <v>游戏Ⅱ</v>
      </c>
      <c r="Z932" s="302" t="str">
        <f ca="1">IF(Y932=行业比较!$E$6,ROW(),"")</f>
        <v/>
      </c>
      <c r="AA932" s="122"/>
      <c r="AB932" s="122"/>
      <c r="AC932" s="122"/>
      <c r="AD932" s="122"/>
      <c r="AE932" s="122"/>
      <c r="AF932" s="122"/>
      <c r="AG932" s="122"/>
      <c r="AH932" s="122"/>
      <c r="AI932" s="122"/>
      <c r="AJ932" s="122"/>
      <c r="AK932" s="122"/>
      <c r="AL932" s="122"/>
      <c r="AM932" s="122"/>
      <c r="AN932" s="122"/>
      <c r="AO932" s="122"/>
      <c r="AP932" s="122"/>
    </row>
    <row r="933" spans="2:42">
      <c r="B933" s="122"/>
      <c r="C933" s="122"/>
      <c r="D933" s="122"/>
      <c r="E933" s="122"/>
      <c r="F933" s="122"/>
      <c r="G933" s="122"/>
      <c r="H933" s="122"/>
      <c r="I933" s="275"/>
      <c r="J933" s="130"/>
      <c r="K933" s="130"/>
      <c r="L933" s="130"/>
      <c r="M933" s="130"/>
      <c r="N933" s="291"/>
      <c r="O933" s="291"/>
      <c r="P933" s="122"/>
      <c r="Q933" s="122"/>
      <c r="R933" s="122"/>
      <c r="S933" s="122"/>
      <c r="T933" s="122"/>
      <c r="U933" s="301"/>
      <c r="V933" s="260">
        <f t="shared" ca="1" si="22"/>
        <v>0</v>
      </c>
      <c r="W933" s="348" t="str">
        <f>IF(板块成分!B935="","",板块成分!B935)</f>
        <v>002426.SZ</v>
      </c>
      <c r="X933" s="276" t="str">
        <f>[1]!S_Info_Name(W933)</f>
        <v>胜利精密</v>
      </c>
      <c r="Y933" s="276" t="str">
        <f ca="1">IF($Y$3="申万一级行业",[1]!s_info_industry_sw_2021(W933,公司分析!D$5,1),IF($Y$3="申万二级行业",[1]!s_info_industry_sw_2021(W933,公司分析!D$5,2),IF($Y$3="申万三级行业",[1]!s_info_industry_sw_2021(W933,公司分析!D$5,3),IF($Y$3="wind一级行业",[1]!s_info_industry_gics(W933,1),IF($Y$3="wind二级行业",[1]!s_info_industry_gics(W933,2),IF($Y$3="wind三级行业",[1]!s_info_industry_gics(W933,3),IF($Y$3="wind四级行业",[1]!s_info_industry_gics(W933,4),IF($Y$3="证监会门类行业",[1]!s_info_industry_csrc12_n(W933,公司分析!D$5,1),""))))))))</f>
        <v>消费电子</v>
      </c>
      <c r="Z933" s="302" t="str">
        <f ca="1">IF(Y933=行业比较!$E$6,ROW(),"")</f>
        <v/>
      </c>
      <c r="AA933" s="122"/>
      <c r="AB933" s="122"/>
      <c r="AC933" s="122"/>
      <c r="AD933" s="122"/>
      <c r="AE933" s="122"/>
      <c r="AF933" s="122"/>
      <c r="AG933" s="122"/>
      <c r="AH933" s="122"/>
      <c r="AI933" s="122"/>
      <c r="AJ933" s="122"/>
      <c r="AK933" s="122"/>
      <c r="AL933" s="122"/>
      <c r="AM933" s="122"/>
      <c r="AN933" s="122"/>
      <c r="AO933" s="122"/>
      <c r="AP933" s="122"/>
    </row>
    <row r="934" spans="2:42">
      <c r="B934" s="122"/>
      <c r="C934" s="122"/>
      <c r="D934" s="122"/>
      <c r="E934" s="122"/>
      <c r="F934" s="122"/>
      <c r="G934" s="122"/>
      <c r="H934" s="122"/>
      <c r="I934" s="275"/>
      <c r="J934" s="130"/>
      <c r="K934" s="130"/>
      <c r="L934" s="130"/>
      <c r="M934" s="130"/>
      <c r="N934" s="291"/>
      <c r="O934" s="291"/>
      <c r="P934" s="122"/>
      <c r="Q934" s="122"/>
      <c r="R934" s="122"/>
      <c r="S934" s="122"/>
      <c r="T934" s="122"/>
      <c r="U934" s="301"/>
      <c r="V934" s="260">
        <f t="shared" ca="1" si="22"/>
        <v>0</v>
      </c>
      <c r="W934" s="348" t="str">
        <f>IF(板块成分!B936="","",板块成分!B936)</f>
        <v>002427.SZ</v>
      </c>
      <c r="X934" s="276" t="str">
        <f>[1]!S_Info_Name(W934)</f>
        <v>尤夫股份</v>
      </c>
      <c r="Y934" s="276" t="str">
        <f ca="1">IF($Y$3="申万一级行业",[1]!s_info_industry_sw_2021(W934,公司分析!D$5,1),IF($Y$3="申万二级行业",[1]!s_info_industry_sw_2021(W934,公司分析!D$5,2),IF($Y$3="申万三级行业",[1]!s_info_industry_sw_2021(W934,公司分析!D$5,3),IF($Y$3="wind一级行业",[1]!s_info_industry_gics(W934,1),IF($Y$3="wind二级行业",[1]!s_info_industry_gics(W934,2),IF($Y$3="wind三级行业",[1]!s_info_industry_gics(W934,3),IF($Y$3="wind四级行业",[1]!s_info_industry_gics(W934,4),IF($Y$3="证监会门类行业",[1]!s_info_industry_csrc12_n(W934,公司分析!D$5,1),""))))))))</f>
        <v>化学纤维</v>
      </c>
      <c r="Z934" s="302" t="str">
        <f ca="1">IF(Y934=行业比较!$E$6,ROW(),"")</f>
        <v/>
      </c>
      <c r="AA934" s="122"/>
      <c r="AB934" s="122"/>
      <c r="AC934" s="122"/>
      <c r="AD934" s="122"/>
      <c r="AE934" s="122"/>
      <c r="AF934" s="122"/>
      <c r="AG934" s="122"/>
      <c r="AH934" s="122"/>
      <c r="AI934" s="122"/>
      <c r="AJ934" s="122"/>
      <c r="AK934" s="122"/>
      <c r="AL934" s="122"/>
      <c r="AM934" s="122"/>
      <c r="AN934" s="122"/>
      <c r="AO934" s="122"/>
      <c r="AP934" s="122"/>
    </row>
    <row r="935" spans="2:42">
      <c r="B935" s="122"/>
      <c r="C935" s="122"/>
      <c r="D935" s="122"/>
      <c r="E935" s="122"/>
      <c r="F935" s="122"/>
      <c r="G935" s="122"/>
      <c r="H935" s="122"/>
      <c r="I935" s="275"/>
      <c r="J935" s="130"/>
      <c r="K935" s="130"/>
      <c r="L935" s="130"/>
      <c r="M935" s="130"/>
      <c r="N935" s="291"/>
      <c r="O935" s="291"/>
      <c r="P935" s="122"/>
      <c r="Q935" s="122"/>
      <c r="R935" s="122"/>
      <c r="S935" s="122"/>
      <c r="T935" s="122"/>
      <c r="U935" s="301"/>
      <c r="V935" s="260">
        <f t="shared" ca="1" si="22"/>
        <v>0</v>
      </c>
      <c r="W935" s="348" t="str">
        <f>IF(板块成分!B937="","",板块成分!B937)</f>
        <v>002428.SZ</v>
      </c>
      <c r="X935" s="276" t="str">
        <f>[1]!S_Info_Name(W935)</f>
        <v>云南锗业</v>
      </c>
      <c r="Y935" s="276" t="str">
        <f ca="1">IF($Y$3="申万一级行业",[1]!s_info_industry_sw_2021(W935,公司分析!D$5,1),IF($Y$3="申万二级行业",[1]!s_info_industry_sw_2021(W935,公司分析!D$5,2),IF($Y$3="申万三级行业",[1]!s_info_industry_sw_2021(W935,公司分析!D$5,3),IF($Y$3="wind一级行业",[1]!s_info_industry_gics(W935,1),IF($Y$3="wind二级行业",[1]!s_info_industry_gics(W935,2),IF($Y$3="wind三级行业",[1]!s_info_industry_gics(W935,3),IF($Y$3="wind四级行业",[1]!s_info_industry_gics(W935,4),IF($Y$3="证监会门类行业",[1]!s_info_industry_csrc12_n(W935,公司分析!D$5,1),""))))))))</f>
        <v>小金属</v>
      </c>
      <c r="Z935" s="302" t="str">
        <f ca="1">IF(Y935=行业比较!$E$6,ROW(),"")</f>
        <v/>
      </c>
      <c r="AA935" s="122"/>
      <c r="AB935" s="122"/>
      <c r="AC935" s="122"/>
      <c r="AD935" s="122"/>
      <c r="AE935" s="122"/>
      <c r="AF935" s="122"/>
      <c r="AG935" s="122"/>
      <c r="AH935" s="122"/>
      <c r="AI935" s="122"/>
      <c r="AJ935" s="122"/>
      <c r="AK935" s="122"/>
      <c r="AL935" s="122"/>
      <c r="AM935" s="122"/>
      <c r="AN935" s="122"/>
      <c r="AO935" s="122"/>
      <c r="AP935" s="122"/>
    </row>
    <row r="936" spans="2:42">
      <c r="B936" s="122"/>
      <c r="C936" s="122"/>
      <c r="D936" s="122"/>
      <c r="E936" s="122"/>
      <c r="F936" s="122"/>
      <c r="G936" s="122"/>
      <c r="H936" s="122"/>
      <c r="I936" s="275"/>
      <c r="J936" s="130"/>
      <c r="K936" s="130"/>
      <c r="L936" s="130"/>
      <c r="M936" s="130"/>
      <c r="N936" s="291"/>
      <c r="O936" s="291"/>
      <c r="P936" s="122"/>
      <c r="Q936" s="122"/>
      <c r="R936" s="122"/>
      <c r="S936" s="122"/>
      <c r="T936" s="122"/>
      <c r="U936" s="301"/>
      <c r="V936" s="260">
        <f t="shared" ca="1" si="22"/>
        <v>0</v>
      </c>
      <c r="W936" s="348" t="str">
        <f>IF(板块成分!B938="","",板块成分!B938)</f>
        <v>002429.SZ</v>
      </c>
      <c r="X936" s="276" t="str">
        <f>[1]!S_Info_Name(W936)</f>
        <v>兆驰股份</v>
      </c>
      <c r="Y936" s="276" t="str">
        <f ca="1">IF($Y$3="申万一级行业",[1]!s_info_industry_sw_2021(W936,公司分析!D$5,1),IF($Y$3="申万二级行业",[1]!s_info_industry_sw_2021(W936,公司分析!D$5,2),IF($Y$3="申万三级行业",[1]!s_info_industry_sw_2021(W936,公司分析!D$5,3),IF($Y$3="wind一级行业",[1]!s_info_industry_gics(W936,1),IF($Y$3="wind二级行业",[1]!s_info_industry_gics(W936,2),IF($Y$3="wind三级行业",[1]!s_info_industry_gics(W936,3),IF($Y$3="wind四级行业",[1]!s_info_industry_gics(W936,4),IF($Y$3="证监会门类行业",[1]!s_info_industry_csrc12_n(W936,公司分析!D$5,1),""))))))))</f>
        <v>黑色家电</v>
      </c>
      <c r="Z936" s="302" t="str">
        <f ca="1">IF(Y936=行业比较!$E$6,ROW(),"")</f>
        <v/>
      </c>
      <c r="AA936" s="122"/>
      <c r="AB936" s="122"/>
      <c r="AC936" s="122"/>
      <c r="AD936" s="122"/>
      <c r="AE936" s="122"/>
      <c r="AF936" s="122"/>
      <c r="AG936" s="122"/>
      <c r="AH936" s="122"/>
      <c r="AI936" s="122"/>
      <c r="AJ936" s="122"/>
      <c r="AK936" s="122"/>
      <c r="AL936" s="122"/>
      <c r="AM936" s="122"/>
      <c r="AN936" s="122"/>
      <c r="AO936" s="122"/>
      <c r="AP936" s="122"/>
    </row>
    <row r="937" spans="2:42">
      <c r="B937" s="122"/>
      <c r="C937" s="122"/>
      <c r="D937" s="122"/>
      <c r="E937" s="122"/>
      <c r="F937" s="122"/>
      <c r="G937" s="122"/>
      <c r="H937" s="122"/>
      <c r="I937" s="275"/>
      <c r="J937" s="130"/>
      <c r="K937" s="130"/>
      <c r="L937" s="130"/>
      <c r="M937" s="130"/>
      <c r="N937" s="291"/>
      <c r="O937" s="291"/>
      <c r="P937" s="122"/>
      <c r="Q937" s="122"/>
      <c r="R937" s="122"/>
      <c r="S937" s="122"/>
      <c r="T937" s="122"/>
      <c r="U937" s="301"/>
      <c r="V937" s="260">
        <f t="shared" ca="1" si="22"/>
        <v>0</v>
      </c>
      <c r="W937" s="348" t="str">
        <f>IF(板块成分!B939="","",板块成分!B939)</f>
        <v>002430.SZ</v>
      </c>
      <c r="X937" s="276" t="str">
        <f>[1]!S_Info_Name(W937)</f>
        <v>杭氧股份</v>
      </c>
      <c r="Y937" s="276" t="str">
        <f ca="1">IF($Y$3="申万一级行业",[1]!s_info_industry_sw_2021(W937,公司分析!D$5,1),IF($Y$3="申万二级行业",[1]!s_info_industry_sw_2021(W937,公司分析!D$5,2),IF($Y$3="申万三级行业",[1]!s_info_industry_sw_2021(W937,公司分析!D$5,3),IF($Y$3="wind一级行业",[1]!s_info_industry_gics(W937,1),IF($Y$3="wind二级行业",[1]!s_info_industry_gics(W937,2),IF($Y$3="wind三级行业",[1]!s_info_industry_gics(W937,3),IF($Y$3="wind四级行业",[1]!s_info_industry_gics(W937,4),IF($Y$3="证监会门类行业",[1]!s_info_industry_csrc12_n(W937,公司分析!D$5,1),""))))))))</f>
        <v>化学制品</v>
      </c>
      <c r="Z937" s="302" t="str">
        <f ca="1">IF(Y937=行业比较!$E$6,ROW(),"")</f>
        <v/>
      </c>
      <c r="AA937" s="122"/>
      <c r="AB937" s="122"/>
      <c r="AC937" s="122"/>
      <c r="AD937" s="122"/>
      <c r="AE937" s="122"/>
      <c r="AF937" s="122"/>
      <c r="AG937" s="122"/>
      <c r="AH937" s="122"/>
      <c r="AI937" s="122"/>
      <c r="AJ937" s="122"/>
      <c r="AK937" s="122"/>
      <c r="AL937" s="122"/>
      <c r="AM937" s="122"/>
      <c r="AN937" s="122"/>
      <c r="AO937" s="122"/>
      <c r="AP937" s="122"/>
    </row>
    <row r="938" spans="2:42">
      <c r="B938" s="122"/>
      <c r="C938" s="122"/>
      <c r="D938" s="122"/>
      <c r="E938" s="122"/>
      <c r="F938" s="122"/>
      <c r="G938" s="122"/>
      <c r="H938" s="122"/>
      <c r="I938" s="275"/>
      <c r="J938" s="130"/>
      <c r="K938" s="130"/>
      <c r="L938" s="130"/>
      <c r="M938" s="130"/>
      <c r="N938" s="291"/>
      <c r="O938" s="291"/>
      <c r="P938" s="122"/>
      <c r="Q938" s="122"/>
      <c r="R938" s="122"/>
      <c r="S938" s="122"/>
      <c r="T938" s="122"/>
      <c r="U938" s="301"/>
      <c r="V938" s="260">
        <f t="shared" ca="1" si="22"/>
        <v>0</v>
      </c>
      <c r="W938" s="348" t="str">
        <f>IF(板块成分!B940="","",板块成分!B940)</f>
        <v>002431.SZ</v>
      </c>
      <c r="X938" s="276" t="str">
        <f>[1]!S_Info_Name(W938)</f>
        <v>棕榈股份</v>
      </c>
      <c r="Y938" s="276" t="str">
        <f ca="1">IF($Y$3="申万一级行业",[1]!s_info_industry_sw_2021(W938,公司分析!D$5,1),IF($Y$3="申万二级行业",[1]!s_info_industry_sw_2021(W938,公司分析!D$5,2),IF($Y$3="申万三级行业",[1]!s_info_industry_sw_2021(W938,公司分析!D$5,3),IF($Y$3="wind一级行业",[1]!s_info_industry_gics(W938,1),IF($Y$3="wind二级行业",[1]!s_info_industry_gics(W938,2),IF($Y$3="wind三级行业",[1]!s_info_industry_gics(W938,3),IF($Y$3="wind四级行业",[1]!s_info_industry_gics(W938,4),IF($Y$3="证监会门类行业",[1]!s_info_industry_csrc12_n(W938,公司分析!D$5,1),""))))))))</f>
        <v>基础建设</v>
      </c>
      <c r="Z938" s="302" t="str">
        <f ca="1">IF(Y938=行业比较!$E$6,ROW(),"")</f>
        <v/>
      </c>
      <c r="AA938" s="122"/>
      <c r="AB938" s="122"/>
      <c r="AC938" s="122"/>
      <c r="AD938" s="122"/>
      <c r="AE938" s="122"/>
      <c r="AF938" s="122"/>
      <c r="AG938" s="122"/>
      <c r="AH938" s="122"/>
      <c r="AI938" s="122"/>
      <c r="AJ938" s="122"/>
      <c r="AK938" s="122"/>
      <c r="AL938" s="122"/>
      <c r="AM938" s="122"/>
      <c r="AN938" s="122"/>
      <c r="AO938" s="122"/>
      <c r="AP938" s="122"/>
    </row>
    <row r="939" spans="2:42">
      <c r="B939" s="122"/>
      <c r="C939" s="122"/>
      <c r="D939" s="122"/>
      <c r="E939" s="122"/>
      <c r="F939" s="122"/>
      <c r="G939" s="122"/>
      <c r="H939" s="122"/>
      <c r="I939" s="275"/>
      <c r="J939" s="130"/>
      <c r="K939" s="130"/>
      <c r="L939" s="130"/>
      <c r="M939" s="130"/>
      <c r="N939" s="291"/>
      <c r="O939" s="291"/>
      <c r="P939" s="122"/>
      <c r="Q939" s="122"/>
      <c r="R939" s="122"/>
      <c r="S939" s="122"/>
      <c r="T939" s="122"/>
      <c r="U939" s="301"/>
      <c r="V939" s="260">
        <f t="shared" ca="1" si="22"/>
        <v>0</v>
      </c>
      <c r="W939" s="348" t="str">
        <f>IF(板块成分!B941="","",板块成分!B941)</f>
        <v>002432.SZ</v>
      </c>
      <c r="X939" s="276" t="str">
        <f>[1]!S_Info_Name(W939)</f>
        <v>九安医疗</v>
      </c>
      <c r="Y939" s="276" t="str">
        <f ca="1">IF($Y$3="申万一级行业",[1]!s_info_industry_sw_2021(W939,公司分析!D$5,1),IF($Y$3="申万二级行业",[1]!s_info_industry_sw_2021(W939,公司分析!D$5,2),IF($Y$3="申万三级行业",[1]!s_info_industry_sw_2021(W939,公司分析!D$5,3),IF($Y$3="wind一级行业",[1]!s_info_industry_gics(W939,1),IF($Y$3="wind二级行业",[1]!s_info_industry_gics(W939,2),IF($Y$3="wind三级行业",[1]!s_info_industry_gics(W939,3),IF($Y$3="wind四级行业",[1]!s_info_industry_gics(W939,4),IF($Y$3="证监会门类行业",[1]!s_info_industry_csrc12_n(W939,公司分析!D$5,1),""))))))))</f>
        <v>医疗器械</v>
      </c>
      <c r="Z939" s="302" t="str">
        <f ca="1">IF(Y939=行业比较!$E$6,ROW(),"")</f>
        <v/>
      </c>
      <c r="AA939" s="122"/>
      <c r="AB939" s="122"/>
      <c r="AC939" s="122"/>
      <c r="AD939" s="122"/>
      <c r="AE939" s="122"/>
      <c r="AF939" s="122"/>
      <c r="AG939" s="122"/>
      <c r="AH939" s="122"/>
      <c r="AI939" s="122"/>
      <c r="AJ939" s="122"/>
      <c r="AK939" s="122"/>
      <c r="AL939" s="122"/>
      <c r="AM939" s="122"/>
      <c r="AN939" s="122"/>
      <c r="AO939" s="122"/>
      <c r="AP939" s="122"/>
    </row>
    <row r="940" spans="2:42">
      <c r="B940" s="122"/>
      <c r="C940" s="122"/>
      <c r="D940" s="122"/>
      <c r="E940" s="122"/>
      <c r="F940" s="122"/>
      <c r="G940" s="122"/>
      <c r="H940" s="122"/>
      <c r="I940" s="275"/>
      <c r="J940" s="130"/>
      <c r="K940" s="130"/>
      <c r="L940" s="130"/>
      <c r="M940" s="130"/>
      <c r="N940" s="291"/>
      <c r="O940" s="291"/>
      <c r="P940" s="122"/>
      <c r="Q940" s="122"/>
      <c r="R940" s="122"/>
      <c r="S940" s="122"/>
      <c r="T940" s="122"/>
      <c r="U940" s="301"/>
      <c r="V940" s="260">
        <f t="shared" ca="1" si="22"/>
        <v>0</v>
      </c>
      <c r="W940" s="348" t="str">
        <f>IF(板块成分!B942="","",板块成分!B942)</f>
        <v>002434.SZ</v>
      </c>
      <c r="X940" s="276" t="str">
        <f>[1]!S_Info_Name(W940)</f>
        <v>万里扬</v>
      </c>
      <c r="Y940" s="276" t="str">
        <f ca="1">IF($Y$3="申万一级行业",[1]!s_info_industry_sw_2021(W940,公司分析!D$5,1),IF($Y$3="申万二级行业",[1]!s_info_industry_sw_2021(W940,公司分析!D$5,2),IF($Y$3="申万三级行业",[1]!s_info_industry_sw_2021(W940,公司分析!D$5,3),IF($Y$3="wind一级行业",[1]!s_info_industry_gics(W940,1),IF($Y$3="wind二级行业",[1]!s_info_industry_gics(W940,2),IF($Y$3="wind三级行业",[1]!s_info_industry_gics(W940,3),IF($Y$3="wind四级行业",[1]!s_info_industry_gics(W940,4),IF($Y$3="证监会门类行业",[1]!s_info_industry_csrc12_n(W940,公司分析!D$5,1),""))))))))</f>
        <v>汽车零部件</v>
      </c>
      <c r="Z940" s="302" t="str">
        <f ca="1">IF(Y940=行业比较!$E$6,ROW(),"")</f>
        <v/>
      </c>
      <c r="AA940" s="122"/>
      <c r="AB940" s="122"/>
      <c r="AC940" s="122"/>
      <c r="AD940" s="122"/>
      <c r="AE940" s="122"/>
      <c r="AF940" s="122"/>
      <c r="AG940" s="122"/>
      <c r="AH940" s="122"/>
      <c r="AI940" s="122"/>
      <c r="AJ940" s="122"/>
      <c r="AK940" s="122"/>
      <c r="AL940" s="122"/>
      <c r="AM940" s="122"/>
      <c r="AN940" s="122"/>
      <c r="AO940" s="122"/>
      <c r="AP940" s="122"/>
    </row>
    <row r="941" spans="2:42">
      <c r="B941" s="122"/>
      <c r="C941" s="122"/>
      <c r="D941" s="122"/>
      <c r="E941" s="122"/>
      <c r="F941" s="122"/>
      <c r="G941" s="122"/>
      <c r="H941" s="122"/>
      <c r="I941" s="275"/>
      <c r="J941" s="130"/>
      <c r="K941" s="130"/>
      <c r="L941" s="130"/>
      <c r="M941" s="130"/>
      <c r="N941" s="291"/>
      <c r="O941" s="291"/>
      <c r="P941" s="122"/>
      <c r="Q941" s="122"/>
      <c r="R941" s="122"/>
      <c r="S941" s="122"/>
      <c r="T941" s="122"/>
      <c r="U941" s="301"/>
      <c r="V941" s="260">
        <f t="shared" ca="1" si="22"/>
        <v>0</v>
      </c>
      <c r="W941" s="348" t="str">
        <f>IF(板块成分!B943="","",板块成分!B943)</f>
        <v>002436.SZ</v>
      </c>
      <c r="X941" s="276" t="str">
        <f>[1]!S_Info_Name(W941)</f>
        <v>兴森科技</v>
      </c>
      <c r="Y941" s="276" t="str">
        <f ca="1">IF($Y$3="申万一级行业",[1]!s_info_industry_sw_2021(W941,公司分析!D$5,1),IF($Y$3="申万二级行业",[1]!s_info_industry_sw_2021(W941,公司分析!D$5,2),IF($Y$3="申万三级行业",[1]!s_info_industry_sw_2021(W941,公司分析!D$5,3),IF($Y$3="wind一级行业",[1]!s_info_industry_gics(W941,1),IF($Y$3="wind二级行业",[1]!s_info_industry_gics(W941,2),IF($Y$3="wind三级行业",[1]!s_info_industry_gics(W941,3),IF($Y$3="wind四级行业",[1]!s_info_industry_gics(W941,4),IF($Y$3="证监会门类行业",[1]!s_info_industry_csrc12_n(W941,公司分析!D$5,1),""))))))))</f>
        <v>元件</v>
      </c>
      <c r="Z941" s="302" t="str">
        <f ca="1">IF(Y941=行业比较!$E$6,ROW(),"")</f>
        <v/>
      </c>
      <c r="AA941" s="122"/>
      <c r="AB941" s="122"/>
      <c r="AC941" s="122"/>
      <c r="AD941" s="122"/>
      <c r="AE941" s="122"/>
      <c r="AF941" s="122"/>
      <c r="AG941" s="122"/>
      <c r="AH941" s="122"/>
      <c r="AI941" s="122"/>
      <c r="AJ941" s="122"/>
      <c r="AK941" s="122"/>
      <c r="AL941" s="122"/>
      <c r="AM941" s="122"/>
      <c r="AN941" s="122"/>
      <c r="AO941" s="122"/>
      <c r="AP941" s="122"/>
    </row>
    <row r="942" spans="2:42">
      <c r="B942" s="122"/>
      <c r="C942" s="122"/>
      <c r="D942" s="122"/>
      <c r="E942" s="122"/>
      <c r="F942" s="122"/>
      <c r="G942" s="122"/>
      <c r="H942" s="122"/>
      <c r="I942" s="275"/>
      <c r="J942" s="130"/>
      <c r="K942" s="130"/>
      <c r="L942" s="130"/>
      <c r="M942" s="130"/>
      <c r="N942" s="291"/>
      <c r="O942" s="291"/>
      <c r="P942" s="122"/>
      <c r="Q942" s="122"/>
      <c r="R942" s="122"/>
      <c r="S942" s="122"/>
      <c r="T942" s="122"/>
      <c r="U942" s="301"/>
      <c r="V942" s="260">
        <f t="shared" ca="1" si="22"/>
        <v>0</v>
      </c>
      <c r="W942" s="348" t="str">
        <f>IF(板块成分!B944="","",板块成分!B944)</f>
        <v>002437.SZ</v>
      </c>
      <c r="X942" s="276" t="str">
        <f>[1]!S_Info_Name(W942)</f>
        <v>誉衡药业</v>
      </c>
      <c r="Y942" s="276" t="str">
        <f ca="1">IF($Y$3="申万一级行业",[1]!s_info_industry_sw_2021(W942,公司分析!D$5,1),IF($Y$3="申万二级行业",[1]!s_info_industry_sw_2021(W942,公司分析!D$5,2),IF($Y$3="申万三级行业",[1]!s_info_industry_sw_2021(W942,公司分析!D$5,3),IF($Y$3="wind一级行业",[1]!s_info_industry_gics(W942,1),IF($Y$3="wind二级行业",[1]!s_info_industry_gics(W942,2),IF($Y$3="wind三级行业",[1]!s_info_industry_gics(W942,3),IF($Y$3="wind四级行业",[1]!s_info_industry_gics(W942,4),IF($Y$3="证监会门类行业",[1]!s_info_industry_csrc12_n(W942,公司分析!D$5,1),""))))))))</f>
        <v>化学制药</v>
      </c>
      <c r="Z942" s="302" t="str">
        <f ca="1">IF(Y942=行业比较!$E$6,ROW(),"")</f>
        <v/>
      </c>
      <c r="AA942" s="122"/>
      <c r="AB942" s="122"/>
      <c r="AC942" s="122"/>
      <c r="AD942" s="122"/>
      <c r="AE942" s="122"/>
      <c r="AF942" s="122"/>
      <c r="AG942" s="122"/>
      <c r="AH942" s="122"/>
      <c r="AI942" s="122"/>
      <c r="AJ942" s="122"/>
      <c r="AK942" s="122"/>
      <c r="AL942" s="122"/>
      <c r="AM942" s="122"/>
      <c r="AN942" s="122"/>
      <c r="AO942" s="122"/>
      <c r="AP942" s="122"/>
    </row>
    <row r="943" spans="2:42">
      <c r="B943" s="122"/>
      <c r="C943" s="122"/>
      <c r="D943" s="122"/>
      <c r="E943" s="122"/>
      <c r="F943" s="122"/>
      <c r="G943" s="122"/>
      <c r="H943" s="122"/>
      <c r="I943" s="275"/>
      <c r="J943" s="130"/>
      <c r="K943" s="130"/>
      <c r="L943" s="130"/>
      <c r="M943" s="130"/>
      <c r="N943" s="291"/>
      <c r="O943" s="291"/>
      <c r="P943" s="122"/>
      <c r="Q943" s="122"/>
      <c r="R943" s="122"/>
      <c r="S943" s="122"/>
      <c r="T943" s="122"/>
      <c r="U943" s="301"/>
      <c r="V943" s="260">
        <f t="shared" ca="1" si="22"/>
        <v>0</v>
      </c>
      <c r="W943" s="348" t="str">
        <f>IF(板块成分!B945="","",板块成分!B945)</f>
        <v>002438.SZ</v>
      </c>
      <c r="X943" s="276" t="str">
        <f>[1]!S_Info_Name(W943)</f>
        <v>江苏神通</v>
      </c>
      <c r="Y943" s="276" t="str">
        <f ca="1">IF($Y$3="申万一级行业",[1]!s_info_industry_sw_2021(W943,公司分析!D$5,1),IF($Y$3="申万二级行业",[1]!s_info_industry_sw_2021(W943,公司分析!D$5,2),IF($Y$3="申万三级行业",[1]!s_info_industry_sw_2021(W943,公司分析!D$5,3),IF($Y$3="wind一级行业",[1]!s_info_industry_gics(W943,1),IF($Y$3="wind二级行业",[1]!s_info_industry_gics(W943,2),IF($Y$3="wind三级行业",[1]!s_info_industry_gics(W943,3),IF($Y$3="wind四级行业",[1]!s_info_industry_gics(W943,4),IF($Y$3="证监会门类行业",[1]!s_info_industry_csrc12_n(W943,公司分析!D$5,1),""))))))))</f>
        <v>通用设备</v>
      </c>
      <c r="Z943" s="302" t="str">
        <f ca="1">IF(Y943=行业比较!$E$6,ROW(),"")</f>
        <v/>
      </c>
      <c r="AA943" s="122"/>
      <c r="AB943" s="122"/>
      <c r="AC943" s="122"/>
      <c r="AD943" s="122"/>
      <c r="AE943" s="122"/>
      <c r="AF943" s="122"/>
      <c r="AG943" s="122"/>
      <c r="AH943" s="122"/>
      <c r="AI943" s="122"/>
      <c r="AJ943" s="122"/>
      <c r="AK943" s="122"/>
      <c r="AL943" s="122"/>
      <c r="AM943" s="122"/>
      <c r="AN943" s="122"/>
      <c r="AO943" s="122"/>
      <c r="AP943" s="122"/>
    </row>
    <row r="944" spans="2:42">
      <c r="B944" s="122"/>
      <c r="C944" s="122"/>
      <c r="D944" s="122"/>
      <c r="E944" s="122"/>
      <c r="F944" s="122"/>
      <c r="G944" s="122"/>
      <c r="H944" s="122"/>
      <c r="I944" s="275"/>
      <c r="J944" s="130"/>
      <c r="K944" s="130"/>
      <c r="L944" s="130"/>
      <c r="M944" s="130"/>
      <c r="N944" s="291"/>
      <c r="O944" s="291"/>
      <c r="P944" s="122"/>
      <c r="Q944" s="122"/>
      <c r="R944" s="122"/>
      <c r="S944" s="122"/>
      <c r="T944" s="122"/>
      <c r="U944" s="301"/>
      <c r="V944" s="260">
        <f t="shared" ca="1" si="22"/>
        <v>0</v>
      </c>
      <c r="W944" s="348" t="str">
        <f>IF(板块成分!B946="","",板块成分!B946)</f>
        <v>002439.SZ</v>
      </c>
      <c r="X944" s="276" t="str">
        <f>[1]!S_Info_Name(W944)</f>
        <v>启明星辰</v>
      </c>
      <c r="Y944" s="276" t="str">
        <f ca="1">IF($Y$3="申万一级行业",[1]!s_info_industry_sw_2021(W944,公司分析!D$5,1),IF($Y$3="申万二级行业",[1]!s_info_industry_sw_2021(W944,公司分析!D$5,2),IF($Y$3="申万三级行业",[1]!s_info_industry_sw_2021(W944,公司分析!D$5,3),IF($Y$3="wind一级行业",[1]!s_info_industry_gics(W944,1),IF($Y$3="wind二级行业",[1]!s_info_industry_gics(W944,2),IF($Y$3="wind三级行业",[1]!s_info_industry_gics(W944,3),IF($Y$3="wind四级行业",[1]!s_info_industry_gics(W944,4),IF($Y$3="证监会门类行业",[1]!s_info_industry_csrc12_n(W944,公司分析!D$5,1),""))))))))</f>
        <v>软件开发</v>
      </c>
      <c r="Z944" s="302" t="str">
        <f ca="1">IF(Y944=行业比较!$E$6,ROW(),"")</f>
        <v/>
      </c>
      <c r="AA944" s="122"/>
      <c r="AB944" s="122"/>
      <c r="AC944" s="122"/>
      <c r="AD944" s="122"/>
      <c r="AE944" s="122"/>
      <c r="AF944" s="122"/>
      <c r="AG944" s="122"/>
      <c r="AH944" s="122"/>
      <c r="AI944" s="122"/>
      <c r="AJ944" s="122"/>
      <c r="AK944" s="122"/>
      <c r="AL944" s="122"/>
      <c r="AM944" s="122"/>
      <c r="AN944" s="122"/>
      <c r="AO944" s="122"/>
      <c r="AP944" s="122"/>
    </row>
    <row r="945" spans="2:42">
      <c r="B945" s="122"/>
      <c r="C945" s="122"/>
      <c r="D945" s="122"/>
      <c r="E945" s="122"/>
      <c r="F945" s="122"/>
      <c r="G945" s="122"/>
      <c r="H945" s="122"/>
      <c r="I945" s="275"/>
      <c r="J945" s="130"/>
      <c r="K945" s="130"/>
      <c r="L945" s="130"/>
      <c r="M945" s="130"/>
      <c r="N945" s="291"/>
      <c r="O945" s="291"/>
      <c r="P945" s="122"/>
      <c r="Q945" s="122"/>
      <c r="R945" s="122"/>
      <c r="S945" s="122"/>
      <c r="T945" s="122"/>
      <c r="U945" s="301"/>
      <c r="V945" s="260">
        <f t="shared" ca="1" si="22"/>
        <v>0</v>
      </c>
      <c r="W945" s="348" t="str">
        <f>IF(板块成分!B947="","",板块成分!B947)</f>
        <v>002440.SZ</v>
      </c>
      <c r="X945" s="276" t="str">
        <f>[1]!S_Info_Name(W945)</f>
        <v>闰土股份</v>
      </c>
      <c r="Y945" s="276" t="str">
        <f ca="1">IF($Y$3="申万一级行业",[1]!s_info_industry_sw_2021(W945,公司分析!D$5,1),IF($Y$3="申万二级行业",[1]!s_info_industry_sw_2021(W945,公司分析!D$5,2),IF($Y$3="申万三级行业",[1]!s_info_industry_sw_2021(W945,公司分析!D$5,3),IF($Y$3="wind一级行业",[1]!s_info_industry_gics(W945,1),IF($Y$3="wind二级行业",[1]!s_info_industry_gics(W945,2),IF($Y$3="wind三级行业",[1]!s_info_industry_gics(W945,3),IF($Y$3="wind四级行业",[1]!s_info_industry_gics(W945,4),IF($Y$3="证监会门类行业",[1]!s_info_industry_csrc12_n(W945,公司分析!D$5,1),""))))))))</f>
        <v>化学制品</v>
      </c>
      <c r="Z945" s="302" t="str">
        <f ca="1">IF(Y945=行业比较!$E$6,ROW(),"")</f>
        <v/>
      </c>
      <c r="AA945" s="122"/>
      <c r="AB945" s="122"/>
      <c r="AC945" s="122"/>
      <c r="AD945" s="122"/>
      <c r="AE945" s="122"/>
      <c r="AF945" s="122"/>
      <c r="AG945" s="122"/>
      <c r="AH945" s="122"/>
      <c r="AI945" s="122"/>
      <c r="AJ945" s="122"/>
      <c r="AK945" s="122"/>
      <c r="AL945" s="122"/>
      <c r="AM945" s="122"/>
      <c r="AN945" s="122"/>
      <c r="AO945" s="122"/>
      <c r="AP945" s="122"/>
    </row>
    <row r="946" spans="2:42">
      <c r="B946" s="122"/>
      <c r="C946" s="122"/>
      <c r="D946" s="122"/>
      <c r="E946" s="122"/>
      <c r="F946" s="122"/>
      <c r="G946" s="122"/>
      <c r="H946" s="122"/>
      <c r="I946" s="275"/>
      <c r="J946" s="130"/>
      <c r="K946" s="130"/>
      <c r="L946" s="130"/>
      <c r="M946" s="130"/>
      <c r="N946" s="291"/>
      <c r="O946" s="291"/>
      <c r="P946" s="122"/>
      <c r="Q946" s="122"/>
      <c r="R946" s="122"/>
      <c r="S946" s="122"/>
      <c r="T946" s="122"/>
      <c r="U946" s="301"/>
      <c r="V946" s="260">
        <f t="shared" ca="1" si="22"/>
        <v>0</v>
      </c>
      <c r="W946" s="348" t="str">
        <f>IF(板块成分!B948="","",板块成分!B948)</f>
        <v>002441.SZ</v>
      </c>
      <c r="X946" s="276" t="str">
        <f>[1]!S_Info_Name(W946)</f>
        <v>众业达</v>
      </c>
      <c r="Y946" s="276" t="str">
        <f ca="1">IF($Y$3="申万一级行业",[1]!s_info_industry_sw_2021(W946,公司分析!D$5,1),IF($Y$3="申万二级行业",[1]!s_info_industry_sw_2021(W946,公司分析!D$5,2),IF($Y$3="申万三级行业",[1]!s_info_industry_sw_2021(W946,公司分析!D$5,3),IF($Y$3="wind一级行业",[1]!s_info_industry_gics(W946,1),IF($Y$3="wind二级行业",[1]!s_info_industry_gics(W946,2),IF($Y$3="wind三级行业",[1]!s_info_industry_gics(W946,3),IF($Y$3="wind四级行业",[1]!s_info_industry_gics(W946,4),IF($Y$3="证监会门类行业",[1]!s_info_industry_csrc12_n(W946,公司分析!D$5,1),""))))))))</f>
        <v>电网设备</v>
      </c>
      <c r="Z946" s="302" t="str">
        <f ca="1">IF(Y946=行业比较!$E$6,ROW(),"")</f>
        <v/>
      </c>
      <c r="AA946" s="122"/>
      <c r="AB946" s="122"/>
      <c r="AC946" s="122"/>
      <c r="AD946" s="122"/>
      <c r="AE946" s="122"/>
      <c r="AF946" s="122"/>
      <c r="AG946" s="122"/>
      <c r="AH946" s="122"/>
      <c r="AI946" s="122"/>
      <c r="AJ946" s="122"/>
      <c r="AK946" s="122"/>
      <c r="AL946" s="122"/>
      <c r="AM946" s="122"/>
      <c r="AN946" s="122"/>
      <c r="AO946" s="122"/>
      <c r="AP946" s="122"/>
    </row>
    <row r="947" spans="2:42">
      <c r="B947" s="122"/>
      <c r="C947" s="122"/>
      <c r="D947" s="122"/>
      <c r="E947" s="122"/>
      <c r="F947" s="122"/>
      <c r="G947" s="122"/>
      <c r="H947" s="122"/>
      <c r="I947" s="275"/>
      <c r="J947" s="130"/>
      <c r="K947" s="130"/>
      <c r="L947" s="130"/>
      <c r="M947" s="130"/>
      <c r="N947" s="291"/>
      <c r="O947" s="291"/>
      <c r="P947" s="122"/>
      <c r="Q947" s="122"/>
      <c r="R947" s="122"/>
      <c r="S947" s="122"/>
      <c r="T947" s="122"/>
      <c r="U947" s="301"/>
      <c r="V947" s="260">
        <f t="shared" ca="1" si="22"/>
        <v>0</v>
      </c>
      <c r="W947" s="348" t="str">
        <f>IF(板块成分!B949="","",板块成分!B949)</f>
        <v>002442.SZ</v>
      </c>
      <c r="X947" s="276" t="str">
        <f>[1]!S_Info_Name(W947)</f>
        <v>龙星科技</v>
      </c>
      <c r="Y947" s="276" t="str">
        <f ca="1">IF($Y$3="申万一级行业",[1]!s_info_industry_sw_2021(W947,公司分析!D$5,1),IF($Y$3="申万二级行业",[1]!s_info_industry_sw_2021(W947,公司分析!D$5,2),IF($Y$3="申万三级行业",[1]!s_info_industry_sw_2021(W947,公司分析!D$5,3),IF($Y$3="wind一级行业",[1]!s_info_industry_gics(W947,1),IF($Y$3="wind二级行业",[1]!s_info_industry_gics(W947,2),IF($Y$3="wind三级行业",[1]!s_info_industry_gics(W947,3),IF($Y$3="wind四级行业",[1]!s_info_industry_gics(W947,4),IF($Y$3="证监会门类行业",[1]!s_info_industry_csrc12_n(W947,公司分析!D$5,1),""))))))))</f>
        <v>橡胶</v>
      </c>
      <c r="Z947" s="302" t="str">
        <f ca="1">IF(Y947=行业比较!$E$6,ROW(),"")</f>
        <v/>
      </c>
      <c r="AA947" s="122"/>
      <c r="AB947" s="122"/>
      <c r="AC947" s="122"/>
      <c r="AD947" s="122"/>
      <c r="AE947" s="122"/>
      <c r="AF947" s="122"/>
      <c r="AG947" s="122"/>
      <c r="AH947" s="122"/>
      <c r="AI947" s="122"/>
      <c r="AJ947" s="122"/>
      <c r="AK947" s="122"/>
      <c r="AL947" s="122"/>
      <c r="AM947" s="122"/>
      <c r="AN947" s="122"/>
      <c r="AO947" s="122"/>
      <c r="AP947" s="122"/>
    </row>
    <row r="948" spans="2:42">
      <c r="B948" s="122"/>
      <c r="C948" s="122"/>
      <c r="D948" s="122"/>
      <c r="E948" s="122"/>
      <c r="F948" s="122"/>
      <c r="G948" s="122"/>
      <c r="H948" s="122"/>
      <c r="I948" s="275"/>
      <c r="J948" s="130"/>
      <c r="K948" s="130"/>
      <c r="L948" s="130"/>
      <c r="M948" s="130"/>
      <c r="N948" s="291"/>
      <c r="O948" s="291"/>
      <c r="P948" s="122"/>
      <c r="Q948" s="122"/>
      <c r="R948" s="122"/>
      <c r="S948" s="122"/>
      <c r="T948" s="122"/>
      <c r="U948" s="301"/>
      <c r="V948" s="260">
        <f t="shared" ca="1" si="22"/>
        <v>0</v>
      </c>
      <c r="W948" s="348" t="str">
        <f>IF(板块成分!B950="","",板块成分!B950)</f>
        <v>002443.SZ</v>
      </c>
      <c r="X948" s="276" t="str">
        <f>[1]!S_Info_Name(W948)</f>
        <v>金洲管道</v>
      </c>
      <c r="Y948" s="276" t="str">
        <f ca="1">IF($Y$3="申万一级行业",[1]!s_info_industry_sw_2021(W948,公司分析!D$5,1),IF($Y$3="申万二级行业",[1]!s_info_industry_sw_2021(W948,公司分析!D$5,2),IF($Y$3="申万三级行业",[1]!s_info_industry_sw_2021(W948,公司分析!D$5,3),IF($Y$3="wind一级行业",[1]!s_info_industry_gics(W948,1),IF($Y$3="wind二级行业",[1]!s_info_industry_gics(W948,2),IF($Y$3="wind三级行业",[1]!s_info_industry_gics(W948,3),IF($Y$3="wind四级行业",[1]!s_info_industry_gics(W948,4),IF($Y$3="证监会门类行业",[1]!s_info_industry_csrc12_n(W948,公司分析!D$5,1),""))))))))</f>
        <v>特钢Ⅱ</v>
      </c>
      <c r="Z948" s="302" t="str">
        <f ca="1">IF(Y948=行业比较!$E$6,ROW(),"")</f>
        <v/>
      </c>
      <c r="AA948" s="122"/>
      <c r="AB948" s="122"/>
      <c r="AC948" s="122"/>
      <c r="AD948" s="122"/>
      <c r="AE948" s="122"/>
      <c r="AF948" s="122"/>
      <c r="AG948" s="122"/>
      <c r="AH948" s="122"/>
      <c r="AI948" s="122"/>
      <c r="AJ948" s="122"/>
      <c r="AK948" s="122"/>
      <c r="AL948" s="122"/>
      <c r="AM948" s="122"/>
      <c r="AN948" s="122"/>
      <c r="AO948" s="122"/>
      <c r="AP948" s="122"/>
    </row>
    <row r="949" spans="2:42">
      <c r="B949" s="122"/>
      <c r="C949" s="122"/>
      <c r="D949" s="122"/>
      <c r="E949" s="122"/>
      <c r="F949" s="122"/>
      <c r="G949" s="122"/>
      <c r="H949" s="122"/>
      <c r="I949" s="275"/>
      <c r="J949" s="130"/>
      <c r="K949" s="130"/>
      <c r="L949" s="130"/>
      <c r="M949" s="130"/>
      <c r="N949" s="291"/>
      <c r="O949" s="291"/>
      <c r="P949" s="122"/>
      <c r="Q949" s="122"/>
      <c r="R949" s="122"/>
      <c r="S949" s="122"/>
      <c r="T949" s="122"/>
      <c r="U949" s="301"/>
      <c r="V949" s="260">
        <f t="shared" ca="1" si="22"/>
        <v>0</v>
      </c>
      <c r="W949" s="348" t="str">
        <f>IF(板块成分!B951="","",板块成分!B951)</f>
        <v>002444.SZ</v>
      </c>
      <c r="X949" s="276" t="str">
        <f>[1]!S_Info_Name(W949)</f>
        <v>巨星科技</v>
      </c>
      <c r="Y949" s="276" t="str">
        <f ca="1">IF($Y$3="申万一级行业",[1]!s_info_industry_sw_2021(W949,公司分析!D$5,1),IF($Y$3="申万二级行业",[1]!s_info_industry_sw_2021(W949,公司分析!D$5,2),IF($Y$3="申万三级行业",[1]!s_info_industry_sw_2021(W949,公司分析!D$5,3),IF($Y$3="wind一级行业",[1]!s_info_industry_gics(W949,1),IF($Y$3="wind二级行业",[1]!s_info_industry_gics(W949,2),IF($Y$3="wind三级行业",[1]!s_info_industry_gics(W949,3),IF($Y$3="wind四级行业",[1]!s_info_industry_gics(W949,4),IF($Y$3="证监会门类行业",[1]!s_info_industry_csrc12_n(W949,公司分析!D$5,1),""))))))))</f>
        <v>通用设备</v>
      </c>
      <c r="Z949" s="302" t="str">
        <f ca="1">IF(Y949=行业比较!$E$6,ROW(),"")</f>
        <v/>
      </c>
      <c r="AA949" s="122"/>
      <c r="AB949" s="122"/>
      <c r="AC949" s="122"/>
      <c r="AD949" s="122"/>
      <c r="AE949" s="122"/>
      <c r="AF949" s="122"/>
      <c r="AG949" s="122"/>
      <c r="AH949" s="122"/>
      <c r="AI949" s="122"/>
      <c r="AJ949" s="122"/>
      <c r="AK949" s="122"/>
      <c r="AL949" s="122"/>
      <c r="AM949" s="122"/>
      <c r="AN949" s="122"/>
      <c r="AO949" s="122"/>
      <c r="AP949" s="122"/>
    </row>
    <row r="950" spans="2:42">
      <c r="B950" s="122"/>
      <c r="C950" s="122"/>
      <c r="D950" s="122"/>
      <c r="E950" s="122"/>
      <c r="F950" s="122"/>
      <c r="G950" s="122"/>
      <c r="H950" s="122"/>
      <c r="I950" s="275"/>
      <c r="J950" s="130"/>
      <c r="K950" s="130"/>
      <c r="L950" s="130"/>
      <c r="M950" s="130"/>
      <c r="N950" s="291"/>
      <c r="O950" s="291"/>
      <c r="P950" s="122"/>
      <c r="Q950" s="122"/>
      <c r="R950" s="122"/>
      <c r="S950" s="122"/>
      <c r="T950" s="122"/>
      <c r="U950" s="301"/>
      <c r="V950" s="260">
        <f t="shared" ca="1" si="22"/>
        <v>0</v>
      </c>
      <c r="W950" s="348" t="str">
        <f>IF(板块成分!B952="","",板块成分!B952)</f>
        <v>002445.SZ</v>
      </c>
      <c r="X950" s="276" t="str">
        <f>[1]!S_Info_Name(W950)</f>
        <v>中南文化</v>
      </c>
      <c r="Y950" s="276" t="str">
        <f ca="1">IF($Y$3="申万一级行业",[1]!s_info_industry_sw_2021(W950,公司分析!D$5,1),IF($Y$3="申万二级行业",[1]!s_info_industry_sw_2021(W950,公司分析!D$5,2),IF($Y$3="申万三级行业",[1]!s_info_industry_sw_2021(W950,公司分析!D$5,3),IF($Y$3="wind一级行业",[1]!s_info_industry_gics(W950,1),IF($Y$3="wind二级行业",[1]!s_info_industry_gics(W950,2),IF($Y$3="wind三级行业",[1]!s_info_industry_gics(W950,3),IF($Y$3="wind四级行业",[1]!s_info_industry_gics(W950,4),IF($Y$3="证监会门类行业",[1]!s_info_industry_csrc12_n(W950,公司分析!D$5,1),""))))))))</f>
        <v>通用设备</v>
      </c>
      <c r="Z950" s="302" t="str">
        <f ca="1">IF(Y950=行业比较!$E$6,ROW(),"")</f>
        <v/>
      </c>
      <c r="AA950" s="122"/>
      <c r="AB950" s="122"/>
      <c r="AC950" s="122"/>
      <c r="AD950" s="122"/>
      <c r="AE950" s="122"/>
      <c r="AF950" s="122"/>
      <c r="AG950" s="122"/>
      <c r="AH950" s="122"/>
      <c r="AI950" s="122"/>
      <c r="AJ950" s="122"/>
      <c r="AK950" s="122"/>
      <c r="AL950" s="122"/>
      <c r="AM950" s="122"/>
      <c r="AN950" s="122"/>
      <c r="AO950" s="122"/>
      <c r="AP950" s="122"/>
    </row>
    <row r="951" spans="2:42">
      <c r="B951" s="122"/>
      <c r="C951" s="122"/>
      <c r="D951" s="122"/>
      <c r="E951" s="122"/>
      <c r="F951" s="122"/>
      <c r="G951" s="122"/>
      <c r="H951" s="122"/>
      <c r="I951" s="275"/>
      <c r="J951" s="130"/>
      <c r="K951" s="130"/>
      <c r="L951" s="130"/>
      <c r="M951" s="130"/>
      <c r="N951" s="291"/>
      <c r="O951" s="291"/>
      <c r="P951" s="122"/>
      <c r="Q951" s="122"/>
      <c r="R951" s="122"/>
      <c r="S951" s="122"/>
      <c r="T951" s="122"/>
      <c r="U951" s="301"/>
      <c r="V951" s="260">
        <f t="shared" ca="1" si="22"/>
        <v>0</v>
      </c>
      <c r="W951" s="348" t="str">
        <f>IF(板块成分!B953="","",板块成分!B953)</f>
        <v>002446.SZ</v>
      </c>
      <c r="X951" s="276" t="str">
        <f>[1]!S_Info_Name(W951)</f>
        <v>盛路通信</v>
      </c>
      <c r="Y951" s="276" t="str">
        <f ca="1">IF($Y$3="申万一级行业",[1]!s_info_industry_sw_2021(W951,公司分析!D$5,1),IF($Y$3="申万二级行业",[1]!s_info_industry_sw_2021(W951,公司分析!D$5,2),IF($Y$3="申万三级行业",[1]!s_info_industry_sw_2021(W951,公司分析!D$5,3),IF($Y$3="wind一级行业",[1]!s_info_industry_gics(W951,1),IF($Y$3="wind二级行业",[1]!s_info_industry_gics(W951,2),IF($Y$3="wind三级行业",[1]!s_info_industry_gics(W951,3),IF($Y$3="wind四级行业",[1]!s_info_industry_gics(W951,4),IF($Y$3="证监会门类行业",[1]!s_info_industry_csrc12_n(W951,公司分析!D$5,1),""))))))))</f>
        <v>军工电子Ⅱ</v>
      </c>
      <c r="Z951" s="302" t="str">
        <f ca="1">IF(Y951=行业比较!$E$6,ROW(),"")</f>
        <v/>
      </c>
      <c r="AA951" s="122"/>
      <c r="AB951" s="122"/>
      <c r="AC951" s="122"/>
      <c r="AD951" s="122"/>
      <c r="AE951" s="122"/>
      <c r="AF951" s="122"/>
      <c r="AG951" s="122"/>
      <c r="AH951" s="122"/>
      <c r="AI951" s="122"/>
      <c r="AJ951" s="122"/>
      <c r="AK951" s="122"/>
      <c r="AL951" s="122"/>
      <c r="AM951" s="122"/>
      <c r="AN951" s="122"/>
      <c r="AO951" s="122"/>
      <c r="AP951" s="122"/>
    </row>
    <row r="952" spans="2:42">
      <c r="B952" s="122"/>
      <c r="C952" s="122"/>
      <c r="D952" s="122"/>
      <c r="E952" s="122"/>
      <c r="F952" s="122"/>
      <c r="G952" s="122"/>
      <c r="H952" s="122"/>
      <c r="I952" s="275"/>
      <c r="J952" s="130"/>
      <c r="K952" s="130"/>
      <c r="L952" s="130"/>
      <c r="M952" s="130"/>
      <c r="N952" s="291"/>
      <c r="O952" s="291"/>
      <c r="P952" s="122"/>
      <c r="Q952" s="122"/>
      <c r="R952" s="122"/>
      <c r="S952" s="122"/>
      <c r="T952" s="122"/>
      <c r="U952" s="301"/>
      <c r="V952" s="260">
        <f t="shared" ca="1" si="22"/>
        <v>0</v>
      </c>
      <c r="W952" s="348" t="str">
        <f>IF(板块成分!B954="","",板块成分!B954)</f>
        <v>002448.SZ</v>
      </c>
      <c r="X952" s="276" t="str">
        <f>[1]!S_Info_Name(W952)</f>
        <v>中原内配</v>
      </c>
      <c r="Y952" s="276" t="str">
        <f ca="1">IF($Y$3="申万一级行业",[1]!s_info_industry_sw_2021(W952,公司分析!D$5,1),IF($Y$3="申万二级行业",[1]!s_info_industry_sw_2021(W952,公司分析!D$5,2),IF($Y$3="申万三级行业",[1]!s_info_industry_sw_2021(W952,公司分析!D$5,3),IF($Y$3="wind一级行业",[1]!s_info_industry_gics(W952,1),IF($Y$3="wind二级行业",[1]!s_info_industry_gics(W952,2),IF($Y$3="wind三级行业",[1]!s_info_industry_gics(W952,3),IF($Y$3="wind四级行业",[1]!s_info_industry_gics(W952,4),IF($Y$3="证监会门类行业",[1]!s_info_industry_csrc12_n(W952,公司分析!D$5,1),""))))))))</f>
        <v>汽车零部件</v>
      </c>
      <c r="Z952" s="302" t="str">
        <f ca="1">IF(Y952=行业比较!$E$6,ROW(),"")</f>
        <v/>
      </c>
      <c r="AA952" s="122"/>
      <c r="AB952" s="122"/>
      <c r="AC952" s="122"/>
      <c r="AD952" s="122"/>
      <c r="AE952" s="122"/>
      <c r="AF952" s="122"/>
      <c r="AG952" s="122"/>
      <c r="AH952" s="122"/>
      <c r="AI952" s="122"/>
      <c r="AJ952" s="122"/>
      <c r="AK952" s="122"/>
      <c r="AL952" s="122"/>
      <c r="AM952" s="122"/>
      <c r="AN952" s="122"/>
      <c r="AO952" s="122"/>
      <c r="AP952" s="122"/>
    </row>
    <row r="953" spans="2:42">
      <c r="B953" s="122"/>
      <c r="C953" s="122"/>
      <c r="D953" s="122"/>
      <c r="E953" s="122"/>
      <c r="F953" s="122"/>
      <c r="G953" s="122"/>
      <c r="H953" s="122"/>
      <c r="I953" s="275"/>
      <c r="J953" s="130"/>
      <c r="K953" s="130"/>
      <c r="L953" s="130"/>
      <c r="M953" s="130"/>
      <c r="N953" s="291"/>
      <c r="O953" s="291"/>
      <c r="P953" s="122"/>
      <c r="Q953" s="122"/>
      <c r="R953" s="122"/>
      <c r="S953" s="122"/>
      <c r="T953" s="122"/>
      <c r="U953" s="301"/>
      <c r="V953" s="260">
        <f t="shared" ca="1" si="22"/>
        <v>0</v>
      </c>
      <c r="W953" s="348" t="str">
        <f>IF(板块成分!B955="","",板块成分!B955)</f>
        <v>002449.SZ</v>
      </c>
      <c r="X953" s="276" t="str">
        <f>[1]!S_Info_Name(W953)</f>
        <v>国星光电</v>
      </c>
      <c r="Y953" s="276" t="str">
        <f ca="1">IF($Y$3="申万一级行业",[1]!s_info_industry_sw_2021(W953,公司分析!D$5,1),IF($Y$3="申万二级行业",[1]!s_info_industry_sw_2021(W953,公司分析!D$5,2),IF($Y$3="申万三级行业",[1]!s_info_industry_sw_2021(W953,公司分析!D$5,3),IF($Y$3="wind一级行业",[1]!s_info_industry_gics(W953,1),IF($Y$3="wind二级行业",[1]!s_info_industry_gics(W953,2),IF($Y$3="wind三级行业",[1]!s_info_industry_gics(W953,3),IF($Y$3="wind四级行业",[1]!s_info_industry_gics(W953,4),IF($Y$3="证监会门类行业",[1]!s_info_industry_csrc12_n(W953,公司分析!D$5,1),""))))))))</f>
        <v>光学光电子</v>
      </c>
      <c r="Z953" s="302" t="str">
        <f ca="1">IF(Y953=行业比较!$E$6,ROW(),"")</f>
        <v/>
      </c>
      <c r="AA953" s="122"/>
      <c r="AB953" s="122"/>
      <c r="AC953" s="122"/>
      <c r="AD953" s="122"/>
      <c r="AE953" s="122"/>
      <c r="AF953" s="122"/>
      <c r="AG953" s="122"/>
      <c r="AH953" s="122"/>
      <c r="AI953" s="122"/>
      <c r="AJ953" s="122"/>
      <c r="AK953" s="122"/>
      <c r="AL953" s="122"/>
      <c r="AM953" s="122"/>
      <c r="AN953" s="122"/>
      <c r="AO953" s="122"/>
      <c r="AP953" s="122"/>
    </row>
    <row r="954" spans="2:42">
      <c r="B954" s="122"/>
      <c r="C954" s="122"/>
      <c r="D954" s="122"/>
      <c r="E954" s="122"/>
      <c r="F954" s="122"/>
      <c r="G954" s="122"/>
      <c r="H954" s="122"/>
      <c r="I954" s="275"/>
      <c r="J954" s="130"/>
      <c r="K954" s="130"/>
      <c r="L954" s="130"/>
      <c r="M954" s="130"/>
      <c r="N954" s="291"/>
      <c r="O954" s="291"/>
      <c r="P954" s="122"/>
      <c r="Q954" s="122"/>
      <c r="R954" s="122"/>
      <c r="S954" s="122"/>
      <c r="T954" s="122"/>
      <c r="U954" s="301"/>
      <c r="V954" s="260">
        <f t="shared" ca="1" si="22"/>
        <v>0</v>
      </c>
      <c r="W954" s="348" t="str">
        <f>IF(板块成分!B956="","",板块成分!B956)</f>
        <v>002451.SZ</v>
      </c>
      <c r="X954" s="276" t="str">
        <f>[1]!S_Info_Name(W954)</f>
        <v>摩恩电气</v>
      </c>
      <c r="Y954" s="276" t="str">
        <f ca="1">IF($Y$3="申万一级行业",[1]!s_info_industry_sw_2021(W954,公司分析!D$5,1),IF($Y$3="申万二级行业",[1]!s_info_industry_sw_2021(W954,公司分析!D$5,2),IF($Y$3="申万三级行业",[1]!s_info_industry_sw_2021(W954,公司分析!D$5,3),IF($Y$3="wind一级行业",[1]!s_info_industry_gics(W954,1),IF($Y$3="wind二级行业",[1]!s_info_industry_gics(W954,2),IF($Y$3="wind三级行业",[1]!s_info_industry_gics(W954,3),IF($Y$3="wind四级行业",[1]!s_info_industry_gics(W954,4),IF($Y$3="证监会门类行业",[1]!s_info_industry_csrc12_n(W954,公司分析!D$5,1),""))))))))</f>
        <v>电网设备</v>
      </c>
      <c r="Z954" s="302" t="str">
        <f ca="1">IF(Y954=行业比较!$E$6,ROW(),"")</f>
        <v/>
      </c>
      <c r="AA954" s="122"/>
      <c r="AB954" s="122"/>
      <c r="AC954" s="122"/>
      <c r="AD954" s="122"/>
      <c r="AE954" s="122"/>
      <c r="AF954" s="122"/>
      <c r="AG954" s="122"/>
      <c r="AH954" s="122"/>
      <c r="AI954" s="122"/>
      <c r="AJ954" s="122"/>
      <c r="AK954" s="122"/>
      <c r="AL954" s="122"/>
      <c r="AM954" s="122"/>
      <c r="AN954" s="122"/>
      <c r="AO954" s="122"/>
      <c r="AP954" s="122"/>
    </row>
    <row r="955" spans="2:42">
      <c r="B955" s="122"/>
      <c r="C955" s="122"/>
      <c r="D955" s="122"/>
      <c r="E955" s="122"/>
      <c r="F955" s="122"/>
      <c r="G955" s="122"/>
      <c r="H955" s="122"/>
      <c r="I955" s="275"/>
      <c r="J955" s="130"/>
      <c r="K955" s="130"/>
      <c r="L955" s="130"/>
      <c r="M955" s="130"/>
      <c r="N955" s="291"/>
      <c r="O955" s="291"/>
      <c r="P955" s="122"/>
      <c r="Q955" s="122"/>
      <c r="R955" s="122"/>
      <c r="S955" s="122"/>
      <c r="T955" s="122"/>
      <c r="U955" s="301"/>
      <c r="V955" s="260">
        <f t="shared" ca="1" si="22"/>
        <v>0</v>
      </c>
      <c r="W955" s="348" t="str">
        <f>IF(板块成分!B957="","",板块成分!B957)</f>
        <v>002452.SZ</v>
      </c>
      <c r="X955" s="276" t="str">
        <f>[1]!S_Info_Name(W955)</f>
        <v>长高电新</v>
      </c>
      <c r="Y955" s="276" t="str">
        <f ca="1">IF($Y$3="申万一级行业",[1]!s_info_industry_sw_2021(W955,公司分析!D$5,1),IF($Y$3="申万二级行业",[1]!s_info_industry_sw_2021(W955,公司分析!D$5,2),IF($Y$3="申万三级行业",[1]!s_info_industry_sw_2021(W955,公司分析!D$5,3),IF($Y$3="wind一级行业",[1]!s_info_industry_gics(W955,1),IF($Y$3="wind二级行业",[1]!s_info_industry_gics(W955,2),IF($Y$3="wind三级行业",[1]!s_info_industry_gics(W955,3),IF($Y$3="wind四级行业",[1]!s_info_industry_gics(W955,4),IF($Y$3="证监会门类行业",[1]!s_info_industry_csrc12_n(W955,公司分析!D$5,1),""))))))))</f>
        <v>电网设备</v>
      </c>
      <c r="Z955" s="302" t="str">
        <f ca="1">IF(Y955=行业比较!$E$6,ROW(),"")</f>
        <v/>
      </c>
      <c r="AA955" s="122"/>
      <c r="AB955" s="122"/>
      <c r="AC955" s="122"/>
      <c r="AD955" s="122"/>
      <c r="AE955" s="122"/>
      <c r="AF955" s="122"/>
      <c r="AG955" s="122"/>
      <c r="AH955" s="122"/>
      <c r="AI955" s="122"/>
      <c r="AJ955" s="122"/>
      <c r="AK955" s="122"/>
      <c r="AL955" s="122"/>
      <c r="AM955" s="122"/>
      <c r="AN955" s="122"/>
      <c r="AO955" s="122"/>
      <c r="AP955" s="122"/>
    </row>
    <row r="956" spans="2:42">
      <c r="B956" s="122"/>
      <c r="C956" s="122"/>
      <c r="D956" s="122"/>
      <c r="E956" s="122"/>
      <c r="F956" s="122"/>
      <c r="G956" s="122"/>
      <c r="H956" s="122"/>
      <c r="I956" s="275"/>
      <c r="J956" s="130"/>
      <c r="K956" s="130"/>
      <c r="L956" s="130"/>
      <c r="M956" s="130"/>
      <c r="N956" s="291"/>
      <c r="O956" s="291"/>
      <c r="P956" s="122"/>
      <c r="Q956" s="122"/>
      <c r="R956" s="122"/>
      <c r="S956" s="122"/>
      <c r="T956" s="122"/>
      <c r="U956" s="301"/>
      <c r="V956" s="260">
        <f t="shared" ca="1" si="22"/>
        <v>0</v>
      </c>
      <c r="W956" s="348" t="str">
        <f>IF(板块成分!B958="","",板块成分!B958)</f>
        <v>002453.SZ</v>
      </c>
      <c r="X956" s="276" t="str">
        <f>[1]!S_Info_Name(W956)</f>
        <v>华软科技</v>
      </c>
      <c r="Y956" s="276" t="str">
        <f ca="1">IF($Y$3="申万一级行业",[1]!s_info_industry_sw_2021(W956,公司分析!D$5,1),IF($Y$3="申万二级行业",[1]!s_info_industry_sw_2021(W956,公司分析!D$5,2),IF($Y$3="申万三级行业",[1]!s_info_industry_sw_2021(W956,公司分析!D$5,3),IF($Y$3="wind一级行业",[1]!s_info_industry_gics(W956,1),IF($Y$3="wind二级行业",[1]!s_info_industry_gics(W956,2),IF($Y$3="wind三级行业",[1]!s_info_industry_gics(W956,3),IF($Y$3="wind四级行业",[1]!s_info_industry_gics(W956,4),IF($Y$3="证监会门类行业",[1]!s_info_industry_csrc12_n(W956,公司分析!D$5,1),""))))))))</f>
        <v>化学制品</v>
      </c>
      <c r="Z956" s="302" t="str">
        <f ca="1">IF(Y956=行业比较!$E$6,ROW(),"")</f>
        <v/>
      </c>
      <c r="AA956" s="122"/>
      <c r="AB956" s="122"/>
      <c r="AC956" s="122"/>
      <c r="AD956" s="122"/>
      <c r="AE956" s="122"/>
      <c r="AF956" s="122"/>
      <c r="AG956" s="122"/>
      <c r="AH956" s="122"/>
      <c r="AI956" s="122"/>
      <c r="AJ956" s="122"/>
      <c r="AK956" s="122"/>
      <c r="AL956" s="122"/>
      <c r="AM956" s="122"/>
      <c r="AN956" s="122"/>
      <c r="AO956" s="122"/>
      <c r="AP956" s="122"/>
    </row>
    <row r="957" spans="2:42">
      <c r="B957" s="122"/>
      <c r="C957" s="122"/>
      <c r="D957" s="122"/>
      <c r="E957" s="122"/>
      <c r="F957" s="122"/>
      <c r="G957" s="122"/>
      <c r="H957" s="122"/>
      <c r="I957" s="275"/>
      <c r="J957" s="130"/>
      <c r="K957" s="130"/>
      <c r="L957" s="130"/>
      <c r="M957" s="130"/>
      <c r="N957" s="291"/>
      <c r="O957" s="291"/>
      <c r="P957" s="122"/>
      <c r="Q957" s="122"/>
      <c r="R957" s="122"/>
      <c r="S957" s="122"/>
      <c r="T957" s="122"/>
      <c r="U957" s="301"/>
      <c r="V957" s="260">
        <f t="shared" ca="1" si="22"/>
        <v>0</v>
      </c>
      <c r="W957" s="348" t="str">
        <f>IF(板块成分!B959="","",板块成分!B959)</f>
        <v>002454.SZ</v>
      </c>
      <c r="X957" s="276" t="str">
        <f>[1]!S_Info_Name(W957)</f>
        <v>松芝股份</v>
      </c>
      <c r="Y957" s="276" t="str">
        <f ca="1">IF($Y$3="申万一级行业",[1]!s_info_industry_sw_2021(W957,公司分析!D$5,1),IF($Y$3="申万二级行业",[1]!s_info_industry_sw_2021(W957,公司分析!D$5,2),IF($Y$3="申万三级行业",[1]!s_info_industry_sw_2021(W957,公司分析!D$5,3),IF($Y$3="wind一级行业",[1]!s_info_industry_gics(W957,1),IF($Y$3="wind二级行业",[1]!s_info_industry_gics(W957,2),IF($Y$3="wind三级行业",[1]!s_info_industry_gics(W957,3),IF($Y$3="wind四级行业",[1]!s_info_industry_gics(W957,4),IF($Y$3="证监会门类行业",[1]!s_info_industry_csrc12_n(W957,公司分析!D$5,1),""))))))))</f>
        <v>汽车零部件</v>
      </c>
      <c r="Z957" s="302" t="str">
        <f ca="1">IF(Y957=行业比较!$E$6,ROW(),"")</f>
        <v/>
      </c>
      <c r="AA957" s="122"/>
      <c r="AB957" s="122"/>
      <c r="AC957" s="122"/>
      <c r="AD957" s="122"/>
      <c r="AE957" s="122"/>
      <c r="AF957" s="122"/>
      <c r="AG957" s="122"/>
      <c r="AH957" s="122"/>
      <c r="AI957" s="122"/>
      <c r="AJ957" s="122"/>
      <c r="AK957" s="122"/>
      <c r="AL957" s="122"/>
      <c r="AM957" s="122"/>
      <c r="AN957" s="122"/>
      <c r="AO957" s="122"/>
      <c r="AP957" s="122"/>
    </row>
    <row r="958" spans="2:42">
      <c r="B958" s="122"/>
      <c r="C958" s="122"/>
      <c r="D958" s="122"/>
      <c r="E958" s="122"/>
      <c r="F958" s="122"/>
      <c r="G958" s="122"/>
      <c r="H958" s="122"/>
      <c r="I958" s="275"/>
      <c r="J958" s="130"/>
      <c r="K958" s="130"/>
      <c r="L958" s="130"/>
      <c r="M958" s="130"/>
      <c r="N958" s="291"/>
      <c r="O958" s="291"/>
      <c r="P958" s="122"/>
      <c r="Q958" s="122"/>
      <c r="R958" s="122"/>
      <c r="S958" s="122"/>
      <c r="T958" s="122"/>
      <c r="U958" s="301"/>
      <c r="V958" s="260">
        <f t="shared" ca="1" si="22"/>
        <v>0</v>
      </c>
      <c r="W958" s="348" t="str">
        <f>IF(板块成分!B960="","",板块成分!B960)</f>
        <v>002455.SZ</v>
      </c>
      <c r="X958" s="276" t="str">
        <f>[1]!S_Info_Name(W958)</f>
        <v>百川股份</v>
      </c>
      <c r="Y958" s="276" t="str">
        <f ca="1">IF($Y$3="申万一级行业",[1]!s_info_industry_sw_2021(W958,公司分析!D$5,1),IF($Y$3="申万二级行业",[1]!s_info_industry_sw_2021(W958,公司分析!D$5,2),IF($Y$3="申万三级行业",[1]!s_info_industry_sw_2021(W958,公司分析!D$5,3),IF($Y$3="wind一级行业",[1]!s_info_industry_gics(W958,1),IF($Y$3="wind二级行业",[1]!s_info_industry_gics(W958,2),IF($Y$3="wind三级行业",[1]!s_info_industry_gics(W958,3),IF($Y$3="wind四级行业",[1]!s_info_industry_gics(W958,4),IF($Y$3="证监会门类行业",[1]!s_info_industry_csrc12_n(W958,公司分析!D$5,1),""))))))))</f>
        <v>化学制品</v>
      </c>
      <c r="Z958" s="302" t="str">
        <f ca="1">IF(Y958=行业比较!$E$6,ROW(),"")</f>
        <v/>
      </c>
      <c r="AA958" s="122"/>
      <c r="AB958" s="122"/>
      <c r="AC958" s="122"/>
      <c r="AD958" s="122"/>
      <c r="AE958" s="122"/>
      <c r="AF958" s="122"/>
      <c r="AG958" s="122"/>
      <c r="AH958" s="122"/>
      <c r="AI958" s="122"/>
      <c r="AJ958" s="122"/>
      <c r="AK958" s="122"/>
      <c r="AL958" s="122"/>
      <c r="AM958" s="122"/>
      <c r="AN958" s="122"/>
      <c r="AO958" s="122"/>
      <c r="AP958" s="122"/>
    </row>
    <row r="959" spans="2:42">
      <c r="B959" s="122"/>
      <c r="C959" s="122"/>
      <c r="D959" s="122"/>
      <c r="E959" s="122"/>
      <c r="F959" s="122"/>
      <c r="G959" s="122"/>
      <c r="H959" s="122"/>
      <c r="I959" s="275"/>
      <c r="J959" s="130"/>
      <c r="K959" s="130"/>
      <c r="L959" s="130"/>
      <c r="M959" s="130"/>
      <c r="N959" s="291"/>
      <c r="O959" s="291"/>
      <c r="P959" s="122"/>
      <c r="Q959" s="122"/>
      <c r="R959" s="122"/>
      <c r="S959" s="122"/>
      <c r="T959" s="122"/>
      <c r="U959" s="301"/>
      <c r="V959" s="260">
        <f t="shared" ca="1" si="22"/>
        <v>0</v>
      </c>
      <c r="W959" s="348" t="str">
        <f>IF(板块成分!B961="","",板块成分!B961)</f>
        <v>002456.SZ</v>
      </c>
      <c r="X959" s="276" t="str">
        <f>[1]!S_Info_Name(W959)</f>
        <v>欧菲光</v>
      </c>
      <c r="Y959" s="276" t="str">
        <f ca="1">IF($Y$3="申万一级行业",[1]!s_info_industry_sw_2021(W959,公司分析!D$5,1),IF($Y$3="申万二级行业",[1]!s_info_industry_sw_2021(W959,公司分析!D$5,2),IF($Y$3="申万三级行业",[1]!s_info_industry_sw_2021(W959,公司分析!D$5,3),IF($Y$3="wind一级行业",[1]!s_info_industry_gics(W959,1),IF($Y$3="wind二级行业",[1]!s_info_industry_gics(W959,2),IF($Y$3="wind三级行业",[1]!s_info_industry_gics(W959,3),IF($Y$3="wind四级行业",[1]!s_info_industry_gics(W959,4),IF($Y$3="证监会门类行业",[1]!s_info_industry_csrc12_n(W959,公司分析!D$5,1),""))))))))</f>
        <v>光学光电子</v>
      </c>
      <c r="Z959" s="302" t="str">
        <f ca="1">IF(Y959=行业比较!$E$6,ROW(),"")</f>
        <v/>
      </c>
      <c r="AA959" s="122"/>
      <c r="AB959" s="122"/>
      <c r="AC959" s="122"/>
      <c r="AD959" s="122"/>
      <c r="AE959" s="122"/>
      <c r="AF959" s="122"/>
      <c r="AG959" s="122"/>
      <c r="AH959" s="122"/>
      <c r="AI959" s="122"/>
      <c r="AJ959" s="122"/>
      <c r="AK959" s="122"/>
      <c r="AL959" s="122"/>
      <c r="AM959" s="122"/>
      <c r="AN959" s="122"/>
      <c r="AO959" s="122"/>
      <c r="AP959" s="122"/>
    </row>
    <row r="960" spans="2:42">
      <c r="B960" s="122"/>
      <c r="C960" s="122"/>
      <c r="D960" s="122"/>
      <c r="E960" s="122"/>
      <c r="F960" s="122"/>
      <c r="G960" s="122"/>
      <c r="H960" s="122"/>
      <c r="I960" s="275"/>
      <c r="J960" s="130"/>
      <c r="K960" s="130"/>
      <c r="L960" s="130"/>
      <c r="M960" s="130"/>
      <c r="N960" s="291"/>
      <c r="O960" s="291"/>
      <c r="P960" s="122"/>
      <c r="Q960" s="122"/>
      <c r="R960" s="122"/>
      <c r="S960" s="122"/>
      <c r="T960" s="122"/>
      <c r="U960" s="301"/>
      <c r="V960" s="260">
        <f t="shared" ca="1" si="22"/>
        <v>0</v>
      </c>
      <c r="W960" s="348" t="str">
        <f>IF(板块成分!B962="","",板块成分!B962)</f>
        <v>002457.SZ</v>
      </c>
      <c r="X960" s="276" t="str">
        <f>[1]!S_Info_Name(W960)</f>
        <v>青龙管业</v>
      </c>
      <c r="Y960" s="276" t="str">
        <f ca="1">IF($Y$3="申万一级行业",[1]!s_info_industry_sw_2021(W960,公司分析!D$5,1),IF($Y$3="申万二级行业",[1]!s_info_industry_sw_2021(W960,公司分析!D$5,2),IF($Y$3="申万三级行业",[1]!s_info_industry_sw_2021(W960,公司分析!D$5,3),IF($Y$3="wind一级行业",[1]!s_info_industry_gics(W960,1),IF($Y$3="wind二级行业",[1]!s_info_industry_gics(W960,2),IF($Y$3="wind三级行业",[1]!s_info_industry_gics(W960,3),IF($Y$3="wind四级行业",[1]!s_info_industry_gics(W960,4),IF($Y$3="证监会门类行业",[1]!s_info_industry_csrc12_n(W960,公司分析!D$5,1),""))))))))</f>
        <v>装修建材</v>
      </c>
      <c r="Z960" s="302" t="str">
        <f ca="1">IF(Y960=行业比较!$E$6,ROW(),"")</f>
        <v/>
      </c>
      <c r="AA960" s="122"/>
      <c r="AB960" s="122"/>
      <c r="AC960" s="122"/>
      <c r="AD960" s="122"/>
      <c r="AE960" s="122"/>
      <c r="AF960" s="122"/>
      <c r="AG960" s="122"/>
      <c r="AH960" s="122"/>
      <c r="AI960" s="122"/>
      <c r="AJ960" s="122"/>
      <c r="AK960" s="122"/>
      <c r="AL960" s="122"/>
      <c r="AM960" s="122"/>
      <c r="AN960" s="122"/>
      <c r="AO960" s="122"/>
      <c r="AP960" s="122"/>
    </row>
    <row r="961" spans="2:42">
      <c r="B961" s="122"/>
      <c r="C961" s="122"/>
      <c r="D961" s="122"/>
      <c r="E961" s="122"/>
      <c r="F961" s="122"/>
      <c r="G961" s="122"/>
      <c r="H961" s="122"/>
      <c r="I961" s="275"/>
      <c r="J961" s="130"/>
      <c r="K961" s="130"/>
      <c r="L961" s="130"/>
      <c r="M961" s="130"/>
      <c r="N961" s="291"/>
      <c r="O961" s="291"/>
      <c r="P961" s="122"/>
      <c r="Q961" s="122"/>
      <c r="R961" s="122"/>
      <c r="S961" s="122"/>
      <c r="T961" s="122"/>
      <c r="U961" s="301"/>
      <c r="V961" s="260">
        <f t="shared" ca="1" si="22"/>
        <v>0</v>
      </c>
      <c r="W961" s="348" t="str">
        <f>IF(板块成分!B963="","",板块成分!B963)</f>
        <v>002458.SZ</v>
      </c>
      <c r="X961" s="276" t="str">
        <f>[1]!S_Info_Name(W961)</f>
        <v>益生股份</v>
      </c>
      <c r="Y961" s="276" t="str">
        <f ca="1">IF($Y$3="申万一级行业",[1]!s_info_industry_sw_2021(W961,公司分析!D$5,1),IF($Y$3="申万二级行业",[1]!s_info_industry_sw_2021(W961,公司分析!D$5,2),IF($Y$3="申万三级行业",[1]!s_info_industry_sw_2021(W961,公司分析!D$5,3),IF($Y$3="wind一级行业",[1]!s_info_industry_gics(W961,1),IF($Y$3="wind二级行业",[1]!s_info_industry_gics(W961,2),IF($Y$3="wind三级行业",[1]!s_info_industry_gics(W961,3),IF($Y$3="wind四级行业",[1]!s_info_industry_gics(W961,4),IF($Y$3="证监会门类行业",[1]!s_info_industry_csrc12_n(W961,公司分析!D$5,1),""))))))))</f>
        <v>养殖业</v>
      </c>
      <c r="Z961" s="302" t="str">
        <f ca="1">IF(Y961=行业比较!$E$6,ROW(),"")</f>
        <v/>
      </c>
      <c r="AA961" s="122"/>
      <c r="AB961" s="122"/>
      <c r="AC961" s="122"/>
      <c r="AD961" s="122"/>
      <c r="AE961" s="122"/>
      <c r="AF961" s="122"/>
      <c r="AG961" s="122"/>
      <c r="AH961" s="122"/>
      <c r="AI961" s="122"/>
      <c r="AJ961" s="122"/>
      <c r="AK961" s="122"/>
      <c r="AL961" s="122"/>
      <c r="AM961" s="122"/>
      <c r="AN961" s="122"/>
      <c r="AO961" s="122"/>
      <c r="AP961" s="122"/>
    </row>
    <row r="962" spans="2:42">
      <c r="B962" s="122"/>
      <c r="C962" s="122"/>
      <c r="D962" s="122"/>
      <c r="E962" s="122"/>
      <c r="F962" s="122"/>
      <c r="G962" s="122"/>
      <c r="H962" s="122"/>
      <c r="I962" s="275"/>
      <c r="J962" s="130"/>
      <c r="K962" s="130"/>
      <c r="L962" s="130"/>
      <c r="M962" s="130"/>
      <c r="N962" s="291"/>
      <c r="O962" s="291"/>
      <c r="P962" s="122"/>
      <c r="Q962" s="122"/>
      <c r="R962" s="122"/>
      <c r="S962" s="122"/>
      <c r="T962" s="122"/>
      <c r="U962" s="301"/>
      <c r="V962" s="260">
        <f t="shared" ca="1" si="22"/>
        <v>0</v>
      </c>
      <c r="W962" s="348" t="str">
        <f>IF(板块成分!B964="","",板块成分!B964)</f>
        <v>002459.SZ</v>
      </c>
      <c r="X962" s="276" t="str">
        <f>[1]!S_Info_Name(W962)</f>
        <v>晶澳科技</v>
      </c>
      <c r="Y962" s="276" t="str">
        <f ca="1">IF($Y$3="申万一级行业",[1]!s_info_industry_sw_2021(W962,公司分析!D$5,1),IF($Y$3="申万二级行业",[1]!s_info_industry_sw_2021(W962,公司分析!D$5,2),IF($Y$3="申万三级行业",[1]!s_info_industry_sw_2021(W962,公司分析!D$5,3),IF($Y$3="wind一级行业",[1]!s_info_industry_gics(W962,1),IF($Y$3="wind二级行业",[1]!s_info_industry_gics(W962,2),IF($Y$3="wind三级行业",[1]!s_info_industry_gics(W962,3),IF($Y$3="wind四级行业",[1]!s_info_industry_gics(W962,4),IF($Y$3="证监会门类行业",[1]!s_info_industry_csrc12_n(W962,公司分析!D$5,1),""))))))))</f>
        <v>光伏设备</v>
      </c>
      <c r="Z962" s="302" t="str">
        <f ca="1">IF(Y962=行业比较!$E$6,ROW(),"")</f>
        <v/>
      </c>
      <c r="AA962" s="122"/>
      <c r="AB962" s="122"/>
      <c r="AC962" s="122"/>
      <c r="AD962" s="122"/>
      <c r="AE962" s="122"/>
      <c r="AF962" s="122"/>
      <c r="AG962" s="122"/>
      <c r="AH962" s="122"/>
      <c r="AI962" s="122"/>
      <c r="AJ962" s="122"/>
      <c r="AK962" s="122"/>
      <c r="AL962" s="122"/>
      <c r="AM962" s="122"/>
      <c r="AN962" s="122"/>
      <c r="AO962" s="122"/>
      <c r="AP962" s="122"/>
    </row>
    <row r="963" spans="2:42">
      <c r="B963" s="122"/>
      <c r="C963" s="122"/>
      <c r="D963" s="122"/>
      <c r="E963" s="122"/>
      <c r="F963" s="122"/>
      <c r="G963" s="122"/>
      <c r="H963" s="122"/>
      <c r="I963" s="275"/>
      <c r="J963" s="130"/>
      <c r="K963" s="130"/>
      <c r="L963" s="130"/>
      <c r="M963" s="130"/>
      <c r="N963" s="291"/>
      <c r="O963" s="291"/>
      <c r="P963" s="122"/>
      <c r="Q963" s="122"/>
      <c r="R963" s="122"/>
      <c r="S963" s="122"/>
      <c r="T963" s="122"/>
      <c r="U963" s="301"/>
      <c r="V963" s="260">
        <f t="shared" ca="1" si="22"/>
        <v>0</v>
      </c>
      <c r="W963" s="348" t="str">
        <f>IF(板块成分!B965="","",板块成分!B965)</f>
        <v>002460.SZ</v>
      </c>
      <c r="X963" s="276" t="str">
        <f>[1]!S_Info_Name(W963)</f>
        <v>赣锋锂业</v>
      </c>
      <c r="Y963" s="276" t="str">
        <f ca="1">IF($Y$3="申万一级行业",[1]!s_info_industry_sw_2021(W963,公司分析!D$5,1),IF($Y$3="申万二级行业",[1]!s_info_industry_sw_2021(W963,公司分析!D$5,2),IF($Y$3="申万三级行业",[1]!s_info_industry_sw_2021(W963,公司分析!D$5,3),IF($Y$3="wind一级行业",[1]!s_info_industry_gics(W963,1),IF($Y$3="wind二级行业",[1]!s_info_industry_gics(W963,2),IF($Y$3="wind三级行业",[1]!s_info_industry_gics(W963,3),IF($Y$3="wind四级行业",[1]!s_info_industry_gics(W963,4),IF($Y$3="证监会门类行业",[1]!s_info_industry_csrc12_n(W963,公司分析!D$5,1),""))))))))</f>
        <v>能源金属</v>
      </c>
      <c r="Z963" s="302" t="str">
        <f ca="1">IF(Y963=行业比较!$E$6,ROW(),"")</f>
        <v/>
      </c>
      <c r="AA963" s="122"/>
      <c r="AB963" s="122"/>
      <c r="AC963" s="122"/>
      <c r="AD963" s="122"/>
      <c r="AE963" s="122"/>
      <c r="AF963" s="122"/>
      <c r="AG963" s="122"/>
      <c r="AH963" s="122"/>
      <c r="AI963" s="122"/>
      <c r="AJ963" s="122"/>
      <c r="AK963" s="122"/>
      <c r="AL963" s="122"/>
      <c r="AM963" s="122"/>
      <c r="AN963" s="122"/>
      <c r="AO963" s="122"/>
      <c r="AP963" s="122"/>
    </row>
    <row r="964" spans="2:42">
      <c r="B964" s="122"/>
      <c r="C964" s="122"/>
      <c r="D964" s="122"/>
      <c r="E964" s="122"/>
      <c r="F964" s="122"/>
      <c r="G964" s="122"/>
      <c r="H964" s="122"/>
      <c r="I964" s="275"/>
      <c r="J964" s="130"/>
      <c r="K964" s="130"/>
      <c r="L964" s="130"/>
      <c r="M964" s="130"/>
      <c r="N964" s="291"/>
      <c r="O964" s="291"/>
      <c r="P964" s="122"/>
      <c r="Q964" s="122"/>
      <c r="R964" s="122"/>
      <c r="S964" s="122"/>
      <c r="T964" s="122"/>
      <c r="U964" s="301"/>
      <c r="V964" s="260">
        <f t="shared" ca="1" si="22"/>
        <v>0</v>
      </c>
      <c r="W964" s="348" t="str">
        <f>IF(板块成分!B966="","",板块成分!B966)</f>
        <v>002461.SZ</v>
      </c>
      <c r="X964" s="276" t="str">
        <f>[1]!S_Info_Name(W964)</f>
        <v>珠江啤酒</v>
      </c>
      <c r="Y964" s="276" t="str">
        <f ca="1">IF($Y$3="申万一级行业",[1]!s_info_industry_sw_2021(W964,公司分析!D$5,1),IF($Y$3="申万二级行业",[1]!s_info_industry_sw_2021(W964,公司分析!D$5,2),IF($Y$3="申万三级行业",[1]!s_info_industry_sw_2021(W964,公司分析!D$5,3),IF($Y$3="wind一级行业",[1]!s_info_industry_gics(W964,1),IF($Y$3="wind二级行业",[1]!s_info_industry_gics(W964,2),IF($Y$3="wind三级行业",[1]!s_info_industry_gics(W964,3),IF($Y$3="wind四级行业",[1]!s_info_industry_gics(W964,4),IF($Y$3="证监会门类行业",[1]!s_info_industry_csrc12_n(W964,公司分析!D$5,1),""))))))))</f>
        <v>非白酒</v>
      </c>
      <c r="Z964" s="302" t="str">
        <f ca="1">IF(Y964=行业比较!$E$6,ROW(),"")</f>
        <v/>
      </c>
      <c r="AA964" s="122"/>
      <c r="AB964" s="122"/>
      <c r="AC964" s="122"/>
      <c r="AD964" s="122"/>
      <c r="AE964" s="122"/>
      <c r="AF964" s="122"/>
      <c r="AG964" s="122"/>
      <c r="AH964" s="122"/>
      <c r="AI964" s="122"/>
      <c r="AJ964" s="122"/>
      <c r="AK964" s="122"/>
      <c r="AL964" s="122"/>
      <c r="AM964" s="122"/>
      <c r="AN964" s="122"/>
      <c r="AO964" s="122"/>
      <c r="AP964" s="122"/>
    </row>
    <row r="965" spans="2:42">
      <c r="B965" s="122"/>
      <c r="C965" s="122"/>
      <c r="D965" s="122"/>
      <c r="E965" s="122"/>
      <c r="F965" s="122"/>
      <c r="G965" s="122"/>
      <c r="H965" s="122"/>
      <c r="I965" s="275"/>
      <c r="J965" s="130"/>
      <c r="K965" s="130"/>
      <c r="L965" s="130"/>
      <c r="M965" s="130"/>
      <c r="N965" s="291"/>
      <c r="O965" s="291"/>
      <c r="P965" s="122"/>
      <c r="Q965" s="122"/>
      <c r="R965" s="122"/>
      <c r="S965" s="122"/>
      <c r="T965" s="122"/>
      <c r="U965" s="301"/>
      <c r="V965" s="260">
        <f t="shared" ref="V965:V1028" ca="1" si="23">IF(Z965="",0,RANK(Z965,Z:Z,1))</f>
        <v>0</v>
      </c>
      <c r="W965" s="348" t="str">
        <f>IF(板块成分!B967="","",板块成分!B967)</f>
        <v>002462.SZ</v>
      </c>
      <c r="X965" s="276" t="str">
        <f>[1]!S_Info_Name(W965)</f>
        <v>嘉事堂</v>
      </c>
      <c r="Y965" s="276" t="str">
        <f ca="1">IF($Y$3="申万一级行业",[1]!s_info_industry_sw_2021(W965,公司分析!D$5,1),IF($Y$3="申万二级行业",[1]!s_info_industry_sw_2021(W965,公司分析!D$5,2),IF($Y$3="申万三级行业",[1]!s_info_industry_sw_2021(W965,公司分析!D$5,3),IF($Y$3="wind一级行业",[1]!s_info_industry_gics(W965,1),IF($Y$3="wind二级行业",[1]!s_info_industry_gics(W965,2),IF($Y$3="wind三级行业",[1]!s_info_industry_gics(W965,3),IF($Y$3="wind四级行业",[1]!s_info_industry_gics(W965,4),IF($Y$3="证监会门类行业",[1]!s_info_industry_csrc12_n(W965,公司分析!D$5,1),""))))))))</f>
        <v>医药商业</v>
      </c>
      <c r="Z965" s="302" t="str">
        <f ca="1">IF(Y965=行业比较!$E$6,ROW(),"")</f>
        <v/>
      </c>
      <c r="AA965" s="122"/>
      <c r="AB965" s="122"/>
      <c r="AC965" s="122"/>
      <c r="AD965" s="122"/>
      <c r="AE965" s="122"/>
      <c r="AF965" s="122"/>
      <c r="AG965" s="122"/>
      <c r="AH965" s="122"/>
      <c r="AI965" s="122"/>
      <c r="AJ965" s="122"/>
      <c r="AK965" s="122"/>
      <c r="AL965" s="122"/>
      <c r="AM965" s="122"/>
      <c r="AN965" s="122"/>
      <c r="AO965" s="122"/>
      <c r="AP965" s="122"/>
    </row>
    <row r="966" spans="2:42">
      <c r="B966" s="122"/>
      <c r="C966" s="122"/>
      <c r="D966" s="122"/>
      <c r="E966" s="122"/>
      <c r="F966" s="122"/>
      <c r="G966" s="122"/>
      <c r="H966" s="122"/>
      <c r="I966" s="275"/>
      <c r="J966" s="130"/>
      <c r="K966" s="130"/>
      <c r="L966" s="130"/>
      <c r="M966" s="130"/>
      <c r="N966" s="291"/>
      <c r="O966" s="291"/>
      <c r="P966" s="122"/>
      <c r="Q966" s="122"/>
      <c r="R966" s="122"/>
      <c r="S966" s="122"/>
      <c r="T966" s="122"/>
      <c r="U966" s="301"/>
      <c r="V966" s="260">
        <f t="shared" ca="1" si="23"/>
        <v>0</v>
      </c>
      <c r="W966" s="348" t="str">
        <f>IF(板块成分!B968="","",板块成分!B968)</f>
        <v>002463.SZ</v>
      </c>
      <c r="X966" s="276" t="str">
        <f>[1]!S_Info_Name(W966)</f>
        <v>沪电股份</v>
      </c>
      <c r="Y966" s="276" t="str">
        <f ca="1">IF($Y$3="申万一级行业",[1]!s_info_industry_sw_2021(W966,公司分析!D$5,1),IF($Y$3="申万二级行业",[1]!s_info_industry_sw_2021(W966,公司分析!D$5,2),IF($Y$3="申万三级行业",[1]!s_info_industry_sw_2021(W966,公司分析!D$5,3),IF($Y$3="wind一级行业",[1]!s_info_industry_gics(W966,1),IF($Y$3="wind二级行业",[1]!s_info_industry_gics(W966,2),IF($Y$3="wind三级行业",[1]!s_info_industry_gics(W966,3),IF($Y$3="wind四级行业",[1]!s_info_industry_gics(W966,4),IF($Y$3="证监会门类行业",[1]!s_info_industry_csrc12_n(W966,公司分析!D$5,1),""))))))))</f>
        <v>元件</v>
      </c>
      <c r="Z966" s="302" t="str">
        <f ca="1">IF(Y966=行业比较!$E$6,ROW(),"")</f>
        <v/>
      </c>
      <c r="AA966" s="122"/>
      <c r="AB966" s="122"/>
      <c r="AC966" s="122"/>
      <c r="AD966" s="122"/>
      <c r="AE966" s="122"/>
      <c r="AF966" s="122"/>
      <c r="AG966" s="122"/>
      <c r="AH966" s="122"/>
      <c r="AI966" s="122"/>
      <c r="AJ966" s="122"/>
      <c r="AK966" s="122"/>
      <c r="AL966" s="122"/>
      <c r="AM966" s="122"/>
      <c r="AN966" s="122"/>
      <c r="AO966" s="122"/>
      <c r="AP966" s="122"/>
    </row>
    <row r="967" spans="2:42">
      <c r="B967" s="122"/>
      <c r="C967" s="122"/>
      <c r="D967" s="122"/>
      <c r="E967" s="122"/>
      <c r="F967" s="122"/>
      <c r="G967" s="122"/>
      <c r="H967" s="122"/>
      <c r="I967" s="275"/>
      <c r="J967" s="130"/>
      <c r="K967" s="130"/>
      <c r="L967" s="130"/>
      <c r="M967" s="130"/>
      <c r="N967" s="291"/>
      <c r="O967" s="291"/>
      <c r="P967" s="122"/>
      <c r="Q967" s="122"/>
      <c r="R967" s="122"/>
      <c r="S967" s="122"/>
      <c r="T967" s="122"/>
      <c r="U967" s="301"/>
      <c r="V967" s="260">
        <f t="shared" ca="1" si="23"/>
        <v>0</v>
      </c>
      <c r="W967" s="348" t="str">
        <f>IF(板块成分!B969="","",板块成分!B969)</f>
        <v>002465.SZ</v>
      </c>
      <c r="X967" s="276" t="str">
        <f>[1]!S_Info_Name(W967)</f>
        <v>海格通信</v>
      </c>
      <c r="Y967" s="276" t="str">
        <f ca="1">IF($Y$3="申万一级行业",[1]!s_info_industry_sw_2021(W967,公司分析!D$5,1),IF($Y$3="申万二级行业",[1]!s_info_industry_sw_2021(W967,公司分析!D$5,2),IF($Y$3="申万三级行业",[1]!s_info_industry_sw_2021(W967,公司分析!D$5,3),IF($Y$3="wind一级行业",[1]!s_info_industry_gics(W967,1),IF($Y$3="wind二级行业",[1]!s_info_industry_gics(W967,2),IF($Y$3="wind三级行业",[1]!s_info_industry_gics(W967,3),IF($Y$3="wind四级行业",[1]!s_info_industry_gics(W967,4),IF($Y$3="证监会门类行业",[1]!s_info_industry_csrc12_n(W967,公司分析!D$5,1),""))))))))</f>
        <v>军工电子Ⅱ</v>
      </c>
      <c r="Z967" s="302" t="str">
        <f ca="1">IF(Y967=行业比较!$E$6,ROW(),"")</f>
        <v/>
      </c>
      <c r="AA967" s="122"/>
      <c r="AB967" s="122"/>
      <c r="AC967" s="122"/>
      <c r="AD967" s="122"/>
      <c r="AE967" s="122"/>
      <c r="AF967" s="122"/>
      <c r="AG967" s="122"/>
      <c r="AH967" s="122"/>
      <c r="AI967" s="122"/>
      <c r="AJ967" s="122"/>
      <c r="AK967" s="122"/>
      <c r="AL967" s="122"/>
      <c r="AM967" s="122"/>
      <c r="AN967" s="122"/>
      <c r="AO967" s="122"/>
      <c r="AP967" s="122"/>
    </row>
    <row r="968" spans="2:42">
      <c r="B968" s="122"/>
      <c r="C968" s="122"/>
      <c r="D968" s="122"/>
      <c r="E968" s="122"/>
      <c r="F968" s="122"/>
      <c r="G968" s="122"/>
      <c r="H968" s="122"/>
      <c r="I968" s="275"/>
      <c r="J968" s="130"/>
      <c r="K968" s="130"/>
      <c r="L968" s="130"/>
      <c r="M968" s="130"/>
      <c r="N968" s="291"/>
      <c r="O968" s="291"/>
      <c r="P968" s="122"/>
      <c r="Q968" s="122"/>
      <c r="R968" s="122"/>
      <c r="S968" s="122"/>
      <c r="T968" s="122"/>
      <c r="U968" s="301"/>
      <c r="V968" s="260">
        <f t="shared" ca="1" si="23"/>
        <v>0</v>
      </c>
      <c r="W968" s="348" t="str">
        <f>IF(板块成分!B970="","",板块成分!B970)</f>
        <v>002466.SZ</v>
      </c>
      <c r="X968" s="276" t="str">
        <f>[1]!S_Info_Name(W968)</f>
        <v>天齐锂业</v>
      </c>
      <c r="Y968" s="276" t="str">
        <f ca="1">IF($Y$3="申万一级行业",[1]!s_info_industry_sw_2021(W968,公司分析!D$5,1),IF($Y$3="申万二级行业",[1]!s_info_industry_sw_2021(W968,公司分析!D$5,2),IF($Y$3="申万三级行业",[1]!s_info_industry_sw_2021(W968,公司分析!D$5,3),IF($Y$3="wind一级行业",[1]!s_info_industry_gics(W968,1),IF($Y$3="wind二级行业",[1]!s_info_industry_gics(W968,2),IF($Y$3="wind三级行业",[1]!s_info_industry_gics(W968,3),IF($Y$3="wind四级行业",[1]!s_info_industry_gics(W968,4),IF($Y$3="证监会门类行业",[1]!s_info_industry_csrc12_n(W968,公司分析!D$5,1),""))))))))</f>
        <v>能源金属</v>
      </c>
      <c r="Z968" s="302" t="str">
        <f ca="1">IF(Y968=行业比较!$E$6,ROW(),"")</f>
        <v/>
      </c>
      <c r="AA968" s="122"/>
      <c r="AB968" s="122"/>
      <c r="AC968" s="122"/>
      <c r="AD968" s="122"/>
      <c r="AE968" s="122"/>
      <c r="AF968" s="122"/>
      <c r="AG968" s="122"/>
      <c r="AH968" s="122"/>
      <c r="AI968" s="122"/>
      <c r="AJ968" s="122"/>
      <c r="AK968" s="122"/>
      <c r="AL968" s="122"/>
      <c r="AM968" s="122"/>
      <c r="AN968" s="122"/>
      <c r="AO968" s="122"/>
      <c r="AP968" s="122"/>
    </row>
    <row r="969" spans="2:42">
      <c r="B969" s="122"/>
      <c r="C969" s="122"/>
      <c r="D969" s="122"/>
      <c r="E969" s="122"/>
      <c r="F969" s="122"/>
      <c r="G969" s="122"/>
      <c r="H969" s="122"/>
      <c r="I969" s="275"/>
      <c r="J969" s="130"/>
      <c r="K969" s="130"/>
      <c r="L969" s="130"/>
      <c r="M969" s="130"/>
      <c r="N969" s="291"/>
      <c r="O969" s="291"/>
      <c r="P969" s="122"/>
      <c r="Q969" s="122"/>
      <c r="R969" s="122"/>
      <c r="S969" s="122"/>
      <c r="T969" s="122"/>
      <c r="U969" s="301"/>
      <c r="V969" s="260">
        <f t="shared" ca="1" si="23"/>
        <v>0</v>
      </c>
      <c r="W969" s="348" t="str">
        <f>IF(板块成分!B971="","",板块成分!B971)</f>
        <v>002467.SZ</v>
      </c>
      <c r="X969" s="276" t="str">
        <f>[1]!S_Info_Name(W969)</f>
        <v>二六三</v>
      </c>
      <c r="Y969" s="276" t="str">
        <f ca="1">IF($Y$3="申万一级行业",[1]!s_info_industry_sw_2021(W969,公司分析!D$5,1),IF($Y$3="申万二级行业",[1]!s_info_industry_sw_2021(W969,公司分析!D$5,2),IF($Y$3="申万三级行业",[1]!s_info_industry_sw_2021(W969,公司分析!D$5,3),IF($Y$3="wind一级行业",[1]!s_info_industry_gics(W969,1),IF($Y$3="wind二级行业",[1]!s_info_industry_gics(W969,2),IF($Y$3="wind三级行业",[1]!s_info_industry_gics(W969,3),IF($Y$3="wind四级行业",[1]!s_info_industry_gics(W969,4),IF($Y$3="证监会门类行业",[1]!s_info_industry_csrc12_n(W969,公司分析!D$5,1),""))))))))</f>
        <v>通信服务</v>
      </c>
      <c r="Z969" s="302" t="str">
        <f ca="1">IF(Y969=行业比较!$E$6,ROW(),"")</f>
        <v/>
      </c>
      <c r="AA969" s="122"/>
      <c r="AB969" s="122"/>
      <c r="AC969" s="122"/>
      <c r="AD969" s="122"/>
      <c r="AE969" s="122"/>
      <c r="AF969" s="122"/>
      <c r="AG969" s="122"/>
      <c r="AH969" s="122"/>
      <c r="AI969" s="122"/>
      <c r="AJ969" s="122"/>
      <c r="AK969" s="122"/>
      <c r="AL969" s="122"/>
      <c r="AM969" s="122"/>
      <c r="AN969" s="122"/>
      <c r="AO969" s="122"/>
      <c r="AP969" s="122"/>
    </row>
    <row r="970" spans="2:42">
      <c r="B970" s="122"/>
      <c r="C970" s="122"/>
      <c r="D970" s="122"/>
      <c r="E970" s="122"/>
      <c r="F970" s="122"/>
      <c r="G970" s="122"/>
      <c r="H970" s="122"/>
      <c r="I970" s="275"/>
      <c r="J970" s="130"/>
      <c r="K970" s="130"/>
      <c r="L970" s="130"/>
      <c r="M970" s="130"/>
      <c r="N970" s="291"/>
      <c r="O970" s="291"/>
      <c r="P970" s="122"/>
      <c r="Q970" s="122"/>
      <c r="R970" s="122"/>
      <c r="S970" s="122"/>
      <c r="T970" s="122"/>
      <c r="U970" s="301"/>
      <c r="V970" s="260">
        <f t="shared" ca="1" si="23"/>
        <v>0</v>
      </c>
      <c r="W970" s="348" t="str">
        <f>IF(板块成分!B972="","",板块成分!B972)</f>
        <v>002468.SZ</v>
      </c>
      <c r="X970" s="276" t="str">
        <f>[1]!S_Info_Name(W970)</f>
        <v>申通快递</v>
      </c>
      <c r="Y970" s="276" t="str">
        <f ca="1">IF($Y$3="申万一级行业",[1]!s_info_industry_sw_2021(W970,公司分析!D$5,1),IF($Y$3="申万二级行业",[1]!s_info_industry_sw_2021(W970,公司分析!D$5,2),IF($Y$3="申万三级行业",[1]!s_info_industry_sw_2021(W970,公司分析!D$5,3),IF($Y$3="wind一级行业",[1]!s_info_industry_gics(W970,1),IF($Y$3="wind二级行业",[1]!s_info_industry_gics(W970,2),IF($Y$3="wind三级行业",[1]!s_info_industry_gics(W970,3),IF($Y$3="wind四级行业",[1]!s_info_industry_gics(W970,4),IF($Y$3="证监会门类行业",[1]!s_info_industry_csrc12_n(W970,公司分析!D$5,1),""))))))))</f>
        <v>物流</v>
      </c>
      <c r="Z970" s="302" t="str">
        <f ca="1">IF(Y970=行业比较!$E$6,ROW(),"")</f>
        <v/>
      </c>
      <c r="AA970" s="122"/>
      <c r="AB970" s="122"/>
      <c r="AC970" s="122"/>
      <c r="AD970" s="122"/>
      <c r="AE970" s="122"/>
      <c r="AF970" s="122"/>
      <c r="AG970" s="122"/>
      <c r="AH970" s="122"/>
      <c r="AI970" s="122"/>
      <c r="AJ970" s="122"/>
      <c r="AK970" s="122"/>
      <c r="AL970" s="122"/>
      <c r="AM970" s="122"/>
      <c r="AN970" s="122"/>
      <c r="AO970" s="122"/>
      <c r="AP970" s="122"/>
    </row>
    <row r="971" spans="2:42">
      <c r="B971" s="122"/>
      <c r="C971" s="122"/>
      <c r="D971" s="122"/>
      <c r="E971" s="122"/>
      <c r="F971" s="122"/>
      <c r="G971" s="122"/>
      <c r="H971" s="122"/>
      <c r="I971" s="275"/>
      <c r="J971" s="130"/>
      <c r="K971" s="130"/>
      <c r="L971" s="130"/>
      <c r="M971" s="130"/>
      <c r="N971" s="291"/>
      <c r="O971" s="291"/>
      <c r="P971" s="122"/>
      <c r="Q971" s="122"/>
      <c r="R971" s="122"/>
      <c r="S971" s="122"/>
      <c r="T971" s="122"/>
      <c r="U971" s="301"/>
      <c r="V971" s="260">
        <f t="shared" ca="1" si="23"/>
        <v>0</v>
      </c>
      <c r="W971" s="348" t="str">
        <f>IF(板块成分!B973="","",板块成分!B973)</f>
        <v>002469.SZ</v>
      </c>
      <c r="X971" s="276" t="str">
        <f>[1]!S_Info_Name(W971)</f>
        <v>三维化学</v>
      </c>
      <c r="Y971" s="276" t="str">
        <f ca="1">IF($Y$3="申万一级行业",[1]!s_info_industry_sw_2021(W971,公司分析!D$5,1),IF($Y$3="申万二级行业",[1]!s_info_industry_sw_2021(W971,公司分析!D$5,2),IF($Y$3="申万三级行业",[1]!s_info_industry_sw_2021(W971,公司分析!D$5,3),IF($Y$3="wind一级行业",[1]!s_info_industry_gics(W971,1),IF($Y$3="wind二级行业",[1]!s_info_industry_gics(W971,2),IF($Y$3="wind三级行业",[1]!s_info_industry_gics(W971,3),IF($Y$3="wind四级行业",[1]!s_info_industry_gics(W971,4),IF($Y$3="证监会门类行业",[1]!s_info_industry_csrc12_n(W971,公司分析!D$5,1),""))))))))</f>
        <v>专业工程</v>
      </c>
      <c r="Z971" s="302" t="str">
        <f ca="1">IF(Y971=行业比较!$E$6,ROW(),"")</f>
        <v/>
      </c>
      <c r="AA971" s="122"/>
      <c r="AB971" s="122"/>
      <c r="AC971" s="122"/>
      <c r="AD971" s="122"/>
      <c r="AE971" s="122"/>
      <c r="AF971" s="122"/>
      <c r="AG971" s="122"/>
      <c r="AH971" s="122"/>
      <c r="AI971" s="122"/>
      <c r="AJ971" s="122"/>
      <c r="AK971" s="122"/>
      <c r="AL971" s="122"/>
      <c r="AM971" s="122"/>
      <c r="AN971" s="122"/>
      <c r="AO971" s="122"/>
      <c r="AP971" s="122"/>
    </row>
    <row r="972" spans="2:42">
      <c r="B972" s="122"/>
      <c r="C972" s="122"/>
      <c r="D972" s="122"/>
      <c r="E972" s="122"/>
      <c r="F972" s="122"/>
      <c r="G972" s="122"/>
      <c r="H972" s="122"/>
      <c r="I972" s="275"/>
      <c r="J972" s="130"/>
      <c r="K972" s="130"/>
      <c r="L972" s="130"/>
      <c r="M972" s="130"/>
      <c r="N972" s="291"/>
      <c r="O972" s="291"/>
      <c r="P972" s="122"/>
      <c r="Q972" s="122"/>
      <c r="R972" s="122"/>
      <c r="S972" s="122"/>
      <c r="T972" s="122"/>
      <c r="U972" s="301"/>
      <c r="V972" s="260">
        <f t="shared" ca="1" si="23"/>
        <v>0</v>
      </c>
      <c r="W972" s="348" t="str">
        <f>IF(板块成分!B974="","",板块成分!B974)</f>
        <v>002470.SZ</v>
      </c>
      <c r="X972" s="276" t="str">
        <f>[1]!S_Info_Name(W972)</f>
        <v>金正大</v>
      </c>
      <c r="Y972" s="276" t="str">
        <f ca="1">IF($Y$3="申万一级行业",[1]!s_info_industry_sw_2021(W972,公司分析!D$5,1),IF($Y$3="申万二级行业",[1]!s_info_industry_sw_2021(W972,公司分析!D$5,2),IF($Y$3="申万三级行业",[1]!s_info_industry_sw_2021(W972,公司分析!D$5,3),IF($Y$3="wind一级行业",[1]!s_info_industry_gics(W972,1),IF($Y$3="wind二级行业",[1]!s_info_industry_gics(W972,2),IF($Y$3="wind三级行业",[1]!s_info_industry_gics(W972,3),IF($Y$3="wind四级行业",[1]!s_info_industry_gics(W972,4),IF($Y$3="证监会门类行业",[1]!s_info_industry_csrc12_n(W972,公司分析!D$5,1),""))))))))</f>
        <v>农化制品</v>
      </c>
      <c r="Z972" s="302" t="str">
        <f ca="1">IF(Y972=行业比较!$E$6,ROW(),"")</f>
        <v/>
      </c>
      <c r="AA972" s="122"/>
      <c r="AB972" s="122"/>
      <c r="AC972" s="122"/>
      <c r="AD972" s="122"/>
      <c r="AE972" s="122"/>
      <c r="AF972" s="122"/>
      <c r="AG972" s="122"/>
      <c r="AH972" s="122"/>
      <c r="AI972" s="122"/>
      <c r="AJ972" s="122"/>
      <c r="AK972" s="122"/>
      <c r="AL972" s="122"/>
      <c r="AM972" s="122"/>
      <c r="AN972" s="122"/>
      <c r="AO972" s="122"/>
      <c r="AP972" s="122"/>
    </row>
    <row r="973" spans="2:42">
      <c r="B973" s="122"/>
      <c r="C973" s="122"/>
      <c r="D973" s="122"/>
      <c r="E973" s="122"/>
      <c r="F973" s="122"/>
      <c r="G973" s="122"/>
      <c r="H973" s="122"/>
      <c r="I973" s="275"/>
      <c r="J973" s="130"/>
      <c r="K973" s="130"/>
      <c r="L973" s="130"/>
      <c r="M973" s="130"/>
      <c r="N973" s="291"/>
      <c r="O973" s="291"/>
      <c r="P973" s="122"/>
      <c r="Q973" s="122"/>
      <c r="R973" s="122"/>
      <c r="S973" s="122"/>
      <c r="T973" s="122"/>
      <c r="U973" s="301"/>
      <c r="V973" s="260">
        <f t="shared" ca="1" si="23"/>
        <v>0</v>
      </c>
      <c r="W973" s="348" t="str">
        <f>IF(板块成分!B975="","",板块成分!B975)</f>
        <v>002471.SZ</v>
      </c>
      <c r="X973" s="276" t="str">
        <f>[1]!S_Info_Name(W973)</f>
        <v>中超控股</v>
      </c>
      <c r="Y973" s="276" t="str">
        <f ca="1">IF($Y$3="申万一级行业",[1]!s_info_industry_sw_2021(W973,公司分析!D$5,1),IF($Y$3="申万二级行业",[1]!s_info_industry_sw_2021(W973,公司分析!D$5,2),IF($Y$3="申万三级行业",[1]!s_info_industry_sw_2021(W973,公司分析!D$5,3),IF($Y$3="wind一级行业",[1]!s_info_industry_gics(W973,1),IF($Y$3="wind二级行业",[1]!s_info_industry_gics(W973,2),IF($Y$3="wind三级行业",[1]!s_info_industry_gics(W973,3),IF($Y$3="wind四级行业",[1]!s_info_industry_gics(W973,4),IF($Y$3="证监会门类行业",[1]!s_info_industry_csrc12_n(W973,公司分析!D$5,1),""))))))))</f>
        <v>电网设备</v>
      </c>
      <c r="Z973" s="302" t="str">
        <f ca="1">IF(Y973=行业比较!$E$6,ROW(),"")</f>
        <v/>
      </c>
      <c r="AA973" s="122"/>
      <c r="AB973" s="122"/>
      <c r="AC973" s="122"/>
      <c r="AD973" s="122"/>
      <c r="AE973" s="122"/>
      <c r="AF973" s="122"/>
      <c r="AG973" s="122"/>
      <c r="AH973" s="122"/>
      <c r="AI973" s="122"/>
      <c r="AJ973" s="122"/>
      <c r="AK973" s="122"/>
      <c r="AL973" s="122"/>
      <c r="AM973" s="122"/>
      <c r="AN973" s="122"/>
      <c r="AO973" s="122"/>
      <c r="AP973" s="122"/>
    </row>
    <row r="974" spans="2:42">
      <c r="B974" s="122"/>
      <c r="C974" s="122"/>
      <c r="D974" s="122"/>
      <c r="E974" s="122"/>
      <c r="F974" s="122"/>
      <c r="G974" s="122"/>
      <c r="H974" s="122"/>
      <c r="I974" s="275"/>
      <c r="J974" s="130"/>
      <c r="K974" s="130"/>
      <c r="L974" s="130"/>
      <c r="M974" s="130"/>
      <c r="N974" s="291"/>
      <c r="O974" s="291"/>
      <c r="P974" s="122"/>
      <c r="Q974" s="122"/>
      <c r="R974" s="122"/>
      <c r="S974" s="122"/>
      <c r="T974" s="122"/>
      <c r="U974" s="301"/>
      <c r="V974" s="260">
        <f t="shared" ca="1" si="23"/>
        <v>0</v>
      </c>
      <c r="W974" s="348" t="str">
        <f>IF(板块成分!B976="","",板块成分!B976)</f>
        <v>002472.SZ</v>
      </c>
      <c r="X974" s="276" t="str">
        <f>[1]!S_Info_Name(W974)</f>
        <v>双环传动</v>
      </c>
      <c r="Y974" s="276" t="str">
        <f ca="1">IF($Y$3="申万一级行业",[1]!s_info_industry_sw_2021(W974,公司分析!D$5,1),IF($Y$3="申万二级行业",[1]!s_info_industry_sw_2021(W974,公司分析!D$5,2),IF($Y$3="申万三级行业",[1]!s_info_industry_sw_2021(W974,公司分析!D$5,3),IF($Y$3="wind一级行业",[1]!s_info_industry_gics(W974,1),IF($Y$3="wind二级行业",[1]!s_info_industry_gics(W974,2),IF($Y$3="wind三级行业",[1]!s_info_industry_gics(W974,3),IF($Y$3="wind四级行业",[1]!s_info_industry_gics(W974,4),IF($Y$3="证监会门类行业",[1]!s_info_industry_csrc12_n(W974,公司分析!D$5,1),""))))))))</f>
        <v>汽车零部件</v>
      </c>
      <c r="Z974" s="302" t="str">
        <f ca="1">IF(Y974=行业比较!$E$6,ROW(),"")</f>
        <v/>
      </c>
      <c r="AA974" s="122"/>
      <c r="AB974" s="122"/>
      <c r="AC974" s="122"/>
      <c r="AD974" s="122"/>
      <c r="AE974" s="122"/>
      <c r="AF974" s="122"/>
      <c r="AG974" s="122"/>
      <c r="AH974" s="122"/>
      <c r="AI974" s="122"/>
      <c r="AJ974" s="122"/>
      <c r="AK974" s="122"/>
      <c r="AL974" s="122"/>
      <c r="AM974" s="122"/>
      <c r="AN974" s="122"/>
      <c r="AO974" s="122"/>
      <c r="AP974" s="122"/>
    </row>
    <row r="975" spans="2:42">
      <c r="B975" s="122"/>
      <c r="C975" s="122"/>
      <c r="D975" s="122"/>
      <c r="E975" s="122"/>
      <c r="F975" s="122"/>
      <c r="G975" s="122"/>
      <c r="H975" s="122"/>
      <c r="I975" s="275"/>
      <c r="J975" s="130"/>
      <c r="K975" s="130"/>
      <c r="L975" s="130"/>
      <c r="M975" s="130"/>
      <c r="N975" s="291"/>
      <c r="O975" s="291"/>
      <c r="P975" s="122"/>
      <c r="Q975" s="122"/>
      <c r="R975" s="122"/>
      <c r="S975" s="122"/>
      <c r="T975" s="122"/>
      <c r="U975" s="301"/>
      <c r="V975" s="260">
        <f t="shared" ca="1" si="23"/>
        <v>0</v>
      </c>
      <c r="W975" s="348" t="str">
        <f>IF(板块成分!B977="","",板块成分!B977)</f>
        <v>002474.SZ</v>
      </c>
      <c r="X975" s="276" t="str">
        <f>[1]!S_Info_Name(W975)</f>
        <v>榕基软件</v>
      </c>
      <c r="Y975" s="276" t="str">
        <f ca="1">IF($Y$3="申万一级行业",[1]!s_info_industry_sw_2021(W975,公司分析!D$5,1),IF($Y$3="申万二级行业",[1]!s_info_industry_sw_2021(W975,公司分析!D$5,2),IF($Y$3="申万三级行业",[1]!s_info_industry_sw_2021(W975,公司分析!D$5,3),IF($Y$3="wind一级行业",[1]!s_info_industry_gics(W975,1),IF($Y$3="wind二级行业",[1]!s_info_industry_gics(W975,2),IF($Y$3="wind三级行业",[1]!s_info_industry_gics(W975,3),IF($Y$3="wind四级行业",[1]!s_info_industry_gics(W975,4),IF($Y$3="证监会门类行业",[1]!s_info_industry_csrc12_n(W975,公司分析!D$5,1),""))))))))</f>
        <v>IT服务Ⅱ</v>
      </c>
      <c r="Z975" s="302" t="str">
        <f ca="1">IF(Y975=行业比较!$E$6,ROW(),"")</f>
        <v/>
      </c>
      <c r="AA975" s="122"/>
      <c r="AB975" s="122"/>
      <c r="AC975" s="122"/>
      <c r="AD975" s="122"/>
      <c r="AE975" s="122"/>
      <c r="AF975" s="122"/>
      <c r="AG975" s="122"/>
      <c r="AH975" s="122"/>
      <c r="AI975" s="122"/>
      <c r="AJ975" s="122"/>
      <c r="AK975" s="122"/>
      <c r="AL975" s="122"/>
      <c r="AM975" s="122"/>
      <c r="AN975" s="122"/>
      <c r="AO975" s="122"/>
      <c r="AP975" s="122"/>
    </row>
    <row r="976" spans="2:42">
      <c r="B976" s="122"/>
      <c r="C976" s="122"/>
      <c r="D976" s="122"/>
      <c r="E976" s="122"/>
      <c r="F976" s="122"/>
      <c r="G976" s="122"/>
      <c r="H976" s="122"/>
      <c r="I976" s="275"/>
      <c r="J976" s="130"/>
      <c r="K976" s="130"/>
      <c r="L976" s="130"/>
      <c r="M976" s="130"/>
      <c r="N976" s="291"/>
      <c r="O976" s="291"/>
      <c r="P976" s="122"/>
      <c r="Q976" s="122"/>
      <c r="R976" s="122"/>
      <c r="S976" s="122"/>
      <c r="T976" s="122"/>
      <c r="U976" s="301"/>
      <c r="V976" s="260">
        <f t="shared" ca="1" si="23"/>
        <v>0</v>
      </c>
      <c r="W976" s="348" t="str">
        <f>IF(板块成分!B978="","",板块成分!B978)</f>
        <v>002475.SZ</v>
      </c>
      <c r="X976" s="276" t="str">
        <f>[1]!S_Info_Name(W976)</f>
        <v>立讯精密</v>
      </c>
      <c r="Y976" s="276" t="str">
        <f ca="1">IF($Y$3="申万一级行业",[1]!s_info_industry_sw_2021(W976,公司分析!D$5,1),IF($Y$3="申万二级行业",[1]!s_info_industry_sw_2021(W976,公司分析!D$5,2),IF($Y$3="申万三级行业",[1]!s_info_industry_sw_2021(W976,公司分析!D$5,3),IF($Y$3="wind一级行业",[1]!s_info_industry_gics(W976,1),IF($Y$3="wind二级行业",[1]!s_info_industry_gics(W976,2),IF($Y$3="wind三级行业",[1]!s_info_industry_gics(W976,3),IF($Y$3="wind四级行业",[1]!s_info_industry_gics(W976,4),IF($Y$3="证监会门类行业",[1]!s_info_industry_csrc12_n(W976,公司分析!D$5,1),""))))))))</f>
        <v>消费电子</v>
      </c>
      <c r="Z976" s="302" t="str">
        <f ca="1">IF(Y976=行业比较!$E$6,ROW(),"")</f>
        <v/>
      </c>
      <c r="AA976" s="122"/>
      <c r="AB976" s="122"/>
      <c r="AC976" s="122"/>
      <c r="AD976" s="122"/>
      <c r="AE976" s="122"/>
      <c r="AF976" s="122"/>
      <c r="AG976" s="122"/>
      <c r="AH976" s="122"/>
      <c r="AI976" s="122"/>
      <c r="AJ976" s="122"/>
      <c r="AK976" s="122"/>
      <c r="AL976" s="122"/>
      <c r="AM976" s="122"/>
      <c r="AN976" s="122"/>
      <c r="AO976" s="122"/>
      <c r="AP976" s="122"/>
    </row>
    <row r="977" spans="2:42">
      <c r="B977" s="122"/>
      <c r="C977" s="122"/>
      <c r="D977" s="122"/>
      <c r="E977" s="122"/>
      <c r="F977" s="122"/>
      <c r="G977" s="122"/>
      <c r="H977" s="122"/>
      <c r="I977" s="275"/>
      <c r="J977" s="130"/>
      <c r="K977" s="130"/>
      <c r="L977" s="130"/>
      <c r="M977" s="130"/>
      <c r="N977" s="291"/>
      <c r="O977" s="291"/>
      <c r="P977" s="122"/>
      <c r="Q977" s="122"/>
      <c r="R977" s="122"/>
      <c r="S977" s="122"/>
      <c r="T977" s="122"/>
      <c r="U977" s="301"/>
      <c r="V977" s="260">
        <f t="shared" ca="1" si="23"/>
        <v>0</v>
      </c>
      <c r="W977" s="348" t="str">
        <f>IF(板块成分!B979="","",板块成分!B979)</f>
        <v>002476.SZ</v>
      </c>
      <c r="X977" s="276" t="str">
        <f>[1]!S_Info_Name(W977)</f>
        <v>宝莫股份</v>
      </c>
      <c r="Y977" s="276" t="str">
        <f ca="1">IF($Y$3="申万一级行业",[1]!s_info_industry_sw_2021(W977,公司分析!D$5,1),IF($Y$3="申万二级行业",[1]!s_info_industry_sw_2021(W977,公司分析!D$5,2),IF($Y$3="申万三级行业",[1]!s_info_industry_sw_2021(W977,公司分析!D$5,3),IF($Y$3="wind一级行业",[1]!s_info_industry_gics(W977,1),IF($Y$3="wind二级行业",[1]!s_info_industry_gics(W977,2),IF($Y$3="wind三级行业",[1]!s_info_industry_gics(W977,3),IF($Y$3="wind四级行业",[1]!s_info_industry_gics(W977,4),IF($Y$3="证监会门类行业",[1]!s_info_industry_csrc12_n(W977,公司分析!D$5,1),""))))))))</f>
        <v>炼化及贸易</v>
      </c>
      <c r="Z977" s="302" t="str">
        <f ca="1">IF(Y977=行业比较!$E$6,ROW(),"")</f>
        <v/>
      </c>
      <c r="AA977" s="122"/>
      <c r="AB977" s="122"/>
      <c r="AC977" s="122"/>
      <c r="AD977" s="122"/>
      <c r="AE977" s="122"/>
      <c r="AF977" s="122"/>
      <c r="AG977" s="122"/>
      <c r="AH977" s="122"/>
      <c r="AI977" s="122"/>
      <c r="AJ977" s="122"/>
      <c r="AK977" s="122"/>
      <c r="AL977" s="122"/>
      <c r="AM977" s="122"/>
      <c r="AN977" s="122"/>
      <c r="AO977" s="122"/>
      <c r="AP977" s="122"/>
    </row>
    <row r="978" spans="2:42">
      <c r="B978" s="122"/>
      <c r="C978" s="122"/>
      <c r="D978" s="122"/>
      <c r="E978" s="122"/>
      <c r="F978" s="122"/>
      <c r="G978" s="122"/>
      <c r="H978" s="122"/>
      <c r="I978" s="275"/>
      <c r="J978" s="130"/>
      <c r="K978" s="130"/>
      <c r="L978" s="130"/>
      <c r="M978" s="130"/>
      <c r="N978" s="291"/>
      <c r="O978" s="291"/>
      <c r="P978" s="122"/>
      <c r="Q978" s="122"/>
      <c r="R978" s="122"/>
      <c r="S978" s="122"/>
      <c r="T978" s="122"/>
      <c r="U978" s="301"/>
      <c r="V978" s="260">
        <f t="shared" ca="1" si="23"/>
        <v>0</v>
      </c>
      <c r="W978" s="348" t="str">
        <f>IF(板块成分!B980="","",板块成分!B980)</f>
        <v>002478.SZ</v>
      </c>
      <c r="X978" s="276" t="str">
        <f>[1]!S_Info_Name(W978)</f>
        <v>常宝股份</v>
      </c>
      <c r="Y978" s="276" t="str">
        <f ca="1">IF($Y$3="申万一级行业",[1]!s_info_industry_sw_2021(W978,公司分析!D$5,1),IF($Y$3="申万二级行业",[1]!s_info_industry_sw_2021(W978,公司分析!D$5,2),IF($Y$3="申万三级行业",[1]!s_info_industry_sw_2021(W978,公司分析!D$5,3),IF($Y$3="wind一级行业",[1]!s_info_industry_gics(W978,1),IF($Y$3="wind二级行业",[1]!s_info_industry_gics(W978,2),IF($Y$3="wind三级行业",[1]!s_info_industry_gics(W978,3),IF($Y$3="wind四级行业",[1]!s_info_industry_gics(W978,4),IF($Y$3="证监会门类行业",[1]!s_info_industry_csrc12_n(W978,公司分析!D$5,1),""))))))))</f>
        <v>特钢Ⅱ</v>
      </c>
      <c r="Z978" s="302" t="str">
        <f ca="1">IF(Y978=行业比较!$E$6,ROW(),"")</f>
        <v/>
      </c>
      <c r="AA978" s="122"/>
      <c r="AB978" s="122"/>
      <c r="AC978" s="122"/>
      <c r="AD978" s="122"/>
      <c r="AE978" s="122"/>
      <c r="AF978" s="122"/>
      <c r="AG978" s="122"/>
      <c r="AH978" s="122"/>
      <c r="AI978" s="122"/>
      <c r="AJ978" s="122"/>
      <c r="AK978" s="122"/>
      <c r="AL978" s="122"/>
      <c r="AM978" s="122"/>
      <c r="AN978" s="122"/>
      <c r="AO978" s="122"/>
      <c r="AP978" s="122"/>
    </row>
    <row r="979" spans="2:42">
      <c r="B979" s="122"/>
      <c r="C979" s="122"/>
      <c r="D979" s="122"/>
      <c r="E979" s="122"/>
      <c r="F979" s="122"/>
      <c r="G979" s="122"/>
      <c r="H979" s="122"/>
      <c r="I979" s="275"/>
      <c r="J979" s="130"/>
      <c r="K979" s="130"/>
      <c r="L979" s="130"/>
      <c r="M979" s="130"/>
      <c r="N979" s="291"/>
      <c r="O979" s="291"/>
      <c r="P979" s="122"/>
      <c r="Q979" s="122"/>
      <c r="R979" s="122"/>
      <c r="S979" s="122"/>
      <c r="T979" s="122"/>
      <c r="U979" s="301"/>
      <c r="V979" s="260">
        <f t="shared" ca="1" si="23"/>
        <v>0</v>
      </c>
      <c r="W979" s="348" t="str">
        <f>IF(板块成分!B981="","",板块成分!B981)</f>
        <v>002479.SZ</v>
      </c>
      <c r="X979" s="276" t="str">
        <f>[1]!S_Info_Name(W979)</f>
        <v>富春环保</v>
      </c>
      <c r="Y979" s="276" t="str">
        <f ca="1">IF($Y$3="申万一级行业",[1]!s_info_industry_sw_2021(W979,公司分析!D$5,1),IF($Y$3="申万二级行业",[1]!s_info_industry_sw_2021(W979,公司分析!D$5,2),IF($Y$3="申万三级行业",[1]!s_info_industry_sw_2021(W979,公司分析!D$5,3),IF($Y$3="wind一级行业",[1]!s_info_industry_gics(W979,1),IF($Y$3="wind二级行业",[1]!s_info_industry_gics(W979,2),IF($Y$3="wind三级行业",[1]!s_info_industry_gics(W979,3),IF($Y$3="wind四级行业",[1]!s_info_industry_gics(W979,4),IF($Y$3="证监会门类行业",[1]!s_info_industry_csrc12_n(W979,公司分析!D$5,1),""))))))))</f>
        <v>电力</v>
      </c>
      <c r="Z979" s="302" t="str">
        <f ca="1">IF(Y979=行业比较!$E$6,ROW(),"")</f>
        <v/>
      </c>
      <c r="AA979" s="122"/>
      <c r="AB979" s="122"/>
      <c r="AC979" s="122"/>
      <c r="AD979" s="122"/>
      <c r="AE979" s="122"/>
      <c r="AF979" s="122"/>
      <c r="AG979" s="122"/>
      <c r="AH979" s="122"/>
      <c r="AI979" s="122"/>
      <c r="AJ979" s="122"/>
      <c r="AK979" s="122"/>
      <c r="AL979" s="122"/>
      <c r="AM979" s="122"/>
      <c r="AN979" s="122"/>
      <c r="AO979" s="122"/>
      <c r="AP979" s="122"/>
    </row>
    <row r="980" spans="2:42">
      <c r="B980" s="122"/>
      <c r="C980" s="122"/>
      <c r="D980" s="122"/>
      <c r="E980" s="122"/>
      <c r="F980" s="122"/>
      <c r="G980" s="122"/>
      <c r="H980" s="122"/>
      <c r="I980" s="275"/>
      <c r="J980" s="130"/>
      <c r="K980" s="130"/>
      <c r="L980" s="130"/>
      <c r="M980" s="130"/>
      <c r="N980" s="291"/>
      <c r="O980" s="291"/>
      <c r="P980" s="122"/>
      <c r="Q980" s="122"/>
      <c r="R980" s="122"/>
      <c r="S980" s="122"/>
      <c r="T980" s="122"/>
      <c r="U980" s="301"/>
      <c r="V980" s="260">
        <f t="shared" ca="1" si="23"/>
        <v>0</v>
      </c>
      <c r="W980" s="348" t="str">
        <f>IF(板块成分!B982="","",板块成分!B982)</f>
        <v>002480.SZ</v>
      </c>
      <c r="X980" s="276" t="str">
        <f>[1]!S_Info_Name(W980)</f>
        <v>新筑股份</v>
      </c>
      <c r="Y980" s="276" t="str">
        <f ca="1">IF($Y$3="申万一级行业",[1]!s_info_industry_sw_2021(W980,公司分析!D$5,1),IF($Y$3="申万二级行业",[1]!s_info_industry_sw_2021(W980,公司分析!D$5,2),IF($Y$3="申万三级行业",[1]!s_info_industry_sw_2021(W980,公司分析!D$5,3),IF($Y$3="wind一级行业",[1]!s_info_industry_gics(W980,1),IF($Y$3="wind二级行业",[1]!s_info_industry_gics(W980,2),IF($Y$3="wind三级行业",[1]!s_info_industry_gics(W980,3),IF($Y$3="wind四级行业",[1]!s_info_industry_gics(W980,4),IF($Y$3="证监会门类行业",[1]!s_info_industry_csrc12_n(W980,公司分析!D$5,1),""))))))))</f>
        <v>电力</v>
      </c>
      <c r="Z980" s="302" t="str">
        <f ca="1">IF(Y980=行业比较!$E$6,ROW(),"")</f>
        <v/>
      </c>
      <c r="AA980" s="122"/>
      <c r="AB980" s="122"/>
      <c r="AC980" s="122"/>
      <c r="AD980" s="122"/>
      <c r="AE980" s="122"/>
      <c r="AF980" s="122"/>
      <c r="AG980" s="122"/>
      <c r="AH980" s="122"/>
      <c r="AI980" s="122"/>
      <c r="AJ980" s="122"/>
      <c r="AK980" s="122"/>
      <c r="AL980" s="122"/>
      <c r="AM980" s="122"/>
      <c r="AN980" s="122"/>
      <c r="AO980" s="122"/>
      <c r="AP980" s="122"/>
    </row>
    <row r="981" spans="2:42">
      <c r="B981" s="122"/>
      <c r="C981" s="122"/>
      <c r="D981" s="122"/>
      <c r="E981" s="122"/>
      <c r="F981" s="122"/>
      <c r="G981" s="122"/>
      <c r="H981" s="122"/>
      <c r="I981" s="275"/>
      <c r="J981" s="130"/>
      <c r="K981" s="130"/>
      <c r="L981" s="130"/>
      <c r="M981" s="130"/>
      <c r="N981" s="291"/>
      <c r="O981" s="291"/>
      <c r="P981" s="122"/>
      <c r="Q981" s="122"/>
      <c r="R981" s="122"/>
      <c r="S981" s="122"/>
      <c r="T981" s="122"/>
      <c r="U981" s="301"/>
      <c r="V981" s="260">
        <f t="shared" ca="1" si="23"/>
        <v>0</v>
      </c>
      <c r="W981" s="348" t="str">
        <f>IF(板块成分!B983="","",板块成分!B983)</f>
        <v>002481.SZ</v>
      </c>
      <c r="X981" s="276" t="str">
        <f>[1]!S_Info_Name(W981)</f>
        <v>双塔食品</v>
      </c>
      <c r="Y981" s="276" t="str">
        <f ca="1">IF($Y$3="申万一级行业",[1]!s_info_industry_sw_2021(W981,公司分析!D$5,1),IF($Y$3="申万二级行业",[1]!s_info_industry_sw_2021(W981,公司分析!D$5,2),IF($Y$3="申万三级行业",[1]!s_info_industry_sw_2021(W981,公司分析!D$5,3),IF($Y$3="wind一级行业",[1]!s_info_industry_gics(W981,1),IF($Y$3="wind二级行业",[1]!s_info_industry_gics(W981,2),IF($Y$3="wind三级行业",[1]!s_info_industry_gics(W981,3),IF($Y$3="wind四级行业",[1]!s_info_industry_gics(W981,4),IF($Y$3="证监会门类行业",[1]!s_info_industry_csrc12_n(W981,公司分析!D$5,1),""))))))))</f>
        <v>农产品加工</v>
      </c>
      <c r="Z981" s="302" t="str">
        <f ca="1">IF(Y981=行业比较!$E$6,ROW(),"")</f>
        <v/>
      </c>
      <c r="AA981" s="122"/>
      <c r="AB981" s="122"/>
      <c r="AC981" s="122"/>
      <c r="AD981" s="122"/>
      <c r="AE981" s="122"/>
      <c r="AF981" s="122"/>
      <c r="AG981" s="122"/>
      <c r="AH981" s="122"/>
      <c r="AI981" s="122"/>
      <c r="AJ981" s="122"/>
      <c r="AK981" s="122"/>
      <c r="AL981" s="122"/>
      <c r="AM981" s="122"/>
      <c r="AN981" s="122"/>
      <c r="AO981" s="122"/>
      <c r="AP981" s="122"/>
    </row>
    <row r="982" spans="2:42">
      <c r="B982" s="122"/>
      <c r="C982" s="122"/>
      <c r="D982" s="122"/>
      <c r="E982" s="122"/>
      <c r="F982" s="122"/>
      <c r="G982" s="122"/>
      <c r="H982" s="122"/>
      <c r="I982" s="275"/>
      <c r="J982" s="130"/>
      <c r="K982" s="130"/>
      <c r="L982" s="130"/>
      <c r="M982" s="130"/>
      <c r="N982" s="291"/>
      <c r="O982" s="291"/>
      <c r="P982" s="122"/>
      <c r="Q982" s="122"/>
      <c r="R982" s="122"/>
      <c r="S982" s="122"/>
      <c r="T982" s="122"/>
      <c r="U982" s="301"/>
      <c r="V982" s="260">
        <f t="shared" ca="1" si="23"/>
        <v>0</v>
      </c>
      <c r="W982" s="348" t="str">
        <f>IF(板块成分!B984="","",板块成分!B984)</f>
        <v>002482.SZ</v>
      </c>
      <c r="X982" s="276" t="str">
        <f>[1]!S_Info_Name(W982)</f>
        <v>广田集团</v>
      </c>
      <c r="Y982" s="276" t="str">
        <f ca="1">IF($Y$3="申万一级行业",[1]!s_info_industry_sw_2021(W982,公司分析!D$5,1),IF($Y$3="申万二级行业",[1]!s_info_industry_sw_2021(W982,公司分析!D$5,2),IF($Y$3="申万三级行业",[1]!s_info_industry_sw_2021(W982,公司分析!D$5,3),IF($Y$3="wind一级行业",[1]!s_info_industry_gics(W982,1),IF($Y$3="wind二级行业",[1]!s_info_industry_gics(W982,2),IF($Y$3="wind三级行业",[1]!s_info_industry_gics(W982,3),IF($Y$3="wind四级行业",[1]!s_info_industry_gics(W982,4),IF($Y$3="证监会门类行业",[1]!s_info_industry_csrc12_n(W982,公司分析!D$5,1),""))))))))</f>
        <v>装修装饰Ⅱ</v>
      </c>
      <c r="Z982" s="302" t="str">
        <f ca="1">IF(Y982=行业比较!$E$6,ROW(),"")</f>
        <v/>
      </c>
      <c r="AA982" s="122"/>
      <c r="AB982" s="122"/>
      <c r="AC982" s="122"/>
      <c r="AD982" s="122"/>
      <c r="AE982" s="122"/>
      <c r="AF982" s="122"/>
      <c r="AG982" s="122"/>
      <c r="AH982" s="122"/>
      <c r="AI982" s="122"/>
      <c r="AJ982" s="122"/>
      <c r="AK982" s="122"/>
      <c r="AL982" s="122"/>
      <c r="AM982" s="122"/>
      <c r="AN982" s="122"/>
      <c r="AO982" s="122"/>
      <c r="AP982" s="122"/>
    </row>
    <row r="983" spans="2:42">
      <c r="B983" s="122"/>
      <c r="C983" s="122"/>
      <c r="D983" s="122"/>
      <c r="E983" s="122"/>
      <c r="F983" s="122"/>
      <c r="G983" s="122"/>
      <c r="H983" s="122"/>
      <c r="I983" s="275"/>
      <c r="J983" s="130"/>
      <c r="K983" s="130"/>
      <c r="L983" s="130"/>
      <c r="M983" s="130"/>
      <c r="N983" s="291"/>
      <c r="O983" s="291"/>
      <c r="P983" s="122"/>
      <c r="Q983" s="122"/>
      <c r="R983" s="122"/>
      <c r="S983" s="122"/>
      <c r="T983" s="122"/>
      <c r="U983" s="301"/>
      <c r="V983" s="260">
        <f t="shared" ca="1" si="23"/>
        <v>0</v>
      </c>
      <c r="W983" s="348" t="str">
        <f>IF(板块成分!B985="","",板块成分!B985)</f>
        <v>002483.SZ</v>
      </c>
      <c r="X983" s="276" t="str">
        <f>[1]!S_Info_Name(W983)</f>
        <v>润邦股份</v>
      </c>
      <c r="Y983" s="276" t="str">
        <f ca="1">IF($Y$3="申万一级行业",[1]!s_info_industry_sw_2021(W983,公司分析!D$5,1),IF($Y$3="申万二级行业",[1]!s_info_industry_sw_2021(W983,公司分析!D$5,2),IF($Y$3="申万三级行业",[1]!s_info_industry_sw_2021(W983,公司分析!D$5,3),IF($Y$3="wind一级行业",[1]!s_info_industry_gics(W983,1),IF($Y$3="wind二级行业",[1]!s_info_industry_gics(W983,2),IF($Y$3="wind三级行业",[1]!s_info_industry_gics(W983,3),IF($Y$3="wind四级行业",[1]!s_info_industry_gics(W983,4),IF($Y$3="证监会门类行业",[1]!s_info_industry_csrc12_n(W983,公司分析!D$5,1),""))))))))</f>
        <v>专用设备</v>
      </c>
      <c r="Z983" s="302" t="str">
        <f ca="1">IF(Y983=行业比较!$E$6,ROW(),"")</f>
        <v/>
      </c>
      <c r="AA983" s="122"/>
      <c r="AB983" s="122"/>
      <c r="AC983" s="122"/>
      <c r="AD983" s="122"/>
      <c r="AE983" s="122"/>
      <c r="AF983" s="122"/>
      <c r="AG983" s="122"/>
      <c r="AH983" s="122"/>
      <c r="AI983" s="122"/>
      <c r="AJ983" s="122"/>
      <c r="AK983" s="122"/>
      <c r="AL983" s="122"/>
      <c r="AM983" s="122"/>
      <c r="AN983" s="122"/>
      <c r="AO983" s="122"/>
      <c r="AP983" s="122"/>
    </row>
    <row r="984" spans="2:42">
      <c r="B984" s="122"/>
      <c r="C984" s="122"/>
      <c r="D984" s="122"/>
      <c r="E984" s="122"/>
      <c r="F984" s="122"/>
      <c r="G984" s="122"/>
      <c r="H984" s="122"/>
      <c r="I984" s="275"/>
      <c r="J984" s="130"/>
      <c r="K984" s="130"/>
      <c r="L984" s="130"/>
      <c r="M984" s="130"/>
      <c r="N984" s="291"/>
      <c r="O984" s="291"/>
      <c r="P984" s="122"/>
      <c r="Q984" s="122"/>
      <c r="R984" s="122"/>
      <c r="S984" s="122"/>
      <c r="T984" s="122"/>
      <c r="U984" s="301"/>
      <c r="V984" s="260">
        <f t="shared" ca="1" si="23"/>
        <v>0</v>
      </c>
      <c r="W984" s="348" t="str">
        <f>IF(板块成分!B986="","",板块成分!B986)</f>
        <v>002484.SZ</v>
      </c>
      <c r="X984" s="276" t="str">
        <f>[1]!S_Info_Name(W984)</f>
        <v>江海股份</v>
      </c>
      <c r="Y984" s="276" t="str">
        <f ca="1">IF($Y$3="申万一级行业",[1]!s_info_industry_sw_2021(W984,公司分析!D$5,1),IF($Y$3="申万二级行业",[1]!s_info_industry_sw_2021(W984,公司分析!D$5,2),IF($Y$3="申万三级行业",[1]!s_info_industry_sw_2021(W984,公司分析!D$5,3),IF($Y$3="wind一级行业",[1]!s_info_industry_gics(W984,1),IF($Y$3="wind二级行业",[1]!s_info_industry_gics(W984,2),IF($Y$3="wind三级行业",[1]!s_info_industry_gics(W984,3),IF($Y$3="wind四级行业",[1]!s_info_industry_gics(W984,4),IF($Y$3="证监会门类行业",[1]!s_info_industry_csrc12_n(W984,公司分析!D$5,1),""))))))))</f>
        <v>元件</v>
      </c>
      <c r="Z984" s="302" t="str">
        <f ca="1">IF(Y984=行业比较!$E$6,ROW(),"")</f>
        <v/>
      </c>
      <c r="AA984" s="122"/>
      <c r="AB984" s="122"/>
      <c r="AC984" s="122"/>
      <c r="AD984" s="122"/>
      <c r="AE984" s="122"/>
      <c r="AF984" s="122"/>
      <c r="AG984" s="122"/>
      <c r="AH984" s="122"/>
      <c r="AI984" s="122"/>
      <c r="AJ984" s="122"/>
      <c r="AK984" s="122"/>
      <c r="AL984" s="122"/>
      <c r="AM984" s="122"/>
      <c r="AN984" s="122"/>
      <c r="AO984" s="122"/>
      <c r="AP984" s="122"/>
    </row>
    <row r="985" spans="2:42">
      <c r="B985" s="122"/>
      <c r="C985" s="122"/>
      <c r="D985" s="122"/>
      <c r="E985" s="122"/>
      <c r="F985" s="122"/>
      <c r="G985" s="122"/>
      <c r="H985" s="122"/>
      <c r="I985" s="275"/>
      <c r="J985" s="130"/>
      <c r="K985" s="130"/>
      <c r="L985" s="130"/>
      <c r="M985" s="130"/>
      <c r="N985" s="291"/>
      <c r="O985" s="291"/>
      <c r="P985" s="122"/>
      <c r="Q985" s="122"/>
      <c r="R985" s="122"/>
      <c r="S985" s="122"/>
      <c r="T985" s="122"/>
      <c r="U985" s="301"/>
      <c r="V985" s="260">
        <f t="shared" ca="1" si="23"/>
        <v>0</v>
      </c>
      <c r="W985" s="348" t="str">
        <f>IF(板块成分!B987="","",板块成分!B987)</f>
        <v>002485.SZ</v>
      </c>
      <c r="X985" s="276" t="str">
        <f>[1]!S_Info_Name(W985)</f>
        <v>ST雪发</v>
      </c>
      <c r="Y985" s="276" t="str">
        <f ca="1">IF($Y$3="申万一级行业",[1]!s_info_industry_sw_2021(W985,公司分析!D$5,1),IF($Y$3="申万二级行业",[1]!s_info_industry_sw_2021(W985,公司分析!D$5,2),IF($Y$3="申万三级行业",[1]!s_info_industry_sw_2021(W985,公司分析!D$5,3),IF($Y$3="wind一级行业",[1]!s_info_industry_gics(W985,1),IF($Y$3="wind二级行业",[1]!s_info_industry_gics(W985,2),IF($Y$3="wind三级行业",[1]!s_info_industry_gics(W985,3),IF($Y$3="wind四级行业",[1]!s_info_industry_gics(W985,4),IF($Y$3="证监会门类行业",[1]!s_info_industry_csrc12_n(W985,公司分析!D$5,1),""))))))))</f>
        <v>物流</v>
      </c>
      <c r="Z985" s="302" t="str">
        <f ca="1">IF(Y985=行业比较!$E$6,ROW(),"")</f>
        <v/>
      </c>
      <c r="AA985" s="122"/>
      <c r="AB985" s="122"/>
      <c r="AC985" s="122"/>
      <c r="AD985" s="122"/>
      <c r="AE985" s="122"/>
      <c r="AF985" s="122"/>
      <c r="AG985" s="122"/>
      <c r="AH985" s="122"/>
      <c r="AI985" s="122"/>
      <c r="AJ985" s="122"/>
      <c r="AK985" s="122"/>
      <c r="AL985" s="122"/>
      <c r="AM985" s="122"/>
      <c r="AN985" s="122"/>
      <c r="AO985" s="122"/>
      <c r="AP985" s="122"/>
    </row>
    <row r="986" spans="2:42">
      <c r="B986" s="122"/>
      <c r="C986" s="122"/>
      <c r="D986" s="122"/>
      <c r="E986" s="122"/>
      <c r="F986" s="122"/>
      <c r="G986" s="122"/>
      <c r="H986" s="122"/>
      <c r="I986" s="275"/>
      <c r="J986" s="130"/>
      <c r="K986" s="130"/>
      <c r="L986" s="130"/>
      <c r="M986" s="130"/>
      <c r="N986" s="291"/>
      <c r="O986" s="291"/>
      <c r="P986" s="122"/>
      <c r="Q986" s="122"/>
      <c r="R986" s="122"/>
      <c r="S986" s="122"/>
      <c r="T986" s="122"/>
      <c r="U986" s="301"/>
      <c r="V986" s="260">
        <f t="shared" ca="1" si="23"/>
        <v>0</v>
      </c>
      <c r="W986" s="348" t="str">
        <f>IF(板块成分!B988="","",板块成分!B988)</f>
        <v>002486.SZ</v>
      </c>
      <c r="X986" s="276" t="str">
        <f>[1]!S_Info_Name(W986)</f>
        <v>嘉麟杰</v>
      </c>
      <c r="Y986" s="276" t="str">
        <f ca="1">IF($Y$3="申万一级行业",[1]!s_info_industry_sw_2021(W986,公司分析!D$5,1),IF($Y$3="申万二级行业",[1]!s_info_industry_sw_2021(W986,公司分析!D$5,2),IF($Y$3="申万三级行业",[1]!s_info_industry_sw_2021(W986,公司分析!D$5,3),IF($Y$3="wind一级行业",[1]!s_info_industry_gics(W986,1),IF($Y$3="wind二级行业",[1]!s_info_industry_gics(W986,2),IF($Y$3="wind三级行业",[1]!s_info_industry_gics(W986,3),IF($Y$3="wind四级行业",[1]!s_info_industry_gics(W986,4),IF($Y$3="证监会门类行业",[1]!s_info_industry_csrc12_n(W986,公司分析!D$5,1),""))))))))</f>
        <v>服装家纺</v>
      </c>
      <c r="Z986" s="302" t="str">
        <f ca="1">IF(Y986=行业比较!$E$6,ROW(),"")</f>
        <v/>
      </c>
      <c r="AA986" s="122"/>
      <c r="AB986" s="122"/>
      <c r="AC986" s="122"/>
      <c r="AD986" s="122"/>
      <c r="AE986" s="122"/>
      <c r="AF986" s="122"/>
      <c r="AG986" s="122"/>
      <c r="AH986" s="122"/>
      <c r="AI986" s="122"/>
      <c r="AJ986" s="122"/>
      <c r="AK986" s="122"/>
      <c r="AL986" s="122"/>
      <c r="AM986" s="122"/>
      <c r="AN986" s="122"/>
      <c r="AO986" s="122"/>
      <c r="AP986" s="122"/>
    </row>
    <row r="987" spans="2:42">
      <c r="B987" s="122"/>
      <c r="C987" s="122"/>
      <c r="D987" s="122"/>
      <c r="E987" s="122"/>
      <c r="F987" s="122"/>
      <c r="G987" s="122"/>
      <c r="H987" s="122"/>
      <c r="I987" s="275"/>
      <c r="J987" s="130"/>
      <c r="K987" s="130"/>
      <c r="L987" s="130"/>
      <c r="M987" s="130"/>
      <c r="N987" s="291"/>
      <c r="O987" s="291"/>
      <c r="P987" s="122"/>
      <c r="Q987" s="122"/>
      <c r="R987" s="122"/>
      <c r="S987" s="122"/>
      <c r="T987" s="122"/>
      <c r="U987" s="301"/>
      <c r="V987" s="260">
        <f t="shared" ca="1" si="23"/>
        <v>0</v>
      </c>
      <c r="W987" s="348" t="str">
        <f>IF(板块成分!B989="","",板块成分!B989)</f>
        <v>002487.SZ</v>
      </c>
      <c r="X987" s="276" t="str">
        <f>[1]!S_Info_Name(W987)</f>
        <v>大金重工</v>
      </c>
      <c r="Y987" s="276" t="str">
        <f ca="1">IF($Y$3="申万一级行业",[1]!s_info_industry_sw_2021(W987,公司分析!D$5,1),IF($Y$3="申万二级行业",[1]!s_info_industry_sw_2021(W987,公司分析!D$5,2),IF($Y$3="申万三级行业",[1]!s_info_industry_sw_2021(W987,公司分析!D$5,3),IF($Y$3="wind一级行业",[1]!s_info_industry_gics(W987,1),IF($Y$3="wind二级行业",[1]!s_info_industry_gics(W987,2),IF($Y$3="wind三级行业",[1]!s_info_industry_gics(W987,3),IF($Y$3="wind四级行业",[1]!s_info_industry_gics(W987,4),IF($Y$3="证监会门类行业",[1]!s_info_industry_csrc12_n(W987,公司分析!D$5,1),""))))))))</f>
        <v>风电设备</v>
      </c>
      <c r="Z987" s="302" t="str">
        <f ca="1">IF(Y987=行业比较!$E$6,ROW(),"")</f>
        <v/>
      </c>
      <c r="AA987" s="122"/>
      <c r="AB987" s="122"/>
      <c r="AC987" s="122"/>
      <c r="AD987" s="122"/>
      <c r="AE987" s="122"/>
      <c r="AF987" s="122"/>
      <c r="AG987" s="122"/>
      <c r="AH987" s="122"/>
      <c r="AI987" s="122"/>
      <c r="AJ987" s="122"/>
      <c r="AK987" s="122"/>
      <c r="AL987" s="122"/>
      <c r="AM987" s="122"/>
      <c r="AN987" s="122"/>
      <c r="AO987" s="122"/>
      <c r="AP987" s="122"/>
    </row>
    <row r="988" spans="2:42">
      <c r="B988" s="122"/>
      <c r="C988" s="122"/>
      <c r="D988" s="122"/>
      <c r="E988" s="122"/>
      <c r="F988" s="122"/>
      <c r="G988" s="122"/>
      <c r="H988" s="122"/>
      <c r="I988" s="275"/>
      <c r="J988" s="130"/>
      <c r="K988" s="130"/>
      <c r="L988" s="130"/>
      <c r="M988" s="130"/>
      <c r="N988" s="291"/>
      <c r="O988" s="291"/>
      <c r="P988" s="122"/>
      <c r="Q988" s="122"/>
      <c r="R988" s="122"/>
      <c r="S988" s="122"/>
      <c r="T988" s="122"/>
      <c r="U988" s="301"/>
      <c r="V988" s="260">
        <f t="shared" ca="1" si="23"/>
        <v>0</v>
      </c>
      <c r="W988" s="348" t="str">
        <f>IF(板块成分!B990="","",板块成分!B990)</f>
        <v>002488.SZ</v>
      </c>
      <c r="X988" s="276" t="str">
        <f>[1]!S_Info_Name(W988)</f>
        <v>金固股份</v>
      </c>
      <c r="Y988" s="276" t="str">
        <f ca="1">IF($Y$3="申万一级行业",[1]!s_info_industry_sw_2021(W988,公司分析!D$5,1),IF($Y$3="申万二级行业",[1]!s_info_industry_sw_2021(W988,公司分析!D$5,2),IF($Y$3="申万三级行业",[1]!s_info_industry_sw_2021(W988,公司分析!D$5,3),IF($Y$3="wind一级行业",[1]!s_info_industry_gics(W988,1),IF($Y$3="wind二级行业",[1]!s_info_industry_gics(W988,2),IF($Y$3="wind三级行业",[1]!s_info_industry_gics(W988,3),IF($Y$3="wind四级行业",[1]!s_info_industry_gics(W988,4),IF($Y$3="证监会门类行业",[1]!s_info_industry_csrc12_n(W988,公司分析!D$5,1),""))))))))</f>
        <v>汽车零部件</v>
      </c>
      <c r="Z988" s="302" t="str">
        <f ca="1">IF(Y988=行业比较!$E$6,ROW(),"")</f>
        <v/>
      </c>
      <c r="AA988" s="122"/>
      <c r="AB988" s="122"/>
      <c r="AC988" s="122"/>
      <c r="AD988" s="122"/>
      <c r="AE988" s="122"/>
      <c r="AF988" s="122"/>
      <c r="AG988" s="122"/>
      <c r="AH988" s="122"/>
      <c r="AI988" s="122"/>
      <c r="AJ988" s="122"/>
      <c r="AK988" s="122"/>
      <c r="AL988" s="122"/>
      <c r="AM988" s="122"/>
      <c r="AN988" s="122"/>
      <c r="AO988" s="122"/>
      <c r="AP988" s="122"/>
    </row>
    <row r="989" spans="2:42">
      <c r="B989" s="122"/>
      <c r="C989" s="122"/>
      <c r="D989" s="122"/>
      <c r="E989" s="122"/>
      <c r="F989" s="122"/>
      <c r="G989" s="122"/>
      <c r="H989" s="122"/>
      <c r="I989" s="275"/>
      <c r="J989" s="130"/>
      <c r="K989" s="130"/>
      <c r="L989" s="130"/>
      <c r="M989" s="130"/>
      <c r="N989" s="291"/>
      <c r="O989" s="291"/>
      <c r="P989" s="122"/>
      <c r="Q989" s="122"/>
      <c r="R989" s="122"/>
      <c r="S989" s="122"/>
      <c r="T989" s="122"/>
      <c r="U989" s="301"/>
      <c r="V989" s="260">
        <f t="shared" ca="1" si="23"/>
        <v>0</v>
      </c>
      <c r="W989" s="348" t="str">
        <f>IF(板块成分!B991="","",板块成分!B991)</f>
        <v>002489.SZ</v>
      </c>
      <c r="X989" s="276" t="str">
        <f>[1]!S_Info_Name(W989)</f>
        <v>浙江永强</v>
      </c>
      <c r="Y989" s="276" t="str">
        <f ca="1">IF($Y$3="申万一级行业",[1]!s_info_industry_sw_2021(W989,公司分析!D$5,1),IF($Y$3="申万二级行业",[1]!s_info_industry_sw_2021(W989,公司分析!D$5,2),IF($Y$3="申万三级行业",[1]!s_info_industry_sw_2021(W989,公司分析!D$5,3),IF($Y$3="wind一级行业",[1]!s_info_industry_gics(W989,1),IF($Y$3="wind二级行业",[1]!s_info_industry_gics(W989,2),IF($Y$3="wind三级行业",[1]!s_info_industry_gics(W989,3),IF($Y$3="wind四级行业",[1]!s_info_industry_gics(W989,4),IF($Y$3="证监会门类行业",[1]!s_info_industry_csrc12_n(W989,公司分析!D$5,1),""))))))))</f>
        <v>家居用品</v>
      </c>
      <c r="Z989" s="302" t="str">
        <f ca="1">IF(Y989=行业比较!$E$6,ROW(),"")</f>
        <v/>
      </c>
      <c r="AA989" s="122"/>
      <c r="AB989" s="122"/>
      <c r="AC989" s="122"/>
      <c r="AD989" s="122"/>
      <c r="AE989" s="122"/>
      <c r="AF989" s="122"/>
      <c r="AG989" s="122"/>
      <c r="AH989" s="122"/>
      <c r="AI989" s="122"/>
      <c r="AJ989" s="122"/>
      <c r="AK989" s="122"/>
      <c r="AL989" s="122"/>
      <c r="AM989" s="122"/>
      <c r="AN989" s="122"/>
      <c r="AO989" s="122"/>
      <c r="AP989" s="122"/>
    </row>
    <row r="990" spans="2:42">
      <c r="B990" s="122"/>
      <c r="C990" s="122"/>
      <c r="D990" s="122"/>
      <c r="E990" s="122"/>
      <c r="F990" s="122"/>
      <c r="G990" s="122"/>
      <c r="H990" s="122"/>
      <c r="I990" s="275"/>
      <c r="J990" s="130"/>
      <c r="K990" s="130"/>
      <c r="L990" s="130"/>
      <c r="M990" s="130"/>
      <c r="N990" s="291"/>
      <c r="O990" s="291"/>
      <c r="P990" s="122"/>
      <c r="Q990" s="122"/>
      <c r="R990" s="122"/>
      <c r="S990" s="122"/>
      <c r="T990" s="122"/>
      <c r="U990" s="301"/>
      <c r="V990" s="260">
        <f t="shared" ca="1" si="23"/>
        <v>0</v>
      </c>
      <c r="W990" s="348" t="str">
        <f>IF(板块成分!B992="","",板块成分!B992)</f>
        <v>002490.SZ</v>
      </c>
      <c r="X990" s="276" t="str">
        <f>[1]!S_Info_Name(W990)</f>
        <v>山东墨龙</v>
      </c>
      <c r="Y990" s="276" t="str">
        <f ca="1">IF($Y$3="申万一级行业",[1]!s_info_industry_sw_2021(W990,公司分析!D$5,1),IF($Y$3="申万二级行业",[1]!s_info_industry_sw_2021(W990,公司分析!D$5,2),IF($Y$3="申万三级行业",[1]!s_info_industry_sw_2021(W990,公司分析!D$5,3),IF($Y$3="wind一级行业",[1]!s_info_industry_gics(W990,1),IF($Y$3="wind二级行业",[1]!s_info_industry_gics(W990,2),IF($Y$3="wind三级行业",[1]!s_info_industry_gics(W990,3),IF($Y$3="wind四级行业",[1]!s_info_industry_gics(W990,4),IF($Y$3="证监会门类行业",[1]!s_info_industry_csrc12_n(W990,公司分析!D$5,1),""))))))))</f>
        <v>专用设备</v>
      </c>
      <c r="Z990" s="302" t="str">
        <f ca="1">IF(Y990=行业比较!$E$6,ROW(),"")</f>
        <v/>
      </c>
      <c r="AA990" s="122"/>
      <c r="AB990" s="122"/>
      <c r="AC990" s="122"/>
      <c r="AD990" s="122"/>
      <c r="AE990" s="122"/>
      <c r="AF990" s="122"/>
      <c r="AG990" s="122"/>
      <c r="AH990" s="122"/>
      <c r="AI990" s="122"/>
      <c r="AJ990" s="122"/>
      <c r="AK990" s="122"/>
      <c r="AL990" s="122"/>
      <c r="AM990" s="122"/>
      <c r="AN990" s="122"/>
      <c r="AO990" s="122"/>
      <c r="AP990" s="122"/>
    </row>
    <row r="991" spans="2:42">
      <c r="B991" s="122"/>
      <c r="C991" s="122"/>
      <c r="D991" s="122"/>
      <c r="E991" s="122"/>
      <c r="F991" s="122"/>
      <c r="G991" s="122"/>
      <c r="H991" s="122"/>
      <c r="I991" s="275"/>
      <c r="J991" s="130"/>
      <c r="K991" s="130"/>
      <c r="L991" s="130"/>
      <c r="M991" s="130"/>
      <c r="N991" s="291"/>
      <c r="O991" s="291"/>
      <c r="P991" s="122"/>
      <c r="Q991" s="122"/>
      <c r="R991" s="122"/>
      <c r="S991" s="122"/>
      <c r="T991" s="122"/>
      <c r="U991" s="301"/>
      <c r="V991" s="260">
        <f t="shared" ca="1" si="23"/>
        <v>0</v>
      </c>
      <c r="W991" s="348" t="str">
        <f>IF(板块成分!B993="","",板块成分!B993)</f>
        <v>002491.SZ</v>
      </c>
      <c r="X991" s="276" t="str">
        <f>[1]!S_Info_Name(W991)</f>
        <v>通鼎互联</v>
      </c>
      <c r="Y991" s="276" t="str">
        <f ca="1">IF($Y$3="申万一级行业",[1]!s_info_industry_sw_2021(W991,公司分析!D$5,1),IF($Y$3="申万二级行业",[1]!s_info_industry_sw_2021(W991,公司分析!D$5,2),IF($Y$3="申万三级行业",[1]!s_info_industry_sw_2021(W991,公司分析!D$5,3),IF($Y$3="wind一级行业",[1]!s_info_industry_gics(W991,1),IF($Y$3="wind二级行业",[1]!s_info_industry_gics(W991,2),IF($Y$3="wind三级行业",[1]!s_info_industry_gics(W991,3),IF($Y$3="wind四级行业",[1]!s_info_industry_gics(W991,4),IF($Y$3="证监会门类行业",[1]!s_info_industry_csrc12_n(W991,公司分析!D$5,1),""))))))))</f>
        <v>通信设备</v>
      </c>
      <c r="Z991" s="302" t="str">
        <f ca="1">IF(Y991=行业比较!$E$6,ROW(),"")</f>
        <v/>
      </c>
      <c r="AA991" s="122"/>
      <c r="AB991" s="122"/>
      <c r="AC991" s="122"/>
      <c r="AD991" s="122"/>
      <c r="AE991" s="122"/>
      <c r="AF991" s="122"/>
      <c r="AG991" s="122"/>
      <c r="AH991" s="122"/>
      <c r="AI991" s="122"/>
      <c r="AJ991" s="122"/>
      <c r="AK991" s="122"/>
      <c r="AL991" s="122"/>
      <c r="AM991" s="122"/>
      <c r="AN991" s="122"/>
      <c r="AO991" s="122"/>
      <c r="AP991" s="122"/>
    </row>
    <row r="992" spans="2:42">
      <c r="B992" s="122"/>
      <c r="C992" s="122"/>
      <c r="D992" s="122"/>
      <c r="E992" s="122"/>
      <c r="F992" s="122"/>
      <c r="G992" s="122"/>
      <c r="H992" s="122"/>
      <c r="I992" s="275"/>
      <c r="J992" s="130"/>
      <c r="K992" s="130"/>
      <c r="L992" s="130"/>
      <c r="M992" s="130"/>
      <c r="N992" s="291"/>
      <c r="O992" s="291"/>
      <c r="P992" s="122"/>
      <c r="Q992" s="122"/>
      <c r="R992" s="122"/>
      <c r="S992" s="122"/>
      <c r="T992" s="122"/>
      <c r="U992" s="301"/>
      <c r="V992" s="260">
        <f t="shared" ca="1" si="23"/>
        <v>0</v>
      </c>
      <c r="W992" s="348" t="str">
        <f>IF(板块成分!B994="","",板块成分!B994)</f>
        <v>002492.SZ</v>
      </c>
      <c r="X992" s="276" t="str">
        <f>[1]!S_Info_Name(W992)</f>
        <v>恒基达鑫</v>
      </c>
      <c r="Y992" s="276" t="str">
        <f ca="1">IF($Y$3="申万一级行业",[1]!s_info_industry_sw_2021(W992,公司分析!D$5,1),IF($Y$3="申万二级行业",[1]!s_info_industry_sw_2021(W992,公司分析!D$5,2),IF($Y$3="申万三级行业",[1]!s_info_industry_sw_2021(W992,公司分析!D$5,3),IF($Y$3="wind一级行业",[1]!s_info_industry_gics(W992,1),IF($Y$3="wind二级行业",[1]!s_info_industry_gics(W992,2),IF($Y$3="wind三级行业",[1]!s_info_industry_gics(W992,3),IF($Y$3="wind四级行业",[1]!s_info_industry_gics(W992,4),IF($Y$3="证监会门类行业",[1]!s_info_industry_csrc12_n(W992,公司分析!D$5,1),""))))))))</f>
        <v>物流</v>
      </c>
      <c r="Z992" s="302" t="str">
        <f ca="1">IF(Y992=行业比较!$E$6,ROW(),"")</f>
        <v/>
      </c>
      <c r="AA992" s="122"/>
      <c r="AB992" s="122"/>
      <c r="AC992" s="122"/>
      <c r="AD992" s="122"/>
      <c r="AE992" s="122"/>
      <c r="AF992" s="122"/>
      <c r="AG992" s="122"/>
      <c r="AH992" s="122"/>
      <c r="AI992" s="122"/>
      <c r="AJ992" s="122"/>
      <c r="AK992" s="122"/>
      <c r="AL992" s="122"/>
      <c r="AM992" s="122"/>
      <c r="AN992" s="122"/>
      <c r="AO992" s="122"/>
      <c r="AP992" s="122"/>
    </row>
    <row r="993" spans="2:42">
      <c r="B993" s="122"/>
      <c r="C993" s="122"/>
      <c r="D993" s="122"/>
      <c r="E993" s="122"/>
      <c r="F993" s="122"/>
      <c r="G993" s="122"/>
      <c r="H993" s="122"/>
      <c r="I993" s="275"/>
      <c r="J993" s="130"/>
      <c r="K993" s="130"/>
      <c r="L993" s="130"/>
      <c r="M993" s="130"/>
      <c r="N993" s="291"/>
      <c r="O993" s="291"/>
      <c r="P993" s="122"/>
      <c r="Q993" s="122"/>
      <c r="R993" s="122"/>
      <c r="S993" s="122"/>
      <c r="T993" s="122"/>
      <c r="U993" s="301"/>
      <c r="V993" s="260">
        <f t="shared" ca="1" si="23"/>
        <v>0</v>
      </c>
      <c r="W993" s="348" t="str">
        <f>IF(板块成分!B995="","",板块成分!B995)</f>
        <v>002493.SZ</v>
      </c>
      <c r="X993" s="276" t="str">
        <f>[1]!S_Info_Name(W993)</f>
        <v>荣盛石化</v>
      </c>
      <c r="Y993" s="276" t="str">
        <f ca="1">IF($Y$3="申万一级行业",[1]!s_info_industry_sw_2021(W993,公司分析!D$5,1),IF($Y$3="申万二级行业",[1]!s_info_industry_sw_2021(W993,公司分析!D$5,2),IF($Y$3="申万三级行业",[1]!s_info_industry_sw_2021(W993,公司分析!D$5,3),IF($Y$3="wind一级行业",[1]!s_info_industry_gics(W993,1),IF($Y$3="wind二级行业",[1]!s_info_industry_gics(W993,2),IF($Y$3="wind三级行业",[1]!s_info_industry_gics(W993,3),IF($Y$3="wind四级行业",[1]!s_info_industry_gics(W993,4),IF($Y$3="证监会门类行业",[1]!s_info_industry_csrc12_n(W993,公司分析!D$5,1),""))))))))</f>
        <v>炼化及贸易</v>
      </c>
      <c r="Z993" s="302" t="str">
        <f ca="1">IF(Y993=行业比较!$E$6,ROW(),"")</f>
        <v/>
      </c>
      <c r="AA993" s="122"/>
      <c r="AB993" s="122"/>
      <c r="AC993" s="122"/>
      <c r="AD993" s="122"/>
      <c r="AE993" s="122"/>
      <c r="AF993" s="122"/>
      <c r="AG993" s="122"/>
      <c r="AH993" s="122"/>
      <c r="AI993" s="122"/>
      <c r="AJ993" s="122"/>
      <c r="AK993" s="122"/>
      <c r="AL993" s="122"/>
      <c r="AM993" s="122"/>
      <c r="AN993" s="122"/>
      <c r="AO993" s="122"/>
      <c r="AP993" s="122"/>
    </row>
    <row r="994" spans="2:42">
      <c r="B994" s="122"/>
      <c r="C994" s="122"/>
      <c r="D994" s="122"/>
      <c r="E994" s="122"/>
      <c r="F994" s="122"/>
      <c r="G994" s="122"/>
      <c r="H994" s="122"/>
      <c r="I994" s="275"/>
      <c r="J994" s="130"/>
      <c r="K994" s="130"/>
      <c r="L994" s="130"/>
      <c r="M994" s="130"/>
      <c r="N994" s="291"/>
      <c r="O994" s="291"/>
      <c r="P994" s="122"/>
      <c r="Q994" s="122"/>
      <c r="R994" s="122"/>
      <c r="S994" s="122"/>
      <c r="T994" s="122"/>
      <c r="U994" s="301"/>
      <c r="V994" s="260">
        <f t="shared" ca="1" si="23"/>
        <v>0</v>
      </c>
      <c r="W994" s="348" t="str">
        <f>IF(板块成分!B996="","",板块成分!B996)</f>
        <v>002494.SZ</v>
      </c>
      <c r="X994" s="276" t="str">
        <f>[1]!S_Info_Name(W994)</f>
        <v>华斯股份</v>
      </c>
      <c r="Y994" s="276" t="str">
        <f ca="1">IF($Y$3="申万一级行业",[1]!s_info_industry_sw_2021(W994,公司分析!D$5,1),IF($Y$3="申万二级行业",[1]!s_info_industry_sw_2021(W994,公司分析!D$5,2),IF($Y$3="申万三级行业",[1]!s_info_industry_sw_2021(W994,公司分析!D$5,3),IF($Y$3="wind一级行业",[1]!s_info_industry_gics(W994,1),IF($Y$3="wind二级行业",[1]!s_info_industry_gics(W994,2),IF($Y$3="wind三级行业",[1]!s_info_industry_gics(W994,3),IF($Y$3="wind四级行业",[1]!s_info_industry_gics(W994,4),IF($Y$3="证监会门类行业",[1]!s_info_industry_csrc12_n(W994,公司分析!D$5,1),""))))))))</f>
        <v>服装家纺</v>
      </c>
      <c r="Z994" s="302" t="str">
        <f ca="1">IF(Y994=行业比较!$E$6,ROW(),"")</f>
        <v/>
      </c>
      <c r="AA994" s="122"/>
      <c r="AB994" s="122"/>
      <c r="AC994" s="122"/>
      <c r="AD994" s="122"/>
      <c r="AE994" s="122"/>
      <c r="AF994" s="122"/>
      <c r="AG994" s="122"/>
      <c r="AH994" s="122"/>
      <c r="AI994" s="122"/>
      <c r="AJ994" s="122"/>
      <c r="AK994" s="122"/>
      <c r="AL994" s="122"/>
      <c r="AM994" s="122"/>
      <c r="AN994" s="122"/>
      <c r="AO994" s="122"/>
      <c r="AP994" s="122"/>
    </row>
    <row r="995" spans="2:42">
      <c r="B995" s="122"/>
      <c r="C995" s="122"/>
      <c r="D995" s="122"/>
      <c r="E995" s="122"/>
      <c r="F995" s="122"/>
      <c r="G995" s="122"/>
      <c r="H995" s="122"/>
      <c r="I995" s="275"/>
      <c r="J995" s="130"/>
      <c r="K995" s="130"/>
      <c r="L995" s="130"/>
      <c r="M995" s="130"/>
      <c r="N995" s="291"/>
      <c r="O995" s="291"/>
      <c r="P995" s="122"/>
      <c r="Q995" s="122"/>
      <c r="R995" s="122"/>
      <c r="S995" s="122"/>
      <c r="T995" s="122"/>
      <c r="U995" s="301"/>
      <c r="V995" s="260">
        <f t="shared" ca="1" si="23"/>
        <v>0</v>
      </c>
      <c r="W995" s="348" t="str">
        <f>IF(板块成分!B997="","",板块成分!B997)</f>
        <v>002495.SZ</v>
      </c>
      <c r="X995" s="276" t="str">
        <f>[1]!S_Info_Name(W995)</f>
        <v>佳隆股份</v>
      </c>
      <c r="Y995" s="276" t="str">
        <f ca="1">IF($Y$3="申万一级行业",[1]!s_info_industry_sw_2021(W995,公司分析!D$5,1),IF($Y$3="申万二级行业",[1]!s_info_industry_sw_2021(W995,公司分析!D$5,2),IF($Y$3="申万三级行业",[1]!s_info_industry_sw_2021(W995,公司分析!D$5,3),IF($Y$3="wind一级行业",[1]!s_info_industry_gics(W995,1),IF($Y$3="wind二级行业",[1]!s_info_industry_gics(W995,2),IF($Y$3="wind三级行业",[1]!s_info_industry_gics(W995,3),IF($Y$3="wind四级行业",[1]!s_info_industry_gics(W995,4),IF($Y$3="证监会门类行业",[1]!s_info_industry_csrc12_n(W995,公司分析!D$5,1),""))))))))</f>
        <v>调味发酵品Ⅱ</v>
      </c>
      <c r="Z995" s="302" t="str">
        <f ca="1">IF(Y995=行业比较!$E$6,ROW(),"")</f>
        <v/>
      </c>
      <c r="AA995" s="122"/>
      <c r="AB995" s="122"/>
      <c r="AC995" s="122"/>
      <c r="AD995" s="122"/>
      <c r="AE995" s="122"/>
      <c r="AF995" s="122"/>
      <c r="AG995" s="122"/>
      <c r="AH995" s="122"/>
      <c r="AI995" s="122"/>
      <c r="AJ995" s="122"/>
      <c r="AK995" s="122"/>
      <c r="AL995" s="122"/>
      <c r="AM995" s="122"/>
      <c r="AN995" s="122"/>
      <c r="AO995" s="122"/>
      <c r="AP995" s="122"/>
    </row>
    <row r="996" spans="2:42">
      <c r="B996" s="122"/>
      <c r="C996" s="122"/>
      <c r="D996" s="122"/>
      <c r="E996" s="122"/>
      <c r="F996" s="122"/>
      <c r="G996" s="122"/>
      <c r="H996" s="122"/>
      <c r="I996" s="275"/>
      <c r="J996" s="130"/>
      <c r="K996" s="130"/>
      <c r="L996" s="130"/>
      <c r="M996" s="130"/>
      <c r="N996" s="291"/>
      <c r="O996" s="291"/>
      <c r="P996" s="122"/>
      <c r="Q996" s="122"/>
      <c r="R996" s="122"/>
      <c r="S996" s="122"/>
      <c r="T996" s="122"/>
      <c r="U996" s="301"/>
      <c r="V996" s="260">
        <f t="shared" ca="1" si="23"/>
        <v>0</v>
      </c>
      <c r="W996" s="348" t="str">
        <f>IF(板块成分!B998="","",板块成分!B998)</f>
        <v>002496.SZ</v>
      </c>
      <c r="X996" s="276" t="str">
        <f>[1]!S_Info_Name(W996)</f>
        <v>*ST辉丰</v>
      </c>
      <c r="Y996" s="276" t="str">
        <f ca="1">IF($Y$3="申万一级行业",[1]!s_info_industry_sw_2021(W996,公司分析!D$5,1),IF($Y$3="申万二级行业",[1]!s_info_industry_sw_2021(W996,公司分析!D$5,2),IF($Y$3="申万三级行业",[1]!s_info_industry_sw_2021(W996,公司分析!D$5,3),IF($Y$3="wind一级行业",[1]!s_info_industry_gics(W996,1),IF($Y$3="wind二级行业",[1]!s_info_industry_gics(W996,2),IF($Y$3="wind三级行业",[1]!s_info_industry_gics(W996,3),IF($Y$3="wind四级行业",[1]!s_info_industry_gics(W996,4),IF($Y$3="证监会门类行业",[1]!s_info_industry_csrc12_n(W996,公司分析!D$5,1),""))))))))</f>
        <v>农化制品</v>
      </c>
      <c r="Z996" s="302" t="str">
        <f ca="1">IF(Y996=行业比较!$E$6,ROW(),"")</f>
        <v/>
      </c>
      <c r="AA996" s="122"/>
      <c r="AB996" s="122"/>
      <c r="AC996" s="122"/>
      <c r="AD996" s="122"/>
      <c r="AE996" s="122"/>
      <c r="AF996" s="122"/>
      <c r="AG996" s="122"/>
      <c r="AH996" s="122"/>
      <c r="AI996" s="122"/>
      <c r="AJ996" s="122"/>
      <c r="AK996" s="122"/>
      <c r="AL996" s="122"/>
      <c r="AM996" s="122"/>
      <c r="AN996" s="122"/>
      <c r="AO996" s="122"/>
      <c r="AP996" s="122"/>
    </row>
    <row r="997" spans="2:42">
      <c r="B997" s="122"/>
      <c r="C997" s="122"/>
      <c r="D997" s="122"/>
      <c r="E997" s="122"/>
      <c r="F997" s="122"/>
      <c r="G997" s="122"/>
      <c r="H997" s="122"/>
      <c r="I997" s="275"/>
      <c r="J997" s="130"/>
      <c r="K997" s="130"/>
      <c r="L997" s="130"/>
      <c r="M997" s="130"/>
      <c r="N997" s="291"/>
      <c r="O997" s="291"/>
      <c r="P997" s="122"/>
      <c r="Q997" s="122"/>
      <c r="R997" s="122"/>
      <c r="S997" s="122"/>
      <c r="T997" s="122"/>
      <c r="U997" s="301"/>
      <c r="V997" s="260">
        <f t="shared" ca="1" si="23"/>
        <v>0</v>
      </c>
      <c r="W997" s="348" t="str">
        <f>IF(板块成分!B999="","",板块成分!B999)</f>
        <v>002497.SZ</v>
      </c>
      <c r="X997" s="276" t="str">
        <f>[1]!S_Info_Name(W997)</f>
        <v>雅化集团</v>
      </c>
      <c r="Y997" s="276" t="str">
        <f ca="1">IF($Y$3="申万一级行业",[1]!s_info_industry_sw_2021(W997,公司分析!D$5,1),IF($Y$3="申万二级行业",[1]!s_info_industry_sw_2021(W997,公司分析!D$5,2),IF($Y$3="申万三级行业",[1]!s_info_industry_sw_2021(W997,公司分析!D$5,3),IF($Y$3="wind一级行业",[1]!s_info_industry_gics(W997,1),IF($Y$3="wind二级行业",[1]!s_info_industry_gics(W997,2),IF($Y$3="wind三级行业",[1]!s_info_industry_gics(W997,3),IF($Y$3="wind四级行业",[1]!s_info_industry_gics(W997,4),IF($Y$3="证监会门类行业",[1]!s_info_industry_csrc12_n(W997,公司分析!D$5,1),""))))))))</f>
        <v>化学制品</v>
      </c>
      <c r="Z997" s="302" t="str">
        <f ca="1">IF(Y997=行业比较!$E$6,ROW(),"")</f>
        <v/>
      </c>
      <c r="AA997" s="122"/>
      <c r="AB997" s="122"/>
      <c r="AC997" s="122"/>
      <c r="AD997" s="122"/>
      <c r="AE997" s="122"/>
      <c r="AF997" s="122"/>
      <c r="AG997" s="122"/>
      <c r="AH997" s="122"/>
      <c r="AI997" s="122"/>
      <c r="AJ997" s="122"/>
      <c r="AK997" s="122"/>
      <c r="AL997" s="122"/>
      <c r="AM997" s="122"/>
      <c r="AN997" s="122"/>
      <c r="AO997" s="122"/>
      <c r="AP997" s="122"/>
    </row>
    <row r="998" spans="2:42">
      <c r="B998" s="122"/>
      <c r="C998" s="122"/>
      <c r="D998" s="122"/>
      <c r="E998" s="122"/>
      <c r="F998" s="122"/>
      <c r="G998" s="122"/>
      <c r="H998" s="122"/>
      <c r="I998" s="275"/>
      <c r="J998" s="130"/>
      <c r="K998" s="130"/>
      <c r="L998" s="130"/>
      <c r="M998" s="130"/>
      <c r="N998" s="291"/>
      <c r="O998" s="291"/>
      <c r="P998" s="122"/>
      <c r="Q998" s="122"/>
      <c r="R998" s="122"/>
      <c r="S998" s="122"/>
      <c r="T998" s="122"/>
      <c r="U998" s="301"/>
      <c r="V998" s="260">
        <f t="shared" ca="1" si="23"/>
        <v>0</v>
      </c>
      <c r="W998" s="348" t="str">
        <f>IF(板块成分!B1000="","",板块成分!B1000)</f>
        <v>002498.SZ</v>
      </c>
      <c r="X998" s="276" t="str">
        <f>[1]!S_Info_Name(W998)</f>
        <v>汉缆股份</v>
      </c>
      <c r="Y998" s="276" t="str">
        <f ca="1">IF($Y$3="申万一级行业",[1]!s_info_industry_sw_2021(W998,公司分析!D$5,1),IF($Y$3="申万二级行业",[1]!s_info_industry_sw_2021(W998,公司分析!D$5,2),IF($Y$3="申万三级行业",[1]!s_info_industry_sw_2021(W998,公司分析!D$5,3),IF($Y$3="wind一级行业",[1]!s_info_industry_gics(W998,1),IF($Y$3="wind二级行业",[1]!s_info_industry_gics(W998,2),IF($Y$3="wind三级行业",[1]!s_info_industry_gics(W998,3),IF($Y$3="wind四级行业",[1]!s_info_industry_gics(W998,4),IF($Y$3="证监会门类行业",[1]!s_info_industry_csrc12_n(W998,公司分析!D$5,1),""))))))))</f>
        <v>电网设备</v>
      </c>
      <c r="Z998" s="302" t="str">
        <f ca="1">IF(Y998=行业比较!$E$6,ROW(),"")</f>
        <v/>
      </c>
      <c r="AA998" s="122"/>
      <c r="AB998" s="122"/>
      <c r="AC998" s="122"/>
      <c r="AD998" s="122"/>
      <c r="AE998" s="122"/>
      <c r="AF998" s="122"/>
      <c r="AG998" s="122"/>
      <c r="AH998" s="122"/>
      <c r="AI998" s="122"/>
      <c r="AJ998" s="122"/>
      <c r="AK998" s="122"/>
      <c r="AL998" s="122"/>
      <c r="AM998" s="122"/>
      <c r="AN998" s="122"/>
      <c r="AO998" s="122"/>
      <c r="AP998" s="122"/>
    </row>
    <row r="999" spans="2:42">
      <c r="B999" s="122"/>
      <c r="C999" s="122"/>
      <c r="D999" s="122"/>
      <c r="E999" s="122"/>
      <c r="F999" s="122"/>
      <c r="G999" s="122"/>
      <c r="H999" s="122"/>
      <c r="I999" s="275"/>
      <c r="J999" s="130"/>
      <c r="K999" s="130"/>
      <c r="L999" s="130"/>
      <c r="M999" s="130"/>
      <c r="N999" s="291"/>
      <c r="O999" s="291"/>
      <c r="P999" s="122"/>
      <c r="Q999" s="122"/>
      <c r="R999" s="122"/>
      <c r="S999" s="122"/>
      <c r="T999" s="122"/>
      <c r="U999" s="301"/>
      <c r="V999" s="260">
        <f t="shared" ca="1" si="23"/>
        <v>0</v>
      </c>
      <c r="W999" s="348" t="str">
        <f>IF(板块成分!B1001="","",板块成分!B1001)</f>
        <v>002500.SZ</v>
      </c>
      <c r="X999" s="276" t="str">
        <f>[1]!S_Info_Name(W999)</f>
        <v>山西证券</v>
      </c>
      <c r="Y999" s="276" t="str">
        <f ca="1">IF($Y$3="申万一级行业",[1]!s_info_industry_sw_2021(W999,公司分析!D$5,1),IF($Y$3="申万二级行业",[1]!s_info_industry_sw_2021(W999,公司分析!D$5,2),IF($Y$3="申万三级行业",[1]!s_info_industry_sw_2021(W999,公司分析!D$5,3),IF($Y$3="wind一级行业",[1]!s_info_industry_gics(W999,1),IF($Y$3="wind二级行业",[1]!s_info_industry_gics(W999,2),IF($Y$3="wind三级行业",[1]!s_info_industry_gics(W999,3),IF($Y$3="wind四级行业",[1]!s_info_industry_gics(W999,4),IF($Y$3="证监会门类行业",[1]!s_info_industry_csrc12_n(W999,公司分析!D$5,1),""))))))))</f>
        <v>证券Ⅱ</v>
      </c>
      <c r="Z999" s="302" t="str">
        <f ca="1">IF(Y999=行业比较!$E$6,ROW(),"")</f>
        <v/>
      </c>
      <c r="AA999" s="122"/>
      <c r="AB999" s="122"/>
      <c r="AC999" s="122"/>
      <c r="AD999" s="122"/>
      <c r="AE999" s="122"/>
      <c r="AF999" s="122"/>
      <c r="AG999" s="122"/>
      <c r="AH999" s="122"/>
      <c r="AI999" s="122"/>
      <c r="AJ999" s="122"/>
      <c r="AK999" s="122"/>
      <c r="AL999" s="122"/>
      <c r="AM999" s="122"/>
      <c r="AN999" s="122"/>
      <c r="AO999" s="122"/>
      <c r="AP999" s="122"/>
    </row>
    <row r="1000" spans="2:42">
      <c r="B1000" s="122"/>
      <c r="C1000" s="122"/>
      <c r="D1000" s="122"/>
      <c r="E1000" s="122"/>
      <c r="F1000" s="122"/>
      <c r="G1000" s="122"/>
      <c r="H1000" s="122"/>
      <c r="I1000" s="275"/>
      <c r="J1000" s="130"/>
      <c r="K1000" s="130"/>
      <c r="L1000" s="130"/>
      <c r="M1000" s="130"/>
      <c r="N1000" s="291"/>
      <c r="O1000" s="291"/>
      <c r="P1000" s="122"/>
      <c r="Q1000" s="122"/>
      <c r="R1000" s="122"/>
      <c r="S1000" s="122"/>
      <c r="T1000" s="122"/>
      <c r="U1000" s="301"/>
      <c r="V1000" s="260">
        <f t="shared" ca="1" si="23"/>
        <v>19</v>
      </c>
      <c r="W1000" s="348" t="str">
        <f>IF(板块成分!B1002="","",板块成分!B1002)</f>
        <v>002501.SZ</v>
      </c>
      <c r="X1000" s="276" t="str">
        <f>[1]!S_Info_Name(W1000)</f>
        <v>利源股份</v>
      </c>
      <c r="Y1000" s="276" t="str">
        <f ca="1">IF($Y$3="申万一级行业",[1]!s_info_industry_sw_2021(W1000,公司分析!D$5,1),IF($Y$3="申万二级行业",[1]!s_info_industry_sw_2021(W1000,公司分析!D$5,2),IF($Y$3="申万三级行业",[1]!s_info_industry_sw_2021(W1000,公司分析!D$5,3),IF($Y$3="wind一级行业",[1]!s_info_industry_gics(W1000,1),IF($Y$3="wind二级行业",[1]!s_info_industry_gics(W1000,2),IF($Y$3="wind三级行业",[1]!s_info_industry_gics(W1000,3),IF($Y$3="wind四级行业",[1]!s_info_industry_gics(W1000,4),IF($Y$3="证监会门类行业",[1]!s_info_industry_csrc12_n(W1000,公司分析!D$5,1),""))))))))</f>
        <v>工业金属</v>
      </c>
      <c r="Z1000" s="302">
        <f ca="1">IF(Y1000=行业比较!$E$6,ROW(),"")</f>
        <v>1000</v>
      </c>
      <c r="AA1000" s="122"/>
      <c r="AB1000" s="122"/>
      <c r="AC1000" s="122"/>
      <c r="AD1000" s="122"/>
      <c r="AE1000" s="122"/>
      <c r="AF1000" s="122"/>
      <c r="AG1000" s="122"/>
      <c r="AH1000" s="122"/>
      <c r="AI1000" s="122"/>
      <c r="AJ1000" s="122"/>
      <c r="AK1000" s="122"/>
      <c r="AL1000" s="122"/>
      <c r="AM1000" s="122"/>
      <c r="AN1000" s="122"/>
      <c r="AO1000" s="122"/>
      <c r="AP1000" s="122"/>
    </row>
    <row r="1001" spans="2:42">
      <c r="B1001" s="122"/>
      <c r="C1001" s="122"/>
      <c r="D1001" s="122"/>
      <c r="E1001" s="122"/>
      <c r="F1001" s="122"/>
      <c r="G1001" s="122"/>
      <c r="H1001" s="122"/>
      <c r="I1001" s="275"/>
      <c r="J1001" s="130"/>
      <c r="K1001" s="130"/>
      <c r="L1001" s="130"/>
      <c r="M1001" s="130"/>
      <c r="N1001" s="291"/>
      <c r="O1001" s="291"/>
      <c r="P1001" s="122"/>
      <c r="Q1001" s="122"/>
      <c r="R1001" s="122"/>
      <c r="S1001" s="122"/>
      <c r="T1001" s="122"/>
      <c r="U1001" s="301"/>
      <c r="V1001" s="260">
        <f t="shared" ca="1" si="23"/>
        <v>0</v>
      </c>
      <c r="W1001" s="348" t="str">
        <f>IF(板块成分!B1003="","",板块成分!B1003)</f>
        <v>002506.SZ</v>
      </c>
      <c r="X1001" s="276" t="str">
        <f>[1]!S_Info_Name(W1001)</f>
        <v>协鑫集成</v>
      </c>
      <c r="Y1001" s="276" t="str">
        <f ca="1">IF($Y$3="申万一级行业",[1]!s_info_industry_sw_2021(W1001,公司分析!D$5,1),IF($Y$3="申万二级行业",[1]!s_info_industry_sw_2021(W1001,公司分析!D$5,2),IF($Y$3="申万三级行业",[1]!s_info_industry_sw_2021(W1001,公司分析!D$5,3),IF($Y$3="wind一级行业",[1]!s_info_industry_gics(W1001,1),IF($Y$3="wind二级行业",[1]!s_info_industry_gics(W1001,2),IF($Y$3="wind三级行业",[1]!s_info_industry_gics(W1001,3),IF($Y$3="wind四级行业",[1]!s_info_industry_gics(W1001,4),IF($Y$3="证监会门类行业",[1]!s_info_industry_csrc12_n(W1001,公司分析!D$5,1),""))))))))</f>
        <v>光伏设备</v>
      </c>
      <c r="Z1001" s="302" t="str">
        <f ca="1">IF(Y1001=行业比较!$E$6,ROW(),"")</f>
        <v/>
      </c>
      <c r="AA1001" s="122"/>
      <c r="AB1001" s="122"/>
      <c r="AC1001" s="122"/>
      <c r="AD1001" s="122"/>
      <c r="AE1001" s="122"/>
      <c r="AF1001" s="122"/>
      <c r="AG1001" s="122"/>
      <c r="AH1001" s="122"/>
      <c r="AI1001" s="122"/>
      <c r="AJ1001" s="122"/>
      <c r="AK1001" s="122"/>
      <c r="AL1001" s="122"/>
      <c r="AM1001" s="122"/>
      <c r="AN1001" s="122"/>
      <c r="AO1001" s="122"/>
      <c r="AP1001" s="122"/>
    </row>
    <row r="1002" spans="2:42">
      <c r="B1002" s="122"/>
      <c r="C1002" s="122"/>
      <c r="D1002" s="122"/>
      <c r="E1002" s="122"/>
      <c r="F1002" s="122"/>
      <c r="G1002" s="122"/>
      <c r="H1002" s="122"/>
      <c r="I1002" s="275"/>
      <c r="J1002" s="130"/>
      <c r="K1002" s="130"/>
      <c r="L1002" s="130"/>
      <c r="M1002" s="130"/>
      <c r="N1002" s="291"/>
      <c r="O1002" s="291"/>
      <c r="P1002" s="122"/>
      <c r="Q1002" s="122"/>
      <c r="R1002" s="122"/>
      <c r="S1002" s="122"/>
      <c r="T1002" s="122"/>
      <c r="U1002" s="301"/>
      <c r="V1002" s="260">
        <f t="shared" ca="1" si="23"/>
        <v>0</v>
      </c>
      <c r="W1002" s="348" t="str">
        <f>IF(板块成分!B1004="","",板块成分!B1004)</f>
        <v>002507.SZ</v>
      </c>
      <c r="X1002" s="276" t="str">
        <f>[1]!S_Info_Name(W1002)</f>
        <v>涪陵榨菜</v>
      </c>
      <c r="Y1002" s="276" t="str">
        <f ca="1">IF($Y$3="申万一级行业",[1]!s_info_industry_sw_2021(W1002,公司分析!D$5,1),IF($Y$3="申万二级行业",[1]!s_info_industry_sw_2021(W1002,公司分析!D$5,2),IF($Y$3="申万三级行业",[1]!s_info_industry_sw_2021(W1002,公司分析!D$5,3),IF($Y$3="wind一级行业",[1]!s_info_industry_gics(W1002,1),IF($Y$3="wind二级行业",[1]!s_info_industry_gics(W1002,2),IF($Y$3="wind三级行业",[1]!s_info_industry_gics(W1002,3),IF($Y$3="wind四级行业",[1]!s_info_industry_gics(W1002,4),IF($Y$3="证监会门类行业",[1]!s_info_industry_csrc12_n(W1002,公司分析!D$5,1),""))))))))</f>
        <v>调味发酵品Ⅱ</v>
      </c>
      <c r="Z1002" s="302" t="str">
        <f ca="1">IF(Y1002=行业比较!$E$6,ROW(),"")</f>
        <v/>
      </c>
      <c r="AA1002" s="122"/>
      <c r="AB1002" s="122"/>
      <c r="AC1002" s="122"/>
      <c r="AD1002" s="122"/>
      <c r="AE1002" s="122"/>
      <c r="AF1002" s="122"/>
      <c r="AG1002" s="122"/>
      <c r="AH1002" s="122"/>
      <c r="AI1002" s="122"/>
      <c r="AJ1002" s="122"/>
      <c r="AK1002" s="122"/>
      <c r="AL1002" s="122"/>
      <c r="AM1002" s="122"/>
      <c r="AN1002" s="122"/>
      <c r="AO1002" s="122"/>
      <c r="AP1002" s="122"/>
    </row>
    <row r="1003" spans="2:42">
      <c r="B1003" s="122"/>
      <c r="C1003" s="122"/>
      <c r="D1003" s="122"/>
      <c r="E1003" s="122"/>
      <c r="F1003" s="122"/>
      <c r="G1003" s="122"/>
      <c r="H1003" s="122"/>
      <c r="I1003" s="275"/>
      <c r="J1003" s="130"/>
      <c r="K1003" s="130"/>
      <c r="L1003" s="130"/>
      <c r="M1003" s="130"/>
      <c r="N1003" s="291"/>
      <c r="O1003" s="291"/>
      <c r="P1003" s="122"/>
      <c r="Q1003" s="122"/>
      <c r="R1003" s="122"/>
      <c r="S1003" s="122"/>
      <c r="T1003" s="122"/>
      <c r="U1003" s="301"/>
      <c r="V1003" s="260">
        <f t="shared" ca="1" si="23"/>
        <v>0</v>
      </c>
      <c r="W1003" s="348" t="str">
        <f>IF(板块成分!B1005="","",板块成分!B1005)</f>
        <v>002508.SZ</v>
      </c>
      <c r="X1003" s="276" t="str">
        <f>[1]!S_Info_Name(W1003)</f>
        <v>老板电器</v>
      </c>
      <c r="Y1003" s="276" t="str">
        <f ca="1">IF($Y$3="申万一级行业",[1]!s_info_industry_sw_2021(W1003,公司分析!D$5,1),IF($Y$3="申万二级行业",[1]!s_info_industry_sw_2021(W1003,公司分析!D$5,2),IF($Y$3="申万三级行业",[1]!s_info_industry_sw_2021(W1003,公司分析!D$5,3),IF($Y$3="wind一级行业",[1]!s_info_industry_gics(W1003,1),IF($Y$3="wind二级行业",[1]!s_info_industry_gics(W1003,2),IF($Y$3="wind三级行业",[1]!s_info_industry_gics(W1003,3),IF($Y$3="wind四级行业",[1]!s_info_industry_gics(W1003,4),IF($Y$3="证监会门类行业",[1]!s_info_industry_csrc12_n(W1003,公司分析!D$5,1),""))))))))</f>
        <v>厨卫电器</v>
      </c>
      <c r="Z1003" s="302" t="str">
        <f ca="1">IF(Y1003=行业比较!$E$6,ROW(),"")</f>
        <v/>
      </c>
      <c r="AA1003" s="122"/>
      <c r="AB1003" s="122"/>
      <c r="AC1003" s="122"/>
      <c r="AD1003" s="122"/>
      <c r="AE1003" s="122"/>
      <c r="AF1003" s="122"/>
      <c r="AG1003" s="122"/>
      <c r="AH1003" s="122"/>
      <c r="AI1003" s="122"/>
      <c r="AJ1003" s="122"/>
      <c r="AK1003" s="122"/>
      <c r="AL1003" s="122"/>
      <c r="AM1003" s="122"/>
      <c r="AN1003" s="122"/>
      <c r="AO1003" s="122"/>
      <c r="AP1003" s="122"/>
    </row>
    <row r="1004" spans="2:42">
      <c r="B1004" s="122"/>
      <c r="C1004" s="122"/>
      <c r="D1004" s="122"/>
      <c r="E1004" s="122"/>
      <c r="F1004" s="122"/>
      <c r="G1004" s="122"/>
      <c r="H1004" s="122"/>
      <c r="I1004" s="275"/>
      <c r="J1004" s="130"/>
      <c r="K1004" s="130"/>
      <c r="L1004" s="130"/>
      <c r="M1004" s="130"/>
      <c r="N1004" s="291"/>
      <c r="O1004" s="291"/>
      <c r="P1004" s="122"/>
      <c r="Q1004" s="122"/>
      <c r="R1004" s="122"/>
      <c r="S1004" s="122"/>
      <c r="T1004" s="122"/>
      <c r="U1004" s="301"/>
      <c r="V1004" s="260">
        <f t="shared" ca="1" si="23"/>
        <v>0</v>
      </c>
      <c r="W1004" s="348" t="str">
        <f>IF(板块成分!B1006="","",板块成分!B1006)</f>
        <v>002510.SZ</v>
      </c>
      <c r="X1004" s="276" t="str">
        <f>[1]!S_Info_Name(W1004)</f>
        <v>天汽模</v>
      </c>
      <c r="Y1004" s="276" t="str">
        <f ca="1">IF($Y$3="申万一级行业",[1]!s_info_industry_sw_2021(W1004,公司分析!D$5,1),IF($Y$3="申万二级行业",[1]!s_info_industry_sw_2021(W1004,公司分析!D$5,2),IF($Y$3="申万三级行业",[1]!s_info_industry_sw_2021(W1004,公司分析!D$5,3),IF($Y$3="wind一级行业",[1]!s_info_industry_gics(W1004,1),IF($Y$3="wind二级行业",[1]!s_info_industry_gics(W1004,2),IF($Y$3="wind三级行业",[1]!s_info_industry_gics(W1004,3),IF($Y$3="wind四级行业",[1]!s_info_industry_gics(W1004,4),IF($Y$3="证监会门类行业",[1]!s_info_industry_csrc12_n(W1004,公司分析!D$5,1),""))))))))</f>
        <v>汽车零部件</v>
      </c>
      <c r="Z1004" s="302" t="str">
        <f ca="1">IF(Y1004=行业比较!$E$6,ROW(),"")</f>
        <v/>
      </c>
      <c r="AA1004" s="122"/>
      <c r="AB1004" s="122"/>
      <c r="AC1004" s="122"/>
      <c r="AD1004" s="122"/>
      <c r="AE1004" s="122"/>
      <c r="AF1004" s="122"/>
      <c r="AG1004" s="122"/>
      <c r="AH1004" s="122"/>
      <c r="AI1004" s="122"/>
      <c r="AJ1004" s="122"/>
      <c r="AK1004" s="122"/>
      <c r="AL1004" s="122"/>
      <c r="AM1004" s="122"/>
      <c r="AN1004" s="122"/>
      <c r="AO1004" s="122"/>
      <c r="AP1004" s="122"/>
    </row>
    <row r="1005" spans="2:42">
      <c r="B1005" s="122"/>
      <c r="C1005" s="122"/>
      <c r="D1005" s="122"/>
      <c r="E1005" s="122"/>
      <c r="F1005" s="122"/>
      <c r="G1005" s="122"/>
      <c r="H1005" s="122"/>
      <c r="I1005" s="275"/>
      <c r="J1005" s="130"/>
      <c r="K1005" s="130"/>
      <c r="L1005" s="130"/>
      <c r="M1005" s="130"/>
      <c r="N1005" s="291"/>
      <c r="O1005" s="291"/>
      <c r="P1005" s="122"/>
      <c r="Q1005" s="122"/>
      <c r="R1005" s="122"/>
      <c r="S1005" s="122"/>
      <c r="T1005" s="122"/>
      <c r="U1005" s="301"/>
      <c r="V1005" s="260">
        <f t="shared" ca="1" si="23"/>
        <v>0</v>
      </c>
      <c r="W1005" s="348" t="str">
        <f>IF(板块成分!B1007="","",板块成分!B1007)</f>
        <v>002511.SZ</v>
      </c>
      <c r="X1005" s="276" t="str">
        <f>[1]!S_Info_Name(W1005)</f>
        <v>中顺洁柔</v>
      </c>
      <c r="Y1005" s="276" t="str">
        <f ca="1">IF($Y$3="申万一级行业",[1]!s_info_industry_sw_2021(W1005,公司分析!D$5,1),IF($Y$3="申万二级行业",[1]!s_info_industry_sw_2021(W1005,公司分析!D$5,2),IF($Y$3="申万三级行业",[1]!s_info_industry_sw_2021(W1005,公司分析!D$5,3),IF($Y$3="wind一级行业",[1]!s_info_industry_gics(W1005,1),IF($Y$3="wind二级行业",[1]!s_info_industry_gics(W1005,2),IF($Y$3="wind三级行业",[1]!s_info_industry_gics(W1005,3),IF($Y$3="wind四级行业",[1]!s_info_industry_gics(W1005,4),IF($Y$3="证监会门类行业",[1]!s_info_industry_csrc12_n(W1005,公司分析!D$5,1),""))))))))</f>
        <v>个护用品</v>
      </c>
      <c r="Z1005" s="302" t="str">
        <f ca="1">IF(Y1005=行业比较!$E$6,ROW(),"")</f>
        <v/>
      </c>
      <c r="AA1005" s="122"/>
      <c r="AB1005" s="122"/>
      <c r="AC1005" s="122"/>
      <c r="AD1005" s="122"/>
      <c r="AE1005" s="122"/>
      <c r="AF1005" s="122"/>
      <c r="AG1005" s="122"/>
      <c r="AH1005" s="122"/>
      <c r="AI1005" s="122"/>
      <c r="AJ1005" s="122"/>
      <c r="AK1005" s="122"/>
      <c r="AL1005" s="122"/>
      <c r="AM1005" s="122"/>
      <c r="AN1005" s="122"/>
      <c r="AO1005" s="122"/>
      <c r="AP1005" s="122"/>
    </row>
    <row r="1006" spans="2:42">
      <c r="B1006" s="122"/>
      <c r="C1006" s="122"/>
      <c r="D1006" s="122"/>
      <c r="E1006" s="122"/>
      <c r="F1006" s="122"/>
      <c r="G1006" s="122"/>
      <c r="H1006" s="122"/>
      <c r="I1006" s="275"/>
      <c r="J1006" s="130"/>
      <c r="K1006" s="130"/>
      <c r="L1006" s="130"/>
      <c r="M1006" s="130"/>
      <c r="N1006" s="291"/>
      <c r="O1006" s="291"/>
      <c r="P1006" s="122"/>
      <c r="Q1006" s="122"/>
      <c r="R1006" s="122"/>
      <c r="S1006" s="122"/>
      <c r="T1006" s="122"/>
      <c r="U1006" s="301"/>
      <c r="V1006" s="260">
        <f t="shared" ca="1" si="23"/>
        <v>0</v>
      </c>
      <c r="W1006" s="348" t="str">
        <f>IF(板块成分!B1008="","",板块成分!B1008)</f>
        <v>002512.SZ</v>
      </c>
      <c r="X1006" s="276" t="str">
        <f>[1]!S_Info_Name(W1006)</f>
        <v>ST达华</v>
      </c>
      <c r="Y1006" s="276" t="str">
        <f ca="1">IF($Y$3="申万一级行业",[1]!s_info_industry_sw_2021(W1006,公司分析!D$5,1),IF($Y$3="申万二级行业",[1]!s_info_industry_sw_2021(W1006,公司分析!D$5,2),IF($Y$3="申万三级行业",[1]!s_info_industry_sw_2021(W1006,公司分析!D$5,3),IF($Y$3="wind一级行业",[1]!s_info_industry_gics(W1006,1),IF($Y$3="wind二级行业",[1]!s_info_industry_gics(W1006,2),IF($Y$3="wind三级行业",[1]!s_info_industry_gics(W1006,3),IF($Y$3="wind四级行业",[1]!s_info_industry_gics(W1006,4),IF($Y$3="证监会门类行业",[1]!s_info_industry_csrc12_n(W1006,公司分析!D$5,1),""))))))))</f>
        <v>计算机设备</v>
      </c>
      <c r="Z1006" s="302" t="str">
        <f ca="1">IF(Y1006=行业比较!$E$6,ROW(),"")</f>
        <v/>
      </c>
      <c r="AA1006" s="122"/>
      <c r="AB1006" s="122"/>
      <c r="AC1006" s="122"/>
      <c r="AD1006" s="122"/>
      <c r="AE1006" s="122"/>
      <c r="AF1006" s="122"/>
      <c r="AG1006" s="122"/>
      <c r="AH1006" s="122"/>
      <c r="AI1006" s="122"/>
      <c r="AJ1006" s="122"/>
      <c r="AK1006" s="122"/>
      <c r="AL1006" s="122"/>
      <c r="AM1006" s="122"/>
      <c r="AN1006" s="122"/>
      <c r="AO1006" s="122"/>
      <c r="AP1006" s="122"/>
    </row>
    <row r="1007" spans="2:42">
      <c r="B1007" s="122"/>
      <c r="C1007" s="122"/>
      <c r="D1007" s="122"/>
      <c r="E1007" s="122"/>
      <c r="F1007" s="122"/>
      <c r="G1007" s="122"/>
      <c r="H1007" s="122"/>
      <c r="I1007" s="275"/>
      <c r="J1007" s="130"/>
      <c r="K1007" s="130"/>
      <c r="L1007" s="130"/>
      <c r="M1007" s="130"/>
      <c r="N1007" s="291"/>
      <c r="O1007" s="291"/>
      <c r="P1007" s="122"/>
      <c r="Q1007" s="122"/>
      <c r="R1007" s="122"/>
      <c r="S1007" s="122"/>
      <c r="T1007" s="122"/>
      <c r="U1007" s="301"/>
      <c r="V1007" s="260">
        <f t="shared" ca="1" si="23"/>
        <v>0</v>
      </c>
      <c r="W1007" s="348" t="str">
        <f>IF(板块成分!B1009="","",板块成分!B1009)</f>
        <v>002513.SZ</v>
      </c>
      <c r="X1007" s="276" t="str">
        <f>[1]!S_Info_Name(W1007)</f>
        <v>蓝丰生化</v>
      </c>
      <c r="Y1007" s="276" t="str">
        <f ca="1">IF($Y$3="申万一级行业",[1]!s_info_industry_sw_2021(W1007,公司分析!D$5,1),IF($Y$3="申万二级行业",[1]!s_info_industry_sw_2021(W1007,公司分析!D$5,2),IF($Y$3="申万三级行业",[1]!s_info_industry_sw_2021(W1007,公司分析!D$5,3),IF($Y$3="wind一级行业",[1]!s_info_industry_gics(W1007,1),IF($Y$3="wind二级行业",[1]!s_info_industry_gics(W1007,2),IF($Y$3="wind三级行业",[1]!s_info_industry_gics(W1007,3),IF($Y$3="wind四级行业",[1]!s_info_industry_gics(W1007,4),IF($Y$3="证监会门类行业",[1]!s_info_industry_csrc12_n(W1007,公司分析!D$5,1),""))))))))</f>
        <v>农化制品</v>
      </c>
      <c r="Z1007" s="302" t="str">
        <f ca="1">IF(Y1007=行业比较!$E$6,ROW(),"")</f>
        <v/>
      </c>
      <c r="AA1007" s="122"/>
      <c r="AB1007" s="122"/>
      <c r="AC1007" s="122"/>
      <c r="AD1007" s="122"/>
      <c r="AE1007" s="122"/>
      <c r="AF1007" s="122"/>
      <c r="AG1007" s="122"/>
      <c r="AH1007" s="122"/>
      <c r="AI1007" s="122"/>
      <c r="AJ1007" s="122"/>
      <c r="AK1007" s="122"/>
      <c r="AL1007" s="122"/>
      <c r="AM1007" s="122"/>
      <c r="AN1007" s="122"/>
      <c r="AO1007" s="122"/>
      <c r="AP1007" s="122"/>
    </row>
    <row r="1008" spans="2:42">
      <c r="B1008" s="122"/>
      <c r="C1008" s="122"/>
      <c r="D1008" s="122"/>
      <c r="E1008" s="122"/>
      <c r="F1008" s="122"/>
      <c r="G1008" s="122"/>
      <c r="H1008" s="122"/>
      <c r="I1008" s="275"/>
      <c r="J1008" s="130"/>
      <c r="K1008" s="130"/>
      <c r="L1008" s="130"/>
      <c r="M1008" s="130"/>
      <c r="N1008" s="291"/>
      <c r="O1008" s="291"/>
      <c r="P1008" s="122"/>
      <c r="Q1008" s="122"/>
      <c r="R1008" s="122"/>
      <c r="S1008" s="122"/>
      <c r="T1008" s="122"/>
      <c r="U1008" s="301"/>
      <c r="V1008" s="260">
        <f t="shared" ca="1" si="23"/>
        <v>0</v>
      </c>
      <c r="W1008" s="348" t="str">
        <f>IF(板块成分!B1010="","",板块成分!B1010)</f>
        <v>002514.SZ</v>
      </c>
      <c r="X1008" s="276" t="str">
        <f>[1]!S_Info_Name(W1008)</f>
        <v>宝馨科技</v>
      </c>
      <c r="Y1008" s="276" t="str">
        <f ca="1">IF($Y$3="申万一级行业",[1]!s_info_industry_sw_2021(W1008,公司分析!D$5,1),IF($Y$3="申万二级行业",[1]!s_info_industry_sw_2021(W1008,公司分析!D$5,2),IF($Y$3="申万三级行业",[1]!s_info_industry_sw_2021(W1008,公司分析!D$5,3),IF($Y$3="wind一级行业",[1]!s_info_industry_gics(W1008,1),IF($Y$3="wind二级行业",[1]!s_info_industry_gics(W1008,2),IF($Y$3="wind三级行业",[1]!s_info_industry_gics(W1008,3),IF($Y$3="wind四级行业",[1]!s_info_industry_gics(W1008,4),IF($Y$3="证监会门类行业",[1]!s_info_industry_csrc12_n(W1008,公司分析!D$5,1),""))))))))</f>
        <v>通用设备</v>
      </c>
      <c r="Z1008" s="302" t="str">
        <f ca="1">IF(Y1008=行业比较!$E$6,ROW(),"")</f>
        <v/>
      </c>
      <c r="AA1008" s="122"/>
      <c r="AB1008" s="122"/>
      <c r="AC1008" s="122"/>
      <c r="AD1008" s="122"/>
      <c r="AE1008" s="122"/>
      <c r="AF1008" s="122"/>
      <c r="AG1008" s="122"/>
      <c r="AH1008" s="122"/>
      <c r="AI1008" s="122"/>
      <c r="AJ1008" s="122"/>
      <c r="AK1008" s="122"/>
      <c r="AL1008" s="122"/>
      <c r="AM1008" s="122"/>
      <c r="AN1008" s="122"/>
      <c r="AO1008" s="122"/>
      <c r="AP1008" s="122"/>
    </row>
    <row r="1009" spans="2:42">
      <c r="B1009" s="122"/>
      <c r="C1009" s="122"/>
      <c r="D1009" s="122"/>
      <c r="E1009" s="122"/>
      <c r="F1009" s="122"/>
      <c r="G1009" s="122"/>
      <c r="H1009" s="122"/>
      <c r="I1009" s="275"/>
      <c r="J1009" s="130"/>
      <c r="K1009" s="130"/>
      <c r="L1009" s="130"/>
      <c r="M1009" s="130"/>
      <c r="N1009" s="291"/>
      <c r="O1009" s="291"/>
      <c r="P1009" s="122"/>
      <c r="Q1009" s="122"/>
      <c r="R1009" s="122"/>
      <c r="S1009" s="122"/>
      <c r="T1009" s="122"/>
      <c r="U1009" s="301"/>
      <c r="V1009" s="260">
        <f t="shared" ca="1" si="23"/>
        <v>0</v>
      </c>
      <c r="W1009" s="348" t="str">
        <f>IF(板块成分!B1011="","",板块成分!B1011)</f>
        <v>002515.SZ</v>
      </c>
      <c r="X1009" s="276" t="str">
        <f>[1]!S_Info_Name(W1009)</f>
        <v>金字火腿</v>
      </c>
      <c r="Y1009" s="276" t="str">
        <f ca="1">IF($Y$3="申万一级行业",[1]!s_info_industry_sw_2021(W1009,公司分析!D$5,1),IF($Y$3="申万二级行业",[1]!s_info_industry_sw_2021(W1009,公司分析!D$5,2),IF($Y$3="申万三级行业",[1]!s_info_industry_sw_2021(W1009,公司分析!D$5,3),IF($Y$3="wind一级行业",[1]!s_info_industry_gics(W1009,1),IF($Y$3="wind二级行业",[1]!s_info_industry_gics(W1009,2),IF($Y$3="wind三级行业",[1]!s_info_industry_gics(W1009,3),IF($Y$3="wind四级行业",[1]!s_info_industry_gics(W1009,4),IF($Y$3="证监会门类行业",[1]!s_info_industry_csrc12_n(W1009,公司分析!D$5,1),""))))))))</f>
        <v>食品加工</v>
      </c>
      <c r="Z1009" s="302" t="str">
        <f ca="1">IF(Y1009=行业比较!$E$6,ROW(),"")</f>
        <v/>
      </c>
      <c r="AA1009" s="122"/>
      <c r="AB1009" s="122"/>
      <c r="AC1009" s="122"/>
      <c r="AD1009" s="122"/>
      <c r="AE1009" s="122"/>
      <c r="AF1009" s="122"/>
      <c r="AG1009" s="122"/>
      <c r="AH1009" s="122"/>
      <c r="AI1009" s="122"/>
      <c r="AJ1009" s="122"/>
      <c r="AK1009" s="122"/>
      <c r="AL1009" s="122"/>
      <c r="AM1009" s="122"/>
      <c r="AN1009" s="122"/>
      <c r="AO1009" s="122"/>
      <c r="AP1009" s="122"/>
    </row>
    <row r="1010" spans="2:42">
      <c r="B1010" s="122"/>
      <c r="C1010" s="122"/>
      <c r="D1010" s="122"/>
      <c r="E1010" s="122"/>
      <c r="F1010" s="122"/>
      <c r="G1010" s="122"/>
      <c r="H1010" s="122"/>
      <c r="I1010" s="275"/>
      <c r="J1010" s="130"/>
      <c r="K1010" s="130"/>
      <c r="L1010" s="130"/>
      <c r="M1010" s="130"/>
      <c r="N1010" s="291"/>
      <c r="O1010" s="291"/>
      <c r="P1010" s="122"/>
      <c r="Q1010" s="122"/>
      <c r="R1010" s="122"/>
      <c r="S1010" s="122"/>
      <c r="T1010" s="122"/>
      <c r="U1010" s="301"/>
      <c r="V1010" s="260">
        <f t="shared" ca="1" si="23"/>
        <v>0</v>
      </c>
      <c r="W1010" s="348" t="str">
        <f>IF(板块成分!B1012="","",板块成分!B1012)</f>
        <v>002516.SZ</v>
      </c>
      <c r="X1010" s="276" t="str">
        <f>[1]!S_Info_Name(W1010)</f>
        <v>旷达科技</v>
      </c>
      <c r="Y1010" s="276" t="str">
        <f ca="1">IF($Y$3="申万一级行业",[1]!s_info_industry_sw_2021(W1010,公司分析!D$5,1),IF($Y$3="申万二级行业",[1]!s_info_industry_sw_2021(W1010,公司分析!D$5,2),IF($Y$3="申万三级行业",[1]!s_info_industry_sw_2021(W1010,公司分析!D$5,3),IF($Y$3="wind一级行业",[1]!s_info_industry_gics(W1010,1),IF($Y$3="wind二级行业",[1]!s_info_industry_gics(W1010,2),IF($Y$3="wind三级行业",[1]!s_info_industry_gics(W1010,3),IF($Y$3="wind四级行业",[1]!s_info_industry_gics(W1010,4),IF($Y$3="证监会门类行业",[1]!s_info_industry_csrc12_n(W1010,公司分析!D$5,1),""))))))))</f>
        <v>汽车零部件</v>
      </c>
      <c r="Z1010" s="302" t="str">
        <f ca="1">IF(Y1010=行业比较!$E$6,ROW(),"")</f>
        <v/>
      </c>
      <c r="AA1010" s="122"/>
      <c r="AB1010" s="122"/>
      <c r="AC1010" s="122"/>
      <c r="AD1010" s="122"/>
      <c r="AE1010" s="122"/>
      <c r="AF1010" s="122"/>
      <c r="AG1010" s="122"/>
      <c r="AH1010" s="122"/>
      <c r="AI1010" s="122"/>
      <c r="AJ1010" s="122"/>
      <c r="AK1010" s="122"/>
      <c r="AL1010" s="122"/>
      <c r="AM1010" s="122"/>
      <c r="AN1010" s="122"/>
      <c r="AO1010" s="122"/>
      <c r="AP1010" s="122"/>
    </row>
    <row r="1011" spans="2:42">
      <c r="B1011" s="122"/>
      <c r="C1011" s="122"/>
      <c r="D1011" s="122"/>
      <c r="E1011" s="122"/>
      <c r="F1011" s="122"/>
      <c r="G1011" s="122"/>
      <c r="H1011" s="122"/>
      <c r="I1011" s="275"/>
      <c r="J1011" s="130"/>
      <c r="K1011" s="130"/>
      <c r="L1011" s="130"/>
      <c r="M1011" s="130"/>
      <c r="N1011" s="291"/>
      <c r="O1011" s="291"/>
      <c r="P1011" s="122"/>
      <c r="Q1011" s="122"/>
      <c r="R1011" s="122"/>
      <c r="S1011" s="122"/>
      <c r="T1011" s="122"/>
      <c r="U1011" s="301"/>
      <c r="V1011" s="260">
        <f t="shared" ca="1" si="23"/>
        <v>0</v>
      </c>
      <c r="W1011" s="348" t="str">
        <f>IF(板块成分!B1013="","",板块成分!B1013)</f>
        <v>002517.SZ</v>
      </c>
      <c r="X1011" s="276" t="str">
        <f>[1]!S_Info_Name(W1011)</f>
        <v>恺英网络</v>
      </c>
      <c r="Y1011" s="276" t="str">
        <f ca="1">IF($Y$3="申万一级行业",[1]!s_info_industry_sw_2021(W1011,公司分析!D$5,1),IF($Y$3="申万二级行业",[1]!s_info_industry_sw_2021(W1011,公司分析!D$5,2),IF($Y$3="申万三级行业",[1]!s_info_industry_sw_2021(W1011,公司分析!D$5,3),IF($Y$3="wind一级行业",[1]!s_info_industry_gics(W1011,1),IF($Y$3="wind二级行业",[1]!s_info_industry_gics(W1011,2),IF($Y$3="wind三级行业",[1]!s_info_industry_gics(W1011,3),IF($Y$3="wind四级行业",[1]!s_info_industry_gics(W1011,4),IF($Y$3="证监会门类行业",[1]!s_info_industry_csrc12_n(W1011,公司分析!D$5,1),""))))))))</f>
        <v>游戏Ⅱ</v>
      </c>
      <c r="Z1011" s="302" t="str">
        <f ca="1">IF(Y1011=行业比较!$E$6,ROW(),"")</f>
        <v/>
      </c>
      <c r="AA1011" s="122"/>
      <c r="AB1011" s="122"/>
      <c r="AC1011" s="122"/>
      <c r="AD1011" s="122"/>
      <c r="AE1011" s="122"/>
      <c r="AF1011" s="122"/>
      <c r="AG1011" s="122"/>
      <c r="AH1011" s="122"/>
      <c r="AI1011" s="122"/>
      <c r="AJ1011" s="122"/>
      <c r="AK1011" s="122"/>
      <c r="AL1011" s="122"/>
      <c r="AM1011" s="122"/>
      <c r="AN1011" s="122"/>
      <c r="AO1011" s="122"/>
      <c r="AP1011" s="122"/>
    </row>
    <row r="1012" spans="2:42">
      <c r="B1012" s="122"/>
      <c r="C1012" s="122"/>
      <c r="D1012" s="122"/>
      <c r="E1012" s="122"/>
      <c r="F1012" s="122"/>
      <c r="G1012" s="122"/>
      <c r="H1012" s="122"/>
      <c r="I1012" s="275"/>
      <c r="J1012" s="130"/>
      <c r="K1012" s="130"/>
      <c r="L1012" s="130"/>
      <c r="M1012" s="130"/>
      <c r="N1012" s="291"/>
      <c r="O1012" s="291"/>
      <c r="P1012" s="122"/>
      <c r="Q1012" s="122"/>
      <c r="R1012" s="122"/>
      <c r="S1012" s="122"/>
      <c r="T1012" s="122"/>
      <c r="U1012" s="301"/>
      <c r="V1012" s="260">
        <f t="shared" ca="1" si="23"/>
        <v>0</v>
      </c>
      <c r="W1012" s="348" t="str">
        <f>IF(板块成分!B1014="","",板块成分!B1014)</f>
        <v>002518.SZ</v>
      </c>
      <c r="X1012" s="276" t="str">
        <f>[1]!S_Info_Name(W1012)</f>
        <v>科士达</v>
      </c>
      <c r="Y1012" s="276" t="str">
        <f ca="1">IF($Y$3="申万一级行业",[1]!s_info_industry_sw_2021(W1012,公司分析!D$5,1),IF($Y$3="申万二级行业",[1]!s_info_industry_sw_2021(W1012,公司分析!D$5,2),IF($Y$3="申万三级行业",[1]!s_info_industry_sw_2021(W1012,公司分析!D$5,3),IF($Y$3="wind一级行业",[1]!s_info_industry_gics(W1012,1),IF($Y$3="wind二级行业",[1]!s_info_industry_gics(W1012,2),IF($Y$3="wind三级行业",[1]!s_info_industry_gics(W1012,3),IF($Y$3="wind四级行业",[1]!s_info_industry_gics(W1012,4),IF($Y$3="证监会门类行业",[1]!s_info_industry_csrc12_n(W1012,公司分析!D$5,1),""))))))))</f>
        <v>其他电源设备Ⅱ</v>
      </c>
      <c r="Z1012" s="302" t="str">
        <f ca="1">IF(Y1012=行业比较!$E$6,ROW(),"")</f>
        <v/>
      </c>
      <c r="AA1012" s="122"/>
      <c r="AB1012" s="122"/>
      <c r="AC1012" s="122"/>
      <c r="AD1012" s="122"/>
      <c r="AE1012" s="122"/>
      <c r="AF1012" s="122"/>
      <c r="AG1012" s="122"/>
      <c r="AH1012" s="122"/>
      <c r="AI1012" s="122"/>
      <c r="AJ1012" s="122"/>
      <c r="AK1012" s="122"/>
      <c r="AL1012" s="122"/>
      <c r="AM1012" s="122"/>
      <c r="AN1012" s="122"/>
      <c r="AO1012" s="122"/>
      <c r="AP1012" s="122"/>
    </row>
    <row r="1013" spans="2:42">
      <c r="B1013" s="122"/>
      <c r="C1013" s="122"/>
      <c r="D1013" s="122"/>
      <c r="E1013" s="122"/>
      <c r="F1013" s="122"/>
      <c r="G1013" s="122"/>
      <c r="H1013" s="122"/>
      <c r="I1013" s="275"/>
      <c r="J1013" s="130"/>
      <c r="K1013" s="130"/>
      <c r="L1013" s="130"/>
      <c r="M1013" s="130"/>
      <c r="N1013" s="291"/>
      <c r="O1013" s="291"/>
      <c r="P1013" s="122"/>
      <c r="Q1013" s="122"/>
      <c r="R1013" s="122"/>
      <c r="S1013" s="122"/>
      <c r="T1013" s="122"/>
      <c r="U1013" s="301"/>
      <c r="V1013" s="260">
        <f t="shared" ca="1" si="23"/>
        <v>0</v>
      </c>
      <c r="W1013" s="348" t="str">
        <f>IF(板块成分!B1015="","",板块成分!B1015)</f>
        <v>002519.SZ</v>
      </c>
      <c r="X1013" s="276" t="str">
        <f>[1]!S_Info_Name(W1013)</f>
        <v>银河电子</v>
      </c>
      <c r="Y1013" s="276" t="str">
        <f ca="1">IF($Y$3="申万一级行业",[1]!s_info_industry_sw_2021(W1013,公司分析!D$5,1),IF($Y$3="申万二级行业",[1]!s_info_industry_sw_2021(W1013,公司分析!D$5,2),IF($Y$3="申万三级行业",[1]!s_info_industry_sw_2021(W1013,公司分析!D$5,3),IF($Y$3="wind一级行业",[1]!s_info_industry_gics(W1013,1),IF($Y$3="wind二级行业",[1]!s_info_industry_gics(W1013,2),IF($Y$3="wind三级行业",[1]!s_info_industry_gics(W1013,3),IF($Y$3="wind四级行业",[1]!s_info_industry_gics(W1013,4),IF($Y$3="证监会门类行业",[1]!s_info_industry_csrc12_n(W1013,公司分析!D$5,1),""))))))))</f>
        <v>地面兵装Ⅱ</v>
      </c>
      <c r="Z1013" s="302" t="str">
        <f ca="1">IF(Y1013=行业比较!$E$6,ROW(),"")</f>
        <v/>
      </c>
      <c r="AA1013" s="122"/>
      <c r="AB1013" s="122"/>
      <c r="AC1013" s="122"/>
      <c r="AD1013" s="122"/>
      <c r="AE1013" s="122"/>
      <c r="AF1013" s="122"/>
      <c r="AG1013" s="122"/>
      <c r="AH1013" s="122"/>
      <c r="AI1013" s="122"/>
      <c r="AJ1013" s="122"/>
      <c r="AK1013" s="122"/>
      <c r="AL1013" s="122"/>
      <c r="AM1013" s="122"/>
      <c r="AN1013" s="122"/>
      <c r="AO1013" s="122"/>
      <c r="AP1013" s="122"/>
    </row>
    <row r="1014" spans="2:42">
      <c r="B1014" s="122"/>
      <c r="C1014" s="122"/>
      <c r="D1014" s="122"/>
      <c r="E1014" s="122"/>
      <c r="F1014" s="122"/>
      <c r="G1014" s="122"/>
      <c r="H1014" s="122"/>
      <c r="I1014" s="275"/>
      <c r="J1014" s="130"/>
      <c r="K1014" s="130"/>
      <c r="L1014" s="130"/>
      <c r="M1014" s="130"/>
      <c r="N1014" s="291"/>
      <c r="O1014" s="291"/>
      <c r="P1014" s="122"/>
      <c r="Q1014" s="122"/>
      <c r="R1014" s="122"/>
      <c r="S1014" s="122"/>
      <c r="T1014" s="122"/>
      <c r="U1014" s="301"/>
      <c r="V1014" s="260">
        <f t="shared" ca="1" si="23"/>
        <v>0</v>
      </c>
      <c r="W1014" s="348" t="str">
        <f>IF(板块成分!B1016="","",板块成分!B1016)</f>
        <v>002520.SZ</v>
      </c>
      <c r="X1014" s="276" t="str">
        <f>[1]!S_Info_Name(W1014)</f>
        <v>日发精机</v>
      </c>
      <c r="Y1014" s="276" t="str">
        <f ca="1">IF($Y$3="申万一级行业",[1]!s_info_industry_sw_2021(W1014,公司分析!D$5,1),IF($Y$3="申万二级行业",[1]!s_info_industry_sw_2021(W1014,公司分析!D$5,2),IF($Y$3="申万三级行业",[1]!s_info_industry_sw_2021(W1014,公司分析!D$5,3),IF($Y$3="wind一级行业",[1]!s_info_industry_gics(W1014,1),IF($Y$3="wind二级行业",[1]!s_info_industry_gics(W1014,2),IF($Y$3="wind三级行业",[1]!s_info_industry_gics(W1014,3),IF($Y$3="wind四级行业",[1]!s_info_industry_gics(W1014,4),IF($Y$3="证监会门类行业",[1]!s_info_industry_csrc12_n(W1014,公司分析!D$5,1),""))))))))</f>
        <v>通用设备</v>
      </c>
      <c r="Z1014" s="302" t="str">
        <f ca="1">IF(Y1014=行业比较!$E$6,ROW(),"")</f>
        <v/>
      </c>
      <c r="AA1014" s="122"/>
      <c r="AB1014" s="122"/>
      <c r="AC1014" s="122"/>
      <c r="AD1014" s="122"/>
      <c r="AE1014" s="122"/>
      <c r="AF1014" s="122"/>
      <c r="AG1014" s="122"/>
      <c r="AH1014" s="122"/>
      <c r="AI1014" s="122"/>
      <c r="AJ1014" s="122"/>
      <c r="AK1014" s="122"/>
      <c r="AL1014" s="122"/>
      <c r="AM1014" s="122"/>
      <c r="AN1014" s="122"/>
      <c r="AO1014" s="122"/>
      <c r="AP1014" s="122"/>
    </row>
    <row r="1015" spans="2:42">
      <c r="B1015" s="122"/>
      <c r="C1015" s="122"/>
      <c r="D1015" s="122"/>
      <c r="E1015" s="122"/>
      <c r="F1015" s="122"/>
      <c r="G1015" s="122"/>
      <c r="H1015" s="122"/>
      <c r="I1015" s="275"/>
      <c r="J1015" s="130"/>
      <c r="K1015" s="130"/>
      <c r="L1015" s="130"/>
      <c r="M1015" s="130"/>
      <c r="N1015" s="291"/>
      <c r="O1015" s="291"/>
      <c r="P1015" s="122"/>
      <c r="Q1015" s="122"/>
      <c r="R1015" s="122"/>
      <c r="S1015" s="122"/>
      <c r="T1015" s="122"/>
      <c r="U1015" s="301"/>
      <c r="V1015" s="260">
        <f t="shared" ca="1" si="23"/>
        <v>0</v>
      </c>
      <c r="W1015" s="348" t="str">
        <f>IF(板块成分!B1017="","",板块成分!B1017)</f>
        <v>002521.SZ</v>
      </c>
      <c r="X1015" s="276" t="str">
        <f>[1]!S_Info_Name(W1015)</f>
        <v>齐峰新材</v>
      </c>
      <c r="Y1015" s="276" t="str">
        <f ca="1">IF($Y$3="申万一级行业",[1]!s_info_industry_sw_2021(W1015,公司分析!D$5,1),IF($Y$3="申万二级行业",[1]!s_info_industry_sw_2021(W1015,公司分析!D$5,2),IF($Y$3="申万三级行业",[1]!s_info_industry_sw_2021(W1015,公司分析!D$5,3),IF($Y$3="wind一级行业",[1]!s_info_industry_gics(W1015,1),IF($Y$3="wind二级行业",[1]!s_info_industry_gics(W1015,2),IF($Y$3="wind三级行业",[1]!s_info_industry_gics(W1015,3),IF($Y$3="wind四级行业",[1]!s_info_industry_gics(W1015,4),IF($Y$3="证监会门类行业",[1]!s_info_industry_csrc12_n(W1015,公司分析!D$5,1),""))))))))</f>
        <v>造纸</v>
      </c>
      <c r="Z1015" s="302" t="str">
        <f ca="1">IF(Y1015=行业比较!$E$6,ROW(),"")</f>
        <v/>
      </c>
      <c r="AA1015" s="122"/>
      <c r="AB1015" s="122"/>
      <c r="AC1015" s="122"/>
      <c r="AD1015" s="122"/>
      <c r="AE1015" s="122"/>
      <c r="AF1015" s="122"/>
      <c r="AG1015" s="122"/>
      <c r="AH1015" s="122"/>
      <c r="AI1015" s="122"/>
      <c r="AJ1015" s="122"/>
      <c r="AK1015" s="122"/>
      <c r="AL1015" s="122"/>
      <c r="AM1015" s="122"/>
      <c r="AN1015" s="122"/>
      <c r="AO1015" s="122"/>
      <c r="AP1015" s="122"/>
    </row>
    <row r="1016" spans="2:42">
      <c r="B1016" s="122"/>
      <c r="C1016" s="122"/>
      <c r="D1016" s="122"/>
      <c r="E1016" s="122"/>
      <c r="F1016" s="122"/>
      <c r="G1016" s="122"/>
      <c r="H1016" s="122"/>
      <c r="I1016" s="275"/>
      <c r="J1016" s="130"/>
      <c r="K1016" s="130"/>
      <c r="L1016" s="130"/>
      <c r="M1016" s="130"/>
      <c r="N1016" s="291"/>
      <c r="O1016" s="291"/>
      <c r="P1016" s="122"/>
      <c r="Q1016" s="122"/>
      <c r="R1016" s="122"/>
      <c r="S1016" s="122"/>
      <c r="T1016" s="122"/>
      <c r="U1016" s="301"/>
      <c r="V1016" s="260">
        <f t="shared" ca="1" si="23"/>
        <v>0</v>
      </c>
      <c r="W1016" s="348" t="str">
        <f>IF(板块成分!B1018="","",板块成分!B1018)</f>
        <v>002522.SZ</v>
      </c>
      <c r="X1016" s="276" t="str">
        <f>[1]!S_Info_Name(W1016)</f>
        <v>浙江众成</v>
      </c>
      <c r="Y1016" s="276" t="str">
        <f ca="1">IF($Y$3="申万一级行业",[1]!s_info_industry_sw_2021(W1016,公司分析!D$5,1),IF($Y$3="申万二级行业",[1]!s_info_industry_sw_2021(W1016,公司分析!D$5,2),IF($Y$3="申万三级行业",[1]!s_info_industry_sw_2021(W1016,公司分析!D$5,3),IF($Y$3="wind一级行业",[1]!s_info_industry_gics(W1016,1),IF($Y$3="wind二级行业",[1]!s_info_industry_gics(W1016,2),IF($Y$3="wind三级行业",[1]!s_info_industry_gics(W1016,3),IF($Y$3="wind四级行业",[1]!s_info_industry_gics(W1016,4),IF($Y$3="证监会门类行业",[1]!s_info_industry_csrc12_n(W1016,公司分析!D$5,1),""))))))))</f>
        <v>塑料</v>
      </c>
      <c r="Z1016" s="302" t="str">
        <f ca="1">IF(Y1016=行业比较!$E$6,ROW(),"")</f>
        <v/>
      </c>
      <c r="AA1016" s="122"/>
      <c r="AB1016" s="122"/>
      <c r="AC1016" s="122"/>
      <c r="AD1016" s="122"/>
      <c r="AE1016" s="122"/>
      <c r="AF1016" s="122"/>
      <c r="AG1016" s="122"/>
      <c r="AH1016" s="122"/>
      <c r="AI1016" s="122"/>
      <c r="AJ1016" s="122"/>
      <c r="AK1016" s="122"/>
      <c r="AL1016" s="122"/>
      <c r="AM1016" s="122"/>
      <c r="AN1016" s="122"/>
      <c r="AO1016" s="122"/>
      <c r="AP1016" s="122"/>
    </row>
    <row r="1017" spans="2:42">
      <c r="B1017" s="122"/>
      <c r="C1017" s="122"/>
      <c r="D1017" s="122"/>
      <c r="E1017" s="122"/>
      <c r="F1017" s="122"/>
      <c r="G1017" s="122"/>
      <c r="H1017" s="122"/>
      <c r="I1017" s="275"/>
      <c r="J1017" s="130"/>
      <c r="K1017" s="130"/>
      <c r="L1017" s="130"/>
      <c r="M1017" s="130"/>
      <c r="N1017" s="291"/>
      <c r="O1017" s="291"/>
      <c r="P1017" s="122"/>
      <c r="Q1017" s="122"/>
      <c r="R1017" s="122"/>
      <c r="S1017" s="122"/>
      <c r="T1017" s="122"/>
      <c r="U1017" s="301"/>
      <c r="V1017" s="260">
        <f t="shared" ca="1" si="23"/>
        <v>0</v>
      </c>
      <c r="W1017" s="348" t="str">
        <f>IF(板块成分!B1019="","",板块成分!B1019)</f>
        <v>002523.SZ</v>
      </c>
      <c r="X1017" s="276" t="str">
        <f>[1]!S_Info_Name(W1017)</f>
        <v>天桥起重</v>
      </c>
      <c r="Y1017" s="276" t="str">
        <f ca="1">IF($Y$3="申万一级行业",[1]!s_info_industry_sw_2021(W1017,公司分析!D$5,1),IF($Y$3="申万二级行业",[1]!s_info_industry_sw_2021(W1017,公司分析!D$5,2),IF($Y$3="申万三级行业",[1]!s_info_industry_sw_2021(W1017,公司分析!D$5,3),IF($Y$3="wind一级行业",[1]!s_info_industry_gics(W1017,1),IF($Y$3="wind二级行业",[1]!s_info_industry_gics(W1017,2),IF($Y$3="wind三级行业",[1]!s_info_industry_gics(W1017,3),IF($Y$3="wind四级行业",[1]!s_info_industry_gics(W1017,4),IF($Y$3="证监会门类行业",[1]!s_info_industry_csrc12_n(W1017,公司分析!D$5,1),""))))))))</f>
        <v>专用设备</v>
      </c>
      <c r="Z1017" s="302" t="str">
        <f ca="1">IF(Y1017=行业比较!$E$6,ROW(),"")</f>
        <v/>
      </c>
      <c r="AA1017" s="122"/>
      <c r="AB1017" s="122"/>
      <c r="AC1017" s="122"/>
      <c r="AD1017" s="122"/>
      <c r="AE1017" s="122"/>
      <c r="AF1017" s="122"/>
      <c r="AG1017" s="122"/>
      <c r="AH1017" s="122"/>
      <c r="AI1017" s="122"/>
      <c r="AJ1017" s="122"/>
      <c r="AK1017" s="122"/>
      <c r="AL1017" s="122"/>
      <c r="AM1017" s="122"/>
      <c r="AN1017" s="122"/>
      <c r="AO1017" s="122"/>
      <c r="AP1017" s="122"/>
    </row>
    <row r="1018" spans="2:42">
      <c r="B1018" s="122"/>
      <c r="C1018" s="122"/>
      <c r="D1018" s="122"/>
      <c r="E1018" s="122"/>
      <c r="F1018" s="122"/>
      <c r="G1018" s="122"/>
      <c r="H1018" s="122"/>
      <c r="I1018" s="275"/>
      <c r="J1018" s="130"/>
      <c r="K1018" s="130"/>
      <c r="L1018" s="130"/>
      <c r="M1018" s="130"/>
      <c r="N1018" s="291"/>
      <c r="O1018" s="291"/>
      <c r="P1018" s="122"/>
      <c r="Q1018" s="122"/>
      <c r="R1018" s="122"/>
      <c r="S1018" s="122"/>
      <c r="T1018" s="122"/>
      <c r="U1018" s="301"/>
      <c r="V1018" s="260">
        <f t="shared" ca="1" si="23"/>
        <v>0</v>
      </c>
      <c r="W1018" s="348" t="str">
        <f>IF(板块成分!B1020="","",板块成分!B1020)</f>
        <v>002524.SZ</v>
      </c>
      <c r="X1018" s="276" t="str">
        <f>[1]!S_Info_Name(W1018)</f>
        <v>光正眼科</v>
      </c>
      <c r="Y1018" s="276" t="str">
        <f ca="1">IF($Y$3="申万一级行业",[1]!s_info_industry_sw_2021(W1018,公司分析!D$5,1),IF($Y$3="申万二级行业",[1]!s_info_industry_sw_2021(W1018,公司分析!D$5,2),IF($Y$3="申万三级行业",[1]!s_info_industry_sw_2021(W1018,公司分析!D$5,3),IF($Y$3="wind一级行业",[1]!s_info_industry_gics(W1018,1),IF($Y$3="wind二级行业",[1]!s_info_industry_gics(W1018,2),IF($Y$3="wind三级行业",[1]!s_info_industry_gics(W1018,3),IF($Y$3="wind四级行业",[1]!s_info_industry_gics(W1018,4),IF($Y$3="证监会门类行业",[1]!s_info_industry_csrc12_n(W1018,公司分析!D$5,1),""))))))))</f>
        <v>医疗服务</v>
      </c>
      <c r="Z1018" s="302" t="str">
        <f ca="1">IF(Y1018=行业比较!$E$6,ROW(),"")</f>
        <v/>
      </c>
      <c r="AA1018" s="122"/>
      <c r="AB1018" s="122"/>
      <c r="AC1018" s="122"/>
      <c r="AD1018" s="122"/>
      <c r="AE1018" s="122"/>
      <c r="AF1018" s="122"/>
      <c r="AG1018" s="122"/>
      <c r="AH1018" s="122"/>
      <c r="AI1018" s="122"/>
      <c r="AJ1018" s="122"/>
      <c r="AK1018" s="122"/>
      <c r="AL1018" s="122"/>
      <c r="AM1018" s="122"/>
      <c r="AN1018" s="122"/>
      <c r="AO1018" s="122"/>
      <c r="AP1018" s="122"/>
    </row>
    <row r="1019" spans="2:42">
      <c r="B1019" s="122"/>
      <c r="C1019" s="122"/>
      <c r="D1019" s="122"/>
      <c r="E1019" s="122"/>
      <c r="F1019" s="122"/>
      <c r="G1019" s="122"/>
      <c r="H1019" s="122"/>
      <c r="I1019" s="275"/>
      <c r="J1019" s="130"/>
      <c r="K1019" s="130"/>
      <c r="L1019" s="130"/>
      <c r="M1019" s="130"/>
      <c r="N1019" s="291"/>
      <c r="O1019" s="291"/>
      <c r="P1019" s="122"/>
      <c r="Q1019" s="122"/>
      <c r="R1019" s="122"/>
      <c r="S1019" s="122"/>
      <c r="T1019" s="122"/>
      <c r="U1019" s="301"/>
      <c r="V1019" s="260">
        <f t="shared" ca="1" si="23"/>
        <v>0</v>
      </c>
      <c r="W1019" s="348" t="str">
        <f>IF(板块成分!B1021="","",板块成分!B1021)</f>
        <v>002526.SZ</v>
      </c>
      <c r="X1019" s="276" t="str">
        <f>[1]!S_Info_Name(W1019)</f>
        <v>山东矿机</v>
      </c>
      <c r="Y1019" s="276" t="str">
        <f ca="1">IF($Y$3="申万一级行业",[1]!s_info_industry_sw_2021(W1019,公司分析!D$5,1),IF($Y$3="申万二级行业",[1]!s_info_industry_sw_2021(W1019,公司分析!D$5,2),IF($Y$3="申万三级行业",[1]!s_info_industry_sw_2021(W1019,公司分析!D$5,3),IF($Y$3="wind一级行业",[1]!s_info_industry_gics(W1019,1),IF($Y$3="wind二级行业",[1]!s_info_industry_gics(W1019,2),IF($Y$3="wind三级行业",[1]!s_info_industry_gics(W1019,3),IF($Y$3="wind四级行业",[1]!s_info_industry_gics(W1019,4),IF($Y$3="证监会门类行业",[1]!s_info_industry_csrc12_n(W1019,公司分析!D$5,1),""))))))))</f>
        <v>专用设备</v>
      </c>
      <c r="Z1019" s="302" t="str">
        <f ca="1">IF(Y1019=行业比较!$E$6,ROW(),"")</f>
        <v/>
      </c>
      <c r="AA1019" s="122"/>
      <c r="AB1019" s="122"/>
      <c r="AC1019" s="122"/>
      <c r="AD1019" s="122"/>
      <c r="AE1019" s="122"/>
      <c r="AF1019" s="122"/>
      <c r="AG1019" s="122"/>
      <c r="AH1019" s="122"/>
      <c r="AI1019" s="122"/>
      <c r="AJ1019" s="122"/>
      <c r="AK1019" s="122"/>
      <c r="AL1019" s="122"/>
      <c r="AM1019" s="122"/>
      <c r="AN1019" s="122"/>
      <c r="AO1019" s="122"/>
      <c r="AP1019" s="122"/>
    </row>
    <row r="1020" spans="2:42">
      <c r="B1020" s="122"/>
      <c r="C1020" s="122"/>
      <c r="D1020" s="122"/>
      <c r="E1020" s="122"/>
      <c r="F1020" s="122"/>
      <c r="G1020" s="122"/>
      <c r="H1020" s="122"/>
      <c r="I1020" s="275"/>
      <c r="J1020" s="130"/>
      <c r="K1020" s="130"/>
      <c r="L1020" s="130"/>
      <c r="M1020" s="130"/>
      <c r="N1020" s="291"/>
      <c r="O1020" s="291"/>
      <c r="P1020" s="122"/>
      <c r="Q1020" s="122"/>
      <c r="R1020" s="122"/>
      <c r="S1020" s="122"/>
      <c r="T1020" s="122"/>
      <c r="U1020" s="301"/>
      <c r="V1020" s="260">
        <f t="shared" ca="1" si="23"/>
        <v>0</v>
      </c>
      <c r="W1020" s="348" t="str">
        <f>IF(板块成分!B1022="","",板块成分!B1022)</f>
        <v>002527.SZ</v>
      </c>
      <c r="X1020" s="276" t="str">
        <f>[1]!S_Info_Name(W1020)</f>
        <v>新时达</v>
      </c>
      <c r="Y1020" s="276" t="str">
        <f ca="1">IF($Y$3="申万一级行业",[1]!s_info_industry_sw_2021(W1020,公司分析!D$5,1),IF($Y$3="申万二级行业",[1]!s_info_industry_sw_2021(W1020,公司分析!D$5,2),IF($Y$3="申万三级行业",[1]!s_info_industry_sw_2021(W1020,公司分析!D$5,3),IF($Y$3="wind一级行业",[1]!s_info_industry_gics(W1020,1),IF($Y$3="wind二级行业",[1]!s_info_industry_gics(W1020,2),IF($Y$3="wind三级行业",[1]!s_info_industry_gics(W1020,3),IF($Y$3="wind四级行业",[1]!s_info_industry_gics(W1020,4),IF($Y$3="证监会门类行业",[1]!s_info_industry_csrc12_n(W1020,公司分析!D$5,1),""))))))))</f>
        <v>专用设备</v>
      </c>
      <c r="Z1020" s="302" t="str">
        <f ca="1">IF(Y1020=行业比较!$E$6,ROW(),"")</f>
        <v/>
      </c>
      <c r="AA1020" s="122"/>
      <c r="AB1020" s="122"/>
      <c r="AC1020" s="122"/>
      <c r="AD1020" s="122"/>
      <c r="AE1020" s="122"/>
      <c r="AF1020" s="122"/>
      <c r="AG1020" s="122"/>
      <c r="AH1020" s="122"/>
      <c r="AI1020" s="122"/>
      <c r="AJ1020" s="122"/>
      <c r="AK1020" s="122"/>
      <c r="AL1020" s="122"/>
      <c r="AM1020" s="122"/>
      <c r="AN1020" s="122"/>
      <c r="AO1020" s="122"/>
      <c r="AP1020" s="122"/>
    </row>
    <row r="1021" spans="2:42">
      <c r="B1021" s="122"/>
      <c r="C1021" s="122"/>
      <c r="D1021" s="122"/>
      <c r="E1021" s="122"/>
      <c r="F1021" s="122"/>
      <c r="G1021" s="122"/>
      <c r="H1021" s="122"/>
      <c r="I1021" s="275"/>
      <c r="J1021" s="130"/>
      <c r="K1021" s="130"/>
      <c r="L1021" s="130"/>
      <c r="M1021" s="130"/>
      <c r="N1021" s="291"/>
      <c r="O1021" s="291"/>
      <c r="P1021" s="122"/>
      <c r="Q1021" s="122"/>
      <c r="R1021" s="122"/>
      <c r="S1021" s="122"/>
      <c r="T1021" s="122"/>
      <c r="U1021" s="301"/>
      <c r="V1021" s="260">
        <f t="shared" ca="1" si="23"/>
        <v>0</v>
      </c>
      <c r="W1021" s="348" t="str">
        <f>IF(板块成分!B1023="","",板块成分!B1023)</f>
        <v>002528.SZ</v>
      </c>
      <c r="X1021" s="276" t="str">
        <f>[1]!S_Info_Name(W1021)</f>
        <v>ST英飞拓</v>
      </c>
      <c r="Y1021" s="276" t="str">
        <f ca="1">IF($Y$3="申万一级行业",[1]!s_info_industry_sw_2021(W1021,公司分析!D$5,1),IF($Y$3="申万二级行业",[1]!s_info_industry_sw_2021(W1021,公司分析!D$5,2),IF($Y$3="申万三级行业",[1]!s_info_industry_sw_2021(W1021,公司分析!D$5,3),IF($Y$3="wind一级行业",[1]!s_info_industry_gics(W1021,1),IF($Y$3="wind二级行业",[1]!s_info_industry_gics(W1021,2),IF($Y$3="wind三级行业",[1]!s_info_industry_gics(W1021,3),IF($Y$3="wind四级行业",[1]!s_info_industry_gics(W1021,4),IF($Y$3="证监会门类行业",[1]!s_info_industry_csrc12_n(W1021,公司分析!D$5,1),""))))))))</f>
        <v>计算机设备</v>
      </c>
      <c r="Z1021" s="302" t="str">
        <f ca="1">IF(Y1021=行业比较!$E$6,ROW(),"")</f>
        <v/>
      </c>
      <c r="AA1021" s="122"/>
      <c r="AB1021" s="122"/>
      <c r="AC1021" s="122"/>
      <c r="AD1021" s="122"/>
      <c r="AE1021" s="122"/>
      <c r="AF1021" s="122"/>
      <c r="AG1021" s="122"/>
      <c r="AH1021" s="122"/>
      <c r="AI1021" s="122"/>
      <c r="AJ1021" s="122"/>
      <c r="AK1021" s="122"/>
      <c r="AL1021" s="122"/>
      <c r="AM1021" s="122"/>
      <c r="AN1021" s="122"/>
      <c r="AO1021" s="122"/>
      <c r="AP1021" s="122"/>
    </row>
    <row r="1022" spans="2:42">
      <c r="B1022" s="122"/>
      <c r="C1022" s="122"/>
      <c r="D1022" s="122"/>
      <c r="E1022" s="122"/>
      <c r="F1022" s="122"/>
      <c r="G1022" s="122"/>
      <c r="H1022" s="122"/>
      <c r="I1022" s="275"/>
      <c r="J1022" s="130"/>
      <c r="K1022" s="130"/>
      <c r="L1022" s="130"/>
      <c r="M1022" s="130"/>
      <c r="N1022" s="291"/>
      <c r="O1022" s="291"/>
      <c r="P1022" s="122"/>
      <c r="Q1022" s="122"/>
      <c r="R1022" s="122"/>
      <c r="S1022" s="122"/>
      <c r="T1022" s="122"/>
      <c r="U1022" s="301"/>
      <c r="V1022" s="260">
        <f t="shared" ca="1" si="23"/>
        <v>0</v>
      </c>
      <c r="W1022" s="348" t="str">
        <f>IF(板块成分!B1024="","",板块成分!B1024)</f>
        <v>002529.SZ</v>
      </c>
      <c r="X1022" s="276" t="str">
        <f>[1]!S_Info_Name(W1022)</f>
        <v>*ST海源</v>
      </c>
      <c r="Y1022" s="276" t="str">
        <f ca="1">IF($Y$3="申万一级行业",[1]!s_info_industry_sw_2021(W1022,公司分析!D$5,1),IF($Y$3="申万二级行业",[1]!s_info_industry_sw_2021(W1022,公司分析!D$5,2),IF($Y$3="申万三级行业",[1]!s_info_industry_sw_2021(W1022,公司分析!D$5,3),IF($Y$3="wind一级行业",[1]!s_info_industry_gics(W1022,1),IF($Y$3="wind二级行业",[1]!s_info_industry_gics(W1022,2),IF($Y$3="wind三级行业",[1]!s_info_industry_gics(W1022,3),IF($Y$3="wind四级行业",[1]!s_info_industry_gics(W1022,4),IF($Y$3="证监会门类行业",[1]!s_info_industry_csrc12_n(W1022,公司分析!D$5,1),""))))))))</f>
        <v>专用设备</v>
      </c>
      <c r="Z1022" s="302" t="str">
        <f ca="1">IF(Y1022=行业比较!$E$6,ROW(),"")</f>
        <v/>
      </c>
      <c r="AA1022" s="122"/>
      <c r="AB1022" s="122"/>
      <c r="AC1022" s="122"/>
      <c r="AD1022" s="122"/>
      <c r="AE1022" s="122"/>
      <c r="AF1022" s="122"/>
      <c r="AG1022" s="122"/>
      <c r="AH1022" s="122"/>
      <c r="AI1022" s="122"/>
      <c r="AJ1022" s="122"/>
      <c r="AK1022" s="122"/>
      <c r="AL1022" s="122"/>
      <c r="AM1022" s="122"/>
      <c r="AN1022" s="122"/>
      <c r="AO1022" s="122"/>
      <c r="AP1022" s="122"/>
    </row>
    <row r="1023" spans="2:42">
      <c r="B1023" s="122"/>
      <c r="C1023" s="122"/>
      <c r="D1023" s="122"/>
      <c r="E1023" s="122"/>
      <c r="F1023" s="122"/>
      <c r="G1023" s="122"/>
      <c r="H1023" s="122"/>
      <c r="I1023" s="275"/>
      <c r="J1023" s="130"/>
      <c r="K1023" s="130"/>
      <c r="L1023" s="130"/>
      <c r="M1023" s="130"/>
      <c r="N1023" s="291"/>
      <c r="O1023" s="291"/>
      <c r="P1023" s="122"/>
      <c r="Q1023" s="122"/>
      <c r="R1023" s="122"/>
      <c r="S1023" s="122"/>
      <c r="T1023" s="122"/>
      <c r="U1023" s="301"/>
      <c r="V1023" s="260">
        <f t="shared" ca="1" si="23"/>
        <v>0</v>
      </c>
      <c r="W1023" s="348" t="str">
        <f>IF(板块成分!B1025="","",板块成分!B1025)</f>
        <v>002530.SZ</v>
      </c>
      <c r="X1023" s="276" t="str">
        <f>[1]!S_Info_Name(W1023)</f>
        <v>金财互联</v>
      </c>
      <c r="Y1023" s="276" t="str">
        <f ca="1">IF($Y$3="申万一级行业",[1]!s_info_industry_sw_2021(W1023,公司分析!D$5,1),IF($Y$3="申万二级行业",[1]!s_info_industry_sw_2021(W1023,公司分析!D$5,2),IF($Y$3="申万三级行业",[1]!s_info_industry_sw_2021(W1023,公司分析!D$5,3),IF($Y$3="wind一级行业",[1]!s_info_industry_gics(W1023,1),IF($Y$3="wind二级行业",[1]!s_info_industry_gics(W1023,2),IF($Y$3="wind三级行业",[1]!s_info_industry_gics(W1023,3),IF($Y$3="wind四级行业",[1]!s_info_industry_gics(W1023,4),IF($Y$3="证监会门类行业",[1]!s_info_industry_csrc12_n(W1023,公司分析!D$5,1),""))))))))</f>
        <v>专用设备</v>
      </c>
      <c r="Z1023" s="302" t="str">
        <f ca="1">IF(Y1023=行业比较!$E$6,ROW(),"")</f>
        <v/>
      </c>
      <c r="AA1023" s="122"/>
      <c r="AB1023" s="122"/>
      <c r="AC1023" s="122"/>
      <c r="AD1023" s="122"/>
      <c r="AE1023" s="122"/>
      <c r="AF1023" s="122"/>
      <c r="AG1023" s="122"/>
      <c r="AH1023" s="122"/>
      <c r="AI1023" s="122"/>
      <c r="AJ1023" s="122"/>
      <c r="AK1023" s="122"/>
      <c r="AL1023" s="122"/>
      <c r="AM1023" s="122"/>
      <c r="AN1023" s="122"/>
      <c r="AO1023" s="122"/>
      <c r="AP1023" s="122"/>
    </row>
    <row r="1024" spans="2:42">
      <c r="B1024" s="122"/>
      <c r="C1024" s="122"/>
      <c r="D1024" s="122"/>
      <c r="E1024" s="122"/>
      <c r="F1024" s="122"/>
      <c r="G1024" s="122"/>
      <c r="H1024" s="122"/>
      <c r="I1024" s="275"/>
      <c r="J1024" s="130"/>
      <c r="K1024" s="130"/>
      <c r="L1024" s="130"/>
      <c r="M1024" s="130"/>
      <c r="N1024" s="291"/>
      <c r="O1024" s="291"/>
      <c r="P1024" s="122"/>
      <c r="Q1024" s="122"/>
      <c r="R1024" s="122"/>
      <c r="S1024" s="122"/>
      <c r="T1024" s="122"/>
      <c r="U1024" s="301"/>
      <c r="V1024" s="260">
        <f t="shared" ca="1" si="23"/>
        <v>0</v>
      </c>
      <c r="W1024" s="348" t="str">
        <f>IF(板块成分!B1026="","",板块成分!B1026)</f>
        <v>002531.SZ</v>
      </c>
      <c r="X1024" s="276" t="str">
        <f>[1]!S_Info_Name(W1024)</f>
        <v>天顺风能</v>
      </c>
      <c r="Y1024" s="276" t="str">
        <f ca="1">IF($Y$3="申万一级行业",[1]!s_info_industry_sw_2021(W1024,公司分析!D$5,1),IF($Y$3="申万二级行业",[1]!s_info_industry_sw_2021(W1024,公司分析!D$5,2),IF($Y$3="申万三级行业",[1]!s_info_industry_sw_2021(W1024,公司分析!D$5,3),IF($Y$3="wind一级行业",[1]!s_info_industry_gics(W1024,1),IF($Y$3="wind二级行业",[1]!s_info_industry_gics(W1024,2),IF($Y$3="wind三级行业",[1]!s_info_industry_gics(W1024,3),IF($Y$3="wind四级行业",[1]!s_info_industry_gics(W1024,4),IF($Y$3="证监会门类行业",[1]!s_info_industry_csrc12_n(W1024,公司分析!D$5,1),""))))))))</f>
        <v>风电设备</v>
      </c>
      <c r="Z1024" s="302" t="str">
        <f ca="1">IF(Y1024=行业比较!$E$6,ROW(),"")</f>
        <v/>
      </c>
      <c r="AA1024" s="122"/>
      <c r="AB1024" s="122"/>
      <c r="AC1024" s="122"/>
      <c r="AD1024" s="122"/>
      <c r="AE1024" s="122"/>
      <c r="AF1024" s="122"/>
      <c r="AG1024" s="122"/>
      <c r="AH1024" s="122"/>
      <c r="AI1024" s="122"/>
      <c r="AJ1024" s="122"/>
      <c r="AK1024" s="122"/>
      <c r="AL1024" s="122"/>
      <c r="AM1024" s="122"/>
      <c r="AN1024" s="122"/>
      <c r="AO1024" s="122"/>
      <c r="AP1024" s="122"/>
    </row>
    <row r="1025" spans="2:42">
      <c r="B1025" s="122"/>
      <c r="C1025" s="122"/>
      <c r="D1025" s="122"/>
      <c r="E1025" s="122"/>
      <c r="F1025" s="122"/>
      <c r="G1025" s="122"/>
      <c r="H1025" s="122"/>
      <c r="I1025" s="275"/>
      <c r="J1025" s="130"/>
      <c r="K1025" s="130"/>
      <c r="L1025" s="130"/>
      <c r="M1025" s="130"/>
      <c r="N1025" s="291"/>
      <c r="O1025" s="291"/>
      <c r="P1025" s="122"/>
      <c r="Q1025" s="122"/>
      <c r="R1025" s="122"/>
      <c r="S1025" s="122"/>
      <c r="T1025" s="122"/>
      <c r="U1025" s="301"/>
      <c r="V1025" s="260">
        <f t="shared" ca="1" si="23"/>
        <v>20</v>
      </c>
      <c r="W1025" s="348" t="str">
        <f>IF(板块成分!B1027="","",板块成分!B1027)</f>
        <v>002532.SZ</v>
      </c>
      <c r="X1025" s="276" t="str">
        <f>[1]!S_Info_Name(W1025)</f>
        <v>天山铝业</v>
      </c>
      <c r="Y1025" s="276" t="str">
        <f ca="1">IF($Y$3="申万一级行业",[1]!s_info_industry_sw_2021(W1025,公司分析!D$5,1),IF($Y$3="申万二级行业",[1]!s_info_industry_sw_2021(W1025,公司分析!D$5,2),IF($Y$3="申万三级行业",[1]!s_info_industry_sw_2021(W1025,公司分析!D$5,3),IF($Y$3="wind一级行业",[1]!s_info_industry_gics(W1025,1),IF($Y$3="wind二级行业",[1]!s_info_industry_gics(W1025,2),IF($Y$3="wind三级行业",[1]!s_info_industry_gics(W1025,3),IF($Y$3="wind四级行业",[1]!s_info_industry_gics(W1025,4),IF($Y$3="证监会门类行业",[1]!s_info_industry_csrc12_n(W1025,公司分析!D$5,1),""))))))))</f>
        <v>工业金属</v>
      </c>
      <c r="Z1025" s="302">
        <f ca="1">IF(Y1025=行业比较!$E$6,ROW(),"")</f>
        <v>1025</v>
      </c>
      <c r="AA1025" s="122"/>
      <c r="AB1025" s="122"/>
      <c r="AC1025" s="122"/>
      <c r="AD1025" s="122"/>
      <c r="AE1025" s="122"/>
      <c r="AF1025" s="122"/>
      <c r="AG1025" s="122"/>
      <c r="AH1025" s="122"/>
      <c r="AI1025" s="122"/>
      <c r="AJ1025" s="122"/>
      <c r="AK1025" s="122"/>
      <c r="AL1025" s="122"/>
      <c r="AM1025" s="122"/>
      <c r="AN1025" s="122"/>
      <c r="AO1025" s="122"/>
      <c r="AP1025" s="122"/>
    </row>
    <row r="1026" spans="2:42">
      <c r="B1026" s="122"/>
      <c r="C1026" s="122"/>
      <c r="D1026" s="122"/>
      <c r="E1026" s="122"/>
      <c r="F1026" s="122"/>
      <c r="G1026" s="122"/>
      <c r="H1026" s="122"/>
      <c r="I1026" s="275"/>
      <c r="J1026" s="130"/>
      <c r="K1026" s="130"/>
      <c r="L1026" s="130"/>
      <c r="M1026" s="130"/>
      <c r="N1026" s="291"/>
      <c r="O1026" s="291"/>
      <c r="P1026" s="122"/>
      <c r="Q1026" s="122"/>
      <c r="R1026" s="122"/>
      <c r="S1026" s="122"/>
      <c r="T1026" s="122"/>
      <c r="U1026" s="301"/>
      <c r="V1026" s="260">
        <f t="shared" ca="1" si="23"/>
        <v>0</v>
      </c>
      <c r="W1026" s="348" t="str">
        <f>IF(板块成分!B1028="","",板块成分!B1028)</f>
        <v>002533.SZ</v>
      </c>
      <c r="X1026" s="276" t="str">
        <f>[1]!S_Info_Name(W1026)</f>
        <v>金杯电工</v>
      </c>
      <c r="Y1026" s="276" t="str">
        <f ca="1">IF($Y$3="申万一级行业",[1]!s_info_industry_sw_2021(W1026,公司分析!D$5,1),IF($Y$3="申万二级行业",[1]!s_info_industry_sw_2021(W1026,公司分析!D$5,2),IF($Y$3="申万三级行业",[1]!s_info_industry_sw_2021(W1026,公司分析!D$5,3),IF($Y$3="wind一级行业",[1]!s_info_industry_gics(W1026,1),IF($Y$3="wind二级行业",[1]!s_info_industry_gics(W1026,2),IF($Y$3="wind三级行业",[1]!s_info_industry_gics(W1026,3),IF($Y$3="wind四级行业",[1]!s_info_industry_gics(W1026,4),IF($Y$3="证监会门类行业",[1]!s_info_industry_csrc12_n(W1026,公司分析!D$5,1),""))))))))</f>
        <v>电网设备</v>
      </c>
      <c r="Z1026" s="302" t="str">
        <f ca="1">IF(Y1026=行业比较!$E$6,ROW(),"")</f>
        <v/>
      </c>
      <c r="AA1026" s="122"/>
      <c r="AB1026" s="122"/>
      <c r="AC1026" s="122"/>
      <c r="AD1026" s="122"/>
      <c r="AE1026" s="122"/>
      <c r="AF1026" s="122"/>
      <c r="AG1026" s="122"/>
      <c r="AH1026" s="122"/>
      <c r="AI1026" s="122"/>
      <c r="AJ1026" s="122"/>
      <c r="AK1026" s="122"/>
      <c r="AL1026" s="122"/>
      <c r="AM1026" s="122"/>
      <c r="AN1026" s="122"/>
      <c r="AO1026" s="122"/>
      <c r="AP1026" s="122"/>
    </row>
    <row r="1027" spans="2:42">
      <c r="B1027" s="122"/>
      <c r="C1027" s="122"/>
      <c r="D1027" s="122"/>
      <c r="E1027" s="122"/>
      <c r="F1027" s="122"/>
      <c r="G1027" s="122"/>
      <c r="H1027" s="122"/>
      <c r="I1027" s="275"/>
      <c r="J1027" s="130"/>
      <c r="K1027" s="130"/>
      <c r="L1027" s="130"/>
      <c r="M1027" s="130"/>
      <c r="N1027" s="291"/>
      <c r="O1027" s="291"/>
      <c r="P1027" s="122"/>
      <c r="Q1027" s="122"/>
      <c r="R1027" s="122"/>
      <c r="S1027" s="122"/>
      <c r="T1027" s="122"/>
      <c r="U1027" s="301"/>
      <c r="V1027" s="260">
        <f t="shared" ca="1" si="23"/>
        <v>0</v>
      </c>
      <c r="W1027" s="348" t="str">
        <f>IF(板块成分!B1029="","",板块成分!B1029)</f>
        <v>002534.SZ</v>
      </c>
      <c r="X1027" s="276" t="str">
        <f>[1]!S_Info_Name(W1027)</f>
        <v>西子洁能</v>
      </c>
      <c r="Y1027" s="276" t="str">
        <f ca="1">IF($Y$3="申万一级行业",[1]!s_info_industry_sw_2021(W1027,公司分析!D$5,1),IF($Y$3="申万二级行业",[1]!s_info_industry_sw_2021(W1027,公司分析!D$5,2),IF($Y$3="申万三级行业",[1]!s_info_industry_sw_2021(W1027,公司分析!D$5,3),IF($Y$3="wind一级行业",[1]!s_info_industry_gics(W1027,1),IF($Y$3="wind二级行业",[1]!s_info_industry_gics(W1027,2),IF($Y$3="wind三级行业",[1]!s_info_industry_gics(W1027,3),IF($Y$3="wind四级行业",[1]!s_info_industry_gics(W1027,4),IF($Y$3="证监会门类行业",[1]!s_info_industry_csrc12_n(W1027,公司分析!D$5,1),""))))))))</f>
        <v>其他电源设备Ⅱ</v>
      </c>
      <c r="Z1027" s="302" t="str">
        <f ca="1">IF(Y1027=行业比较!$E$6,ROW(),"")</f>
        <v/>
      </c>
      <c r="AA1027" s="122"/>
      <c r="AB1027" s="122"/>
      <c r="AC1027" s="122"/>
      <c r="AD1027" s="122"/>
      <c r="AE1027" s="122"/>
      <c r="AF1027" s="122"/>
      <c r="AG1027" s="122"/>
      <c r="AH1027" s="122"/>
      <c r="AI1027" s="122"/>
      <c r="AJ1027" s="122"/>
      <c r="AK1027" s="122"/>
      <c r="AL1027" s="122"/>
      <c r="AM1027" s="122"/>
      <c r="AN1027" s="122"/>
      <c r="AO1027" s="122"/>
      <c r="AP1027" s="122"/>
    </row>
    <row r="1028" spans="2:42">
      <c r="B1028" s="122"/>
      <c r="C1028" s="122"/>
      <c r="D1028" s="122"/>
      <c r="E1028" s="122"/>
      <c r="F1028" s="122"/>
      <c r="G1028" s="122"/>
      <c r="H1028" s="122"/>
      <c r="I1028" s="275"/>
      <c r="J1028" s="130"/>
      <c r="K1028" s="130"/>
      <c r="L1028" s="130"/>
      <c r="M1028" s="130"/>
      <c r="N1028" s="291"/>
      <c r="O1028" s="291"/>
      <c r="P1028" s="122"/>
      <c r="Q1028" s="122"/>
      <c r="R1028" s="122"/>
      <c r="S1028" s="122"/>
      <c r="T1028" s="122"/>
      <c r="U1028" s="301"/>
      <c r="V1028" s="260">
        <f t="shared" ca="1" si="23"/>
        <v>0</v>
      </c>
      <c r="W1028" s="348" t="str">
        <f>IF(板块成分!B1030="","",板块成分!B1030)</f>
        <v>002535.SZ</v>
      </c>
      <c r="X1028" s="276" t="str">
        <f>[1]!S_Info_Name(W1028)</f>
        <v>林州重机</v>
      </c>
      <c r="Y1028" s="276" t="str">
        <f ca="1">IF($Y$3="申万一级行业",[1]!s_info_industry_sw_2021(W1028,公司分析!D$5,1),IF($Y$3="申万二级行业",[1]!s_info_industry_sw_2021(W1028,公司分析!D$5,2),IF($Y$3="申万三级行业",[1]!s_info_industry_sw_2021(W1028,公司分析!D$5,3),IF($Y$3="wind一级行业",[1]!s_info_industry_gics(W1028,1),IF($Y$3="wind二级行业",[1]!s_info_industry_gics(W1028,2),IF($Y$3="wind三级行业",[1]!s_info_industry_gics(W1028,3),IF($Y$3="wind四级行业",[1]!s_info_industry_gics(W1028,4),IF($Y$3="证监会门类行业",[1]!s_info_industry_csrc12_n(W1028,公司分析!D$5,1),""))))))))</f>
        <v>专用设备</v>
      </c>
      <c r="Z1028" s="302" t="str">
        <f ca="1">IF(Y1028=行业比较!$E$6,ROW(),"")</f>
        <v/>
      </c>
      <c r="AA1028" s="122"/>
      <c r="AB1028" s="122"/>
      <c r="AC1028" s="122"/>
      <c r="AD1028" s="122"/>
      <c r="AE1028" s="122"/>
      <c r="AF1028" s="122"/>
      <c r="AG1028" s="122"/>
      <c r="AH1028" s="122"/>
      <c r="AI1028" s="122"/>
      <c r="AJ1028" s="122"/>
      <c r="AK1028" s="122"/>
      <c r="AL1028" s="122"/>
      <c r="AM1028" s="122"/>
      <c r="AN1028" s="122"/>
      <c r="AO1028" s="122"/>
      <c r="AP1028" s="122"/>
    </row>
    <row r="1029" spans="2:42">
      <c r="B1029" s="122"/>
      <c r="C1029" s="122"/>
      <c r="D1029" s="122"/>
      <c r="E1029" s="122"/>
      <c r="F1029" s="122"/>
      <c r="G1029" s="122"/>
      <c r="H1029" s="122"/>
      <c r="I1029" s="275"/>
      <c r="J1029" s="130"/>
      <c r="K1029" s="130"/>
      <c r="L1029" s="130"/>
      <c r="M1029" s="130"/>
      <c r="N1029" s="291"/>
      <c r="O1029" s="291"/>
      <c r="P1029" s="122"/>
      <c r="Q1029" s="122"/>
      <c r="R1029" s="122"/>
      <c r="S1029" s="122"/>
      <c r="T1029" s="122"/>
      <c r="U1029" s="301"/>
      <c r="V1029" s="260">
        <f t="shared" ref="V1029:V1092" ca="1" si="24">IF(Z1029="",0,RANK(Z1029,Z:Z,1))</f>
        <v>0</v>
      </c>
      <c r="W1029" s="348" t="str">
        <f>IF(板块成分!B1031="","",板块成分!B1031)</f>
        <v>002536.SZ</v>
      </c>
      <c r="X1029" s="276" t="str">
        <f>[1]!S_Info_Name(W1029)</f>
        <v>飞龙股份</v>
      </c>
      <c r="Y1029" s="276" t="str">
        <f ca="1">IF($Y$3="申万一级行业",[1]!s_info_industry_sw_2021(W1029,公司分析!D$5,1),IF($Y$3="申万二级行业",[1]!s_info_industry_sw_2021(W1029,公司分析!D$5,2),IF($Y$3="申万三级行业",[1]!s_info_industry_sw_2021(W1029,公司分析!D$5,3),IF($Y$3="wind一级行业",[1]!s_info_industry_gics(W1029,1),IF($Y$3="wind二级行业",[1]!s_info_industry_gics(W1029,2),IF($Y$3="wind三级行业",[1]!s_info_industry_gics(W1029,3),IF($Y$3="wind四级行业",[1]!s_info_industry_gics(W1029,4),IF($Y$3="证监会门类行业",[1]!s_info_industry_csrc12_n(W1029,公司分析!D$5,1),""))))))))</f>
        <v>汽车零部件</v>
      </c>
      <c r="Z1029" s="302" t="str">
        <f ca="1">IF(Y1029=行业比较!$E$6,ROW(),"")</f>
        <v/>
      </c>
      <c r="AA1029" s="122"/>
      <c r="AB1029" s="122"/>
      <c r="AC1029" s="122"/>
      <c r="AD1029" s="122"/>
      <c r="AE1029" s="122"/>
      <c r="AF1029" s="122"/>
      <c r="AG1029" s="122"/>
      <c r="AH1029" s="122"/>
      <c r="AI1029" s="122"/>
      <c r="AJ1029" s="122"/>
      <c r="AK1029" s="122"/>
      <c r="AL1029" s="122"/>
      <c r="AM1029" s="122"/>
      <c r="AN1029" s="122"/>
      <c r="AO1029" s="122"/>
      <c r="AP1029" s="122"/>
    </row>
    <row r="1030" spans="2:42">
      <c r="B1030" s="122"/>
      <c r="C1030" s="122"/>
      <c r="D1030" s="122"/>
      <c r="E1030" s="122"/>
      <c r="F1030" s="122"/>
      <c r="G1030" s="122"/>
      <c r="H1030" s="122"/>
      <c r="I1030" s="275"/>
      <c r="J1030" s="130"/>
      <c r="K1030" s="130"/>
      <c r="L1030" s="130"/>
      <c r="M1030" s="130"/>
      <c r="N1030" s="291"/>
      <c r="O1030" s="291"/>
      <c r="P1030" s="122"/>
      <c r="Q1030" s="122"/>
      <c r="R1030" s="122"/>
      <c r="S1030" s="122"/>
      <c r="T1030" s="122"/>
      <c r="U1030" s="301"/>
      <c r="V1030" s="260">
        <f t="shared" ca="1" si="24"/>
        <v>0</v>
      </c>
      <c r="W1030" s="348" t="str">
        <f>IF(板块成分!B1032="","",板块成分!B1032)</f>
        <v>002537.SZ</v>
      </c>
      <c r="X1030" s="276" t="str">
        <f>[1]!S_Info_Name(W1030)</f>
        <v>海联金汇</v>
      </c>
      <c r="Y1030" s="276" t="str">
        <f ca="1">IF($Y$3="申万一级行业",[1]!s_info_industry_sw_2021(W1030,公司分析!D$5,1),IF($Y$3="申万二级行业",[1]!s_info_industry_sw_2021(W1030,公司分析!D$5,2),IF($Y$3="申万三级行业",[1]!s_info_industry_sw_2021(W1030,公司分析!D$5,3),IF($Y$3="wind一级行业",[1]!s_info_industry_gics(W1030,1),IF($Y$3="wind二级行业",[1]!s_info_industry_gics(W1030,2),IF($Y$3="wind三级行业",[1]!s_info_industry_gics(W1030,3),IF($Y$3="wind四级行业",[1]!s_info_industry_gics(W1030,4),IF($Y$3="证监会门类行业",[1]!s_info_industry_csrc12_n(W1030,公司分析!D$5,1),""))))))))</f>
        <v>汽车零部件</v>
      </c>
      <c r="Z1030" s="302" t="str">
        <f ca="1">IF(Y1030=行业比较!$E$6,ROW(),"")</f>
        <v/>
      </c>
      <c r="AA1030" s="122"/>
      <c r="AB1030" s="122"/>
      <c r="AC1030" s="122"/>
      <c r="AD1030" s="122"/>
      <c r="AE1030" s="122"/>
      <c r="AF1030" s="122"/>
      <c r="AG1030" s="122"/>
      <c r="AH1030" s="122"/>
      <c r="AI1030" s="122"/>
      <c r="AJ1030" s="122"/>
      <c r="AK1030" s="122"/>
      <c r="AL1030" s="122"/>
      <c r="AM1030" s="122"/>
      <c r="AN1030" s="122"/>
      <c r="AO1030" s="122"/>
      <c r="AP1030" s="122"/>
    </row>
    <row r="1031" spans="2:42">
      <c r="B1031" s="122"/>
      <c r="C1031" s="122"/>
      <c r="D1031" s="122"/>
      <c r="E1031" s="122"/>
      <c r="F1031" s="122"/>
      <c r="G1031" s="122"/>
      <c r="H1031" s="122"/>
      <c r="I1031" s="275"/>
      <c r="J1031" s="130"/>
      <c r="K1031" s="130"/>
      <c r="L1031" s="130"/>
      <c r="M1031" s="130"/>
      <c r="N1031" s="291"/>
      <c r="O1031" s="291"/>
      <c r="P1031" s="122"/>
      <c r="Q1031" s="122"/>
      <c r="R1031" s="122"/>
      <c r="S1031" s="122"/>
      <c r="T1031" s="122"/>
      <c r="U1031" s="301"/>
      <c r="V1031" s="260">
        <f t="shared" ca="1" si="24"/>
        <v>0</v>
      </c>
      <c r="W1031" s="348" t="str">
        <f>IF(板块成分!B1033="","",板块成分!B1033)</f>
        <v>002538.SZ</v>
      </c>
      <c r="X1031" s="276" t="str">
        <f>[1]!S_Info_Name(W1031)</f>
        <v>司尔特</v>
      </c>
      <c r="Y1031" s="276" t="str">
        <f ca="1">IF($Y$3="申万一级行业",[1]!s_info_industry_sw_2021(W1031,公司分析!D$5,1),IF($Y$3="申万二级行业",[1]!s_info_industry_sw_2021(W1031,公司分析!D$5,2),IF($Y$3="申万三级行业",[1]!s_info_industry_sw_2021(W1031,公司分析!D$5,3),IF($Y$3="wind一级行业",[1]!s_info_industry_gics(W1031,1),IF($Y$3="wind二级行业",[1]!s_info_industry_gics(W1031,2),IF($Y$3="wind三级行业",[1]!s_info_industry_gics(W1031,3),IF($Y$3="wind四级行业",[1]!s_info_industry_gics(W1031,4),IF($Y$3="证监会门类行业",[1]!s_info_industry_csrc12_n(W1031,公司分析!D$5,1),""))))))))</f>
        <v>农化制品</v>
      </c>
      <c r="Z1031" s="302" t="str">
        <f ca="1">IF(Y1031=行业比较!$E$6,ROW(),"")</f>
        <v/>
      </c>
      <c r="AA1031" s="122"/>
      <c r="AB1031" s="122"/>
      <c r="AC1031" s="122"/>
      <c r="AD1031" s="122"/>
      <c r="AE1031" s="122"/>
      <c r="AF1031" s="122"/>
      <c r="AG1031" s="122"/>
      <c r="AH1031" s="122"/>
      <c r="AI1031" s="122"/>
      <c r="AJ1031" s="122"/>
      <c r="AK1031" s="122"/>
      <c r="AL1031" s="122"/>
      <c r="AM1031" s="122"/>
      <c r="AN1031" s="122"/>
      <c r="AO1031" s="122"/>
      <c r="AP1031" s="122"/>
    </row>
    <row r="1032" spans="2:42">
      <c r="B1032" s="122"/>
      <c r="C1032" s="122"/>
      <c r="D1032" s="122"/>
      <c r="E1032" s="122"/>
      <c r="F1032" s="122"/>
      <c r="G1032" s="122"/>
      <c r="H1032" s="122"/>
      <c r="I1032" s="275"/>
      <c r="J1032" s="130"/>
      <c r="K1032" s="130"/>
      <c r="L1032" s="130"/>
      <c r="M1032" s="130"/>
      <c r="N1032" s="291"/>
      <c r="O1032" s="291"/>
      <c r="P1032" s="122"/>
      <c r="Q1032" s="122"/>
      <c r="R1032" s="122"/>
      <c r="S1032" s="122"/>
      <c r="T1032" s="122"/>
      <c r="U1032" s="301"/>
      <c r="V1032" s="260">
        <f t="shared" ca="1" si="24"/>
        <v>0</v>
      </c>
      <c r="W1032" s="348" t="str">
        <f>IF(板块成分!B1034="","",板块成分!B1034)</f>
        <v>002539.SZ</v>
      </c>
      <c r="X1032" s="276" t="str">
        <f>[1]!S_Info_Name(W1032)</f>
        <v>云图控股</v>
      </c>
      <c r="Y1032" s="276" t="str">
        <f ca="1">IF($Y$3="申万一级行业",[1]!s_info_industry_sw_2021(W1032,公司分析!D$5,1),IF($Y$3="申万二级行业",[1]!s_info_industry_sw_2021(W1032,公司分析!D$5,2),IF($Y$3="申万三级行业",[1]!s_info_industry_sw_2021(W1032,公司分析!D$5,3),IF($Y$3="wind一级行业",[1]!s_info_industry_gics(W1032,1),IF($Y$3="wind二级行业",[1]!s_info_industry_gics(W1032,2),IF($Y$3="wind三级行业",[1]!s_info_industry_gics(W1032,3),IF($Y$3="wind四级行业",[1]!s_info_industry_gics(W1032,4),IF($Y$3="证监会门类行业",[1]!s_info_industry_csrc12_n(W1032,公司分析!D$5,1),""))))))))</f>
        <v>农化制品</v>
      </c>
      <c r="Z1032" s="302" t="str">
        <f ca="1">IF(Y1032=行业比较!$E$6,ROW(),"")</f>
        <v/>
      </c>
      <c r="AA1032" s="122"/>
      <c r="AB1032" s="122"/>
      <c r="AC1032" s="122"/>
      <c r="AD1032" s="122"/>
      <c r="AE1032" s="122"/>
      <c r="AF1032" s="122"/>
      <c r="AG1032" s="122"/>
      <c r="AH1032" s="122"/>
      <c r="AI1032" s="122"/>
      <c r="AJ1032" s="122"/>
      <c r="AK1032" s="122"/>
      <c r="AL1032" s="122"/>
      <c r="AM1032" s="122"/>
      <c r="AN1032" s="122"/>
      <c r="AO1032" s="122"/>
      <c r="AP1032" s="122"/>
    </row>
    <row r="1033" spans="2:42">
      <c r="B1033" s="122"/>
      <c r="C1033" s="122"/>
      <c r="D1033" s="122"/>
      <c r="E1033" s="122"/>
      <c r="F1033" s="122"/>
      <c r="G1033" s="122"/>
      <c r="H1033" s="122"/>
      <c r="I1033" s="275"/>
      <c r="J1033" s="130"/>
      <c r="K1033" s="130"/>
      <c r="L1033" s="130"/>
      <c r="M1033" s="130"/>
      <c r="N1033" s="291"/>
      <c r="O1033" s="291"/>
      <c r="P1033" s="122"/>
      <c r="Q1033" s="122"/>
      <c r="R1033" s="122"/>
      <c r="S1033" s="122"/>
      <c r="T1033" s="122"/>
      <c r="U1033" s="301"/>
      <c r="V1033" s="260">
        <f t="shared" ca="1" si="24"/>
        <v>21</v>
      </c>
      <c r="W1033" s="348" t="str">
        <f>IF(板块成分!B1035="","",板块成分!B1035)</f>
        <v>002540.SZ</v>
      </c>
      <c r="X1033" s="276" t="str">
        <f>[1]!S_Info_Name(W1033)</f>
        <v>亚太科技</v>
      </c>
      <c r="Y1033" s="276" t="str">
        <f ca="1">IF($Y$3="申万一级行业",[1]!s_info_industry_sw_2021(W1033,公司分析!D$5,1),IF($Y$3="申万二级行业",[1]!s_info_industry_sw_2021(W1033,公司分析!D$5,2),IF($Y$3="申万三级行业",[1]!s_info_industry_sw_2021(W1033,公司分析!D$5,3),IF($Y$3="wind一级行业",[1]!s_info_industry_gics(W1033,1),IF($Y$3="wind二级行业",[1]!s_info_industry_gics(W1033,2),IF($Y$3="wind三级行业",[1]!s_info_industry_gics(W1033,3),IF($Y$3="wind四级行业",[1]!s_info_industry_gics(W1033,4),IF($Y$3="证监会门类行业",[1]!s_info_industry_csrc12_n(W1033,公司分析!D$5,1),""))))))))</f>
        <v>工业金属</v>
      </c>
      <c r="Z1033" s="302">
        <f ca="1">IF(Y1033=行业比较!$E$6,ROW(),"")</f>
        <v>1033</v>
      </c>
      <c r="AA1033" s="122"/>
      <c r="AB1033" s="122"/>
      <c r="AC1033" s="122"/>
      <c r="AD1033" s="122"/>
      <c r="AE1033" s="122"/>
      <c r="AF1033" s="122"/>
      <c r="AG1033" s="122"/>
      <c r="AH1033" s="122"/>
      <c r="AI1033" s="122"/>
      <c r="AJ1033" s="122"/>
      <c r="AK1033" s="122"/>
      <c r="AL1033" s="122"/>
      <c r="AM1033" s="122"/>
      <c r="AN1033" s="122"/>
      <c r="AO1033" s="122"/>
      <c r="AP1033" s="122"/>
    </row>
    <row r="1034" spans="2:42">
      <c r="B1034" s="122"/>
      <c r="C1034" s="122"/>
      <c r="D1034" s="122"/>
      <c r="E1034" s="122"/>
      <c r="F1034" s="122"/>
      <c r="G1034" s="122"/>
      <c r="H1034" s="122"/>
      <c r="I1034" s="275"/>
      <c r="J1034" s="130"/>
      <c r="K1034" s="130"/>
      <c r="L1034" s="130"/>
      <c r="M1034" s="130"/>
      <c r="N1034" s="291"/>
      <c r="O1034" s="291"/>
      <c r="P1034" s="122"/>
      <c r="Q1034" s="122"/>
      <c r="R1034" s="122"/>
      <c r="S1034" s="122"/>
      <c r="T1034" s="122"/>
      <c r="U1034" s="301"/>
      <c r="V1034" s="260">
        <f t="shared" ca="1" si="24"/>
        <v>0</v>
      </c>
      <c r="W1034" s="348" t="str">
        <f>IF(板块成分!B1036="","",板块成分!B1036)</f>
        <v>002541.SZ</v>
      </c>
      <c r="X1034" s="276" t="str">
        <f>[1]!S_Info_Name(W1034)</f>
        <v>鸿路钢构</v>
      </c>
      <c r="Y1034" s="276" t="str">
        <f ca="1">IF($Y$3="申万一级行业",[1]!s_info_industry_sw_2021(W1034,公司分析!D$5,1),IF($Y$3="申万二级行业",[1]!s_info_industry_sw_2021(W1034,公司分析!D$5,2),IF($Y$3="申万三级行业",[1]!s_info_industry_sw_2021(W1034,公司分析!D$5,3),IF($Y$3="wind一级行业",[1]!s_info_industry_gics(W1034,1),IF($Y$3="wind二级行业",[1]!s_info_industry_gics(W1034,2),IF($Y$3="wind三级行业",[1]!s_info_industry_gics(W1034,3),IF($Y$3="wind四级行业",[1]!s_info_industry_gics(W1034,4),IF($Y$3="证监会门类行业",[1]!s_info_industry_csrc12_n(W1034,公司分析!D$5,1),""))))))))</f>
        <v>专业工程</v>
      </c>
      <c r="Z1034" s="302" t="str">
        <f ca="1">IF(Y1034=行业比较!$E$6,ROW(),"")</f>
        <v/>
      </c>
      <c r="AA1034" s="122"/>
      <c r="AB1034" s="122"/>
      <c r="AC1034" s="122"/>
      <c r="AD1034" s="122"/>
      <c r="AE1034" s="122"/>
      <c r="AF1034" s="122"/>
      <c r="AG1034" s="122"/>
      <c r="AH1034" s="122"/>
      <c r="AI1034" s="122"/>
      <c r="AJ1034" s="122"/>
      <c r="AK1034" s="122"/>
      <c r="AL1034" s="122"/>
      <c r="AM1034" s="122"/>
      <c r="AN1034" s="122"/>
      <c r="AO1034" s="122"/>
      <c r="AP1034" s="122"/>
    </row>
    <row r="1035" spans="2:42">
      <c r="B1035" s="122"/>
      <c r="C1035" s="122"/>
      <c r="D1035" s="122"/>
      <c r="E1035" s="122"/>
      <c r="F1035" s="122"/>
      <c r="G1035" s="122"/>
      <c r="H1035" s="122"/>
      <c r="I1035" s="275"/>
      <c r="J1035" s="130"/>
      <c r="K1035" s="130"/>
      <c r="L1035" s="130"/>
      <c r="M1035" s="130"/>
      <c r="N1035" s="291"/>
      <c r="O1035" s="291"/>
      <c r="P1035" s="122"/>
      <c r="Q1035" s="122"/>
      <c r="R1035" s="122"/>
      <c r="S1035" s="122"/>
      <c r="T1035" s="122"/>
      <c r="U1035" s="301"/>
      <c r="V1035" s="260">
        <f t="shared" ca="1" si="24"/>
        <v>0</v>
      </c>
      <c r="W1035" s="348" t="str">
        <f>IF(板块成分!B1037="","",板块成分!B1037)</f>
        <v>002542.SZ</v>
      </c>
      <c r="X1035" s="276" t="str">
        <f>[1]!S_Info_Name(W1035)</f>
        <v>中化岩土</v>
      </c>
      <c r="Y1035" s="276" t="str">
        <f ca="1">IF($Y$3="申万一级行业",[1]!s_info_industry_sw_2021(W1035,公司分析!D$5,1),IF($Y$3="申万二级行业",[1]!s_info_industry_sw_2021(W1035,公司分析!D$5,2),IF($Y$3="申万三级行业",[1]!s_info_industry_sw_2021(W1035,公司分析!D$5,3),IF($Y$3="wind一级行业",[1]!s_info_industry_gics(W1035,1),IF($Y$3="wind二级行业",[1]!s_info_industry_gics(W1035,2),IF($Y$3="wind三级行业",[1]!s_info_industry_gics(W1035,3),IF($Y$3="wind四级行业",[1]!s_info_industry_gics(W1035,4),IF($Y$3="证监会门类行业",[1]!s_info_industry_csrc12_n(W1035,公司分析!D$5,1),""))))))))</f>
        <v>专业工程</v>
      </c>
      <c r="Z1035" s="302" t="str">
        <f ca="1">IF(Y1035=行业比较!$E$6,ROW(),"")</f>
        <v/>
      </c>
      <c r="AA1035" s="122"/>
      <c r="AB1035" s="122"/>
      <c r="AC1035" s="122"/>
      <c r="AD1035" s="122"/>
      <c r="AE1035" s="122"/>
      <c r="AF1035" s="122"/>
      <c r="AG1035" s="122"/>
      <c r="AH1035" s="122"/>
      <c r="AI1035" s="122"/>
      <c r="AJ1035" s="122"/>
      <c r="AK1035" s="122"/>
      <c r="AL1035" s="122"/>
      <c r="AM1035" s="122"/>
      <c r="AN1035" s="122"/>
      <c r="AO1035" s="122"/>
      <c r="AP1035" s="122"/>
    </row>
    <row r="1036" spans="2:42">
      <c r="B1036" s="122"/>
      <c r="C1036" s="122"/>
      <c r="D1036" s="122"/>
      <c r="E1036" s="122"/>
      <c r="F1036" s="122"/>
      <c r="G1036" s="122"/>
      <c r="H1036" s="122"/>
      <c r="I1036" s="275"/>
      <c r="J1036" s="130"/>
      <c r="K1036" s="130"/>
      <c r="L1036" s="130"/>
      <c r="M1036" s="130"/>
      <c r="N1036" s="291"/>
      <c r="O1036" s="291"/>
      <c r="P1036" s="122"/>
      <c r="Q1036" s="122"/>
      <c r="R1036" s="122"/>
      <c r="S1036" s="122"/>
      <c r="T1036" s="122"/>
      <c r="U1036" s="301"/>
      <c r="V1036" s="260">
        <f t="shared" ca="1" si="24"/>
        <v>0</v>
      </c>
      <c r="W1036" s="348" t="str">
        <f>IF(板块成分!B1038="","",板块成分!B1038)</f>
        <v>002543.SZ</v>
      </c>
      <c r="X1036" s="276" t="str">
        <f>[1]!S_Info_Name(W1036)</f>
        <v>万和电气</v>
      </c>
      <c r="Y1036" s="276" t="str">
        <f ca="1">IF($Y$3="申万一级行业",[1]!s_info_industry_sw_2021(W1036,公司分析!D$5,1),IF($Y$3="申万二级行业",[1]!s_info_industry_sw_2021(W1036,公司分析!D$5,2),IF($Y$3="申万三级行业",[1]!s_info_industry_sw_2021(W1036,公司分析!D$5,3),IF($Y$3="wind一级行业",[1]!s_info_industry_gics(W1036,1),IF($Y$3="wind二级行业",[1]!s_info_industry_gics(W1036,2),IF($Y$3="wind三级行业",[1]!s_info_industry_gics(W1036,3),IF($Y$3="wind四级行业",[1]!s_info_industry_gics(W1036,4),IF($Y$3="证监会门类行业",[1]!s_info_industry_csrc12_n(W1036,公司分析!D$5,1),""))))))))</f>
        <v>厨卫电器</v>
      </c>
      <c r="Z1036" s="302" t="str">
        <f ca="1">IF(Y1036=行业比较!$E$6,ROW(),"")</f>
        <v/>
      </c>
      <c r="AA1036" s="122"/>
      <c r="AB1036" s="122"/>
      <c r="AC1036" s="122"/>
      <c r="AD1036" s="122"/>
      <c r="AE1036" s="122"/>
      <c r="AF1036" s="122"/>
      <c r="AG1036" s="122"/>
      <c r="AH1036" s="122"/>
      <c r="AI1036" s="122"/>
      <c r="AJ1036" s="122"/>
      <c r="AK1036" s="122"/>
      <c r="AL1036" s="122"/>
      <c r="AM1036" s="122"/>
      <c r="AN1036" s="122"/>
      <c r="AO1036" s="122"/>
      <c r="AP1036" s="122"/>
    </row>
    <row r="1037" spans="2:42">
      <c r="B1037" s="122"/>
      <c r="C1037" s="122"/>
      <c r="D1037" s="122"/>
      <c r="E1037" s="122"/>
      <c r="F1037" s="122"/>
      <c r="G1037" s="122"/>
      <c r="H1037" s="122"/>
      <c r="I1037" s="275"/>
      <c r="J1037" s="130"/>
      <c r="K1037" s="130"/>
      <c r="L1037" s="130"/>
      <c r="M1037" s="130"/>
      <c r="N1037" s="291"/>
      <c r="O1037" s="291"/>
      <c r="P1037" s="122"/>
      <c r="Q1037" s="122"/>
      <c r="R1037" s="122"/>
      <c r="S1037" s="122"/>
      <c r="T1037" s="122"/>
      <c r="U1037" s="301"/>
      <c r="V1037" s="260">
        <f t="shared" ca="1" si="24"/>
        <v>0</v>
      </c>
      <c r="W1037" s="348" t="str">
        <f>IF(板块成分!B1039="","",板块成分!B1039)</f>
        <v>002544.SZ</v>
      </c>
      <c r="X1037" s="276" t="str">
        <f>[1]!S_Info_Name(W1037)</f>
        <v>普天科技</v>
      </c>
      <c r="Y1037" s="276" t="str">
        <f ca="1">IF($Y$3="申万一级行业",[1]!s_info_industry_sw_2021(W1037,公司分析!D$5,1),IF($Y$3="申万二级行业",[1]!s_info_industry_sw_2021(W1037,公司分析!D$5,2),IF($Y$3="申万三级行业",[1]!s_info_industry_sw_2021(W1037,公司分析!D$5,3),IF($Y$3="wind一级行业",[1]!s_info_industry_gics(W1037,1),IF($Y$3="wind二级行业",[1]!s_info_industry_gics(W1037,2),IF($Y$3="wind三级行业",[1]!s_info_industry_gics(W1037,3),IF($Y$3="wind四级行业",[1]!s_info_industry_gics(W1037,4),IF($Y$3="证监会门类行业",[1]!s_info_industry_csrc12_n(W1037,公司分析!D$5,1),""))))))))</f>
        <v>通信服务</v>
      </c>
      <c r="Z1037" s="302" t="str">
        <f ca="1">IF(Y1037=行业比较!$E$6,ROW(),"")</f>
        <v/>
      </c>
      <c r="AA1037" s="122"/>
      <c r="AB1037" s="122"/>
      <c r="AC1037" s="122"/>
      <c r="AD1037" s="122"/>
      <c r="AE1037" s="122"/>
      <c r="AF1037" s="122"/>
      <c r="AG1037" s="122"/>
      <c r="AH1037" s="122"/>
      <c r="AI1037" s="122"/>
      <c r="AJ1037" s="122"/>
      <c r="AK1037" s="122"/>
      <c r="AL1037" s="122"/>
      <c r="AM1037" s="122"/>
      <c r="AN1037" s="122"/>
      <c r="AO1037" s="122"/>
      <c r="AP1037" s="122"/>
    </row>
    <row r="1038" spans="2:42">
      <c r="B1038" s="122"/>
      <c r="C1038" s="122"/>
      <c r="D1038" s="122"/>
      <c r="E1038" s="122"/>
      <c r="F1038" s="122"/>
      <c r="G1038" s="122"/>
      <c r="H1038" s="122"/>
      <c r="I1038" s="275"/>
      <c r="J1038" s="130"/>
      <c r="K1038" s="130"/>
      <c r="L1038" s="130"/>
      <c r="M1038" s="130"/>
      <c r="N1038" s="291"/>
      <c r="O1038" s="291"/>
      <c r="P1038" s="122"/>
      <c r="Q1038" s="122"/>
      <c r="R1038" s="122"/>
      <c r="S1038" s="122"/>
      <c r="T1038" s="122"/>
      <c r="U1038" s="301"/>
      <c r="V1038" s="260">
        <f t="shared" ca="1" si="24"/>
        <v>0</v>
      </c>
      <c r="W1038" s="348" t="str">
        <f>IF(板块成分!B1040="","",板块成分!B1040)</f>
        <v>002545.SZ</v>
      </c>
      <c r="X1038" s="276" t="str">
        <f>[1]!S_Info_Name(W1038)</f>
        <v>东方铁塔</v>
      </c>
      <c r="Y1038" s="276" t="str">
        <f ca="1">IF($Y$3="申万一级行业",[1]!s_info_industry_sw_2021(W1038,公司分析!D$5,1),IF($Y$3="申万二级行业",[1]!s_info_industry_sw_2021(W1038,公司分析!D$5,2),IF($Y$3="申万三级行业",[1]!s_info_industry_sw_2021(W1038,公司分析!D$5,3),IF($Y$3="wind一级行业",[1]!s_info_industry_gics(W1038,1),IF($Y$3="wind二级行业",[1]!s_info_industry_gics(W1038,2),IF($Y$3="wind三级行业",[1]!s_info_industry_gics(W1038,3),IF($Y$3="wind四级行业",[1]!s_info_industry_gics(W1038,4),IF($Y$3="证监会门类行业",[1]!s_info_industry_csrc12_n(W1038,公司分析!D$5,1),""))))))))</f>
        <v>农化制品</v>
      </c>
      <c r="Z1038" s="302" t="str">
        <f ca="1">IF(Y1038=行业比较!$E$6,ROW(),"")</f>
        <v/>
      </c>
      <c r="AA1038" s="122"/>
      <c r="AB1038" s="122"/>
      <c r="AC1038" s="122"/>
      <c r="AD1038" s="122"/>
      <c r="AE1038" s="122"/>
      <c r="AF1038" s="122"/>
      <c r="AG1038" s="122"/>
      <c r="AH1038" s="122"/>
      <c r="AI1038" s="122"/>
      <c r="AJ1038" s="122"/>
      <c r="AK1038" s="122"/>
      <c r="AL1038" s="122"/>
      <c r="AM1038" s="122"/>
      <c r="AN1038" s="122"/>
      <c r="AO1038" s="122"/>
      <c r="AP1038" s="122"/>
    </row>
    <row r="1039" spans="2:42">
      <c r="B1039" s="122"/>
      <c r="C1039" s="122"/>
      <c r="D1039" s="122"/>
      <c r="E1039" s="122"/>
      <c r="F1039" s="122"/>
      <c r="G1039" s="122"/>
      <c r="H1039" s="122"/>
      <c r="I1039" s="275"/>
      <c r="J1039" s="130"/>
      <c r="K1039" s="130"/>
      <c r="L1039" s="130"/>
      <c r="M1039" s="130"/>
      <c r="N1039" s="291"/>
      <c r="O1039" s="291"/>
      <c r="P1039" s="122"/>
      <c r="Q1039" s="122"/>
      <c r="R1039" s="122"/>
      <c r="S1039" s="122"/>
      <c r="T1039" s="122"/>
      <c r="U1039" s="301"/>
      <c r="V1039" s="260">
        <f t="shared" ca="1" si="24"/>
        <v>0</v>
      </c>
      <c r="W1039" s="348" t="str">
        <f>IF(板块成分!B1041="","",板块成分!B1041)</f>
        <v>002546.SZ</v>
      </c>
      <c r="X1039" s="276" t="str">
        <f>[1]!S_Info_Name(W1039)</f>
        <v>新联电子</v>
      </c>
      <c r="Y1039" s="276" t="str">
        <f ca="1">IF($Y$3="申万一级行业",[1]!s_info_industry_sw_2021(W1039,公司分析!D$5,1),IF($Y$3="申万二级行业",[1]!s_info_industry_sw_2021(W1039,公司分析!D$5,2),IF($Y$3="申万三级行业",[1]!s_info_industry_sw_2021(W1039,公司分析!D$5,3),IF($Y$3="wind一级行业",[1]!s_info_industry_gics(W1039,1),IF($Y$3="wind二级行业",[1]!s_info_industry_gics(W1039,2),IF($Y$3="wind三级行业",[1]!s_info_industry_gics(W1039,3),IF($Y$3="wind四级行业",[1]!s_info_industry_gics(W1039,4),IF($Y$3="证监会门类行业",[1]!s_info_industry_csrc12_n(W1039,公司分析!D$5,1),""))))))))</f>
        <v>电网设备</v>
      </c>
      <c r="Z1039" s="302" t="str">
        <f ca="1">IF(Y1039=行业比较!$E$6,ROW(),"")</f>
        <v/>
      </c>
      <c r="AA1039" s="122"/>
      <c r="AB1039" s="122"/>
      <c r="AC1039" s="122"/>
      <c r="AD1039" s="122"/>
      <c r="AE1039" s="122"/>
      <c r="AF1039" s="122"/>
      <c r="AG1039" s="122"/>
      <c r="AH1039" s="122"/>
      <c r="AI1039" s="122"/>
      <c r="AJ1039" s="122"/>
      <c r="AK1039" s="122"/>
      <c r="AL1039" s="122"/>
      <c r="AM1039" s="122"/>
      <c r="AN1039" s="122"/>
      <c r="AO1039" s="122"/>
      <c r="AP1039" s="122"/>
    </row>
    <row r="1040" spans="2:42">
      <c r="B1040" s="122"/>
      <c r="C1040" s="122"/>
      <c r="D1040" s="122"/>
      <c r="E1040" s="122"/>
      <c r="F1040" s="122"/>
      <c r="G1040" s="122"/>
      <c r="H1040" s="122"/>
      <c r="I1040" s="275"/>
      <c r="J1040" s="130"/>
      <c r="K1040" s="130"/>
      <c r="L1040" s="130"/>
      <c r="M1040" s="130"/>
      <c r="N1040" s="291"/>
      <c r="O1040" s="291"/>
      <c r="P1040" s="122"/>
      <c r="Q1040" s="122"/>
      <c r="R1040" s="122"/>
      <c r="S1040" s="122"/>
      <c r="T1040" s="122"/>
      <c r="U1040" s="301"/>
      <c r="V1040" s="260">
        <f t="shared" ca="1" si="24"/>
        <v>0</v>
      </c>
      <c r="W1040" s="348" t="str">
        <f>IF(板块成分!B1042="","",板块成分!B1042)</f>
        <v>002547.SZ</v>
      </c>
      <c r="X1040" s="276" t="str">
        <f>[1]!S_Info_Name(W1040)</f>
        <v>春兴精工</v>
      </c>
      <c r="Y1040" s="276" t="str">
        <f ca="1">IF($Y$3="申万一级行业",[1]!s_info_industry_sw_2021(W1040,公司分析!D$5,1),IF($Y$3="申万二级行业",[1]!s_info_industry_sw_2021(W1040,公司分析!D$5,2),IF($Y$3="申万三级行业",[1]!s_info_industry_sw_2021(W1040,公司分析!D$5,3),IF($Y$3="wind一级行业",[1]!s_info_industry_gics(W1040,1),IF($Y$3="wind二级行业",[1]!s_info_industry_gics(W1040,2),IF($Y$3="wind三级行业",[1]!s_info_industry_gics(W1040,3),IF($Y$3="wind四级行业",[1]!s_info_industry_gics(W1040,4),IF($Y$3="证监会门类行业",[1]!s_info_industry_csrc12_n(W1040,公司分析!D$5,1),""))))))))</f>
        <v>汽车零部件</v>
      </c>
      <c r="Z1040" s="302" t="str">
        <f ca="1">IF(Y1040=行业比较!$E$6,ROW(),"")</f>
        <v/>
      </c>
      <c r="AA1040" s="122"/>
      <c r="AB1040" s="122"/>
      <c r="AC1040" s="122"/>
      <c r="AD1040" s="122"/>
      <c r="AE1040" s="122"/>
      <c r="AF1040" s="122"/>
      <c r="AG1040" s="122"/>
      <c r="AH1040" s="122"/>
      <c r="AI1040" s="122"/>
      <c r="AJ1040" s="122"/>
      <c r="AK1040" s="122"/>
      <c r="AL1040" s="122"/>
      <c r="AM1040" s="122"/>
      <c r="AN1040" s="122"/>
      <c r="AO1040" s="122"/>
      <c r="AP1040" s="122"/>
    </row>
    <row r="1041" spans="2:42">
      <c r="B1041" s="122"/>
      <c r="C1041" s="122"/>
      <c r="D1041" s="122"/>
      <c r="E1041" s="122"/>
      <c r="F1041" s="122"/>
      <c r="G1041" s="122"/>
      <c r="H1041" s="122"/>
      <c r="I1041" s="275"/>
      <c r="J1041" s="130"/>
      <c r="K1041" s="130"/>
      <c r="L1041" s="130"/>
      <c r="M1041" s="130"/>
      <c r="N1041" s="291"/>
      <c r="O1041" s="291"/>
      <c r="P1041" s="122"/>
      <c r="Q1041" s="122"/>
      <c r="R1041" s="122"/>
      <c r="S1041" s="122"/>
      <c r="T1041" s="122"/>
      <c r="U1041" s="301"/>
      <c r="V1041" s="260">
        <f t="shared" ca="1" si="24"/>
        <v>0</v>
      </c>
      <c r="W1041" s="348" t="str">
        <f>IF(板块成分!B1043="","",板块成分!B1043)</f>
        <v>002548.SZ</v>
      </c>
      <c r="X1041" s="276" t="str">
        <f>[1]!S_Info_Name(W1041)</f>
        <v>金新农</v>
      </c>
      <c r="Y1041" s="276" t="str">
        <f ca="1">IF($Y$3="申万一级行业",[1]!s_info_industry_sw_2021(W1041,公司分析!D$5,1),IF($Y$3="申万二级行业",[1]!s_info_industry_sw_2021(W1041,公司分析!D$5,2),IF($Y$3="申万三级行业",[1]!s_info_industry_sw_2021(W1041,公司分析!D$5,3),IF($Y$3="wind一级行业",[1]!s_info_industry_gics(W1041,1),IF($Y$3="wind二级行业",[1]!s_info_industry_gics(W1041,2),IF($Y$3="wind三级行业",[1]!s_info_industry_gics(W1041,3),IF($Y$3="wind四级行业",[1]!s_info_industry_gics(W1041,4),IF($Y$3="证监会门类行业",[1]!s_info_industry_csrc12_n(W1041,公司分析!D$5,1),""))))))))</f>
        <v>饲料</v>
      </c>
      <c r="Z1041" s="302" t="str">
        <f ca="1">IF(Y1041=行业比较!$E$6,ROW(),"")</f>
        <v/>
      </c>
      <c r="AA1041" s="122"/>
      <c r="AB1041" s="122"/>
      <c r="AC1041" s="122"/>
      <c r="AD1041" s="122"/>
      <c r="AE1041" s="122"/>
      <c r="AF1041" s="122"/>
      <c r="AG1041" s="122"/>
      <c r="AH1041" s="122"/>
      <c r="AI1041" s="122"/>
      <c r="AJ1041" s="122"/>
      <c r="AK1041" s="122"/>
      <c r="AL1041" s="122"/>
      <c r="AM1041" s="122"/>
      <c r="AN1041" s="122"/>
      <c r="AO1041" s="122"/>
      <c r="AP1041" s="122"/>
    </row>
    <row r="1042" spans="2:42">
      <c r="B1042" s="122"/>
      <c r="C1042" s="122"/>
      <c r="D1042" s="122"/>
      <c r="E1042" s="122"/>
      <c r="F1042" s="122"/>
      <c r="G1042" s="122"/>
      <c r="H1042" s="122"/>
      <c r="I1042" s="275"/>
      <c r="J1042" s="130"/>
      <c r="K1042" s="130"/>
      <c r="L1042" s="130"/>
      <c r="M1042" s="130"/>
      <c r="N1042" s="291"/>
      <c r="O1042" s="291"/>
      <c r="P1042" s="122"/>
      <c r="Q1042" s="122"/>
      <c r="R1042" s="122"/>
      <c r="S1042" s="122"/>
      <c r="T1042" s="122"/>
      <c r="U1042" s="301"/>
      <c r="V1042" s="260">
        <f t="shared" ca="1" si="24"/>
        <v>0</v>
      </c>
      <c r="W1042" s="348" t="str">
        <f>IF(板块成分!B1044="","",板块成分!B1044)</f>
        <v>002549.SZ</v>
      </c>
      <c r="X1042" s="276" t="str">
        <f>[1]!S_Info_Name(W1042)</f>
        <v>凯美特气</v>
      </c>
      <c r="Y1042" s="276" t="str">
        <f ca="1">IF($Y$3="申万一级行业",[1]!s_info_industry_sw_2021(W1042,公司分析!D$5,1),IF($Y$3="申万二级行业",[1]!s_info_industry_sw_2021(W1042,公司分析!D$5,2),IF($Y$3="申万三级行业",[1]!s_info_industry_sw_2021(W1042,公司分析!D$5,3),IF($Y$3="wind一级行业",[1]!s_info_industry_gics(W1042,1),IF($Y$3="wind二级行业",[1]!s_info_industry_gics(W1042,2),IF($Y$3="wind三级行业",[1]!s_info_industry_gics(W1042,3),IF($Y$3="wind四级行业",[1]!s_info_industry_gics(W1042,4),IF($Y$3="证监会门类行业",[1]!s_info_industry_csrc12_n(W1042,公司分析!D$5,1),""))))))))</f>
        <v>化学制品</v>
      </c>
      <c r="Z1042" s="302" t="str">
        <f ca="1">IF(Y1042=行业比较!$E$6,ROW(),"")</f>
        <v/>
      </c>
      <c r="AA1042" s="122"/>
      <c r="AB1042" s="122"/>
      <c r="AC1042" s="122"/>
      <c r="AD1042" s="122"/>
      <c r="AE1042" s="122"/>
      <c r="AF1042" s="122"/>
      <c r="AG1042" s="122"/>
      <c r="AH1042" s="122"/>
      <c r="AI1042" s="122"/>
      <c r="AJ1042" s="122"/>
      <c r="AK1042" s="122"/>
      <c r="AL1042" s="122"/>
      <c r="AM1042" s="122"/>
      <c r="AN1042" s="122"/>
      <c r="AO1042" s="122"/>
      <c r="AP1042" s="122"/>
    </row>
    <row r="1043" spans="2:42">
      <c r="B1043" s="122"/>
      <c r="C1043" s="122"/>
      <c r="D1043" s="122"/>
      <c r="E1043" s="122"/>
      <c r="F1043" s="122"/>
      <c r="G1043" s="122"/>
      <c r="H1043" s="122"/>
      <c r="I1043" s="275"/>
      <c r="J1043" s="130"/>
      <c r="K1043" s="130"/>
      <c r="L1043" s="130"/>
      <c r="M1043" s="130"/>
      <c r="N1043" s="291"/>
      <c r="O1043" s="291"/>
      <c r="P1043" s="122"/>
      <c r="Q1043" s="122"/>
      <c r="R1043" s="122"/>
      <c r="S1043" s="122"/>
      <c r="T1043" s="122"/>
      <c r="U1043" s="301"/>
      <c r="V1043" s="260">
        <f t="shared" ca="1" si="24"/>
        <v>0</v>
      </c>
      <c r="W1043" s="348" t="str">
        <f>IF(板块成分!B1045="","",板块成分!B1045)</f>
        <v>002550.SZ</v>
      </c>
      <c r="X1043" s="276" t="str">
        <f>[1]!S_Info_Name(W1043)</f>
        <v>千红制药</v>
      </c>
      <c r="Y1043" s="276" t="str">
        <f ca="1">IF($Y$3="申万一级行业",[1]!s_info_industry_sw_2021(W1043,公司分析!D$5,1),IF($Y$3="申万二级行业",[1]!s_info_industry_sw_2021(W1043,公司分析!D$5,2),IF($Y$3="申万三级行业",[1]!s_info_industry_sw_2021(W1043,公司分析!D$5,3),IF($Y$3="wind一级行业",[1]!s_info_industry_gics(W1043,1),IF($Y$3="wind二级行业",[1]!s_info_industry_gics(W1043,2),IF($Y$3="wind三级行业",[1]!s_info_industry_gics(W1043,3),IF($Y$3="wind四级行业",[1]!s_info_industry_gics(W1043,4),IF($Y$3="证监会门类行业",[1]!s_info_industry_csrc12_n(W1043,公司分析!D$5,1),""))))))))</f>
        <v>化学制药</v>
      </c>
      <c r="Z1043" s="302" t="str">
        <f ca="1">IF(Y1043=行业比较!$E$6,ROW(),"")</f>
        <v/>
      </c>
      <c r="AA1043" s="122"/>
      <c r="AB1043" s="122"/>
      <c r="AC1043" s="122"/>
      <c r="AD1043" s="122"/>
      <c r="AE1043" s="122"/>
      <c r="AF1043" s="122"/>
      <c r="AG1043" s="122"/>
      <c r="AH1043" s="122"/>
      <c r="AI1043" s="122"/>
      <c r="AJ1043" s="122"/>
      <c r="AK1043" s="122"/>
      <c r="AL1043" s="122"/>
      <c r="AM1043" s="122"/>
      <c r="AN1043" s="122"/>
      <c r="AO1043" s="122"/>
      <c r="AP1043" s="122"/>
    </row>
    <row r="1044" spans="2:42">
      <c r="B1044" s="122"/>
      <c r="C1044" s="122"/>
      <c r="D1044" s="122"/>
      <c r="E1044" s="122"/>
      <c r="F1044" s="122"/>
      <c r="G1044" s="122"/>
      <c r="H1044" s="122"/>
      <c r="I1044" s="275"/>
      <c r="J1044" s="130"/>
      <c r="K1044" s="130"/>
      <c r="L1044" s="130"/>
      <c r="M1044" s="130"/>
      <c r="N1044" s="291"/>
      <c r="O1044" s="291"/>
      <c r="P1044" s="122"/>
      <c r="Q1044" s="122"/>
      <c r="R1044" s="122"/>
      <c r="S1044" s="122"/>
      <c r="T1044" s="122"/>
      <c r="U1044" s="301"/>
      <c r="V1044" s="260">
        <f t="shared" ca="1" si="24"/>
        <v>0</v>
      </c>
      <c r="W1044" s="348" t="str">
        <f>IF(板块成分!B1046="","",板块成分!B1046)</f>
        <v>002551.SZ</v>
      </c>
      <c r="X1044" s="276" t="str">
        <f>[1]!S_Info_Name(W1044)</f>
        <v>尚荣医疗</v>
      </c>
      <c r="Y1044" s="276" t="str">
        <f ca="1">IF($Y$3="申万一级行业",[1]!s_info_industry_sw_2021(W1044,公司分析!D$5,1),IF($Y$3="申万二级行业",[1]!s_info_industry_sw_2021(W1044,公司分析!D$5,2),IF($Y$3="申万三级行业",[1]!s_info_industry_sw_2021(W1044,公司分析!D$5,3),IF($Y$3="wind一级行业",[1]!s_info_industry_gics(W1044,1),IF($Y$3="wind二级行业",[1]!s_info_industry_gics(W1044,2),IF($Y$3="wind三级行业",[1]!s_info_industry_gics(W1044,3),IF($Y$3="wind四级行业",[1]!s_info_industry_gics(W1044,4),IF($Y$3="证监会门类行业",[1]!s_info_industry_csrc12_n(W1044,公司分析!D$5,1),""))))))))</f>
        <v>医疗器械</v>
      </c>
      <c r="Z1044" s="302" t="str">
        <f ca="1">IF(Y1044=行业比较!$E$6,ROW(),"")</f>
        <v/>
      </c>
      <c r="AA1044" s="122"/>
      <c r="AB1044" s="122"/>
      <c r="AC1044" s="122"/>
      <c r="AD1044" s="122"/>
      <c r="AE1044" s="122"/>
      <c r="AF1044" s="122"/>
      <c r="AG1044" s="122"/>
      <c r="AH1044" s="122"/>
      <c r="AI1044" s="122"/>
      <c r="AJ1044" s="122"/>
      <c r="AK1044" s="122"/>
      <c r="AL1044" s="122"/>
      <c r="AM1044" s="122"/>
      <c r="AN1044" s="122"/>
      <c r="AO1044" s="122"/>
      <c r="AP1044" s="122"/>
    </row>
    <row r="1045" spans="2:42">
      <c r="B1045" s="122"/>
      <c r="C1045" s="122"/>
      <c r="D1045" s="122"/>
      <c r="E1045" s="122"/>
      <c r="F1045" s="122"/>
      <c r="G1045" s="122"/>
      <c r="H1045" s="122"/>
      <c r="I1045" s="275"/>
      <c r="J1045" s="130"/>
      <c r="K1045" s="130"/>
      <c r="L1045" s="130"/>
      <c r="M1045" s="130"/>
      <c r="N1045" s="291"/>
      <c r="O1045" s="291"/>
      <c r="P1045" s="122"/>
      <c r="Q1045" s="122"/>
      <c r="R1045" s="122"/>
      <c r="S1045" s="122"/>
      <c r="T1045" s="122"/>
      <c r="U1045" s="301"/>
      <c r="V1045" s="260">
        <f t="shared" ca="1" si="24"/>
        <v>0</v>
      </c>
      <c r="W1045" s="348" t="str">
        <f>IF(板块成分!B1047="","",板块成分!B1047)</f>
        <v>002552.SZ</v>
      </c>
      <c r="X1045" s="276" t="str">
        <f>[1]!S_Info_Name(W1045)</f>
        <v>宝鼎科技</v>
      </c>
      <c r="Y1045" s="276" t="str">
        <f ca="1">IF($Y$3="申万一级行业",[1]!s_info_industry_sw_2021(W1045,公司分析!D$5,1),IF($Y$3="申万二级行业",[1]!s_info_industry_sw_2021(W1045,公司分析!D$5,2),IF($Y$3="申万三级行业",[1]!s_info_industry_sw_2021(W1045,公司分析!D$5,3),IF($Y$3="wind一级行业",[1]!s_info_industry_gics(W1045,1),IF($Y$3="wind二级行业",[1]!s_info_industry_gics(W1045,2),IF($Y$3="wind三级行业",[1]!s_info_industry_gics(W1045,3),IF($Y$3="wind四级行业",[1]!s_info_industry_gics(W1045,4),IF($Y$3="证监会门类行业",[1]!s_info_industry_csrc12_n(W1045,公司分析!D$5,1),""))))))))</f>
        <v>通用设备</v>
      </c>
      <c r="Z1045" s="302" t="str">
        <f ca="1">IF(Y1045=行业比较!$E$6,ROW(),"")</f>
        <v/>
      </c>
      <c r="AA1045" s="122"/>
      <c r="AB1045" s="122"/>
      <c r="AC1045" s="122"/>
      <c r="AD1045" s="122"/>
      <c r="AE1045" s="122"/>
      <c r="AF1045" s="122"/>
      <c r="AG1045" s="122"/>
      <c r="AH1045" s="122"/>
      <c r="AI1045" s="122"/>
      <c r="AJ1045" s="122"/>
      <c r="AK1045" s="122"/>
      <c r="AL1045" s="122"/>
      <c r="AM1045" s="122"/>
      <c r="AN1045" s="122"/>
      <c r="AO1045" s="122"/>
      <c r="AP1045" s="122"/>
    </row>
    <row r="1046" spans="2:42">
      <c r="B1046" s="122"/>
      <c r="C1046" s="122"/>
      <c r="D1046" s="122"/>
      <c r="E1046" s="122"/>
      <c r="F1046" s="122"/>
      <c r="G1046" s="122"/>
      <c r="H1046" s="122"/>
      <c r="I1046" s="275"/>
      <c r="J1046" s="130"/>
      <c r="K1046" s="130"/>
      <c r="L1046" s="130"/>
      <c r="M1046" s="130"/>
      <c r="N1046" s="291"/>
      <c r="O1046" s="291"/>
      <c r="P1046" s="122"/>
      <c r="Q1046" s="122"/>
      <c r="R1046" s="122"/>
      <c r="S1046" s="122"/>
      <c r="T1046" s="122"/>
      <c r="U1046" s="301"/>
      <c r="V1046" s="260">
        <f t="shared" ca="1" si="24"/>
        <v>0</v>
      </c>
      <c r="W1046" s="348" t="str">
        <f>IF(板块成分!B1048="","",板块成分!B1048)</f>
        <v>002553.SZ</v>
      </c>
      <c r="X1046" s="276" t="str">
        <f>[1]!S_Info_Name(W1046)</f>
        <v>南方精工</v>
      </c>
      <c r="Y1046" s="276" t="str">
        <f ca="1">IF($Y$3="申万一级行业",[1]!s_info_industry_sw_2021(W1046,公司分析!D$5,1),IF($Y$3="申万二级行业",[1]!s_info_industry_sw_2021(W1046,公司分析!D$5,2),IF($Y$3="申万三级行业",[1]!s_info_industry_sw_2021(W1046,公司分析!D$5,3),IF($Y$3="wind一级行业",[1]!s_info_industry_gics(W1046,1),IF($Y$3="wind二级行业",[1]!s_info_industry_gics(W1046,2),IF($Y$3="wind三级行业",[1]!s_info_industry_gics(W1046,3),IF($Y$3="wind四级行业",[1]!s_info_industry_gics(W1046,4),IF($Y$3="证监会门类行业",[1]!s_info_industry_csrc12_n(W1046,公司分析!D$5,1),""))))))))</f>
        <v>汽车零部件</v>
      </c>
      <c r="Z1046" s="302" t="str">
        <f ca="1">IF(Y1046=行业比较!$E$6,ROW(),"")</f>
        <v/>
      </c>
      <c r="AA1046" s="122"/>
      <c r="AB1046" s="122"/>
      <c r="AC1046" s="122"/>
      <c r="AD1046" s="122"/>
      <c r="AE1046" s="122"/>
      <c r="AF1046" s="122"/>
      <c r="AG1046" s="122"/>
      <c r="AH1046" s="122"/>
      <c r="AI1046" s="122"/>
      <c r="AJ1046" s="122"/>
      <c r="AK1046" s="122"/>
      <c r="AL1046" s="122"/>
      <c r="AM1046" s="122"/>
      <c r="AN1046" s="122"/>
      <c r="AO1046" s="122"/>
      <c r="AP1046" s="122"/>
    </row>
    <row r="1047" spans="2:42">
      <c r="B1047" s="122"/>
      <c r="C1047" s="122"/>
      <c r="D1047" s="122"/>
      <c r="E1047" s="122"/>
      <c r="F1047" s="122"/>
      <c r="G1047" s="122"/>
      <c r="H1047" s="122"/>
      <c r="I1047" s="275"/>
      <c r="J1047" s="130"/>
      <c r="K1047" s="130"/>
      <c r="L1047" s="130"/>
      <c r="M1047" s="130"/>
      <c r="N1047" s="291"/>
      <c r="O1047" s="291"/>
      <c r="P1047" s="122"/>
      <c r="Q1047" s="122"/>
      <c r="R1047" s="122"/>
      <c r="S1047" s="122"/>
      <c r="T1047" s="122"/>
      <c r="U1047" s="301"/>
      <c r="V1047" s="260">
        <f t="shared" ca="1" si="24"/>
        <v>0</v>
      </c>
      <c r="W1047" s="348" t="str">
        <f>IF(板块成分!B1049="","",板块成分!B1049)</f>
        <v>002554.SZ</v>
      </c>
      <c r="X1047" s="276" t="str">
        <f>[1]!S_Info_Name(W1047)</f>
        <v>惠博普</v>
      </c>
      <c r="Y1047" s="276" t="str">
        <f ca="1">IF($Y$3="申万一级行业",[1]!s_info_industry_sw_2021(W1047,公司分析!D$5,1),IF($Y$3="申万二级行业",[1]!s_info_industry_sw_2021(W1047,公司分析!D$5,2),IF($Y$3="申万三级行业",[1]!s_info_industry_sw_2021(W1047,公司分析!D$5,3),IF($Y$3="wind一级行业",[1]!s_info_industry_gics(W1047,1),IF($Y$3="wind二级行业",[1]!s_info_industry_gics(W1047,2),IF($Y$3="wind三级行业",[1]!s_info_industry_gics(W1047,3),IF($Y$3="wind四级行业",[1]!s_info_industry_gics(W1047,4),IF($Y$3="证监会门类行业",[1]!s_info_industry_csrc12_n(W1047,公司分析!D$5,1),""))))))))</f>
        <v>油服工程</v>
      </c>
      <c r="Z1047" s="302" t="str">
        <f ca="1">IF(Y1047=行业比较!$E$6,ROW(),"")</f>
        <v/>
      </c>
      <c r="AA1047" s="122"/>
      <c r="AB1047" s="122"/>
      <c r="AC1047" s="122"/>
      <c r="AD1047" s="122"/>
      <c r="AE1047" s="122"/>
      <c r="AF1047" s="122"/>
      <c r="AG1047" s="122"/>
      <c r="AH1047" s="122"/>
      <c r="AI1047" s="122"/>
      <c r="AJ1047" s="122"/>
      <c r="AK1047" s="122"/>
      <c r="AL1047" s="122"/>
      <c r="AM1047" s="122"/>
      <c r="AN1047" s="122"/>
      <c r="AO1047" s="122"/>
      <c r="AP1047" s="122"/>
    </row>
    <row r="1048" spans="2:42">
      <c r="B1048" s="122"/>
      <c r="C1048" s="122"/>
      <c r="D1048" s="122"/>
      <c r="E1048" s="122"/>
      <c r="F1048" s="122"/>
      <c r="G1048" s="122"/>
      <c r="H1048" s="122"/>
      <c r="I1048" s="275"/>
      <c r="J1048" s="130"/>
      <c r="K1048" s="130"/>
      <c r="L1048" s="130"/>
      <c r="M1048" s="130"/>
      <c r="N1048" s="291"/>
      <c r="O1048" s="291"/>
      <c r="P1048" s="122"/>
      <c r="Q1048" s="122"/>
      <c r="R1048" s="122"/>
      <c r="S1048" s="122"/>
      <c r="T1048" s="122"/>
      <c r="U1048" s="301"/>
      <c r="V1048" s="260">
        <f t="shared" ca="1" si="24"/>
        <v>0</v>
      </c>
      <c r="W1048" s="348" t="str">
        <f>IF(板块成分!B1050="","",板块成分!B1050)</f>
        <v>002555.SZ</v>
      </c>
      <c r="X1048" s="276" t="str">
        <f>[1]!S_Info_Name(W1048)</f>
        <v>三七互娱</v>
      </c>
      <c r="Y1048" s="276" t="str">
        <f ca="1">IF($Y$3="申万一级行业",[1]!s_info_industry_sw_2021(W1048,公司分析!D$5,1),IF($Y$3="申万二级行业",[1]!s_info_industry_sw_2021(W1048,公司分析!D$5,2),IF($Y$3="申万三级行业",[1]!s_info_industry_sw_2021(W1048,公司分析!D$5,3),IF($Y$3="wind一级行业",[1]!s_info_industry_gics(W1048,1),IF($Y$3="wind二级行业",[1]!s_info_industry_gics(W1048,2),IF($Y$3="wind三级行业",[1]!s_info_industry_gics(W1048,3),IF($Y$3="wind四级行业",[1]!s_info_industry_gics(W1048,4),IF($Y$3="证监会门类行业",[1]!s_info_industry_csrc12_n(W1048,公司分析!D$5,1),""))))))))</f>
        <v>游戏Ⅱ</v>
      </c>
      <c r="Z1048" s="302" t="str">
        <f ca="1">IF(Y1048=行业比较!$E$6,ROW(),"")</f>
        <v/>
      </c>
      <c r="AA1048" s="122"/>
      <c r="AB1048" s="122"/>
      <c r="AC1048" s="122"/>
      <c r="AD1048" s="122"/>
      <c r="AE1048" s="122"/>
      <c r="AF1048" s="122"/>
      <c r="AG1048" s="122"/>
      <c r="AH1048" s="122"/>
      <c r="AI1048" s="122"/>
      <c r="AJ1048" s="122"/>
      <c r="AK1048" s="122"/>
      <c r="AL1048" s="122"/>
      <c r="AM1048" s="122"/>
      <c r="AN1048" s="122"/>
      <c r="AO1048" s="122"/>
      <c r="AP1048" s="122"/>
    </row>
    <row r="1049" spans="2:42">
      <c r="B1049" s="122"/>
      <c r="C1049" s="122"/>
      <c r="D1049" s="122"/>
      <c r="E1049" s="122"/>
      <c r="F1049" s="122"/>
      <c r="G1049" s="122"/>
      <c r="H1049" s="122"/>
      <c r="I1049" s="275"/>
      <c r="J1049" s="130"/>
      <c r="K1049" s="130"/>
      <c r="L1049" s="130"/>
      <c r="M1049" s="130"/>
      <c r="N1049" s="291"/>
      <c r="O1049" s="291"/>
      <c r="P1049" s="122"/>
      <c r="Q1049" s="122"/>
      <c r="R1049" s="122"/>
      <c r="S1049" s="122"/>
      <c r="T1049" s="122"/>
      <c r="U1049" s="301"/>
      <c r="V1049" s="260">
        <f t="shared" ca="1" si="24"/>
        <v>0</v>
      </c>
      <c r="W1049" s="348" t="str">
        <f>IF(板块成分!B1051="","",板块成分!B1051)</f>
        <v>002556.SZ</v>
      </c>
      <c r="X1049" s="276" t="str">
        <f>[1]!S_Info_Name(W1049)</f>
        <v>辉隆股份</v>
      </c>
      <c r="Y1049" s="276" t="str">
        <f ca="1">IF($Y$3="申万一级行业",[1]!s_info_industry_sw_2021(W1049,公司分析!D$5,1),IF($Y$3="申万二级行业",[1]!s_info_industry_sw_2021(W1049,公司分析!D$5,2),IF($Y$3="申万三级行业",[1]!s_info_industry_sw_2021(W1049,公司分析!D$5,3),IF($Y$3="wind一级行业",[1]!s_info_industry_gics(W1049,1),IF($Y$3="wind二级行业",[1]!s_info_industry_gics(W1049,2),IF($Y$3="wind三级行业",[1]!s_info_industry_gics(W1049,3),IF($Y$3="wind四级行业",[1]!s_info_industry_gics(W1049,4),IF($Y$3="证监会门类行业",[1]!s_info_industry_csrc12_n(W1049,公司分析!D$5,1),""))))))))</f>
        <v>农业综合Ⅱ</v>
      </c>
      <c r="Z1049" s="302" t="str">
        <f ca="1">IF(Y1049=行业比较!$E$6,ROW(),"")</f>
        <v/>
      </c>
      <c r="AA1049" s="122"/>
      <c r="AB1049" s="122"/>
      <c r="AC1049" s="122"/>
      <c r="AD1049" s="122"/>
      <c r="AE1049" s="122"/>
      <c r="AF1049" s="122"/>
      <c r="AG1049" s="122"/>
      <c r="AH1049" s="122"/>
      <c r="AI1049" s="122"/>
      <c r="AJ1049" s="122"/>
      <c r="AK1049" s="122"/>
      <c r="AL1049" s="122"/>
      <c r="AM1049" s="122"/>
      <c r="AN1049" s="122"/>
      <c r="AO1049" s="122"/>
      <c r="AP1049" s="122"/>
    </row>
    <row r="1050" spans="2:42">
      <c r="B1050" s="122"/>
      <c r="C1050" s="122"/>
      <c r="D1050" s="122"/>
      <c r="E1050" s="122"/>
      <c r="F1050" s="122"/>
      <c r="G1050" s="122"/>
      <c r="H1050" s="122"/>
      <c r="I1050" s="275"/>
      <c r="J1050" s="130"/>
      <c r="K1050" s="130"/>
      <c r="L1050" s="130"/>
      <c r="M1050" s="130"/>
      <c r="N1050" s="291"/>
      <c r="O1050" s="291"/>
      <c r="P1050" s="122"/>
      <c r="Q1050" s="122"/>
      <c r="R1050" s="122"/>
      <c r="S1050" s="122"/>
      <c r="T1050" s="122"/>
      <c r="U1050" s="301"/>
      <c r="V1050" s="260">
        <f t="shared" ca="1" si="24"/>
        <v>0</v>
      </c>
      <c r="W1050" s="348" t="str">
        <f>IF(板块成分!B1052="","",板块成分!B1052)</f>
        <v>002557.SZ</v>
      </c>
      <c r="X1050" s="276" t="str">
        <f>[1]!S_Info_Name(W1050)</f>
        <v>洽洽食品</v>
      </c>
      <c r="Y1050" s="276" t="str">
        <f ca="1">IF($Y$3="申万一级行业",[1]!s_info_industry_sw_2021(W1050,公司分析!D$5,1),IF($Y$3="申万二级行业",[1]!s_info_industry_sw_2021(W1050,公司分析!D$5,2),IF($Y$3="申万三级行业",[1]!s_info_industry_sw_2021(W1050,公司分析!D$5,3),IF($Y$3="wind一级行业",[1]!s_info_industry_gics(W1050,1),IF($Y$3="wind二级行业",[1]!s_info_industry_gics(W1050,2),IF($Y$3="wind三级行业",[1]!s_info_industry_gics(W1050,3),IF($Y$3="wind四级行业",[1]!s_info_industry_gics(W1050,4),IF($Y$3="证监会门类行业",[1]!s_info_industry_csrc12_n(W1050,公司分析!D$5,1),""))))))))</f>
        <v>休闲食品</v>
      </c>
      <c r="Z1050" s="302" t="str">
        <f ca="1">IF(Y1050=行业比较!$E$6,ROW(),"")</f>
        <v/>
      </c>
      <c r="AA1050" s="122"/>
      <c r="AB1050" s="122"/>
      <c r="AC1050" s="122"/>
      <c r="AD1050" s="122"/>
      <c r="AE1050" s="122"/>
      <c r="AF1050" s="122"/>
      <c r="AG1050" s="122"/>
      <c r="AH1050" s="122"/>
      <c r="AI1050" s="122"/>
      <c r="AJ1050" s="122"/>
      <c r="AK1050" s="122"/>
      <c r="AL1050" s="122"/>
      <c r="AM1050" s="122"/>
      <c r="AN1050" s="122"/>
      <c r="AO1050" s="122"/>
      <c r="AP1050" s="122"/>
    </row>
    <row r="1051" spans="2:42">
      <c r="B1051" s="122"/>
      <c r="C1051" s="122"/>
      <c r="D1051" s="122"/>
      <c r="E1051" s="122"/>
      <c r="F1051" s="122"/>
      <c r="G1051" s="122"/>
      <c r="H1051" s="122"/>
      <c r="I1051" s="275"/>
      <c r="J1051" s="130"/>
      <c r="K1051" s="130"/>
      <c r="L1051" s="130"/>
      <c r="M1051" s="130"/>
      <c r="N1051" s="291"/>
      <c r="O1051" s="291"/>
      <c r="P1051" s="122"/>
      <c r="Q1051" s="122"/>
      <c r="R1051" s="122"/>
      <c r="S1051" s="122"/>
      <c r="T1051" s="122"/>
      <c r="U1051" s="301"/>
      <c r="V1051" s="260">
        <f t="shared" ca="1" si="24"/>
        <v>0</v>
      </c>
      <c r="W1051" s="348" t="str">
        <f>IF(板块成分!B1053="","",板块成分!B1053)</f>
        <v>002558.SZ</v>
      </c>
      <c r="X1051" s="276" t="str">
        <f>[1]!S_Info_Name(W1051)</f>
        <v>巨人网络</v>
      </c>
      <c r="Y1051" s="276" t="str">
        <f ca="1">IF($Y$3="申万一级行业",[1]!s_info_industry_sw_2021(W1051,公司分析!D$5,1),IF($Y$3="申万二级行业",[1]!s_info_industry_sw_2021(W1051,公司分析!D$5,2),IF($Y$3="申万三级行业",[1]!s_info_industry_sw_2021(W1051,公司分析!D$5,3),IF($Y$3="wind一级行业",[1]!s_info_industry_gics(W1051,1),IF($Y$3="wind二级行业",[1]!s_info_industry_gics(W1051,2),IF($Y$3="wind三级行业",[1]!s_info_industry_gics(W1051,3),IF($Y$3="wind四级行业",[1]!s_info_industry_gics(W1051,4),IF($Y$3="证监会门类行业",[1]!s_info_industry_csrc12_n(W1051,公司分析!D$5,1),""))))))))</f>
        <v>游戏Ⅱ</v>
      </c>
      <c r="Z1051" s="302" t="str">
        <f ca="1">IF(Y1051=行业比较!$E$6,ROW(),"")</f>
        <v/>
      </c>
      <c r="AA1051" s="122"/>
      <c r="AB1051" s="122"/>
      <c r="AC1051" s="122"/>
      <c r="AD1051" s="122"/>
      <c r="AE1051" s="122"/>
      <c r="AF1051" s="122"/>
      <c r="AG1051" s="122"/>
      <c r="AH1051" s="122"/>
      <c r="AI1051" s="122"/>
      <c r="AJ1051" s="122"/>
      <c r="AK1051" s="122"/>
      <c r="AL1051" s="122"/>
      <c r="AM1051" s="122"/>
      <c r="AN1051" s="122"/>
      <c r="AO1051" s="122"/>
      <c r="AP1051" s="122"/>
    </row>
    <row r="1052" spans="2:42">
      <c r="B1052" s="122"/>
      <c r="C1052" s="122"/>
      <c r="D1052" s="122"/>
      <c r="E1052" s="122"/>
      <c r="F1052" s="122"/>
      <c r="G1052" s="122"/>
      <c r="H1052" s="122"/>
      <c r="I1052" s="275"/>
      <c r="J1052" s="130"/>
      <c r="K1052" s="130"/>
      <c r="L1052" s="130"/>
      <c r="M1052" s="130"/>
      <c r="N1052" s="291"/>
      <c r="O1052" s="291"/>
      <c r="P1052" s="122"/>
      <c r="Q1052" s="122"/>
      <c r="R1052" s="122"/>
      <c r="S1052" s="122"/>
      <c r="T1052" s="122"/>
      <c r="U1052" s="301"/>
      <c r="V1052" s="260">
        <f t="shared" ca="1" si="24"/>
        <v>0</v>
      </c>
      <c r="W1052" s="348" t="str">
        <f>IF(板块成分!B1054="","",板块成分!B1054)</f>
        <v>002559.SZ</v>
      </c>
      <c r="X1052" s="276" t="str">
        <f>[1]!S_Info_Name(W1052)</f>
        <v>亚威股份</v>
      </c>
      <c r="Y1052" s="276" t="str">
        <f ca="1">IF($Y$3="申万一级行业",[1]!s_info_industry_sw_2021(W1052,公司分析!D$5,1),IF($Y$3="申万二级行业",[1]!s_info_industry_sw_2021(W1052,公司分析!D$5,2),IF($Y$3="申万三级行业",[1]!s_info_industry_sw_2021(W1052,公司分析!D$5,3),IF($Y$3="wind一级行业",[1]!s_info_industry_gics(W1052,1),IF($Y$3="wind二级行业",[1]!s_info_industry_gics(W1052,2),IF($Y$3="wind三级行业",[1]!s_info_industry_gics(W1052,3),IF($Y$3="wind四级行业",[1]!s_info_industry_gics(W1052,4),IF($Y$3="证监会门类行业",[1]!s_info_industry_csrc12_n(W1052,公司分析!D$5,1),""))))))))</f>
        <v>通用设备</v>
      </c>
      <c r="Z1052" s="302" t="str">
        <f ca="1">IF(Y1052=行业比较!$E$6,ROW(),"")</f>
        <v/>
      </c>
      <c r="AA1052" s="122"/>
      <c r="AB1052" s="122"/>
      <c r="AC1052" s="122"/>
      <c r="AD1052" s="122"/>
      <c r="AE1052" s="122"/>
      <c r="AF1052" s="122"/>
      <c r="AG1052" s="122"/>
      <c r="AH1052" s="122"/>
      <c r="AI1052" s="122"/>
      <c r="AJ1052" s="122"/>
      <c r="AK1052" s="122"/>
      <c r="AL1052" s="122"/>
      <c r="AM1052" s="122"/>
      <c r="AN1052" s="122"/>
      <c r="AO1052" s="122"/>
      <c r="AP1052" s="122"/>
    </row>
    <row r="1053" spans="2:42">
      <c r="B1053" s="122"/>
      <c r="C1053" s="122"/>
      <c r="D1053" s="122"/>
      <c r="E1053" s="122"/>
      <c r="F1053" s="122"/>
      <c r="G1053" s="122"/>
      <c r="H1053" s="122"/>
      <c r="I1053" s="275"/>
      <c r="J1053" s="130"/>
      <c r="K1053" s="130"/>
      <c r="L1053" s="130"/>
      <c r="M1053" s="130"/>
      <c r="N1053" s="291"/>
      <c r="O1053" s="291"/>
      <c r="P1053" s="122"/>
      <c r="Q1053" s="122"/>
      <c r="R1053" s="122"/>
      <c r="S1053" s="122"/>
      <c r="T1053" s="122"/>
      <c r="U1053" s="301"/>
      <c r="V1053" s="260">
        <f t="shared" ca="1" si="24"/>
        <v>0</v>
      </c>
      <c r="W1053" s="348" t="str">
        <f>IF(板块成分!B1055="","",板块成分!B1055)</f>
        <v>002560.SZ</v>
      </c>
      <c r="X1053" s="276" t="str">
        <f>[1]!S_Info_Name(W1053)</f>
        <v>通达股份</v>
      </c>
      <c r="Y1053" s="276" t="str">
        <f ca="1">IF($Y$3="申万一级行业",[1]!s_info_industry_sw_2021(W1053,公司分析!D$5,1),IF($Y$3="申万二级行业",[1]!s_info_industry_sw_2021(W1053,公司分析!D$5,2),IF($Y$3="申万三级行业",[1]!s_info_industry_sw_2021(W1053,公司分析!D$5,3),IF($Y$3="wind一级行业",[1]!s_info_industry_gics(W1053,1),IF($Y$3="wind二级行业",[1]!s_info_industry_gics(W1053,2),IF($Y$3="wind三级行业",[1]!s_info_industry_gics(W1053,3),IF($Y$3="wind四级行业",[1]!s_info_industry_gics(W1053,4),IF($Y$3="证监会门类行业",[1]!s_info_industry_csrc12_n(W1053,公司分析!D$5,1),""))))))))</f>
        <v>电网设备</v>
      </c>
      <c r="Z1053" s="302" t="str">
        <f ca="1">IF(Y1053=行业比较!$E$6,ROW(),"")</f>
        <v/>
      </c>
      <c r="AA1053" s="122"/>
      <c r="AB1053" s="122"/>
      <c r="AC1053" s="122"/>
      <c r="AD1053" s="122"/>
      <c r="AE1053" s="122"/>
      <c r="AF1053" s="122"/>
      <c r="AG1053" s="122"/>
      <c r="AH1053" s="122"/>
      <c r="AI1053" s="122"/>
      <c r="AJ1053" s="122"/>
      <c r="AK1053" s="122"/>
      <c r="AL1053" s="122"/>
      <c r="AM1053" s="122"/>
      <c r="AN1053" s="122"/>
      <c r="AO1053" s="122"/>
      <c r="AP1053" s="122"/>
    </row>
    <row r="1054" spans="2:42">
      <c r="B1054" s="122"/>
      <c r="C1054" s="122"/>
      <c r="D1054" s="122"/>
      <c r="E1054" s="122"/>
      <c r="F1054" s="122"/>
      <c r="G1054" s="122"/>
      <c r="H1054" s="122"/>
      <c r="I1054" s="275"/>
      <c r="J1054" s="130"/>
      <c r="K1054" s="130"/>
      <c r="L1054" s="130"/>
      <c r="M1054" s="130"/>
      <c r="N1054" s="291"/>
      <c r="O1054" s="291"/>
      <c r="P1054" s="122"/>
      <c r="Q1054" s="122"/>
      <c r="R1054" s="122"/>
      <c r="S1054" s="122"/>
      <c r="T1054" s="122"/>
      <c r="U1054" s="301"/>
      <c r="V1054" s="260">
        <f t="shared" ca="1" si="24"/>
        <v>0</v>
      </c>
      <c r="W1054" s="348" t="str">
        <f>IF(板块成分!B1056="","",板块成分!B1056)</f>
        <v>002561.SZ</v>
      </c>
      <c r="X1054" s="276" t="str">
        <f>[1]!S_Info_Name(W1054)</f>
        <v>徐家汇</v>
      </c>
      <c r="Y1054" s="276" t="str">
        <f ca="1">IF($Y$3="申万一级行业",[1]!s_info_industry_sw_2021(W1054,公司分析!D$5,1),IF($Y$3="申万二级行业",[1]!s_info_industry_sw_2021(W1054,公司分析!D$5,2),IF($Y$3="申万三级行业",[1]!s_info_industry_sw_2021(W1054,公司分析!D$5,3),IF($Y$3="wind一级行业",[1]!s_info_industry_gics(W1054,1),IF($Y$3="wind二级行业",[1]!s_info_industry_gics(W1054,2),IF($Y$3="wind三级行业",[1]!s_info_industry_gics(W1054,3),IF($Y$3="wind四级行业",[1]!s_info_industry_gics(W1054,4),IF($Y$3="证监会门类行业",[1]!s_info_industry_csrc12_n(W1054,公司分析!D$5,1),""))))))))</f>
        <v>一般零售</v>
      </c>
      <c r="Z1054" s="302" t="str">
        <f ca="1">IF(Y1054=行业比较!$E$6,ROW(),"")</f>
        <v/>
      </c>
      <c r="AA1054" s="122"/>
      <c r="AB1054" s="122"/>
      <c r="AC1054" s="122"/>
      <c r="AD1054" s="122"/>
      <c r="AE1054" s="122"/>
      <c r="AF1054" s="122"/>
      <c r="AG1054" s="122"/>
      <c r="AH1054" s="122"/>
      <c r="AI1054" s="122"/>
      <c r="AJ1054" s="122"/>
      <c r="AK1054" s="122"/>
      <c r="AL1054" s="122"/>
      <c r="AM1054" s="122"/>
      <c r="AN1054" s="122"/>
      <c r="AO1054" s="122"/>
      <c r="AP1054" s="122"/>
    </row>
    <row r="1055" spans="2:42">
      <c r="B1055" s="122"/>
      <c r="C1055" s="122"/>
      <c r="D1055" s="122"/>
      <c r="E1055" s="122"/>
      <c r="F1055" s="122"/>
      <c r="G1055" s="122"/>
      <c r="H1055" s="122"/>
      <c r="I1055" s="275"/>
      <c r="J1055" s="130"/>
      <c r="K1055" s="130"/>
      <c r="L1055" s="130"/>
      <c r="M1055" s="130"/>
      <c r="N1055" s="291"/>
      <c r="O1055" s="291"/>
      <c r="P1055" s="122"/>
      <c r="Q1055" s="122"/>
      <c r="R1055" s="122"/>
      <c r="S1055" s="122"/>
      <c r="T1055" s="122"/>
      <c r="U1055" s="301"/>
      <c r="V1055" s="260">
        <f t="shared" ca="1" si="24"/>
        <v>0</v>
      </c>
      <c r="W1055" s="348" t="str">
        <f>IF(板块成分!B1057="","",板块成分!B1057)</f>
        <v>002562.SZ</v>
      </c>
      <c r="X1055" s="276" t="str">
        <f>[1]!S_Info_Name(W1055)</f>
        <v>兄弟科技</v>
      </c>
      <c r="Y1055" s="276" t="str">
        <f ca="1">IF($Y$3="申万一级行业",[1]!s_info_industry_sw_2021(W1055,公司分析!D$5,1),IF($Y$3="申万二级行业",[1]!s_info_industry_sw_2021(W1055,公司分析!D$5,2),IF($Y$3="申万三级行业",[1]!s_info_industry_sw_2021(W1055,公司分析!D$5,3),IF($Y$3="wind一级行业",[1]!s_info_industry_gics(W1055,1),IF($Y$3="wind二级行业",[1]!s_info_industry_gics(W1055,2),IF($Y$3="wind三级行业",[1]!s_info_industry_gics(W1055,3),IF($Y$3="wind四级行业",[1]!s_info_industry_gics(W1055,4),IF($Y$3="证监会门类行业",[1]!s_info_industry_csrc12_n(W1055,公司分析!D$5,1),""))))))))</f>
        <v>化学制品</v>
      </c>
      <c r="Z1055" s="302" t="str">
        <f ca="1">IF(Y1055=行业比较!$E$6,ROW(),"")</f>
        <v/>
      </c>
      <c r="AA1055" s="122"/>
      <c r="AB1055" s="122"/>
      <c r="AC1055" s="122"/>
      <c r="AD1055" s="122"/>
      <c r="AE1055" s="122"/>
      <c r="AF1055" s="122"/>
      <c r="AG1055" s="122"/>
      <c r="AH1055" s="122"/>
      <c r="AI1055" s="122"/>
      <c r="AJ1055" s="122"/>
      <c r="AK1055" s="122"/>
      <c r="AL1055" s="122"/>
      <c r="AM1055" s="122"/>
      <c r="AN1055" s="122"/>
      <c r="AO1055" s="122"/>
      <c r="AP1055" s="122"/>
    </row>
    <row r="1056" spans="2:42">
      <c r="B1056" s="122"/>
      <c r="C1056" s="122"/>
      <c r="D1056" s="122"/>
      <c r="E1056" s="122"/>
      <c r="F1056" s="122"/>
      <c r="G1056" s="122"/>
      <c r="H1056" s="122"/>
      <c r="I1056" s="275"/>
      <c r="J1056" s="130"/>
      <c r="K1056" s="130"/>
      <c r="L1056" s="130"/>
      <c r="M1056" s="130"/>
      <c r="N1056" s="291"/>
      <c r="O1056" s="291"/>
      <c r="P1056" s="122"/>
      <c r="Q1056" s="122"/>
      <c r="R1056" s="122"/>
      <c r="S1056" s="122"/>
      <c r="T1056" s="122"/>
      <c r="U1056" s="301"/>
      <c r="V1056" s="260">
        <f t="shared" ca="1" si="24"/>
        <v>0</v>
      </c>
      <c r="W1056" s="348" t="str">
        <f>IF(板块成分!B1058="","",板块成分!B1058)</f>
        <v>002563.SZ</v>
      </c>
      <c r="X1056" s="276" t="str">
        <f>[1]!S_Info_Name(W1056)</f>
        <v>森马服饰</v>
      </c>
      <c r="Y1056" s="276" t="str">
        <f ca="1">IF($Y$3="申万一级行业",[1]!s_info_industry_sw_2021(W1056,公司分析!D$5,1),IF($Y$3="申万二级行业",[1]!s_info_industry_sw_2021(W1056,公司分析!D$5,2),IF($Y$3="申万三级行业",[1]!s_info_industry_sw_2021(W1056,公司分析!D$5,3),IF($Y$3="wind一级行业",[1]!s_info_industry_gics(W1056,1),IF($Y$3="wind二级行业",[1]!s_info_industry_gics(W1056,2),IF($Y$3="wind三级行业",[1]!s_info_industry_gics(W1056,3),IF($Y$3="wind四级行业",[1]!s_info_industry_gics(W1056,4),IF($Y$3="证监会门类行业",[1]!s_info_industry_csrc12_n(W1056,公司分析!D$5,1),""))))))))</f>
        <v>服装家纺</v>
      </c>
      <c r="Z1056" s="302" t="str">
        <f ca="1">IF(Y1056=行业比较!$E$6,ROW(),"")</f>
        <v/>
      </c>
      <c r="AA1056" s="122"/>
      <c r="AB1056" s="122"/>
      <c r="AC1056" s="122"/>
      <c r="AD1056" s="122"/>
      <c r="AE1056" s="122"/>
      <c r="AF1056" s="122"/>
      <c r="AG1056" s="122"/>
      <c r="AH1056" s="122"/>
      <c r="AI1056" s="122"/>
      <c r="AJ1056" s="122"/>
      <c r="AK1056" s="122"/>
      <c r="AL1056" s="122"/>
      <c r="AM1056" s="122"/>
      <c r="AN1056" s="122"/>
      <c r="AO1056" s="122"/>
      <c r="AP1056" s="122"/>
    </row>
    <row r="1057" spans="2:42">
      <c r="B1057" s="122"/>
      <c r="C1057" s="122"/>
      <c r="D1057" s="122"/>
      <c r="E1057" s="122"/>
      <c r="F1057" s="122"/>
      <c r="G1057" s="122"/>
      <c r="H1057" s="122"/>
      <c r="I1057" s="275"/>
      <c r="J1057" s="130"/>
      <c r="K1057" s="130"/>
      <c r="L1057" s="130"/>
      <c r="M1057" s="130"/>
      <c r="N1057" s="291"/>
      <c r="O1057" s="291"/>
      <c r="P1057" s="122"/>
      <c r="Q1057" s="122"/>
      <c r="R1057" s="122"/>
      <c r="S1057" s="122"/>
      <c r="T1057" s="122"/>
      <c r="U1057" s="301"/>
      <c r="V1057" s="260">
        <f t="shared" ca="1" si="24"/>
        <v>0</v>
      </c>
      <c r="W1057" s="348" t="str">
        <f>IF(板块成分!B1059="","",板块成分!B1059)</f>
        <v>002564.SZ</v>
      </c>
      <c r="X1057" s="276" t="str">
        <f>[1]!S_Info_Name(W1057)</f>
        <v>天沃科技</v>
      </c>
      <c r="Y1057" s="276" t="str">
        <f ca="1">IF($Y$3="申万一级行业",[1]!s_info_industry_sw_2021(W1057,公司分析!D$5,1),IF($Y$3="申万二级行业",[1]!s_info_industry_sw_2021(W1057,公司分析!D$5,2),IF($Y$3="申万三级行业",[1]!s_info_industry_sw_2021(W1057,公司分析!D$5,3),IF($Y$3="wind一级行业",[1]!s_info_industry_gics(W1057,1),IF($Y$3="wind二级行业",[1]!s_info_industry_gics(W1057,2),IF($Y$3="wind三级行业",[1]!s_info_industry_gics(W1057,3),IF($Y$3="wind四级行业",[1]!s_info_industry_gics(W1057,4),IF($Y$3="证监会门类行业",[1]!s_info_industry_csrc12_n(W1057,公司分析!D$5,1),""))))))))</f>
        <v>专业工程</v>
      </c>
      <c r="Z1057" s="302" t="str">
        <f ca="1">IF(Y1057=行业比较!$E$6,ROW(),"")</f>
        <v/>
      </c>
      <c r="AA1057" s="122"/>
      <c r="AB1057" s="122"/>
      <c r="AC1057" s="122"/>
      <c r="AD1057" s="122"/>
      <c r="AE1057" s="122"/>
      <c r="AF1057" s="122"/>
      <c r="AG1057" s="122"/>
      <c r="AH1057" s="122"/>
      <c r="AI1057" s="122"/>
      <c r="AJ1057" s="122"/>
      <c r="AK1057" s="122"/>
      <c r="AL1057" s="122"/>
      <c r="AM1057" s="122"/>
      <c r="AN1057" s="122"/>
      <c r="AO1057" s="122"/>
      <c r="AP1057" s="122"/>
    </row>
    <row r="1058" spans="2:42">
      <c r="B1058" s="122"/>
      <c r="C1058" s="122"/>
      <c r="D1058" s="122"/>
      <c r="E1058" s="122"/>
      <c r="F1058" s="122"/>
      <c r="G1058" s="122"/>
      <c r="H1058" s="122"/>
      <c r="I1058" s="275"/>
      <c r="J1058" s="130"/>
      <c r="K1058" s="130"/>
      <c r="L1058" s="130"/>
      <c r="M1058" s="130"/>
      <c r="N1058" s="291"/>
      <c r="O1058" s="291"/>
      <c r="P1058" s="122"/>
      <c r="Q1058" s="122"/>
      <c r="R1058" s="122"/>
      <c r="S1058" s="122"/>
      <c r="T1058" s="122"/>
      <c r="U1058" s="301"/>
      <c r="V1058" s="260">
        <f t="shared" ca="1" si="24"/>
        <v>0</v>
      </c>
      <c r="W1058" s="348" t="str">
        <f>IF(板块成分!B1060="","",板块成分!B1060)</f>
        <v>002565.SZ</v>
      </c>
      <c r="X1058" s="276" t="str">
        <f>[1]!S_Info_Name(W1058)</f>
        <v>顺灏股份</v>
      </c>
      <c r="Y1058" s="276" t="str">
        <f ca="1">IF($Y$3="申万一级行业",[1]!s_info_industry_sw_2021(W1058,公司分析!D$5,1),IF($Y$3="申万二级行业",[1]!s_info_industry_sw_2021(W1058,公司分析!D$5,2),IF($Y$3="申万三级行业",[1]!s_info_industry_sw_2021(W1058,公司分析!D$5,3),IF($Y$3="wind一级行业",[1]!s_info_industry_gics(W1058,1),IF($Y$3="wind二级行业",[1]!s_info_industry_gics(W1058,2),IF($Y$3="wind三级行业",[1]!s_info_industry_gics(W1058,3),IF($Y$3="wind四级行业",[1]!s_info_industry_gics(W1058,4),IF($Y$3="证监会门类行业",[1]!s_info_industry_csrc12_n(W1058,公司分析!D$5,1),""))))))))</f>
        <v>包装印刷</v>
      </c>
      <c r="Z1058" s="302" t="str">
        <f ca="1">IF(Y1058=行业比较!$E$6,ROW(),"")</f>
        <v/>
      </c>
      <c r="AA1058" s="122"/>
      <c r="AB1058" s="122"/>
      <c r="AC1058" s="122"/>
      <c r="AD1058" s="122"/>
      <c r="AE1058" s="122"/>
      <c r="AF1058" s="122"/>
      <c r="AG1058" s="122"/>
      <c r="AH1058" s="122"/>
      <c r="AI1058" s="122"/>
      <c r="AJ1058" s="122"/>
      <c r="AK1058" s="122"/>
      <c r="AL1058" s="122"/>
      <c r="AM1058" s="122"/>
      <c r="AN1058" s="122"/>
      <c r="AO1058" s="122"/>
      <c r="AP1058" s="122"/>
    </row>
    <row r="1059" spans="2:42">
      <c r="B1059" s="122"/>
      <c r="C1059" s="122"/>
      <c r="D1059" s="122"/>
      <c r="E1059" s="122"/>
      <c r="F1059" s="122"/>
      <c r="G1059" s="122"/>
      <c r="H1059" s="122"/>
      <c r="I1059" s="275"/>
      <c r="J1059" s="130"/>
      <c r="K1059" s="130"/>
      <c r="L1059" s="130"/>
      <c r="M1059" s="130"/>
      <c r="N1059" s="291"/>
      <c r="O1059" s="291"/>
      <c r="P1059" s="122"/>
      <c r="Q1059" s="122"/>
      <c r="R1059" s="122"/>
      <c r="S1059" s="122"/>
      <c r="T1059" s="122"/>
      <c r="U1059" s="301"/>
      <c r="V1059" s="260">
        <f t="shared" ca="1" si="24"/>
        <v>0</v>
      </c>
      <c r="W1059" s="348" t="str">
        <f>IF(板块成分!B1061="","",板块成分!B1061)</f>
        <v>002566.SZ</v>
      </c>
      <c r="X1059" s="276" t="str">
        <f>[1]!S_Info_Name(W1059)</f>
        <v>益盛药业</v>
      </c>
      <c r="Y1059" s="276" t="str">
        <f ca="1">IF($Y$3="申万一级行业",[1]!s_info_industry_sw_2021(W1059,公司分析!D$5,1),IF($Y$3="申万二级行业",[1]!s_info_industry_sw_2021(W1059,公司分析!D$5,2),IF($Y$3="申万三级行业",[1]!s_info_industry_sw_2021(W1059,公司分析!D$5,3),IF($Y$3="wind一级行业",[1]!s_info_industry_gics(W1059,1),IF($Y$3="wind二级行业",[1]!s_info_industry_gics(W1059,2),IF($Y$3="wind三级行业",[1]!s_info_industry_gics(W1059,3),IF($Y$3="wind四级行业",[1]!s_info_industry_gics(W1059,4),IF($Y$3="证监会门类行业",[1]!s_info_industry_csrc12_n(W1059,公司分析!D$5,1),""))))))))</f>
        <v>中药Ⅱ</v>
      </c>
      <c r="Z1059" s="302" t="str">
        <f ca="1">IF(Y1059=行业比较!$E$6,ROW(),"")</f>
        <v/>
      </c>
      <c r="AA1059" s="122"/>
      <c r="AB1059" s="122"/>
      <c r="AC1059" s="122"/>
      <c r="AD1059" s="122"/>
      <c r="AE1059" s="122"/>
      <c r="AF1059" s="122"/>
      <c r="AG1059" s="122"/>
      <c r="AH1059" s="122"/>
      <c r="AI1059" s="122"/>
      <c r="AJ1059" s="122"/>
      <c r="AK1059" s="122"/>
      <c r="AL1059" s="122"/>
      <c r="AM1059" s="122"/>
      <c r="AN1059" s="122"/>
      <c r="AO1059" s="122"/>
      <c r="AP1059" s="122"/>
    </row>
    <row r="1060" spans="2:42">
      <c r="B1060" s="122"/>
      <c r="C1060" s="122"/>
      <c r="D1060" s="122"/>
      <c r="E1060" s="122"/>
      <c r="F1060" s="122"/>
      <c r="G1060" s="122"/>
      <c r="H1060" s="122"/>
      <c r="I1060" s="275"/>
      <c r="J1060" s="130"/>
      <c r="K1060" s="130"/>
      <c r="L1060" s="130"/>
      <c r="M1060" s="130"/>
      <c r="N1060" s="291"/>
      <c r="O1060" s="291"/>
      <c r="P1060" s="122"/>
      <c r="Q1060" s="122"/>
      <c r="R1060" s="122"/>
      <c r="S1060" s="122"/>
      <c r="T1060" s="122"/>
      <c r="U1060" s="301"/>
      <c r="V1060" s="260">
        <f t="shared" ca="1" si="24"/>
        <v>0</v>
      </c>
      <c r="W1060" s="348" t="str">
        <f>IF(板块成分!B1062="","",板块成分!B1062)</f>
        <v>002567.SZ</v>
      </c>
      <c r="X1060" s="276" t="str">
        <f>[1]!S_Info_Name(W1060)</f>
        <v>唐人神</v>
      </c>
      <c r="Y1060" s="276" t="str">
        <f ca="1">IF($Y$3="申万一级行业",[1]!s_info_industry_sw_2021(W1060,公司分析!D$5,1),IF($Y$3="申万二级行业",[1]!s_info_industry_sw_2021(W1060,公司分析!D$5,2),IF($Y$3="申万三级行业",[1]!s_info_industry_sw_2021(W1060,公司分析!D$5,3),IF($Y$3="wind一级行业",[1]!s_info_industry_gics(W1060,1),IF($Y$3="wind二级行业",[1]!s_info_industry_gics(W1060,2),IF($Y$3="wind三级行业",[1]!s_info_industry_gics(W1060,3),IF($Y$3="wind四级行业",[1]!s_info_industry_gics(W1060,4),IF($Y$3="证监会门类行业",[1]!s_info_industry_csrc12_n(W1060,公司分析!D$5,1),""))))))))</f>
        <v>饲料</v>
      </c>
      <c r="Z1060" s="302" t="str">
        <f ca="1">IF(Y1060=行业比较!$E$6,ROW(),"")</f>
        <v/>
      </c>
      <c r="AA1060" s="122"/>
      <c r="AB1060" s="122"/>
      <c r="AC1060" s="122"/>
      <c r="AD1060" s="122"/>
      <c r="AE1060" s="122"/>
      <c r="AF1060" s="122"/>
      <c r="AG1060" s="122"/>
      <c r="AH1060" s="122"/>
      <c r="AI1060" s="122"/>
      <c r="AJ1060" s="122"/>
      <c r="AK1060" s="122"/>
      <c r="AL1060" s="122"/>
      <c r="AM1060" s="122"/>
      <c r="AN1060" s="122"/>
      <c r="AO1060" s="122"/>
      <c r="AP1060" s="122"/>
    </row>
    <row r="1061" spans="2:42">
      <c r="B1061" s="122"/>
      <c r="C1061" s="122"/>
      <c r="D1061" s="122"/>
      <c r="E1061" s="122"/>
      <c r="F1061" s="122"/>
      <c r="G1061" s="122"/>
      <c r="H1061" s="122"/>
      <c r="I1061" s="275"/>
      <c r="J1061" s="130"/>
      <c r="K1061" s="130"/>
      <c r="L1061" s="130"/>
      <c r="M1061" s="130"/>
      <c r="N1061" s="291"/>
      <c r="O1061" s="291"/>
      <c r="P1061" s="122"/>
      <c r="Q1061" s="122"/>
      <c r="R1061" s="122"/>
      <c r="S1061" s="122"/>
      <c r="T1061" s="122"/>
      <c r="U1061" s="301"/>
      <c r="V1061" s="260">
        <f t="shared" ca="1" si="24"/>
        <v>0</v>
      </c>
      <c r="W1061" s="348" t="str">
        <f>IF(板块成分!B1063="","",板块成分!B1063)</f>
        <v>002568.SZ</v>
      </c>
      <c r="X1061" s="276" t="str">
        <f>[1]!S_Info_Name(W1061)</f>
        <v>百润股份</v>
      </c>
      <c r="Y1061" s="276" t="str">
        <f ca="1">IF($Y$3="申万一级行业",[1]!s_info_industry_sw_2021(W1061,公司分析!D$5,1),IF($Y$3="申万二级行业",[1]!s_info_industry_sw_2021(W1061,公司分析!D$5,2),IF($Y$3="申万三级行业",[1]!s_info_industry_sw_2021(W1061,公司分析!D$5,3),IF($Y$3="wind一级行业",[1]!s_info_industry_gics(W1061,1),IF($Y$3="wind二级行业",[1]!s_info_industry_gics(W1061,2),IF($Y$3="wind三级行业",[1]!s_info_industry_gics(W1061,3),IF($Y$3="wind四级行业",[1]!s_info_industry_gics(W1061,4),IF($Y$3="证监会门类行业",[1]!s_info_industry_csrc12_n(W1061,公司分析!D$5,1),""))))))))</f>
        <v>非白酒</v>
      </c>
      <c r="Z1061" s="302" t="str">
        <f ca="1">IF(Y1061=行业比较!$E$6,ROW(),"")</f>
        <v/>
      </c>
      <c r="AA1061" s="122"/>
      <c r="AB1061" s="122"/>
      <c r="AC1061" s="122"/>
      <c r="AD1061" s="122"/>
      <c r="AE1061" s="122"/>
      <c r="AF1061" s="122"/>
      <c r="AG1061" s="122"/>
      <c r="AH1061" s="122"/>
      <c r="AI1061" s="122"/>
      <c r="AJ1061" s="122"/>
      <c r="AK1061" s="122"/>
      <c r="AL1061" s="122"/>
      <c r="AM1061" s="122"/>
      <c r="AN1061" s="122"/>
      <c r="AO1061" s="122"/>
      <c r="AP1061" s="122"/>
    </row>
    <row r="1062" spans="2:42">
      <c r="B1062" s="122"/>
      <c r="C1062" s="122"/>
      <c r="D1062" s="122"/>
      <c r="E1062" s="122"/>
      <c r="F1062" s="122"/>
      <c r="G1062" s="122"/>
      <c r="H1062" s="122"/>
      <c r="I1062" s="275"/>
      <c r="J1062" s="130"/>
      <c r="K1062" s="130"/>
      <c r="L1062" s="130"/>
      <c r="M1062" s="130"/>
      <c r="N1062" s="291"/>
      <c r="O1062" s="291"/>
      <c r="P1062" s="122"/>
      <c r="Q1062" s="122"/>
      <c r="R1062" s="122"/>
      <c r="S1062" s="122"/>
      <c r="T1062" s="122"/>
      <c r="U1062" s="301"/>
      <c r="V1062" s="260">
        <f t="shared" ca="1" si="24"/>
        <v>0</v>
      </c>
      <c r="W1062" s="348" t="str">
        <f>IF(板块成分!B1064="","",板块成分!B1064)</f>
        <v>002569.SZ</v>
      </c>
      <c r="X1062" s="276" t="str">
        <f>[1]!S_Info_Name(W1062)</f>
        <v>*ST步森</v>
      </c>
      <c r="Y1062" s="276" t="str">
        <f ca="1">IF($Y$3="申万一级行业",[1]!s_info_industry_sw_2021(W1062,公司分析!D$5,1),IF($Y$3="申万二级行业",[1]!s_info_industry_sw_2021(W1062,公司分析!D$5,2),IF($Y$3="申万三级行业",[1]!s_info_industry_sw_2021(W1062,公司分析!D$5,3),IF($Y$3="wind一级行业",[1]!s_info_industry_gics(W1062,1),IF($Y$3="wind二级行业",[1]!s_info_industry_gics(W1062,2),IF($Y$3="wind三级行业",[1]!s_info_industry_gics(W1062,3),IF($Y$3="wind四级行业",[1]!s_info_industry_gics(W1062,4),IF($Y$3="证监会门类行业",[1]!s_info_industry_csrc12_n(W1062,公司分析!D$5,1),""))))))))</f>
        <v>服装家纺</v>
      </c>
      <c r="Z1062" s="302" t="str">
        <f ca="1">IF(Y1062=行业比较!$E$6,ROW(),"")</f>
        <v/>
      </c>
      <c r="AA1062" s="122"/>
      <c r="AB1062" s="122"/>
      <c r="AC1062" s="122"/>
      <c r="AD1062" s="122"/>
      <c r="AE1062" s="122"/>
      <c r="AF1062" s="122"/>
      <c r="AG1062" s="122"/>
      <c r="AH1062" s="122"/>
      <c r="AI1062" s="122"/>
      <c r="AJ1062" s="122"/>
      <c r="AK1062" s="122"/>
      <c r="AL1062" s="122"/>
      <c r="AM1062" s="122"/>
      <c r="AN1062" s="122"/>
      <c r="AO1062" s="122"/>
      <c r="AP1062" s="122"/>
    </row>
    <row r="1063" spans="2:42">
      <c r="B1063" s="122"/>
      <c r="C1063" s="122"/>
      <c r="D1063" s="122"/>
      <c r="E1063" s="122"/>
      <c r="F1063" s="122"/>
      <c r="G1063" s="122"/>
      <c r="H1063" s="122"/>
      <c r="I1063" s="275"/>
      <c r="J1063" s="130"/>
      <c r="K1063" s="130"/>
      <c r="L1063" s="130"/>
      <c r="M1063" s="130"/>
      <c r="N1063" s="291"/>
      <c r="O1063" s="291"/>
      <c r="P1063" s="122"/>
      <c r="Q1063" s="122"/>
      <c r="R1063" s="122"/>
      <c r="S1063" s="122"/>
      <c r="T1063" s="122"/>
      <c r="U1063" s="301"/>
      <c r="V1063" s="260">
        <f t="shared" ca="1" si="24"/>
        <v>0</v>
      </c>
      <c r="W1063" s="348" t="str">
        <f>IF(板块成分!B1065="","",板块成分!B1065)</f>
        <v>002570.SZ</v>
      </c>
      <c r="X1063" s="276" t="str">
        <f>[1]!S_Info_Name(W1063)</f>
        <v>贝因美</v>
      </c>
      <c r="Y1063" s="276" t="str">
        <f ca="1">IF($Y$3="申万一级行业",[1]!s_info_industry_sw_2021(W1063,公司分析!D$5,1),IF($Y$3="申万二级行业",[1]!s_info_industry_sw_2021(W1063,公司分析!D$5,2),IF($Y$3="申万三级行业",[1]!s_info_industry_sw_2021(W1063,公司分析!D$5,3),IF($Y$3="wind一级行业",[1]!s_info_industry_gics(W1063,1),IF($Y$3="wind二级行业",[1]!s_info_industry_gics(W1063,2),IF($Y$3="wind三级行业",[1]!s_info_industry_gics(W1063,3),IF($Y$3="wind四级行业",[1]!s_info_industry_gics(W1063,4),IF($Y$3="证监会门类行业",[1]!s_info_industry_csrc12_n(W1063,公司分析!D$5,1),""))))))))</f>
        <v>饮料乳品</v>
      </c>
      <c r="Z1063" s="302" t="str">
        <f ca="1">IF(Y1063=行业比较!$E$6,ROW(),"")</f>
        <v/>
      </c>
      <c r="AA1063" s="122"/>
      <c r="AB1063" s="122"/>
      <c r="AC1063" s="122"/>
      <c r="AD1063" s="122"/>
      <c r="AE1063" s="122"/>
      <c r="AF1063" s="122"/>
      <c r="AG1063" s="122"/>
      <c r="AH1063" s="122"/>
      <c r="AI1063" s="122"/>
      <c r="AJ1063" s="122"/>
      <c r="AK1063" s="122"/>
      <c r="AL1063" s="122"/>
      <c r="AM1063" s="122"/>
      <c r="AN1063" s="122"/>
      <c r="AO1063" s="122"/>
      <c r="AP1063" s="122"/>
    </row>
    <row r="1064" spans="2:42">
      <c r="B1064" s="122"/>
      <c r="C1064" s="122"/>
      <c r="D1064" s="122"/>
      <c r="E1064" s="122"/>
      <c r="F1064" s="122"/>
      <c r="G1064" s="122"/>
      <c r="H1064" s="122"/>
      <c r="I1064" s="275"/>
      <c r="J1064" s="130"/>
      <c r="K1064" s="130"/>
      <c r="L1064" s="130"/>
      <c r="M1064" s="130"/>
      <c r="N1064" s="291"/>
      <c r="O1064" s="291"/>
      <c r="P1064" s="122"/>
      <c r="Q1064" s="122"/>
      <c r="R1064" s="122"/>
      <c r="S1064" s="122"/>
      <c r="T1064" s="122"/>
      <c r="U1064" s="301"/>
      <c r="V1064" s="260">
        <f t="shared" ca="1" si="24"/>
        <v>0</v>
      </c>
      <c r="W1064" s="348" t="str">
        <f>IF(板块成分!B1066="","",板块成分!B1066)</f>
        <v>002571.SZ</v>
      </c>
      <c r="X1064" s="276" t="str">
        <f>[1]!S_Info_Name(W1064)</f>
        <v>德力股份</v>
      </c>
      <c r="Y1064" s="276" t="str">
        <f ca="1">IF($Y$3="申万一级行业",[1]!s_info_industry_sw_2021(W1064,公司分析!D$5,1),IF($Y$3="申万二级行业",[1]!s_info_industry_sw_2021(W1064,公司分析!D$5,2),IF($Y$3="申万三级行业",[1]!s_info_industry_sw_2021(W1064,公司分析!D$5,3),IF($Y$3="wind一级行业",[1]!s_info_industry_gics(W1064,1),IF($Y$3="wind二级行业",[1]!s_info_industry_gics(W1064,2),IF($Y$3="wind三级行业",[1]!s_info_industry_gics(W1064,3),IF($Y$3="wind四级行业",[1]!s_info_industry_gics(W1064,4),IF($Y$3="证监会门类行业",[1]!s_info_industry_csrc12_n(W1064,公司分析!D$5,1),""))))))))</f>
        <v>家居用品</v>
      </c>
      <c r="Z1064" s="302" t="str">
        <f ca="1">IF(Y1064=行业比较!$E$6,ROW(),"")</f>
        <v/>
      </c>
      <c r="AA1064" s="122"/>
      <c r="AB1064" s="122"/>
      <c r="AC1064" s="122"/>
      <c r="AD1064" s="122"/>
      <c r="AE1064" s="122"/>
      <c r="AF1064" s="122"/>
      <c r="AG1064" s="122"/>
      <c r="AH1064" s="122"/>
      <c r="AI1064" s="122"/>
      <c r="AJ1064" s="122"/>
      <c r="AK1064" s="122"/>
      <c r="AL1064" s="122"/>
      <c r="AM1064" s="122"/>
      <c r="AN1064" s="122"/>
      <c r="AO1064" s="122"/>
      <c r="AP1064" s="122"/>
    </row>
    <row r="1065" spans="2:42">
      <c r="B1065" s="122"/>
      <c r="C1065" s="122"/>
      <c r="D1065" s="122"/>
      <c r="E1065" s="122"/>
      <c r="F1065" s="122"/>
      <c r="G1065" s="122"/>
      <c r="H1065" s="122"/>
      <c r="I1065" s="275"/>
      <c r="J1065" s="130"/>
      <c r="K1065" s="130"/>
      <c r="L1065" s="130"/>
      <c r="M1065" s="130"/>
      <c r="N1065" s="291"/>
      <c r="O1065" s="291"/>
      <c r="P1065" s="122"/>
      <c r="Q1065" s="122"/>
      <c r="R1065" s="122"/>
      <c r="S1065" s="122"/>
      <c r="T1065" s="122"/>
      <c r="U1065" s="301"/>
      <c r="V1065" s="260">
        <f t="shared" ca="1" si="24"/>
        <v>0</v>
      </c>
      <c r="W1065" s="348" t="str">
        <f>IF(板块成分!B1067="","",板块成分!B1067)</f>
        <v>002572.SZ</v>
      </c>
      <c r="X1065" s="276" t="str">
        <f>[1]!S_Info_Name(W1065)</f>
        <v>索菲亚</v>
      </c>
      <c r="Y1065" s="276" t="str">
        <f ca="1">IF($Y$3="申万一级行业",[1]!s_info_industry_sw_2021(W1065,公司分析!D$5,1),IF($Y$3="申万二级行业",[1]!s_info_industry_sw_2021(W1065,公司分析!D$5,2),IF($Y$3="申万三级行业",[1]!s_info_industry_sw_2021(W1065,公司分析!D$5,3),IF($Y$3="wind一级行业",[1]!s_info_industry_gics(W1065,1),IF($Y$3="wind二级行业",[1]!s_info_industry_gics(W1065,2),IF($Y$3="wind三级行业",[1]!s_info_industry_gics(W1065,3),IF($Y$3="wind四级行业",[1]!s_info_industry_gics(W1065,4),IF($Y$3="证监会门类行业",[1]!s_info_industry_csrc12_n(W1065,公司分析!D$5,1),""))))))))</f>
        <v>家居用品</v>
      </c>
      <c r="Z1065" s="302" t="str">
        <f ca="1">IF(Y1065=行业比较!$E$6,ROW(),"")</f>
        <v/>
      </c>
      <c r="AA1065" s="122"/>
      <c r="AB1065" s="122"/>
      <c r="AC1065" s="122"/>
      <c r="AD1065" s="122"/>
      <c r="AE1065" s="122"/>
      <c r="AF1065" s="122"/>
      <c r="AG1065" s="122"/>
      <c r="AH1065" s="122"/>
      <c r="AI1065" s="122"/>
      <c r="AJ1065" s="122"/>
      <c r="AK1065" s="122"/>
      <c r="AL1065" s="122"/>
      <c r="AM1065" s="122"/>
      <c r="AN1065" s="122"/>
      <c r="AO1065" s="122"/>
      <c r="AP1065" s="122"/>
    </row>
    <row r="1066" spans="2:42">
      <c r="B1066" s="122"/>
      <c r="C1066" s="122"/>
      <c r="D1066" s="122"/>
      <c r="E1066" s="122"/>
      <c r="F1066" s="122"/>
      <c r="G1066" s="122"/>
      <c r="H1066" s="122"/>
      <c r="I1066" s="275"/>
      <c r="J1066" s="130"/>
      <c r="K1066" s="130"/>
      <c r="L1066" s="130"/>
      <c r="M1066" s="130"/>
      <c r="N1066" s="291"/>
      <c r="O1066" s="291"/>
      <c r="P1066" s="122"/>
      <c r="Q1066" s="122"/>
      <c r="R1066" s="122"/>
      <c r="S1066" s="122"/>
      <c r="T1066" s="122"/>
      <c r="U1066" s="301"/>
      <c r="V1066" s="260">
        <f t="shared" ca="1" si="24"/>
        <v>0</v>
      </c>
      <c r="W1066" s="348" t="str">
        <f>IF(板块成分!B1068="","",板块成分!B1068)</f>
        <v>002573.SZ</v>
      </c>
      <c r="X1066" s="276" t="str">
        <f>[1]!S_Info_Name(W1066)</f>
        <v>清新环境</v>
      </c>
      <c r="Y1066" s="276" t="str">
        <f ca="1">IF($Y$3="申万一级行业",[1]!s_info_industry_sw_2021(W1066,公司分析!D$5,1),IF($Y$3="申万二级行业",[1]!s_info_industry_sw_2021(W1066,公司分析!D$5,2),IF($Y$3="申万三级行业",[1]!s_info_industry_sw_2021(W1066,公司分析!D$5,3),IF($Y$3="wind一级行业",[1]!s_info_industry_gics(W1066,1),IF($Y$3="wind二级行业",[1]!s_info_industry_gics(W1066,2),IF($Y$3="wind三级行业",[1]!s_info_industry_gics(W1066,3),IF($Y$3="wind四级行业",[1]!s_info_industry_gics(W1066,4),IF($Y$3="证监会门类行业",[1]!s_info_industry_csrc12_n(W1066,公司分析!D$5,1),""))))))))</f>
        <v>环境治理</v>
      </c>
      <c r="Z1066" s="302" t="str">
        <f ca="1">IF(Y1066=行业比较!$E$6,ROW(),"")</f>
        <v/>
      </c>
      <c r="AA1066" s="122"/>
      <c r="AB1066" s="122"/>
      <c r="AC1066" s="122"/>
      <c r="AD1066" s="122"/>
      <c r="AE1066" s="122"/>
      <c r="AF1066" s="122"/>
      <c r="AG1066" s="122"/>
      <c r="AH1066" s="122"/>
      <c r="AI1066" s="122"/>
      <c r="AJ1066" s="122"/>
      <c r="AK1066" s="122"/>
      <c r="AL1066" s="122"/>
      <c r="AM1066" s="122"/>
      <c r="AN1066" s="122"/>
      <c r="AO1066" s="122"/>
      <c r="AP1066" s="122"/>
    </row>
    <row r="1067" spans="2:42">
      <c r="B1067" s="122"/>
      <c r="C1067" s="122"/>
      <c r="D1067" s="122"/>
      <c r="E1067" s="122"/>
      <c r="F1067" s="122"/>
      <c r="G1067" s="122"/>
      <c r="H1067" s="122"/>
      <c r="I1067" s="275"/>
      <c r="J1067" s="130"/>
      <c r="K1067" s="130"/>
      <c r="L1067" s="130"/>
      <c r="M1067" s="130"/>
      <c r="N1067" s="291"/>
      <c r="O1067" s="291"/>
      <c r="P1067" s="122"/>
      <c r="Q1067" s="122"/>
      <c r="R1067" s="122"/>
      <c r="S1067" s="122"/>
      <c r="T1067" s="122"/>
      <c r="U1067" s="301"/>
      <c r="V1067" s="260">
        <f t="shared" ca="1" si="24"/>
        <v>0</v>
      </c>
      <c r="W1067" s="348" t="str">
        <f>IF(板块成分!B1069="","",板块成分!B1069)</f>
        <v>002574.SZ</v>
      </c>
      <c r="X1067" s="276" t="str">
        <f>[1]!S_Info_Name(W1067)</f>
        <v>明牌珠宝</v>
      </c>
      <c r="Y1067" s="276" t="str">
        <f ca="1">IF($Y$3="申万一级行业",[1]!s_info_industry_sw_2021(W1067,公司分析!D$5,1),IF($Y$3="申万二级行业",[1]!s_info_industry_sw_2021(W1067,公司分析!D$5,2),IF($Y$3="申万三级行业",[1]!s_info_industry_sw_2021(W1067,公司分析!D$5,3),IF($Y$3="wind一级行业",[1]!s_info_industry_gics(W1067,1),IF($Y$3="wind二级行业",[1]!s_info_industry_gics(W1067,2),IF($Y$3="wind三级行业",[1]!s_info_industry_gics(W1067,3),IF($Y$3="wind四级行业",[1]!s_info_industry_gics(W1067,4),IF($Y$3="证监会门类行业",[1]!s_info_industry_csrc12_n(W1067,公司分析!D$5,1),""))))))))</f>
        <v>饰品</v>
      </c>
      <c r="Z1067" s="302" t="str">
        <f ca="1">IF(Y1067=行业比较!$E$6,ROW(),"")</f>
        <v/>
      </c>
      <c r="AA1067" s="122"/>
      <c r="AB1067" s="122"/>
      <c r="AC1067" s="122"/>
      <c r="AD1067" s="122"/>
      <c r="AE1067" s="122"/>
      <c r="AF1067" s="122"/>
      <c r="AG1067" s="122"/>
      <c r="AH1067" s="122"/>
      <c r="AI1067" s="122"/>
      <c r="AJ1067" s="122"/>
      <c r="AK1067" s="122"/>
      <c r="AL1067" s="122"/>
      <c r="AM1067" s="122"/>
      <c r="AN1067" s="122"/>
      <c r="AO1067" s="122"/>
      <c r="AP1067" s="122"/>
    </row>
    <row r="1068" spans="2:42">
      <c r="B1068" s="122"/>
      <c r="C1068" s="122"/>
      <c r="D1068" s="122"/>
      <c r="E1068" s="122"/>
      <c r="F1068" s="122"/>
      <c r="G1068" s="122"/>
      <c r="H1068" s="122"/>
      <c r="I1068" s="275"/>
      <c r="J1068" s="130"/>
      <c r="K1068" s="130"/>
      <c r="L1068" s="130"/>
      <c r="M1068" s="130"/>
      <c r="N1068" s="291"/>
      <c r="O1068" s="291"/>
      <c r="P1068" s="122"/>
      <c r="Q1068" s="122"/>
      <c r="R1068" s="122"/>
      <c r="S1068" s="122"/>
      <c r="T1068" s="122"/>
      <c r="U1068" s="301"/>
      <c r="V1068" s="260">
        <f t="shared" ca="1" si="24"/>
        <v>0</v>
      </c>
      <c r="W1068" s="348" t="str">
        <f>IF(板块成分!B1070="","",板块成分!B1070)</f>
        <v>002575.SZ</v>
      </c>
      <c r="X1068" s="276" t="str">
        <f>[1]!S_Info_Name(W1068)</f>
        <v>群兴玩具</v>
      </c>
      <c r="Y1068" s="276" t="str">
        <f ca="1">IF($Y$3="申万一级行业",[1]!s_info_industry_sw_2021(W1068,公司分析!D$5,1),IF($Y$3="申万二级行业",[1]!s_info_industry_sw_2021(W1068,公司分析!D$5,2),IF($Y$3="申万三级行业",[1]!s_info_industry_sw_2021(W1068,公司分析!D$5,3),IF($Y$3="wind一级行业",[1]!s_info_industry_gics(W1068,1),IF($Y$3="wind二级行业",[1]!s_info_industry_gics(W1068,2),IF($Y$3="wind三级行业",[1]!s_info_industry_gics(W1068,3),IF($Y$3="wind四级行业",[1]!s_info_industry_gics(W1068,4),IF($Y$3="证监会门类行业",[1]!s_info_industry_csrc12_n(W1068,公司分析!D$5,1),""))))))))</f>
        <v>文娱用品</v>
      </c>
      <c r="Z1068" s="302" t="str">
        <f ca="1">IF(Y1068=行业比较!$E$6,ROW(),"")</f>
        <v/>
      </c>
      <c r="AA1068" s="122"/>
      <c r="AB1068" s="122"/>
      <c r="AC1068" s="122"/>
      <c r="AD1068" s="122"/>
      <c r="AE1068" s="122"/>
      <c r="AF1068" s="122"/>
      <c r="AG1068" s="122"/>
      <c r="AH1068" s="122"/>
      <c r="AI1068" s="122"/>
      <c r="AJ1068" s="122"/>
      <c r="AK1068" s="122"/>
      <c r="AL1068" s="122"/>
      <c r="AM1068" s="122"/>
      <c r="AN1068" s="122"/>
      <c r="AO1068" s="122"/>
      <c r="AP1068" s="122"/>
    </row>
    <row r="1069" spans="2:42">
      <c r="B1069" s="122"/>
      <c r="C1069" s="122"/>
      <c r="D1069" s="122"/>
      <c r="E1069" s="122"/>
      <c r="F1069" s="122"/>
      <c r="G1069" s="122"/>
      <c r="H1069" s="122"/>
      <c r="I1069" s="275"/>
      <c r="J1069" s="130"/>
      <c r="K1069" s="130"/>
      <c r="L1069" s="130"/>
      <c r="M1069" s="130"/>
      <c r="N1069" s="291"/>
      <c r="O1069" s="291"/>
      <c r="P1069" s="122"/>
      <c r="Q1069" s="122"/>
      <c r="R1069" s="122"/>
      <c r="S1069" s="122"/>
      <c r="T1069" s="122"/>
      <c r="U1069" s="301"/>
      <c r="V1069" s="260">
        <f t="shared" ca="1" si="24"/>
        <v>0</v>
      </c>
      <c r="W1069" s="348" t="str">
        <f>IF(板块成分!B1071="","",板块成分!B1071)</f>
        <v>002576.SZ</v>
      </c>
      <c r="X1069" s="276" t="str">
        <f>[1]!S_Info_Name(W1069)</f>
        <v>通达动力</v>
      </c>
      <c r="Y1069" s="276" t="str">
        <f ca="1">IF($Y$3="申万一级行业",[1]!s_info_industry_sw_2021(W1069,公司分析!D$5,1),IF($Y$3="申万二级行业",[1]!s_info_industry_sw_2021(W1069,公司分析!D$5,2),IF($Y$3="申万三级行业",[1]!s_info_industry_sw_2021(W1069,公司分析!D$5,3),IF($Y$3="wind一级行业",[1]!s_info_industry_gics(W1069,1),IF($Y$3="wind二级行业",[1]!s_info_industry_gics(W1069,2),IF($Y$3="wind三级行业",[1]!s_info_industry_gics(W1069,3),IF($Y$3="wind四级行业",[1]!s_info_industry_gics(W1069,4),IF($Y$3="证监会门类行业",[1]!s_info_industry_csrc12_n(W1069,公司分析!D$5,1),""))))))))</f>
        <v>电机Ⅱ</v>
      </c>
      <c r="Z1069" s="302" t="str">
        <f ca="1">IF(Y1069=行业比较!$E$6,ROW(),"")</f>
        <v/>
      </c>
      <c r="AA1069" s="122"/>
      <c r="AB1069" s="122"/>
      <c r="AC1069" s="122"/>
      <c r="AD1069" s="122"/>
      <c r="AE1069" s="122"/>
      <c r="AF1069" s="122"/>
      <c r="AG1069" s="122"/>
      <c r="AH1069" s="122"/>
      <c r="AI1069" s="122"/>
      <c r="AJ1069" s="122"/>
      <c r="AK1069" s="122"/>
      <c r="AL1069" s="122"/>
      <c r="AM1069" s="122"/>
      <c r="AN1069" s="122"/>
      <c r="AO1069" s="122"/>
      <c r="AP1069" s="122"/>
    </row>
    <row r="1070" spans="2:42">
      <c r="B1070" s="122"/>
      <c r="C1070" s="122"/>
      <c r="D1070" s="122"/>
      <c r="E1070" s="122"/>
      <c r="F1070" s="122"/>
      <c r="G1070" s="122"/>
      <c r="H1070" s="122"/>
      <c r="I1070" s="275"/>
      <c r="J1070" s="130"/>
      <c r="K1070" s="130"/>
      <c r="L1070" s="130"/>
      <c r="M1070" s="130"/>
      <c r="N1070" s="291"/>
      <c r="O1070" s="291"/>
      <c r="P1070" s="122"/>
      <c r="Q1070" s="122"/>
      <c r="R1070" s="122"/>
      <c r="S1070" s="122"/>
      <c r="T1070" s="122"/>
      <c r="U1070" s="301"/>
      <c r="V1070" s="260">
        <f t="shared" ca="1" si="24"/>
        <v>0</v>
      </c>
      <c r="W1070" s="348" t="str">
        <f>IF(板块成分!B1072="","",板块成分!B1072)</f>
        <v>002577.SZ</v>
      </c>
      <c r="X1070" s="276" t="str">
        <f>[1]!S_Info_Name(W1070)</f>
        <v>雷柏科技</v>
      </c>
      <c r="Y1070" s="276" t="str">
        <f ca="1">IF($Y$3="申万一级行业",[1]!s_info_industry_sw_2021(W1070,公司分析!D$5,1),IF($Y$3="申万二级行业",[1]!s_info_industry_sw_2021(W1070,公司分析!D$5,2),IF($Y$3="申万三级行业",[1]!s_info_industry_sw_2021(W1070,公司分析!D$5,3),IF($Y$3="wind一级行业",[1]!s_info_industry_gics(W1070,1),IF($Y$3="wind二级行业",[1]!s_info_industry_gics(W1070,2),IF($Y$3="wind三级行业",[1]!s_info_industry_gics(W1070,3),IF($Y$3="wind四级行业",[1]!s_info_industry_gics(W1070,4),IF($Y$3="证监会门类行业",[1]!s_info_industry_csrc12_n(W1070,公司分析!D$5,1),""))))))))</f>
        <v>计算机设备</v>
      </c>
      <c r="Z1070" s="302" t="str">
        <f ca="1">IF(Y1070=行业比较!$E$6,ROW(),"")</f>
        <v/>
      </c>
      <c r="AA1070" s="122"/>
      <c r="AB1070" s="122"/>
      <c r="AC1070" s="122"/>
      <c r="AD1070" s="122"/>
      <c r="AE1070" s="122"/>
      <c r="AF1070" s="122"/>
      <c r="AG1070" s="122"/>
      <c r="AH1070" s="122"/>
      <c r="AI1070" s="122"/>
      <c r="AJ1070" s="122"/>
      <c r="AK1070" s="122"/>
      <c r="AL1070" s="122"/>
      <c r="AM1070" s="122"/>
      <c r="AN1070" s="122"/>
      <c r="AO1070" s="122"/>
      <c r="AP1070" s="122"/>
    </row>
    <row r="1071" spans="2:42">
      <c r="B1071" s="122"/>
      <c r="C1071" s="122"/>
      <c r="D1071" s="122"/>
      <c r="E1071" s="122"/>
      <c r="F1071" s="122"/>
      <c r="G1071" s="122"/>
      <c r="H1071" s="122"/>
      <c r="I1071" s="275"/>
      <c r="J1071" s="130"/>
      <c r="K1071" s="130"/>
      <c r="L1071" s="130"/>
      <c r="M1071" s="130"/>
      <c r="N1071" s="291"/>
      <c r="O1071" s="291"/>
      <c r="P1071" s="122"/>
      <c r="Q1071" s="122"/>
      <c r="R1071" s="122"/>
      <c r="S1071" s="122"/>
      <c r="T1071" s="122"/>
      <c r="U1071" s="301"/>
      <c r="V1071" s="260">
        <f t="shared" ca="1" si="24"/>
        <v>22</v>
      </c>
      <c r="W1071" s="348" t="str">
        <f>IF(板块成分!B1073="","",板块成分!B1073)</f>
        <v>002578.SZ</v>
      </c>
      <c r="X1071" s="276" t="str">
        <f>[1]!S_Info_Name(W1071)</f>
        <v>闽发铝业</v>
      </c>
      <c r="Y1071" s="276" t="str">
        <f ca="1">IF($Y$3="申万一级行业",[1]!s_info_industry_sw_2021(W1071,公司分析!D$5,1),IF($Y$3="申万二级行业",[1]!s_info_industry_sw_2021(W1071,公司分析!D$5,2),IF($Y$3="申万三级行业",[1]!s_info_industry_sw_2021(W1071,公司分析!D$5,3),IF($Y$3="wind一级行业",[1]!s_info_industry_gics(W1071,1),IF($Y$3="wind二级行业",[1]!s_info_industry_gics(W1071,2),IF($Y$3="wind三级行业",[1]!s_info_industry_gics(W1071,3),IF($Y$3="wind四级行业",[1]!s_info_industry_gics(W1071,4),IF($Y$3="证监会门类行业",[1]!s_info_industry_csrc12_n(W1071,公司分析!D$5,1),""))))))))</f>
        <v>工业金属</v>
      </c>
      <c r="Z1071" s="302">
        <f ca="1">IF(Y1071=行业比较!$E$6,ROW(),"")</f>
        <v>1071</v>
      </c>
      <c r="AA1071" s="122"/>
      <c r="AB1071" s="122"/>
      <c r="AC1071" s="122"/>
      <c r="AD1071" s="122"/>
      <c r="AE1071" s="122"/>
      <c r="AF1071" s="122"/>
      <c r="AG1071" s="122"/>
      <c r="AH1071" s="122"/>
      <c r="AI1071" s="122"/>
      <c r="AJ1071" s="122"/>
      <c r="AK1071" s="122"/>
      <c r="AL1071" s="122"/>
      <c r="AM1071" s="122"/>
      <c r="AN1071" s="122"/>
      <c r="AO1071" s="122"/>
      <c r="AP1071" s="122"/>
    </row>
    <row r="1072" spans="2:42">
      <c r="B1072" s="122"/>
      <c r="C1072" s="122"/>
      <c r="D1072" s="122"/>
      <c r="E1072" s="122"/>
      <c r="F1072" s="122"/>
      <c r="G1072" s="122"/>
      <c r="H1072" s="122"/>
      <c r="I1072" s="275"/>
      <c r="J1072" s="130"/>
      <c r="K1072" s="130"/>
      <c r="L1072" s="130"/>
      <c r="M1072" s="130"/>
      <c r="N1072" s="291"/>
      <c r="O1072" s="291"/>
      <c r="P1072" s="122"/>
      <c r="Q1072" s="122"/>
      <c r="R1072" s="122"/>
      <c r="S1072" s="122"/>
      <c r="T1072" s="122"/>
      <c r="U1072" s="301"/>
      <c r="V1072" s="260">
        <f t="shared" ca="1" si="24"/>
        <v>0</v>
      </c>
      <c r="W1072" s="348" t="str">
        <f>IF(板块成分!B1074="","",板块成分!B1074)</f>
        <v>002579.SZ</v>
      </c>
      <c r="X1072" s="276" t="str">
        <f>[1]!S_Info_Name(W1072)</f>
        <v>中京电子</v>
      </c>
      <c r="Y1072" s="276" t="str">
        <f ca="1">IF($Y$3="申万一级行业",[1]!s_info_industry_sw_2021(W1072,公司分析!D$5,1),IF($Y$3="申万二级行业",[1]!s_info_industry_sw_2021(W1072,公司分析!D$5,2),IF($Y$3="申万三级行业",[1]!s_info_industry_sw_2021(W1072,公司分析!D$5,3),IF($Y$3="wind一级行业",[1]!s_info_industry_gics(W1072,1),IF($Y$3="wind二级行业",[1]!s_info_industry_gics(W1072,2),IF($Y$3="wind三级行业",[1]!s_info_industry_gics(W1072,3),IF($Y$3="wind四级行业",[1]!s_info_industry_gics(W1072,4),IF($Y$3="证监会门类行业",[1]!s_info_industry_csrc12_n(W1072,公司分析!D$5,1),""))))))))</f>
        <v>元件</v>
      </c>
      <c r="Z1072" s="302" t="str">
        <f ca="1">IF(Y1072=行业比较!$E$6,ROW(),"")</f>
        <v/>
      </c>
      <c r="AA1072" s="122"/>
      <c r="AB1072" s="122"/>
      <c r="AC1072" s="122"/>
      <c r="AD1072" s="122"/>
      <c r="AE1072" s="122"/>
      <c r="AF1072" s="122"/>
      <c r="AG1072" s="122"/>
      <c r="AH1072" s="122"/>
      <c r="AI1072" s="122"/>
      <c r="AJ1072" s="122"/>
      <c r="AK1072" s="122"/>
      <c r="AL1072" s="122"/>
      <c r="AM1072" s="122"/>
      <c r="AN1072" s="122"/>
      <c r="AO1072" s="122"/>
      <c r="AP1072" s="122"/>
    </row>
    <row r="1073" spans="2:42">
      <c r="B1073" s="122"/>
      <c r="C1073" s="122"/>
      <c r="D1073" s="122"/>
      <c r="E1073" s="122"/>
      <c r="F1073" s="122"/>
      <c r="G1073" s="122"/>
      <c r="H1073" s="122"/>
      <c r="I1073" s="275"/>
      <c r="J1073" s="130"/>
      <c r="K1073" s="130"/>
      <c r="L1073" s="130"/>
      <c r="M1073" s="130"/>
      <c r="N1073" s="291"/>
      <c r="O1073" s="291"/>
      <c r="P1073" s="122"/>
      <c r="Q1073" s="122"/>
      <c r="R1073" s="122"/>
      <c r="S1073" s="122"/>
      <c r="T1073" s="122"/>
      <c r="U1073" s="301"/>
      <c r="V1073" s="260">
        <f t="shared" ca="1" si="24"/>
        <v>0</v>
      </c>
      <c r="W1073" s="348" t="str">
        <f>IF(板块成分!B1075="","",板块成分!B1075)</f>
        <v>002580.SZ</v>
      </c>
      <c r="X1073" s="276" t="str">
        <f>[1]!S_Info_Name(W1073)</f>
        <v>圣阳股份</v>
      </c>
      <c r="Y1073" s="276" t="str">
        <f ca="1">IF($Y$3="申万一级行业",[1]!s_info_industry_sw_2021(W1073,公司分析!D$5,1),IF($Y$3="申万二级行业",[1]!s_info_industry_sw_2021(W1073,公司分析!D$5,2),IF($Y$3="申万三级行业",[1]!s_info_industry_sw_2021(W1073,公司分析!D$5,3),IF($Y$3="wind一级行业",[1]!s_info_industry_gics(W1073,1),IF($Y$3="wind二级行业",[1]!s_info_industry_gics(W1073,2),IF($Y$3="wind三级行业",[1]!s_info_industry_gics(W1073,3),IF($Y$3="wind四级行业",[1]!s_info_industry_gics(W1073,4),IF($Y$3="证监会门类行业",[1]!s_info_industry_csrc12_n(W1073,公司分析!D$5,1),""))))))))</f>
        <v>电池</v>
      </c>
      <c r="Z1073" s="302" t="str">
        <f ca="1">IF(Y1073=行业比较!$E$6,ROW(),"")</f>
        <v/>
      </c>
      <c r="AA1073" s="122"/>
      <c r="AB1073" s="122"/>
      <c r="AC1073" s="122"/>
      <c r="AD1073" s="122"/>
      <c r="AE1073" s="122"/>
      <c r="AF1073" s="122"/>
      <c r="AG1073" s="122"/>
      <c r="AH1073" s="122"/>
      <c r="AI1073" s="122"/>
      <c r="AJ1073" s="122"/>
      <c r="AK1073" s="122"/>
      <c r="AL1073" s="122"/>
      <c r="AM1073" s="122"/>
      <c r="AN1073" s="122"/>
      <c r="AO1073" s="122"/>
      <c r="AP1073" s="122"/>
    </row>
    <row r="1074" spans="2:42">
      <c r="B1074" s="122"/>
      <c r="C1074" s="122"/>
      <c r="D1074" s="122"/>
      <c r="E1074" s="122"/>
      <c r="F1074" s="122"/>
      <c r="G1074" s="122"/>
      <c r="H1074" s="122"/>
      <c r="I1074" s="275"/>
      <c r="J1074" s="130"/>
      <c r="K1074" s="130"/>
      <c r="L1074" s="130"/>
      <c r="M1074" s="130"/>
      <c r="N1074" s="291"/>
      <c r="O1074" s="291"/>
      <c r="P1074" s="122"/>
      <c r="Q1074" s="122"/>
      <c r="R1074" s="122"/>
      <c r="S1074" s="122"/>
      <c r="T1074" s="122"/>
      <c r="U1074" s="301"/>
      <c r="V1074" s="260">
        <f t="shared" ca="1" si="24"/>
        <v>0</v>
      </c>
      <c r="W1074" s="348" t="str">
        <f>IF(板块成分!B1076="","",板块成分!B1076)</f>
        <v>002581.SZ</v>
      </c>
      <c r="X1074" s="276" t="str">
        <f>[1]!S_Info_Name(W1074)</f>
        <v>ST未名</v>
      </c>
      <c r="Y1074" s="276" t="str">
        <f ca="1">IF($Y$3="申万一级行业",[1]!s_info_industry_sw_2021(W1074,公司分析!D$5,1),IF($Y$3="申万二级行业",[1]!s_info_industry_sw_2021(W1074,公司分析!D$5,2),IF($Y$3="申万三级行业",[1]!s_info_industry_sw_2021(W1074,公司分析!D$5,3),IF($Y$3="wind一级行业",[1]!s_info_industry_gics(W1074,1),IF($Y$3="wind二级行业",[1]!s_info_industry_gics(W1074,2),IF($Y$3="wind三级行业",[1]!s_info_industry_gics(W1074,3),IF($Y$3="wind四级行业",[1]!s_info_industry_gics(W1074,4),IF($Y$3="证监会门类行业",[1]!s_info_industry_csrc12_n(W1074,公司分析!D$5,1),""))))))))</f>
        <v>生物制品</v>
      </c>
      <c r="Z1074" s="302" t="str">
        <f ca="1">IF(Y1074=行业比较!$E$6,ROW(),"")</f>
        <v/>
      </c>
      <c r="AA1074" s="122"/>
      <c r="AB1074" s="122"/>
      <c r="AC1074" s="122"/>
      <c r="AD1074" s="122"/>
      <c r="AE1074" s="122"/>
      <c r="AF1074" s="122"/>
      <c r="AG1074" s="122"/>
      <c r="AH1074" s="122"/>
      <c r="AI1074" s="122"/>
      <c r="AJ1074" s="122"/>
      <c r="AK1074" s="122"/>
      <c r="AL1074" s="122"/>
      <c r="AM1074" s="122"/>
      <c r="AN1074" s="122"/>
      <c r="AO1074" s="122"/>
      <c r="AP1074" s="122"/>
    </row>
    <row r="1075" spans="2:42">
      <c r="B1075" s="122"/>
      <c r="C1075" s="122"/>
      <c r="D1075" s="122"/>
      <c r="E1075" s="122"/>
      <c r="F1075" s="122"/>
      <c r="G1075" s="122"/>
      <c r="H1075" s="122"/>
      <c r="I1075" s="275"/>
      <c r="J1075" s="130"/>
      <c r="K1075" s="130"/>
      <c r="L1075" s="130"/>
      <c r="M1075" s="130"/>
      <c r="N1075" s="291"/>
      <c r="O1075" s="291"/>
      <c r="P1075" s="122"/>
      <c r="Q1075" s="122"/>
      <c r="R1075" s="122"/>
      <c r="S1075" s="122"/>
      <c r="T1075" s="122"/>
      <c r="U1075" s="301"/>
      <c r="V1075" s="260">
        <f t="shared" ca="1" si="24"/>
        <v>0</v>
      </c>
      <c r="W1075" s="348" t="str">
        <f>IF(板块成分!B1077="","",板块成分!B1077)</f>
        <v>002582.SZ</v>
      </c>
      <c r="X1075" s="276" t="str">
        <f>[1]!S_Info_Name(W1075)</f>
        <v>好想你</v>
      </c>
      <c r="Y1075" s="276" t="str">
        <f ca="1">IF($Y$3="申万一级行业",[1]!s_info_industry_sw_2021(W1075,公司分析!D$5,1),IF($Y$3="申万二级行业",[1]!s_info_industry_sw_2021(W1075,公司分析!D$5,2),IF($Y$3="申万三级行业",[1]!s_info_industry_sw_2021(W1075,公司分析!D$5,3),IF($Y$3="wind一级行业",[1]!s_info_industry_gics(W1075,1),IF($Y$3="wind二级行业",[1]!s_info_industry_gics(W1075,2),IF($Y$3="wind三级行业",[1]!s_info_industry_gics(W1075,3),IF($Y$3="wind四级行业",[1]!s_info_industry_gics(W1075,4),IF($Y$3="证监会门类行业",[1]!s_info_industry_csrc12_n(W1075,公司分析!D$5,1),""))))))))</f>
        <v>休闲食品</v>
      </c>
      <c r="Z1075" s="302" t="str">
        <f ca="1">IF(Y1075=行业比较!$E$6,ROW(),"")</f>
        <v/>
      </c>
      <c r="AA1075" s="122"/>
      <c r="AB1075" s="122"/>
      <c r="AC1075" s="122"/>
      <c r="AD1075" s="122"/>
      <c r="AE1075" s="122"/>
      <c r="AF1075" s="122"/>
      <c r="AG1075" s="122"/>
      <c r="AH1075" s="122"/>
      <c r="AI1075" s="122"/>
      <c r="AJ1075" s="122"/>
      <c r="AK1075" s="122"/>
      <c r="AL1075" s="122"/>
      <c r="AM1075" s="122"/>
      <c r="AN1075" s="122"/>
      <c r="AO1075" s="122"/>
      <c r="AP1075" s="122"/>
    </row>
    <row r="1076" spans="2:42">
      <c r="B1076" s="122"/>
      <c r="C1076" s="122"/>
      <c r="D1076" s="122"/>
      <c r="E1076" s="122"/>
      <c r="F1076" s="122"/>
      <c r="G1076" s="122"/>
      <c r="H1076" s="122"/>
      <c r="I1076" s="275"/>
      <c r="J1076" s="130"/>
      <c r="K1076" s="130"/>
      <c r="L1076" s="130"/>
      <c r="M1076" s="130"/>
      <c r="N1076" s="291"/>
      <c r="O1076" s="291"/>
      <c r="P1076" s="122"/>
      <c r="Q1076" s="122"/>
      <c r="R1076" s="122"/>
      <c r="S1076" s="122"/>
      <c r="T1076" s="122"/>
      <c r="U1076" s="301"/>
      <c r="V1076" s="260">
        <f t="shared" ca="1" si="24"/>
        <v>0</v>
      </c>
      <c r="W1076" s="348" t="str">
        <f>IF(板块成分!B1078="","",板块成分!B1078)</f>
        <v>002583.SZ</v>
      </c>
      <c r="X1076" s="276" t="str">
        <f>[1]!S_Info_Name(W1076)</f>
        <v>海能达</v>
      </c>
      <c r="Y1076" s="276" t="str">
        <f ca="1">IF($Y$3="申万一级行业",[1]!s_info_industry_sw_2021(W1076,公司分析!D$5,1),IF($Y$3="申万二级行业",[1]!s_info_industry_sw_2021(W1076,公司分析!D$5,2),IF($Y$3="申万三级行业",[1]!s_info_industry_sw_2021(W1076,公司分析!D$5,3),IF($Y$3="wind一级行业",[1]!s_info_industry_gics(W1076,1),IF($Y$3="wind二级行业",[1]!s_info_industry_gics(W1076,2),IF($Y$3="wind三级行业",[1]!s_info_industry_gics(W1076,3),IF($Y$3="wind四级行业",[1]!s_info_industry_gics(W1076,4),IF($Y$3="证监会门类行业",[1]!s_info_industry_csrc12_n(W1076,公司分析!D$5,1),""))))))))</f>
        <v>通信设备</v>
      </c>
      <c r="Z1076" s="302" t="str">
        <f ca="1">IF(Y1076=行业比较!$E$6,ROW(),"")</f>
        <v/>
      </c>
      <c r="AA1076" s="122"/>
      <c r="AB1076" s="122"/>
      <c r="AC1076" s="122"/>
      <c r="AD1076" s="122"/>
      <c r="AE1076" s="122"/>
      <c r="AF1076" s="122"/>
      <c r="AG1076" s="122"/>
      <c r="AH1076" s="122"/>
      <c r="AI1076" s="122"/>
      <c r="AJ1076" s="122"/>
      <c r="AK1076" s="122"/>
      <c r="AL1076" s="122"/>
      <c r="AM1076" s="122"/>
      <c r="AN1076" s="122"/>
      <c r="AO1076" s="122"/>
      <c r="AP1076" s="122"/>
    </row>
    <row r="1077" spans="2:42">
      <c r="B1077" s="122"/>
      <c r="C1077" s="122"/>
      <c r="D1077" s="122"/>
      <c r="E1077" s="122"/>
      <c r="F1077" s="122"/>
      <c r="G1077" s="122"/>
      <c r="H1077" s="122"/>
      <c r="I1077" s="275"/>
      <c r="J1077" s="130"/>
      <c r="K1077" s="130"/>
      <c r="L1077" s="130"/>
      <c r="M1077" s="130"/>
      <c r="N1077" s="291"/>
      <c r="O1077" s="291"/>
      <c r="P1077" s="122"/>
      <c r="Q1077" s="122"/>
      <c r="R1077" s="122"/>
      <c r="S1077" s="122"/>
      <c r="T1077" s="122"/>
      <c r="U1077" s="301"/>
      <c r="V1077" s="260">
        <f t="shared" ca="1" si="24"/>
        <v>0</v>
      </c>
      <c r="W1077" s="348" t="str">
        <f>IF(板块成分!B1079="","",板块成分!B1079)</f>
        <v>002584.SZ</v>
      </c>
      <c r="X1077" s="276" t="str">
        <f>[1]!S_Info_Name(W1077)</f>
        <v>西陇科学</v>
      </c>
      <c r="Y1077" s="276" t="str">
        <f ca="1">IF($Y$3="申万一级行业",[1]!s_info_industry_sw_2021(W1077,公司分析!D$5,1),IF($Y$3="申万二级行业",[1]!s_info_industry_sw_2021(W1077,公司分析!D$5,2),IF($Y$3="申万三级行业",[1]!s_info_industry_sw_2021(W1077,公司分析!D$5,3),IF($Y$3="wind一级行业",[1]!s_info_industry_gics(W1077,1),IF($Y$3="wind二级行业",[1]!s_info_industry_gics(W1077,2),IF($Y$3="wind三级行业",[1]!s_info_industry_gics(W1077,3),IF($Y$3="wind四级行业",[1]!s_info_industry_gics(W1077,4),IF($Y$3="证监会门类行业",[1]!s_info_industry_csrc12_n(W1077,公司分析!D$5,1),""))))))))</f>
        <v>电子化学品Ⅱ</v>
      </c>
      <c r="Z1077" s="302" t="str">
        <f ca="1">IF(Y1077=行业比较!$E$6,ROW(),"")</f>
        <v/>
      </c>
      <c r="AA1077" s="122"/>
      <c r="AB1077" s="122"/>
      <c r="AC1077" s="122"/>
      <c r="AD1077" s="122"/>
      <c r="AE1077" s="122"/>
      <c r="AF1077" s="122"/>
      <c r="AG1077" s="122"/>
      <c r="AH1077" s="122"/>
      <c r="AI1077" s="122"/>
      <c r="AJ1077" s="122"/>
      <c r="AK1077" s="122"/>
      <c r="AL1077" s="122"/>
      <c r="AM1077" s="122"/>
      <c r="AN1077" s="122"/>
      <c r="AO1077" s="122"/>
      <c r="AP1077" s="122"/>
    </row>
    <row r="1078" spans="2:42">
      <c r="B1078" s="122"/>
      <c r="C1078" s="122"/>
      <c r="D1078" s="122"/>
      <c r="E1078" s="122"/>
      <c r="F1078" s="122"/>
      <c r="G1078" s="122"/>
      <c r="H1078" s="122"/>
      <c r="I1078" s="275"/>
      <c r="J1078" s="130"/>
      <c r="K1078" s="130"/>
      <c r="L1078" s="130"/>
      <c r="M1078" s="130"/>
      <c r="N1078" s="291"/>
      <c r="O1078" s="291"/>
      <c r="P1078" s="122"/>
      <c r="Q1078" s="122"/>
      <c r="R1078" s="122"/>
      <c r="S1078" s="122"/>
      <c r="T1078" s="122"/>
      <c r="U1078" s="301"/>
      <c r="V1078" s="260">
        <f t="shared" ca="1" si="24"/>
        <v>0</v>
      </c>
      <c r="W1078" s="348" t="str">
        <f>IF(板块成分!B1080="","",板块成分!B1080)</f>
        <v>002585.SZ</v>
      </c>
      <c r="X1078" s="276" t="str">
        <f>[1]!S_Info_Name(W1078)</f>
        <v>双星新材</v>
      </c>
      <c r="Y1078" s="276" t="str">
        <f ca="1">IF($Y$3="申万一级行业",[1]!s_info_industry_sw_2021(W1078,公司分析!D$5,1),IF($Y$3="申万二级行业",[1]!s_info_industry_sw_2021(W1078,公司分析!D$5,2),IF($Y$3="申万三级行业",[1]!s_info_industry_sw_2021(W1078,公司分析!D$5,3),IF($Y$3="wind一级行业",[1]!s_info_industry_gics(W1078,1),IF($Y$3="wind二级行业",[1]!s_info_industry_gics(W1078,2),IF($Y$3="wind三级行业",[1]!s_info_industry_gics(W1078,3),IF($Y$3="wind四级行业",[1]!s_info_industry_gics(W1078,4),IF($Y$3="证监会门类行业",[1]!s_info_industry_csrc12_n(W1078,公司分析!D$5,1),""))))))))</f>
        <v>塑料</v>
      </c>
      <c r="Z1078" s="302" t="str">
        <f ca="1">IF(Y1078=行业比较!$E$6,ROW(),"")</f>
        <v/>
      </c>
      <c r="AA1078" s="122"/>
      <c r="AB1078" s="122"/>
      <c r="AC1078" s="122"/>
      <c r="AD1078" s="122"/>
      <c r="AE1078" s="122"/>
      <c r="AF1078" s="122"/>
      <c r="AG1078" s="122"/>
      <c r="AH1078" s="122"/>
      <c r="AI1078" s="122"/>
      <c r="AJ1078" s="122"/>
      <c r="AK1078" s="122"/>
      <c r="AL1078" s="122"/>
      <c r="AM1078" s="122"/>
      <c r="AN1078" s="122"/>
      <c r="AO1078" s="122"/>
      <c r="AP1078" s="122"/>
    </row>
    <row r="1079" spans="2:42">
      <c r="B1079" s="122"/>
      <c r="C1079" s="122"/>
      <c r="D1079" s="122"/>
      <c r="E1079" s="122"/>
      <c r="F1079" s="122"/>
      <c r="G1079" s="122"/>
      <c r="H1079" s="122"/>
      <c r="I1079" s="275"/>
      <c r="J1079" s="130"/>
      <c r="K1079" s="130"/>
      <c r="L1079" s="130"/>
      <c r="M1079" s="130"/>
      <c r="N1079" s="291"/>
      <c r="O1079" s="291"/>
      <c r="P1079" s="122"/>
      <c r="Q1079" s="122"/>
      <c r="R1079" s="122"/>
      <c r="S1079" s="122"/>
      <c r="T1079" s="122"/>
      <c r="U1079" s="301"/>
      <c r="V1079" s="260">
        <f t="shared" ca="1" si="24"/>
        <v>0</v>
      </c>
      <c r="W1079" s="348" t="str">
        <f>IF(板块成分!B1081="","",板块成分!B1081)</f>
        <v>002586.SZ</v>
      </c>
      <c r="X1079" s="276" t="str">
        <f>[1]!S_Info_Name(W1079)</f>
        <v>ST围海</v>
      </c>
      <c r="Y1079" s="276" t="str">
        <f ca="1">IF($Y$3="申万一级行业",[1]!s_info_industry_sw_2021(W1079,公司分析!D$5,1),IF($Y$3="申万二级行业",[1]!s_info_industry_sw_2021(W1079,公司分析!D$5,2),IF($Y$3="申万三级行业",[1]!s_info_industry_sw_2021(W1079,公司分析!D$5,3),IF($Y$3="wind一级行业",[1]!s_info_industry_gics(W1079,1),IF($Y$3="wind二级行业",[1]!s_info_industry_gics(W1079,2),IF($Y$3="wind三级行业",[1]!s_info_industry_gics(W1079,3),IF($Y$3="wind四级行业",[1]!s_info_industry_gics(W1079,4),IF($Y$3="证监会门类行业",[1]!s_info_industry_csrc12_n(W1079,公司分析!D$5,1),""))))))))</f>
        <v>基础建设</v>
      </c>
      <c r="Z1079" s="302" t="str">
        <f ca="1">IF(Y1079=行业比较!$E$6,ROW(),"")</f>
        <v/>
      </c>
      <c r="AA1079" s="122"/>
      <c r="AB1079" s="122"/>
      <c r="AC1079" s="122"/>
      <c r="AD1079" s="122"/>
      <c r="AE1079" s="122"/>
      <c r="AF1079" s="122"/>
      <c r="AG1079" s="122"/>
      <c r="AH1079" s="122"/>
      <c r="AI1079" s="122"/>
      <c r="AJ1079" s="122"/>
      <c r="AK1079" s="122"/>
      <c r="AL1079" s="122"/>
      <c r="AM1079" s="122"/>
      <c r="AN1079" s="122"/>
      <c r="AO1079" s="122"/>
      <c r="AP1079" s="122"/>
    </row>
    <row r="1080" spans="2:42">
      <c r="B1080" s="122"/>
      <c r="C1080" s="122"/>
      <c r="D1080" s="122"/>
      <c r="E1080" s="122"/>
      <c r="F1080" s="122"/>
      <c r="G1080" s="122"/>
      <c r="H1080" s="122"/>
      <c r="I1080" s="275"/>
      <c r="J1080" s="130"/>
      <c r="K1080" s="130"/>
      <c r="L1080" s="130"/>
      <c r="M1080" s="130"/>
      <c r="N1080" s="291"/>
      <c r="O1080" s="291"/>
      <c r="P1080" s="122"/>
      <c r="Q1080" s="122"/>
      <c r="R1080" s="122"/>
      <c r="S1080" s="122"/>
      <c r="T1080" s="122"/>
      <c r="U1080" s="301"/>
      <c r="V1080" s="260">
        <f t="shared" ca="1" si="24"/>
        <v>0</v>
      </c>
      <c r="W1080" s="348" t="str">
        <f>IF(板块成分!B1082="","",板块成分!B1082)</f>
        <v>002587.SZ</v>
      </c>
      <c r="X1080" s="276" t="str">
        <f>[1]!S_Info_Name(W1080)</f>
        <v>奥拓电子</v>
      </c>
      <c r="Y1080" s="276" t="str">
        <f ca="1">IF($Y$3="申万一级行业",[1]!s_info_industry_sw_2021(W1080,公司分析!D$5,1),IF($Y$3="申万二级行业",[1]!s_info_industry_sw_2021(W1080,公司分析!D$5,2),IF($Y$3="申万三级行业",[1]!s_info_industry_sw_2021(W1080,公司分析!D$5,3),IF($Y$3="wind一级行业",[1]!s_info_industry_gics(W1080,1),IF($Y$3="wind二级行业",[1]!s_info_industry_gics(W1080,2),IF($Y$3="wind三级行业",[1]!s_info_industry_gics(W1080,3),IF($Y$3="wind四级行业",[1]!s_info_industry_gics(W1080,4),IF($Y$3="证监会门类行业",[1]!s_info_industry_csrc12_n(W1080,公司分析!D$5,1),""))))))))</f>
        <v>光学光电子</v>
      </c>
      <c r="Z1080" s="302" t="str">
        <f ca="1">IF(Y1080=行业比较!$E$6,ROW(),"")</f>
        <v/>
      </c>
      <c r="AA1080" s="122"/>
      <c r="AB1080" s="122"/>
      <c r="AC1080" s="122"/>
      <c r="AD1080" s="122"/>
      <c r="AE1080" s="122"/>
      <c r="AF1080" s="122"/>
      <c r="AG1080" s="122"/>
      <c r="AH1080" s="122"/>
      <c r="AI1080" s="122"/>
      <c r="AJ1080" s="122"/>
      <c r="AK1080" s="122"/>
      <c r="AL1080" s="122"/>
      <c r="AM1080" s="122"/>
      <c r="AN1080" s="122"/>
      <c r="AO1080" s="122"/>
      <c r="AP1080" s="122"/>
    </row>
    <row r="1081" spans="2:42">
      <c r="B1081" s="122"/>
      <c r="C1081" s="122"/>
      <c r="D1081" s="122"/>
      <c r="E1081" s="122"/>
      <c r="F1081" s="122"/>
      <c r="G1081" s="122"/>
      <c r="H1081" s="122"/>
      <c r="I1081" s="275"/>
      <c r="J1081" s="130"/>
      <c r="K1081" s="130"/>
      <c r="L1081" s="130"/>
      <c r="M1081" s="130"/>
      <c r="N1081" s="291"/>
      <c r="O1081" s="291"/>
      <c r="P1081" s="122"/>
      <c r="Q1081" s="122"/>
      <c r="R1081" s="122"/>
      <c r="S1081" s="122"/>
      <c r="T1081" s="122"/>
      <c r="U1081" s="301"/>
      <c r="V1081" s="260">
        <f t="shared" ca="1" si="24"/>
        <v>0</v>
      </c>
      <c r="W1081" s="348" t="str">
        <f>IF(板块成分!B1083="","",板块成分!B1083)</f>
        <v>002588.SZ</v>
      </c>
      <c r="X1081" s="276" t="str">
        <f>[1]!S_Info_Name(W1081)</f>
        <v>史丹利</v>
      </c>
      <c r="Y1081" s="276" t="str">
        <f ca="1">IF($Y$3="申万一级行业",[1]!s_info_industry_sw_2021(W1081,公司分析!D$5,1),IF($Y$3="申万二级行业",[1]!s_info_industry_sw_2021(W1081,公司分析!D$5,2),IF($Y$3="申万三级行业",[1]!s_info_industry_sw_2021(W1081,公司分析!D$5,3),IF($Y$3="wind一级行业",[1]!s_info_industry_gics(W1081,1),IF($Y$3="wind二级行业",[1]!s_info_industry_gics(W1081,2),IF($Y$3="wind三级行业",[1]!s_info_industry_gics(W1081,3),IF($Y$3="wind四级行业",[1]!s_info_industry_gics(W1081,4),IF($Y$3="证监会门类行业",[1]!s_info_industry_csrc12_n(W1081,公司分析!D$5,1),""))))))))</f>
        <v>农化制品</v>
      </c>
      <c r="Z1081" s="302" t="str">
        <f ca="1">IF(Y1081=行业比较!$E$6,ROW(),"")</f>
        <v/>
      </c>
      <c r="AA1081" s="122"/>
      <c r="AB1081" s="122"/>
      <c r="AC1081" s="122"/>
      <c r="AD1081" s="122"/>
      <c r="AE1081" s="122"/>
      <c r="AF1081" s="122"/>
      <c r="AG1081" s="122"/>
      <c r="AH1081" s="122"/>
      <c r="AI1081" s="122"/>
      <c r="AJ1081" s="122"/>
      <c r="AK1081" s="122"/>
      <c r="AL1081" s="122"/>
      <c r="AM1081" s="122"/>
      <c r="AN1081" s="122"/>
      <c r="AO1081" s="122"/>
      <c r="AP1081" s="122"/>
    </row>
    <row r="1082" spans="2:42">
      <c r="B1082" s="122"/>
      <c r="C1082" s="122"/>
      <c r="D1082" s="122"/>
      <c r="E1082" s="122"/>
      <c r="F1082" s="122"/>
      <c r="G1082" s="122"/>
      <c r="H1082" s="122"/>
      <c r="I1082" s="275"/>
      <c r="J1082" s="130"/>
      <c r="K1082" s="130"/>
      <c r="L1082" s="130"/>
      <c r="M1082" s="130"/>
      <c r="N1082" s="291"/>
      <c r="O1082" s="291"/>
      <c r="P1082" s="122"/>
      <c r="Q1082" s="122"/>
      <c r="R1082" s="122"/>
      <c r="S1082" s="122"/>
      <c r="T1082" s="122"/>
      <c r="U1082" s="301"/>
      <c r="V1082" s="260">
        <f t="shared" ca="1" si="24"/>
        <v>0</v>
      </c>
      <c r="W1082" s="348" t="str">
        <f>IF(板块成分!B1084="","",板块成分!B1084)</f>
        <v>002589.SZ</v>
      </c>
      <c r="X1082" s="276" t="str">
        <f>[1]!S_Info_Name(W1082)</f>
        <v>瑞康医药</v>
      </c>
      <c r="Y1082" s="276" t="str">
        <f ca="1">IF($Y$3="申万一级行业",[1]!s_info_industry_sw_2021(W1082,公司分析!D$5,1),IF($Y$3="申万二级行业",[1]!s_info_industry_sw_2021(W1082,公司分析!D$5,2),IF($Y$3="申万三级行业",[1]!s_info_industry_sw_2021(W1082,公司分析!D$5,3),IF($Y$3="wind一级行业",[1]!s_info_industry_gics(W1082,1),IF($Y$3="wind二级行业",[1]!s_info_industry_gics(W1082,2),IF($Y$3="wind三级行业",[1]!s_info_industry_gics(W1082,3),IF($Y$3="wind四级行业",[1]!s_info_industry_gics(W1082,4),IF($Y$3="证监会门类行业",[1]!s_info_industry_csrc12_n(W1082,公司分析!D$5,1),""))))))))</f>
        <v>医药商业</v>
      </c>
      <c r="Z1082" s="302" t="str">
        <f ca="1">IF(Y1082=行业比较!$E$6,ROW(),"")</f>
        <v/>
      </c>
      <c r="AA1082" s="122"/>
      <c r="AB1082" s="122"/>
      <c r="AC1082" s="122"/>
      <c r="AD1082" s="122"/>
      <c r="AE1082" s="122"/>
      <c r="AF1082" s="122"/>
      <c r="AG1082" s="122"/>
      <c r="AH1082" s="122"/>
      <c r="AI1082" s="122"/>
      <c r="AJ1082" s="122"/>
      <c r="AK1082" s="122"/>
      <c r="AL1082" s="122"/>
      <c r="AM1082" s="122"/>
      <c r="AN1082" s="122"/>
      <c r="AO1082" s="122"/>
      <c r="AP1082" s="122"/>
    </row>
    <row r="1083" spans="2:42">
      <c r="B1083" s="122"/>
      <c r="C1083" s="122"/>
      <c r="D1083" s="122"/>
      <c r="E1083" s="122"/>
      <c r="F1083" s="122"/>
      <c r="G1083" s="122"/>
      <c r="H1083" s="122"/>
      <c r="I1083" s="275"/>
      <c r="J1083" s="130"/>
      <c r="K1083" s="130"/>
      <c r="L1083" s="130"/>
      <c r="M1083" s="130"/>
      <c r="N1083" s="291"/>
      <c r="O1083" s="291"/>
      <c r="P1083" s="122"/>
      <c r="Q1083" s="122"/>
      <c r="R1083" s="122"/>
      <c r="S1083" s="122"/>
      <c r="T1083" s="122"/>
      <c r="U1083" s="301"/>
      <c r="V1083" s="260">
        <f t="shared" ca="1" si="24"/>
        <v>0</v>
      </c>
      <c r="W1083" s="348" t="str">
        <f>IF(板块成分!B1085="","",板块成分!B1085)</f>
        <v>002590.SZ</v>
      </c>
      <c r="X1083" s="276" t="str">
        <f>[1]!S_Info_Name(W1083)</f>
        <v>万安科技</v>
      </c>
      <c r="Y1083" s="276" t="str">
        <f ca="1">IF($Y$3="申万一级行业",[1]!s_info_industry_sw_2021(W1083,公司分析!D$5,1),IF($Y$3="申万二级行业",[1]!s_info_industry_sw_2021(W1083,公司分析!D$5,2),IF($Y$3="申万三级行业",[1]!s_info_industry_sw_2021(W1083,公司分析!D$5,3),IF($Y$3="wind一级行业",[1]!s_info_industry_gics(W1083,1),IF($Y$3="wind二级行业",[1]!s_info_industry_gics(W1083,2),IF($Y$3="wind三级行业",[1]!s_info_industry_gics(W1083,3),IF($Y$3="wind四级行业",[1]!s_info_industry_gics(W1083,4),IF($Y$3="证监会门类行业",[1]!s_info_industry_csrc12_n(W1083,公司分析!D$5,1),""))))))))</f>
        <v>汽车零部件</v>
      </c>
      <c r="Z1083" s="302" t="str">
        <f ca="1">IF(Y1083=行业比较!$E$6,ROW(),"")</f>
        <v/>
      </c>
      <c r="AA1083" s="122"/>
      <c r="AB1083" s="122"/>
      <c r="AC1083" s="122"/>
      <c r="AD1083" s="122"/>
      <c r="AE1083" s="122"/>
      <c r="AF1083" s="122"/>
      <c r="AG1083" s="122"/>
      <c r="AH1083" s="122"/>
      <c r="AI1083" s="122"/>
      <c r="AJ1083" s="122"/>
      <c r="AK1083" s="122"/>
      <c r="AL1083" s="122"/>
      <c r="AM1083" s="122"/>
      <c r="AN1083" s="122"/>
      <c r="AO1083" s="122"/>
      <c r="AP1083" s="122"/>
    </row>
    <row r="1084" spans="2:42">
      <c r="B1084" s="122"/>
      <c r="C1084" s="122"/>
      <c r="D1084" s="122"/>
      <c r="E1084" s="122"/>
      <c r="F1084" s="122"/>
      <c r="G1084" s="122"/>
      <c r="H1084" s="122"/>
      <c r="I1084" s="275"/>
      <c r="J1084" s="130"/>
      <c r="K1084" s="130"/>
      <c r="L1084" s="130"/>
      <c r="M1084" s="130"/>
      <c r="N1084" s="291"/>
      <c r="O1084" s="291"/>
      <c r="P1084" s="122"/>
      <c r="Q1084" s="122"/>
      <c r="R1084" s="122"/>
      <c r="S1084" s="122"/>
      <c r="T1084" s="122"/>
      <c r="U1084" s="301"/>
      <c r="V1084" s="260">
        <f t="shared" ca="1" si="24"/>
        <v>0</v>
      </c>
      <c r="W1084" s="348" t="str">
        <f>IF(板块成分!B1086="","",板块成分!B1086)</f>
        <v>002591.SZ</v>
      </c>
      <c r="X1084" s="276" t="str">
        <f>[1]!S_Info_Name(W1084)</f>
        <v>恒大高新</v>
      </c>
      <c r="Y1084" s="276" t="str">
        <f ca="1">IF($Y$3="申万一级行业",[1]!s_info_industry_sw_2021(W1084,公司分析!D$5,1),IF($Y$3="申万二级行业",[1]!s_info_industry_sw_2021(W1084,公司分析!D$5,2),IF($Y$3="申万三级行业",[1]!s_info_industry_sw_2021(W1084,公司分析!D$5,3),IF($Y$3="wind一级行业",[1]!s_info_industry_gics(W1084,1),IF($Y$3="wind二级行业",[1]!s_info_industry_gics(W1084,2),IF($Y$3="wind三级行业",[1]!s_info_industry_gics(W1084,3),IF($Y$3="wind四级行业",[1]!s_info_industry_gics(W1084,4),IF($Y$3="证监会门类行业",[1]!s_info_industry_csrc12_n(W1084,公司分析!D$5,1),""))))))))</f>
        <v>化学制品</v>
      </c>
      <c r="Z1084" s="302" t="str">
        <f ca="1">IF(Y1084=行业比较!$E$6,ROW(),"")</f>
        <v/>
      </c>
      <c r="AA1084" s="122"/>
      <c r="AB1084" s="122"/>
      <c r="AC1084" s="122"/>
      <c r="AD1084" s="122"/>
      <c r="AE1084" s="122"/>
      <c r="AF1084" s="122"/>
      <c r="AG1084" s="122"/>
      <c r="AH1084" s="122"/>
      <c r="AI1084" s="122"/>
      <c r="AJ1084" s="122"/>
      <c r="AK1084" s="122"/>
      <c r="AL1084" s="122"/>
      <c r="AM1084" s="122"/>
      <c r="AN1084" s="122"/>
      <c r="AO1084" s="122"/>
      <c r="AP1084" s="122"/>
    </row>
    <row r="1085" spans="2:42">
      <c r="B1085" s="122"/>
      <c r="C1085" s="122"/>
      <c r="D1085" s="122"/>
      <c r="E1085" s="122"/>
      <c r="F1085" s="122"/>
      <c r="G1085" s="122"/>
      <c r="H1085" s="122"/>
      <c r="I1085" s="275"/>
      <c r="J1085" s="130"/>
      <c r="K1085" s="130"/>
      <c r="L1085" s="130"/>
      <c r="M1085" s="130"/>
      <c r="N1085" s="291"/>
      <c r="O1085" s="291"/>
      <c r="P1085" s="122"/>
      <c r="Q1085" s="122"/>
      <c r="R1085" s="122"/>
      <c r="S1085" s="122"/>
      <c r="T1085" s="122"/>
      <c r="U1085" s="301"/>
      <c r="V1085" s="260">
        <f t="shared" ca="1" si="24"/>
        <v>0</v>
      </c>
      <c r="W1085" s="348" t="str">
        <f>IF(板块成分!B1087="","",板块成分!B1087)</f>
        <v>002592.SZ</v>
      </c>
      <c r="X1085" s="276" t="str">
        <f>[1]!S_Info_Name(W1085)</f>
        <v>ST八菱</v>
      </c>
      <c r="Y1085" s="276" t="str">
        <f ca="1">IF($Y$3="申万一级行业",[1]!s_info_industry_sw_2021(W1085,公司分析!D$5,1),IF($Y$3="申万二级行业",[1]!s_info_industry_sw_2021(W1085,公司分析!D$5,2),IF($Y$3="申万三级行业",[1]!s_info_industry_sw_2021(W1085,公司分析!D$5,3),IF($Y$3="wind一级行业",[1]!s_info_industry_gics(W1085,1),IF($Y$3="wind二级行业",[1]!s_info_industry_gics(W1085,2),IF($Y$3="wind三级行业",[1]!s_info_industry_gics(W1085,3),IF($Y$3="wind四级行业",[1]!s_info_industry_gics(W1085,4),IF($Y$3="证监会门类行业",[1]!s_info_industry_csrc12_n(W1085,公司分析!D$5,1),""))))))))</f>
        <v>汽车零部件</v>
      </c>
      <c r="Z1085" s="302" t="str">
        <f ca="1">IF(Y1085=行业比较!$E$6,ROW(),"")</f>
        <v/>
      </c>
      <c r="AA1085" s="122"/>
      <c r="AB1085" s="122"/>
      <c r="AC1085" s="122"/>
      <c r="AD1085" s="122"/>
      <c r="AE1085" s="122"/>
      <c r="AF1085" s="122"/>
      <c r="AG1085" s="122"/>
      <c r="AH1085" s="122"/>
      <c r="AI1085" s="122"/>
      <c r="AJ1085" s="122"/>
      <c r="AK1085" s="122"/>
      <c r="AL1085" s="122"/>
      <c r="AM1085" s="122"/>
      <c r="AN1085" s="122"/>
      <c r="AO1085" s="122"/>
      <c r="AP1085" s="122"/>
    </row>
    <row r="1086" spans="2:42">
      <c r="B1086" s="122"/>
      <c r="C1086" s="122"/>
      <c r="D1086" s="122"/>
      <c r="E1086" s="122"/>
      <c r="F1086" s="122"/>
      <c r="G1086" s="122"/>
      <c r="H1086" s="122"/>
      <c r="I1086" s="275"/>
      <c r="J1086" s="130"/>
      <c r="K1086" s="130"/>
      <c r="L1086" s="130"/>
      <c r="M1086" s="130"/>
      <c r="N1086" s="291"/>
      <c r="O1086" s="291"/>
      <c r="P1086" s="122"/>
      <c r="Q1086" s="122"/>
      <c r="R1086" s="122"/>
      <c r="S1086" s="122"/>
      <c r="T1086" s="122"/>
      <c r="U1086" s="301"/>
      <c r="V1086" s="260">
        <f t="shared" ca="1" si="24"/>
        <v>0</v>
      </c>
      <c r="W1086" s="348" t="str">
        <f>IF(板块成分!B1088="","",板块成分!B1088)</f>
        <v>002593.SZ</v>
      </c>
      <c r="X1086" s="276" t="str">
        <f>[1]!S_Info_Name(W1086)</f>
        <v>日上集团</v>
      </c>
      <c r="Y1086" s="276" t="str">
        <f ca="1">IF($Y$3="申万一级行业",[1]!s_info_industry_sw_2021(W1086,公司分析!D$5,1),IF($Y$3="申万二级行业",[1]!s_info_industry_sw_2021(W1086,公司分析!D$5,2),IF($Y$3="申万三级行业",[1]!s_info_industry_sw_2021(W1086,公司分析!D$5,3),IF($Y$3="wind一级行业",[1]!s_info_industry_gics(W1086,1),IF($Y$3="wind二级行业",[1]!s_info_industry_gics(W1086,2),IF($Y$3="wind三级行业",[1]!s_info_industry_gics(W1086,3),IF($Y$3="wind四级行业",[1]!s_info_industry_gics(W1086,4),IF($Y$3="证监会门类行业",[1]!s_info_industry_csrc12_n(W1086,公司分析!D$5,1),""))))))))</f>
        <v>专业工程</v>
      </c>
      <c r="Z1086" s="302" t="str">
        <f ca="1">IF(Y1086=行业比较!$E$6,ROW(),"")</f>
        <v/>
      </c>
      <c r="AA1086" s="122"/>
      <c r="AB1086" s="122"/>
      <c r="AC1086" s="122"/>
      <c r="AD1086" s="122"/>
      <c r="AE1086" s="122"/>
      <c r="AF1086" s="122"/>
      <c r="AG1086" s="122"/>
      <c r="AH1086" s="122"/>
      <c r="AI1086" s="122"/>
      <c r="AJ1086" s="122"/>
      <c r="AK1086" s="122"/>
      <c r="AL1086" s="122"/>
      <c r="AM1086" s="122"/>
      <c r="AN1086" s="122"/>
      <c r="AO1086" s="122"/>
      <c r="AP1086" s="122"/>
    </row>
    <row r="1087" spans="2:42">
      <c r="B1087" s="122"/>
      <c r="C1087" s="122"/>
      <c r="D1087" s="122"/>
      <c r="E1087" s="122"/>
      <c r="F1087" s="122"/>
      <c r="G1087" s="122"/>
      <c r="H1087" s="122"/>
      <c r="I1087" s="275"/>
      <c r="J1087" s="130"/>
      <c r="K1087" s="130"/>
      <c r="L1087" s="130"/>
      <c r="M1087" s="130"/>
      <c r="N1087" s="291"/>
      <c r="O1087" s="291"/>
      <c r="P1087" s="122"/>
      <c r="Q1087" s="122"/>
      <c r="R1087" s="122"/>
      <c r="S1087" s="122"/>
      <c r="T1087" s="122"/>
      <c r="U1087" s="301"/>
      <c r="V1087" s="260">
        <f t="shared" ca="1" si="24"/>
        <v>0</v>
      </c>
      <c r="W1087" s="348" t="str">
        <f>IF(板块成分!B1089="","",板块成分!B1089)</f>
        <v>002594.SZ</v>
      </c>
      <c r="X1087" s="276" t="str">
        <f>[1]!S_Info_Name(W1087)</f>
        <v>比亚迪</v>
      </c>
      <c r="Y1087" s="276" t="str">
        <f ca="1">IF($Y$3="申万一级行业",[1]!s_info_industry_sw_2021(W1087,公司分析!D$5,1),IF($Y$3="申万二级行业",[1]!s_info_industry_sw_2021(W1087,公司分析!D$5,2),IF($Y$3="申万三级行业",[1]!s_info_industry_sw_2021(W1087,公司分析!D$5,3),IF($Y$3="wind一级行业",[1]!s_info_industry_gics(W1087,1),IF($Y$3="wind二级行业",[1]!s_info_industry_gics(W1087,2),IF($Y$3="wind三级行业",[1]!s_info_industry_gics(W1087,3),IF($Y$3="wind四级行业",[1]!s_info_industry_gics(W1087,4),IF($Y$3="证监会门类行业",[1]!s_info_industry_csrc12_n(W1087,公司分析!D$5,1),""))))))))</f>
        <v>乘用车</v>
      </c>
      <c r="Z1087" s="302" t="str">
        <f ca="1">IF(Y1087=行业比较!$E$6,ROW(),"")</f>
        <v/>
      </c>
      <c r="AA1087" s="122"/>
      <c r="AB1087" s="122"/>
      <c r="AC1087" s="122"/>
      <c r="AD1087" s="122"/>
      <c r="AE1087" s="122"/>
      <c r="AF1087" s="122"/>
      <c r="AG1087" s="122"/>
      <c r="AH1087" s="122"/>
      <c r="AI1087" s="122"/>
      <c r="AJ1087" s="122"/>
      <c r="AK1087" s="122"/>
      <c r="AL1087" s="122"/>
      <c r="AM1087" s="122"/>
      <c r="AN1087" s="122"/>
      <c r="AO1087" s="122"/>
      <c r="AP1087" s="122"/>
    </row>
    <row r="1088" spans="2:42">
      <c r="B1088" s="122"/>
      <c r="C1088" s="122"/>
      <c r="D1088" s="122"/>
      <c r="E1088" s="122"/>
      <c r="F1088" s="122"/>
      <c r="G1088" s="122"/>
      <c r="H1088" s="122"/>
      <c r="I1088" s="275"/>
      <c r="J1088" s="130"/>
      <c r="K1088" s="130"/>
      <c r="L1088" s="130"/>
      <c r="M1088" s="130"/>
      <c r="N1088" s="291"/>
      <c r="O1088" s="291"/>
      <c r="P1088" s="122"/>
      <c r="Q1088" s="122"/>
      <c r="R1088" s="122"/>
      <c r="S1088" s="122"/>
      <c r="T1088" s="122"/>
      <c r="U1088" s="301"/>
      <c r="V1088" s="260">
        <f t="shared" ca="1" si="24"/>
        <v>0</v>
      </c>
      <c r="W1088" s="348" t="str">
        <f>IF(板块成分!B1090="","",板块成分!B1090)</f>
        <v>002595.SZ</v>
      </c>
      <c r="X1088" s="276" t="str">
        <f>[1]!S_Info_Name(W1088)</f>
        <v>豪迈科技</v>
      </c>
      <c r="Y1088" s="276" t="str">
        <f ca="1">IF($Y$3="申万一级行业",[1]!s_info_industry_sw_2021(W1088,公司分析!D$5,1),IF($Y$3="申万二级行业",[1]!s_info_industry_sw_2021(W1088,公司分析!D$5,2),IF($Y$3="申万三级行业",[1]!s_info_industry_sw_2021(W1088,公司分析!D$5,3),IF($Y$3="wind一级行业",[1]!s_info_industry_gics(W1088,1),IF($Y$3="wind二级行业",[1]!s_info_industry_gics(W1088,2),IF($Y$3="wind三级行业",[1]!s_info_industry_gics(W1088,3),IF($Y$3="wind四级行业",[1]!s_info_industry_gics(W1088,4),IF($Y$3="证监会门类行业",[1]!s_info_industry_csrc12_n(W1088,公司分析!D$5,1),""))))))))</f>
        <v>专用设备</v>
      </c>
      <c r="Z1088" s="302" t="str">
        <f ca="1">IF(Y1088=行业比较!$E$6,ROW(),"")</f>
        <v/>
      </c>
      <c r="AA1088" s="122"/>
      <c r="AB1088" s="122"/>
      <c r="AC1088" s="122"/>
      <c r="AD1088" s="122"/>
      <c r="AE1088" s="122"/>
      <c r="AF1088" s="122"/>
      <c r="AG1088" s="122"/>
      <c r="AH1088" s="122"/>
      <c r="AI1088" s="122"/>
      <c r="AJ1088" s="122"/>
      <c r="AK1088" s="122"/>
      <c r="AL1088" s="122"/>
      <c r="AM1088" s="122"/>
      <c r="AN1088" s="122"/>
      <c r="AO1088" s="122"/>
      <c r="AP1088" s="122"/>
    </row>
    <row r="1089" spans="2:42">
      <c r="B1089" s="122"/>
      <c r="C1089" s="122"/>
      <c r="D1089" s="122"/>
      <c r="E1089" s="122"/>
      <c r="F1089" s="122"/>
      <c r="G1089" s="122"/>
      <c r="H1089" s="122"/>
      <c r="I1089" s="275"/>
      <c r="J1089" s="130"/>
      <c r="K1089" s="130"/>
      <c r="L1089" s="130"/>
      <c r="M1089" s="130"/>
      <c r="N1089" s="291"/>
      <c r="O1089" s="291"/>
      <c r="P1089" s="122"/>
      <c r="Q1089" s="122"/>
      <c r="R1089" s="122"/>
      <c r="S1089" s="122"/>
      <c r="T1089" s="122"/>
      <c r="U1089" s="301"/>
      <c r="V1089" s="260">
        <f t="shared" ca="1" si="24"/>
        <v>0</v>
      </c>
      <c r="W1089" s="348" t="str">
        <f>IF(板块成分!B1091="","",板块成分!B1091)</f>
        <v>002596.SZ</v>
      </c>
      <c r="X1089" s="276" t="str">
        <f>[1]!S_Info_Name(W1089)</f>
        <v>海南瑞泽</v>
      </c>
      <c r="Y1089" s="276" t="str">
        <f ca="1">IF($Y$3="申万一级行业",[1]!s_info_industry_sw_2021(W1089,公司分析!D$5,1),IF($Y$3="申万二级行业",[1]!s_info_industry_sw_2021(W1089,公司分析!D$5,2),IF($Y$3="申万三级行业",[1]!s_info_industry_sw_2021(W1089,公司分析!D$5,3),IF($Y$3="wind一级行业",[1]!s_info_industry_gics(W1089,1),IF($Y$3="wind二级行业",[1]!s_info_industry_gics(W1089,2),IF($Y$3="wind三级行业",[1]!s_info_industry_gics(W1089,3),IF($Y$3="wind四级行业",[1]!s_info_industry_gics(W1089,4),IF($Y$3="证监会门类行业",[1]!s_info_industry_csrc12_n(W1089,公司分析!D$5,1),""))))))))</f>
        <v>水泥</v>
      </c>
      <c r="Z1089" s="302" t="str">
        <f ca="1">IF(Y1089=行业比较!$E$6,ROW(),"")</f>
        <v/>
      </c>
      <c r="AA1089" s="122"/>
      <c r="AB1089" s="122"/>
      <c r="AC1089" s="122"/>
      <c r="AD1089" s="122"/>
      <c r="AE1089" s="122"/>
      <c r="AF1089" s="122"/>
      <c r="AG1089" s="122"/>
      <c r="AH1089" s="122"/>
      <c r="AI1089" s="122"/>
      <c r="AJ1089" s="122"/>
      <c r="AK1089" s="122"/>
      <c r="AL1089" s="122"/>
      <c r="AM1089" s="122"/>
      <c r="AN1089" s="122"/>
      <c r="AO1089" s="122"/>
      <c r="AP1089" s="122"/>
    </row>
    <row r="1090" spans="2:42">
      <c r="B1090" s="122"/>
      <c r="C1090" s="122"/>
      <c r="D1090" s="122"/>
      <c r="E1090" s="122"/>
      <c r="F1090" s="122"/>
      <c r="G1090" s="122"/>
      <c r="H1090" s="122"/>
      <c r="I1090" s="275"/>
      <c r="J1090" s="130"/>
      <c r="K1090" s="130"/>
      <c r="L1090" s="130"/>
      <c r="M1090" s="130"/>
      <c r="N1090" s="291"/>
      <c r="O1090" s="291"/>
      <c r="P1090" s="122"/>
      <c r="Q1090" s="122"/>
      <c r="R1090" s="122"/>
      <c r="S1090" s="122"/>
      <c r="T1090" s="122"/>
      <c r="U1090" s="301"/>
      <c r="V1090" s="260">
        <f t="shared" ca="1" si="24"/>
        <v>0</v>
      </c>
      <c r="W1090" s="348" t="str">
        <f>IF(板块成分!B1092="","",板块成分!B1092)</f>
        <v>002597.SZ</v>
      </c>
      <c r="X1090" s="276" t="str">
        <f>[1]!S_Info_Name(W1090)</f>
        <v>金禾实业</v>
      </c>
      <c r="Y1090" s="276" t="str">
        <f ca="1">IF($Y$3="申万一级行业",[1]!s_info_industry_sw_2021(W1090,公司分析!D$5,1),IF($Y$3="申万二级行业",[1]!s_info_industry_sw_2021(W1090,公司分析!D$5,2),IF($Y$3="申万三级行业",[1]!s_info_industry_sw_2021(W1090,公司分析!D$5,3),IF($Y$3="wind一级行业",[1]!s_info_industry_gics(W1090,1),IF($Y$3="wind二级行业",[1]!s_info_industry_gics(W1090,2),IF($Y$3="wind三级行业",[1]!s_info_industry_gics(W1090,3),IF($Y$3="wind四级行业",[1]!s_info_industry_gics(W1090,4),IF($Y$3="证监会门类行业",[1]!s_info_industry_csrc12_n(W1090,公司分析!D$5,1),""))))))))</f>
        <v>化学制品</v>
      </c>
      <c r="Z1090" s="302" t="str">
        <f ca="1">IF(Y1090=行业比较!$E$6,ROW(),"")</f>
        <v/>
      </c>
      <c r="AA1090" s="122"/>
      <c r="AB1090" s="122"/>
      <c r="AC1090" s="122"/>
      <c r="AD1090" s="122"/>
      <c r="AE1090" s="122"/>
      <c r="AF1090" s="122"/>
      <c r="AG1090" s="122"/>
      <c r="AH1090" s="122"/>
      <c r="AI1090" s="122"/>
      <c r="AJ1090" s="122"/>
      <c r="AK1090" s="122"/>
      <c r="AL1090" s="122"/>
      <c r="AM1090" s="122"/>
      <c r="AN1090" s="122"/>
      <c r="AO1090" s="122"/>
      <c r="AP1090" s="122"/>
    </row>
    <row r="1091" spans="2:42">
      <c r="B1091" s="122"/>
      <c r="C1091" s="122"/>
      <c r="D1091" s="122"/>
      <c r="E1091" s="122"/>
      <c r="F1091" s="122"/>
      <c r="G1091" s="122"/>
      <c r="H1091" s="122"/>
      <c r="I1091" s="275"/>
      <c r="J1091" s="130"/>
      <c r="K1091" s="130"/>
      <c r="L1091" s="130"/>
      <c r="M1091" s="130"/>
      <c r="N1091" s="291"/>
      <c r="O1091" s="291"/>
      <c r="P1091" s="122"/>
      <c r="Q1091" s="122"/>
      <c r="R1091" s="122"/>
      <c r="S1091" s="122"/>
      <c r="T1091" s="122"/>
      <c r="U1091" s="301"/>
      <c r="V1091" s="260">
        <f t="shared" ca="1" si="24"/>
        <v>0</v>
      </c>
      <c r="W1091" s="348" t="str">
        <f>IF(板块成分!B1093="","",板块成分!B1093)</f>
        <v>002598.SZ</v>
      </c>
      <c r="X1091" s="276" t="str">
        <f>[1]!S_Info_Name(W1091)</f>
        <v>山东章鼓</v>
      </c>
      <c r="Y1091" s="276" t="str">
        <f ca="1">IF($Y$3="申万一级行业",[1]!s_info_industry_sw_2021(W1091,公司分析!D$5,1),IF($Y$3="申万二级行业",[1]!s_info_industry_sw_2021(W1091,公司分析!D$5,2),IF($Y$3="申万三级行业",[1]!s_info_industry_sw_2021(W1091,公司分析!D$5,3),IF($Y$3="wind一级行业",[1]!s_info_industry_gics(W1091,1),IF($Y$3="wind二级行业",[1]!s_info_industry_gics(W1091,2),IF($Y$3="wind三级行业",[1]!s_info_industry_gics(W1091,3),IF($Y$3="wind四级行业",[1]!s_info_industry_gics(W1091,4),IF($Y$3="证监会门类行业",[1]!s_info_industry_csrc12_n(W1091,公司分析!D$5,1),""))))))))</f>
        <v>通用设备</v>
      </c>
      <c r="Z1091" s="302" t="str">
        <f ca="1">IF(Y1091=行业比较!$E$6,ROW(),"")</f>
        <v/>
      </c>
      <c r="AA1091" s="122"/>
      <c r="AB1091" s="122"/>
      <c r="AC1091" s="122"/>
      <c r="AD1091" s="122"/>
      <c r="AE1091" s="122"/>
      <c r="AF1091" s="122"/>
      <c r="AG1091" s="122"/>
      <c r="AH1091" s="122"/>
      <c r="AI1091" s="122"/>
      <c r="AJ1091" s="122"/>
      <c r="AK1091" s="122"/>
      <c r="AL1091" s="122"/>
      <c r="AM1091" s="122"/>
      <c r="AN1091" s="122"/>
      <c r="AO1091" s="122"/>
      <c r="AP1091" s="122"/>
    </row>
    <row r="1092" spans="2:42">
      <c r="B1092" s="122"/>
      <c r="C1092" s="122"/>
      <c r="D1092" s="122"/>
      <c r="E1092" s="122"/>
      <c r="F1092" s="122"/>
      <c r="G1092" s="122"/>
      <c r="H1092" s="122"/>
      <c r="I1092" s="275"/>
      <c r="J1092" s="130"/>
      <c r="K1092" s="130"/>
      <c r="L1092" s="130"/>
      <c r="M1092" s="130"/>
      <c r="N1092" s="291"/>
      <c r="O1092" s="291"/>
      <c r="P1092" s="122"/>
      <c r="Q1092" s="122"/>
      <c r="R1092" s="122"/>
      <c r="S1092" s="122"/>
      <c r="T1092" s="122"/>
      <c r="U1092" s="301"/>
      <c r="V1092" s="260">
        <f t="shared" ca="1" si="24"/>
        <v>0</v>
      </c>
      <c r="W1092" s="348" t="str">
        <f>IF(板块成分!B1094="","",板块成分!B1094)</f>
        <v>002599.SZ</v>
      </c>
      <c r="X1092" s="276" t="str">
        <f>[1]!S_Info_Name(W1092)</f>
        <v>盛通股份</v>
      </c>
      <c r="Y1092" s="276" t="str">
        <f ca="1">IF($Y$3="申万一级行业",[1]!s_info_industry_sw_2021(W1092,公司分析!D$5,1),IF($Y$3="申万二级行业",[1]!s_info_industry_sw_2021(W1092,公司分析!D$5,2),IF($Y$3="申万三级行业",[1]!s_info_industry_sw_2021(W1092,公司分析!D$5,3),IF($Y$3="wind一级行业",[1]!s_info_industry_gics(W1092,1),IF($Y$3="wind二级行业",[1]!s_info_industry_gics(W1092,2),IF($Y$3="wind三级行业",[1]!s_info_industry_gics(W1092,3),IF($Y$3="wind四级行业",[1]!s_info_industry_gics(W1092,4),IF($Y$3="证监会门类行业",[1]!s_info_industry_csrc12_n(W1092,公司分析!D$5,1),""))))))))</f>
        <v>包装印刷</v>
      </c>
      <c r="Z1092" s="302" t="str">
        <f ca="1">IF(Y1092=行业比较!$E$6,ROW(),"")</f>
        <v/>
      </c>
      <c r="AA1092" s="122"/>
      <c r="AB1092" s="122"/>
      <c r="AC1092" s="122"/>
      <c r="AD1092" s="122"/>
      <c r="AE1092" s="122"/>
      <c r="AF1092" s="122"/>
      <c r="AG1092" s="122"/>
      <c r="AH1092" s="122"/>
      <c r="AI1092" s="122"/>
      <c r="AJ1092" s="122"/>
      <c r="AK1092" s="122"/>
      <c r="AL1092" s="122"/>
      <c r="AM1092" s="122"/>
      <c r="AN1092" s="122"/>
      <c r="AO1092" s="122"/>
      <c r="AP1092" s="122"/>
    </row>
    <row r="1093" spans="2:42">
      <c r="B1093" s="122"/>
      <c r="C1093" s="122"/>
      <c r="D1093" s="122"/>
      <c r="E1093" s="122"/>
      <c r="F1093" s="122"/>
      <c r="G1093" s="122"/>
      <c r="H1093" s="122"/>
      <c r="I1093" s="275"/>
      <c r="J1093" s="130"/>
      <c r="K1093" s="130"/>
      <c r="L1093" s="130"/>
      <c r="M1093" s="130"/>
      <c r="N1093" s="291"/>
      <c r="O1093" s="291"/>
      <c r="P1093" s="122"/>
      <c r="Q1093" s="122"/>
      <c r="R1093" s="122"/>
      <c r="S1093" s="122"/>
      <c r="T1093" s="122"/>
      <c r="U1093" s="301"/>
      <c r="V1093" s="260">
        <f t="shared" ref="V1093:V1156" ca="1" si="25">IF(Z1093="",0,RANK(Z1093,Z:Z,1))</f>
        <v>0</v>
      </c>
      <c r="W1093" s="348" t="str">
        <f>IF(板块成分!B1095="","",板块成分!B1095)</f>
        <v>002600.SZ</v>
      </c>
      <c r="X1093" s="276" t="str">
        <f>[1]!S_Info_Name(W1093)</f>
        <v>领益智造</v>
      </c>
      <c r="Y1093" s="276" t="str">
        <f ca="1">IF($Y$3="申万一级行业",[1]!s_info_industry_sw_2021(W1093,公司分析!D$5,1),IF($Y$3="申万二级行业",[1]!s_info_industry_sw_2021(W1093,公司分析!D$5,2),IF($Y$3="申万三级行业",[1]!s_info_industry_sw_2021(W1093,公司分析!D$5,3),IF($Y$3="wind一级行业",[1]!s_info_industry_gics(W1093,1),IF($Y$3="wind二级行业",[1]!s_info_industry_gics(W1093,2),IF($Y$3="wind三级行业",[1]!s_info_industry_gics(W1093,3),IF($Y$3="wind四级行业",[1]!s_info_industry_gics(W1093,4),IF($Y$3="证监会门类行业",[1]!s_info_industry_csrc12_n(W1093,公司分析!D$5,1),""))))))))</f>
        <v>消费电子</v>
      </c>
      <c r="Z1093" s="302" t="str">
        <f ca="1">IF(Y1093=行业比较!$E$6,ROW(),"")</f>
        <v/>
      </c>
      <c r="AA1093" s="122"/>
      <c r="AB1093" s="122"/>
      <c r="AC1093" s="122"/>
      <c r="AD1093" s="122"/>
      <c r="AE1093" s="122"/>
      <c r="AF1093" s="122"/>
      <c r="AG1093" s="122"/>
      <c r="AH1093" s="122"/>
      <c r="AI1093" s="122"/>
      <c r="AJ1093" s="122"/>
      <c r="AK1093" s="122"/>
      <c r="AL1093" s="122"/>
      <c r="AM1093" s="122"/>
      <c r="AN1093" s="122"/>
      <c r="AO1093" s="122"/>
      <c r="AP1093" s="122"/>
    </row>
    <row r="1094" spans="2:42">
      <c r="B1094" s="122"/>
      <c r="C1094" s="122"/>
      <c r="D1094" s="122"/>
      <c r="E1094" s="122"/>
      <c r="F1094" s="122"/>
      <c r="G1094" s="122"/>
      <c r="H1094" s="122"/>
      <c r="I1094" s="275"/>
      <c r="J1094" s="130"/>
      <c r="K1094" s="130"/>
      <c r="L1094" s="130"/>
      <c r="M1094" s="130"/>
      <c r="N1094" s="291"/>
      <c r="O1094" s="291"/>
      <c r="P1094" s="122"/>
      <c r="Q1094" s="122"/>
      <c r="R1094" s="122"/>
      <c r="S1094" s="122"/>
      <c r="T1094" s="122"/>
      <c r="U1094" s="301"/>
      <c r="V1094" s="260">
        <f t="shared" ca="1" si="25"/>
        <v>0</v>
      </c>
      <c r="W1094" s="348" t="str">
        <f>IF(板块成分!B1096="","",板块成分!B1096)</f>
        <v>002601.SZ</v>
      </c>
      <c r="X1094" s="276" t="str">
        <f>[1]!S_Info_Name(W1094)</f>
        <v>龙佰集团</v>
      </c>
      <c r="Y1094" s="276" t="str">
        <f ca="1">IF($Y$3="申万一级行业",[1]!s_info_industry_sw_2021(W1094,公司分析!D$5,1),IF($Y$3="申万二级行业",[1]!s_info_industry_sw_2021(W1094,公司分析!D$5,2),IF($Y$3="申万三级行业",[1]!s_info_industry_sw_2021(W1094,公司分析!D$5,3),IF($Y$3="wind一级行业",[1]!s_info_industry_gics(W1094,1),IF($Y$3="wind二级行业",[1]!s_info_industry_gics(W1094,2),IF($Y$3="wind三级行业",[1]!s_info_industry_gics(W1094,3),IF($Y$3="wind四级行业",[1]!s_info_industry_gics(W1094,4),IF($Y$3="证监会门类行业",[1]!s_info_industry_csrc12_n(W1094,公司分析!D$5,1),""))))))))</f>
        <v>化学原料</v>
      </c>
      <c r="Z1094" s="302" t="str">
        <f ca="1">IF(Y1094=行业比较!$E$6,ROW(),"")</f>
        <v/>
      </c>
      <c r="AA1094" s="122"/>
      <c r="AB1094" s="122"/>
      <c r="AC1094" s="122"/>
      <c r="AD1094" s="122"/>
      <c r="AE1094" s="122"/>
      <c r="AF1094" s="122"/>
      <c r="AG1094" s="122"/>
      <c r="AH1094" s="122"/>
      <c r="AI1094" s="122"/>
      <c r="AJ1094" s="122"/>
      <c r="AK1094" s="122"/>
      <c r="AL1094" s="122"/>
      <c r="AM1094" s="122"/>
      <c r="AN1094" s="122"/>
      <c r="AO1094" s="122"/>
      <c r="AP1094" s="122"/>
    </row>
    <row r="1095" spans="2:42">
      <c r="B1095" s="122"/>
      <c r="C1095" s="122"/>
      <c r="D1095" s="122"/>
      <c r="E1095" s="122"/>
      <c r="F1095" s="122"/>
      <c r="G1095" s="122"/>
      <c r="H1095" s="122"/>
      <c r="I1095" s="275"/>
      <c r="J1095" s="130"/>
      <c r="K1095" s="130"/>
      <c r="L1095" s="130"/>
      <c r="M1095" s="130"/>
      <c r="N1095" s="291"/>
      <c r="O1095" s="291"/>
      <c r="P1095" s="122"/>
      <c r="Q1095" s="122"/>
      <c r="R1095" s="122"/>
      <c r="S1095" s="122"/>
      <c r="T1095" s="122"/>
      <c r="U1095" s="301"/>
      <c r="V1095" s="260">
        <f t="shared" ca="1" si="25"/>
        <v>0</v>
      </c>
      <c r="W1095" s="348" t="str">
        <f>IF(板块成分!B1097="","",板块成分!B1097)</f>
        <v>002602.SZ</v>
      </c>
      <c r="X1095" s="276" t="str">
        <f>[1]!S_Info_Name(W1095)</f>
        <v>世纪华通</v>
      </c>
      <c r="Y1095" s="276" t="str">
        <f ca="1">IF($Y$3="申万一级行业",[1]!s_info_industry_sw_2021(W1095,公司分析!D$5,1),IF($Y$3="申万二级行业",[1]!s_info_industry_sw_2021(W1095,公司分析!D$5,2),IF($Y$3="申万三级行业",[1]!s_info_industry_sw_2021(W1095,公司分析!D$5,3),IF($Y$3="wind一级行业",[1]!s_info_industry_gics(W1095,1),IF($Y$3="wind二级行业",[1]!s_info_industry_gics(W1095,2),IF($Y$3="wind三级行业",[1]!s_info_industry_gics(W1095,3),IF($Y$3="wind四级行业",[1]!s_info_industry_gics(W1095,4),IF($Y$3="证监会门类行业",[1]!s_info_industry_csrc12_n(W1095,公司分析!D$5,1),""))))))))</f>
        <v>游戏Ⅱ</v>
      </c>
      <c r="Z1095" s="302" t="str">
        <f ca="1">IF(Y1095=行业比较!$E$6,ROW(),"")</f>
        <v/>
      </c>
      <c r="AA1095" s="122"/>
      <c r="AB1095" s="122"/>
      <c r="AC1095" s="122"/>
      <c r="AD1095" s="122"/>
      <c r="AE1095" s="122"/>
      <c r="AF1095" s="122"/>
      <c r="AG1095" s="122"/>
      <c r="AH1095" s="122"/>
      <c r="AI1095" s="122"/>
      <c r="AJ1095" s="122"/>
      <c r="AK1095" s="122"/>
      <c r="AL1095" s="122"/>
      <c r="AM1095" s="122"/>
      <c r="AN1095" s="122"/>
      <c r="AO1095" s="122"/>
      <c r="AP1095" s="122"/>
    </row>
    <row r="1096" spans="2:42">
      <c r="B1096" s="122"/>
      <c r="C1096" s="122"/>
      <c r="D1096" s="122"/>
      <c r="E1096" s="122"/>
      <c r="F1096" s="122"/>
      <c r="G1096" s="122"/>
      <c r="H1096" s="122"/>
      <c r="I1096" s="275"/>
      <c r="J1096" s="130"/>
      <c r="K1096" s="130"/>
      <c r="L1096" s="130"/>
      <c r="M1096" s="130"/>
      <c r="N1096" s="291"/>
      <c r="O1096" s="291"/>
      <c r="P1096" s="122"/>
      <c r="Q1096" s="122"/>
      <c r="R1096" s="122"/>
      <c r="S1096" s="122"/>
      <c r="T1096" s="122"/>
      <c r="U1096" s="301"/>
      <c r="V1096" s="260">
        <f t="shared" ca="1" si="25"/>
        <v>0</v>
      </c>
      <c r="W1096" s="348" t="str">
        <f>IF(板块成分!B1098="","",板块成分!B1098)</f>
        <v>002603.SZ</v>
      </c>
      <c r="X1096" s="276" t="str">
        <f>[1]!S_Info_Name(W1096)</f>
        <v>以岭药业</v>
      </c>
      <c r="Y1096" s="276" t="str">
        <f ca="1">IF($Y$3="申万一级行业",[1]!s_info_industry_sw_2021(W1096,公司分析!D$5,1),IF($Y$3="申万二级行业",[1]!s_info_industry_sw_2021(W1096,公司分析!D$5,2),IF($Y$3="申万三级行业",[1]!s_info_industry_sw_2021(W1096,公司分析!D$5,3),IF($Y$3="wind一级行业",[1]!s_info_industry_gics(W1096,1),IF($Y$3="wind二级行业",[1]!s_info_industry_gics(W1096,2),IF($Y$3="wind三级行业",[1]!s_info_industry_gics(W1096,3),IF($Y$3="wind四级行业",[1]!s_info_industry_gics(W1096,4),IF($Y$3="证监会门类行业",[1]!s_info_industry_csrc12_n(W1096,公司分析!D$5,1),""))))))))</f>
        <v>中药Ⅱ</v>
      </c>
      <c r="Z1096" s="302" t="str">
        <f ca="1">IF(Y1096=行业比较!$E$6,ROW(),"")</f>
        <v/>
      </c>
      <c r="AA1096" s="122"/>
      <c r="AB1096" s="122"/>
      <c r="AC1096" s="122"/>
      <c r="AD1096" s="122"/>
      <c r="AE1096" s="122"/>
      <c r="AF1096" s="122"/>
      <c r="AG1096" s="122"/>
      <c r="AH1096" s="122"/>
      <c r="AI1096" s="122"/>
      <c r="AJ1096" s="122"/>
      <c r="AK1096" s="122"/>
      <c r="AL1096" s="122"/>
      <c r="AM1096" s="122"/>
      <c r="AN1096" s="122"/>
      <c r="AO1096" s="122"/>
      <c r="AP1096" s="122"/>
    </row>
    <row r="1097" spans="2:42">
      <c r="B1097" s="122"/>
      <c r="C1097" s="122"/>
      <c r="D1097" s="122"/>
      <c r="E1097" s="122"/>
      <c r="F1097" s="122"/>
      <c r="G1097" s="122"/>
      <c r="H1097" s="122"/>
      <c r="I1097" s="275"/>
      <c r="J1097" s="130"/>
      <c r="K1097" s="130"/>
      <c r="L1097" s="130"/>
      <c r="M1097" s="130"/>
      <c r="N1097" s="291"/>
      <c r="O1097" s="291"/>
      <c r="P1097" s="122"/>
      <c r="Q1097" s="122"/>
      <c r="R1097" s="122"/>
      <c r="S1097" s="122"/>
      <c r="T1097" s="122"/>
      <c r="U1097" s="301"/>
      <c r="V1097" s="260">
        <f t="shared" ca="1" si="25"/>
        <v>0</v>
      </c>
      <c r="W1097" s="348" t="str">
        <f>IF(板块成分!B1099="","",板块成分!B1099)</f>
        <v>002605.SZ</v>
      </c>
      <c r="X1097" s="276" t="str">
        <f>[1]!S_Info_Name(W1097)</f>
        <v>姚记科技</v>
      </c>
      <c r="Y1097" s="276" t="str">
        <f ca="1">IF($Y$3="申万一级行业",[1]!s_info_industry_sw_2021(W1097,公司分析!D$5,1),IF($Y$3="申万二级行业",[1]!s_info_industry_sw_2021(W1097,公司分析!D$5,2),IF($Y$3="申万三级行业",[1]!s_info_industry_sw_2021(W1097,公司分析!D$5,3),IF($Y$3="wind一级行业",[1]!s_info_industry_gics(W1097,1),IF($Y$3="wind二级行业",[1]!s_info_industry_gics(W1097,2),IF($Y$3="wind三级行业",[1]!s_info_industry_gics(W1097,3),IF($Y$3="wind四级行业",[1]!s_info_industry_gics(W1097,4),IF($Y$3="证监会门类行业",[1]!s_info_industry_csrc12_n(W1097,公司分析!D$5,1),""))))))))</f>
        <v>游戏Ⅱ</v>
      </c>
      <c r="Z1097" s="302" t="str">
        <f ca="1">IF(Y1097=行业比较!$E$6,ROW(),"")</f>
        <v/>
      </c>
      <c r="AA1097" s="122"/>
      <c r="AB1097" s="122"/>
      <c r="AC1097" s="122"/>
      <c r="AD1097" s="122"/>
      <c r="AE1097" s="122"/>
      <c r="AF1097" s="122"/>
      <c r="AG1097" s="122"/>
      <c r="AH1097" s="122"/>
      <c r="AI1097" s="122"/>
      <c r="AJ1097" s="122"/>
      <c r="AK1097" s="122"/>
      <c r="AL1097" s="122"/>
      <c r="AM1097" s="122"/>
      <c r="AN1097" s="122"/>
      <c r="AO1097" s="122"/>
      <c r="AP1097" s="122"/>
    </row>
    <row r="1098" spans="2:42">
      <c r="B1098" s="122"/>
      <c r="C1098" s="122"/>
      <c r="D1098" s="122"/>
      <c r="E1098" s="122"/>
      <c r="F1098" s="122"/>
      <c r="G1098" s="122"/>
      <c r="H1098" s="122"/>
      <c r="I1098" s="275"/>
      <c r="J1098" s="130"/>
      <c r="K1098" s="130"/>
      <c r="L1098" s="130"/>
      <c r="M1098" s="130"/>
      <c r="N1098" s="291"/>
      <c r="O1098" s="291"/>
      <c r="P1098" s="122"/>
      <c r="Q1098" s="122"/>
      <c r="R1098" s="122"/>
      <c r="S1098" s="122"/>
      <c r="T1098" s="122"/>
      <c r="U1098" s="301"/>
      <c r="V1098" s="260">
        <f t="shared" ca="1" si="25"/>
        <v>0</v>
      </c>
      <c r="W1098" s="348" t="str">
        <f>IF(板块成分!B1100="","",板块成分!B1100)</f>
        <v>002606.SZ</v>
      </c>
      <c r="X1098" s="276" t="str">
        <f>[1]!S_Info_Name(W1098)</f>
        <v>大连电瓷</v>
      </c>
      <c r="Y1098" s="276" t="str">
        <f ca="1">IF($Y$3="申万一级行业",[1]!s_info_industry_sw_2021(W1098,公司分析!D$5,1),IF($Y$3="申万二级行业",[1]!s_info_industry_sw_2021(W1098,公司分析!D$5,2),IF($Y$3="申万三级行业",[1]!s_info_industry_sw_2021(W1098,公司分析!D$5,3),IF($Y$3="wind一级行业",[1]!s_info_industry_gics(W1098,1),IF($Y$3="wind二级行业",[1]!s_info_industry_gics(W1098,2),IF($Y$3="wind三级行业",[1]!s_info_industry_gics(W1098,3),IF($Y$3="wind四级行业",[1]!s_info_industry_gics(W1098,4),IF($Y$3="证监会门类行业",[1]!s_info_industry_csrc12_n(W1098,公司分析!D$5,1),""))))))))</f>
        <v>电网设备</v>
      </c>
      <c r="Z1098" s="302" t="str">
        <f ca="1">IF(Y1098=行业比较!$E$6,ROW(),"")</f>
        <v/>
      </c>
      <c r="AA1098" s="122"/>
      <c r="AB1098" s="122"/>
      <c r="AC1098" s="122"/>
      <c r="AD1098" s="122"/>
      <c r="AE1098" s="122"/>
      <c r="AF1098" s="122"/>
      <c r="AG1098" s="122"/>
      <c r="AH1098" s="122"/>
      <c r="AI1098" s="122"/>
      <c r="AJ1098" s="122"/>
      <c r="AK1098" s="122"/>
      <c r="AL1098" s="122"/>
      <c r="AM1098" s="122"/>
      <c r="AN1098" s="122"/>
      <c r="AO1098" s="122"/>
      <c r="AP1098" s="122"/>
    </row>
    <row r="1099" spans="2:42">
      <c r="B1099" s="122"/>
      <c r="C1099" s="122"/>
      <c r="D1099" s="122"/>
      <c r="E1099" s="122"/>
      <c r="F1099" s="122"/>
      <c r="G1099" s="122"/>
      <c r="H1099" s="122"/>
      <c r="I1099" s="275"/>
      <c r="J1099" s="130"/>
      <c r="K1099" s="130"/>
      <c r="L1099" s="130"/>
      <c r="M1099" s="130"/>
      <c r="N1099" s="291"/>
      <c r="O1099" s="291"/>
      <c r="P1099" s="122"/>
      <c r="Q1099" s="122"/>
      <c r="R1099" s="122"/>
      <c r="S1099" s="122"/>
      <c r="T1099" s="122"/>
      <c r="U1099" s="301"/>
      <c r="V1099" s="260">
        <f t="shared" ca="1" si="25"/>
        <v>0</v>
      </c>
      <c r="W1099" s="348" t="str">
        <f>IF(板块成分!B1101="","",板块成分!B1101)</f>
        <v>002607.SZ</v>
      </c>
      <c r="X1099" s="276" t="str">
        <f>[1]!S_Info_Name(W1099)</f>
        <v>中公教育</v>
      </c>
      <c r="Y1099" s="276" t="str">
        <f ca="1">IF($Y$3="申万一级行业",[1]!s_info_industry_sw_2021(W1099,公司分析!D$5,1),IF($Y$3="申万二级行业",[1]!s_info_industry_sw_2021(W1099,公司分析!D$5,2),IF($Y$3="申万三级行业",[1]!s_info_industry_sw_2021(W1099,公司分析!D$5,3),IF($Y$3="wind一级行业",[1]!s_info_industry_gics(W1099,1),IF($Y$3="wind二级行业",[1]!s_info_industry_gics(W1099,2),IF($Y$3="wind三级行业",[1]!s_info_industry_gics(W1099,3),IF($Y$3="wind四级行业",[1]!s_info_industry_gics(W1099,4),IF($Y$3="证监会门类行业",[1]!s_info_industry_csrc12_n(W1099,公司分析!D$5,1),""))))))))</f>
        <v>教育</v>
      </c>
      <c r="Z1099" s="302" t="str">
        <f ca="1">IF(Y1099=行业比较!$E$6,ROW(),"")</f>
        <v/>
      </c>
      <c r="AA1099" s="122"/>
      <c r="AB1099" s="122"/>
      <c r="AC1099" s="122"/>
      <c r="AD1099" s="122"/>
      <c r="AE1099" s="122"/>
      <c r="AF1099" s="122"/>
      <c r="AG1099" s="122"/>
      <c r="AH1099" s="122"/>
      <c r="AI1099" s="122"/>
      <c r="AJ1099" s="122"/>
      <c r="AK1099" s="122"/>
      <c r="AL1099" s="122"/>
      <c r="AM1099" s="122"/>
      <c r="AN1099" s="122"/>
      <c r="AO1099" s="122"/>
      <c r="AP1099" s="122"/>
    </row>
    <row r="1100" spans="2:42">
      <c r="B1100" s="122"/>
      <c r="C1100" s="122"/>
      <c r="D1100" s="122"/>
      <c r="E1100" s="122"/>
      <c r="F1100" s="122"/>
      <c r="G1100" s="122"/>
      <c r="H1100" s="122"/>
      <c r="I1100" s="275"/>
      <c r="J1100" s="130"/>
      <c r="K1100" s="130"/>
      <c r="L1100" s="130"/>
      <c r="M1100" s="130"/>
      <c r="N1100" s="291"/>
      <c r="O1100" s="291"/>
      <c r="P1100" s="122"/>
      <c r="Q1100" s="122"/>
      <c r="R1100" s="122"/>
      <c r="S1100" s="122"/>
      <c r="T1100" s="122"/>
      <c r="U1100" s="301"/>
      <c r="V1100" s="260">
        <f t="shared" ca="1" si="25"/>
        <v>0</v>
      </c>
      <c r="W1100" s="348" t="str">
        <f>IF(板块成分!B1102="","",板块成分!B1102)</f>
        <v>002608.SZ</v>
      </c>
      <c r="X1100" s="276" t="str">
        <f>[1]!S_Info_Name(W1100)</f>
        <v>江苏国信</v>
      </c>
      <c r="Y1100" s="276" t="str">
        <f ca="1">IF($Y$3="申万一级行业",[1]!s_info_industry_sw_2021(W1100,公司分析!D$5,1),IF($Y$3="申万二级行业",[1]!s_info_industry_sw_2021(W1100,公司分析!D$5,2),IF($Y$3="申万三级行业",[1]!s_info_industry_sw_2021(W1100,公司分析!D$5,3),IF($Y$3="wind一级行业",[1]!s_info_industry_gics(W1100,1),IF($Y$3="wind二级行业",[1]!s_info_industry_gics(W1100,2),IF($Y$3="wind三级行业",[1]!s_info_industry_gics(W1100,3),IF($Y$3="wind四级行业",[1]!s_info_industry_gics(W1100,4),IF($Y$3="证监会门类行业",[1]!s_info_industry_csrc12_n(W1100,公司分析!D$5,1),""))))))))</f>
        <v>电力</v>
      </c>
      <c r="Z1100" s="302" t="str">
        <f ca="1">IF(Y1100=行业比较!$E$6,ROW(),"")</f>
        <v/>
      </c>
      <c r="AA1100" s="122"/>
      <c r="AB1100" s="122"/>
      <c r="AC1100" s="122"/>
      <c r="AD1100" s="122"/>
      <c r="AE1100" s="122"/>
      <c r="AF1100" s="122"/>
      <c r="AG1100" s="122"/>
      <c r="AH1100" s="122"/>
      <c r="AI1100" s="122"/>
      <c r="AJ1100" s="122"/>
      <c r="AK1100" s="122"/>
      <c r="AL1100" s="122"/>
      <c r="AM1100" s="122"/>
      <c r="AN1100" s="122"/>
      <c r="AO1100" s="122"/>
      <c r="AP1100" s="122"/>
    </row>
    <row r="1101" spans="2:42">
      <c r="B1101" s="122"/>
      <c r="C1101" s="122"/>
      <c r="D1101" s="122"/>
      <c r="E1101" s="122"/>
      <c r="F1101" s="122"/>
      <c r="G1101" s="122"/>
      <c r="H1101" s="122"/>
      <c r="I1101" s="275"/>
      <c r="J1101" s="130"/>
      <c r="K1101" s="130"/>
      <c r="L1101" s="130"/>
      <c r="M1101" s="130"/>
      <c r="N1101" s="291"/>
      <c r="O1101" s="291"/>
      <c r="P1101" s="122"/>
      <c r="Q1101" s="122"/>
      <c r="R1101" s="122"/>
      <c r="S1101" s="122"/>
      <c r="T1101" s="122"/>
      <c r="U1101" s="301"/>
      <c r="V1101" s="260">
        <f t="shared" ca="1" si="25"/>
        <v>0</v>
      </c>
      <c r="W1101" s="348" t="str">
        <f>IF(板块成分!B1103="","",板块成分!B1103)</f>
        <v>002609.SZ</v>
      </c>
      <c r="X1101" s="276" t="str">
        <f>[1]!S_Info_Name(W1101)</f>
        <v>捷顺科技</v>
      </c>
      <c r="Y1101" s="276" t="str">
        <f ca="1">IF($Y$3="申万一级行业",[1]!s_info_industry_sw_2021(W1101,公司分析!D$5,1),IF($Y$3="申万二级行业",[1]!s_info_industry_sw_2021(W1101,公司分析!D$5,2),IF($Y$3="申万三级行业",[1]!s_info_industry_sw_2021(W1101,公司分析!D$5,3),IF($Y$3="wind一级行业",[1]!s_info_industry_gics(W1101,1),IF($Y$3="wind二级行业",[1]!s_info_industry_gics(W1101,2),IF($Y$3="wind三级行业",[1]!s_info_industry_gics(W1101,3),IF($Y$3="wind四级行业",[1]!s_info_industry_gics(W1101,4),IF($Y$3="证监会门类行业",[1]!s_info_industry_csrc12_n(W1101,公司分析!D$5,1),""))))))))</f>
        <v>IT服务Ⅱ</v>
      </c>
      <c r="Z1101" s="302" t="str">
        <f ca="1">IF(Y1101=行业比较!$E$6,ROW(),"")</f>
        <v/>
      </c>
      <c r="AA1101" s="122"/>
      <c r="AB1101" s="122"/>
      <c r="AC1101" s="122"/>
      <c r="AD1101" s="122"/>
      <c r="AE1101" s="122"/>
      <c r="AF1101" s="122"/>
      <c r="AG1101" s="122"/>
      <c r="AH1101" s="122"/>
      <c r="AI1101" s="122"/>
      <c r="AJ1101" s="122"/>
      <c r="AK1101" s="122"/>
      <c r="AL1101" s="122"/>
      <c r="AM1101" s="122"/>
      <c r="AN1101" s="122"/>
      <c r="AO1101" s="122"/>
      <c r="AP1101" s="122"/>
    </row>
    <row r="1102" spans="2:42">
      <c r="B1102" s="122"/>
      <c r="C1102" s="122"/>
      <c r="D1102" s="122"/>
      <c r="E1102" s="122"/>
      <c r="F1102" s="122"/>
      <c r="G1102" s="122"/>
      <c r="H1102" s="122"/>
      <c r="I1102" s="275"/>
      <c r="J1102" s="130"/>
      <c r="K1102" s="130"/>
      <c r="L1102" s="130"/>
      <c r="M1102" s="130"/>
      <c r="N1102" s="291"/>
      <c r="O1102" s="291"/>
      <c r="P1102" s="122"/>
      <c r="Q1102" s="122"/>
      <c r="R1102" s="122"/>
      <c r="S1102" s="122"/>
      <c r="T1102" s="122"/>
      <c r="U1102" s="301"/>
      <c r="V1102" s="260">
        <f t="shared" ca="1" si="25"/>
        <v>0</v>
      </c>
      <c r="W1102" s="348" t="str">
        <f>IF(板块成分!B1104="","",板块成分!B1104)</f>
        <v>002611.SZ</v>
      </c>
      <c r="X1102" s="276" t="str">
        <f>[1]!S_Info_Name(W1102)</f>
        <v>东方精工</v>
      </c>
      <c r="Y1102" s="276" t="str">
        <f ca="1">IF($Y$3="申万一级行业",[1]!s_info_industry_sw_2021(W1102,公司分析!D$5,1),IF($Y$3="申万二级行业",[1]!s_info_industry_sw_2021(W1102,公司分析!D$5,2),IF($Y$3="申万三级行业",[1]!s_info_industry_sw_2021(W1102,公司分析!D$5,3),IF($Y$3="wind一级行业",[1]!s_info_industry_gics(W1102,1),IF($Y$3="wind二级行业",[1]!s_info_industry_gics(W1102,2),IF($Y$3="wind三级行业",[1]!s_info_industry_gics(W1102,3),IF($Y$3="wind四级行业",[1]!s_info_industry_gics(W1102,4),IF($Y$3="证监会门类行业",[1]!s_info_industry_csrc12_n(W1102,公司分析!D$5,1),""))))))))</f>
        <v>专用设备</v>
      </c>
      <c r="Z1102" s="302" t="str">
        <f ca="1">IF(Y1102=行业比较!$E$6,ROW(),"")</f>
        <v/>
      </c>
      <c r="AA1102" s="122"/>
      <c r="AB1102" s="122"/>
      <c r="AC1102" s="122"/>
      <c r="AD1102" s="122"/>
      <c r="AE1102" s="122"/>
      <c r="AF1102" s="122"/>
      <c r="AG1102" s="122"/>
      <c r="AH1102" s="122"/>
      <c r="AI1102" s="122"/>
      <c r="AJ1102" s="122"/>
      <c r="AK1102" s="122"/>
      <c r="AL1102" s="122"/>
      <c r="AM1102" s="122"/>
      <c r="AN1102" s="122"/>
      <c r="AO1102" s="122"/>
      <c r="AP1102" s="122"/>
    </row>
    <row r="1103" spans="2:42">
      <c r="B1103" s="122"/>
      <c r="C1103" s="122"/>
      <c r="D1103" s="122"/>
      <c r="E1103" s="122"/>
      <c r="F1103" s="122"/>
      <c r="G1103" s="122"/>
      <c r="H1103" s="122"/>
      <c r="I1103" s="275"/>
      <c r="J1103" s="130"/>
      <c r="K1103" s="130"/>
      <c r="L1103" s="130"/>
      <c r="M1103" s="130"/>
      <c r="N1103" s="291"/>
      <c r="O1103" s="291"/>
      <c r="P1103" s="122"/>
      <c r="Q1103" s="122"/>
      <c r="R1103" s="122"/>
      <c r="S1103" s="122"/>
      <c r="T1103" s="122"/>
      <c r="U1103" s="301"/>
      <c r="V1103" s="260">
        <f t="shared" ca="1" si="25"/>
        <v>0</v>
      </c>
      <c r="W1103" s="348" t="str">
        <f>IF(板块成分!B1105="","",板块成分!B1105)</f>
        <v>002612.SZ</v>
      </c>
      <c r="X1103" s="276" t="str">
        <f>[1]!S_Info_Name(W1103)</f>
        <v>朗姿股份</v>
      </c>
      <c r="Y1103" s="276" t="str">
        <f ca="1">IF($Y$3="申万一级行业",[1]!s_info_industry_sw_2021(W1103,公司分析!D$5,1),IF($Y$3="申万二级行业",[1]!s_info_industry_sw_2021(W1103,公司分析!D$5,2),IF($Y$3="申万三级行业",[1]!s_info_industry_sw_2021(W1103,公司分析!D$5,3),IF($Y$3="wind一级行业",[1]!s_info_industry_gics(W1103,1),IF($Y$3="wind二级行业",[1]!s_info_industry_gics(W1103,2),IF($Y$3="wind三级行业",[1]!s_info_industry_gics(W1103,3),IF($Y$3="wind四级行业",[1]!s_info_industry_gics(W1103,4),IF($Y$3="证监会门类行业",[1]!s_info_industry_csrc12_n(W1103,公司分析!D$5,1),""))))))))</f>
        <v>服装家纺</v>
      </c>
      <c r="Z1103" s="302" t="str">
        <f ca="1">IF(Y1103=行业比较!$E$6,ROW(),"")</f>
        <v/>
      </c>
      <c r="AA1103" s="122"/>
      <c r="AB1103" s="122"/>
      <c r="AC1103" s="122"/>
      <c r="AD1103" s="122"/>
      <c r="AE1103" s="122"/>
      <c r="AF1103" s="122"/>
      <c r="AG1103" s="122"/>
      <c r="AH1103" s="122"/>
      <c r="AI1103" s="122"/>
      <c r="AJ1103" s="122"/>
      <c r="AK1103" s="122"/>
      <c r="AL1103" s="122"/>
      <c r="AM1103" s="122"/>
      <c r="AN1103" s="122"/>
      <c r="AO1103" s="122"/>
      <c r="AP1103" s="122"/>
    </row>
    <row r="1104" spans="2:42">
      <c r="B1104" s="122"/>
      <c r="C1104" s="122"/>
      <c r="D1104" s="122"/>
      <c r="E1104" s="122"/>
      <c r="F1104" s="122"/>
      <c r="G1104" s="122"/>
      <c r="H1104" s="122"/>
      <c r="I1104" s="275"/>
      <c r="J1104" s="130"/>
      <c r="K1104" s="130"/>
      <c r="L1104" s="130"/>
      <c r="M1104" s="130"/>
      <c r="N1104" s="291"/>
      <c r="O1104" s="291"/>
      <c r="P1104" s="122"/>
      <c r="Q1104" s="122"/>
      <c r="R1104" s="122"/>
      <c r="S1104" s="122"/>
      <c r="T1104" s="122"/>
      <c r="U1104" s="301"/>
      <c r="V1104" s="260">
        <f t="shared" ca="1" si="25"/>
        <v>0</v>
      </c>
      <c r="W1104" s="348" t="str">
        <f>IF(板块成分!B1106="","",板块成分!B1106)</f>
        <v>002613.SZ</v>
      </c>
      <c r="X1104" s="276" t="str">
        <f>[1]!S_Info_Name(W1104)</f>
        <v>北玻股份</v>
      </c>
      <c r="Y1104" s="276" t="str">
        <f ca="1">IF($Y$3="申万一级行业",[1]!s_info_industry_sw_2021(W1104,公司分析!D$5,1),IF($Y$3="申万二级行业",[1]!s_info_industry_sw_2021(W1104,公司分析!D$5,2),IF($Y$3="申万三级行业",[1]!s_info_industry_sw_2021(W1104,公司分析!D$5,3),IF($Y$3="wind一级行业",[1]!s_info_industry_gics(W1104,1),IF($Y$3="wind二级行业",[1]!s_info_industry_gics(W1104,2),IF($Y$3="wind三级行业",[1]!s_info_industry_gics(W1104,3),IF($Y$3="wind四级行业",[1]!s_info_industry_gics(W1104,4),IF($Y$3="证监会门类行业",[1]!s_info_industry_csrc12_n(W1104,公司分析!D$5,1),""))))))))</f>
        <v>玻璃玻纤</v>
      </c>
      <c r="Z1104" s="302" t="str">
        <f ca="1">IF(Y1104=行业比较!$E$6,ROW(),"")</f>
        <v/>
      </c>
      <c r="AA1104" s="122"/>
      <c r="AB1104" s="122"/>
      <c r="AC1104" s="122"/>
      <c r="AD1104" s="122"/>
      <c r="AE1104" s="122"/>
      <c r="AF1104" s="122"/>
      <c r="AG1104" s="122"/>
      <c r="AH1104" s="122"/>
      <c r="AI1104" s="122"/>
      <c r="AJ1104" s="122"/>
      <c r="AK1104" s="122"/>
      <c r="AL1104" s="122"/>
      <c r="AM1104" s="122"/>
      <c r="AN1104" s="122"/>
      <c r="AO1104" s="122"/>
      <c r="AP1104" s="122"/>
    </row>
    <row r="1105" spans="2:42">
      <c r="B1105" s="122"/>
      <c r="C1105" s="122"/>
      <c r="D1105" s="122"/>
      <c r="E1105" s="122"/>
      <c r="F1105" s="122"/>
      <c r="G1105" s="122"/>
      <c r="H1105" s="122"/>
      <c r="I1105" s="275"/>
      <c r="J1105" s="130"/>
      <c r="K1105" s="130"/>
      <c r="L1105" s="130"/>
      <c r="M1105" s="130"/>
      <c r="N1105" s="291"/>
      <c r="O1105" s="291"/>
      <c r="P1105" s="122"/>
      <c r="Q1105" s="122"/>
      <c r="R1105" s="122"/>
      <c r="S1105" s="122"/>
      <c r="T1105" s="122"/>
      <c r="U1105" s="301"/>
      <c r="V1105" s="260">
        <f t="shared" ca="1" si="25"/>
        <v>0</v>
      </c>
      <c r="W1105" s="348" t="str">
        <f>IF(板块成分!B1107="","",板块成分!B1107)</f>
        <v>002614.SZ</v>
      </c>
      <c r="X1105" s="276" t="str">
        <f>[1]!S_Info_Name(W1105)</f>
        <v>奥佳华</v>
      </c>
      <c r="Y1105" s="276" t="str">
        <f ca="1">IF($Y$3="申万一级行业",[1]!s_info_industry_sw_2021(W1105,公司分析!D$5,1),IF($Y$3="申万二级行业",[1]!s_info_industry_sw_2021(W1105,公司分析!D$5,2),IF($Y$3="申万三级行业",[1]!s_info_industry_sw_2021(W1105,公司分析!D$5,3),IF($Y$3="wind一级行业",[1]!s_info_industry_gics(W1105,1),IF($Y$3="wind二级行业",[1]!s_info_industry_gics(W1105,2),IF($Y$3="wind三级行业",[1]!s_info_industry_gics(W1105,3),IF($Y$3="wind四级行业",[1]!s_info_industry_gics(W1105,4),IF($Y$3="证监会门类行业",[1]!s_info_industry_csrc12_n(W1105,公司分析!D$5,1),""))))))))</f>
        <v>其他家电Ⅱ</v>
      </c>
      <c r="Z1105" s="302" t="str">
        <f ca="1">IF(Y1105=行业比较!$E$6,ROW(),"")</f>
        <v/>
      </c>
      <c r="AA1105" s="122"/>
      <c r="AB1105" s="122"/>
      <c r="AC1105" s="122"/>
      <c r="AD1105" s="122"/>
      <c r="AE1105" s="122"/>
      <c r="AF1105" s="122"/>
      <c r="AG1105" s="122"/>
      <c r="AH1105" s="122"/>
      <c r="AI1105" s="122"/>
      <c r="AJ1105" s="122"/>
      <c r="AK1105" s="122"/>
      <c r="AL1105" s="122"/>
      <c r="AM1105" s="122"/>
      <c r="AN1105" s="122"/>
      <c r="AO1105" s="122"/>
      <c r="AP1105" s="122"/>
    </row>
    <row r="1106" spans="2:42">
      <c r="B1106" s="122"/>
      <c r="C1106" s="122"/>
      <c r="D1106" s="122"/>
      <c r="E1106" s="122"/>
      <c r="F1106" s="122"/>
      <c r="G1106" s="122"/>
      <c r="H1106" s="122"/>
      <c r="I1106" s="275"/>
      <c r="J1106" s="130"/>
      <c r="K1106" s="130"/>
      <c r="L1106" s="130"/>
      <c r="M1106" s="130"/>
      <c r="N1106" s="291"/>
      <c r="O1106" s="291"/>
      <c r="P1106" s="122"/>
      <c r="Q1106" s="122"/>
      <c r="R1106" s="122"/>
      <c r="S1106" s="122"/>
      <c r="T1106" s="122"/>
      <c r="U1106" s="301"/>
      <c r="V1106" s="260">
        <f t="shared" ca="1" si="25"/>
        <v>0</v>
      </c>
      <c r="W1106" s="348" t="str">
        <f>IF(板块成分!B1108="","",板块成分!B1108)</f>
        <v>002615.SZ</v>
      </c>
      <c r="X1106" s="276" t="str">
        <f>[1]!S_Info_Name(W1106)</f>
        <v>哈尔斯</v>
      </c>
      <c r="Y1106" s="276" t="str">
        <f ca="1">IF($Y$3="申万一级行业",[1]!s_info_industry_sw_2021(W1106,公司分析!D$5,1),IF($Y$3="申万二级行业",[1]!s_info_industry_sw_2021(W1106,公司分析!D$5,2),IF($Y$3="申万三级行业",[1]!s_info_industry_sw_2021(W1106,公司分析!D$5,3),IF($Y$3="wind一级行业",[1]!s_info_industry_gics(W1106,1),IF($Y$3="wind二级行业",[1]!s_info_industry_gics(W1106,2),IF($Y$3="wind三级行业",[1]!s_info_industry_gics(W1106,3),IF($Y$3="wind四级行业",[1]!s_info_industry_gics(W1106,4),IF($Y$3="证监会门类行业",[1]!s_info_industry_csrc12_n(W1106,公司分析!D$5,1),""))))))))</f>
        <v>家居用品</v>
      </c>
      <c r="Z1106" s="302" t="str">
        <f ca="1">IF(Y1106=行业比较!$E$6,ROW(),"")</f>
        <v/>
      </c>
      <c r="AA1106" s="122"/>
      <c r="AB1106" s="122"/>
      <c r="AC1106" s="122"/>
      <c r="AD1106" s="122"/>
      <c r="AE1106" s="122"/>
      <c r="AF1106" s="122"/>
      <c r="AG1106" s="122"/>
      <c r="AH1106" s="122"/>
      <c r="AI1106" s="122"/>
      <c r="AJ1106" s="122"/>
      <c r="AK1106" s="122"/>
      <c r="AL1106" s="122"/>
      <c r="AM1106" s="122"/>
      <c r="AN1106" s="122"/>
      <c r="AO1106" s="122"/>
      <c r="AP1106" s="122"/>
    </row>
    <row r="1107" spans="2:42">
      <c r="B1107" s="122"/>
      <c r="C1107" s="122"/>
      <c r="D1107" s="122"/>
      <c r="E1107" s="122"/>
      <c r="F1107" s="122"/>
      <c r="G1107" s="122"/>
      <c r="H1107" s="122"/>
      <c r="I1107" s="275"/>
      <c r="J1107" s="130"/>
      <c r="K1107" s="130"/>
      <c r="L1107" s="130"/>
      <c r="M1107" s="130"/>
      <c r="N1107" s="291"/>
      <c r="O1107" s="291"/>
      <c r="P1107" s="122"/>
      <c r="Q1107" s="122"/>
      <c r="R1107" s="122"/>
      <c r="S1107" s="122"/>
      <c r="T1107" s="122"/>
      <c r="U1107" s="301"/>
      <c r="V1107" s="260">
        <f t="shared" ca="1" si="25"/>
        <v>0</v>
      </c>
      <c r="W1107" s="348" t="str">
        <f>IF(板块成分!B1109="","",板块成分!B1109)</f>
        <v>002616.SZ</v>
      </c>
      <c r="X1107" s="276" t="str">
        <f>[1]!S_Info_Name(W1107)</f>
        <v>长青集团</v>
      </c>
      <c r="Y1107" s="276" t="str">
        <f ca="1">IF($Y$3="申万一级行业",[1]!s_info_industry_sw_2021(W1107,公司分析!D$5,1),IF($Y$3="申万二级行业",[1]!s_info_industry_sw_2021(W1107,公司分析!D$5,2),IF($Y$3="申万三级行业",[1]!s_info_industry_sw_2021(W1107,公司分析!D$5,3),IF($Y$3="wind一级行业",[1]!s_info_industry_gics(W1107,1),IF($Y$3="wind二级行业",[1]!s_info_industry_gics(W1107,2),IF($Y$3="wind三级行业",[1]!s_info_industry_gics(W1107,3),IF($Y$3="wind四级行业",[1]!s_info_industry_gics(W1107,4),IF($Y$3="证监会门类行业",[1]!s_info_industry_csrc12_n(W1107,公司分析!D$5,1),""))))))))</f>
        <v>电力</v>
      </c>
      <c r="Z1107" s="302" t="str">
        <f ca="1">IF(Y1107=行业比较!$E$6,ROW(),"")</f>
        <v/>
      </c>
      <c r="AA1107" s="122"/>
      <c r="AB1107" s="122"/>
      <c r="AC1107" s="122"/>
      <c r="AD1107" s="122"/>
      <c r="AE1107" s="122"/>
      <c r="AF1107" s="122"/>
      <c r="AG1107" s="122"/>
      <c r="AH1107" s="122"/>
      <c r="AI1107" s="122"/>
      <c r="AJ1107" s="122"/>
      <c r="AK1107" s="122"/>
      <c r="AL1107" s="122"/>
      <c r="AM1107" s="122"/>
      <c r="AN1107" s="122"/>
      <c r="AO1107" s="122"/>
      <c r="AP1107" s="122"/>
    </row>
    <row r="1108" spans="2:42">
      <c r="B1108" s="122"/>
      <c r="C1108" s="122"/>
      <c r="D1108" s="122"/>
      <c r="E1108" s="122"/>
      <c r="F1108" s="122"/>
      <c r="G1108" s="122"/>
      <c r="H1108" s="122"/>
      <c r="I1108" s="275"/>
      <c r="J1108" s="130"/>
      <c r="K1108" s="130"/>
      <c r="L1108" s="130"/>
      <c r="M1108" s="130"/>
      <c r="N1108" s="291"/>
      <c r="O1108" s="291"/>
      <c r="P1108" s="122"/>
      <c r="Q1108" s="122"/>
      <c r="R1108" s="122"/>
      <c r="S1108" s="122"/>
      <c r="T1108" s="122"/>
      <c r="U1108" s="301"/>
      <c r="V1108" s="260">
        <f t="shared" ca="1" si="25"/>
        <v>0</v>
      </c>
      <c r="W1108" s="348" t="str">
        <f>IF(板块成分!B1110="","",板块成分!B1110)</f>
        <v>002617.SZ</v>
      </c>
      <c r="X1108" s="276" t="str">
        <f>[1]!S_Info_Name(W1108)</f>
        <v>露笑科技</v>
      </c>
      <c r="Y1108" s="276" t="str">
        <f ca="1">IF($Y$3="申万一级行业",[1]!s_info_industry_sw_2021(W1108,公司分析!D$5,1),IF($Y$3="申万二级行业",[1]!s_info_industry_sw_2021(W1108,公司分析!D$5,2),IF($Y$3="申万三级行业",[1]!s_info_industry_sw_2021(W1108,公司分析!D$5,3),IF($Y$3="wind一级行业",[1]!s_info_industry_gics(W1108,1),IF($Y$3="wind二级行业",[1]!s_info_industry_gics(W1108,2),IF($Y$3="wind三级行业",[1]!s_info_industry_gics(W1108,3),IF($Y$3="wind四级行业",[1]!s_info_industry_gics(W1108,4),IF($Y$3="证监会门类行业",[1]!s_info_industry_csrc12_n(W1108,公司分析!D$5,1),""))))))))</f>
        <v>电力</v>
      </c>
      <c r="Z1108" s="302" t="str">
        <f ca="1">IF(Y1108=行业比较!$E$6,ROW(),"")</f>
        <v/>
      </c>
      <c r="AA1108" s="122"/>
      <c r="AB1108" s="122"/>
      <c r="AC1108" s="122"/>
      <c r="AD1108" s="122"/>
      <c r="AE1108" s="122"/>
      <c r="AF1108" s="122"/>
      <c r="AG1108" s="122"/>
      <c r="AH1108" s="122"/>
      <c r="AI1108" s="122"/>
      <c r="AJ1108" s="122"/>
      <c r="AK1108" s="122"/>
      <c r="AL1108" s="122"/>
      <c r="AM1108" s="122"/>
      <c r="AN1108" s="122"/>
      <c r="AO1108" s="122"/>
      <c r="AP1108" s="122"/>
    </row>
    <row r="1109" spans="2:42">
      <c r="B1109" s="122"/>
      <c r="C1109" s="122"/>
      <c r="D1109" s="122"/>
      <c r="E1109" s="122"/>
      <c r="F1109" s="122"/>
      <c r="G1109" s="122"/>
      <c r="H1109" s="122"/>
      <c r="I1109" s="275"/>
      <c r="J1109" s="130"/>
      <c r="K1109" s="130"/>
      <c r="L1109" s="130"/>
      <c r="M1109" s="130"/>
      <c r="N1109" s="291"/>
      <c r="O1109" s="291"/>
      <c r="P1109" s="122"/>
      <c r="Q1109" s="122"/>
      <c r="R1109" s="122"/>
      <c r="S1109" s="122"/>
      <c r="T1109" s="122"/>
      <c r="U1109" s="301"/>
      <c r="V1109" s="260">
        <f t="shared" ca="1" si="25"/>
        <v>0</v>
      </c>
      <c r="W1109" s="348" t="str">
        <f>IF(板块成分!B1111="","",板块成分!B1111)</f>
        <v>002620.SZ</v>
      </c>
      <c r="X1109" s="276" t="str">
        <f>[1]!S_Info_Name(W1109)</f>
        <v>ST瑞和</v>
      </c>
      <c r="Y1109" s="276" t="str">
        <f ca="1">IF($Y$3="申万一级行业",[1]!s_info_industry_sw_2021(W1109,公司分析!D$5,1),IF($Y$3="申万二级行业",[1]!s_info_industry_sw_2021(W1109,公司分析!D$5,2),IF($Y$3="申万三级行业",[1]!s_info_industry_sw_2021(W1109,公司分析!D$5,3),IF($Y$3="wind一级行业",[1]!s_info_industry_gics(W1109,1),IF($Y$3="wind二级行业",[1]!s_info_industry_gics(W1109,2),IF($Y$3="wind三级行业",[1]!s_info_industry_gics(W1109,3),IF($Y$3="wind四级行业",[1]!s_info_industry_gics(W1109,4),IF($Y$3="证监会门类行业",[1]!s_info_industry_csrc12_n(W1109,公司分析!D$5,1),""))))))))</f>
        <v>装修装饰Ⅱ</v>
      </c>
      <c r="Z1109" s="302" t="str">
        <f ca="1">IF(Y1109=行业比较!$E$6,ROW(),"")</f>
        <v/>
      </c>
      <c r="AA1109" s="122"/>
      <c r="AB1109" s="122"/>
      <c r="AC1109" s="122"/>
      <c r="AD1109" s="122"/>
      <c r="AE1109" s="122"/>
      <c r="AF1109" s="122"/>
      <c r="AG1109" s="122"/>
      <c r="AH1109" s="122"/>
      <c r="AI1109" s="122"/>
      <c r="AJ1109" s="122"/>
      <c r="AK1109" s="122"/>
      <c r="AL1109" s="122"/>
      <c r="AM1109" s="122"/>
      <c r="AN1109" s="122"/>
      <c r="AO1109" s="122"/>
      <c r="AP1109" s="122"/>
    </row>
    <row r="1110" spans="2:42">
      <c r="B1110" s="122"/>
      <c r="C1110" s="122"/>
      <c r="D1110" s="122"/>
      <c r="E1110" s="122"/>
      <c r="F1110" s="122"/>
      <c r="G1110" s="122"/>
      <c r="H1110" s="122"/>
      <c r="I1110" s="275"/>
      <c r="J1110" s="130"/>
      <c r="K1110" s="130"/>
      <c r="L1110" s="130"/>
      <c r="M1110" s="130"/>
      <c r="N1110" s="291"/>
      <c r="O1110" s="291"/>
      <c r="P1110" s="122"/>
      <c r="Q1110" s="122"/>
      <c r="R1110" s="122"/>
      <c r="S1110" s="122"/>
      <c r="T1110" s="122"/>
      <c r="U1110" s="301"/>
      <c r="V1110" s="260">
        <f t="shared" ca="1" si="25"/>
        <v>0</v>
      </c>
      <c r="W1110" s="348" t="str">
        <f>IF(板块成分!B1112="","",板块成分!B1112)</f>
        <v>002622.SZ</v>
      </c>
      <c r="X1110" s="276" t="str">
        <f>[1]!S_Info_Name(W1110)</f>
        <v>皓宸医疗</v>
      </c>
      <c r="Y1110" s="276" t="str">
        <f ca="1">IF($Y$3="申万一级行业",[1]!s_info_industry_sw_2021(W1110,公司分析!D$5,1),IF($Y$3="申万二级行业",[1]!s_info_industry_sw_2021(W1110,公司分析!D$5,2),IF($Y$3="申万三级行业",[1]!s_info_industry_sw_2021(W1110,公司分析!D$5,3),IF($Y$3="wind一级行业",[1]!s_info_industry_gics(W1110,1),IF($Y$3="wind二级行业",[1]!s_info_industry_gics(W1110,2),IF($Y$3="wind三级行业",[1]!s_info_industry_gics(W1110,3),IF($Y$3="wind四级行业",[1]!s_info_industry_gics(W1110,4),IF($Y$3="证监会门类行业",[1]!s_info_industry_csrc12_n(W1110,公司分析!D$5,1),""))))))))</f>
        <v>医疗服务</v>
      </c>
      <c r="Z1110" s="302" t="str">
        <f ca="1">IF(Y1110=行业比较!$E$6,ROW(),"")</f>
        <v/>
      </c>
      <c r="AA1110" s="122"/>
      <c r="AB1110" s="122"/>
      <c r="AC1110" s="122"/>
      <c r="AD1110" s="122"/>
      <c r="AE1110" s="122"/>
      <c r="AF1110" s="122"/>
      <c r="AG1110" s="122"/>
      <c r="AH1110" s="122"/>
      <c r="AI1110" s="122"/>
      <c r="AJ1110" s="122"/>
      <c r="AK1110" s="122"/>
      <c r="AL1110" s="122"/>
      <c r="AM1110" s="122"/>
      <c r="AN1110" s="122"/>
      <c r="AO1110" s="122"/>
      <c r="AP1110" s="122"/>
    </row>
    <row r="1111" spans="2:42">
      <c r="B1111" s="122"/>
      <c r="C1111" s="122"/>
      <c r="D1111" s="122"/>
      <c r="E1111" s="122"/>
      <c r="F1111" s="122"/>
      <c r="G1111" s="122"/>
      <c r="H1111" s="122"/>
      <c r="I1111" s="275"/>
      <c r="J1111" s="130"/>
      <c r="K1111" s="130"/>
      <c r="L1111" s="130"/>
      <c r="M1111" s="130"/>
      <c r="N1111" s="291"/>
      <c r="O1111" s="291"/>
      <c r="P1111" s="122"/>
      <c r="Q1111" s="122"/>
      <c r="R1111" s="122"/>
      <c r="S1111" s="122"/>
      <c r="T1111" s="122"/>
      <c r="U1111" s="301"/>
      <c r="V1111" s="260">
        <f t="shared" ca="1" si="25"/>
        <v>0</v>
      </c>
      <c r="W1111" s="348" t="str">
        <f>IF(板块成分!B1113="","",板块成分!B1113)</f>
        <v>002623.SZ</v>
      </c>
      <c r="X1111" s="276" t="str">
        <f>[1]!S_Info_Name(W1111)</f>
        <v>亚玛顿</v>
      </c>
      <c r="Y1111" s="276" t="str">
        <f ca="1">IF($Y$3="申万一级行业",[1]!s_info_industry_sw_2021(W1111,公司分析!D$5,1),IF($Y$3="申万二级行业",[1]!s_info_industry_sw_2021(W1111,公司分析!D$5,2),IF($Y$3="申万三级行业",[1]!s_info_industry_sw_2021(W1111,公司分析!D$5,3),IF($Y$3="wind一级行业",[1]!s_info_industry_gics(W1111,1),IF($Y$3="wind二级行业",[1]!s_info_industry_gics(W1111,2),IF($Y$3="wind三级行业",[1]!s_info_industry_gics(W1111,3),IF($Y$3="wind四级行业",[1]!s_info_industry_gics(W1111,4),IF($Y$3="证监会门类行业",[1]!s_info_industry_csrc12_n(W1111,公司分析!D$5,1),""))))))))</f>
        <v>光伏设备</v>
      </c>
      <c r="Z1111" s="302" t="str">
        <f ca="1">IF(Y1111=行业比较!$E$6,ROW(),"")</f>
        <v/>
      </c>
      <c r="AA1111" s="122"/>
      <c r="AB1111" s="122"/>
      <c r="AC1111" s="122"/>
      <c r="AD1111" s="122"/>
      <c r="AE1111" s="122"/>
      <c r="AF1111" s="122"/>
      <c r="AG1111" s="122"/>
      <c r="AH1111" s="122"/>
      <c r="AI1111" s="122"/>
      <c r="AJ1111" s="122"/>
      <c r="AK1111" s="122"/>
      <c r="AL1111" s="122"/>
      <c r="AM1111" s="122"/>
      <c r="AN1111" s="122"/>
      <c r="AO1111" s="122"/>
      <c r="AP1111" s="122"/>
    </row>
    <row r="1112" spans="2:42">
      <c r="B1112" s="122"/>
      <c r="C1112" s="122"/>
      <c r="D1112" s="122"/>
      <c r="E1112" s="122"/>
      <c r="F1112" s="122"/>
      <c r="G1112" s="122"/>
      <c r="H1112" s="122"/>
      <c r="I1112" s="275"/>
      <c r="J1112" s="130"/>
      <c r="K1112" s="130"/>
      <c r="L1112" s="130"/>
      <c r="M1112" s="130"/>
      <c r="N1112" s="291"/>
      <c r="O1112" s="291"/>
      <c r="P1112" s="122"/>
      <c r="Q1112" s="122"/>
      <c r="R1112" s="122"/>
      <c r="S1112" s="122"/>
      <c r="T1112" s="122"/>
      <c r="U1112" s="301"/>
      <c r="V1112" s="260">
        <f t="shared" ca="1" si="25"/>
        <v>0</v>
      </c>
      <c r="W1112" s="348" t="str">
        <f>IF(板块成分!B1114="","",板块成分!B1114)</f>
        <v>002624.SZ</v>
      </c>
      <c r="X1112" s="276" t="str">
        <f>[1]!S_Info_Name(W1112)</f>
        <v>完美世界</v>
      </c>
      <c r="Y1112" s="276" t="str">
        <f ca="1">IF($Y$3="申万一级行业",[1]!s_info_industry_sw_2021(W1112,公司分析!D$5,1),IF($Y$3="申万二级行业",[1]!s_info_industry_sw_2021(W1112,公司分析!D$5,2),IF($Y$3="申万三级行业",[1]!s_info_industry_sw_2021(W1112,公司分析!D$5,3),IF($Y$3="wind一级行业",[1]!s_info_industry_gics(W1112,1),IF($Y$3="wind二级行业",[1]!s_info_industry_gics(W1112,2),IF($Y$3="wind三级行业",[1]!s_info_industry_gics(W1112,3),IF($Y$3="wind四级行业",[1]!s_info_industry_gics(W1112,4),IF($Y$3="证监会门类行业",[1]!s_info_industry_csrc12_n(W1112,公司分析!D$5,1),""))))))))</f>
        <v>游戏Ⅱ</v>
      </c>
      <c r="Z1112" s="302" t="str">
        <f ca="1">IF(Y1112=行业比较!$E$6,ROW(),"")</f>
        <v/>
      </c>
      <c r="AA1112" s="122"/>
      <c r="AB1112" s="122"/>
      <c r="AC1112" s="122"/>
      <c r="AD1112" s="122"/>
      <c r="AE1112" s="122"/>
      <c r="AF1112" s="122"/>
      <c r="AG1112" s="122"/>
      <c r="AH1112" s="122"/>
      <c r="AI1112" s="122"/>
      <c r="AJ1112" s="122"/>
      <c r="AK1112" s="122"/>
      <c r="AL1112" s="122"/>
      <c r="AM1112" s="122"/>
      <c r="AN1112" s="122"/>
      <c r="AO1112" s="122"/>
      <c r="AP1112" s="122"/>
    </row>
    <row r="1113" spans="2:42">
      <c r="B1113" s="122"/>
      <c r="C1113" s="122"/>
      <c r="D1113" s="122"/>
      <c r="E1113" s="122"/>
      <c r="F1113" s="122"/>
      <c r="G1113" s="122"/>
      <c r="H1113" s="122"/>
      <c r="I1113" s="275"/>
      <c r="J1113" s="130"/>
      <c r="K1113" s="130"/>
      <c r="L1113" s="130"/>
      <c r="M1113" s="130"/>
      <c r="N1113" s="291"/>
      <c r="O1113" s="291"/>
      <c r="P1113" s="122"/>
      <c r="Q1113" s="122"/>
      <c r="R1113" s="122"/>
      <c r="S1113" s="122"/>
      <c r="T1113" s="122"/>
      <c r="U1113" s="301"/>
      <c r="V1113" s="260">
        <f t="shared" ca="1" si="25"/>
        <v>0</v>
      </c>
      <c r="W1113" s="348" t="str">
        <f>IF(板块成分!B1115="","",板块成分!B1115)</f>
        <v>002625.SZ</v>
      </c>
      <c r="X1113" s="276" t="str">
        <f>[1]!S_Info_Name(W1113)</f>
        <v>光启技术</v>
      </c>
      <c r="Y1113" s="276" t="str">
        <f ca="1">IF($Y$3="申万一级行业",[1]!s_info_industry_sw_2021(W1113,公司分析!D$5,1),IF($Y$3="申万二级行业",[1]!s_info_industry_sw_2021(W1113,公司分析!D$5,2),IF($Y$3="申万三级行业",[1]!s_info_industry_sw_2021(W1113,公司分析!D$5,3),IF($Y$3="wind一级行业",[1]!s_info_industry_gics(W1113,1),IF($Y$3="wind二级行业",[1]!s_info_industry_gics(W1113,2),IF($Y$3="wind三级行业",[1]!s_info_industry_gics(W1113,3),IF($Y$3="wind四级行业",[1]!s_info_industry_gics(W1113,4),IF($Y$3="证监会门类行业",[1]!s_info_industry_csrc12_n(W1113,公司分析!D$5,1),""))))))))</f>
        <v>航空装备Ⅱ</v>
      </c>
      <c r="Z1113" s="302" t="str">
        <f ca="1">IF(Y1113=行业比较!$E$6,ROW(),"")</f>
        <v/>
      </c>
      <c r="AA1113" s="122"/>
      <c r="AB1113" s="122"/>
      <c r="AC1113" s="122"/>
      <c r="AD1113" s="122"/>
      <c r="AE1113" s="122"/>
      <c r="AF1113" s="122"/>
      <c r="AG1113" s="122"/>
      <c r="AH1113" s="122"/>
      <c r="AI1113" s="122"/>
      <c r="AJ1113" s="122"/>
      <c r="AK1113" s="122"/>
      <c r="AL1113" s="122"/>
      <c r="AM1113" s="122"/>
      <c r="AN1113" s="122"/>
      <c r="AO1113" s="122"/>
      <c r="AP1113" s="122"/>
    </row>
    <row r="1114" spans="2:42">
      <c r="B1114" s="122"/>
      <c r="C1114" s="122"/>
      <c r="D1114" s="122"/>
      <c r="E1114" s="122"/>
      <c r="F1114" s="122"/>
      <c r="G1114" s="122"/>
      <c r="H1114" s="122"/>
      <c r="I1114" s="275"/>
      <c r="J1114" s="130"/>
      <c r="K1114" s="130"/>
      <c r="L1114" s="130"/>
      <c r="M1114" s="130"/>
      <c r="N1114" s="291"/>
      <c r="O1114" s="291"/>
      <c r="P1114" s="122"/>
      <c r="Q1114" s="122"/>
      <c r="R1114" s="122"/>
      <c r="S1114" s="122"/>
      <c r="T1114" s="122"/>
      <c r="U1114" s="301"/>
      <c r="V1114" s="260">
        <f t="shared" ca="1" si="25"/>
        <v>0</v>
      </c>
      <c r="W1114" s="348" t="str">
        <f>IF(板块成分!B1116="","",板块成分!B1116)</f>
        <v>002626.SZ</v>
      </c>
      <c r="X1114" s="276" t="str">
        <f>[1]!S_Info_Name(W1114)</f>
        <v>金达威</v>
      </c>
      <c r="Y1114" s="276" t="str">
        <f ca="1">IF($Y$3="申万一级行业",[1]!s_info_industry_sw_2021(W1114,公司分析!D$5,1),IF($Y$3="申万二级行业",[1]!s_info_industry_sw_2021(W1114,公司分析!D$5,2),IF($Y$3="申万三级行业",[1]!s_info_industry_sw_2021(W1114,公司分析!D$5,3),IF($Y$3="wind一级行业",[1]!s_info_industry_gics(W1114,1),IF($Y$3="wind二级行业",[1]!s_info_industry_gics(W1114,2),IF($Y$3="wind三级行业",[1]!s_info_industry_gics(W1114,3),IF($Y$3="wind四级行业",[1]!s_info_industry_gics(W1114,4),IF($Y$3="证监会门类行业",[1]!s_info_industry_csrc12_n(W1114,公司分析!D$5,1),""))))))))</f>
        <v>食品加工</v>
      </c>
      <c r="Z1114" s="302" t="str">
        <f ca="1">IF(Y1114=行业比较!$E$6,ROW(),"")</f>
        <v/>
      </c>
      <c r="AA1114" s="122"/>
      <c r="AB1114" s="122"/>
      <c r="AC1114" s="122"/>
      <c r="AD1114" s="122"/>
      <c r="AE1114" s="122"/>
      <c r="AF1114" s="122"/>
      <c r="AG1114" s="122"/>
      <c r="AH1114" s="122"/>
      <c r="AI1114" s="122"/>
      <c r="AJ1114" s="122"/>
      <c r="AK1114" s="122"/>
      <c r="AL1114" s="122"/>
      <c r="AM1114" s="122"/>
      <c r="AN1114" s="122"/>
      <c r="AO1114" s="122"/>
      <c r="AP1114" s="122"/>
    </row>
    <row r="1115" spans="2:42">
      <c r="B1115" s="122"/>
      <c r="C1115" s="122"/>
      <c r="D1115" s="122"/>
      <c r="E1115" s="122"/>
      <c r="F1115" s="122"/>
      <c r="G1115" s="122"/>
      <c r="H1115" s="122"/>
      <c r="I1115" s="275"/>
      <c r="J1115" s="130"/>
      <c r="K1115" s="130"/>
      <c r="L1115" s="130"/>
      <c r="M1115" s="130"/>
      <c r="N1115" s="291"/>
      <c r="O1115" s="291"/>
      <c r="P1115" s="122"/>
      <c r="Q1115" s="122"/>
      <c r="R1115" s="122"/>
      <c r="S1115" s="122"/>
      <c r="T1115" s="122"/>
      <c r="U1115" s="301"/>
      <c r="V1115" s="260">
        <f t="shared" ca="1" si="25"/>
        <v>0</v>
      </c>
      <c r="W1115" s="348" t="str">
        <f>IF(板块成分!B1117="","",板块成分!B1117)</f>
        <v>002627.SZ</v>
      </c>
      <c r="X1115" s="276" t="str">
        <f>[1]!S_Info_Name(W1115)</f>
        <v>三峡旅游</v>
      </c>
      <c r="Y1115" s="276" t="str">
        <f ca="1">IF($Y$3="申万一级行业",[1]!s_info_industry_sw_2021(W1115,公司分析!D$5,1),IF($Y$3="申万二级行业",[1]!s_info_industry_sw_2021(W1115,公司分析!D$5,2),IF($Y$3="申万三级行业",[1]!s_info_industry_sw_2021(W1115,公司分析!D$5,3),IF($Y$3="wind一级行业",[1]!s_info_industry_gics(W1115,1),IF($Y$3="wind二级行业",[1]!s_info_industry_gics(W1115,2),IF($Y$3="wind三级行业",[1]!s_info_industry_gics(W1115,3),IF($Y$3="wind四级行业",[1]!s_info_industry_gics(W1115,4),IF($Y$3="证监会门类行业",[1]!s_info_industry_csrc12_n(W1115,公司分析!D$5,1),""))))))))</f>
        <v>旅游及景区</v>
      </c>
      <c r="Z1115" s="302" t="str">
        <f ca="1">IF(Y1115=行业比较!$E$6,ROW(),"")</f>
        <v/>
      </c>
      <c r="AA1115" s="122"/>
      <c r="AB1115" s="122"/>
      <c r="AC1115" s="122"/>
      <c r="AD1115" s="122"/>
      <c r="AE1115" s="122"/>
      <c r="AF1115" s="122"/>
      <c r="AG1115" s="122"/>
      <c r="AH1115" s="122"/>
      <c r="AI1115" s="122"/>
      <c r="AJ1115" s="122"/>
      <c r="AK1115" s="122"/>
      <c r="AL1115" s="122"/>
      <c r="AM1115" s="122"/>
      <c r="AN1115" s="122"/>
      <c r="AO1115" s="122"/>
      <c r="AP1115" s="122"/>
    </row>
    <row r="1116" spans="2:42">
      <c r="B1116" s="122"/>
      <c r="C1116" s="122"/>
      <c r="D1116" s="122"/>
      <c r="E1116" s="122"/>
      <c r="F1116" s="122"/>
      <c r="G1116" s="122"/>
      <c r="H1116" s="122"/>
      <c r="I1116" s="275"/>
      <c r="J1116" s="130"/>
      <c r="K1116" s="130"/>
      <c r="L1116" s="130"/>
      <c r="M1116" s="130"/>
      <c r="N1116" s="291"/>
      <c r="O1116" s="291"/>
      <c r="P1116" s="122"/>
      <c r="Q1116" s="122"/>
      <c r="R1116" s="122"/>
      <c r="S1116" s="122"/>
      <c r="T1116" s="122"/>
      <c r="U1116" s="301"/>
      <c r="V1116" s="260">
        <f t="shared" ca="1" si="25"/>
        <v>0</v>
      </c>
      <c r="W1116" s="348" t="str">
        <f>IF(板块成分!B1118="","",板块成分!B1118)</f>
        <v>002628.SZ</v>
      </c>
      <c r="X1116" s="276" t="str">
        <f>[1]!S_Info_Name(W1116)</f>
        <v>成都路桥</v>
      </c>
      <c r="Y1116" s="276" t="str">
        <f ca="1">IF($Y$3="申万一级行业",[1]!s_info_industry_sw_2021(W1116,公司分析!D$5,1),IF($Y$3="申万二级行业",[1]!s_info_industry_sw_2021(W1116,公司分析!D$5,2),IF($Y$3="申万三级行业",[1]!s_info_industry_sw_2021(W1116,公司分析!D$5,3),IF($Y$3="wind一级行业",[1]!s_info_industry_gics(W1116,1),IF($Y$3="wind二级行业",[1]!s_info_industry_gics(W1116,2),IF($Y$3="wind三级行业",[1]!s_info_industry_gics(W1116,3),IF($Y$3="wind四级行业",[1]!s_info_industry_gics(W1116,4),IF($Y$3="证监会门类行业",[1]!s_info_industry_csrc12_n(W1116,公司分析!D$5,1),""))))))))</f>
        <v>基础建设</v>
      </c>
      <c r="Z1116" s="302" t="str">
        <f ca="1">IF(Y1116=行业比较!$E$6,ROW(),"")</f>
        <v/>
      </c>
      <c r="AA1116" s="122"/>
      <c r="AB1116" s="122"/>
      <c r="AC1116" s="122"/>
      <c r="AD1116" s="122"/>
      <c r="AE1116" s="122"/>
      <c r="AF1116" s="122"/>
      <c r="AG1116" s="122"/>
      <c r="AH1116" s="122"/>
      <c r="AI1116" s="122"/>
      <c r="AJ1116" s="122"/>
      <c r="AK1116" s="122"/>
      <c r="AL1116" s="122"/>
      <c r="AM1116" s="122"/>
      <c r="AN1116" s="122"/>
      <c r="AO1116" s="122"/>
      <c r="AP1116" s="122"/>
    </row>
    <row r="1117" spans="2:42">
      <c r="B1117" s="122"/>
      <c r="C1117" s="122"/>
      <c r="D1117" s="122"/>
      <c r="E1117" s="122"/>
      <c r="F1117" s="122"/>
      <c r="G1117" s="122"/>
      <c r="H1117" s="122"/>
      <c r="I1117" s="275"/>
      <c r="J1117" s="130"/>
      <c r="K1117" s="130"/>
      <c r="L1117" s="130"/>
      <c r="M1117" s="130"/>
      <c r="N1117" s="291"/>
      <c r="O1117" s="291"/>
      <c r="P1117" s="122"/>
      <c r="Q1117" s="122"/>
      <c r="R1117" s="122"/>
      <c r="S1117" s="122"/>
      <c r="T1117" s="122"/>
      <c r="U1117" s="301"/>
      <c r="V1117" s="260">
        <f t="shared" ca="1" si="25"/>
        <v>0</v>
      </c>
      <c r="W1117" s="348" t="str">
        <f>IF(板块成分!B1119="","",板块成分!B1119)</f>
        <v>002629.SZ</v>
      </c>
      <c r="X1117" s="276" t="str">
        <f>[1]!S_Info_Name(W1117)</f>
        <v>仁智股份</v>
      </c>
      <c r="Y1117" s="276" t="str">
        <f ca="1">IF($Y$3="申万一级行业",[1]!s_info_industry_sw_2021(W1117,公司分析!D$5,1),IF($Y$3="申万二级行业",[1]!s_info_industry_sw_2021(W1117,公司分析!D$5,2),IF($Y$3="申万三级行业",[1]!s_info_industry_sw_2021(W1117,公司分析!D$5,3),IF($Y$3="wind一级行业",[1]!s_info_industry_gics(W1117,1),IF($Y$3="wind二级行业",[1]!s_info_industry_gics(W1117,2),IF($Y$3="wind三级行业",[1]!s_info_industry_gics(W1117,3),IF($Y$3="wind四级行业",[1]!s_info_industry_gics(W1117,4),IF($Y$3="证监会门类行业",[1]!s_info_industry_csrc12_n(W1117,公司分析!D$5,1),""))))))))</f>
        <v>油服工程</v>
      </c>
      <c r="Z1117" s="302" t="str">
        <f ca="1">IF(Y1117=行业比较!$E$6,ROW(),"")</f>
        <v/>
      </c>
      <c r="AA1117" s="122"/>
      <c r="AB1117" s="122"/>
      <c r="AC1117" s="122"/>
      <c r="AD1117" s="122"/>
      <c r="AE1117" s="122"/>
      <c r="AF1117" s="122"/>
      <c r="AG1117" s="122"/>
      <c r="AH1117" s="122"/>
      <c r="AI1117" s="122"/>
      <c r="AJ1117" s="122"/>
      <c r="AK1117" s="122"/>
      <c r="AL1117" s="122"/>
      <c r="AM1117" s="122"/>
      <c r="AN1117" s="122"/>
      <c r="AO1117" s="122"/>
      <c r="AP1117" s="122"/>
    </row>
    <row r="1118" spans="2:42">
      <c r="B1118" s="122"/>
      <c r="C1118" s="122"/>
      <c r="D1118" s="122"/>
      <c r="E1118" s="122"/>
      <c r="F1118" s="122"/>
      <c r="G1118" s="122"/>
      <c r="H1118" s="122"/>
      <c r="I1118" s="275"/>
      <c r="J1118" s="130"/>
      <c r="K1118" s="130"/>
      <c r="L1118" s="130"/>
      <c r="M1118" s="130"/>
      <c r="N1118" s="291"/>
      <c r="O1118" s="291"/>
      <c r="P1118" s="122"/>
      <c r="Q1118" s="122"/>
      <c r="R1118" s="122"/>
      <c r="S1118" s="122"/>
      <c r="T1118" s="122"/>
      <c r="U1118" s="301"/>
      <c r="V1118" s="260">
        <f t="shared" ca="1" si="25"/>
        <v>0</v>
      </c>
      <c r="W1118" s="348" t="str">
        <f>IF(板块成分!B1120="","",板块成分!B1120)</f>
        <v>002630.SZ</v>
      </c>
      <c r="X1118" s="276" t="str">
        <f>[1]!S_Info_Name(W1118)</f>
        <v>ST华西</v>
      </c>
      <c r="Y1118" s="276" t="str">
        <f ca="1">IF($Y$3="申万一级行业",[1]!s_info_industry_sw_2021(W1118,公司分析!D$5,1),IF($Y$3="申万二级行业",[1]!s_info_industry_sw_2021(W1118,公司分析!D$5,2),IF($Y$3="申万三级行业",[1]!s_info_industry_sw_2021(W1118,公司分析!D$5,3),IF($Y$3="wind一级行业",[1]!s_info_industry_gics(W1118,1),IF($Y$3="wind二级行业",[1]!s_info_industry_gics(W1118,2),IF($Y$3="wind三级行业",[1]!s_info_industry_gics(W1118,3),IF($Y$3="wind四级行业",[1]!s_info_industry_gics(W1118,4),IF($Y$3="证监会门类行业",[1]!s_info_industry_csrc12_n(W1118,公司分析!D$5,1),""))))))))</f>
        <v>其他电源设备Ⅱ</v>
      </c>
      <c r="Z1118" s="302" t="str">
        <f ca="1">IF(Y1118=行业比较!$E$6,ROW(),"")</f>
        <v/>
      </c>
      <c r="AA1118" s="122"/>
      <c r="AB1118" s="122"/>
      <c r="AC1118" s="122"/>
      <c r="AD1118" s="122"/>
      <c r="AE1118" s="122"/>
      <c r="AF1118" s="122"/>
      <c r="AG1118" s="122"/>
      <c r="AH1118" s="122"/>
      <c r="AI1118" s="122"/>
      <c r="AJ1118" s="122"/>
      <c r="AK1118" s="122"/>
      <c r="AL1118" s="122"/>
      <c r="AM1118" s="122"/>
      <c r="AN1118" s="122"/>
      <c r="AO1118" s="122"/>
      <c r="AP1118" s="122"/>
    </row>
    <row r="1119" spans="2:42">
      <c r="B1119" s="122"/>
      <c r="C1119" s="122"/>
      <c r="D1119" s="122"/>
      <c r="E1119" s="122"/>
      <c r="F1119" s="122"/>
      <c r="G1119" s="122"/>
      <c r="H1119" s="122"/>
      <c r="I1119" s="275"/>
      <c r="J1119" s="130"/>
      <c r="K1119" s="130"/>
      <c r="L1119" s="130"/>
      <c r="M1119" s="130"/>
      <c r="N1119" s="291"/>
      <c r="O1119" s="291"/>
      <c r="P1119" s="122"/>
      <c r="Q1119" s="122"/>
      <c r="R1119" s="122"/>
      <c r="S1119" s="122"/>
      <c r="T1119" s="122"/>
      <c r="U1119" s="301"/>
      <c r="V1119" s="260">
        <f t="shared" ca="1" si="25"/>
        <v>0</v>
      </c>
      <c r="W1119" s="348" t="str">
        <f>IF(板块成分!B1121="","",板块成分!B1121)</f>
        <v>002631.SZ</v>
      </c>
      <c r="X1119" s="276" t="str">
        <f>[1]!S_Info_Name(W1119)</f>
        <v>德尔未来</v>
      </c>
      <c r="Y1119" s="276" t="str">
        <f ca="1">IF($Y$3="申万一级行业",[1]!s_info_industry_sw_2021(W1119,公司分析!D$5,1),IF($Y$3="申万二级行业",[1]!s_info_industry_sw_2021(W1119,公司分析!D$5,2),IF($Y$3="申万三级行业",[1]!s_info_industry_sw_2021(W1119,公司分析!D$5,3),IF($Y$3="wind一级行业",[1]!s_info_industry_gics(W1119,1),IF($Y$3="wind二级行业",[1]!s_info_industry_gics(W1119,2),IF($Y$3="wind三级行业",[1]!s_info_industry_gics(W1119,3),IF($Y$3="wind四级行业",[1]!s_info_industry_gics(W1119,4),IF($Y$3="证监会门类行业",[1]!s_info_industry_csrc12_n(W1119,公司分析!D$5,1),""))))))))</f>
        <v>家居用品</v>
      </c>
      <c r="Z1119" s="302" t="str">
        <f ca="1">IF(Y1119=行业比较!$E$6,ROW(),"")</f>
        <v/>
      </c>
      <c r="AA1119" s="122"/>
      <c r="AB1119" s="122"/>
      <c r="AC1119" s="122"/>
      <c r="AD1119" s="122"/>
      <c r="AE1119" s="122"/>
      <c r="AF1119" s="122"/>
      <c r="AG1119" s="122"/>
      <c r="AH1119" s="122"/>
      <c r="AI1119" s="122"/>
      <c r="AJ1119" s="122"/>
      <c r="AK1119" s="122"/>
      <c r="AL1119" s="122"/>
      <c r="AM1119" s="122"/>
      <c r="AN1119" s="122"/>
      <c r="AO1119" s="122"/>
      <c r="AP1119" s="122"/>
    </row>
    <row r="1120" spans="2:42">
      <c r="B1120" s="122"/>
      <c r="C1120" s="122"/>
      <c r="D1120" s="122"/>
      <c r="E1120" s="122"/>
      <c r="F1120" s="122"/>
      <c r="G1120" s="122"/>
      <c r="H1120" s="122"/>
      <c r="I1120" s="275"/>
      <c r="J1120" s="130"/>
      <c r="K1120" s="130"/>
      <c r="L1120" s="130"/>
      <c r="M1120" s="130"/>
      <c r="N1120" s="291"/>
      <c r="O1120" s="291"/>
      <c r="P1120" s="122"/>
      <c r="Q1120" s="122"/>
      <c r="R1120" s="122"/>
      <c r="S1120" s="122"/>
      <c r="T1120" s="122"/>
      <c r="U1120" s="301"/>
      <c r="V1120" s="260">
        <f t="shared" ca="1" si="25"/>
        <v>0</v>
      </c>
      <c r="W1120" s="348" t="str">
        <f>IF(板块成分!B1122="","",板块成分!B1122)</f>
        <v>002632.SZ</v>
      </c>
      <c r="X1120" s="276" t="str">
        <f>[1]!S_Info_Name(W1120)</f>
        <v>道明光学</v>
      </c>
      <c r="Y1120" s="276" t="str">
        <f ca="1">IF($Y$3="申万一级行业",[1]!s_info_industry_sw_2021(W1120,公司分析!D$5,1),IF($Y$3="申万二级行业",[1]!s_info_industry_sw_2021(W1120,公司分析!D$5,2),IF($Y$3="申万三级行业",[1]!s_info_industry_sw_2021(W1120,公司分析!D$5,3),IF($Y$3="wind一级行业",[1]!s_info_industry_gics(W1120,1),IF($Y$3="wind二级行业",[1]!s_info_industry_gics(W1120,2),IF($Y$3="wind三级行业",[1]!s_info_industry_gics(W1120,3),IF($Y$3="wind四级行业",[1]!s_info_industry_gics(W1120,4),IF($Y$3="证监会门类行业",[1]!s_info_industry_csrc12_n(W1120,公司分析!D$5,1),""))))))))</f>
        <v>塑料</v>
      </c>
      <c r="Z1120" s="302" t="str">
        <f ca="1">IF(Y1120=行业比较!$E$6,ROW(),"")</f>
        <v/>
      </c>
      <c r="AA1120" s="122"/>
      <c r="AB1120" s="122"/>
      <c r="AC1120" s="122"/>
      <c r="AD1120" s="122"/>
      <c r="AE1120" s="122"/>
      <c r="AF1120" s="122"/>
      <c r="AG1120" s="122"/>
      <c r="AH1120" s="122"/>
      <c r="AI1120" s="122"/>
      <c r="AJ1120" s="122"/>
      <c r="AK1120" s="122"/>
      <c r="AL1120" s="122"/>
      <c r="AM1120" s="122"/>
      <c r="AN1120" s="122"/>
      <c r="AO1120" s="122"/>
      <c r="AP1120" s="122"/>
    </row>
    <row r="1121" spans="2:42">
      <c r="B1121" s="122"/>
      <c r="C1121" s="122"/>
      <c r="D1121" s="122"/>
      <c r="E1121" s="122"/>
      <c r="F1121" s="122"/>
      <c r="G1121" s="122"/>
      <c r="H1121" s="122"/>
      <c r="I1121" s="275"/>
      <c r="J1121" s="130"/>
      <c r="K1121" s="130"/>
      <c r="L1121" s="130"/>
      <c r="M1121" s="130"/>
      <c r="N1121" s="291"/>
      <c r="O1121" s="291"/>
      <c r="P1121" s="122"/>
      <c r="Q1121" s="122"/>
      <c r="R1121" s="122"/>
      <c r="S1121" s="122"/>
      <c r="T1121" s="122"/>
      <c r="U1121" s="301"/>
      <c r="V1121" s="260">
        <f t="shared" ca="1" si="25"/>
        <v>0</v>
      </c>
      <c r="W1121" s="348" t="str">
        <f>IF(板块成分!B1123="","",板块成分!B1123)</f>
        <v>002633.SZ</v>
      </c>
      <c r="X1121" s="276" t="str">
        <f>[1]!S_Info_Name(W1121)</f>
        <v>申科股份</v>
      </c>
      <c r="Y1121" s="276" t="str">
        <f ca="1">IF($Y$3="申万一级行业",[1]!s_info_industry_sw_2021(W1121,公司分析!D$5,1),IF($Y$3="申万二级行业",[1]!s_info_industry_sw_2021(W1121,公司分析!D$5,2),IF($Y$3="申万三级行业",[1]!s_info_industry_sw_2021(W1121,公司分析!D$5,3),IF($Y$3="wind一级行业",[1]!s_info_industry_gics(W1121,1),IF($Y$3="wind二级行业",[1]!s_info_industry_gics(W1121,2),IF($Y$3="wind三级行业",[1]!s_info_industry_gics(W1121,3),IF($Y$3="wind四级行业",[1]!s_info_industry_gics(W1121,4),IF($Y$3="证监会门类行业",[1]!s_info_industry_csrc12_n(W1121,公司分析!D$5,1),""))))))))</f>
        <v>通用设备</v>
      </c>
      <c r="Z1121" s="302" t="str">
        <f ca="1">IF(Y1121=行业比较!$E$6,ROW(),"")</f>
        <v/>
      </c>
      <c r="AA1121" s="122"/>
      <c r="AB1121" s="122"/>
      <c r="AC1121" s="122"/>
      <c r="AD1121" s="122"/>
      <c r="AE1121" s="122"/>
      <c r="AF1121" s="122"/>
      <c r="AG1121" s="122"/>
      <c r="AH1121" s="122"/>
      <c r="AI1121" s="122"/>
      <c r="AJ1121" s="122"/>
      <c r="AK1121" s="122"/>
      <c r="AL1121" s="122"/>
      <c r="AM1121" s="122"/>
      <c r="AN1121" s="122"/>
      <c r="AO1121" s="122"/>
      <c r="AP1121" s="122"/>
    </row>
    <row r="1122" spans="2:42">
      <c r="B1122" s="122"/>
      <c r="C1122" s="122"/>
      <c r="D1122" s="122"/>
      <c r="E1122" s="122"/>
      <c r="F1122" s="122"/>
      <c r="G1122" s="122"/>
      <c r="H1122" s="122"/>
      <c r="I1122" s="275"/>
      <c r="J1122" s="130"/>
      <c r="K1122" s="130"/>
      <c r="L1122" s="130"/>
      <c r="M1122" s="130"/>
      <c r="N1122" s="291"/>
      <c r="O1122" s="291"/>
      <c r="P1122" s="122"/>
      <c r="Q1122" s="122"/>
      <c r="R1122" s="122"/>
      <c r="S1122" s="122"/>
      <c r="T1122" s="122"/>
      <c r="U1122" s="301"/>
      <c r="V1122" s="260">
        <f t="shared" ca="1" si="25"/>
        <v>0</v>
      </c>
      <c r="W1122" s="348" t="str">
        <f>IF(板块成分!B1124="","",板块成分!B1124)</f>
        <v>002634.SZ</v>
      </c>
      <c r="X1122" s="276" t="str">
        <f>[1]!S_Info_Name(W1122)</f>
        <v>棒杰股份</v>
      </c>
      <c r="Y1122" s="276" t="str">
        <f ca="1">IF($Y$3="申万一级行业",[1]!s_info_industry_sw_2021(W1122,公司分析!D$5,1),IF($Y$3="申万二级行业",[1]!s_info_industry_sw_2021(W1122,公司分析!D$5,2),IF($Y$3="申万三级行业",[1]!s_info_industry_sw_2021(W1122,公司分析!D$5,3),IF($Y$3="wind一级行业",[1]!s_info_industry_gics(W1122,1),IF($Y$3="wind二级行业",[1]!s_info_industry_gics(W1122,2),IF($Y$3="wind三级行业",[1]!s_info_industry_gics(W1122,3),IF($Y$3="wind四级行业",[1]!s_info_industry_gics(W1122,4),IF($Y$3="证监会门类行业",[1]!s_info_industry_csrc12_n(W1122,公司分析!D$5,1),""))))))))</f>
        <v>服装家纺</v>
      </c>
      <c r="Z1122" s="302" t="str">
        <f ca="1">IF(Y1122=行业比较!$E$6,ROW(),"")</f>
        <v/>
      </c>
      <c r="AA1122" s="122"/>
      <c r="AB1122" s="122"/>
      <c r="AC1122" s="122"/>
      <c r="AD1122" s="122"/>
      <c r="AE1122" s="122"/>
      <c r="AF1122" s="122"/>
      <c r="AG1122" s="122"/>
      <c r="AH1122" s="122"/>
      <c r="AI1122" s="122"/>
      <c r="AJ1122" s="122"/>
      <c r="AK1122" s="122"/>
      <c r="AL1122" s="122"/>
      <c r="AM1122" s="122"/>
      <c r="AN1122" s="122"/>
      <c r="AO1122" s="122"/>
      <c r="AP1122" s="122"/>
    </row>
    <row r="1123" spans="2:42">
      <c r="B1123" s="122"/>
      <c r="C1123" s="122"/>
      <c r="D1123" s="122"/>
      <c r="E1123" s="122"/>
      <c r="F1123" s="122"/>
      <c r="G1123" s="122"/>
      <c r="H1123" s="122"/>
      <c r="I1123" s="275"/>
      <c r="J1123" s="130"/>
      <c r="K1123" s="130"/>
      <c r="L1123" s="130"/>
      <c r="M1123" s="130"/>
      <c r="N1123" s="291"/>
      <c r="O1123" s="291"/>
      <c r="P1123" s="122"/>
      <c r="Q1123" s="122"/>
      <c r="R1123" s="122"/>
      <c r="S1123" s="122"/>
      <c r="T1123" s="122"/>
      <c r="U1123" s="301"/>
      <c r="V1123" s="260">
        <f t="shared" ca="1" si="25"/>
        <v>0</v>
      </c>
      <c r="W1123" s="348" t="str">
        <f>IF(板块成分!B1125="","",板块成分!B1125)</f>
        <v>002635.SZ</v>
      </c>
      <c r="X1123" s="276" t="str">
        <f>[1]!S_Info_Name(W1123)</f>
        <v>安洁科技</v>
      </c>
      <c r="Y1123" s="276" t="str">
        <f ca="1">IF($Y$3="申万一级行业",[1]!s_info_industry_sw_2021(W1123,公司分析!D$5,1),IF($Y$3="申万二级行业",[1]!s_info_industry_sw_2021(W1123,公司分析!D$5,2),IF($Y$3="申万三级行业",[1]!s_info_industry_sw_2021(W1123,公司分析!D$5,3),IF($Y$3="wind一级行业",[1]!s_info_industry_gics(W1123,1),IF($Y$3="wind二级行业",[1]!s_info_industry_gics(W1123,2),IF($Y$3="wind三级行业",[1]!s_info_industry_gics(W1123,3),IF($Y$3="wind四级行业",[1]!s_info_industry_gics(W1123,4),IF($Y$3="证监会门类行业",[1]!s_info_industry_csrc12_n(W1123,公司分析!D$5,1),""))))))))</f>
        <v>消费电子</v>
      </c>
      <c r="Z1123" s="302" t="str">
        <f ca="1">IF(Y1123=行业比较!$E$6,ROW(),"")</f>
        <v/>
      </c>
      <c r="AA1123" s="122"/>
      <c r="AB1123" s="122"/>
      <c r="AC1123" s="122"/>
      <c r="AD1123" s="122"/>
      <c r="AE1123" s="122"/>
      <c r="AF1123" s="122"/>
      <c r="AG1123" s="122"/>
      <c r="AH1123" s="122"/>
      <c r="AI1123" s="122"/>
      <c r="AJ1123" s="122"/>
      <c r="AK1123" s="122"/>
      <c r="AL1123" s="122"/>
      <c r="AM1123" s="122"/>
      <c r="AN1123" s="122"/>
      <c r="AO1123" s="122"/>
      <c r="AP1123" s="122"/>
    </row>
    <row r="1124" spans="2:42">
      <c r="B1124" s="122"/>
      <c r="C1124" s="122"/>
      <c r="D1124" s="122"/>
      <c r="E1124" s="122"/>
      <c r="F1124" s="122"/>
      <c r="G1124" s="122"/>
      <c r="H1124" s="122"/>
      <c r="I1124" s="275"/>
      <c r="J1124" s="130"/>
      <c r="K1124" s="130"/>
      <c r="L1124" s="130"/>
      <c r="M1124" s="130"/>
      <c r="N1124" s="291"/>
      <c r="O1124" s="291"/>
      <c r="P1124" s="122"/>
      <c r="Q1124" s="122"/>
      <c r="R1124" s="122"/>
      <c r="S1124" s="122"/>
      <c r="T1124" s="122"/>
      <c r="U1124" s="301"/>
      <c r="V1124" s="260">
        <f t="shared" ca="1" si="25"/>
        <v>0</v>
      </c>
      <c r="W1124" s="348" t="str">
        <f>IF(板块成分!B1126="","",板块成分!B1126)</f>
        <v>002636.SZ</v>
      </c>
      <c r="X1124" s="276" t="str">
        <f>[1]!S_Info_Name(W1124)</f>
        <v>金安国纪</v>
      </c>
      <c r="Y1124" s="276" t="str">
        <f ca="1">IF($Y$3="申万一级行业",[1]!s_info_industry_sw_2021(W1124,公司分析!D$5,1),IF($Y$3="申万二级行业",[1]!s_info_industry_sw_2021(W1124,公司分析!D$5,2),IF($Y$3="申万三级行业",[1]!s_info_industry_sw_2021(W1124,公司分析!D$5,3),IF($Y$3="wind一级行业",[1]!s_info_industry_gics(W1124,1),IF($Y$3="wind二级行业",[1]!s_info_industry_gics(W1124,2),IF($Y$3="wind三级行业",[1]!s_info_industry_gics(W1124,3),IF($Y$3="wind四级行业",[1]!s_info_industry_gics(W1124,4),IF($Y$3="证监会门类行业",[1]!s_info_industry_csrc12_n(W1124,公司分析!D$5,1),""))))))))</f>
        <v>元件</v>
      </c>
      <c r="Z1124" s="302" t="str">
        <f ca="1">IF(Y1124=行业比较!$E$6,ROW(),"")</f>
        <v/>
      </c>
      <c r="AA1124" s="122"/>
      <c r="AB1124" s="122"/>
      <c r="AC1124" s="122"/>
      <c r="AD1124" s="122"/>
      <c r="AE1124" s="122"/>
      <c r="AF1124" s="122"/>
      <c r="AG1124" s="122"/>
      <c r="AH1124" s="122"/>
      <c r="AI1124" s="122"/>
      <c r="AJ1124" s="122"/>
      <c r="AK1124" s="122"/>
      <c r="AL1124" s="122"/>
      <c r="AM1124" s="122"/>
      <c r="AN1124" s="122"/>
      <c r="AO1124" s="122"/>
      <c r="AP1124" s="122"/>
    </row>
    <row r="1125" spans="2:42">
      <c r="B1125" s="122"/>
      <c r="C1125" s="122"/>
      <c r="D1125" s="122"/>
      <c r="E1125" s="122"/>
      <c r="F1125" s="122"/>
      <c r="G1125" s="122"/>
      <c r="H1125" s="122"/>
      <c r="I1125" s="275"/>
      <c r="J1125" s="130"/>
      <c r="K1125" s="130"/>
      <c r="L1125" s="130"/>
      <c r="M1125" s="130"/>
      <c r="N1125" s="291"/>
      <c r="O1125" s="291"/>
      <c r="P1125" s="122"/>
      <c r="Q1125" s="122"/>
      <c r="R1125" s="122"/>
      <c r="S1125" s="122"/>
      <c r="T1125" s="122"/>
      <c r="U1125" s="301"/>
      <c r="V1125" s="260">
        <f t="shared" ca="1" si="25"/>
        <v>0</v>
      </c>
      <c r="W1125" s="348" t="str">
        <f>IF(板块成分!B1127="","",板块成分!B1127)</f>
        <v>002637.SZ</v>
      </c>
      <c r="X1125" s="276" t="str">
        <f>[1]!S_Info_Name(W1125)</f>
        <v>赞宇科技</v>
      </c>
      <c r="Y1125" s="276" t="str">
        <f ca="1">IF($Y$3="申万一级行业",[1]!s_info_industry_sw_2021(W1125,公司分析!D$5,1),IF($Y$3="申万二级行业",[1]!s_info_industry_sw_2021(W1125,公司分析!D$5,2),IF($Y$3="申万三级行业",[1]!s_info_industry_sw_2021(W1125,公司分析!D$5,3),IF($Y$3="wind一级行业",[1]!s_info_industry_gics(W1125,1),IF($Y$3="wind二级行业",[1]!s_info_industry_gics(W1125,2),IF($Y$3="wind三级行业",[1]!s_info_industry_gics(W1125,3),IF($Y$3="wind四级行业",[1]!s_info_industry_gics(W1125,4),IF($Y$3="证监会门类行业",[1]!s_info_industry_csrc12_n(W1125,公司分析!D$5,1),""))))))))</f>
        <v>化学制品</v>
      </c>
      <c r="Z1125" s="302" t="str">
        <f ca="1">IF(Y1125=行业比较!$E$6,ROW(),"")</f>
        <v/>
      </c>
      <c r="AA1125" s="122"/>
      <c r="AB1125" s="122"/>
      <c r="AC1125" s="122"/>
      <c r="AD1125" s="122"/>
      <c r="AE1125" s="122"/>
      <c r="AF1125" s="122"/>
      <c r="AG1125" s="122"/>
      <c r="AH1125" s="122"/>
      <c r="AI1125" s="122"/>
      <c r="AJ1125" s="122"/>
      <c r="AK1125" s="122"/>
      <c r="AL1125" s="122"/>
      <c r="AM1125" s="122"/>
      <c r="AN1125" s="122"/>
      <c r="AO1125" s="122"/>
      <c r="AP1125" s="122"/>
    </row>
    <row r="1126" spans="2:42">
      <c r="B1126" s="122"/>
      <c r="C1126" s="122"/>
      <c r="D1126" s="122"/>
      <c r="E1126" s="122"/>
      <c r="F1126" s="122"/>
      <c r="G1126" s="122"/>
      <c r="H1126" s="122"/>
      <c r="I1126" s="275"/>
      <c r="J1126" s="130"/>
      <c r="K1126" s="130"/>
      <c r="L1126" s="130"/>
      <c r="M1126" s="130"/>
      <c r="N1126" s="291"/>
      <c r="O1126" s="291"/>
      <c r="P1126" s="122"/>
      <c r="Q1126" s="122"/>
      <c r="R1126" s="122"/>
      <c r="S1126" s="122"/>
      <c r="T1126" s="122"/>
      <c r="U1126" s="301"/>
      <c r="V1126" s="260">
        <f t="shared" ca="1" si="25"/>
        <v>0</v>
      </c>
      <c r="W1126" s="348" t="str">
        <f>IF(板块成分!B1128="","",板块成分!B1128)</f>
        <v>002638.SZ</v>
      </c>
      <c r="X1126" s="276" t="str">
        <f>[1]!S_Info_Name(W1126)</f>
        <v>勤上股份</v>
      </c>
      <c r="Y1126" s="276" t="str">
        <f ca="1">IF($Y$3="申万一级行业",[1]!s_info_industry_sw_2021(W1126,公司分析!D$5,1),IF($Y$3="申万二级行业",[1]!s_info_industry_sw_2021(W1126,公司分析!D$5,2),IF($Y$3="申万三级行业",[1]!s_info_industry_sw_2021(W1126,公司分析!D$5,3),IF($Y$3="wind一级行业",[1]!s_info_industry_gics(W1126,1),IF($Y$3="wind二级行业",[1]!s_info_industry_gics(W1126,2),IF($Y$3="wind三级行业",[1]!s_info_industry_gics(W1126,3),IF($Y$3="wind四级行业",[1]!s_info_industry_gics(W1126,4),IF($Y$3="证监会门类行业",[1]!s_info_industry_csrc12_n(W1126,公司分析!D$5,1),""))))))))</f>
        <v>照明设备Ⅱ</v>
      </c>
      <c r="Z1126" s="302" t="str">
        <f ca="1">IF(Y1126=行业比较!$E$6,ROW(),"")</f>
        <v/>
      </c>
      <c r="AA1126" s="122"/>
      <c r="AB1126" s="122"/>
      <c r="AC1126" s="122"/>
      <c r="AD1126" s="122"/>
      <c r="AE1126" s="122"/>
      <c r="AF1126" s="122"/>
      <c r="AG1126" s="122"/>
      <c r="AH1126" s="122"/>
      <c r="AI1126" s="122"/>
      <c r="AJ1126" s="122"/>
      <c r="AK1126" s="122"/>
      <c r="AL1126" s="122"/>
      <c r="AM1126" s="122"/>
      <c r="AN1126" s="122"/>
      <c r="AO1126" s="122"/>
      <c r="AP1126" s="122"/>
    </row>
    <row r="1127" spans="2:42">
      <c r="B1127" s="122"/>
      <c r="C1127" s="122"/>
      <c r="D1127" s="122"/>
      <c r="E1127" s="122"/>
      <c r="F1127" s="122"/>
      <c r="G1127" s="122"/>
      <c r="H1127" s="122"/>
      <c r="I1127" s="275"/>
      <c r="J1127" s="130"/>
      <c r="K1127" s="130"/>
      <c r="L1127" s="130"/>
      <c r="M1127" s="130"/>
      <c r="N1127" s="291"/>
      <c r="O1127" s="291"/>
      <c r="P1127" s="122"/>
      <c r="Q1127" s="122"/>
      <c r="R1127" s="122"/>
      <c r="S1127" s="122"/>
      <c r="T1127" s="122"/>
      <c r="U1127" s="301"/>
      <c r="V1127" s="260">
        <f t="shared" ca="1" si="25"/>
        <v>0</v>
      </c>
      <c r="W1127" s="348" t="str">
        <f>IF(板块成分!B1129="","",板块成分!B1129)</f>
        <v>002639.SZ</v>
      </c>
      <c r="X1127" s="276" t="str">
        <f>[1]!S_Info_Name(W1127)</f>
        <v>雪人集团</v>
      </c>
      <c r="Y1127" s="276" t="str">
        <f ca="1">IF($Y$3="申万一级行业",[1]!s_info_industry_sw_2021(W1127,公司分析!D$5,1),IF($Y$3="申万二级行业",[1]!s_info_industry_sw_2021(W1127,公司分析!D$5,2),IF($Y$3="申万三级行业",[1]!s_info_industry_sw_2021(W1127,公司分析!D$5,3),IF($Y$3="wind一级行业",[1]!s_info_industry_gics(W1127,1),IF($Y$3="wind二级行业",[1]!s_info_industry_gics(W1127,2),IF($Y$3="wind三级行业",[1]!s_info_industry_gics(W1127,3),IF($Y$3="wind四级行业",[1]!s_info_industry_gics(W1127,4),IF($Y$3="证监会门类行业",[1]!s_info_industry_csrc12_n(W1127,公司分析!D$5,1),""))))))))</f>
        <v>通用设备</v>
      </c>
      <c r="Z1127" s="302" t="str">
        <f ca="1">IF(Y1127=行业比较!$E$6,ROW(),"")</f>
        <v/>
      </c>
      <c r="AA1127" s="122"/>
      <c r="AB1127" s="122"/>
      <c r="AC1127" s="122"/>
      <c r="AD1127" s="122"/>
      <c r="AE1127" s="122"/>
      <c r="AF1127" s="122"/>
      <c r="AG1127" s="122"/>
      <c r="AH1127" s="122"/>
      <c r="AI1127" s="122"/>
      <c r="AJ1127" s="122"/>
      <c r="AK1127" s="122"/>
      <c r="AL1127" s="122"/>
      <c r="AM1127" s="122"/>
      <c r="AN1127" s="122"/>
      <c r="AO1127" s="122"/>
      <c r="AP1127" s="122"/>
    </row>
    <row r="1128" spans="2:42">
      <c r="B1128" s="122"/>
      <c r="C1128" s="122"/>
      <c r="D1128" s="122"/>
      <c r="E1128" s="122"/>
      <c r="F1128" s="122"/>
      <c r="G1128" s="122"/>
      <c r="H1128" s="122"/>
      <c r="I1128" s="275"/>
      <c r="J1128" s="130"/>
      <c r="K1128" s="130"/>
      <c r="L1128" s="130"/>
      <c r="M1128" s="130"/>
      <c r="N1128" s="291"/>
      <c r="O1128" s="291"/>
      <c r="P1128" s="122"/>
      <c r="Q1128" s="122"/>
      <c r="R1128" s="122"/>
      <c r="S1128" s="122"/>
      <c r="T1128" s="122"/>
      <c r="U1128" s="301"/>
      <c r="V1128" s="260">
        <f t="shared" ca="1" si="25"/>
        <v>0</v>
      </c>
      <c r="W1128" s="348" t="str">
        <f>IF(板块成分!B1130="","",板块成分!B1130)</f>
        <v>002640.SZ</v>
      </c>
      <c r="X1128" s="276" t="str">
        <f>[1]!S_Info_Name(W1128)</f>
        <v>跨境通</v>
      </c>
      <c r="Y1128" s="276" t="str">
        <f ca="1">IF($Y$3="申万一级行业",[1]!s_info_industry_sw_2021(W1128,公司分析!D$5,1),IF($Y$3="申万二级行业",[1]!s_info_industry_sw_2021(W1128,公司分析!D$5,2),IF($Y$3="申万三级行业",[1]!s_info_industry_sw_2021(W1128,公司分析!D$5,3),IF($Y$3="wind一级行业",[1]!s_info_industry_gics(W1128,1),IF($Y$3="wind二级行业",[1]!s_info_industry_gics(W1128,2),IF($Y$3="wind三级行业",[1]!s_info_industry_gics(W1128,3),IF($Y$3="wind四级行业",[1]!s_info_industry_gics(W1128,4),IF($Y$3="证监会门类行业",[1]!s_info_industry_csrc12_n(W1128,公司分析!D$5,1),""))))))))</f>
        <v>互联网电商</v>
      </c>
      <c r="Z1128" s="302" t="str">
        <f ca="1">IF(Y1128=行业比较!$E$6,ROW(),"")</f>
        <v/>
      </c>
      <c r="AA1128" s="122"/>
      <c r="AB1128" s="122"/>
      <c r="AC1128" s="122"/>
      <c r="AD1128" s="122"/>
      <c r="AE1128" s="122"/>
      <c r="AF1128" s="122"/>
      <c r="AG1128" s="122"/>
      <c r="AH1128" s="122"/>
      <c r="AI1128" s="122"/>
      <c r="AJ1128" s="122"/>
      <c r="AK1128" s="122"/>
      <c r="AL1128" s="122"/>
      <c r="AM1128" s="122"/>
      <c r="AN1128" s="122"/>
      <c r="AO1128" s="122"/>
      <c r="AP1128" s="122"/>
    </row>
    <row r="1129" spans="2:42">
      <c r="B1129" s="122"/>
      <c r="C1129" s="122"/>
      <c r="D1129" s="122"/>
      <c r="E1129" s="122"/>
      <c r="F1129" s="122"/>
      <c r="G1129" s="122"/>
      <c r="H1129" s="122"/>
      <c r="I1129" s="275"/>
      <c r="J1129" s="130"/>
      <c r="K1129" s="130"/>
      <c r="L1129" s="130"/>
      <c r="M1129" s="130"/>
      <c r="N1129" s="291"/>
      <c r="O1129" s="291"/>
      <c r="P1129" s="122"/>
      <c r="Q1129" s="122"/>
      <c r="R1129" s="122"/>
      <c r="S1129" s="122"/>
      <c r="T1129" s="122"/>
      <c r="U1129" s="301"/>
      <c r="V1129" s="260">
        <f t="shared" ca="1" si="25"/>
        <v>0</v>
      </c>
      <c r="W1129" s="348" t="str">
        <f>IF(板块成分!B1131="","",板块成分!B1131)</f>
        <v>002641.SZ</v>
      </c>
      <c r="X1129" s="276" t="str">
        <f>[1]!S_Info_Name(W1129)</f>
        <v>公元股份</v>
      </c>
      <c r="Y1129" s="276" t="str">
        <f ca="1">IF($Y$3="申万一级行业",[1]!s_info_industry_sw_2021(W1129,公司分析!D$5,1),IF($Y$3="申万二级行业",[1]!s_info_industry_sw_2021(W1129,公司分析!D$5,2),IF($Y$3="申万三级行业",[1]!s_info_industry_sw_2021(W1129,公司分析!D$5,3),IF($Y$3="wind一级行业",[1]!s_info_industry_gics(W1129,1),IF($Y$3="wind二级行业",[1]!s_info_industry_gics(W1129,2),IF($Y$3="wind三级行业",[1]!s_info_industry_gics(W1129,3),IF($Y$3="wind四级行业",[1]!s_info_industry_gics(W1129,4),IF($Y$3="证监会门类行业",[1]!s_info_industry_csrc12_n(W1129,公司分析!D$5,1),""))))))))</f>
        <v>装修建材</v>
      </c>
      <c r="Z1129" s="302" t="str">
        <f ca="1">IF(Y1129=行业比较!$E$6,ROW(),"")</f>
        <v/>
      </c>
      <c r="AA1129" s="122"/>
      <c r="AB1129" s="122"/>
      <c r="AC1129" s="122"/>
      <c r="AD1129" s="122"/>
      <c r="AE1129" s="122"/>
      <c r="AF1129" s="122"/>
      <c r="AG1129" s="122"/>
      <c r="AH1129" s="122"/>
      <c r="AI1129" s="122"/>
      <c r="AJ1129" s="122"/>
      <c r="AK1129" s="122"/>
      <c r="AL1129" s="122"/>
      <c r="AM1129" s="122"/>
      <c r="AN1129" s="122"/>
      <c r="AO1129" s="122"/>
      <c r="AP1129" s="122"/>
    </row>
    <row r="1130" spans="2:42">
      <c r="B1130" s="122"/>
      <c r="C1130" s="122"/>
      <c r="D1130" s="122"/>
      <c r="E1130" s="122"/>
      <c r="F1130" s="122"/>
      <c r="G1130" s="122"/>
      <c r="H1130" s="122"/>
      <c r="I1130" s="275"/>
      <c r="J1130" s="130"/>
      <c r="K1130" s="130"/>
      <c r="L1130" s="130"/>
      <c r="M1130" s="130"/>
      <c r="N1130" s="291"/>
      <c r="O1130" s="291"/>
      <c r="P1130" s="122"/>
      <c r="Q1130" s="122"/>
      <c r="R1130" s="122"/>
      <c r="S1130" s="122"/>
      <c r="T1130" s="122"/>
      <c r="U1130" s="301"/>
      <c r="V1130" s="260">
        <f t="shared" ca="1" si="25"/>
        <v>0</v>
      </c>
      <c r="W1130" s="348" t="str">
        <f>IF(板块成分!B1132="","",板块成分!B1132)</f>
        <v>002642.SZ</v>
      </c>
      <c r="X1130" s="276" t="str">
        <f>[1]!S_Info_Name(W1130)</f>
        <v>荣联科技</v>
      </c>
      <c r="Y1130" s="276" t="str">
        <f ca="1">IF($Y$3="申万一级行业",[1]!s_info_industry_sw_2021(W1130,公司分析!D$5,1),IF($Y$3="申万二级行业",[1]!s_info_industry_sw_2021(W1130,公司分析!D$5,2),IF($Y$3="申万三级行业",[1]!s_info_industry_sw_2021(W1130,公司分析!D$5,3),IF($Y$3="wind一级行业",[1]!s_info_industry_gics(W1130,1),IF($Y$3="wind二级行业",[1]!s_info_industry_gics(W1130,2),IF($Y$3="wind三级行业",[1]!s_info_industry_gics(W1130,3),IF($Y$3="wind四级行业",[1]!s_info_industry_gics(W1130,4),IF($Y$3="证监会门类行业",[1]!s_info_industry_csrc12_n(W1130,公司分析!D$5,1),""))))))))</f>
        <v>IT服务Ⅱ</v>
      </c>
      <c r="Z1130" s="302" t="str">
        <f ca="1">IF(Y1130=行业比较!$E$6,ROW(),"")</f>
        <v/>
      </c>
      <c r="AA1130" s="122"/>
      <c r="AB1130" s="122"/>
      <c r="AC1130" s="122"/>
      <c r="AD1130" s="122"/>
      <c r="AE1130" s="122"/>
      <c r="AF1130" s="122"/>
      <c r="AG1130" s="122"/>
      <c r="AH1130" s="122"/>
      <c r="AI1130" s="122"/>
      <c r="AJ1130" s="122"/>
      <c r="AK1130" s="122"/>
      <c r="AL1130" s="122"/>
      <c r="AM1130" s="122"/>
      <c r="AN1130" s="122"/>
      <c r="AO1130" s="122"/>
      <c r="AP1130" s="122"/>
    </row>
    <row r="1131" spans="2:42">
      <c r="B1131" s="122"/>
      <c r="C1131" s="122"/>
      <c r="D1131" s="122"/>
      <c r="E1131" s="122"/>
      <c r="F1131" s="122"/>
      <c r="G1131" s="122"/>
      <c r="H1131" s="122"/>
      <c r="I1131" s="275"/>
      <c r="J1131" s="130"/>
      <c r="K1131" s="130"/>
      <c r="L1131" s="130"/>
      <c r="M1131" s="130"/>
      <c r="N1131" s="291"/>
      <c r="O1131" s="291"/>
      <c r="P1131" s="122"/>
      <c r="Q1131" s="122"/>
      <c r="R1131" s="122"/>
      <c r="S1131" s="122"/>
      <c r="T1131" s="122"/>
      <c r="U1131" s="301"/>
      <c r="V1131" s="260">
        <f t="shared" ca="1" si="25"/>
        <v>0</v>
      </c>
      <c r="W1131" s="348" t="str">
        <f>IF(板块成分!B1133="","",板块成分!B1133)</f>
        <v>002643.SZ</v>
      </c>
      <c r="X1131" s="276" t="str">
        <f>[1]!S_Info_Name(W1131)</f>
        <v>万润股份</v>
      </c>
      <c r="Y1131" s="276" t="str">
        <f ca="1">IF($Y$3="申万一级行业",[1]!s_info_industry_sw_2021(W1131,公司分析!D$5,1),IF($Y$3="申万二级行业",[1]!s_info_industry_sw_2021(W1131,公司分析!D$5,2),IF($Y$3="申万三级行业",[1]!s_info_industry_sw_2021(W1131,公司分析!D$5,3),IF($Y$3="wind一级行业",[1]!s_info_industry_gics(W1131,1),IF($Y$3="wind二级行业",[1]!s_info_industry_gics(W1131,2),IF($Y$3="wind三级行业",[1]!s_info_industry_gics(W1131,3),IF($Y$3="wind四级行业",[1]!s_info_industry_gics(W1131,4),IF($Y$3="证监会门类行业",[1]!s_info_industry_csrc12_n(W1131,公司分析!D$5,1),""))))))))</f>
        <v>电子化学品Ⅱ</v>
      </c>
      <c r="Z1131" s="302" t="str">
        <f ca="1">IF(Y1131=行业比较!$E$6,ROW(),"")</f>
        <v/>
      </c>
      <c r="AA1131" s="122"/>
      <c r="AB1131" s="122"/>
      <c r="AC1131" s="122"/>
      <c r="AD1131" s="122"/>
      <c r="AE1131" s="122"/>
      <c r="AF1131" s="122"/>
      <c r="AG1131" s="122"/>
      <c r="AH1131" s="122"/>
      <c r="AI1131" s="122"/>
      <c r="AJ1131" s="122"/>
      <c r="AK1131" s="122"/>
      <c r="AL1131" s="122"/>
      <c r="AM1131" s="122"/>
      <c r="AN1131" s="122"/>
      <c r="AO1131" s="122"/>
      <c r="AP1131" s="122"/>
    </row>
    <row r="1132" spans="2:42">
      <c r="B1132" s="122"/>
      <c r="C1132" s="122"/>
      <c r="D1132" s="122"/>
      <c r="E1132" s="122"/>
      <c r="F1132" s="122"/>
      <c r="G1132" s="122"/>
      <c r="H1132" s="122"/>
      <c r="I1132" s="275"/>
      <c r="J1132" s="130"/>
      <c r="K1132" s="130"/>
      <c r="L1132" s="130"/>
      <c r="M1132" s="130"/>
      <c r="N1132" s="291"/>
      <c r="O1132" s="291"/>
      <c r="P1132" s="122"/>
      <c r="Q1132" s="122"/>
      <c r="R1132" s="122"/>
      <c r="S1132" s="122"/>
      <c r="T1132" s="122"/>
      <c r="U1132" s="301"/>
      <c r="V1132" s="260">
        <f t="shared" ca="1" si="25"/>
        <v>0</v>
      </c>
      <c r="W1132" s="348" t="str">
        <f>IF(板块成分!B1134="","",板块成分!B1134)</f>
        <v>002644.SZ</v>
      </c>
      <c r="X1132" s="276" t="str">
        <f>[1]!S_Info_Name(W1132)</f>
        <v>佛慈制药</v>
      </c>
      <c r="Y1132" s="276" t="str">
        <f ca="1">IF($Y$3="申万一级行业",[1]!s_info_industry_sw_2021(W1132,公司分析!D$5,1),IF($Y$3="申万二级行业",[1]!s_info_industry_sw_2021(W1132,公司分析!D$5,2),IF($Y$3="申万三级行业",[1]!s_info_industry_sw_2021(W1132,公司分析!D$5,3),IF($Y$3="wind一级行业",[1]!s_info_industry_gics(W1132,1),IF($Y$3="wind二级行业",[1]!s_info_industry_gics(W1132,2),IF($Y$3="wind三级行业",[1]!s_info_industry_gics(W1132,3),IF($Y$3="wind四级行业",[1]!s_info_industry_gics(W1132,4),IF($Y$3="证监会门类行业",[1]!s_info_industry_csrc12_n(W1132,公司分析!D$5,1),""))))))))</f>
        <v>中药Ⅱ</v>
      </c>
      <c r="Z1132" s="302" t="str">
        <f ca="1">IF(Y1132=行业比较!$E$6,ROW(),"")</f>
        <v/>
      </c>
      <c r="AA1132" s="122"/>
      <c r="AB1132" s="122"/>
      <c r="AC1132" s="122"/>
      <c r="AD1132" s="122"/>
      <c r="AE1132" s="122"/>
      <c r="AF1132" s="122"/>
      <c r="AG1132" s="122"/>
      <c r="AH1132" s="122"/>
      <c r="AI1132" s="122"/>
      <c r="AJ1132" s="122"/>
      <c r="AK1132" s="122"/>
      <c r="AL1132" s="122"/>
      <c r="AM1132" s="122"/>
      <c r="AN1132" s="122"/>
      <c r="AO1132" s="122"/>
      <c r="AP1132" s="122"/>
    </row>
    <row r="1133" spans="2:42">
      <c r="B1133" s="122"/>
      <c r="C1133" s="122"/>
      <c r="D1133" s="122"/>
      <c r="E1133" s="122"/>
      <c r="F1133" s="122"/>
      <c r="G1133" s="122"/>
      <c r="H1133" s="122"/>
      <c r="I1133" s="275"/>
      <c r="J1133" s="130"/>
      <c r="K1133" s="130"/>
      <c r="L1133" s="130"/>
      <c r="M1133" s="130"/>
      <c r="N1133" s="291"/>
      <c r="O1133" s="291"/>
      <c r="P1133" s="122"/>
      <c r="Q1133" s="122"/>
      <c r="R1133" s="122"/>
      <c r="S1133" s="122"/>
      <c r="T1133" s="122"/>
      <c r="U1133" s="301"/>
      <c r="V1133" s="260">
        <f t="shared" ca="1" si="25"/>
        <v>0</v>
      </c>
      <c r="W1133" s="348" t="str">
        <f>IF(板块成分!B1135="","",板块成分!B1135)</f>
        <v>002645.SZ</v>
      </c>
      <c r="X1133" s="276" t="str">
        <f>[1]!S_Info_Name(W1133)</f>
        <v>华宏科技</v>
      </c>
      <c r="Y1133" s="276" t="str">
        <f ca="1">IF($Y$3="申万一级行业",[1]!s_info_industry_sw_2021(W1133,公司分析!D$5,1),IF($Y$3="申万二级行业",[1]!s_info_industry_sw_2021(W1133,公司分析!D$5,2),IF($Y$3="申万三级行业",[1]!s_info_industry_sw_2021(W1133,公司分析!D$5,3),IF($Y$3="wind一级行业",[1]!s_info_industry_gics(W1133,1),IF($Y$3="wind二级行业",[1]!s_info_industry_gics(W1133,2),IF($Y$3="wind三级行业",[1]!s_info_industry_gics(W1133,3),IF($Y$3="wind四级行业",[1]!s_info_industry_gics(W1133,4),IF($Y$3="证监会门类行业",[1]!s_info_industry_csrc12_n(W1133,公司分析!D$5,1),""))))))))</f>
        <v>环保设备Ⅱ</v>
      </c>
      <c r="Z1133" s="302" t="str">
        <f ca="1">IF(Y1133=行业比较!$E$6,ROW(),"")</f>
        <v/>
      </c>
      <c r="AA1133" s="122"/>
      <c r="AB1133" s="122"/>
      <c r="AC1133" s="122"/>
      <c r="AD1133" s="122"/>
      <c r="AE1133" s="122"/>
      <c r="AF1133" s="122"/>
      <c r="AG1133" s="122"/>
      <c r="AH1133" s="122"/>
      <c r="AI1133" s="122"/>
      <c r="AJ1133" s="122"/>
      <c r="AK1133" s="122"/>
      <c r="AL1133" s="122"/>
      <c r="AM1133" s="122"/>
      <c r="AN1133" s="122"/>
      <c r="AO1133" s="122"/>
      <c r="AP1133" s="122"/>
    </row>
    <row r="1134" spans="2:42">
      <c r="B1134" s="122"/>
      <c r="C1134" s="122"/>
      <c r="D1134" s="122"/>
      <c r="E1134" s="122"/>
      <c r="F1134" s="122"/>
      <c r="G1134" s="122"/>
      <c r="H1134" s="122"/>
      <c r="I1134" s="275"/>
      <c r="J1134" s="130"/>
      <c r="K1134" s="130"/>
      <c r="L1134" s="130"/>
      <c r="M1134" s="130"/>
      <c r="N1134" s="291"/>
      <c r="O1134" s="291"/>
      <c r="P1134" s="122"/>
      <c r="Q1134" s="122"/>
      <c r="R1134" s="122"/>
      <c r="S1134" s="122"/>
      <c r="T1134" s="122"/>
      <c r="U1134" s="301"/>
      <c r="V1134" s="260">
        <f t="shared" ca="1" si="25"/>
        <v>0</v>
      </c>
      <c r="W1134" s="348" t="str">
        <f>IF(板块成分!B1136="","",板块成分!B1136)</f>
        <v>002646.SZ</v>
      </c>
      <c r="X1134" s="276" t="str">
        <f>[1]!S_Info_Name(W1134)</f>
        <v>天佑德酒</v>
      </c>
      <c r="Y1134" s="276" t="str">
        <f ca="1">IF($Y$3="申万一级行业",[1]!s_info_industry_sw_2021(W1134,公司分析!D$5,1),IF($Y$3="申万二级行业",[1]!s_info_industry_sw_2021(W1134,公司分析!D$5,2),IF($Y$3="申万三级行业",[1]!s_info_industry_sw_2021(W1134,公司分析!D$5,3),IF($Y$3="wind一级行业",[1]!s_info_industry_gics(W1134,1),IF($Y$3="wind二级行业",[1]!s_info_industry_gics(W1134,2),IF($Y$3="wind三级行业",[1]!s_info_industry_gics(W1134,3),IF($Y$3="wind四级行业",[1]!s_info_industry_gics(W1134,4),IF($Y$3="证监会门类行业",[1]!s_info_industry_csrc12_n(W1134,公司分析!D$5,1),""))))))))</f>
        <v>白酒Ⅱ</v>
      </c>
      <c r="Z1134" s="302" t="str">
        <f ca="1">IF(Y1134=行业比较!$E$6,ROW(),"")</f>
        <v/>
      </c>
      <c r="AA1134" s="122"/>
      <c r="AB1134" s="122"/>
      <c r="AC1134" s="122"/>
      <c r="AD1134" s="122"/>
      <c r="AE1134" s="122"/>
      <c r="AF1134" s="122"/>
      <c r="AG1134" s="122"/>
      <c r="AH1134" s="122"/>
      <c r="AI1134" s="122"/>
      <c r="AJ1134" s="122"/>
      <c r="AK1134" s="122"/>
      <c r="AL1134" s="122"/>
      <c r="AM1134" s="122"/>
      <c r="AN1134" s="122"/>
      <c r="AO1134" s="122"/>
      <c r="AP1134" s="122"/>
    </row>
    <row r="1135" spans="2:42">
      <c r="B1135" s="122"/>
      <c r="C1135" s="122"/>
      <c r="D1135" s="122"/>
      <c r="E1135" s="122"/>
      <c r="F1135" s="122"/>
      <c r="G1135" s="122"/>
      <c r="H1135" s="122"/>
      <c r="I1135" s="275"/>
      <c r="J1135" s="130"/>
      <c r="K1135" s="130"/>
      <c r="L1135" s="130"/>
      <c r="M1135" s="130"/>
      <c r="N1135" s="291"/>
      <c r="O1135" s="291"/>
      <c r="P1135" s="122"/>
      <c r="Q1135" s="122"/>
      <c r="R1135" s="122"/>
      <c r="S1135" s="122"/>
      <c r="T1135" s="122"/>
      <c r="U1135" s="301"/>
      <c r="V1135" s="260">
        <f t="shared" ca="1" si="25"/>
        <v>0</v>
      </c>
      <c r="W1135" s="348" t="str">
        <f>IF(板块成分!B1137="","",板块成分!B1137)</f>
        <v>002647.SZ</v>
      </c>
      <c r="X1135" s="276" t="str">
        <f>[1]!S_Info_Name(W1135)</f>
        <v>*ST仁东</v>
      </c>
      <c r="Y1135" s="276" t="str">
        <f ca="1">IF($Y$3="申万一级行业",[1]!s_info_industry_sw_2021(W1135,公司分析!D$5,1),IF($Y$3="申万二级行业",[1]!s_info_industry_sw_2021(W1135,公司分析!D$5,2),IF($Y$3="申万三级行业",[1]!s_info_industry_sw_2021(W1135,公司分析!D$5,3),IF($Y$3="wind一级行业",[1]!s_info_industry_gics(W1135,1),IF($Y$3="wind二级行业",[1]!s_info_industry_gics(W1135,2),IF($Y$3="wind三级行业",[1]!s_info_industry_gics(W1135,3),IF($Y$3="wind四级行业",[1]!s_info_industry_gics(W1135,4),IF($Y$3="证监会门类行业",[1]!s_info_industry_csrc12_n(W1135,公司分析!D$5,1),""))))))))</f>
        <v>多元金融</v>
      </c>
      <c r="Z1135" s="302" t="str">
        <f ca="1">IF(Y1135=行业比较!$E$6,ROW(),"")</f>
        <v/>
      </c>
      <c r="AA1135" s="122"/>
      <c r="AB1135" s="122"/>
      <c r="AC1135" s="122"/>
      <c r="AD1135" s="122"/>
      <c r="AE1135" s="122"/>
      <c r="AF1135" s="122"/>
      <c r="AG1135" s="122"/>
      <c r="AH1135" s="122"/>
      <c r="AI1135" s="122"/>
      <c r="AJ1135" s="122"/>
      <c r="AK1135" s="122"/>
      <c r="AL1135" s="122"/>
      <c r="AM1135" s="122"/>
      <c r="AN1135" s="122"/>
      <c r="AO1135" s="122"/>
      <c r="AP1135" s="122"/>
    </row>
    <row r="1136" spans="2:42">
      <c r="B1136" s="122"/>
      <c r="C1136" s="122"/>
      <c r="D1136" s="122"/>
      <c r="E1136" s="122"/>
      <c r="F1136" s="122"/>
      <c r="G1136" s="122"/>
      <c r="H1136" s="122"/>
      <c r="I1136" s="275"/>
      <c r="J1136" s="130"/>
      <c r="K1136" s="130"/>
      <c r="L1136" s="130"/>
      <c r="M1136" s="130"/>
      <c r="N1136" s="291"/>
      <c r="O1136" s="291"/>
      <c r="P1136" s="122"/>
      <c r="Q1136" s="122"/>
      <c r="R1136" s="122"/>
      <c r="S1136" s="122"/>
      <c r="T1136" s="122"/>
      <c r="U1136" s="301"/>
      <c r="V1136" s="260">
        <f t="shared" ca="1" si="25"/>
        <v>0</v>
      </c>
      <c r="W1136" s="348" t="str">
        <f>IF(板块成分!B1138="","",板块成分!B1138)</f>
        <v>002648.SZ</v>
      </c>
      <c r="X1136" s="276" t="str">
        <f>[1]!S_Info_Name(W1136)</f>
        <v>卫星化学</v>
      </c>
      <c r="Y1136" s="276" t="str">
        <f ca="1">IF($Y$3="申万一级行业",[1]!s_info_industry_sw_2021(W1136,公司分析!D$5,1),IF($Y$3="申万二级行业",[1]!s_info_industry_sw_2021(W1136,公司分析!D$5,2),IF($Y$3="申万三级行业",[1]!s_info_industry_sw_2021(W1136,公司分析!D$5,3),IF($Y$3="wind一级行业",[1]!s_info_industry_gics(W1136,1),IF($Y$3="wind二级行业",[1]!s_info_industry_gics(W1136,2),IF($Y$3="wind三级行业",[1]!s_info_industry_gics(W1136,3),IF($Y$3="wind四级行业",[1]!s_info_industry_gics(W1136,4),IF($Y$3="证监会门类行业",[1]!s_info_industry_csrc12_n(W1136,公司分析!D$5,1),""))))))))</f>
        <v>化学原料</v>
      </c>
      <c r="Z1136" s="302" t="str">
        <f ca="1">IF(Y1136=行业比较!$E$6,ROW(),"")</f>
        <v/>
      </c>
      <c r="AA1136" s="122"/>
      <c r="AB1136" s="122"/>
      <c r="AC1136" s="122"/>
      <c r="AD1136" s="122"/>
      <c r="AE1136" s="122"/>
      <c r="AF1136" s="122"/>
      <c r="AG1136" s="122"/>
      <c r="AH1136" s="122"/>
      <c r="AI1136" s="122"/>
      <c r="AJ1136" s="122"/>
      <c r="AK1136" s="122"/>
      <c r="AL1136" s="122"/>
      <c r="AM1136" s="122"/>
      <c r="AN1136" s="122"/>
      <c r="AO1136" s="122"/>
      <c r="AP1136" s="122"/>
    </row>
    <row r="1137" spans="2:42">
      <c r="B1137" s="122"/>
      <c r="C1137" s="122"/>
      <c r="D1137" s="122"/>
      <c r="E1137" s="122"/>
      <c r="F1137" s="122"/>
      <c r="G1137" s="122"/>
      <c r="H1137" s="122"/>
      <c r="I1137" s="275"/>
      <c r="J1137" s="130"/>
      <c r="K1137" s="130"/>
      <c r="L1137" s="130"/>
      <c r="M1137" s="130"/>
      <c r="N1137" s="291"/>
      <c r="O1137" s="291"/>
      <c r="P1137" s="122"/>
      <c r="Q1137" s="122"/>
      <c r="R1137" s="122"/>
      <c r="S1137" s="122"/>
      <c r="T1137" s="122"/>
      <c r="U1137" s="301"/>
      <c r="V1137" s="260">
        <f t="shared" ca="1" si="25"/>
        <v>0</v>
      </c>
      <c r="W1137" s="348" t="str">
        <f>IF(板块成分!B1139="","",板块成分!B1139)</f>
        <v>002649.SZ</v>
      </c>
      <c r="X1137" s="276" t="str">
        <f>[1]!S_Info_Name(W1137)</f>
        <v>博彦科技</v>
      </c>
      <c r="Y1137" s="276" t="str">
        <f ca="1">IF($Y$3="申万一级行业",[1]!s_info_industry_sw_2021(W1137,公司分析!D$5,1),IF($Y$3="申万二级行业",[1]!s_info_industry_sw_2021(W1137,公司分析!D$5,2),IF($Y$3="申万三级行业",[1]!s_info_industry_sw_2021(W1137,公司分析!D$5,3),IF($Y$3="wind一级行业",[1]!s_info_industry_gics(W1137,1),IF($Y$3="wind二级行业",[1]!s_info_industry_gics(W1137,2),IF($Y$3="wind三级行业",[1]!s_info_industry_gics(W1137,3),IF($Y$3="wind四级行业",[1]!s_info_industry_gics(W1137,4),IF($Y$3="证监会门类行业",[1]!s_info_industry_csrc12_n(W1137,公司分析!D$5,1),""))))))))</f>
        <v>IT服务Ⅱ</v>
      </c>
      <c r="Z1137" s="302" t="str">
        <f ca="1">IF(Y1137=行业比较!$E$6,ROW(),"")</f>
        <v/>
      </c>
      <c r="AA1137" s="122"/>
      <c r="AB1137" s="122"/>
      <c r="AC1137" s="122"/>
      <c r="AD1137" s="122"/>
      <c r="AE1137" s="122"/>
      <c r="AF1137" s="122"/>
      <c r="AG1137" s="122"/>
      <c r="AH1137" s="122"/>
      <c r="AI1137" s="122"/>
      <c r="AJ1137" s="122"/>
      <c r="AK1137" s="122"/>
      <c r="AL1137" s="122"/>
      <c r="AM1137" s="122"/>
      <c r="AN1137" s="122"/>
      <c r="AO1137" s="122"/>
      <c r="AP1137" s="122"/>
    </row>
    <row r="1138" spans="2:42">
      <c r="B1138" s="122"/>
      <c r="C1138" s="122"/>
      <c r="D1138" s="122"/>
      <c r="E1138" s="122"/>
      <c r="F1138" s="122"/>
      <c r="G1138" s="122"/>
      <c r="H1138" s="122"/>
      <c r="I1138" s="275"/>
      <c r="J1138" s="130"/>
      <c r="K1138" s="130"/>
      <c r="L1138" s="130"/>
      <c r="M1138" s="130"/>
      <c r="N1138" s="291"/>
      <c r="O1138" s="291"/>
      <c r="P1138" s="122"/>
      <c r="Q1138" s="122"/>
      <c r="R1138" s="122"/>
      <c r="S1138" s="122"/>
      <c r="T1138" s="122"/>
      <c r="U1138" s="301"/>
      <c r="V1138" s="260">
        <f t="shared" ca="1" si="25"/>
        <v>0</v>
      </c>
      <c r="W1138" s="348" t="str">
        <f>IF(板块成分!B1140="","",板块成分!B1140)</f>
        <v>002650.SZ</v>
      </c>
      <c r="X1138" s="276" t="str">
        <f>[1]!S_Info_Name(W1138)</f>
        <v>ST加加</v>
      </c>
      <c r="Y1138" s="276" t="str">
        <f ca="1">IF($Y$3="申万一级行业",[1]!s_info_industry_sw_2021(W1138,公司分析!D$5,1),IF($Y$3="申万二级行业",[1]!s_info_industry_sw_2021(W1138,公司分析!D$5,2),IF($Y$3="申万三级行业",[1]!s_info_industry_sw_2021(W1138,公司分析!D$5,3),IF($Y$3="wind一级行业",[1]!s_info_industry_gics(W1138,1),IF($Y$3="wind二级行业",[1]!s_info_industry_gics(W1138,2),IF($Y$3="wind三级行业",[1]!s_info_industry_gics(W1138,3),IF($Y$3="wind四级行业",[1]!s_info_industry_gics(W1138,4),IF($Y$3="证监会门类行业",[1]!s_info_industry_csrc12_n(W1138,公司分析!D$5,1),""))))))))</f>
        <v>调味发酵品Ⅱ</v>
      </c>
      <c r="Z1138" s="302" t="str">
        <f ca="1">IF(Y1138=行业比较!$E$6,ROW(),"")</f>
        <v/>
      </c>
      <c r="AA1138" s="122"/>
      <c r="AB1138" s="122"/>
      <c r="AC1138" s="122"/>
      <c r="AD1138" s="122"/>
      <c r="AE1138" s="122"/>
      <c r="AF1138" s="122"/>
      <c r="AG1138" s="122"/>
      <c r="AH1138" s="122"/>
      <c r="AI1138" s="122"/>
      <c r="AJ1138" s="122"/>
      <c r="AK1138" s="122"/>
      <c r="AL1138" s="122"/>
      <c r="AM1138" s="122"/>
      <c r="AN1138" s="122"/>
      <c r="AO1138" s="122"/>
      <c r="AP1138" s="122"/>
    </row>
    <row r="1139" spans="2:42">
      <c r="B1139" s="122"/>
      <c r="C1139" s="122"/>
      <c r="D1139" s="122"/>
      <c r="E1139" s="122"/>
      <c r="F1139" s="122"/>
      <c r="G1139" s="122"/>
      <c r="H1139" s="122"/>
      <c r="I1139" s="275"/>
      <c r="J1139" s="130"/>
      <c r="K1139" s="130"/>
      <c r="L1139" s="130"/>
      <c r="M1139" s="130"/>
      <c r="N1139" s="291"/>
      <c r="O1139" s="291"/>
      <c r="P1139" s="122"/>
      <c r="Q1139" s="122"/>
      <c r="R1139" s="122"/>
      <c r="S1139" s="122"/>
      <c r="T1139" s="122"/>
      <c r="U1139" s="301"/>
      <c r="V1139" s="260">
        <f t="shared" ca="1" si="25"/>
        <v>0</v>
      </c>
      <c r="W1139" s="348" t="str">
        <f>IF(板块成分!B1141="","",板块成分!B1141)</f>
        <v>002651.SZ</v>
      </c>
      <c r="X1139" s="276" t="str">
        <f>[1]!S_Info_Name(W1139)</f>
        <v>利君股份</v>
      </c>
      <c r="Y1139" s="276" t="str">
        <f ca="1">IF($Y$3="申万一级行业",[1]!s_info_industry_sw_2021(W1139,公司分析!D$5,1),IF($Y$3="申万二级行业",[1]!s_info_industry_sw_2021(W1139,公司分析!D$5,2),IF($Y$3="申万三级行业",[1]!s_info_industry_sw_2021(W1139,公司分析!D$5,3),IF($Y$3="wind一级行业",[1]!s_info_industry_gics(W1139,1),IF($Y$3="wind二级行业",[1]!s_info_industry_gics(W1139,2),IF($Y$3="wind三级行业",[1]!s_info_industry_gics(W1139,3),IF($Y$3="wind四级行业",[1]!s_info_industry_gics(W1139,4),IF($Y$3="证监会门类行业",[1]!s_info_industry_csrc12_n(W1139,公司分析!D$5,1),""))))))))</f>
        <v>航空装备Ⅱ</v>
      </c>
      <c r="Z1139" s="302" t="str">
        <f ca="1">IF(Y1139=行业比较!$E$6,ROW(),"")</f>
        <v/>
      </c>
      <c r="AA1139" s="122"/>
      <c r="AB1139" s="122"/>
      <c r="AC1139" s="122"/>
      <c r="AD1139" s="122"/>
      <c r="AE1139" s="122"/>
      <c r="AF1139" s="122"/>
      <c r="AG1139" s="122"/>
      <c r="AH1139" s="122"/>
      <c r="AI1139" s="122"/>
      <c r="AJ1139" s="122"/>
      <c r="AK1139" s="122"/>
      <c r="AL1139" s="122"/>
      <c r="AM1139" s="122"/>
      <c r="AN1139" s="122"/>
      <c r="AO1139" s="122"/>
      <c r="AP1139" s="122"/>
    </row>
    <row r="1140" spans="2:42">
      <c r="B1140" s="122"/>
      <c r="C1140" s="122"/>
      <c r="D1140" s="122"/>
      <c r="E1140" s="122"/>
      <c r="F1140" s="122"/>
      <c r="G1140" s="122"/>
      <c r="H1140" s="122"/>
      <c r="I1140" s="275"/>
      <c r="J1140" s="130"/>
      <c r="K1140" s="130"/>
      <c r="L1140" s="130"/>
      <c r="M1140" s="130"/>
      <c r="N1140" s="291"/>
      <c r="O1140" s="291"/>
      <c r="P1140" s="122"/>
      <c r="Q1140" s="122"/>
      <c r="R1140" s="122"/>
      <c r="S1140" s="122"/>
      <c r="T1140" s="122"/>
      <c r="U1140" s="301"/>
      <c r="V1140" s="260">
        <f t="shared" ca="1" si="25"/>
        <v>0</v>
      </c>
      <c r="W1140" s="348" t="str">
        <f>IF(板块成分!B1142="","",板块成分!B1142)</f>
        <v>002652.SZ</v>
      </c>
      <c r="X1140" s="276" t="str">
        <f>[1]!S_Info_Name(W1140)</f>
        <v>扬子新材</v>
      </c>
      <c r="Y1140" s="276" t="str">
        <f ca="1">IF($Y$3="申万一级行业",[1]!s_info_industry_sw_2021(W1140,公司分析!D$5,1),IF($Y$3="申万二级行业",[1]!s_info_industry_sw_2021(W1140,公司分析!D$5,2),IF($Y$3="申万三级行业",[1]!s_info_industry_sw_2021(W1140,公司分析!D$5,3),IF($Y$3="wind一级行业",[1]!s_info_industry_gics(W1140,1),IF($Y$3="wind二级行业",[1]!s_info_industry_gics(W1140,2),IF($Y$3="wind三级行业",[1]!s_info_industry_gics(W1140,3),IF($Y$3="wind四级行业",[1]!s_info_industry_gics(W1140,4),IF($Y$3="证监会门类行业",[1]!s_info_industry_csrc12_n(W1140,公司分析!D$5,1),""))))))))</f>
        <v>装修建材</v>
      </c>
      <c r="Z1140" s="302" t="str">
        <f ca="1">IF(Y1140=行业比较!$E$6,ROW(),"")</f>
        <v/>
      </c>
      <c r="AA1140" s="122"/>
      <c r="AB1140" s="122"/>
      <c r="AC1140" s="122"/>
      <c r="AD1140" s="122"/>
      <c r="AE1140" s="122"/>
      <c r="AF1140" s="122"/>
      <c r="AG1140" s="122"/>
      <c r="AH1140" s="122"/>
      <c r="AI1140" s="122"/>
      <c r="AJ1140" s="122"/>
      <c r="AK1140" s="122"/>
      <c r="AL1140" s="122"/>
      <c r="AM1140" s="122"/>
      <c r="AN1140" s="122"/>
      <c r="AO1140" s="122"/>
      <c r="AP1140" s="122"/>
    </row>
    <row r="1141" spans="2:42">
      <c r="B1141" s="122"/>
      <c r="C1141" s="122"/>
      <c r="D1141" s="122"/>
      <c r="E1141" s="122"/>
      <c r="F1141" s="122"/>
      <c r="G1141" s="122"/>
      <c r="H1141" s="122"/>
      <c r="I1141" s="275"/>
      <c r="J1141" s="130"/>
      <c r="K1141" s="130"/>
      <c r="L1141" s="130"/>
      <c r="M1141" s="130"/>
      <c r="N1141" s="291"/>
      <c r="O1141" s="291"/>
      <c r="P1141" s="122"/>
      <c r="Q1141" s="122"/>
      <c r="R1141" s="122"/>
      <c r="S1141" s="122"/>
      <c r="T1141" s="122"/>
      <c r="U1141" s="301"/>
      <c r="V1141" s="260">
        <f t="shared" ca="1" si="25"/>
        <v>0</v>
      </c>
      <c r="W1141" s="348" t="str">
        <f>IF(板块成分!B1143="","",板块成分!B1143)</f>
        <v>002653.SZ</v>
      </c>
      <c r="X1141" s="276" t="str">
        <f>[1]!S_Info_Name(W1141)</f>
        <v>海思科</v>
      </c>
      <c r="Y1141" s="276" t="str">
        <f ca="1">IF($Y$3="申万一级行业",[1]!s_info_industry_sw_2021(W1141,公司分析!D$5,1),IF($Y$3="申万二级行业",[1]!s_info_industry_sw_2021(W1141,公司分析!D$5,2),IF($Y$3="申万三级行业",[1]!s_info_industry_sw_2021(W1141,公司分析!D$5,3),IF($Y$3="wind一级行业",[1]!s_info_industry_gics(W1141,1),IF($Y$3="wind二级行业",[1]!s_info_industry_gics(W1141,2),IF($Y$3="wind三级行业",[1]!s_info_industry_gics(W1141,3),IF($Y$3="wind四级行业",[1]!s_info_industry_gics(W1141,4),IF($Y$3="证监会门类行业",[1]!s_info_industry_csrc12_n(W1141,公司分析!D$5,1),""))))))))</f>
        <v>化学制药</v>
      </c>
      <c r="Z1141" s="302" t="str">
        <f ca="1">IF(Y1141=行业比较!$E$6,ROW(),"")</f>
        <v/>
      </c>
      <c r="AA1141" s="122"/>
      <c r="AB1141" s="122"/>
      <c r="AC1141" s="122"/>
      <c r="AD1141" s="122"/>
      <c r="AE1141" s="122"/>
      <c r="AF1141" s="122"/>
      <c r="AG1141" s="122"/>
      <c r="AH1141" s="122"/>
      <c r="AI1141" s="122"/>
      <c r="AJ1141" s="122"/>
      <c r="AK1141" s="122"/>
      <c r="AL1141" s="122"/>
      <c r="AM1141" s="122"/>
      <c r="AN1141" s="122"/>
      <c r="AO1141" s="122"/>
      <c r="AP1141" s="122"/>
    </row>
    <row r="1142" spans="2:42">
      <c r="B1142" s="122"/>
      <c r="C1142" s="122"/>
      <c r="D1142" s="122"/>
      <c r="E1142" s="122"/>
      <c r="F1142" s="122"/>
      <c r="G1142" s="122"/>
      <c r="H1142" s="122"/>
      <c r="I1142" s="275"/>
      <c r="J1142" s="130"/>
      <c r="K1142" s="130"/>
      <c r="L1142" s="130"/>
      <c r="M1142" s="130"/>
      <c r="N1142" s="291"/>
      <c r="O1142" s="291"/>
      <c r="P1142" s="122"/>
      <c r="Q1142" s="122"/>
      <c r="R1142" s="122"/>
      <c r="S1142" s="122"/>
      <c r="T1142" s="122"/>
      <c r="U1142" s="301"/>
      <c r="V1142" s="260">
        <f t="shared" ca="1" si="25"/>
        <v>0</v>
      </c>
      <c r="W1142" s="348" t="str">
        <f>IF(板块成分!B1144="","",板块成分!B1144)</f>
        <v>002654.SZ</v>
      </c>
      <c r="X1142" s="276" t="str">
        <f>[1]!S_Info_Name(W1142)</f>
        <v>万润科技</v>
      </c>
      <c r="Y1142" s="276" t="str">
        <f ca="1">IF($Y$3="申万一级行业",[1]!s_info_industry_sw_2021(W1142,公司分析!D$5,1),IF($Y$3="申万二级行业",[1]!s_info_industry_sw_2021(W1142,公司分析!D$5,2),IF($Y$3="申万三级行业",[1]!s_info_industry_sw_2021(W1142,公司分析!D$5,3),IF($Y$3="wind一级行业",[1]!s_info_industry_gics(W1142,1),IF($Y$3="wind二级行业",[1]!s_info_industry_gics(W1142,2),IF($Y$3="wind三级行业",[1]!s_info_industry_gics(W1142,3),IF($Y$3="wind四级行业",[1]!s_info_industry_gics(W1142,4),IF($Y$3="证监会门类行业",[1]!s_info_industry_csrc12_n(W1142,公司分析!D$5,1),""))))))))</f>
        <v>光学光电子</v>
      </c>
      <c r="Z1142" s="302" t="str">
        <f ca="1">IF(Y1142=行业比较!$E$6,ROW(),"")</f>
        <v/>
      </c>
      <c r="AA1142" s="122"/>
      <c r="AB1142" s="122"/>
      <c r="AC1142" s="122"/>
      <c r="AD1142" s="122"/>
      <c r="AE1142" s="122"/>
      <c r="AF1142" s="122"/>
      <c r="AG1142" s="122"/>
      <c r="AH1142" s="122"/>
      <c r="AI1142" s="122"/>
      <c r="AJ1142" s="122"/>
      <c r="AK1142" s="122"/>
      <c r="AL1142" s="122"/>
      <c r="AM1142" s="122"/>
      <c r="AN1142" s="122"/>
      <c r="AO1142" s="122"/>
      <c r="AP1142" s="122"/>
    </row>
    <row r="1143" spans="2:42">
      <c r="B1143" s="122"/>
      <c r="C1143" s="122"/>
      <c r="D1143" s="122"/>
      <c r="E1143" s="122"/>
      <c r="F1143" s="122"/>
      <c r="G1143" s="122"/>
      <c r="H1143" s="122"/>
      <c r="I1143" s="275"/>
      <c r="J1143" s="130"/>
      <c r="K1143" s="130"/>
      <c r="L1143" s="130"/>
      <c r="M1143" s="130"/>
      <c r="N1143" s="291"/>
      <c r="O1143" s="291"/>
      <c r="P1143" s="122"/>
      <c r="Q1143" s="122"/>
      <c r="R1143" s="122"/>
      <c r="S1143" s="122"/>
      <c r="T1143" s="122"/>
      <c r="U1143" s="301"/>
      <c r="V1143" s="260">
        <f t="shared" ca="1" si="25"/>
        <v>0</v>
      </c>
      <c r="W1143" s="348" t="str">
        <f>IF(板块成分!B1145="","",板块成分!B1145)</f>
        <v>002655.SZ</v>
      </c>
      <c r="X1143" s="276" t="str">
        <f>[1]!S_Info_Name(W1143)</f>
        <v>共达电声</v>
      </c>
      <c r="Y1143" s="276" t="str">
        <f ca="1">IF($Y$3="申万一级行业",[1]!s_info_industry_sw_2021(W1143,公司分析!D$5,1),IF($Y$3="申万二级行业",[1]!s_info_industry_sw_2021(W1143,公司分析!D$5,2),IF($Y$3="申万三级行业",[1]!s_info_industry_sw_2021(W1143,公司分析!D$5,3),IF($Y$3="wind一级行业",[1]!s_info_industry_gics(W1143,1),IF($Y$3="wind二级行业",[1]!s_info_industry_gics(W1143,2),IF($Y$3="wind三级行业",[1]!s_info_industry_gics(W1143,3),IF($Y$3="wind四级行业",[1]!s_info_industry_gics(W1143,4),IF($Y$3="证监会门类行业",[1]!s_info_industry_csrc12_n(W1143,公司分析!D$5,1),""))))))))</f>
        <v>消费电子</v>
      </c>
      <c r="Z1143" s="302" t="str">
        <f ca="1">IF(Y1143=行业比较!$E$6,ROW(),"")</f>
        <v/>
      </c>
      <c r="AA1143" s="122"/>
      <c r="AB1143" s="122"/>
      <c r="AC1143" s="122"/>
      <c r="AD1143" s="122"/>
      <c r="AE1143" s="122"/>
      <c r="AF1143" s="122"/>
      <c r="AG1143" s="122"/>
      <c r="AH1143" s="122"/>
      <c r="AI1143" s="122"/>
      <c r="AJ1143" s="122"/>
      <c r="AK1143" s="122"/>
      <c r="AL1143" s="122"/>
      <c r="AM1143" s="122"/>
      <c r="AN1143" s="122"/>
      <c r="AO1143" s="122"/>
      <c r="AP1143" s="122"/>
    </row>
    <row r="1144" spans="2:42">
      <c r="B1144" s="122"/>
      <c r="C1144" s="122"/>
      <c r="D1144" s="122"/>
      <c r="E1144" s="122"/>
      <c r="F1144" s="122"/>
      <c r="G1144" s="122"/>
      <c r="H1144" s="122"/>
      <c r="I1144" s="275"/>
      <c r="J1144" s="130"/>
      <c r="K1144" s="130"/>
      <c r="L1144" s="130"/>
      <c r="M1144" s="130"/>
      <c r="N1144" s="291"/>
      <c r="O1144" s="291"/>
      <c r="P1144" s="122"/>
      <c r="Q1144" s="122"/>
      <c r="R1144" s="122"/>
      <c r="S1144" s="122"/>
      <c r="T1144" s="122"/>
      <c r="U1144" s="301"/>
      <c r="V1144" s="260">
        <f t="shared" ca="1" si="25"/>
        <v>0</v>
      </c>
      <c r="W1144" s="348" t="str">
        <f>IF(板块成分!B1146="","",板块成分!B1146)</f>
        <v>002656.SZ</v>
      </c>
      <c r="X1144" s="276" t="str">
        <f>[1]!S_Info_Name(W1144)</f>
        <v>*ST摩登</v>
      </c>
      <c r="Y1144" s="276" t="str">
        <f ca="1">IF($Y$3="申万一级行业",[1]!s_info_industry_sw_2021(W1144,公司分析!D$5,1),IF($Y$3="申万二级行业",[1]!s_info_industry_sw_2021(W1144,公司分析!D$5,2),IF($Y$3="申万三级行业",[1]!s_info_industry_sw_2021(W1144,公司分析!D$5,3),IF($Y$3="wind一级行业",[1]!s_info_industry_gics(W1144,1),IF($Y$3="wind二级行业",[1]!s_info_industry_gics(W1144,2),IF($Y$3="wind三级行业",[1]!s_info_industry_gics(W1144,3),IF($Y$3="wind四级行业",[1]!s_info_industry_gics(W1144,4),IF($Y$3="证监会门类行业",[1]!s_info_industry_csrc12_n(W1144,公司分析!D$5,1),""))))))))</f>
        <v>服装家纺</v>
      </c>
      <c r="Z1144" s="302" t="str">
        <f ca="1">IF(Y1144=行业比较!$E$6,ROW(),"")</f>
        <v/>
      </c>
      <c r="AA1144" s="122"/>
      <c r="AB1144" s="122"/>
      <c r="AC1144" s="122"/>
      <c r="AD1144" s="122"/>
      <c r="AE1144" s="122"/>
      <c r="AF1144" s="122"/>
      <c r="AG1144" s="122"/>
      <c r="AH1144" s="122"/>
      <c r="AI1144" s="122"/>
      <c r="AJ1144" s="122"/>
      <c r="AK1144" s="122"/>
      <c r="AL1144" s="122"/>
      <c r="AM1144" s="122"/>
      <c r="AN1144" s="122"/>
      <c r="AO1144" s="122"/>
      <c r="AP1144" s="122"/>
    </row>
    <row r="1145" spans="2:42">
      <c r="B1145" s="122"/>
      <c r="C1145" s="122"/>
      <c r="D1145" s="122"/>
      <c r="E1145" s="122"/>
      <c r="F1145" s="122"/>
      <c r="G1145" s="122"/>
      <c r="H1145" s="122"/>
      <c r="I1145" s="275"/>
      <c r="J1145" s="130"/>
      <c r="K1145" s="130"/>
      <c r="L1145" s="130"/>
      <c r="M1145" s="130"/>
      <c r="N1145" s="291"/>
      <c r="O1145" s="291"/>
      <c r="P1145" s="122"/>
      <c r="Q1145" s="122"/>
      <c r="R1145" s="122"/>
      <c r="S1145" s="122"/>
      <c r="T1145" s="122"/>
      <c r="U1145" s="301"/>
      <c r="V1145" s="260">
        <f t="shared" ca="1" si="25"/>
        <v>0</v>
      </c>
      <c r="W1145" s="348" t="str">
        <f>IF(板块成分!B1147="","",板块成分!B1147)</f>
        <v>002657.SZ</v>
      </c>
      <c r="X1145" s="276" t="str">
        <f>[1]!S_Info_Name(W1145)</f>
        <v>中科金财</v>
      </c>
      <c r="Y1145" s="276" t="str">
        <f ca="1">IF($Y$3="申万一级行业",[1]!s_info_industry_sw_2021(W1145,公司分析!D$5,1),IF($Y$3="申万二级行业",[1]!s_info_industry_sw_2021(W1145,公司分析!D$5,2),IF($Y$3="申万三级行业",[1]!s_info_industry_sw_2021(W1145,公司分析!D$5,3),IF($Y$3="wind一级行业",[1]!s_info_industry_gics(W1145,1),IF($Y$3="wind二级行业",[1]!s_info_industry_gics(W1145,2),IF($Y$3="wind三级行业",[1]!s_info_industry_gics(W1145,3),IF($Y$3="wind四级行业",[1]!s_info_industry_gics(W1145,4),IF($Y$3="证监会门类行业",[1]!s_info_industry_csrc12_n(W1145,公司分析!D$5,1),""))))))))</f>
        <v>IT服务Ⅱ</v>
      </c>
      <c r="Z1145" s="302" t="str">
        <f ca="1">IF(Y1145=行业比较!$E$6,ROW(),"")</f>
        <v/>
      </c>
      <c r="AA1145" s="122"/>
      <c r="AB1145" s="122"/>
      <c r="AC1145" s="122"/>
      <c r="AD1145" s="122"/>
      <c r="AE1145" s="122"/>
      <c r="AF1145" s="122"/>
      <c r="AG1145" s="122"/>
      <c r="AH1145" s="122"/>
      <c r="AI1145" s="122"/>
      <c r="AJ1145" s="122"/>
      <c r="AK1145" s="122"/>
      <c r="AL1145" s="122"/>
      <c r="AM1145" s="122"/>
      <c r="AN1145" s="122"/>
      <c r="AO1145" s="122"/>
      <c r="AP1145" s="122"/>
    </row>
    <row r="1146" spans="2:42">
      <c r="B1146" s="122"/>
      <c r="C1146" s="122"/>
      <c r="D1146" s="122"/>
      <c r="E1146" s="122"/>
      <c r="F1146" s="122"/>
      <c r="G1146" s="122"/>
      <c r="H1146" s="122"/>
      <c r="I1146" s="275"/>
      <c r="J1146" s="130"/>
      <c r="K1146" s="130"/>
      <c r="L1146" s="130"/>
      <c r="M1146" s="130"/>
      <c r="N1146" s="291"/>
      <c r="O1146" s="291"/>
      <c r="P1146" s="122"/>
      <c r="Q1146" s="122"/>
      <c r="R1146" s="122"/>
      <c r="S1146" s="122"/>
      <c r="T1146" s="122"/>
      <c r="U1146" s="301"/>
      <c r="V1146" s="260">
        <f t="shared" ca="1" si="25"/>
        <v>0</v>
      </c>
      <c r="W1146" s="348" t="str">
        <f>IF(板块成分!B1148="","",板块成分!B1148)</f>
        <v>002658.SZ</v>
      </c>
      <c r="X1146" s="276" t="str">
        <f>[1]!S_Info_Name(W1146)</f>
        <v>雪迪龙</v>
      </c>
      <c r="Y1146" s="276" t="str">
        <f ca="1">IF($Y$3="申万一级行业",[1]!s_info_industry_sw_2021(W1146,公司分析!D$5,1),IF($Y$3="申万二级行业",[1]!s_info_industry_sw_2021(W1146,公司分析!D$5,2),IF($Y$3="申万三级行业",[1]!s_info_industry_sw_2021(W1146,公司分析!D$5,3),IF($Y$3="wind一级行业",[1]!s_info_industry_gics(W1146,1),IF($Y$3="wind二级行业",[1]!s_info_industry_gics(W1146,2),IF($Y$3="wind三级行业",[1]!s_info_industry_gics(W1146,3),IF($Y$3="wind四级行业",[1]!s_info_industry_gics(W1146,4),IF($Y$3="证监会门类行业",[1]!s_info_industry_csrc12_n(W1146,公司分析!D$5,1),""))))))))</f>
        <v>环保设备Ⅱ</v>
      </c>
      <c r="Z1146" s="302" t="str">
        <f ca="1">IF(Y1146=行业比较!$E$6,ROW(),"")</f>
        <v/>
      </c>
      <c r="AA1146" s="122"/>
      <c r="AB1146" s="122"/>
      <c r="AC1146" s="122"/>
      <c r="AD1146" s="122"/>
      <c r="AE1146" s="122"/>
      <c r="AF1146" s="122"/>
      <c r="AG1146" s="122"/>
      <c r="AH1146" s="122"/>
      <c r="AI1146" s="122"/>
      <c r="AJ1146" s="122"/>
      <c r="AK1146" s="122"/>
      <c r="AL1146" s="122"/>
      <c r="AM1146" s="122"/>
      <c r="AN1146" s="122"/>
      <c r="AO1146" s="122"/>
      <c r="AP1146" s="122"/>
    </row>
    <row r="1147" spans="2:42">
      <c r="B1147" s="122"/>
      <c r="C1147" s="122"/>
      <c r="D1147" s="122"/>
      <c r="E1147" s="122"/>
      <c r="F1147" s="122"/>
      <c r="G1147" s="122"/>
      <c r="H1147" s="122"/>
      <c r="I1147" s="275"/>
      <c r="J1147" s="130"/>
      <c r="K1147" s="130"/>
      <c r="L1147" s="130"/>
      <c r="M1147" s="130"/>
      <c r="N1147" s="291"/>
      <c r="O1147" s="291"/>
      <c r="P1147" s="122"/>
      <c r="Q1147" s="122"/>
      <c r="R1147" s="122"/>
      <c r="S1147" s="122"/>
      <c r="T1147" s="122"/>
      <c r="U1147" s="301"/>
      <c r="V1147" s="260">
        <f t="shared" ca="1" si="25"/>
        <v>0</v>
      </c>
      <c r="W1147" s="348" t="str">
        <f>IF(板块成分!B1149="","",板块成分!B1149)</f>
        <v>002659.SZ</v>
      </c>
      <c r="X1147" s="276" t="str">
        <f>[1]!S_Info_Name(W1147)</f>
        <v>凯文教育</v>
      </c>
      <c r="Y1147" s="276" t="str">
        <f ca="1">IF($Y$3="申万一级行业",[1]!s_info_industry_sw_2021(W1147,公司分析!D$5,1),IF($Y$3="申万二级行业",[1]!s_info_industry_sw_2021(W1147,公司分析!D$5,2),IF($Y$3="申万三级行业",[1]!s_info_industry_sw_2021(W1147,公司分析!D$5,3),IF($Y$3="wind一级行业",[1]!s_info_industry_gics(W1147,1),IF($Y$3="wind二级行业",[1]!s_info_industry_gics(W1147,2),IF($Y$3="wind三级行业",[1]!s_info_industry_gics(W1147,3),IF($Y$3="wind四级行业",[1]!s_info_industry_gics(W1147,4),IF($Y$3="证监会门类行业",[1]!s_info_industry_csrc12_n(W1147,公司分析!D$5,1),""))))))))</f>
        <v>教育</v>
      </c>
      <c r="Z1147" s="302" t="str">
        <f ca="1">IF(Y1147=行业比较!$E$6,ROW(),"")</f>
        <v/>
      </c>
      <c r="AA1147" s="122"/>
      <c r="AB1147" s="122"/>
      <c r="AC1147" s="122"/>
      <c r="AD1147" s="122"/>
      <c r="AE1147" s="122"/>
      <c r="AF1147" s="122"/>
      <c r="AG1147" s="122"/>
      <c r="AH1147" s="122"/>
      <c r="AI1147" s="122"/>
      <c r="AJ1147" s="122"/>
      <c r="AK1147" s="122"/>
      <c r="AL1147" s="122"/>
      <c r="AM1147" s="122"/>
      <c r="AN1147" s="122"/>
      <c r="AO1147" s="122"/>
      <c r="AP1147" s="122"/>
    </row>
    <row r="1148" spans="2:42">
      <c r="B1148" s="122"/>
      <c r="C1148" s="122"/>
      <c r="D1148" s="122"/>
      <c r="E1148" s="122"/>
      <c r="F1148" s="122"/>
      <c r="G1148" s="122"/>
      <c r="H1148" s="122"/>
      <c r="I1148" s="275"/>
      <c r="J1148" s="130"/>
      <c r="K1148" s="130"/>
      <c r="L1148" s="130"/>
      <c r="M1148" s="130"/>
      <c r="N1148" s="291"/>
      <c r="O1148" s="291"/>
      <c r="P1148" s="122"/>
      <c r="Q1148" s="122"/>
      <c r="R1148" s="122"/>
      <c r="S1148" s="122"/>
      <c r="T1148" s="122"/>
      <c r="U1148" s="301"/>
      <c r="V1148" s="260">
        <f t="shared" ca="1" si="25"/>
        <v>0</v>
      </c>
      <c r="W1148" s="348" t="str">
        <f>IF(板块成分!B1150="","",板块成分!B1150)</f>
        <v>002660.SZ</v>
      </c>
      <c r="X1148" s="276" t="str">
        <f>[1]!S_Info_Name(W1148)</f>
        <v>茂硕电源</v>
      </c>
      <c r="Y1148" s="276" t="str">
        <f ca="1">IF($Y$3="申万一级行业",[1]!s_info_industry_sw_2021(W1148,公司分析!D$5,1),IF($Y$3="申万二级行业",[1]!s_info_industry_sw_2021(W1148,公司分析!D$5,2),IF($Y$3="申万三级行业",[1]!s_info_industry_sw_2021(W1148,公司分析!D$5,3),IF($Y$3="wind一级行业",[1]!s_info_industry_gics(W1148,1),IF($Y$3="wind二级行业",[1]!s_info_industry_gics(W1148,2),IF($Y$3="wind三级行业",[1]!s_info_industry_gics(W1148,3),IF($Y$3="wind四级行业",[1]!s_info_industry_gics(W1148,4),IF($Y$3="证监会门类行业",[1]!s_info_industry_csrc12_n(W1148,公司分析!D$5,1),""))))))))</f>
        <v>消费电子</v>
      </c>
      <c r="Z1148" s="302" t="str">
        <f ca="1">IF(Y1148=行业比较!$E$6,ROW(),"")</f>
        <v/>
      </c>
      <c r="AA1148" s="122"/>
      <c r="AB1148" s="122"/>
      <c r="AC1148" s="122"/>
      <c r="AD1148" s="122"/>
      <c r="AE1148" s="122"/>
      <c r="AF1148" s="122"/>
      <c r="AG1148" s="122"/>
      <c r="AH1148" s="122"/>
      <c r="AI1148" s="122"/>
      <c r="AJ1148" s="122"/>
      <c r="AK1148" s="122"/>
      <c r="AL1148" s="122"/>
      <c r="AM1148" s="122"/>
      <c r="AN1148" s="122"/>
      <c r="AO1148" s="122"/>
      <c r="AP1148" s="122"/>
    </row>
    <row r="1149" spans="2:42">
      <c r="B1149" s="122"/>
      <c r="C1149" s="122"/>
      <c r="D1149" s="122"/>
      <c r="E1149" s="122"/>
      <c r="F1149" s="122"/>
      <c r="G1149" s="122"/>
      <c r="H1149" s="122"/>
      <c r="I1149" s="275"/>
      <c r="J1149" s="130"/>
      <c r="K1149" s="130"/>
      <c r="L1149" s="130"/>
      <c r="M1149" s="130"/>
      <c r="N1149" s="291"/>
      <c r="O1149" s="291"/>
      <c r="P1149" s="122"/>
      <c r="Q1149" s="122"/>
      <c r="R1149" s="122"/>
      <c r="S1149" s="122"/>
      <c r="T1149" s="122"/>
      <c r="U1149" s="301"/>
      <c r="V1149" s="260">
        <f t="shared" ca="1" si="25"/>
        <v>0</v>
      </c>
      <c r="W1149" s="348" t="str">
        <f>IF(板块成分!B1151="","",板块成分!B1151)</f>
        <v>002661.SZ</v>
      </c>
      <c r="X1149" s="276" t="str">
        <f>[1]!S_Info_Name(W1149)</f>
        <v>克明食品</v>
      </c>
      <c r="Y1149" s="276" t="str">
        <f ca="1">IF($Y$3="申万一级行业",[1]!s_info_industry_sw_2021(W1149,公司分析!D$5,1),IF($Y$3="申万二级行业",[1]!s_info_industry_sw_2021(W1149,公司分析!D$5,2),IF($Y$3="申万三级行业",[1]!s_info_industry_sw_2021(W1149,公司分析!D$5,3),IF($Y$3="wind一级行业",[1]!s_info_industry_gics(W1149,1),IF($Y$3="wind二级行业",[1]!s_info_industry_gics(W1149,2),IF($Y$3="wind三级行业",[1]!s_info_industry_gics(W1149,3),IF($Y$3="wind四级行业",[1]!s_info_industry_gics(W1149,4),IF($Y$3="证监会门类行业",[1]!s_info_industry_csrc12_n(W1149,公司分析!D$5,1),""))))))))</f>
        <v>食品加工</v>
      </c>
      <c r="Z1149" s="302" t="str">
        <f ca="1">IF(Y1149=行业比较!$E$6,ROW(),"")</f>
        <v/>
      </c>
      <c r="AA1149" s="122"/>
      <c r="AB1149" s="122"/>
      <c r="AC1149" s="122"/>
      <c r="AD1149" s="122"/>
      <c r="AE1149" s="122"/>
      <c r="AF1149" s="122"/>
      <c r="AG1149" s="122"/>
      <c r="AH1149" s="122"/>
      <c r="AI1149" s="122"/>
      <c r="AJ1149" s="122"/>
      <c r="AK1149" s="122"/>
      <c r="AL1149" s="122"/>
      <c r="AM1149" s="122"/>
      <c r="AN1149" s="122"/>
      <c r="AO1149" s="122"/>
      <c r="AP1149" s="122"/>
    </row>
    <row r="1150" spans="2:42">
      <c r="B1150" s="122"/>
      <c r="C1150" s="122"/>
      <c r="D1150" s="122"/>
      <c r="E1150" s="122"/>
      <c r="F1150" s="122"/>
      <c r="G1150" s="122"/>
      <c r="H1150" s="122"/>
      <c r="I1150" s="275"/>
      <c r="J1150" s="130"/>
      <c r="K1150" s="130"/>
      <c r="L1150" s="130"/>
      <c r="M1150" s="130"/>
      <c r="N1150" s="291"/>
      <c r="O1150" s="291"/>
      <c r="P1150" s="122"/>
      <c r="Q1150" s="122"/>
      <c r="R1150" s="122"/>
      <c r="S1150" s="122"/>
      <c r="T1150" s="122"/>
      <c r="U1150" s="301"/>
      <c r="V1150" s="260">
        <f t="shared" ca="1" si="25"/>
        <v>0</v>
      </c>
      <c r="W1150" s="348" t="str">
        <f>IF(板块成分!B1152="","",板块成分!B1152)</f>
        <v>002662.SZ</v>
      </c>
      <c r="X1150" s="276" t="str">
        <f>[1]!S_Info_Name(W1150)</f>
        <v>峰璟股份</v>
      </c>
      <c r="Y1150" s="276" t="str">
        <f ca="1">IF($Y$3="申万一级行业",[1]!s_info_industry_sw_2021(W1150,公司分析!D$5,1),IF($Y$3="申万二级行业",[1]!s_info_industry_sw_2021(W1150,公司分析!D$5,2),IF($Y$3="申万三级行业",[1]!s_info_industry_sw_2021(W1150,公司分析!D$5,3),IF($Y$3="wind一级行业",[1]!s_info_industry_gics(W1150,1),IF($Y$3="wind二级行业",[1]!s_info_industry_gics(W1150,2),IF($Y$3="wind三级行业",[1]!s_info_industry_gics(W1150,3),IF($Y$3="wind四级行业",[1]!s_info_industry_gics(W1150,4),IF($Y$3="证监会门类行业",[1]!s_info_industry_csrc12_n(W1150,公司分析!D$5,1),""))))))))</f>
        <v>汽车零部件</v>
      </c>
      <c r="Z1150" s="302" t="str">
        <f ca="1">IF(Y1150=行业比较!$E$6,ROW(),"")</f>
        <v/>
      </c>
      <c r="AA1150" s="122"/>
      <c r="AB1150" s="122"/>
      <c r="AC1150" s="122"/>
      <c r="AD1150" s="122"/>
      <c r="AE1150" s="122"/>
      <c r="AF1150" s="122"/>
      <c r="AG1150" s="122"/>
      <c r="AH1150" s="122"/>
      <c r="AI1150" s="122"/>
      <c r="AJ1150" s="122"/>
      <c r="AK1150" s="122"/>
      <c r="AL1150" s="122"/>
      <c r="AM1150" s="122"/>
      <c r="AN1150" s="122"/>
      <c r="AO1150" s="122"/>
      <c r="AP1150" s="122"/>
    </row>
    <row r="1151" spans="2:42">
      <c r="B1151" s="122"/>
      <c r="C1151" s="122"/>
      <c r="D1151" s="122"/>
      <c r="E1151" s="122"/>
      <c r="F1151" s="122"/>
      <c r="G1151" s="122"/>
      <c r="H1151" s="122"/>
      <c r="I1151" s="275"/>
      <c r="J1151" s="130"/>
      <c r="K1151" s="130"/>
      <c r="L1151" s="130"/>
      <c r="M1151" s="130"/>
      <c r="N1151" s="291"/>
      <c r="O1151" s="291"/>
      <c r="P1151" s="122"/>
      <c r="Q1151" s="122"/>
      <c r="R1151" s="122"/>
      <c r="S1151" s="122"/>
      <c r="T1151" s="122"/>
      <c r="U1151" s="301"/>
      <c r="V1151" s="260">
        <f t="shared" ca="1" si="25"/>
        <v>0</v>
      </c>
      <c r="W1151" s="348" t="str">
        <f>IF(板块成分!B1153="","",板块成分!B1153)</f>
        <v>002663.SZ</v>
      </c>
      <c r="X1151" s="276" t="str">
        <f>[1]!S_Info_Name(W1151)</f>
        <v>普邦股份</v>
      </c>
      <c r="Y1151" s="276" t="str">
        <f ca="1">IF($Y$3="申万一级行业",[1]!s_info_industry_sw_2021(W1151,公司分析!D$5,1),IF($Y$3="申万二级行业",[1]!s_info_industry_sw_2021(W1151,公司分析!D$5,2),IF($Y$3="申万三级行业",[1]!s_info_industry_sw_2021(W1151,公司分析!D$5,3),IF($Y$3="wind一级行业",[1]!s_info_industry_gics(W1151,1),IF($Y$3="wind二级行业",[1]!s_info_industry_gics(W1151,2),IF($Y$3="wind三级行业",[1]!s_info_industry_gics(W1151,3),IF($Y$3="wind四级行业",[1]!s_info_industry_gics(W1151,4),IF($Y$3="证监会门类行业",[1]!s_info_industry_csrc12_n(W1151,公司分析!D$5,1),""))))))))</f>
        <v>基础建设</v>
      </c>
      <c r="Z1151" s="302" t="str">
        <f ca="1">IF(Y1151=行业比较!$E$6,ROW(),"")</f>
        <v/>
      </c>
      <c r="AA1151" s="122"/>
      <c r="AB1151" s="122"/>
      <c r="AC1151" s="122"/>
      <c r="AD1151" s="122"/>
      <c r="AE1151" s="122"/>
      <c r="AF1151" s="122"/>
      <c r="AG1151" s="122"/>
      <c r="AH1151" s="122"/>
      <c r="AI1151" s="122"/>
      <c r="AJ1151" s="122"/>
      <c r="AK1151" s="122"/>
      <c r="AL1151" s="122"/>
      <c r="AM1151" s="122"/>
      <c r="AN1151" s="122"/>
      <c r="AO1151" s="122"/>
      <c r="AP1151" s="122"/>
    </row>
    <row r="1152" spans="2:42">
      <c r="B1152" s="122"/>
      <c r="C1152" s="122"/>
      <c r="D1152" s="122"/>
      <c r="E1152" s="122"/>
      <c r="F1152" s="122"/>
      <c r="G1152" s="122"/>
      <c r="H1152" s="122"/>
      <c r="I1152" s="275"/>
      <c r="J1152" s="130"/>
      <c r="K1152" s="130"/>
      <c r="L1152" s="130"/>
      <c r="M1152" s="130"/>
      <c r="N1152" s="291"/>
      <c r="O1152" s="291"/>
      <c r="P1152" s="122"/>
      <c r="Q1152" s="122"/>
      <c r="R1152" s="122"/>
      <c r="S1152" s="122"/>
      <c r="T1152" s="122"/>
      <c r="U1152" s="301"/>
      <c r="V1152" s="260">
        <f t="shared" ca="1" si="25"/>
        <v>0</v>
      </c>
      <c r="W1152" s="348" t="str">
        <f>IF(板块成分!B1154="","",板块成分!B1154)</f>
        <v>002664.SZ</v>
      </c>
      <c r="X1152" s="276" t="str">
        <f>[1]!S_Info_Name(W1152)</f>
        <v>信质集团</v>
      </c>
      <c r="Y1152" s="276" t="str">
        <f ca="1">IF($Y$3="申万一级行业",[1]!s_info_industry_sw_2021(W1152,公司分析!D$5,1),IF($Y$3="申万二级行业",[1]!s_info_industry_sw_2021(W1152,公司分析!D$5,2),IF($Y$3="申万三级行业",[1]!s_info_industry_sw_2021(W1152,公司分析!D$5,3),IF($Y$3="wind一级行业",[1]!s_info_industry_gics(W1152,1),IF($Y$3="wind二级行业",[1]!s_info_industry_gics(W1152,2),IF($Y$3="wind三级行业",[1]!s_info_industry_gics(W1152,3),IF($Y$3="wind四级行业",[1]!s_info_industry_gics(W1152,4),IF($Y$3="证监会门类行业",[1]!s_info_industry_csrc12_n(W1152,公司分析!D$5,1),""))))))))</f>
        <v>汽车零部件</v>
      </c>
      <c r="Z1152" s="302" t="str">
        <f ca="1">IF(Y1152=行业比较!$E$6,ROW(),"")</f>
        <v/>
      </c>
      <c r="AA1152" s="122"/>
      <c r="AB1152" s="122"/>
      <c r="AC1152" s="122"/>
      <c r="AD1152" s="122"/>
      <c r="AE1152" s="122"/>
      <c r="AF1152" s="122"/>
      <c r="AG1152" s="122"/>
      <c r="AH1152" s="122"/>
      <c r="AI1152" s="122"/>
      <c r="AJ1152" s="122"/>
      <c r="AK1152" s="122"/>
      <c r="AL1152" s="122"/>
      <c r="AM1152" s="122"/>
      <c r="AN1152" s="122"/>
      <c r="AO1152" s="122"/>
      <c r="AP1152" s="122"/>
    </row>
    <row r="1153" spans="2:42">
      <c r="B1153" s="122"/>
      <c r="C1153" s="122"/>
      <c r="D1153" s="122"/>
      <c r="E1153" s="122"/>
      <c r="F1153" s="122"/>
      <c r="G1153" s="122"/>
      <c r="H1153" s="122"/>
      <c r="I1153" s="275"/>
      <c r="J1153" s="130"/>
      <c r="K1153" s="130"/>
      <c r="L1153" s="130"/>
      <c r="M1153" s="130"/>
      <c r="N1153" s="291"/>
      <c r="O1153" s="291"/>
      <c r="P1153" s="122"/>
      <c r="Q1153" s="122"/>
      <c r="R1153" s="122"/>
      <c r="S1153" s="122"/>
      <c r="T1153" s="122"/>
      <c r="U1153" s="301"/>
      <c r="V1153" s="260">
        <f t="shared" ca="1" si="25"/>
        <v>0</v>
      </c>
      <c r="W1153" s="348" t="str">
        <f>IF(板块成分!B1155="","",板块成分!B1155)</f>
        <v>002666.SZ</v>
      </c>
      <c r="X1153" s="276" t="str">
        <f>[1]!S_Info_Name(W1153)</f>
        <v>德联集团</v>
      </c>
      <c r="Y1153" s="276" t="str">
        <f ca="1">IF($Y$3="申万一级行业",[1]!s_info_industry_sw_2021(W1153,公司分析!D$5,1),IF($Y$3="申万二级行业",[1]!s_info_industry_sw_2021(W1153,公司分析!D$5,2),IF($Y$3="申万三级行业",[1]!s_info_industry_sw_2021(W1153,公司分析!D$5,3),IF($Y$3="wind一级行业",[1]!s_info_industry_gics(W1153,1),IF($Y$3="wind二级行业",[1]!s_info_industry_gics(W1153,2),IF($Y$3="wind三级行业",[1]!s_info_industry_gics(W1153,3),IF($Y$3="wind四级行业",[1]!s_info_industry_gics(W1153,4),IF($Y$3="证监会门类行业",[1]!s_info_industry_csrc12_n(W1153,公司分析!D$5,1),""))))))))</f>
        <v>化学制品</v>
      </c>
      <c r="Z1153" s="302" t="str">
        <f ca="1">IF(Y1153=行业比较!$E$6,ROW(),"")</f>
        <v/>
      </c>
      <c r="AA1153" s="122"/>
      <c r="AB1153" s="122"/>
      <c r="AC1153" s="122"/>
      <c r="AD1153" s="122"/>
      <c r="AE1153" s="122"/>
      <c r="AF1153" s="122"/>
      <c r="AG1153" s="122"/>
      <c r="AH1153" s="122"/>
      <c r="AI1153" s="122"/>
      <c r="AJ1153" s="122"/>
      <c r="AK1153" s="122"/>
      <c r="AL1153" s="122"/>
      <c r="AM1153" s="122"/>
      <c r="AN1153" s="122"/>
      <c r="AO1153" s="122"/>
      <c r="AP1153" s="122"/>
    </row>
    <row r="1154" spans="2:42">
      <c r="B1154" s="122"/>
      <c r="C1154" s="122"/>
      <c r="D1154" s="122"/>
      <c r="E1154" s="122"/>
      <c r="F1154" s="122"/>
      <c r="G1154" s="122"/>
      <c r="H1154" s="122"/>
      <c r="I1154" s="275"/>
      <c r="J1154" s="130"/>
      <c r="K1154" s="130"/>
      <c r="L1154" s="130"/>
      <c r="M1154" s="130"/>
      <c r="N1154" s="291"/>
      <c r="O1154" s="291"/>
      <c r="P1154" s="122"/>
      <c r="Q1154" s="122"/>
      <c r="R1154" s="122"/>
      <c r="S1154" s="122"/>
      <c r="T1154" s="122"/>
      <c r="U1154" s="301"/>
      <c r="V1154" s="260">
        <f t="shared" ca="1" si="25"/>
        <v>0</v>
      </c>
      <c r="W1154" s="348" t="str">
        <f>IF(板块成分!B1156="","",板块成分!B1156)</f>
        <v>002667.SZ</v>
      </c>
      <c r="X1154" s="276" t="str">
        <f>[1]!S_Info_Name(W1154)</f>
        <v>威领股份</v>
      </c>
      <c r="Y1154" s="276" t="str">
        <f ca="1">IF($Y$3="申万一级行业",[1]!s_info_industry_sw_2021(W1154,公司分析!D$5,1),IF($Y$3="申万二级行业",[1]!s_info_industry_sw_2021(W1154,公司分析!D$5,2),IF($Y$3="申万三级行业",[1]!s_info_industry_sw_2021(W1154,公司分析!D$5,3),IF($Y$3="wind一级行业",[1]!s_info_industry_gics(W1154,1),IF($Y$3="wind二级行业",[1]!s_info_industry_gics(W1154,2),IF($Y$3="wind三级行业",[1]!s_info_industry_gics(W1154,3),IF($Y$3="wind四级行业",[1]!s_info_industry_gics(W1154,4),IF($Y$3="证监会门类行业",[1]!s_info_industry_csrc12_n(W1154,公司分析!D$5,1),""))))))))</f>
        <v>专用设备</v>
      </c>
      <c r="Z1154" s="302" t="str">
        <f ca="1">IF(Y1154=行业比较!$E$6,ROW(),"")</f>
        <v/>
      </c>
      <c r="AA1154" s="122"/>
      <c r="AB1154" s="122"/>
      <c r="AC1154" s="122"/>
      <c r="AD1154" s="122"/>
      <c r="AE1154" s="122"/>
      <c r="AF1154" s="122"/>
      <c r="AG1154" s="122"/>
      <c r="AH1154" s="122"/>
      <c r="AI1154" s="122"/>
      <c r="AJ1154" s="122"/>
      <c r="AK1154" s="122"/>
      <c r="AL1154" s="122"/>
      <c r="AM1154" s="122"/>
      <c r="AN1154" s="122"/>
      <c r="AO1154" s="122"/>
      <c r="AP1154" s="122"/>
    </row>
    <row r="1155" spans="2:42">
      <c r="B1155" s="122"/>
      <c r="C1155" s="122"/>
      <c r="D1155" s="122"/>
      <c r="E1155" s="122"/>
      <c r="F1155" s="122"/>
      <c r="G1155" s="122"/>
      <c r="H1155" s="122"/>
      <c r="I1155" s="275"/>
      <c r="J1155" s="130"/>
      <c r="K1155" s="130"/>
      <c r="L1155" s="130"/>
      <c r="M1155" s="130"/>
      <c r="N1155" s="291"/>
      <c r="O1155" s="291"/>
      <c r="P1155" s="122"/>
      <c r="Q1155" s="122"/>
      <c r="R1155" s="122"/>
      <c r="S1155" s="122"/>
      <c r="T1155" s="122"/>
      <c r="U1155" s="301"/>
      <c r="V1155" s="260">
        <f t="shared" ca="1" si="25"/>
        <v>0</v>
      </c>
      <c r="W1155" s="348" t="str">
        <f>IF(板块成分!B1157="","",板块成分!B1157)</f>
        <v>002668.SZ</v>
      </c>
      <c r="X1155" s="276" t="str">
        <f>[1]!S_Info_Name(W1155)</f>
        <v>TCL智家</v>
      </c>
      <c r="Y1155" s="276" t="str">
        <f ca="1">IF($Y$3="申万一级行业",[1]!s_info_industry_sw_2021(W1155,公司分析!D$5,1),IF($Y$3="申万二级行业",[1]!s_info_industry_sw_2021(W1155,公司分析!D$5,2),IF($Y$3="申万三级行业",[1]!s_info_industry_sw_2021(W1155,公司分析!D$5,3),IF($Y$3="wind一级行业",[1]!s_info_industry_gics(W1155,1),IF($Y$3="wind二级行业",[1]!s_info_industry_gics(W1155,2),IF($Y$3="wind三级行业",[1]!s_info_industry_gics(W1155,3),IF($Y$3="wind四级行业",[1]!s_info_industry_gics(W1155,4),IF($Y$3="证监会门类行业",[1]!s_info_industry_csrc12_n(W1155,公司分析!D$5,1),""))))))))</f>
        <v>白色家电</v>
      </c>
      <c r="Z1155" s="302" t="str">
        <f ca="1">IF(Y1155=行业比较!$E$6,ROW(),"")</f>
        <v/>
      </c>
      <c r="AA1155" s="122"/>
      <c r="AB1155" s="122"/>
      <c r="AC1155" s="122"/>
      <c r="AD1155" s="122"/>
      <c r="AE1155" s="122"/>
      <c r="AF1155" s="122"/>
      <c r="AG1155" s="122"/>
      <c r="AH1155" s="122"/>
      <c r="AI1155" s="122"/>
      <c r="AJ1155" s="122"/>
      <c r="AK1155" s="122"/>
      <c r="AL1155" s="122"/>
      <c r="AM1155" s="122"/>
      <c r="AN1155" s="122"/>
      <c r="AO1155" s="122"/>
      <c r="AP1155" s="122"/>
    </row>
    <row r="1156" spans="2:42">
      <c r="B1156" s="122"/>
      <c r="C1156" s="122"/>
      <c r="D1156" s="122"/>
      <c r="E1156" s="122"/>
      <c r="F1156" s="122"/>
      <c r="G1156" s="122"/>
      <c r="H1156" s="122"/>
      <c r="I1156" s="275"/>
      <c r="J1156" s="130"/>
      <c r="K1156" s="130"/>
      <c r="L1156" s="130"/>
      <c r="M1156" s="130"/>
      <c r="N1156" s="291"/>
      <c r="O1156" s="291"/>
      <c r="P1156" s="122"/>
      <c r="Q1156" s="122"/>
      <c r="R1156" s="122"/>
      <c r="S1156" s="122"/>
      <c r="T1156" s="122"/>
      <c r="U1156" s="301"/>
      <c r="V1156" s="260">
        <f t="shared" ca="1" si="25"/>
        <v>0</v>
      </c>
      <c r="W1156" s="348" t="str">
        <f>IF(板块成分!B1158="","",板块成分!B1158)</f>
        <v>002669.SZ</v>
      </c>
      <c r="X1156" s="276" t="str">
        <f>[1]!S_Info_Name(W1156)</f>
        <v>康达新材</v>
      </c>
      <c r="Y1156" s="276" t="str">
        <f ca="1">IF($Y$3="申万一级行业",[1]!s_info_industry_sw_2021(W1156,公司分析!D$5,1),IF($Y$3="申万二级行业",[1]!s_info_industry_sw_2021(W1156,公司分析!D$5,2),IF($Y$3="申万三级行业",[1]!s_info_industry_sw_2021(W1156,公司分析!D$5,3),IF($Y$3="wind一级行业",[1]!s_info_industry_gics(W1156,1),IF($Y$3="wind二级行业",[1]!s_info_industry_gics(W1156,2),IF($Y$3="wind三级行业",[1]!s_info_industry_gics(W1156,3),IF($Y$3="wind四级行业",[1]!s_info_industry_gics(W1156,4),IF($Y$3="证监会门类行业",[1]!s_info_industry_csrc12_n(W1156,公司分析!D$5,1),""))))))))</f>
        <v>化学制品</v>
      </c>
      <c r="Z1156" s="302" t="str">
        <f ca="1">IF(Y1156=行业比较!$E$6,ROW(),"")</f>
        <v/>
      </c>
      <c r="AA1156" s="122"/>
      <c r="AB1156" s="122"/>
      <c r="AC1156" s="122"/>
      <c r="AD1156" s="122"/>
      <c r="AE1156" s="122"/>
      <c r="AF1156" s="122"/>
      <c r="AG1156" s="122"/>
      <c r="AH1156" s="122"/>
      <c r="AI1156" s="122"/>
      <c r="AJ1156" s="122"/>
      <c r="AK1156" s="122"/>
      <c r="AL1156" s="122"/>
      <c r="AM1156" s="122"/>
      <c r="AN1156" s="122"/>
      <c r="AO1156" s="122"/>
      <c r="AP1156" s="122"/>
    </row>
    <row r="1157" spans="2:42">
      <c r="B1157" s="122"/>
      <c r="C1157" s="122"/>
      <c r="D1157" s="122"/>
      <c r="E1157" s="122"/>
      <c r="F1157" s="122"/>
      <c r="G1157" s="122"/>
      <c r="H1157" s="122"/>
      <c r="I1157" s="275"/>
      <c r="J1157" s="130"/>
      <c r="K1157" s="130"/>
      <c r="L1157" s="130"/>
      <c r="M1157" s="130"/>
      <c r="N1157" s="291"/>
      <c r="O1157" s="291"/>
      <c r="P1157" s="122"/>
      <c r="Q1157" s="122"/>
      <c r="R1157" s="122"/>
      <c r="S1157" s="122"/>
      <c r="T1157" s="122"/>
      <c r="U1157" s="301"/>
      <c r="V1157" s="260">
        <f t="shared" ref="V1157:V1220" ca="1" si="26">IF(Z1157="",0,RANK(Z1157,Z:Z,1))</f>
        <v>0</v>
      </c>
      <c r="W1157" s="348" t="str">
        <f>IF(板块成分!B1159="","",板块成分!B1159)</f>
        <v>002670.SZ</v>
      </c>
      <c r="X1157" s="276" t="str">
        <f>[1]!S_Info_Name(W1157)</f>
        <v>国盛证券</v>
      </c>
      <c r="Y1157" s="276" t="str">
        <f ca="1">IF($Y$3="申万一级行业",[1]!s_info_industry_sw_2021(W1157,公司分析!D$5,1),IF($Y$3="申万二级行业",[1]!s_info_industry_sw_2021(W1157,公司分析!D$5,2),IF($Y$3="申万三级行业",[1]!s_info_industry_sw_2021(W1157,公司分析!D$5,3),IF($Y$3="wind一级行业",[1]!s_info_industry_gics(W1157,1),IF($Y$3="wind二级行业",[1]!s_info_industry_gics(W1157,2),IF($Y$3="wind三级行业",[1]!s_info_industry_gics(W1157,3),IF($Y$3="wind四级行业",[1]!s_info_industry_gics(W1157,4),IF($Y$3="证监会门类行业",[1]!s_info_industry_csrc12_n(W1157,公司分析!D$5,1),""))))))))</f>
        <v>证券Ⅱ</v>
      </c>
      <c r="Z1157" s="302" t="str">
        <f ca="1">IF(Y1157=行业比较!$E$6,ROW(),"")</f>
        <v/>
      </c>
      <c r="AA1157" s="122"/>
      <c r="AB1157" s="122"/>
      <c r="AC1157" s="122"/>
      <c r="AD1157" s="122"/>
      <c r="AE1157" s="122"/>
      <c r="AF1157" s="122"/>
      <c r="AG1157" s="122"/>
      <c r="AH1157" s="122"/>
      <c r="AI1157" s="122"/>
      <c r="AJ1157" s="122"/>
      <c r="AK1157" s="122"/>
      <c r="AL1157" s="122"/>
      <c r="AM1157" s="122"/>
      <c r="AN1157" s="122"/>
      <c r="AO1157" s="122"/>
      <c r="AP1157" s="122"/>
    </row>
    <row r="1158" spans="2:42">
      <c r="B1158" s="122"/>
      <c r="C1158" s="122"/>
      <c r="D1158" s="122"/>
      <c r="E1158" s="122"/>
      <c r="F1158" s="122"/>
      <c r="G1158" s="122"/>
      <c r="H1158" s="122"/>
      <c r="I1158" s="275"/>
      <c r="J1158" s="130"/>
      <c r="K1158" s="130"/>
      <c r="L1158" s="130"/>
      <c r="M1158" s="130"/>
      <c r="N1158" s="291"/>
      <c r="O1158" s="291"/>
      <c r="P1158" s="122"/>
      <c r="Q1158" s="122"/>
      <c r="R1158" s="122"/>
      <c r="S1158" s="122"/>
      <c r="T1158" s="122"/>
      <c r="U1158" s="301"/>
      <c r="V1158" s="260">
        <f t="shared" ca="1" si="26"/>
        <v>0</v>
      </c>
      <c r="W1158" s="348" t="str">
        <f>IF(板块成分!B1160="","",板块成分!B1160)</f>
        <v>002671.SZ</v>
      </c>
      <c r="X1158" s="276" t="str">
        <f>[1]!S_Info_Name(W1158)</f>
        <v>龙泉股份</v>
      </c>
      <c r="Y1158" s="276" t="str">
        <f ca="1">IF($Y$3="申万一级行业",[1]!s_info_industry_sw_2021(W1158,公司分析!D$5,1),IF($Y$3="申万二级行业",[1]!s_info_industry_sw_2021(W1158,公司分析!D$5,2),IF($Y$3="申万三级行业",[1]!s_info_industry_sw_2021(W1158,公司分析!D$5,3),IF($Y$3="wind一级行业",[1]!s_info_industry_gics(W1158,1),IF($Y$3="wind二级行业",[1]!s_info_industry_gics(W1158,2),IF($Y$3="wind三级行业",[1]!s_info_industry_gics(W1158,3),IF($Y$3="wind四级行业",[1]!s_info_industry_gics(W1158,4),IF($Y$3="证监会门类行业",[1]!s_info_industry_csrc12_n(W1158,公司分析!D$5,1),""))))))))</f>
        <v>水泥</v>
      </c>
      <c r="Z1158" s="302" t="str">
        <f ca="1">IF(Y1158=行业比较!$E$6,ROW(),"")</f>
        <v/>
      </c>
      <c r="AA1158" s="122"/>
      <c r="AB1158" s="122"/>
      <c r="AC1158" s="122"/>
      <c r="AD1158" s="122"/>
      <c r="AE1158" s="122"/>
      <c r="AF1158" s="122"/>
      <c r="AG1158" s="122"/>
      <c r="AH1158" s="122"/>
      <c r="AI1158" s="122"/>
      <c r="AJ1158" s="122"/>
      <c r="AK1158" s="122"/>
      <c r="AL1158" s="122"/>
      <c r="AM1158" s="122"/>
      <c r="AN1158" s="122"/>
      <c r="AO1158" s="122"/>
      <c r="AP1158" s="122"/>
    </row>
    <row r="1159" spans="2:42">
      <c r="B1159" s="122"/>
      <c r="C1159" s="122"/>
      <c r="D1159" s="122"/>
      <c r="E1159" s="122"/>
      <c r="F1159" s="122"/>
      <c r="G1159" s="122"/>
      <c r="H1159" s="122"/>
      <c r="I1159" s="275"/>
      <c r="J1159" s="130"/>
      <c r="K1159" s="130"/>
      <c r="L1159" s="130"/>
      <c r="M1159" s="130"/>
      <c r="N1159" s="291"/>
      <c r="O1159" s="291"/>
      <c r="P1159" s="122"/>
      <c r="Q1159" s="122"/>
      <c r="R1159" s="122"/>
      <c r="S1159" s="122"/>
      <c r="T1159" s="122"/>
      <c r="U1159" s="301"/>
      <c r="V1159" s="260">
        <f t="shared" ca="1" si="26"/>
        <v>0</v>
      </c>
      <c r="W1159" s="348" t="str">
        <f>IF(板块成分!B1161="","",板块成分!B1161)</f>
        <v>002672.SZ</v>
      </c>
      <c r="X1159" s="276" t="str">
        <f>[1]!S_Info_Name(W1159)</f>
        <v>东江环保</v>
      </c>
      <c r="Y1159" s="276" t="str">
        <f ca="1">IF($Y$3="申万一级行业",[1]!s_info_industry_sw_2021(W1159,公司分析!D$5,1),IF($Y$3="申万二级行业",[1]!s_info_industry_sw_2021(W1159,公司分析!D$5,2),IF($Y$3="申万三级行业",[1]!s_info_industry_sw_2021(W1159,公司分析!D$5,3),IF($Y$3="wind一级行业",[1]!s_info_industry_gics(W1159,1),IF($Y$3="wind二级行业",[1]!s_info_industry_gics(W1159,2),IF($Y$3="wind三级行业",[1]!s_info_industry_gics(W1159,3),IF($Y$3="wind四级行业",[1]!s_info_industry_gics(W1159,4),IF($Y$3="证监会门类行业",[1]!s_info_industry_csrc12_n(W1159,公司分析!D$5,1),""))))))))</f>
        <v>环境治理</v>
      </c>
      <c r="Z1159" s="302" t="str">
        <f ca="1">IF(Y1159=行业比较!$E$6,ROW(),"")</f>
        <v/>
      </c>
      <c r="AA1159" s="122"/>
      <c r="AB1159" s="122"/>
      <c r="AC1159" s="122"/>
      <c r="AD1159" s="122"/>
      <c r="AE1159" s="122"/>
      <c r="AF1159" s="122"/>
      <c r="AG1159" s="122"/>
      <c r="AH1159" s="122"/>
      <c r="AI1159" s="122"/>
      <c r="AJ1159" s="122"/>
      <c r="AK1159" s="122"/>
      <c r="AL1159" s="122"/>
      <c r="AM1159" s="122"/>
      <c r="AN1159" s="122"/>
      <c r="AO1159" s="122"/>
      <c r="AP1159" s="122"/>
    </row>
    <row r="1160" spans="2:42">
      <c r="B1160" s="122"/>
      <c r="C1160" s="122"/>
      <c r="D1160" s="122"/>
      <c r="E1160" s="122"/>
      <c r="F1160" s="122"/>
      <c r="G1160" s="122"/>
      <c r="H1160" s="122"/>
      <c r="I1160" s="275"/>
      <c r="J1160" s="130"/>
      <c r="K1160" s="130"/>
      <c r="L1160" s="130"/>
      <c r="M1160" s="130"/>
      <c r="N1160" s="291"/>
      <c r="O1160" s="291"/>
      <c r="P1160" s="122"/>
      <c r="Q1160" s="122"/>
      <c r="R1160" s="122"/>
      <c r="S1160" s="122"/>
      <c r="T1160" s="122"/>
      <c r="U1160" s="301"/>
      <c r="V1160" s="260">
        <f t="shared" ca="1" si="26"/>
        <v>0</v>
      </c>
      <c r="W1160" s="348" t="str">
        <f>IF(板块成分!B1162="","",板块成分!B1162)</f>
        <v>002673.SZ</v>
      </c>
      <c r="X1160" s="276" t="str">
        <f>[1]!S_Info_Name(W1160)</f>
        <v>西部证券</v>
      </c>
      <c r="Y1160" s="276" t="str">
        <f ca="1">IF($Y$3="申万一级行业",[1]!s_info_industry_sw_2021(W1160,公司分析!D$5,1),IF($Y$3="申万二级行业",[1]!s_info_industry_sw_2021(W1160,公司分析!D$5,2),IF($Y$3="申万三级行业",[1]!s_info_industry_sw_2021(W1160,公司分析!D$5,3),IF($Y$3="wind一级行业",[1]!s_info_industry_gics(W1160,1),IF($Y$3="wind二级行业",[1]!s_info_industry_gics(W1160,2),IF($Y$3="wind三级行业",[1]!s_info_industry_gics(W1160,3),IF($Y$3="wind四级行业",[1]!s_info_industry_gics(W1160,4),IF($Y$3="证监会门类行业",[1]!s_info_industry_csrc12_n(W1160,公司分析!D$5,1),""))))))))</f>
        <v>证券Ⅱ</v>
      </c>
      <c r="Z1160" s="302" t="str">
        <f ca="1">IF(Y1160=行业比较!$E$6,ROW(),"")</f>
        <v/>
      </c>
      <c r="AA1160" s="122"/>
      <c r="AB1160" s="122"/>
      <c r="AC1160" s="122"/>
      <c r="AD1160" s="122"/>
      <c r="AE1160" s="122"/>
      <c r="AF1160" s="122"/>
      <c r="AG1160" s="122"/>
      <c r="AH1160" s="122"/>
      <c r="AI1160" s="122"/>
      <c r="AJ1160" s="122"/>
      <c r="AK1160" s="122"/>
      <c r="AL1160" s="122"/>
      <c r="AM1160" s="122"/>
      <c r="AN1160" s="122"/>
      <c r="AO1160" s="122"/>
      <c r="AP1160" s="122"/>
    </row>
    <row r="1161" spans="2:42">
      <c r="B1161" s="122"/>
      <c r="C1161" s="122"/>
      <c r="D1161" s="122"/>
      <c r="E1161" s="122"/>
      <c r="F1161" s="122"/>
      <c r="G1161" s="122"/>
      <c r="H1161" s="122"/>
      <c r="I1161" s="275"/>
      <c r="J1161" s="130"/>
      <c r="K1161" s="130"/>
      <c r="L1161" s="130"/>
      <c r="M1161" s="130"/>
      <c r="N1161" s="291"/>
      <c r="O1161" s="291"/>
      <c r="P1161" s="122"/>
      <c r="Q1161" s="122"/>
      <c r="R1161" s="122"/>
      <c r="S1161" s="122"/>
      <c r="T1161" s="122"/>
      <c r="U1161" s="301"/>
      <c r="V1161" s="260">
        <f t="shared" ca="1" si="26"/>
        <v>0</v>
      </c>
      <c r="W1161" s="348" t="str">
        <f>IF(板块成分!B1163="","",板块成分!B1163)</f>
        <v>002674.SZ</v>
      </c>
      <c r="X1161" s="276" t="str">
        <f>[1]!S_Info_Name(W1161)</f>
        <v>兴业科技</v>
      </c>
      <c r="Y1161" s="276" t="str">
        <f ca="1">IF($Y$3="申万一级行业",[1]!s_info_industry_sw_2021(W1161,公司分析!D$5,1),IF($Y$3="申万二级行业",[1]!s_info_industry_sw_2021(W1161,公司分析!D$5,2),IF($Y$3="申万三级行业",[1]!s_info_industry_sw_2021(W1161,公司分析!D$5,3),IF($Y$3="wind一级行业",[1]!s_info_industry_gics(W1161,1),IF($Y$3="wind二级行业",[1]!s_info_industry_gics(W1161,2),IF($Y$3="wind三级行业",[1]!s_info_industry_gics(W1161,3),IF($Y$3="wind四级行业",[1]!s_info_industry_gics(W1161,4),IF($Y$3="证监会门类行业",[1]!s_info_industry_csrc12_n(W1161,公司分析!D$5,1),""))))))))</f>
        <v>纺织制造</v>
      </c>
      <c r="Z1161" s="302" t="str">
        <f ca="1">IF(Y1161=行业比较!$E$6,ROW(),"")</f>
        <v/>
      </c>
      <c r="AA1161" s="122"/>
      <c r="AB1161" s="122"/>
      <c r="AC1161" s="122"/>
      <c r="AD1161" s="122"/>
      <c r="AE1161" s="122"/>
      <c r="AF1161" s="122"/>
      <c r="AG1161" s="122"/>
      <c r="AH1161" s="122"/>
      <c r="AI1161" s="122"/>
      <c r="AJ1161" s="122"/>
      <c r="AK1161" s="122"/>
      <c r="AL1161" s="122"/>
      <c r="AM1161" s="122"/>
      <c r="AN1161" s="122"/>
      <c r="AO1161" s="122"/>
      <c r="AP1161" s="122"/>
    </row>
    <row r="1162" spans="2:42">
      <c r="B1162" s="122"/>
      <c r="C1162" s="122"/>
      <c r="D1162" s="122"/>
      <c r="E1162" s="122"/>
      <c r="F1162" s="122"/>
      <c r="G1162" s="122"/>
      <c r="H1162" s="122"/>
      <c r="I1162" s="275"/>
      <c r="J1162" s="130"/>
      <c r="K1162" s="130"/>
      <c r="L1162" s="130"/>
      <c r="M1162" s="130"/>
      <c r="N1162" s="291"/>
      <c r="O1162" s="291"/>
      <c r="P1162" s="122"/>
      <c r="Q1162" s="122"/>
      <c r="R1162" s="122"/>
      <c r="S1162" s="122"/>
      <c r="T1162" s="122"/>
      <c r="U1162" s="301"/>
      <c r="V1162" s="260">
        <f t="shared" ca="1" si="26"/>
        <v>0</v>
      </c>
      <c r="W1162" s="348" t="str">
        <f>IF(板块成分!B1164="","",板块成分!B1164)</f>
        <v>002675.SZ</v>
      </c>
      <c r="X1162" s="276" t="str">
        <f>[1]!S_Info_Name(W1162)</f>
        <v>东诚药业</v>
      </c>
      <c r="Y1162" s="276" t="str">
        <f ca="1">IF($Y$3="申万一级行业",[1]!s_info_industry_sw_2021(W1162,公司分析!D$5,1),IF($Y$3="申万二级行业",[1]!s_info_industry_sw_2021(W1162,公司分析!D$5,2),IF($Y$3="申万三级行业",[1]!s_info_industry_sw_2021(W1162,公司分析!D$5,3),IF($Y$3="wind一级行业",[1]!s_info_industry_gics(W1162,1),IF($Y$3="wind二级行业",[1]!s_info_industry_gics(W1162,2),IF($Y$3="wind三级行业",[1]!s_info_industry_gics(W1162,3),IF($Y$3="wind四级行业",[1]!s_info_industry_gics(W1162,4),IF($Y$3="证监会门类行业",[1]!s_info_industry_csrc12_n(W1162,公司分析!D$5,1),""))))))))</f>
        <v>化学制药</v>
      </c>
      <c r="Z1162" s="302" t="str">
        <f ca="1">IF(Y1162=行业比较!$E$6,ROW(),"")</f>
        <v/>
      </c>
      <c r="AA1162" s="122"/>
      <c r="AB1162" s="122"/>
      <c r="AC1162" s="122"/>
      <c r="AD1162" s="122"/>
      <c r="AE1162" s="122"/>
      <c r="AF1162" s="122"/>
      <c r="AG1162" s="122"/>
      <c r="AH1162" s="122"/>
      <c r="AI1162" s="122"/>
      <c r="AJ1162" s="122"/>
      <c r="AK1162" s="122"/>
      <c r="AL1162" s="122"/>
      <c r="AM1162" s="122"/>
      <c r="AN1162" s="122"/>
      <c r="AO1162" s="122"/>
      <c r="AP1162" s="122"/>
    </row>
    <row r="1163" spans="2:42">
      <c r="B1163" s="122"/>
      <c r="C1163" s="122"/>
      <c r="D1163" s="122"/>
      <c r="E1163" s="122"/>
      <c r="F1163" s="122"/>
      <c r="G1163" s="122"/>
      <c r="H1163" s="122"/>
      <c r="I1163" s="275"/>
      <c r="J1163" s="130"/>
      <c r="K1163" s="130"/>
      <c r="L1163" s="130"/>
      <c r="M1163" s="130"/>
      <c r="N1163" s="291"/>
      <c r="O1163" s="291"/>
      <c r="P1163" s="122"/>
      <c r="Q1163" s="122"/>
      <c r="R1163" s="122"/>
      <c r="S1163" s="122"/>
      <c r="T1163" s="122"/>
      <c r="U1163" s="301"/>
      <c r="V1163" s="260">
        <f t="shared" ca="1" si="26"/>
        <v>0</v>
      </c>
      <c r="W1163" s="348" t="str">
        <f>IF(板块成分!B1165="","",板块成分!B1165)</f>
        <v>002676.SZ</v>
      </c>
      <c r="X1163" s="276" t="str">
        <f>[1]!S_Info_Name(W1163)</f>
        <v>顺威股份</v>
      </c>
      <c r="Y1163" s="276" t="str">
        <f ca="1">IF($Y$3="申万一级行业",[1]!s_info_industry_sw_2021(W1163,公司分析!D$5,1),IF($Y$3="申万二级行业",[1]!s_info_industry_sw_2021(W1163,公司分析!D$5,2),IF($Y$3="申万三级行业",[1]!s_info_industry_sw_2021(W1163,公司分析!D$5,3),IF($Y$3="wind一级行业",[1]!s_info_industry_gics(W1163,1),IF($Y$3="wind二级行业",[1]!s_info_industry_gics(W1163,2),IF($Y$3="wind三级行业",[1]!s_info_industry_gics(W1163,3),IF($Y$3="wind四级行业",[1]!s_info_industry_gics(W1163,4),IF($Y$3="证监会门类行业",[1]!s_info_industry_csrc12_n(W1163,公司分析!D$5,1),""))))))))</f>
        <v>家电零部件Ⅱ</v>
      </c>
      <c r="Z1163" s="302" t="str">
        <f ca="1">IF(Y1163=行业比较!$E$6,ROW(),"")</f>
        <v/>
      </c>
      <c r="AA1163" s="122"/>
      <c r="AB1163" s="122"/>
      <c r="AC1163" s="122"/>
      <c r="AD1163" s="122"/>
      <c r="AE1163" s="122"/>
      <c r="AF1163" s="122"/>
      <c r="AG1163" s="122"/>
      <c r="AH1163" s="122"/>
      <c r="AI1163" s="122"/>
      <c r="AJ1163" s="122"/>
      <c r="AK1163" s="122"/>
      <c r="AL1163" s="122"/>
      <c r="AM1163" s="122"/>
      <c r="AN1163" s="122"/>
      <c r="AO1163" s="122"/>
      <c r="AP1163" s="122"/>
    </row>
    <row r="1164" spans="2:42">
      <c r="B1164" s="122"/>
      <c r="C1164" s="122"/>
      <c r="D1164" s="122"/>
      <c r="E1164" s="122"/>
      <c r="F1164" s="122"/>
      <c r="G1164" s="122"/>
      <c r="H1164" s="122"/>
      <c r="I1164" s="275"/>
      <c r="J1164" s="130"/>
      <c r="K1164" s="130"/>
      <c r="L1164" s="130"/>
      <c r="M1164" s="130"/>
      <c r="N1164" s="291"/>
      <c r="O1164" s="291"/>
      <c r="P1164" s="122"/>
      <c r="Q1164" s="122"/>
      <c r="R1164" s="122"/>
      <c r="S1164" s="122"/>
      <c r="T1164" s="122"/>
      <c r="U1164" s="301"/>
      <c r="V1164" s="260">
        <f t="shared" ca="1" si="26"/>
        <v>0</v>
      </c>
      <c r="W1164" s="348" t="str">
        <f>IF(板块成分!B1166="","",板块成分!B1166)</f>
        <v>002677.SZ</v>
      </c>
      <c r="X1164" s="276" t="str">
        <f>[1]!S_Info_Name(W1164)</f>
        <v>浙江美大</v>
      </c>
      <c r="Y1164" s="276" t="str">
        <f ca="1">IF($Y$3="申万一级行业",[1]!s_info_industry_sw_2021(W1164,公司分析!D$5,1),IF($Y$3="申万二级行业",[1]!s_info_industry_sw_2021(W1164,公司分析!D$5,2),IF($Y$3="申万三级行业",[1]!s_info_industry_sw_2021(W1164,公司分析!D$5,3),IF($Y$3="wind一级行业",[1]!s_info_industry_gics(W1164,1),IF($Y$3="wind二级行业",[1]!s_info_industry_gics(W1164,2),IF($Y$3="wind三级行业",[1]!s_info_industry_gics(W1164,3),IF($Y$3="wind四级行业",[1]!s_info_industry_gics(W1164,4),IF($Y$3="证监会门类行业",[1]!s_info_industry_csrc12_n(W1164,公司分析!D$5,1),""))))))))</f>
        <v>厨卫电器</v>
      </c>
      <c r="Z1164" s="302" t="str">
        <f ca="1">IF(Y1164=行业比较!$E$6,ROW(),"")</f>
        <v/>
      </c>
      <c r="AA1164" s="122"/>
      <c r="AB1164" s="122"/>
      <c r="AC1164" s="122"/>
      <c r="AD1164" s="122"/>
      <c r="AE1164" s="122"/>
      <c r="AF1164" s="122"/>
      <c r="AG1164" s="122"/>
      <c r="AH1164" s="122"/>
      <c r="AI1164" s="122"/>
      <c r="AJ1164" s="122"/>
      <c r="AK1164" s="122"/>
      <c r="AL1164" s="122"/>
      <c r="AM1164" s="122"/>
      <c r="AN1164" s="122"/>
      <c r="AO1164" s="122"/>
      <c r="AP1164" s="122"/>
    </row>
    <row r="1165" spans="2:42">
      <c r="B1165" s="122"/>
      <c r="C1165" s="122"/>
      <c r="D1165" s="122"/>
      <c r="E1165" s="122"/>
      <c r="F1165" s="122"/>
      <c r="G1165" s="122"/>
      <c r="H1165" s="122"/>
      <c r="I1165" s="275"/>
      <c r="J1165" s="130"/>
      <c r="K1165" s="130"/>
      <c r="L1165" s="130"/>
      <c r="M1165" s="130"/>
      <c r="N1165" s="291"/>
      <c r="O1165" s="291"/>
      <c r="P1165" s="122"/>
      <c r="Q1165" s="122"/>
      <c r="R1165" s="122"/>
      <c r="S1165" s="122"/>
      <c r="T1165" s="122"/>
      <c r="U1165" s="301"/>
      <c r="V1165" s="260">
        <f t="shared" ca="1" si="26"/>
        <v>0</v>
      </c>
      <c r="W1165" s="348" t="str">
        <f>IF(板块成分!B1167="","",板块成分!B1167)</f>
        <v>002678.SZ</v>
      </c>
      <c r="X1165" s="276" t="str">
        <f>[1]!S_Info_Name(W1165)</f>
        <v>珠江钢琴</v>
      </c>
      <c r="Y1165" s="276" t="str">
        <f ca="1">IF($Y$3="申万一级行业",[1]!s_info_industry_sw_2021(W1165,公司分析!D$5,1),IF($Y$3="申万二级行业",[1]!s_info_industry_sw_2021(W1165,公司分析!D$5,2),IF($Y$3="申万三级行业",[1]!s_info_industry_sw_2021(W1165,公司分析!D$5,3),IF($Y$3="wind一级行业",[1]!s_info_industry_gics(W1165,1),IF($Y$3="wind二级行业",[1]!s_info_industry_gics(W1165,2),IF($Y$3="wind三级行业",[1]!s_info_industry_gics(W1165,3),IF($Y$3="wind四级行业",[1]!s_info_industry_gics(W1165,4),IF($Y$3="证监会门类行业",[1]!s_info_industry_csrc12_n(W1165,公司分析!D$5,1),""))))))))</f>
        <v>文娱用品</v>
      </c>
      <c r="Z1165" s="302" t="str">
        <f ca="1">IF(Y1165=行业比较!$E$6,ROW(),"")</f>
        <v/>
      </c>
      <c r="AA1165" s="122"/>
      <c r="AB1165" s="122"/>
      <c r="AC1165" s="122"/>
      <c r="AD1165" s="122"/>
      <c r="AE1165" s="122"/>
      <c r="AF1165" s="122"/>
      <c r="AG1165" s="122"/>
      <c r="AH1165" s="122"/>
      <c r="AI1165" s="122"/>
      <c r="AJ1165" s="122"/>
      <c r="AK1165" s="122"/>
      <c r="AL1165" s="122"/>
      <c r="AM1165" s="122"/>
      <c r="AN1165" s="122"/>
      <c r="AO1165" s="122"/>
      <c r="AP1165" s="122"/>
    </row>
    <row r="1166" spans="2:42">
      <c r="B1166" s="122"/>
      <c r="C1166" s="122"/>
      <c r="D1166" s="122"/>
      <c r="E1166" s="122"/>
      <c r="F1166" s="122"/>
      <c r="G1166" s="122"/>
      <c r="H1166" s="122"/>
      <c r="I1166" s="275"/>
      <c r="J1166" s="130"/>
      <c r="K1166" s="130"/>
      <c r="L1166" s="130"/>
      <c r="M1166" s="130"/>
      <c r="N1166" s="291"/>
      <c r="O1166" s="291"/>
      <c r="P1166" s="122"/>
      <c r="Q1166" s="122"/>
      <c r="R1166" s="122"/>
      <c r="S1166" s="122"/>
      <c r="T1166" s="122"/>
      <c r="U1166" s="301"/>
      <c r="V1166" s="260">
        <f t="shared" ca="1" si="26"/>
        <v>0</v>
      </c>
      <c r="W1166" s="348" t="str">
        <f>IF(板块成分!B1168="","",板块成分!B1168)</f>
        <v>002679.SZ</v>
      </c>
      <c r="X1166" s="276" t="str">
        <f>[1]!S_Info_Name(W1166)</f>
        <v>福建金森</v>
      </c>
      <c r="Y1166" s="276" t="str">
        <f ca="1">IF($Y$3="申万一级行业",[1]!s_info_industry_sw_2021(W1166,公司分析!D$5,1),IF($Y$3="申万二级行业",[1]!s_info_industry_sw_2021(W1166,公司分析!D$5,2),IF($Y$3="申万三级行业",[1]!s_info_industry_sw_2021(W1166,公司分析!D$5,3),IF($Y$3="wind一级行业",[1]!s_info_industry_gics(W1166,1),IF($Y$3="wind二级行业",[1]!s_info_industry_gics(W1166,2),IF($Y$3="wind三级行业",[1]!s_info_industry_gics(W1166,3),IF($Y$3="wind四级行业",[1]!s_info_industry_gics(W1166,4),IF($Y$3="证监会门类行业",[1]!s_info_industry_csrc12_n(W1166,公司分析!D$5,1),""))))))))</f>
        <v>林业Ⅱ</v>
      </c>
      <c r="Z1166" s="302" t="str">
        <f ca="1">IF(Y1166=行业比较!$E$6,ROW(),"")</f>
        <v/>
      </c>
      <c r="AA1166" s="122"/>
      <c r="AB1166" s="122"/>
      <c r="AC1166" s="122"/>
      <c r="AD1166" s="122"/>
      <c r="AE1166" s="122"/>
      <c r="AF1166" s="122"/>
      <c r="AG1166" s="122"/>
      <c r="AH1166" s="122"/>
      <c r="AI1166" s="122"/>
      <c r="AJ1166" s="122"/>
      <c r="AK1166" s="122"/>
      <c r="AL1166" s="122"/>
      <c r="AM1166" s="122"/>
      <c r="AN1166" s="122"/>
      <c r="AO1166" s="122"/>
      <c r="AP1166" s="122"/>
    </row>
    <row r="1167" spans="2:42">
      <c r="B1167" s="122"/>
      <c r="C1167" s="122"/>
      <c r="D1167" s="122"/>
      <c r="E1167" s="122"/>
      <c r="F1167" s="122"/>
      <c r="G1167" s="122"/>
      <c r="H1167" s="122"/>
      <c r="I1167" s="275"/>
      <c r="J1167" s="130"/>
      <c r="K1167" s="130"/>
      <c r="L1167" s="130"/>
      <c r="M1167" s="130"/>
      <c r="N1167" s="291"/>
      <c r="O1167" s="291"/>
      <c r="P1167" s="122"/>
      <c r="Q1167" s="122"/>
      <c r="R1167" s="122"/>
      <c r="S1167" s="122"/>
      <c r="T1167" s="122"/>
      <c r="U1167" s="301"/>
      <c r="V1167" s="260">
        <f t="shared" ca="1" si="26"/>
        <v>0</v>
      </c>
      <c r="W1167" s="348" t="str">
        <f>IF(板块成分!B1169="","",板块成分!B1169)</f>
        <v>002681.SZ</v>
      </c>
      <c r="X1167" s="276" t="str">
        <f>[1]!S_Info_Name(W1167)</f>
        <v>奋达科技</v>
      </c>
      <c r="Y1167" s="276" t="str">
        <f ca="1">IF($Y$3="申万一级行业",[1]!s_info_industry_sw_2021(W1167,公司分析!D$5,1),IF($Y$3="申万二级行业",[1]!s_info_industry_sw_2021(W1167,公司分析!D$5,2),IF($Y$3="申万三级行业",[1]!s_info_industry_sw_2021(W1167,公司分析!D$5,3),IF($Y$3="wind一级行业",[1]!s_info_industry_gics(W1167,1),IF($Y$3="wind二级行业",[1]!s_info_industry_gics(W1167,2),IF($Y$3="wind三级行业",[1]!s_info_industry_gics(W1167,3),IF($Y$3="wind四级行业",[1]!s_info_industry_gics(W1167,4),IF($Y$3="证监会门类行业",[1]!s_info_industry_csrc12_n(W1167,公司分析!D$5,1),""))))))))</f>
        <v>消费电子</v>
      </c>
      <c r="Z1167" s="302" t="str">
        <f ca="1">IF(Y1167=行业比较!$E$6,ROW(),"")</f>
        <v/>
      </c>
      <c r="AA1167" s="122"/>
      <c r="AB1167" s="122"/>
      <c r="AC1167" s="122"/>
      <c r="AD1167" s="122"/>
      <c r="AE1167" s="122"/>
      <c r="AF1167" s="122"/>
      <c r="AG1167" s="122"/>
      <c r="AH1167" s="122"/>
      <c r="AI1167" s="122"/>
      <c r="AJ1167" s="122"/>
      <c r="AK1167" s="122"/>
      <c r="AL1167" s="122"/>
      <c r="AM1167" s="122"/>
      <c r="AN1167" s="122"/>
      <c r="AO1167" s="122"/>
      <c r="AP1167" s="122"/>
    </row>
    <row r="1168" spans="2:42">
      <c r="B1168" s="122"/>
      <c r="C1168" s="122"/>
      <c r="D1168" s="122"/>
      <c r="E1168" s="122"/>
      <c r="F1168" s="122"/>
      <c r="G1168" s="122"/>
      <c r="H1168" s="122"/>
      <c r="I1168" s="275"/>
      <c r="J1168" s="130"/>
      <c r="K1168" s="130"/>
      <c r="L1168" s="130"/>
      <c r="M1168" s="130"/>
      <c r="N1168" s="291"/>
      <c r="O1168" s="291"/>
      <c r="P1168" s="122"/>
      <c r="Q1168" s="122"/>
      <c r="R1168" s="122"/>
      <c r="S1168" s="122"/>
      <c r="T1168" s="122"/>
      <c r="U1168" s="301"/>
      <c r="V1168" s="260">
        <f t="shared" ca="1" si="26"/>
        <v>0</v>
      </c>
      <c r="W1168" s="348" t="str">
        <f>IF(板块成分!B1170="","",板块成分!B1170)</f>
        <v>002682.SZ</v>
      </c>
      <c r="X1168" s="276" t="str">
        <f>[1]!S_Info_Name(W1168)</f>
        <v>龙洲股份</v>
      </c>
      <c r="Y1168" s="276" t="str">
        <f ca="1">IF($Y$3="申万一级行业",[1]!s_info_industry_sw_2021(W1168,公司分析!D$5,1),IF($Y$3="申万二级行业",[1]!s_info_industry_sw_2021(W1168,公司分析!D$5,2),IF($Y$3="申万三级行业",[1]!s_info_industry_sw_2021(W1168,公司分析!D$5,3),IF($Y$3="wind一级行业",[1]!s_info_industry_gics(W1168,1),IF($Y$3="wind二级行业",[1]!s_info_industry_gics(W1168,2),IF($Y$3="wind三级行业",[1]!s_info_industry_gics(W1168,3),IF($Y$3="wind四级行业",[1]!s_info_industry_gics(W1168,4),IF($Y$3="证监会门类行业",[1]!s_info_industry_csrc12_n(W1168,公司分析!D$5,1),""))))))))</f>
        <v>物流</v>
      </c>
      <c r="Z1168" s="302" t="str">
        <f ca="1">IF(Y1168=行业比较!$E$6,ROW(),"")</f>
        <v/>
      </c>
      <c r="AA1168" s="122"/>
      <c r="AB1168" s="122"/>
      <c r="AC1168" s="122"/>
      <c r="AD1168" s="122"/>
      <c r="AE1168" s="122"/>
      <c r="AF1168" s="122"/>
      <c r="AG1168" s="122"/>
      <c r="AH1168" s="122"/>
      <c r="AI1168" s="122"/>
      <c r="AJ1168" s="122"/>
      <c r="AK1168" s="122"/>
      <c r="AL1168" s="122"/>
      <c r="AM1168" s="122"/>
      <c r="AN1168" s="122"/>
      <c r="AO1168" s="122"/>
      <c r="AP1168" s="122"/>
    </row>
    <row r="1169" spans="2:42">
      <c r="B1169" s="122"/>
      <c r="C1169" s="122"/>
      <c r="D1169" s="122"/>
      <c r="E1169" s="122"/>
      <c r="F1169" s="122"/>
      <c r="G1169" s="122"/>
      <c r="H1169" s="122"/>
      <c r="I1169" s="275"/>
      <c r="J1169" s="130"/>
      <c r="K1169" s="130"/>
      <c r="L1169" s="130"/>
      <c r="M1169" s="130"/>
      <c r="N1169" s="291"/>
      <c r="O1169" s="291"/>
      <c r="P1169" s="122"/>
      <c r="Q1169" s="122"/>
      <c r="R1169" s="122"/>
      <c r="S1169" s="122"/>
      <c r="T1169" s="122"/>
      <c r="U1169" s="301"/>
      <c r="V1169" s="260">
        <f t="shared" ca="1" si="26"/>
        <v>0</v>
      </c>
      <c r="W1169" s="348" t="str">
        <f>IF(板块成分!B1171="","",板块成分!B1171)</f>
        <v>002683.SZ</v>
      </c>
      <c r="X1169" s="276" t="str">
        <f>[1]!S_Info_Name(W1169)</f>
        <v>广东宏大</v>
      </c>
      <c r="Y1169" s="276" t="str">
        <f ca="1">IF($Y$3="申万一级行业",[1]!s_info_industry_sw_2021(W1169,公司分析!D$5,1),IF($Y$3="申万二级行业",[1]!s_info_industry_sw_2021(W1169,公司分析!D$5,2),IF($Y$3="申万三级行业",[1]!s_info_industry_sw_2021(W1169,公司分析!D$5,3),IF($Y$3="wind一级行业",[1]!s_info_industry_gics(W1169,1),IF($Y$3="wind二级行业",[1]!s_info_industry_gics(W1169,2),IF($Y$3="wind三级行业",[1]!s_info_industry_gics(W1169,3),IF($Y$3="wind四级行业",[1]!s_info_industry_gics(W1169,4),IF($Y$3="证监会门类行业",[1]!s_info_industry_csrc12_n(W1169,公司分析!D$5,1),""))))))))</f>
        <v>化学制品</v>
      </c>
      <c r="Z1169" s="302" t="str">
        <f ca="1">IF(Y1169=行业比较!$E$6,ROW(),"")</f>
        <v/>
      </c>
      <c r="AA1169" s="122"/>
      <c r="AB1169" s="122"/>
      <c r="AC1169" s="122"/>
      <c r="AD1169" s="122"/>
      <c r="AE1169" s="122"/>
      <c r="AF1169" s="122"/>
      <c r="AG1169" s="122"/>
      <c r="AH1169" s="122"/>
      <c r="AI1169" s="122"/>
      <c r="AJ1169" s="122"/>
      <c r="AK1169" s="122"/>
      <c r="AL1169" s="122"/>
      <c r="AM1169" s="122"/>
      <c r="AN1169" s="122"/>
      <c r="AO1169" s="122"/>
      <c r="AP1169" s="122"/>
    </row>
    <row r="1170" spans="2:42">
      <c r="B1170" s="122"/>
      <c r="C1170" s="122"/>
      <c r="D1170" s="122"/>
      <c r="E1170" s="122"/>
      <c r="F1170" s="122"/>
      <c r="G1170" s="122"/>
      <c r="H1170" s="122"/>
      <c r="I1170" s="275"/>
      <c r="J1170" s="130"/>
      <c r="K1170" s="130"/>
      <c r="L1170" s="130"/>
      <c r="M1170" s="130"/>
      <c r="N1170" s="291"/>
      <c r="O1170" s="291"/>
      <c r="P1170" s="122"/>
      <c r="Q1170" s="122"/>
      <c r="R1170" s="122"/>
      <c r="S1170" s="122"/>
      <c r="T1170" s="122"/>
      <c r="U1170" s="301"/>
      <c r="V1170" s="260">
        <f t="shared" ca="1" si="26"/>
        <v>0</v>
      </c>
      <c r="W1170" s="348" t="str">
        <f>IF(板块成分!B1172="","",板块成分!B1172)</f>
        <v>002685.SZ</v>
      </c>
      <c r="X1170" s="276" t="str">
        <f>[1]!S_Info_Name(W1170)</f>
        <v>华东重机</v>
      </c>
      <c r="Y1170" s="276" t="str">
        <f ca="1">IF($Y$3="申万一级行业",[1]!s_info_industry_sw_2021(W1170,公司分析!D$5,1),IF($Y$3="申万二级行业",[1]!s_info_industry_sw_2021(W1170,公司分析!D$5,2),IF($Y$3="申万三级行业",[1]!s_info_industry_sw_2021(W1170,公司分析!D$5,3),IF($Y$3="wind一级行业",[1]!s_info_industry_gics(W1170,1),IF($Y$3="wind二级行业",[1]!s_info_industry_gics(W1170,2),IF($Y$3="wind三级行业",[1]!s_info_industry_gics(W1170,3),IF($Y$3="wind四级行业",[1]!s_info_industry_gics(W1170,4),IF($Y$3="证监会门类行业",[1]!s_info_industry_csrc12_n(W1170,公司分析!D$5,1),""))))))))</f>
        <v>工程机械</v>
      </c>
      <c r="Z1170" s="302" t="str">
        <f ca="1">IF(Y1170=行业比较!$E$6,ROW(),"")</f>
        <v/>
      </c>
      <c r="AA1170" s="122"/>
      <c r="AB1170" s="122"/>
      <c r="AC1170" s="122"/>
      <c r="AD1170" s="122"/>
      <c r="AE1170" s="122"/>
      <c r="AF1170" s="122"/>
      <c r="AG1170" s="122"/>
      <c r="AH1170" s="122"/>
      <c r="AI1170" s="122"/>
      <c r="AJ1170" s="122"/>
      <c r="AK1170" s="122"/>
      <c r="AL1170" s="122"/>
      <c r="AM1170" s="122"/>
      <c r="AN1170" s="122"/>
      <c r="AO1170" s="122"/>
      <c r="AP1170" s="122"/>
    </row>
    <row r="1171" spans="2:42">
      <c r="B1171" s="122"/>
      <c r="C1171" s="122"/>
      <c r="D1171" s="122"/>
      <c r="E1171" s="122"/>
      <c r="F1171" s="122"/>
      <c r="G1171" s="122"/>
      <c r="H1171" s="122"/>
      <c r="I1171" s="275"/>
      <c r="J1171" s="130"/>
      <c r="K1171" s="130"/>
      <c r="L1171" s="130"/>
      <c r="M1171" s="130"/>
      <c r="N1171" s="291"/>
      <c r="O1171" s="291"/>
      <c r="P1171" s="122"/>
      <c r="Q1171" s="122"/>
      <c r="R1171" s="122"/>
      <c r="S1171" s="122"/>
      <c r="T1171" s="122"/>
      <c r="U1171" s="301"/>
      <c r="V1171" s="260">
        <f t="shared" ca="1" si="26"/>
        <v>0</v>
      </c>
      <c r="W1171" s="348" t="str">
        <f>IF(板块成分!B1173="","",板块成分!B1173)</f>
        <v>002686.SZ</v>
      </c>
      <c r="X1171" s="276" t="str">
        <f>[1]!S_Info_Name(W1171)</f>
        <v>亿利达</v>
      </c>
      <c r="Y1171" s="276" t="str">
        <f ca="1">IF($Y$3="申万一级行业",[1]!s_info_industry_sw_2021(W1171,公司分析!D$5,1),IF($Y$3="申万二级行业",[1]!s_info_industry_sw_2021(W1171,公司分析!D$5,2),IF($Y$3="申万三级行业",[1]!s_info_industry_sw_2021(W1171,公司分析!D$5,3),IF($Y$3="wind一级行业",[1]!s_info_industry_gics(W1171,1),IF($Y$3="wind二级行业",[1]!s_info_industry_gics(W1171,2),IF($Y$3="wind三级行业",[1]!s_info_industry_gics(W1171,3),IF($Y$3="wind四级行业",[1]!s_info_industry_gics(W1171,4),IF($Y$3="证监会门类行业",[1]!s_info_industry_csrc12_n(W1171,公司分析!D$5,1),""))))))))</f>
        <v>通用设备</v>
      </c>
      <c r="Z1171" s="302" t="str">
        <f ca="1">IF(Y1171=行业比较!$E$6,ROW(),"")</f>
        <v/>
      </c>
      <c r="AA1171" s="122"/>
      <c r="AB1171" s="122"/>
      <c r="AC1171" s="122"/>
      <c r="AD1171" s="122"/>
      <c r="AE1171" s="122"/>
      <c r="AF1171" s="122"/>
      <c r="AG1171" s="122"/>
      <c r="AH1171" s="122"/>
      <c r="AI1171" s="122"/>
      <c r="AJ1171" s="122"/>
      <c r="AK1171" s="122"/>
      <c r="AL1171" s="122"/>
      <c r="AM1171" s="122"/>
      <c r="AN1171" s="122"/>
      <c r="AO1171" s="122"/>
      <c r="AP1171" s="122"/>
    </row>
    <row r="1172" spans="2:42">
      <c r="B1172" s="122"/>
      <c r="C1172" s="122"/>
      <c r="D1172" s="122"/>
      <c r="E1172" s="122"/>
      <c r="F1172" s="122"/>
      <c r="G1172" s="122"/>
      <c r="H1172" s="122"/>
      <c r="I1172" s="275"/>
      <c r="J1172" s="130"/>
      <c r="K1172" s="130"/>
      <c r="L1172" s="130"/>
      <c r="M1172" s="130"/>
      <c r="N1172" s="291"/>
      <c r="O1172" s="291"/>
      <c r="P1172" s="122"/>
      <c r="Q1172" s="122"/>
      <c r="R1172" s="122"/>
      <c r="S1172" s="122"/>
      <c r="T1172" s="122"/>
      <c r="U1172" s="301"/>
      <c r="V1172" s="260">
        <f t="shared" ca="1" si="26"/>
        <v>0</v>
      </c>
      <c r="W1172" s="348" t="str">
        <f>IF(板块成分!B1174="","",板块成分!B1174)</f>
        <v>002687.SZ</v>
      </c>
      <c r="X1172" s="276" t="str">
        <f>[1]!S_Info_Name(W1172)</f>
        <v>乔治白</v>
      </c>
      <c r="Y1172" s="276" t="str">
        <f ca="1">IF($Y$3="申万一级行业",[1]!s_info_industry_sw_2021(W1172,公司分析!D$5,1),IF($Y$3="申万二级行业",[1]!s_info_industry_sw_2021(W1172,公司分析!D$5,2),IF($Y$3="申万三级行业",[1]!s_info_industry_sw_2021(W1172,公司分析!D$5,3),IF($Y$3="wind一级行业",[1]!s_info_industry_gics(W1172,1),IF($Y$3="wind二级行业",[1]!s_info_industry_gics(W1172,2),IF($Y$3="wind三级行业",[1]!s_info_industry_gics(W1172,3),IF($Y$3="wind四级行业",[1]!s_info_industry_gics(W1172,4),IF($Y$3="证监会门类行业",[1]!s_info_industry_csrc12_n(W1172,公司分析!D$5,1),""))))))))</f>
        <v>服装家纺</v>
      </c>
      <c r="Z1172" s="302" t="str">
        <f ca="1">IF(Y1172=行业比较!$E$6,ROW(),"")</f>
        <v/>
      </c>
      <c r="AA1172" s="122"/>
      <c r="AB1172" s="122"/>
      <c r="AC1172" s="122"/>
      <c r="AD1172" s="122"/>
      <c r="AE1172" s="122"/>
      <c r="AF1172" s="122"/>
      <c r="AG1172" s="122"/>
      <c r="AH1172" s="122"/>
      <c r="AI1172" s="122"/>
      <c r="AJ1172" s="122"/>
      <c r="AK1172" s="122"/>
      <c r="AL1172" s="122"/>
      <c r="AM1172" s="122"/>
      <c r="AN1172" s="122"/>
      <c r="AO1172" s="122"/>
      <c r="AP1172" s="122"/>
    </row>
    <row r="1173" spans="2:42">
      <c r="B1173" s="122"/>
      <c r="C1173" s="122"/>
      <c r="D1173" s="122"/>
      <c r="E1173" s="122"/>
      <c r="F1173" s="122"/>
      <c r="G1173" s="122"/>
      <c r="H1173" s="122"/>
      <c r="I1173" s="275"/>
      <c r="J1173" s="130"/>
      <c r="K1173" s="130"/>
      <c r="L1173" s="130"/>
      <c r="M1173" s="130"/>
      <c r="N1173" s="291"/>
      <c r="O1173" s="291"/>
      <c r="P1173" s="122"/>
      <c r="Q1173" s="122"/>
      <c r="R1173" s="122"/>
      <c r="S1173" s="122"/>
      <c r="T1173" s="122"/>
      <c r="U1173" s="301"/>
      <c r="V1173" s="260">
        <f t="shared" ca="1" si="26"/>
        <v>0</v>
      </c>
      <c r="W1173" s="348" t="str">
        <f>IF(板块成分!B1175="","",板块成分!B1175)</f>
        <v>002688.SZ</v>
      </c>
      <c r="X1173" s="276" t="str">
        <f>[1]!S_Info_Name(W1173)</f>
        <v>金河生物</v>
      </c>
      <c r="Y1173" s="276" t="str">
        <f ca="1">IF($Y$3="申万一级行业",[1]!s_info_industry_sw_2021(W1173,公司分析!D$5,1),IF($Y$3="申万二级行业",[1]!s_info_industry_sw_2021(W1173,公司分析!D$5,2),IF($Y$3="申万三级行业",[1]!s_info_industry_sw_2021(W1173,公司分析!D$5,3),IF($Y$3="wind一级行业",[1]!s_info_industry_gics(W1173,1),IF($Y$3="wind二级行业",[1]!s_info_industry_gics(W1173,2),IF($Y$3="wind三级行业",[1]!s_info_industry_gics(W1173,3),IF($Y$3="wind四级行业",[1]!s_info_industry_gics(W1173,4),IF($Y$3="证监会门类行业",[1]!s_info_industry_csrc12_n(W1173,公司分析!D$5,1),""))))))))</f>
        <v>动物保健Ⅱ</v>
      </c>
      <c r="Z1173" s="302" t="str">
        <f ca="1">IF(Y1173=行业比较!$E$6,ROW(),"")</f>
        <v/>
      </c>
      <c r="AA1173" s="122"/>
      <c r="AB1173" s="122"/>
      <c r="AC1173" s="122"/>
      <c r="AD1173" s="122"/>
      <c r="AE1173" s="122"/>
      <c r="AF1173" s="122"/>
      <c r="AG1173" s="122"/>
      <c r="AH1173" s="122"/>
      <c r="AI1173" s="122"/>
      <c r="AJ1173" s="122"/>
      <c r="AK1173" s="122"/>
      <c r="AL1173" s="122"/>
      <c r="AM1173" s="122"/>
      <c r="AN1173" s="122"/>
      <c r="AO1173" s="122"/>
      <c r="AP1173" s="122"/>
    </row>
    <row r="1174" spans="2:42">
      <c r="B1174" s="122"/>
      <c r="C1174" s="122"/>
      <c r="D1174" s="122"/>
      <c r="E1174" s="122"/>
      <c r="F1174" s="122"/>
      <c r="G1174" s="122"/>
      <c r="H1174" s="122"/>
      <c r="I1174" s="275"/>
      <c r="J1174" s="130"/>
      <c r="K1174" s="130"/>
      <c r="L1174" s="130"/>
      <c r="M1174" s="130"/>
      <c r="N1174" s="291"/>
      <c r="O1174" s="291"/>
      <c r="P1174" s="122"/>
      <c r="Q1174" s="122"/>
      <c r="R1174" s="122"/>
      <c r="S1174" s="122"/>
      <c r="T1174" s="122"/>
      <c r="U1174" s="301"/>
      <c r="V1174" s="260">
        <f t="shared" ca="1" si="26"/>
        <v>0</v>
      </c>
      <c r="W1174" s="348" t="str">
        <f>IF(板块成分!B1176="","",板块成分!B1176)</f>
        <v>002689.SZ</v>
      </c>
      <c r="X1174" s="276" t="str">
        <f>[1]!S_Info_Name(W1174)</f>
        <v>ST远智</v>
      </c>
      <c r="Y1174" s="276" t="str">
        <f ca="1">IF($Y$3="申万一级行业",[1]!s_info_industry_sw_2021(W1174,公司分析!D$5,1),IF($Y$3="申万二级行业",[1]!s_info_industry_sw_2021(W1174,公司分析!D$5,2),IF($Y$3="申万三级行业",[1]!s_info_industry_sw_2021(W1174,公司分析!D$5,3),IF($Y$3="wind一级行业",[1]!s_info_industry_gics(W1174,1),IF($Y$3="wind二级行业",[1]!s_info_industry_gics(W1174,2),IF($Y$3="wind三级行业",[1]!s_info_industry_gics(W1174,3),IF($Y$3="wind四级行业",[1]!s_info_industry_gics(W1174,4),IF($Y$3="证监会门类行业",[1]!s_info_industry_csrc12_n(W1174,公司分析!D$5,1),""))))))))</f>
        <v>专用设备</v>
      </c>
      <c r="Z1174" s="302" t="str">
        <f ca="1">IF(Y1174=行业比较!$E$6,ROW(),"")</f>
        <v/>
      </c>
      <c r="AA1174" s="122"/>
      <c r="AB1174" s="122"/>
      <c r="AC1174" s="122"/>
      <c r="AD1174" s="122"/>
      <c r="AE1174" s="122"/>
      <c r="AF1174" s="122"/>
      <c r="AG1174" s="122"/>
      <c r="AH1174" s="122"/>
      <c r="AI1174" s="122"/>
      <c r="AJ1174" s="122"/>
      <c r="AK1174" s="122"/>
      <c r="AL1174" s="122"/>
      <c r="AM1174" s="122"/>
      <c r="AN1174" s="122"/>
      <c r="AO1174" s="122"/>
      <c r="AP1174" s="122"/>
    </row>
    <row r="1175" spans="2:42">
      <c r="B1175" s="122"/>
      <c r="C1175" s="122"/>
      <c r="D1175" s="122"/>
      <c r="E1175" s="122"/>
      <c r="F1175" s="122"/>
      <c r="G1175" s="122"/>
      <c r="H1175" s="122"/>
      <c r="I1175" s="275"/>
      <c r="J1175" s="130"/>
      <c r="K1175" s="130"/>
      <c r="L1175" s="130"/>
      <c r="M1175" s="130"/>
      <c r="N1175" s="291"/>
      <c r="O1175" s="291"/>
      <c r="P1175" s="122"/>
      <c r="Q1175" s="122"/>
      <c r="R1175" s="122"/>
      <c r="S1175" s="122"/>
      <c r="T1175" s="122"/>
      <c r="U1175" s="301"/>
      <c r="V1175" s="260">
        <f t="shared" ca="1" si="26"/>
        <v>0</v>
      </c>
      <c r="W1175" s="348" t="str">
        <f>IF(板块成分!B1177="","",板块成分!B1177)</f>
        <v>002690.SZ</v>
      </c>
      <c r="X1175" s="276" t="str">
        <f>[1]!S_Info_Name(W1175)</f>
        <v>美亚光电</v>
      </c>
      <c r="Y1175" s="276" t="str">
        <f ca="1">IF($Y$3="申万一级行业",[1]!s_info_industry_sw_2021(W1175,公司分析!D$5,1),IF($Y$3="申万二级行业",[1]!s_info_industry_sw_2021(W1175,公司分析!D$5,2),IF($Y$3="申万三级行业",[1]!s_info_industry_sw_2021(W1175,公司分析!D$5,3),IF($Y$3="wind一级行业",[1]!s_info_industry_gics(W1175,1),IF($Y$3="wind二级行业",[1]!s_info_industry_gics(W1175,2),IF($Y$3="wind三级行业",[1]!s_info_industry_gics(W1175,3),IF($Y$3="wind四级行业",[1]!s_info_industry_gics(W1175,4),IF($Y$3="证监会门类行业",[1]!s_info_industry_csrc12_n(W1175,公司分析!D$5,1),""))))))))</f>
        <v>专用设备</v>
      </c>
      <c r="Z1175" s="302" t="str">
        <f ca="1">IF(Y1175=行业比较!$E$6,ROW(),"")</f>
        <v/>
      </c>
      <c r="AA1175" s="122"/>
      <c r="AB1175" s="122"/>
      <c r="AC1175" s="122"/>
      <c r="AD1175" s="122"/>
      <c r="AE1175" s="122"/>
      <c r="AF1175" s="122"/>
      <c r="AG1175" s="122"/>
      <c r="AH1175" s="122"/>
      <c r="AI1175" s="122"/>
      <c r="AJ1175" s="122"/>
      <c r="AK1175" s="122"/>
      <c r="AL1175" s="122"/>
      <c r="AM1175" s="122"/>
      <c r="AN1175" s="122"/>
      <c r="AO1175" s="122"/>
      <c r="AP1175" s="122"/>
    </row>
    <row r="1176" spans="2:42">
      <c r="B1176" s="122"/>
      <c r="C1176" s="122"/>
      <c r="D1176" s="122"/>
      <c r="E1176" s="122"/>
      <c r="F1176" s="122"/>
      <c r="G1176" s="122"/>
      <c r="H1176" s="122"/>
      <c r="I1176" s="275"/>
      <c r="J1176" s="130"/>
      <c r="K1176" s="130"/>
      <c r="L1176" s="130"/>
      <c r="M1176" s="130"/>
      <c r="N1176" s="291"/>
      <c r="O1176" s="291"/>
      <c r="P1176" s="122"/>
      <c r="Q1176" s="122"/>
      <c r="R1176" s="122"/>
      <c r="S1176" s="122"/>
      <c r="T1176" s="122"/>
      <c r="U1176" s="301"/>
      <c r="V1176" s="260">
        <f t="shared" ca="1" si="26"/>
        <v>0</v>
      </c>
      <c r="W1176" s="348" t="str">
        <f>IF(板块成分!B1178="","",板块成分!B1178)</f>
        <v>002691.SZ</v>
      </c>
      <c r="X1176" s="276" t="str">
        <f>[1]!S_Info_Name(W1176)</f>
        <v>冀凯股份</v>
      </c>
      <c r="Y1176" s="276" t="str">
        <f ca="1">IF($Y$3="申万一级行业",[1]!s_info_industry_sw_2021(W1176,公司分析!D$5,1),IF($Y$3="申万二级行业",[1]!s_info_industry_sw_2021(W1176,公司分析!D$5,2),IF($Y$3="申万三级行业",[1]!s_info_industry_sw_2021(W1176,公司分析!D$5,3),IF($Y$3="wind一级行业",[1]!s_info_industry_gics(W1176,1),IF($Y$3="wind二级行业",[1]!s_info_industry_gics(W1176,2),IF($Y$3="wind三级行业",[1]!s_info_industry_gics(W1176,3),IF($Y$3="wind四级行业",[1]!s_info_industry_gics(W1176,4),IF($Y$3="证监会门类行业",[1]!s_info_industry_csrc12_n(W1176,公司分析!D$5,1),""))))))))</f>
        <v>专用设备</v>
      </c>
      <c r="Z1176" s="302" t="str">
        <f ca="1">IF(Y1176=行业比较!$E$6,ROW(),"")</f>
        <v/>
      </c>
      <c r="AA1176" s="122"/>
      <c r="AB1176" s="122"/>
      <c r="AC1176" s="122"/>
      <c r="AD1176" s="122"/>
      <c r="AE1176" s="122"/>
      <c r="AF1176" s="122"/>
      <c r="AG1176" s="122"/>
      <c r="AH1176" s="122"/>
      <c r="AI1176" s="122"/>
      <c r="AJ1176" s="122"/>
      <c r="AK1176" s="122"/>
      <c r="AL1176" s="122"/>
      <c r="AM1176" s="122"/>
      <c r="AN1176" s="122"/>
      <c r="AO1176" s="122"/>
      <c r="AP1176" s="122"/>
    </row>
    <row r="1177" spans="2:42">
      <c r="B1177" s="122"/>
      <c r="C1177" s="122"/>
      <c r="D1177" s="122"/>
      <c r="E1177" s="122"/>
      <c r="F1177" s="122"/>
      <c r="G1177" s="122"/>
      <c r="H1177" s="122"/>
      <c r="I1177" s="275"/>
      <c r="J1177" s="130"/>
      <c r="K1177" s="130"/>
      <c r="L1177" s="130"/>
      <c r="M1177" s="130"/>
      <c r="N1177" s="291"/>
      <c r="O1177" s="291"/>
      <c r="P1177" s="122"/>
      <c r="Q1177" s="122"/>
      <c r="R1177" s="122"/>
      <c r="S1177" s="122"/>
      <c r="T1177" s="122"/>
      <c r="U1177" s="301"/>
      <c r="V1177" s="260">
        <f t="shared" ca="1" si="26"/>
        <v>0</v>
      </c>
      <c r="W1177" s="348" t="str">
        <f>IF(板块成分!B1179="","",板块成分!B1179)</f>
        <v>002692.SZ</v>
      </c>
      <c r="X1177" s="276" t="str">
        <f>[1]!S_Info_Name(W1177)</f>
        <v>远程股份</v>
      </c>
      <c r="Y1177" s="276" t="str">
        <f ca="1">IF($Y$3="申万一级行业",[1]!s_info_industry_sw_2021(W1177,公司分析!D$5,1),IF($Y$3="申万二级行业",[1]!s_info_industry_sw_2021(W1177,公司分析!D$5,2),IF($Y$3="申万三级行业",[1]!s_info_industry_sw_2021(W1177,公司分析!D$5,3),IF($Y$3="wind一级行业",[1]!s_info_industry_gics(W1177,1),IF($Y$3="wind二级行业",[1]!s_info_industry_gics(W1177,2),IF($Y$3="wind三级行业",[1]!s_info_industry_gics(W1177,3),IF($Y$3="wind四级行业",[1]!s_info_industry_gics(W1177,4),IF($Y$3="证监会门类行业",[1]!s_info_industry_csrc12_n(W1177,公司分析!D$5,1),""))))))))</f>
        <v>电网设备</v>
      </c>
      <c r="Z1177" s="302" t="str">
        <f ca="1">IF(Y1177=行业比较!$E$6,ROW(),"")</f>
        <v/>
      </c>
      <c r="AA1177" s="122"/>
      <c r="AB1177" s="122"/>
      <c r="AC1177" s="122"/>
      <c r="AD1177" s="122"/>
      <c r="AE1177" s="122"/>
      <c r="AF1177" s="122"/>
      <c r="AG1177" s="122"/>
      <c r="AH1177" s="122"/>
      <c r="AI1177" s="122"/>
      <c r="AJ1177" s="122"/>
      <c r="AK1177" s="122"/>
      <c r="AL1177" s="122"/>
      <c r="AM1177" s="122"/>
      <c r="AN1177" s="122"/>
      <c r="AO1177" s="122"/>
      <c r="AP1177" s="122"/>
    </row>
    <row r="1178" spans="2:42">
      <c r="B1178" s="122"/>
      <c r="C1178" s="122"/>
      <c r="D1178" s="122"/>
      <c r="E1178" s="122"/>
      <c r="F1178" s="122"/>
      <c r="G1178" s="122"/>
      <c r="H1178" s="122"/>
      <c r="I1178" s="275"/>
      <c r="J1178" s="130"/>
      <c r="K1178" s="130"/>
      <c r="L1178" s="130"/>
      <c r="M1178" s="130"/>
      <c r="N1178" s="291"/>
      <c r="O1178" s="291"/>
      <c r="P1178" s="122"/>
      <c r="Q1178" s="122"/>
      <c r="R1178" s="122"/>
      <c r="S1178" s="122"/>
      <c r="T1178" s="122"/>
      <c r="U1178" s="301"/>
      <c r="V1178" s="260">
        <f t="shared" ca="1" si="26"/>
        <v>0</v>
      </c>
      <c r="W1178" s="348" t="str">
        <f>IF(板块成分!B1180="","",板块成分!B1180)</f>
        <v>002693.SZ</v>
      </c>
      <c r="X1178" s="276" t="str">
        <f>[1]!S_Info_Name(W1178)</f>
        <v>*ST双成</v>
      </c>
      <c r="Y1178" s="276" t="str">
        <f ca="1">IF($Y$3="申万一级行业",[1]!s_info_industry_sw_2021(W1178,公司分析!D$5,1),IF($Y$3="申万二级行业",[1]!s_info_industry_sw_2021(W1178,公司分析!D$5,2),IF($Y$3="申万三级行业",[1]!s_info_industry_sw_2021(W1178,公司分析!D$5,3),IF($Y$3="wind一级行业",[1]!s_info_industry_gics(W1178,1),IF($Y$3="wind二级行业",[1]!s_info_industry_gics(W1178,2),IF($Y$3="wind三级行业",[1]!s_info_industry_gics(W1178,3),IF($Y$3="wind四级行业",[1]!s_info_industry_gics(W1178,4),IF($Y$3="证监会门类行业",[1]!s_info_industry_csrc12_n(W1178,公司分析!D$5,1),""))))))))</f>
        <v>化学制药</v>
      </c>
      <c r="Z1178" s="302" t="str">
        <f ca="1">IF(Y1178=行业比较!$E$6,ROW(),"")</f>
        <v/>
      </c>
      <c r="AA1178" s="122"/>
      <c r="AB1178" s="122"/>
      <c r="AC1178" s="122"/>
      <c r="AD1178" s="122"/>
      <c r="AE1178" s="122"/>
      <c r="AF1178" s="122"/>
      <c r="AG1178" s="122"/>
      <c r="AH1178" s="122"/>
      <c r="AI1178" s="122"/>
      <c r="AJ1178" s="122"/>
      <c r="AK1178" s="122"/>
      <c r="AL1178" s="122"/>
      <c r="AM1178" s="122"/>
      <c r="AN1178" s="122"/>
      <c r="AO1178" s="122"/>
      <c r="AP1178" s="122"/>
    </row>
    <row r="1179" spans="2:42">
      <c r="B1179" s="122"/>
      <c r="C1179" s="122"/>
      <c r="D1179" s="122"/>
      <c r="E1179" s="122"/>
      <c r="F1179" s="122"/>
      <c r="G1179" s="122"/>
      <c r="H1179" s="122"/>
      <c r="I1179" s="275"/>
      <c r="J1179" s="130"/>
      <c r="K1179" s="130"/>
      <c r="L1179" s="130"/>
      <c r="M1179" s="130"/>
      <c r="N1179" s="291"/>
      <c r="O1179" s="291"/>
      <c r="P1179" s="122"/>
      <c r="Q1179" s="122"/>
      <c r="R1179" s="122"/>
      <c r="S1179" s="122"/>
      <c r="T1179" s="122"/>
      <c r="U1179" s="301"/>
      <c r="V1179" s="260">
        <f t="shared" ca="1" si="26"/>
        <v>0</v>
      </c>
      <c r="W1179" s="348" t="str">
        <f>IF(板块成分!B1181="","",板块成分!B1181)</f>
        <v>002694.SZ</v>
      </c>
      <c r="X1179" s="276" t="str">
        <f>[1]!S_Info_Name(W1179)</f>
        <v>顾地科技</v>
      </c>
      <c r="Y1179" s="276" t="str">
        <f ca="1">IF($Y$3="申万一级行业",[1]!s_info_industry_sw_2021(W1179,公司分析!D$5,1),IF($Y$3="申万二级行业",[1]!s_info_industry_sw_2021(W1179,公司分析!D$5,2),IF($Y$3="申万三级行业",[1]!s_info_industry_sw_2021(W1179,公司分析!D$5,3),IF($Y$3="wind一级行业",[1]!s_info_industry_gics(W1179,1),IF($Y$3="wind二级行业",[1]!s_info_industry_gics(W1179,2),IF($Y$3="wind三级行业",[1]!s_info_industry_gics(W1179,3),IF($Y$3="wind四级行业",[1]!s_info_industry_gics(W1179,4),IF($Y$3="证监会门类行业",[1]!s_info_industry_csrc12_n(W1179,公司分析!D$5,1),""))))))))</f>
        <v>装修建材</v>
      </c>
      <c r="Z1179" s="302" t="str">
        <f ca="1">IF(Y1179=行业比较!$E$6,ROW(),"")</f>
        <v/>
      </c>
      <c r="AA1179" s="122"/>
      <c r="AB1179" s="122"/>
      <c r="AC1179" s="122"/>
      <c r="AD1179" s="122"/>
      <c r="AE1179" s="122"/>
      <c r="AF1179" s="122"/>
      <c r="AG1179" s="122"/>
      <c r="AH1179" s="122"/>
      <c r="AI1179" s="122"/>
      <c r="AJ1179" s="122"/>
      <c r="AK1179" s="122"/>
      <c r="AL1179" s="122"/>
      <c r="AM1179" s="122"/>
      <c r="AN1179" s="122"/>
      <c r="AO1179" s="122"/>
      <c r="AP1179" s="122"/>
    </row>
    <row r="1180" spans="2:42">
      <c r="B1180" s="122"/>
      <c r="C1180" s="122"/>
      <c r="D1180" s="122"/>
      <c r="E1180" s="122"/>
      <c r="F1180" s="122"/>
      <c r="G1180" s="122"/>
      <c r="H1180" s="122"/>
      <c r="I1180" s="275"/>
      <c r="J1180" s="130"/>
      <c r="K1180" s="130"/>
      <c r="L1180" s="130"/>
      <c r="M1180" s="130"/>
      <c r="N1180" s="291"/>
      <c r="O1180" s="291"/>
      <c r="P1180" s="122"/>
      <c r="Q1180" s="122"/>
      <c r="R1180" s="122"/>
      <c r="S1180" s="122"/>
      <c r="T1180" s="122"/>
      <c r="U1180" s="301"/>
      <c r="V1180" s="260">
        <f t="shared" ca="1" si="26"/>
        <v>0</v>
      </c>
      <c r="W1180" s="348" t="str">
        <f>IF(板块成分!B1182="","",板块成分!B1182)</f>
        <v>002695.SZ</v>
      </c>
      <c r="X1180" s="276" t="str">
        <f>[1]!S_Info_Name(W1180)</f>
        <v>煌上煌</v>
      </c>
      <c r="Y1180" s="276" t="str">
        <f ca="1">IF($Y$3="申万一级行业",[1]!s_info_industry_sw_2021(W1180,公司分析!D$5,1),IF($Y$3="申万二级行业",[1]!s_info_industry_sw_2021(W1180,公司分析!D$5,2),IF($Y$3="申万三级行业",[1]!s_info_industry_sw_2021(W1180,公司分析!D$5,3),IF($Y$3="wind一级行业",[1]!s_info_industry_gics(W1180,1),IF($Y$3="wind二级行业",[1]!s_info_industry_gics(W1180,2),IF($Y$3="wind三级行业",[1]!s_info_industry_gics(W1180,3),IF($Y$3="wind四级行业",[1]!s_info_industry_gics(W1180,4),IF($Y$3="证监会门类行业",[1]!s_info_industry_csrc12_n(W1180,公司分析!D$5,1),""))))))))</f>
        <v>休闲食品</v>
      </c>
      <c r="Z1180" s="302" t="str">
        <f ca="1">IF(Y1180=行业比较!$E$6,ROW(),"")</f>
        <v/>
      </c>
      <c r="AA1180" s="122"/>
      <c r="AB1180" s="122"/>
      <c r="AC1180" s="122"/>
      <c r="AD1180" s="122"/>
      <c r="AE1180" s="122"/>
      <c r="AF1180" s="122"/>
      <c r="AG1180" s="122"/>
      <c r="AH1180" s="122"/>
      <c r="AI1180" s="122"/>
      <c r="AJ1180" s="122"/>
      <c r="AK1180" s="122"/>
      <c r="AL1180" s="122"/>
      <c r="AM1180" s="122"/>
      <c r="AN1180" s="122"/>
      <c r="AO1180" s="122"/>
      <c r="AP1180" s="122"/>
    </row>
    <row r="1181" spans="2:42">
      <c r="B1181" s="122"/>
      <c r="C1181" s="122"/>
      <c r="D1181" s="122"/>
      <c r="E1181" s="122"/>
      <c r="F1181" s="122"/>
      <c r="G1181" s="122"/>
      <c r="H1181" s="122"/>
      <c r="I1181" s="275"/>
      <c r="J1181" s="130"/>
      <c r="K1181" s="130"/>
      <c r="L1181" s="130"/>
      <c r="M1181" s="130"/>
      <c r="N1181" s="291"/>
      <c r="O1181" s="291"/>
      <c r="P1181" s="122"/>
      <c r="Q1181" s="122"/>
      <c r="R1181" s="122"/>
      <c r="S1181" s="122"/>
      <c r="T1181" s="122"/>
      <c r="U1181" s="301"/>
      <c r="V1181" s="260">
        <f t="shared" ca="1" si="26"/>
        <v>0</v>
      </c>
      <c r="W1181" s="348" t="str">
        <f>IF(板块成分!B1183="","",板块成分!B1183)</f>
        <v>002696.SZ</v>
      </c>
      <c r="X1181" s="276" t="str">
        <f>[1]!S_Info_Name(W1181)</f>
        <v>百洋股份</v>
      </c>
      <c r="Y1181" s="276" t="str">
        <f ca="1">IF($Y$3="申万一级行业",[1]!s_info_industry_sw_2021(W1181,公司分析!D$5,1),IF($Y$3="申万二级行业",[1]!s_info_industry_sw_2021(W1181,公司分析!D$5,2),IF($Y$3="申万三级行业",[1]!s_info_industry_sw_2021(W1181,公司分析!D$5,3),IF($Y$3="wind一级行业",[1]!s_info_industry_gics(W1181,1),IF($Y$3="wind二级行业",[1]!s_info_industry_gics(W1181,2),IF($Y$3="wind三级行业",[1]!s_info_industry_gics(W1181,3),IF($Y$3="wind四级行业",[1]!s_info_industry_gics(W1181,4),IF($Y$3="证监会门类行业",[1]!s_info_industry_csrc12_n(W1181,公司分析!D$5,1),""))))))))</f>
        <v>饲料</v>
      </c>
      <c r="Z1181" s="302" t="str">
        <f ca="1">IF(Y1181=行业比较!$E$6,ROW(),"")</f>
        <v/>
      </c>
      <c r="AA1181" s="122"/>
      <c r="AB1181" s="122"/>
      <c r="AC1181" s="122"/>
      <c r="AD1181" s="122"/>
      <c r="AE1181" s="122"/>
      <c r="AF1181" s="122"/>
      <c r="AG1181" s="122"/>
      <c r="AH1181" s="122"/>
      <c r="AI1181" s="122"/>
      <c r="AJ1181" s="122"/>
      <c r="AK1181" s="122"/>
      <c r="AL1181" s="122"/>
      <c r="AM1181" s="122"/>
      <c r="AN1181" s="122"/>
      <c r="AO1181" s="122"/>
      <c r="AP1181" s="122"/>
    </row>
    <row r="1182" spans="2:42">
      <c r="B1182" s="122"/>
      <c r="C1182" s="122"/>
      <c r="D1182" s="122"/>
      <c r="E1182" s="122"/>
      <c r="F1182" s="122"/>
      <c r="G1182" s="122"/>
      <c r="H1182" s="122"/>
      <c r="I1182" s="275"/>
      <c r="J1182" s="130"/>
      <c r="K1182" s="130"/>
      <c r="L1182" s="130"/>
      <c r="M1182" s="130"/>
      <c r="N1182" s="291"/>
      <c r="O1182" s="291"/>
      <c r="P1182" s="122"/>
      <c r="Q1182" s="122"/>
      <c r="R1182" s="122"/>
      <c r="S1182" s="122"/>
      <c r="T1182" s="122"/>
      <c r="U1182" s="301"/>
      <c r="V1182" s="260">
        <f t="shared" ca="1" si="26"/>
        <v>0</v>
      </c>
      <c r="W1182" s="348" t="str">
        <f>IF(板块成分!B1184="","",板块成分!B1184)</f>
        <v>002697.SZ</v>
      </c>
      <c r="X1182" s="276" t="str">
        <f>[1]!S_Info_Name(W1182)</f>
        <v>红旗连锁</v>
      </c>
      <c r="Y1182" s="276" t="str">
        <f ca="1">IF($Y$3="申万一级行业",[1]!s_info_industry_sw_2021(W1182,公司分析!D$5,1),IF($Y$3="申万二级行业",[1]!s_info_industry_sw_2021(W1182,公司分析!D$5,2),IF($Y$3="申万三级行业",[1]!s_info_industry_sw_2021(W1182,公司分析!D$5,3),IF($Y$3="wind一级行业",[1]!s_info_industry_gics(W1182,1),IF($Y$3="wind二级行业",[1]!s_info_industry_gics(W1182,2),IF($Y$3="wind三级行业",[1]!s_info_industry_gics(W1182,3),IF($Y$3="wind四级行业",[1]!s_info_industry_gics(W1182,4),IF($Y$3="证监会门类行业",[1]!s_info_industry_csrc12_n(W1182,公司分析!D$5,1),""))))))))</f>
        <v>一般零售</v>
      </c>
      <c r="Z1182" s="302" t="str">
        <f ca="1">IF(Y1182=行业比较!$E$6,ROW(),"")</f>
        <v/>
      </c>
      <c r="AA1182" s="122"/>
      <c r="AB1182" s="122"/>
      <c r="AC1182" s="122"/>
      <c r="AD1182" s="122"/>
      <c r="AE1182" s="122"/>
      <c r="AF1182" s="122"/>
      <c r="AG1182" s="122"/>
      <c r="AH1182" s="122"/>
      <c r="AI1182" s="122"/>
      <c r="AJ1182" s="122"/>
      <c r="AK1182" s="122"/>
      <c r="AL1182" s="122"/>
      <c r="AM1182" s="122"/>
      <c r="AN1182" s="122"/>
      <c r="AO1182" s="122"/>
      <c r="AP1182" s="122"/>
    </row>
    <row r="1183" spans="2:42">
      <c r="B1183" s="122"/>
      <c r="C1183" s="122"/>
      <c r="D1183" s="122"/>
      <c r="E1183" s="122"/>
      <c r="F1183" s="122"/>
      <c r="G1183" s="122"/>
      <c r="H1183" s="122"/>
      <c r="I1183" s="275"/>
      <c r="J1183" s="130"/>
      <c r="K1183" s="130"/>
      <c r="L1183" s="130"/>
      <c r="M1183" s="130"/>
      <c r="N1183" s="291"/>
      <c r="O1183" s="291"/>
      <c r="P1183" s="122"/>
      <c r="Q1183" s="122"/>
      <c r="R1183" s="122"/>
      <c r="S1183" s="122"/>
      <c r="T1183" s="122"/>
      <c r="U1183" s="301"/>
      <c r="V1183" s="260">
        <f t="shared" ca="1" si="26"/>
        <v>0</v>
      </c>
      <c r="W1183" s="348" t="str">
        <f>IF(板块成分!B1185="","",板块成分!B1185)</f>
        <v>002698.SZ</v>
      </c>
      <c r="X1183" s="276" t="str">
        <f>[1]!S_Info_Name(W1183)</f>
        <v>博实股份</v>
      </c>
      <c r="Y1183" s="276" t="str">
        <f ca="1">IF($Y$3="申万一级行业",[1]!s_info_industry_sw_2021(W1183,公司分析!D$5,1),IF($Y$3="申万二级行业",[1]!s_info_industry_sw_2021(W1183,公司分析!D$5,2),IF($Y$3="申万三级行业",[1]!s_info_industry_sw_2021(W1183,公司分析!D$5,3),IF($Y$3="wind一级行业",[1]!s_info_industry_gics(W1183,1),IF($Y$3="wind二级行业",[1]!s_info_industry_gics(W1183,2),IF($Y$3="wind三级行业",[1]!s_info_industry_gics(W1183,3),IF($Y$3="wind四级行业",[1]!s_info_industry_gics(W1183,4),IF($Y$3="证监会门类行业",[1]!s_info_industry_csrc12_n(W1183,公司分析!D$5,1),""))))))))</f>
        <v>自动化设备</v>
      </c>
      <c r="Z1183" s="302" t="str">
        <f ca="1">IF(Y1183=行业比较!$E$6,ROW(),"")</f>
        <v/>
      </c>
      <c r="AA1183" s="122"/>
      <c r="AB1183" s="122"/>
      <c r="AC1183" s="122"/>
      <c r="AD1183" s="122"/>
      <c r="AE1183" s="122"/>
      <c r="AF1183" s="122"/>
      <c r="AG1183" s="122"/>
      <c r="AH1183" s="122"/>
      <c r="AI1183" s="122"/>
      <c r="AJ1183" s="122"/>
      <c r="AK1183" s="122"/>
      <c r="AL1183" s="122"/>
      <c r="AM1183" s="122"/>
      <c r="AN1183" s="122"/>
      <c r="AO1183" s="122"/>
      <c r="AP1183" s="122"/>
    </row>
    <row r="1184" spans="2:42">
      <c r="B1184" s="122"/>
      <c r="C1184" s="122"/>
      <c r="D1184" s="122"/>
      <c r="E1184" s="122"/>
      <c r="F1184" s="122"/>
      <c r="G1184" s="122"/>
      <c r="H1184" s="122"/>
      <c r="I1184" s="275"/>
      <c r="J1184" s="130"/>
      <c r="K1184" s="130"/>
      <c r="L1184" s="130"/>
      <c r="M1184" s="130"/>
      <c r="N1184" s="291"/>
      <c r="O1184" s="291"/>
      <c r="P1184" s="122"/>
      <c r="Q1184" s="122"/>
      <c r="R1184" s="122"/>
      <c r="S1184" s="122"/>
      <c r="T1184" s="122"/>
      <c r="U1184" s="301"/>
      <c r="V1184" s="260">
        <f t="shared" ca="1" si="26"/>
        <v>0</v>
      </c>
      <c r="W1184" s="348" t="str">
        <f>IF(板块成分!B1186="","",板块成分!B1186)</f>
        <v>002700.SZ</v>
      </c>
      <c r="X1184" s="276" t="str">
        <f>[1]!S_Info_Name(W1184)</f>
        <v>万憬能源</v>
      </c>
      <c r="Y1184" s="276" t="str">
        <f ca="1">IF($Y$3="申万一级行业",[1]!s_info_industry_sw_2021(W1184,公司分析!D$5,1),IF($Y$3="申万二级行业",[1]!s_info_industry_sw_2021(W1184,公司分析!D$5,2),IF($Y$3="申万三级行业",[1]!s_info_industry_sw_2021(W1184,公司分析!D$5,3),IF($Y$3="wind一级行业",[1]!s_info_industry_gics(W1184,1),IF($Y$3="wind二级行业",[1]!s_info_industry_gics(W1184,2),IF($Y$3="wind三级行业",[1]!s_info_industry_gics(W1184,3),IF($Y$3="wind四级行业",[1]!s_info_industry_gics(W1184,4),IF($Y$3="证监会门类行业",[1]!s_info_industry_csrc12_n(W1184,公司分析!D$5,1),""))))))))</f>
        <v>燃气Ⅱ</v>
      </c>
      <c r="Z1184" s="302" t="str">
        <f ca="1">IF(Y1184=行业比较!$E$6,ROW(),"")</f>
        <v/>
      </c>
      <c r="AA1184" s="122"/>
      <c r="AB1184" s="122"/>
      <c r="AC1184" s="122"/>
      <c r="AD1184" s="122"/>
      <c r="AE1184" s="122"/>
      <c r="AF1184" s="122"/>
      <c r="AG1184" s="122"/>
      <c r="AH1184" s="122"/>
      <c r="AI1184" s="122"/>
      <c r="AJ1184" s="122"/>
      <c r="AK1184" s="122"/>
      <c r="AL1184" s="122"/>
      <c r="AM1184" s="122"/>
      <c r="AN1184" s="122"/>
      <c r="AO1184" s="122"/>
      <c r="AP1184" s="122"/>
    </row>
    <row r="1185" spans="2:42">
      <c r="B1185" s="122"/>
      <c r="C1185" s="122"/>
      <c r="D1185" s="122"/>
      <c r="E1185" s="122"/>
      <c r="F1185" s="122"/>
      <c r="G1185" s="122"/>
      <c r="H1185" s="122"/>
      <c r="I1185" s="275"/>
      <c r="J1185" s="130"/>
      <c r="K1185" s="130"/>
      <c r="L1185" s="130"/>
      <c r="M1185" s="130"/>
      <c r="N1185" s="291"/>
      <c r="O1185" s="291"/>
      <c r="P1185" s="122"/>
      <c r="Q1185" s="122"/>
      <c r="R1185" s="122"/>
      <c r="S1185" s="122"/>
      <c r="T1185" s="122"/>
      <c r="U1185" s="301"/>
      <c r="V1185" s="260">
        <f t="shared" ca="1" si="26"/>
        <v>0</v>
      </c>
      <c r="W1185" s="348" t="str">
        <f>IF(板块成分!B1187="","",板块成分!B1187)</f>
        <v>002701.SZ</v>
      </c>
      <c r="X1185" s="276" t="str">
        <f>[1]!S_Info_Name(W1185)</f>
        <v>奥瑞金</v>
      </c>
      <c r="Y1185" s="276" t="str">
        <f ca="1">IF($Y$3="申万一级行业",[1]!s_info_industry_sw_2021(W1185,公司分析!D$5,1),IF($Y$3="申万二级行业",[1]!s_info_industry_sw_2021(W1185,公司分析!D$5,2),IF($Y$3="申万三级行业",[1]!s_info_industry_sw_2021(W1185,公司分析!D$5,3),IF($Y$3="wind一级行业",[1]!s_info_industry_gics(W1185,1),IF($Y$3="wind二级行业",[1]!s_info_industry_gics(W1185,2),IF($Y$3="wind三级行业",[1]!s_info_industry_gics(W1185,3),IF($Y$3="wind四级行业",[1]!s_info_industry_gics(W1185,4),IF($Y$3="证监会门类行业",[1]!s_info_industry_csrc12_n(W1185,公司分析!D$5,1),""))))))))</f>
        <v>包装印刷</v>
      </c>
      <c r="Z1185" s="302" t="str">
        <f ca="1">IF(Y1185=行业比较!$E$6,ROW(),"")</f>
        <v/>
      </c>
      <c r="AA1185" s="122"/>
      <c r="AB1185" s="122"/>
      <c r="AC1185" s="122"/>
      <c r="AD1185" s="122"/>
      <c r="AE1185" s="122"/>
      <c r="AF1185" s="122"/>
      <c r="AG1185" s="122"/>
      <c r="AH1185" s="122"/>
      <c r="AI1185" s="122"/>
      <c r="AJ1185" s="122"/>
      <c r="AK1185" s="122"/>
      <c r="AL1185" s="122"/>
      <c r="AM1185" s="122"/>
      <c r="AN1185" s="122"/>
      <c r="AO1185" s="122"/>
      <c r="AP1185" s="122"/>
    </row>
    <row r="1186" spans="2:42">
      <c r="B1186" s="122"/>
      <c r="C1186" s="122"/>
      <c r="D1186" s="122"/>
      <c r="E1186" s="122"/>
      <c r="F1186" s="122"/>
      <c r="G1186" s="122"/>
      <c r="H1186" s="122"/>
      <c r="I1186" s="275"/>
      <c r="J1186" s="130"/>
      <c r="K1186" s="130"/>
      <c r="L1186" s="130"/>
      <c r="M1186" s="130"/>
      <c r="N1186" s="291"/>
      <c r="O1186" s="291"/>
      <c r="P1186" s="122"/>
      <c r="Q1186" s="122"/>
      <c r="R1186" s="122"/>
      <c r="S1186" s="122"/>
      <c r="T1186" s="122"/>
      <c r="U1186" s="301"/>
      <c r="V1186" s="260">
        <f t="shared" ca="1" si="26"/>
        <v>0</v>
      </c>
      <c r="W1186" s="348" t="str">
        <f>IF(板块成分!B1188="","",板块成分!B1188)</f>
        <v>002702.SZ</v>
      </c>
      <c r="X1186" s="276" t="str">
        <f>[1]!S_Info_Name(W1186)</f>
        <v>海欣食品</v>
      </c>
      <c r="Y1186" s="276" t="str">
        <f ca="1">IF($Y$3="申万一级行业",[1]!s_info_industry_sw_2021(W1186,公司分析!D$5,1),IF($Y$3="申万二级行业",[1]!s_info_industry_sw_2021(W1186,公司分析!D$5,2),IF($Y$3="申万三级行业",[1]!s_info_industry_sw_2021(W1186,公司分析!D$5,3),IF($Y$3="wind一级行业",[1]!s_info_industry_gics(W1186,1),IF($Y$3="wind二级行业",[1]!s_info_industry_gics(W1186,2),IF($Y$3="wind三级行业",[1]!s_info_industry_gics(W1186,3),IF($Y$3="wind四级行业",[1]!s_info_industry_gics(W1186,4),IF($Y$3="证监会门类行业",[1]!s_info_industry_csrc12_n(W1186,公司分析!D$5,1),""))))))))</f>
        <v>食品加工</v>
      </c>
      <c r="Z1186" s="302" t="str">
        <f ca="1">IF(Y1186=行业比较!$E$6,ROW(),"")</f>
        <v/>
      </c>
      <c r="AA1186" s="122"/>
      <c r="AB1186" s="122"/>
      <c r="AC1186" s="122"/>
      <c r="AD1186" s="122"/>
      <c r="AE1186" s="122"/>
      <c r="AF1186" s="122"/>
      <c r="AG1186" s="122"/>
      <c r="AH1186" s="122"/>
      <c r="AI1186" s="122"/>
      <c r="AJ1186" s="122"/>
      <c r="AK1186" s="122"/>
      <c r="AL1186" s="122"/>
      <c r="AM1186" s="122"/>
      <c r="AN1186" s="122"/>
      <c r="AO1186" s="122"/>
      <c r="AP1186" s="122"/>
    </row>
    <row r="1187" spans="2:42">
      <c r="B1187" s="122"/>
      <c r="C1187" s="122"/>
      <c r="D1187" s="122"/>
      <c r="E1187" s="122"/>
      <c r="F1187" s="122"/>
      <c r="G1187" s="122"/>
      <c r="H1187" s="122"/>
      <c r="I1187" s="275"/>
      <c r="J1187" s="130"/>
      <c r="K1187" s="130"/>
      <c r="L1187" s="130"/>
      <c r="M1187" s="130"/>
      <c r="N1187" s="291"/>
      <c r="O1187" s="291"/>
      <c r="P1187" s="122"/>
      <c r="Q1187" s="122"/>
      <c r="R1187" s="122"/>
      <c r="S1187" s="122"/>
      <c r="T1187" s="122"/>
      <c r="U1187" s="301"/>
      <c r="V1187" s="260">
        <f t="shared" ca="1" si="26"/>
        <v>0</v>
      </c>
      <c r="W1187" s="348" t="str">
        <f>IF(板块成分!B1189="","",板块成分!B1189)</f>
        <v>002703.SZ</v>
      </c>
      <c r="X1187" s="276" t="str">
        <f>[1]!S_Info_Name(W1187)</f>
        <v>浙江世宝</v>
      </c>
      <c r="Y1187" s="276" t="str">
        <f ca="1">IF($Y$3="申万一级行业",[1]!s_info_industry_sw_2021(W1187,公司分析!D$5,1),IF($Y$3="申万二级行业",[1]!s_info_industry_sw_2021(W1187,公司分析!D$5,2),IF($Y$3="申万三级行业",[1]!s_info_industry_sw_2021(W1187,公司分析!D$5,3),IF($Y$3="wind一级行业",[1]!s_info_industry_gics(W1187,1),IF($Y$3="wind二级行业",[1]!s_info_industry_gics(W1187,2),IF($Y$3="wind三级行业",[1]!s_info_industry_gics(W1187,3),IF($Y$3="wind四级行业",[1]!s_info_industry_gics(W1187,4),IF($Y$3="证监会门类行业",[1]!s_info_industry_csrc12_n(W1187,公司分析!D$5,1),""))))))))</f>
        <v>汽车零部件</v>
      </c>
      <c r="Z1187" s="302" t="str">
        <f ca="1">IF(Y1187=行业比较!$E$6,ROW(),"")</f>
        <v/>
      </c>
      <c r="AA1187" s="122"/>
      <c r="AB1187" s="122"/>
      <c r="AC1187" s="122"/>
      <c r="AD1187" s="122"/>
      <c r="AE1187" s="122"/>
      <c r="AF1187" s="122"/>
      <c r="AG1187" s="122"/>
      <c r="AH1187" s="122"/>
      <c r="AI1187" s="122"/>
      <c r="AJ1187" s="122"/>
      <c r="AK1187" s="122"/>
      <c r="AL1187" s="122"/>
      <c r="AM1187" s="122"/>
      <c r="AN1187" s="122"/>
      <c r="AO1187" s="122"/>
      <c r="AP1187" s="122"/>
    </row>
    <row r="1188" spans="2:42">
      <c r="B1188" s="122"/>
      <c r="C1188" s="122"/>
      <c r="D1188" s="122"/>
      <c r="E1188" s="122"/>
      <c r="F1188" s="122"/>
      <c r="G1188" s="122"/>
      <c r="H1188" s="122"/>
      <c r="I1188" s="275"/>
      <c r="J1188" s="130"/>
      <c r="K1188" s="130"/>
      <c r="L1188" s="130"/>
      <c r="M1188" s="130"/>
      <c r="N1188" s="291"/>
      <c r="O1188" s="291"/>
      <c r="P1188" s="122"/>
      <c r="Q1188" s="122"/>
      <c r="R1188" s="122"/>
      <c r="S1188" s="122"/>
      <c r="T1188" s="122"/>
      <c r="U1188" s="301"/>
      <c r="V1188" s="260">
        <f t="shared" ca="1" si="26"/>
        <v>0</v>
      </c>
      <c r="W1188" s="348" t="str">
        <f>IF(板块成分!B1190="","",板块成分!B1190)</f>
        <v>002705.SZ</v>
      </c>
      <c r="X1188" s="276" t="str">
        <f>[1]!S_Info_Name(W1188)</f>
        <v>新宝股份</v>
      </c>
      <c r="Y1188" s="276" t="str">
        <f ca="1">IF($Y$3="申万一级行业",[1]!s_info_industry_sw_2021(W1188,公司分析!D$5,1),IF($Y$3="申万二级行业",[1]!s_info_industry_sw_2021(W1188,公司分析!D$5,2),IF($Y$3="申万三级行业",[1]!s_info_industry_sw_2021(W1188,公司分析!D$5,3),IF($Y$3="wind一级行业",[1]!s_info_industry_gics(W1188,1),IF($Y$3="wind二级行业",[1]!s_info_industry_gics(W1188,2),IF($Y$3="wind三级行业",[1]!s_info_industry_gics(W1188,3),IF($Y$3="wind四级行业",[1]!s_info_industry_gics(W1188,4),IF($Y$3="证监会门类行业",[1]!s_info_industry_csrc12_n(W1188,公司分析!D$5,1),""))))))))</f>
        <v>小家电</v>
      </c>
      <c r="Z1188" s="302" t="str">
        <f ca="1">IF(Y1188=行业比较!$E$6,ROW(),"")</f>
        <v/>
      </c>
      <c r="AA1188" s="122"/>
      <c r="AB1188" s="122"/>
      <c r="AC1188" s="122"/>
      <c r="AD1188" s="122"/>
      <c r="AE1188" s="122"/>
      <c r="AF1188" s="122"/>
      <c r="AG1188" s="122"/>
      <c r="AH1188" s="122"/>
      <c r="AI1188" s="122"/>
      <c r="AJ1188" s="122"/>
      <c r="AK1188" s="122"/>
      <c r="AL1188" s="122"/>
      <c r="AM1188" s="122"/>
      <c r="AN1188" s="122"/>
      <c r="AO1188" s="122"/>
      <c r="AP1188" s="122"/>
    </row>
    <row r="1189" spans="2:42">
      <c r="B1189" s="122"/>
      <c r="C1189" s="122"/>
      <c r="D1189" s="122"/>
      <c r="E1189" s="122"/>
      <c r="F1189" s="122"/>
      <c r="G1189" s="122"/>
      <c r="H1189" s="122"/>
      <c r="I1189" s="275"/>
      <c r="J1189" s="130"/>
      <c r="K1189" s="130"/>
      <c r="L1189" s="130"/>
      <c r="M1189" s="130"/>
      <c r="N1189" s="291"/>
      <c r="O1189" s="291"/>
      <c r="P1189" s="122"/>
      <c r="Q1189" s="122"/>
      <c r="R1189" s="122"/>
      <c r="S1189" s="122"/>
      <c r="T1189" s="122"/>
      <c r="U1189" s="301"/>
      <c r="V1189" s="260">
        <f t="shared" ca="1" si="26"/>
        <v>0</v>
      </c>
      <c r="W1189" s="348" t="str">
        <f>IF(板块成分!B1191="","",板块成分!B1191)</f>
        <v>002706.SZ</v>
      </c>
      <c r="X1189" s="276" t="str">
        <f>[1]!S_Info_Name(W1189)</f>
        <v>良信股份</v>
      </c>
      <c r="Y1189" s="276" t="str">
        <f ca="1">IF($Y$3="申万一级行业",[1]!s_info_industry_sw_2021(W1189,公司分析!D$5,1),IF($Y$3="申万二级行业",[1]!s_info_industry_sw_2021(W1189,公司分析!D$5,2),IF($Y$3="申万三级行业",[1]!s_info_industry_sw_2021(W1189,公司分析!D$5,3),IF($Y$3="wind一级行业",[1]!s_info_industry_gics(W1189,1),IF($Y$3="wind二级行业",[1]!s_info_industry_gics(W1189,2),IF($Y$3="wind三级行业",[1]!s_info_industry_gics(W1189,3),IF($Y$3="wind四级行业",[1]!s_info_industry_gics(W1189,4),IF($Y$3="证监会门类行业",[1]!s_info_industry_csrc12_n(W1189,公司分析!D$5,1),""))))))))</f>
        <v>电网设备</v>
      </c>
      <c r="Z1189" s="302" t="str">
        <f ca="1">IF(Y1189=行业比较!$E$6,ROW(),"")</f>
        <v/>
      </c>
      <c r="AA1189" s="122"/>
      <c r="AB1189" s="122"/>
      <c r="AC1189" s="122"/>
      <c r="AD1189" s="122"/>
      <c r="AE1189" s="122"/>
      <c r="AF1189" s="122"/>
      <c r="AG1189" s="122"/>
      <c r="AH1189" s="122"/>
      <c r="AI1189" s="122"/>
      <c r="AJ1189" s="122"/>
      <c r="AK1189" s="122"/>
      <c r="AL1189" s="122"/>
      <c r="AM1189" s="122"/>
      <c r="AN1189" s="122"/>
      <c r="AO1189" s="122"/>
      <c r="AP1189" s="122"/>
    </row>
    <row r="1190" spans="2:42">
      <c r="B1190" s="122"/>
      <c r="C1190" s="122"/>
      <c r="D1190" s="122"/>
      <c r="E1190" s="122"/>
      <c r="F1190" s="122"/>
      <c r="G1190" s="122"/>
      <c r="H1190" s="122"/>
      <c r="I1190" s="275"/>
      <c r="J1190" s="130"/>
      <c r="K1190" s="130"/>
      <c r="L1190" s="130"/>
      <c r="M1190" s="130"/>
      <c r="N1190" s="291"/>
      <c r="O1190" s="291"/>
      <c r="P1190" s="122"/>
      <c r="Q1190" s="122"/>
      <c r="R1190" s="122"/>
      <c r="S1190" s="122"/>
      <c r="T1190" s="122"/>
      <c r="U1190" s="301"/>
      <c r="V1190" s="260">
        <f t="shared" ca="1" si="26"/>
        <v>0</v>
      </c>
      <c r="W1190" s="348" t="str">
        <f>IF(板块成分!B1192="","",板块成分!B1192)</f>
        <v>002707.SZ</v>
      </c>
      <c r="X1190" s="276" t="str">
        <f>[1]!S_Info_Name(W1190)</f>
        <v>众信旅游</v>
      </c>
      <c r="Y1190" s="276" t="str">
        <f ca="1">IF($Y$3="申万一级行业",[1]!s_info_industry_sw_2021(W1190,公司分析!D$5,1),IF($Y$3="申万二级行业",[1]!s_info_industry_sw_2021(W1190,公司分析!D$5,2),IF($Y$3="申万三级行业",[1]!s_info_industry_sw_2021(W1190,公司分析!D$5,3),IF($Y$3="wind一级行业",[1]!s_info_industry_gics(W1190,1),IF($Y$3="wind二级行业",[1]!s_info_industry_gics(W1190,2),IF($Y$3="wind三级行业",[1]!s_info_industry_gics(W1190,3),IF($Y$3="wind四级行业",[1]!s_info_industry_gics(W1190,4),IF($Y$3="证监会门类行业",[1]!s_info_industry_csrc12_n(W1190,公司分析!D$5,1),""))))))))</f>
        <v>旅游及景区</v>
      </c>
      <c r="Z1190" s="302" t="str">
        <f ca="1">IF(Y1190=行业比较!$E$6,ROW(),"")</f>
        <v/>
      </c>
      <c r="AA1190" s="122"/>
      <c r="AB1190" s="122"/>
      <c r="AC1190" s="122"/>
      <c r="AD1190" s="122"/>
      <c r="AE1190" s="122"/>
      <c r="AF1190" s="122"/>
      <c r="AG1190" s="122"/>
      <c r="AH1190" s="122"/>
      <c r="AI1190" s="122"/>
      <c r="AJ1190" s="122"/>
      <c r="AK1190" s="122"/>
      <c r="AL1190" s="122"/>
      <c r="AM1190" s="122"/>
      <c r="AN1190" s="122"/>
      <c r="AO1190" s="122"/>
      <c r="AP1190" s="122"/>
    </row>
    <row r="1191" spans="2:42">
      <c r="B1191" s="122"/>
      <c r="C1191" s="122"/>
      <c r="D1191" s="122"/>
      <c r="E1191" s="122"/>
      <c r="F1191" s="122"/>
      <c r="G1191" s="122"/>
      <c r="H1191" s="122"/>
      <c r="I1191" s="275"/>
      <c r="J1191" s="130"/>
      <c r="K1191" s="130"/>
      <c r="L1191" s="130"/>
      <c r="M1191" s="130"/>
      <c r="N1191" s="291"/>
      <c r="O1191" s="291"/>
      <c r="P1191" s="122"/>
      <c r="Q1191" s="122"/>
      <c r="R1191" s="122"/>
      <c r="S1191" s="122"/>
      <c r="T1191" s="122"/>
      <c r="U1191" s="301"/>
      <c r="V1191" s="260">
        <f t="shared" ca="1" si="26"/>
        <v>0</v>
      </c>
      <c r="W1191" s="348" t="str">
        <f>IF(板块成分!B1193="","",板块成分!B1193)</f>
        <v>002708.SZ</v>
      </c>
      <c r="X1191" s="276" t="str">
        <f>[1]!S_Info_Name(W1191)</f>
        <v>光洋股份</v>
      </c>
      <c r="Y1191" s="276" t="str">
        <f ca="1">IF($Y$3="申万一级行业",[1]!s_info_industry_sw_2021(W1191,公司分析!D$5,1),IF($Y$3="申万二级行业",[1]!s_info_industry_sw_2021(W1191,公司分析!D$5,2),IF($Y$3="申万三级行业",[1]!s_info_industry_sw_2021(W1191,公司分析!D$5,3),IF($Y$3="wind一级行业",[1]!s_info_industry_gics(W1191,1),IF($Y$3="wind二级行业",[1]!s_info_industry_gics(W1191,2),IF($Y$3="wind三级行业",[1]!s_info_industry_gics(W1191,3),IF($Y$3="wind四级行业",[1]!s_info_industry_gics(W1191,4),IF($Y$3="证监会门类行业",[1]!s_info_industry_csrc12_n(W1191,公司分析!D$5,1),""))))))))</f>
        <v>汽车零部件</v>
      </c>
      <c r="Z1191" s="302" t="str">
        <f ca="1">IF(Y1191=行业比较!$E$6,ROW(),"")</f>
        <v/>
      </c>
      <c r="AA1191" s="122"/>
      <c r="AB1191" s="122"/>
      <c r="AC1191" s="122"/>
      <c r="AD1191" s="122"/>
      <c r="AE1191" s="122"/>
      <c r="AF1191" s="122"/>
      <c r="AG1191" s="122"/>
      <c r="AH1191" s="122"/>
      <c r="AI1191" s="122"/>
      <c r="AJ1191" s="122"/>
      <c r="AK1191" s="122"/>
      <c r="AL1191" s="122"/>
      <c r="AM1191" s="122"/>
      <c r="AN1191" s="122"/>
      <c r="AO1191" s="122"/>
      <c r="AP1191" s="122"/>
    </row>
    <row r="1192" spans="2:42">
      <c r="B1192" s="122"/>
      <c r="C1192" s="122"/>
      <c r="D1192" s="122"/>
      <c r="E1192" s="122"/>
      <c r="F1192" s="122"/>
      <c r="G1192" s="122"/>
      <c r="H1192" s="122"/>
      <c r="I1192" s="275"/>
      <c r="J1192" s="130"/>
      <c r="K1192" s="130"/>
      <c r="L1192" s="130"/>
      <c r="M1192" s="130"/>
      <c r="N1192" s="291"/>
      <c r="O1192" s="291"/>
      <c r="P1192" s="122"/>
      <c r="Q1192" s="122"/>
      <c r="R1192" s="122"/>
      <c r="S1192" s="122"/>
      <c r="T1192" s="122"/>
      <c r="U1192" s="301"/>
      <c r="V1192" s="260">
        <f t="shared" ca="1" si="26"/>
        <v>0</v>
      </c>
      <c r="W1192" s="348" t="str">
        <f>IF(板块成分!B1194="","",板块成分!B1194)</f>
        <v>002709.SZ</v>
      </c>
      <c r="X1192" s="276" t="str">
        <f>[1]!S_Info_Name(W1192)</f>
        <v>天赐材料</v>
      </c>
      <c r="Y1192" s="276" t="str">
        <f ca="1">IF($Y$3="申万一级行业",[1]!s_info_industry_sw_2021(W1192,公司分析!D$5,1),IF($Y$3="申万二级行业",[1]!s_info_industry_sw_2021(W1192,公司分析!D$5,2),IF($Y$3="申万三级行业",[1]!s_info_industry_sw_2021(W1192,公司分析!D$5,3),IF($Y$3="wind一级行业",[1]!s_info_industry_gics(W1192,1),IF($Y$3="wind二级行业",[1]!s_info_industry_gics(W1192,2),IF($Y$3="wind三级行业",[1]!s_info_industry_gics(W1192,3),IF($Y$3="wind四级行业",[1]!s_info_industry_gics(W1192,4),IF($Y$3="证监会门类行业",[1]!s_info_industry_csrc12_n(W1192,公司分析!D$5,1),""))))))))</f>
        <v>电池</v>
      </c>
      <c r="Z1192" s="302" t="str">
        <f ca="1">IF(Y1192=行业比较!$E$6,ROW(),"")</f>
        <v/>
      </c>
      <c r="AA1192" s="122"/>
      <c r="AB1192" s="122"/>
      <c r="AC1192" s="122"/>
      <c r="AD1192" s="122"/>
      <c r="AE1192" s="122"/>
      <c r="AF1192" s="122"/>
      <c r="AG1192" s="122"/>
      <c r="AH1192" s="122"/>
      <c r="AI1192" s="122"/>
      <c r="AJ1192" s="122"/>
      <c r="AK1192" s="122"/>
      <c r="AL1192" s="122"/>
      <c r="AM1192" s="122"/>
      <c r="AN1192" s="122"/>
      <c r="AO1192" s="122"/>
      <c r="AP1192" s="122"/>
    </row>
    <row r="1193" spans="2:42">
      <c r="B1193" s="122"/>
      <c r="C1193" s="122"/>
      <c r="D1193" s="122"/>
      <c r="E1193" s="122"/>
      <c r="F1193" s="122"/>
      <c r="G1193" s="122"/>
      <c r="H1193" s="122"/>
      <c r="I1193" s="275"/>
      <c r="J1193" s="130"/>
      <c r="K1193" s="130"/>
      <c r="L1193" s="130"/>
      <c r="M1193" s="130"/>
      <c r="N1193" s="291"/>
      <c r="O1193" s="291"/>
      <c r="P1193" s="122"/>
      <c r="Q1193" s="122"/>
      <c r="R1193" s="122"/>
      <c r="S1193" s="122"/>
      <c r="T1193" s="122"/>
      <c r="U1193" s="301"/>
      <c r="V1193" s="260">
        <f t="shared" ca="1" si="26"/>
        <v>0</v>
      </c>
      <c r="W1193" s="348" t="str">
        <f>IF(板块成分!B1195="","",板块成分!B1195)</f>
        <v>002712.SZ</v>
      </c>
      <c r="X1193" s="276" t="str">
        <f>[1]!S_Info_Name(W1193)</f>
        <v>思美传媒</v>
      </c>
      <c r="Y1193" s="276" t="str">
        <f ca="1">IF($Y$3="申万一级行业",[1]!s_info_industry_sw_2021(W1193,公司分析!D$5,1),IF($Y$3="申万二级行业",[1]!s_info_industry_sw_2021(W1193,公司分析!D$5,2),IF($Y$3="申万三级行业",[1]!s_info_industry_sw_2021(W1193,公司分析!D$5,3),IF($Y$3="wind一级行业",[1]!s_info_industry_gics(W1193,1),IF($Y$3="wind二级行业",[1]!s_info_industry_gics(W1193,2),IF($Y$3="wind三级行业",[1]!s_info_industry_gics(W1193,3),IF($Y$3="wind四级行业",[1]!s_info_industry_gics(W1193,4),IF($Y$3="证监会门类行业",[1]!s_info_industry_csrc12_n(W1193,公司分析!D$5,1),""))))))))</f>
        <v>广告营销</v>
      </c>
      <c r="Z1193" s="302" t="str">
        <f ca="1">IF(Y1193=行业比较!$E$6,ROW(),"")</f>
        <v/>
      </c>
      <c r="AA1193" s="122"/>
      <c r="AB1193" s="122"/>
      <c r="AC1193" s="122"/>
      <c r="AD1193" s="122"/>
      <c r="AE1193" s="122"/>
      <c r="AF1193" s="122"/>
      <c r="AG1193" s="122"/>
      <c r="AH1193" s="122"/>
      <c r="AI1193" s="122"/>
      <c r="AJ1193" s="122"/>
      <c r="AK1193" s="122"/>
      <c r="AL1193" s="122"/>
      <c r="AM1193" s="122"/>
      <c r="AN1193" s="122"/>
      <c r="AO1193" s="122"/>
      <c r="AP1193" s="122"/>
    </row>
    <row r="1194" spans="2:42">
      <c r="B1194" s="122"/>
      <c r="C1194" s="122"/>
      <c r="D1194" s="122"/>
      <c r="E1194" s="122"/>
      <c r="F1194" s="122"/>
      <c r="G1194" s="122"/>
      <c r="H1194" s="122"/>
      <c r="I1194" s="275"/>
      <c r="J1194" s="130"/>
      <c r="K1194" s="130"/>
      <c r="L1194" s="130"/>
      <c r="M1194" s="130"/>
      <c r="N1194" s="291"/>
      <c r="O1194" s="291"/>
      <c r="P1194" s="122"/>
      <c r="Q1194" s="122"/>
      <c r="R1194" s="122"/>
      <c r="S1194" s="122"/>
      <c r="T1194" s="122"/>
      <c r="U1194" s="301"/>
      <c r="V1194" s="260">
        <f t="shared" ca="1" si="26"/>
        <v>0</v>
      </c>
      <c r="W1194" s="348" t="str">
        <f>IF(板块成分!B1196="","",板块成分!B1196)</f>
        <v>002713.SZ</v>
      </c>
      <c r="X1194" s="276" t="str">
        <f>[1]!S_Info_Name(W1194)</f>
        <v>*ST东易</v>
      </c>
      <c r="Y1194" s="276" t="str">
        <f ca="1">IF($Y$3="申万一级行业",[1]!s_info_industry_sw_2021(W1194,公司分析!D$5,1),IF($Y$3="申万二级行业",[1]!s_info_industry_sw_2021(W1194,公司分析!D$5,2),IF($Y$3="申万三级行业",[1]!s_info_industry_sw_2021(W1194,公司分析!D$5,3),IF($Y$3="wind一级行业",[1]!s_info_industry_gics(W1194,1),IF($Y$3="wind二级行业",[1]!s_info_industry_gics(W1194,2),IF($Y$3="wind三级行业",[1]!s_info_industry_gics(W1194,3),IF($Y$3="wind四级行业",[1]!s_info_industry_gics(W1194,4),IF($Y$3="证监会门类行业",[1]!s_info_industry_csrc12_n(W1194,公司分析!D$5,1),""))))))))</f>
        <v>装修装饰Ⅱ</v>
      </c>
      <c r="Z1194" s="302" t="str">
        <f ca="1">IF(Y1194=行业比较!$E$6,ROW(),"")</f>
        <v/>
      </c>
      <c r="AA1194" s="122"/>
      <c r="AB1194" s="122"/>
      <c r="AC1194" s="122"/>
      <c r="AD1194" s="122"/>
      <c r="AE1194" s="122"/>
      <c r="AF1194" s="122"/>
      <c r="AG1194" s="122"/>
      <c r="AH1194" s="122"/>
      <c r="AI1194" s="122"/>
      <c r="AJ1194" s="122"/>
      <c r="AK1194" s="122"/>
      <c r="AL1194" s="122"/>
      <c r="AM1194" s="122"/>
      <c r="AN1194" s="122"/>
      <c r="AO1194" s="122"/>
      <c r="AP1194" s="122"/>
    </row>
    <row r="1195" spans="2:42">
      <c r="B1195" s="122"/>
      <c r="C1195" s="122"/>
      <c r="D1195" s="122"/>
      <c r="E1195" s="122"/>
      <c r="F1195" s="122"/>
      <c r="G1195" s="122"/>
      <c r="H1195" s="122"/>
      <c r="I1195" s="275"/>
      <c r="J1195" s="130"/>
      <c r="K1195" s="130"/>
      <c r="L1195" s="130"/>
      <c r="M1195" s="130"/>
      <c r="N1195" s="291"/>
      <c r="O1195" s="291"/>
      <c r="P1195" s="122"/>
      <c r="Q1195" s="122"/>
      <c r="R1195" s="122"/>
      <c r="S1195" s="122"/>
      <c r="T1195" s="122"/>
      <c r="U1195" s="301"/>
      <c r="V1195" s="260">
        <f t="shared" ca="1" si="26"/>
        <v>0</v>
      </c>
      <c r="W1195" s="348" t="str">
        <f>IF(板块成分!B1197="","",板块成分!B1197)</f>
        <v>002714.SZ</v>
      </c>
      <c r="X1195" s="276" t="str">
        <f>[1]!S_Info_Name(W1195)</f>
        <v>牧原股份</v>
      </c>
      <c r="Y1195" s="276" t="str">
        <f ca="1">IF($Y$3="申万一级行业",[1]!s_info_industry_sw_2021(W1195,公司分析!D$5,1),IF($Y$3="申万二级行业",[1]!s_info_industry_sw_2021(W1195,公司分析!D$5,2),IF($Y$3="申万三级行业",[1]!s_info_industry_sw_2021(W1195,公司分析!D$5,3),IF($Y$3="wind一级行业",[1]!s_info_industry_gics(W1195,1),IF($Y$3="wind二级行业",[1]!s_info_industry_gics(W1195,2),IF($Y$3="wind三级行业",[1]!s_info_industry_gics(W1195,3),IF($Y$3="wind四级行业",[1]!s_info_industry_gics(W1195,4),IF($Y$3="证监会门类行业",[1]!s_info_industry_csrc12_n(W1195,公司分析!D$5,1),""))))))))</f>
        <v>养殖业</v>
      </c>
      <c r="Z1195" s="302" t="str">
        <f ca="1">IF(Y1195=行业比较!$E$6,ROW(),"")</f>
        <v/>
      </c>
      <c r="AA1195" s="122"/>
      <c r="AB1195" s="122"/>
      <c r="AC1195" s="122"/>
      <c r="AD1195" s="122"/>
      <c r="AE1195" s="122"/>
      <c r="AF1195" s="122"/>
      <c r="AG1195" s="122"/>
      <c r="AH1195" s="122"/>
      <c r="AI1195" s="122"/>
      <c r="AJ1195" s="122"/>
      <c r="AK1195" s="122"/>
      <c r="AL1195" s="122"/>
      <c r="AM1195" s="122"/>
      <c r="AN1195" s="122"/>
      <c r="AO1195" s="122"/>
      <c r="AP1195" s="122"/>
    </row>
    <row r="1196" spans="2:42">
      <c r="B1196" s="122"/>
      <c r="C1196" s="122"/>
      <c r="D1196" s="122"/>
      <c r="E1196" s="122"/>
      <c r="F1196" s="122"/>
      <c r="G1196" s="122"/>
      <c r="H1196" s="122"/>
      <c r="I1196" s="275"/>
      <c r="J1196" s="130"/>
      <c r="K1196" s="130"/>
      <c r="L1196" s="130"/>
      <c r="M1196" s="130"/>
      <c r="N1196" s="291"/>
      <c r="O1196" s="291"/>
      <c r="P1196" s="122"/>
      <c r="Q1196" s="122"/>
      <c r="R1196" s="122"/>
      <c r="S1196" s="122"/>
      <c r="T1196" s="122"/>
      <c r="U1196" s="301"/>
      <c r="V1196" s="260">
        <f t="shared" ca="1" si="26"/>
        <v>0</v>
      </c>
      <c r="W1196" s="348" t="str">
        <f>IF(板块成分!B1198="","",板块成分!B1198)</f>
        <v>002715.SZ</v>
      </c>
      <c r="X1196" s="276" t="str">
        <f>[1]!S_Info_Name(W1196)</f>
        <v>登云股份</v>
      </c>
      <c r="Y1196" s="276" t="str">
        <f ca="1">IF($Y$3="申万一级行业",[1]!s_info_industry_sw_2021(W1196,公司分析!D$5,1),IF($Y$3="申万二级行业",[1]!s_info_industry_sw_2021(W1196,公司分析!D$5,2),IF($Y$3="申万三级行业",[1]!s_info_industry_sw_2021(W1196,公司分析!D$5,3),IF($Y$3="wind一级行业",[1]!s_info_industry_gics(W1196,1),IF($Y$3="wind二级行业",[1]!s_info_industry_gics(W1196,2),IF($Y$3="wind三级行业",[1]!s_info_industry_gics(W1196,3),IF($Y$3="wind四级行业",[1]!s_info_industry_gics(W1196,4),IF($Y$3="证监会门类行业",[1]!s_info_industry_csrc12_n(W1196,公司分析!D$5,1),""))))))))</f>
        <v>汽车零部件</v>
      </c>
      <c r="Z1196" s="302" t="str">
        <f ca="1">IF(Y1196=行业比较!$E$6,ROW(),"")</f>
        <v/>
      </c>
      <c r="AA1196" s="122"/>
      <c r="AB1196" s="122"/>
      <c r="AC1196" s="122"/>
      <c r="AD1196" s="122"/>
      <c r="AE1196" s="122"/>
      <c r="AF1196" s="122"/>
      <c r="AG1196" s="122"/>
      <c r="AH1196" s="122"/>
      <c r="AI1196" s="122"/>
      <c r="AJ1196" s="122"/>
      <c r="AK1196" s="122"/>
      <c r="AL1196" s="122"/>
      <c r="AM1196" s="122"/>
      <c r="AN1196" s="122"/>
      <c r="AO1196" s="122"/>
      <c r="AP1196" s="122"/>
    </row>
    <row r="1197" spans="2:42">
      <c r="B1197" s="122"/>
      <c r="C1197" s="122"/>
      <c r="D1197" s="122"/>
      <c r="E1197" s="122"/>
      <c r="F1197" s="122"/>
      <c r="G1197" s="122"/>
      <c r="H1197" s="122"/>
      <c r="I1197" s="275"/>
      <c r="J1197" s="130"/>
      <c r="K1197" s="130"/>
      <c r="L1197" s="130"/>
      <c r="M1197" s="130"/>
      <c r="N1197" s="291"/>
      <c r="O1197" s="291"/>
      <c r="P1197" s="122"/>
      <c r="Q1197" s="122"/>
      <c r="R1197" s="122"/>
      <c r="S1197" s="122"/>
      <c r="T1197" s="122"/>
      <c r="U1197" s="301"/>
      <c r="V1197" s="260">
        <f t="shared" ca="1" si="26"/>
        <v>0</v>
      </c>
      <c r="W1197" s="348" t="str">
        <f>IF(板块成分!B1199="","",板块成分!B1199)</f>
        <v>002716.SZ</v>
      </c>
      <c r="X1197" s="276" t="str">
        <f>[1]!S_Info_Name(W1197)</f>
        <v>湖南白银</v>
      </c>
      <c r="Y1197" s="276" t="str">
        <f ca="1">IF($Y$3="申万一级行业",[1]!s_info_industry_sw_2021(W1197,公司分析!D$5,1),IF($Y$3="申万二级行业",[1]!s_info_industry_sw_2021(W1197,公司分析!D$5,2),IF($Y$3="申万三级行业",[1]!s_info_industry_sw_2021(W1197,公司分析!D$5,3),IF($Y$3="wind一级行业",[1]!s_info_industry_gics(W1197,1),IF($Y$3="wind二级行业",[1]!s_info_industry_gics(W1197,2),IF($Y$3="wind三级行业",[1]!s_info_industry_gics(W1197,3),IF($Y$3="wind四级行业",[1]!s_info_industry_gics(W1197,4),IF($Y$3="证监会门类行业",[1]!s_info_industry_csrc12_n(W1197,公司分析!D$5,1),""))))))))</f>
        <v>贵金属</v>
      </c>
      <c r="Z1197" s="302" t="str">
        <f ca="1">IF(Y1197=行业比较!$E$6,ROW(),"")</f>
        <v/>
      </c>
      <c r="AA1197" s="122"/>
      <c r="AB1197" s="122"/>
      <c r="AC1197" s="122"/>
      <c r="AD1197" s="122"/>
      <c r="AE1197" s="122"/>
      <c r="AF1197" s="122"/>
      <c r="AG1197" s="122"/>
      <c r="AH1197" s="122"/>
      <c r="AI1197" s="122"/>
      <c r="AJ1197" s="122"/>
      <c r="AK1197" s="122"/>
      <c r="AL1197" s="122"/>
      <c r="AM1197" s="122"/>
      <c r="AN1197" s="122"/>
      <c r="AO1197" s="122"/>
      <c r="AP1197" s="122"/>
    </row>
    <row r="1198" spans="2:42">
      <c r="B1198" s="122"/>
      <c r="C1198" s="122"/>
      <c r="D1198" s="122"/>
      <c r="E1198" s="122"/>
      <c r="F1198" s="122"/>
      <c r="G1198" s="122"/>
      <c r="H1198" s="122"/>
      <c r="I1198" s="275"/>
      <c r="J1198" s="130"/>
      <c r="K1198" s="130"/>
      <c r="L1198" s="130"/>
      <c r="M1198" s="130"/>
      <c r="N1198" s="291"/>
      <c r="O1198" s="291"/>
      <c r="P1198" s="122"/>
      <c r="Q1198" s="122"/>
      <c r="R1198" s="122"/>
      <c r="S1198" s="122"/>
      <c r="T1198" s="122"/>
      <c r="U1198" s="301"/>
      <c r="V1198" s="260">
        <f t="shared" ca="1" si="26"/>
        <v>0</v>
      </c>
      <c r="W1198" s="348" t="str">
        <f>IF(板块成分!B1200="","",板块成分!B1200)</f>
        <v>002717.SZ</v>
      </c>
      <c r="X1198" s="276" t="str">
        <f>[1]!S_Info_Name(W1198)</f>
        <v>ST岭南</v>
      </c>
      <c r="Y1198" s="276" t="str">
        <f ca="1">IF($Y$3="申万一级行业",[1]!s_info_industry_sw_2021(W1198,公司分析!D$5,1),IF($Y$3="申万二级行业",[1]!s_info_industry_sw_2021(W1198,公司分析!D$5,2),IF($Y$3="申万三级行业",[1]!s_info_industry_sw_2021(W1198,公司分析!D$5,3),IF($Y$3="wind一级行业",[1]!s_info_industry_gics(W1198,1),IF($Y$3="wind二级行业",[1]!s_info_industry_gics(W1198,2),IF($Y$3="wind三级行业",[1]!s_info_industry_gics(W1198,3),IF($Y$3="wind四级行业",[1]!s_info_industry_gics(W1198,4),IF($Y$3="证监会门类行业",[1]!s_info_industry_csrc12_n(W1198,公司分析!D$5,1),""))))))))</f>
        <v>基础建设</v>
      </c>
      <c r="Z1198" s="302" t="str">
        <f ca="1">IF(Y1198=行业比较!$E$6,ROW(),"")</f>
        <v/>
      </c>
      <c r="AA1198" s="122"/>
      <c r="AB1198" s="122"/>
      <c r="AC1198" s="122"/>
      <c r="AD1198" s="122"/>
      <c r="AE1198" s="122"/>
      <c r="AF1198" s="122"/>
      <c r="AG1198" s="122"/>
      <c r="AH1198" s="122"/>
      <c r="AI1198" s="122"/>
      <c r="AJ1198" s="122"/>
      <c r="AK1198" s="122"/>
      <c r="AL1198" s="122"/>
      <c r="AM1198" s="122"/>
      <c r="AN1198" s="122"/>
      <c r="AO1198" s="122"/>
      <c r="AP1198" s="122"/>
    </row>
    <row r="1199" spans="2:42">
      <c r="B1199" s="122"/>
      <c r="C1199" s="122"/>
      <c r="D1199" s="122"/>
      <c r="E1199" s="122"/>
      <c r="F1199" s="122"/>
      <c r="G1199" s="122"/>
      <c r="H1199" s="122"/>
      <c r="I1199" s="275"/>
      <c r="J1199" s="130"/>
      <c r="K1199" s="130"/>
      <c r="L1199" s="130"/>
      <c r="M1199" s="130"/>
      <c r="N1199" s="291"/>
      <c r="O1199" s="291"/>
      <c r="P1199" s="122"/>
      <c r="Q1199" s="122"/>
      <c r="R1199" s="122"/>
      <c r="S1199" s="122"/>
      <c r="T1199" s="122"/>
      <c r="U1199" s="301"/>
      <c r="V1199" s="260">
        <f t="shared" ca="1" si="26"/>
        <v>0</v>
      </c>
      <c r="W1199" s="348" t="str">
        <f>IF(板块成分!B1201="","",板块成分!B1201)</f>
        <v>002718.SZ</v>
      </c>
      <c r="X1199" s="276" t="str">
        <f>[1]!S_Info_Name(W1199)</f>
        <v>友邦吊顶</v>
      </c>
      <c r="Y1199" s="276" t="str">
        <f ca="1">IF($Y$3="申万一级行业",[1]!s_info_industry_sw_2021(W1199,公司分析!D$5,1),IF($Y$3="申万二级行业",[1]!s_info_industry_sw_2021(W1199,公司分析!D$5,2),IF($Y$3="申万三级行业",[1]!s_info_industry_sw_2021(W1199,公司分析!D$5,3),IF($Y$3="wind一级行业",[1]!s_info_industry_gics(W1199,1),IF($Y$3="wind二级行业",[1]!s_info_industry_gics(W1199,2),IF($Y$3="wind三级行业",[1]!s_info_industry_gics(W1199,3),IF($Y$3="wind四级行业",[1]!s_info_industry_gics(W1199,4),IF($Y$3="证监会门类行业",[1]!s_info_industry_csrc12_n(W1199,公司分析!D$5,1),""))))))))</f>
        <v>装修建材</v>
      </c>
      <c r="Z1199" s="302" t="str">
        <f ca="1">IF(Y1199=行业比较!$E$6,ROW(),"")</f>
        <v/>
      </c>
      <c r="AA1199" s="122"/>
      <c r="AB1199" s="122"/>
      <c r="AC1199" s="122"/>
      <c r="AD1199" s="122"/>
      <c r="AE1199" s="122"/>
      <c r="AF1199" s="122"/>
      <c r="AG1199" s="122"/>
      <c r="AH1199" s="122"/>
      <c r="AI1199" s="122"/>
      <c r="AJ1199" s="122"/>
      <c r="AK1199" s="122"/>
      <c r="AL1199" s="122"/>
      <c r="AM1199" s="122"/>
      <c r="AN1199" s="122"/>
      <c r="AO1199" s="122"/>
      <c r="AP1199" s="122"/>
    </row>
    <row r="1200" spans="2:42">
      <c r="B1200" s="122"/>
      <c r="C1200" s="122"/>
      <c r="D1200" s="122"/>
      <c r="E1200" s="122"/>
      <c r="F1200" s="122"/>
      <c r="G1200" s="122"/>
      <c r="H1200" s="122"/>
      <c r="I1200" s="275"/>
      <c r="J1200" s="130"/>
      <c r="K1200" s="130"/>
      <c r="L1200" s="130"/>
      <c r="M1200" s="130"/>
      <c r="N1200" s="291"/>
      <c r="O1200" s="291"/>
      <c r="P1200" s="122"/>
      <c r="Q1200" s="122"/>
      <c r="R1200" s="122"/>
      <c r="S1200" s="122"/>
      <c r="T1200" s="122"/>
      <c r="U1200" s="301"/>
      <c r="V1200" s="260">
        <f t="shared" ca="1" si="26"/>
        <v>0</v>
      </c>
      <c r="W1200" s="348" t="str">
        <f>IF(板块成分!B1202="","",板块成分!B1202)</f>
        <v>002719.SZ</v>
      </c>
      <c r="X1200" s="276" t="str">
        <f>[1]!S_Info_Name(W1200)</f>
        <v>麦趣尔</v>
      </c>
      <c r="Y1200" s="276" t="str">
        <f ca="1">IF($Y$3="申万一级行业",[1]!s_info_industry_sw_2021(W1200,公司分析!D$5,1),IF($Y$3="申万二级行业",[1]!s_info_industry_sw_2021(W1200,公司分析!D$5,2),IF($Y$3="申万三级行业",[1]!s_info_industry_sw_2021(W1200,公司分析!D$5,3),IF($Y$3="wind一级行业",[1]!s_info_industry_gics(W1200,1),IF($Y$3="wind二级行业",[1]!s_info_industry_gics(W1200,2),IF($Y$3="wind三级行业",[1]!s_info_industry_gics(W1200,3),IF($Y$3="wind四级行业",[1]!s_info_industry_gics(W1200,4),IF($Y$3="证监会门类行业",[1]!s_info_industry_csrc12_n(W1200,公司分析!D$5,1),""))))))))</f>
        <v>休闲食品</v>
      </c>
      <c r="Z1200" s="302" t="str">
        <f ca="1">IF(Y1200=行业比较!$E$6,ROW(),"")</f>
        <v/>
      </c>
      <c r="AA1200" s="122"/>
      <c r="AB1200" s="122"/>
      <c r="AC1200" s="122"/>
      <c r="AD1200" s="122"/>
      <c r="AE1200" s="122"/>
      <c r="AF1200" s="122"/>
      <c r="AG1200" s="122"/>
      <c r="AH1200" s="122"/>
      <c r="AI1200" s="122"/>
      <c r="AJ1200" s="122"/>
      <c r="AK1200" s="122"/>
      <c r="AL1200" s="122"/>
      <c r="AM1200" s="122"/>
      <c r="AN1200" s="122"/>
      <c r="AO1200" s="122"/>
      <c r="AP1200" s="122"/>
    </row>
    <row r="1201" spans="2:42">
      <c r="B1201" s="122"/>
      <c r="C1201" s="122"/>
      <c r="D1201" s="122"/>
      <c r="E1201" s="122"/>
      <c r="F1201" s="122"/>
      <c r="G1201" s="122"/>
      <c r="H1201" s="122"/>
      <c r="I1201" s="275"/>
      <c r="J1201" s="130"/>
      <c r="K1201" s="130"/>
      <c r="L1201" s="130"/>
      <c r="M1201" s="130"/>
      <c r="N1201" s="291"/>
      <c r="O1201" s="291"/>
      <c r="P1201" s="122"/>
      <c r="Q1201" s="122"/>
      <c r="R1201" s="122"/>
      <c r="S1201" s="122"/>
      <c r="T1201" s="122"/>
      <c r="U1201" s="301"/>
      <c r="V1201" s="260">
        <f t="shared" ca="1" si="26"/>
        <v>0</v>
      </c>
      <c r="W1201" s="348" t="str">
        <f>IF(板块成分!B1203="","",板块成分!B1203)</f>
        <v>002721.SZ</v>
      </c>
      <c r="X1201" s="276" t="str">
        <f>[1]!S_Info_Name(W1201)</f>
        <v>金一文化</v>
      </c>
      <c r="Y1201" s="276" t="str">
        <f ca="1">IF($Y$3="申万一级行业",[1]!s_info_industry_sw_2021(W1201,公司分析!D$5,1),IF($Y$3="申万二级行业",[1]!s_info_industry_sw_2021(W1201,公司分析!D$5,2),IF($Y$3="申万三级行业",[1]!s_info_industry_sw_2021(W1201,公司分析!D$5,3),IF($Y$3="wind一级行业",[1]!s_info_industry_gics(W1201,1),IF($Y$3="wind二级行业",[1]!s_info_industry_gics(W1201,2),IF($Y$3="wind三级行业",[1]!s_info_industry_gics(W1201,3),IF($Y$3="wind四级行业",[1]!s_info_industry_gics(W1201,4),IF($Y$3="证监会门类行业",[1]!s_info_industry_csrc12_n(W1201,公司分析!D$5,1),""))))))))</f>
        <v>饰品</v>
      </c>
      <c r="Z1201" s="302" t="str">
        <f ca="1">IF(Y1201=行业比较!$E$6,ROW(),"")</f>
        <v/>
      </c>
      <c r="AA1201" s="122"/>
      <c r="AB1201" s="122"/>
      <c r="AC1201" s="122"/>
      <c r="AD1201" s="122"/>
      <c r="AE1201" s="122"/>
      <c r="AF1201" s="122"/>
      <c r="AG1201" s="122"/>
      <c r="AH1201" s="122"/>
      <c r="AI1201" s="122"/>
      <c r="AJ1201" s="122"/>
      <c r="AK1201" s="122"/>
      <c r="AL1201" s="122"/>
      <c r="AM1201" s="122"/>
      <c r="AN1201" s="122"/>
      <c r="AO1201" s="122"/>
      <c r="AP1201" s="122"/>
    </row>
    <row r="1202" spans="2:42">
      <c r="B1202" s="122"/>
      <c r="C1202" s="122"/>
      <c r="D1202" s="122"/>
      <c r="E1202" s="122"/>
      <c r="F1202" s="122"/>
      <c r="G1202" s="122"/>
      <c r="H1202" s="122"/>
      <c r="I1202" s="275"/>
      <c r="J1202" s="130"/>
      <c r="K1202" s="130"/>
      <c r="L1202" s="130"/>
      <c r="M1202" s="130"/>
      <c r="N1202" s="291"/>
      <c r="O1202" s="291"/>
      <c r="P1202" s="122"/>
      <c r="Q1202" s="122"/>
      <c r="R1202" s="122"/>
      <c r="S1202" s="122"/>
      <c r="T1202" s="122"/>
      <c r="U1202" s="301"/>
      <c r="V1202" s="260">
        <f t="shared" ca="1" si="26"/>
        <v>0</v>
      </c>
      <c r="W1202" s="348" t="str">
        <f>IF(板块成分!B1204="","",板块成分!B1204)</f>
        <v>002722.SZ</v>
      </c>
      <c r="X1202" s="276" t="str">
        <f>[1]!S_Info_Name(W1202)</f>
        <v>物产金轮</v>
      </c>
      <c r="Y1202" s="276" t="str">
        <f ca="1">IF($Y$3="申万一级行业",[1]!s_info_industry_sw_2021(W1202,公司分析!D$5,1),IF($Y$3="申万二级行业",[1]!s_info_industry_sw_2021(W1202,公司分析!D$5,2),IF($Y$3="申万三级行业",[1]!s_info_industry_sw_2021(W1202,公司分析!D$5,3),IF($Y$3="wind一级行业",[1]!s_info_industry_gics(W1202,1),IF($Y$3="wind二级行业",[1]!s_info_industry_gics(W1202,2),IF($Y$3="wind三级行业",[1]!s_info_industry_gics(W1202,3),IF($Y$3="wind四级行业",[1]!s_info_industry_gics(W1202,4),IF($Y$3="证监会门类行业",[1]!s_info_industry_csrc12_n(W1202,公司分析!D$5,1),""))))))))</f>
        <v>专用设备</v>
      </c>
      <c r="Z1202" s="302" t="str">
        <f ca="1">IF(Y1202=行业比较!$E$6,ROW(),"")</f>
        <v/>
      </c>
      <c r="AA1202" s="122"/>
      <c r="AB1202" s="122"/>
      <c r="AC1202" s="122"/>
      <c r="AD1202" s="122"/>
      <c r="AE1202" s="122"/>
      <c r="AF1202" s="122"/>
      <c r="AG1202" s="122"/>
      <c r="AH1202" s="122"/>
      <c r="AI1202" s="122"/>
      <c r="AJ1202" s="122"/>
      <c r="AK1202" s="122"/>
      <c r="AL1202" s="122"/>
      <c r="AM1202" s="122"/>
      <c r="AN1202" s="122"/>
      <c r="AO1202" s="122"/>
      <c r="AP1202" s="122"/>
    </row>
    <row r="1203" spans="2:42">
      <c r="B1203" s="122"/>
      <c r="C1203" s="122"/>
      <c r="D1203" s="122"/>
      <c r="E1203" s="122"/>
      <c r="F1203" s="122"/>
      <c r="G1203" s="122"/>
      <c r="H1203" s="122"/>
      <c r="I1203" s="275"/>
      <c r="J1203" s="130"/>
      <c r="K1203" s="130"/>
      <c r="L1203" s="130"/>
      <c r="M1203" s="130"/>
      <c r="N1203" s="291"/>
      <c r="O1203" s="291"/>
      <c r="P1203" s="122"/>
      <c r="Q1203" s="122"/>
      <c r="R1203" s="122"/>
      <c r="S1203" s="122"/>
      <c r="T1203" s="122"/>
      <c r="U1203" s="301"/>
      <c r="V1203" s="260">
        <f t="shared" ca="1" si="26"/>
        <v>0</v>
      </c>
      <c r="W1203" s="348" t="str">
        <f>IF(板块成分!B1205="","",板块成分!B1205)</f>
        <v>002723.SZ</v>
      </c>
      <c r="X1203" s="276" t="str">
        <f>[1]!S_Info_Name(W1203)</f>
        <v>小崧股份</v>
      </c>
      <c r="Y1203" s="276" t="str">
        <f ca="1">IF($Y$3="申万一级行业",[1]!s_info_industry_sw_2021(W1203,公司分析!D$5,1),IF($Y$3="申万二级行业",[1]!s_info_industry_sw_2021(W1203,公司分析!D$5,2),IF($Y$3="申万三级行业",[1]!s_info_industry_sw_2021(W1203,公司分析!D$5,3),IF($Y$3="wind一级行业",[1]!s_info_industry_gics(W1203,1),IF($Y$3="wind二级行业",[1]!s_info_industry_gics(W1203,2),IF($Y$3="wind三级行业",[1]!s_info_industry_gics(W1203,3),IF($Y$3="wind四级行业",[1]!s_info_industry_gics(W1203,4),IF($Y$3="证监会门类行业",[1]!s_info_industry_csrc12_n(W1203,公司分析!D$5,1),""))))))))</f>
        <v>照明设备Ⅱ</v>
      </c>
      <c r="Z1203" s="302" t="str">
        <f ca="1">IF(Y1203=行业比较!$E$6,ROW(),"")</f>
        <v/>
      </c>
      <c r="AA1203" s="122"/>
      <c r="AB1203" s="122"/>
      <c r="AC1203" s="122"/>
      <c r="AD1203" s="122"/>
      <c r="AE1203" s="122"/>
      <c r="AF1203" s="122"/>
      <c r="AG1203" s="122"/>
      <c r="AH1203" s="122"/>
      <c r="AI1203" s="122"/>
      <c r="AJ1203" s="122"/>
      <c r="AK1203" s="122"/>
      <c r="AL1203" s="122"/>
      <c r="AM1203" s="122"/>
      <c r="AN1203" s="122"/>
      <c r="AO1203" s="122"/>
      <c r="AP1203" s="122"/>
    </row>
    <row r="1204" spans="2:42">
      <c r="B1204" s="122"/>
      <c r="C1204" s="122"/>
      <c r="D1204" s="122"/>
      <c r="E1204" s="122"/>
      <c r="F1204" s="122"/>
      <c r="G1204" s="122"/>
      <c r="H1204" s="122"/>
      <c r="I1204" s="275"/>
      <c r="J1204" s="130"/>
      <c r="K1204" s="130"/>
      <c r="L1204" s="130"/>
      <c r="M1204" s="130"/>
      <c r="N1204" s="291"/>
      <c r="O1204" s="291"/>
      <c r="P1204" s="122"/>
      <c r="Q1204" s="122"/>
      <c r="R1204" s="122"/>
      <c r="S1204" s="122"/>
      <c r="T1204" s="122"/>
      <c r="U1204" s="301"/>
      <c r="V1204" s="260">
        <f t="shared" ca="1" si="26"/>
        <v>0</v>
      </c>
      <c r="W1204" s="348" t="str">
        <f>IF(板块成分!B1206="","",板块成分!B1206)</f>
        <v>002724.SZ</v>
      </c>
      <c r="X1204" s="276" t="str">
        <f>[1]!S_Info_Name(W1204)</f>
        <v>海洋王</v>
      </c>
      <c r="Y1204" s="276" t="str">
        <f ca="1">IF($Y$3="申万一级行业",[1]!s_info_industry_sw_2021(W1204,公司分析!D$5,1),IF($Y$3="申万二级行业",[1]!s_info_industry_sw_2021(W1204,公司分析!D$5,2),IF($Y$3="申万三级行业",[1]!s_info_industry_sw_2021(W1204,公司分析!D$5,3),IF($Y$3="wind一级行业",[1]!s_info_industry_gics(W1204,1),IF($Y$3="wind二级行业",[1]!s_info_industry_gics(W1204,2),IF($Y$3="wind三级行业",[1]!s_info_industry_gics(W1204,3),IF($Y$3="wind四级行业",[1]!s_info_industry_gics(W1204,4),IF($Y$3="证监会门类行业",[1]!s_info_industry_csrc12_n(W1204,公司分析!D$5,1),""))))))))</f>
        <v>照明设备Ⅱ</v>
      </c>
      <c r="Z1204" s="302" t="str">
        <f ca="1">IF(Y1204=行业比较!$E$6,ROW(),"")</f>
        <v/>
      </c>
      <c r="AA1204" s="122"/>
      <c r="AB1204" s="122"/>
      <c r="AC1204" s="122"/>
      <c r="AD1204" s="122"/>
      <c r="AE1204" s="122"/>
      <c r="AF1204" s="122"/>
      <c r="AG1204" s="122"/>
      <c r="AH1204" s="122"/>
      <c r="AI1204" s="122"/>
      <c r="AJ1204" s="122"/>
      <c r="AK1204" s="122"/>
      <c r="AL1204" s="122"/>
      <c r="AM1204" s="122"/>
      <c r="AN1204" s="122"/>
      <c r="AO1204" s="122"/>
      <c r="AP1204" s="122"/>
    </row>
    <row r="1205" spans="2:42">
      <c r="B1205" s="122"/>
      <c r="C1205" s="122"/>
      <c r="D1205" s="122"/>
      <c r="E1205" s="122"/>
      <c r="F1205" s="122"/>
      <c r="G1205" s="122"/>
      <c r="H1205" s="122"/>
      <c r="I1205" s="275"/>
      <c r="J1205" s="130"/>
      <c r="K1205" s="130"/>
      <c r="L1205" s="130"/>
      <c r="M1205" s="130"/>
      <c r="N1205" s="291"/>
      <c r="O1205" s="291"/>
      <c r="P1205" s="122"/>
      <c r="Q1205" s="122"/>
      <c r="R1205" s="122"/>
      <c r="S1205" s="122"/>
      <c r="T1205" s="122"/>
      <c r="U1205" s="301"/>
      <c r="V1205" s="260">
        <f t="shared" ca="1" si="26"/>
        <v>0</v>
      </c>
      <c r="W1205" s="348" t="str">
        <f>IF(板块成分!B1207="","",板块成分!B1207)</f>
        <v>002725.SZ</v>
      </c>
      <c r="X1205" s="276" t="str">
        <f>[1]!S_Info_Name(W1205)</f>
        <v>跃岭股份</v>
      </c>
      <c r="Y1205" s="276" t="str">
        <f ca="1">IF($Y$3="申万一级行业",[1]!s_info_industry_sw_2021(W1205,公司分析!D$5,1),IF($Y$3="申万二级行业",[1]!s_info_industry_sw_2021(W1205,公司分析!D$5,2),IF($Y$3="申万三级行业",[1]!s_info_industry_sw_2021(W1205,公司分析!D$5,3),IF($Y$3="wind一级行业",[1]!s_info_industry_gics(W1205,1),IF($Y$3="wind二级行业",[1]!s_info_industry_gics(W1205,2),IF($Y$3="wind三级行业",[1]!s_info_industry_gics(W1205,3),IF($Y$3="wind四级行业",[1]!s_info_industry_gics(W1205,4),IF($Y$3="证监会门类行业",[1]!s_info_industry_csrc12_n(W1205,公司分析!D$5,1),""))))))))</f>
        <v>汽车零部件</v>
      </c>
      <c r="Z1205" s="302" t="str">
        <f ca="1">IF(Y1205=行业比较!$E$6,ROW(),"")</f>
        <v/>
      </c>
      <c r="AA1205" s="122"/>
      <c r="AB1205" s="122"/>
      <c r="AC1205" s="122"/>
      <c r="AD1205" s="122"/>
      <c r="AE1205" s="122"/>
      <c r="AF1205" s="122"/>
      <c r="AG1205" s="122"/>
      <c r="AH1205" s="122"/>
      <c r="AI1205" s="122"/>
      <c r="AJ1205" s="122"/>
      <c r="AK1205" s="122"/>
      <c r="AL1205" s="122"/>
      <c r="AM1205" s="122"/>
      <c r="AN1205" s="122"/>
      <c r="AO1205" s="122"/>
      <c r="AP1205" s="122"/>
    </row>
    <row r="1206" spans="2:42">
      <c r="B1206" s="122"/>
      <c r="C1206" s="122"/>
      <c r="D1206" s="122"/>
      <c r="E1206" s="122"/>
      <c r="F1206" s="122"/>
      <c r="G1206" s="122"/>
      <c r="H1206" s="122"/>
      <c r="I1206" s="275"/>
      <c r="J1206" s="130"/>
      <c r="K1206" s="130"/>
      <c r="L1206" s="130"/>
      <c r="M1206" s="130"/>
      <c r="N1206" s="291"/>
      <c r="O1206" s="291"/>
      <c r="P1206" s="122"/>
      <c r="Q1206" s="122"/>
      <c r="R1206" s="122"/>
      <c r="S1206" s="122"/>
      <c r="T1206" s="122"/>
      <c r="U1206" s="301"/>
      <c r="V1206" s="260">
        <f t="shared" ca="1" si="26"/>
        <v>0</v>
      </c>
      <c r="W1206" s="348" t="str">
        <f>IF(板块成分!B1208="","",板块成分!B1208)</f>
        <v>002726.SZ</v>
      </c>
      <c r="X1206" s="276" t="str">
        <f>[1]!S_Info_Name(W1206)</f>
        <v>龙大美食</v>
      </c>
      <c r="Y1206" s="276" t="str">
        <f ca="1">IF($Y$3="申万一级行业",[1]!s_info_industry_sw_2021(W1206,公司分析!D$5,1),IF($Y$3="申万二级行业",[1]!s_info_industry_sw_2021(W1206,公司分析!D$5,2),IF($Y$3="申万三级行业",[1]!s_info_industry_sw_2021(W1206,公司分析!D$5,3),IF($Y$3="wind一级行业",[1]!s_info_industry_gics(W1206,1),IF($Y$3="wind二级行业",[1]!s_info_industry_gics(W1206,2),IF($Y$3="wind三级行业",[1]!s_info_industry_gics(W1206,3),IF($Y$3="wind四级行业",[1]!s_info_industry_gics(W1206,4),IF($Y$3="证监会门类行业",[1]!s_info_industry_csrc12_n(W1206,公司分析!D$5,1),""))))))))</f>
        <v>食品加工</v>
      </c>
      <c r="Z1206" s="302" t="str">
        <f ca="1">IF(Y1206=行业比较!$E$6,ROW(),"")</f>
        <v/>
      </c>
      <c r="AA1206" s="122"/>
      <c r="AB1206" s="122"/>
      <c r="AC1206" s="122"/>
      <c r="AD1206" s="122"/>
      <c r="AE1206" s="122"/>
      <c r="AF1206" s="122"/>
      <c r="AG1206" s="122"/>
      <c r="AH1206" s="122"/>
      <c r="AI1206" s="122"/>
      <c r="AJ1206" s="122"/>
      <c r="AK1206" s="122"/>
      <c r="AL1206" s="122"/>
      <c r="AM1206" s="122"/>
      <c r="AN1206" s="122"/>
      <c r="AO1206" s="122"/>
      <c r="AP1206" s="122"/>
    </row>
    <row r="1207" spans="2:42">
      <c r="B1207" s="122"/>
      <c r="C1207" s="122"/>
      <c r="D1207" s="122"/>
      <c r="E1207" s="122"/>
      <c r="F1207" s="122"/>
      <c r="G1207" s="122"/>
      <c r="H1207" s="122"/>
      <c r="I1207" s="275"/>
      <c r="J1207" s="130"/>
      <c r="K1207" s="130"/>
      <c r="L1207" s="130"/>
      <c r="M1207" s="130"/>
      <c r="N1207" s="291"/>
      <c r="O1207" s="291"/>
      <c r="P1207" s="122"/>
      <c r="Q1207" s="122"/>
      <c r="R1207" s="122"/>
      <c r="S1207" s="122"/>
      <c r="T1207" s="122"/>
      <c r="U1207" s="301"/>
      <c r="V1207" s="260">
        <f t="shared" ca="1" si="26"/>
        <v>0</v>
      </c>
      <c r="W1207" s="348" t="str">
        <f>IF(板块成分!B1209="","",板块成分!B1209)</f>
        <v>002727.SZ</v>
      </c>
      <c r="X1207" s="276" t="str">
        <f>[1]!S_Info_Name(W1207)</f>
        <v>一心堂</v>
      </c>
      <c r="Y1207" s="276" t="str">
        <f ca="1">IF($Y$3="申万一级行业",[1]!s_info_industry_sw_2021(W1207,公司分析!D$5,1),IF($Y$3="申万二级行业",[1]!s_info_industry_sw_2021(W1207,公司分析!D$5,2),IF($Y$3="申万三级行业",[1]!s_info_industry_sw_2021(W1207,公司分析!D$5,3),IF($Y$3="wind一级行业",[1]!s_info_industry_gics(W1207,1),IF($Y$3="wind二级行业",[1]!s_info_industry_gics(W1207,2),IF($Y$3="wind三级行业",[1]!s_info_industry_gics(W1207,3),IF($Y$3="wind四级行业",[1]!s_info_industry_gics(W1207,4),IF($Y$3="证监会门类行业",[1]!s_info_industry_csrc12_n(W1207,公司分析!D$5,1),""))))))))</f>
        <v>医药商业</v>
      </c>
      <c r="Z1207" s="302" t="str">
        <f ca="1">IF(Y1207=行业比较!$E$6,ROW(),"")</f>
        <v/>
      </c>
      <c r="AA1207" s="122"/>
      <c r="AB1207" s="122"/>
      <c r="AC1207" s="122"/>
      <c r="AD1207" s="122"/>
      <c r="AE1207" s="122"/>
      <c r="AF1207" s="122"/>
      <c r="AG1207" s="122"/>
      <c r="AH1207" s="122"/>
      <c r="AI1207" s="122"/>
      <c r="AJ1207" s="122"/>
      <c r="AK1207" s="122"/>
      <c r="AL1207" s="122"/>
      <c r="AM1207" s="122"/>
      <c r="AN1207" s="122"/>
      <c r="AO1207" s="122"/>
      <c r="AP1207" s="122"/>
    </row>
    <row r="1208" spans="2:42">
      <c r="B1208" s="122"/>
      <c r="C1208" s="122"/>
      <c r="D1208" s="122"/>
      <c r="E1208" s="122"/>
      <c r="F1208" s="122"/>
      <c r="G1208" s="122"/>
      <c r="H1208" s="122"/>
      <c r="I1208" s="275"/>
      <c r="J1208" s="130"/>
      <c r="K1208" s="130"/>
      <c r="L1208" s="130"/>
      <c r="M1208" s="130"/>
      <c r="N1208" s="291"/>
      <c r="O1208" s="291"/>
      <c r="P1208" s="122"/>
      <c r="Q1208" s="122"/>
      <c r="R1208" s="122"/>
      <c r="S1208" s="122"/>
      <c r="T1208" s="122"/>
      <c r="U1208" s="301"/>
      <c r="V1208" s="260">
        <f t="shared" ca="1" si="26"/>
        <v>0</v>
      </c>
      <c r="W1208" s="348" t="str">
        <f>IF(板块成分!B1210="","",板块成分!B1210)</f>
        <v>002728.SZ</v>
      </c>
      <c r="X1208" s="276" t="str">
        <f>[1]!S_Info_Name(W1208)</f>
        <v>特一药业</v>
      </c>
      <c r="Y1208" s="276" t="str">
        <f ca="1">IF($Y$3="申万一级行业",[1]!s_info_industry_sw_2021(W1208,公司分析!D$5,1),IF($Y$3="申万二级行业",[1]!s_info_industry_sw_2021(W1208,公司分析!D$5,2),IF($Y$3="申万三级行业",[1]!s_info_industry_sw_2021(W1208,公司分析!D$5,3),IF($Y$3="wind一级行业",[1]!s_info_industry_gics(W1208,1),IF($Y$3="wind二级行业",[1]!s_info_industry_gics(W1208,2),IF($Y$3="wind三级行业",[1]!s_info_industry_gics(W1208,3),IF($Y$3="wind四级行业",[1]!s_info_industry_gics(W1208,4),IF($Y$3="证监会门类行业",[1]!s_info_industry_csrc12_n(W1208,公司分析!D$5,1),""))))))))</f>
        <v>中药Ⅱ</v>
      </c>
      <c r="Z1208" s="302" t="str">
        <f ca="1">IF(Y1208=行业比较!$E$6,ROW(),"")</f>
        <v/>
      </c>
      <c r="AA1208" s="122"/>
      <c r="AB1208" s="122"/>
      <c r="AC1208" s="122"/>
      <c r="AD1208" s="122"/>
      <c r="AE1208" s="122"/>
      <c r="AF1208" s="122"/>
      <c r="AG1208" s="122"/>
      <c r="AH1208" s="122"/>
      <c r="AI1208" s="122"/>
      <c r="AJ1208" s="122"/>
      <c r="AK1208" s="122"/>
      <c r="AL1208" s="122"/>
      <c r="AM1208" s="122"/>
      <c r="AN1208" s="122"/>
      <c r="AO1208" s="122"/>
      <c r="AP1208" s="122"/>
    </row>
    <row r="1209" spans="2:42">
      <c r="B1209" s="122"/>
      <c r="C1209" s="122"/>
      <c r="D1209" s="122"/>
      <c r="E1209" s="122"/>
      <c r="F1209" s="122"/>
      <c r="G1209" s="122"/>
      <c r="H1209" s="122"/>
      <c r="I1209" s="275"/>
      <c r="J1209" s="130"/>
      <c r="K1209" s="130"/>
      <c r="L1209" s="130"/>
      <c r="M1209" s="130"/>
      <c r="N1209" s="291"/>
      <c r="O1209" s="291"/>
      <c r="P1209" s="122"/>
      <c r="Q1209" s="122"/>
      <c r="R1209" s="122"/>
      <c r="S1209" s="122"/>
      <c r="T1209" s="122"/>
      <c r="U1209" s="301"/>
      <c r="V1209" s="260">
        <f t="shared" ca="1" si="26"/>
        <v>0</v>
      </c>
      <c r="W1209" s="348" t="str">
        <f>IF(板块成分!B1211="","",板块成分!B1211)</f>
        <v>002729.SZ</v>
      </c>
      <c r="X1209" s="276" t="str">
        <f>[1]!S_Info_Name(W1209)</f>
        <v>好利科技</v>
      </c>
      <c r="Y1209" s="276" t="str">
        <f ca="1">IF($Y$3="申万一级行业",[1]!s_info_industry_sw_2021(W1209,公司分析!D$5,1),IF($Y$3="申万二级行业",[1]!s_info_industry_sw_2021(W1209,公司分析!D$5,2),IF($Y$3="申万三级行业",[1]!s_info_industry_sw_2021(W1209,公司分析!D$5,3),IF($Y$3="wind一级行业",[1]!s_info_industry_gics(W1209,1),IF($Y$3="wind二级行业",[1]!s_info_industry_gics(W1209,2),IF($Y$3="wind三级行业",[1]!s_info_industry_gics(W1209,3),IF($Y$3="wind四级行业",[1]!s_info_industry_gics(W1209,4),IF($Y$3="证监会门类行业",[1]!s_info_industry_csrc12_n(W1209,公司分析!D$5,1),""))))))))</f>
        <v>其他电子Ⅱ</v>
      </c>
      <c r="Z1209" s="302" t="str">
        <f ca="1">IF(Y1209=行业比较!$E$6,ROW(),"")</f>
        <v/>
      </c>
      <c r="AA1209" s="122"/>
      <c r="AB1209" s="122"/>
      <c r="AC1209" s="122"/>
      <c r="AD1209" s="122"/>
      <c r="AE1209" s="122"/>
      <c r="AF1209" s="122"/>
      <c r="AG1209" s="122"/>
      <c r="AH1209" s="122"/>
      <c r="AI1209" s="122"/>
      <c r="AJ1209" s="122"/>
      <c r="AK1209" s="122"/>
      <c r="AL1209" s="122"/>
      <c r="AM1209" s="122"/>
      <c r="AN1209" s="122"/>
      <c r="AO1209" s="122"/>
      <c r="AP1209" s="122"/>
    </row>
    <row r="1210" spans="2:42">
      <c r="B1210" s="122"/>
      <c r="C1210" s="122"/>
      <c r="D1210" s="122"/>
      <c r="E1210" s="122"/>
      <c r="F1210" s="122"/>
      <c r="G1210" s="122"/>
      <c r="H1210" s="122"/>
      <c r="I1210" s="275"/>
      <c r="J1210" s="130"/>
      <c r="K1210" s="130"/>
      <c r="L1210" s="130"/>
      <c r="M1210" s="130"/>
      <c r="N1210" s="291"/>
      <c r="O1210" s="291"/>
      <c r="P1210" s="122"/>
      <c r="Q1210" s="122"/>
      <c r="R1210" s="122"/>
      <c r="S1210" s="122"/>
      <c r="T1210" s="122"/>
      <c r="U1210" s="301"/>
      <c r="V1210" s="260">
        <f t="shared" ca="1" si="26"/>
        <v>0</v>
      </c>
      <c r="W1210" s="348" t="str">
        <f>IF(板块成分!B1212="","",板块成分!B1212)</f>
        <v>002730.SZ</v>
      </c>
      <c r="X1210" s="276" t="str">
        <f>[1]!S_Info_Name(W1210)</f>
        <v>电光科技</v>
      </c>
      <c r="Y1210" s="276" t="str">
        <f ca="1">IF($Y$3="申万一级行业",[1]!s_info_industry_sw_2021(W1210,公司分析!D$5,1),IF($Y$3="申万二级行业",[1]!s_info_industry_sw_2021(W1210,公司分析!D$5,2),IF($Y$3="申万三级行业",[1]!s_info_industry_sw_2021(W1210,公司分析!D$5,3),IF($Y$3="wind一级行业",[1]!s_info_industry_gics(W1210,1),IF($Y$3="wind二级行业",[1]!s_info_industry_gics(W1210,2),IF($Y$3="wind三级行业",[1]!s_info_industry_gics(W1210,3),IF($Y$3="wind四级行业",[1]!s_info_industry_gics(W1210,4),IF($Y$3="证监会门类行业",[1]!s_info_industry_csrc12_n(W1210,公司分析!D$5,1),""))))))))</f>
        <v>专用设备</v>
      </c>
      <c r="Z1210" s="302" t="str">
        <f ca="1">IF(Y1210=行业比较!$E$6,ROW(),"")</f>
        <v/>
      </c>
      <c r="AA1210" s="122"/>
      <c r="AB1210" s="122"/>
      <c r="AC1210" s="122"/>
      <c r="AD1210" s="122"/>
      <c r="AE1210" s="122"/>
      <c r="AF1210" s="122"/>
      <c r="AG1210" s="122"/>
      <c r="AH1210" s="122"/>
      <c r="AI1210" s="122"/>
      <c r="AJ1210" s="122"/>
      <c r="AK1210" s="122"/>
      <c r="AL1210" s="122"/>
      <c r="AM1210" s="122"/>
      <c r="AN1210" s="122"/>
      <c r="AO1210" s="122"/>
      <c r="AP1210" s="122"/>
    </row>
    <row r="1211" spans="2:42">
      <c r="B1211" s="122"/>
      <c r="C1211" s="122"/>
      <c r="D1211" s="122"/>
      <c r="E1211" s="122"/>
      <c r="F1211" s="122"/>
      <c r="G1211" s="122"/>
      <c r="H1211" s="122"/>
      <c r="I1211" s="275"/>
      <c r="J1211" s="130"/>
      <c r="K1211" s="130"/>
      <c r="L1211" s="130"/>
      <c r="M1211" s="130"/>
      <c r="N1211" s="291"/>
      <c r="O1211" s="291"/>
      <c r="P1211" s="122"/>
      <c r="Q1211" s="122"/>
      <c r="R1211" s="122"/>
      <c r="S1211" s="122"/>
      <c r="T1211" s="122"/>
      <c r="U1211" s="301"/>
      <c r="V1211" s="260">
        <f t="shared" ca="1" si="26"/>
        <v>0</v>
      </c>
      <c r="W1211" s="348" t="str">
        <f>IF(板块成分!B1213="","",板块成分!B1213)</f>
        <v>002731.SZ</v>
      </c>
      <c r="X1211" s="276" t="str">
        <f>[1]!S_Info_Name(W1211)</f>
        <v>ST萃华</v>
      </c>
      <c r="Y1211" s="276" t="str">
        <f ca="1">IF($Y$3="申万一级行业",[1]!s_info_industry_sw_2021(W1211,公司分析!D$5,1),IF($Y$3="申万二级行业",[1]!s_info_industry_sw_2021(W1211,公司分析!D$5,2),IF($Y$3="申万三级行业",[1]!s_info_industry_sw_2021(W1211,公司分析!D$5,3),IF($Y$3="wind一级行业",[1]!s_info_industry_gics(W1211,1),IF($Y$3="wind二级行业",[1]!s_info_industry_gics(W1211,2),IF($Y$3="wind三级行业",[1]!s_info_industry_gics(W1211,3),IF($Y$3="wind四级行业",[1]!s_info_industry_gics(W1211,4),IF($Y$3="证监会门类行业",[1]!s_info_industry_csrc12_n(W1211,公司分析!D$5,1),""))))))))</f>
        <v>饰品</v>
      </c>
      <c r="Z1211" s="302" t="str">
        <f ca="1">IF(Y1211=行业比较!$E$6,ROW(),"")</f>
        <v/>
      </c>
      <c r="AA1211" s="122"/>
      <c r="AB1211" s="122"/>
      <c r="AC1211" s="122"/>
      <c r="AD1211" s="122"/>
      <c r="AE1211" s="122"/>
      <c r="AF1211" s="122"/>
      <c r="AG1211" s="122"/>
      <c r="AH1211" s="122"/>
      <c r="AI1211" s="122"/>
      <c r="AJ1211" s="122"/>
      <c r="AK1211" s="122"/>
      <c r="AL1211" s="122"/>
      <c r="AM1211" s="122"/>
      <c r="AN1211" s="122"/>
      <c r="AO1211" s="122"/>
      <c r="AP1211" s="122"/>
    </row>
    <row r="1212" spans="2:42">
      <c r="B1212" s="122"/>
      <c r="C1212" s="122"/>
      <c r="D1212" s="122"/>
      <c r="E1212" s="122"/>
      <c r="F1212" s="122"/>
      <c r="G1212" s="122"/>
      <c r="H1212" s="122"/>
      <c r="I1212" s="275"/>
      <c r="J1212" s="130"/>
      <c r="K1212" s="130"/>
      <c r="L1212" s="130"/>
      <c r="M1212" s="130"/>
      <c r="N1212" s="291"/>
      <c r="O1212" s="291"/>
      <c r="P1212" s="122"/>
      <c r="Q1212" s="122"/>
      <c r="R1212" s="122"/>
      <c r="S1212" s="122"/>
      <c r="T1212" s="122"/>
      <c r="U1212" s="301"/>
      <c r="V1212" s="260">
        <f t="shared" ca="1" si="26"/>
        <v>0</v>
      </c>
      <c r="W1212" s="348" t="str">
        <f>IF(板块成分!B1214="","",板块成分!B1214)</f>
        <v>002732.SZ</v>
      </c>
      <c r="X1212" s="276" t="str">
        <f>[1]!S_Info_Name(W1212)</f>
        <v>燕塘乳业</v>
      </c>
      <c r="Y1212" s="276" t="str">
        <f ca="1">IF($Y$3="申万一级行业",[1]!s_info_industry_sw_2021(W1212,公司分析!D$5,1),IF($Y$3="申万二级行业",[1]!s_info_industry_sw_2021(W1212,公司分析!D$5,2),IF($Y$3="申万三级行业",[1]!s_info_industry_sw_2021(W1212,公司分析!D$5,3),IF($Y$3="wind一级行业",[1]!s_info_industry_gics(W1212,1),IF($Y$3="wind二级行业",[1]!s_info_industry_gics(W1212,2),IF($Y$3="wind三级行业",[1]!s_info_industry_gics(W1212,3),IF($Y$3="wind四级行业",[1]!s_info_industry_gics(W1212,4),IF($Y$3="证监会门类行业",[1]!s_info_industry_csrc12_n(W1212,公司分析!D$5,1),""))))))))</f>
        <v>饮料乳品</v>
      </c>
      <c r="Z1212" s="302" t="str">
        <f ca="1">IF(Y1212=行业比较!$E$6,ROW(),"")</f>
        <v/>
      </c>
      <c r="AA1212" s="122"/>
      <c r="AB1212" s="122"/>
      <c r="AC1212" s="122"/>
      <c r="AD1212" s="122"/>
      <c r="AE1212" s="122"/>
      <c r="AF1212" s="122"/>
      <c r="AG1212" s="122"/>
      <c r="AH1212" s="122"/>
      <c r="AI1212" s="122"/>
      <c r="AJ1212" s="122"/>
      <c r="AK1212" s="122"/>
      <c r="AL1212" s="122"/>
      <c r="AM1212" s="122"/>
      <c r="AN1212" s="122"/>
      <c r="AO1212" s="122"/>
      <c r="AP1212" s="122"/>
    </row>
    <row r="1213" spans="2:42">
      <c r="B1213" s="122"/>
      <c r="C1213" s="122"/>
      <c r="D1213" s="122"/>
      <c r="E1213" s="122"/>
      <c r="F1213" s="122"/>
      <c r="G1213" s="122"/>
      <c r="H1213" s="122"/>
      <c r="I1213" s="275"/>
      <c r="J1213" s="130"/>
      <c r="K1213" s="130"/>
      <c r="L1213" s="130"/>
      <c r="M1213" s="130"/>
      <c r="N1213" s="291"/>
      <c r="O1213" s="291"/>
      <c r="P1213" s="122"/>
      <c r="Q1213" s="122"/>
      <c r="R1213" s="122"/>
      <c r="S1213" s="122"/>
      <c r="T1213" s="122"/>
      <c r="U1213" s="301"/>
      <c r="V1213" s="260">
        <f t="shared" ca="1" si="26"/>
        <v>0</v>
      </c>
      <c r="W1213" s="348" t="str">
        <f>IF(板块成分!B1215="","",板块成分!B1215)</f>
        <v>002733.SZ</v>
      </c>
      <c r="X1213" s="276" t="str">
        <f>[1]!S_Info_Name(W1213)</f>
        <v>雄韬股份</v>
      </c>
      <c r="Y1213" s="276" t="str">
        <f ca="1">IF($Y$3="申万一级行业",[1]!s_info_industry_sw_2021(W1213,公司分析!D$5,1),IF($Y$3="申万二级行业",[1]!s_info_industry_sw_2021(W1213,公司分析!D$5,2),IF($Y$3="申万三级行业",[1]!s_info_industry_sw_2021(W1213,公司分析!D$5,3),IF($Y$3="wind一级行业",[1]!s_info_industry_gics(W1213,1),IF($Y$3="wind二级行业",[1]!s_info_industry_gics(W1213,2),IF($Y$3="wind三级行业",[1]!s_info_industry_gics(W1213,3),IF($Y$3="wind四级行业",[1]!s_info_industry_gics(W1213,4),IF($Y$3="证监会门类行业",[1]!s_info_industry_csrc12_n(W1213,公司分析!D$5,1),""))))))))</f>
        <v>电池</v>
      </c>
      <c r="Z1213" s="302" t="str">
        <f ca="1">IF(Y1213=行业比较!$E$6,ROW(),"")</f>
        <v/>
      </c>
      <c r="AA1213" s="122"/>
      <c r="AB1213" s="122"/>
      <c r="AC1213" s="122"/>
      <c r="AD1213" s="122"/>
      <c r="AE1213" s="122"/>
      <c r="AF1213" s="122"/>
      <c r="AG1213" s="122"/>
      <c r="AH1213" s="122"/>
      <c r="AI1213" s="122"/>
      <c r="AJ1213" s="122"/>
      <c r="AK1213" s="122"/>
      <c r="AL1213" s="122"/>
      <c r="AM1213" s="122"/>
      <c r="AN1213" s="122"/>
      <c r="AO1213" s="122"/>
      <c r="AP1213" s="122"/>
    </row>
    <row r="1214" spans="2:42">
      <c r="B1214" s="122"/>
      <c r="C1214" s="122"/>
      <c r="D1214" s="122"/>
      <c r="E1214" s="122"/>
      <c r="F1214" s="122"/>
      <c r="G1214" s="122"/>
      <c r="H1214" s="122"/>
      <c r="I1214" s="275"/>
      <c r="J1214" s="130"/>
      <c r="K1214" s="130"/>
      <c r="L1214" s="130"/>
      <c r="M1214" s="130"/>
      <c r="N1214" s="291"/>
      <c r="O1214" s="291"/>
      <c r="P1214" s="122"/>
      <c r="Q1214" s="122"/>
      <c r="R1214" s="122"/>
      <c r="S1214" s="122"/>
      <c r="T1214" s="122"/>
      <c r="U1214" s="301"/>
      <c r="V1214" s="260">
        <f t="shared" ca="1" si="26"/>
        <v>0</v>
      </c>
      <c r="W1214" s="348" t="str">
        <f>IF(板块成分!B1216="","",板块成分!B1216)</f>
        <v>002734.SZ</v>
      </c>
      <c r="X1214" s="276" t="str">
        <f>[1]!S_Info_Name(W1214)</f>
        <v>利民股份</v>
      </c>
      <c r="Y1214" s="276" t="str">
        <f ca="1">IF($Y$3="申万一级行业",[1]!s_info_industry_sw_2021(W1214,公司分析!D$5,1),IF($Y$3="申万二级行业",[1]!s_info_industry_sw_2021(W1214,公司分析!D$5,2),IF($Y$3="申万三级行业",[1]!s_info_industry_sw_2021(W1214,公司分析!D$5,3),IF($Y$3="wind一级行业",[1]!s_info_industry_gics(W1214,1),IF($Y$3="wind二级行业",[1]!s_info_industry_gics(W1214,2),IF($Y$3="wind三级行业",[1]!s_info_industry_gics(W1214,3),IF($Y$3="wind四级行业",[1]!s_info_industry_gics(W1214,4),IF($Y$3="证监会门类行业",[1]!s_info_industry_csrc12_n(W1214,公司分析!D$5,1),""))))))))</f>
        <v>农化制品</v>
      </c>
      <c r="Z1214" s="302" t="str">
        <f ca="1">IF(Y1214=行业比较!$E$6,ROW(),"")</f>
        <v/>
      </c>
      <c r="AA1214" s="122"/>
      <c r="AB1214" s="122"/>
      <c r="AC1214" s="122"/>
      <c r="AD1214" s="122"/>
      <c r="AE1214" s="122"/>
      <c r="AF1214" s="122"/>
      <c r="AG1214" s="122"/>
      <c r="AH1214" s="122"/>
      <c r="AI1214" s="122"/>
      <c r="AJ1214" s="122"/>
      <c r="AK1214" s="122"/>
      <c r="AL1214" s="122"/>
      <c r="AM1214" s="122"/>
      <c r="AN1214" s="122"/>
      <c r="AO1214" s="122"/>
      <c r="AP1214" s="122"/>
    </row>
    <row r="1215" spans="2:42">
      <c r="B1215" s="122"/>
      <c r="C1215" s="122"/>
      <c r="D1215" s="122"/>
      <c r="E1215" s="122"/>
      <c r="F1215" s="122"/>
      <c r="G1215" s="122"/>
      <c r="H1215" s="122"/>
      <c r="I1215" s="275"/>
      <c r="J1215" s="130"/>
      <c r="K1215" s="130"/>
      <c r="L1215" s="130"/>
      <c r="M1215" s="130"/>
      <c r="N1215" s="291"/>
      <c r="O1215" s="291"/>
      <c r="P1215" s="122"/>
      <c r="Q1215" s="122"/>
      <c r="R1215" s="122"/>
      <c r="S1215" s="122"/>
      <c r="T1215" s="122"/>
      <c r="U1215" s="301"/>
      <c r="V1215" s="260">
        <f t="shared" ca="1" si="26"/>
        <v>0</v>
      </c>
      <c r="W1215" s="348" t="str">
        <f>IF(板块成分!B1217="","",板块成分!B1217)</f>
        <v>002735.SZ</v>
      </c>
      <c r="X1215" s="276" t="str">
        <f>[1]!S_Info_Name(W1215)</f>
        <v>王子新材</v>
      </c>
      <c r="Y1215" s="276" t="str">
        <f ca="1">IF($Y$3="申万一级行业",[1]!s_info_industry_sw_2021(W1215,公司分析!D$5,1),IF($Y$3="申万二级行业",[1]!s_info_industry_sw_2021(W1215,公司分析!D$5,2),IF($Y$3="申万三级行业",[1]!s_info_industry_sw_2021(W1215,公司分析!D$5,3),IF($Y$3="wind一级行业",[1]!s_info_industry_gics(W1215,1),IF($Y$3="wind二级行业",[1]!s_info_industry_gics(W1215,2),IF($Y$3="wind三级行业",[1]!s_info_industry_gics(W1215,3),IF($Y$3="wind四级行业",[1]!s_info_industry_gics(W1215,4),IF($Y$3="证监会门类行业",[1]!s_info_industry_csrc12_n(W1215,公司分析!D$5,1),""))))))))</f>
        <v>包装印刷</v>
      </c>
      <c r="Z1215" s="302" t="str">
        <f ca="1">IF(Y1215=行业比较!$E$6,ROW(),"")</f>
        <v/>
      </c>
      <c r="AA1215" s="122"/>
      <c r="AB1215" s="122"/>
      <c r="AC1215" s="122"/>
      <c r="AD1215" s="122"/>
      <c r="AE1215" s="122"/>
      <c r="AF1215" s="122"/>
      <c r="AG1215" s="122"/>
      <c r="AH1215" s="122"/>
      <c r="AI1215" s="122"/>
      <c r="AJ1215" s="122"/>
      <c r="AK1215" s="122"/>
      <c r="AL1215" s="122"/>
      <c r="AM1215" s="122"/>
      <c r="AN1215" s="122"/>
      <c r="AO1215" s="122"/>
      <c r="AP1215" s="122"/>
    </row>
    <row r="1216" spans="2:42">
      <c r="B1216" s="122"/>
      <c r="C1216" s="122"/>
      <c r="D1216" s="122"/>
      <c r="E1216" s="122"/>
      <c r="F1216" s="122"/>
      <c r="G1216" s="122"/>
      <c r="H1216" s="122"/>
      <c r="I1216" s="275"/>
      <c r="J1216" s="130"/>
      <c r="K1216" s="130"/>
      <c r="L1216" s="130"/>
      <c r="M1216" s="130"/>
      <c r="N1216" s="291"/>
      <c r="O1216" s="291"/>
      <c r="P1216" s="122"/>
      <c r="Q1216" s="122"/>
      <c r="R1216" s="122"/>
      <c r="S1216" s="122"/>
      <c r="T1216" s="122"/>
      <c r="U1216" s="301"/>
      <c r="V1216" s="260">
        <f t="shared" ca="1" si="26"/>
        <v>0</v>
      </c>
      <c r="W1216" s="348" t="str">
        <f>IF(板块成分!B1218="","",板块成分!B1218)</f>
        <v>002736.SZ</v>
      </c>
      <c r="X1216" s="276" t="str">
        <f>[1]!S_Info_Name(W1216)</f>
        <v>国信证券</v>
      </c>
      <c r="Y1216" s="276" t="str">
        <f ca="1">IF($Y$3="申万一级行业",[1]!s_info_industry_sw_2021(W1216,公司分析!D$5,1),IF($Y$3="申万二级行业",[1]!s_info_industry_sw_2021(W1216,公司分析!D$5,2),IF($Y$3="申万三级行业",[1]!s_info_industry_sw_2021(W1216,公司分析!D$5,3),IF($Y$3="wind一级行业",[1]!s_info_industry_gics(W1216,1),IF($Y$3="wind二级行业",[1]!s_info_industry_gics(W1216,2),IF($Y$3="wind三级行业",[1]!s_info_industry_gics(W1216,3),IF($Y$3="wind四级行业",[1]!s_info_industry_gics(W1216,4),IF($Y$3="证监会门类行业",[1]!s_info_industry_csrc12_n(W1216,公司分析!D$5,1),""))))))))</f>
        <v>证券Ⅱ</v>
      </c>
      <c r="Z1216" s="302" t="str">
        <f ca="1">IF(Y1216=行业比较!$E$6,ROW(),"")</f>
        <v/>
      </c>
      <c r="AA1216" s="122"/>
      <c r="AB1216" s="122"/>
      <c r="AC1216" s="122"/>
      <c r="AD1216" s="122"/>
      <c r="AE1216" s="122"/>
      <c r="AF1216" s="122"/>
      <c r="AG1216" s="122"/>
      <c r="AH1216" s="122"/>
      <c r="AI1216" s="122"/>
      <c r="AJ1216" s="122"/>
      <c r="AK1216" s="122"/>
      <c r="AL1216" s="122"/>
      <c r="AM1216" s="122"/>
      <c r="AN1216" s="122"/>
      <c r="AO1216" s="122"/>
      <c r="AP1216" s="122"/>
    </row>
    <row r="1217" spans="2:42">
      <c r="B1217" s="122"/>
      <c r="C1217" s="122"/>
      <c r="D1217" s="122"/>
      <c r="E1217" s="122"/>
      <c r="F1217" s="122"/>
      <c r="G1217" s="122"/>
      <c r="H1217" s="122"/>
      <c r="I1217" s="275"/>
      <c r="J1217" s="130"/>
      <c r="K1217" s="130"/>
      <c r="L1217" s="130"/>
      <c r="M1217" s="130"/>
      <c r="N1217" s="291"/>
      <c r="O1217" s="291"/>
      <c r="P1217" s="122"/>
      <c r="Q1217" s="122"/>
      <c r="R1217" s="122"/>
      <c r="S1217" s="122"/>
      <c r="T1217" s="122"/>
      <c r="U1217" s="301"/>
      <c r="V1217" s="260">
        <f t="shared" ca="1" si="26"/>
        <v>0</v>
      </c>
      <c r="W1217" s="348" t="str">
        <f>IF(板块成分!B1219="","",板块成分!B1219)</f>
        <v>002737.SZ</v>
      </c>
      <c r="X1217" s="276" t="str">
        <f>[1]!S_Info_Name(W1217)</f>
        <v>葵花药业</v>
      </c>
      <c r="Y1217" s="276" t="str">
        <f ca="1">IF($Y$3="申万一级行业",[1]!s_info_industry_sw_2021(W1217,公司分析!D$5,1),IF($Y$3="申万二级行业",[1]!s_info_industry_sw_2021(W1217,公司分析!D$5,2),IF($Y$3="申万三级行业",[1]!s_info_industry_sw_2021(W1217,公司分析!D$5,3),IF($Y$3="wind一级行业",[1]!s_info_industry_gics(W1217,1),IF($Y$3="wind二级行业",[1]!s_info_industry_gics(W1217,2),IF($Y$3="wind三级行业",[1]!s_info_industry_gics(W1217,3),IF($Y$3="wind四级行业",[1]!s_info_industry_gics(W1217,4),IF($Y$3="证监会门类行业",[1]!s_info_industry_csrc12_n(W1217,公司分析!D$5,1),""))))))))</f>
        <v>中药Ⅱ</v>
      </c>
      <c r="Z1217" s="302" t="str">
        <f ca="1">IF(Y1217=行业比较!$E$6,ROW(),"")</f>
        <v/>
      </c>
      <c r="AA1217" s="122"/>
      <c r="AB1217" s="122"/>
      <c r="AC1217" s="122"/>
      <c r="AD1217" s="122"/>
      <c r="AE1217" s="122"/>
      <c r="AF1217" s="122"/>
      <c r="AG1217" s="122"/>
      <c r="AH1217" s="122"/>
      <c r="AI1217" s="122"/>
      <c r="AJ1217" s="122"/>
      <c r="AK1217" s="122"/>
      <c r="AL1217" s="122"/>
      <c r="AM1217" s="122"/>
      <c r="AN1217" s="122"/>
      <c r="AO1217" s="122"/>
      <c r="AP1217" s="122"/>
    </row>
    <row r="1218" spans="2:42">
      <c r="B1218" s="122"/>
      <c r="C1218" s="122"/>
      <c r="D1218" s="122"/>
      <c r="E1218" s="122"/>
      <c r="F1218" s="122"/>
      <c r="G1218" s="122"/>
      <c r="H1218" s="122"/>
      <c r="I1218" s="275"/>
      <c r="J1218" s="130"/>
      <c r="K1218" s="130"/>
      <c r="L1218" s="130"/>
      <c r="M1218" s="130"/>
      <c r="N1218" s="291"/>
      <c r="O1218" s="291"/>
      <c r="P1218" s="122"/>
      <c r="Q1218" s="122"/>
      <c r="R1218" s="122"/>
      <c r="S1218" s="122"/>
      <c r="T1218" s="122"/>
      <c r="U1218" s="301"/>
      <c r="V1218" s="260">
        <f t="shared" ca="1" si="26"/>
        <v>0</v>
      </c>
      <c r="W1218" s="348" t="str">
        <f>IF(板块成分!B1220="","",板块成分!B1220)</f>
        <v>002738.SZ</v>
      </c>
      <c r="X1218" s="276" t="str">
        <f>[1]!S_Info_Name(W1218)</f>
        <v>中矿资源</v>
      </c>
      <c r="Y1218" s="276" t="str">
        <f ca="1">IF($Y$3="申万一级行业",[1]!s_info_industry_sw_2021(W1218,公司分析!D$5,1),IF($Y$3="申万二级行业",[1]!s_info_industry_sw_2021(W1218,公司分析!D$5,2),IF($Y$3="申万三级行业",[1]!s_info_industry_sw_2021(W1218,公司分析!D$5,3),IF($Y$3="wind一级行业",[1]!s_info_industry_gics(W1218,1),IF($Y$3="wind二级行业",[1]!s_info_industry_gics(W1218,2),IF($Y$3="wind三级行业",[1]!s_info_industry_gics(W1218,3),IF($Y$3="wind四级行业",[1]!s_info_industry_gics(W1218,4),IF($Y$3="证监会门类行业",[1]!s_info_industry_csrc12_n(W1218,公司分析!D$5,1),""))))))))</f>
        <v>小金属</v>
      </c>
      <c r="Z1218" s="302" t="str">
        <f ca="1">IF(Y1218=行业比较!$E$6,ROW(),"")</f>
        <v/>
      </c>
      <c r="AA1218" s="122"/>
      <c r="AB1218" s="122"/>
      <c r="AC1218" s="122"/>
      <c r="AD1218" s="122"/>
      <c r="AE1218" s="122"/>
      <c r="AF1218" s="122"/>
      <c r="AG1218" s="122"/>
      <c r="AH1218" s="122"/>
      <c r="AI1218" s="122"/>
      <c r="AJ1218" s="122"/>
      <c r="AK1218" s="122"/>
      <c r="AL1218" s="122"/>
      <c r="AM1218" s="122"/>
      <c r="AN1218" s="122"/>
      <c r="AO1218" s="122"/>
      <c r="AP1218" s="122"/>
    </row>
    <row r="1219" spans="2:42">
      <c r="B1219" s="122"/>
      <c r="C1219" s="122"/>
      <c r="D1219" s="122"/>
      <c r="E1219" s="122"/>
      <c r="F1219" s="122"/>
      <c r="G1219" s="122"/>
      <c r="H1219" s="122"/>
      <c r="I1219" s="275"/>
      <c r="J1219" s="130"/>
      <c r="K1219" s="130"/>
      <c r="L1219" s="130"/>
      <c r="M1219" s="130"/>
      <c r="N1219" s="291"/>
      <c r="O1219" s="291"/>
      <c r="P1219" s="122"/>
      <c r="Q1219" s="122"/>
      <c r="R1219" s="122"/>
      <c r="S1219" s="122"/>
      <c r="T1219" s="122"/>
      <c r="U1219" s="301"/>
      <c r="V1219" s="260">
        <f t="shared" ca="1" si="26"/>
        <v>0</v>
      </c>
      <c r="W1219" s="348" t="str">
        <f>IF(板块成分!B1221="","",板块成分!B1221)</f>
        <v>002739.SZ</v>
      </c>
      <c r="X1219" s="276" t="str">
        <f>[1]!S_Info_Name(W1219)</f>
        <v>万达电影</v>
      </c>
      <c r="Y1219" s="276" t="str">
        <f ca="1">IF($Y$3="申万一级行业",[1]!s_info_industry_sw_2021(W1219,公司分析!D$5,1),IF($Y$3="申万二级行业",[1]!s_info_industry_sw_2021(W1219,公司分析!D$5,2),IF($Y$3="申万三级行业",[1]!s_info_industry_sw_2021(W1219,公司分析!D$5,3),IF($Y$3="wind一级行业",[1]!s_info_industry_gics(W1219,1),IF($Y$3="wind二级行业",[1]!s_info_industry_gics(W1219,2),IF($Y$3="wind三级行业",[1]!s_info_industry_gics(W1219,3),IF($Y$3="wind四级行业",[1]!s_info_industry_gics(W1219,4),IF($Y$3="证监会门类行业",[1]!s_info_industry_csrc12_n(W1219,公司分析!D$5,1),""))))))))</f>
        <v>影视院线</v>
      </c>
      <c r="Z1219" s="302" t="str">
        <f ca="1">IF(Y1219=行业比较!$E$6,ROW(),"")</f>
        <v/>
      </c>
      <c r="AA1219" s="122"/>
      <c r="AB1219" s="122"/>
      <c r="AC1219" s="122"/>
      <c r="AD1219" s="122"/>
      <c r="AE1219" s="122"/>
      <c r="AF1219" s="122"/>
      <c r="AG1219" s="122"/>
      <c r="AH1219" s="122"/>
      <c r="AI1219" s="122"/>
      <c r="AJ1219" s="122"/>
      <c r="AK1219" s="122"/>
      <c r="AL1219" s="122"/>
      <c r="AM1219" s="122"/>
      <c r="AN1219" s="122"/>
      <c r="AO1219" s="122"/>
      <c r="AP1219" s="122"/>
    </row>
    <row r="1220" spans="2:42">
      <c r="B1220" s="122"/>
      <c r="C1220" s="122"/>
      <c r="D1220" s="122"/>
      <c r="E1220" s="122"/>
      <c r="F1220" s="122"/>
      <c r="G1220" s="122"/>
      <c r="H1220" s="122"/>
      <c r="I1220" s="275"/>
      <c r="J1220" s="130"/>
      <c r="K1220" s="130"/>
      <c r="L1220" s="130"/>
      <c r="M1220" s="130"/>
      <c r="N1220" s="291"/>
      <c r="O1220" s="291"/>
      <c r="P1220" s="122"/>
      <c r="Q1220" s="122"/>
      <c r="R1220" s="122"/>
      <c r="S1220" s="122"/>
      <c r="T1220" s="122"/>
      <c r="U1220" s="301"/>
      <c r="V1220" s="260">
        <f t="shared" ca="1" si="26"/>
        <v>0</v>
      </c>
      <c r="W1220" s="348" t="str">
        <f>IF(板块成分!B1222="","",板块成分!B1222)</f>
        <v>002741.SZ</v>
      </c>
      <c r="X1220" s="276" t="str">
        <f>[1]!S_Info_Name(W1220)</f>
        <v>光华科技</v>
      </c>
      <c r="Y1220" s="276" t="str">
        <f ca="1">IF($Y$3="申万一级行业",[1]!s_info_industry_sw_2021(W1220,公司分析!D$5,1),IF($Y$3="申万二级行业",[1]!s_info_industry_sw_2021(W1220,公司分析!D$5,2),IF($Y$3="申万三级行业",[1]!s_info_industry_sw_2021(W1220,公司分析!D$5,3),IF($Y$3="wind一级行业",[1]!s_info_industry_gics(W1220,1),IF($Y$3="wind二级行业",[1]!s_info_industry_gics(W1220,2),IF($Y$3="wind三级行业",[1]!s_info_industry_gics(W1220,3),IF($Y$3="wind四级行业",[1]!s_info_industry_gics(W1220,4),IF($Y$3="证监会门类行业",[1]!s_info_industry_csrc12_n(W1220,公司分析!D$5,1),""))))))))</f>
        <v>电子化学品Ⅱ</v>
      </c>
      <c r="Z1220" s="302" t="str">
        <f ca="1">IF(Y1220=行业比较!$E$6,ROW(),"")</f>
        <v/>
      </c>
      <c r="AA1220" s="122"/>
      <c r="AB1220" s="122"/>
      <c r="AC1220" s="122"/>
      <c r="AD1220" s="122"/>
      <c r="AE1220" s="122"/>
      <c r="AF1220" s="122"/>
      <c r="AG1220" s="122"/>
      <c r="AH1220" s="122"/>
      <c r="AI1220" s="122"/>
      <c r="AJ1220" s="122"/>
      <c r="AK1220" s="122"/>
      <c r="AL1220" s="122"/>
      <c r="AM1220" s="122"/>
      <c r="AN1220" s="122"/>
      <c r="AO1220" s="122"/>
      <c r="AP1220" s="122"/>
    </row>
    <row r="1221" spans="2:42">
      <c r="B1221" s="122"/>
      <c r="C1221" s="122"/>
      <c r="D1221" s="122"/>
      <c r="E1221" s="122"/>
      <c r="F1221" s="122"/>
      <c r="G1221" s="122"/>
      <c r="H1221" s="122"/>
      <c r="I1221" s="275"/>
      <c r="J1221" s="130"/>
      <c r="K1221" s="130"/>
      <c r="L1221" s="130"/>
      <c r="M1221" s="130"/>
      <c r="N1221" s="291"/>
      <c r="O1221" s="291"/>
      <c r="P1221" s="122"/>
      <c r="Q1221" s="122"/>
      <c r="R1221" s="122"/>
      <c r="S1221" s="122"/>
      <c r="T1221" s="122"/>
      <c r="U1221" s="301"/>
      <c r="V1221" s="260">
        <f t="shared" ref="V1221:V1284" ca="1" si="27">IF(Z1221="",0,RANK(Z1221,Z:Z,1))</f>
        <v>0</v>
      </c>
      <c r="W1221" s="348" t="str">
        <f>IF(板块成分!B1223="","",板块成分!B1223)</f>
        <v>002742.SZ</v>
      </c>
      <c r="X1221" s="276" t="str">
        <f>[1]!S_Info_Name(W1221)</f>
        <v>*ST三圣</v>
      </c>
      <c r="Y1221" s="276" t="str">
        <f ca="1">IF($Y$3="申万一级行业",[1]!s_info_industry_sw_2021(W1221,公司分析!D$5,1),IF($Y$3="申万二级行业",[1]!s_info_industry_sw_2021(W1221,公司分析!D$5,2),IF($Y$3="申万三级行业",[1]!s_info_industry_sw_2021(W1221,公司分析!D$5,3),IF($Y$3="wind一级行业",[1]!s_info_industry_gics(W1221,1),IF($Y$3="wind二级行业",[1]!s_info_industry_gics(W1221,2),IF($Y$3="wind三级行业",[1]!s_info_industry_gics(W1221,3),IF($Y$3="wind四级行业",[1]!s_info_industry_gics(W1221,4),IF($Y$3="证监会门类行业",[1]!s_info_industry_csrc12_n(W1221,公司分析!D$5,1),""))))))))</f>
        <v>化学制药</v>
      </c>
      <c r="Z1221" s="302" t="str">
        <f ca="1">IF(Y1221=行业比较!$E$6,ROW(),"")</f>
        <v/>
      </c>
      <c r="AA1221" s="122"/>
      <c r="AB1221" s="122"/>
      <c r="AC1221" s="122"/>
      <c r="AD1221" s="122"/>
      <c r="AE1221" s="122"/>
      <c r="AF1221" s="122"/>
      <c r="AG1221" s="122"/>
      <c r="AH1221" s="122"/>
      <c r="AI1221" s="122"/>
      <c r="AJ1221" s="122"/>
      <c r="AK1221" s="122"/>
      <c r="AL1221" s="122"/>
      <c r="AM1221" s="122"/>
      <c r="AN1221" s="122"/>
      <c r="AO1221" s="122"/>
      <c r="AP1221" s="122"/>
    </row>
    <row r="1222" spans="2:42">
      <c r="B1222" s="122"/>
      <c r="C1222" s="122"/>
      <c r="D1222" s="122"/>
      <c r="E1222" s="122"/>
      <c r="F1222" s="122"/>
      <c r="G1222" s="122"/>
      <c r="H1222" s="122"/>
      <c r="I1222" s="275"/>
      <c r="J1222" s="130"/>
      <c r="K1222" s="130"/>
      <c r="L1222" s="130"/>
      <c r="M1222" s="130"/>
      <c r="N1222" s="291"/>
      <c r="O1222" s="291"/>
      <c r="P1222" s="122"/>
      <c r="Q1222" s="122"/>
      <c r="R1222" s="122"/>
      <c r="S1222" s="122"/>
      <c r="T1222" s="122"/>
      <c r="U1222" s="301"/>
      <c r="V1222" s="260">
        <f t="shared" ca="1" si="27"/>
        <v>0</v>
      </c>
      <c r="W1222" s="348" t="str">
        <f>IF(板块成分!B1224="","",板块成分!B1224)</f>
        <v>002743.SZ</v>
      </c>
      <c r="X1222" s="276" t="str">
        <f>[1]!S_Info_Name(W1222)</f>
        <v>富煌钢构</v>
      </c>
      <c r="Y1222" s="276" t="str">
        <f ca="1">IF($Y$3="申万一级行业",[1]!s_info_industry_sw_2021(W1222,公司分析!D$5,1),IF($Y$3="申万二级行业",[1]!s_info_industry_sw_2021(W1222,公司分析!D$5,2),IF($Y$3="申万三级行业",[1]!s_info_industry_sw_2021(W1222,公司分析!D$5,3),IF($Y$3="wind一级行业",[1]!s_info_industry_gics(W1222,1),IF($Y$3="wind二级行业",[1]!s_info_industry_gics(W1222,2),IF($Y$3="wind三级行业",[1]!s_info_industry_gics(W1222,3),IF($Y$3="wind四级行业",[1]!s_info_industry_gics(W1222,4),IF($Y$3="证监会门类行业",[1]!s_info_industry_csrc12_n(W1222,公司分析!D$5,1),""))))))))</f>
        <v>专业工程</v>
      </c>
      <c r="Z1222" s="302" t="str">
        <f ca="1">IF(Y1222=行业比较!$E$6,ROW(),"")</f>
        <v/>
      </c>
      <c r="AA1222" s="122"/>
      <c r="AB1222" s="122"/>
      <c r="AC1222" s="122"/>
      <c r="AD1222" s="122"/>
      <c r="AE1222" s="122"/>
      <c r="AF1222" s="122"/>
      <c r="AG1222" s="122"/>
      <c r="AH1222" s="122"/>
      <c r="AI1222" s="122"/>
      <c r="AJ1222" s="122"/>
      <c r="AK1222" s="122"/>
      <c r="AL1222" s="122"/>
      <c r="AM1222" s="122"/>
      <c r="AN1222" s="122"/>
      <c r="AO1222" s="122"/>
      <c r="AP1222" s="122"/>
    </row>
    <row r="1223" spans="2:42">
      <c r="B1223" s="122"/>
      <c r="C1223" s="122"/>
      <c r="D1223" s="122"/>
      <c r="E1223" s="122"/>
      <c r="F1223" s="122"/>
      <c r="G1223" s="122"/>
      <c r="H1223" s="122"/>
      <c r="I1223" s="275"/>
      <c r="J1223" s="130"/>
      <c r="K1223" s="130"/>
      <c r="L1223" s="130"/>
      <c r="M1223" s="130"/>
      <c r="N1223" s="291"/>
      <c r="O1223" s="291"/>
      <c r="P1223" s="122"/>
      <c r="Q1223" s="122"/>
      <c r="R1223" s="122"/>
      <c r="S1223" s="122"/>
      <c r="T1223" s="122"/>
      <c r="U1223" s="301"/>
      <c r="V1223" s="260">
        <f t="shared" ca="1" si="27"/>
        <v>0</v>
      </c>
      <c r="W1223" s="348" t="str">
        <f>IF(板块成分!B1225="","",板块成分!B1225)</f>
        <v>002745.SZ</v>
      </c>
      <c r="X1223" s="276" t="str">
        <f>[1]!S_Info_Name(W1223)</f>
        <v>木林森</v>
      </c>
      <c r="Y1223" s="276" t="str">
        <f ca="1">IF($Y$3="申万一级行业",[1]!s_info_industry_sw_2021(W1223,公司分析!D$5,1),IF($Y$3="申万二级行业",[1]!s_info_industry_sw_2021(W1223,公司分析!D$5,2),IF($Y$3="申万三级行业",[1]!s_info_industry_sw_2021(W1223,公司分析!D$5,3),IF($Y$3="wind一级行业",[1]!s_info_industry_gics(W1223,1),IF($Y$3="wind二级行业",[1]!s_info_industry_gics(W1223,2),IF($Y$3="wind三级行业",[1]!s_info_industry_gics(W1223,3),IF($Y$3="wind四级行业",[1]!s_info_industry_gics(W1223,4),IF($Y$3="证监会门类行业",[1]!s_info_industry_csrc12_n(W1223,公司分析!D$5,1),""))))))))</f>
        <v>光学光电子</v>
      </c>
      <c r="Z1223" s="302" t="str">
        <f ca="1">IF(Y1223=行业比较!$E$6,ROW(),"")</f>
        <v/>
      </c>
      <c r="AA1223" s="122"/>
      <c r="AB1223" s="122"/>
      <c r="AC1223" s="122"/>
      <c r="AD1223" s="122"/>
      <c r="AE1223" s="122"/>
      <c r="AF1223" s="122"/>
      <c r="AG1223" s="122"/>
      <c r="AH1223" s="122"/>
      <c r="AI1223" s="122"/>
      <c r="AJ1223" s="122"/>
      <c r="AK1223" s="122"/>
      <c r="AL1223" s="122"/>
      <c r="AM1223" s="122"/>
      <c r="AN1223" s="122"/>
      <c r="AO1223" s="122"/>
      <c r="AP1223" s="122"/>
    </row>
    <row r="1224" spans="2:42">
      <c r="B1224" s="122"/>
      <c r="C1224" s="122"/>
      <c r="D1224" s="122"/>
      <c r="E1224" s="122"/>
      <c r="F1224" s="122"/>
      <c r="G1224" s="122"/>
      <c r="H1224" s="122"/>
      <c r="I1224" s="275"/>
      <c r="J1224" s="130"/>
      <c r="K1224" s="130"/>
      <c r="L1224" s="130"/>
      <c r="M1224" s="130"/>
      <c r="N1224" s="291"/>
      <c r="O1224" s="291"/>
      <c r="P1224" s="122"/>
      <c r="Q1224" s="122"/>
      <c r="R1224" s="122"/>
      <c r="S1224" s="122"/>
      <c r="T1224" s="122"/>
      <c r="U1224" s="301"/>
      <c r="V1224" s="260">
        <f t="shared" ca="1" si="27"/>
        <v>0</v>
      </c>
      <c r="W1224" s="348" t="str">
        <f>IF(板块成分!B1226="","",板块成分!B1226)</f>
        <v>002746.SZ</v>
      </c>
      <c r="X1224" s="276" t="str">
        <f>[1]!S_Info_Name(W1224)</f>
        <v>仙坛股份</v>
      </c>
      <c r="Y1224" s="276" t="str">
        <f ca="1">IF($Y$3="申万一级行业",[1]!s_info_industry_sw_2021(W1224,公司分析!D$5,1),IF($Y$3="申万二级行业",[1]!s_info_industry_sw_2021(W1224,公司分析!D$5,2),IF($Y$3="申万三级行业",[1]!s_info_industry_sw_2021(W1224,公司分析!D$5,3),IF($Y$3="wind一级行业",[1]!s_info_industry_gics(W1224,1),IF($Y$3="wind二级行业",[1]!s_info_industry_gics(W1224,2),IF($Y$3="wind三级行业",[1]!s_info_industry_gics(W1224,3),IF($Y$3="wind四级行业",[1]!s_info_industry_gics(W1224,4),IF($Y$3="证监会门类行业",[1]!s_info_industry_csrc12_n(W1224,公司分析!D$5,1),""))))))))</f>
        <v>养殖业</v>
      </c>
      <c r="Z1224" s="302" t="str">
        <f ca="1">IF(Y1224=行业比较!$E$6,ROW(),"")</f>
        <v/>
      </c>
      <c r="AA1224" s="122"/>
      <c r="AB1224" s="122"/>
      <c r="AC1224" s="122"/>
      <c r="AD1224" s="122"/>
      <c r="AE1224" s="122"/>
      <c r="AF1224" s="122"/>
      <c r="AG1224" s="122"/>
      <c r="AH1224" s="122"/>
      <c r="AI1224" s="122"/>
      <c r="AJ1224" s="122"/>
      <c r="AK1224" s="122"/>
      <c r="AL1224" s="122"/>
      <c r="AM1224" s="122"/>
      <c r="AN1224" s="122"/>
      <c r="AO1224" s="122"/>
      <c r="AP1224" s="122"/>
    </row>
    <row r="1225" spans="2:42">
      <c r="B1225" s="122"/>
      <c r="C1225" s="122"/>
      <c r="D1225" s="122"/>
      <c r="E1225" s="122"/>
      <c r="F1225" s="122"/>
      <c r="G1225" s="122"/>
      <c r="H1225" s="122"/>
      <c r="I1225" s="275"/>
      <c r="J1225" s="130"/>
      <c r="K1225" s="130"/>
      <c r="L1225" s="130"/>
      <c r="M1225" s="130"/>
      <c r="N1225" s="291"/>
      <c r="O1225" s="291"/>
      <c r="P1225" s="122"/>
      <c r="Q1225" s="122"/>
      <c r="R1225" s="122"/>
      <c r="S1225" s="122"/>
      <c r="T1225" s="122"/>
      <c r="U1225" s="301"/>
      <c r="V1225" s="260">
        <f t="shared" ca="1" si="27"/>
        <v>0</v>
      </c>
      <c r="W1225" s="348" t="str">
        <f>IF(板块成分!B1227="","",板块成分!B1227)</f>
        <v>002747.SZ</v>
      </c>
      <c r="X1225" s="276" t="str">
        <f>[1]!S_Info_Name(W1225)</f>
        <v>埃斯顿</v>
      </c>
      <c r="Y1225" s="276" t="str">
        <f ca="1">IF($Y$3="申万一级行业",[1]!s_info_industry_sw_2021(W1225,公司分析!D$5,1),IF($Y$3="申万二级行业",[1]!s_info_industry_sw_2021(W1225,公司分析!D$5,2),IF($Y$3="申万三级行业",[1]!s_info_industry_sw_2021(W1225,公司分析!D$5,3),IF($Y$3="wind一级行业",[1]!s_info_industry_gics(W1225,1),IF($Y$3="wind二级行业",[1]!s_info_industry_gics(W1225,2),IF($Y$3="wind三级行业",[1]!s_info_industry_gics(W1225,3),IF($Y$3="wind四级行业",[1]!s_info_industry_gics(W1225,4),IF($Y$3="证监会门类行业",[1]!s_info_industry_csrc12_n(W1225,公司分析!D$5,1),""))))))))</f>
        <v>自动化设备</v>
      </c>
      <c r="Z1225" s="302" t="str">
        <f ca="1">IF(Y1225=行业比较!$E$6,ROW(),"")</f>
        <v/>
      </c>
      <c r="AA1225" s="122"/>
      <c r="AB1225" s="122"/>
      <c r="AC1225" s="122"/>
      <c r="AD1225" s="122"/>
      <c r="AE1225" s="122"/>
      <c r="AF1225" s="122"/>
      <c r="AG1225" s="122"/>
      <c r="AH1225" s="122"/>
      <c r="AI1225" s="122"/>
      <c r="AJ1225" s="122"/>
      <c r="AK1225" s="122"/>
      <c r="AL1225" s="122"/>
      <c r="AM1225" s="122"/>
      <c r="AN1225" s="122"/>
      <c r="AO1225" s="122"/>
      <c r="AP1225" s="122"/>
    </row>
    <row r="1226" spans="2:42">
      <c r="B1226" s="122"/>
      <c r="C1226" s="122"/>
      <c r="D1226" s="122"/>
      <c r="E1226" s="122"/>
      <c r="F1226" s="122"/>
      <c r="G1226" s="122"/>
      <c r="H1226" s="122"/>
      <c r="I1226" s="275"/>
      <c r="J1226" s="130"/>
      <c r="K1226" s="130"/>
      <c r="L1226" s="130"/>
      <c r="M1226" s="130"/>
      <c r="N1226" s="291"/>
      <c r="O1226" s="291"/>
      <c r="P1226" s="122"/>
      <c r="Q1226" s="122"/>
      <c r="R1226" s="122"/>
      <c r="S1226" s="122"/>
      <c r="T1226" s="122"/>
      <c r="U1226" s="301"/>
      <c r="V1226" s="260">
        <f t="shared" ca="1" si="27"/>
        <v>0</v>
      </c>
      <c r="W1226" s="348" t="str">
        <f>IF(板块成分!B1228="","",板块成分!B1228)</f>
        <v>002748.SZ</v>
      </c>
      <c r="X1226" s="276" t="str">
        <f>[1]!S_Info_Name(W1226)</f>
        <v>世龙实业</v>
      </c>
      <c r="Y1226" s="276" t="str">
        <f ca="1">IF($Y$3="申万一级行业",[1]!s_info_industry_sw_2021(W1226,公司分析!D$5,1),IF($Y$3="申万二级行业",[1]!s_info_industry_sw_2021(W1226,公司分析!D$5,2),IF($Y$3="申万三级行业",[1]!s_info_industry_sw_2021(W1226,公司分析!D$5,3),IF($Y$3="wind一级行业",[1]!s_info_industry_gics(W1226,1),IF($Y$3="wind二级行业",[1]!s_info_industry_gics(W1226,2),IF($Y$3="wind三级行业",[1]!s_info_industry_gics(W1226,3),IF($Y$3="wind四级行业",[1]!s_info_industry_gics(W1226,4),IF($Y$3="证监会门类行业",[1]!s_info_industry_csrc12_n(W1226,公司分析!D$5,1),""))))))))</f>
        <v>化学原料</v>
      </c>
      <c r="Z1226" s="302" t="str">
        <f ca="1">IF(Y1226=行业比较!$E$6,ROW(),"")</f>
        <v/>
      </c>
      <c r="AA1226" s="122"/>
      <c r="AB1226" s="122"/>
      <c r="AC1226" s="122"/>
      <c r="AD1226" s="122"/>
      <c r="AE1226" s="122"/>
      <c r="AF1226" s="122"/>
      <c r="AG1226" s="122"/>
      <c r="AH1226" s="122"/>
      <c r="AI1226" s="122"/>
      <c r="AJ1226" s="122"/>
      <c r="AK1226" s="122"/>
      <c r="AL1226" s="122"/>
      <c r="AM1226" s="122"/>
      <c r="AN1226" s="122"/>
      <c r="AO1226" s="122"/>
      <c r="AP1226" s="122"/>
    </row>
    <row r="1227" spans="2:42">
      <c r="B1227" s="122"/>
      <c r="C1227" s="122"/>
      <c r="D1227" s="122"/>
      <c r="E1227" s="122"/>
      <c r="F1227" s="122"/>
      <c r="G1227" s="122"/>
      <c r="H1227" s="122"/>
      <c r="I1227" s="275"/>
      <c r="J1227" s="130"/>
      <c r="K1227" s="130"/>
      <c r="L1227" s="130"/>
      <c r="M1227" s="130"/>
      <c r="N1227" s="291"/>
      <c r="O1227" s="291"/>
      <c r="P1227" s="122"/>
      <c r="Q1227" s="122"/>
      <c r="R1227" s="122"/>
      <c r="S1227" s="122"/>
      <c r="T1227" s="122"/>
      <c r="U1227" s="301"/>
      <c r="V1227" s="260">
        <f t="shared" ca="1" si="27"/>
        <v>0</v>
      </c>
      <c r="W1227" s="348" t="str">
        <f>IF(板块成分!B1229="","",板块成分!B1229)</f>
        <v>002749.SZ</v>
      </c>
      <c r="X1227" s="276" t="str">
        <f>[1]!S_Info_Name(W1227)</f>
        <v>国光股份</v>
      </c>
      <c r="Y1227" s="276" t="str">
        <f ca="1">IF($Y$3="申万一级行业",[1]!s_info_industry_sw_2021(W1227,公司分析!D$5,1),IF($Y$3="申万二级行业",[1]!s_info_industry_sw_2021(W1227,公司分析!D$5,2),IF($Y$3="申万三级行业",[1]!s_info_industry_sw_2021(W1227,公司分析!D$5,3),IF($Y$3="wind一级行业",[1]!s_info_industry_gics(W1227,1),IF($Y$3="wind二级行业",[1]!s_info_industry_gics(W1227,2),IF($Y$3="wind三级行业",[1]!s_info_industry_gics(W1227,3),IF($Y$3="wind四级行业",[1]!s_info_industry_gics(W1227,4),IF($Y$3="证监会门类行业",[1]!s_info_industry_csrc12_n(W1227,公司分析!D$5,1),""))))))))</f>
        <v>农化制品</v>
      </c>
      <c r="Z1227" s="302" t="str">
        <f ca="1">IF(Y1227=行业比较!$E$6,ROW(),"")</f>
        <v/>
      </c>
      <c r="AA1227" s="122"/>
      <c r="AB1227" s="122"/>
      <c r="AC1227" s="122"/>
      <c r="AD1227" s="122"/>
      <c r="AE1227" s="122"/>
      <c r="AF1227" s="122"/>
      <c r="AG1227" s="122"/>
      <c r="AH1227" s="122"/>
      <c r="AI1227" s="122"/>
      <c r="AJ1227" s="122"/>
      <c r="AK1227" s="122"/>
      <c r="AL1227" s="122"/>
      <c r="AM1227" s="122"/>
      <c r="AN1227" s="122"/>
      <c r="AO1227" s="122"/>
      <c r="AP1227" s="122"/>
    </row>
    <row r="1228" spans="2:42">
      <c r="B1228" s="122"/>
      <c r="C1228" s="122"/>
      <c r="D1228" s="122"/>
      <c r="E1228" s="122"/>
      <c r="F1228" s="122"/>
      <c r="G1228" s="122"/>
      <c r="H1228" s="122"/>
      <c r="I1228" s="275"/>
      <c r="J1228" s="130"/>
      <c r="K1228" s="130"/>
      <c r="L1228" s="130"/>
      <c r="M1228" s="130"/>
      <c r="N1228" s="291"/>
      <c r="O1228" s="291"/>
      <c r="P1228" s="122"/>
      <c r="Q1228" s="122"/>
      <c r="R1228" s="122"/>
      <c r="S1228" s="122"/>
      <c r="T1228" s="122"/>
      <c r="U1228" s="301"/>
      <c r="V1228" s="260">
        <f t="shared" ca="1" si="27"/>
        <v>0</v>
      </c>
      <c r="W1228" s="348" t="str">
        <f>IF(板块成分!B1230="","",板块成分!B1230)</f>
        <v>002752.SZ</v>
      </c>
      <c r="X1228" s="276" t="str">
        <f>[1]!S_Info_Name(W1228)</f>
        <v>昇兴股份</v>
      </c>
      <c r="Y1228" s="276" t="str">
        <f ca="1">IF($Y$3="申万一级行业",[1]!s_info_industry_sw_2021(W1228,公司分析!D$5,1),IF($Y$3="申万二级行业",[1]!s_info_industry_sw_2021(W1228,公司分析!D$5,2),IF($Y$3="申万三级行业",[1]!s_info_industry_sw_2021(W1228,公司分析!D$5,3),IF($Y$3="wind一级行业",[1]!s_info_industry_gics(W1228,1),IF($Y$3="wind二级行业",[1]!s_info_industry_gics(W1228,2),IF($Y$3="wind三级行业",[1]!s_info_industry_gics(W1228,3),IF($Y$3="wind四级行业",[1]!s_info_industry_gics(W1228,4),IF($Y$3="证监会门类行业",[1]!s_info_industry_csrc12_n(W1228,公司分析!D$5,1),""))))))))</f>
        <v>包装印刷</v>
      </c>
      <c r="Z1228" s="302" t="str">
        <f ca="1">IF(Y1228=行业比较!$E$6,ROW(),"")</f>
        <v/>
      </c>
      <c r="AA1228" s="122"/>
      <c r="AB1228" s="122"/>
      <c r="AC1228" s="122"/>
      <c r="AD1228" s="122"/>
      <c r="AE1228" s="122"/>
      <c r="AF1228" s="122"/>
      <c r="AG1228" s="122"/>
      <c r="AH1228" s="122"/>
      <c r="AI1228" s="122"/>
      <c r="AJ1228" s="122"/>
      <c r="AK1228" s="122"/>
      <c r="AL1228" s="122"/>
      <c r="AM1228" s="122"/>
      <c r="AN1228" s="122"/>
      <c r="AO1228" s="122"/>
      <c r="AP1228" s="122"/>
    </row>
    <row r="1229" spans="2:42">
      <c r="B1229" s="122"/>
      <c r="C1229" s="122"/>
      <c r="D1229" s="122"/>
      <c r="E1229" s="122"/>
      <c r="F1229" s="122"/>
      <c r="G1229" s="122"/>
      <c r="H1229" s="122"/>
      <c r="I1229" s="275"/>
      <c r="J1229" s="130"/>
      <c r="K1229" s="130"/>
      <c r="L1229" s="130"/>
      <c r="M1229" s="130"/>
      <c r="N1229" s="291"/>
      <c r="O1229" s="291"/>
      <c r="P1229" s="122"/>
      <c r="Q1229" s="122"/>
      <c r="R1229" s="122"/>
      <c r="S1229" s="122"/>
      <c r="T1229" s="122"/>
      <c r="U1229" s="301"/>
      <c r="V1229" s="260">
        <f t="shared" ca="1" si="27"/>
        <v>0</v>
      </c>
      <c r="W1229" s="348" t="str">
        <f>IF(板块成分!B1231="","",板块成分!B1231)</f>
        <v>002753.SZ</v>
      </c>
      <c r="X1229" s="276" t="str">
        <f>[1]!S_Info_Name(W1229)</f>
        <v>永东股份</v>
      </c>
      <c r="Y1229" s="276" t="str">
        <f ca="1">IF($Y$3="申万一级行业",[1]!s_info_industry_sw_2021(W1229,公司分析!D$5,1),IF($Y$3="申万二级行业",[1]!s_info_industry_sw_2021(W1229,公司分析!D$5,2),IF($Y$3="申万三级行业",[1]!s_info_industry_sw_2021(W1229,公司分析!D$5,3),IF($Y$3="wind一级行业",[1]!s_info_industry_gics(W1229,1),IF($Y$3="wind二级行业",[1]!s_info_industry_gics(W1229,2),IF($Y$3="wind三级行业",[1]!s_info_industry_gics(W1229,3),IF($Y$3="wind四级行业",[1]!s_info_industry_gics(W1229,4),IF($Y$3="证监会门类行业",[1]!s_info_industry_csrc12_n(W1229,公司分析!D$5,1),""))))))))</f>
        <v>橡胶</v>
      </c>
      <c r="Z1229" s="302" t="str">
        <f ca="1">IF(Y1229=行业比较!$E$6,ROW(),"")</f>
        <v/>
      </c>
      <c r="AA1229" s="122"/>
      <c r="AB1229" s="122"/>
      <c r="AC1229" s="122"/>
      <c r="AD1229" s="122"/>
      <c r="AE1229" s="122"/>
      <c r="AF1229" s="122"/>
      <c r="AG1229" s="122"/>
      <c r="AH1229" s="122"/>
      <c r="AI1229" s="122"/>
      <c r="AJ1229" s="122"/>
      <c r="AK1229" s="122"/>
      <c r="AL1229" s="122"/>
      <c r="AM1229" s="122"/>
      <c r="AN1229" s="122"/>
      <c r="AO1229" s="122"/>
      <c r="AP1229" s="122"/>
    </row>
    <row r="1230" spans="2:42">
      <c r="B1230" s="122"/>
      <c r="C1230" s="122"/>
      <c r="D1230" s="122"/>
      <c r="E1230" s="122"/>
      <c r="F1230" s="122"/>
      <c r="G1230" s="122"/>
      <c r="H1230" s="122"/>
      <c r="I1230" s="275"/>
      <c r="J1230" s="130"/>
      <c r="K1230" s="130"/>
      <c r="L1230" s="130"/>
      <c r="M1230" s="130"/>
      <c r="N1230" s="291"/>
      <c r="O1230" s="291"/>
      <c r="P1230" s="122"/>
      <c r="Q1230" s="122"/>
      <c r="R1230" s="122"/>
      <c r="S1230" s="122"/>
      <c r="T1230" s="122"/>
      <c r="U1230" s="301"/>
      <c r="V1230" s="260">
        <f t="shared" ca="1" si="27"/>
        <v>0</v>
      </c>
      <c r="W1230" s="348" t="str">
        <f>IF(板块成分!B1232="","",板块成分!B1232)</f>
        <v>002755.SZ</v>
      </c>
      <c r="X1230" s="276" t="str">
        <f>[1]!S_Info_Name(W1230)</f>
        <v>奥赛康</v>
      </c>
      <c r="Y1230" s="276" t="str">
        <f ca="1">IF($Y$3="申万一级行业",[1]!s_info_industry_sw_2021(W1230,公司分析!D$5,1),IF($Y$3="申万二级行业",[1]!s_info_industry_sw_2021(W1230,公司分析!D$5,2),IF($Y$3="申万三级行业",[1]!s_info_industry_sw_2021(W1230,公司分析!D$5,3),IF($Y$3="wind一级行业",[1]!s_info_industry_gics(W1230,1),IF($Y$3="wind二级行业",[1]!s_info_industry_gics(W1230,2),IF($Y$3="wind三级行业",[1]!s_info_industry_gics(W1230,3),IF($Y$3="wind四级行业",[1]!s_info_industry_gics(W1230,4),IF($Y$3="证监会门类行业",[1]!s_info_industry_csrc12_n(W1230,公司分析!D$5,1),""))))))))</f>
        <v>化学制药</v>
      </c>
      <c r="Z1230" s="302" t="str">
        <f ca="1">IF(Y1230=行业比较!$E$6,ROW(),"")</f>
        <v/>
      </c>
      <c r="AA1230" s="122"/>
      <c r="AB1230" s="122"/>
      <c r="AC1230" s="122"/>
      <c r="AD1230" s="122"/>
      <c r="AE1230" s="122"/>
      <c r="AF1230" s="122"/>
      <c r="AG1230" s="122"/>
      <c r="AH1230" s="122"/>
      <c r="AI1230" s="122"/>
      <c r="AJ1230" s="122"/>
      <c r="AK1230" s="122"/>
      <c r="AL1230" s="122"/>
      <c r="AM1230" s="122"/>
      <c r="AN1230" s="122"/>
      <c r="AO1230" s="122"/>
      <c r="AP1230" s="122"/>
    </row>
    <row r="1231" spans="2:42">
      <c r="B1231" s="122"/>
      <c r="C1231" s="122"/>
      <c r="D1231" s="122"/>
      <c r="E1231" s="122"/>
      <c r="F1231" s="122"/>
      <c r="G1231" s="122"/>
      <c r="H1231" s="122"/>
      <c r="I1231" s="275"/>
      <c r="J1231" s="130"/>
      <c r="K1231" s="130"/>
      <c r="L1231" s="130"/>
      <c r="M1231" s="130"/>
      <c r="N1231" s="291"/>
      <c r="O1231" s="291"/>
      <c r="P1231" s="122"/>
      <c r="Q1231" s="122"/>
      <c r="R1231" s="122"/>
      <c r="S1231" s="122"/>
      <c r="T1231" s="122"/>
      <c r="U1231" s="301"/>
      <c r="V1231" s="260">
        <f t="shared" ca="1" si="27"/>
        <v>0</v>
      </c>
      <c r="W1231" s="348" t="str">
        <f>IF(板块成分!B1233="","",板块成分!B1233)</f>
        <v>002756.SZ</v>
      </c>
      <c r="X1231" s="276" t="str">
        <f>[1]!S_Info_Name(W1231)</f>
        <v>永兴材料</v>
      </c>
      <c r="Y1231" s="276" t="str">
        <f ca="1">IF($Y$3="申万一级行业",[1]!s_info_industry_sw_2021(W1231,公司分析!D$5,1),IF($Y$3="申万二级行业",[1]!s_info_industry_sw_2021(W1231,公司分析!D$5,2),IF($Y$3="申万三级行业",[1]!s_info_industry_sw_2021(W1231,公司分析!D$5,3),IF($Y$3="wind一级行业",[1]!s_info_industry_gics(W1231,1),IF($Y$3="wind二级行业",[1]!s_info_industry_gics(W1231,2),IF($Y$3="wind三级行业",[1]!s_info_industry_gics(W1231,3),IF($Y$3="wind四级行业",[1]!s_info_industry_gics(W1231,4),IF($Y$3="证监会门类行业",[1]!s_info_industry_csrc12_n(W1231,公司分析!D$5,1),""))))))))</f>
        <v>能源金属</v>
      </c>
      <c r="Z1231" s="302" t="str">
        <f ca="1">IF(Y1231=行业比较!$E$6,ROW(),"")</f>
        <v/>
      </c>
      <c r="AA1231" s="122"/>
      <c r="AB1231" s="122"/>
      <c r="AC1231" s="122"/>
      <c r="AD1231" s="122"/>
      <c r="AE1231" s="122"/>
      <c r="AF1231" s="122"/>
      <c r="AG1231" s="122"/>
      <c r="AH1231" s="122"/>
      <c r="AI1231" s="122"/>
      <c r="AJ1231" s="122"/>
      <c r="AK1231" s="122"/>
      <c r="AL1231" s="122"/>
      <c r="AM1231" s="122"/>
      <c r="AN1231" s="122"/>
      <c r="AO1231" s="122"/>
      <c r="AP1231" s="122"/>
    </row>
    <row r="1232" spans="2:42">
      <c r="B1232" s="122"/>
      <c r="C1232" s="122"/>
      <c r="D1232" s="122"/>
      <c r="E1232" s="122"/>
      <c r="F1232" s="122"/>
      <c r="G1232" s="122"/>
      <c r="H1232" s="122"/>
      <c r="I1232" s="275"/>
      <c r="J1232" s="130"/>
      <c r="K1232" s="130"/>
      <c r="L1232" s="130"/>
      <c r="M1232" s="130"/>
      <c r="N1232" s="291"/>
      <c r="O1232" s="291"/>
      <c r="P1232" s="122"/>
      <c r="Q1232" s="122"/>
      <c r="R1232" s="122"/>
      <c r="S1232" s="122"/>
      <c r="T1232" s="122"/>
      <c r="U1232" s="301"/>
      <c r="V1232" s="260">
        <f t="shared" ca="1" si="27"/>
        <v>0</v>
      </c>
      <c r="W1232" s="348" t="str">
        <f>IF(板块成分!B1234="","",板块成分!B1234)</f>
        <v>002757.SZ</v>
      </c>
      <c r="X1232" s="276" t="str">
        <f>[1]!S_Info_Name(W1232)</f>
        <v>南兴股份</v>
      </c>
      <c r="Y1232" s="276" t="str">
        <f ca="1">IF($Y$3="申万一级行业",[1]!s_info_industry_sw_2021(W1232,公司分析!D$5,1),IF($Y$3="申万二级行业",[1]!s_info_industry_sw_2021(W1232,公司分析!D$5,2),IF($Y$3="申万三级行业",[1]!s_info_industry_sw_2021(W1232,公司分析!D$5,3),IF($Y$3="wind一级行业",[1]!s_info_industry_gics(W1232,1),IF($Y$3="wind二级行业",[1]!s_info_industry_gics(W1232,2),IF($Y$3="wind三级行业",[1]!s_info_industry_gics(W1232,3),IF($Y$3="wind四级行业",[1]!s_info_industry_gics(W1232,4),IF($Y$3="证监会门类行业",[1]!s_info_industry_csrc12_n(W1232,公司分析!D$5,1),""))))))))</f>
        <v>专用设备</v>
      </c>
      <c r="Z1232" s="302" t="str">
        <f ca="1">IF(Y1232=行业比较!$E$6,ROW(),"")</f>
        <v/>
      </c>
      <c r="AA1232" s="122"/>
      <c r="AB1232" s="122"/>
      <c r="AC1232" s="122"/>
      <c r="AD1232" s="122"/>
      <c r="AE1232" s="122"/>
      <c r="AF1232" s="122"/>
      <c r="AG1232" s="122"/>
      <c r="AH1232" s="122"/>
      <c r="AI1232" s="122"/>
      <c r="AJ1232" s="122"/>
      <c r="AK1232" s="122"/>
      <c r="AL1232" s="122"/>
      <c r="AM1232" s="122"/>
      <c r="AN1232" s="122"/>
      <c r="AO1232" s="122"/>
      <c r="AP1232" s="122"/>
    </row>
    <row r="1233" spans="2:42">
      <c r="B1233" s="122"/>
      <c r="C1233" s="122"/>
      <c r="D1233" s="122"/>
      <c r="E1233" s="122"/>
      <c r="F1233" s="122"/>
      <c r="G1233" s="122"/>
      <c r="H1233" s="122"/>
      <c r="I1233" s="275"/>
      <c r="J1233" s="130"/>
      <c r="K1233" s="130"/>
      <c r="L1233" s="130"/>
      <c r="M1233" s="130"/>
      <c r="N1233" s="291"/>
      <c r="O1233" s="291"/>
      <c r="P1233" s="122"/>
      <c r="Q1233" s="122"/>
      <c r="R1233" s="122"/>
      <c r="S1233" s="122"/>
      <c r="T1233" s="122"/>
      <c r="U1233" s="301"/>
      <c r="V1233" s="260">
        <f t="shared" ca="1" si="27"/>
        <v>0</v>
      </c>
      <c r="W1233" s="348" t="str">
        <f>IF(板块成分!B1235="","",板块成分!B1235)</f>
        <v>002758.SZ</v>
      </c>
      <c r="X1233" s="276" t="str">
        <f>[1]!S_Info_Name(W1233)</f>
        <v>浙农股份</v>
      </c>
      <c r="Y1233" s="276" t="str">
        <f ca="1">IF($Y$3="申万一级行业",[1]!s_info_industry_sw_2021(W1233,公司分析!D$5,1),IF($Y$3="申万二级行业",[1]!s_info_industry_sw_2021(W1233,公司分析!D$5,2),IF($Y$3="申万三级行业",[1]!s_info_industry_sw_2021(W1233,公司分析!D$5,3),IF($Y$3="wind一级行业",[1]!s_info_industry_gics(W1233,1),IF($Y$3="wind二级行业",[1]!s_info_industry_gics(W1233,2),IF($Y$3="wind三级行业",[1]!s_info_industry_gics(W1233,3),IF($Y$3="wind四级行业",[1]!s_info_industry_gics(W1233,4),IF($Y$3="证监会门类行业",[1]!s_info_industry_csrc12_n(W1233,公司分析!D$5,1),""))))))))</f>
        <v>农化制品</v>
      </c>
      <c r="Z1233" s="302" t="str">
        <f ca="1">IF(Y1233=行业比较!$E$6,ROW(),"")</f>
        <v/>
      </c>
      <c r="AA1233" s="122"/>
      <c r="AB1233" s="122"/>
      <c r="AC1233" s="122"/>
      <c r="AD1233" s="122"/>
      <c r="AE1233" s="122"/>
      <c r="AF1233" s="122"/>
      <c r="AG1233" s="122"/>
      <c r="AH1233" s="122"/>
      <c r="AI1233" s="122"/>
      <c r="AJ1233" s="122"/>
      <c r="AK1233" s="122"/>
      <c r="AL1233" s="122"/>
      <c r="AM1233" s="122"/>
      <c r="AN1233" s="122"/>
      <c r="AO1233" s="122"/>
      <c r="AP1233" s="122"/>
    </row>
    <row r="1234" spans="2:42">
      <c r="B1234" s="122"/>
      <c r="C1234" s="122"/>
      <c r="D1234" s="122"/>
      <c r="E1234" s="122"/>
      <c r="F1234" s="122"/>
      <c r="G1234" s="122"/>
      <c r="H1234" s="122"/>
      <c r="I1234" s="275"/>
      <c r="J1234" s="130"/>
      <c r="K1234" s="130"/>
      <c r="L1234" s="130"/>
      <c r="M1234" s="130"/>
      <c r="N1234" s="291"/>
      <c r="O1234" s="291"/>
      <c r="P1234" s="122"/>
      <c r="Q1234" s="122"/>
      <c r="R1234" s="122"/>
      <c r="S1234" s="122"/>
      <c r="T1234" s="122"/>
      <c r="U1234" s="301"/>
      <c r="V1234" s="260">
        <f t="shared" ca="1" si="27"/>
        <v>0</v>
      </c>
      <c r="W1234" s="348" t="str">
        <f>IF(板块成分!B1236="","",板块成分!B1236)</f>
        <v>002759.SZ</v>
      </c>
      <c r="X1234" s="276" t="str">
        <f>[1]!S_Info_Name(W1234)</f>
        <v>天际股份</v>
      </c>
      <c r="Y1234" s="276" t="str">
        <f ca="1">IF($Y$3="申万一级行业",[1]!s_info_industry_sw_2021(W1234,公司分析!D$5,1),IF($Y$3="申万二级行业",[1]!s_info_industry_sw_2021(W1234,公司分析!D$5,2),IF($Y$3="申万三级行业",[1]!s_info_industry_sw_2021(W1234,公司分析!D$5,3),IF($Y$3="wind一级行业",[1]!s_info_industry_gics(W1234,1),IF($Y$3="wind二级行业",[1]!s_info_industry_gics(W1234,2),IF($Y$3="wind三级行业",[1]!s_info_industry_gics(W1234,3),IF($Y$3="wind四级行业",[1]!s_info_industry_gics(W1234,4),IF($Y$3="证监会门类行业",[1]!s_info_industry_csrc12_n(W1234,公司分析!D$5,1),""))))))))</f>
        <v>电池</v>
      </c>
      <c r="Z1234" s="302" t="str">
        <f ca="1">IF(Y1234=行业比较!$E$6,ROW(),"")</f>
        <v/>
      </c>
      <c r="AA1234" s="122"/>
      <c r="AB1234" s="122"/>
      <c r="AC1234" s="122"/>
      <c r="AD1234" s="122"/>
      <c r="AE1234" s="122"/>
      <c r="AF1234" s="122"/>
      <c r="AG1234" s="122"/>
      <c r="AH1234" s="122"/>
      <c r="AI1234" s="122"/>
      <c r="AJ1234" s="122"/>
      <c r="AK1234" s="122"/>
      <c r="AL1234" s="122"/>
      <c r="AM1234" s="122"/>
      <c r="AN1234" s="122"/>
      <c r="AO1234" s="122"/>
      <c r="AP1234" s="122"/>
    </row>
    <row r="1235" spans="2:42">
      <c r="B1235" s="122"/>
      <c r="C1235" s="122"/>
      <c r="D1235" s="122"/>
      <c r="E1235" s="122"/>
      <c r="F1235" s="122"/>
      <c r="G1235" s="122"/>
      <c r="H1235" s="122"/>
      <c r="I1235" s="275"/>
      <c r="J1235" s="130"/>
      <c r="K1235" s="130"/>
      <c r="L1235" s="130"/>
      <c r="M1235" s="130"/>
      <c r="N1235" s="291"/>
      <c r="O1235" s="291"/>
      <c r="P1235" s="122"/>
      <c r="Q1235" s="122"/>
      <c r="R1235" s="122"/>
      <c r="S1235" s="122"/>
      <c r="T1235" s="122"/>
      <c r="U1235" s="301"/>
      <c r="V1235" s="260">
        <f t="shared" ca="1" si="27"/>
        <v>0</v>
      </c>
      <c r="W1235" s="348" t="str">
        <f>IF(板块成分!B1237="","",板块成分!B1237)</f>
        <v>002760.SZ</v>
      </c>
      <c r="X1235" s="276" t="str">
        <f>[1]!S_Info_Name(W1235)</f>
        <v>凤形股份</v>
      </c>
      <c r="Y1235" s="276" t="str">
        <f ca="1">IF($Y$3="申万一级行业",[1]!s_info_industry_sw_2021(W1235,公司分析!D$5,1),IF($Y$3="申万二级行业",[1]!s_info_industry_sw_2021(W1235,公司分析!D$5,2),IF($Y$3="申万三级行业",[1]!s_info_industry_sw_2021(W1235,公司分析!D$5,3),IF($Y$3="wind一级行业",[1]!s_info_industry_gics(W1235,1),IF($Y$3="wind二级行业",[1]!s_info_industry_gics(W1235,2),IF($Y$3="wind三级行业",[1]!s_info_industry_gics(W1235,3),IF($Y$3="wind四级行业",[1]!s_info_industry_gics(W1235,4),IF($Y$3="证监会门类行业",[1]!s_info_industry_csrc12_n(W1235,公司分析!D$5,1),""))))))))</f>
        <v>通用设备</v>
      </c>
      <c r="Z1235" s="302" t="str">
        <f ca="1">IF(Y1235=行业比较!$E$6,ROW(),"")</f>
        <v/>
      </c>
      <c r="AA1235" s="122"/>
      <c r="AB1235" s="122"/>
      <c r="AC1235" s="122"/>
      <c r="AD1235" s="122"/>
      <c r="AE1235" s="122"/>
      <c r="AF1235" s="122"/>
      <c r="AG1235" s="122"/>
      <c r="AH1235" s="122"/>
      <c r="AI1235" s="122"/>
      <c r="AJ1235" s="122"/>
      <c r="AK1235" s="122"/>
      <c r="AL1235" s="122"/>
      <c r="AM1235" s="122"/>
      <c r="AN1235" s="122"/>
      <c r="AO1235" s="122"/>
      <c r="AP1235" s="122"/>
    </row>
    <row r="1236" spans="2:42">
      <c r="B1236" s="122"/>
      <c r="C1236" s="122"/>
      <c r="D1236" s="122"/>
      <c r="E1236" s="122"/>
      <c r="F1236" s="122"/>
      <c r="G1236" s="122"/>
      <c r="H1236" s="122"/>
      <c r="I1236" s="275"/>
      <c r="J1236" s="130"/>
      <c r="K1236" s="130"/>
      <c r="L1236" s="130"/>
      <c r="M1236" s="130"/>
      <c r="N1236" s="291"/>
      <c r="O1236" s="291"/>
      <c r="P1236" s="122"/>
      <c r="Q1236" s="122"/>
      <c r="R1236" s="122"/>
      <c r="S1236" s="122"/>
      <c r="T1236" s="122"/>
      <c r="U1236" s="301"/>
      <c r="V1236" s="260">
        <f t="shared" ca="1" si="27"/>
        <v>0</v>
      </c>
      <c r="W1236" s="348" t="str">
        <f>IF(板块成分!B1238="","",板块成分!B1238)</f>
        <v>002761.SZ</v>
      </c>
      <c r="X1236" s="276" t="str">
        <f>[1]!S_Info_Name(W1236)</f>
        <v>浙江建投</v>
      </c>
      <c r="Y1236" s="276" t="str">
        <f ca="1">IF($Y$3="申万一级行业",[1]!s_info_industry_sw_2021(W1236,公司分析!D$5,1),IF($Y$3="申万二级行业",[1]!s_info_industry_sw_2021(W1236,公司分析!D$5,2),IF($Y$3="申万三级行业",[1]!s_info_industry_sw_2021(W1236,公司分析!D$5,3),IF($Y$3="wind一级行业",[1]!s_info_industry_gics(W1236,1),IF($Y$3="wind二级行业",[1]!s_info_industry_gics(W1236,2),IF($Y$3="wind三级行业",[1]!s_info_industry_gics(W1236,3),IF($Y$3="wind四级行业",[1]!s_info_industry_gics(W1236,4),IF($Y$3="证监会门类行业",[1]!s_info_industry_csrc12_n(W1236,公司分析!D$5,1),""))))))))</f>
        <v>房屋建设Ⅱ</v>
      </c>
      <c r="Z1236" s="302" t="str">
        <f ca="1">IF(Y1236=行业比较!$E$6,ROW(),"")</f>
        <v/>
      </c>
      <c r="AA1236" s="122"/>
      <c r="AB1236" s="122"/>
      <c r="AC1236" s="122"/>
      <c r="AD1236" s="122"/>
      <c r="AE1236" s="122"/>
      <c r="AF1236" s="122"/>
      <c r="AG1236" s="122"/>
      <c r="AH1236" s="122"/>
      <c r="AI1236" s="122"/>
      <c r="AJ1236" s="122"/>
      <c r="AK1236" s="122"/>
      <c r="AL1236" s="122"/>
      <c r="AM1236" s="122"/>
      <c r="AN1236" s="122"/>
      <c r="AO1236" s="122"/>
      <c r="AP1236" s="122"/>
    </row>
    <row r="1237" spans="2:42">
      <c r="B1237" s="122"/>
      <c r="C1237" s="122"/>
      <c r="D1237" s="122"/>
      <c r="E1237" s="122"/>
      <c r="F1237" s="122"/>
      <c r="G1237" s="122"/>
      <c r="H1237" s="122"/>
      <c r="I1237" s="275"/>
      <c r="J1237" s="130"/>
      <c r="K1237" s="130"/>
      <c r="L1237" s="130"/>
      <c r="M1237" s="130"/>
      <c r="N1237" s="291"/>
      <c r="O1237" s="291"/>
      <c r="P1237" s="122"/>
      <c r="Q1237" s="122"/>
      <c r="R1237" s="122"/>
      <c r="S1237" s="122"/>
      <c r="T1237" s="122"/>
      <c r="U1237" s="301"/>
      <c r="V1237" s="260">
        <f t="shared" ca="1" si="27"/>
        <v>0</v>
      </c>
      <c r="W1237" s="348" t="str">
        <f>IF(板块成分!B1239="","",板块成分!B1239)</f>
        <v>002762.SZ</v>
      </c>
      <c r="X1237" s="276" t="str">
        <f>[1]!S_Info_Name(W1237)</f>
        <v>*ST金比</v>
      </c>
      <c r="Y1237" s="276" t="str">
        <f ca="1">IF($Y$3="申万一级行业",[1]!s_info_industry_sw_2021(W1237,公司分析!D$5,1),IF($Y$3="申万二级行业",[1]!s_info_industry_sw_2021(W1237,公司分析!D$5,2),IF($Y$3="申万三级行业",[1]!s_info_industry_sw_2021(W1237,公司分析!D$5,3),IF($Y$3="wind一级行业",[1]!s_info_industry_gics(W1237,1),IF($Y$3="wind二级行业",[1]!s_info_industry_gics(W1237,2),IF($Y$3="wind三级行业",[1]!s_info_industry_gics(W1237,3),IF($Y$3="wind四级行业",[1]!s_info_industry_gics(W1237,4),IF($Y$3="证监会门类行业",[1]!s_info_industry_csrc12_n(W1237,公司分析!D$5,1),""))))))))</f>
        <v>服装家纺</v>
      </c>
      <c r="Z1237" s="302" t="str">
        <f ca="1">IF(Y1237=行业比较!$E$6,ROW(),"")</f>
        <v/>
      </c>
      <c r="AA1237" s="122"/>
      <c r="AB1237" s="122"/>
      <c r="AC1237" s="122"/>
      <c r="AD1237" s="122"/>
      <c r="AE1237" s="122"/>
      <c r="AF1237" s="122"/>
      <c r="AG1237" s="122"/>
      <c r="AH1237" s="122"/>
      <c r="AI1237" s="122"/>
      <c r="AJ1237" s="122"/>
      <c r="AK1237" s="122"/>
      <c r="AL1237" s="122"/>
      <c r="AM1237" s="122"/>
      <c r="AN1237" s="122"/>
      <c r="AO1237" s="122"/>
      <c r="AP1237" s="122"/>
    </row>
    <row r="1238" spans="2:42">
      <c r="B1238" s="122"/>
      <c r="C1238" s="122"/>
      <c r="D1238" s="122"/>
      <c r="E1238" s="122"/>
      <c r="F1238" s="122"/>
      <c r="G1238" s="122"/>
      <c r="H1238" s="122"/>
      <c r="I1238" s="275"/>
      <c r="J1238" s="130"/>
      <c r="K1238" s="130"/>
      <c r="L1238" s="130"/>
      <c r="M1238" s="130"/>
      <c r="N1238" s="291"/>
      <c r="O1238" s="291"/>
      <c r="P1238" s="122"/>
      <c r="Q1238" s="122"/>
      <c r="R1238" s="122"/>
      <c r="S1238" s="122"/>
      <c r="T1238" s="122"/>
      <c r="U1238" s="301"/>
      <c r="V1238" s="260">
        <f t="shared" ca="1" si="27"/>
        <v>0</v>
      </c>
      <c r="W1238" s="348" t="str">
        <f>IF(板块成分!B1240="","",板块成分!B1240)</f>
        <v>002763.SZ</v>
      </c>
      <c r="X1238" s="276" t="str">
        <f>[1]!S_Info_Name(W1238)</f>
        <v>汇洁股份</v>
      </c>
      <c r="Y1238" s="276" t="str">
        <f ca="1">IF($Y$3="申万一级行业",[1]!s_info_industry_sw_2021(W1238,公司分析!D$5,1),IF($Y$3="申万二级行业",[1]!s_info_industry_sw_2021(W1238,公司分析!D$5,2),IF($Y$3="申万三级行业",[1]!s_info_industry_sw_2021(W1238,公司分析!D$5,3),IF($Y$3="wind一级行业",[1]!s_info_industry_gics(W1238,1),IF($Y$3="wind二级行业",[1]!s_info_industry_gics(W1238,2),IF($Y$3="wind三级行业",[1]!s_info_industry_gics(W1238,3),IF($Y$3="wind四级行业",[1]!s_info_industry_gics(W1238,4),IF($Y$3="证监会门类行业",[1]!s_info_industry_csrc12_n(W1238,公司分析!D$5,1),""))))))))</f>
        <v>服装家纺</v>
      </c>
      <c r="Z1238" s="302" t="str">
        <f ca="1">IF(Y1238=行业比较!$E$6,ROW(),"")</f>
        <v/>
      </c>
      <c r="AA1238" s="122"/>
      <c r="AB1238" s="122"/>
      <c r="AC1238" s="122"/>
      <c r="AD1238" s="122"/>
      <c r="AE1238" s="122"/>
      <c r="AF1238" s="122"/>
      <c r="AG1238" s="122"/>
      <c r="AH1238" s="122"/>
      <c r="AI1238" s="122"/>
      <c r="AJ1238" s="122"/>
      <c r="AK1238" s="122"/>
      <c r="AL1238" s="122"/>
      <c r="AM1238" s="122"/>
      <c r="AN1238" s="122"/>
      <c r="AO1238" s="122"/>
      <c r="AP1238" s="122"/>
    </row>
    <row r="1239" spans="2:42">
      <c r="B1239" s="122"/>
      <c r="C1239" s="122"/>
      <c r="D1239" s="122"/>
      <c r="E1239" s="122"/>
      <c r="F1239" s="122"/>
      <c r="G1239" s="122"/>
      <c r="H1239" s="122"/>
      <c r="I1239" s="275"/>
      <c r="J1239" s="130"/>
      <c r="K1239" s="130"/>
      <c r="L1239" s="130"/>
      <c r="M1239" s="130"/>
      <c r="N1239" s="291"/>
      <c r="O1239" s="291"/>
      <c r="P1239" s="122"/>
      <c r="Q1239" s="122"/>
      <c r="R1239" s="122"/>
      <c r="S1239" s="122"/>
      <c r="T1239" s="122"/>
      <c r="U1239" s="301"/>
      <c r="V1239" s="260">
        <f t="shared" ca="1" si="27"/>
        <v>0</v>
      </c>
      <c r="W1239" s="348" t="str">
        <f>IF(板块成分!B1241="","",板块成分!B1241)</f>
        <v>002765.SZ</v>
      </c>
      <c r="X1239" s="276" t="str">
        <f>[1]!S_Info_Name(W1239)</f>
        <v>蓝黛科技</v>
      </c>
      <c r="Y1239" s="276" t="str">
        <f ca="1">IF($Y$3="申万一级行业",[1]!s_info_industry_sw_2021(W1239,公司分析!D$5,1),IF($Y$3="申万二级行业",[1]!s_info_industry_sw_2021(W1239,公司分析!D$5,2),IF($Y$3="申万三级行业",[1]!s_info_industry_sw_2021(W1239,公司分析!D$5,3),IF($Y$3="wind一级行业",[1]!s_info_industry_gics(W1239,1),IF($Y$3="wind二级行业",[1]!s_info_industry_gics(W1239,2),IF($Y$3="wind三级行业",[1]!s_info_industry_gics(W1239,3),IF($Y$3="wind四级行业",[1]!s_info_industry_gics(W1239,4),IF($Y$3="证监会门类行业",[1]!s_info_industry_csrc12_n(W1239,公司分析!D$5,1),""))))))))</f>
        <v>汽车零部件</v>
      </c>
      <c r="Z1239" s="302" t="str">
        <f ca="1">IF(Y1239=行业比较!$E$6,ROW(),"")</f>
        <v/>
      </c>
      <c r="AA1239" s="122"/>
      <c r="AB1239" s="122"/>
      <c r="AC1239" s="122"/>
      <c r="AD1239" s="122"/>
      <c r="AE1239" s="122"/>
      <c r="AF1239" s="122"/>
      <c r="AG1239" s="122"/>
      <c r="AH1239" s="122"/>
      <c r="AI1239" s="122"/>
      <c r="AJ1239" s="122"/>
      <c r="AK1239" s="122"/>
      <c r="AL1239" s="122"/>
      <c r="AM1239" s="122"/>
      <c r="AN1239" s="122"/>
      <c r="AO1239" s="122"/>
      <c r="AP1239" s="122"/>
    </row>
    <row r="1240" spans="2:42">
      <c r="B1240" s="122"/>
      <c r="C1240" s="122"/>
      <c r="D1240" s="122"/>
      <c r="E1240" s="122"/>
      <c r="F1240" s="122"/>
      <c r="G1240" s="122"/>
      <c r="H1240" s="122"/>
      <c r="I1240" s="275"/>
      <c r="J1240" s="130"/>
      <c r="K1240" s="130"/>
      <c r="L1240" s="130"/>
      <c r="M1240" s="130"/>
      <c r="N1240" s="291"/>
      <c r="O1240" s="291"/>
      <c r="P1240" s="122"/>
      <c r="Q1240" s="122"/>
      <c r="R1240" s="122"/>
      <c r="S1240" s="122"/>
      <c r="T1240" s="122"/>
      <c r="U1240" s="301"/>
      <c r="V1240" s="260">
        <f t="shared" ca="1" si="27"/>
        <v>0</v>
      </c>
      <c r="W1240" s="348" t="str">
        <f>IF(板块成分!B1242="","",板块成分!B1242)</f>
        <v>002766.SZ</v>
      </c>
      <c r="X1240" s="276" t="str">
        <f>[1]!S_Info_Name(W1240)</f>
        <v>索菱股份</v>
      </c>
      <c r="Y1240" s="276" t="str">
        <f ca="1">IF($Y$3="申万一级行业",[1]!s_info_industry_sw_2021(W1240,公司分析!D$5,1),IF($Y$3="申万二级行业",[1]!s_info_industry_sw_2021(W1240,公司分析!D$5,2),IF($Y$3="申万三级行业",[1]!s_info_industry_sw_2021(W1240,公司分析!D$5,3),IF($Y$3="wind一级行业",[1]!s_info_industry_gics(W1240,1),IF($Y$3="wind二级行业",[1]!s_info_industry_gics(W1240,2),IF($Y$3="wind三级行业",[1]!s_info_industry_gics(W1240,3),IF($Y$3="wind四级行业",[1]!s_info_industry_gics(W1240,4),IF($Y$3="证监会门类行业",[1]!s_info_industry_csrc12_n(W1240,公司分析!D$5,1),""))))))))</f>
        <v>汽车零部件</v>
      </c>
      <c r="Z1240" s="302" t="str">
        <f ca="1">IF(Y1240=行业比较!$E$6,ROW(),"")</f>
        <v/>
      </c>
      <c r="AA1240" s="122"/>
      <c r="AB1240" s="122"/>
      <c r="AC1240" s="122"/>
      <c r="AD1240" s="122"/>
      <c r="AE1240" s="122"/>
      <c r="AF1240" s="122"/>
      <c r="AG1240" s="122"/>
      <c r="AH1240" s="122"/>
      <c r="AI1240" s="122"/>
      <c r="AJ1240" s="122"/>
      <c r="AK1240" s="122"/>
      <c r="AL1240" s="122"/>
      <c r="AM1240" s="122"/>
      <c r="AN1240" s="122"/>
      <c r="AO1240" s="122"/>
      <c r="AP1240" s="122"/>
    </row>
    <row r="1241" spans="2:42">
      <c r="B1241" s="122"/>
      <c r="C1241" s="122"/>
      <c r="D1241" s="122"/>
      <c r="E1241" s="122"/>
      <c r="F1241" s="122"/>
      <c r="G1241" s="122"/>
      <c r="H1241" s="122"/>
      <c r="I1241" s="275"/>
      <c r="J1241" s="130"/>
      <c r="K1241" s="130"/>
      <c r="L1241" s="130"/>
      <c r="M1241" s="130"/>
      <c r="N1241" s="291"/>
      <c r="O1241" s="291"/>
      <c r="P1241" s="122"/>
      <c r="Q1241" s="122"/>
      <c r="R1241" s="122"/>
      <c r="S1241" s="122"/>
      <c r="T1241" s="122"/>
      <c r="U1241" s="301"/>
      <c r="V1241" s="260">
        <f t="shared" ca="1" si="27"/>
        <v>0</v>
      </c>
      <c r="W1241" s="348" t="str">
        <f>IF(板块成分!B1243="","",板块成分!B1243)</f>
        <v>002767.SZ</v>
      </c>
      <c r="X1241" s="276" t="str">
        <f>[1]!S_Info_Name(W1241)</f>
        <v>先锋电子</v>
      </c>
      <c r="Y1241" s="276" t="str">
        <f ca="1">IF($Y$3="申万一级行业",[1]!s_info_industry_sw_2021(W1241,公司分析!D$5,1),IF($Y$3="申万二级行业",[1]!s_info_industry_sw_2021(W1241,公司分析!D$5,2),IF($Y$3="申万三级行业",[1]!s_info_industry_sw_2021(W1241,公司分析!D$5,3),IF($Y$3="wind一级行业",[1]!s_info_industry_gics(W1241,1),IF($Y$3="wind二级行业",[1]!s_info_industry_gics(W1241,2),IF($Y$3="wind三级行业",[1]!s_info_industry_gics(W1241,3),IF($Y$3="wind四级行业",[1]!s_info_industry_gics(W1241,4),IF($Y$3="证监会门类行业",[1]!s_info_industry_csrc12_n(W1241,公司分析!D$5,1),""))))))))</f>
        <v>通用设备</v>
      </c>
      <c r="Z1241" s="302" t="str">
        <f ca="1">IF(Y1241=行业比较!$E$6,ROW(),"")</f>
        <v/>
      </c>
      <c r="AA1241" s="122"/>
      <c r="AB1241" s="122"/>
      <c r="AC1241" s="122"/>
      <c r="AD1241" s="122"/>
      <c r="AE1241" s="122"/>
      <c r="AF1241" s="122"/>
      <c r="AG1241" s="122"/>
      <c r="AH1241" s="122"/>
      <c r="AI1241" s="122"/>
      <c r="AJ1241" s="122"/>
      <c r="AK1241" s="122"/>
      <c r="AL1241" s="122"/>
      <c r="AM1241" s="122"/>
      <c r="AN1241" s="122"/>
      <c r="AO1241" s="122"/>
      <c r="AP1241" s="122"/>
    </row>
    <row r="1242" spans="2:42">
      <c r="B1242" s="122"/>
      <c r="C1242" s="122"/>
      <c r="D1242" s="122"/>
      <c r="E1242" s="122"/>
      <c r="F1242" s="122"/>
      <c r="G1242" s="122"/>
      <c r="H1242" s="122"/>
      <c r="I1242" s="275"/>
      <c r="J1242" s="130"/>
      <c r="K1242" s="130"/>
      <c r="L1242" s="130"/>
      <c r="M1242" s="130"/>
      <c r="N1242" s="291"/>
      <c r="O1242" s="291"/>
      <c r="P1242" s="122"/>
      <c r="Q1242" s="122"/>
      <c r="R1242" s="122"/>
      <c r="S1242" s="122"/>
      <c r="T1242" s="122"/>
      <c r="U1242" s="301"/>
      <c r="V1242" s="260">
        <f t="shared" ca="1" si="27"/>
        <v>0</v>
      </c>
      <c r="W1242" s="348" t="str">
        <f>IF(板块成分!B1244="","",板块成分!B1244)</f>
        <v>002768.SZ</v>
      </c>
      <c r="X1242" s="276" t="str">
        <f>[1]!S_Info_Name(W1242)</f>
        <v>国恩股份</v>
      </c>
      <c r="Y1242" s="276" t="str">
        <f ca="1">IF($Y$3="申万一级行业",[1]!s_info_industry_sw_2021(W1242,公司分析!D$5,1),IF($Y$3="申万二级行业",[1]!s_info_industry_sw_2021(W1242,公司分析!D$5,2),IF($Y$3="申万三级行业",[1]!s_info_industry_sw_2021(W1242,公司分析!D$5,3),IF($Y$3="wind一级行业",[1]!s_info_industry_gics(W1242,1),IF($Y$3="wind二级行业",[1]!s_info_industry_gics(W1242,2),IF($Y$3="wind三级行业",[1]!s_info_industry_gics(W1242,3),IF($Y$3="wind四级行业",[1]!s_info_industry_gics(W1242,4),IF($Y$3="证监会门类行业",[1]!s_info_industry_csrc12_n(W1242,公司分析!D$5,1),""))))))))</f>
        <v>塑料</v>
      </c>
      <c r="Z1242" s="302" t="str">
        <f ca="1">IF(Y1242=行业比较!$E$6,ROW(),"")</f>
        <v/>
      </c>
      <c r="AA1242" s="122"/>
      <c r="AB1242" s="122"/>
      <c r="AC1242" s="122"/>
      <c r="AD1242" s="122"/>
      <c r="AE1242" s="122"/>
      <c r="AF1242" s="122"/>
      <c r="AG1242" s="122"/>
      <c r="AH1242" s="122"/>
      <c r="AI1242" s="122"/>
      <c r="AJ1242" s="122"/>
      <c r="AK1242" s="122"/>
      <c r="AL1242" s="122"/>
      <c r="AM1242" s="122"/>
      <c r="AN1242" s="122"/>
      <c r="AO1242" s="122"/>
      <c r="AP1242" s="122"/>
    </row>
    <row r="1243" spans="2:42">
      <c r="B1243" s="122"/>
      <c r="C1243" s="122"/>
      <c r="D1243" s="122"/>
      <c r="E1243" s="122"/>
      <c r="F1243" s="122"/>
      <c r="G1243" s="122"/>
      <c r="H1243" s="122"/>
      <c r="I1243" s="275"/>
      <c r="J1243" s="130"/>
      <c r="K1243" s="130"/>
      <c r="L1243" s="130"/>
      <c r="M1243" s="130"/>
      <c r="N1243" s="291"/>
      <c r="O1243" s="291"/>
      <c r="P1243" s="122"/>
      <c r="Q1243" s="122"/>
      <c r="R1243" s="122"/>
      <c r="S1243" s="122"/>
      <c r="T1243" s="122"/>
      <c r="U1243" s="301"/>
      <c r="V1243" s="260">
        <f t="shared" ca="1" si="27"/>
        <v>0</v>
      </c>
      <c r="W1243" s="348" t="str">
        <f>IF(板块成分!B1245="","",板块成分!B1245)</f>
        <v>002769.SZ</v>
      </c>
      <c r="X1243" s="276" t="str">
        <f>[1]!S_Info_Name(W1243)</f>
        <v>普路通</v>
      </c>
      <c r="Y1243" s="276" t="str">
        <f ca="1">IF($Y$3="申万一级行业",[1]!s_info_industry_sw_2021(W1243,公司分析!D$5,1),IF($Y$3="申万二级行业",[1]!s_info_industry_sw_2021(W1243,公司分析!D$5,2),IF($Y$3="申万三级行业",[1]!s_info_industry_sw_2021(W1243,公司分析!D$5,3),IF($Y$3="wind一级行业",[1]!s_info_industry_gics(W1243,1),IF($Y$3="wind二级行业",[1]!s_info_industry_gics(W1243,2),IF($Y$3="wind三级行业",[1]!s_info_industry_gics(W1243,3),IF($Y$3="wind四级行业",[1]!s_info_industry_gics(W1243,4),IF($Y$3="证监会门类行业",[1]!s_info_industry_csrc12_n(W1243,公司分析!D$5,1),""))))))))</f>
        <v>物流</v>
      </c>
      <c r="Z1243" s="302" t="str">
        <f ca="1">IF(Y1243=行业比较!$E$6,ROW(),"")</f>
        <v/>
      </c>
      <c r="AA1243" s="122"/>
      <c r="AB1243" s="122"/>
      <c r="AC1243" s="122"/>
      <c r="AD1243" s="122"/>
      <c r="AE1243" s="122"/>
      <c r="AF1243" s="122"/>
      <c r="AG1243" s="122"/>
      <c r="AH1243" s="122"/>
      <c r="AI1243" s="122"/>
      <c r="AJ1243" s="122"/>
      <c r="AK1243" s="122"/>
      <c r="AL1243" s="122"/>
      <c r="AM1243" s="122"/>
      <c r="AN1243" s="122"/>
      <c r="AO1243" s="122"/>
      <c r="AP1243" s="122"/>
    </row>
    <row r="1244" spans="2:42">
      <c r="B1244" s="122"/>
      <c r="C1244" s="122"/>
      <c r="D1244" s="122"/>
      <c r="E1244" s="122"/>
      <c r="F1244" s="122"/>
      <c r="G1244" s="122"/>
      <c r="H1244" s="122"/>
      <c r="I1244" s="275"/>
      <c r="J1244" s="130"/>
      <c r="K1244" s="130"/>
      <c r="L1244" s="130"/>
      <c r="M1244" s="130"/>
      <c r="N1244" s="291"/>
      <c r="O1244" s="291"/>
      <c r="P1244" s="122"/>
      <c r="Q1244" s="122"/>
      <c r="R1244" s="122"/>
      <c r="S1244" s="122"/>
      <c r="T1244" s="122"/>
      <c r="U1244" s="301"/>
      <c r="V1244" s="260">
        <f t="shared" ca="1" si="27"/>
        <v>0</v>
      </c>
      <c r="W1244" s="348" t="str">
        <f>IF(板块成分!B1246="","",板块成分!B1246)</f>
        <v>002771.SZ</v>
      </c>
      <c r="X1244" s="276" t="str">
        <f>[1]!S_Info_Name(W1244)</f>
        <v>真视通</v>
      </c>
      <c r="Y1244" s="276" t="str">
        <f ca="1">IF($Y$3="申万一级行业",[1]!s_info_industry_sw_2021(W1244,公司分析!D$5,1),IF($Y$3="申万二级行业",[1]!s_info_industry_sw_2021(W1244,公司分析!D$5,2),IF($Y$3="申万三级行业",[1]!s_info_industry_sw_2021(W1244,公司分析!D$5,3),IF($Y$3="wind一级行业",[1]!s_info_industry_gics(W1244,1),IF($Y$3="wind二级行业",[1]!s_info_industry_gics(W1244,2),IF($Y$3="wind三级行业",[1]!s_info_industry_gics(W1244,3),IF($Y$3="wind四级行业",[1]!s_info_industry_gics(W1244,4),IF($Y$3="证监会门类行业",[1]!s_info_industry_csrc12_n(W1244,公司分析!D$5,1),""))))))))</f>
        <v>IT服务Ⅱ</v>
      </c>
      <c r="Z1244" s="302" t="str">
        <f ca="1">IF(Y1244=行业比较!$E$6,ROW(),"")</f>
        <v/>
      </c>
      <c r="AA1244" s="122"/>
      <c r="AB1244" s="122"/>
      <c r="AC1244" s="122"/>
      <c r="AD1244" s="122"/>
      <c r="AE1244" s="122"/>
      <c r="AF1244" s="122"/>
      <c r="AG1244" s="122"/>
      <c r="AH1244" s="122"/>
      <c r="AI1244" s="122"/>
      <c r="AJ1244" s="122"/>
      <c r="AK1244" s="122"/>
      <c r="AL1244" s="122"/>
      <c r="AM1244" s="122"/>
      <c r="AN1244" s="122"/>
      <c r="AO1244" s="122"/>
      <c r="AP1244" s="122"/>
    </row>
    <row r="1245" spans="2:42">
      <c r="B1245" s="122"/>
      <c r="C1245" s="122"/>
      <c r="D1245" s="122"/>
      <c r="E1245" s="122"/>
      <c r="F1245" s="122"/>
      <c r="G1245" s="122"/>
      <c r="H1245" s="122"/>
      <c r="I1245" s="275"/>
      <c r="J1245" s="130"/>
      <c r="K1245" s="130"/>
      <c r="L1245" s="130"/>
      <c r="M1245" s="130"/>
      <c r="N1245" s="291"/>
      <c r="O1245" s="291"/>
      <c r="P1245" s="122"/>
      <c r="Q1245" s="122"/>
      <c r="R1245" s="122"/>
      <c r="S1245" s="122"/>
      <c r="T1245" s="122"/>
      <c r="U1245" s="301"/>
      <c r="V1245" s="260">
        <f t="shared" ca="1" si="27"/>
        <v>0</v>
      </c>
      <c r="W1245" s="348" t="str">
        <f>IF(板块成分!B1247="","",板块成分!B1247)</f>
        <v>002772.SZ</v>
      </c>
      <c r="X1245" s="276" t="str">
        <f>[1]!S_Info_Name(W1245)</f>
        <v>众兴菌业</v>
      </c>
      <c r="Y1245" s="276" t="str">
        <f ca="1">IF($Y$3="申万一级行业",[1]!s_info_industry_sw_2021(W1245,公司分析!D$5,1),IF($Y$3="申万二级行业",[1]!s_info_industry_sw_2021(W1245,公司分析!D$5,2),IF($Y$3="申万三级行业",[1]!s_info_industry_sw_2021(W1245,公司分析!D$5,3),IF($Y$3="wind一级行业",[1]!s_info_industry_gics(W1245,1),IF($Y$3="wind二级行业",[1]!s_info_industry_gics(W1245,2),IF($Y$3="wind三级行业",[1]!s_info_industry_gics(W1245,3),IF($Y$3="wind四级行业",[1]!s_info_industry_gics(W1245,4),IF($Y$3="证监会门类行业",[1]!s_info_industry_csrc12_n(W1245,公司分析!D$5,1),""))))))))</f>
        <v>种植业</v>
      </c>
      <c r="Z1245" s="302" t="str">
        <f ca="1">IF(Y1245=行业比较!$E$6,ROW(),"")</f>
        <v/>
      </c>
      <c r="AA1245" s="122"/>
      <c r="AB1245" s="122"/>
      <c r="AC1245" s="122"/>
      <c r="AD1245" s="122"/>
      <c r="AE1245" s="122"/>
      <c r="AF1245" s="122"/>
      <c r="AG1245" s="122"/>
      <c r="AH1245" s="122"/>
      <c r="AI1245" s="122"/>
      <c r="AJ1245" s="122"/>
      <c r="AK1245" s="122"/>
      <c r="AL1245" s="122"/>
      <c r="AM1245" s="122"/>
      <c r="AN1245" s="122"/>
      <c r="AO1245" s="122"/>
      <c r="AP1245" s="122"/>
    </row>
    <row r="1246" spans="2:42">
      <c r="B1246" s="122"/>
      <c r="C1246" s="122"/>
      <c r="D1246" s="122"/>
      <c r="E1246" s="122"/>
      <c r="F1246" s="122"/>
      <c r="G1246" s="122"/>
      <c r="H1246" s="122"/>
      <c r="I1246" s="275"/>
      <c r="J1246" s="130"/>
      <c r="K1246" s="130"/>
      <c r="L1246" s="130"/>
      <c r="M1246" s="130"/>
      <c r="N1246" s="291"/>
      <c r="O1246" s="291"/>
      <c r="P1246" s="122"/>
      <c r="Q1246" s="122"/>
      <c r="R1246" s="122"/>
      <c r="S1246" s="122"/>
      <c r="T1246" s="122"/>
      <c r="U1246" s="301"/>
      <c r="V1246" s="260">
        <f t="shared" ca="1" si="27"/>
        <v>0</v>
      </c>
      <c r="W1246" s="348" t="str">
        <f>IF(板块成分!B1248="","",板块成分!B1248)</f>
        <v>002773.SZ</v>
      </c>
      <c r="X1246" s="276" t="str">
        <f>[1]!S_Info_Name(W1246)</f>
        <v>康弘药业</v>
      </c>
      <c r="Y1246" s="276" t="str">
        <f ca="1">IF($Y$3="申万一级行业",[1]!s_info_industry_sw_2021(W1246,公司分析!D$5,1),IF($Y$3="申万二级行业",[1]!s_info_industry_sw_2021(W1246,公司分析!D$5,2),IF($Y$3="申万三级行业",[1]!s_info_industry_sw_2021(W1246,公司分析!D$5,3),IF($Y$3="wind一级行业",[1]!s_info_industry_gics(W1246,1),IF($Y$3="wind二级行业",[1]!s_info_industry_gics(W1246,2),IF($Y$3="wind三级行业",[1]!s_info_industry_gics(W1246,3),IF($Y$3="wind四级行业",[1]!s_info_industry_gics(W1246,4),IF($Y$3="证监会门类行业",[1]!s_info_industry_csrc12_n(W1246,公司分析!D$5,1),""))))))))</f>
        <v>生物制品</v>
      </c>
      <c r="Z1246" s="302" t="str">
        <f ca="1">IF(Y1246=行业比较!$E$6,ROW(),"")</f>
        <v/>
      </c>
      <c r="AA1246" s="122"/>
      <c r="AB1246" s="122"/>
      <c r="AC1246" s="122"/>
      <c r="AD1246" s="122"/>
      <c r="AE1246" s="122"/>
      <c r="AF1246" s="122"/>
      <c r="AG1246" s="122"/>
      <c r="AH1246" s="122"/>
      <c r="AI1246" s="122"/>
      <c r="AJ1246" s="122"/>
      <c r="AK1246" s="122"/>
      <c r="AL1246" s="122"/>
      <c r="AM1246" s="122"/>
      <c r="AN1246" s="122"/>
      <c r="AO1246" s="122"/>
      <c r="AP1246" s="122"/>
    </row>
    <row r="1247" spans="2:42">
      <c r="B1247" s="122"/>
      <c r="C1247" s="122"/>
      <c r="D1247" s="122"/>
      <c r="E1247" s="122"/>
      <c r="F1247" s="122"/>
      <c r="G1247" s="122"/>
      <c r="H1247" s="122"/>
      <c r="I1247" s="275"/>
      <c r="J1247" s="130"/>
      <c r="K1247" s="130"/>
      <c r="L1247" s="130"/>
      <c r="M1247" s="130"/>
      <c r="N1247" s="291"/>
      <c r="O1247" s="291"/>
      <c r="P1247" s="122"/>
      <c r="Q1247" s="122"/>
      <c r="R1247" s="122"/>
      <c r="S1247" s="122"/>
      <c r="T1247" s="122"/>
      <c r="U1247" s="301"/>
      <c r="V1247" s="260">
        <f t="shared" ca="1" si="27"/>
        <v>0</v>
      </c>
      <c r="W1247" s="348" t="str">
        <f>IF(板块成分!B1249="","",板块成分!B1249)</f>
        <v>002774.SZ</v>
      </c>
      <c r="X1247" s="276" t="str">
        <f>[1]!S_Info_Name(W1247)</f>
        <v>快意电梯</v>
      </c>
      <c r="Y1247" s="276" t="str">
        <f ca="1">IF($Y$3="申万一级行业",[1]!s_info_industry_sw_2021(W1247,公司分析!D$5,1),IF($Y$3="申万二级行业",[1]!s_info_industry_sw_2021(W1247,公司分析!D$5,2),IF($Y$3="申万三级行业",[1]!s_info_industry_sw_2021(W1247,公司分析!D$5,3),IF($Y$3="wind一级行业",[1]!s_info_industry_gics(W1247,1),IF($Y$3="wind二级行业",[1]!s_info_industry_gics(W1247,2),IF($Y$3="wind三级行业",[1]!s_info_industry_gics(W1247,3),IF($Y$3="wind四级行业",[1]!s_info_industry_gics(W1247,4),IF($Y$3="证监会门类行业",[1]!s_info_industry_csrc12_n(W1247,公司分析!D$5,1),""))))))))</f>
        <v>专用设备</v>
      </c>
      <c r="Z1247" s="302" t="str">
        <f ca="1">IF(Y1247=行业比较!$E$6,ROW(),"")</f>
        <v/>
      </c>
      <c r="AA1247" s="122"/>
      <c r="AB1247" s="122"/>
      <c r="AC1247" s="122"/>
      <c r="AD1247" s="122"/>
      <c r="AE1247" s="122"/>
      <c r="AF1247" s="122"/>
      <c r="AG1247" s="122"/>
      <c r="AH1247" s="122"/>
      <c r="AI1247" s="122"/>
      <c r="AJ1247" s="122"/>
      <c r="AK1247" s="122"/>
      <c r="AL1247" s="122"/>
      <c r="AM1247" s="122"/>
      <c r="AN1247" s="122"/>
      <c r="AO1247" s="122"/>
      <c r="AP1247" s="122"/>
    </row>
    <row r="1248" spans="2:42">
      <c r="B1248" s="122"/>
      <c r="C1248" s="122"/>
      <c r="D1248" s="122"/>
      <c r="E1248" s="122"/>
      <c r="F1248" s="122"/>
      <c r="G1248" s="122"/>
      <c r="H1248" s="122"/>
      <c r="I1248" s="275"/>
      <c r="J1248" s="130"/>
      <c r="K1248" s="130"/>
      <c r="L1248" s="130"/>
      <c r="M1248" s="130"/>
      <c r="N1248" s="291"/>
      <c r="O1248" s="291"/>
      <c r="P1248" s="122"/>
      <c r="Q1248" s="122"/>
      <c r="R1248" s="122"/>
      <c r="S1248" s="122"/>
      <c r="T1248" s="122"/>
      <c r="U1248" s="301"/>
      <c r="V1248" s="260">
        <f t="shared" ca="1" si="27"/>
        <v>0</v>
      </c>
      <c r="W1248" s="348" t="str">
        <f>IF(板块成分!B1250="","",板块成分!B1250)</f>
        <v>002775.SZ</v>
      </c>
      <c r="X1248" s="276" t="str">
        <f>[1]!S_Info_Name(W1248)</f>
        <v>文科股份</v>
      </c>
      <c r="Y1248" s="276" t="str">
        <f ca="1">IF($Y$3="申万一级行业",[1]!s_info_industry_sw_2021(W1248,公司分析!D$5,1),IF($Y$3="申万二级行业",[1]!s_info_industry_sw_2021(W1248,公司分析!D$5,2),IF($Y$3="申万三级行业",[1]!s_info_industry_sw_2021(W1248,公司分析!D$5,3),IF($Y$3="wind一级行业",[1]!s_info_industry_gics(W1248,1),IF($Y$3="wind二级行业",[1]!s_info_industry_gics(W1248,2),IF($Y$3="wind三级行业",[1]!s_info_industry_gics(W1248,3),IF($Y$3="wind四级行业",[1]!s_info_industry_gics(W1248,4),IF($Y$3="证监会门类行业",[1]!s_info_industry_csrc12_n(W1248,公司分析!D$5,1),""))))))))</f>
        <v>基础建设</v>
      </c>
      <c r="Z1248" s="302" t="str">
        <f ca="1">IF(Y1248=行业比较!$E$6,ROW(),"")</f>
        <v/>
      </c>
      <c r="AA1248" s="122"/>
      <c r="AB1248" s="122"/>
      <c r="AC1248" s="122"/>
      <c r="AD1248" s="122"/>
      <c r="AE1248" s="122"/>
      <c r="AF1248" s="122"/>
      <c r="AG1248" s="122"/>
      <c r="AH1248" s="122"/>
      <c r="AI1248" s="122"/>
      <c r="AJ1248" s="122"/>
      <c r="AK1248" s="122"/>
      <c r="AL1248" s="122"/>
      <c r="AM1248" s="122"/>
      <c r="AN1248" s="122"/>
      <c r="AO1248" s="122"/>
      <c r="AP1248" s="122"/>
    </row>
    <row r="1249" spans="2:42">
      <c r="B1249" s="122"/>
      <c r="C1249" s="122"/>
      <c r="D1249" s="122"/>
      <c r="E1249" s="122"/>
      <c r="F1249" s="122"/>
      <c r="G1249" s="122"/>
      <c r="H1249" s="122"/>
      <c r="I1249" s="275"/>
      <c r="J1249" s="130"/>
      <c r="K1249" s="130"/>
      <c r="L1249" s="130"/>
      <c r="M1249" s="130"/>
      <c r="N1249" s="291"/>
      <c r="O1249" s="291"/>
      <c r="P1249" s="122"/>
      <c r="Q1249" s="122"/>
      <c r="R1249" s="122"/>
      <c r="S1249" s="122"/>
      <c r="T1249" s="122"/>
      <c r="U1249" s="301"/>
      <c r="V1249" s="260">
        <f t="shared" ca="1" si="27"/>
        <v>0</v>
      </c>
      <c r="W1249" s="348" t="str">
        <f>IF(板块成分!B1251="","",板块成分!B1251)</f>
        <v>002777.SZ</v>
      </c>
      <c r="X1249" s="276" t="str">
        <f>[1]!S_Info_Name(W1249)</f>
        <v>久远银海</v>
      </c>
      <c r="Y1249" s="276" t="str">
        <f ca="1">IF($Y$3="申万一级行业",[1]!s_info_industry_sw_2021(W1249,公司分析!D$5,1),IF($Y$3="申万二级行业",[1]!s_info_industry_sw_2021(W1249,公司分析!D$5,2),IF($Y$3="申万三级行业",[1]!s_info_industry_sw_2021(W1249,公司分析!D$5,3),IF($Y$3="wind一级行业",[1]!s_info_industry_gics(W1249,1),IF($Y$3="wind二级行业",[1]!s_info_industry_gics(W1249,2),IF($Y$3="wind三级行业",[1]!s_info_industry_gics(W1249,3),IF($Y$3="wind四级行业",[1]!s_info_industry_gics(W1249,4),IF($Y$3="证监会门类行业",[1]!s_info_industry_csrc12_n(W1249,公司分析!D$5,1),""))))))))</f>
        <v>IT服务Ⅱ</v>
      </c>
      <c r="Z1249" s="302" t="str">
        <f ca="1">IF(Y1249=行业比较!$E$6,ROW(),"")</f>
        <v/>
      </c>
      <c r="AA1249" s="122"/>
      <c r="AB1249" s="122"/>
      <c r="AC1249" s="122"/>
      <c r="AD1249" s="122"/>
      <c r="AE1249" s="122"/>
      <c r="AF1249" s="122"/>
      <c r="AG1249" s="122"/>
      <c r="AH1249" s="122"/>
      <c r="AI1249" s="122"/>
      <c r="AJ1249" s="122"/>
      <c r="AK1249" s="122"/>
      <c r="AL1249" s="122"/>
      <c r="AM1249" s="122"/>
      <c r="AN1249" s="122"/>
      <c r="AO1249" s="122"/>
      <c r="AP1249" s="122"/>
    </row>
    <row r="1250" spans="2:42">
      <c r="B1250" s="122"/>
      <c r="C1250" s="122"/>
      <c r="D1250" s="122"/>
      <c r="E1250" s="122"/>
      <c r="F1250" s="122"/>
      <c r="G1250" s="122"/>
      <c r="H1250" s="122"/>
      <c r="I1250" s="275"/>
      <c r="J1250" s="130"/>
      <c r="K1250" s="130"/>
      <c r="L1250" s="130"/>
      <c r="M1250" s="130"/>
      <c r="N1250" s="291"/>
      <c r="O1250" s="291"/>
      <c r="P1250" s="122"/>
      <c r="Q1250" s="122"/>
      <c r="R1250" s="122"/>
      <c r="S1250" s="122"/>
      <c r="T1250" s="122"/>
      <c r="U1250" s="301"/>
      <c r="V1250" s="260">
        <f t="shared" ca="1" si="27"/>
        <v>0</v>
      </c>
      <c r="W1250" s="348" t="str">
        <f>IF(板块成分!B1252="","",板块成分!B1252)</f>
        <v>002778.SZ</v>
      </c>
      <c r="X1250" s="276" t="str">
        <f>[1]!S_Info_Name(W1250)</f>
        <v>中晟高科</v>
      </c>
      <c r="Y1250" s="276" t="str">
        <f ca="1">IF($Y$3="申万一级行业",[1]!s_info_industry_sw_2021(W1250,公司分析!D$5,1),IF($Y$3="申万二级行业",[1]!s_info_industry_sw_2021(W1250,公司分析!D$5,2),IF($Y$3="申万三级行业",[1]!s_info_industry_sw_2021(W1250,公司分析!D$5,3),IF($Y$3="wind一级行业",[1]!s_info_industry_gics(W1250,1),IF($Y$3="wind二级行业",[1]!s_info_industry_gics(W1250,2),IF($Y$3="wind三级行业",[1]!s_info_industry_gics(W1250,3),IF($Y$3="wind四级行业",[1]!s_info_industry_gics(W1250,4),IF($Y$3="证监会门类行业",[1]!s_info_industry_csrc12_n(W1250,公司分析!D$5,1),""))))))))</f>
        <v>环境治理</v>
      </c>
      <c r="Z1250" s="302" t="str">
        <f ca="1">IF(Y1250=行业比较!$E$6,ROW(),"")</f>
        <v/>
      </c>
      <c r="AA1250" s="122"/>
      <c r="AB1250" s="122"/>
      <c r="AC1250" s="122"/>
      <c r="AD1250" s="122"/>
      <c r="AE1250" s="122"/>
      <c r="AF1250" s="122"/>
      <c r="AG1250" s="122"/>
      <c r="AH1250" s="122"/>
      <c r="AI1250" s="122"/>
      <c r="AJ1250" s="122"/>
      <c r="AK1250" s="122"/>
      <c r="AL1250" s="122"/>
      <c r="AM1250" s="122"/>
      <c r="AN1250" s="122"/>
      <c r="AO1250" s="122"/>
      <c r="AP1250" s="122"/>
    </row>
    <row r="1251" spans="2:42">
      <c r="B1251" s="122"/>
      <c r="C1251" s="122"/>
      <c r="D1251" s="122"/>
      <c r="E1251" s="122"/>
      <c r="F1251" s="122"/>
      <c r="G1251" s="122"/>
      <c r="H1251" s="122"/>
      <c r="I1251" s="275"/>
      <c r="J1251" s="130"/>
      <c r="K1251" s="130"/>
      <c r="L1251" s="130"/>
      <c r="M1251" s="130"/>
      <c r="N1251" s="291"/>
      <c r="O1251" s="291"/>
      <c r="P1251" s="122"/>
      <c r="Q1251" s="122"/>
      <c r="R1251" s="122"/>
      <c r="S1251" s="122"/>
      <c r="T1251" s="122"/>
      <c r="U1251" s="301"/>
      <c r="V1251" s="260">
        <f t="shared" ca="1" si="27"/>
        <v>0</v>
      </c>
      <c r="W1251" s="348" t="str">
        <f>IF(板块成分!B1253="","",板块成分!B1253)</f>
        <v>002779.SZ</v>
      </c>
      <c r="X1251" s="276" t="str">
        <f>[1]!S_Info_Name(W1251)</f>
        <v>中坚科技</v>
      </c>
      <c r="Y1251" s="276" t="str">
        <f ca="1">IF($Y$3="申万一级行业",[1]!s_info_industry_sw_2021(W1251,公司分析!D$5,1),IF($Y$3="申万二级行业",[1]!s_info_industry_sw_2021(W1251,公司分析!D$5,2),IF($Y$3="申万三级行业",[1]!s_info_industry_sw_2021(W1251,公司分析!D$5,3),IF($Y$3="wind一级行业",[1]!s_info_industry_gics(W1251,1),IF($Y$3="wind二级行业",[1]!s_info_industry_gics(W1251,2),IF($Y$3="wind三级行业",[1]!s_info_industry_gics(W1251,3),IF($Y$3="wind四级行业",[1]!s_info_industry_gics(W1251,4),IF($Y$3="证监会门类行业",[1]!s_info_industry_csrc12_n(W1251,公司分析!D$5,1),""))))))))</f>
        <v>专用设备</v>
      </c>
      <c r="Z1251" s="302" t="str">
        <f ca="1">IF(Y1251=行业比较!$E$6,ROW(),"")</f>
        <v/>
      </c>
      <c r="AA1251" s="122"/>
      <c r="AB1251" s="122"/>
      <c r="AC1251" s="122"/>
      <c r="AD1251" s="122"/>
      <c r="AE1251" s="122"/>
      <c r="AF1251" s="122"/>
      <c r="AG1251" s="122"/>
      <c r="AH1251" s="122"/>
      <c r="AI1251" s="122"/>
      <c r="AJ1251" s="122"/>
      <c r="AK1251" s="122"/>
      <c r="AL1251" s="122"/>
      <c r="AM1251" s="122"/>
      <c r="AN1251" s="122"/>
      <c r="AO1251" s="122"/>
      <c r="AP1251" s="122"/>
    </row>
    <row r="1252" spans="2:42">
      <c r="B1252" s="122"/>
      <c r="C1252" s="122"/>
      <c r="D1252" s="122"/>
      <c r="E1252" s="122"/>
      <c r="F1252" s="122"/>
      <c r="G1252" s="122"/>
      <c r="H1252" s="122"/>
      <c r="I1252" s="275"/>
      <c r="J1252" s="130"/>
      <c r="K1252" s="130"/>
      <c r="L1252" s="130"/>
      <c r="M1252" s="130"/>
      <c r="N1252" s="291"/>
      <c r="O1252" s="291"/>
      <c r="P1252" s="122"/>
      <c r="Q1252" s="122"/>
      <c r="R1252" s="122"/>
      <c r="S1252" s="122"/>
      <c r="T1252" s="122"/>
      <c r="U1252" s="301"/>
      <c r="V1252" s="260">
        <f t="shared" ca="1" si="27"/>
        <v>0</v>
      </c>
      <c r="W1252" s="348" t="str">
        <f>IF(板块成分!B1254="","",板块成分!B1254)</f>
        <v>002780.SZ</v>
      </c>
      <c r="X1252" s="276" t="str">
        <f>[1]!S_Info_Name(W1252)</f>
        <v>三夫户外</v>
      </c>
      <c r="Y1252" s="276" t="str">
        <f ca="1">IF($Y$3="申万一级行业",[1]!s_info_industry_sw_2021(W1252,公司分析!D$5,1),IF($Y$3="申万二级行业",[1]!s_info_industry_sw_2021(W1252,公司分析!D$5,2),IF($Y$3="申万三级行业",[1]!s_info_industry_sw_2021(W1252,公司分析!D$5,3),IF($Y$3="wind一级行业",[1]!s_info_industry_gics(W1252,1),IF($Y$3="wind二级行业",[1]!s_info_industry_gics(W1252,2),IF($Y$3="wind三级行业",[1]!s_info_industry_gics(W1252,3),IF($Y$3="wind四级行业",[1]!s_info_industry_gics(W1252,4),IF($Y$3="证监会门类行业",[1]!s_info_industry_csrc12_n(W1252,公司分析!D$5,1),""))))))))</f>
        <v>服装家纺</v>
      </c>
      <c r="Z1252" s="302" t="str">
        <f ca="1">IF(Y1252=行业比较!$E$6,ROW(),"")</f>
        <v/>
      </c>
      <c r="AA1252" s="122"/>
      <c r="AB1252" s="122"/>
      <c r="AC1252" s="122"/>
      <c r="AD1252" s="122"/>
      <c r="AE1252" s="122"/>
      <c r="AF1252" s="122"/>
      <c r="AG1252" s="122"/>
      <c r="AH1252" s="122"/>
      <c r="AI1252" s="122"/>
      <c r="AJ1252" s="122"/>
      <c r="AK1252" s="122"/>
      <c r="AL1252" s="122"/>
      <c r="AM1252" s="122"/>
      <c r="AN1252" s="122"/>
      <c r="AO1252" s="122"/>
      <c r="AP1252" s="122"/>
    </row>
    <row r="1253" spans="2:42">
      <c r="B1253" s="122"/>
      <c r="C1253" s="122"/>
      <c r="D1253" s="122"/>
      <c r="E1253" s="122"/>
      <c r="F1253" s="122"/>
      <c r="G1253" s="122"/>
      <c r="H1253" s="122"/>
      <c r="I1253" s="275"/>
      <c r="J1253" s="130"/>
      <c r="K1253" s="130"/>
      <c r="L1253" s="130"/>
      <c r="M1253" s="130"/>
      <c r="N1253" s="291"/>
      <c r="O1253" s="291"/>
      <c r="P1253" s="122"/>
      <c r="Q1253" s="122"/>
      <c r="R1253" s="122"/>
      <c r="S1253" s="122"/>
      <c r="T1253" s="122"/>
      <c r="U1253" s="301"/>
      <c r="V1253" s="260">
        <f t="shared" ca="1" si="27"/>
        <v>0</v>
      </c>
      <c r="W1253" s="348" t="str">
        <f>IF(板块成分!B1255="","",板块成分!B1255)</f>
        <v>002782.SZ</v>
      </c>
      <c r="X1253" s="276" t="str">
        <f>[1]!S_Info_Name(W1253)</f>
        <v>可立克</v>
      </c>
      <c r="Y1253" s="276" t="str">
        <f ca="1">IF($Y$3="申万一级行业",[1]!s_info_industry_sw_2021(W1253,公司分析!D$5,1),IF($Y$3="申万二级行业",[1]!s_info_industry_sw_2021(W1253,公司分析!D$5,2),IF($Y$3="申万三级行业",[1]!s_info_industry_sw_2021(W1253,公司分析!D$5,3),IF($Y$3="wind一级行业",[1]!s_info_industry_gics(W1253,1),IF($Y$3="wind二级行业",[1]!s_info_industry_gics(W1253,2),IF($Y$3="wind三级行业",[1]!s_info_industry_gics(W1253,3),IF($Y$3="wind四级行业",[1]!s_info_industry_gics(W1253,4),IF($Y$3="证监会门类行业",[1]!s_info_industry_csrc12_n(W1253,公司分析!D$5,1),""))))))))</f>
        <v>其他电子Ⅱ</v>
      </c>
      <c r="Z1253" s="302" t="str">
        <f ca="1">IF(Y1253=行业比较!$E$6,ROW(),"")</f>
        <v/>
      </c>
      <c r="AA1253" s="122"/>
      <c r="AB1253" s="122"/>
      <c r="AC1253" s="122"/>
      <c r="AD1253" s="122"/>
      <c r="AE1253" s="122"/>
      <c r="AF1253" s="122"/>
      <c r="AG1253" s="122"/>
      <c r="AH1253" s="122"/>
      <c r="AI1253" s="122"/>
      <c r="AJ1253" s="122"/>
      <c r="AK1253" s="122"/>
      <c r="AL1253" s="122"/>
      <c r="AM1253" s="122"/>
      <c r="AN1253" s="122"/>
      <c r="AO1253" s="122"/>
      <c r="AP1253" s="122"/>
    </row>
    <row r="1254" spans="2:42">
      <c r="B1254" s="122"/>
      <c r="C1254" s="122"/>
      <c r="D1254" s="122"/>
      <c r="E1254" s="122"/>
      <c r="F1254" s="122"/>
      <c r="G1254" s="122"/>
      <c r="H1254" s="122"/>
      <c r="I1254" s="275"/>
      <c r="J1254" s="130"/>
      <c r="K1254" s="130"/>
      <c r="L1254" s="130"/>
      <c r="M1254" s="130"/>
      <c r="N1254" s="291"/>
      <c r="O1254" s="291"/>
      <c r="P1254" s="122"/>
      <c r="Q1254" s="122"/>
      <c r="R1254" s="122"/>
      <c r="S1254" s="122"/>
      <c r="T1254" s="122"/>
      <c r="U1254" s="301"/>
      <c r="V1254" s="260">
        <f t="shared" ca="1" si="27"/>
        <v>0</v>
      </c>
      <c r="W1254" s="348" t="str">
        <f>IF(板块成分!B1256="","",板块成分!B1256)</f>
        <v>002783.SZ</v>
      </c>
      <c r="X1254" s="276" t="str">
        <f>[1]!S_Info_Name(W1254)</f>
        <v>凯龙股份</v>
      </c>
      <c r="Y1254" s="276" t="str">
        <f ca="1">IF($Y$3="申万一级行业",[1]!s_info_industry_sw_2021(W1254,公司分析!D$5,1),IF($Y$3="申万二级行业",[1]!s_info_industry_sw_2021(W1254,公司分析!D$5,2),IF($Y$3="申万三级行业",[1]!s_info_industry_sw_2021(W1254,公司分析!D$5,3),IF($Y$3="wind一级行业",[1]!s_info_industry_gics(W1254,1),IF($Y$3="wind二级行业",[1]!s_info_industry_gics(W1254,2),IF($Y$3="wind三级行业",[1]!s_info_industry_gics(W1254,3),IF($Y$3="wind四级行业",[1]!s_info_industry_gics(W1254,4),IF($Y$3="证监会门类行业",[1]!s_info_industry_csrc12_n(W1254,公司分析!D$5,1),""))))))))</f>
        <v>化学制品</v>
      </c>
      <c r="Z1254" s="302" t="str">
        <f ca="1">IF(Y1254=行业比较!$E$6,ROW(),"")</f>
        <v/>
      </c>
      <c r="AA1254" s="122"/>
      <c r="AB1254" s="122"/>
      <c r="AC1254" s="122"/>
      <c r="AD1254" s="122"/>
      <c r="AE1254" s="122"/>
      <c r="AF1254" s="122"/>
      <c r="AG1254" s="122"/>
      <c r="AH1254" s="122"/>
      <c r="AI1254" s="122"/>
      <c r="AJ1254" s="122"/>
      <c r="AK1254" s="122"/>
      <c r="AL1254" s="122"/>
      <c r="AM1254" s="122"/>
      <c r="AN1254" s="122"/>
      <c r="AO1254" s="122"/>
      <c r="AP1254" s="122"/>
    </row>
    <row r="1255" spans="2:42">
      <c r="B1255" s="122"/>
      <c r="C1255" s="122"/>
      <c r="D1255" s="122"/>
      <c r="E1255" s="122"/>
      <c r="F1255" s="122"/>
      <c r="G1255" s="122"/>
      <c r="H1255" s="122"/>
      <c r="I1255" s="275"/>
      <c r="J1255" s="130"/>
      <c r="K1255" s="130"/>
      <c r="L1255" s="130"/>
      <c r="M1255" s="130"/>
      <c r="N1255" s="291"/>
      <c r="O1255" s="291"/>
      <c r="P1255" s="122"/>
      <c r="Q1255" s="122"/>
      <c r="R1255" s="122"/>
      <c r="S1255" s="122"/>
      <c r="T1255" s="122"/>
      <c r="U1255" s="301"/>
      <c r="V1255" s="260">
        <f t="shared" ca="1" si="27"/>
        <v>0</v>
      </c>
      <c r="W1255" s="348" t="str">
        <f>IF(板块成分!B1257="","",板块成分!B1257)</f>
        <v>002785.SZ</v>
      </c>
      <c r="X1255" s="276" t="str">
        <f>[1]!S_Info_Name(W1255)</f>
        <v>万里石</v>
      </c>
      <c r="Y1255" s="276" t="str">
        <f ca="1">IF($Y$3="申万一级行业",[1]!s_info_industry_sw_2021(W1255,公司分析!D$5,1),IF($Y$3="申万二级行业",[1]!s_info_industry_sw_2021(W1255,公司分析!D$5,2),IF($Y$3="申万三级行业",[1]!s_info_industry_sw_2021(W1255,公司分析!D$5,3),IF($Y$3="wind一级行业",[1]!s_info_industry_gics(W1255,1),IF($Y$3="wind二级行业",[1]!s_info_industry_gics(W1255,2),IF($Y$3="wind三级行业",[1]!s_info_industry_gics(W1255,3),IF($Y$3="wind四级行业",[1]!s_info_industry_gics(W1255,4),IF($Y$3="证监会门类行业",[1]!s_info_industry_csrc12_n(W1255,公司分析!D$5,1),""))))))))</f>
        <v>装修建材</v>
      </c>
      <c r="Z1255" s="302" t="str">
        <f ca="1">IF(Y1255=行业比较!$E$6,ROW(),"")</f>
        <v/>
      </c>
      <c r="AA1255" s="122"/>
      <c r="AB1255" s="122"/>
      <c r="AC1255" s="122"/>
      <c r="AD1255" s="122"/>
      <c r="AE1255" s="122"/>
      <c r="AF1255" s="122"/>
      <c r="AG1255" s="122"/>
      <c r="AH1255" s="122"/>
      <c r="AI1255" s="122"/>
      <c r="AJ1255" s="122"/>
      <c r="AK1255" s="122"/>
      <c r="AL1255" s="122"/>
      <c r="AM1255" s="122"/>
      <c r="AN1255" s="122"/>
      <c r="AO1255" s="122"/>
      <c r="AP1255" s="122"/>
    </row>
    <row r="1256" spans="2:42">
      <c r="B1256" s="122"/>
      <c r="C1256" s="122"/>
      <c r="D1256" s="122"/>
      <c r="E1256" s="122"/>
      <c r="F1256" s="122"/>
      <c r="G1256" s="122"/>
      <c r="H1256" s="122"/>
      <c r="I1256" s="275"/>
      <c r="J1256" s="130"/>
      <c r="K1256" s="130"/>
      <c r="L1256" s="130"/>
      <c r="M1256" s="130"/>
      <c r="N1256" s="291"/>
      <c r="O1256" s="291"/>
      <c r="P1256" s="122"/>
      <c r="Q1256" s="122"/>
      <c r="R1256" s="122"/>
      <c r="S1256" s="122"/>
      <c r="T1256" s="122"/>
      <c r="U1256" s="301"/>
      <c r="V1256" s="260">
        <f t="shared" ca="1" si="27"/>
        <v>0</v>
      </c>
      <c r="W1256" s="348" t="str">
        <f>IF(板块成分!B1258="","",板块成分!B1258)</f>
        <v>002786.SZ</v>
      </c>
      <c r="X1256" s="276" t="str">
        <f>[1]!S_Info_Name(W1256)</f>
        <v>银宝山新</v>
      </c>
      <c r="Y1256" s="276" t="str">
        <f ca="1">IF($Y$3="申万一级行业",[1]!s_info_industry_sw_2021(W1256,公司分析!D$5,1),IF($Y$3="申万二级行业",[1]!s_info_industry_sw_2021(W1256,公司分析!D$5,2),IF($Y$3="申万三级行业",[1]!s_info_industry_sw_2021(W1256,公司分析!D$5,3),IF($Y$3="wind一级行业",[1]!s_info_industry_gics(W1256,1),IF($Y$3="wind二级行业",[1]!s_info_industry_gics(W1256,2),IF($Y$3="wind三级行业",[1]!s_info_industry_gics(W1256,3),IF($Y$3="wind四级行业",[1]!s_info_industry_gics(W1256,4),IF($Y$3="证监会门类行业",[1]!s_info_industry_csrc12_n(W1256,公司分析!D$5,1),""))))))))</f>
        <v>专用设备</v>
      </c>
      <c r="Z1256" s="302" t="str">
        <f ca="1">IF(Y1256=行业比较!$E$6,ROW(),"")</f>
        <v/>
      </c>
      <c r="AA1256" s="122"/>
      <c r="AB1256" s="122"/>
      <c r="AC1256" s="122"/>
      <c r="AD1256" s="122"/>
      <c r="AE1256" s="122"/>
      <c r="AF1256" s="122"/>
      <c r="AG1256" s="122"/>
      <c r="AH1256" s="122"/>
      <c r="AI1256" s="122"/>
      <c r="AJ1256" s="122"/>
      <c r="AK1256" s="122"/>
      <c r="AL1256" s="122"/>
      <c r="AM1256" s="122"/>
      <c r="AN1256" s="122"/>
      <c r="AO1256" s="122"/>
      <c r="AP1256" s="122"/>
    </row>
    <row r="1257" spans="2:42">
      <c r="B1257" s="122"/>
      <c r="C1257" s="122"/>
      <c r="D1257" s="122"/>
      <c r="E1257" s="122"/>
      <c r="F1257" s="122"/>
      <c r="G1257" s="122"/>
      <c r="H1257" s="122"/>
      <c r="I1257" s="275"/>
      <c r="J1257" s="130"/>
      <c r="K1257" s="130"/>
      <c r="L1257" s="130"/>
      <c r="M1257" s="130"/>
      <c r="N1257" s="291"/>
      <c r="O1257" s="291"/>
      <c r="P1257" s="122"/>
      <c r="Q1257" s="122"/>
      <c r="R1257" s="122"/>
      <c r="S1257" s="122"/>
      <c r="T1257" s="122"/>
      <c r="U1257" s="301"/>
      <c r="V1257" s="260">
        <f t="shared" ca="1" si="27"/>
        <v>0</v>
      </c>
      <c r="W1257" s="348" t="str">
        <f>IF(板块成分!B1259="","",板块成分!B1259)</f>
        <v>002787.SZ</v>
      </c>
      <c r="X1257" s="276" t="str">
        <f>[1]!S_Info_Name(W1257)</f>
        <v>华源控股</v>
      </c>
      <c r="Y1257" s="276" t="str">
        <f ca="1">IF($Y$3="申万一级行业",[1]!s_info_industry_sw_2021(W1257,公司分析!D$5,1),IF($Y$3="申万二级行业",[1]!s_info_industry_sw_2021(W1257,公司分析!D$5,2),IF($Y$3="申万三级行业",[1]!s_info_industry_sw_2021(W1257,公司分析!D$5,3),IF($Y$3="wind一级行业",[1]!s_info_industry_gics(W1257,1),IF($Y$3="wind二级行业",[1]!s_info_industry_gics(W1257,2),IF($Y$3="wind三级行业",[1]!s_info_industry_gics(W1257,3),IF($Y$3="wind四级行业",[1]!s_info_industry_gics(W1257,4),IF($Y$3="证监会门类行业",[1]!s_info_industry_csrc12_n(W1257,公司分析!D$5,1),""))))))))</f>
        <v>包装印刷</v>
      </c>
      <c r="Z1257" s="302" t="str">
        <f ca="1">IF(Y1257=行业比较!$E$6,ROW(),"")</f>
        <v/>
      </c>
      <c r="AA1257" s="122"/>
      <c r="AB1257" s="122"/>
      <c r="AC1257" s="122"/>
      <c r="AD1257" s="122"/>
      <c r="AE1257" s="122"/>
      <c r="AF1257" s="122"/>
      <c r="AG1257" s="122"/>
      <c r="AH1257" s="122"/>
      <c r="AI1257" s="122"/>
      <c r="AJ1257" s="122"/>
      <c r="AK1257" s="122"/>
      <c r="AL1257" s="122"/>
      <c r="AM1257" s="122"/>
      <c r="AN1257" s="122"/>
      <c r="AO1257" s="122"/>
      <c r="AP1257" s="122"/>
    </row>
    <row r="1258" spans="2:42">
      <c r="B1258" s="122"/>
      <c r="C1258" s="122"/>
      <c r="D1258" s="122"/>
      <c r="E1258" s="122"/>
      <c r="F1258" s="122"/>
      <c r="G1258" s="122"/>
      <c r="H1258" s="122"/>
      <c r="I1258" s="275"/>
      <c r="J1258" s="130"/>
      <c r="K1258" s="130"/>
      <c r="L1258" s="130"/>
      <c r="M1258" s="130"/>
      <c r="N1258" s="291"/>
      <c r="O1258" s="291"/>
      <c r="P1258" s="122"/>
      <c r="Q1258" s="122"/>
      <c r="R1258" s="122"/>
      <c r="S1258" s="122"/>
      <c r="T1258" s="122"/>
      <c r="U1258" s="301"/>
      <c r="V1258" s="260">
        <f t="shared" ca="1" si="27"/>
        <v>0</v>
      </c>
      <c r="W1258" s="348" t="str">
        <f>IF(板块成分!B1260="","",板块成分!B1260)</f>
        <v>002788.SZ</v>
      </c>
      <c r="X1258" s="276" t="str">
        <f>[1]!S_Info_Name(W1258)</f>
        <v>鹭燕医药</v>
      </c>
      <c r="Y1258" s="276" t="str">
        <f ca="1">IF($Y$3="申万一级行业",[1]!s_info_industry_sw_2021(W1258,公司分析!D$5,1),IF($Y$3="申万二级行业",[1]!s_info_industry_sw_2021(W1258,公司分析!D$5,2),IF($Y$3="申万三级行业",[1]!s_info_industry_sw_2021(W1258,公司分析!D$5,3),IF($Y$3="wind一级行业",[1]!s_info_industry_gics(W1258,1),IF($Y$3="wind二级行业",[1]!s_info_industry_gics(W1258,2),IF($Y$3="wind三级行业",[1]!s_info_industry_gics(W1258,3),IF($Y$3="wind四级行业",[1]!s_info_industry_gics(W1258,4),IF($Y$3="证监会门类行业",[1]!s_info_industry_csrc12_n(W1258,公司分析!D$5,1),""))))))))</f>
        <v>医药商业</v>
      </c>
      <c r="Z1258" s="302" t="str">
        <f ca="1">IF(Y1258=行业比较!$E$6,ROW(),"")</f>
        <v/>
      </c>
      <c r="AA1258" s="122"/>
      <c r="AB1258" s="122"/>
      <c r="AC1258" s="122"/>
      <c r="AD1258" s="122"/>
      <c r="AE1258" s="122"/>
      <c r="AF1258" s="122"/>
      <c r="AG1258" s="122"/>
      <c r="AH1258" s="122"/>
      <c r="AI1258" s="122"/>
      <c r="AJ1258" s="122"/>
      <c r="AK1258" s="122"/>
      <c r="AL1258" s="122"/>
      <c r="AM1258" s="122"/>
      <c r="AN1258" s="122"/>
      <c r="AO1258" s="122"/>
      <c r="AP1258" s="122"/>
    </row>
    <row r="1259" spans="2:42">
      <c r="B1259" s="122"/>
      <c r="C1259" s="122"/>
      <c r="D1259" s="122"/>
      <c r="E1259" s="122"/>
      <c r="F1259" s="122"/>
      <c r="G1259" s="122"/>
      <c r="H1259" s="122"/>
      <c r="I1259" s="275"/>
      <c r="J1259" s="130"/>
      <c r="K1259" s="130"/>
      <c r="L1259" s="130"/>
      <c r="M1259" s="130"/>
      <c r="N1259" s="291"/>
      <c r="O1259" s="291"/>
      <c r="P1259" s="122"/>
      <c r="Q1259" s="122"/>
      <c r="R1259" s="122"/>
      <c r="S1259" s="122"/>
      <c r="T1259" s="122"/>
      <c r="U1259" s="301"/>
      <c r="V1259" s="260">
        <f t="shared" ca="1" si="27"/>
        <v>0</v>
      </c>
      <c r="W1259" s="348" t="str">
        <f>IF(板块成分!B1261="","",板块成分!B1261)</f>
        <v>002789.SZ</v>
      </c>
      <c r="X1259" s="276" t="str">
        <f>[1]!S_Info_Name(W1259)</f>
        <v>*ST建艺</v>
      </c>
      <c r="Y1259" s="276" t="str">
        <f ca="1">IF($Y$3="申万一级行业",[1]!s_info_industry_sw_2021(W1259,公司分析!D$5,1),IF($Y$3="申万二级行业",[1]!s_info_industry_sw_2021(W1259,公司分析!D$5,2),IF($Y$3="申万三级行业",[1]!s_info_industry_sw_2021(W1259,公司分析!D$5,3),IF($Y$3="wind一级行业",[1]!s_info_industry_gics(W1259,1),IF($Y$3="wind二级行业",[1]!s_info_industry_gics(W1259,2),IF($Y$3="wind三级行业",[1]!s_info_industry_gics(W1259,3),IF($Y$3="wind四级行业",[1]!s_info_industry_gics(W1259,4),IF($Y$3="证监会门类行业",[1]!s_info_industry_csrc12_n(W1259,公司分析!D$5,1),""))))))))</f>
        <v>装修装饰Ⅱ</v>
      </c>
      <c r="Z1259" s="302" t="str">
        <f ca="1">IF(Y1259=行业比较!$E$6,ROW(),"")</f>
        <v/>
      </c>
      <c r="AA1259" s="122"/>
      <c r="AB1259" s="122"/>
      <c r="AC1259" s="122"/>
      <c r="AD1259" s="122"/>
      <c r="AE1259" s="122"/>
      <c r="AF1259" s="122"/>
      <c r="AG1259" s="122"/>
      <c r="AH1259" s="122"/>
      <c r="AI1259" s="122"/>
      <c r="AJ1259" s="122"/>
      <c r="AK1259" s="122"/>
      <c r="AL1259" s="122"/>
      <c r="AM1259" s="122"/>
      <c r="AN1259" s="122"/>
      <c r="AO1259" s="122"/>
      <c r="AP1259" s="122"/>
    </row>
    <row r="1260" spans="2:42">
      <c r="B1260" s="122"/>
      <c r="C1260" s="122"/>
      <c r="D1260" s="122"/>
      <c r="E1260" s="122"/>
      <c r="F1260" s="122"/>
      <c r="G1260" s="122"/>
      <c r="H1260" s="122"/>
      <c r="I1260" s="275"/>
      <c r="J1260" s="130"/>
      <c r="K1260" s="130"/>
      <c r="L1260" s="130"/>
      <c r="M1260" s="130"/>
      <c r="N1260" s="291"/>
      <c r="O1260" s="291"/>
      <c r="P1260" s="122"/>
      <c r="Q1260" s="122"/>
      <c r="R1260" s="122"/>
      <c r="S1260" s="122"/>
      <c r="T1260" s="122"/>
      <c r="U1260" s="301"/>
      <c r="V1260" s="260">
        <f t="shared" ca="1" si="27"/>
        <v>0</v>
      </c>
      <c r="W1260" s="348" t="str">
        <f>IF(板块成分!B1262="","",板块成分!B1262)</f>
        <v>002790.SZ</v>
      </c>
      <c r="X1260" s="276" t="str">
        <f>[1]!S_Info_Name(W1260)</f>
        <v>瑞尔特</v>
      </c>
      <c r="Y1260" s="276" t="str">
        <f ca="1">IF($Y$3="申万一级行业",[1]!s_info_industry_sw_2021(W1260,公司分析!D$5,1),IF($Y$3="申万二级行业",[1]!s_info_industry_sw_2021(W1260,公司分析!D$5,2),IF($Y$3="申万三级行业",[1]!s_info_industry_sw_2021(W1260,公司分析!D$5,3),IF($Y$3="wind一级行业",[1]!s_info_industry_gics(W1260,1),IF($Y$3="wind二级行业",[1]!s_info_industry_gics(W1260,2),IF($Y$3="wind三级行业",[1]!s_info_industry_gics(W1260,3),IF($Y$3="wind四级行业",[1]!s_info_industry_gics(W1260,4),IF($Y$3="证监会门类行业",[1]!s_info_industry_csrc12_n(W1260,公司分析!D$5,1),""))))))))</f>
        <v>家居用品</v>
      </c>
      <c r="Z1260" s="302" t="str">
        <f ca="1">IF(Y1260=行业比较!$E$6,ROW(),"")</f>
        <v/>
      </c>
      <c r="AA1260" s="122"/>
      <c r="AB1260" s="122"/>
      <c r="AC1260" s="122"/>
      <c r="AD1260" s="122"/>
      <c r="AE1260" s="122"/>
      <c r="AF1260" s="122"/>
      <c r="AG1260" s="122"/>
      <c r="AH1260" s="122"/>
      <c r="AI1260" s="122"/>
      <c r="AJ1260" s="122"/>
      <c r="AK1260" s="122"/>
      <c r="AL1260" s="122"/>
      <c r="AM1260" s="122"/>
      <c r="AN1260" s="122"/>
      <c r="AO1260" s="122"/>
      <c r="AP1260" s="122"/>
    </row>
    <row r="1261" spans="2:42">
      <c r="B1261" s="122"/>
      <c r="C1261" s="122"/>
      <c r="D1261" s="122"/>
      <c r="E1261" s="122"/>
      <c r="F1261" s="122"/>
      <c r="G1261" s="122"/>
      <c r="H1261" s="122"/>
      <c r="I1261" s="275"/>
      <c r="J1261" s="130"/>
      <c r="K1261" s="130"/>
      <c r="L1261" s="130"/>
      <c r="M1261" s="130"/>
      <c r="N1261" s="291"/>
      <c r="O1261" s="291"/>
      <c r="P1261" s="122"/>
      <c r="Q1261" s="122"/>
      <c r="R1261" s="122"/>
      <c r="S1261" s="122"/>
      <c r="T1261" s="122"/>
      <c r="U1261" s="301"/>
      <c r="V1261" s="260">
        <f t="shared" ca="1" si="27"/>
        <v>0</v>
      </c>
      <c r="W1261" s="348" t="str">
        <f>IF(板块成分!B1263="","",板块成分!B1263)</f>
        <v>002791.SZ</v>
      </c>
      <c r="X1261" s="276" t="str">
        <f>[1]!S_Info_Name(W1261)</f>
        <v>坚朗五金</v>
      </c>
      <c r="Y1261" s="276" t="str">
        <f ca="1">IF($Y$3="申万一级行业",[1]!s_info_industry_sw_2021(W1261,公司分析!D$5,1),IF($Y$3="申万二级行业",[1]!s_info_industry_sw_2021(W1261,公司分析!D$5,2),IF($Y$3="申万三级行业",[1]!s_info_industry_sw_2021(W1261,公司分析!D$5,3),IF($Y$3="wind一级行业",[1]!s_info_industry_gics(W1261,1),IF($Y$3="wind二级行业",[1]!s_info_industry_gics(W1261,2),IF($Y$3="wind三级行业",[1]!s_info_industry_gics(W1261,3),IF($Y$3="wind四级行业",[1]!s_info_industry_gics(W1261,4),IF($Y$3="证监会门类行业",[1]!s_info_industry_csrc12_n(W1261,公司分析!D$5,1),""))))))))</f>
        <v>装修建材</v>
      </c>
      <c r="Z1261" s="302" t="str">
        <f ca="1">IF(Y1261=行业比较!$E$6,ROW(),"")</f>
        <v/>
      </c>
      <c r="AA1261" s="122"/>
      <c r="AB1261" s="122"/>
      <c r="AC1261" s="122"/>
      <c r="AD1261" s="122"/>
      <c r="AE1261" s="122"/>
      <c r="AF1261" s="122"/>
      <c r="AG1261" s="122"/>
      <c r="AH1261" s="122"/>
      <c r="AI1261" s="122"/>
      <c r="AJ1261" s="122"/>
      <c r="AK1261" s="122"/>
      <c r="AL1261" s="122"/>
      <c r="AM1261" s="122"/>
      <c r="AN1261" s="122"/>
      <c r="AO1261" s="122"/>
      <c r="AP1261" s="122"/>
    </row>
    <row r="1262" spans="2:42">
      <c r="B1262" s="122"/>
      <c r="C1262" s="122"/>
      <c r="D1262" s="122"/>
      <c r="E1262" s="122"/>
      <c r="F1262" s="122"/>
      <c r="G1262" s="122"/>
      <c r="H1262" s="122"/>
      <c r="I1262" s="275"/>
      <c r="J1262" s="130"/>
      <c r="K1262" s="130"/>
      <c r="L1262" s="130"/>
      <c r="M1262" s="130"/>
      <c r="N1262" s="291"/>
      <c r="O1262" s="291"/>
      <c r="P1262" s="122"/>
      <c r="Q1262" s="122"/>
      <c r="R1262" s="122"/>
      <c r="S1262" s="122"/>
      <c r="T1262" s="122"/>
      <c r="U1262" s="301"/>
      <c r="V1262" s="260">
        <f t="shared" ca="1" si="27"/>
        <v>0</v>
      </c>
      <c r="W1262" s="348" t="str">
        <f>IF(板块成分!B1264="","",板块成分!B1264)</f>
        <v>002792.SZ</v>
      </c>
      <c r="X1262" s="276" t="str">
        <f>[1]!S_Info_Name(W1262)</f>
        <v>通宇通讯</v>
      </c>
      <c r="Y1262" s="276" t="str">
        <f ca="1">IF($Y$3="申万一级行业",[1]!s_info_industry_sw_2021(W1262,公司分析!D$5,1),IF($Y$3="申万二级行业",[1]!s_info_industry_sw_2021(W1262,公司分析!D$5,2),IF($Y$3="申万三级行业",[1]!s_info_industry_sw_2021(W1262,公司分析!D$5,3),IF($Y$3="wind一级行业",[1]!s_info_industry_gics(W1262,1),IF($Y$3="wind二级行业",[1]!s_info_industry_gics(W1262,2),IF($Y$3="wind三级行业",[1]!s_info_industry_gics(W1262,3),IF($Y$3="wind四级行业",[1]!s_info_industry_gics(W1262,4),IF($Y$3="证监会门类行业",[1]!s_info_industry_csrc12_n(W1262,公司分析!D$5,1),""))))))))</f>
        <v>通信设备</v>
      </c>
      <c r="Z1262" s="302" t="str">
        <f ca="1">IF(Y1262=行业比较!$E$6,ROW(),"")</f>
        <v/>
      </c>
      <c r="AA1262" s="122"/>
      <c r="AB1262" s="122"/>
      <c r="AC1262" s="122"/>
      <c r="AD1262" s="122"/>
      <c r="AE1262" s="122"/>
      <c r="AF1262" s="122"/>
      <c r="AG1262" s="122"/>
      <c r="AH1262" s="122"/>
      <c r="AI1262" s="122"/>
      <c r="AJ1262" s="122"/>
      <c r="AK1262" s="122"/>
      <c r="AL1262" s="122"/>
      <c r="AM1262" s="122"/>
      <c r="AN1262" s="122"/>
      <c r="AO1262" s="122"/>
      <c r="AP1262" s="122"/>
    </row>
    <row r="1263" spans="2:42">
      <c r="B1263" s="122"/>
      <c r="C1263" s="122"/>
      <c r="D1263" s="122"/>
      <c r="E1263" s="122"/>
      <c r="F1263" s="122"/>
      <c r="G1263" s="122"/>
      <c r="H1263" s="122"/>
      <c r="I1263" s="275"/>
      <c r="J1263" s="130"/>
      <c r="K1263" s="130"/>
      <c r="L1263" s="130"/>
      <c r="M1263" s="130"/>
      <c r="N1263" s="291"/>
      <c r="O1263" s="291"/>
      <c r="P1263" s="122"/>
      <c r="Q1263" s="122"/>
      <c r="R1263" s="122"/>
      <c r="S1263" s="122"/>
      <c r="T1263" s="122"/>
      <c r="U1263" s="301"/>
      <c r="V1263" s="260">
        <f t="shared" ca="1" si="27"/>
        <v>0</v>
      </c>
      <c r="W1263" s="348" t="str">
        <f>IF(板块成分!B1265="","",板块成分!B1265)</f>
        <v>002793.SZ</v>
      </c>
      <c r="X1263" s="276" t="str">
        <f>[1]!S_Info_Name(W1263)</f>
        <v>罗欣药业</v>
      </c>
      <c r="Y1263" s="276" t="str">
        <f ca="1">IF($Y$3="申万一级行业",[1]!s_info_industry_sw_2021(W1263,公司分析!D$5,1),IF($Y$3="申万二级行业",[1]!s_info_industry_sw_2021(W1263,公司分析!D$5,2),IF($Y$3="申万三级行业",[1]!s_info_industry_sw_2021(W1263,公司分析!D$5,3),IF($Y$3="wind一级行业",[1]!s_info_industry_gics(W1263,1),IF($Y$3="wind二级行业",[1]!s_info_industry_gics(W1263,2),IF($Y$3="wind三级行业",[1]!s_info_industry_gics(W1263,3),IF($Y$3="wind四级行业",[1]!s_info_industry_gics(W1263,4),IF($Y$3="证监会门类行业",[1]!s_info_industry_csrc12_n(W1263,公司分析!D$5,1),""))))))))</f>
        <v>化学制药</v>
      </c>
      <c r="Z1263" s="302" t="str">
        <f ca="1">IF(Y1263=行业比较!$E$6,ROW(),"")</f>
        <v/>
      </c>
      <c r="AA1263" s="122"/>
      <c r="AB1263" s="122"/>
      <c r="AC1263" s="122"/>
      <c r="AD1263" s="122"/>
      <c r="AE1263" s="122"/>
      <c r="AF1263" s="122"/>
      <c r="AG1263" s="122"/>
      <c r="AH1263" s="122"/>
      <c r="AI1263" s="122"/>
      <c r="AJ1263" s="122"/>
      <c r="AK1263" s="122"/>
      <c r="AL1263" s="122"/>
      <c r="AM1263" s="122"/>
      <c r="AN1263" s="122"/>
      <c r="AO1263" s="122"/>
      <c r="AP1263" s="122"/>
    </row>
    <row r="1264" spans="2:42">
      <c r="B1264" s="122"/>
      <c r="C1264" s="122"/>
      <c r="D1264" s="122"/>
      <c r="E1264" s="122"/>
      <c r="F1264" s="122"/>
      <c r="G1264" s="122"/>
      <c r="H1264" s="122"/>
      <c r="I1264" s="275"/>
      <c r="J1264" s="130"/>
      <c r="K1264" s="130"/>
      <c r="L1264" s="130"/>
      <c r="M1264" s="130"/>
      <c r="N1264" s="291"/>
      <c r="O1264" s="291"/>
      <c r="P1264" s="122"/>
      <c r="Q1264" s="122"/>
      <c r="R1264" s="122"/>
      <c r="S1264" s="122"/>
      <c r="T1264" s="122"/>
      <c r="U1264" s="301"/>
      <c r="V1264" s="260">
        <f t="shared" ca="1" si="27"/>
        <v>0</v>
      </c>
      <c r="W1264" s="348" t="str">
        <f>IF(板块成分!B1266="","",板块成分!B1266)</f>
        <v>002795.SZ</v>
      </c>
      <c r="X1264" s="276" t="str">
        <f>[1]!S_Info_Name(W1264)</f>
        <v>永和智控</v>
      </c>
      <c r="Y1264" s="276" t="str">
        <f ca="1">IF($Y$3="申万一级行业",[1]!s_info_industry_sw_2021(W1264,公司分析!D$5,1),IF($Y$3="申万二级行业",[1]!s_info_industry_sw_2021(W1264,公司分析!D$5,2),IF($Y$3="申万三级行业",[1]!s_info_industry_sw_2021(W1264,公司分析!D$5,3),IF($Y$3="wind一级行业",[1]!s_info_industry_gics(W1264,1),IF($Y$3="wind二级行业",[1]!s_info_industry_gics(W1264,2),IF($Y$3="wind三级行业",[1]!s_info_industry_gics(W1264,3),IF($Y$3="wind四级行业",[1]!s_info_industry_gics(W1264,4),IF($Y$3="证监会门类行业",[1]!s_info_industry_csrc12_n(W1264,公司分析!D$5,1),""))))))))</f>
        <v>通用设备</v>
      </c>
      <c r="Z1264" s="302" t="str">
        <f ca="1">IF(Y1264=行业比较!$E$6,ROW(),"")</f>
        <v/>
      </c>
      <c r="AA1264" s="122"/>
      <c r="AB1264" s="122"/>
      <c r="AC1264" s="122"/>
      <c r="AD1264" s="122"/>
      <c r="AE1264" s="122"/>
      <c r="AF1264" s="122"/>
      <c r="AG1264" s="122"/>
      <c r="AH1264" s="122"/>
      <c r="AI1264" s="122"/>
      <c r="AJ1264" s="122"/>
      <c r="AK1264" s="122"/>
      <c r="AL1264" s="122"/>
      <c r="AM1264" s="122"/>
      <c r="AN1264" s="122"/>
      <c r="AO1264" s="122"/>
      <c r="AP1264" s="122"/>
    </row>
    <row r="1265" spans="2:42">
      <c r="B1265" s="122"/>
      <c r="C1265" s="122"/>
      <c r="D1265" s="122"/>
      <c r="E1265" s="122"/>
      <c r="F1265" s="122"/>
      <c r="G1265" s="122"/>
      <c r="H1265" s="122"/>
      <c r="I1265" s="275"/>
      <c r="J1265" s="130"/>
      <c r="K1265" s="130"/>
      <c r="L1265" s="130"/>
      <c r="M1265" s="130"/>
      <c r="N1265" s="291"/>
      <c r="O1265" s="291"/>
      <c r="P1265" s="122"/>
      <c r="Q1265" s="122"/>
      <c r="R1265" s="122"/>
      <c r="S1265" s="122"/>
      <c r="T1265" s="122"/>
      <c r="U1265" s="301"/>
      <c r="V1265" s="260">
        <f t="shared" ca="1" si="27"/>
        <v>0</v>
      </c>
      <c r="W1265" s="348" t="str">
        <f>IF(板块成分!B1267="","",板块成分!B1267)</f>
        <v>002796.SZ</v>
      </c>
      <c r="X1265" s="276" t="str">
        <f>[1]!S_Info_Name(W1265)</f>
        <v>世嘉科技</v>
      </c>
      <c r="Y1265" s="276" t="str">
        <f ca="1">IF($Y$3="申万一级行业",[1]!s_info_industry_sw_2021(W1265,公司分析!D$5,1),IF($Y$3="申万二级行业",[1]!s_info_industry_sw_2021(W1265,公司分析!D$5,2),IF($Y$3="申万三级行业",[1]!s_info_industry_sw_2021(W1265,公司分析!D$5,3),IF($Y$3="wind一级行业",[1]!s_info_industry_gics(W1265,1),IF($Y$3="wind二级行业",[1]!s_info_industry_gics(W1265,2),IF($Y$3="wind三级行业",[1]!s_info_industry_gics(W1265,3),IF($Y$3="wind四级行业",[1]!s_info_industry_gics(W1265,4),IF($Y$3="证监会门类行业",[1]!s_info_industry_csrc12_n(W1265,公司分析!D$5,1),""))))))))</f>
        <v>通信设备</v>
      </c>
      <c r="Z1265" s="302" t="str">
        <f ca="1">IF(Y1265=行业比较!$E$6,ROW(),"")</f>
        <v/>
      </c>
      <c r="AA1265" s="122"/>
      <c r="AB1265" s="122"/>
      <c r="AC1265" s="122"/>
      <c r="AD1265" s="122"/>
      <c r="AE1265" s="122"/>
      <c r="AF1265" s="122"/>
      <c r="AG1265" s="122"/>
      <c r="AH1265" s="122"/>
      <c r="AI1265" s="122"/>
      <c r="AJ1265" s="122"/>
      <c r="AK1265" s="122"/>
      <c r="AL1265" s="122"/>
      <c r="AM1265" s="122"/>
      <c r="AN1265" s="122"/>
      <c r="AO1265" s="122"/>
      <c r="AP1265" s="122"/>
    </row>
    <row r="1266" spans="2:42">
      <c r="B1266" s="122"/>
      <c r="C1266" s="122"/>
      <c r="D1266" s="122"/>
      <c r="E1266" s="122"/>
      <c r="F1266" s="122"/>
      <c r="G1266" s="122"/>
      <c r="H1266" s="122"/>
      <c r="I1266" s="275"/>
      <c r="J1266" s="130"/>
      <c r="K1266" s="130"/>
      <c r="L1266" s="130"/>
      <c r="M1266" s="130"/>
      <c r="N1266" s="291"/>
      <c r="O1266" s="291"/>
      <c r="P1266" s="122"/>
      <c r="Q1266" s="122"/>
      <c r="R1266" s="122"/>
      <c r="S1266" s="122"/>
      <c r="T1266" s="122"/>
      <c r="U1266" s="301"/>
      <c r="V1266" s="260">
        <f t="shared" ca="1" si="27"/>
        <v>0</v>
      </c>
      <c r="W1266" s="348" t="str">
        <f>IF(板块成分!B1268="","",板块成分!B1268)</f>
        <v>002797.SZ</v>
      </c>
      <c r="X1266" s="276" t="str">
        <f>[1]!S_Info_Name(W1266)</f>
        <v>第一创业</v>
      </c>
      <c r="Y1266" s="276" t="str">
        <f ca="1">IF($Y$3="申万一级行业",[1]!s_info_industry_sw_2021(W1266,公司分析!D$5,1),IF($Y$3="申万二级行业",[1]!s_info_industry_sw_2021(W1266,公司分析!D$5,2),IF($Y$3="申万三级行业",[1]!s_info_industry_sw_2021(W1266,公司分析!D$5,3),IF($Y$3="wind一级行业",[1]!s_info_industry_gics(W1266,1),IF($Y$3="wind二级行业",[1]!s_info_industry_gics(W1266,2),IF($Y$3="wind三级行业",[1]!s_info_industry_gics(W1266,3),IF($Y$3="wind四级行业",[1]!s_info_industry_gics(W1266,4),IF($Y$3="证监会门类行业",[1]!s_info_industry_csrc12_n(W1266,公司分析!D$5,1),""))))))))</f>
        <v>证券Ⅱ</v>
      </c>
      <c r="Z1266" s="302" t="str">
        <f ca="1">IF(Y1266=行业比较!$E$6,ROW(),"")</f>
        <v/>
      </c>
      <c r="AA1266" s="122"/>
      <c r="AB1266" s="122"/>
      <c r="AC1266" s="122"/>
      <c r="AD1266" s="122"/>
      <c r="AE1266" s="122"/>
      <c r="AF1266" s="122"/>
      <c r="AG1266" s="122"/>
      <c r="AH1266" s="122"/>
      <c r="AI1266" s="122"/>
      <c r="AJ1266" s="122"/>
      <c r="AK1266" s="122"/>
      <c r="AL1266" s="122"/>
      <c r="AM1266" s="122"/>
      <c r="AN1266" s="122"/>
      <c r="AO1266" s="122"/>
      <c r="AP1266" s="122"/>
    </row>
    <row r="1267" spans="2:42">
      <c r="B1267" s="122"/>
      <c r="C1267" s="122"/>
      <c r="D1267" s="122"/>
      <c r="E1267" s="122"/>
      <c r="F1267" s="122"/>
      <c r="G1267" s="122"/>
      <c r="H1267" s="122"/>
      <c r="I1267" s="275"/>
      <c r="J1267" s="130"/>
      <c r="K1267" s="130"/>
      <c r="L1267" s="130"/>
      <c r="M1267" s="130"/>
      <c r="N1267" s="291"/>
      <c r="O1267" s="291"/>
      <c r="P1267" s="122"/>
      <c r="Q1267" s="122"/>
      <c r="R1267" s="122"/>
      <c r="S1267" s="122"/>
      <c r="T1267" s="122"/>
      <c r="U1267" s="301"/>
      <c r="V1267" s="260">
        <f t="shared" ca="1" si="27"/>
        <v>0</v>
      </c>
      <c r="W1267" s="348" t="str">
        <f>IF(板块成分!B1269="","",板块成分!B1269)</f>
        <v>002798.SZ</v>
      </c>
      <c r="X1267" s="276" t="str">
        <f>[1]!S_Info_Name(W1267)</f>
        <v>帝欧水华</v>
      </c>
      <c r="Y1267" s="276" t="str">
        <f ca="1">IF($Y$3="申万一级行业",[1]!s_info_industry_sw_2021(W1267,公司分析!D$5,1),IF($Y$3="申万二级行业",[1]!s_info_industry_sw_2021(W1267,公司分析!D$5,2),IF($Y$3="申万三级行业",[1]!s_info_industry_sw_2021(W1267,公司分析!D$5,3),IF($Y$3="wind一级行业",[1]!s_info_industry_gics(W1267,1),IF($Y$3="wind二级行业",[1]!s_info_industry_gics(W1267,2),IF($Y$3="wind三级行业",[1]!s_info_industry_gics(W1267,3),IF($Y$3="wind四级行业",[1]!s_info_industry_gics(W1267,4),IF($Y$3="证监会门类行业",[1]!s_info_industry_csrc12_n(W1267,公司分析!D$5,1),""))))))))</f>
        <v>家居用品</v>
      </c>
      <c r="Z1267" s="302" t="str">
        <f ca="1">IF(Y1267=行业比较!$E$6,ROW(),"")</f>
        <v/>
      </c>
      <c r="AA1267" s="122"/>
      <c r="AB1267" s="122"/>
      <c r="AC1267" s="122"/>
      <c r="AD1267" s="122"/>
      <c r="AE1267" s="122"/>
      <c r="AF1267" s="122"/>
      <c r="AG1267" s="122"/>
      <c r="AH1267" s="122"/>
      <c r="AI1267" s="122"/>
      <c r="AJ1267" s="122"/>
      <c r="AK1267" s="122"/>
      <c r="AL1267" s="122"/>
      <c r="AM1267" s="122"/>
      <c r="AN1267" s="122"/>
      <c r="AO1267" s="122"/>
      <c r="AP1267" s="122"/>
    </row>
    <row r="1268" spans="2:42">
      <c r="B1268" s="122"/>
      <c r="C1268" s="122"/>
      <c r="D1268" s="122"/>
      <c r="E1268" s="122"/>
      <c r="F1268" s="122"/>
      <c r="G1268" s="122"/>
      <c r="H1268" s="122"/>
      <c r="I1268" s="275"/>
      <c r="J1268" s="130"/>
      <c r="K1268" s="130"/>
      <c r="L1268" s="130"/>
      <c r="M1268" s="130"/>
      <c r="N1268" s="291"/>
      <c r="O1268" s="291"/>
      <c r="P1268" s="122"/>
      <c r="Q1268" s="122"/>
      <c r="R1268" s="122"/>
      <c r="S1268" s="122"/>
      <c r="T1268" s="122"/>
      <c r="U1268" s="301"/>
      <c r="V1268" s="260">
        <f t="shared" ca="1" si="27"/>
        <v>0</v>
      </c>
      <c r="W1268" s="348" t="str">
        <f>IF(板块成分!B1270="","",板块成分!B1270)</f>
        <v>002799.SZ</v>
      </c>
      <c r="X1268" s="276" t="str">
        <f>[1]!S_Info_Name(W1268)</f>
        <v>环球印务</v>
      </c>
      <c r="Y1268" s="276" t="str">
        <f ca="1">IF($Y$3="申万一级行业",[1]!s_info_industry_sw_2021(W1268,公司分析!D$5,1),IF($Y$3="申万二级行业",[1]!s_info_industry_sw_2021(W1268,公司分析!D$5,2),IF($Y$3="申万三级行业",[1]!s_info_industry_sw_2021(W1268,公司分析!D$5,3),IF($Y$3="wind一级行业",[1]!s_info_industry_gics(W1268,1),IF($Y$3="wind二级行业",[1]!s_info_industry_gics(W1268,2),IF($Y$3="wind三级行业",[1]!s_info_industry_gics(W1268,3),IF($Y$3="wind四级行业",[1]!s_info_industry_gics(W1268,4),IF($Y$3="证监会门类行业",[1]!s_info_industry_csrc12_n(W1268,公司分析!D$5,1),""))))))))</f>
        <v>包装印刷</v>
      </c>
      <c r="Z1268" s="302" t="str">
        <f ca="1">IF(Y1268=行业比较!$E$6,ROW(),"")</f>
        <v/>
      </c>
      <c r="AA1268" s="122"/>
      <c r="AB1268" s="122"/>
      <c r="AC1268" s="122"/>
      <c r="AD1268" s="122"/>
      <c r="AE1268" s="122"/>
      <c r="AF1268" s="122"/>
      <c r="AG1268" s="122"/>
      <c r="AH1268" s="122"/>
      <c r="AI1268" s="122"/>
      <c r="AJ1268" s="122"/>
      <c r="AK1268" s="122"/>
      <c r="AL1268" s="122"/>
      <c r="AM1268" s="122"/>
      <c r="AN1268" s="122"/>
      <c r="AO1268" s="122"/>
      <c r="AP1268" s="122"/>
    </row>
    <row r="1269" spans="2:42">
      <c r="B1269" s="122"/>
      <c r="C1269" s="122"/>
      <c r="D1269" s="122"/>
      <c r="E1269" s="122"/>
      <c r="F1269" s="122"/>
      <c r="G1269" s="122"/>
      <c r="H1269" s="122"/>
      <c r="I1269" s="275"/>
      <c r="J1269" s="130"/>
      <c r="K1269" s="130"/>
      <c r="L1269" s="130"/>
      <c r="M1269" s="130"/>
      <c r="N1269" s="291"/>
      <c r="O1269" s="291"/>
      <c r="P1269" s="122"/>
      <c r="Q1269" s="122"/>
      <c r="R1269" s="122"/>
      <c r="S1269" s="122"/>
      <c r="T1269" s="122"/>
      <c r="U1269" s="301"/>
      <c r="V1269" s="260">
        <f t="shared" ca="1" si="27"/>
        <v>0</v>
      </c>
      <c r="W1269" s="348" t="str">
        <f>IF(板块成分!B1271="","",板块成分!B1271)</f>
        <v>002800.SZ</v>
      </c>
      <c r="X1269" s="276" t="str">
        <f>[1]!S_Info_Name(W1269)</f>
        <v>天顺股份</v>
      </c>
      <c r="Y1269" s="276" t="str">
        <f ca="1">IF($Y$3="申万一级行业",[1]!s_info_industry_sw_2021(W1269,公司分析!D$5,1),IF($Y$3="申万二级行业",[1]!s_info_industry_sw_2021(W1269,公司分析!D$5,2),IF($Y$3="申万三级行业",[1]!s_info_industry_sw_2021(W1269,公司分析!D$5,3),IF($Y$3="wind一级行业",[1]!s_info_industry_gics(W1269,1),IF($Y$3="wind二级行业",[1]!s_info_industry_gics(W1269,2),IF($Y$3="wind三级行业",[1]!s_info_industry_gics(W1269,3),IF($Y$3="wind四级行业",[1]!s_info_industry_gics(W1269,4),IF($Y$3="证监会门类行业",[1]!s_info_industry_csrc12_n(W1269,公司分析!D$5,1),""))))))))</f>
        <v>物流</v>
      </c>
      <c r="Z1269" s="302" t="str">
        <f ca="1">IF(Y1269=行业比较!$E$6,ROW(),"")</f>
        <v/>
      </c>
      <c r="AA1269" s="122"/>
      <c r="AB1269" s="122"/>
      <c r="AC1269" s="122"/>
      <c r="AD1269" s="122"/>
      <c r="AE1269" s="122"/>
      <c r="AF1269" s="122"/>
      <c r="AG1269" s="122"/>
      <c r="AH1269" s="122"/>
      <c r="AI1269" s="122"/>
      <c r="AJ1269" s="122"/>
      <c r="AK1269" s="122"/>
      <c r="AL1269" s="122"/>
      <c r="AM1269" s="122"/>
      <c r="AN1269" s="122"/>
      <c r="AO1269" s="122"/>
      <c r="AP1269" s="122"/>
    </row>
    <row r="1270" spans="2:42">
      <c r="B1270" s="122"/>
      <c r="C1270" s="122"/>
      <c r="D1270" s="122"/>
      <c r="E1270" s="122"/>
      <c r="F1270" s="122"/>
      <c r="G1270" s="122"/>
      <c r="H1270" s="122"/>
      <c r="I1270" s="275"/>
      <c r="J1270" s="130"/>
      <c r="K1270" s="130"/>
      <c r="L1270" s="130"/>
      <c r="M1270" s="130"/>
      <c r="N1270" s="291"/>
      <c r="O1270" s="291"/>
      <c r="P1270" s="122"/>
      <c r="Q1270" s="122"/>
      <c r="R1270" s="122"/>
      <c r="S1270" s="122"/>
      <c r="T1270" s="122"/>
      <c r="U1270" s="301"/>
      <c r="V1270" s="260">
        <f t="shared" ca="1" si="27"/>
        <v>0</v>
      </c>
      <c r="W1270" s="348" t="str">
        <f>IF(板块成分!B1272="","",板块成分!B1272)</f>
        <v>002801.SZ</v>
      </c>
      <c r="X1270" s="276" t="str">
        <f>[1]!S_Info_Name(W1270)</f>
        <v>微光股份</v>
      </c>
      <c r="Y1270" s="276" t="str">
        <f ca="1">IF($Y$3="申万一级行业",[1]!s_info_industry_sw_2021(W1270,公司分析!D$5,1),IF($Y$3="申万二级行业",[1]!s_info_industry_sw_2021(W1270,公司分析!D$5,2),IF($Y$3="申万三级行业",[1]!s_info_industry_sw_2021(W1270,公司分析!D$5,3),IF($Y$3="wind一级行业",[1]!s_info_industry_gics(W1270,1),IF($Y$3="wind二级行业",[1]!s_info_industry_gics(W1270,2),IF($Y$3="wind三级行业",[1]!s_info_industry_gics(W1270,3),IF($Y$3="wind四级行业",[1]!s_info_industry_gics(W1270,4),IF($Y$3="证监会门类行业",[1]!s_info_industry_csrc12_n(W1270,公司分析!D$5,1),""))))))))</f>
        <v>电机Ⅱ</v>
      </c>
      <c r="Z1270" s="302" t="str">
        <f ca="1">IF(Y1270=行业比较!$E$6,ROW(),"")</f>
        <v/>
      </c>
      <c r="AA1270" s="122"/>
      <c r="AB1270" s="122"/>
      <c r="AC1270" s="122"/>
      <c r="AD1270" s="122"/>
      <c r="AE1270" s="122"/>
      <c r="AF1270" s="122"/>
      <c r="AG1270" s="122"/>
      <c r="AH1270" s="122"/>
      <c r="AI1270" s="122"/>
      <c r="AJ1270" s="122"/>
      <c r="AK1270" s="122"/>
      <c r="AL1270" s="122"/>
      <c r="AM1270" s="122"/>
      <c r="AN1270" s="122"/>
      <c r="AO1270" s="122"/>
      <c r="AP1270" s="122"/>
    </row>
    <row r="1271" spans="2:42">
      <c r="B1271" s="122"/>
      <c r="C1271" s="122"/>
      <c r="D1271" s="122"/>
      <c r="E1271" s="122"/>
      <c r="F1271" s="122"/>
      <c r="G1271" s="122"/>
      <c r="H1271" s="122"/>
      <c r="I1271" s="275"/>
      <c r="J1271" s="130"/>
      <c r="K1271" s="130"/>
      <c r="L1271" s="130"/>
      <c r="M1271" s="130"/>
      <c r="N1271" s="291"/>
      <c r="O1271" s="291"/>
      <c r="P1271" s="122"/>
      <c r="Q1271" s="122"/>
      <c r="R1271" s="122"/>
      <c r="S1271" s="122"/>
      <c r="T1271" s="122"/>
      <c r="U1271" s="301"/>
      <c r="V1271" s="260">
        <f t="shared" ca="1" si="27"/>
        <v>0</v>
      </c>
      <c r="W1271" s="348" t="str">
        <f>IF(板块成分!B1273="","",板块成分!B1273)</f>
        <v>002802.SZ</v>
      </c>
      <c r="X1271" s="276" t="str">
        <f>[1]!S_Info_Name(W1271)</f>
        <v>洪汇新材</v>
      </c>
      <c r="Y1271" s="276" t="str">
        <f ca="1">IF($Y$3="申万一级行业",[1]!s_info_industry_sw_2021(W1271,公司分析!D$5,1),IF($Y$3="申万二级行业",[1]!s_info_industry_sw_2021(W1271,公司分析!D$5,2),IF($Y$3="申万三级行业",[1]!s_info_industry_sw_2021(W1271,公司分析!D$5,3),IF($Y$3="wind一级行业",[1]!s_info_industry_gics(W1271,1),IF($Y$3="wind二级行业",[1]!s_info_industry_gics(W1271,2),IF($Y$3="wind三级行业",[1]!s_info_industry_gics(W1271,3),IF($Y$3="wind四级行业",[1]!s_info_industry_gics(W1271,4),IF($Y$3="证监会门类行业",[1]!s_info_industry_csrc12_n(W1271,公司分析!D$5,1),""))))))))</f>
        <v>化学制品</v>
      </c>
      <c r="Z1271" s="302" t="str">
        <f ca="1">IF(Y1271=行业比较!$E$6,ROW(),"")</f>
        <v/>
      </c>
      <c r="AA1271" s="122"/>
      <c r="AB1271" s="122"/>
      <c r="AC1271" s="122"/>
      <c r="AD1271" s="122"/>
      <c r="AE1271" s="122"/>
      <c r="AF1271" s="122"/>
      <c r="AG1271" s="122"/>
      <c r="AH1271" s="122"/>
      <c r="AI1271" s="122"/>
      <c r="AJ1271" s="122"/>
      <c r="AK1271" s="122"/>
      <c r="AL1271" s="122"/>
      <c r="AM1271" s="122"/>
      <c r="AN1271" s="122"/>
      <c r="AO1271" s="122"/>
      <c r="AP1271" s="122"/>
    </row>
    <row r="1272" spans="2:42">
      <c r="B1272" s="122"/>
      <c r="C1272" s="122"/>
      <c r="D1272" s="122"/>
      <c r="E1272" s="122"/>
      <c r="F1272" s="122"/>
      <c r="G1272" s="122"/>
      <c r="H1272" s="122"/>
      <c r="I1272" s="275"/>
      <c r="J1272" s="130"/>
      <c r="K1272" s="130"/>
      <c r="L1272" s="130"/>
      <c r="M1272" s="130"/>
      <c r="N1272" s="291"/>
      <c r="O1272" s="291"/>
      <c r="P1272" s="122"/>
      <c r="Q1272" s="122"/>
      <c r="R1272" s="122"/>
      <c r="S1272" s="122"/>
      <c r="T1272" s="122"/>
      <c r="U1272" s="301"/>
      <c r="V1272" s="260">
        <f t="shared" ca="1" si="27"/>
        <v>0</v>
      </c>
      <c r="W1272" s="348" t="str">
        <f>IF(板块成分!B1274="","",板块成分!B1274)</f>
        <v>002803.SZ</v>
      </c>
      <c r="X1272" s="276" t="str">
        <f>[1]!S_Info_Name(W1272)</f>
        <v>吉宏股份</v>
      </c>
      <c r="Y1272" s="276" t="str">
        <f ca="1">IF($Y$3="申万一级行业",[1]!s_info_industry_sw_2021(W1272,公司分析!D$5,1),IF($Y$3="申万二级行业",[1]!s_info_industry_sw_2021(W1272,公司分析!D$5,2),IF($Y$3="申万三级行业",[1]!s_info_industry_sw_2021(W1272,公司分析!D$5,3),IF($Y$3="wind一级行业",[1]!s_info_industry_gics(W1272,1),IF($Y$3="wind二级行业",[1]!s_info_industry_gics(W1272,2),IF($Y$3="wind三级行业",[1]!s_info_industry_gics(W1272,3),IF($Y$3="wind四级行业",[1]!s_info_industry_gics(W1272,4),IF($Y$3="证监会门类行业",[1]!s_info_industry_csrc12_n(W1272,公司分析!D$5,1),""))))))))</f>
        <v>互联网电商</v>
      </c>
      <c r="Z1272" s="302" t="str">
        <f ca="1">IF(Y1272=行业比较!$E$6,ROW(),"")</f>
        <v/>
      </c>
      <c r="AA1272" s="122"/>
      <c r="AB1272" s="122"/>
      <c r="AC1272" s="122"/>
      <c r="AD1272" s="122"/>
      <c r="AE1272" s="122"/>
      <c r="AF1272" s="122"/>
      <c r="AG1272" s="122"/>
      <c r="AH1272" s="122"/>
      <c r="AI1272" s="122"/>
      <c r="AJ1272" s="122"/>
      <c r="AK1272" s="122"/>
      <c r="AL1272" s="122"/>
      <c r="AM1272" s="122"/>
      <c r="AN1272" s="122"/>
      <c r="AO1272" s="122"/>
      <c r="AP1272" s="122"/>
    </row>
    <row r="1273" spans="2:42">
      <c r="B1273" s="122"/>
      <c r="C1273" s="122"/>
      <c r="D1273" s="122"/>
      <c r="E1273" s="122"/>
      <c r="F1273" s="122"/>
      <c r="G1273" s="122"/>
      <c r="H1273" s="122"/>
      <c r="I1273" s="275"/>
      <c r="J1273" s="130"/>
      <c r="K1273" s="130"/>
      <c r="L1273" s="130"/>
      <c r="M1273" s="130"/>
      <c r="N1273" s="291"/>
      <c r="O1273" s="291"/>
      <c r="P1273" s="122"/>
      <c r="Q1273" s="122"/>
      <c r="R1273" s="122"/>
      <c r="S1273" s="122"/>
      <c r="T1273" s="122"/>
      <c r="U1273" s="301"/>
      <c r="V1273" s="260">
        <f t="shared" ca="1" si="27"/>
        <v>0</v>
      </c>
      <c r="W1273" s="348" t="str">
        <f>IF(板块成分!B1275="","",板块成分!B1275)</f>
        <v>002805.SZ</v>
      </c>
      <c r="X1273" s="276" t="str">
        <f>[1]!S_Info_Name(W1273)</f>
        <v>丰元股份</v>
      </c>
      <c r="Y1273" s="276" t="str">
        <f ca="1">IF($Y$3="申万一级行业",[1]!s_info_industry_sw_2021(W1273,公司分析!D$5,1),IF($Y$3="申万二级行业",[1]!s_info_industry_sw_2021(W1273,公司分析!D$5,2),IF($Y$3="申万三级行业",[1]!s_info_industry_sw_2021(W1273,公司分析!D$5,3),IF($Y$3="wind一级行业",[1]!s_info_industry_gics(W1273,1),IF($Y$3="wind二级行业",[1]!s_info_industry_gics(W1273,2),IF($Y$3="wind三级行业",[1]!s_info_industry_gics(W1273,3),IF($Y$3="wind四级行业",[1]!s_info_industry_gics(W1273,4),IF($Y$3="证监会门类行业",[1]!s_info_industry_csrc12_n(W1273,公司分析!D$5,1),""))))))))</f>
        <v>电池</v>
      </c>
      <c r="Z1273" s="302" t="str">
        <f ca="1">IF(Y1273=行业比较!$E$6,ROW(),"")</f>
        <v/>
      </c>
      <c r="AA1273" s="122"/>
      <c r="AB1273" s="122"/>
      <c r="AC1273" s="122"/>
      <c r="AD1273" s="122"/>
      <c r="AE1273" s="122"/>
      <c r="AF1273" s="122"/>
      <c r="AG1273" s="122"/>
      <c r="AH1273" s="122"/>
      <c r="AI1273" s="122"/>
      <c r="AJ1273" s="122"/>
      <c r="AK1273" s="122"/>
      <c r="AL1273" s="122"/>
      <c r="AM1273" s="122"/>
      <c r="AN1273" s="122"/>
      <c r="AO1273" s="122"/>
      <c r="AP1273" s="122"/>
    </row>
    <row r="1274" spans="2:42">
      <c r="B1274" s="122"/>
      <c r="C1274" s="122"/>
      <c r="D1274" s="122"/>
      <c r="E1274" s="122"/>
      <c r="F1274" s="122"/>
      <c r="G1274" s="122"/>
      <c r="H1274" s="122"/>
      <c r="I1274" s="275"/>
      <c r="J1274" s="130"/>
      <c r="K1274" s="130"/>
      <c r="L1274" s="130"/>
      <c r="M1274" s="130"/>
      <c r="N1274" s="291"/>
      <c r="O1274" s="291"/>
      <c r="P1274" s="122"/>
      <c r="Q1274" s="122"/>
      <c r="R1274" s="122"/>
      <c r="S1274" s="122"/>
      <c r="T1274" s="122"/>
      <c r="U1274" s="301"/>
      <c r="V1274" s="260">
        <f t="shared" ca="1" si="27"/>
        <v>0</v>
      </c>
      <c r="W1274" s="348" t="str">
        <f>IF(板块成分!B1276="","",板块成分!B1276)</f>
        <v>002806.SZ</v>
      </c>
      <c r="X1274" s="276" t="str">
        <f>[1]!S_Info_Name(W1274)</f>
        <v>华锋股份</v>
      </c>
      <c r="Y1274" s="276" t="str">
        <f ca="1">IF($Y$3="申万一级行业",[1]!s_info_industry_sw_2021(W1274,公司分析!D$5,1),IF($Y$3="申万二级行业",[1]!s_info_industry_sw_2021(W1274,公司分析!D$5,2),IF($Y$3="申万三级行业",[1]!s_info_industry_sw_2021(W1274,公司分析!D$5,3),IF($Y$3="wind一级行业",[1]!s_info_industry_gics(W1274,1),IF($Y$3="wind二级行业",[1]!s_info_industry_gics(W1274,2),IF($Y$3="wind三级行业",[1]!s_info_industry_gics(W1274,3),IF($Y$3="wind四级行业",[1]!s_info_industry_gics(W1274,4),IF($Y$3="证监会门类行业",[1]!s_info_industry_csrc12_n(W1274,公司分析!D$5,1),""))))))))</f>
        <v>汽车零部件</v>
      </c>
      <c r="Z1274" s="302" t="str">
        <f ca="1">IF(Y1274=行业比较!$E$6,ROW(),"")</f>
        <v/>
      </c>
      <c r="AA1274" s="122"/>
      <c r="AB1274" s="122"/>
      <c r="AC1274" s="122"/>
      <c r="AD1274" s="122"/>
      <c r="AE1274" s="122"/>
      <c r="AF1274" s="122"/>
      <c r="AG1274" s="122"/>
      <c r="AH1274" s="122"/>
      <c r="AI1274" s="122"/>
      <c r="AJ1274" s="122"/>
      <c r="AK1274" s="122"/>
      <c r="AL1274" s="122"/>
      <c r="AM1274" s="122"/>
      <c r="AN1274" s="122"/>
      <c r="AO1274" s="122"/>
      <c r="AP1274" s="122"/>
    </row>
    <row r="1275" spans="2:42">
      <c r="B1275" s="122"/>
      <c r="C1275" s="122"/>
      <c r="D1275" s="122"/>
      <c r="E1275" s="122"/>
      <c r="F1275" s="122"/>
      <c r="G1275" s="122"/>
      <c r="H1275" s="122"/>
      <c r="I1275" s="275"/>
      <c r="J1275" s="130"/>
      <c r="K1275" s="130"/>
      <c r="L1275" s="130"/>
      <c r="M1275" s="130"/>
      <c r="N1275" s="291"/>
      <c r="O1275" s="291"/>
      <c r="P1275" s="122"/>
      <c r="Q1275" s="122"/>
      <c r="R1275" s="122"/>
      <c r="S1275" s="122"/>
      <c r="T1275" s="122"/>
      <c r="U1275" s="301"/>
      <c r="V1275" s="260">
        <f t="shared" ca="1" si="27"/>
        <v>0</v>
      </c>
      <c r="W1275" s="348" t="str">
        <f>IF(板块成分!B1277="","",板块成分!B1277)</f>
        <v>002807.SZ</v>
      </c>
      <c r="X1275" s="276" t="str">
        <f>[1]!S_Info_Name(W1275)</f>
        <v>江阴银行</v>
      </c>
      <c r="Y1275" s="276" t="str">
        <f ca="1">IF($Y$3="申万一级行业",[1]!s_info_industry_sw_2021(W1275,公司分析!D$5,1),IF($Y$3="申万二级行业",[1]!s_info_industry_sw_2021(W1275,公司分析!D$5,2),IF($Y$3="申万三级行业",[1]!s_info_industry_sw_2021(W1275,公司分析!D$5,3),IF($Y$3="wind一级行业",[1]!s_info_industry_gics(W1275,1),IF($Y$3="wind二级行业",[1]!s_info_industry_gics(W1275,2),IF($Y$3="wind三级行业",[1]!s_info_industry_gics(W1275,3),IF($Y$3="wind四级行业",[1]!s_info_industry_gics(W1275,4),IF($Y$3="证监会门类行业",[1]!s_info_industry_csrc12_n(W1275,公司分析!D$5,1),""))))))))</f>
        <v>农商行Ⅱ</v>
      </c>
      <c r="Z1275" s="302" t="str">
        <f ca="1">IF(Y1275=行业比较!$E$6,ROW(),"")</f>
        <v/>
      </c>
      <c r="AA1275" s="122"/>
      <c r="AB1275" s="122"/>
      <c r="AC1275" s="122"/>
      <c r="AD1275" s="122"/>
      <c r="AE1275" s="122"/>
      <c r="AF1275" s="122"/>
      <c r="AG1275" s="122"/>
      <c r="AH1275" s="122"/>
      <c r="AI1275" s="122"/>
      <c r="AJ1275" s="122"/>
      <c r="AK1275" s="122"/>
      <c r="AL1275" s="122"/>
      <c r="AM1275" s="122"/>
      <c r="AN1275" s="122"/>
      <c r="AO1275" s="122"/>
      <c r="AP1275" s="122"/>
    </row>
    <row r="1276" spans="2:42">
      <c r="B1276" s="122"/>
      <c r="C1276" s="122"/>
      <c r="D1276" s="122"/>
      <c r="E1276" s="122"/>
      <c r="F1276" s="122"/>
      <c r="G1276" s="122"/>
      <c r="H1276" s="122"/>
      <c r="I1276" s="275"/>
      <c r="J1276" s="130"/>
      <c r="K1276" s="130"/>
      <c r="L1276" s="130"/>
      <c r="M1276" s="130"/>
      <c r="N1276" s="291"/>
      <c r="O1276" s="291"/>
      <c r="P1276" s="122"/>
      <c r="Q1276" s="122"/>
      <c r="R1276" s="122"/>
      <c r="S1276" s="122"/>
      <c r="T1276" s="122"/>
      <c r="U1276" s="301"/>
      <c r="V1276" s="260">
        <f t="shared" ca="1" si="27"/>
        <v>0</v>
      </c>
      <c r="W1276" s="348" t="str">
        <f>IF(板块成分!B1278="","",板块成分!B1278)</f>
        <v>002808.SZ</v>
      </c>
      <c r="X1276" s="276" t="str">
        <f>[1]!S_Info_Name(W1276)</f>
        <v>*ST恒久</v>
      </c>
      <c r="Y1276" s="276" t="str">
        <f ca="1">IF($Y$3="申万一级行业",[1]!s_info_industry_sw_2021(W1276,公司分析!D$5,1),IF($Y$3="申万二级行业",[1]!s_info_industry_sw_2021(W1276,公司分析!D$5,2),IF($Y$3="申万三级行业",[1]!s_info_industry_sw_2021(W1276,公司分析!D$5,3),IF($Y$3="wind一级行业",[1]!s_info_industry_gics(W1276,1),IF($Y$3="wind二级行业",[1]!s_info_industry_gics(W1276,2),IF($Y$3="wind三级行业",[1]!s_info_industry_gics(W1276,3),IF($Y$3="wind四级行业",[1]!s_info_industry_gics(W1276,4),IF($Y$3="证监会门类行业",[1]!s_info_industry_csrc12_n(W1276,公司分析!D$5,1),""))))))))</f>
        <v>光学光电子</v>
      </c>
      <c r="Z1276" s="302" t="str">
        <f ca="1">IF(Y1276=行业比较!$E$6,ROW(),"")</f>
        <v/>
      </c>
      <c r="AA1276" s="122"/>
      <c r="AB1276" s="122"/>
      <c r="AC1276" s="122"/>
      <c r="AD1276" s="122"/>
      <c r="AE1276" s="122"/>
      <c r="AF1276" s="122"/>
      <c r="AG1276" s="122"/>
      <c r="AH1276" s="122"/>
      <c r="AI1276" s="122"/>
      <c r="AJ1276" s="122"/>
      <c r="AK1276" s="122"/>
      <c r="AL1276" s="122"/>
      <c r="AM1276" s="122"/>
      <c r="AN1276" s="122"/>
      <c r="AO1276" s="122"/>
      <c r="AP1276" s="122"/>
    </row>
    <row r="1277" spans="2:42">
      <c r="B1277" s="122"/>
      <c r="C1277" s="122"/>
      <c r="D1277" s="122"/>
      <c r="E1277" s="122"/>
      <c r="F1277" s="122"/>
      <c r="G1277" s="122"/>
      <c r="H1277" s="122"/>
      <c r="I1277" s="275"/>
      <c r="J1277" s="130"/>
      <c r="K1277" s="130"/>
      <c r="L1277" s="130"/>
      <c r="M1277" s="130"/>
      <c r="N1277" s="291"/>
      <c r="O1277" s="291"/>
      <c r="P1277" s="122"/>
      <c r="Q1277" s="122"/>
      <c r="R1277" s="122"/>
      <c r="S1277" s="122"/>
      <c r="T1277" s="122"/>
      <c r="U1277" s="301"/>
      <c r="V1277" s="260">
        <f t="shared" ca="1" si="27"/>
        <v>0</v>
      </c>
      <c r="W1277" s="348" t="str">
        <f>IF(板块成分!B1279="","",板块成分!B1279)</f>
        <v>002809.SZ</v>
      </c>
      <c r="X1277" s="276" t="str">
        <f>[1]!S_Info_Name(W1277)</f>
        <v>红墙股份</v>
      </c>
      <c r="Y1277" s="276" t="str">
        <f ca="1">IF($Y$3="申万一级行业",[1]!s_info_industry_sw_2021(W1277,公司分析!D$5,1),IF($Y$3="申万二级行业",[1]!s_info_industry_sw_2021(W1277,公司分析!D$5,2),IF($Y$3="申万三级行业",[1]!s_info_industry_sw_2021(W1277,公司分析!D$5,3),IF($Y$3="wind一级行业",[1]!s_info_industry_gics(W1277,1),IF($Y$3="wind二级行业",[1]!s_info_industry_gics(W1277,2),IF($Y$3="wind三级行业",[1]!s_info_industry_gics(W1277,3),IF($Y$3="wind四级行业",[1]!s_info_industry_gics(W1277,4),IF($Y$3="证监会门类行业",[1]!s_info_industry_csrc12_n(W1277,公司分析!D$5,1),""))))))))</f>
        <v>化学制品</v>
      </c>
      <c r="Z1277" s="302" t="str">
        <f ca="1">IF(Y1277=行业比较!$E$6,ROW(),"")</f>
        <v/>
      </c>
      <c r="AA1277" s="122"/>
      <c r="AB1277" s="122"/>
      <c r="AC1277" s="122"/>
      <c r="AD1277" s="122"/>
      <c r="AE1277" s="122"/>
      <c r="AF1277" s="122"/>
      <c r="AG1277" s="122"/>
      <c r="AH1277" s="122"/>
      <c r="AI1277" s="122"/>
      <c r="AJ1277" s="122"/>
      <c r="AK1277" s="122"/>
      <c r="AL1277" s="122"/>
      <c r="AM1277" s="122"/>
      <c r="AN1277" s="122"/>
      <c r="AO1277" s="122"/>
      <c r="AP1277" s="122"/>
    </row>
    <row r="1278" spans="2:42">
      <c r="B1278" s="122"/>
      <c r="C1278" s="122"/>
      <c r="D1278" s="122"/>
      <c r="E1278" s="122"/>
      <c r="F1278" s="122"/>
      <c r="G1278" s="122"/>
      <c r="H1278" s="122"/>
      <c r="I1278" s="275"/>
      <c r="J1278" s="130"/>
      <c r="K1278" s="130"/>
      <c r="L1278" s="130"/>
      <c r="M1278" s="130"/>
      <c r="N1278" s="291"/>
      <c r="O1278" s="291"/>
      <c r="P1278" s="122"/>
      <c r="Q1278" s="122"/>
      <c r="R1278" s="122"/>
      <c r="S1278" s="122"/>
      <c r="T1278" s="122"/>
      <c r="U1278" s="301"/>
      <c r="V1278" s="260">
        <f t="shared" ca="1" si="27"/>
        <v>0</v>
      </c>
      <c r="W1278" s="348" t="str">
        <f>IF(板块成分!B1280="","",板块成分!B1280)</f>
        <v>002810.SZ</v>
      </c>
      <c r="X1278" s="276" t="str">
        <f>[1]!S_Info_Name(W1278)</f>
        <v>山东赫达</v>
      </c>
      <c r="Y1278" s="276" t="str">
        <f ca="1">IF($Y$3="申万一级行业",[1]!s_info_industry_sw_2021(W1278,公司分析!D$5,1),IF($Y$3="申万二级行业",[1]!s_info_industry_sw_2021(W1278,公司分析!D$5,2),IF($Y$3="申万三级行业",[1]!s_info_industry_sw_2021(W1278,公司分析!D$5,3),IF($Y$3="wind一级行业",[1]!s_info_industry_gics(W1278,1),IF($Y$3="wind二级行业",[1]!s_info_industry_gics(W1278,2),IF($Y$3="wind三级行业",[1]!s_info_industry_gics(W1278,3),IF($Y$3="wind四级行业",[1]!s_info_industry_gics(W1278,4),IF($Y$3="证监会门类行业",[1]!s_info_industry_csrc12_n(W1278,公司分析!D$5,1),""))))))))</f>
        <v>化学制品</v>
      </c>
      <c r="Z1278" s="302" t="str">
        <f ca="1">IF(Y1278=行业比较!$E$6,ROW(),"")</f>
        <v/>
      </c>
      <c r="AA1278" s="122"/>
      <c r="AB1278" s="122"/>
      <c r="AC1278" s="122"/>
      <c r="AD1278" s="122"/>
      <c r="AE1278" s="122"/>
      <c r="AF1278" s="122"/>
      <c r="AG1278" s="122"/>
      <c r="AH1278" s="122"/>
      <c r="AI1278" s="122"/>
      <c r="AJ1278" s="122"/>
      <c r="AK1278" s="122"/>
      <c r="AL1278" s="122"/>
      <c r="AM1278" s="122"/>
      <c r="AN1278" s="122"/>
      <c r="AO1278" s="122"/>
      <c r="AP1278" s="122"/>
    </row>
    <row r="1279" spans="2:42">
      <c r="B1279" s="122"/>
      <c r="C1279" s="122"/>
      <c r="D1279" s="122"/>
      <c r="E1279" s="122"/>
      <c r="F1279" s="122"/>
      <c r="G1279" s="122"/>
      <c r="H1279" s="122"/>
      <c r="I1279" s="275"/>
      <c r="J1279" s="130"/>
      <c r="K1279" s="130"/>
      <c r="L1279" s="130"/>
      <c r="M1279" s="130"/>
      <c r="N1279" s="291"/>
      <c r="O1279" s="291"/>
      <c r="P1279" s="122"/>
      <c r="Q1279" s="122"/>
      <c r="R1279" s="122"/>
      <c r="S1279" s="122"/>
      <c r="T1279" s="122"/>
      <c r="U1279" s="301"/>
      <c r="V1279" s="260">
        <f t="shared" ca="1" si="27"/>
        <v>0</v>
      </c>
      <c r="W1279" s="348" t="str">
        <f>IF(板块成分!B1281="","",板块成分!B1281)</f>
        <v>002811.SZ</v>
      </c>
      <c r="X1279" s="276" t="str">
        <f>[1]!S_Info_Name(W1279)</f>
        <v>郑中设计</v>
      </c>
      <c r="Y1279" s="276" t="str">
        <f ca="1">IF($Y$3="申万一级行业",[1]!s_info_industry_sw_2021(W1279,公司分析!D$5,1),IF($Y$3="申万二级行业",[1]!s_info_industry_sw_2021(W1279,公司分析!D$5,2),IF($Y$3="申万三级行业",[1]!s_info_industry_sw_2021(W1279,公司分析!D$5,3),IF($Y$3="wind一级行业",[1]!s_info_industry_gics(W1279,1),IF($Y$3="wind二级行业",[1]!s_info_industry_gics(W1279,2),IF($Y$3="wind三级行业",[1]!s_info_industry_gics(W1279,3),IF($Y$3="wind四级行业",[1]!s_info_industry_gics(W1279,4),IF($Y$3="证监会门类行业",[1]!s_info_industry_csrc12_n(W1279,公司分析!D$5,1),""))))))))</f>
        <v>装修装饰Ⅱ</v>
      </c>
      <c r="Z1279" s="302" t="str">
        <f ca="1">IF(Y1279=行业比较!$E$6,ROW(),"")</f>
        <v/>
      </c>
      <c r="AA1279" s="122"/>
      <c r="AB1279" s="122"/>
      <c r="AC1279" s="122"/>
      <c r="AD1279" s="122"/>
      <c r="AE1279" s="122"/>
      <c r="AF1279" s="122"/>
      <c r="AG1279" s="122"/>
      <c r="AH1279" s="122"/>
      <c r="AI1279" s="122"/>
      <c r="AJ1279" s="122"/>
      <c r="AK1279" s="122"/>
      <c r="AL1279" s="122"/>
      <c r="AM1279" s="122"/>
      <c r="AN1279" s="122"/>
      <c r="AO1279" s="122"/>
      <c r="AP1279" s="122"/>
    </row>
    <row r="1280" spans="2:42">
      <c r="B1280" s="122"/>
      <c r="C1280" s="122"/>
      <c r="D1280" s="122"/>
      <c r="E1280" s="122"/>
      <c r="F1280" s="122"/>
      <c r="G1280" s="122"/>
      <c r="H1280" s="122"/>
      <c r="I1280" s="275"/>
      <c r="J1280" s="130"/>
      <c r="K1280" s="130"/>
      <c r="L1280" s="130"/>
      <c r="M1280" s="130"/>
      <c r="N1280" s="291"/>
      <c r="O1280" s="291"/>
      <c r="P1280" s="122"/>
      <c r="Q1280" s="122"/>
      <c r="R1280" s="122"/>
      <c r="S1280" s="122"/>
      <c r="T1280" s="122"/>
      <c r="U1280" s="301"/>
      <c r="V1280" s="260">
        <f t="shared" ca="1" si="27"/>
        <v>0</v>
      </c>
      <c r="W1280" s="348" t="str">
        <f>IF(板块成分!B1282="","",板块成分!B1282)</f>
        <v>002812.SZ</v>
      </c>
      <c r="X1280" s="276" t="str">
        <f>[1]!S_Info_Name(W1280)</f>
        <v>恩捷股份</v>
      </c>
      <c r="Y1280" s="276" t="str">
        <f ca="1">IF($Y$3="申万一级行业",[1]!s_info_industry_sw_2021(W1280,公司分析!D$5,1),IF($Y$3="申万二级行业",[1]!s_info_industry_sw_2021(W1280,公司分析!D$5,2),IF($Y$3="申万三级行业",[1]!s_info_industry_sw_2021(W1280,公司分析!D$5,3),IF($Y$3="wind一级行业",[1]!s_info_industry_gics(W1280,1),IF($Y$3="wind二级行业",[1]!s_info_industry_gics(W1280,2),IF($Y$3="wind三级行业",[1]!s_info_industry_gics(W1280,3),IF($Y$3="wind四级行业",[1]!s_info_industry_gics(W1280,4),IF($Y$3="证监会门类行业",[1]!s_info_industry_csrc12_n(W1280,公司分析!D$5,1),""))))))))</f>
        <v>电池</v>
      </c>
      <c r="Z1280" s="302" t="str">
        <f ca="1">IF(Y1280=行业比较!$E$6,ROW(),"")</f>
        <v/>
      </c>
      <c r="AA1280" s="122"/>
      <c r="AB1280" s="122"/>
      <c r="AC1280" s="122"/>
      <c r="AD1280" s="122"/>
      <c r="AE1280" s="122"/>
      <c r="AF1280" s="122"/>
      <c r="AG1280" s="122"/>
      <c r="AH1280" s="122"/>
      <c r="AI1280" s="122"/>
      <c r="AJ1280" s="122"/>
      <c r="AK1280" s="122"/>
      <c r="AL1280" s="122"/>
      <c r="AM1280" s="122"/>
      <c r="AN1280" s="122"/>
      <c r="AO1280" s="122"/>
      <c r="AP1280" s="122"/>
    </row>
    <row r="1281" spans="2:42">
      <c r="B1281" s="122"/>
      <c r="C1281" s="122"/>
      <c r="D1281" s="122"/>
      <c r="E1281" s="122"/>
      <c r="F1281" s="122"/>
      <c r="G1281" s="122"/>
      <c r="H1281" s="122"/>
      <c r="I1281" s="275"/>
      <c r="J1281" s="130"/>
      <c r="K1281" s="130"/>
      <c r="L1281" s="130"/>
      <c r="M1281" s="130"/>
      <c r="N1281" s="291"/>
      <c r="O1281" s="291"/>
      <c r="P1281" s="122"/>
      <c r="Q1281" s="122"/>
      <c r="R1281" s="122"/>
      <c r="S1281" s="122"/>
      <c r="T1281" s="122"/>
      <c r="U1281" s="301"/>
      <c r="V1281" s="260">
        <f t="shared" ca="1" si="27"/>
        <v>0</v>
      </c>
      <c r="W1281" s="348" t="str">
        <f>IF(板块成分!B1283="","",板块成分!B1283)</f>
        <v>002813.SZ</v>
      </c>
      <c r="X1281" s="276" t="str">
        <f>[1]!S_Info_Name(W1281)</f>
        <v>路畅科技</v>
      </c>
      <c r="Y1281" s="276" t="str">
        <f ca="1">IF($Y$3="申万一级行业",[1]!s_info_industry_sw_2021(W1281,公司分析!D$5,1),IF($Y$3="申万二级行业",[1]!s_info_industry_sw_2021(W1281,公司分析!D$5,2),IF($Y$3="申万三级行业",[1]!s_info_industry_sw_2021(W1281,公司分析!D$5,3),IF($Y$3="wind一级行业",[1]!s_info_industry_gics(W1281,1),IF($Y$3="wind二级行业",[1]!s_info_industry_gics(W1281,2),IF($Y$3="wind三级行业",[1]!s_info_industry_gics(W1281,3),IF($Y$3="wind四级行业",[1]!s_info_industry_gics(W1281,4),IF($Y$3="证监会门类行业",[1]!s_info_industry_csrc12_n(W1281,公司分析!D$5,1),""))))))))</f>
        <v>汽车零部件</v>
      </c>
      <c r="Z1281" s="302" t="str">
        <f ca="1">IF(Y1281=行业比较!$E$6,ROW(),"")</f>
        <v/>
      </c>
      <c r="AA1281" s="122"/>
      <c r="AB1281" s="122"/>
      <c r="AC1281" s="122"/>
      <c r="AD1281" s="122"/>
      <c r="AE1281" s="122"/>
      <c r="AF1281" s="122"/>
      <c r="AG1281" s="122"/>
      <c r="AH1281" s="122"/>
      <c r="AI1281" s="122"/>
      <c r="AJ1281" s="122"/>
      <c r="AK1281" s="122"/>
      <c r="AL1281" s="122"/>
      <c r="AM1281" s="122"/>
      <c r="AN1281" s="122"/>
      <c r="AO1281" s="122"/>
      <c r="AP1281" s="122"/>
    </row>
    <row r="1282" spans="2:42">
      <c r="B1282" s="122"/>
      <c r="C1282" s="122"/>
      <c r="D1282" s="122"/>
      <c r="E1282" s="122"/>
      <c r="F1282" s="122"/>
      <c r="G1282" s="122"/>
      <c r="H1282" s="122"/>
      <c r="I1282" s="275"/>
      <c r="J1282" s="130"/>
      <c r="K1282" s="130"/>
      <c r="L1282" s="130"/>
      <c r="M1282" s="130"/>
      <c r="N1282" s="291"/>
      <c r="O1282" s="291"/>
      <c r="P1282" s="122"/>
      <c r="Q1282" s="122"/>
      <c r="R1282" s="122"/>
      <c r="S1282" s="122"/>
      <c r="T1282" s="122"/>
      <c r="U1282" s="301"/>
      <c r="V1282" s="260">
        <f t="shared" ca="1" si="27"/>
        <v>0</v>
      </c>
      <c r="W1282" s="348" t="str">
        <f>IF(板块成分!B1284="","",板块成分!B1284)</f>
        <v>002815.SZ</v>
      </c>
      <c r="X1282" s="276" t="str">
        <f>[1]!S_Info_Name(W1282)</f>
        <v>崇达技术</v>
      </c>
      <c r="Y1282" s="276" t="str">
        <f ca="1">IF($Y$3="申万一级行业",[1]!s_info_industry_sw_2021(W1282,公司分析!D$5,1),IF($Y$3="申万二级行业",[1]!s_info_industry_sw_2021(W1282,公司分析!D$5,2),IF($Y$3="申万三级行业",[1]!s_info_industry_sw_2021(W1282,公司分析!D$5,3),IF($Y$3="wind一级行业",[1]!s_info_industry_gics(W1282,1),IF($Y$3="wind二级行业",[1]!s_info_industry_gics(W1282,2),IF($Y$3="wind三级行业",[1]!s_info_industry_gics(W1282,3),IF($Y$3="wind四级行业",[1]!s_info_industry_gics(W1282,4),IF($Y$3="证监会门类行业",[1]!s_info_industry_csrc12_n(W1282,公司分析!D$5,1),""))))))))</f>
        <v>元件</v>
      </c>
      <c r="Z1282" s="302" t="str">
        <f ca="1">IF(Y1282=行业比较!$E$6,ROW(),"")</f>
        <v/>
      </c>
      <c r="AA1282" s="122"/>
      <c r="AB1282" s="122"/>
      <c r="AC1282" s="122"/>
      <c r="AD1282" s="122"/>
      <c r="AE1282" s="122"/>
      <c r="AF1282" s="122"/>
      <c r="AG1282" s="122"/>
      <c r="AH1282" s="122"/>
      <c r="AI1282" s="122"/>
      <c r="AJ1282" s="122"/>
      <c r="AK1282" s="122"/>
      <c r="AL1282" s="122"/>
      <c r="AM1282" s="122"/>
      <c r="AN1282" s="122"/>
      <c r="AO1282" s="122"/>
      <c r="AP1282" s="122"/>
    </row>
    <row r="1283" spans="2:42">
      <c r="B1283" s="122"/>
      <c r="C1283" s="122"/>
      <c r="D1283" s="122"/>
      <c r="E1283" s="122"/>
      <c r="F1283" s="122"/>
      <c r="G1283" s="122"/>
      <c r="H1283" s="122"/>
      <c r="I1283" s="275"/>
      <c r="J1283" s="130"/>
      <c r="K1283" s="130"/>
      <c r="L1283" s="130"/>
      <c r="M1283" s="130"/>
      <c r="N1283" s="291"/>
      <c r="O1283" s="291"/>
      <c r="P1283" s="122"/>
      <c r="Q1283" s="122"/>
      <c r="R1283" s="122"/>
      <c r="S1283" s="122"/>
      <c r="T1283" s="122"/>
      <c r="U1283" s="301"/>
      <c r="V1283" s="260">
        <f t="shared" ca="1" si="27"/>
        <v>0</v>
      </c>
      <c r="W1283" s="348" t="str">
        <f>IF(板块成分!B1285="","",板块成分!B1285)</f>
        <v>002816.SZ</v>
      </c>
      <c r="X1283" s="276" t="str">
        <f>[1]!S_Info_Name(W1283)</f>
        <v>*ST和科</v>
      </c>
      <c r="Y1283" s="276" t="str">
        <f ca="1">IF($Y$3="申万一级行业",[1]!s_info_industry_sw_2021(W1283,公司分析!D$5,1),IF($Y$3="申万二级行业",[1]!s_info_industry_sw_2021(W1283,公司分析!D$5,2),IF($Y$3="申万三级行业",[1]!s_info_industry_sw_2021(W1283,公司分析!D$5,3),IF($Y$3="wind一级行业",[1]!s_info_industry_gics(W1283,1),IF($Y$3="wind二级行业",[1]!s_info_industry_gics(W1283,2),IF($Y$3="wind三级行业",[1]!s_info_industry_gics(W1283,3),IF($Y$3="wind四级行业",[1]!s_info_industry_gics(W1283,4),IF($Y$3="证监会门类行业",[1]!s_info_industry_csrc12_n(W1283,公司分析!D$5,1),""))))))))</f>
        <v>专用设备</v>
      </c>
      <c r="Z1283" s="302" t="str">
        <f ca="1">IF(Y1283=行业比较!$E$6,ROW(),"")</f>
        <v/>
      </c>
      <c r="AA1283" s="122"/>
      <c r="AB1283" s="122"/>
      <c r="AC1283" s="122"/>
      <c r="AD1283" s="122"/>
      <c r="AE1283" s="122"/>
      <c r="AF1283" s="122"/>
      <c r="AG1283" s="122"/>
      <c r="AH1283" s="122"/>
      <c r="AI1283" s="122"/>
      <c r="AJ1283" s="122"/>
      <c r="AK1283" s="122"/>
      <c r="AL1283" s="122"/>
      <c r="AM1283" s="122"/>
      <c r="AN1283" s="122"/>
      <c r="AO1283" s="122"/>
      <c r="AP1283" s="122"/>
    </row>
    <row r="1284" spans="2:42">
      <c r="B1284" s="122"/>
      <c r="C1284" s="122"/>
      <c r="D1284" s="122"/>
      <c r="E1284" s="122"/>
      <c r="F1284" s="122"/>
      <c r="G1284" s="122"/>
      <c r="H1284" s="122"/>
      <c r="I1284" s="275"/>
      <c r="J1284" s="130"/>
      <c r="K1284" s="130"/>
      <c r="L1284" s="130"/>
      <c r="M1284" s="130"/>
      <c r="N1284" s="291"/>
      <c r="O1284" s="291"/>
      <c r="P1284" s="122"/>
      <c r="Q1284" s="122"/>
      <c r="R1284" s="122"/>
      <c r="S1284" s="122"/>
      <c r="T1284" s="122"/>
      <c r="U1284" s="301"/>
      <c r="V1284" s="260">
        <f t="shared" ca="1" si="27"/>
        <v>0</v>
      </c>
      <c r="W1284" s="348" t="str">
        <f>IF(板块成分!B1286="","",板块成分!B1286)</f>
        <v>002817.SZ</v>
      </c>
      <c r="X1284" s="276" t="str">
        <f>[1]!S_Info_Name(W1284)</f>
        <v>黄山胶囊</v>
      </c>
      <c r="Y1284" s="276" t="str">
        <f ca="1">IF($Y$3="申万一级行业",[1]!s_info_industry_sw_2021(W1284,公司分析!D$5,1),IF($Y$3="申万二级行业",[1]!s_info_industry_sw_2021(W1284,公司分析!D$5,2),IF($Y$3="申万三级行业",[1]!s_info_industry_sw_2021(W1284,公司分析!D$5,3),IF($Y$3="wind一级行业",[1]!s_info_industry_gics(W1284,1),IF($Y$3="wind二级行业",[1]!s_info_industry_gics(W1284,2),IF($Y$3="wind三级行业",[1]!s_info_industry_gics(W1284,3),IF($Y$3="wind四级行业",[1]!s_info_industry_gics(W1284,4),IF($Y$3="证监会门类行业",[1]!s_info_industry_csrc12_n(W1284,公司分析!D$5,1),""))))))))</f>
        <v>化学制药</v>
      </c>
      <c r="Z1284" s="302" t="str">
        <f ca="1">IF(Y1284=行业比较!$E$6,ROW(),"")</f>
        <v/>
      </c>
      <c r="AA1284" s="122"/>
      <c r="AB1284" s="122"/>
      <c r="AC1284" s="122"/>
      <c r="AD1284" s="122"/>
      <c r="AE1284" s="122"/>
      <c r="AF1284" s="122"/>
      <c r="AG1284" s="122"/>
      <c r="AH1284" s="122"/>
      <c r="AI1284" s="122"/>
      <c r="AJ1284" s="122"/>
      <c r="AK1284" s="122"/>
      <c r="AL1284" s="122"/>
      <c r="AM1284" s="122"/>
      <c r="AN1284" s="122"/>
      <c r="AO1284" s="122"/>
      <c r="AP1284" s="122"/>
    </row>
    <row r="1285" spans="2:42">
      <c r="B1285" s="122"/>
      <c r="C1285" s="122"/>
      <c r="D1285" s="122"/>
      <c r="E1285" s="122"/>
      <c r="F1285" s="122"/>
      <c r="G1285" s="122"/>
      <c r="H1285" s="122"/>
      <c r="I1285" s="275"/>
      <c r="J1285" s="130"/>
      <c r="K1285" s="130"/>
      <c r="L1285" s="130"/>
      <c r="M1285" s="130"/>
      <c r="N1285" s="291"/>
      <c r="O1285" s="291"/>
      <c r="P1285" s="122"/>
      <c r="Q1285" s="122"/>
      <c r="R1285" s="122"/>
      <c r="S1285" s="122"/>
      <c r="T1285" s="122"/>
      <c r="U1285" s="301"/>
      <c r="V1285" s="260">
        <f t="shared" ref="V1285:V1348" ca="1" si="28">IF(Z1285="",0,RANK(Z1285,Z:Z,1))</f>
        <v>0</v>
      </c>
      <c r="W1285" s="348" t="str">
        <f>IF(板块成分!B1287="","",板块成分!B1287)</f>
        <v>002818.SZ</v>
      </c>
      <c r="X1285" s="276" t="str">
        <f>[1]!S_Info_Name(W1285)</f>
        <v>富森美</v>
      </c>
      <c r="Y1285" s="276" t="str">
        <f ca="1">IF($Y$3="申万一级行业",[1]!s_info_industry_sw_2021(W1285,公司分析!D$5,1),IF($Y$3="申万二级行业",[1]!s_info_industry_sw_2021(W1285,公司分析!D$5,2),IF($Y$3="申万三级行业",[1]!s_info_industry_sw_2021(W1285,公司分析!D$5,3),IF($Y$3="wind一级行业",[1]!s_info_industry_gics(W1285,1),IF($Y$3="wind二级行业",[1]!s_info_industry_gics(W1285,2),IF($Y$3="wind三级行业",[1]!s_info_industry_gics(W1285,3),IF($Y$3="wind四级行业",[1]!s_info_industry_gics(W1285,4),IF($Y$3="证监会门类行业",[1]!s_info_industry_csrc12_n(W1285,公司分析!D$5,1),""))))))))</f>
        <v>一般零售</v>
      </c>
      <c r="Z1285" s="302" t="str">
        <f ca="1">IF(Y1285=行业比较!$E$6,ROW(),"")</f>
        <v/>
      </c>
      <c r="AA1285" s="122"/>
      <c r="AB1285" s="122"/>
      <c r="AC1285" s="122"/>
      <c r="AD1285" s="122"/>
      <c r="AE1285" s="122"/>
      <c r="AF1285" s="122"/>
      <c r="AG1285" s="122"/>
      <c r="AH1285" s="122"/>
      <c r="AI1285" s="122"/>
      <c r="AJ1285" s="122"/>
      <c r="AK1285" s="122"/>
      <c r="AL1285" s="122"/>
      <c r="AM1285" s="122"/>
      <c r="AN1285" s="122"/>
      <c r="AO1285" s="122"/>
      <c r="AP1285" s="122"/>
    </row>
    <row r="1286" spans="2:42">
      <c r="B1286" s="122"/>
      <c r="C1286" s="122"/>
      <c r="D1286" s="122"/>
      <c r="E1286" s="122"/>
      <c r="F1286" s="122"/>
      <c r="G1286" s="122"/>
      <c r="H1286" s="122"/>
      <c r="I1286" s="275"/>
      <c r="J1286" s="130"/>
      <c r="K1286" s="130"/>
      <c r="L1286" s="130"/>
      <c r="M1286" s="130"/>
      <c r="N1286" s="291"/>
      <c r="O1286" s="291"/>
      <c r="P1286" s="122"/>
      <c r="Q1286" s="122"/>
      <c r="R1286" s="122"/>
      <c r="S1286" s="122"/>
      <c r="T1286" s="122"/>
      <c r="U1286" s="301"/>
      <c r="V1286" s="260">
        <f t="shared" ca="1" si="28"/>
        <v>0</v>
      </c>
      <c r="W1286" s="348" t="str">
        <f>IF(板块成分!B1288="","",板块成分!B1288)</f>
        <v>002819.SZ</v>
      </c>
      <c r="X1286" s="276" t="str">
        <f>[1]!S_Info_Name(W1286)</f>
        <v>东方中科</v>
      </c>
      <c r="Y1286" s="276" t="str">
        <f ca="1">IF($Y$3="申万一级行业",[1]!s_info_industry_sw_2021(W1286,公司分析!D$5,1),IF($Y$3="申万二级行业",[1]!s_info_industry_sw_2021(W1286,公司分析!D$5,2),IF($Y$3="申万三级行业",[1]!s_info_industry_sw_2021(W1286,公司分析!D$5,3),IF($Y$3="wind一级行业",[1]!s_info_industry_gics(W1286,1),IF($Y$3="wind二级行业",[1]!s_info_industry_gics(W1286,2),IF($Y$3="wind三级行业",[1]!s_info_industry_gics(W1286,3),IF($Y$3="wind四级行业",[1]!s_info_industry_gics(W1286,4),IF($Y$3="证监会门类行业",[1]!s_info_industry_csrc12_n(W1286,公司分析!D$5,1),""))))))))</f>
        <v>通用设备</v>
      </c>
      <c r="Z1286" s="302" t="str">
        <f ca="1">IF(Y1286=行业比较!$E$6,ROW(),"")</f>
        <v/>
      </c>
      <c r="AA1286" s="122"/>
      <c r="AB1286" s="122"/>
      <c r="AC1286" s="122"/>
      <c r="AD1286" s="122"/>
      <c r="AE1286" s="122"/>
      <c r="AF1286" s="122"/>
      <c r="AG1286" s="122"/>
      <c r="AH1286" s="122"/>
      <c r="AI1286" s="122"/>
      <c r="AJ1286" s="122"/>
      <c r="AK1286" s="122"/>
      <c r="AL1286" s="122"/>
      <c r="AM1286" s="122"/>
      <c r="AN1286" s="122"/>
      <c r="AO1286" s="122"/>
      <c r="AP1286" s="122"/>
    </row>
    <row r="1287" spans="2:42">
      <c r="B1287" s="122"/>
      <c r="C1287" s="122"/>
      <c r="D1287" s="122"/>
      <c r="E1287" s="122"/>
      <c r="F1287" s="122"/>
      <c r="G1287" s="122"/>
      <c r="H1287" s="122"/>
      <c r="I1287" s="275"/>
      <c r="J1287" s="130"/>
      <c r="K1287" s="130"/>
      <c r="L1287" s="130"/>
      <c r="M1287" s="130"/>
      <c r="N1287" s="291"/>
      <c r="O1287" s="291"/>
      <c r="P1287" s="122"/>
      <c r="Q1287" s="122"/>
      <c r="R1287" s="122"/>
      <c r="S1287" s="122"/>
      <c r="T1287" s="122"/>
      <c r="U1287" s="301"/>
      <c r="V1287" s="260">
        <f t="shared" ca="1" si="28"/>
        <v>0</v>
      </c>
      <c r="W1287" s="348" t="str">
        <f>IF(板块成分!B1289="","",板块成分!B1289)</f>
        <v>002820.SZ</v>
      </c>
      <c r="X1287" s="276" t="str">
        <f>[1]!S_Info_Name(W1287)</f>
        <v>桂发祥</v>
      </c>
      <c r="Y1287" s="276" t="str">
        <f ca="1">IF($Y$3="申万一级行业",[1]!s_info_industry_sw_2021(W1287,公司分析!D$5,1),IF($Y$3="申万二级行业",[1]!s_info_industry_sw_2021(W1287,公司分析!D$5,2),IF($Y$3="申万三级行业",[1]!s_info_industry_sw_2021(W1287,公司分析!D$5,3),IF($Y$3="wind一级行业",[1]!s_info_industry_gics(W1287,1),IF($Y$3="wind二级行业",[1]!s_info_industry_gics(W1287,2),IF($Y$3="wind三级行业",[1]!s_info_industry_gics(W1287,3),IF($Y$3="wind四级行业",[1]!s_info_industry_gics(W1287,4),IF($Y$3="证监会门类行业",[1]!s_info_industry_csrc12_n(W1287,公司分析!D$5,1),""))))))))</f>
        <v>休闲食品</v>
      </c>
      <c r="Z1287" s="302" t="str">
        <f ca="1">IF(Y1287=行业比较!$E$6,ROW(),"")</f>
        <v/>
      </c>
      <c r="AA1287" s="122"/>
      <c r="AB1287" s="122"/>
      <c r="AC1287" s="122"/>
      <c r="AD1287" s="122"/>
      <c r="AE1287" s="122"/>
      <c r="AF1287" s="122"/>
      <c r="AG1287" s="122"/>
      <c r="AH1287" s="122"/>
      <c r="AI1287" s="122"/>
      <c r="AJ1287" s="122"/>
      <c r="AK1287" s="122"/>
      <c r="AL1287" s="122"/>
      <c r="AM1287" s="122"/>
      <c r="AN1287" s="122"/>
      <c r="AO1287" s="122"/>
      <c r="AP1287" s="122"/>
    </row>
    <row r="1288" spans="2:42">
      <c r="B1288" s="122"/>
      <c r="C1288" s="122"/>
      <c r="D1288" s="122"/>
      <c r="E1288" s="122"/>
      <c r="F1288" s="122"/>
      <c r="G1288" s="122"/>
      <c r="H1288" s="122"/>
      <c r="I1288" s="275"/>
      <c r="J1288" s="130"/>
      <c r="K1288" s="130"/>
      <c r="L1288" s="130"/>
      <c r="M1288" s="130"/>
      <c r="N1288" s="291"/>
      <c r="O1288" s="291"/>
      <c r="P1288" s="122"/>
      <c r="Q1288" s="122"/>
      <c r="R1288" s="122"/>
      <c r="S1288" s="122"/>
      <c r="T1288" s="122"/>
      <c r="U1288" s="301"/>
      <c r="V1288" s="260">
        <f t="shared" ca="1" si="28"/>
        <v>0</v>
      </c>
      <c r="W1288" s="348" t="str">
        <f>IF(板块成分!B1290="","",板块成分!B1290)</f>
        <v>002821.SZ</v>
      </c>
      <c r="X1288" s="276" t="str">
        <f>[1]!S_Info_Name(W1288)</f>
        <v>凯莱英</v>
      </c>
      <c r="Y1288" s="276" t="str">
        <f ca="1">IF($Y$3="申万一级行业",[1]!s_info_industry_sw_2021(W1288,公司分析!D$5,1),IF($Y$3="申万二级行业",[1]!s_info_industry_sw_2021(W1288,公司分析!D$5,2),IF($Y$3="申万三级行业",[1]!s_info_industry_sw_2021(W1288,公司分析!D$5,3),IF($Y$3="wind一级行业",[1]!s_info_industry_gics(W1288,1),IF($Y$3="wind二级行业",[1]!s_info_industry_gics(W1288,2),IF($Y$3="wind三级行业",[1]!s_info_industry_gics(W1288,3),IF($Y$3="wind四级行业",[1]!s_info_industry_gics(W1288,4),IF($Y$3="证监会门类行业",[1]!s_info_industry_csrc12_n(W1288,公司分析!D$5,1),""))))))))</f>
        <v>医疗服务</v>
      </c>
      <c r="Z1288" s="302" t="str">
        <f ca="1">IF(Y1288=行业比较!$E$6,ROW(),"")</f>
        <v/>
      </c>
      <c r="AA1288" s="122"/>
      <c r="AB1288" s="122"/>
      <c r="AC1288" s="122"/>
      <c r="AD1288" s="122"/>
      <c r="AE1288" s="122"/>
      <c r="AF1288" s="122"/>
      <c r="AG1288" s="122"/>
      <c r="AH1288" s="122"/>
      <c r="AI1288" s="122"/>
      <c r="AJ1288" s="122"/>
      <c r="AK1288" s="122"/>
      <c r="AL1288" s="122"/>
      <c r="AM1288" s="122"/>
      <c r="AN1288" s="122"/>
      <c r="AO1288" s="122"/>
      <c r="AP1288" s="122"/>
    </row>
    <row r="1289" spans="2:42">
      <c r="B1289" s="122"/>
      <c r="C1289" s="122"/>
      <c r="D1289" s="122"/>
      <c r="E1289" s="122"/>
      <c r="F1289" s="122"/>
      <c r="G1289" s="122"/>
      <c r="H1289" s="122"/>
      <c r="I1289" s="275"/>
      <c r="J1289" s="130"/>
      <c r="K1289" s="130"/>
      <c r="L1289" s="130"/>
      <c r="M1289" s="130"/>
      <c r="N1289" s="291"/>
      <c r="O1289" s="291"/>
      <c r="P1289" s="122"/>
      <c r="Q1289" s="122"/>
      <c r="R1289" s="122"/>
      <c r="S1289" s="122"/>
      <c r="T1289" s="122"/>
      <c r="U1289" s="301"/>
      <c r="V1289" s="260">
        <f t="shared" ca="1" si="28"/>
        <v>0</v>
      </c>
      <c r="W1289" s="348" t="str">
        <f>IF(板块成分!B1291="","",板块成分!B1291)</f>
        <v>002822.SZ</v>
      </c>
      <c r="X1289" s="276" t="str">
        <f>[1]!S_Info_Name(W1289)</f>
        <v>ST中装</v>
      </c>
      <c r="Y1289" s="276" t="str">
        <f ca="1">IF($Y$3="申万一级行业",[1]!s_info_industry_sw_2021(W1289,公司分析!D$5,1),IF($Y$3="申万二级行业",[1]!s_info_industry_sw_2021(W1289,公司分析!D$5,2),IF($Y$3="申万三级行业",[1]!s_info_industry_sw_2021(W1289,公司分析!D$5,3),IF($Y$3="wind一级行业",[1]!s_info_industry_gics(W1289,1),IF($Y$3="wind二级行业",[1]!s_info_industry_gics(W1289,2),IF($Y$3="wind三级行业",[1]!s_info_industry_gics(W1289,3),IF($Y$3="wind四级行业",[1]!s_info_industry_gics(W1289,4),IF($Y$3="证监会门类行业",[1]!s_info_industry_csrc12_n(W1289,公司分析!D$5,1),""))))))))</f>
        <v>装修装饰Ⅱ</v>
      </c>
      <c r="Z1289" s="302" t="str">
        <f ca="1">IF(Y1289=行业比较!$E$6,ROW(),"")</f>
        <v/>
      </c>
      <c r="AA1289" s="122"/>
      <c r="AB1289" s="122"/>
      <c r="AC1289" s="122"/>
      <c r="AD1289" s="122"/>
      <c r="AE1289" s="122"/>
      <c r="AF1289" s="122"/>
      <c r="AG1289" s="122"/>
      <c r="AH1289" s="122"/>
      <c r="AI1289" s="122"/>
      <c r="AJ1289" s="122"/>
      <c r="AK1289" s="122"/>
      <c r="AL1289" s="122"/>
      <c r="AM1289" s="122"/>
      <c r="AN1289" s="122"/>
      <c r="AO1289" s="122"/>
      <c r="AP1289" s="122"/>
    </row>
    <row r="1290" spans="2:42">
      <c r="B1290" s="122"/>
      <c r="C1290" s="122"/>
      <c r="D1290" s="122"/>
      <c r="E1290" s="122"/>
      <c r="F1290" s="122"/>
      <c r="G1290" s="122"/>
      <c r="H1290" s="122"/>
      <c r="I1290" s="275"/>
      <c r="J1290" s="130"/>
      <c r="K1290" s="130"/>
      <c r="L1290" s="130"/>
      <c r="M1290" s="130"/>
      <c r="N1290" s="291"/>
      <c r="O1290" s="291"/>
      <c r="P1290" s="122"/>
      <c r="Q1290" s="122"/>
      <c r="R1290" s="122"/>
      <c r="S1290" s="122"/>
      <c r="T1290" s="122"/>
      <c r="U1290" s="301"/>
      <c r="V1290" s="260">
        <f t="shared" ca="1" si="28"/>
        <v>0</v>
      </c>
      <c r="W1290" s="348" t="str">
        <f>IF(板块成分!B1292="","",板块成分!B1292)</f>
        <v>002823.SZ</v>
      </c>
      <c r="X1290" s="276" t="str">
        <f>[1]!S_Info_Name(W1290)</f>
        <v>凯中精密</v>
      </c>
      <c r="Y1290" s="276" t="str">
        <f ca="1">IF($Y$3="申万一级行业",[1]!s_info_industry_sw_2021(W1290,公司分析!D$5,1),IF($Y$3="申万二级行业",[1]!s_info_industry_sw_2021(W1290,公司分析!D$5,2),IF($Y$3="申万三级行业",[1]!s_info_industry_sw_2021(W1290,公司分析!D$5,3),IF($Y$3="wind一级行业",[1]!s_info_industry_gics(W1290,1),IF($Y$3="wind二级行业",[1]!s_info_industry_gics(W1290,2),IF($Y$3="wind三级行业",[1]!s_info_industry_gics(W1290,3),IF($Y$3="wind四级行业",[1]!s_info_industry_gics(W1290,4),IF($Y$3="证监会门类行业",[1]!s_info_industry_csrc12_n(W1290,公司分析!D$5,1),""))))))))</f>
        <v>电机Ⅱ</v>
      </c>
      <c r="Z1290" s="302" t="str">
        <f ca="1">IF(Y1290=行业比较!$E$6,ROW(),"")</f>
        <v/>
      </c>
      <c r="AA1290" s="122"/>
      <c r="AB1290" s="122"/>
      <c r="AC1290" s="122"/>
      <c r="AD1290" s="122"/>
      <c r="AE1290" s="122"/>
      <c r="AF1290" s="122"/>
      <c r="AG1290" s="122"/>
      <c r="AH1290" s="122"/>
      <c r="AI1290" s="122"/>
      <c r="AJ1290" s="122"/>
      <c r="AK1290" s="122"/>
      <c r="AL1290" s="122"/>
      <c r="AM1290" s="122"/>
      <c r="AN1290" s="122"/>
      <c r="AO1290" s="122"/>
      <c r="AP1290" s="122"/>
    </row>
    <row r="1291" spans="2:42">
      <c r="B1291" s="122"/>
      <c r="C1291" s="122"/>
      <c r="D1291" s="122"/>
      <c r="E1291" s="122"/>
      <c r="F1291" s="122"/>
      <c r="G1291" s="122"/>
      <c r="H1291" s="122"/>
      <c r="I1291" s="275"/>
      <c r="J1291" s="130"/>
      <c r="K1291" s="130"/>
      <c r="L1291" s="130"/>
      <c r="M1291" s="130"/>
      <c r="N1291" s="291"/>
      <c r="O1291" s="291"/>
      <c r="P1291" s="122"/>
      <c r="Q1291" s="122"/>
      <c r="R1291" s="122"/>
      <c r="S1291" s="122"/>
      <c r="T1291" s="122"/>
      <c r="U1291" s="301"/>
      <c r="V1291" s="260">
        <f t="shared" ca="1" si="28"/>
        <v>23</v>
      </c>
      <c r="W1291" s="348" t="str">
        <f>IF(板块成分!B1293="","",板块成分!B1293)</f>
        <v>002824.SZ</v>
      </c>
      <c r="X1291" s="276" t="str">
        <f>[1]!S_Info_Name(W1291)</f>
        <v>和胜股份</v>
      </c>
      <c r="Y1291" s="276" t="str">
        <f ca="1">IF($Y$3="申万一级行业",[1]!s_info_industry_sw_2021(W1291,公司分析!D$5,1),IF($Y$3="申万二级行业",[1]!s_info_industry_sw_2021(W1291,公司分析!D$5,2),IF($Y$3="申万三级行业",[1]!s_info_industry_sw_2021(W1291,公司分析!D$5,3),IF($Y$3="wind一级行业",[1]!s_info_industry_gics(W1291,1),IF($Y$3="wind二级行业",[1]!s_info_industry_gics(W1291,2),IF($Y$3="wind三级行业",[1]!s_info_industry_gics(W1291,3),IF($Y$3="wind四级行业",[1]!s_info_industry_gics(W1291,4),IF($Y$3="证监会门类行业",[1]!s_info_industry_csrc12_n(W1291,公司分析!D$5,1),""))))))))</f>
        <v>工业金属</v>
      </c>
      <c r="Z1291" s="302">
        <f ca="1">IF(Y1291=行业比较!$E$6,ROW(),"")</f>
        <v>1291</v>
      </c>
      <c r="AA1291" s="122"/>
      <c r="AB1291" s="122"/>
      <c r="AC1291" s="122"/>
      <c r="AD1291" s="122"/>
      <c r="AE1291" s="122"/>
      <c r="AF1291" s="122"/>
      <c r="AG1291" s="122"/>
      <c r="AH1291" s="122"/>
      <c r="AI1291" s="122"/>
      <c r="AJ1291" s="122"/>
      <c r="AK1291" s="122"/>
      <c r="AL1291" s="122"/>
      <c r="AM1291" s="122"/>
      <c r="AN1291" s="122"/>
      <c r="AO1291" s="122"/>
      <c r="AP1291" s="122"/>
    </row>
    <row r="1292" spans="2:42">
      <c r="B1292" s="122"/>
      <c r="C1292" s="122"/>
      <c r="D1292" s="122"/>
      <c r="E1292" s="122"/>
      <c r="F1292" s="122"/>
      <c r="G1292" s="122"/>
      <c r="H1292" s="122"/>
      <c r="I1292" s="275"/>
      <c r="J1292" s="130"/>
      <c r="K1292" s="130"/>
      <c r="L1292" s="130"/>
      <c r="M1292" s="130"/>
      <c r="N1292" s="291"/>
      <c r="O1292" s="291"/>
      <c r="P1292" s="122"/>
      <c r="Q1292" s="122"/>
      <c r="R1292" s="122"/>
      <c r="S1292" s="122"/>
      <c r="T1292" s="122"/>
      <c r="U1292" s="301"/>
      <c r="V1292" s="260">
        <f t="shared" ca="1" si="28"/>
        <v>0</v>
      </c>
      <c r="W1292" s="348" t="str">
        <f>IF(板块成分!B1294="","",板块成分!B1294)</f>
        <v>002825.SZ</v>
      </c>
      <c r="X1292" s="276" t="str">
        <f>[1]!S_Info_Name(W1292)</f>
        <v>纳尔股份</v>
      </c>
      <c r="Y1292" s="276" t="str">
        <f ca="1">IF($Y$3="申万一级行业",[1]!s_info_industry_sw_2021(W1292,公司分析!D$5,1),IF($Y$3="申万二级行业",[1]!s_info_industry_sw_2021(W1292,公司分析!D$5,2),IF($Y$3="申万三级行业",[1]!s_info_industry_sw_2021(W1292,公司分析!D$5,3),IF($Y$3="wind一级行业",[1]!s_info_industry_gics(W1292,1),IF($Y$3="wind二级行业",[1]!s_info_industry_gics(W1292,2),IF($Y$3="wind三级行业",[1]!s_info_industry_gics(W1292,3),IF($Y$3="wind四级行业",[1]!s_info_industry_gics(W1292,4),IF($Y$3="证监会门类行业",[1]!s_info_industry_csrc12_n(W1292,公司分析!D$5,1),""))))))))</f>
        <v>塑料</v>
      </c>
      <c r="Z1292" s="302" t="str">
        <f ca="1">IF(Y1292=行业比较!$E$6,ROW(),"")</f>
        <v/>
      </c>
      <c r="AA1292" s="122"/>
      <c r="AB1292" s="122"/>
      <c r="AC1292" s="122"/>
      <c r="AD1292" s="122"/>
      <c r="AE1292" s="122"/>
      <c r="AF1292" s="122"/>
      <c r="AG1292" s="122"/>
      <c r="AH1292" s="122"/>
      <c r="AI1292" s="122"/>
      <c r="AJ1292" s="122"/>
      <c r="AK1292" s="122"/>
      <c r="AL1292" s="122"/>
      <c r="AM1292" s="122"/>
      <c r="AN1292" s="122"/>
      <c r="AO1292" s="122"/>
      <c r="AP1292" s="122"/>
    </row>
    <row r="1293" spans="2:42">
      <c r="B1293" s="122"/>
      <c r="C1293" s="122"/>
      <c r="D1293" s="122"/>
      <c r="E1293" s="122"/>
      <c r="F1293" s="122"/>
      <c r="G1293" s="122"/>
      <c r="H1293" s="122"/>
      <c r="I1293" s="275"/>
      <c r="J1293" s="130"/>
      <c r="K1293" s="130"/>
      <c r="L1293" s="130"/>
      <c r="M1293" s="130"/>
      <c r="N1293" s="291"/>
      <c r="O1293" s="291"/>
      <c r="P1293" s="122"/>
      <c r="Q1293" s="122"/>
      <c r="R1293" s="122"/>
      <c r="S1293" s="122"/>
      <c r="T1293" s="122"/>
      <c r="U1293" s="301"/>
      <c r="V1293" s="260">
        <f t="shared" ca="1" si="28"/>
        <v>0</v>
      </c>
      <c r="W1293" s="348" t="str">
        <f>IF(板块成分!B1295="","",板块成分!B1295)</f>
        <v>002826.SZ</v>
      </c>
      <c r="X1293" s="276" t="str">
        <f>[1]!S_Info_Name(W1293)</f>
        <v>易明医药</v>
      </c>
      <c r="Y1293" s="276" t="str">
        <f ca="1">IF($Y$3="申万一级行业",[1]!s_info_industry_sw_2021(W1293,公司分析!D$5,1),IF($Y$3="申万二级行业",[1]!s_info_industry_sw_2021(W1293,公司分析!D$5,2),IF($Y$3="申万三级行业",[1]!s_info_industry_sw_2021(W1293,公司分析!D$5,3),IF($Y$3="wind一级行业",[1]!s_info_industry_gics(W1293,1),IF($Y$3="wind二级行业",[1]!s_info_industry_gics(W1293,2),IF($Y$3="wind三级行业",[1]!s_info_industry_gics(W1293,3),IF($Y$3="wind四级行业",[1]!s_info_industry_gics(W1293,4),IF($Y$3="证监会门类行业",[1]!s_info_industry_csrc12_n(W1293,公司分析!D$5,1),""))))))))</f>
        <v>化学制药</v>
      </c>
      <c r="Z1293" s="302" t="str">
        <f ca="1">IF(Y1293=行业比较!$E$6,ROW(),"")</f>
        <v/>
      </c>
      <c r="AA1293" s="122"/>
      <c r="AB1293" s="122"/>
      <c r="AC1293" s="122"/>
      <c r="AD1293" s="122"/>
      <c r="AE1293" s="122"/>
      <c r="AF1293" s="122"/>
      <c r="AG1293" s="122"/>
      <c r="AH1293" s="122"/>
      <c r="AI1293" s="122"/>
      <c r="AJ1293" s="122"/>
      <c r="AK1293" s="122"/>
      <c r="AL1293" s="122"/>
      <c r="AM1293" s="122"/>
      <c r="AN1293" s="122"/>
      <c r="AO1293" s="122"/>
      <c r="AP1293" s="122"/>
    </row>
    <row r="1294" spans="2:42">
      <c r="B1294" s="122"/>
      <c r="C1294" s="122"/>
      <c r="D1294" s="122"/>
      <c r="E1294" s="122"/>
      <c r="F1294" s="122"/>
      <c r="G1294" s="122"/>
      <c r="H1294" s="122"/>
      <c r="I1294" s="275"/>
      <c r="J1294" s="130"/>
      <c r="K1294" s="130"/>
      <c r="L1294" s="130"/>
      <c r="M1294" s="130"/>
      <c r="N1294" s="291"/>
      <c r="O1294" s="291"/>
      <c r="P1294" s="122"/>
      <c r="Q1294" s="122"/>
      <c r="R1294" s="122"/>
      <c r="S1294" s="122"/>
      <c r="T1294" s="122"/>
      <c r="U1294" s="301"/>
      <c r="V1294" s="260">
        <f t="shared" ca="1" si="28"/>
        <v>0</v>
      </c>
      <c r="W1294" s="348" t="str">
        <f>IF(板块成分!B1296="","",板块成分!B1296)</f>
        <v>002827.SZ</v>
      </c>
      <c r="X1294" s="276" t="str">
        <f>[1]!S_Info_Name(W1294)</f>
        <v>高争民爆</v>
      </c>
      <c r="Y1294" s="276" t="str">
        <f ca="1">IF($Y$3="申万一级行业",[1]!s_info_industry_sw_2021(W1294,公司分析!D$5,1),IF($Y$3="申万二级行业",[1]!s_info_industry_sw_2021(W1294,公司分析!D$5,2),IF($Y$3="申万三级行业",[1]!s_info_industry_sw_2021(W1294,公司分析!D$5,3),IF($Y$3="wind一级行业",[1]!s_info_industry_gics(W1294,1),IF($Y$3="wind二级行业",[1]!s_info_industry_gics(W1294,2),IF($Y$3="wind三级行业",[1]!s_info_industry_gics(W1294,3),IF($Y$3="wind四级行业",[1]!s_info_industry_gics(W1294,4),IF($Y$3="证监会门类行业",[1]!s_info_industry_csrc12_n(W1294,公司分析!D$5,1),""))))))))</f>
        <v>化学制品</v>
      </c>
      <c r="Z1294" s="302" t="str">
        <f ca="1">IF(Y1294=行业比较!$E$6,ROW(),"")</f>
        <v/>
      </c>
      <c r="AA1294" s="122"/>
      <c r="AB1294" s="122"/>
      <c r="AC1294" s="122"/>
      <c r="AD1294" s="122"/>
      <c r="AE1294" s="122"/>
      <c r="AF1294" s="122"/>
      <c r="AG1294" s="122"/>
      <c r="AH1294" s="122"/>
      <c r="AI1294" s="122"/>
      <c r="AJ1294" s="122"/>
      <c r="AK1294" s="122"/>
      <c r="AL1294" s="122"/>
      <c r="AM1294" s="122"/>
      <c r="AN1294" s="122"/>
      <c r="AO1294" s="122"/>
      <c r="AP1294" s="122"/>
    </row>
    <row r="1295" spans="2:42">
      <c r="B1295" s="122"/>
      <c r="C1295" s="122"/>
      <c r="D1295" s="122"/>
      <c r="E1295" s="122"/>
      <c r="F1295" s="122"/>
      <c r="G1295" s="122"/>
      <c r="H1295" s="122"/>
      <c r="I1295" s="275"/>
      <c r="J1295" s="130"/>
      <c r="K1295" s="130"/>
      <c r="L1295" s="130"/>
      <c r="M1295" s="130"/>
      <c r="N1295" s="291"/>
      <c r="O1295" s="291"/>
      <c r="P1295" s="122"/>
      <c r="Q1295" s="122"/>
      <c r="R1295" s="122"/>
      <c r="S1295" s="122"/>
      <c r="T1295" s="122"/>
      <c r="U1295" s="301"/>
      <c r="V1295" s="260">
        <f t="shared" ca="1" si="28"/>
        <v>0</v>
      </c>
      <c r="W1295" s="348" t="str">
        <f>IF(板块成分!B1297="","",板块成分!B1297)</f>
        <v>002828.SZ</v>
      </c>
      <c r="X1295" s="276" t="str">
        <f>[1]!S_Info_Name(W1295)</f>
        <v>贝肯能源</v>
      </c>
      <c r="Y1295" s="276" t="str">
        <f ca="1">IF($Y$3="申万一级行业",[1]!s_info_industry_sw_2021(W1295,公司分析!D$5,1),IF($Y$3="申万二级行业",[1]!s_info_industry_sw_2021(W1295,公司分析!D$5,2),IF($Y$3="申万三级行业",[1]!s_info_industry_sw_2021(W1295,公司分析!D$5,3),IF($Y$3="wind一级行业",[1]!s_info_industry_gics(W1295,1),IF($Y$3="wind二级行业",[1]!s_info_industry_gics(W1295,2),IF($Y$3="wind三级行业",[1]!s_info_industry_gics(W1295,3),IF($Y$3="wind四级行业",[1]!s_info_industry_gics(W1295,4),IF($Y$3="证监会门类行业",[1]!s_info_industry_csrc12_n(W1295,公司分析!D$5,1),""))))))))</f>
        <v>油服工程</v>
      </c>
      <c r="Z1295" s="302" t="str">
        <f ca="1">IF(Y1295=行业比较!$E$6,ROW(),"")</f>
        <v/>
      </c>
      <c r="AA1295" s="122"/>
      <c r="AB1295" s="122"/>
      <c r="AC1295" s="122"/>
      <c r="AD1295" s="122"/>
      <c r="AE1295" s="122"/>
      <c r="AF1295" s="122"/>
      <c r="AG1295" s="122"/>
      <c r="AH1295" s="122"/>
      <c r="AI1295" s="122"/>
      <c r="AJ1295" s="122"/>
      <c r="AK1295" s="122"/>
      <c r="AL1295" s="122"/>
      <c r="AM1295" s="122"/>
      <c r="AN1295" s="122"/>
      <c r="AO1295" s="122"/>
      <c r="AP1295" s="122"/>
    </row>
    <row r="1296" spans="2:42">
      <c r="B1296" s="122"/>
      <c r="C1296" s="122"/>
      <c r="D1296" s="122"/>
      <c r="E1296" s="122"/>
      <c r="F1296" s="122"/>
      <c r="G1296" s="122"/>
      <c r="H1296" s="122"/>
      <c r="I1296" s="275"/>
      <c r="J1296" s="130"/>
      <c r="K1296" s="130"/>
      <c r="L1296" s="130"/>
      <c r="M1296" s="130"/>
      <c r="N1296" s="291"/>
      <c r="O1296" s="291"/>
      <c r="P1296" s="122"/>
      <c r="Q1296" s="122"/>
      <c r="R1296" s="122"/>
      <c r="S1296" s="122"/>
      <c r="T1296" s="122"/>
      <c r="U1296" s="301"/>
      <c r="V1296" s="260">
        <f t="shared" ca="1" si="28"/>
        <v>0</v>
      </c>
      <c r="W1296" s="348" t="str">
        <f>IF(板块成分!B1298="","",板块成分!B1298)</f>
        <v>002829.SZ</v>
      </c>
      <c r="X1296" s="276" t="str">
        <f>[1]!S_Info_Name(W1296)</f>
        <v>星网宇达</v>
      </c>
      <c r="Y1296" s="276" t="str">
        <f ca="1">IF($Y$3="申万一级行业",[1]!s_info_industry_sw_2021(W1296,公司分析!D$5,1),IF($Y$3="申万二级行业",[1]!s_info_industry_sw_2021(W1296,公司分析!D$5,2),IF($Y$3="申万三级行业",[1]!s_info_industry_sw_2021(W1296,公司分析!D$5,3),IF($Y$3="wind一级行业",[1]!s_info_industry_gics(W1296,1),IF($Y$3="wind二级行业",[1]!s_info_industry_gics(W1296,2),IF($Y$3="wind三级行业",[1]!s_info_industry_gics(W1296,3),IF($Y$3="wind四级行业",[1]!s_info_industry_gics(W1296,4),IF($Y$3="证监会门类行业",[1]!s_info_industry_csrc12_n(W1296,公司分析!D$5,1),""))))))))</f>
        <v>航天装备Ⅱ</v>
      </c>
      <c r="Z1296" s="302" t="str">
        <f ca="1">IF(Y1296=行业比较!$E$6,ROW(),"")</f>
        <v/>
      </c>
      <c r="AA1296" s="122"/>
      <c r="AB1296" s="122"/>
      <c r="AC1296" s="122"/>
      <c r="AD1296" s="122"/>
      <c r="AE1296" s="122"/>
      <c r="AF1296" s="122"/>
      <c r="AG1296" s="122"/>
      <c r="AH1296" s="122"/>
      <c r="AI1296" s="122"/>
      <c r="AJ1296" s="122"/>
      <c r="AK1296" s="122"/>
      <c r="AL1296" s="122"/>
      <c r="AM1296" s="122"/>
      <c r="AN1296" s="122"/>
      <c r="AO1296" s="122"/>
      <c r="AP1296" s="122"/>
    </row>
    <row r="1297" spans="2:42">
      <c r="B1297" s="122"/>
      <c r="C1297" s="122"/>
      <c r="D1297" s="122"/>
      <c r="E1297" s="122"/>
      <c r="F1297" s="122"/>
      <c r="G1297" s="122"/>
      <c r="H1297" s="122"/>
      <c r="I1297" s="275"/>
      <c r="J1297" s="130"/>
      <c r="K1297" s="130"/>
      <c r="L1297" s="130"/>
      <c r="M1297" s="130"/>
      <c r="N1297" s="291"/>
      <c r="O1297" s="291"/>
      <c r="P1297" s="122"/>
      <c r="Q1297" s="122"/>
      <c r="R1297" s="122"/>
      <c r="S1297" s="122"/>
      <c r="T1297" s="122"/>
      <c r="U1297" s="301"/>
      <c r="V1297" s="260">
        <f t="shared" ca="1" si="28"/>
        <v>0</v>
      </c>
      <c r="W1297" s="348" t="str">
        <f>IF(板块成分!B1299="","",板块成分!B1299)</f>
        <v>002830.SZ</v>
      </c>
      <c r="X1297" s="276" t="str">
        <f>[1]!S_Info_Name(W1297)</f>
        <v>名雕股份</v>
      </c>
      <c r="Y1297" s="276" t="str">
        <f ca="1">IF($Y$3="申万一级行业",[1]!s_info_industry_sw_2021(W1297,公司分析!D$5,1),IF($Y$3="申万二级行业",[1]!s_info_industry_sw_2021(W1297,公司分析!D$5,2),IF($Y$3="申万三级行业",[1]!s_info_industry_sw_2021(W1297,公司分析!D$5,3),IF($Y$3="wind一级行业",[1]!s_info_industry_gics(W1297,1),IF($Y$3="wind二级行业",[1]!s_info_industry_gics(W1297,2),IF($Y$3="wind三级行业",[1]!s_info_industry_gics(W1297,3),IF($Y$3="wind四级行业",[1]!s_info_industry_gics(W1297,4),IF($Y$3="证监会门类行业",[1]!s_info_industry_csrc12_n(W1297,公司分析!D$5,1),""))))))))</f>
        <v>装修装饰Ⅱ</v>
      </c>
      <c r="Z1297" s="302" t="str">
        <f ca="1">IF(Y1297=行业比较!$E$6,ROW(),"")</f>
        <v/>
      </c>
      <c r="AA1297" s="122"/>
      <c r="AB1297" s="122"/>
      <c r="AC1297" s="122"/>
      <c r="AD1297" s="122"/>
      <c r="AE1297" s="122"/>
      <c r="AF1297" s="122"/>
      <c r="AG1297" s="122"/>
      <c r="AH1297" s="122"/>
      <c r="AI1297" s="122"/>
      <c r="AJ1297" s="122"/>
      <c r="AK1297" s="122"/>
      <c r="AL1297" s="122"/>
      <c r="AM1297" s="122"/>
      <c r="AN1297" s="122"/>
      <c r="AO1297" s="122"/>
      <c r="AP1297" s="122"/>
    </row>
    <row r="1298" spans="2:42">
      <c r="B1298" s="122"/>
      <c r="C1298" s="122"/>
      <c r="D1298" s="122"/>
      <c r="E1298" s="122"/>
      <c r="F1298" s="122"/>
      <c r="G1298" s="122"/>
      <c r="H1298" s="122"/>
      <c r="I1298" s="275"/>
      <c r="J1298" s="130"/>
      <c r="K1298" s="130"/>
      <c r="L1298" s="130"/>
      <c r="M1298" s="130"/>
      <c r="N1298" s="291"/>
      <c r="O1298" s="291"/>
      <c r="P1298" s="122"/>
      <c r="Q1298" s="122"/>
      <c r="R1298" s="122"/>
      <c r="S1298" s="122"/>
      <c r="T1298" s="122"/>
      <c r="U1298" s="301"/>
      <c r="V1298" s="260">
        <f t="shared" ca="1" si="28"/>
        <v>0</v>
      </c>
      <c r="W1298" s="348" t="str">
        <f>IF(板块成分!B1300="","",板块成分!B1300)</f>
        <v>002831.SZ</v>
      </c>
      <c r="X1298" s="276" t="str">
        <f>[1]!S_Info_Name(W1298)</f>
        <v>裕同科技</v>
      </c>
      <c r="Y1298" s="276" t="str">
        <f ca="1">IF($Y$3="申万一级行业",[1]!s_info_industry_sw_2021(W1298,公司分析!D$5,1),IF($Y$3="申万二级行业",[1]!s_info_industry_sw_2021(W1298,公司分析!D$5,2),IF($Y$3="申万三级行业",[1]!s_info_industry_sw_2021(W1298,公司分析!D$5,3),IF($Y$3="wind一级行业",[1]!s_info_industry_gics(W1298,1),IF($Y$3="wind二级行业",[1]!s_info_industry_gics(W1298,2),IF($Y$3="wind三级行业",[1]!s_info_industry_gics(W1298,3),IF($Y$3="wind四级行业",[1]!s_info_industry_gics(W1298,4),IF($Y$3="证监会门类行业",[1]!s_info_industry_csrc12_n(W1298,公司分析!D$5,1),""))))))))</f>
        <v>包装印刷</v>
      </c>
      <c r="Z1298" s="302" t="str">
        <f ca="1">IF(Y1298=行业比较!$E$6,ROW(),"")</f>
        <v/>
      </c>
      <c r="AA1298" s="122"/>
      <c r="AB1298" s="122"/>
      <c r="AC1298" s="122"/>
      <c r="AD1298" s="122"/>
      <c r="AE1298" s="122"/>
      <c r="AF1298" s="122"/>
      <c r="AG1298" s="122"/>
      <c r="AH1298" s="122"/>
      <c r="AI1298" s="122"/>
      <c r="AJ1298" s="122"/>
      <c r="AK1298" s="122"/>
      <c r="AL1298" s="122"/>
      <c r="AM1298" s="122"/>
      <c r="AN1298" s="122"/>
      <c r="AO1298" s="122"/>
      <c r="AP1298" s="122"/>
    </row>
    <row r="1299" spans="2:42">
      <c r="B1299" s="122"/>
      <c r="C1299" s="122"/>
      <c r="D1299" s="122"/>
      <c r="E1299" s="122"/>
      <c r="F1299" s="122"/>
      <c r="G1299" s="122"/>
      <c r="H1299" s="122"/>
      <c r="I1299" s="275"/>
      <c r="J1299" s="130"/>
      <c r="K1299" s="130"/>
      <c r="L1299" s="130"/>
      <c r="M1299" s="130"/>
      <c r="N1299" s="291"/>
      <c r="O1299" s="291"/>
      <c r="P1299" s="122"/>
      <c r="Q1299" s="122"/>
      <c r="R1299" s="122"/>
      <c r="S1299" s="122"/>
      <c r="T1299" s="122"/>
      <c r="U1299" s="301"/>
      <c r="V1299" s="260">
        <f t="shared" ca="1" si="28"/>
        <v>0</v>
      </c>
      <c r="W1299" s="348" t="str">
        <f>IF(板块成分!B1301="","",板块成分!B1301)</f>
        <v>002832.SZ</v>
      </c>
      <c r="X1299" s="276" t="str">
        <f>[1]!S_Info_Name(W1299)</f>
        <v>比音勒芬</v>
      </c>
      <c r="Y1299" s="276" t="str">
        <f ca="1">IF($Y$3="申万一级行业",[1]!s_info_industry_sw_2021(W1299,公司分析!D$5,1),IF($Y$3="申万二级行业",[1]!s_info_industry_sw_2021(W1299,公司分析!D$5,2),IF($Y$3="申万三级行业",[1]!s_info_industry_sw_2021(W1299,公司分析!D$5,3),IF($Y$3="wind一级行业",[1]!s_info_industry_gics(W1299,1),IF($Y$3="wind二级行业",[1]!s_info_industry_gics(W1299,2),IF($Y$3="wind三级行业",[1]!s_info_industry_gics(W1299,3),IF($Y$3="wind四级行业",[1]!s_info_industry_gics(W1299,4),IF($Y$3="证监会门类行业",[1]!s_info_industry_csrc12_n(W1299,公司分析!D$5,1),""))))))))</f>
        <v>服装家纺</v>
      </c>
      <c r="Z1299" s="302" t="str">
        <f ca="1">IF(Y1299=行业比较!$E$6,ROW(),"")</f>
        <v/>
      </c>
      <c r="AA1299" s="122"/>
      <c r="AB1299" s="122"/>
      <c r="AC1299" s="122"/>
      <c r="AD1299" s="122"/>
      <c r="AE1299" s="122"/>
      <c r="AF1299" s="122"/>
      <c r="AG1299" s="122"/>
      <c r="AH1299" s="122"/>
      <c r="AI1299" s="122"/>
      <c r="AJ1299" s="122"/>
      <c r="AK1299" s="122"/>
      <c r="AL1299" s="122"/>
      <c r="AM1299" s="122"/>
      <c r="AN1299" s="122"/>
      <c r="AO1299" s="122"/>
      <c r="AP1299" s="122"/>
    </row>
    <row r="1300" spans="2:42">
      <c r="B1300" s="122"/>
      <c r="C1300" s="122"/>
      <c r="D1300" s="122"/>
      <c r="E1300" s="122"/>
      <c r="F1300" s="122"/>
      <c r="G1300" s="122"/>
      <c r="H1300" s="122"/>
      <c r="I1300" s="275"/>
      <c r="J1300" s="130"/>
      <c r="K1300" s="130"/>
      <c r="L1300" s="130"/>
      <c r="M1300" s="130"/>
      <c r="N1300" s="291"/>
      <c r="O1300" s="291"/>
      <c r="P1300" s="122"/>
      <c r="Q1300" s="122"/>
      <c r="R1300" s="122"/>
      <c r="S1300" s="122"/>
      <c r="T1300" s="122"/>
      <c r="U1300" s="301"/>
      <c r="V1300" s="260">
        <f t="shared" ca="1" si="28"/>
        <v>0</v>
      </c>
      <c r="W1300" s="348" t="str">
        <f>IF(板块成分!B1302="","",板块成分!B1302)</f>
        <v>002833.SZ</v>
      </c>
      <c r="X1300" s="276" t="str">
        <f>[1]!S_Info_Name(W1300)</f>
        <v>弘亚数控</v>
      </c>
      <c r="Y1300" s="276" t="str">
        <f ca="1">IF($Y$3="申万一级行业",[1]!s_info_industry_sw_2021(W1300,公司分析!D$5,1),IF($Y$3="申万二级行业",[1]!s_info_industry_sw_2021(W1300,公司分析!D$5,2),IF($Y$3="申万三级行业",[1]!s_info_industry_sw_2021(W1300,公司分析!D$5,3),IF($Y$3="wind一级行业",[1]!s_info_industry_gics(W1300,1),IF($Y$3="wind二级行业",[1]!s_info_industry_gics(W1300,2),IF($Y$3="wind三级行业",[1]!s_info_industry_gics(W1300,3),IF($Y$3="wind四级行业",[1]!s_info_industry_gics(W1300,4),IF($Y$3="证监会门类行业",[1]!s_info_industry_csrc12_n(W1300,公司分析!D$5,1),""))))))))</f>
        <v>专用设备</v>
      </c>
      <c r="Z1300" s="302" t="str">
        <f ca="1">IF(Y1300=行业比较!$E$6,ROW(),"")</f>
        <v/>
      </c>
      <c r="AA1300" s="122"/>
      <c r="AB1300" s="122"/>
      <c r="AC1300" s="122"/>
      <c r="AD1300" s="122"/>
      <c r="AE1300" s="122"/>
      <c r="AF1300" s="122"/>
      <c r="AG1300" s="122"/>
      <c r="AH1300" s="122"/>
      <c r="AI1300" s="122"/>
      <c r="AJ1300" s="122"/>
      <c r="AK1300" s="122"/>
      <c r="AL1300" s="122"/>
      <c r="AM1300" s="122"/>
      <c r="AN1300" s="122"/>
      <c r="AO1300" s="122"/>
      <c r="AP1300" s="122"/>
    </row>
    <row r="1301" spans="2:42">
      <c r="B1301" s="122"/>
      <c r="C1301" s="122"/>
      <c r="D1301" s="122"/>
      <c r="E1301" s="122"/>
      <c r="F1301" s="122"/>
      <c r="G1301" s="122"/>
      <c r="H1301" s="122"/>
      <c r="I1301" s="275"/>
      <c r="J1301" s="130"/>
      <c r="K1301" s="130"/>
      <c r="L1301" s="130"/>
      <c r="M1301" s="130"/>
      <c r="N1301" s="291"/>
      <c r="O1301" s="291"/>
      <c r="P1301" s="122"/>
      <c r="Q1301" s="122"/>
      <c r="R1301" s="122"/>
      <c r="S1301" s="122"/>
      <c r="T1301" s="122"/>
      <c r="U1301" s="301"/>
      <c r="V1301" s="260">
        <f t="shared" ca="1" si="28"/>
        <v>0</v>
      </c>
      <c r="W1301" s="348" t="str">
        <f>IF(板块成分!B1303="","",板块成分!B1303)</f>
        <v>002835.SZ</v>
      </c>
      <c r="X1301" s="276" t="str">
        <f>[1]!S_Info_Name(W1301)</f>
        <v>同为股份</v>
      </c>
      <c r="Y1301" s="276" t="str">
        <f ca="1">IF($Y$3="申万一级行业",[1]!s_info_industry_sw_2021(W1301,公司分析!D$5,1),IF($Y$3="申万二级行业",[1]!s_info_industry_sw_2021(W1301,公司分析!D$5,2),IF($Y$3="申万三级行业",[1]!s_info_industry_sw_2021(W1301,公司分析!D$5,3),IF($Y$3="wind一级行业",[1]!s_info_industry_gics(W1301,1),IF($Y$3="wind二级行业",[1]!s_info_industry_gics(W1301,2),IF($Y$3="wind三级行业",[1]!s_info_industry_gics(W1301,3),IF($Y$3="wind四级行业",[1]!s_info_industry_gics(W1301,4),IF($Y$3="证监会门类行业",[1]!s_info_industry_csrc12_n(W1301,公司分析!D$5,1),""))))))))</f>
        <v>计算机设备</v>
      </c>
      <c r="Z1301" s="302" t="str">
        <f ca="1">IF(Y1301=行业比较!$E$6,ROW(),"")</f>
        <v/>
      </c>
      <c r="AA1301" s="122"/>
      <c r="AB1301" s="122"/>
      <c r="AC1301" s="122"/>
      <c r="AD1301" s="122"/>
      <c r="AE1301" s="122"/>
      <c r="AF1301" s="122"/>
      <c r="AG1301" s="122"/>
      <c r="AH1301" s="122"/>
      <c r="AI1301" s="122"/>
      <c r="AJ1301" s="122"/>
      <c r="AK1301" s="122"/>
      <c r="AL1301" s="122"/>
      <c r="AM1301" s="122"/>
      <c r="AN1301" s="122"/>
      <c r="AO1301" s="122"/>
      <c r="AP1301" s="122"/>
    </row>
    <row r="1302" spans="2:42">
      <c r="B1302" s="122"/>
      <c r="C1302" s="122"/>
      <c r="D1302" s="122"/>
      <c r="E1302" s="122"/>
      <c r="F1302" s="122"/>
      <c r="G1302" s="122"/>
      <c r="H1302" s="122"/>
      <c r="I1302" s="275"/>
      <c r="J1302" s="130"/>
      <c r="K1302" s="130"/>
      <c r="L1302" s="130"/>
      <c r="M1302" s="130"/>
      <c r="N1302" s="291"/>
      <c r="O1302" s="291"/>
      <c r="P1302" s="122"/>
      <c r="Q1302" s="122"/>
      <c r="R1302" s="122"/>
      <c r="S1302" s="122"/>
      <c r="T1302" s="122"/>
      <c r="U1302" s="301"/>
      <c r="V1302" s="260">
        <f t="shared" ca="1" si="28"/>
        <v>0</v>
      </c>
      <c r="W1302" s="348" t="str">
        <f>IF(板块成分!B1304="","",板块成分!B1304)</f>
        <v>002836.SZ</v>
      </c>
      <c r="X1302" s="276" t="str">
        <f>[1]!S_Info_Name(W1302)</f>
        <v>新宏泽</v>
      </c>
      <c r="Y1302" s="276" t="str">
        <f ca="1">IF($Y$3="申万一级行业",[1]!s_info_industry_sw_2021(W1302,公司分析!D$5,1),IF($Y$3="申万二级行业",[1]!s_info_industry_sw_2021(W1302,公司分析!D$5,2),IF($Y$3="申万三级行业",[1]!s_info_industry_sw_2021(W1302,公司分析!D$5,3),IF($Y$3="wind一级行业",[1]!s_info_industry_gics(W1302,1),IF($Y$3="wind二级行业",[1]!s_info_industry_gics(W1302,2),IF($Y$3="wind三级行业",[1]!s_info_industry_gics(W1302,3),IF($Y$3="wind四级行业",[1]!s_info_industry_gics(W1302,4),IF($Y$3="证监会门类行业",[1]!s_info_industry_csrc12_n(W1302,公司分析!D$5,1),""))))))))</f>
        <v>包装印刷</v>
      </c>
      <c r="Z1302" s="302" t="str">
        <f ca="1">IF(Y1302=行业比较!$E$6,ROW(),"")</f>
        <v/>
      </c>
      <c r="AA1302" s="122"/>
      <c r="AB1302" s="122"/>
      <c r="AC1302" s="122"/>
      <c r="AD1302" s="122"/>
      <c r="AE1302" s="122"/>
      <c r="AF1302" s="122"/>
      <c r="AG1302" s="122"/>
      <c r="AH1302" s="122"/>
      <c r="AI1302" s="122"/>
      <c r="AJ1302" s="122"/>
      <c r="AK1302" s="122"/>
      <c r="AL1302" s="122"/>
      <c r="AM1302" s="122"/>
      <c r="AN1302" s="122"/>
      <c r="AO1302" s="122"/>
      <c r="AP1302" s="122"/>
    </row>
    <row r="1303" spans="2:42">
      <c r="B1303" s="122"/>
      <c r="C1303" s="122"/>
      <c r="D1303" s="122"/>
      <c r="E1303" s="122"/>
      <c r="F1303" s="122"/>
      <c r="G1303" s="122"/>
      <c r="H1303" s="122"/>
      <c r="I1303" s="275"/>
      <c r="J1303" s="130"/>
      <c r="K1303" s="130"/>
      <c r="L1303" s="130"/>
      <c r="M1303" s="130"/>
      <c r="N1303" s="291"/>
      <c r="O1303" s="291"/>
      <c r="P1303" s="122"/>
      <c r="Q1303" s="122"/>
      <c r="R1303" s="122"/>
      <c r="S1303" s="122"/>
      <c r="T1303" s="122"/>
      <c r="U1303" s="301"/>
      <c r="V1303" s="260">
        <f t="shared" ca="1" si="28"/>
        <v>0</v>
      </c>
      <c r="W1303" s="348" t="str">
        <f>IF(板块成分!B1305="","",板块成分!B1305)</f>
        <v>002837.SZ</v>
      </c>
      <c r="X1303" s="276" t="str">
        <f>[1]!S_Info_Name(W1303)</f>
        <v>英维克</v>
      </c>
      <c r="Y1303" s="276" t="str">
        <f ca="1">IF($Y$3="申万一级行业",[1]!s_info_industry_sw_2021(W1303,公司分析!D$5,1),IF($Y$3="申万二级行业",[1]!s_info_industry_sw_2021(W1303,公司分析!D$5,2),IF($Y$3="申万三级行业",[1]!s_info_industry_sw_2021(W1303,公司分析!D$5,3),IF($Y$3="wind一级行业",[1]!s_info_industry_gics(W1303,1),IF($Y$3="wind二级行业",[1]!s_info_industry_gics(W1303,2),IF($Y$3="wind三级行业",[1]!s_info_industry_gics(W1303,3),IF($Y$3="wind四级行业",[1]!s_info_industry_gics(W1303,4),IF($Y$3="证监会门类行业",[1]!s_info_industry_csrc12_n(W1303,公司分析!D$5,1),""))))))))</f>
        <v>专用设备</v>
      </c>
      <c r="Z1303" s="302" t="str">
        <f ca="1">IF(Y1303=行业比较!$E$6,ROW(),"")</f>
        <v/>
      </c>
      <c r="AA1303" s="122"/>
      <c r="AB1303" s="122"/>
      <c r="AC1303" s="122"/>
      <c r="AD1303" s="122"/>
      <c r="AE1303" s="122"/>
      <c r="AF1303" s="122"/>
      <c r="AG1303" s="122"/>
      <c r="AH1303" s="122"/>
      <c r="AI1303" s="122"/>
      <c r="AJ1303" s="122"/>
      <c r="AK1303" s="122"/>
      <c r="AL1303" s="122"/>
      <c r="AM1303" s="122"/>
      <c r="AN1303" s="122"/>
      <c r="AO1303" s="122"/>
      <c r="AP1303" s="122"/>
    </row>
    <row r="1304" spans="2:42">
      <c r="B1304" s="122"/>
      <c r="C1304" s="122"/>
      <c r="D1304" s="122"/>
      <c r="E1304" s="122"/>
      <c r="F1304" s="122"/>
      <c r="G1304" s="122"/>
      <c r="H1304" s="122"/>
      <c r="I1304" s="275"/>
      <c r="J1304" s="130"/>
      <c r="K1304" s="130"/>
      <c r="L1304" s="130"/>
      <c r="M1304" s="130"/>
      <c r="N1304" s="291"/>
      <c r="O1304" s="291"/>
      <c r="P1304" s="122"/>
      <c r="Q1304" s="122"/>
      <c r="R1304" s="122"/>
      <c r="S1304" s="122"/>
      <c r="T1304" s="122"/>
      <c r="U1304" s="301"/>
      <c r="V1304" s="260">
        <f t="shared" ca="1" si="28"/>
        <v>0</v>
      </c>
      <c r="W1304" s="348" t="str">
        <f>IF(板块成分!B1306="","",板块成分!B1306)</f>
        <v>002838.SZ</v>
      </c>
      <c r="X1304" s="276" t="str">
        <f>[1]!S_Info_Name(W1304)</f>
        <v>道恩股份</v>
      </c>
      <c r="Y1304" s="276" t="str">
        <f ca="1">IF($Y$3="申万一级行业",[1]!s_info_industry_sw_2021(W1304,公司分析!D$5,1),IF($Y$3="申万二级行业",[1]!s_info_industry_sw_2021(W1304,公司分析!D$5,2),IF($Y$3="申万三级行业",[1]!s_info_industry_sw_2021(W1304,公司分析!D$5,3),IF($Y$3="wind一级行业",[1]!s_info_industry_gics(W1304,1),IF($Y$3="wind二级行业",[1]!s_info_industry_gics(W1304,2),IF($Y$3="wind三级行业",[1]!s_info_industry_gics(W1304,3),IF($Y$3="wind四级行业",[1]!s_info_industry_gics(W1304,4),IF($Y$3="证监会门类行业",[1]!s_info_industry_csrc12_n(W1304,公司分析!D$5,1),""))))))))</f>
        <v>塑料</v>
      </c>
      <c r="Z1304" s="302" t="str">
        <f ca="1">IF(Y1304=行业比较!$E$6,ROW(),"")</f>
        <v/>
      </c>
      <c r="AA1304" s="122"/>
      <c r="AB1304" s="122"/>
      <c r="AC1304" s="122"/>
      <c r="AD1304" s="122"/>
      <c r="AE1304" s="122"/>
      <c r="AF1304" s="122"/>
      <c r="AG1304" s="122"/>
      <c r="AH1304" s="122"/>
      <c r="AI1304" s="122"/>
      <c r="AJ1304" s="122"/>
      <c r="AK1304" s="122"/>
      <c r="AL1304" s="122"/>
      <c r="AM1304" s="122"/>
      <c r="AN1304" s="122"/>
      <c r="AO1304" s="122"/>
      <c r="AP1304" s="122"/>
    </row>
    <row r="1305" spans="2:42">
      <c r="B1305" s="122"/>
      <c r="C1305" s="122"/>
      <c r="D1305" s="122"/>
      <c r="E1305" s="122"/>
      <c r="F1305" s="122"/>
      <c r="G1305" s="122"/>
      <c r="H1305" s="122"/>
      <c r="I1305" s="275"/>
      <c r="J1305" s="130"/>
      <c r="K1305" s="130"/>
      <c r="L1305" s="130"/>
      <c r="M1305" s="130"/>
      <c r="N1305" s="291"/>
      <c r="O1305" s="291"/>
      <c r="P1305" s="122"/>
      <c r="Q1305" s="122"/>
      <c r="R1305" s="122"/>
      <c r="S1305" s="122"/>
      <c r="T1305" s="122"/>
      <c r="U1305" s="301"/>
      <c r="V1305" s="260">
        <f t="shared" ca="1" si="28"/>
        <v>0</v>
      </c>
      <c r="W1305" s="348" t="str">
        <f>IF(板块成分!B1307="","",板块成分!B1307)</f>
        <v>002839.SZ</v>
      </c>
      <c r="X1305" s="276" t="str">
        <f>[1]!S_Info_Name(W1305)</f>
        <v>张家港行</v>
      </c>
      <c r="Y1305" s="276" t="str">
        <f ca="1">IF($Y$3="申万一级行业",[1]!s_info_industry_sw_2021(W1305,公司分析!D$5,1),IF($Y$3="申万二级行业",[1]!s_info_industry_sw_2021(W1305,公司分析!D$5,2),IF($Y$3="申万三级行业",[1]!s_info_industry_sw_2021(W1305,公司分析!D$5,3),IF($Y$3="wind一级行业",[1]!s_info_industry_gics(W1305,1),IF($Y$3="wind二级行业",[1]!s_info_industry_gics(W1305,2),IF($Y$3="wind三级行业",[1]!s_info_industry_gics(W1305,3),IF($Y$3="wind四级行业",[1]!s_info_industry_gics(W1305,4),IF($Y$3="证监会门类行业",[1]!s_info_industry_csrc12_n(W1305,公司分析!D$5,1),""))))))))</f>
        <v>农商行Ⅱ</v>
      </c>
      <c r="Z1305" s="302" t="str">
        <f ca="1">IF(Y1305=行业比较!$E$6,ROW(),"")</f>
        <v/>
      </c>
      <c r="AA1305" s="122"/>
      <c r="AB1305" s="122"/>
      <c r="AC1305" s="122"/>
      <c r="AD1305" s="122"/>
      <c r="AE1305" s="122"/>
      <c r="AF1305" s="122"/>
      <c r="AG1305" s="122"/>
      <c r="AH1305" s="122"/>
      <c r="AI1305" s="122"/>
      <c r="AJ1305" s="122"/>
      <c r="AK1305" s="122"/>
      <c r="AL1305" s="122"/>
      <c r="AM1305" s="122"/>
      <c r="AN1305" s="122"/>
      <c r="AO1305" s="122"/>
      <c r="AP1305" s="122"/>
    </row>
    <row r="1306" spans="2:42">
      <c r="B1306" s="122"/>
      <c r="C1306" s="122"/>
      <c r="D1306" s="122"/>
      <c r="E1306" s="122"/>
      <c r="F1306" s="122"/>
      <c r="G1306" s="122"/>
      <c r="H1306" s="122"/>
      <c r="I1306" s="275"/>
      <c r="J1306" s="130"/>
      <c r="K1306" s="130"/>
      <c r="L1306" s="130"/>
      <c r="M1306" s="130"/>
      <c r="N1306" s="291"/>
      <c r="O1306" s="291"/>
      <c r="P1306" s="122"/>
      <c r="Q1306" s="122"/>
      <c r="R1306" s="122"/>
      <c r="S1306" s="122"/>
      <c r="T1306" s="122"/>
      <c r="U1306" s="301"/>
      <c r="V1306" s="260">
        <f t="shared" ca="1" si="28"/>
        <v>0</v>
      </c>
      <c r="W1306" s="348" t="str">
        <f>IF(板块成分!B1308="","",板块成分!B1308)</f>
        <v>002840.SZ</v>
      </c>
      <c r="X1306" s="276" t="str">
        <f>[1]!S_Info_Name(W1306)</f>
        <v>华统股份</v>
      </c>
      <c r="Y1306" s="276" t="str">
        <f ca="1">IF($Y$3="申万一级行业",[1]!s_info_industry_sw_2021(W1306,公司分析!D$5,1),IF($Y$3="申万二级行业",[1]!s_info_industry_sw_2021(W1306,公司分析!D$5,2),IF($Y$3="申万三级行业",[1]!s_info_industry_sw_2021(W1306,公司分析!D$5,3),IF($Y$3="wind一级行业",[1]!s_info_industry_gics(W1306,1),IF($Y$3="wind二级行业",[1]!s_info_industry_gics(W1306,2),IF($Y$3="wind三级行业",[1]!s_info_industry_gics(W1306,3),IF($Y$3="wind四级行业",[1]!s_info_industry_gics(W1306,4),IF($Y$3="证监会门类行业",[1]!s_info_industry_csrc12_n(W1306,公司分析!D$5,1),""))))))))</f>
        <v>食品加工</v>
      </c>
      <c r="Z1306" s="302" t="str">
        <f ca="1">IF(Y1306=行业比较!$E$6,ROW(),"")</f>
        <v/>
      </c>
      <c r="AA1306" s="122"/>
      <c r="AB1306" s="122"/>
      <c r="AC1306" s="122"/>
      <c r="AD1306" s="122"/>
      <c r="AE1306" s="122"/>
      <c r="AF1306" s="122"/>
      <c r="AG1306" s="122"/>
      <c r="AH1306" s="122"/>
      <c r="AI1306" s="122"/>
      <c r="AJ1306" s="122"/>
      <c r="AK1306" s="122"/>
      <c r="AL1306" s="122"/>
      <c r="AM1306" s="122"/>
      <c r="AN1306" s="122"/>
      <c r="AO1306" s="122"/>
      <c r="AP1306" s="122"/>
    </row>
    <row r="1307" spans="2:42">
      <c r="B1307" s="122"/>
      <c r="C1307" s="122"/>
      <c r="D1307" s="122"/>
      <c r="E1307" s="122"/>
      <c r="F1307" s="122"/>
      <c r="G1307" s="122"/>
      <c r="H1307" s="122"/>
      <c r="I1307" s="275"/>
      <c r="J1307" s="130"/>
      <c r="K1307" s="130"/>
      <c r="L1307" s="130"/>
      <c r="M1307" s="130"/>
      <c r="N1307" s="291"/>
      <c r="O1307" s="291"/>
      <c r="P1307" s="122"/>
      <c r="Q1307" s="122"/>
      <c r="R1307" s="122"/>
      <c r="S1307" s="122"/>
      <c r="T1307" s="122"/>
      <c r="U1307" s="301"/>
      <c r="V1307" s="260">
        <f t="shared" ca="1" si="28"/>
        <v>0</v>
      </c>
      <c r="W1307" s="348" t="str">
        <f>IF(板块成分!B1309="","",板块成分!B1309)</f>
        <v>002841.SZ</v>
      </c>
      <c r="X1307" s="276" t="str">
        <f>[1]!S_Info_Name(W1307)</f>
        <v>视源股份</v>
      </c>
      <c r="Y1307" s="276" t="str">
        <f ca="1">IF($Y$3="申万一级行业",[1]!s_info_industry_sw_2021(W1307,公司分析!D$5,1),IF($Y$3="申万二级行业",[1]!s_info_industry_sw_2021(W1307,公司分析!D$5,2),IF($Y$3="申万三级行业",[1]!s_info_industry_sw_2021(W1307,公司分析!D$5,3),IF($Y$3="wind一级行业",[1]!s_info_industry_gics(W1307,1),IF($Y$3="wind二级行业",[1]!s_info_industry_gics(W1307,2),IF($Y$3="wind三级行业",[1]!s_info_industry_gics(W1307,3),IF($Y$3="wind四级行业",[1]!s_info_industry_gics(W1307,4),IF($Y$3="证监会门类行业",[1]!s_info_industry_csrc12_n(W1307,公司分析!D$5,1),""))))))))</f>
        <v>消费电子</v>
      </c>
      <c r="Z1307" s="302" t="str">
        <f ca="1">IF(Y1307=行业比较!$E$6,ROW(),"")</f>
        <v/>
      </c>
      <c r="AA1307" s="122"/>
      <c r="AB1307" s="122"/>
      <c r="AC1307" s="122"/>
      <c r="AD1307" s="122"/>
      <c r="AE1307" s="122"/>
      <c r="AF1307" s="122"/>
      <c r="AG1307" s="122"/>
      <c r="AH1307" s="122"/>
      <c r="AI1307" s="122"/>
      <c r="AJ1307" s="122"/>
      <c r="AK1307" s="122"/>
      <c r="AL1307" s="122"/>
      <c r="AM1307" s="122"/>
      <c r="AN1307" s="122"/>
      <c r="AO1307" s="122"/>
      <c r="AP1307" s="122"/>
    </row>
    <row r="1308" spans="2:42">
      <c r="B1308" s="122"/>
      <c r="C1308" s="122"/>
      <c r="D1308" s="122"/>
      <c r="E1308" s="122"/>
      <c r="F1308" s="122"/>
      <c r="G1308" s="122"/>
      <c r="H1308" s="122"/>
      <c r="I1308" s="275"/>
      <c r="J1308" s="130"/>
      <c r="K1308" s="130"/>
      <c r="L1308" s="130"/>
      <c r="M1308" s="130"/>
      <c r="N1308" s="291"/>
      <c r="O1308" s="291"/>
      <c r="P1308" s="122"/>
      <c r="Q1308" s="122"/>
      <c r="R1308" s="122"/>
      <c r="S1308" s="122"/>
      <c r="T1308" s="122"/>
      <c r="U1308" s="301"/>
      <c r="V1308" s="260">
        <f t="shared" ca="1" si="28"/>
        <v>0</v>
      </c>
      <c r="W1308" s="348" t="str">
        <f>IF(板块成分!B1310="","",板块成分!B1310)</f>
        <v>002842.SZ</v>
      </c>
      <c r="X1308" s="276" t="str">
        <f>[1]!S_Info_Name(W1308)</f>
        <v>翔鹭钨业</v>
      </c>
      <c r="Y1308" s="276" t="str">
        <f ca="1">IF($Y$3="申万一级行业",[1]!s_info_industry_sw_2021(W1308,公司分析!D$5,1),IF($Y$3="申万二级行业",[1]!s_info_industry_sw_2021(W1308,公司分析!D$5,2),IF($Y$3="申万三级行业",[1]!s_info_industry_sw_2021(W1308,公司分析!D$5,3),IF($Y$3="wind一级行业",[1]!s_info_industry_gics(W1308,1),IF($Y$3="wind二级行业",[1]!s_info_industry_gics(W1308,2),IF($Y$3="wind三级行业",[1]!s_info_industry_gics(W1308,3),IF($Y$3="wind四级行业",[1]!s_info_industry_gics(W1308,4),IF($Y$3="证监会门类行业",[1]!s_info_industry_csrc12_n(W1308,公司分析!D$5,1),""))))))))</f>
        <v>小金属</v>
      </c>
      <c r="Z1308" s="302" t="str">
        <f ca="1">IF(Y1308=行业比较!$E$6,ROW(),"")</f>
        <v/>
      </c>
      <c r="AA1308" s="122"/>
      <c r="AB1308" s="122"/>
      <c r="AC1308" s="122"/>
      <c r="AD1308" s="122"/>
      <c r="AE1308" s="122"/>
      <c r="AF1308" s="122"/>
      <c r="AG1308" s="122"/>
      <c r="AH1308" s="122"/>
      <c r="AI1308" s="122"/>
      <c r="AJ1308" s="122"/>
      <c r="AK1308" s="122"/>
      <c r="AL1308" s="122"/>
      <c r="AM1308" s="122"/>
      <c r="AN1308" s="122"/>
      <c r="AO1308" s="122"/>
      <c r="AP1308" s="122"/>
    </row>
    <row r="1309" spans="2:42">
      <c r="B1309" s="122"/>
      <c r="C1309" s="122"/>
      <c r="D1309" s="122"/>
      <c r="E1309" s="122"/>
      <c r="F1309" s="122"/>
      <c r="G1309" s="122"/>
      <c r="H1309" s="122"/>
      <c r="I1309" s="275"/>
      <c r="J1309" s="130"/>
      <c r="K1309" s="130"/>
      <c r="L1309" s="130"/>
      <c r="M1309" s="130"/>
      <c r="N1309" s="291"/>
      <c r="O1309" s="291"/>
      <c r="P1309" s="122"/>
      <c r="Q1309" s="122"/>
      <c r="R1309" s="122"/>
      <c r="S1309" s="122"/>
      <c r="T1309" s="122"/>
      <c r="U1309" s="301"/>
      <c r="V1309" s="260">
        <f t="shared" ca="1" si="28"/>
        <v>0</v>
      </c>
      <c r="W1309" s="348" t="str">
        <f>IF(板块成分!B1311="","",板块成分!B1311)</f>
        <v>002843.SZ</v>
      </c>
      <c r="X1309" s="276" t="str">
        <f>[1]!S_Info_Name(W1309)</f>
        <v>泰嘉股份</v>
      </c>
      <c r="Y1309" s="276" t="str">
        <f ca="1">IF($Y$3="申万一级行业",[1]!s_info_industry_sw_2021(W1309,公司分析!D$5,1),IF($Y$3="申万二级行业",[1]!s_info_industry_sw_2021(W1309,公司分析!D$5,2),IF($Y$3="申万三级行业",[1]!s_info_industry_sw_2021(W1309,公司分析!D$5,3),IF($Y$3="wind一级行业",[1]!s_info_industry_gics(W1309,1),IF($Y$3="wind二级行业",[1]!s_info_industry_gics(W1309,2),IF($Y$3="wind三级行业",[1]!s_info_industry_gics(W1309,3),IF($Y$3="wind四级行业",[1]!s_info_industry_gics(W1309,4),IF($Y$3="证监会门类行业",[1]!s_info_industry_csrc12_n(W1309,公司分析!D$5,1),""))))))))</f>
        <v>通用设备</v>
      </c>
      <c r="Z1309" s="302" t="str">
        <f ca="1">IF(Y1309=行业比较!$E$6,ROW(),"")</f>
        <v/>
      </c>
      <c r="AA1309" s="122"/>
      <c r="AB1309" s="122"/>
      <c r="AC1309" s="122"/>
      <c r="AD1309" s="122"/>
      <c r="AE1309" s="122"/>
      <c r="AF1309" s="122"/>
      <c r="AG1309" s="122"/>
      <c r="AH1309" s="122"/>
      <c r="AI1309" s="122"/>
      <c r="AJ1309" s="122"/>
      <c r="AK1309" s="122"/>
      <c r="AL1309" s="122"/>
      <c r="AM1309" s="122"/>
      <c r="AN1309" s="122"/>
      <c r="AO1309" s="122"/>
      <c r="AP1309" s="122"/>
    </row>
    <row r="1310" spans="2:42">
      <c r="B1310" s="122"/>
      <c r="C1310" s="122"/>
      <c r="D1310" s="122"/>
      <c r="E1310" s="122"/>
      <c r="F1310" s="122"/>
      <c r="G1310" s="122"/>
      <c r="H1310" s="122"/>
      <c r="I1310" s="275"/>
      <c r="J1310" s="130"/>
      <c r="K1310" s="130"/>
      <c r="L1310" s="130"/>
      <c r="M1310" s="130"/>
      <c r="N1310" s="291"/>
      <c r="O1310" s="291"/>
      <c r="P1310" s="122"/>
      <c r="Q1310" s="122"/>
      <c r="R1310" s="122"/>
      <c r="S1310" s="122"/>
      <c r="T1310" s="122"/>
      <c r="U1310" s="301"/>
      <c r="V1310" s="260">
        <f t="shared" ca="1" si="28"/>
        <v>0</v>
      </c>
      <c r="W1310" s="348" t="str">
        <f>IF(板块成分!B1312="","",板块成分!B1312)</f>
        <v>002845.SZ</v>
      </c>
      <c r="X1310" s="276" t="str">
        <f>[1]!S_Info_Name(W1310)</f>
        <v>同兴达</v>
      </c>
      <c r="Y1310" s="276" t="str">
        <f ca="1">IF($Y$3="申万一级行业",[1]!s_info_industry_sw_2021(W1310,公司分析!D$5,1),IF($Y$3="申万二级行业",[1]!s_info_industry_sw_2021(W1310,公司分析!D$5,2),IF($Y$3="申万三级行业",[1]!s_info_industry_sw_2021(W1310,公司分析!D$5,3),IF($Y$3="wind一级行业",[1]!s_info_industry_gics(W1310,1),IF($Y$3="wind二级行业",[1]!s_info_industry_gics(W1310,2),IF($Y$3="wind三级行业",[1]!s_info_industry_gics(W1310,3),IF($Y$3="wind四级行业",[1]!s_info_industry_gics(W1310,4),IF($Y$3="证监会门类行业",[1]!s_info_industry_csrc12_n(W1310,公司分析!D$5,1),""))))))))</f>
        <v>光学光电子</v>
      </c>
      <c r="Z1310" s="302" t="str">
        <f ca="1">IF(Y1310=行业比较!$E$6,ROW(),"")</f>
        <v/>
      </c>
      <c r="AA1310" s="122"/>
      <c r="AB1310" s="122"/>
      <c r="AC1310" s="122"/>
      <c r="AD1310" s="122"/>
      <c r="AE1310" s="122"/>
      <c r="AF1310" s="122"/>
      <c r="AG1310" s="122"/>
      <c r="AH1310" s="122"/>
      <c r="AI1310" s="122"/>
      <c r="AJ1310" s="122"/>
      <c r="AK1310" s="122"/>
      <c r="AL1310" s="122"/>
      <c r="AM1310" s="122"/>
      <c r="AN1310" s="122"/>
      <c r="AO1310" s="122"/>
      <c r="AP1310" s="122"/>
    </row>
    <row r="1311" spans="2:42">
      <c r="B1311" s="122"/>
      <c r="C1311" s="122"/>
      <c r="D1311" s="122"/>
      <c r="E1311" s="122"/>
      <c r="F1311" s="122"/>
      <c r="G1311" s="122"/>
      <c r="H1311" s="122"/>
      <c r="I1311" s="275"/>
      <c r="J1311" s="130"/>
      <c r="K1311" s="130"/>
      <c r="L1311" s="130"/>
      <c r="M1311" s="130"/>
      <c r="N1311" s="291"/>
      <c r="O1311" s="291"/>
      <c r="P1311" s="122"/>
      <c r="Q1311" s="122"/>
      <c r="R1311" s="122"/>
      <c r="S1311" s="122"/>
      <c r="T1311" s="122"/>
      <c r="U1311" s="301"/>
      <c r="V1311" s="260">
        <f t="shared" ca="1" si="28"/>
        <v>0</v>
      </c>
      <c r="W1311" s="348" t="str">
        <f>IF(板块成分!B1313="","",板块成分!B1313)</f>
        <v>002846.SZ</v>
      </c>
      <c r="X1311" s="276" t="str">
        <f>[1]!S_Info_Name(W1311)</f>
        <v>英联股份</v>
      </c>
      <c r="Y1311" s="276" t="str">
        <f ca="1">IF($Y$3="申万一级行业",[1]!s_info_industry_sw_2021(W1311,公司分析!D$5,1),IF($Y$3="申万二级行业",[1]!s_info_industry_sw_2021(W1311,公司分析!D$5,2),IF($Y$3="申万三级行业",[1]!s_info_industry_sw_2021(W1311,公司分析!D$5,3),IF($Y$3="wind一级行业",[1]!s_info_industry_gics(W1311,1),IF($Y$3="wind二级行业",[1]!s_info_industry_gics(W1311,2),IF($Y$3="wind三级行业",[1]!s_info_industry_gics(W1311,3),IF($Y$3="wind四级行业",[1]!s_info_industry_gics(W1311,4),IF($Y$3="证监会门类行业",[1]!s_info_industry_csrc12_n(W1311,公司分析!D$5,1),""))))))))</f>
        <v>包装印刷</v>
      </c>
      <c r="Z1311" s="302" t="str">
        <f ca="1">IF(Y1311=行业比较!$E$6,ROW(),"")</f>
        <v/>
      </c>
      <c r="AA1311" s="122"/>
      <c r="AB1311" s="122"/>
      <c r="AC1311" s="122"/>
      <c r="AD1311" s="122"/>
      <c r="AE1311" s="122"/>
      <c r="AF1311" s="122"/>
      <c r="AG1311" s="122"/>
      <c r="AH1311" s="122"/>
      <c r="AI1311" s="122"/>
      <c r="AJ1311" s="122"/>
      <c r="AK1311" s="122"/>
      <c r="AL1311" s="122"/>
      <c r="AM1311" s="122"/>
      <c r="AN1311" s="122"/>
      <c r="AO1311" s="122"/>
      <c r="AP1311" s="122"/>
    </row>
    <row r="1312" spans="2:42">
      <c r="B1312" s="122"/>
      <c r="C1312" s="122"/>
      <c r="D1312" s="122"/>
      <c r="E1312" s="122"/>
      <c r="F1312" s="122"/>
      <c r="G1312" s="122"/>
      <c r="H1312" s="122"/>
      <c r="I1312" s="275"/>
      <c r="J1312" s="130"/>
      <c r="K1312" s="130"/>
      <c r="L1312" s="130"/>
      <c r="M1312" s="130"/>
      <c r="N1312" s="291"/>
      <c r="O1312" s="291"/>
      <c r="P1312" s="122"/>
      <c r="Q1312" s="122"/>
      <c r="R1312" s="122"/>
      <c r="S1312" s="122"/>
      <c r="T1312" s="122"/>
      <c r="U1312" s="301"/>
      <c r="V1312" s="260">
        <f t="shared" ca="1" si="28"/>
        <v>0</v>
      </c>
      <c r="W1312" s="348" t="str">
        <f>IF(板块成分!B1314="","",板块成分!B1314)</f>
        <v>002847.SZ</v>
      </c>
      <c r="X1312" s="276" t="str">
        <f>[1]!S_Info_Name(W1312)</f>
        <v>盐津铺子</v>
      </c>
      <c r="Y1312" s="276" t="str">
        <f ca="1">IF($Y$3="申万一级行业",[1]!s_info_industry_sw_2021(W1312,公司分析!D$5,1),IF($Y$3="申万二级行业",[1]!s_info_industry_sw_2021(W1312,公司分析!D$5,2),IF($Y$3="申万三级行业",[1]!s_info_industry_sw_2021(W1312,公司分析!D$5,3),IF($Y$3="wind一级行业",[1]!s_info_industry_gics(W1312,1),IF($Y$3="wind二级行业",[1]!s_info_industry_gics(W1312,2),IF($Y$3="wind三级行业",[1]!s_info_industry_gics(W1312,3),IF($Y$3="wind四级行业",[1]!s_info_industry_gics(W1312,4),IF($Y$3="证监会门类行业",[1]!s_info_industry_csrc12_n(W1312,公司分析!D$5,1),""))))))))</f>
        <v>休闲食品</v>
      </c>
      <c r="Z1312" s="302" t="str">
        <f ca="1">IF(Y1312=行业比较!$E$6,ROW(),"")</f>
        <v/>
      </c>
      <c r="AA1312" s="122"/>
      <c r="AB1312" s="122"/>
      <c r="AC1312" s="122"/>
      <c r="AD1312" s="122"/>
      <c r="AE1312" s="122"/>
      <c r="AF1312" s="122"/>
      <c r="AG1312" s="122"/>
      <c r="AH1312" s="122"/>
      <c r="AI1312" s="122"/>
      <c r="AJ1312" s="122"/>
      <c r="AK1312" s="122"/>
      <c r="AL1312" s="122"/>
      <c r="AM1312" s="122"/>
      <c r="AN1312" s="122"/>
      <c r="AO1312" s="122"/>
      <c r="AP1312" s="122"/>
    </row>
    <row r="1313" spans="2:42">
      <c r="B1313" s="122"/>
      <c r="C1313" s="122"/>
      <c r="D1313" s="122"/>
      <c r="E1313" s="122"/>
      <c r="F1313" s="122"/>
      <c r="G1313" s="122"/>
      <c r="H1313" s="122"/>
      <c r="I1313" s="275"/>
      <c r="J1313" s="130"/>
      <c r="K1313" s="130"/>
      <c r="L1313" s="130"/>
      <c r="M1313" s="130"/>
      <c r="N1313" s="291"/>
      <c r="O1313" s="291"/>
      <c r="P1313" s="122"/>
      <c r="Q1313" s="122"/>
      <c r="R1313" s="122"/>
      <c r="S1313" s="122"/>
      <c r="T1313" s="122"/>
      <c r="U1313" s="301"/>
      <c r="V1313" s="260">
        <f t="shared" ca="1" si="28"/>
        <v>0</v>
      </c>
      <c r="W1313" s="348" t="str">
        <f>IF(板块成分!B1315="","",板块成分!B1315)</f>
        <v>002848.SZ</v>
      </c>
      <c r="X1313" s="276" t="str">
        <f>[1]!S_Info_Name(W1313)</f>
        <v>*ST高斯</v>
      </c>
      <c r="Y1313" s="276" t="str">
        <f ca="1">IF($Y$3="申万一级行业",[1]!s_info_industry_sw_2021(W1313,公司分析!D$5,1),IF($Y$3="申万二级行业",[1]!s_info_industry_sw_2021(W1313,公司分析!D$5,2),IF($Y$3="申万三级行业",[1]!s_info_industry_sw_2021(W1313,公司分析!D$5,3),IF($Y$3="wind一级行业",[1]!s_info_industry_gics(W1313,1),IF($Y$3="wind二级行业",[1]!s_info_industry_gics(W1313,2),IF($Y$3="wind三级行业",[1]!s_info_industry_gics(W1313,3),IF($Y$3="wind四级行业",[1]!s_info_industry_gics(W1313,4),IF($Y$3="证监会门类行业",[1]!s_info_industry_csrc12_n(W1313,公司分析!D$5,1),""))))))))</f>
        <v>黑色家电</v>
      </c>
      <c r="Z1313" s="302" t="str">
        <f ca="1">IF(Y1313=行业比较!$E$6,ROW(),"")</f>
        <v/>
      </c>
      <c r="AA1313" s="122"/>
      <c r="AB1313" s="122"/>
      <c r="AC1313" s="122"/>
      <c r="AD1313" s="122"/>
      <c r="AE1313" s="122"/>
      <c r="AF1313" s="122"/>
      <c r="AG1313" s="122"/>
      <c r="AH1313" s="122"/>
      <c r="AI1313" s="122"/>
      <c r="AJ1313" s="122"/>
      <c r="AK1313" s="122"/>
      <c r="AL1313" s="122"/>
      <c r="AM1313" s="122"/>
      <c r="AN1313" s="122"/>
      <c r="AO1313" s="122"/>
      <c r="AP1313" s="122"/>
    </row>
    <row r="1314" spans="2:42">
      <c r="B1314" s="122"/>
      <c r="C1314" s="122"/>
      <c r="D1314" s="122"/>
      <c r="E1314" s="122"/>
      <c r="F1314" s="122"/>
      <c r="G1314" s="122"/>
      <c r="H1314" s="122"/>
      <c r="I1314" s="275"/>
      <c r="J1314" s="130"/>
      <c r="K1314" s="130"/>
      <c r="L1314" s="130"/>
      <c r="M1314" s="130"/>
      <c r="N1314" s="291"/>
      <c r="O1314" s="291"/>
      <c r="P1314" s="122"/>
      <c r="Q1314" s="122"/>
      <c r="R1314" s="122"/>
      <c r="S1314" s="122"/>
      <c r="T1314" s="122"/>
      <c r="U1314" s="301"/>
      <c r="V1314" s="260">
        <f t="shared" ca="1" si="28"/>
        <v>0</v>
      </c>
      <c r="W1314" s="348" t="str">
        <f>IF(板块成分!B1316="","",板块成分!B1316)</f>
        <v>002849.SZ</v>
      </c>
      <c r="X1314" s="276" t="str">
        <f>[1]!S_Info_Name(W1314)</f>
        <v>威星智能</v>
      </c>
      <c r="Y1314" s="276" t="str">
        <f ca="1">IF($Y$3="申万一级行业",[1]!s_info_industry_sw_2021(W1314,公司分析!D$5,1),IF($Y$3="申万二级行业",[1]!s_info_industry_sw_2021(W1314,公司分析!D$5,2),IF($Y$3="申万三级行业",[1]!s_info_industry_sw_2021(W1314,公司分析!D$5,3),IF($Y$3="wind一级行业",[1]!s_info_industry_gics(W1314,1),IF($Y$3="wind二级行业",[1]!s_info_industry_gics(W1314,2),IF($Y$3="wind三级行业",[1]!s_info_industry_gics(W1314,3),IF($Y$3="wind四级行业",[1]!s_info_industry_gics(W1314,4),IF($Y$3="证监会门类行业",[1]!s_info_industry_csrc12_n(W1314,公司分析!D$5,1),""))))))))</f>
        <v>通用设备</v>
      </c>
      <c r="Z1314" s="302" t="str">
        <f ca="1">IF(Y1314=行业比较!$E$6,ROW(),"")</f>
        <v/>
      </c>
      <c r="AA1314" s="122"/>
      <c r="AB1314" s="122"/>
      <c r="AC1314" s="122"/>
      <c r="AD1314" s="122"/>
      <c r="AE1314" s="122"/>
      <c r="AF1314" s="122"/>
      <c r="AG1314" s="122"/>
      <c r="AH1314" s="122"/>
      <c r="AI1314" s="122"/>
      <c r="AJ1314" s="122"/>
      <c r="AK1314" s="122"/>
      <c r="AL1314" s="122"/>
      <c r="AM1314" s="122"/>
      <c r="AN1314" s="122"/>
      <c r="AO1314" s="122"/>
      <c r="AP1314" s="122"/>
    </row>
    <row r="1315" spans="2:42">
      <c r="B1315" s="122"/>
      <c r="C1315" s="122"/>
      <c r="D1315" s="122"/>
      <c r="E1315" s="122"/>
      <c r="F1315" s="122"/>
      <c r="G1315" s="122"/>
      <c r="H1315" s="122"/>
      <c r="I1315" s="275"/>
      <c r="J1315" s="130"/>
      <c r="K1315" s="130"/>
      <c r="L1315" s="130"/>
      <c r="M1315" s="130"/>
      <c r="N1315" s="291"/>
      <c r="O1315" s="291"/>
      <c r="P1315" s="122"/>
      <c r="Q1315" s="122"/>
      <c r="R1315" s="122"/>
      <c r="S1315" s="122"/>
      <c r="T1315" s="122"/>
      <c r="U1315" s="301"/>
      <c r="V1315" s="260">
        <f t="shared" ca="1" si="28"/>
        <v>0</v>
      </c>
      <c r="W1315" s="348" t="str">
        <f>IF(板块成分!B1317="","",板块成分!B1317)</f>
        <v>002850.SZ</v>
      </c>
      <c r="X1315" s="276" t="str">
        <f>[1]!S_Info_Name(W1315)</f>
        <v>科达利</v>
      </c>
      <c r="Y1315" s="276" t="str">
        <f ca="1">IF($Y$3="申万一级行业",[1]!s_info_industry_sw_2021(W1315,公司分析!D$5,1),IF($Y$3="申万二级行业",[1]!s_info_industry_sw_2021(W1315,公司分析!D$5,2),IF($Y$3="申万三级行业",[1]!s_info_industry_sw_2021(W1315,公司分析!D$5,3),IF($Y$3="wind一级行业",[1]!s_info_industry_gics(W1315,1),IF($Y$3="wind二级行业",[1]!s_info_industry_gics(W1315,2),IF($Y$3="wind三级行业",[1]!s_info_industry_gics(W1315,3),IF($Y$3="wind四级行业",[1]!s_info_industry_gics(W1315,4),IF($Y$3="证监会门类行业",[1]!s_info_industry_csrc12_n(W1315,公司分析!D$5,1),""))))))))</f>
        <v>电池</v>
      </c>
      <c r="Z1315" s="302" t="str">
        <f ca="1">IF(Y1315=行业比较!$E$6,ROW(),"")</f>
        <v/>
      </c>
      <c r="AA1315" s="122"/>
      <c r="AB1315" s="122"/>
      <c r="AC1315" s="122"/>
      <c r="AD1315" s="122"/>
      <c r="AE1315" s="122"/>
      <c r="AF1315" s="122"/>
      <c r="AG1315" s="122"/>
      <c r="AH1315" s="122"/>
      <c r="AI1315" s="122"/>
      <c r="AJ1315" s="122"/>
      <c r="AK1315" s="122"/>
      <c r="AL1315" s="122"/>
      <c r="AM1315" s="122"/>
      <c r="AN1315" s="122"/>
      <c r="AO1315" s="122"/>
      <c r="AP1315" s="122"/>
    </row>
    <row r="1316" spans="2:42">
      <c r="B1316" s="122"/>
      <c r="C1316" s="122"/>
      <c r="D1316" s="122"/>
      <c r="E1316" s="122"/>
      <c r="F1316" s="122"/>
      <c r="G1316" s="122"/>
      <c r="H1316" s="122"/>
      <c r="I1316" s="275"/>
      <c r="J1316" s="130"/>
      <c r="K1316" s="130"/>
      <c r="L1316" s="130"/>
      <c r="M1316" s="130"/>
      <c r="N1316" s="291"/>
      <c r="O1316" s="291"/>
      <c r="P1316" s="122"/>
      <c r="Q1316" s="122"/>
      <c r="R1316" s="122"/>
      <c r="S1316" s="122"/>
      <c r="T1316" s="122"/>
      <c r="U1316" s="301"/>
      <c r="V1316" s="260">
        <f t="shared" ca="1" si="28"/>
        <v>0</v>
      </c>
      <c r="W1316" s="348" t="str">
        <f>IF(板块成分!B1318="","",板块成分!B1318)</f>
        <v>002851.SZ</v>
      </c>
      <c r="X1316" s="276" t="str">
        <f>[1]!S_Info_Name(W1316)</f>
        <v>麦格米特</v>
      </c>
      <c r="Y1316" s="276" t="str">
        <f ca="1">IF($Y$3="申万一级行业",[1]!s_info_industry_sw_2021(W1316,公司分析!D$5,1),IF($Y$3="申万二级行业",[1]!s_info_industry_sw_2021(W1316,公司分析!D$5,2),IF($Y$3="申万三级行业",[1]!s_info_industry_sw_2021(W1316,公司分析!D$5,3),IF($Y$3="wind一级行业",[1]!s_info_industry_gics(W1316,1),IF($Y$3="wind二级行业",[1]!s_info_industry_gics(W1316,2),IF($Y$3="wind三级行业",[1]!s_info_industry_gics(W1316,3),IF($Y$3="wind四级行业",[1]!s_info_industry_gics(W1316,4),IF($Y$3="证监会门类行业",[1]!s_info_industry_csrc12_n(W1316,公司分析!D$5,1),""))))))))</f>
        <v>其他电源设备Ⅱ</v>
      </c>
      <c r="Z1316" s="302" t="str">
        <f ca="1">IF(Y1316=行业比较!$E$6,ROW(),"")</f>
        <v/>
      </c>
      <c r="AA1316" s="122"/>
      <c r="AB1316" s="122"/>
      <c r="AC1316" s="122"/>
      <c r="AD1316" s="122"/>
      <c r="AE1316" s="122"/>
      <c r="AF1316" s="122"/>
      <c r="AG1316" s="122"/>
      <c r="AH1316" s="122"/>
      <c r="AI1316" s="122"/>
      <c r="AJ1316" s="122"/>
      <c r="AK1316" s="122"/>
      <c r="AL1316" s="122"/>
      <c r="AM1316" s="122"/>
      <c r="AN1316" s="122"/>
      <c r="AO1316" s="122"/>
      <c r="AP1316" s="122"/>
    </row>
    <row r="1317" spans="2:42">
      <c r="B1317" s="122"/>
      <c r="C1317" s="122"/>
      <c r="D1317" s="122"/>
      <c r="E1317" s="122"/>
      <c r="F1317" s="122"/>
      <c r="G1317" s="122"/>
      <c r="H1317" s="122"/>
      <c r="I1317" s="275"/>
      <c r="J1317" s="130"/>
      <c r="K1317" s="130"/>
      <c r="L1317" s="130"/>
      <c r="M1317" s="130"/>
      <c r="N1317" s="291"/>
      <c r="O1317" s="291"/>
      <c r="P1317" s="122"/>
      <c r="Q1317" s="122"/>
      <c r="R1317" s="122"/>
      <c r="S1317" s="122"/>
      <c r="T1317" s="122"/>
      <c r="U1317" s="301"/>
      <c r="V1317" s="260">
        <f t="shared" ca="1" si="28"/>
        <v>0</v>
      </c>
      <c r="W1317" s="348" t="str">
        <f>IF(板块成分!B1319="","",板块成分!B1319)</f>
        <v>002852.SZ</v>
      </c>
      <c r="X1317" s="276" t="str">
        <f>[1]!S_Info_Name(W1317)</f>
        <v>道道全</v>
      </c>
      <c r="Y1317" s="276" t="str">
        <f ca="1">IF($Y$3="申万一级行业",[1]!s_info_industry_sw_2021(W1317,公司分析!D$5,1),IF($Y$3="申万二级行业",[1]!s_info_industry_sw_2021(W1317,公司分析!D$5,2),IF($Y$3="申万三级行业",[1]!s_info_industry_sw_2021(W1317,公司分析!D$5,3),IF($Y$3="wind一级行业",[1]!s_info_industry_gics(W1317,1),IF($Y$3="wind二级行业",[1]!s_info_industry_gics(W1317,2),IF($Y$3="wind三级行业",[1]!s_info_industry_gics(W1317,3),IF($Y$3="wind四级行业",[1]!s_info_industry_gics(W1317,4),IF($Y$3="证监会门类行业",[1]!s_info_industry_csrc12_n(W1317,公司分析!D$5,1),""))))))))</f>
        <v>农产品加工</v>
      </c>
      <c r="Z1317" s="302" t="str">
        <f ca="1">IF(Y1317=行业比较!$E$6,ROW(),"")</f>
        <v/>
      </c>
      <c r="AA1317" s="122"/>
      <c r="AB1317" s="122"/>
      <c r="AC1317" s="122"/>
      <c r="AD1317" s="122"/>
      <c r="AE1317" s="122"/>
      <c r="AF1317" s="122"/>
      <c r="AG1317" s="122"/>
      <c r="AH1317" s="122"/>
      <c r="AI1317" s="122"/>
      <c r="AJ1317" s="122"/>
      <c r="AK1317" s="122"/>
      <c r="AL1317" s="122"/>
      <c r="AM1317" s="122"/>
      <c r="AN1317" s="122"/>
      <c r="AO1317" s="122"/>
      <c r="AP1317" s="122"/>
    </row>
    <row r="1318" spans="2:42">
      <c r="B1318" s="122"/>
      <c r="C1318" s="122"/>
      <c r="D1318" s="122"/>
      <c r="E1318" s="122"/>
      <c r="F1318" s="122"/>
      <c r="G1318" s="122"/>
      <c r="H1318" s="122"/>
      <c r="I1318" s="275"/>
      <c r="J1318" s="130"/>
      <c r="K1318" s="130"/>
      <c r="L1318" s="130"/>
      <c r="M1318" s="130"/>
      <c r="N1318" s="291"/>
      <c r="O1318" s="291"/>
      <c r="P1318" s="122"/>
      <c r="Q1318" s="122"/>
      <c r="R1318" s="122"/>
      <c r="S1318" s="122"/>
      <c r="T1318" s="122"/>
      <c r="U1318" s="301"/>
      <c r="V1318" s="260">
        <f t="shared" ca="1" si="28"/>
        <v>0</v>
      </c>
      <c r="W1318" s="348" t="str">
        <f>IF(板块成分!B1320="","",板块成分!B1320)</f>
        <v>002853.SZ</v>
      </c>
      <c r="X1318" s="276" t="str">
        <f>[1]!S_Info_Name(W1318)</f>
        <v>皮阿诺</v>
      </c>
      <c r="Y1318" s="276" t="str">
        <f ca="1">IF($Y$3="申万一级行业",[1]!s_info_industry_sw_2021(W1318,公司分析!D$5,1),IF($Y$3="申万二级行业",[1]!s_info_industry_sw_2021(W1318,公司分析!D$5,2),IF($Y$3="申万三级行业",[1]!s_info_industry_sw_2021(W1318,公司分析!D$5,3),IF($Y$3="wind一级行业",[1]!s_info_industry_gics(W1318,1),IF($Y$3="wind二级行业",[1]!s_info_industry_gics(W1318,2),IF($Y$3="wind三级行业",[1]!s_info_industry_gics(W1318,3),IF($Y$3="wind四级行业",[1]!s_info_industry_gics(W1318,4),IF($Y$3="证监会门类行业",[1]!s_info_industry_csrc12_n(W1318,公司分析!D$5,1),""))))))))</f>
        <v>家居用品</v>
      </c>
      <c r="Z1318" s="302" t="str">
        <f ca="1">IF(Y1318=行业比较!$E$6,ROW(),"")</f>
        <v/>
      </c>
      <c r="AA1318" s="122"/>
      <c r="AB1318" s="122"/>
      <c r="AC1318" s="122"/>
      <c r="AD1318" s="122"/>
      <c r="AE1318" s="122"/>
      <c r="AF1318" s="122"/>
      <c r="AG1318" s="122"/>
      <c r="AH1318" s="122"/>
      <c r="AI1318" s="122"/>
      <c r="AJ1318" s="122"/>
      <c r="AK1318" s="122"/>
      <c r="AL1318" s="122"/>
      <c r="AM1318" s="122"/>
      <c r="AN1318" s="122"/>
      <c r="AO1318" s="122"/>
      <c r="AP1318" s="122"/>
    </row>
    <row r="1319" spans="2:42">
      <c r="B1319" s="122"/>
      <c r="C1319" s="122"/>
      <c r="D1319" s="122"/>
      <c r="E1319" s="122"/>
      <c r="F1319" s="122"/>
      <c r="G1319" s="122"/>
      <c r="H1319" s="122"/>
      <c r="I1319" s="275"/>
      <c r="J1319" s="130"/>
      <c r="K1319" s="130"/>
      <c r="L1319" s="130"/>
      <c r="M1319" s="130"/>
      <c r="N1319" s="291"/>
      <c r="O1319" s="291"/>
      <c r="P1319" s="122"/>
      <c r="Q1319" s="122"/>
      <c r="R1319" s="122"/>
      <c r="S1319" s="122"/>
      <c r="T1319" s="122"/>
      <c r="U1319" s="301"/>
      <c r="V1319" s="260">
        <f t="shared" ca="1" si="28"/>
        <v>0</v>
      </c>
      <c r="W1319" s="348" t="str">
        <f>IF(板块成分!B1321="","",板块成分!B1321)</f>
        <v>002855.SZ</v>
      </c>
      <c r="X1319" s="276" t="str">
        <f>[1]!S_Info_Name(W1319)</f>
        <v>捷荣技术</v>
      </c>
      <c r="Y1319" s="276" t="str">
        <f ca="1">IF($Y$3="申万一级行业",[1]!s_info_industry_sw_2021(W1319,公司分析!D$5,1),IF($Y$3="申万二级行业",[1]!s_info_industry_sw_2021(W1319,公司分析!D$5,2),IF($Y$3="申万三级行业",[1]!s_info_industry_sw_2021(W1319,公司分析!D$5,3),IF($Y$3="wind一级行业",[1]!s_info_industry_gics(W1319,1),IF($Y$3="wind二级行业",[1]!s_info_industry_gics(W1319,2),IF($Y$3="wind三级行业",[1]!s_info_industry_gics(W1319,3),IF($Y$3="wind四级行业",[1]!s_info_industry_gics(W1319,4),IF($Y$3="证监会门类行业",[1]!s_info_industry_csrc12_n(W1319,公司分析!D$5,1),""))))))))</f>
        <v>消费电子</v>
      </c>
      <c r="Z1319" s="302" t="str">
        <f ca="1">IF(Y1319=行业比较!$E$6,ROW(),"")</f>
        <v/>
      </c>
      <c r="AA1319" s="122"/>
      <c r="AB1319" s="122"/>
      <c r="AC1319" s="122"/>
      <c r="AD1319" s="122"/>
      <c r="AE1319" s="122"/>
      <c r="AF1319" s="122"/>
      <c r="AG1319" s="122"/>
      <c r="AH1319" s="122"/>
      <c r="AI1319" s="122"/>
      <c r="AJ1319" s="122"/>
      <c r="AK1319" s="122"/>
      <c r="AL1319" s="122"/>
      <c r="AM1319" s="122"/>
      <c r="AN1319" s="122"/>
      <c r="AO1319" s="122"/>
      <c r="AP1319" s="122"/>
    </row>
    <row r="1320" spans="2:42">
      <c r="B1320" s="122"/>
      <c r="C1320" s="122"/>
      <c r="D1320" s="122"/>
      <c r="E1320" s="122"/>
      <c r="F1320" s="122"/>
      <c r="G1320" s="122"/>
      <c r="H1320" s="122"/>
      <c r="I1320" s="275"/>
      <c r="J1320" s="130"/>
      <c r="K1320" s="130"/>
      <c r="L1320" s="130"/>
      <c r="M1320" s="130"/>
      <c r="N1320" s="291"/>
      <c r="O1320" s="291"/>
      <c r="P1320" s="122"/>
      <c r="Q1320" s="122"/>
      <c r="R1320" s="122"/>
      <c r="S1320" s="122"/>
      <c r="T1320" s="122"/>
      <c r="U1320" s="301"/>
      <c r="V1320" s="260">
        <f t="shared" ca="1" si="28"/>
        <v>0</v>
      </c>
      <c r="W1320" s="348" t="str">
        <f>IF(板块成分!B1322="","",板块成分!B1322)</f>
        <v>002856.SZ</v>
      </c>
      <c r="X1320" s="276" t="str">
        <f>[1]!S_Info_Name(W1320)</f>
        <v>美芝股份</v>
      </c>
      <c r="Y1320" s="276" t="str">
        <f ca="1">IF($Y$3="申万一级行业",[1]!s_info_industry_sw_2021(W1320,公司分析!D$5,1),IF($Y$3="申万二级行业",[1]!s_info_industry_sw_2021(W1320,公司分析!D$5,2),IF($Y$3="申万三级行业",[1]!s_info_industry_sw_2021(W1320,公司分析!D$5,3),IF($Y$3="wind一级行业",[1]!s_info_industry_gics(W1320,1),IF($Y$3="wind二级行业",[1]!s_info_industry_gics(W1320,2),IF($Y$3="wind三级行业",[1]!s_info_industry_gics(W1320,3),IF($Y$3="wind四级行业",[1]!s_info_industry_gics(W1320,4),IF($Y$3="证监会门类行业",[1]!s_info_industry_csrc12_n(W1320,公司分析!D$5,1),""))))))))</f>
        <v>装修装饰Ⅱ</v>
      </c>
      <c r="Z1320" s="302" t="str">
        <f ca="1">IF(Y1320=行业比较!$E$6,ROW(),"")</f>
        <v/>
      </c>
      <c r="AA1320" s="122"/>
      <c r="AB1320" s="122"/>
      <c r="AC1320" s="122"/>
      <c r="AD1320" s="122"/>
      <c r="AE1320" s="122"/>
      <c r="AF1320" s="122"/>
      <c r="AG1320" s="122"/>
      <c r="AH1320" s="122"/>
      <c r="AI1320" s="122"/>
      <c r="AJ1320" s="122"/>
      <c r="AK1320" s="122"/>
      <c r="AL1320" s="122"/>
      <c r="AM1320" s="122"/>
      <c r="AN1320" s="122"/>
      <c r="AO1320" s="122"/>
      <c r="AP1320" s="122"/>
    </row>
    <row r="1321" spans="2:42">
      <c r="B1321" s="122"/>
      <c r="C1321" s="122"/>
      <c r="D1321" s="122"/>
      <c r="E1321" s="122"/>
      <c r="F1321" s="122"/>
      <c r="G1321" s="122"/>
      <c r="H1321" s="122"/>
      <c r="I1321" s="275"/>
      <c r="J1321" s="130"/>
      <c r="K1321" s="130"/>
      <c r="L1321" s="130"/>
      <c r="M1321" s="130"/>
      <c r="N1321" s="291"/>
      <c r="O1321" s="291"/>
      <c r="P1321" s="122"/>
      <c r="Q1321" s="122"/>
      <c r="R1321" s="122"/>
      <c r="S1321" s="122"/>
      <c r="T1321" s="122"/>
      <c r="U1321" s="301"/>
      <c r="V1321" s="260">
        <f t="shared" ca="1" si="28"/>
        <v>0</v>
      </c>
      <c r="W1321" s="348" t="str">
        <f>IF(板块成分!B1323="","",板块成分!B1323)</f>
        <v>002857.SZ</v>
      </c>
      <c r="X1321" s="276" t="str">
        <f>[1]!S_Info_Name(W1321)</f>
        <v>三晖电气</v>
      </c>
      <c r="Y1321" s="276" t="str">
        <f ca="1">IF($Y$3="申万一级行业",[1]!s_info_industry_sw_2021(W1321,公司分析!D$5,1),IF($Y$3="申万二级行业",[1]!s_info_industry_sw_2021(W1321,公司分析!D$5,2),IF($Y$3="申万三级行业",[1]!s_info_industry_sw_2021(W1321,公司分析!D$5,3),IF($Y$3="wind一级行业",[1]!s_info_industry_gics(W1321,1),IF($Y$3="wind二级行业",[1]!s_info_industry_gics(W1321,2),IF($Y$3="wind三级行业",[1]!s_info_industry_gics(W1321,3),IF($Y$3="wind四级行业",[1]!s_info_industry_gics(W1321,4),IF($Y$3="证监会门类行业",[1]!s_info_industry_csrc12_n(W1321,公司分析!D$5,1),""))))))))</f>
        <v>电网设备</v>
      </c>
      <c r="Z1321" s="302" t="str">
        <f ca="1">IF(Y1321=行业比较!$E$6,ROW(),"")</f>
        <v/>
      </c>
      <c r="AA1321" s="122"/>
      <c r="AB1321" s="122"/>
      <c r="AC1321" s="122"/>
      <c r="AD1321" s="122"/>
      <c r="AE1321" s="122"/>
      <c r="AF1321" s="122"/>
      <c r="AG1321" s="122"/>
      <c r="AH1321" s="122"/>
      <c r="AI1321" s="122"/>
      <c r="AJ1321" s="122"/>
      <c r="AK1321" s="122"/>
      <c r="AL1321" s="122"/>
      <c r="AM1321" s="122"/>
      <c r="AN1321" s="122"/>
      <c r="AO1321" s="122"/>
      <c r="AP1321" s="122"/>
    </row>
    <row r="1322" spans="2:42">
      <c r="B1322" s="122"/>
      <c r="C1322" s="122"/>
      <c r="D1322" s="122"/>
      <c r="E1322" s="122"/>
      <c r="F1322" s="122"/>
      <c r="G1322" s="122"/>
      <c r="H1322" s="122"/>
      <c r="I1322" s="275"/>
      <c r="J1322" s="130"/>
      <c r="K1322" s="130"/>
      <c r="L1322" s="130"/>
      <c r="M1322" s="130"/>
      <c r="N1322" s="291"/>
      <c r="O1322" s="291"/>
      <c r="P1322" s="122"/>
      <c r="Q1322" s="122"/>
      <c r="R1322" s="122"/>
      <c r="S1322" s="122"/>
      <c r="T1322" s="122"/>
      <c r="U1322" s="301"/>
      <c r="V1322" s="260">
        <f t="shared" ca="1" si="28"/>
        <v>0</v>
      </c>
      <c r="W1322" s="348" t="str">
        <f>IF(板块成分!B1324="","",板块成分!B1324)</f>
        <v>002858.SZ</v>
      </c>
      <c r="X1322" s="276" t="str">
        <f>[1]!S_Info_Name(W1322)</f>
        <v>力盛体育</v>
      </c>
      <c r="Y1322" s="276" t="str">
        <f ca="1">IF($Y$3="申万一级行业",[1]!s_info_industry_sw_2021(W1322,公司分析!D$5,1),IF($Y$3="申万二级行业",[1]!s_info_industry_sw_2021(W1322,公司分析!D$5,2),IF($Y$3="申万三级行业",[1]!s_info_industry_sw_2021(W1322,公司分析!D$5,3),IF($Y$3="wind一级行业",[1]!s_info_industry_gics(W1322,1),IF($Y$3="wind二级行业",[1]!s_info_industry_gics(W1322,2),IF($Y$3="wind三级行业",[1]!s_info_industry_gics(W1322,3),IF($Y$3="wind四级行业",[1]!s_info_industry_gics(W1322,4),IF($Y$3="证监会门类行业",[1]!s_info_industry_csrc12_n(W1322,公司分析!D$5,1),""))))))))</f>
        <v>体育Ⅱ</v>
      </c>
      <c r="Z1322" s="302" t="str">
        <f ca="1">IF(Y1322=行业比较!$E$6,ROW(),"")</f>
        <v/>
      </c>
      <c r="AA1322" s="122"/>
      <c r="AB1322" s="122"/>
      <c r="AC1322" s="122"/>
      <c r="AD1322" s="122"/>
      <c r="AE1322" s="122"/>
      <c r="AF1322" s="122"/>
      <c r="AG1322" s="122"/>
      <c r="AH1322" s="122"/>
      <c r="AI1322" s="122"/>
      <c r="AJ1322" s="122"/>
      <c r="AK1322" s="122"/>
      <c r="AL1322" s="122"/>
      <c r="AM1322" s="122"/>
      <c r="AN1322" s="122"/>
      <c r="AO1322" s="122"/>
      <c r="AP1322" s="122"/>
    </row>
    <row r="1323" spans="2:42">
      <c r="B1323" s="122"/>
      <c r="C1323" s="122"/>
      <c r="D1323" s="122"/>
      <c r="E1323" s="122"/>
      <c r="F1323" s="122"/>
      <c r="G1323" s="122"/>
      <c r="H1323" s="122"/>
      <c r="I1323" s="275"/>
      <c r="J1323" s="130"/>
      <c r="K1323" s="130"/>
      <c r="L1323" s="130"/>
      <c r="M1323" s="130"/>
      <c r="N1323" s="291"/>
      <c r="O1323" s="291"/>
      <c r="P1323" s="122"/>
      <c r="Q1323" s="122"/>
      <c r="R1323" s="122"/>
      <c r="S1323" s="122"/>
      <c r="T1323" s="122"/>
      <c r="U1323" s="301"/>
      <c r="V1323" s="260">
        <f t="shared" ca="1" si="28"/>
        <v>0</v>
      </c>
      <c r="W1323" s="348" t="str">
        <f>IF(板块成分!B1325="","",板块成分!B1325)</f>
        <v>002859.SZ</v>
      </c>
      <c r="X1323" s="276" t="str">
        <f>[1]!S_Info_Name(W1323)</f>
        <v>洁美科技</v>
      </c>
      <c r="Y1323" s="276" t="str">
        <f ca="1">IF($Y$3="申万一级行业",[1]!s_info_industry_sw_2021(W1323,公司分析!D$5,1),IF($Y$3="申万二级行业",[1]!s_info_industry_sw_2021(W1323,公司分析!D$5,2),IF($Y$3="申万三级行业",[1]!s_info_industry_sw_2021(W1323,公司分析!D$5,3),IF($Y$3="wind一级行业",[1]!s_info_industry_gics(W1323,1),IF($Y$3="wind二级行业",[1]!s_info_industry_gics(W1323,2),IF($Y$3="wind三级行业",[1]!s_info_industry_gics(W1323,3),IF($Y$3="wind四级行业",[1]!s_info_industry_gics(W1323,4),IF($Y$3="证监会门类行业",[1]!s_info_industry_csrc12_n(W1323,公司分析!D$5,1),""))))))))</f>
        <v>其他电子Ⅱ</v>
      </c>
      <c r="Z1323" s="302" t="str">
        <f ca="1">IF(Y1323=行业比较!$E$6,ROW(),"")</f>
        <v/>
      </c>
      <c r="AA1323" s="122"/>
      <c r="AB1323" s="122"/>
      <c r="AC1323" s="122"/>
      <c r="AD1323" s="122"/>
      <c r="AE1323" s="122"/>
      <c r="AF1323" s="122"/>
      <c r="AG1323" s="122"/>
      <c r="AH1323" s="122"/>
      <c r="AI1323" s="122"/>
      <c r="AJ1323" s="122"/>
      <c r="AK1323" s="122"/>
      <c r="AL1323" s="122"/>
      <c r="AM1323" s="122"/>
      <c r="AN1323" s="122"/>
      <c r="AO1323" s="122"/>
      <c r="AP1323" s="122"/>
    </row>
    <row r="1324" spans="2:42">
      <c r="B1324" s="122"/>
      <c r="C1324" s="122"/>
      <c r="D1324" s="122"/>
      <c r="E1324" s="122"/>
      <c r="F1324" s="122"/>
      <c r="G1324" s="122"/>
      <c r="H1324" s="122"/>
      <c r="I1324" s="275"/>
      <c r="J1324" s="130"/>
      <c r="K1324" s="130"/>
      <c r="L1324" s="130"/>
      <c r="M1324" s="130"/>
      <c r="N1324" s="291"/>
      <c r="O1324" s="291"/>
      <c r="P1324" s="122"/>
      <c r="Q1324" s="122"/>
      <c r="R1324" s="122"/>
      <c r="S1324" s="122"/>
      <c r="T1324" s="122"/>
      <c r="U1324" s="301"/>
      <c r="V1324" s="260">
        <f t="shared" ca="1" si="28"/>
        <v>0</v>
      </c>
      <c r="W1324" s="348" t="str">
        <f>IF(板块成分!B1326="","",板块成分!B1326)</f>
        <v>002860.SZ</v>
      </c>
      <c r="X1324" s="276" t="str">
        <f>[1]!S_Info_Name(W1324)</f>
        <v>星帅尔</v>
      </c>
      <c r="Y1324" s="276" t="str">
        <f ca="1">IF($Y$3="申万一级行业",[1]!s_info_industry_sw_2021(W1324,公司分析!D$5,1),IF($Y$3="申万二级行业",[1]!s_info_industry_sw_2021(W1324,公司分析!D$5,2),IF($Y$3="申万三级行业",[1]!s_info_industry_sw_2021(W1324,公司分析!D$5,3),IF($Y$3="wind一级行业",[1]!s_info_industry_gics(W1324,1),IF($Y$3="wind二级行业",[1]!s_info_industry_gics(W1324,2),IF($Y$3="wind三级行业",[1]!s_info_industry_gics(W1324,3),IF($Y$3="wind四级行业",[1]!s_info_industry_gics(W1324,4),IF($Y$3="证监会门类行业",[1]!s_info_industry_csrc12_n(W1324,公司分析!D$5,1),""))))))))</f>
        <v>家电零部件Ⅱ</v>
      </c>
      <c r="Z1324" s="302" t="str">
        <f ca="1">IF(Y1324=行业比较!$E$6,ROW(),"")</f>
        <v/>
      </c>
      <c r="AA1324" s="122"/>
      <c r="AB1324" s="122"/>
      <c r="AC1324" s="122"/>
      <c r="AD1324" s="122"/>
      <c r="AE1324" s="122"/>
      <c r="AF1324" s="122"/>
      <c r="AG1324" s="122"/>
      <c r="AH1324" s="122"/>
      <c r="AI1324" s="122"/>
      <c r="AJ1324" s="122"/>
      <c r="AK1324" s="122"/>
      <c r="AL1324" s="122"/>
      <c r="AM1324" s="122"/>
      <c r="AN1324" s="122"/>
      <c r="AO1324" s="122"/>
      <c r="AP1324" s="122"/>
    </row>
    <row r="1325" spans="2:42">
      <c r="B1325" s="122"/>
      <c r="C1325" s="122"/>
      <c r="D1325" s="122"/>
      <c r="E1325" s="122"/>
      <c r="F1325" s="122"/>
      <c r="G1325" s="122"/>
      <c r="H1325" s="122"/>
      <c r="I1325" s="275"/>
      <c r="J1325" s="130"/>
      <c r="K1325" s="130"/>
      <c r="L1325" s="130"/>
      <c r="M1325" s="130"/>
      <c r="N1325" s="291"/>
      <c r="O1325" s="291"/>
      <c r="P1325" s="122"/>
      <c r="Q1325" s="122"/>
      <c r="R1325" s="122"/>
      <c r="S1325" s="122"/>
      <c r="T1325" s="122"/>
      <c r="U1325" s="301"/>
      <c r="V1325" s="260">
        <f t="shared" ca="1" si="28"/>
        <v>0</v>
      </c>
      <c r="W1325" s="348" t="str">
        <f>IF(板块成分!B1327="","",板块成分!B1327)</f>
        <v>002861.SZ</v>
      </c>
      <c r="X1325" s="276" t="str">
        <f>[1]!S_Info_Name(W1325)</f>
        <v>瀛通通讯</v>
      </c>
      <c r="Y1325" s="276" t="str">
        <f ca="1">IF($Y$3="申万一级行业",[1]!s_info_industry_sw_2021(W1325,公司分析!D$5,1),IF($Y$3="申万二级行业",[1]!s_info_industry_sw_2021(W1325,公司分析!D$5,2),IF($Y$3="申万三级行业",[1]!s_info_industry_sw_2021(W1325,公司分析!D$5,3),IF($Y$3="wind一级行业",[1]!s_info_industry_gics(W1325,1),IF($Y$3="wind二级行业",[1]!s_info_industry_gics(W1325,2),IF($Y$3="wind三级行业",[1]!s_info_industry_gics(W1325,3),IF($Y$3="wind四级行业",[1]!s_info_industry_gics(W1325,4),IF($Y$3="证监会门类行业",[1]!s_info_industry_csrc12_n(W1325,公司分析!D$5,1),""))))))))</f>
        <v>消费电子</v>
      </c>
      <c r="Z1325" s="302" t="str">
        <f ca="1">IF(Y1325=行业比较!$E$6,ROW(),"")</f>
        <v/>
      </c>
      <c r="AA1325" s="122"/>
      <c r="AB1325" s="122"/>
      <c r="AC1325" s="122"/>
      <c r="AD1325" s="122"/>
      <c r="AE1325" s="122"/>
      <c r="AF1325" s="122"/>
      <c r="AG1325" s="122"/>
      <c r="AH1325" s="122"/>
      <c r="AI1325" s="122"/>
      <c r="AJ1325" s="122"/>
      <c r="AK1325" s="122"/>
      <c r="AL1325" s="122"/>
      <c r="AM1325" s="122"/>
      <c r="AN1325" s="122"/>
      <c r="AO1325" s="122"/>
      <c r="AP1325" s="122"/>
    </row>
    <row r="1326" spans="2:42">
      <c r="B1326" s="122"/>
      <c r="C1326" s="122"/>
      <c r="D1326" s="122"/>
      <c r="E1326" s="122"/>
      <c r="F1326" s="122"/>
      <c r="G1326" s="122"/>
      <c r="H1326" s="122"/>
      <c r="I1326" s="275"/>
      <c r="J1326" s="130"/>
      <c r="K1326" s="130"/>
      <c r="L1326" s="130"/>
      <c r="M1326" s="130"/>
      <c r="N1326" s="291"/>
      <c r="O1326" s="291"/>
      <c r="P1326" s="122"/>
      <c r="Q1326" s="122"/>
      <c r="R1326" s="122"/>
      <c r="S1326" s="122"/>
      <c r="T1326" s="122"/>
      <c r="U1326" s="301"/>
      <c r="V1326" s="260">
        <f t="shared" ca="1" si="28"/>
        <v>0</v>
      </c>
      <c r="W1326" s="348" t="str">
        <f>IF(板块成分!B1328="","",板块成分!B1328)</f>
        <v>002862.SZ</v>
      </c>
      <c r="X1326" s="276" t="str">
        <f>[1]!S_Info_Name(W1326)</f>
        <v>实丰文化</v>
      </c>
      <c r="Y1326" s="276" t="str">
        <f ca="1">IF($Y$3="申万一级行业",[1]!s_info_industry_sw_2021(W1326,公司分析!D$5,1),IF($Y$3="申万二级行业",[1]!s_info_industry_sw_2021(W1326,公司分析!D$5,2),IF($Y$3="申万三级行业",[1]!s_info_industry_sw_2021(W1326,公司分析!D$5,3),IF($Y$3="wind一级行业",[1]!s_info_industry_gics(W1326,1),IF($Y$3="wind二级行业",[1]!s_info_industry_gics(W1326,2),IF($Y$3="wind三级行业",[1]!s_info_industry_gics(W1326,3),IF($Y$3="wind四级行业",[1]!s_info_industry_gics(W1326,4),IF($Y$3="证监会门类行业",[1]!s_info_industry_csrc12_n(W1326,公司分析!D$5,1),""))))))))</f>
        <v>文娱用品</v>
      </c>
      <c r="Z1326" s="302" t="str">
        <f ca="1">IF(Y1326=行业比较!$E$6,ROW(),"")</f>
        <v/>
      </c>
      <c r="AA1326" s="122"/>
      <c r="AB1326" s="122"/>
      <c r="AC1326" s="122"/>
      <c r="AD1326" s="122"/>
      <c r="AE1326" s="122"/>
      <c r="AF1326" s="122"/>
      <c r="AG1326" s="122"/>
      <c r="AH1326" s="122"/>
      <c r="AI1326" s="122"/>
      <c r="AJ1326" s="122"/>
      <c r="AK1326" s="122"/>
      <c r="AL1326" s="122"/>
      <c r="AM1326" s="122"/>
      <c r="AN1326" s="122"/>
      <c r="AO1326" s="122"/>
      <c r="AP1326" s="122"/>
    </row>
    <row r="1327" spans="2:42">
      <c r="B1327" s="122"/>
      <c r="C1327" s="122"/>
      <c r="D1327" s="122"/>
      <c r="E1327" s="122"/>
      <c r="F1327" s="122"/>
      <c r="G1327" s="122"/>
      <c r="H1327" s="122"/>
      <c r="I1327" s="275"/>
      <c r="J1327" s="130"/>
      <c r="K1327" s="130"/>
      <c r="L1327" s="130"/>
      <c r="M1327" s="130"/>
      <c r="N1327" s="291"/>
      <c r="O1327" s="291"/>
      <c r="P1327" s="122"/>
      <c r="Q1327" s="122"/>
      <c r="R1327" s="122"/>
      <c r="S1327" s="122"/>
      <c r="T1327" s="122"/>
      <c r="U1327" s="301"/>
      <c r="V1327" s="260">
        <f t="shared" ca="1" si="28"/>
        <v>0</v>
      </c>
      <c r="W1327" s="348" t="str">
        <f>IF(板块成分!B1329="","",板块成分!B1329)</f>
        <v>002863.SZ</v>
      </c>
      <c r="X1327" s="276" t="str">
        <f>[1]!S_Info_Name(W1327)</f>
        <v>今飞凯达</v>
      </c>
      <c r="Y1327" s="276" t="str">
        <f ca="1">IF($Y$3="申万一级行业",[1]!s_info_industry_sw_2021(W1327,公司分析!D$5,1),IF($Y$3="申万二级行业",[1]!s_info_industry_sw_2021(W1327,公司分析!D$5,2),IF($Y$3="申万三级行业",[1]!s_info_industry_sw_2021(W1327,公司分析!D$5,3),IF($Y$3="wind一级行业",[1]!s_info_industry_gics(W1327,1),IF($Y$3="wind二级行业",[1]!s_info_industry_gics(W1327,2),IF($Y$3="wind三级行业",[1]!s_info_industry_gics(W1327,3),IF($Y$3="wind四级行业",[1]!s_info_industry_gics(W1327,4),IF($Y$3="证监会门类行业",[1]!s_info_industry_csrc12_n(W1327,公司分析!D$5,1),""))))))))</f>
        <v>汽车零部件</v>
      </c>
      <c r="Z1327" s="302" t="str">
        <f ca="1">IF(Y1327=行业比较!$E$6,ROW(),"")</f>
        <v/>
      </c>
      <c r="AA1327" s="122"/>
      <c r="AB1327" s="122"/>
      <c r="AC1327" s="122"/>
      <c r="AD1327" s="122"/>
      <c r="AE1327" s="122"/>
      <c r="AF1327" s="122"/>
      <c r="AG1327" s="122"/>
      <c r="AH1327" s="122"/>
      <c r="AI1327" s="122"/>
      <c r="AJ1327" s="122"/>
      <c r="AK1327" s="122"/>
      <c r="AL1327" s="122"/>
      <c r="AM1327" s="122"/>
      <c r="AN1327" s="122"/>
      <c r="AO1327" s="122"/>
      <c r="AP1327" s="122"/>
    </row>
    <row r="1328" spans="2:42">
      <c r="B1328" s="122"/>
      <c r="C1328" s="122"/>
      <c r="D1328" s="122"/>
      <c r="E1328" s="122"/>
      <c r="F1328" s="122"/>
      <c r="G1328" s="122"/>
      <c r="H1328" s="122"/>
      <c r="I1328" s="275"/>
      <c r="J1328" s="130"/>
      <c r="K1328" s="130"/>
      <c r="L1328" s="130"/>
      <c r="M1328" s="130"/>
      <c r="N1328" s="291"/>
      <c r="O1328" s="291"/>
      <c r="P1328" s="122"/>
      <c r="Q1328" s="122"/>
      <c r="R1328" s="122"/>
      <c r="S1328" s="122"/>
      <c r="T1328" s="122"/>
      <c r="U1328" s="301"/>
      <c r="V1328" s="260">
        <f t="shared" ca="1" si="28"/>
        <v>0</v>
      </c>
      <c r="W1328" s="348" t="str">
        <f>IF(板块成分!B1330="","",板块成分!B1330)</f>
        <v>002864.SZ</v>
      </c>
      <c r="X1328" s="276" t="str">
        <f>[1]!S_Info_Name(W1328)</f>
        <v>盘龙药业</v>
      </c>
      <c r="Y1328" s="276" t="str">
        <f ca="1">IF($Y$3="申万一级行业",[1]!s_info_industry_sw_2021(W1328,公司分析!D$5,1),IF($Y$3="申万二级行业",[1]!s_info_industry_sw_2021(W1328,公司分析!D$5,2),IF($Y$3="申万三级行业",[1]!s_info_industry_sw_2021(W1328,公司分析!D$5,3),IF($Y$3="wind一级行业",[1]!s_info_industry_gics(W1328,1),IF($Y$3="wind二级行业",[1]!s_info_industry_gics(W1328,2),IF($Y$3="wind三级行业",[1]!s_info_industry_gics(W1328,3),IF($Y$3="wind四级行业",[1]!s_info_industry_gics(W1328,4),IF($Y$3="证监会门类行业",[1]!s_info_industry_csrc12_n(W1328,公司分析!D$5,1),""))))))))</f>
        <v>中药Ⅱ</v>
      </c>
      <c r="Z1328" s="302" t="str">
        <f ca="1">IF(Y1328=行业比较!$E$6,ROW(),"")</f>
        <v/>
      </c>
      <c r="AA1328" s="122"/>
      <c r="AB1328" s="122"/>
      <c r="AC1328" s="122"/>
      <c r="AD1328" s="122"/>
      <c r="AE1328" s="122"/>
      <c r="AF1328" s="122"/>
      <c r="AG1328" s="122"/>
      <c r="AH1328" s="122"/>
      <c r="AI1328" s="122"/>
      <c r="AJ1328" s="122"/>
      <c r="AK1328" s="122"/>
      <c r="AL1328" s="122"/>
      <c r="AM1328" s="122"/>
      <c r="AN1328" s="122"/>
      <c r="AO1328" s="122"/>
      <c r="AP1328" s="122"/>
    </row>
    <row r="1329" spans="2:42">
      <c r="B1329" s="122"/>
      <c r="C1329" s="122"/>
      <c r="D1329" s="122"/>
      <c r="E1329" s="122"/>
      <c r="F1329" s="122"/>
      <c r="G1329" s="122"/>
      <c r="H1329" s="122"/>
      <c r="I1329" s="275"/>
      <c r="J1329" s="130"/>
      <c r="K1329" s="130"/>
      <c r="L1329" s="130"/>
      <c r="M1329" s="130"/>
      <c r="N1329" s="291"/>
      <c r="O1329" s="291"/>
      <c r="P1329" s="122"/>
      <c r="Q1329" s="122"/>
      <c r="R1329" s="122"/>
      <c r="S1329" s="122"/>
      <c r="T1329" s="122"/>
      <c r="U1329" s="301"/>
      <c r="V1329" s="260">
        <f t="shared" ca="1" si="28"/>
        <v>0</v>
      </c>
      <c r="W1329" s="348" t="str">
        <f>IF(板块成分!B1331="","",板块成分!B1331)</f>
        <v>002865.SZ</v>
      </c>
      <c r="X1329" s="276" t="str">
        <f>[1]!S_Info_Name(W1329)</f>
        <v>钧达股份</v>
      </c>
      <c r="Y1329" s="276" t="str">
        <f ca="1">IF($Y$3="申万一级行业",[1]!s_info_industry_sw_2021(W1329,公司分析!D$5,1),IF($Y$3="申万二级行业",[1]!s_info_industry_sw_2021(W1329,公司分析!D$5,2),IF($Y$3="申万三级行业",[1]!s_info_industry_sw_2021(W1329,公司分析!D$5,3),IF($Y$3="wind一级行业",[1]!s_info_industry_gics(W1329,1),IF($Y$3="wind二级行业",[1]!s_info_industry_gics(W1329,2),IF($Y$3="wind三级行业",[1]!s_info_industry_gics(W1329,3),IF($Y$3="wind四级行业",[1]!s_info_industry_gics(W1329,4),IF($Y$3="证监会门类行业",[1]!s_info_industry_csrc12_n(W1329,公司分析!D$5,1),""))))))))</f>
        <v>光伏设备</v>
      </c>
      <c r="Z1329" s="302" t="str">
        <f ca="1">IF(Y1329=行业比较!$E$6,ROW(),"")</f>
        <v/>
      </c>
      <c r="AA1329" s="122"/>
      <c r="AB1329" s="122"/>
      <c r="AC1329" s="122"/>
      <c r="AD1329" s="122"/>
      <c r="AE1329" s="122"/>
      <c r="AF1329" s="122"/>
      <c r="AG1329" s="122"/>
      <c r="AH1329" s="122"/>
      <c r="AI1329" s="122"/>
      <c r="AJ1329" s="122"/>
      <c r="AK1329" s="122"/>
      <c r="AL1329" s="122"/>
      <c r="AM1329" s="122"/>
      <c r="AN1329" s="122"/>
      <c r="AO1329" s="122"/>
      <c r="AP1329" s="122"/>
    </row>
    <row r="1330" spans="2:42">
      <c r="B1330" s="122"/>
      <c r="C1330" s="122"/>
      <c r="D1330" s="122"/>
      <c r="E1330" s="122"/>
      <c r="F1330" s="122"/>
      <c r="G1330" s="122"/>
      <c r="H1330" s="122"/>
      <c r="I1330" s="275"/>
      <c r="J1330" s="130"/>
      <c r="K1330" s="130"/>
      <c r="L1330" s="130"/>
      <c r="M1330" s="130"/>
      <c r="N1330" s="291"/>
      <c r="O1330" s="291"/>
      <c r="P1330" s="122"/>
      <c r="Q1330" s="122"/>
      <c r="R1330" s="122"/>
      <c r="S1330" s="122"/>
      <c r="T1330" s="122"/>
      <c r="U1330" s="301"/>
      <c r="V1330" s="260">
        <f t="shared" ca="1" si="28"/>
        <v>0</v>
      </c>
      <c r="W1330" s="348" t="str">
        <f>IF(板块成分!B1332="","",板块成分!B1332)</f>
        <v>002866.SZ</v>
      </c>
      <c r="X1330" s="276" t="str">
        <f>[1]!S_Info_Name(W1330)</f>
        <v>传艺科技</v>
      </c>
      <c r="Y1330" s="276" t="str">
        <f ca="1">IF($Y$3="申万一级行业",[1]!s_info_industry_sw_2021(W1330,公司分析!D$5,1),IF($Y$3="申万二级行业",[1]!s_info_industry_sw_2021(W1330,公司分析!D$5,2),IF($Y$3="申万三级行业",[1]!s_info_industry_sw_2021(W1330,公司分析!D$5,3),IF($Y$3="wind一级行业",[1]!s_info_industry_gics(W1330,1),IF($Y$3="wind二级行业",[1]!s_info_industry_gics(W1330,2),IF($Y$3="wind三级行业",[1]!s_info_industry_gics(W1330,3),IF($Y$3="wind四级行业",[1]!s_info_industry_gics(W1330,4),IF($Y$3="证监会门类行业",[1]!s_info_industry_csrc12_n(W1330,公司分析!D$5,1),""))))))))</f>
        <v>消费电子</v>
      </c>
      <c r="Z1330" s="302" t="str">
        <f ca="1">IF(Y1330=行业比较!$E$6,ROW(),"")</f>
        <v/>
      </c>
      <c r="AA1330" s="122"/>
      <c r="AB1330" s="122"/>
      <c r="AC1330" s="122"/>
      <c r="AD1330" s="122"/>
      <c r="AE1330" s="122"/>
      <c r="AF1330" s="122"/>
      <c r="AG1330" s="122"/>
      <c r="AH1330" s="122"/>
      <c r="AI1330" s="122"/>
      <c r="AJ1330" s="122"/>
      <c r="AK1330" s="122"/>
      <c r="AL1330" s="122"/>
      <c r="AM1330" s="122"/>
      <c r="AN1330" s="122"/>
      <c r="AO1330" s="122"/>
      <c r="AP1330" s="122"/>
    </row>
    <row r="1331" spans="2:42">
      <c r="B1331" s="122"/>
      <c r="C1331" s="122"/>
      <c r="D1331" s="122"/>
      <c r="E1331" s="122"/>
      <c r="F1331" s="122"/>
      <c r="G1331" s="122"/>
      <c r="H1331" s="122"/>
      <c r="I1331" s="275"/>
      <c r="J1331" s="130"/>
      <c r="K1331" s="130"/>
      <c r="L1331" s="130"/>
      <c r="M1331" s="130"/>
      <c r="N1331" s="291"/>
      <c r="O1331" s="291"/>
      <c r="P1331" s="122"/>
      <c r="Q1331" s="122"/>
      <c r="R1331" s="122"/>
      <c r="S1331" s="122"/>
      <c r="T1331" s="122"/>
      <c r="U1331" s="301"/>
      <c r="V1331" s="260">
        <f t="shared" ca="1" si="28"/>
        <v>0</v>
      </c>
      <c r="W1331" s="348" t="str">
        <f>IF(板块成分!B1333="","",板块成分!B1333)</f>
        <v>002867.SZ</v>
      </c>
      <c r="X1331" s="276" t="str">
        <f>[1]!S_Info_Name(W1331)</f>
        <v>周大生</v>
      </c>
      <c r="Y1331" s="276" t="str">
        <f ca="1">IF($Y$3="申万一级行业",[1]!s_info_industry_sw_2021(W1331,公司分析!D$5,1),IF($Y$3="申万二级行业",[1]!s_info_industry_sw_2021(W1331,公司分析!D$5,2),IF($Y$3="申万三级行业",[1]!s_info_industry_sw_2021(W1331,公司分析!D$5,3),IF($Y$3="wind一级行业",[1]!s_info_industry_gics(W1331,1),IF($Y$3="wind二级行业",[1]!s_info_industry_gics(W1331,2),IF($Y$3="wind三级行业",[1]!s_info_industry_gics(W1331,3),IF($Y$3="wind四级行业",[1]!s_info_industry_gics(W1331,4),IF($Y$3="证监会门类行业",[1]!s_info_industry_csrc12_n(W1331,公司分析!D$5,1),""))))))))</f>
        <v>饰品</v>
      </c>
      <c r="Z1331" s="302" t="str">
        <f ca="1">IF(Y1331=行业比较!$E$6,ROW(),"")</f>
        <v/>
      </c>
      <c r="AA1331" s="122"/>
      <c r="AB1331" s="122"/>
      <c r="AC1331" s="122"/>
      <c r="AD1331" s="122"/>
      <c r="AE1331" s="122"/>
      <c r="AF1331" s="122"/>
      <c r="AG1331" s="122"/>
      <c r="AH1331" s="122"/>
      <c r="AI1331" s="122"/>
      <c r="AJ1331" s="122"/>
      <c r="AK1331" s="122"/>
      <c r="AL1331" s="122"/>
      <c r="AM1331" s="122"/>
      <c r="AN1331" s="122"/>
      <c r="AO1331" s="122"/>
      <c r="AP1331" s="122"/>
    </row>
    <row r="1332" spans="2:42">
      <c r="B1332" s="122"/>
      <c r="C1332" s="122"/>
      <c r="D1332" s="122"/>
      <c r="E1332" s="122"/>
      <c r="F1332" s="122"/>
      <c r="G1332" s="122"/>
      <c r="H1332" s="122"/>
      <c r="I1332" s="275"/>
      <c r="J1332" s="130"/>
      <c r="K1332" s="130"/>
      <c r="L1332" s="130"/>
      <c r="M1332" s="130"/>
      <c r="N1332" s="291"/>
      <c r="O1332" s="291"/>
      <c r="P1332" s="122"/>
      <c r="Q1332" s="122"/>
      <c r="R1332" s="122"/>
      <c r="S1332" s="122"/>
      <c r="T1332" s="122"/>
      <c r="U1332" s="301"/>
      <c r="V1332" s="260">
        <f t="shared" ca="1" si="28"/>
        <v>0</v>
      </c>
      <c r="W1332" s="348" t="str">
        <f>IF(板块成分!B1334="","",板块成分!B1334)</f>
        <v>002868.SZ</v>
      </c>
      <c r="X1332" s="276" t="str">
        <f>[1]!S_Info_Name(W1332)</f>
        <v>*ST绿康</v>
      </c>
      <c r="Y1332" s="276" t="str">
        <f ca="1">IF($Y$3="申万一级行业",[1]!s_info_industry_sw_2021(W1332,公司分析!D$5,1),IF($Y$3="申万二级行业",[1]!s_info_industry_sw_2021(W1332,公司分析!D$5,2),IF($Y$3="申万三级行业",[1]!s_info_industry_sw_2021(W1332,公司分析!D$5,3),IF($Y$3="wind一级行业",[1]!s_info_industry_gics(W1332,1),IF($Y$3="wind二级行业",[1]!s_info_industry_gics(W1332,2),IF($Y$3="wind三级行业",[1]!s_info_industry_gics(W1332,3),IF($Y$3="wind四级行业",[1]!s_info_industry_gics(W1332,4),IF($Y$3="证监会门类行业",[1]!s_info_industry_csrc12_n(W1332,公司分析!D$5,1),""))))))))</f>
        <v>动物保健Ⅱ</v>
      </c>
      <c r="Z1332" s="302" t="str">
        <f ca="1">IF(Y1332=行业比较!$E$6,ROW(),"")</f>
        <v/>
      </c>
      <c r="AA1332" s="122"/>
      <c r="AB1332" s="122"/>
      <c r="AC1332" s="122"/>
      <c r="AD1332" s="122"/>
      <c r="AE1332" s="122"/>
      <c r="AF1332" s="122"/>
      <c r="AG1332" s="122"/>
      <c r="AH1332" s="122"/>
      <c r="AI1332" s="122"/>
      <c r="AJ1332" s="122"/>
      <c r="AK1332" s="122"/>
      <c r="AL1332" s="122"/>
      <c r="AM1332" s="122"/>
      <c r="AN1332" s="122"/>
      <c r="AO1332" s="122"/>
      <c r="AP1332" s="122"/>
    </row>
    <row r="1333" spans="2:42">
      <c r="B1333" s="122"/>
      <c r="C1333" s="122"/>
      <c r="D1333" s="122"/>
      <c r="E1333" s="122"/>
      <c r="F1333" s="122"/>
      <c r="G1333" s="122"/>
      <c r="H1333" s="122"/>
      <c r="I1333" s="275"/>
      <c r="J1333" s="130"/>
      <c r="K1333" s="130"/>
      <c r="L1333" s="130"/>
      <c r="M1333" s="130"/>
      <c r="N1333" s="291"/>
      <c r="O1333" s="291"/>
      <c r="P1333" s="122"/>
      <c r="Q1333" s="122"/>
      <c r="R1333" s="122"/>
      <c r="S1333" s="122"/>
      <c r="T1333" s="122"/>
      <c r="U1333" s="301"/>
      <c r="V1333" s="260">
        <f t="shared" ca="1" si="28"/>
        <v>0</v>
      </c>
      <c r="W1333" s="348" t="str">
        <f>IF(板块成分!B1335="","",板块成分!B1335)</f>
        <v>002869.SZ</v>
      </c>
      <c r="X1333" s="276" t="str">
        <f>[1]!S_Info_Name(W1333)</f>
        <v>金溢科技</v>
      </c>
      <c r="Y1333" s="276" t="str">
        <f ca="1">IF($Y$3="申万一级行业",[1]!s_info_industry_sw_2021(W1333,公司分析!D$5,1),IF($Y$3="申万二级行业",[1]!s_info_industry_sw_2021(W1333,公司分析!D$5,2),IF($Y$3="申万三级行业",[1]!s_info_industry_sw_2021(W1333,公司分析!D$5,3),IF($Y$3="wind一级行业",[1]!s_info_industry_gics(W1333,1),IF($Y$3="wind二级行业",[1]!s_info_industry_gics(W1333,2),IF($Y$3="wind三级行业",[1]!s_info_industry_gics(W1333,3),IF($Y$3="wind四级行业",[1]!s_info_industry_gics(W1333,4),IF($Y$3="证监会门类行业",[1]!s_info_industry_csrc12_n(W1333,公司分析!D$5,1),""))))))))</f>
        <v>计算机设备</v>
      </c>
      <c r="Z1333" s="302" t="str">
        <f ca="1">IF(Y1333=行业比较!$E$6,ROW(),"")</f>
        <v/>
      </c>
      <c r="AA1333" s="122"/>
      <c r="AB1333" s="122"/>
      <c r="AC1333" s="122"/>
      <c r="AD1333" s="122"/>
      <c r="AE1333" s="122"/>
      <c r="AF1333" s="122"/>
      <c r="AG1333" s="122"/>
      <c r="AH1333" s="122"/>
      <c r="AI1333" s="122"/>
      <c r="AJ1333" s="122"/>
      <c r="AK1333" s="122"/>
      <c r="AL1333" s="122"/>
      <c r="AM1333" s="122"/>
      <c r="AN1333" s="122"/>
      <c r="AO1333" s="122"/>
      <c r="AP1333" s="122"/>
    </row>
    <row r="1334" spans="2:42">
      <c r="B1334" s="122"/>
      <c r="C1334" s="122"/>
      <c r="D1334" s="122"/>
      <c r="E1334" s="122"/>
      <c r="F1334" s="122"/>
      <c r="G1334" s="122"/>
      <c r="H1334" s="122"/>
      <c r="I1334" s="275"/>
      <c r="J1334" s="130"/>
      <c r="K1334" s="130"/>
      <c r="L1334" s="130"/>
      <c r="M1334" s="130"/>
      <c r="N1334" s="291"/>
      <c r="O1334" s="291"/>
      <c r="P1334" s="122"/>
      <c r="Q1334" s="122"/>
      <c r="R1334" s="122"/>
      <c r="S1334" s="122"/>
      <c r="T1334" s="122"/>
      <c r="U1334" s="301"/>
      <c r="V1334" s="260">
        <f t="shared" ca="1" si="28"/>
        <v>0</v>
      </c>
      <c r="W1334" s="348" t="str">
        <f>IF(板块成分!B1336="","",板块成分!B1336)</f>
        <v>002870.SZ</v>
      </c>
      <c r="X1334" s="276" t="str">
        <f>[1]!S_Info_Name(W1334)</f>
        <v>香山股份</v>
      </c>
      <c r="Y1334" s="276" t="str">
        <f ca="1">IF($Y$3="申万一级行业",[1]!s_info_industry_sw_2021(W1334,公司分析!D$5,1),IF($Y$3="申万二级行业",[1]!s_info_industry_sw_2021(W1334,公司分析!D$5,2),IF($Y$3="申万三级行业",[1]!s_info_industry_sw_2021(W1334,公司分析!D$5,3),IF($Y$3="wind一级行业",[1]!s_info_industry_gics(W1334,1),IF($Y$3="wind二级行业",[1]!s_info_industry_gics(W1334,2),IF($Y$3="wind三级行业",[1]!s_info_industry_gics(W1334,3),IF($Y$3="wind四级行业",[1]!s_info_industry_gics(W1334,4),IF($Y$3="证监会门类行业",[1]!s_info_industry_csrc12_n(W1334,公司分析!D$5,1),""))))))))</f>
        <v>汽车零部件</v>
      </c>
      <c r="Z1334" s="302" t="str">
        <f ca="1">IF(Y1334=行业比较!$E$6,ROW(),"")</f>
        <v/>
      </c>
      <c r="AA1334" s="122"/>
      <c r="AB1334" s="122"/>
      <c r="AC1334" s="122"/>
      <c r="AD1334" s="122"/>
      <c r="AE1334" s="122"/>
      <c r="AF1334" s="122"/>
      <c r="AG1334" s="122"/>
      <c r="AH1334" s="122"/>
      <c r="AI1334" s="122"/>
      <c r="AJ1334" s="122"/>
      <c r="AK1334" s="122"/>
      <c r="AL1334" s="122"/>
      <c r="AM1334" s="122"/>
      <c r="AN1334" s="122"/>
      <c r="AO1334" s="122"/>
      <c r="AP1334" s="122"/>
    </row>
    <row r="1335" spans="2:42">
      <c r="B1335" s="122"/>
      <c r="C1335" s="122"/>
      <c r="D1335" s="122"/>
      <c r="E1335" s="122"/>
      <c r="F1335" s="122"/>
      <c r="G1335" s="122"/>
      <c r="H1335" s="122"/>
      <c r="I1335" s="275"/>
      <c r="J1335" s="130"/>
      <c r="K1335" s="130"/>
      <c r="L1335" s="130"/>
      <c r="M1335" s="130"/>
      <c r="N1335" s="291"/>
      <c r="O1335" s="291"/>
      <c r="P1335" s="122"/>
      <c r="Q1335" s="122"/>
      <c r="R1335" s="122"/>
      <c r="S1335" s="122"/>
      <c r="T1335" s="122"/>
      <c r="U1335" s="301"/>
      <c r="V1335" s="260">
        <f t="shared" ca="1" si="28"/>
        <v>0</v>
      </c>
      <c r="W1335" s="348" t="str">
        <f>IF(板块成分!B1337="","",板块成分!B1337)</f>
        <v>002871.SZ</v>
      </c>
      <c r="X1335" s="276" t="str">
        <f>[1]!S_Info_Name(W1335)</f>
        <v>伟隆股份</v>
      </c>
      <c r="Y1335" s="276" t="str">
        <f ca="1">IF($Y$3="申万一级行业",[1]!s_info_industry_sw_2021(W1335,公司分析!D$5,1),IF($Y$3="申万二级行业",[1]!s_info_industry_sw_2021(W1335,公司分析!D$5,2),IF($Y$3="申万三级行业",[1]!s_info_industry_sw_2021(W1335,公司分析!D$5,3),IF($Y$3="wind一级行业",[1]!s_info_industry_gics(W1335,1),IF($Y$3="wind二级行业",[1]!s_info_industry_gics(W1335,2),IF($Y$3="wind三级行业",[1]!s_info_industry_gics(W1335,3),IF($Y$3="wind四级行业",[1]!s_info_industry_gics(W1335,4),IF($Y$3="证监会门类行业",[1]!s_info_industry_csrc12_n(W1335,公司分析!D$5,1),""))))))))</f>
        <v>通用设备</v>
      </c>
      <c r="Z1335" s="302" t="str">
        <f ca="1">IF(Y1335=行业比较!$E$6,ROW(),"")</f>
        <v/>
      </c>
      <c r="AA1335" s="122"/>
      <c r="AB1335" s="122"/>
      <c r="AC1335" s="122"/>
      <c r="AD1335" s="122"/>
      <c r="AE1335" s="122"/>
      <c r="AF1335" s="122"/>
      <c r="AG1335" s="122"/>
      <c r="AH1335" s="122"/>
      <c r="AI1335" s="122"/>
      <c r="AJ1335" s="122"/>
      <c r="AK1335" s="122"/>
      <c r="AL1335" s="122"/>
      <c r="AM1335" s="122"/>
      <c r="AN1335" s="122"/>
      <c r="AO1335" s="122"/>
      <c r="AP1335" s="122"/>
    </row>
    <row r="1336" spans="2:42">
      <c r="B1336" s="122"/>
      <c r="C1336" s="122"/>
      <c r="D1336" s="122"/>
      <c r="E1336" s="122"/>
      <c r="F1336" s="122"/>
      <c r="G1336" s="122"/>
      <c r="H1336" s="122"/>
      <c r="I1336" s="275"/>
      <c r="J1336" s="130"/>
      <c r="K1336" s="130"/>
      <c r="L1336" s="130"/>
      <c r="M1336" s="130"/>
      <c r="N1336" s="291"/>
      <c r="O1336" s="291"/>
      <c r="P1336" s="122"/>
      <c r="Q1336" s="122"/>
      <c r="R1336" s="122"/>
      <c r="S1336" s="122"/>
      <c r="T1336" s="122"/>
      <c r="U1336" s="301"/>
      <c r="V1336" s="260">
        <f t="shared" ca="1" si="28"/>
        <v>0</v>
      </c>
      <c r="W1336" s="348" t="str">
        <f>IF(板块成分!B1338="","",板块成分!B1338)</f>
        <v>002872.SZ</v>
      </c>
      <c r="X1336" s="276" t="str">
        <f>[1]!S_Info_Name(W1336)</f>
        <v>ST天圣</v>
      </c>
      <c r="Y1336" s="276" t="str">
        <f ca="1">IF($Y$3="申万一级行业",[1]!s_info_industry_sw_2021(W1336,公司分析!D$5,1),IF($Y$3="申万二级行业",[1]!s_info_industry_sw_2021(W1336,公司分析!D$5,2),IF($Y$3="申万三级行业",[1]!s_info_industry_sw_2021(W1336,公司分析!D$5,3),IF($Y$3="wind一级行业",[1]!s_info_industry_gics(W1336,1),IF($Y$3="wind二级行业",[1]!s_info_industry_gics(W1336,2),IF($Y$3="wind三级行业",[1]!s_info_industry_gics(W1336,3),IF($Y$3="wind四级行业",[1]!s_info_industry_gics(W1336,4),IF($Y$3="证监会门类行业",[1]!s_info_industry_csrc12_n(W1336,公司分析!D$5,1),""))))))))</f>
        <v>化学制药</v>
      </c>
      <c r="Z1336" s="302" t="str">
        <f ca="1">IF(Y1336=行业比较!$E$6,ROW(),"")</f>
        <v/>
      </c>
      <c r="AA1336" s="122"/>
      <c r="AB1336" s="122"/>
      <c r="AC1336" s="122"/>
      <c r="AD1336" s="122"/>
      <c r="AE1336" s="122"/>
      <c r="AF1336" s="122"/>
      <c r="AG1336" s="122"/>
      <c r="AH1336" s="122"/>
      <c r="AI1336" s="122"/>
      <c r="AJ1336" s="122"/>
      <c r="AK1336" s="122"/>
      <c r="AL1336" s="122"/>
      <c r="AM1336" s="122"/>
      <c r="AN1336" s="122"/>
      <c r="AO1336" s="122"/>
      <c r="AP1336" s="122"/>
    </row>
    <row r="1337" spans="2:42">
      <c r="B1337" s="122"/>
      <c r="C1337" s="122"/>
      <c r="D1337" s="122"/>
      <c r="E1337" s="122"/>
      <c r="F1337" s="122"/>
      <c r="G1337" s="122"/>
      <c r="H1337" s="122"/>
      <c r="I1337" s="275"/>
      <c r="J1337" s="130"/>
      <c r="K1337" s="130"/>
      <c r="L1337" s="130"/>
      <c r="M1337" s="130"/>
      <c r="N1337" s="291"/>
      <c r="O1337" s="291"/>
      <c r="P1337" s="122"/>
      <c r="Q1337" s="122"/>
      <c r="R1337" s="122"/>
      <c r="S1337" s="122"/>
      <c r="T1337" s="122"/>
      <c r="U1337" s="301"/>
      <c r="V1337" s="260">
        <f t="shared" ca="1" si="28"/>
        <v>0</v>
      </c>
      <c r="W1337" s="348" t="str">
        <f>IF(板块成分!B1339="","",板块成分!B1339)</f>
        <v>002873.SZ</v>
      </c>
      <c r="X1337" s="276" t="str">
        <f>[1]!S_Info_Name(W1337)</f>
        <v>新天药业</v>
      </c>
      <c r="Y1337" s="276" t="str">
        <f ca="1">IF($Y$3="申万一级行业",[1]!s_info_industry_sw_2021(W1337,公司分析!D$5,1),IF($Y$3="申万二级行业",[1]!s_info_industry_sw_2021(W1337,公司分析!D$5,2),IF($Y$3="申万三级行业",[1]!s_info_industry_sw_2021(W1337,公司分析!D$5,3),IF($Y$3="wind一级行业",[1]!s_info_industry_gics(W1337,1),IF($Y$3="wind二级行业",[1]!s_info_industry_gics(W1337,2),IF($Y$3="wind三级行业",[1]!s_info_industry_gics(W1337,3),IF($Y$3="wind四级行业",[1]!s_info_industry_gics(W1337,4),IF($Y$3="证监会门类行业",[1]!s_info_industry_csrc12_n(W1337,公司分析!D$5,1),""))))))))</f>
        <v>中药Ⅱ</v>
      </c>
      <c r="Z1337" s="302" t="str">
        <f ca="1">IF(Y1337=行业比较!$E$6,ROW(),"")</f>
        <v/>
      </c>
      <c r="AA1337" s="122"/>
      <c r="AB1337" s="122"/>
      <c r="AC1337" s="122"/>
      <c r="AD1337" s="122"/>
      <c r="AE1337" s="122"/>
      <c r="AF1337" s="122"/>
      <c r="AG1337" s="122"/>
      <c r="AH1337" s="122"/>
      <c r="AI1337" s="122"/>
      <c r="AJ1337" s="122"/>
      <c r="AK1337" s="122"/>
      <c r="AL1337" s="122"/>
      <c r="AM1337" s="122"/>
      <c r="AN1337" s="122"/>
      <c r="AO1337" s="122"/>
      <c r="AP1337" s="122"/>
    </row>
    <row r="1338" spans="2:42">
      <c r="B1338" s="122"/>
      <c r="C1338" s="122"/>
      <c r="D1338" s="122"/>
      <c r="E1338" s="122"/>
      <c r="F1338" s="122"/>
      <c r="G1338" s="122"/>
      <c r="H1338" s="122"/>
      <c r="I1338" s="275"/>
      <c r="J1338" s="130"/>
      <c r="K1338" s="130"/>
      <c r="L1338" s="130"/>
      <c r="M1338" s="130"/>
      <c r="N1338" s="291"/>
      <c r="O1338" s="291"/>
      <c r="P1338" s="122"/>
      <c r="Q1338" s="122"/>
      <c r="R1338" s="122"/>
      <c r="S1338" s="122"/>
      <c r="T1338" s="122"/>
      <c r="U1338" s="301"/>
      <c r="V1338" s="260">
        <f t="shared" ca="1" si="28"/>
        <v>0</v>
      </c>
      <c r="W1338" s="348" t="str">
        <f>IF(板块成分!B1340="","",板块成分!B1340)</f>
        <v>002875.SZ</v>
      </c>
      <c r="X1338" s="276" t="str">
        <f>[1]!S_Info_Name(W1338)</f>
        <v>安奈儿</v>
      </c>
      <c r="Y1338" s="276" t="str">
        <f ca="1">IF($Y$3="申万一级行业",[1]!s_info_industry_sw_2021(W1338,公司分析!D$5,1),IF($Y$3="申万二级行业",[1]!s_info_industry_sw_2021(W1338,公司分析!D$5,2),IF($Y$3="申万三级行业",[1]!s_info_industry_sw_2021(W1338,公司分析!D$5,3),IF($Y$3="wind一级行业",[1]!s_info_industry_gics(W1338,1),IF($Y$3="wind二级行业",[1]!s_info_industry_gics(W1338,2),IF($Y$3="wind三级行业",[1]!s_info_industry_gics(W1338,3),IF($Y$3="wind四级行业",[1]!s_info_industry_gics(W1338,4),IF($Y$3="证监会门类行业",[1]!s_info_industry_csrc12_n(W1338,公司分析!D$5,1),""))))))))</f>
        <v>服装家纺</v>
      </c>
      <c r="Z1338" s="302" t="str">
        <f ca="1">IF(Y1338=行业比较!$E$6,ROW(),"")</f>
        <v/>
      </c>
      <c r="AA1338" s="122"/>
      <c r="AB1338" s="122"/>
      <c r="AC1338" s="122"/>
      <c r="AD1338" s="122"/>
      <c r="AE1338" s="122"/>
      <c r="AF1338" s="122"/>
      <c r="AG1338" s="122"/>
      <c r="AH1338" s="122"/>
      <c r="AI1338" s="122"/>
      <c r="AJ1338" s="122"/>
      <c r="AK1338" s="122"/>
      <c r="AL1338" s="122"/>
      <c r="AM1338" s="122"/>
      <c r="AN1338" s="122"/>
      <c r="AO1338" s="122"/>
      <c r="AP1338" s="122"/>
    </row>
    <row r="1339" spans="2:42">
      <c r="B1339" s="122"/>
      <c r="C1339" s="122"/>
      <c r="D1339" s="122"/>
      <c r="E1339" s="122"/>
      <c r="F1339" s="122"/>
      <c r="G1339" s="122"/>
      <c r="H1339" s="122"/>
      <c r="I1339" s="275"/>
      <c r="J1339" s="130"/>
      <c r="K1339" s="130"/>
      <c r="L1339" s="130"/>
      <c r="M1339" s="130"/>
      <c r="N1339" s="291"/>
      <c r="O1339" s="291"/>
      <c r="P1339" s="122"/>
      <c r="Q1339" s="122"/>
      <c r="R1339" s="122"/>
      <c r="S1339" s="122"/>
      <c r="T1339" s="122"/>
      <c r="U1339" s="301"/>
      <c r="V1339" s="260">
        <f t="shared" ca="1" si="28"/>
        <v>0</v>
      </c>
      <c r="W1339" s="348" t="str">
        <f>IF(板块成分!B1341="","",板块成分!B1341)</f>
        <v>002876.SZ</v>
      </c>
      <c r="X1339" s="276" t="str">
        <f>[1]!S_Info_Name(W1339)</f>
        <v>三利谱</v>
      </c>
      <c r="Y1339" s="276" t="str">
        <f ca="1">IF($Y$3="申万一级行业",[1]!s_info_industry_sw_2021(W1339,公司分析!D$5,1),IF($Y$3="申万二级行业",[1]!s_info_industry_sw_2021(W1339,公司分析!D$5,2),IF($Y$3="申万三级行业",[1]!s_info_industry_sw_2021(W1339,公司分析!D$5,3),IF($Y$3="wind一级行业",[1]!s_info_industry_gics(W1339,1),IF($Y$3="wind二级行业",[1]!s_info_industry_gics(W1339,2),IF($Y$3="wind三级行业",[1]!s_info_industry_gics(W1339,3),IF($Y$3="wind四级行业",[1]!s_info_industry_gics(W1339,4),IF($Y$3="证监会门类行业",[1]!s_info_industry_csrc12_n(W1339,公司分析!D$5,1),""))))))))</f>
        <v>光学光电子</v>
      </c>
      <c r="Z1339" s="302" t="str">
        <f ca="1">IF(Y1339=行业比较!$E$6,ROW(),"")</f>
        <v/>
      </c>
      <c r="AA1339" s="122"/>
      <c r="AB1339" s="122"/>
      <c r="AC1339" s="122"/>
      <c r="AD1339" s="122"/>
      <c r="AE1339" s="122"/>
      <c r="AF1339" s="122"/>
      <c r="AG1339" s="122"/>
      <c r="AH1339" s="122"/>
      <c r="AI1339" s="122"/>
      <c r="AJ1339" s="122"/>
      <c r="AK1339" s="122"/>
      <c r="AL1339" s="122"/>
      <c r="AM1339" s="122"/>
      <c r="AN1339" s="122"/>
      <c r="AO1339" s="122"/>
      <c r="AP1339" s="122"/>
    </row>
    <row r="1340" spans="2:42">
      <c r="B1340" s="122"/>
      <c r="C1340" s="122"/>
      <c r="D1340" s="122"/>
      <c r="E1340" s="122"/>
      <c r="F1340" s="122"/>
      <c r="G1340" s="122"/>
      <c r="H1340" s="122"/>
      <c r="I1340" s="275"/>
      <c r="J1340" s="130"/>
      <c r="K1340" s="130"/>
      <c r="L1340" s="130"/>
      <c r="M1340" s="130"/>
      <c r="N1340" s="291"/>
      <c r="O1340" s="291"/>
      <c r="P1340" s="122"/>
      <c r="Q1340" s="122"/>
      <c r="R1340" s="122"/>
      <c r="S1340" s="122"/>
      <c r="T1340" s="122"/>
      <c r="U1340" s="301"/>
      <c r="V1340" s="260">
        <f t="shared" ca="1" si="28"/>
        <v>0</v>
      </c>
      <c r="W1340" s="348" t="str">
        <f>IF(板块成分!B1342="","",板块成分!B1342)</f>
        <v>002877.SZ</v>
      </c>
      <c r="X1340" s="276" t="str">
        <f>[1]!S_Info_Name(W1340)</f>
        <v>智能自控</v>
      </c>
      <c r="Y1340" s="276" t="str">
        <f ca="1">IF($Y$3="申万一级行业",[1]!s_info_industry_sw_2021(W1340,公司分析!D$5,1),IF($Y$3="申万二级行业",[1]!s_info_industry_sw_2021(W1340,公司分析!D$5,2),IF($Y$3="申万三级行业",[1]!s_info_industry_sw_2021(W1340,公司分析!D$5,3),IF($Y$3="wind一级行业",[1]!s_info_industry_gics(W1340,1),IF($Y$3="wind二级行业",[1]!s_info_industry_gics(W1340,2),IF($Y$3="wind三级行业",[1]!s_info_industry_gics(W1340,3),IF($Y$3="wind四级行业",[1]!s_info_industry_gics(W1340,4),IF($Y$3="证监会门类行业",[1]!s_info_industry_csrc12_n(W1340,公司分析!D$5,1),""))))))))</f>
        <v>通用设备</v>
      </c>
      <c r="Z1340" s="302" t="str">
        <f ca="1">IF(Y1340=行业比较!$E$6,ROW(),"")</f>
        <v/>
      </c>
      <c r="AA1340" s="122"/>
      <c r="AB1340" s="122"/>
      <c r="AC1340" s="122"/>
      <c r="AD1340" s="122"/>
      <c r="AE1340" s="122"/>
      <c r="AF1340" s="122"/>
      <c r="AG1340" s="122"/>
      <c r="AH1340" s="122"/>
      <c r="AI1340" s="122"/>
      <c r="AJ1340" s="122"/>
      <c r="AK1340" s="122"/>
      <c r="AL1340" s="122"/>
      <c r="AM1340" s="122"/>
      <c r="AN1340" s="122"/>
      <c r="AO1340" s="122"/>
      <c r="AP1340" s="122"/>
    </row>
    <row r="1341" spans="2:42">
      <c r="B1341" s="122"/>
      <c r="C1341" s="122"/>
      <c r="D1341" s="122"/>
      <c r="E1341" s="122"/>
      <c r="F1341" s="122"/>
      <c r="G1341" s="122"/>
      <c r="H1341" s="122"/>
      <c r="I1341" s="275"/>
      <c r="J1341" s="130"/>
      <c r="K1341" s="130"/>
      <c r="L1341" s="130"/>
      <c r="M1341" s="130"/>
      <c r="N1341" s="291"/>
      <c r="O1341" s="291"/>
      <c r="P1341" s="122"/>
      <c r="Q1341" s="122"/>
      <c r="R1341" s="122"/>
      <c r="S1341" s="122"/>
      <c r="T1341" s="122"/>
      <c r="U1341" s="301"/>
      <c r="V1341" s="260">
        <f t="shared" ca="1" si="28"/>
        <v>0</v>
      </c>
      <c r="W1341" s="348" t="str">
        <f>IF(板块成分!B1343="","",板块成分!B1343)</f>
        <v>002878.SZ</v>
      </c>
      <c r="X1341" s="276" t="str">
        <f>[1]!S_Info_Name(W1341)</f>
        <v>元隆雅图</v>
      </c>
      <c r="Y1341" s="276" t="str">
        <f ca="1">IF($Y$3="申万一级行业",[1]!s_info_industry_sw_2021(W1341,公司分析!D$5,1),IF($Y$3="申万二级行业",[1]!s_info_industry_sw_2021(W1341,公司分析!D$5,2),IF($Y$3="申万三级行业",[1]!s_info_industry_sw_2021(W1341,公司分析!D$5,3),IF($Y$3="wind一级行业",[1]!s_info_industry_gics(W1341,1),IF($Y$3="wind二级行业",[1]!s_info_industry_gics(W1341,2),IF($Y$3="wind三级行业",[1]!s_info_industry_gics(W1341,3),IF($Y$3="wind四级行业",[1]!s_info_industry_gics(W1341,4),IF($Y$3="证监会门类行业",[1]!s_info_industry_csrc12_n(W1341,公司分析!D$5,1),""))))))))</f>
        <v>广告营销</v>
      </c>
      <c r="Z1341" s="302" t="str">
        <f ca="1">IF(Y1341=行业比较!$E$6,ROW(),"")</f>
        <v/>
      </c>
      <c r="AA1341" s="122"/>
      <c r="AB1341" s="122"/>
      <c r="AC1341" s="122"/>
      <c r="AD1341" s="122"/>
      <c r="AE1341" s="122"/>
      <c r="AF1341" s="122"/>
      <c r="AG1341" s="122"/>
      <c r="AH1341" s="122"/>
      <c r="AI1341" s="122"/>
      <c r="AJ1341" s="122"/>
      <c r="AK1341" s="122"/>
      <c r="AL1341" s="122"/>
      <c r="AM1341" s="122"/>
      <c r="AN1341" s="122"/>
      <c r="AO1341" s="122"/>
      <c r="AP1341" s="122"/>
    </row>
    <row r="1342" spans="2:42">
      <c r="B1342" s="122"/>
      <c r="C1342" s="122"/>
      <c r="D1342" s="122"/>
      <c r="E1342" s="122"/>
      <c r="F1342" s="122"/>
      <c r="G1342" s="122"/>
      <c r="H1342" s="122"/>
      <c r="I1342" s="275"/>
      <c r="J1342" s="130"/>
      <c r="K1342" s="130"/>
      <c r="L1342" s="130"/>
      <c r="M1342" s="130"/>
      <c r="N1342" s="291"/>
      <c r="O1342" s="291"/>
      <c r="P1342" s="122"/>
      <c r="Q1342" s="122"/>
      <c r="R1342" s="122"/>
      <c r="S1342" s="122"/>
      <c r="T1342" s="122"/>
      <c r="U1342" s="301"/>
      <c r="V1342" s="260">
        <f t="shared" ca="1" si="28"/>
        <v>0</v>
      </c>
      <c r="W1342" s="348" t="str">
        <f>IF(板块成分!B1344="","",板块成分!B1344)</f>
        <v>002879.SZ</v>
      </c>
      <c r="X1342" s="276" t="str">
        <f>[1]!S_Info_Name(W1342)</f>
        <v>长缆科技</v>
      </c>
      <c r="Y1342" s="276" t="str">
        <f ca="1">IF($Y$3="申万一级行业",[1]!s_info_industry_sw_2021(W1342,公司分析!D$5,1),IF($Y$3="申万二级行业",[1]!s_info_industry_sw_2021(W1342,公司分析!D$5,2),IF($Y$3="申万三级行业",[1]!s_info_industry_sw_2021(W1342,公司分析!D$5,3),IF($Y$3="wind一级行业",[1]!s_info_industry_gics(W1342,1),IF($Y$3="wind二级行业",[1]!s_info_industry_gics(W1342,2),IF($Y$3="wind三级行业",[1]!s_info_industry_gics(W1342,3),IF($Y$3="wind四级行业",[1]!s_info_industry_gics(W1342,4),IF($Y$3="证监会门类行业",[1]!s_info_industry_csrc12_n(W1342,公司分析!D$5,1),""))))))))</f>
        <v>电网设备</v>
      </c>
      <c r="Z1342" s="302" t="str">
        <f ca="1">IF(Y1342=行业比较!$E$6,ROW(),"")</f>
        <v/>
      </c>
      <c r="AA1342" s="122"/>
      <c r="AB1342" s="122"/>
      <c r="AC1342" s="122"/>
      <c r="AD1342" s="122"/>
      <c r="AE1342" s="122"/>
      <c r="AF1342" s="122"/>
      <c r="AG1342" s="122"/>
      <c r="AH1342" s="122"/>
      <c r="AI1342" s="122"/>
      <c r="AJ1342" s="122"/>
      <c r="AK1342" s="122"/>
      <c r="AL1342" s="122"/>
      <c r="AM1342" s="122"/>
      <c r="AN1342" s="122"/>
      <c r="AO1342" s="122"/>
      <c r="AP1342" s="122"/>
    </row>
    <row r="1343" spans="2:42">
      <c r="B1343" s="122"/>
      <c r="C1343" s="122"/>
      <c r="D1343" s="122"/>
      <c r="E1343" s="122"/>
      <c r="F1343" s="122"/>
      <c r="G1343" s="122"/>
      <c r="H1343" s="122"/>
      <c r="I1343" s="275"/>
      <c r="J1343" s="130"/>
      <c r="K1343" s="130"/>
      <c r="L1343" s="130"/>
      <c r="M1343" s="130"/>
      <c r="N1343" s="291"/>
      <c r="O1343" s="291"/>
      <c r="P1343" s="122"/>
      <c r="Q1343" s="122"/>
      <c r="R1343" s="122"/>
      <c r="S1343" s="122"/>
      <c r="T1343" s="122"/>
      <c r="U1343" s="301"/>
      <c r="V1343" s="260">
        <f t="shared" ca="1" si="28"/>
        <v>0</v>
      </c>
      <c r="W1343" s="348" t="str">
        <f>IF(板块成分!B1345="","",板块成分!B1345)</f>
        <v>002880.SZ</v>
      </c>
      <c r="X1343" s="276" t="str">
        <f>[1]!S_Info_Name(W1343)</f>
        <v>卫光生物</v>
      </c>
      <c r="Y1343" s="276" t="str">
        <f ca="1">IF($Y$3="申万一级行业",[1]!s_info_industry_sw_2021(W1343,公司分析!D$5,1),IF($Y$3="申万二级行业",[1]!s_info_industry_sw_2021(W1343,公司分析!D$5,2),IF($Y$3="申万三级行业",[1]!s_info_industry_sw_2021(W1343,公司分析!D$5,3),IF($Y$3="wind一级行业",[1]!s_info_industry_gics(W1343,1),IF($Y$3="wind二级行业",[1]!s_info_industry_gics(W1343,2),IF($Y$3="wind三级行业",[1]!s_info_industry_gics(W1343,3),IF($Y$3="wind四级行业",[1]!s_info_industry_gics(W1343,4),IF($Y$3="证监会门类行业",[1]!s_info_industry_csrc12_n(W1343,公司分析!D$5,1),""))))))))</f>
        <v>生物制品</v>
      </c>
      <c r="Z1343" s="302" t="str">
        <f ca="1">IF(Y1343=行业比较!$E$6,ROW(),"")</f>
        <v/>
      </c>
      <c r="AA1343" s="122"/>
      <c r="AB1343" s="122"/>
      <c r="AC1343" s="122"/>
      <c r="AD1343" s="122"/>
      <c r="AE1343" s="122"/>
      <c r="AF1343" s="122"/>
      <c r="AG1343" s="122"/>
      <c r="AH1343" s="122"/>
      <c r="AI1343" s="122"/>
      <c r="AJ1343" s="122"/>
      <c r="AK1343" s="122"/>
      <c r="AL1343" s="122"/>
      <c r="AM1343" s="122"/>
      <c r="AN1343" s="122"/>
      <c r="AO1343" s="122"/>
      <c r="AP1343" s="122"/>
    </row>
    <row r="1344" spans="2:42">
      <c r="B1344" s="122"/>
      <c r="C1344" s="122"/>
      <c r="D1344" s="122"/>
      <c r="E1344" s="122"/>
      <c r="F1344" s="122"/>
      <c r="G1344" s="122"/>
      <c r="H1344" s="122"/>
      <c r="I1344" s="275"/>
      <c r="J1344" s="130"/>
      <c r="K1344" s="130"/>
      <c r="L1344" s="130"/>
      <c r="M1344" s="130"/>
      <c r="N1344" s="291"/>
      <c r="O1344" s="291"/>
      <c r="P1344" s="122"/>
      <c r="Q1344" s="122"/>
      <c r="R1344" s="122"/>
      <c r="S1344" s="122"/>
      <c r="T1344" s="122"/>
      <c r="U1344" s="301"/>
      <c r="V1344" s="260">
        <f t="shared" ca="1" si="28"/>
        <v>0</v>
      </c>
      <c r="W1344" s="348" t="str">
        <f>IF(板块成分!B1346="","",板块成分!B1346)</f>
        <v>002881.SZ</v>
      </c>
      <c r="X1344" s="276" t="str">
        <f>[1]!S_Info_Name(W1344)</f>
        <v>美格智能</v>
      </c>
      <c r="Y1344" s="276" t="str">
        <f ca="1">IF($Y$3="申万一级行业",[1]!s_info_industry_sw_2021(W1344,公司分析!D$5,1),IF($Y$3="申万二级行业",[1]!s_info_industry_sw_2021(W1344,公司分析!D$5,2),IF($Y$3="申万三级行业",[1]!s_info_industry_sw_2021(W1344,公司分析!D$5,3),IF($Y$3="wind一级行业",[1]!s_info_industry_gics(W1344,1),IF($Y$3="wind二级行业",[1]!s_info_industry_gics(W1344,2),IF($Y$3="wind三级行业",[1]!s_info_industry_gics(W1344,3),IF($Y$3="wind四级行业",[1]!s_info_industry_gics(W1344,4),IF($Y$3="证监会门类行业",[1]!s_info_industry_csrc12_n(W1344,公司分析!D$5,1),""))))))))</f>
        <v>通信设备</v>
      </c>
      <c r="Z1344" s="302" t="str">
        <f ca="1">IF(Y1344=行业比较!$E$6,ROW(),"")</f>
        <v/>
      </c>
      <c r="AA1344" s="122"/>
      <c r="AB1344" s="122"/>
      <c r="AC1344" s="122"/>
      <c r="AD1344" s="122"/>
      <c r="AE1344" s="122"/>
      <c r="AF1344" s="122"/>
      <c r="AG1344" s="122"/>
      <c r="AH1344" s="122"/>
      <c r="AI1344" s="122"/>
      <c r="AJ1344" s="122"/>
      <c r="AK1344" s="122"/>
      <c r="AL1344" s="122"/>
      <c r="AM1344" s="122"/>
      <c r="AN1344" s="122"/>
      <c r="AO1344" s="122"/>
      <c r="AP1344" s="122"/>
    </row>
    <row r="1345" spans="2:42">
      <c r="B1345" s="122"/>
      <c r="C1345" s="122"/>
      <c r="D1345" s="122"/>
      <c r="E1345" s="122"/>
      <c r="F1345" s="122"/>
      <c r="G1345" s="122"/>
      <c r="H1345" s="122"/>
      <c r="I1345" s="275"/>
      <c r="J1345" s="130"/>
      <c r="K1345" s="130"/>
      <c r="L1345" s="130"/>
      <c r="M1345" s="130"/>
      <c r="N1345" s="291"/>
      <c r="O1345" s="291"/>
      <c r="P1345" s="122"/>
      <c r="Q1345" s="122"/>
      <c r="R1345" s="122"/>
      <c r="S1345" s="122"/>
      <c r="T1345" s="122"/>
      <c r="U1345" s="301"/>
      <c r="V1345" s="260">
        <f t="shared" ca="1" si="28"/>
        <v>0</v>
      </c>
      <c r="W1345" s="348" t="str">
        <f>IF(板块成分!B1347="","",板块成分!B1347)</f>
        <v>002882.SZ</v>
      </c>
      <c r="X1345" s="276" t="str">
        <f>[1]!S_Info_Name(W1345)</f>
        <v>金龙羽</v>
      </c>
      <c r="Y1345" s="276" t="str">
        <f ca="1">IF($Y$3="申万一级行业",[1]!s_info_industry_sw_2021(W1345,公司分析!D$5,1),IF($Y$3="申万二级行业",[1]!s_info_industry_sw_2021(W1345,公司分析!D$5,2),IF($Y$3="申万三级行业",[1]!s_info_industry_sw_2021(W1345,公司分析!D$5,3),IF($Y$3="wind一级行业",[1]!s_info_industry_gics(W1345,1),IF($Y$3="wind二级行业",[1]!s_info_industry_gics(W1345,2),IF($Y$3="wind三级行业",[1]!s_info_industry_gics(W1345,3),IF($Y$3="wind四级行业",[1]!s_info_industry_gics(W1345,4),IF($Y$3="证监会门类行业",[1]!s_info_industry_csrc12_n(W1345,公司分析!D$5,1),""))))))))</f>
        <v>电网设备</v>
      </c>
      <c r="Z1345" s="302" t="str">
        <f ca="1">IF(Y1345=行业比较!$E$6,ROW(),"")</f>
        <v/>
      </c>
      <c r="AA1345" s="122"/>
      <c r="AB1345" s="122"/>
      <c r="AC1345" s="122"/>
      <c r="AD1345" s="122"/>
      <c r="AE1345" s="122"/>
      <c r="AF1345" s="122"/>
      <c r="AG1345" s="122"/>
      <c r="AH1345" s="122"/>
      <c r="AI1345" s="122"/>
      <c r="AJ1345" s="122"/>
      <c r="AK1345" s="122"/>
      <c r="AL1345" s="122"/>
      <c r="AM1345" s="122"/>
      <c r="AN1345" s="122"/>
      <c r="AO1345" s="122"/>
      <c r="AP1345" s="122"/>
    </row>
    <row r="1346" spans="2:42">
      <c r="B1346" s="122"/>
      <c r="C1346" s="122"/>
      <c r="D1346" s="122"/>
      <c r="E1346" s="122"/>
      <c r="F1346" s="122"/>
      <c r="G1346" s="122"/>
      <c r="H1346" s="122"/>
      <c r="I1346" s="275"/>
      <c r="J1346" s="130"/>
      <c r="K1346" s="130"/>
      <c r="L1346" s="130"/>
      <c r="M1346" s="130"/>
      <c r="N1346" s="291"/>
      <c r="O1346" s="291"/>
      <c r="P1346" s="122"/>
      <c r="Q1346" s="122"/>
      <c r="R1346" s="122"/>
      <c r="S1346" s="122"/>
      <c r="T1346" s="122"/>
      <c r="U1346" s="301"/>
      <c r="V1346" s="260">
        <f t="shared" ca="1" si="28"/>
        <v>0</v>
      </c>
      <c r="W1346" s="348" t="str">
        <f>IF(板块成分!B1348="","",板块成分!B1348)</f>
        <v>002883.SZ</v>
      </c>
      <c r="X1346" s="276" t="str">
        <f>[1]!S_Info_Name(W1346)</f>
        <v>中设股份</v>
      </c>
      <c r="Y1346" s="276" t="str">
        <f ca="1">IF($Y$3="申万一级行业",[1]!s_info_industry_sw_2021(W1346,公司分析!D$5,1),IF($Y$3="申万二级行业",[1]!s_info_industry_sw_2021(W1346,公司分析!D$5,2),IF($Y$3="申万三级行业",[1]!s_info_industry_sw_2021(W1346,公司分析!D$5,3),IF($Y$3="wind一级行业",[1]!s_info_industry_gics(W1346,1),IF($Y$3="wind二级行业",[1]!s_info_industry_gics(W1346,2),IF($Y$3="wind三级行业",[1]!s_info_industry_gics(W1346,3),IF($Y$3="wind四级行业",[1]!s_info_industry_gics(W1346,4),IF($Y$3="证监会门类行业",[1]!s_info_industry_csrc12_n(W1346,公司分析!D$5,1),""))))))))</f>
        <v>工程咨询服务Ⅱ</v>
      </c>
      <c r="Z1346" s="302" t="str">
        <f ca="1">IF(Y1346=行业比较!$E$6,ROW(),"")</f>
        <v/>
      </c>
      <c r="AA1346" s="122"/>
      <c r="AB1346" s="122"/>
      <c r="AC1346" s="122"/>
      <c r="AD1346" s="122"/>
      <c r="AE1346" s="122"/>
      <c r="AF1346" s="122"/>
      <c r="AG1346" s="122"/>
      <c r="AH1346" s="122"/>
      <c r="AI1346" s="122"/>
      <c r="AJ1346" s="122"/>
      <c r="AK1346" s="122"/>
      <c r="AL1346" s="122"/>
      <c r="AM1346" s="122"/>
      <c r="AN1346" s="122"/>
      <c r="AO1346" s="122"/>
      <c r="AP1346" s="122"/>
    </row>
    <row r="1347" spans="2:42">
      <c r="B1347" s="122"/>
      <c r="C1347" s="122"/>
      <c r="D1347" s="122"/>
      <c r="E1347" s="122"/>
      <c r="F1347" s="122"/>
      <c r="G1347" s="122"/>
      <c r="H1347" s="122"/>
      <c r="I1347" s="275"/>
      <c r="J1347" s="130"/>
      <c r="K1347" s="130"/>
      <c r="L1347" s="130"/>
      <c r="M1347" s="130"/>
      <c r="N1347" s="291"/>
      <c r="O1347" s="291"/>
      <c r="P1347" s="122"/>
      <c r="Q1347" s="122"/>
      <c r="R1347" s="122"/>
      <c r="S1347" s="122"/>
      <c r="T1347" s="122"/>
      <c r="U1347" s="301"/>
      <c r="V1347" s="260">
        <f t="shared" ca="1" si="28"/>
        <v>0</v>
      </c>
      <c r="W1347" s="348" t="str">
        <f>IF(板块成分!B1349="","",板块成分!B1349)</f>
        <v>002884.SZ</v>
      </c>
      <c r="X1347" s="276" t="str">
        <f>[1]!S_Info_Name(W1347)</f>
        <v>凌霄泵业</v>
      </c>
      <c r="Y1347" s="276" t="str">
        <f ca="1">IF($Y$3="申万一级行业",[1]!s_info_industry_sw_2021(W1347,公司分析!D$5,1),IF($Y$3="申万二级行业",[1]!s_info_industry_sw_2021(W1347,公司分析!D$5,2),IF($Y$3="申万三级行业",[1]!s_info_industry_sw_2021(W1347,公司分析!D$5,3),IF($Y$3="wind一级行业",[1]!s_info_industry_gics(W1347,1),IF($Y$3="wind二级行业",[1]!s_info_industry_gics(W1347,2),IF($Y$3="wind三级行业",[1]!s_info_industry_gics(W1347,3),IF($Y$3="wind四级行业",[1]!s_info_industry_gics(W1347,4),IF($Y$3="证监会门类行业",[1]!s_info_industry_csrc12_n(W1347,公司分析!D$5,1),""))))))))</f>
        <v>通用设备</v>
      </c>
      <c r="Z1347" s="302" t="str">
        <f ca="1">IF(Y1347=行业比较!$E$6,ROW(),"")</f>
        <v/>
      </c>
      <c r="AA1347" s="122"/>
      <c r="AB1347" s="122"/>
      <c r="AC1347" s="122"/>
      <c r="AD1347" s="122"/>
      <c r="AE1347" s="122"/>
      <c r="AF1347" s="122"/>
      <c r="AG1347" s="122"/>
      <c r="AH1347" s="122"/>
      <c r="AI1347" s="122"/>
      <c r="AJ1347" s="122"/>
      <c r="AK1347" s="122"/>
      <c r="AL1347" s="122"/>
      <c r="AM1347" s="122"/>
      <c r="AN1347" s="122"/>
      <c r="AO1347" s="122"/>
      <c r="AP1347" s="122"/>
    </row>
    <row r="1348" spans="2:42">
      <c r="B1348" s="122"/>
      <c r="C1348" s="122"/>
      <c r="D1348" s="122"/>
      <c r="E1348" s="122"/>
      <c r="F1348" s="122"/>
      <c r="G1348" s="122"/>
      <c r="H1348" s="122"/>
      <c r="I1348" s="275"/>
      <c r="J1348" s="130"/>
      <c r="K1348" s="130"/>
      <c r="L1348" s="130"/>
      <c r="M1348" s="130"/>
      <c r="N1348" s="291"/>
      <c r="O1348" s="291"/>
      <c r="P1348" s="122"/>
      <c r="Q1348" s="122"/>
      <c r="R1348" s="122"/>
      <c r="S1348" s="122"/>
      <c r="T1348" s="122"/>
      <c r="U1348" s="301"/>
      <c r="V1348" s="260">
        <f t="shared" ca="1" si="28"/>
        <v>0</v>
      </c>
      <c r="W1348" s="348" t="str">
        <f>IF(板块成分!B1350="","",板块成分!B1350)</f>
        <v>002885.SZ</v>
      </c>
      <c r="X1348" s="276" t="str">
        <f>[1]!S_Info_Name(W1348)</f>
        <v>京泉华</v>
      </c>
      <c r="Y1348" s="276" t="str">
        <f ca="1">IF($Y$3="申万一级行业",[1]!s_info_industry_sw_2021(W1348,公司分析!D$5,1),IF($Y$3="申万二级行业",[1]!s_info_industry_sw_2021(W1348,公司分析!D$5,2),IF($Y$3="申万三级行业",[1]!s_info_industry_sw_2021(W1348,公司分析!D$5,3),IF($Y$3="wind一级行业",[1]!s_info_industry_gics(W1348,1),IF($Y$3="wind二级行业",[1]!s_info_industry_gics(W1348,2),IF($Y$3="wind三级行业",[1]!s_info_industry_gics(W1348,3),IF($Y$3="wind四级行业",[1]!s_info_industry_gics(W1348,4),IF($Y$3="证监会门类行业",[1]!s_info_industry_csrc12_n(W1348,公司分析!D$5,1),""))))))))</f>
        <v>其他电子Ⅱ</v>
      </c>
      <c r="Z1348" s="302" t="str">
        <f ca="1">IF(Y1348=行业比较!$E$6,ROW(),"")</f>
        <v/>
      </c>
      <c r="AA1348" s="122"/>
      <c r="AB1348" s="122"/>
      <c r="AC1348" s="122"/>
      <c r="AD1348" s="122"/>
      <c r="AE1348" s="122"/>
      <c r="AF1348" s="122"/>
      <c r="AG1348" s="122"/>
      <c r="AH1348" s="122"/>
      <c r="AI1348" s="122"/>
      <c r="AJ1348" s="122"/>
      <c r="AK1348" s="122"/>
      <c r="AL1348" s="122"/>
      <c r="AM1348" s="122"/>
      <c r="AN1348" s="122"/>
      <c r="AO1348" s="122"/>
      <c r="AP1348" s="122"/>
    </row>
    <row r="1349" spans="2:42">
      <c r="B1349" s="122"/>
      <c r="C1349" s="122"/>
      <c r="D1349" s="122"/>
      <c r="E1349" s="122"/>
      <c r="F1349" s="122"/>
      <c r="G1349" s="122"/>
      <c r="H1349" s="122"/>
      <c r="I1349" s="275"/>
      <c r="J1349" s="130"/>
      <c r="K1349" s="130"/>
      <c r="L1349" s="130"/>
      <c r="M1349" s="130"/>
      <c r="N1349" s="291"/>
      <c r="O1349" s="291"/>
      <c r="P1349" s="122"/>
      <c r="Q1349" s="122"/>
      <c r="R1349" s="122"/>
      <c r="S1349" s="122"/>
      <c r="T1349" s="122"/>
      <c r="U1349" s="301"/>
      <c r="V1349" s="260">
        <f t="shared" ref="V1349:V1412" ca="1" si="29">IF(Z1349="",0,RANK(Z1349,Z:Z,1))</f>
        <v>0</v>
      </c>
      <c r="W1349" s="348" t="str">
        <f>IF(板块成分!B1351="","",板块成分!B1351)</f>
        <v>002886.SZ</v>
      </c>
      <c r="X1349" s="276" t="str">
        <f>[1]!S_Info_Name(W1349)</f>
        <v>沃特股份</v>
      </c>
      <c r="Y1349" s="276" t="str">
        <f ca="1">IF($Y$3="申万一级行业",[1]!s_info_industry_sw_2021(W1349,公司分析!D$5,1),IF($Y$3="申万二级行业",[1]!s_info_industry_sw_2021(W1349,公司分析!D$5,2),IF($Y$3="申万三级行业",[1]!s_info_industry_sw_2021(W1349,公司分析!D$5,3),IF($Y$3="wind一级行业",[1]!s_info_industry_gics(W1349,1),IF($Y$3="wind二级行业",[1]!s_info_industry_gics(W1349,2),IF($Y$3="wind三级行业",[1]!s_info_industry_gics(W1349,3),IF($Y$3="wind四级行业",[1]!s_info_industry_gics(W1349,4),IF($Y$3="证监会门类行业",[1]!s_info_industry_csrc12_n(W1349,公司分析!D$5,1),""))))))))</f>
        <v>塑料</v>
      </c>
      <c r="Z1349" s="302" t="str">
        <f ca="1">IF(Y1349=行业比较!$E$6,ROW(),"")</f>
        <v/>
      </c>
      <c r="AA1349" s="122"/>
      <c r="AB1349" s="122"/>
      <c r="AC1349" s="122"/>
      <c r="AD1349" s="122"/>
      <c r="AE1349" s="122"/>
      <c r="AF1349" s="122"/>
      <c r="AG1349" s="122"/>
      <c r="AH1349" s="122"/>
      <c r="AI1349" s="122"/>
      <c r="AJ1349" s="122"/>
      <c r="AK1349" s="122"/>
      <c r="AL1349" s="122"/>
      <c r="AM1349" s="122"/>
      <c r="AN1349" s="122"/>
      <c r="AO1349" s="122"/>
      <c r="AP1349" s="122"/>
    </row>
    <row r="1350" spans="2:42">
      <c r="B1350" s="122"/>
      <c r="C1350" s="122"/>
      <c r="D1350" s="122"/>
      <c r="E1350" s="122"/>
      <c r="F1350" s="122"/>
      <c r="G1350" s="122"/>
      <c r="H1350" s="122"/>
      <c r="I1350" s="275"/>
      <c r="J1350" s="130"/>
      <c r="K1350" s="130"/>
      <c r="L1350" s="130"/>
      <c r="M1350" s="130"/>
      <c r="N1350" s="291"/>
      <c r="O1350" s="291"/>
      <c r="P1350" s="122"/>
      <c r="Q1350" s="122"/>
      <c r="R1350" s="122"/>
      <c r="S1350" s="122"/>
      <c r="T1350" s="122"/>
      <c r="U1350" s="301"/>
      <c r="V1350" s="260">
        <f t="shared" ca="1" si="29"/>
        <v>0</v>
      </c>
      <c r="W1350" s="348" t="str">
        <f>IF(板块成分!B1352="","",板块成分!B1352)</f>
        <v>002887.SZ</v>
      </c>
      <c r="X1350" s="276" t="str">
        <f>[1]!S_Info_Name(W1350)</f>
        <v>绿茵生态</v>
      </c>
      <c r="Y1350" s="276" t="str">
        <f ca="1">IF($Y$3="申万一级行业",[1]!s_info_industry_sw_2021(W1350,公司分析!D$5,1),IF($Y$3="申万二级行业",[1]!s_info_industry_sw_2021(W1350,公司分析!D$5,2),IF($Y$3="申万三级行业",[1]!s_info_industry_sw_2021(W1350,公司分析!D$5,3),IF($Y$3="wind一级行业",[1]!s_info_industry_gics(W1350,1),IF($Y$3="wind二级行业",[1]!s_info_industry_gics(W1350,2),IF($Y$3="wind三级行业",[1]!s_info_industry_gics(W1350,3),IF($Y$3="wind四级行业",[1]!s_info_industry_gics(W1350,4),IF($Y$3="证监会门类行业",[1]!s_info_industry_csrc12_n(W1350,公司分析!D$5,1),""))))))))</f>
        <v>环境治理</v>
      </c>
      <c r="Z1350" s="302" t="str">
        <f ca="1">IF(Y1350=行业比较!$E$6,ROW(),"")</f>
        <v/>
      </c>
      <c r="AA1350" s="122"/>
      <c r="AB1350" s="122"/>
      <c r="AC1350" s="122"/>
      <c r="AD1350" s="122"/>
      <c r="AE1350" s="122"/>
      <c r="AF1350" s="122"/>
      <c r="AG1350" s="122"/>
      <c r="AH1350" s="122"/>
      <c r="AI1350" s="122"/>
      <c r="AJ1350" s="122"/>
      <c r="AK1350" s="122"/>
      <c r="AL1350" s="122"/>
      <c r="AM1350" s="122"/>
      <c r="AN1350" s="122"/>
      <c r="AO1350" s="122"/>
      <c r="AP1350" s="122"/>
    </row>
    <row r="1351" spans="2:42">
      <c r="B1351" s="122"/>
      <c r="C1351" s="122"/>
      <c r="D1351" s="122"/>
      <c r="E1351" s="122"/>
      <c r="F1351" s="122"/>
      <c r="G1351" s="122"/>
      <c r="H1351" s="122"/>
      <c r="I1351" s="275"/>
      <c r="J1351" s="130"/>
      <c r="K1351" s="130"/>
      <c r="L1351" s="130"/>
      <c r="M1351" s="130"/>
      <c r="N1351" s="291"/>
      <c r="O1351" s="291"/>
      <c r="P1351" s="122"/>
      <c r="Q1351" s="122"/>
      <c r="R1351" s="122"/>
      <c r="S1351" s="122"/>
      <c r="T1351" s="122"/>
      <c r="U1351" s="301"/>
      <c r="V1351" s="260">
        <f t="shared" ca="1" si="29"/>
        <v>0</v>
      </c>
      <c r="W1351" s="348" t="str">
        <f>IF(板块成分!B1353="","",板块成分!B1353)</f>
        <v>002888.SZ</v>
      </c>
      <c r="X1351" s="276" t="str">
        <f>[1]!S_Info_Name(W1351)</f>
        <v>惠威科技</v>
      </c>
      <c r="Y1351" s="276" t="str">
        <f ca="1">IF($Y$3="申万一级行业",[1]!s_info_industry_sw_2021(W1351,公司分析!D$5,1),IF($Y$3="申万二级行业",[1]!s_info_industry_sw_2021(W1351,公司分析!D$5,2),IF($Y$3="申万三级行业",[1]!s_info_industry_sw_2021(W1351,公司分析!D$5,3),IF($Y$3="wind一级行业",[1]!s_info_industry_gics(W1351,1),IF($Y$3="wind二级行业",[1]!s_info_industry_gics(W1351,2),IF($Y$3="wind三级行业",[1]!s_info_industry_gics(W1351,3),IF($Y$3="wind四级行业",[1]!s_info_industry_gics(W1351,4),IF($Y$3="证监会门类行业",[1]!s_info_industry_csrc12_n(W1351,公司分析!D$5,1),""))))))))</f>
        <v>消费电子</v>
      </c>
      <c r="Z1351" s="302" t="str">
        <f ca="1">IF(Y1351=行业比较!$E$6,ROW(),"")</f>
        <v/>
      </c>
      <c r="AA1351" s="122"/>
      <c r="AB1351" s="122"/>
      <c r="AC1351" s="122"/>
      <c r="AD1351" s="122"/>
      <c r="AE1351" s="122"/>
      <c r="AF1351" s="122"/>
      <c r="AG1351" s="122"/>
      <c r="AH1351" s="122"/>
      <c r="AI1351" s="122"/>
      <c r="AJ1351" s="122"/>
      <c r="AK1351" s="122"/>
      <c r="AL1351" s="122"/>
      <c r="AM1351" s="122"/>
      <c r="AN1351" s="122"/>
      <c r="AO1351" s="122"/>
      <c r="AP1351" s="122"/>
    </row>
    <row r="1352" spans="2:42">
      <c r="B1352" s="122"/>
      <c r="C1352" s="122"/>
      <c r="D1352" s="122"/>
      <c r="E1352" s="122"/>
      <c r="F1352" s="122"/>
      <c r="G1352" s="122"/>
      <c r="H1352" s="122"/>
      <c r="I1352" s="275"/>
      <c r="J1352" s="130"/>
      <c r="K1352" s="130"/>
      <c r="L1352" s="130"/>
      <c r="M1352" s="130"/>
      <c r="N1352" s="291"/>
      <c r="O1352" s="291"/>
      <c r="P1352" s="122"/>
      <c r="Q1352" s="122"/>
      <c r="R1352" s="122"/>
      <c r="S1352" s="122"/>
      <c r="T1352" s="122"/>
      <c r="U1352" s="301"/>
      <c r="V1352" s="260">
        <f t="shared" ca="1" si="29"/>
        <v>0</v>
      </c>
      <c r="W1352" s="348" t="str">
        <f>IF(板块成分!B1354="","",板块成分!B1354)</f>
        <v>002889.SZ</v>
      </c>
      <c r="X1352" s="276" t="str">
        <f>[1]!S_Info_Name(W1352)</f>
        <v>东方嘉盛</v>
      </c>
      <c r="Y1352" s="276" t="str">
        <f ca="1">IF($Y$3="申万一级行业",[1]!s_info_industry_sw_2021(W1352,公司分析!D$5,1),IF($Y$3="申万二级行业",[1]!s_info_industry_sw_2021(W1352,公司分析!D$5,2),IF($Y$3="申万三级行业",[1]!s_info_industry_sw_2021(W1352,公司分析!D$5,3),IF($Y$3="wind一级行业",[1]!s_info_industry_gics(W1352,1),IF($Y$3="wind二级行业",[1]!s_info_industry_gics(W1352,2),IF($Y$3="wind三级行业",[1]!s_info_industry_gics(W1352,3),IF($Y$3="wind四级行业",[1]!s_info_industry_gics(W1352,4),IF($Y$3="证监会门类行业",[1]!s_info_industry_csrc12_n(W1352,公司分析!D$5,1),""))))))))</f>
        <v>物流</v>
      </c>
      <c r="Z1352" s="302" t="str">
        <f ca="1">IF(Y1352=行业比较!$E$6,ROW(),"")</f>
        <v/>
      </c>
      <c r="AA1352" s="122"/>
      <c r="AB1352" s="122"/>
      <c r="AC1352" s="122"/>
      <c r="AD1352" s="122"/>
      <c r="AE1352" s="122"/>
      <c r="AF1352" s="122"/>
      <c r="AG1352" s="122"/>
      <c r="AH1352" s="122"/>
      <c r="AI1352" s="122"/>
      <c r="AJ1352" s="122"/>
      <c r="AK1352" s="122"/>
      <c r="AL1352" s="122"/>
      <c r="AM1352" s="122"/>
      <c r="AN1352" s="122"/>
      <c r="AO1352" s="122"/>
      <c r="AP1352" s="122"/>
    </row>
    <row r="1353" spans="2:42">
      <c r="B1353" s="122"/>
      <c r="C1353" s="122"/>
      <c r="D1353" s="122"/>
      <c r="E1353" s="122"/>
      <c r="F1353" s="122"/>
      <c r="G1353" s="122"/>
      <c r="H1353" s="122"/>
      <c r="I1353" s="275"/>
      <c r="J1353" s="130"/>
      <c r="K1353" s="130"/>
      <c r="L1353" s="130"/>
      <c r="M1353" s="130"/>
      <c r="N1353" s="291"/>
      <c r="O1353" s="291"/>
      <c r="P1353" s="122"/>
      <c r="Q1353" s="122"/>
      <c r="R1353" s="122"/>
      <c r="S1353" s="122"/>
      <c r="T1353" s="122"/>
      <c r="U1353" s="301"/>
      <c r="V1353" s="260">
        <f t="shared" ca="1" si="29"/>
        <v>0</v>
      </c>
      <c r="W1353" s="348" t="str">
        <f>IF(板块成分!B1355="","",板块成分!B1355)</f>
        <v>002890.SZ</v>
      </c>
      <c r="X1353" s="276" t="str">
        <f>[1]!S_Info_Name(W1353)</f>
        <v>弘宇股份</v>
      </c>
      <c r="Y1353" s="276" t="str">
        <f ca="1">IF($Y$3="申万一级行业",[1]!s_info_industry_sw_2021(W1353,公司分析!D$5,1),IF($Y$3="申万二级行业",[1]!s_info_industry_sw_2021(W1353,公司分析!D$5,2),IF($Y$3="申万三级行业",[1]!s_info_industry_sw_2021(W1353,公司分析!D$5,3),IF($Y$3="wind一级行业",[1]!s_info_industry_gics(W1353,1),IF($Y$3="wind二级行业",[1]!s_info_industry_gics(W1353,2),IF($Y$3="wind三级行业",[1]!s_info_industry_gics(W1353,3),IF($Y$3="wind四级行业",[1]!s_info_industry_gics(W1353,4),IF($Y$3="证监会门类行业",[1]!s_info_industry_csrc12_n(W1353,公司分析!D$5,1),""))))))))</f>
        <v>专用设备</v>
      </c>
      <c r="Z1353" s="302" t="str">
        <f ca="1">IF(Y1353=行业比较!$E$6,ROW(),"")</f>
        <v/>
      </c>
      <c r="AA1353" s="122"/>
      <c r="AB1353" s="122"/>
      <c r="AC1353" s="122"/>
      <c r="AD1353" s="122"/>
      <c r="AE1353" s="122"/>
      <c r="AF1353" s="122"/>
      <c r="AG1353" s="122"/>
      <c r="AH1353" s="122"/>
      <c r="AI1353" s="122"/>
      <c r="AJ1353" s="122"/>
      <c r="AK1353" s="122"/>
      <c r="AL1353" s="122"/>
      <c r="AM1353" s="122"/>
      <c r="AN1353" s="122"/>
      <c r="AO1353" s="122"/>
      <c r="AP1353" s="122"/>
    </row>
    <row r="1354" spans="2:42">
      <c r="B1354" s="122"/>
      <c r="C1354" s="122"/>
      <c r="D1354" s="122"/>
      <c r="E1354" s="122"/>
      <c r="F1354" s="122"/>
      <c r="G1354" s="122"/>
      <c r="H1354" s="122"/>
      <c r="I1354" s="275"/>
      <c r="J1354" s="130"/>
      <c r="K1354" s="130"/>
      <c r="L1354" s="130"/>
      <c r="M1354" s="130"/>
      <c r="N1354" s="291"/>
      <c r="O1354" s="291"/>
      <c r="P1354" s="122"/>
      <c r="Q1354" s="122"/>
      <c r="R1354" s="122"/>
      <c r="S1354" s="122"/>
      <c r="T1354" s="122"/>
      <c r="U1354" s="301"/>
      <c r="V1354" s="260">
        <f t="shared" ca="1" si="29"/>
        <v>0</v>
      </c>
      <c r="W1354" s="348" t="str">
        <f>IF(板块成分!B1356="","",板块成分!B1356)</f>
        <v>002891.SZ</v>
      </c>
      <c r="X1354" s="276" t="str">
        <f>[1]!S_Info_Name(W1354)</f>
        <v>中宠股份</v>
      </c>
      <c r="Y1354" s="276" t="str">
        <f ca="1">IF($Y$3="申万一级行业",[1]!s_info_industry_sw_2021(W1354,公司分析!D$5,1),IF($Y$3="申万二级行业",[1]!s_info_industry_sw_2021(W1354,公司分析!D$5,2),IF($Y$3="申万三级行业",[1]!s_info_industry_sw_2021(W1354,公司分析!D$5,3),IF($Y$3="wind一级行业",[1]!s_info_industry_gics(W1354,1),IF($Y$3="wind二级行业",[1]!s_info_industry_gics(W1354,2),IF($Y$3="wind三级行业",[1]!s_info_industry_gics(W1354,3),IF($Y$3="wind四级行业",[1]!s_info_industry_gics(W1354,4),IF($Y$3="证监会门类行业",[1]!s_info_industry_csrc12_n(W1354,公司分析!D$5,1),""))))))))</f>
        <v>饲料</v>
      </c>
      <c r="Z1354" s="302" t="str">
        <f ca="1">IF(Y1354=行业比较!$E$6,ROW(),"")</f>
        <v/>
      </c>
      <c r="AA1354" s="122"/>
      <c r="AB1354" s="122"/>
      <c r="AC1354" s="122"/>
      <c r="AD1354" s="122"/>
      <c r="AE1354" s="122"/>
      <c r="AF1354" s="122"/>
      <c r="AG1354" s="122"/>
      <c r="AH1354" s="122"/>
      <c r="AI1354" s="122"/>
      <c r="AJ1354" s="122"/>
      <c r="AK1354" s="122"/>
      <c r="AL1354" s="122"/>
      <c r="AM1354" s="122"/>
      <c r="AN1354" s="122"/>
      <c r="AO1354" s="122"/>
      <c r="AP1354" s="122"/>
    </row>
    <row r="1355" spans="2:42">
      <c r="B1355" s="122"/>
      <c r="C1355" s="122"/>
      <c r="D1355" s="122"/>
      <c r="E1355" s="122"/>
      <c r="F1355" s="122"/>
      <c r="G1355" s="122"/>
      <c r="H1355" s="122"/>
      <c r="I1355" s="275"/>
      <c r="J1355" s="130"/>
      <c r="K1355" s="130"/>
      <c r="L1355" s="130"/>
      <c r="M1355" s="130"/>
      <c r="N1355" s="291"/>
      <c r="O1355" s="291"/>
      <c r="P1355" s="122"/>
      <c r="Q1355" s="122"/>
      <c r="R1355" s="122"/>
      <c r="S1355" s="122"/>
      <c r="T1355" s="122"/>
      <c r="U1355" s="301"/>
      <c r="V1355" s="260">
        <f t="shared" ca="1" si="29"/>
        <v>0</v>
      </c>
      <c r="W1355" s="348" t="str">
        <f>IF(板块成分!B1357="","",板块成分!B1357)</f>
        <v>002892.SZ</v>
      </c>
      <c r="X1355" s="276" t="str">
        <f>[1]!S_Info_Name(W1355)</f>
        <v>科力尔</v>
      </c>
      <c r="Y1355" s="276" t="str">
        <f ca="1">IF($Y$3="申万一级行业",[1]!s_info_industry_sw_2021(W1355,公司分析!D$5,1),IF($Y$3="申万二级行业",[1]!s_info_industry_sw_2021(W1355,公司分析!D$5,2),IF($Y$3="申万三级行业",[1]!s_info_industry_sw_2021(W1355,公司分析!D$5,3),IF($Y$3="wind一级行业",[1]!s_info_industry_gics(W1355,1),IF($Y$3="wind二级行业",[1]!s_info_industry_gics(W1355,2),IF($Y$3="wind三级行业",[1]!s_info_industry_gics(W1355,3),IF($Y$3="wind四级行业",[1]!s_info_industry_gics(W1355,4),IF($Y$3="证监会门类行业",[1]!s_info_industry_csrc12_n(W1355,公司分析!D$5,1),""))))))))</f>
        <v>电机Ⅱ</v>
      </c>
      <c r="Z1355" s="302" t="str">
        <f ca="1">IF(Y1355=行业比较!$E$6,ROW(),"")</f>
        <v/>
      </c>
      <c r="AA1355" s="122"/>
      <c r="AB1355" s="122"/>
      <c r="AC1355" s="122"/>
      <c r="AD1355" s="122"/>
      <c r="AE1355" s="122"/>
      <c r="AF1355" s="122"/>
      <c r="AG1355" s="122"/>
      <c r="AH1355" s="122"/>
      <c r="AI1355" s="122"/>
      <c r="AJ1355" s="122"/>
      <c r="AK1355" s="122"/>
      <c r="AL1355" s="122"/>
      <c r="AM1355" s="122"/>
      <c r="AN1355" s="122"/>
      <c r="AO1355" s="122"/>
      <c r="AP1355" s="122"/>
    </row>
    <row r="1356" spans="2:42">
      <c r="B1356" s="122"/>
      <c r="C1356" s="122"/>
      <c r="D1356" s="122"/>
      <c r="E1356" s="122"/>
      <c r="F1356" s="122"/>
      <c r="G1356" s="122"/>
      <c r="H1356" s="122"/>
      <c r="I1356" s="275"/>
      <c r="J1356" s="130"/>
      <c r="K1356" s="130"/>
      <c r="L1356" s="130"/>
      <c r="M1356" s="130"/>
      <c r="N1356" s="291"/>
      <c r="O1356" s="291"/>
      <c r="P1356" s="122"/>
      <c r="Q1356" s="122"/>
      <c r="R1356" s="122"/>
      <c r="S1356" s="122"/>
      <c r="T1356" s="122"/>
      <c r="U1356" s="301"/>
      <c r="V1356" s="260">
        <f t="shared" ca="1" si="29"/>
        <v>0</v>
      </c>
      <c r="W1356" s="348" t="str">
        <f>IF(板块成分!B1358="","",板块成分!B1358)</f>
        <v>002893.SZ</v>
      </c>
      <c r="X1356" s="276" t="str">
        <f>[1]!S_Info_Name(W1356)</f>
        <v>京能热力</v>
      </c>
      <c r="Y1356" s="276" t="str">
        <f ca="1">IF($Y$3="申万一级行业",[1]!s_info_industry_sw_2021(W1356,公司分析!D$5,1),IF($Y$3="申万二级行业",[1]!s_info_industry_sw_2021(W1356,公司分析!D$5,2),IF($Y$3="申万三级行业",[1]!s_info_industry_sw_2021(W1356,公司分析!D$5,3),IF($Y$3="wind一级行业",[1]!s_info_industry_gics(W1356,1),IF($Y$3="wind二级行业",[1]!s_info_industry_gics(W1356,2),IF($Y$3="wind三级行业",[1]!s_info_industry_gics(W1356,3),IF($Y$3="wind四级行业",[1]!s_info_industry_gics(W1356,4),IF($Y$3="证监会门类行业",[1]!s_info_industry_csrc12_n(W1356,公司分析!D$5,1),""))))))))</f>
        <v>电力</v>
      </c>
      <c r="Z1356" s="302" t="str">
        <f ca="1">IF(Y1356=行业比较!$E$6,ROW(),"")</f>
        <v/>
      </c>
      <c r="AA1356" s="122"/>
      <c r="AB1356" s="122"/>
      <c r="AC1356" s="122"/>
      <c r="AD1356" s="122"/>
      <c r="AE1356" s="122"/>
      <c r="AF1356" s="122"/>
      <c r="AG1356" s="122"/>
      <c r="AH1356" s="122"/>
      <c r="AI1356" s="122"/>
      <c r="AJ1356" s="122"/>
      <c r="AK1356" s="122"/>
      <c r="AL1356" s="122"/>
      <c r="AM1356" s="122"/>
      <c r="AN1356" s="122"/>
      <c r="AO1356" s="122"/>
      <c r="AP1356" s="122"/>
    </row>
    <row r="1357" spans="2:42">
      <c r="B1357" s="122"/>
      <c r="C1357" s="122"/>
      <c r="D1357" s="122"/>
      <c r="E1357" s="122"/>
      <c r="F1357" s="122"/>
      <c r="G1357" s="122"/>
      <c r="H1357" s="122"/>
      <c r="I1357" s="275"/>
      <c r="J1357" s="130"/>
      <c r="K1357" s="130"/>
      <c r="L1357" s="130"/>
      <c r="M1357" s="130"/>
      <c r="N1357" s="291"/>
      <c r="O1357" s="291"/>
      <c r="P1357" s="122"/>
      <c r="Q1357" s="122"/>
      <c r="R1357" s="122"/>
      <c r="S1357" s="122"/>
      <c r="T1357" s="122"/>
      <c r="U1357" s="301"/>
      <c r="V1357" s="260">
        <f t="shared" ca="1" si="29"/>
        <v>0</v>
      </c>
      <c r="W1357" s="348" t="str">
        <f>IF(板块成分!B1359="","",板块成分!B1359)</f>
        <v>002895.SZ</v>
      </c>
      <c r="X1357" s="276" t="str">
        <f>[1]!S_Info_Name(W1357)</f>
        <v>川恒股份</v>
      </c>
      <c r="Y1357" s="276" t="str">
        <f ca="1">IF($Y$3="申万一级行业",[1]!s_info_industry_sw_2021(W1357,公司分析!D$5,1),IF($Y$3="申万二级行业",[1]!s_info_industry_sw_2021(W1357,公司分析!D$5,2),IF($Y$3="申万三级行业",[1]!s_info_industry_sw_2021(W1357,公司分析!D$5,3),IF($Y$3="wind一级行业",[1]!s_info_industry_gics(W1357,1),IF($Y$3="wind二级行业",[1]!s_info_industry_gics(W1357,2),IF($Y$3="wind三级行业",[1]!s_info_industry_gics(W1357,3),IF($Y$3="wind四级行业",[1]!s_info_industry_gics(W1357,4),IF($Y$3="证监会门类行业",[1]!s_info_industry_csrc12_n(W1357,公司分析!D$5,1),""))))))))</f>
        <v>农化制品</v>
      </c>
      <c r="Z1357" s="302" t="str">
        <f ca="1">IF(Y1357=行业比较!$E$6,ROW(),"")</f>
        <v/>
      </c>
      <c r="AA1357" s="122"/>
      <c r="AB1357" s="122"/>
      <c r="AC1357" s="122"/>
      <c r="AD1357" s="122"/>
      <c r="AE1357" s="122"/>
      <c r="AF1357" s="122"/>
      <c r="AG1357" s="122"/>
      <c r="AH1357" s="122"/>
      <c r="AI1357" s="122"/>
      <c r="AJ1357" s="122"/>
      <c r="AK1357" s="122"/>
      <c r="AL1357" s="122"/>
      <c r="AM1357" s="122"/>
      <c r="AN1357" s="122"/>
      <c r="AO1357" s="122"/>
      <c r="AP1357" s="122"/>
    </row>
    <row r="1358" spans="2:42">
      <c r="B1358" s="122"/>
      <c r="C1358" s="122"/>
      <c r="D1358" s="122"/>
      <c r="E1358" s="122"/>
      <c r="F1358" s="122"/>
      <c r="G1358" s="122"/>
      <c r="H1358" s="122"/>
      <c r="I1358" s="275"/>
      <c r="J1358" s="130"/>
      <c r="K1358" s="130"/>
      <c r="L1358" s="130"/>
      <c r="M1358" s="130"/>
      <c r="N1358" s="291"/>
      <c r="O1358" s="291"/>
      <c r="P1358" s="122"/>
      <c r="Q1358" s="122"/>
      <c r="R1358" s="122"/>
      <c r="S1358" s="122"/>
      <c r="T1358" s="122"/>
      <c r="U1358" s="301"/>
      <c r="V1358" s="260">
        <f t="shared" ca="1" si="29"/>
        <v>0</v>
      </c>
      <c r="W1358" s="348" t="str">
        <f>IF(板块成分!B1360="","",板块成分!B1360)</f>
        <v>002896.SZ</v>
      </c>
      <c r="X1358" s="276" t="str">
        <f>[1]!S_Info_Name(W1358)</f>
        <v>中大力德</v>
      </c>
      <c r="Y1358" s="276" t="str">
        <f ca="1">IF($Y$3="申万一级行业",[1]!s_info_industry_sw_2021(W1358,公司分析!D$5,1),IF($Y$3="申万二级行业",[1]!s_info_industry_sw_2021(W1358,公司分析!D$5,2),IF($Y$3="申万三级行业",[1]!s_info_industry_sw_2021(W1358,公司分析!D$5,3),IF($Y$3="wind一级行业",[1]!s_info_industry_gics(W1358,1),IF($Y$3="wind二级行业",[1]!s_info_industry_gics(W1358,2),IF($Y$3="wind三级行业",[1]!s_info_industry_gics(W1358,3),IF($Y$3="wind四级行业",[1]!s_info_industry_gics(W1358,4),IF($Y$3="证监会门类行业",[1]!s_info_industry_csrc12_n(W1358,公司分析!D$5,1),""))))))))</f>
        <v>通用设备</v>
      </c>
      <c r="Z1358" s="302" t="str">
        <f ca="1">IF(Y1358=行业比较!$E$6,ROW(),"")</f>
        <v/>
      </c>
      <c r="AA1358" s="122"/>
      <c r="AB1358" s="122"/>
      <c r="AC1358" s="122"/>
      <c r="AD1358" s="122"/>
      <c r="AE1358" s="122"/>
      <c r="AF1358" s="122"/>
      <c r="AG1358" s="122"/>
      <c r="AH1358" s="122"/>
      <c r="AI1358" s="122"/>
      <c r="AJ1358" s="122"/>
      <c r="AK1358" s="122"/>
      <c r="AL1358" s="122"/>
      <c r="AM1358" s="122"/>
      <c r="AN1358" s="122"/>
      <c r="AO1358" s="122"/>
      <c r="AP1358" s="122"/>
    </row>
    <row r="1359" spans="2:42">
      <c r="B1359" s="122"/>
      <c r="C1359" s="122"/>
      <c r="D1359" s="122"/>
      <c r="E1359" s="122"/>
      <c r="F1359" s="122"/>
      <c r="G1359" s="122"/>
      <c r="H1359" s="122"/>
      <c r="I1359" s="275"/>
      <c r="J1359" s="130"/>
      <c r="K1359" s="130"/>
      <c r="L1359" s="130"/>
      <c r="M1359" s="130"/>
      <c r="N1359" s="291"/>
      <c r="O1359" s="291"/>
      <c r="P1359" s="122"/>
      <c r="Q1359" s="122"/>
      <c r="R1359" s="122"/>
      <c r="S1359" s="122"/>
      <c r="T1359" s="122"/>
      <c r="U1359" s="301"/>
      <c r="V1359" s="260">
        <f t="shared" ca="1" si="29"/>
        <v>0</v>
      </c>
      <c r="W1359" s="348" t="str">
        <f>IF(板块成分!B1361="","",板块成分!B1361)</f>
        <v>002897.SZ</v>
      </c>
      <c r="X1359" s="276" t="str">
        <f>[1]!S_Info_Name(W1359)</f>
        <v>意华股份</v>
      </c>
      <c r="Y1359" s="276" t="str">
        <f ca="1">IF($Y$3="申万一级行业",[1]!s_info_industry_sw_2021(W1359,公司分析!D$5,1),IF($Y$3="申万二级行业",[1]!s_info_industry_sw_2021(W1359,公司分析!D$5,2),IF($Y$3="申万三级行业",[1]!s_info_industry_sw_2021(W1359,公司分析!D$5,3),IF($Y$3="wind一级行业",[1]!s_info_industry_gics(W1359,1),IF($Y$3="wind二级行业",[1]!s_info_industry_gics(W1359,2),IF($Y$3="wind三级行业",[1]!s_info_industry_gics(W1359,3),IF($Y$3="wind四级行业",[1]!s_info_industry_gics(W1359,4),IF($Y$3="证监会门类行业",[1]!s_info_industry_csrc12_n(W1359,公司分析!D$5,1),""))))))))</f>
        <v>通信设备</v>
      </c>
      <c r="Z1359" s="302" t="str">
        <f ca="1">IF(Y1359=行业比较!$E$6,ROW(),"")</f>
        <v/>
      </c>
      <c r="AA1359" s="122"/>
      <c r="AB1359" s="122"/>
      <c r="AC1359" s="122"/>
      <c r="AD1359" s="122"/>
      <c r="AE1359" s="122"/>
      <c r="AF1359" s="122"/>
      <c r="AG1359" s="122"/>
      <c r="AH1359" s="122"/>
      <c r="AI1359" s="122"/>
      <c r="AJ1359" s="122"/>
      <c r="AK1359" s="122"/>
      <c r="AL1359" s="122"/>
      <c r="AM1359" s="122"/>
      <c r="AN1359" s="122"/>
      <c r="AO1359" s="122"/>
      <c r="AP1359" s="122"/>
    </row>
    <row r="1360" spans="2:42">
      <c r="B1360" s="122"/>
      <c r="C1360" s="122"/>
      <c r="D1360" s="122"/>
      <c r="E1360" s="122"/>
      <c r="F1360" s="122"/>
      <c r="G1360" s="122"/>
      <c r="H1360" s="122"/>
      <c r="I1360" s="275"/>
      <c r="J1360" s="130"/>
      <c r="K1360" s="130"/>
      <c r="L1360" s="130"/>
      <c r="M1360" s="130"/>
      <c r="N1360" s="291"/>
      <c r="O1360" s="291"/>
      <c r="P1360" s="122"/>
      <c r="Q1360" s="122"/>
      <c r="R1360" s="122"/>
      <c r="S1360" s="122"/>
      <c r="T1360" s="122"/>
      <c r="U1360" s="301"/>
      <c r="V1360" s="260">
        <f t="shared" ca="1" si="29"/>
        <v>0</v>
      </c>
      <c r="W1360" s="348" t="str">
        <f>IF(板块成分!B1362="","",板块成分!B1362)</f>
        <v>002898.SZ</v>
      </c>
      <c r="X1360" s="276" t="str">
        <f>[1]!S_Info_Name(W1360)</f>
        <v>*ST赛隆</v>
      </c>
      <c r="Y1360" s="276" t="str">
        <f ca="1">IF($Y$3="申万一级行业",[1]!s_info_industry_sw_2021(W1360,公司分析!D$5,1),IF($Y$3="申万二级行业",[1]!s_info_industry_sw_2021(W1360,公司分析!D$5,2),IF($Y$3="申万三级行业",[1]!s_info_industry_sw_2021(W1360,公司分析!D$5,3),IF($Y$3="wind一级行业",[1]!s_info_industry_gics(W1360,1),IF($Y$3="wind二级行业",[1]!s_info_industry_gics(W1360,2),IF($Y$3="wind三级行业",[1]!s_info_industry_gics(W1360,3),IF($Y$3="wind四级行业",[1]!s_info_industry_gics(W1360,4),IF($Y$3="证监会门类行业",[1]!s_info_industry_csrc12_n(W1360,公司分析!D$5,1),""))))))))</f>
        <v>化学制药</v>
      </c>
      <c r="Z1360" s="302" t="str">
        <f ca="1">IF(Y1360=行业比较!$E$6,ROW(),"")</f>
        <v/>
      </c>
      <c r="AA1360" s="122"/>
      <c r="AB1360" s="122"/>
      <c r="AC1360" s="122"/>
      <c r="AD1360" s="122"/>
      <c r="AE1360" s="122"/>
      <c r="AF1360" s="122"/>
      <c r="AG1360" s="122"/>
      <c r="AH1360" s="122"/>
      <c r="AI1360" s="122"/>
      <c r="AJ1360" s="122"/>
      <c r="AK1360" s="122"/>
      <c r="AL1360" s="122"/>
      <c r="AM1360" s="122"/>
      <c r="AN1360" s="122"/>
      <c r="AO1360" s="122"/>
      <c r="AP1360" s="122"/>
    </row>
    <row r="1361" spans="2:42">
      <c r="B1361" s="122"/>
      <c r="C1361" s="122"/>
      <c r="D1361" s="122"/>
      <c r="E1361" s="122"/>
      <c r="F1361" s="122"/>
      <c r="G1361" s="122"/>
      <c r="H1361" s="122"/>
      <c r="I1361" s="275"/>
      <c r="J1361" s="130"/>
      <c r="K1361" s="130"/>
      <c r="L1361" s="130"/>
      <c r="M1361" s="130"/>
      <c r="N1361" s="291"/>
      <c r="O1361" s="291"/>
      <c r="P1361" s="122"/>
      <c r="Q1361" s="122"/>
      <c r="R1361" s="122"/>
      <c r="S1361" s="122"/>
      <c r="T1361" s="122"/>
      <c r="U1361" s="301"/>
      <c r="V1361" s="260">
        <f t="shared" ca="1" si="29"/>
        <v>0</v>
      </c>
      <c r="W1361" s="348" t="str">
        <f>IF(板块成分!B1363="","",板块成分!B1363)</f>
        <v>002899.SZ</v>
      </c>
      <c r="X1361" s="276" t="str">
        <f>[1]!S_Info_Name(W1361)</f>
        <v>英派斯</v>
      </c>
      <c r="Y1361" s="276" t="str">
        <f ca="1">IF($Y$3="申万一级行业",[1]!s_info_industry_sw_2021(W1361,公司分析!D$5,1),IF($Y$3="申万二级行业",[1]!s_info_industry_sw_2021(W1361,公司分析!D$5,2),IF($Y$3="申万三级行业",[1]!s_info_industry_sw_2021(W1361,公司分析!D$5,3),IF($Y$3="wind一级行业",[1]!s_info_industry_gics(W1361,1),IF($Y$3="wind二级行业",[1]!s_info_industry_gics(W1361,2),IF($Y$3="wind三级行业",[1]!s_info_industry_gics(W1361,3),IF($Y$3="wind四级行业",[1]!s_info_industry_gics(W1361,4),IF($Y$3="证监会门类行业",[1]!s_info_industry_csrc12_n(W1361,公司分析!D$5,1),""))))))))</f>
        <v>文娱用品</v>
      </c>
      <c r="Z1361" s="302" t="str">
        <f ca="1">IF(Y1361=行业比较!$E$6,ROW(),"")</f>
        <v/>
      </c>
      <c r="AA1361" s="122"/>
      <c r="AB1361" s="122"/>
      <c r="AC1361" s="122"/>
      <c r="AD1361" s="122"/>
      <c r="AE1361" s="122"/>
      <c r="AF1361" s="122"/>
      <c r="AG1361" s="122"/>
      <c r="AH1361" s="122"/>
      <c r="AI1361" s="122"/>
      <c r="AJ1361" s="122"/>
      <c r="AK1361" s="122"/>
      <c r="AL1361" s="122"/>
      <c r="AM1361" s="122"/>
      <c r="AN1361" s="122"/>
      <c r="AO1361" s="122"/>
      <c r="AP1361" s="122"/>
    </row>
    <row r="1362" spans="2:42">
      <c r="B1362" s="122"/>
      <c r="C1362" s="122"/>
      <c r="D1362" s="122"/>
      <c r="E1362" s="122"/>
      <c r="F1362" s="122"/>
      <c r="G1362" s="122"/>
      <c r="H1362" s="122"/>
      <c r="I1362" s="275"/>
      <c r="J1362" s="130"/>
      <c r="K1362" s="130"/>
      <c r="L1362" s="130"/>
      <c r="M1362" s="130"/>
      <c r="N1362" s="291"/>
      <c r="O1362" s="291"/>
      <c r="P1362" s="122"/>
      <c r="Q1362" s="122"/>
      <c r="R1362" s="122"/>
      <c r="S1362" s="122"/>
      <c r="T1362" s="122"/>
      <c r="U1362" s="301"/>
      <c r="V1362" s="260">
        <f t="shared" ca="1" si="29"/>
        <v>0</v>
      </c>
      <c r="W1362" s="348" t="str">
        <f>IF(板块成分!B1364="","",板块成分!B1364)</f>
        <v>002900.SZ</v>
      </c>
      <c r="X1362" s="276" t="str">
        <f>[1]!S_Info_Name(W1362)</f>
        <v>哈三联</v>
      </c>
      <c r="Y1362" s="276" t="str">
        <f ca="1">IF($Y$3="申万一级行业",[1]!s_info_industry_sw_2021(W1362,公司分析!D$5,1),IF($Y$3="申万二级行业",[1]!s_info_industry_sw_2021(W1362,公司分析!D$5,2),IF($Y$3="申万三级行业",[1]!s_info_industry_sw_2021(W1362,公司分析!D$5,3),IF($Y$3="wind一级行业",[1]!s_info_industry_gics(W1362,1),IF($Y$3="wind二级行业",[1]!s_info_industry_gics(W1362,2),IF($Y$3="wind三级行业",[1]!s_info_industry_gics(W1362,3),IF($Y$3="wind四级行业",[1]!s_info_industry_gics(W1362,4),IF($Y$3="证监会门类行业",[1]!s_info_industry_csrc12_n(W1362,公司分析!D$5,1),""))))))))</f>
        <v>化学制药</v>
      </c>
      <c r="Z1362" s="302" t="str">
        <f ca="1">IF(Y1362=行业比较!$E$6,ROW(),"")</f>
        <v/>
      </c>
      <c r="AA1362" s="122"/>
      <c r="AB1362" s="122"/>
      <c r="AC1362" s="122"/>
      <c r="AD1362" s="122"/>
      <c r="AE1362" s="122"/>
      <c r="AF1362" s="122"/>
      <c r="AG1362" s="122"/>
      <c r="AH1362" s="122"/>
      <c r="AI1362" s="122"/>
      <c r="AJ1362" s="122"/>
      <c r="AK1362" s="122"/>
      <c r="AL1362" s="122"/>
      <c r="AM1362" s="122"/>
      <c r="AN1362" s="122"/>
      <c r="AO1362" s="122"/>
      <c r="AP1362" s="122"/>
    </row>
    <row r="1363" spans="2:42">
      <c r="B1363" s="122"/>
      <c r="C1363" s="122"/>
      <c r="D1363" s="122"/>
      <c r="E1363" s="122"/>
      <c r="F1363" s="122"/>
      <c r="G1363" s="122"/>
      <c r="H1363" s="122"/>
      <c r="I1363" s="275"/>
      <c r="J1363" s="130"/>
      <c r="K1363" s="130"/>
      <c r="L1363" s="130"/>
      <c r="M1363" s="130"/>
      <c r="N1363" s="291"/>
      <c r="O1363" s="291"/>
      <c r="P1363" s="122"/>
      <c r="Q1363" s="122"/>
      <c r="R1363" s="122"/>
      <c r="S1363" s="122"/>
      <c r="T1363" s="122"/>
      <c r="U1363" s="301"/>
      <c r="V1363" s="260">
        <f t="shared" ca="1" si="29"/>
        <v>0</v>
      </c>
      <c r="W1363" s="348" t="str">
        <f>IF(板块成分!B1365="","",板块成分!B1365)</f>
        <v>002901.SZ</v>
      </c>
      <c r="X1363" s="276" t="str">
        <f>[1]!S_Info_Name(W1363)</f>
        <v>大博医疗</v>
      </c>
      <c r="Y1363" s="276" t="str">
        <f ca="1">IF($Y$3="申万一级行业",[1]!s_info_industry_sw_2021(W1363,公司分析!D$5,1),IF($Y$3="申万二级行业",[1]!s_info_industry_sw_2021(W1363,公司分析!D$5,2),IF($Y$3="申万三级行业",[1]!s_info_industry_sw_2021(W1363,公司分析!D$5,3),IF($Y$3="wind一级行业",[1]!s_info_industry_gics(W1363,1),IF($Y$3="wind二级行业",[1]!s_info_industry_gics(W1363,2),IF($Y$3="wind三级行业",[1]!s_info_industry_gics(W1363,3),IF($Y$3="wind四级行业",[1]!s_info_industry_gics(W1363,4),IF($Y$3="证监会门类行业",[1]!s_info_industry_csrc12_n(W1363,公司分析!D$5,1),""))))))))</f>
        <v>医疗器械</v>
      </c>
      <c r="Z1363" s="302" t="str">
        <f ca="1">IF(Y1363=行业比较!$E$6,ROW(),"")</f>
        <v/>
      </c>
      <c r="AA1363" s="122"/>
      <c r="AB1363" s="122"/>
      <c r="AC1363" s="122"/>
      <c r="AD1363" s="122"/>
      <c r="AE1363" s="122"/>
      <c r="AF1363" s="122"/>
      <c r="AG1363" s="122"/>
      <c r="AH1363" s="122"/>
      <c r="AI1363" s="122"/>
      <c r="AJ1363" s="122"/>
      <c r="AK1363" s="122"/>
      <c r="AL1363" s="122"/>
      <c r="AM1363" s="122"/>
      <c r="AN1363" s="122"/>
      <c r="AO1363" s="122"/>
      <c r="AP1363" s="122"/>
    </row>
    <row r="1364" spans="2:42">
      <c r="B1364" s="122"/>
      <c r="C1364" s="122"/>
      <c r="D1364" s="122"/>
      <c r="E1364" s="122"/>
      <c r="F1364" s="122"/>
      <c r="G1364" s="122"/>
      <c r="H1364" s="122"/>
      <c r="I1364" s="275"/>
      <c r="J1364" s="130"/>
      <c r="K1364" s="130"/>
      <c r="L1364" s="130"/>
      <c r="M1364" s="130"/>
      <c r="N1364" s="291"/>
      <c r="O1364" s="291"/>
      <c r="P1364" s="122"/>
      <c r="Q1364" s="122"/>
      <c r="R1364" s="122"/>
      <c r="S1364" s="122"/>
      <c r="T1364" s="122"/>
      <c r="U1364" s="301"/>
      <c r="V1364" s="260">
        <f t="shared" ca="1" si="29"/>
        <v>0</v>
      </c>
      <c r="W1364" s="348" t="str">
        <f>IF(板块成分!B1366="","",板块成分!B1366)</f>
        <v>002902.SZ</v>
      </c>
      <c r="X1364" s="276" t="str">
        <f>[1]!S_Info_Name(W1364)</f>
        <v>铭普光磁</v>
      </c>
      <c r="Y1364" s="276" t="str">
        <f ca="1">IF($Y$3="申万一级行业",[1]!s_info_industry_sw_2021(W1364,公司分析!D$5,1),IF($Y$3="申万二级行业",[1]!s_info_industry_sw_2021(W1364,公司分析!D$5,2),IF($Y$3="申万三级行业",[1]!s_info_industry_sw_2021(W1364,公司分析!D$5,3),IF($Y$3="wind一级行业",[1]!s_info_industry_gics(W1364,1),IF($Y$3="wind二级行业",[1]!s_info_industry_gics(W1364,2),IF($Y$3="wind三级行业",[1]!s_info_industry_gics(W1364,3),IF($Y$3="wind四级行业",[1]!s_info_industry_gics(W1364,4),IF($Y$3="证监会门类行业",[1]!s_info_industry_csrc12_n(W1364,公司分析!D$5,1),""))))))))</f>
        <v>通信设备</v>
      </c>
      <c r="Z1364" s="302" t="str">
        <f ca="1">IF(Y1364=行业比较!$E$6,ROW(),"")</f>
        <v/>
      </c>
      <c r="AA1364" s="122"/>
      <c r="AB1364" s="122"/>
      <c r="AC1364" s="122"/>
      <c r="AD1364" s="122"/>
      <c r="AE1364" s="122"/>
      <c r="AF1364" s="122"/>
      <c r="AG1364" s="122"/>
      <c r="AH1364" s="122"/>
      <c r="AI1364" s="122"/>
      <c r="AJ1364" s="122"/>
      <c r="AK1364" s="122"/>
      <c r="AL1364" s="122"/>
      <c r="AM1364" s="122"/>
      <c r="AN1364" s="122"/>
      <c r="AO1364" s="122"/>
      <c r="AP1364" s="122"/>
    </row>
    <row r="1365" spans="2:42">
      <c r="B1365" s="122"/>
      <c r="C1365" s="122"/>
      <c r="D1365" s="122"/>
      <c r="E1365" s="122"/>
      <c r="F1365" s="122"/>
      <c r="G1365" s="122"/>
      <c r="H1365" s="122"/>
      <c r="I1365" s="275"/>
      <c r="J1365" s="130"/>
      <c r="K1365" s="130"/>
      <c r="L1365" s="130"/>
      <c r="M1365" s="130"/>
      <c r="N1365" s="291"/>
      <c r="O1365" s="291"/>
      <c r="P1365" s="122"/>
      <c r="Q1365" s="122"/>
      <c r="R1365" s="122"/>
      <c r="S1365" s="122"/>
      <c r="T1365" s="122"/>
      <c r="U1365" s="301"/>
      <c r="V1365" s="260">
        <f t="shared" ca="1" si="29"/>
        <v>0</v>
      </c>
      <c r="W1365" s="348" t="str">
        <f>IF(板块成分!B1367="","",板块成分!B1367)</f>
        <v>002903.SZ</v>
      </c>
      <c r="X1365" s="276" t="str">
        <f>[1]!S_Info_Name(W1365)</f>
        <v>宇环数控</v>
      </c>
      <c r="Y1365" s="276" t="str">
        <f ca="1">IF($Y$3="申万一级行业",[1]!s_info_industry_sw_2021(W1365,公司分析!D$5,1),IF($Y$3="申万二级行业",[1]!s_info_industry_sw_2021(W1365,公司分析!D$5,2),IF($Y$3="申万三级行业",[1]!s_info_industry_sw_2021(W1365,公司分析!D$5,3),IF($Y$3="wind一级行业",[1]!s_info_industry_gics(W1365,1),IF($Y$3="wind二级行业",[1]!s_info_industry_gics(W1365,2),IF($Y$3="wind三级行业",[1]!s_info_industry_gics(W1365,3),IF($Y$3="wind四级行业",[1]!s_info_industry_gics(W1365,4),IF($Y$3="证监会门类行业",[1]!s_info_industry_csrc12_n(W1365,公司分析!D$5,1),""))))))))</f>
        <v>通用设备</v>
      </c>
      <c r="Z1365" s="302" t="str">
        <f ca="1">IF(Y1365=行业比较!$E$6,ROW(),"")</f>
        <v/>
      </c>
      <c r="AA1365" s="122"/>
      <c r="AB1365" s="122"/>
      <c r="AC1365" s="122"/>
      <c r="AD1365" s="122"/>
      <c r="AE1365" s="122"/>
      <c r="AF1365" s="122"/>
      <c r="AG1365" s="122"/>
      <c r="AH1365" s="122"/>
      <c r="AI1365" s="122"/>
      <c r="AJ1365" s="122"/>
      <c r="AK1365" s="122"/>
      <c r="AL1365" s="122"/>
      <c r="AM1365" s="122"/>
      <c r="AN1365" s="122"/>
      <c r="AO1365" s="122"/>
      <c r="AP1365" s="122"/>
    </row>
    <row r="1366" spans="2:42">
      <c r="B1366" s="122"/>
      <c r="C1366" s="122"/>
      <c r="D1366" s="122"/>
      <c r="E1366" s="122"/>
      <c r="F1366" s="122"/>
      <c r="G1366" s="122"/>
      <c r="H1366" s="122"/>
      <c r="I1366" s="275"/>
      <c r="J1366" s="130"/>
      <c r="K1366" s="130"/>
      <c r="L1366" s="130"/>
      <c r="M1366" s="130"/>
      <c r="N1366" s="291"/>
      <c r="O1366" s="291"/>
      <c r="P1366" s="122"/>
      <c r="Q1366" s="122"/>
      <c r="R1366" s="122"/>
      <c r="S1366" s="122"/>
      <c r="T1366" s="122"/>
      <c r="U1366" s="301"/>
      <c r="V1366" s="260">
        <f t="shared" ca="1" si="29"/>
        <v>0</v>
      </c>
      <c r="W1366" s="348" t="str">
        <f>IF(板块成分!B1368="","",板块成分!B1368)</f>
        <v>002905.SZ</v>
      </c>
      <c r="X1366" s="276" t="str">
        <f>[1]!S_Info_Name(W1366)</f>
        <v>金逸影视</v>
      </c>
      <c r="Y1366" s="276" t="str">
        <f ca="1">IF($Y$3="申万一级行业",[1]!s_info_industry_sw_2021(W1366,公司分析!D$5,1),IF($Y$3="申万二级行业",[1]!s_info_industry_sw_2021(W1366,公司分析!D$5,2),IF($Y$3="申万三级行业",[1]!s_info_industry_sw_2021(W1366,公司分析!D$5,3),IF($Y$3="wind一级行业",[1]!s_info_industry_gics(W1366,1),IF($Y$3="wind二级行业",[1]!s_info_industry_gics(W1366,2),IF($Y$3="wind三级行业",[1]!s_info_industry_gics(W1366,3),IF($Y$3="wind四级行业",[1]!s_info_industry_gics(W1366,4),IF($Y$3="证监会门类行业",[1]!s_info_industry_csrc12_n(W1366,公司分析!D$5,1),""))))))))</f>
        <v>影视院线</v>
      </c>
      <c r="Z1366" s="302" t="str">
        <f ca="1">IF(Y1366=行业比较!$E$6,ROW(),"")</f>
        <v/>
      </c>
      <c r="AA1366" s="122"/>
      <c r="AB1366" s="122"/>
      <c r="AC1366" s="122"/>
      <c r="AD1366" s="122"/>
      <c r="AE1366" s="122"/>
      <c r="AF1366" s="122"/>
      <c r="AG1366" s="122"/>
      <c r="AH1366" s="122"/>
      <c r="AI1366" s="122"/>
      <c r="AJ1366" s="122"/>
      <c r="AK1366" s="122"/>
      <c r="AL1366" s="122"/>
      <c r="AM1366" s="122"/>
      <c r="AN1366" s="122"/>
      <c r="AO1366" s="122"/>
      <c r="AP1366" s="122"/>
    </row>
    <row r="1367" spans="2:42">
      <c r="B1367" s="122"/>
      <c r="C1367" s="122"/>
      <c r="D1367" s="122"/>
      <c r="E1367" s="122"/>
      <c r="F1367" s="122"/>
      <c r="G1367" s="122"/>
      <c r="H1367" s="122"/>
      <c r="I1367" s="275"/>
      <c r="J1367" s="130"/>
      <c r="K1367" s="130"/>
      <c r="L1367" s="130"/>
      <c r="M1367" s="130"/>
      <c r="N1367" s="291"/>
      <c r="O1367" s="291"/>
      <c r="P1367" s="122"/>
      <c r="Q1367" s="122"/>
      <c r="R1367" s="122"/>
      <c r="S1367" s="122"/>
      <c r="T1367" s="122"/>
      <c r="U1367" s="301"/>
      <c r="V1367" s="260">
        <f t="shared" ca="1" si="29"/>
        <v>0</v>
      </c>
      <c r="W1367" s="348" t="str">
        <f>IF(板块成分!B1369="","",板块成分!B1369)</f>
        <v>002906.SZ</v>
      </c>
      <c r="X1367" s="276" t="str">
        <f>[1]!S_Info_Name(W1367)</f>
        <v>华阳集团</v>
      </c>
      <c r="Y1367" s="276" t="str">
        <f ca="1">IF($Y$3="申万一级行业",[1]!s_info_industry_sw_2021(W1367,公司分析!D$5,1),IF($Y$3="申万二级行业",[1]!s_info_industry_sw_2021(W1367,公司分析!D$5,2),IF($Y$3="申万三级行业",[1]!s_info_industry_sw_2021(W1367,公司分析!D$5,3),IF($Y$3="wind一级行业",[1]!s_info_industry_gics(W1367,1),IF($Y$3="wind二级行业",[1]!s_info_industry_gics(W1367,2),IF($Y$3="wind三级行业",[1]!s_info_industry_gics(W1367,3),IF($Y$3="wind四级行业",[1]!s_info_industry_gics(W1367,4),IF($Y$3="证监会门类行业",[1]!s_info_industry_csrc12_n(W1367,公司分析!D$5,1),""))))))))</f>
        <v>汽车零部件</v>
      </c>
      <c r="Z1367" s="302" t="str">
        <f ca="1">IF(Y1367=行业比较!$E$6,ROW(),"")</f>
        <v/>
      </c>
      <c r="AA1367" s="122"/>
      <c r="AB1367" s="122"/>
      <c r="AC1367" s="122"/>
      <c r="AD1367" s="122"/>
      <c r="AE1367" s="122"/>
      <c r="AF1367" s="122"/>
      <c r="AG1367" s="122"/>
      <c r="AH1367" s="122"/>
      <c r="AI1367" s="122"/>
      <c r="AJ1367" s="122"/>
      <c r="AK1367" s="122"/>
      <c r="AL1367" s="122"/>
      <c r="AM1367" s="122"/>
      <c r="AN1367" s="122"/>
      <c r="AO1367" s="122"/>
      <c r="AP1367" s="122"/>
    </row>
    <row r="1368" spans="2:42">
      <c r="B1368" s="122"/>
      <c r="C1368" s="122"/>
      <c r="D1368" s="122"/>
      <c r="E1368" s="122"/>
      <c r="F1368" s="122"/>
      <c r="G1368" s="122"/>
      <c r="H1368" s="122"/>
      <c r="I1368" s="275"/>
      <c r="J1368" s="130"/>
      <c r="K1368" s="130"/>
      <c r="L1368" s="130"/>
      <c r="M1368" s="130"/>
      <c r="N1368" s="291"/>
      <c r="O1368" s="291"/>
      <c r="P1368" s="122"/>
      <c r="Q1368" s="122"/>
      <c r="R1368" s="122"/>
      <c r="S1368" s="122"/>
      <c r="T1368" s="122"/>
      <c r="U1368" s="301"/>
      <c r="V1368" s="260">
        <f t="shared" ca="1" si="29"/>
        <v>0</v>
      </c>
      <c r="W1368" s="348" t="str">
        <f>IF(板块成分!B1370="","",板块成分!B1370)</f>
        <v>002907.SZ</v>
      </c>
      <c r="X1368" s="276" t="str">
        <f>[1]!S_Info_Name(W1368)</f>
        <v>华森制药</v>
      </c>
      <c r="Y1368" s="276" t="str">
        <f ca="1">IF($Y$3="申万一级行业",[1]!s_info_industry_sw_2021(W1368,公司分析!D$5,1),IF($Y$3="申万二级行业",[1]!s_info_industry_sw_2021(W1368,公司分析!D$5,2),IF($Y$3="申万三级行业",[1]!s_info_industry_sw_2021(W1368,公司分析!D$5,3),IF($Y$3="wind一级行业",[1]!s_info_industry_gics(W1368,1),IF($Y$3="wind二级行业",[1]!s_info_industry_gics(W1368,2),IF($Y$3="wind三级行业",[1]!s_info_industry_gics(W1368,3),IF($Y$3="wind四级行业",[1]!s_info_industry_gics(W1368,4),IF($Y$3="证监会门类行业",[1]!s_info_industry_csrc12_n(W1368,公司分析!D$5,1),""))))))))</f>
        <v>中药Ⅱ</v>
      </c>
      <c r="Z1368" s="302" t="str">
        <f ca="1">IF(Y1368=行业比较!$E$6,ROW(),"")</f>
        <v/>
      </c>
      <c r="AA1368" s="122"/>
      <c r="AB1368" s="122"/>
      <c r="AC1368" s="122"/>
      <c r="AD1368" s="122"/>
      <c r="AE1368" s="122"/>
      <c r="AF1368" s="122"/>
      <c r="AG1368" s="122"/>
      <c r="AH1368" s="122"/>
      <c r="AI1368" s="122"/>
      <c r="AJ1368" s="122"/>
      <c r="AK1368" s="122"/>
      <c r="AL1368" s="122"/>
      <c r="AM1368" s="122"/>
      <c r="AN1368" s="122"/>
      <c r="AO1368" s="122"/>
      <c r="AP1368" s="122"/>
    </row>
    <row r="1369" spans="2:42">
      <c r="B1369" s="122"/>
      <c r="C1369" s="122"/>
      <c r="D1369" s="122"/>
      <c r="E1369" s="122"/>
      <c r="F1369" s="122"/>
      <c r="G1369" s="122"/>
      <c r="H1369" s="122"/>
      <c r="I1369" s="275"/>
      <c r="J1369" s="130"/>
      <c r="K1369" s="130"/>
      <c r="L1369" s="130"/>
      <c r="M1369" s="130"/>
      <c r="N1369" s="291"/>
      <c r="O1369" s="291"/>
      <c r="P1369" s="122"/>
      <c r="Q1369" s="122"/>
      <c r="R1369" s="122"/>
      <c r="S1369" s="122"/>
      <c r="T1369" s="122"/>
      <c r="U1369" s="301"/>
      <c r="V1369" s="260">
        <f t="shared" ca="1" si="29"/>
        <v>0</v>
      </c>
      <c r="W1369" s="348" t="str">
        <f>IF(板块成分!B1371="","",板块成分!B1371)</f>
        <v>002908.SZ</v>
      </c>
      <c r="X1369" s="276" t="str">
        <f>[1]!S_Info_Name(W1369)</f>
        <v>德生科技</v>
      </c>
      <c r="Y1369" s="276" t="str">
        <f ca="1">IF($Y$3="申万一级行业",[1]!s_info_industry_sw_2021(W1369,公司分析!D$5,1),IF($Y$3="申万二级行业",[1]!s_info_industry_sw_2021(W1369,公司分析!D$5,2),IF($Y$3="申万三级行业",[1]!s_info_industry_sw_2021(W1369,公司分析!D$5,3),IF($Y$3="wind一级行业",[1]!s_info_industry_gics(W1369,1),IF($Y$3="wind二级行业",[1]!s_info_industry_gics(W1369,2),IF($Y$3="wind三级行业",[1]!s_info_industry_gics(W1369,3),IF($Y$3="wind四级行业",[1]!s_info_industry_gics(W1369,4),IF($Y$3="证监会门类行业",[1]!s_info_industry_csrc12_n(W1369,公司分析!D$5,1),""))))))))</f>
        <v>IT服务Ⅱ</v>
      </c>
      <c r="Z1369" s="302" t="str">
        <f ca="1">IF(Y1369=行业比较!$E$6,ROW(),"")</f>
        <v/>
      </c>
      <c r="AA1369" s="122"/>
      <c r="AB1369" s="122"/>
      <c r="AC1369" s="122"/>
      <c r="AD1369" s="122"/>
      <c r="AE1369" s="122"/>
      <c r="AF1369" s="122"/>
      <c r="AG1369" s="122"/>
      <c r="AH1369" s="122"/>
      <c r="AI1369" s="122"/>
      <c r="AJ1369" s="122"/>
      <c r="AK1369" s="122"/>
      <c r="AL1369" s="122"/>
      <c r="AM1369" s="122"/>
      <c r="AN1369" s="122"/>
      <c r="AO1369" s="122"/>
      <c r="AP1369" s="122"/>
    </row>
    <row r="1370" spans="2:42">
      <c r="B1370" s="122"/>
      <c r="C1370" s="122"/>
      <c r="D1370" s="122"/>
      <c r="E1370" s="122"/>
      <c r="F1370" s="122"/>
      <c r="G1370" s="122"/>
      <c r="H1370" s="122"/>
      <c r="I1370" s="275"/>
      <c r="J1370" s="130"/>
      <c r="K1370" s="130"/>
      <c r="L1370" s="130"/>
      <c r="M1370" s="130"/>
      <c r="N1370" s="291"/>
      <c r="O1370" s="291"/>
      <c r="P1370" s="122"/>
      <c r="Q1370" s="122"/>
      <c r="R1370" s="122"/>
      <c r="S1370" s="122"/>
      <c r="T1370" s="122"/>
      <c r="U1370" s="301"/>
      <c r="V1370" s="260">
        <f t="shared" ca="1" si="29"/>
        <v>0</v>
      </c>
      <c r="W1370" s="348" t="str">
        <f>IF(板块成分!B1372="","",板块成分!B1372)</f>
        <v>002909.SZ</v>
      </c>
      <c r="X1370" s="276" t="str">
        <f>[1]!S_Info_Name(W1370)</f>
        <v>集泰股份</v>
      </c>
      <c r="Y1370" s="276" t="str">
        <f ca="1">IF($Y$3="申万一级行业",[1]!s_info_industry_sw_2021(W1370,公司分析!D$5,1),IF($Y$3="申万二级行业",[1]!s_info_industry_sw_2021(W1370,公司分析!D$5,2),IF($Y$3="申万三级行业",[1]!s_info_industry_sw_2021(W1370,公司分析!D$5,3),IF($Y$3="wind一级行业",[1]!s_info_industry_gics(W1370,1),IF($Y$3="wind二级行业",[1]!s_info_industry_gics(W1370,2),IF($Y$3="wind三级行业",[1]!s_info_industry_gics(W1370,3),IF($Y$3="wind四级行业",[1]!s_info_industry_gics(W1370,4),IF($Y$3="证监会门类行业",[1]!s_info_industry_csrc12_n(W1370,公司分析!D$5,1),""))))))))</f>
        <v>化学制品</v>
      </c>
      <c r="Z1370" s="302" t="str">
        <f ca="1">IF(Y1370=行业比较!$E$6,ROW(),"")</f>
        <v/>
      </c>
      <c r="AA1370" s="122"/>
      <c r="AB1370" s="122"/>
      <c r="AC1370" s="122"/>
      <c r="AD1370" s="122"/>
      <c r="AE1370" s="122"/>
      <c r="AF1370" s="122"/>
      <c r="AG1370" s="122"/>
      <c r="AH1370" s="122"/>
      <c r="AI1370" s="122"/>
      <c r="AJ1370" s="122"/>
      <c r="AK1370" s="122"/>
      <c r="AL1370" s="122"/>
      <c r="AM1370" s="122"/>
      <c r="AN1370" s="122"/>
      <c r="AO1370" s="122"/>
      <c r="AP1370" s="122"/>
    </row>
    <row r="1371" spans="2:42">
      <c r="B1371" s="122"/>
      <c r="C1371" s="122"/>
      <c r="D1371" s="122"/>
      <c r="E1371" s="122"/>
      <c r="F1371" s="122"/>
      <c r="G1371" s="122"/>
      <c r="H1371" s="122"/>
      <c r="I1371" s="275"/>
      <c r="J1371" s="130"/>
      <c r="K1371" s="130"/>
      <c r="L1371" s="130"/>
      <c r="M1371" s="130"/>
      <c r="N1371" s="291"/>
      <c r="O1371" s="291"/>
      <c r="P1371" s="122"/>
      <c r="Q1371" s="122"/>
      <c r="R1371" s="122"/>
      <c r="S1371" s="122"/>
      <c r="T1371" s="122"/>
      <c r="U1371" s="301"/>
      <c r="V1371" s="260">
        <f t="shared" ca="1" si="29"/>
        <v>0</v>
      </c>
      <c r="W1371" s="348" t="str">
        <f>IF(板块成分!B1373="","",板块成分!B1373)</f>
        <v>002910.SZ</v>
      </c>
      <c r="X1371" s="276" t="str">
        <f>[1]!S_Info_Name(W1371)</f>
        <v>庄园牧场</v>
      </c>
      <c r="Y1371" s="276" t="str">
        <f ca="1">IF($Y$3="申万一级行业",[1]!s_info_industry_sw_2021(W1371,公司分析!D$5,1),IF($Y$3="申万二级行业",[1]!s_info_industry_sw_2021(W1371,公司分析!D$5,2),IF($Y$3="申万三级行业",[1]!s_info_industry_sw_2021(W1371,公司分析!D$5,3),IF($Y$3="wind一级行业",[1]!s_info_industry_gics(W1371,1),IF($Y$3="wind二级行业",[1]!s_info_industry_gics(W1371,2),IF($Y$3="wind三级行业",[1]!s_info_industry_gics(W1371,3),IF($Y$3="wind四级行业",[1]!s_info_industry_gics(W1371,4),IF($Y$3="证监会门类行业",[1]!s_info_industry_csrc12_n(W1371,公司分析!D$5,1),""))))))))</f>
        <v>饮料乳品</v>
      </c>
      <c r="Z1371" s="302" t="str">
        <f ca="1">IF(Y1371=行业比较!$E$6,ROW(),"")</f>
        <v/>
      </c>
      <c r="AA1371" s="122"/>
      <c r="AB1371" s="122"/>
      <c r="AC1371" s="122"/>
      <c r="AD1371" s="122"/>
      <c r="AE1371" s="122"/>
      <c r="AF1371" s="122"/>
      <c r="AG1371" s="122"/>
      <c r="AH1371" s="122"/>
      <c r="AI1371" s="122"/>
      <c r="AJ1371" s="122"/>
      <c r="AK1371" s="122"/>
      <c r="AL1371" s="122"/>
      <c r="AM1371" s="122"/>
      <c r="AN1371" s="122"/>
      <c r="AO1371" s="122"/>
      <c r="AP1371" s="122"/>
    </row>
    <row r="1372" spans="2:42">
      <c r="B1372" s="122"/>
      <c r="C1372" s="122"/>
      <c r="D1372" s="122"/>
      <c r="E1372" s="122"/>
      <c r="F1372" s="122"/>
      <c r="G1372" s="122"/>
      <c r="H1372" s="122"/>
      <c r="I1372" s="275"/>
      <c r="J1372" s="130"/>
      <c r="K1372" s="130"/>
      <c r="L1372" s="130"/>
      <c r="M1372" s="130"/>
      <c r="N1372" s="291"/>
      <c r="O1372" s="291"/>
      <c r="P1372" s="122"/>
      <c r="Q1372" s="122"/>
      <c r="R1372" s="122"/>
      <c r="S1372" s="122"/>
      <c r="T1372" s="122"/>
      <c r="U1372" s="301"/>
      <c r="V1372" s="260">
        <f t="shared" ca="1" si="29"/>
        <v>0</v>
      </c>
      <c r="W1372" s="348" t="str">
        <f>IF(板块成分!B1374="","",板块成分!B1374)</f>
        <v>002911.SZ</v>
      </c>
      <c r="X1372" s="276" t="str">
        <f>[1]!S_Info_Name(W1372)</f>
        <v>佛燃能源</v>
      </c>
      <c r="Y1372" s="276" t="str">
        <f ca="1">IF($Y$3="申万一级行业",[1]!s_info_industry_sw_2021(W1372,公司分析!D$5,1),IF($Y$3="申万二级行业",[1]!s_info_industry_sw_2021(W1372,公司分析!D$5,2),IF($Y$3="申万三级行业",[1]!s_info_industry_sw_2021(W1372,公司分析!D$5,3),IF($Y$3="wind一级行业",[1]!s_info_industry_gics(W1372,1),IF($Y$3="wind二级行业",[1]!s_info_industry_gics(W1372,2),IF($Y$3="wind三级行业",[1]!s_info_industry_gics(W1372,3),IF($Y$3="wind四级行业",[1]!s_info_industry_gics(W1372,4),IF($Y$3="证监会门类行业",[1]!s_info_industry_csrc12_n(W1372,公司分析!D$5,1),""))))))))</f>
        <v>燃气Ⅱ</v>
      </c>
      <c r="Z1372" s="302" t="str">
        <f ca="1">IF(Y1372=行业比较!$E$6,ROW(),"")</f>
        <v/>
      </c>
      <c r="AA1372" s="122"/>
      <c r="AB1372" s="122"/>
      <c r="AC1372" s="122"/>
      <c r="AD1372" s="122"/>
      <c r="AE1372" s="122"/>
      <c r="AF1372" s="122"/>
      <c r="AG1372" s="122"/>
      <c r="AH1372" s="122"/>
      <c r="AI1372" s="122"/>
      <c r="AJ1372" s="122"/>
      <c r="AK1372" s="122"/>
      <c r="AL1372" s="122"/>
      <c r="AM1372" s="122"/>
      <c r="AN1372" s="122"/>
      <c r="AO1372" s="122"/>
      <c r="AP1372" s="122"/>
    </row>
    <row r="1373" spans="2:42">
      <c r="B1373" s="122"/>
      <c r="C1373" s="122"/>
      <c r="D1373" s="122"/>
      <c r="E1373" s="122"/>
      <c r="F1373" s="122"/>
      <c r="G1373" s="122"/>
      <c r="H1373" s="122"/>
      <c r="I1373" s="275"/>
      <c r="J1373" s="130"/>
      <c r="K1373" s="130"/>
      <c r="L1373" s="130"/>
      <c r="M1373" s="130"/>
      <c r="N1373" s="291"/>
      <c r="O1373" s="291"/>
      <c r="P1373" s="122"/>
      <c r="Q1373" s="122"/>
      <c r="R1373" s="122"/>
      <c r="S1373" s="122"/>
      <c r="T1373" s="122"/>
      <c r="U1373" s="301"/>
      <c r="V1373" s="260">
        <f t="shared" ca="1" si="29"/>
        <v>0</v>
      </c>
      <c r="W1373" s="348" t="str">
        <f>IF(板块成分!B1375="","",板块成分!B1375)</f>
        <v>002912.SZ</v>
      </c>
      <c r="X1373" s="276" t="str">
        <f>[1]!S_Info_Name(W1373)</f>
        <v>中新赛克</v>
      </c>
      <c r="Y1373" s="276" t="str">
        <f ca="1">IF($Y$3="申万一级行业",[1]!s_info_industry_sw_2021(W1373,公司分析!D$5,1),IF($Y$3="申万二级行业",[1]!s_info_industry_sw_2021(W1373,公司分析!D$5,2),IF($Y$3="申万三级行业",[1]!s_info_industry_sw_2021(W1373,公司分析!D$5,3),IF($Y$3="wind一级行业",[1]!s_info_industry_gics(W1373,1),IF($Y$3="wind二级行业",[1]!s_info_industry_gics(W1373,2),IF($Y$3="wind三级行业",[1]!s_info_industry_gics(W1373,3),IF($Y$3="wind四级行业",[1]!s_info_industry_gics(W1373,4),IF($Y$3="证监会门类行业",[1]!s_info_industry_csrc12_n(W1373,公司分析!D$5,1),""))))))))</f>
        <v>计算机设备</v>
      </c>
      <c r="Z1373" s="302" t="str">
        <f ca="1">IF(Y1373=行业比较!$E$6,ROW(),"")</f>
        <v/>
      </c>
      <c r="AA1373" s="122"/>
      <c r="AB1373" s="122"/>
      <c r="AC1373" s="122"/>
      <c r="AD1373" s="122"/>
      <c r="AE1373" s="122"/>
      <c r="AF1373" s="122"/>
      <c r="AG1373" s="122"/>
      <c r="AH1373" s="122"/>
      <c r="AI1373" s="122"/>
      <c r="AJ1373" s="122"/>
      <c r="AK1373" s="122"/>
      <c r="AL1373" s="122"/>
      <c r="AM1373" s="122"/>
      <c r="AN1373" s="122"/>
      <c r="AO1373" s="122"/>
      <c r="AP1373" s="122"/>
    </row>
    <row r="1374" spans="2:42">
      <c r="B1374" s="122"/>
      <c r="C1374" s="122"/>
      <c r="D1374" s="122"/>
      <c r="E1374" s="122"/>
      <c r="F1374" s="122"/>
      <c r="G1374" s="122"/>
      <c r="H1374" s="122"/>
      <c r="I1374" s="275"/>
      <c r="J1374" s="130"/>
      <c r="K1374" s="130"/>
      <c r="L1374" s="130"/>
      <c r="M1374" s="130"/>
      <c r="N1374" s="291"/>
      <c r="O1374" s="291"/>
      <c r="P1374" s="122"/>
      <c r="Q1374" s="122"/>
      <c r="R1374" s="122"/>
      <c r="S1374" s="122"/>
      <c r="T1374" s="122"/>
      <c r="U1374" s="301"/>
      <c r="V1374" s="260">
        <f t="shared" ca="1" si="29"/>
        <v>0</v>
      </c>
      <c r="W1374" s="348" t="str">
        <f>IF(板块成分!B1376="","",板块成分!B1376)</f>
        <v>002913.SZ</v>
      </c>
      <c r="X1374" s="276" t="str">
        <f>[1]!S_Info_Name(W1374)</f>
        <v>奥士康</v>
      </c>
      <c r="Y1374" s="276" t="str">
        <f ca="1">IF($Y$3="申万一级行业",[1]!s_info_industry_sw_2021(W1374,公司分析!D$5,1),IF($Y$3="申万二级行业",[1]!s_info_industry_sw_2021(W1374,公司分析!D$5,2),IF($Y$3="申万三级行业",[1]!s_info_industry_sw_2021(W1374,公司分析!D$5,3),IF($Y$3="wind一级行业",[1]!s_info_industry_gics(W1374,1),IF($Y$3="wind二级行业",[1]!s_info_industry_gics(W1374,2),IF($Y$3="wind三级行业",[1]!s_info_industry_gics(W1374,3),IF($Y$3="wind四级行业",[1]!s_info_industry_gics(W1374,4),IF($Y$3="证监会门类行业",[1]!s_info_industry_csrc12_n(W1374,公司分析!D$5,1),""))))))))</f>
        <v>元件</v>
      </c>
      <c r="Z1374" s="302" t="str">
        <f ca="1">IF(Y1374=行业比较!$E$6,ROW(),"")</f>
        <v/>
      </c>
      <c r="AA1374" s="122"/>
      <c r="AB1374" s="122"/>
      <c r="AC1374" s="122"/>
      <c r="AD1374" s="122"/>
      <c r="AE1374" s="122"/>
      <c r="AF1374" s="122"/>
      <c r="AG1374" s="122"/>
      <c r="AH1374" s="122"/>
      <c r="AI1374" s="122"/>
      <c r="AJ1374" s="122"/>
      <c r="AK1374" s="122"/>
      <c r="AL1374" s="122"/>
      <c r="AM1374" s="122"/>
      <c r="AN1374" s="122"/>
      <c r="AO1374" s="122"/>
      <c r="AP1374" s="122"/>
    </row>
    <row r="1375" spans="2:42">
      <c r="B1375" s="122"/>
      <c r="C1375" s="122"/>
      <c r="D1375" s="122"/>
      <c r="E1375" s="122"/>
      <c r="F1375" s="122"/>
      <c r="G1375" s="122"/>
      <c r="H1375" s="122"/>
      <c r="I1375" s="275"/>
      <c r="J1375" s="130"/>
      <c r="K1375" s="130"/>
      <c r="L1375" s="130"/>
      <c r="M1375" s="130"/>
      <c r="N1375" s="291"/>
      <c r="O1375" s="291"/>
      <c r="P1375" s="122"/>
      <c r="Q1375" s="122"/>
      <c r="R1375" s="122"/>
      <c r="S1375" s="122"/>
      <c r="T1375" s="122"/>
      <c r="U1375" s="301"/>
      <c r="V1375" s="260">
        <f t="shared" ca="1" si="29"/>
        <v>0</v>
      </c>
      <c r="W1375" s="348" t="str">
        <f>IF(板块成分!B1377="","",板块成分!B1377)</f>
        <v>002915.SZ</v>
      </c>
      <c r="X1375" s="276" t="str">
        <f>[1]!S_Info_Name(W1375)</f>
        <v>中欣氟材</v>
      </c>
      <c r="Y1375" s="276" t="str">
        <f ca="1">IF($Y$3="申万一级行业",[1]!s_info_industry_sw_2021(W1375,公司分析!D$5,1),IF($Y$3="申万二级行业",[1]!s_info_industry_sw_2021(W1375,公司分析!D$5,2),IF($Y$3="申万三级行业",[1]!s_info_industry_sw_2021(W1375,公司分析!D$5,3),IF($Y$3="wind一级行业",[1]!s_info_industry_gics(W1375,1),IF($Y$3="wind二级行业",[1]!s_info_industry_gics(W1375,2),IF($Y$3="wind三级行业",[1]!s_info_industry_gics(W1375,3),IF($Y$3="wind四级行业",[1]!s_info_industry_gics(W1375,4),IF($Y$3="证监会门类行业",[1]!s_info_industry_csrc12_n(W1375,公司分析!D$5,1),""))))))))</f>
        <v>化学制品</v>
      </c>
      <c r="Z1375" s="302" t="str">
        <f ca="1">IF(Y1375=行业比较!$E$6,ROW(),"")</f>
        <v/>
      </c>
      <c r="AA1375" s="122"/>
      <c r="AB1375" s="122"/>
      <c r="AC1375" s="122"/>
      <c r="AD1375" s="122"/>
      <c r="AE1375" s="122"/>
      <c r="AF1375" s="122"/>
      <c r="AG1375" s="122"/>
      <c r="AH1375" s="122"/>
      <c r="AI1375" s="122"/>
      <c r="AJ1375" s="122"/>
      <c r="AK1375" s="122"/>
      <c r="AL1375" s="122"/>
      <c r="AM1375" s="122"/>
      <c r="AN1375" s="122"/>
      <c r="AO1375" s="122"/>
      <c r="AP1375" s="122"/>
    </row>
    <row r="1376" spans="2:42">
      <c r="B1376" s="122"/>
      <c r="C1376" s="122"/>
      <c r="D1376" s="122"/>
      <c r="E1376" s="122"/>
      <c r="F1376" s="122"/>
      <c r="G1376" s="122"/>
      <c r="H1376" s="122"/>
      <c r="I1376" s="275"/>
      <c r="J1376" s="130"/>
      <c r="K1376" s="130"/>
      <c r="L1376" s="130"/>
      <c r="M1376" s="130"/>
      <c r="N1376" s="291"/>
      <c r="O1376" s="291"/>
      <c r="P1376" s="122"/>
      <c r="Q1376" s="122"/>
      <c r="R1376" s="122"/>
      <c r="S1376" s="122"/>
      <c r="T1376" s="122"/>
      <c r="U1376" s="301"/>
      <c r="V1376" s="260">
        <f t="shared" ca="1" si="29"/>
        <v>0</v>
      </c>
      <c r="W1376" s="348" t="str">
        <f>IF(板块成分!B1378="","",板块成分!B1378)</f>
        <v>002916.SZ</v>
      </c>
      <c r="X1376" s="276" t="str">
        <f>[1]!S_Info_Name(W1376)</f>
        <v>深南电路</v>
      </c>
      <c r="Y1376" s="276" t="str">
        <f ca="1">IF($Y$3="申万一级行业",[1]!s_info_industry_sw_2021(W1376,公司分析!D$5,1),IF($Y$3="申万二级行业",[1]!s_info_industry_sw_2021(W1376,公司分析!D$5,2),IF($Y$3="申万三级行业",[1]!s_info_industry_sw_2021(W1376,公司分析!D$5,3),IF($Y$3="wind一级行业",[1]!s_info_industry_gics(W1376,1),IF($Y$3="wind二级行业",[1]!s_info_industry_gics(W1376,2),IF($Y$3="wind三级行业",[1]!s_info_industry_gics(W1376,3),IF($Y$3="wind四级行业",[1]!s_info_industry_gics(W1376,4),IF($Y$3="证监会门类行业",[1]!s_info_industry_csrc12_n(W1376,公司分析!D$5,1),""))))))))</f>
        <v>元件</v>
      </c>
      <c r="Z1376" s="302" t="str">
        <f ca="1">IF(Y1376=行业比较!$E$6,ROW(),"")</f>
        <v/>
      </c>
      <c r="AA1376" s="122"/>
      <c r="AB1376" s="122"/>
      <c r="AC1376" s="122"/>
      <c r="AD1376" s="122"/>
      <c r="AE1376" s="122"/>
      <c r="AF1376" s="122"/>
      <c r="AG1376" s="122"/>
      <c r="AH1376" s="122"/>
      <c r="AI1376" s="122"/>
      <c r="AJ1376" s="122"/>
      <c r="AK1376" s="122"/>
      <c r="AL1376" s="122"/>
      <c r="AM1376" s="122"/>
      <c r="AN1376" s="122"/>
      <c r="AO1376" s="122"/>
      <c r="AP1376" s="122"/>
    </row>
    <row r="1377" spans="2:42">
      <c r="B1377" s="122"/>
      <c r="C1377" s="122"/>
      <c r="D1377" s="122"/>
      <c r="E1377" s="122"/>
      <c r="F1377" s="122"/>
      <c r="G1377" s="122"/>
      <c r="H1377" s="122"/>
      <c r="I1377" s="275"/>
      <c r="J1377" s="130"/>
      <c r="K1377" s="130"/>
      <c r="L1377" s="130"/>
      <c r="M1377" s="130"/>
      <c r="N1377" s="291"/>
      <c r="O1377" s="291"/>
      <c r="P1377" s="122"/>
      <c r="Q1377" s="122"/>
      <c r="R1377" s="122"/>
      <c r="S1377" s="122"/>
      <c r="T1377" s="122"/>
      <c r="U1377" s="301"/>
      <c r="V1377" s="260">
        <f t="shared" ca="1" si="29"/>
        <v>0</v>
      </c>
      <c r="W1377" s="348" t="str">
        <f>IF(板块成分!B1379="","",板块成分!B1379)</f>
        <v>002917.SZ</v>
      </c>
      <c r="X1377" s="276" t="str">
        <f>[1]!S_Info_Name(W1377)</f>
        <v>金奥博</v>
      </c>
      <c r="Y1377" s="276" t="str">
        <f ca="1">IF($Y$3="申万一级行业",[1]!s_info_industry_sw_2021(W1377,公司分析!D$5,1),IF($Y$3="申万二级行业",[1]!s_info_industry_sw_2021(W1377,公司分析!D$5,2),IF($Y$3="申万三级行业",[1]!s_info_industry_sw_2021(W1377,公司分析!D$5,3),IF($Y$3="wind一级行业",[1]!s_info_industry_gics(W1377,1),IF($Y$3="wind二级行业",[1]!s_info_industry_gics(W1377,2),IF($Y$3="wind三级行业",[1]!s_info_industry_gics(W1377,3),IF($Y$3="wind四级行业",[1]!s_info_industry_gics(W1377,4),IF($Y$3="证监会门类行业",[1]!s_info_industry_csrc12_n(W1377,公司分析!D$5,1),""))))))))</f>
        <v>化学制品</v>
      </c>
      <c r="Z1377" s="302" t="str">
        <f ca="1">IF(Y1377=行业比较!$E$6,ROW(),"")</f>
        <v/>
      </c>
      <c r="AA1377" s="122"/>
      <c r="AB1377" s="122"/>
      <c r="AC1377" s="122"/>
      <c r="AD1377" s="122"/>
      <c r="AE1377" s="122"/>
      <c r="AF1377" s="122"/>
      <c r="AG1377" s="122"/>
      <c r="AH1377" s="122"/>
      <c r="AI1377" s="122"/>
      <c r="AJ1377" s="122"/>
      <c r="AK1377" s="122"/>
      <c r="AL1377" s="122"/>
      <c r="AM1377" s="122"/>
      <c r="AN1377" s="122"/>
      <c r="AO1377" s="122"/>
      <c r="AP1377" s="122"/>
    </row>
    <row r="1378" spans="2:42">
      <c r="B1378" s="122"/>
      <c r="C1378" s="122"/>
      <c r="D1378" s="122"/>
      <c r="E1378" s="122"/>
      <c r="F1378" s="122"/>
      <c r="G1378" s="122"/>
      <c r="H1378" s="122"/>
      <c r="I1378" s="275"/>
      <c r="J1378" s="130"/>
      <c r="K1378" s="130"/>
      <c r="L1378" s="130"/>
      <c r="M1378" s="130"/>
      <c r="N1378" s="291"/>
      <c r="O1378" s="291"/>
      <c r="P1378" s="122"/>
      <c r="Q1378" s="122"/>
      <c r="R1378" s="122"/>
      <c r="S1378" s="122"/>
      <c r="T1378" s="122"/>
      <c r="U1378" s="301"/>
      <c r="V1378" s="260">
        <f t="shared" ca="1" si="29"/>
        <v>0</v>
      </c>
      <c r="W1378" s="348" t="str">
        <f>IF(板块成分!B1380="","",板块成分!B1380)</f>
        <v>002918.SZ</v>
      </c>
      <c r="X1378" s="276" t="str">
        <f>[1]!S_Info_Name(W1378)</f>
        <v>蒙娜丽莎</v>
      </c>
      <c r="Y1378" s="276" t="str">
        <f ca="1">IF($Y$3="申万一级行业",[1]!s_info_industry_sw_2021(W1378,公司分析!D$5,1),IF($Y$3="申万二级行业",[1]!s_info_industry_sw_2021(W1378,公司分析!D$5,2),IF($Y$3="申万三级行业",[1]!s_info_industry_sw_2021(W1378,公司分析!D$5,3),IF($Y$3="wind一级行业",[1]!s_info_industry_gics(W1378,1),IF($Y$3="wind二级行业",[1]!s_info_industry_gics(W1378,2),IF($Y$3="wind三级行业",[1]!s_info_industry_gics(W1378,3),IF($Y$3="wind四级行业",[1]!s_info_industry_gics(W1378,4),IF($Y$3="证监会门类行业",[1]!s_info_industry_csrc12_n(W1378,公司分析!D$5,1),""))))))))</f>
        <v>家居用品</v>
      </c>
      <c r="Z1378" s="302" t="str">
        <f ca="1">IF(Y1378=行业比较!$E$6,ROW(),"")</f>
        <v/>
      </c>
      <c r="AA1378" s="122"/>
      <c r="AB1378" s="122"/>
      <c r="AC1378" s="122"/>
      <c r="AD1378" s="122"/>
      <c r="AE1378" s="122"/>
      <c r="AF1378" s="122"/>
      <c r="AG1378" s="122"/>
      <c r="AH1378" s="122"/>
      <c r="AI1378" s="122"/>
      <c r="AJ1378" s="122"/>
      <c r="AK1378" s="122"/>
      <c r="AL1378" s="122"/>
      <c r="AM1378" s="122"/>
      <c r="AN1378" s="122"/>
      <c r="AO1378" s="122"/>
      <c r="AP1378" s="122"/>
    </row>
    <row r="1379" spans="2:42">
      <c r="B1379" s="122"/>
      <c r="C1379" s="122"/>
      <c r="D1379" s="122"/>
      <c r="E1379" s="122"/>
      <c r="F1379" s="122"/>
      <c r="G1379" s="122"/>
      <c r="H1379" s="122"/>
      <c r="I1379" s="275"/>
      <c r="J1379" s="130"/>
      <c r="K1379" s="130"/>
      <c r="L1379" s="130"/>
      <c r="M1379" s="130"/>
      <c r="N1379" s="291"/>
      <c r="O1379" s="291"/>
      <c r="P1379" s="122"/>
      <c r="Q1379" s="122"/>
      <c r="R1379" s="122"/>
      <c r="S1379" s="122"/>
      <c r="T1379" s="122"/>
      <c r="U1379" s="301"/>
      <c r="V1379" s="260">
        <f t="shared" ca="1" si="29"/>
        <v>0</v>
      </c>
      <c r="W1379" s="348" t="str">
        <f>IF(板块成分!B1381="","",板块成分!B1381)</f>
        <v>002919.SZ</v>
      </c>
      <c r="X1379" s="276" t="str">
        <f>[1]!S_Info_Name(W1379)</f>
        <v>名臣健康</v>
      </c>
      <c r="Y1379" s="276" t="str">
        <f ca="1">IF($Y$3="申万一级行业",[1]!s_info_industry_sw_2021(W1379,公司分析!D$5,1),IF($Y$3="申万二级行业",[1]!s_info_industry_sw_2021(W1379,公司分析!D$5,2),IF($Y$3="申万三级行业",[1]!s_info_industry_sw_2021(W1379,公司分析!D$5,3),IF($Y$3="wind一级行业",[1]!s_info_industry_gics(W1379,1),IF($Y$3="wind二级行业",[1]!s_info_industry_gics(W1379,2),IF($Y$3="wind三级行业",[1]!s_info_industry_gics(W1379,3),IF($Y$3="wind四级行业",[1]!s_info_industry_gics(W1379,4),IF($Y$3="证监会门类行业",[1]!s_info_industry_csrc12_n(W1379,公司分析!D$5,1),""))))))))</f>
        <v>游戏Ⅱ</v>
      </c>
      <c r="Z1379" s="302" t="str">
        <f ca="1">IF(Y1379=行业比较!$E$6,ROW(),"")</f>
        <v/>
      </c>
      <c r="AA1379" s="122"/>
      <c r="AB1379" s="122"/>
      <c r="AC1379" s="122"/>
      <c r="AD1379" s="122"/>
      <c r="AE1379" s="122"/>
      <c r="AF1379" s="122"/>
      <c r="AG1379" s="122"/>
      <c r="AH1379" s="122"/>
      <c r="AI1379" s="122"/>
      <c r="AJ1379" s="122"/>
      <c r="AK1379" s="122"/>
      <c r="AL1379" s="122"/>
      <c r="AM1379" s="122"/>
      <c r="AN1379" s="122"/>
      <c r="AO1379" s="122"/>
      <c r="AP1379" s="122"/>
    </row>
    <row r="1380" spans="2:42">
      <c r="B1380" s="122"/>
      <c r="C1380" s="122"/>
      <c r="D1380" s="122"/>
      <c r="E1380" s="122"/>
      <c r="F1380" s="122"/>
      <c r="G1380" s="122"/>
      <c r="H1380" s="122"/>
      <c r="I1380" s="275"/>
      <c r="J1380" s="130"/>
      <c r="K1380" s="130"/>
      <c r="L1380" s="130"/>
      <c r="M1380" s="130"/>
      <c r="N1380" s="291"/>
      <c r="O1380" s="291"/>
      <c r="P1380" s="122"/>
      <c r="Q1380" s="122"/>
      <c r="R1380" s="122"/>
      <c r="S1380" s="122"/>
      <c r="T1380" s="122"/>
      <c r="U1380" s="301"/>
      <c r="V1380" s="260">
        <f t="shared" ca="1" si="29"/>
        <v>0</v>
      </c>
      <c r="W1380" s="348" t="str">
        <f>IF(板块成分!B1382="","",板块成分!B1382)</f>
        <v>002920.SZ</v>
      </c>
      <c r="X1380" s="276" t="str">
        <f>[1]!S_Info_Name(W1380)</f>
        <v>德赛西威</v>
      </c>
      <c r="Y1380" s="276" t="str">
        <f ca="1">IF($Y$3="申万一级行业",[1]!s_info_industry_sw_2021(W1380,公司分析!D$5,1),IF($Y$3="申万二级行业",[1]!s_info_industry_sw_2021(W1380,公司分析!D$5,2),IF($Y$3="申万三级行业",[1]!s_info_industry_sw_2021(W1380,公司分析!D$5,3),IF($Y$3="wind一级行业",[1]!s_info_industry_gics(W1380,1),IF($Y$3="wind二级行业",[1]!s_info_industry_gics(W1380,2),IF($Y$3="wind三级行业",[1]!s_info_industry_gics(W1380,3),IF($Y$3="wind四级行业",[1]!s_info_industry_gics(W1380,4),IF($Y$3="证监会门类行业",[1]!s_info_industry_csrc12_n(W1380,公司分析!D$5,1),""))))))))</f>
        <v>软件开发</v>
      </c>
      <c r="Z1380" s="302" t="str">
        <f ca="1">IF(Y1380=行业比较!$E$6,ROW(),"")</f>
        <v/>
      </c>
      <c r="AA1380" s="122"/>
      <c r="AB1380" s="122"/>
      <c r="AC1380" s="122"/>
      <c r="AD1380" s="122"/>
      <c r="AE1380" s="122"/>
      <c r="AF1380" s="122"/>
      <c r="AG1380" s="122"/>
      <c r="AH1380" s="122"/>
      <c r="AI1380" s="122"/>
      <c r="AJ1380" s="122"/>
      <c r="AK1380" s="122"/>
      <c r="AL1380" s="122"/>
      <c r="AM1380" s="122"/>
      <c r="AN1380" s="122"/>
      <c r="AO1380" s="122"/>
      <c r="AP1380" s="122"/>
    </row>
    <row r="1381" spans="2:42">
      <c r="B1381" s="122"/>
      <c r="C1381" s="122"/>
      <c r="D1381" s="122"/>
      <c r="E1381" s="122"/>
      <c r="F1381" s="122"/>
      <c r="G1381" s="122"/>
      <c r="H1381" s="122"/>
      <c r="I1381" s="275"/>
      <c r="J1381" s="130"/>
      <c r="K1381" s="130"/>
      <c r="L1381" s="130"/>
      <c r="M1381" s="130"/>
      <c r="N1381" s="291"/>
      <c r="O1381" s="291"/>
      <c r="P1381" s="122"/>
      <c r="Q1381" s="122"/>
      <c r="R1381" s="122"/>
      <c r="S1381" s="122"/>
      <c r="T1381" s="122"/>
      <c r="U1381" s="301"/>
      <c r="V1381" s="260">
        <f t="shared" ca="1" si="29"/>
        <v>0</v>
      </c>
      <c r="W1381" s="348" t="str">
        <f>IF(板块成分!B1383="","",板块成分!B1383)</f>
        <v>002921.SZ</v>
      </c>
      <c r="X1381" s="276" t="str">
        <f>[1]!S_Info_Name(W1381)</f>
        <v>联诚精密</v>
      </c>
      <c r="Y1381" s="276" t="str">
        <f ca="1">IF($Y$3="申万一级行业",[1]!s_info_industry_sw_2021(W1381,公司分析!D$5,1),IF($Y$3="申万二级行业",[1]!s_info_industry_sw_2021(W1381,公司分析!D$5,2),IF($Y$3="申万三级行业",[1]!s_info_industry_sw_2021(W1381,公司分析!D$5,3),IF($Y$3="wind一级行业",[1]!s_info_industry_gics(W1381,1),IF($Y$3="wind二级行业",[1]!s_info_industry_gics(W1381,2),IF($Y$3="wind三级行业",[1]!s_info_industry_gics(W1381,3),IF($Y$3="wind四级行业",[1]!s_info_industry_gics(W1381,4),IF($Y$3="证监会门类行业",[1]!s_info_industry_csrc12_n(W1381,公司分析!D$5,1),""))))))))</f>
        <v>汽车零部件</v>
      </c>
      <c r="Z1381" s="302" t="str">
        <f ca="1">IF(Y1381=行业比较!$E$6,ROW(),"")</f>
        <v/>
      </c>
      <c r="AA1381" s="122"/>
      <c r="AB1381" s="122"/>
      <c r="AC1381" s="122"/>
      <c r="AD1381" s="122"/>
      <c r="AE1381" s="122"/>
      <c r="AF1381" s="122"/>
      <c r="AG1381" s="122"/>
      <c r="AH1381" s="122"/>
      <c r="AI1381" s="122"/>
      <c r="AJ1381" s="122"/>
      <c r="AK1381" s="122"/>
      <c r="AL1381" s="122"/>
      <c r="AM1381" s="122"/>
      <c r="AN1381" s="122"/>
      <c r="AO1381" s="122"/>
      <c r="AP1381" s="122"/>
    </row>
    <row r="1382" spans="2:42">
      <c r="B1382" s="122"/>
      <c r="C1382" s="122"/>
      <c r="D1382" s="122"/>
      <c r="E1382" s="122"/>
      <c r="F1382" s="122"/>
      <c r="G1382" s="122"/>
      <c r="H1382" s="122"/>
      <c r="I1382" s="275"/>
      <c r="J1382" s="130"/>
      <c r="K1382" s="130"/>
      <c r="L1382" s="130"/>
      <c r="M1382" s="130"/>
      <c r="N1382" s="291"/>
      <c r="O1382" s="291"/>
      <c r="P1382" s="122"/>
      <c r="Q1382" s="122"/>
      <c r="R1382" s="122"/>
      <c r="S1382" s="122"/>
      <c r="T1382" s="122"/>
      <c r="U1382" s="301"/>
      <c r="V1382" s="260">
        <f t="shared" ca="1" si="29"/>
        <v>0</v>
      </c>
      <c r="W1382" s="348" t="str">
        <f>IF(板块成分!B1384="","",板块成分!B1384)</f>
        <v>002922.SZ</v>
      </c>
      <c r="X1382" s="276" t="str">
        <f>[1]!S_Info_Name(W1382)</f>
        <v>伊戈尔</v>
      </c>
      <c r="Y1382" s="276" t="str">
        <f ca="1">IF($Y$3="申万一级行业",[1]!s_info_industry_sw_2021(W1382,公司分析!D$5,1),IF($Y$3="申万二级行业",[1]!s_info_industry_sw_2021(W1382,公司分析!D$5,2),IF($Y$3="申万三级行业",[1]!s_info_industry_sw_2021(W1382,公司分析!D$5,3),IF($Y$3="wind一级行业",[1]!s_info_industry_gics(W1382,1),IF($Y$3="wind二级行业",[1]!s_info_industry_gics(W1382,2),IF($Y$3="wind三级行业",[1]!s_info_industry_gics(W1382,3),IF($Y$3="wind四级行业",[1]!s_info_industry_gics(W1382,4),IF($Y$3="证监会门类行业",[1]!s_info_industry_csrc12_n(W1382,公司分析!D$5,1),""))))))))</f>
        <v>其他电子Ⅱ</v>
      </c>
      <c r="Z1382" s="302" t="str">
        <f ca="1">IF(Y1382=行业比较!$E$6,ROW(),"")</f>
        <v/>
      </c>
      <c r="AA1382" s="122"/>
      <c r="AB1382" s="122"/>
      <c r="AC1382" s="122"/>
      <c r="AD1382" s="122"/>
      <c r="AE1382" s="122"/>
      <c r="AF1382" s="122"/>
      <c r="AG1382" s="122"/>
      <c r="AH1382" s="122"/>
      <c r="AI1382" s="122"/>
      <c r="AJ1382" s="122"/>
      <c r="AK1382" s="122"/>
      <c r="AL1382" s="122"/>
      <c r="AM1382" s="122"/>
      <c r="AN1382" s="122"/>
      <c r="AO1382" s="122"/>
      <c r="AP1382" s="122"/>
    </row>
    <row r="1383" spans="2:42">
      <c r="B1383" s="122"/>
      <c r="C1383" s="122"/>
      <c r="D1383" s="122"/>
      <c r="E1383" s="122"/>
      <c r="F1383" s="122"/>
      <c r="G1383" s="122"/>
      <c r="H1383" s="122"/>
      <c r="I1383" s="275"/>
      <c r="J1383" s="130"/>
      <c r="K1383" s="130"/>
      <c r="L1383" s="130"/>
      <c r="M1383" s="130"/>
      <c r="N1383" s="291"/>
      <c r="O1383" s="291"/>
      <c r="P1383" s="122"/>
      <c r="Q1383" s="122"/>
      <c r="R1383" s="122"/>
      <c r="S1383" s="122"/>
      <c r="T1383" s="122"/>
      <c r="U1383" s="301"/>
      <c r="V1383" s="260">
        <f t="shared" ca="1" si="29"/>
        <v>0</v>
      </c>
      <c r="W1383" s="348" t="str">
        <f>IF(板块成分!B1385="","",板块成分!B1385)</f>
        <v>002923.SZ</v>
      </c>
      <c r="X1383" s="276" t="str">
        <f>[1]!S_Info_Name(W1383)</f>
        <v>润都股份</v>
      </c>
      <c r="Y1383" s="276" t="str">
        <f ca="1">IF($Y$3="申万一级行业",[1]!s_info_industry_sw_2021(W1383,公司分析!D$5,1),IF($Y$3="申万二级行业",[1]!s_info_industry_sw_2021(W1383,公司分析!D$5,2),IF($Y$3="申万三级行业",[1]!s_info_industry_sw_2021(W1383,公司分析!D$5,3),IF($Y$3="wind一级行业",[1]!s_info_industry_gics(W1383,1),IF($Y$3="wind二级行业",[1]!s_info_industry_gics(W1383,2),IF($Y$3="wind三级行业",[1]!s_info_industry_gics(W1383,3),IF($Y$3="wind四级行业",[1]!s_info_industry_gics(W1383,4),IF($Y$3="证监会门类行业",[1]!s_info_industry_csrc12_n(W1383,公司分析!D$5,1),""))))))))</f>
        <v>化学制药</v>
      </c>
      <c r="Z1383" s="302" t="str">
        <f ca="1">IF(Y1383=行业比较!$E$6,ROW(),"")</f>
        <v/>
      </c>
      <c r="AA1383" s="122"/>
      <c r="AB1383" s="122"/>
      <c r="AC1383" s="122"/>
      <c r="AD1383" s="122"/>
      <c r="AE1383" s="122"/>
      <c r="AF1383" s="122"/>
      <c r="AG1383" s="122"/>
      <c r="AH1383" s="122"/>
      <c r="AI1383" s="122"/>
      <c r="AJ1383" s="122"/>
      <c r="AK1383" s="122"/>
      <c r="AL1383" s="122"/>
      <c r="AM1383" s="122"/>
      <c r="AN1383" s="122"/>
      <c r="AO1383" s="122"/>
      <c r="AP1383" s="122"/>
    </row>
    <row r="1384" spans="2:42">
      <c r="B1384" s="122"/>
      <c r="C1384" s="122"/>
      <c r="D1384" s="122"/>
      <c r="E1384" s="122"/>
      <c r="F1384" s="122"/>
      <c r="G1384" s="122"/>
      <c r="H1384" s="122"/>
      <c r="I1384" s="275"/>
      <c r="J1384" s="130"/>
      <c r="K1384" s="130"/>
      <c r="L1384" s="130"/>
      <c r="M1384" s="130"/>
      <c r="N1384" s="291"/>
      <c r="O1384" s="291"/>
      <c r="P1384" s="122"/>
      <c r="Q1384" s="122"/>
      <c r="R1384" s="122"/>
      <c r="S1384" s="122"/>
      <c r="T1384" s="122"/>
      <c r="U1384" s="301"/>
      <c r="V1384" s="260">
        <f t="shared" ca="1" si="29"/>
        <v>0</v>
      </c>
      <c r="W1384" s="348" t="str">
        <f>IF(板块成分!B1386="","",板块成分!B1386)</f>
        <v>002925.SZ</v>
      </c>
      <c r="X1384" s="276" t="str">
        <f>[1]!S_Info_Name(W1384)</f>
        <v>盈趣科技</v>
      </c>
      <c r="Y1384" s="276" t="str">
        <f ca="1">IF($Y$3="申万一级行业",[1]!s_info_industry_sw_2021(W1384,公司分析!D$5,1),IF($Y$3="申万二级行业",[1]!s_info_industry_sw_2021(W1384,公司分析!D$5,2),IF($Y$3="申万三级行业",[1]!s_info_industry_sw_2021(W1384,公司分析!D$5,3),IF($Y$3="wind一级行业",[1]!s_info_industry_gics(W1384,1),IF($Y$3="wind二级行业",[1]!s_info_industry_gics(W1384,2),IF($Y$3="wind三级行业",[1]!s_info_industry_gics(W1384,3),IF($Y$3="wind四级行业",[1]!s_info_industry_gics(W1384,4),IF($Y$3="证监会门类行业",[1]!s_info_industry_csrc12_n(W1384,公司分析!D$5,1),""))))))))</f>
        <v>消费电子</v>
      </c>
      <c r="Z1384" s="302" t="str">
        <f ca="1">IF(Y1384=行业比较!$E$6,ROW(),"")</f>
        <v/>
      </c>
      <c r="AA1384" s="122"/>
      <c r="AB1384" s="122"/>
      <c r="AC1384" s="122"/>
      <c r="AD1384" s="122"/>
      <c r="AE1384" s="122"/>
      <c r="AF1384" s="122"/>
      <c r="AG1384" s="122"/>
      <c r="AH1384" s="122"/>
      <c r="AI1384" s="122"/>
      <c r="AJ1384" s="122"/>
      <c r="AK1384" s="122"/>
      <c r="AL1384" s="122"/>
      <c r="AM1384" s="122"/>
      <c r="AN1384" s="122"/>
      <c r="AO1384" s="122"/>
      <c r="AP1384" s="122"/>
    </row>
    <row r="1385" spans="2:42">
      <c r="B1385" s="122"/>
      <c r="C1385" s="122"/>
      <c r="D1385" s="122"/>
      <c r="E1385" s="122"/>
      <c r="F1385" s="122"/>
      <c r="G1385" s="122"/>
      <c r="H1385" s="122"/>
      <c r="I1385" s="275"/>
      <c r="J1385" s="130"/>
      <c r="K1385" s="130"/>
      <c r="L1385" s="130"/>
      <c r="M1385" s="130"/>
      <c r="N1385" s="291"/>
      <c r="O1385" s="291"/>
      <c r="P1385" s="122"/>
      <c r="Q1385" s="122"/>
      <c r="R1385" s="122"/>
      <c r="S1385" s="122"/>
      <c r="T1385" s="122"/>
      <c r="U1385" s="301"/>
      <c r="V1385" s="260">
        <f t="shared" ca="1" si="29"/>
        <v>0</v>
      </c>
      <c r="W1385" s="348" t="str">
        <f>IF(板块成分!B1387="","",板块成分!B1387)</f>
        <v>002926.SZ</v>
      </c>
      <c r="X1385" s="276" t="str">
        <f>[1]!S_Info_Name(W1385)</f>
        <v>华西证券</v>
      </c>
      <c r="Y1385" s="276" t="str">
        <f ca="1">IF($Y$3="申万一级行业",[1]!s_info_industry_sw_2021(W1385,公司分析!D$5,1),IF($Y$3="申万二级行业",[1]!s_info_industry_sw_2021(W1385,公司分析!D$5,2),IF($Y$3="申万三级行业",[1]!s_info_industry_sw_2021(W1385,公司分析!D$5,3),IF($Y$3="wind一级行业",[1]!s_info_industry_gics(W1385,1),IF($Y$3="wind二级行业",[1]!s_info_industry_gics(W1385,2),IF($Y$3="wind三级行业",[1]!s_info_industry_gics(W1385,3),IF($Y$3="wind四级行业",[1]!s_info_industry_gics(W1385,4),IF($Y$3="证监会门类行业",[1]!s_info_industry_csrc12_n(W1385,公司分析!D$5,1),""))))))))</f>
        <v>证券Ⅱ</v>
      </c>
      <c r="Z1385" s="302" t="str">
        <f ca="1">IF(Y1385=行业比较!$E$6,ROW(),"")</f>
        <v/>
      </c>
      <c r="AA1385" s="122"/>
      <c r="AB1385" s="122"/>
      <c r="AC1385" s="122"/>
      <c r="AD1385" s="122"/>
      <c r="AE1385" s="122"/>
      <c r="AF1385" s="122"/>
      <c r="AG1385" s="122"/>
      <c r="AH1385" s="122"/>
      <c r="AI1385" s="122"/>
      <c r="AJ1385" s="122"/>
      <c r="AK1385" s="122"/>
      <c r="AL1385" s="122"/>
      <c r="AM1385" s="122"/>
      <c r="AN1385" s="122"/>
      <c r="AO1385" s="122"/>
      <c r="AP1385" s="122"/>
    </row>
    <row r="1386" spans="2:42">
      <c r="B1386" s="122"/>
      <c r="C1386" s="122"/>
      <c r="D1386" s="122"/>
      <c r="E1386" s="122"/>
      <c r="F1386" s="122"/>
      <c r="G1386" s="122"/>
      <c r="H1386" s="122"/>
      <c r="I1386" s="275"/>
      <c r="J1386" s="130"/>
      <c r="K1386" s="130"/>
      <c r="L1386" s="130"/>
      <c r="M1386" s="130"/>
      <c r="N1386" s="291"/>
      <c r="O1386" s="291"/>
      <c r="P1386" s="122"/>
      <c r="Q1386" s="122"/>
      <c r="R1386" s="122"/>
      <c r="S1386" s="122"/>
      <c r="T1386" s="122"/>
      <c r="U1386" s="301"/>
      <c r="V1386" s="260">
        <f t="shared" ca="1" si="29"/>
        <v>0</v>
      </c>
      <c r="W1386" s="348" t="str">
        <f>IF(板块成分!B1388="","",板块成分!B1388)</f>
        <v>002927.SZ</v>
      </c>
      <c r="X1386" s="276" t="str">
        <f>[1]!S_Info_Name(W1386)</f>
        <v>泰永长征</v>
      </c>
      <c r="Y1386" s="276" t="str">
        <f ca="1">IF($Y$3="申万一级行业",[1]!s_info_industry_sw_2021(W1386,公司分析!D$5,1),IF($Y$3="申万二级行业",[1]!s_info_industry_sw_2021(W1386,公司分析!D$5,2),IF($Y$3="申万三级行业",[1]!s_info_industry_sw_2021(W1386,公司分析!D$5,3),IF($Y$3="wind一级行业",[1]!s_info_industry_gics(W1386,1),IF($Y$3="wind二级行业",[1]!s_info_industry_gics(W1386,2),IF($Y$3="wind三级行业",[1]!s_info_industry_gics(W1386,3),IF($Y$3="wind四级行业",[1]!s_info_industry_gics(W1386,4),IF($Y$3="证监会门类行业",[1]!s_info_industry_csrc12_n(W1386,公司分析!D$5,1),""))))))))</f>
        <v>电网设备</v>
      </c>
      <c r="Z1386" s="302" t="str">
        <f ca="1">IF(Y1386=行业比较!$E$6,ROW(),"")</f>
        <v/>
      </c>
      <c r="AA1386" s="122"/>
      <c r="AB1386" s="122"/>
      <c r="AC1386" s="122"/>
      <c r="AD1386" s="122"/>
      <c r="AE1386" s="122"/>
      <c r="AF1386" s="122"/>
      <c r="AG1386" s="122"/>
      <c r="AH1386" s="122"/>
      <c r="AI1386" s="122"/>
      <c r="AJ1386" s="122"/>
      <c r="AK1386" s="122"/>
      <c r="AL1386" s="122"/>
      <c r="AM1386" s="122"/>
      <c r="AN1386" s="122"/>
      <c r="AO1386" s="122"/>
      <c r="AP1386" s="122"/>
    </row>
    <row r="1387" spans="2:42">
      <c r="B1387" s="122"/>
      <c r="C1387" s="122"/>
      <c r="D1387" s="122"/>
      <c r="E1387" s="122"/>
      <c r="F1387" s="122"/>
      <c r="G1387" s="122"/>
      <c r="H1387" s="122"/>
      <c r="I1387" s="275"/>
      <c r="J1387" s="130"/>
      <c r="K1387" s="130"/>
      <c r="L1387" s="130"/>
      <c r="M1387" s="130"/>
      <c r="N1387" s="291"/>
      <c r="O1387" s="291"/>
      <c r="P1387" s="122"/>
      <c r="Q1387" s="122"/>
      <c r="R1387" s="122"/>
      <c r="S1387" s="122"/>
      <c r="T1387" s="122"/>
      <c r="U1387" s="301"/>
      <c r="V1387" s="260">
        <f t="shared" ca="1" si="29"/>
        <v>0</v>
      </c>
      <c r="W1387" s="348" t="str">
        <f>IF(板块成分!B1389="","",板块成分!B1389)</f>
        <v>002928.SZ</v>
      </c>
      <c r="X1387" s="276" t="str">
        <f>[1]!S_Info_Name(W1387)</f>
        <v>华夏航空</v>
      </c>
      <c r="Y1387" s="276" t="str">
        <f ca="1">IF($Y$3="申万一级行业",[1]!s_info_industry_sw_2021(W1387,公司分析!D$5,1),IF($Y$3="申万二级行业",[1]!s_info_industry_sw_2021(W1387,公司分析!D$5,2),IF($Y$3="申万三级行业",[1]!s_info_industry_sw_2021(W1387,公司分析!D$5,3),IF($Y$3="wind一级行业",[1]!s_info_industry_gics(W1387,1),IF($Y$3="wind二级行业",[1]!s_info_industry_gics(W1387,2),IF($Y$3="wind三级行业",[1]!s_info_industry_gics(W1387,3),IF($Y$3="wind四级行业",[1]!s_info_industry_gics(W1387,4),IF($Y$3="证监会门类行业",[1]!s_info_industry_csrc12_n(W1387,公司分析!D$5,1),""))))))))</f>
        <v>航空机场</v>
      </c>
      <c r="Z1387" s="302" t="str">
        <f ca="1">IF(Y1387=行业比较!$E$6,ROW(),"")</f>
        <v/>
      </c>
      <c r="AA1387" s="122"/>
      <c r="AB1387" s="122"/>
      <c r="AC1387" s="122"/>
      <c r="AD1387" s="122"/>
      <c r="AE1387" s="122"/>
      <c r="AF1387" s="122"/>
      <c r="AG1387" s="122"/>
      <c r="AH1387" s="122"/>
      <c r="AI1387" s="122"/>
      <c r="AJ1387" s="122"/>
      <c r="AK1387" s="122"/>
      <c r="AL1387" s="122"/>
      <c r="AM1387" s="122"/>
      <c r="AN1387" s="122"/>
      <c r="AO1387" s="122"/>
      <c r="AP1387" s="122"/>
    </row>
    <row r="1388" spans="2:42">
      <c r="B1388" s="122"/>
      <c r="C1388" s="122"/>
      <c r="D1388" s="122"/>
      <c r="E1388" s="122"/>
      <c r="F1388" s="122"/>
      <c r="G1388" s="122"/>
      <c r="H1388" s="122"/>
      <c r="I1388" s="275"/>
      <c r="J1388" s="130"/>
      <c r="K1388" s="130"/>
      <c r="L1388" s="130"/>
      <c r="M1388" s="130"/>
      <c r="N1388" s="291"/>
      <c r="O1388" s="291"/>
      <c r="P1388" s="122"/>
      <c r="Q1388" s="122"/>
      <c r="R1388" s="122"/>
      <c r="S1388" s="122"/>
      <c r="T1388" s="122"/>
      <c r="U1388" s="301"/>
      <c r="V1388" s="260">
        <f t="shared" ca="1" si="29"/>
        <v>0</v>
      </c>
      <c r="W1388" s="348" t="str">
        <f>IF(板块成分!B1390="","",板块成分!B1390)</f>
        <v>002929.SZ</v>
      </c>
      <c r="X1388" s="276" t="str">
        <f>[1]!S_Info_Name(W1388)</f>
        <v>润建股份</v>
      </c>
      <c r="Y1388" s="276" t="str">
        <f ca="1">IF($Y$3="申万一级行业",[1]!s_info_industry_sw_2021(W1388,公司分析!D$5,1),IF($Y$3="申万二级行业",[1]!s_info_industry_sw_2021(W1388,公司分析!D$5,2),IF($Y$3="申万三级行业",[1]!s_info_industry_sw_2021(W1388,公司分析!D$5,3),IF($Y$3="wind一级行业",[1]!s_info_industry_gics(W1388,1),IF($Y$3="wind二级行业",[1]!s_info_industry_gics(W1388,2),IF($Y$3="wind三级行业",[1]!s_info_industry_gics(W1388,3),IF($Y$3="wind四级行业",[1]!s_info_industry_gics(W1388,4),IF($Y$3="证监会门类行业",[1]!s_info_industry_csrc12_n(W1388,公司分析!D$5,1),""))))))))</f>
        <v>通信服务</v>
      </c>
      <c r="Z1388" s="302" t="str">
        <f ca="1">IF(Y1388=行业比较!$E$6,ROW(),"")</f>
        <v/>
      </c>
      <c r="AA1388" s="122"/>
      <c r="AB1388" s="122"/>
      <c r="AC1388" s="122"/>
      <c r="AD1388" s="122"/>
      <c r="AE1388" s="122"/>
      <c r="AF1388" s="122"/>
      <c r="AG1388" s="122"/>
      <c r="AH1388" s="122"/>
      <c r="AI1388" s="122"/>
      <c r="AJ1388" s="122"/>
      <c r="AK1388" s="122"/>
      <c r="AL1388" s="122"/>
      <c r="AM1388" s="122"/>
      <c r="AN1388" s="122"/>
      <c r="AO1388" s="122"/>
      <c r="AP1388" s="122"/>
    </row>
    <row r="1389" spans="2:42">
      <c r="B1389" s="122"/>
      <c r="C1389" s="122"/>
      <c r="D1389" s="122"/>
      <c r="E1389" s="122"/>
      <c r="F1389" s="122"/>
      <c r="G1389" s="122"/>
      <c r="H1389" s="122"/>
      <c r="I1389" s="275"/>
      <c r="J1389" s="130"/>
      <c r="K1389" s="130"/>
      <c r="L1389" s="130"/>
      <c r="M1389" s="130"/>
      <c r="N1389" s="291"/>
      <c r="O1389" s="291"/>
      <c r="P1389" s="122"/>
      <c r="Q1389" s="122"/>
      <c r="R1389" s="122"/>
      <c r="S1389" s="122"/>
      <c r="T1389" s="122"/>
      <c r="U1389" s="301"/>
      <c r="V1389" s="260">
        <f t="shared" ca="1" si="29"/>
        <v>0</v>
      </c>
      <c r="W1389" s="348" t="str">
        <f>IF(板块成分!B1391="","",板块成分!B1391)</f>
        <v>002930.SZ</v>
      </c>
      <c r="X1389" s="276" t="str">
        <f>[1]!S_Info_Name(W1389)</f>
        <v>宏川智慧</v>
      </c>
      <c r="Y1389" s="276" t="str">
        <f ca="1">IF($Y$3="申万一级行业",[1]!s_info_industry_sw_2021(W1389,公司分析!D$5,1),IF($Y$3="申万二级行业",[1]!s_info_industry_sw_2021(W1389,公司分析!D$5,2),IF($Y$3="申万三级行业",[1]!s_info_industry_sw_2021(W1389,公司分析!D$5,3),IF($Y$3="wind一级行业",[1]!s_info_industry_gics(W1389,1),IF($Y$3="wind二级行业",[1]!s_info_industry_gics(W1389,2),IF($Y$3="wind三级行业",[1]!s_info_industry_gics(W1389,3),IF($Y$3="wind四级行业",[1]!s_info_industry_gics(W1389,4),IF($Y$3="证监会门类行业",[1]!s_info_industry_csrc12_n(W1389,公司分析!D$5,1),""))))))))</f>
        <v>物流</v>
      </c>
      <c r="Z1389" s="302" t="str">
        <f ca="1">IF(Y1389=行业比较!$E$6,ROW(),"")</f>
        <v/>
      </c>
      <c r="AA1389" s="122"/>
      <c r="AB1389" s="122"/>
      <c r="AC1389" s="122"/>
      <c r="AD1389" s="122"/>
      <c r="AE1389" s="122"/>
      <c r="AF1389" s="122"/>
      <c r="AG1389" s="122"/>
      <c r="AH1389" s="122"/>
      <c r="AI1389" s="122"/>
      <c r="AJ1389" s="122"/>
      <c r="AK1389" s="122"/>
      <c r="AL1389" s="122"/>
      <c r="AM1389" s="122"/>
      <c r="AN1389" s="122"/>
      <c r="AO1389" s="122"/>
      <c r="AP1389" s="122"/>
    </row>
    <row r="1390" spans="2:42">
      <c r="B1390" s="122"/>
      <c r="C1390" s="122"/>
      <c r="D1390" s="122"/>
      <c r="E1390" s="122"/>
      <c r="F1390" s="122"/>
      <c r="G1390" s="122"/>
      <c r="H1390" s="122"/>
      <c r="I1390" s="275"/>
      <c r="J1390" s="130"/>
      <c r="K1390" s="130"/>
      <c r="L1390" s="130"/>
      <c r="M1390" s="130"/>
      <c r="N1390" s="291"/>
      <c r="O1390" s="291"/>
      <c r="P1390" s="122"/>
      <c r="Q1390" s="122"/>
      <c r="R1390" s="122"/>
      <c r="S1390" s="122"/>
      <c r="T1390" s="122"/>
      <c r="U1390" s="301"/>
      <c r="V1390" s="260">
        <f t="shared" ca="1" si="29"/>
        <v>0</v>
      </c>
      <c r="W1390" s="348" t="str">
        <f>IF(板块成分!B1392="","",板块成分!B1392)</f>
        <v>002931.SZ</v>
      </c>
      <c r="X1390" s="276" t="str">
        <f>[1]!S_Info_Name(W1390)</f>
        <v>锋龙股份</v>
      </c>
      <c r="Y1390" s="276" t="str">
        <f ca="1">IF($Y$3="申万一级行业",[1]!s_info_industry_sw_2021(W1390,公司分析!D$5,1),IF($Y$3="申万二级行业",[1]!s_info_industry_sw_2021(W1390,公司分析!D$5,2),IF($Y$3="申万三级行业",[1]!s_info_industry_sw_2021(W1390,公司分析!D$5,3),IF($Y$3="wind一级行业",[1]!s_info_industry_gics(W1390,1),IF($Y$3="wind二级行业",[1]!s_info_industry_gics(W1390,2),IF($Y$3="wind三级行业",[1]!s_info_industry_gics(W1390,3),IF($Y$3="wind四级行业",[1]!s_info_industry_gics(W1390,4),IF($Y$3="证监会门类行业",[1]!s_info_industry_csrc12_n(W1390,公司分析!D$5,1),""))))))))</f>
        <v>通用设备</v>
      </c>
      <c r="Z1390" s="302" t="str">
        <f ca="1">IF(Y1390=行业比较!$E$6,ROW(),"")</f>
        <v/>
      </c>
      <c r="AA1390" s="122"/>
      <c r="AB1390" s="122"/>
      <c r="AC1390" s="122"/>
      <c r="AD1390" s="122"/>
      <c r="AE1390" s="122"/>
      <c r="AF1390" s="122"/>
      <c r="AG1390" s="122"/>
      <c r="AH1390" s="122"/>
      <c r="AI1390" s="122"/>
      <c r="AJ1390" s="122"/>
      <c r="AK1390" s="122"/>
      <c r="AL1390" s="122"/>
      <c r="AM1390" s="122"/>
      <c r="AN1390" s="122"/>
      <c r="AO1390" s="122"/>
      <c r="AP1390" s="122"/>
    </row>
    <row r="1391" spans="2:42">
      <c r="B1391" s="122"/>
      <c r="C1391" s="122"/>
      <c r="D1391" s="122"/>
      <c r="E1391" s="122"/>
      <c r="F1391" s="122"/>
      <c r="G1391" s="122"/>
      <c r="H1391" s="122"/>
      <c r="I1391" s="275"/>
      <c r="J1391" s="130"/>
      <c r="K1391" s="130"/>
      <c r="L1391" s="130"/>
      <c r="M1391" s="130"/>
      <c r="N1391" s="291"/>
      <c r="O1391" s="291"/>
      <c r="P1391" s="122"/>
      <c r="Q1391" s="122"/>
      <c r="R1391" s="122"/>
      <c r="S1391" s="122"/>
      <c r="T1391" s="122"/>
      <c r="U1391" s="301"/>
      <c r="V1391" s="260">
        <f t="shared" ca="1" si="29"/>
        <v>0</v>
      </c>
      <c r="W1391" s="348" t="str">
        <f>IF(板块成分!B1393="","",板块成分!B1393)</f>
        <v>002932.SZ</v>
      </c>
      <c r="X1391" s="276" t="str">
        <f>[1]!S_Info_Name(W1391)</f>
        <v>明德生物</v>
      </c>
      <c r="Y1391" s="276" t="str">
        <f ca="1">IF($Y$3="申万一级行业",[1]!s_info_industry_sw_2021(W1391,公司分析!D$5,1),IF($Y$3="申万二级行业",[1]!s_info_industry_sw_2021(W1391,公司分析!D$5,2),IF($Y$3="申万三级行业",[1]!s_info_industry_sw_2021(W1391,公司分析!D$5,3),IF($Y$3="wind一级行业",[1]!s_info_industry_gics(W1391,1),IF($Y$3="wind二级行业",[1]!s_info_industry_gics(W1391,2),IF($Y$3="wind三级行业",[1]!s_info_industry_gics(W1391,3),IF($Y$3="wind四级行业",[1]!s_info_industry_gics(W1391,4),IF($Y$3="证监会门类行业",[1]!s_info_industry_csrc12_n(W1391,公司分析!D$5,1),""))))))))</f>
        <v>医疗器械</v>
      </c>
      <c r="Z1391" s="302" t="str">
        <f ca="1">IF(Y1391=行业比较!$E$6,ROW(),"")</f>
        <v/>
      </c>
      <c r="AA1391" s="122"/>
      <c r="AB1391" s="122"/>
      <c r="AC1391" s="122"/>
      <c r="AD1391" s="122"/>
      <c r="AE1391" s="122"/>
      <c r="AF1391" s="122"/>
      <c r="AG1391" s="122"/>
      <c r="AH1391" s="122"/>
      <c r="AI1391" s="122"/>
      <c r="AJ1391" s="122"/>
      <c r="AK1391" s="122"/>
      <c r="AL1391" s="122"/>
      <c r="AM1391" s="122"/>
      <c r="AN1391" s="122"/>
      <c r="AO1391" s="122"/>
      <c r="AP1391" s="122"/>
    </row>
    <row r="1392" spans="2:42">
      <c r="B1392" s="122"/>
      <c r="C1392" s="122"/>
      <c r="D1392" s="122"/>
      <c r="E1392" s="122"/>
      <c r="F1392" s="122"/>
      <c r="G1392" s="122"/>
      <c r="H1392" s="122"/>
      <c r="I1392" s="275"/>
      <c r="J1392" s="130"/>
      <c r="K1392" s="130"/>
      <c r="L1392" s="130"/>
      <c r="M1392" s="130"/>
      <c r="N1392" s="291"/>
      <c r="O1392" s="291"/>
      <c r="P1392" s="122"/>
      <c r="Q1392" s="122"/>
      <c r="R1392" s="122"/>
      <c r="S1392" s="122"/>
      <c r="T1392" s="122"/>
      <c r="U1392" s="301"/>
      <c r="V1392" s="260">
        <f t="shared" ca="1" si="29"/>
        <v>0</v>
      </c>
      <c r="W1392" s="348" t="str">
        <f>IF(板块成分!B1394="","",板块成分!B1394)</f>
        <v>002933.SZ</v>
      </c>
      <c r="X1392" s="276" t="str">
        <f>[1]!S_Info_Name(W1392)</f>
        <v>新兴装备</v>
      </c>
      <c r="Y1392" s="276" t="str">
        <f ca="1">IF($Y$3="申万一级行业",[1]!s_info_industry_sw_2021(W1392,公司分析!D$5,1),IF($Y$3="申万二级行业",[1]!s_info_industry_sw_2021(W1392,公司分析!D$5,2),IF($Y$3="申万三级行业",[1]!s_info_industry_sw_2021(W1392,公司分析!D$5,3),IF($Y$3="wind一级行业",[1]!s_info_industry_gics(W1392,1),IF($Y$3="wind二级行业",[1]!s_info_industry_gics(W1392,2),IF($Y$3="wind三级行业",[1]!s_info_industry_gics(W1392,3),IF($Y$3="wind四级行业",[1]!s_info_industry_gics(W1392,4),IF($Y$3="证监会门类行业",[1]!s_info_industry_csrc12_n(W1392,公司分析!D$5,1),""))))))))</f>
        <v>航空装备Ⅱ</v>
      </c>
      <c r="Z1392" s="302" t="str">
        <f ca="1">IF(Y1392=行业比较!$E$6,ROW(),"")</f>
        <v/>
      </c>
      <c r="AA1392" s="122"/>
      <c r="AB1392" s="122"/>
      <c r="AC1392" s="122"/>
      <c r="AD1392" s="122"/>
      <c r="AE1392" s="122"/>
      <c r="AF1392" s="122"/>
      <c r="AG1392" s="122"/>
      <c r="AH1392" s="122"/>
      <c r="AI1392" s="122"/>
      <c r="AJ1392" s="122"/>
      <c r="AK1392" s="122"/>
      <c r="AL1392" s="122"/>
      <c r="AM1392" s="122"/>
      <c r="AN1392" s="122"/>
      <c r="AO1392" s="122"/>
      <c r="AP1392" s="122"/>
    </row>
    <row r="1393" spans="2:42">
      <c r="B1393" s="122"/>
      <c r="C1393" s="122"/>
      <c r="D1393" s="122"/>
      <c r="E1393" s="122"/>
      <c r="F1393" s="122"/>
      <c r="G1393" s="122"/>
      <c r="H1393" s="122"/>
      <c r="I1393" s="275"/>
      <c r="J1393" s="130"/>
      <c r="K1393" s="130"/>
      <c r="L1393" s="130"/>
      <c r="M1393" s="130"/>
      <c r="N1393" s="291"/>
      <c r="O1393" s="291"/>
      <c r="P1393" s="122"/>
      <c r="Q1393" s="122"/>
      <c r="R1393" s="122"/>
      <c r="S1393" s="122"/>
      <c r="T1393" s="122"/>
      <c r="U1393" s="301"/>
      <c r="V1393" s="260">
        <f t="shared" ca="1" si="29"/>
        <v>0</v>
      </c>
      <c r="W1393" s="348" t="str">
        <f>IF(板块成分!B1395="","",板块成分!B1395)</f>
        <v>002935.SZ</v>
      </c>
      <c r="X1393" s="276" t="str">
        <f>[1]!S_Info_Name(W1393)</f>
        <v>天奥电子</v>
      </c>
      <c r="Y1393" s="276" t="str">
        <f ca="1">IF($Y$3="申万一级行业",[1]!s_info_industry_sw_2021(W1393,公司分析!D$5,1),IF($Y$3="申万二级行业",[1]!s_info_industry_sw_2021(W1393,公司分析!D$5,2),IF($Y$3="申万三级行业",[1]!s_info_industry_sw_2021(W1393,公司分析!D$5,3),IF($Y$3="wind一级行业",[1]!s_info_industry_gics(W1393,1),IF($Y$3="wind二级行业",[1]!s_info_industry_gics(W1393,2),IF($Y$3="wind三级行业",[1]!s_info_industry_gics(W1393,3),IF($Y$3="wind四级行业",[1]!s_info_industry_gics(W1393,4),IF($Y$3="证监会门类行业",[1]!s_info_industry_csrc12_n(W1393,公司分析!D$5,1),""))))))))</f>
        <v>军工电子Ⅱ</v>
      </c>
      <c r="Z1393" s="302" t="str">
        <f ca="1">IF(Y1393=行业比较!$E$6,ROW(),"")</f>
        <v/>
      </c>
      <c r="AA1393" s="122"/>
      <c r="AB1393" s="122"/>
      <c r="AC1393" s="122"/>
      <c r="AD1393" s="122"/>
      <c r="AE1393" s="122"/>
      <c r="AF1393" s="122"/>
      <c r="AG1393" s="122"/>
      <c r="AH1393" s="122"/>
      <c r="AI1393" s="122"/>
      <c r="AJ1393" s="122"/>
      <c r="AK1393" s="122"/>
      <c r="AL1393" s="122"/>
      <c r="AM1393" s="122"/>
      <c r="AN1393" s="122"/>
      <c r="AO1393" s="122"/>
      <c r="AP1393" s="122"/>
    </row>
    <row r="1394" spans="2:42">
      <c r="B1394" s="122"/>
      <c r="C1394" s="122"/>
      <c r="D1394" s="122"/>
      <c r="E1394" s="122"/>
      <c r="F1394" s="122"/>
      <c r="G1394" s="122"/>
      <c r="H1394" s="122"/>
      <c r="I1394" s="275"/>
      <c r="J1394" s="130"/>
      <c r="K1394" s="130"/>
      <c r="L1394" s="130"/>
      <c r="M1394" s="130"/>
      <c r="N1394" s="291"/>
      <c r="O1394" s="291"/>
      <c r="P1394" s="122"/>
      <c r="Q1394" s="122"/>
      <c r="R1394" s="122"/>
      <c r="S1394" s="122"/>
      <c r="T1394" s="122"/>
      <c r="U1394" s="301"/>
      <c r="V1394" s="260">
        <f t="shared" ca="1" si="29"/>
        <v>0</v>
      </c>
      <c r="W1394" s="348" t="str">
        <f>IF(板块成分!B1396="","",板块成分!B1396)</f>
        <v>002936.SZ</v>
      </c>
      <c r="X1394" s="276" t="str">
        <f>[1]!S_Info_Name(W1394)</f>
        <v>郑州银行</v>
      </c>
      <c r="Y1394" s="276" t="str">
        <f ca="1">IF($Y$3="申万一级行业",[1]!s_info_industry_sw_2021(W1394,公司分析!D$5,1),IF($Y$3="申万二级行业",[1]!s_info_industry_sw_2021(W1394,公司分析!D$5,2),IF($Y$3="申万三级行业",[1]!s_info_industry_sw_2021(W1394,公司分析!D$5,3),IF($Y$3="wind一级行业",[1]!s_info_industry_gics(W1394,1),IF($Y$3="wind二级行业",[1]!s_info_industry_gics(W1394,2),IF($Y$3="wind三级行业",[1]!s_info_industry_gics(W1394,3),IF($Y$3="wind四级行业",[1]!s_info_industry_gics(W1394,4),IF($Y$3="证监会门类行业",[1]!s_info_industry_csrc12_n(W1394,公司分析!D$5,1),""))))))))</f>
        <v>城商行Ⅱ</v>
      </c>
      <c r="Z1394" s="302" t="str">
        <f ca="1">IF(Y1394=行业比较!$E$6,ROW(),"")</f>
        <v/>
      </c>
      <c r="AA1394" s="122"/>
      <c r="AB1394" s="122"/>
      <c r="AC1394" s="122"/>
      <c r="AD1394" s="122"/>
      <c r="AE1394" s="122"/>
      <c r="AF1394" s="122"/>
      <c r="AG1394" s="122"/>
      <c r="AH1394" s="122"/>
      <c r="AI1394" s="122"/>
      <c r="AJ1394" s="122"/>
      <c r="AK1394" s="122"/>
      <c r="AL1394" s="122"/>
      <c r="AM1394" s="122"/>
      <c r="AN1394" s="122"/>
      <c r="AO1394" s="122"/>
      <c r="AP1394" s="122"/>
    </row>
    <row r="1395" spans="2:42">
      <c r="B1395" s="122"/>
      <c r="C1395" s="122"/>
      <c r="D1395" s="122"/>
      <c r="E1395" s="122"/>
      <c r="F1395" s="122"/>
      <c r="G1395" s="122"/>
      <c r="H1395" s="122"/>
      <c r="I1395" s="275"/>
      <c r="J1395" s="130"/>
      <c r="K1395" s="130"/>
      <c r="L1395" s="130"/>
      <c r="M1395" s="130"/>
      <c r="N1395" s="291"/>
      <c r="O1395" s="291"/>
      <c r="P1395" s="122"/>
      <c r="Q1395" s="122"/>
      <c r="R1395" s="122"/>
      <c r="S1395" s="122"/>
      <c r="T1395" s="122"/>
      <c r="U1395" s="301"/>
      <c r="V1395" s="260">
        <f t="shared" ca="1" si="29"/>
        <v>0</v>
      </c>
      <c r="W1395" s="348" t="str">
        <f>IF(板块成分!B1397="","",板块成分!B1397)</f>
        <v>002937.SZ</v>
      </c>
      <c r="X1395" s="276" t="str">
        <f>[1]!S_Info_Name(W1395)</f>
        <v>兴瑞科技</v>
      </c>
      <c r="Y1395" s="276" t="str">
        <f ca="1">IF($Y$3="申万一级行业",[1]!s_info_industry_sw_2021(W1395,公司分析!D$5,1),IF($Y$3="申万二级行业",[1]!s_info_industry_sw_2021(W1395,公司分析!D$5,2),IF($Y$3="申万三级行业",[1]!s_info_industry_sw_2021(W1395,公司分析!D$5,3),IF($Y$3="wind一级行业",[1]!s_info_industry_gics(W1395,1),IF($Y$3="wind二级行业",[1]!s_info_industry_gics(W1395,2),IF($Y$3="wind三级行业",[1]!s_info_industry_gics(W1395,3),IF($Y$3="wind四级行业",[1]!s_info_industry_gics(W1395,4),IF($Y$3="证监会门类行业",[1]!s_info_industry_csrc12_n(W1395,公司分析!D$5,1),""))))))))</f>
        <v>汽车零部件</v>
      </c>
      <c r="Z1395" s="302" t="str">
        <f ca="1">IF(Y1395=行业比较!$E$6,ROW(),"")</f>
        <v/>
      </c>
      <c r="AA1395" s="122"/>
      <c r="AB1395" s="122"/>
      <c r="AC1395" s="122"/>
      <c r="AD1395" s="122"/>
      <c r="AE1395" s="122"/>
      <c r="AF1395" s="122"/>
      <c r="AG1395" s="122"/>
      <c r="AH1395" s="122"/>
      <c r="AI1395" s="122"/>
      <c r="AJ1395" s="122"/>
      <c r="AK1395" s="122"/>
      <c r="AL1395" s="122"/>
      <c r="AM1395" s="122"/>
      <c r="AN1395" s="122"/>
      <c r="AO1395" s="122"/>
      <c r="AP1395" s="122"/>
    </row>
    <row r="1396" spans="2:42">
      <c r="B1396" s="122"/>
      <c r="C1396" s="122"/>
      <c r="D1396" s="122"/>
      <c r="E1396" s="122"/>
      <c r="F1396" s="122"/>
      <c r="G1396" s="122"/>
      <c r="H1396" s="122"/>
      <c r="I1396" s="275"/>
      <c r="J1396" s="130"/>
      <c r="K1396" s="130"/>
      <c r="L1396" s="130"/>
      <c r="M1396" s="130"/>
      <c r="N1396" s="291"/>
      <c r="O1396" s="291"/>
      <c r="P1396" s="122"/>
      <c r="Q1396" s="122"/>
      <c r="R1396" s="122"/>
      <c r="S1396" s="122"/>
      <c r="T1396" s="122"/>
      <c r="U1396" s="301"/>
      <c r="V1396" s="260">
        <f t="shared" ca="1" si="29"/>
        <v>0</v>
      </c>
      <c r="W1396" s="348" t="str">
        <f>IF(板块成分!B1398="","",板块成分!B1398)</f>
        <v>002938.SZ</v>
      </c>
      <c r="X1396" s="276" t="str">
        <f>[1]!S_Info_Name(W1396)</f>
        <v>鹏鼎控股</v>
      </c>
      <c r="Y1396" s="276" t="str">
        <f ca="1">IF($Y$3="申万一级行业",[1]!s_info_industry_sw_2021(W1396,公司分析!D$5,1),IF($Y$3="申万二级行业",[1]!s_info_industry_sw_2021(W1396,公司分析!D$5,2),IF($Y$3="申万三级行业",[1]!s_info_industry_sw_2021(W1396,公司分析!D$5,3),IF($Y$3="wind一级行业",[1]!s_info_industry_gics(W1396,1),IF($Y$3="wind二级行业",[1]!s_info_industry_gics(W1396,2),IF($Y$3="wind三级行业",[1]!s_info_industry_gics(W1396,3),IF($Y$3="wind四级行业",[1]!s_info_industry_gics(W1396,4),IF($Y$3="证监会门类行业",[1]!s_info_industry_csrc12_n(W1396,公司分析!D$5,1),""))))))))</f>
        <v>元件</v>
      </c>
      <c r="Z1396" s="302" t="str">
        <f ca="1">IF(Y1396=行业比较!$E$6,ROW(),"")</f>
        <v/>
      </c>
      <c r="AA1396" s="122"/>
      <c r="AB1396" s="122"/>
      <c r="AC1396" s="122"/>
      <c r="AD1396" s="122"/>
      <c r="AE1396" s="122"/>
      <c r="AF1396" s="122"/>
      <c r="AG1396" s="122"/>
      <c r="AH1396" s="122"/>
      <c r="AI1396" s="122"/>
      <c r="AJ1396" s="122"/>
      <c r="AK1396" s="122"/>
      <c r="AL1396" s="122"/>
      <c r="AM1396" s="122"/>
      <c r="AN1396" s="122"/>
      <c r="AO1396" s="122"/>
      <c r="AP1396" s="122"/>
    </row>
    <row r="1397" spans="2:42">
      <c r="B1397" s="122"/>
      <c r="C1397" s="122"/>
      <c r="D1397" s="122"/>
      <c r="E1397" s="122"/>
      <c r="F1397" s="122"/>
      <c r="G1397" s="122"/>
      <c r="H1397" s="122"/>
      <c r="I1397" s="275"/>
      <c r="J1397" s="130"/>
      <c r="K1397" s="130"/>
      <c r="L1397" s="130"/>
      <c r="M1397" s="130"/>
      <c r="N1397" s="291"/>
      <c r="O1397" s="291"/>
      <c r="P1397" s="122"/>
      <c r="Q1397" s="122"/>
      <c r="R1397" s="122"/>
      <c r="S1397" s="122"/>
      <c r="T1397" s="122"/>
      <c r="U1397" s="301"/>
      <c r="V1397" s="260">
        <f t="shared" ca="1" si="29"/>
        <v>0</v>
      </c>
      <c r="W1397" s="348" t="str">
        <f>IF(板块成分!B1399="","",板块成分!B1399)</f>
        <v>002939.SZ</v>
      </c>
      <c r="X1397" s="276" t="str">
        <f>[1]!S_Info_Name(W1397)</f>
        <v>长城证券</v>
      </c>
      <c r="Y1397" s="276" t="str">
        <f ca="1">IF($Y$3="申万一级行业",[1]!s_info_industry_sw_2021(W1397,公司分析!D$5,1),IF($Y$3="申万二级行业",[1]!s_info_industry_sw_2021(W1397,公司分析!D$5,2),IF($Y$3="申万三级行业",[1]!s_info_industry_sw_2021(W1397,公司分析!D$5,3),IF($Y$3="wind一级行业",[1]!s_info_industry_gics(W1397,1),IF($Y$3="wind二级行业",[1]!s_info_industry_gics(W1397,2),IF($Y$3="wind三级行业",[1]!s_info_industry_gics(W1397,3),IF($Y$3="wind四级行业",[1]!s_info_industry_gics(W1397,4),IF($Y$3="证监会门类行业",[1]!s_info_industry_csrc12_n(W1397,公司分析!D$5,1),""))))))))</f>
        <v>证券Ⅱ</v>
      </c>
      <c r="Z1397" s="302" t="str">
        <f ca="1">IF(Y1397=行业比较!$E$6,ROW(),"")</f>
        <v/>
      </c>
      <c r="AA1397" s="122"/>
      <c r="AB1397" s="122"/>
      <c r="AC1397" s="122"/>
      <c r="AD1397" s="122"/>
      <c r="AE1397" s="122"/>
      <c r="AF1397" s="122"/>
      <c r="AG1397" s="122"/>
      <c r="AH1397" s="122"/>
      <c r="AI1397" s="122"/>
      <c r="AJ1397" s="122"/>
      <c r="AK1397" s="122"/>
      <c r="AL1397" s="122"/>
      <c r="AM1397" s="122"/>
      <c r="AN1397" s="122"/>
      <c r="AO1397" s="122"/>
      <c r="AP1397" s="122"/>
    </row>
    <row r="1398" spans="2:42">
      <c r="B1398" s="122"/>
      <c r="C1398" s="122"/>
      <c r="D1398" s="122"/>
      <c r="E1398" s="122"/>
      <c r="F1398" s="122"/>
      <c r="G1398" s="122"/>
      <c r="H1398" s="122"/>
      <c r="I1398" s="275"/>
      <c r="J1398" s="130"/>
      <c r="K1398" s="130"/>
      <c r="L1398" s="130"/>
      <c r="M1398" s="130"/>
      <c r="N1398" s="291"/>
      <c r="O1398" s="291"/>
      <c r="P1398" s="122"/>
      <c r="Q1398" s="122"/>
      <c r="R1398" s="122"/>
      <c r="S1398" s="122"/>
      <c r="T1398" s="122"/>
      <c r="U1398" s="301"/>
      <c r="V1398" s="260">
        <f t="shared" ca="1" si="29"/>
        <v>0</v>
      </c>
      <c r="W1398" s="348" t="str">
        <f>IF(板块成分!B1400="","",板块成分!B1400)</f>
        <v>002940.SZ</v>
      </c>
      <c r="X1398" s="276" t="str">
        <f>[1]!S_Info_Name(W1398)</f>
        <v>昂利康</v>
      </c>
      <c r="Y1398" s="276" t="str">
        <f ca="1">IF($Y$3="申万一级行业",[1]!s_info_industry_sw_2021(W1398,公司分析!D$5,1),IF($Y$3="申万二级行业",[1]!s_info_industry_sw_2021(W1398,公司分析!D$5,2),IF($Y$3="申万三级行业",[1]!s_info_industry_sw_2021(W1398,公司分析!D$5,3),IF($Y$3="wind一级行业",[1]!s_info_industry_gics(W1398,1),IF($Y$3="wind二级行业",[1]!s_info_industry_gics(W1398,2),IF($Y$3="wind三级行业",[1]!s_info_industry_gics(W1398,3),IF($Y$3="wind四级行业",[1]!s_info_industry_gics(W1398,4),IF($Y$3="证监会门类行业",[1]!s_info_industry_csrc12_n(W1398,公司分析!D$5,1),""))))))))</f>
        <v>化学制药</v>
      </c>
      <c r="Z1398" s="302" t="str">
        <f ca="1">IF(Y1398=行业比较!$E$6,ROW(),"")</f>
        <v/>
      </c>
      <c r="AA1398" s="122"/>
      <c r="AB1398" s="122"/>
      <c r="AC1398" s="122"/>
      <c r="AD1398" s="122"/>
      <c r="AE1398" s="122"/>
      <c r="AF1398" s="122"/>
      <c r="AG1398" s="122"/>
      <c r="AH1398" s="122"/>
      <c r="AI1398" s="122"/>
      <c r="AJ1398" s="122"/>
      <c r="AK1398" s="122"/>
      <c r="AL1398" s="122"/>
      <c r="AM1398" s="122"/>
      <c r="AN1398" s="122"/>
      <c r="AO1398" s="122"/>
      <c r="AP1398" s="122"/>
    </row>
    <row r="1399" spans="2:42">
      <c r="B1399" s="122"/>
      <c r="C1399" s="122"/>
      <c r="D1399" s="122"/>
      <c r="E1399" s="122"/>
      <c r="F1399" s="122"/>
      <c r="G1399" s="122"/>
      <c r="H1399" s="122"/>
      <c r="I1399" s="275"/>
      <c r="J1399" s="130"/>
      <c r="K1399" s="130"/>
      <c r="L1399" s="130"/>
      <c r="M1399" s="130"/>
      <c r="N1399" s="291"/>
      <c r="O1399" s="291"/>
      <c r="P1399" s="122"/>
      <c r="Q1399" s="122"/>
      <c r="R1399" s="122"/>
      <c r="S1399" s="122"/>
      <c r="T1399" s="122"/>
      <c r="U1399" s="301"/>
      <c r="V1399" s="260">
        <f t="shared" ca="1" si="29"/>
        <v>0</v>
      </c>
      <c r="W1399" s="348" t="str">
        <f>IF(板块成分!B1401="","",板块成分!B1401)</f>
        <v>002941.SZ</v>
      </c>
      <c r="X1399" s="276" t="str">
        <f>[1]!S_Info_Name(W1399)</f>
        <v>新疆交建</v>
      </c>
      <c r="Y1399" s="276" t="str">
        <f ca="1">IF($Y$3="申万一级行业",[1]!s_info_industry_sw_2021(W1399,公司分析!D$5,1),IF($Y$3="申万二级行业",[1]!s_info_industry_sw_2021(W1399,公司分析!D$5,2),IF($Y$3="申万三级行业",[1]!s_info_industry_sw_2021(W1399,公司分析!D$5,3),IF($Y$3="wind一级行业",[1]!s_info_industry_gics(W1399,1),IF($Y$3="wind二级行业",[1]!s_info_industry_gics(W1399,2),IF($Y$3="wind三级行业",[1]!s_info_industry_gics(W1399,3),IF($Y$3="wind四级行业",[1]!s_info_industry_gics(W1399,4),IF($Y$3="证监会门类行业",[1]!s_info_industry_csrc12_n(W1399,公司分析!D$5,1),""))))))))</f>
        <v>基础建设</v>
      </c>
      <c r="Z1399" s="302" t="str">
        <f ca="1">IF(Y1399=行业比较!$E$6,ROW(),"")</f>
        <v/>
      </c>
      <c r="AA1399" s="122"/>
      <c r="AB1399" s="122"/>
      <c r="AC1399" s="122"/>
      <c r="AD1399" s="122"/>
      <c r="AE1399" s="122"/>
      <c r="AF1399" s="122"/>
      <c r="AG1399" s="122"/>
      <c r="AH1399" s="122"/>
      <c r="AI1399" s="122"/>
      <c r="AJ1399" s="122"/>
      <c r="AK1399" s="122"/>
      <c r="AL1399" s="122"/>
      <c r="AM1399" s="122"/>
      <c r="AN1399" s="122"/>
      <c r="AO1399" s="122"/>
      <c r="AP1399" s="122"/>
    </row>
    <row r="1400" spans="2:42">
      <c r="B1400" s="122"/>
      <c r="C1400" s="122"/>
      <c r="D1400" s="122"/>
      <c r="E1400" s="122"/>
      <c r="F1400" s="122"/>
      <c r="G1400" s="122"/>
      <c r="H1400" s="122"/>
      <c r="I1400" s="275"/>
      <c r="J1400" s="130"/>
      <c r="K1400" s="130"/>
      <c r="L1400" s="130"/>
      <c r="M1400" s="130"/>
      <c r="N1400" s="291"/>
      <c r="O1400" s="291"/>
      <c r="P1400" s="122"/>
      <c r="Q1400" s="122"/>
      <c r="R1400" s="122"/>
      <c r="S1400" s="122"/>
      <c r="T1400" s="122"/>
      <c r="U1400" s="301"/>
      <c r="V1400" s="260">
        <f t="shared" ca="1" si="29"/>
        <v>0</v>
      </c>
      <c r="W1400" s="348" t="str">
        <f>IF(板块成分!B1402="","",板块成分!B1402)</f>
        <v>002942.SZ</v>
      </c>
      <c r="X1400" s="276" t="str">
        <f>[1]!S_Info_Name(W1400)</f>
        <v>新农股份</v>
      </c>
      <c r="Y1400" s="276" t="str">
        <f ca="1">IF($Y$3="申万一级行业",[1]!s_info_industry_sw_2021(W1400,公司分析!D$5,1),IF($Y$3="申万二级行业",[1]!s_info_industry_sw_2021(W1400,公司分析!D$5,2),IF($Y$3="申万三级行业",[1]!s_info_industry_sw_2021(W1400,公司分析!D$5,3),IF($Y$3="wind一级行业",[1]!s_info_industry_gics(W1400,1),IF($Y$3="wind二级行业",[1]!s_info_industry_gics(W1400,2),IF($Y$3="wind三级行业",[1]!s_info_industry_gics(W1400,3),IF($Y$3="wind四级行业",[1]!s_info_industry_gics(W1400,4),IF($Y$3="证监会门类行业",[1]!s_info_industry_csrc12_n(W1400,公司分析!D$5,1),""))))))))</f>
        <v>农化制品</v>
      </c>
      <c r="Z1400" s="302" t="str">
        <f ca="1">IF(Y1400=行业比较!$E$6,ROW(),"")</f>
        <v/>
      </c>
      <c r="AA1400" s="122"/>
      <c r="AB1400" s="122"/>
      <c r="AC1400" s="122"/>
      <c r="AD1400" s="122"/>
      <c r="AE1400" s="122"/>
      <c r="AF1400" s="122"/>
      <c r="AG1400" s="122"/>
      <c r="AH1400" s="122"/>
      <c r="AI1400" s="122"/>
      <c r="AJ1400" s="122"/>
      <c r="AK1400" s="122"/>
      <c r="AL1400" s="122"/>
      <c r="AM1400" s="122"/>
      <c r="AN1400" s="122"/>
      <c r="AO1400" s="122"/>
      <c r="AP1400" s="122"/>
    </row>
    <row r="1401" spans="2:42">
      <c r="B1401" s="122"/>
      <c r="C1401" s="122"/>
      <c r="D1401" s="122"/>
      <c r="E1401" s="122"/>
      <c r="F1401" s="122"/>
      <c r="G1401" s="122"/>
      <c r="H1401" s="122"/>
      <c r="I1401" s="275"/>
      <c r="J1401" s="130"/>
      <c r="K1401" s="130"/>
      <c r="L1401" s="130"/>
      <c r="M1401" s="130"/>
      <c r="N1401" s="291"/>
      <c r="O1401" s="291"/>
      <c r="P1401" s="122"/>
      <c r="Q1401" s="122"/>
      <c r="R1401" s="122"/>
      <c r="S1401" s="122"/>
      <c r="T1401" s="122"/>
      <c r="U1401" s="301"/>
      <c r="V1401" s="260">
        <f t="shared" ca="1" si="29"/>
        <v>0</v>
      </c>
      <c r="W1401" s="348" t="str">
        <f>IF(板块成分!B1403="","",板块成分!B1403)</f>
        <v>002943.SZ</v>
      </c>
      <c r="X1401" s="276" t="str">
        <f>[1]!S_Info_Name(W1401)</f>
        <v>宇晶股份</v>
      </c>
      <c r="Y1401" s="276" t="str">
        <f ca="1">IF($Y$3="申万一级行业",[1]!s_info_industry_sw_2021(W1401,公司分析!D$5,1),IF($Y$3="申万二级行业",[1]!s_info_industry_sw_2021(W1401,公司分析!D$5,2),IF($Y$3="申万三级行业",[1]!s_info_industry_sw_2021(W1401,公司分析!D$5,3),IF($Y$3="wind一级行业",[1]!s_info_industry_gics(W1401,1),IF($Y$3="wind二级行业",[1]!s_info_industry_gics(W1401,2),IF($Y$3="wind三级行业",[1]!s_info_industry_gics(W1401,3),IF($Y$3="wind四级行业",[1]!s_info_industry_gics(W1401,4),IF($Y$3="证监会门类行业",[1]!s_info_industry_csrc12_n(W1401,公司分析!D$5,1),""))))))))</f>
        <v>通用设备</v>
      </c>
      <c r="Z1401" s="302" t="str">
        <f ca="1">IF(Y1401=行业比较!$E$6,ROW(),"")</f>
        <v/>
      </c>
      <c r="AA1401" s="122"/>
      <c r="AB1401" s="122"/>
      <c r="AC1401" s="122"/>
      <c r="AD1401" s="122"/>
      <c r="AE1401" s="122"/>
      <c r="AF1401" s="122"/>
      <c r="AG1401" s="122"/>
      <c r="AH1401" s="122"/>
      <c r="AI1401" s="122"/>
      <c r="AJ1401" s="122"/>
      <c r="AK1401" s="122"/>
      <c r="AL1401" s="122"/>
      <c r="AM1401" s="122"/>
      <c r="AN1401" s="122"/>
      <c r="AO1401" s="122"/>
      <c r="AP1401" s="122"/>
    </row>
    <row r="1402" spans="2:42">
      <c r="B1402" s="122"/>
      <c r="C1402" s="122"/>
      <c r="D1402" s="122"/>
      <c r="E1402" s="122"/>
      <c r="F1402" s="122"/>
      <c r="G1402" s="122"/>
      <c r="H1402" s="122"/>
      <c r="I1402" s="275"/>
      <c r="J1402" s="130"/>
      <c r="K1402" s="130"/>
      <c r="L1402" s="130"/>
      <c r="M1402" s="130"/>
      <c r="N1402" s="291"/>
      <c r="O1402" s="291"/>
      <c r="P1402" s="122"/>
      <c r="Q1402" s="122"/>
      <c r="R1402" s="122"/>
      <c r="S1402" s="122"/>
      <c r="T1402" s="122"/>
      <c r="U1402" s="301"/>
      <c r="V1402" s="260">
        <f t="shared" ca="1" si="29"/>
        <v>0</v>
      </c>
      <c r="W1402" s="348" t="str">
        <f>IF(板块成分!B1404="","",板块成分!B1404)</f>
        <v>002945.SZ</v>
      </c>
      <c r="X1402" s="276" t="str">
        <f>[1]!S_Info_Name(W1402)</f>
        <v>华林证券</v>
      </c>
      <c r="Y1402" s="276" t="str">
        <f ca="1">IF($Y$3="申万一级行业",[1]!s_info_industry_sw_2021(W1402,公司分析!D$5,1),IF($Y$3="申万二级行业",[1]!s_info_industry_sw_2021(W1402,公司分析!D$5,2),IF($Y$3="申万三级行业",[1]!s_info_industry_sw_2021(W1402,公司分析!D$5,3),IF($Y$3="wind一级行业",[1]!s_info_industry_gics(W1402,1),IF($Y$3="wind二级行业",[1]!s_info_industry_gics(W1402,2),IF($Y$3="wind三级行业",[1]!s_info_industry_gics(W1402,3),IF($Y$3="wind四级行业",[1]!s_info_industry_gics(W1402,4),IF($Y$3="证监会门类行业",[1]!s_info_industry_csrc12_n(W1402,公司分析!D$5,1),""))))))))</f>
        <v>证券Ⅱ</v>
      </c>
      <c r="Z1402" s="302" t="str">
        <f ca="1">IF(Y1402=行业比较!$E$6,ROW(),"")</f>
        <v/>
      </c>
      <c r="AA1402" s="122"/>
      <c r="AB1402" s="122"/>
      <c r="AC1402" s="122"/>
      <c r="AD1402" s="122"/>
      <c r="AE1402" s="122"/>
      <c r="AF1402" s="122"/>
      <c r="AG1402" s="122"/>
      <c r="AH1402" s="122"/>
      <c r="AI1402" s="122"/>
      <c r="AJ1402" s="122"/>
      <c r="AK1402" s="122"/>
      <c r="AL1402" s="122"/>
      <c r="AM1402" s="122"/>
      <c r="AN1402" s="122"/>
      <c r="AO1402" s="122"/>
      <c r="AP1402" s="122"/>
    </row>
    <row r="1403" spans="2:42">
      <c r="B1403" s="122"/>
      <c r="C1403" s="122"/>
      <c r="D1403" s="122"/>
      <c r="E1403" s="122"/>
      <c r="F1403" s="122"/>
      <c r="G1403" s="122"/>
      <c r="H1403" s="122"/>
      <c r="I1403" s="275"/>
      <c r="J1403" s="130"/>
      <c r="K1403" s="130"/>
      <c r="L1403" s="130"/>
      <c r="M1403" s="130"/>
      <c r="N1403" s="291"/>
      <c r="O1403" s="291"/>
      <c r="P1403" s="122"/>
      <c r="Q1403" s="122"/>
      <c r="R1403" s="122"/>
      <c r="S1403" s="122"/>
      <c r="T1403" s="122"/>
      <c r="U1403" s="301"/>
      <c r="V1403" s="260">
        <f t="shared" ca="1" si="29"/>
        <v>0</v>
      </c>
      <c r="W1403" s="348" t="str">
        <f>IF(板块成分!B1405="","",板块成分!B1405)</f>
        <v>002946.SZ</v>
      </c>
      <c r="X1403" s="276" t="str">
        <f>[1]!S_Info_Name(W1403)</f>
        <v>新乳业</v>
      </c>
      <c r="Y1403" s="276" t="str">
        <f ca="1">IF($Y$3="申万一级行业",[1]!s_info_industry_sw_2021(W1403,公司分析!D$5,1),IF($Y$3="申万二级行业",[1]!s_info_industry_sw_2021(W1403,公司分析!D$5,2),IF($Y$3="申万三级行业",[1]!s_info_industry_sw_2021(W1403,公司分析!D$5,3),IF($Y$3="wind一级行业",[1]!s_info_industry_gics(W1403,1),IF($Y$3="wind二级行业",[1]!s_info_industry_gics(W1403,2),IF($Y$3="wind三级行业",[1]!s_info_industry_gics(W1403,3),IF($Y$3="wind四级行业",[1]!s_info_industry_gics(W1403,4),IF($Y$3="证监会门类行业",[1]!s_info_industry_csrc12_n(W1403,公司分析!D$5,1),""))))))))</f>
        <v>饮料乳品</v>
      </c>
      <c r="Z1403" s="302" t="str">
        <f ca="1">IF(Y1403=行业比较!$E$6,ROW(),"")</f>
        <v/>
      </c>
      <c r="AA1403" s="122"/>
      <c r="AB1403" s="122"/>
      <c r="AC1403" s="122"/>
      <c r="AD1403" s="122"/>
      <c r="AE1403" s="122"/>
      <c r="AF1403" s="122"/>
      <c r="AG1403" s="122"/>
      <c r="AH1403" s="122"/>
      <c r="AI1403" s="122"/>
      <c r="AJ1403" s="122"/>
      <c r="AK1403" s="122"/>
      <c r="AL1403" s="122"/>
      <c r="AM1403" s="122"/>
      <c r="AN1403" s="122"/>
      <c r="AO1403" s="122"/>
      <c r="AP1403" s="122"/>
    </row>
    <row r="1404" spans="2:42">
      <c r="B1404" s="122"/>
      <c r="C1404" s="122"/>
      <c r="D1404" s="122"/>
      <c r="E1404" s="122"/>
      <c r="F1404" s="122"/>
      <c r="G1404" s="122"/>
      <c r="H1404" s="122"/>
      <c r="I1404" s="275"/>
      <c r="J1404" s="130"/>
      <c r="K1404" s="130"/>
      <c r="L1404" s="130"/>
      <c r="M1404" s="130"/>
      <c r="N1404" s="291"/>
      <c r="O1404" s="291"/>
      <c r="P1404" s="122"/>
      <c r="Q1404" s="122"/>
      <c r="R1404" s="122"/>
      <c r="S1404" s="122"/>
      <c r="T1404" s="122"/>
      <c r="U1404" s="301"/>
      <c r="V1404" s="260">
        <f t="shared" ca="1" si="29"/>
        <v>0</v>
      </c>
      <c r="W1404" s="348" t="str">
        <f>IF(板块成分!B1406="","",板块成分!B1406)</f>
        <v>002947.SZ</v>
      </c>
      <c r="X1404" s="276" t="str">
        <f>[1]!S_Info_Name(W1404)</f>
        <v>恒铭达</v>
      </c>
      <c r="Y1404" s="276" t="str">
        <f ca="1">IF($Y$3="申万一级行业",[1]!s_info_industry_sw_2021(W1404,公司分析!D$5,1),IF($Y$3="申万二级行业",[1]!s_info_industry_sw_2021(W1404,公司分析!D$5,2),IF($Y$3="申万三级行业",[1]!s_info_industry_sw_2021(W1404,公司分析!D$5,3),IF($Y$3="wind一级行业",[1]!s_info_industry_gics(W1404,1),IF($Y$3="wind二级行业",[1]!s_info_industry_gics(W1404,2),IF($Y$3="wind三级行业",[1]!s_info_industry_gics(W1404,3),IF($Y$3="wind四级行业",[1]!s_info_industry_gics(W1404,4),IF($Y$3="证监会门类行业",[1]!s_info_industry_csrc12_n(W1404,公司分析!D$5,1),""))))))))</f>
        <v>消费电子</v>
      </c>
      <c r="Z1404" s="302" t="str">
        <f ca="1">IF(Y1404=行业比较!$E$6,ROW(),"")</f>
        <v/>
      </c>
      <c r="AA1404" s="122"/>
      <c r="AB1404" s="122"/>
      <c r="AC1404" s="122"/>
      <c r="AD1404" s="122"/>
      <c r="AE1404" s="122"/>
      <c r="AF1404" s="122"/>
      <c r="AG1404" s="122"/>
      <c r="AH1404" s="122"/>
      <c r="AI1404" s="122"/>
      <c r="AJ1404" s="122"/>
      <c r="AK1404" s="122"/>
      <c r="AL1404" s="122"/>
      <c r="AM1404" s="122"/>
      <c r="AN1404" s="122"/>
      <c r="AO1404" s="122"/>
      <c r="AP1404" s="122"/>
    </row>
    <row r="1405" spans="2:42">
      <c r="B1405" s="122"/>
      <c r="C1405" s="122"/>
      <c r="D1405" s="122"/>
      <c r="E1405" s="122"/>
      <c r="F1405" s="122"/>
      <c r="G1405" s="122"/>
      <c r="H1405" s="122"/>
      <c r="I1405" s="275"/>
      <c r="J1405" s="130"/>
      <c r="K1405" s="130"/>
      <c r="L1405" s="130"/>
      <c r="M1405" s="130"/>
      <c r="N1405" s="291"/>
      <c r="O1405" s="291"/>
      <c r="P1405" s="122"/>
      <c r="Q1405" s="122"/>
      <c r="R1405" s="122"/>
      <c r="S1405" s="122"/>
      <c r="T1405" s="122"/>
      <c r="U1405" s="301"/>
      <c r="V1405" s="260">
        <f t="shared" ca="1" si="29"/>
        <v>0</v>
      </c>
      <c r="W1405" s="348" t="str">
        <f>IF(板块成分!B1407="","",板块成分!B1407)</f>
        <v>002948.SZ</v>
      </c>
      <c r="X1405" s="276" t="str">
        <f>[1]!S_Info_Name(W1405)</f>
        <v>青岛银行</v>
      </c>
      <c r="Y1405" s="276" t="str">
        <f ca="1">IF($Y$3="申万一级行业",[1]!s_info_industry_sw_2021(W1405,公司分析!D$5,1),IF($Y$3="申万二级行业",[1]!s_info_industry_sw_2021(W1405,公司分析!D$5,2),IF($Y$3="申万三级行业",[1]!s_info_industry_sw_2021(W1405,公司分析!D$5,3),IF($Y$3="wind一级行业",[1]!s_info_industry_gics(W1405,1),IF($Y$3="wind二级行业",[1]!s_info_industry_gics(W1405,2),IF($Y$3="wind三级行业",[1]!s_info_industry_gics(W1405,3),IF($Y$3="wind四级行业",[1]!s_info_industry_gics(W1405,4),IF($Y$3="证监会门类行业",[1]!s_info_industry_csrc12_n(W1405,公司分析!D$5,1),""))))))))</f>
        <v>城商行Ⅱ</v>
      </c>
      <c r="Z1405" s="302" t="str">
        <f ca="1">IF(Y1405=行业比较!$E$6,ROW(),"")</f>
        <v/>
      </c>
      <c r="AA1405" s="122"/>
      <c r="AB1405" s="122"/>
      <c r="AC1405" s="122"/>
      <c r="AD1405" s="122"/>
      <c r="AE1405" s="122"/>
      <c r="AF1405" s="122"/>
      <c r="AG1405" s="122"/>
      <c r="AH1405" s="122"/>
      <c r="AI1405" s="122"/>
      <c r="AJ1405" s="122"/>
      <c r="AK1405" s="122"/>
      <c r="AL1405" s="122"/>
      <c r="AM1405" s="122"/>
      <c r="AN1405" s="122"/>
      <c r="AO1405" s="122"/>
      <c r="AP1405" s="122"/>
    </row>
    <row r="1406" spans="2:42">
      <c r="B1406" s="122"/>
      <c r="C1406" s="122"/>
      <c r="D1406" s="122"/>
      <c r="E1406" s="122"/>
      <c r="F1406" s="122"/>
      <c r="G1406" s="122"/>
      <c r="H1406" s="122"/>
      <c r="I1406" s="275"/>
      <c r="J1406" s="130"/>
      <c r="K1406" s="130"/>
      <c r="L1406" s="130"/>
      <c r="M1406" s="130"/>
      <c r="N1406" s="291"/>
      <c r="O1406" s="291"/>
      <c r="P1406" s="122"/>
      <c r="Q1406" s="122"/>
      <c r="R1406" s="122"/>
      <c r="S1406" s="122"/>
      <c r="T1406" s="122"/>
      <c r="U1406" s="301"/>
      <c r="V1406" s="260">
        <f t="shared" ca="1" si="29"/>
        <v>0</v>
      </c>
      <c r="W1406" s="348" t="str">
        <f>IF(板块成分!B1408="","",板块成分!B1408)</f>
        <v>002949.SZ</v>
      </c>
      <c r="X1406" s="276" t="str">
        <f>[1]!S_Info_Name(W1406)</f>
        <v>华阳国际</v>
      </c>
      <c r="Y1406" s="276" t="str">
        <f ca="1">IF($Y$3="申万一级行业",[1]!s_info_industry_sw_2021(W1406,公司分析!D$5,1),IF($Y$3="申万二级行业",[1]!s_info_industry_sw_2021(W1406,公司分析!D$5,2),IF($Y$3="申万三级行业",[1]!s_info_industry_sw_2021(W1406,公司分析!D$5,3),IF($Y$3="wind一级行业",[1]!s_info_industry_gics(W1406,1),IF($Y$3="wind二级行业",[1]!s_info_industry_gics(W1406,2),IF($Y$3="wind三级行业",[1]!s_info_industry_gics(W1406,3),IF($Y$3="wind四级行业",[1]!s_info_industry_gics(W1406,4),IF($Y$3="证监会门类行业",[1]!s_info_industry_csrc12_n(W1406,公司分析!D$5,1),""))))))))</f>
        <v>工程咨询服务Ⅱ</v>
      </c>
      <c r="Z1406" s="302" t="str">
        <f ca="1">IF(Y1406=行业比较!$E$6,ROW(),"")</f>
        <v/>
      </c>
      <c r="AA1406" s="122"/>
      <c r="AB1406" s="122"/>
      <c r="AC1406" s="122"/>
      <c r="AD1406" s="122"/>
      <c r="AE1406" s="122"/>
      <c r="AF1406" s="122"/>
      <c r="AG1406" s="122"/>
      <c r="AH1406" s="122"/>
      <c r="AI1406" s="122"/>
      <c r="AJ1406" s="122"/>
      <c r="AK1406" s="122"/>
      <c r="AL1406" s="122"/>
      <c r="AM1406" s="122"/>
      <c r="AN1406" s="122"/>
      <c r="AO1406" s="122"/>
      <c r="AP1406" s="122"/>
    </row>
    <row r="1407" spans="2:42">
      <c r="B1407" s="122"/>
      <c r="C1407" s="122"/>
      <c r="D1407" s="122"/>
      <c r="E1407" s="122"/>
      <c r="F1407" s="122"/>
      <c r="G1407" s="122"/>
      <c r="H1407" s="122"/>
      <c r="I1407" s="275"/>
      <c r="J1407" s="130"/>
      <c r="K1407" s="130"/>
      <c r="L1407" s="130"/>
      <c r="M1407" s="130"/>
      <c r="N1407" s="291"/>
      <c r="O1407" s="291"/>
      <c r="P1407" s="122"/>
      <c r="Q1407" s="122"/>
      <c r="R1407" s="122"/>
      <c r="S1407" s="122"/>
      <c r="T1407" s="122"/>
      <c r="U1407" s="301"/>
      <c r="V1407" s="260">
        <f t="shared" ca="1" si="29"/>
        <v>0</v>
      </c>
      <c r="W1407" s="348" t="str">
        <f>IF(板块成分!B1409="","",板块成分!B1409)</f>
        <v>002950.SZ</v>
      </c>
      <c r="X1407" s="276" t="str">
        <f>[1]!S_Info_Name(W1407)</f>
        <v>奥美医疗</v>
      </c>
      <c r="Y1407" s="276" t="str">
        <f ca="1">IF($Y$3="申万一级行业",[1]!s_info_industry_sw_2021(W1407,公司分析!D$5,1),IF($Y$3="申万二级行业",[1]!s_info_industry_sw_2021(W1407,公司分析!D$5,2),IF($Y$3="申万三级行业",[1]!s_info_industry_sw_2021(W1407,公司分析!D$5,3),IF($Y$3="wind一级行业",[1]!s_info_industry_gics(W1407,1),IF($Y$3="wind二级行业",[1]!s_info_industry_gics(W1407,2),IF($Y$3="wind三级行业",[1]!s_info_industry_gics(W1407,3),IF($Y$3="wind四级行业",[1]!s_info_industry_gics(W1407,4),IF($Y$3="证监会门类行业",[1]!s_info_industry_csrc12_n(W1407,公司分析!D$5,1),""))))))))</f>
        <v>医疗器械</v>
      </c>
      <c r="Z1407" s="302" t="str">
        <f ca="1">IF(Y1407=行业比较!$E$6,ROW(),"")</f>
        <v/>
      </c>
      <c r="AA1407" s="122"/>
      <c r="AB1407" s="122"/>
      <c r="AC1407" s="122"/>
      <c r="AD1407" s="122"/>
      <c r="AE1407" s="122"/>
      <c r="AF1407" s="122"/>
      <c r="AG1407" s="122"/>
      <c r="AH1407" s="122"/>
      <c r="AI1407" s="122"/>
      <c r="AJ1407" s="122"/>
      <c r="AK1407" s="122"/>
      <c r="AL1407" s="122"/>
      <c r="AM1407" s="122"/>
      <c r="AN1407" s="122"/>
      <c r="AO1407" s="122"/>
      <c r="AP1407" s="122"/>
    </row>
    <row r="1408" spans="2:42">
      <c r="B1408" s="122"/>
      <c r="C1408" s="122"/>
      <c r="D1408" s="122"/>
      <c r="E1408" s="122"/>
      <c r="F1408" s="122"/>
      <c r="G1408" s="122"/>
      <c r="H1408" s="122"/>
      <c r="I1408" s="275"/>
      <c r="J1408" s="130"/>
      <c r="K1408" s="130"/>
      <c r="L1408" s="130"/>
      <c r="M1408" s="130"/>
      <c r="N1408" s="291"/>
      <c r="O1408" s="291"/>
      <c r="P1408" s="122"/>
      <c r="Q1408" s="122"/>
      <c r="R1408" s="122"/>
      <c r="S1408" s="122"/>
      <c r="T1408" s="122"/>
      <c r="U1408" s="301"/>
      <c r="V1408" s="260">
        <f t="shared" ca="1" si="29"/>
        <v>0</v>
      </c>
      <c r="W1408" s="348" t="str">
        <f>IF(板块成分!B1410="","",板块成分!B1410)</f>
        <v>002951.SZ</v>
      </c>
      <c r="X1408" s="276" t="str">
        <f>[1]!S_Info_Name(W1408)</f>
        <v>金时科技</v>
      </c>
      <c r="Y1408" s="276" t="str">
        <f ca="1">IF($Y$3="申万一级行业",[1]!s_info_industry_sw_2021(W1408,公司分析!D$5,1),IF($Y$3="申万二级行业",[1]!s_info_industry_sw_2021(W1408,公司分析!D$5,2),IF($Y$3="申万三级行业",[1]!s_info_industry_sw_2021(W1408,公司分析!D$5,3),IF($Y$3="wind一级行业",[1]!s_info_industry_gics(W1408,1),IF($Y$3="wind二级行业",[1]!s_info_industry_gics(W1408,2),IF($Y$3="wind三级行业",[1]!s_info_industry_gics(W1408,3),IF($Y$3="wind四级行业",[1]!s_info_industry_gics(W1408,4),IF($Y$3="证监会门类行业",[1]!s_info_industry_csrc12_n(W1408,公司分析!D$5,1),""))))))))</f>
        <v>其他电源设备Ⅱ</v>
      </c>
      <c r="Z1408" s="302" t="str">
        <f ca="1">IF(Y1408=行业比较!$E$6,ROW(),"")</f>
        <v/>
      </c>
      <c r="AA1408" s="122"/>
      <c r="AB1408" s="122"/>
      <c r="AC1408" s="122"/>
      <c r="AD1408" s="122"/>
      <c r="AE1408" s="122"/>
      <c r="AF1408" s="122"/>
      <c r="AG1408" s="122"/>
      <c r="AH1408" s="122"/>
      <c r="AI1408" s="122"/>
      <c r="AJ1408" s="122"/>
      <c r="AK1408" s="122"/>
      <c r="AL1408" s="122"/>
      <c r="AM1408" s="122"/>
      <c r="AN1408" s="122"/>
      <c r="AO1408" s="122"/>
      <c r="AP1408" s="122"/>
    </row>
    <row r="1409" spans="2:42">
      <c r="B1409" s="122"/>
      <c r="C1409" s="122"/>
      <c r="D1409" s="122"/>
      <c r="E1409" s="122"/>
      <c r="F1409" s="122"/>
      <c r="G1409" s="122"/>
      <c r="H1409" s="122"/>
      <c r="I1409" s="275"/>
      <c r="J1409" s="130"/>
      <c r="K1409" s="130"/>
      <c r="L1409" s="130"/>
      <c r="M1409" s="130"/>
      <c r="N1409" s="291"/>
      <c r="O1409" s="291"/>
      <c r="P1409" s="122"/>
      <c r="Q1409" s="122"/>
      <c r="R1409" s="122"/>
      <c r="S1409" s="122"/>
      <c r="T1409" s="122"/>
      <c r="U1409" s="301"/>
      <c r="V1409" s="260">
        <f t="shared" ca="1" si="29"/>
        <v>0</v>
      </c>
      <c r="W1409" s="348" t="str">
        <f>IF(板块成分!B1411="","",板块成分!B1411)</f>
        <v>002952.SZ</v>
      </c>
      <c r="X1409" s="276" t="str">
        <f>[1]!S_Info_Name(W1409)</f>
        <v>亚世光电</v>
      </c>
      <c r="Y1409" s="276" t="str">
        <f ca="1">IF($Y$3="申万一级行业",[1]!s_info_industry_sw_2021(W1409,公司分析!D$5,1),IF($Y$3="申万二级行业",[1]!s_info_industry_sw_2021(W1409,公司分析!D$5,2),IF($Y$3="申万三级行业",[1]!s_info_industry_sw_2021(W1409,公司分析!D$5,3),IF($Y$3="wind一级行业",[1]!s_info_industry_gics(W1409,1),IF($Y$3="wind二级行业",[1]!s_info_industry_gics(W1409,2),IF($Y$3="wind三级行业",[1]!s_info_industry_gics(W1409,3),IF($Y$3="wind四级行业",[1]!s_info_industry_gics(W1409,4),IF($Y$3="证监会门类行业",[1]!s_info_industry_csrc12_n(W1409,公司分析!D$5,1),""))))))))</f>
        <v>光学光电子</v>
      </c>
      <c r="Z1409" s="302" t="str">
        <f ca="1">IF(Y1409=行业比较!$E$6,ROW(),"")</f>
        <v/>
      </c>
      <c r="AA1409" s="122"/>
      <c r="AB1409" s="122"/>
      <c r="AC1409" s="122"/>
      <c r="AD1409" s="122"/>
      <c r="AE1409" s="122"/>
      <c r="AF1409" s="122"/>
      <c r="AG1409" s="122"/>
      <c r="AH1409" s="122"/>
      <c r="AI1409" s="122"/>
      <c r="AJ1409" s="122"/>
      <c r="AK1409" s="122"/>
      <c r="AL1409" s="122"/>
      <c r="AM1409" s="122"/>
      <c r="AN1409" s="122"/>
      <c r="AO1409" s="122"/>
      <c r="AP1409" s="122"/>
    </row>
    <row r="1410" spans="2:42">
      <c r="B1410" s="122"/>
      <c r="C1410" s="122"/>
      <c r="D1410" s="122"/>
      <c r="E1410" s="122"/>
      <c r="F1410" s="122"/>
      <c r="G1410" s="122"/>
      <c r="H1410" s="122"/>
      <c r="I1410" s="275"/>
      <c r="J1410" s="130"/>
      <c r="K1410" s="130"/>
      <c r="L1410" s="130"/>
      <c r="M1410" s="130"/>
      <c r="N1410" s="291"/>
      <c r="O1410" s="291"/>
      <c r="P1410" s="122"/>
      <c r="Q1410" s="122"/>
      <c r="R1410" s="122"/>
      <c r="S1410" s="122"/>
      <c r="T1410" s="122"/>
      <c r="U1410" s="301"/>
      <c r="V1410" s="260">
        <f t="shared" ca="1" si="29"/>
        <v>0</v>
      </c>
      <c r="W1410" s="348" t="str">
        <f>IF(板块成分!B1412="","",板块成分!B1412)</f>
        <v>002953.SZ</v>
      </c>
      <c r="X1410" s="276" t="str">
        <f>[1]!S_Info_Name(W1410)</f>
        <v>日丰股份</v>
      </c>
      <c r="Y1410" s="276" t="str">
        <f ca="1">IF($Y$3="申万一级行业",[1]!s_info_industry_sw_2021(W1410,公司分析!D$5,1),IF($Y$3="申万二级行业",[1]!s_info_industry_sw_2021(W1410,公司分析!D$5,2),IF($Y$3="申万三级行业",[1]!s_info_industry_sw_2021(W1410,公司分析!D$5,3),IF($Y$3="wind一级行业",[1]!s_info_industry_gics(W1410,1),IF($Y$3="wind二级行业",[1]!s_info_industry_gics(W1410,2),IF($Y$3="wind三级行业",[1]!s_info_industry_gics(W1410,3),IF($Y$3="wind四级行业",[1]!s_info_industry_gics(W1410,4),IF($Y$3="证监会门类行业",[1]!s_info_industry_csrc12_n(W1410,公司分析!D$5,1),""))))))))</f>
        <v>电网设备</v>
      </c>
      <c r="Z1410" s="302" t="str">
        <f ca="1">IF(Y1410=行业比较!$E$6,ROW(),"")</f>
        <v/>
      </c>
      <c r="AA1410" s="122"/>
      <c r="AB1410" s="122"/>
      <c r="AC1410" s="122"/>
      <c r="AD1410" s="122"/>
      <c r="AE1410" s="122"/>
      <c r="AF1410" s="122"/>
      <c r="AG1410" s="122"/>
      <c r="AH1410" s="122"/>
      <c r="AI1410" s="122"/>
      <c r="AJ1410" s="122"/>
      <c r="AK1410" s="122"/>
      <c r="AL1410" s="122"/>
      <c r="AM1410" s="122"/>
      <c r="AN1410" s="122"/>
      <c r="AO1410" s="122"/>
      <c r="AP1410" s="122"/>
    </row>
    <row r="1411" spans="2:42">
      <c r="B1411" s="122"/>
      <c r="C1411" s="122"/>
      <c r="D1411" s="122"/>
      <c r="E1411" s="122"/>
      <c r="F1411" s="122"/>
      <c r="G1411" s="122"/>
      <c r="H1411" s="122"/>
      <c r="I1411" s="275"/>
      <c r="J1411" s="130"/>
      <c r="K1411" s="130"/>
      <c r="L1411" s="130"/>
      <c r="M1411" s="130"/>
      <c r="N1411" s="291"/>
      <c r="O1411" s="291"/>
      <c r="P1411" s="122"/>
      <c r="Q1411" s="122"/>
      <c r="R1411" s="122"/>
      <c r="S1411" s="122"/>
      <c r="T1411" s="122"/>
      <c r="U1411" s="301"/>
      <c r="V1411" s="260">
        <f t="shared" ca="1" si="29"/>
        <v>0</v>
      </c>
      <c r="W1411" s="348" t="str">
        <f>IF(板块成分!B1413="","",板块成分!B1413)</f>
        <v>002955.SZ</v>
      </c>
      <c r="X1411" s="276" t="str">
        <f>[1]!S_Info_Name(W1411)</f>
        <v>鸿合科技</v>
      </c>
      <c r="Y1411" s="276" t="str">
        <f ca="1">IF($Y$3="申万一级行业",[1]!s_info_industry_sw_2021(W1411,公司分析!D$5,1),IF($Y$3="申万二级行业",[1]!s_info_industry_sw_2021(W1411,公司分析!D$5,2),IF($Y$3="申万三级行业",[1]!s_info_industry_sw_2021(W1411,公司分析!D$5,3),IF($Y$3="wind一级行业",[1]!s_info_industry_gics(W1411,1),IF($Y$3="wind二级行业",[1]!s_info_industry_gics(W1411,2),IF($Y$3="wind三级行业",[1]!s_info_industry_gics(W1411,3),IF($Y$3="wind四级行业",[1]!s_info_industry_gics(W1411,4),IF($Y$3="证监会门类行业",[1]!s_info_industry_csrc12_n(W1411,公司分析!D$5,1),""))))))))</f>
        <v>光学光电子</v>
      </c>
      <c r="Z1411" s="302" t="str">
        <f ca="1">IF(Y1411=行业比较!$E$6,ROW(),"")</f>
        <v/>
      </c>
      <c r="AA1411" s="122"/>
      <c r="AB1411" s="122"/>
      <c r="AC1411" s="122"/>
      <c r="AD1411" s="122"/>
      <c r="AE1411" s="122"/>
      <c r="AF1411" s="122"/>
      <c r="AG1411" s="122"/>
      <c r="AH1411" s="122"/>
      <c r="AI1411" s="122"/>
      <c r="AJ1411" s="122"/>
      <c r="AK1411" s="122"/>
      <c r="AL1411" s="122"/>
      <c r="AM1411" s="122"/>
      <c r="AN1411" s="122"/>
      <c r="AO1411" s="122"/>
      <c r="AP1411" s="122"/>
    </row>
    <row r="1412" spans="2:42">
      <c r="B1412" s="122"/>
      <c r="C1412" s="122"/>
      <c r="D1412" s="122"/>
      <c r="E1412" s="122"/>
      <c r="F1412" s="122"/>
      <c r="G1412" s="122"/>
      <c r="H1412" s="122"/>
      <c r="I1412" s="275"/>
      <c r="J1412" s="130"/>
      <c r="K1412" s="130"/>
      <c r="L1412" s="130"/>
      <c r="M1412" s="130"/>
      <c r="N1412" s="291"/>
      <c r="O1412" s="291"/>
      <c r="P1412" s="122"/>
      <c r="Q1412" s="122"/>
      <c r="R1412" s="122"/>
      <c r="S1412" s="122"/>
      <c r="T1412" s="122"/>
      <c r="U1412" s="301"/>
      <c r="V1412" s="260">
        <f t="shared" ca="1" si="29"/>
        <v>0</v>
      </c>
      <c r="W1412" s="348" t="str">
        <f>IF(板块成分!B1414="","",板块成分!B1414)</f>
        <v>002956.SZ</v>
      </c>
      <c r="X1412" s="276" t="str">
        <f>[1]!S_Info_Name(W1412)</f>
        <v>西麦食品</v>
      </c>
      <c r="Y1412" s="276" t="str">
        <f ca="1">IF($Y$3="申万一级行业",[1]!s_info_industry_sw_2021(W1412,公司分析!D$5,1),IF($Y$3="申万二级行业",[1]!s_info_industry_sw_2021(W1412,公司分析!D$5,2),IF($Y$3="申万三级行业",[1]!s_info_industry_sw_2021(W1412,公司分析!D$5,3),IF($Y$3="wind一级行业",[1]!s_info_industry_gics(W1412,1),IF($Y$3="wind二级行业",[1]!s_info_industry_gics(W1412,2),IF($Y$3="wind三级行业",[1]!s_info_industry_gics(W1412,3),IF($Y$3="wind四级行业",[1]!s_info_industry_gics(W1412,4),IF($Y$3="证监会门类行业",[1]!s_info_industry_csrc12_n(W1412,公司分析!D$5,1),""))))))))</f>
        <v>休闲食品</v>
      </c>
      <c r="Z1412" s="302" t="str">
        <f ca="1">IF(Y1412=行业比较!$E$6,ROW(),"")</f>
        <v/>
      </c>
      <c r="AA1412" s="122"/>
      <c r="AB1412" s="122"/>
      <c r="AC1412" s="122"/>
      <c r="AD1412" s="122"/>
      <c r="AE1412" s="122"/>
      <c r="AF1412" s="122"/>
      <c r="AG1412" s="122"/>
      <c r="AH1412" s="122"/>
      <c r="AI1412" s="122"/>
      <c r="AJ1412" s="122"/>
      <c r="AK1412" s="122"/>
      <c r="AL1412" s="122"/>
      <c r="AM1412" s="122"/>
      <c r="AN1412" s="122"/>
      <c r="AO1412" s="122"/>
      <c r="AP1412" s="122"/>
    </row>
    <row r="1413" spans="2:42">
      <c r="B1413" s="122"/>
      <c r="C1413" s="122"/>
      <c r="D1413" s="122"/>
      <c r="E1413" s="122"/>
      <c r="F1413" s="122"/>
      <c r="G1413" s="122"/>
      <c r="H1413" s="122"/>
      <c r="I1413" s="275"/>
      <c r="J1413" s="130"/>
      <c r="K1413" s="130"/>
      <c r="L1413" s="130"/>
      <c r="M1413" s="130"/>
      <c r="N1413" s="291"/>
      <c r="O1413" s="291"/>
      <c r="P1413" s="122"/>
      <c r="Q1413" s="122"/>
      <c r="R1413" s="122"/>
      <c r="S1413" s="122"/>
      <c r="T1413" s="122"/>
      <c r="U1413" s="301"/>
      <c r="V1413" s="260">
        <f t="shared" ref="V1413:V1476" ca="1" si="30">IF(Z1413="",0,RANK(Z1413,Z:Z,1))</f>
        <v>0</v>
      </c>
      <c r="W1413" s="348" t="str">
        <f>IF(板块成分!B1415="","",板块成分!B1415)</f>
        <v>002957.SZ</v>
      </c>
      <c r="X1413" s="276" t="str">
        <f>[1]!S_Info_Name(W1413)</f>
        <v>科瑞技术</v>
      </c>
      <c r="Y1413" s="276" t="str">
        <f ca="1">IF($Y$3="申万一级行业",[1]!s_info_industry_sw_2021(W1413,公司分析!D$5,1),IF($Y$3="申万二级行业",[1]!s_info_industry_sw_2021(W1413,公司分析!D$5,2),IF($Y$3="申万三级行业",[1]!s_info_industry_sw_2021(W1413,公司分析!D$5,3),IF($Y$3="wind一级行业",[1]!s_info_industry_gics(W1413,1),IF($Y$3="wind二级行业",[1]!s_info_industry_gics(W1413,2),IF($Y$3="wind三级行业",[1]!s_info_industry_gics(W1413,3),IF($Y$3="wind四级行业",[1]!s_info_industry_gics(W1413,4),IF($Y$3="证监会门类行业",[1]!s_info_industry_csrc12_n(W1413,公司分析!D$5,1),""))))))))</f>
        <v>自动化设备</v>
      </c>
      <c r="Z1413" s="302" t="str">
        <f ca="1">IF(Y1413=行业比较!$E$6,ROW(),"")</f>
        <v/>
      </c>
      <c r="AA1413" s="122"/>
      <c r="AB1413" s="122"/>
      <c r="AC1413" s="122"/>
      <c r="AD1413" s="122"/>
      <c r="AE1413" s="122"/>
      <c r="AF1413" s="122"/>
      <c r="AG1413" s="122"/>
      <c r="AH1413" s="122"/>
      <c r="AI1413" s="122"/>
      <c r="AJ1413" s="122"/>
      <c r="AK1413" s="122"/>
      <c r="AL1413" s="122"/>
      <c r="AM1413" s="122"/>
      <c r="AN1413" s="122"/>
      <c r="AO1413" s="122"/>
      <c r="AP1413" s="122"/>
    </row>
    <row r="1414" spans="2:42">
      <c r="B1414" s="122"/>
      <c r="C1414" s="122"/>
      <c r="D1414" s="122"/>
      <c r="E1414" s="122"/>
      <c r="F1414" s="122"/>
      <c r="G1414" s="122"/>
      <c r="H1414" s="122"/>
      <c r="I1414" s="275"/>
      <c r="J1414" s="130"/>
      <c r="K1414" s="130"/>
      <c r="L1414" s="130"/>
      <c r="M1414" s="130"/>
      <c r="N1414" s="291"/>
      <c r="O1414" s="291"/>
      <c r="P1414" s="122"/>
      <c r="Q1414" s="122"/>
      <c r="R1414" s="122"/>
      <c r="S1414" s="122"/>
      <c r="T1414" s="122"/>
      <c r="U1414" s="301"/>
      <c r="V1414" s="260">
        <f t="shared" ca="1" si="30"/>
        <v>0</v>
      </c>
      <c r="W1414" s="348" t="str">
        <f>IF(板块成分!B1416="","",板块成分!B1416)</f>
        <v>002958.SZ</v>
      </c>
      <c r="X1414" s="276" t="str">
        <f>[1]!S_Info_Name(W1414)</f>
        <v>青农商行</v>
      </c>
      <c r="Y1414" s="276" t="str">
        <f ca="1">IF($Y$3="申万一级行业",[1]!s_info_industry_sw_2021(W1414,公司分析!D$5,1),IF($Y$3="申万二级行业",[1]!s_info_industry_sw_2021(W1414,公司分析!D$5,2),IF($Y$3="申万三级行业",[1]!s_info_industry_sw_2021(W1414,公司分析!D$5,3),IF($Y$3="wind一级行业",[1]!s_info_industry_gics(W1414,1),IF($Y$3="wind二级行业",[1]!s_info_industry_gics(W1414,2),IF($Y$3="wind三级行业",[1]!s_info_industry_gics(W1414,3),IF($Y$3="wind四级行业",[1]!s_info_industry_gics(W1414,4),IF($Y$3="证监会门类行业",[1]!s_info_industry_csrc12_n(W1414,公司分析!D$5,1),""))))))))</f>
        <v>农商行Ⅱ</v>
      </c>
      <c r="Z1414" s="302" t="str">
        <f ca="1">IF(Y1414=行业比较!$E$6,ROW(),"")</f>
        <v/>
      </c>
      <c r="AA1414" s="122"/>
      <c r="AB1414" s="122"/>
      <c r="AC1414" s="122"/>
      <c r="AD1414" s="122"/>
      <c r="AE1414" s="122"/>
      <c r="AF1414" s="122"/>
      <c r="AG1414" s="122"/>
      <c r="AH1414" s="122"/>
      <c r="AI1414" s="122"/>
      <c r="AJ1414" s="122"/>
      <c r="AK1414" s="122"/>
      <c r="AL1414" s="122"/>
      <c r="AM1414" s="122"/>
      <c r="AN1414" s="122"/>
      <c r="AO1414" s="122"/>
      <c r="AP1414" s="122"/>
    </row>
    <row r="1415" spans="2:42">
      <c r="B1415" s="122"/>
      <c r="C1415" s="122"/>
      <c r="D1415" s="122"/>
      <c r="E1415" s="122"/>
      <c r="F1415" s="122"/>
      <c r="G1415" s="122"/>
      <c r="H1415" s="122"/>
      <c r="I1415" s="275"/>
      <c r="J1415" s="130"/>
      <c r="K1415" s="130"/>
      <c r="L1415" s="130"/>
      <c r="M1415" s="130"/>
      <c r="N1415" s="291"/>
      <c r="O1415" s="291"/>
      <c r="P1415" s="122"/>
      <c r="Q1415" s="122"/>
      <c r="R1415" s="122"/>
      <c r="S1415" s="122"/>
      <c r="T1415" s="122"/>
      <c r="U1415" s="301"/>
      <c r="V1415" s="260">
        <f t="shared" ca="1" si="30"/>
        <v>0</v>
      </c>
      <c r="W1415" s="348" t="str">
        <f>IF(板块成分!B1417="","",板块成分!B1417)</f>
        <v>002959.SZ</v>
      </c>
      <c r="X1415" s="276" t="str">
        <f>[1]!S_Info_Name(W1415)</f>
        <v>小熊电器</v>
      </c>
      <c r="Y1415" s="276" t="str">
        <f ca="1">IF($Y$3="申万一级行业",[1]!s_info_industry_sw_2021(W1415,公司分析!D$5,1),IF($Y$3="申万二级行业",[1]!s_info_industry_sw_2021(W1415,公司分析!D$5,2),IF($Y$3="申万三级行业",[1]!s_info_industry_sw_2021(W1415,公司分析!D$5,3),IF($Y$3="wind一级行业",[1]!s_info_industry_gics(W1415,1),IF($Y$3="wind二级行业",[1]!s_info_industry_gics(W1415,2),IF($Y$3="wind三级行业",[1]!s_info_industry_gics(W1415,3),IF($Y$3="wind四级行业",[1]!s_info_industry_gics(W1415,4),IF($Y$3="证监会门类行业",[1]!s_info_industry_csrc12_n(W1415,公司分析!D$5,1),""))))))))</f>
        <v>小家电</v>
      </c>
      <c r="Z1415" s="302" t="str">
        <f ca="1">IF(Y1415=行业比较!$E$6,ROW(),"")</f>
        <v/>
      </c>
      <c r="AA1415" s="122"/>
      <c r="AB1415" s="122"/>
      <c r="AC1415" s="122"/>
      <c r="AD1415" s="122"/>
      <c r="AE1415" s="122"/>
      <c r="AF1415" s="122"/>
      <c r="AG1415" s="122"/>
      <c r="AH1415" s="122"/>
      <c r="AI1415" s="122"/>
      <c r="AJ1415" s="122"/>
      <c r="AK1415" s="122"/>
      <c r="AL1415" s="122"/>
      <c r="AM1415" s="122"/>
      <c r="AN1415" s="122"/>
      <c r="AO1415" s="122"/>
      <c r="AP1415" s="122"/>
    </row>
    <row r="1416" spans="2:42">
      <c r="B1416" s="122"/>
      <c r="C1416" s="122"/>
      <c r="D1416" s="122"/>
      <c r="E1416" s="122"/>
      <c r="F1416" s="122"/>
      <c r="G1416" s="122"/>
      <c r="H1416" s="122"/>
      <c r="I1416" s="275"/>
      <c r="J1416" s="130"/>
      <c r="K1416" s="130"/>
      <c r="L1416" s="130"/>
      <c r="M1416" s="130"/>
      <c r="N1416" s="291"/>
      <c r="O1416" s="291"/>
      <c r="P1416" s="122"/>
      <c r="Q1416" s="122"/>
      <c r="R1416" s="122"/>
      <c r="S1416" s="122"/>
      <c r="T1416" s="122"/>
      <c r="U1416" s="301"/>
      <c r="V1416" s="260">
        <f t="shared" ca="1" si="30"/>
        <v>0</v>
      </c>
      <c r="W1416" s="348" t="str">
        <f>IF(板块成分!B1418="","",板块成分!B1418)</f>
        <v>002960.SZ</v>
      </c>
      <c r="X1416" s="276" t="str">
        <f>[1]!S_Info_Name(W1416)</f>
        <v>青鸟消防</v>
      </c>
      <c r="Y1416" s="276" t="str">
        <f ca="1">IF($Y$3="申万一级行业",[1]!s_info_industry_sw_2021(W1416,公司分析!D$5,1),IF($Y$3="申万二级行业",[1]!s_info_industry_sw_2021(W1416,公司分析!D$5,2),IF($Y$3="申万三级行业",[1]!s_info_industry_sw_2021(W1416,公司分析!D$5,3),IF($Y$3="wind一级行业",[1]!s_info_industry_gics(W1416,1),IF($Y$3="wind二级行业",[1]!s_info_industry_gics(W1416,2),IF($Y$3="wind三级行业",[1]!s_info_industry_gics(W1416,3),IF($Y$3="wind四级行业",[1]!s_info_industry_gics(W1416,4),IF($Y$3="证监会门类行业",[1]!s_info_industry_csrc12_n(W1416,公司分析!D$5,1),""))))))))</f>
        <v>专用设备</v>
      </c>
      <c r="Z1416" s="302" t="str">
        <f ca="1">IF(Y1416=行业比较!$E$6,ROW(),"")</f>
        <v/>
      </c>
      <c r="AA1416" s="122"/>
      <c r="AB1416" s="122"/>
      <c r="AC1416" s="122"/>
      <c r="AD1416" s="122"/>
      <c r="AE1416" s="122"/>
      <c r="AF1416" s="122"/>
      <c r="AG1416" s="122"/>
      <c r="AH1416" s="122"/>
      <c r="AI1416" s="122"/>
      <c r="AJ1416" s="122"/>
      <c r="AK1416" s="122"/>
      <c r="AL1416" s="122"/>
      <c r="AM1416" s="122"/>
      <c r="AN1416" s="122"/>
      <c r="AO1416" s="122"/>
      <c r="AP1416" s="122"/>
    </row>
    <row r="1417" spans="2:42">
      <c r="B1417" s="122"/>
      <c r="C1417" s="122"/>
      <c r="D1417" s="122"/>
      <c r="E1417" s="122"/>
      <c r="F1417" s="122"/>
      <c r="G1417" s="122"/>
      <c r="H1417" s="122"/>
      <c r="I1417" s="275"/>
      <c r="J1417" s="130"/>
      <c r="K1417" s="130"/>
      <c r="L1417" s="130"/>
      <c r="M1417" s="130"/>
      <c r="N1417" s="291"/>
      <c r="O1417" s="291"/>
      <c r="P1417" s="122"/>
      <c r="Q1417" s="122"/>
      <c r="R1417" s="122"/>
      <c r="S1417" s="122"/>
      <c r="T1417" s="122"/>
      <c r="U1417" s="301"/>
      <c r="V1417" s="260">
        <f t="shared" ca="1" si="30"/>
        <v>0</v>
      </c>
      <c r="W1417" s="348" t="str">
        <f>IF(板块成分!B1419="","",板块成分!B1419)</f>
        <v>002961.SZ</v>
      </c>
      <c r="X1417" s="276" t="str">
        <f>[1]!S_Info_Name(W1417)</f>
        <v>瑞达期货</v>
      </c>
      <c r="Y1417" s="276" t="str">
        <f ca="1">IF($Y$3="申万一级行业",[1]!s_info_industry_sw_2021(W1417,公司分析!D$5,1),IF($Y$3="申万二级行业",[1]!s_info_industry_sw_2021(W1417,公司分析!D$5,2),IF($Y$3="申万三级行业",[1]!s_info_industry_sw_2021(W1417,公司分析!D$5,3),IF($Y$3="wind一级行业",[1]!s_info_industry_gics(W1417,1),IF($Y$3="wind二级行业",[1]!s_info_industry_gics(W1417,2),IF($Y$3="wind三级行业",[1]!s_info_industry_gics(W1417,3),IF($Y$3="wind四级行业",[1]!s_info_industry_gics(W1417,4),IF($Y$3="证监会门类行业",[1]!s_info_industry_csrc12_n(W1417,公司分析!D$5,1),""))))))))</f>
        <v>多元金融</v>
      </c>
      <c r="Z1417" s="302" t="str">
        <f ca="1">IF(Y1417=行业比较!$E$6,ROW(),"")</f>
        <v/>
      </c>
      <c r="AA1417" s="122"/>
      <c r="AB1417" s="122"/>
      <c r="AC1417" s="122"/>
      <c r="AD1417" s="122"/>
      <c r="AE1417" s="122"/>
      <c r="AF1417" s="122"/>
      <c r="AG1417" s="122"/>
      <c r="AH1417" s="122"/>
      <c r="AI1417" s="122"/>
      <c r="AJ1417" s="122"/>
      <c r="AK1417" s="122"/>
      <c r="AL1417" s="122"/>
      <c r="AM1417" s="122"/>
      <c r="AN1417" s="122"/>
      <c r="AO1417" s="122"/>
      <c r="AP1417" s="122"/>
    </row>
    <row r="1418" spans="2:42">
      <c r="B1418" s="122"/>
      <c r="C1418" s="122"/>
      <c r="D1418" s="122"/>
      <c r="E1418" s="122"/>
      <c r="F1418" s="122"/>
      <c r="G1418" s="122"/>
      <c r="H1418" s="122"/>
      <c r="I1418" s="275"/>
      <c r="J1418" s="130"/>
      <c r="K1418" s="130"/>
      <c r="L1418" s="130"/>
      <c r="M1418" s="130"/>
      <c r="N1418" s="291"/>
      <c r="O1418" s="291"/>
      <c r="P1418" s="122"/>
      <c r="Q1418" s="122"/>
      <c r="R1418" s="122"/>
      <c r="S1418" s="122"/>
      <c r="T1418" s="122"/>
      <c r="U1418" s="301"/>
      <c r="V1418" s="260">
        <f t="shared" ca="1" si="30"/>
        <v>0</v>
      </c>
      <c r="W1418" s="348" t="str">
        <f>IF(板块成分!B1420="","",板块成分!B1420)</f>
        <v>002962.SZ</v>
      </c>
      <c r="X1418" s="276" t="str">
        <f>[1]!S_Info_Name(W1418)</f>
        <v>五方光电</v>
      </c>
      <c r="Y1418" s="276" t="str">
        <f ca="1">IF($Y$3="申万一级行业",[1]!s_info_industry_sw_2021(W1418,公司分析!D$5,1),IF($Y$3="申万二级行业",[1]!s_info_industry_sw_2021(W1418,公司分析!D$5,2),IF($Y$3="申万三级行业",[1]!s_info_industry_sw_2021(W1418,公司分析!D$5,3),IF($Y$3="wind一级行业",[1]!s_info_industry_gics(W1418,1),IF($Y$3="wind二级行业",[1]!s_info_industry_gics(W1418,2),IF($Y$3="wind三级行业",[1]!s_info_industry_gics(W1418,3),IF($Y$3="wind四级行业",[1]!s_info_industry_gics(W1418,4),IF($Y$3="证监会门类行业",[1]!s_info_industry_csrc12_n(W1418,公司分析!D$5,1),""))))))))</f>
        <v>光学光电子</v>
      </c>
      <c r="Z1418" s="302" t="str">
        <f ca="1">IF(Y1418=行业比较!$E$6,ROW(),"")</f>
        <v/>
      </c>
      <c r="AA1418" s="122"/>
      <c r="AB1418" s="122"/>
      <c r="AC1418" s="122"/>
      <c r="AD1418" s="122"/>
      <c r="AE1418" s="122"/>
      <c r="AF1418" s="122"/>
      <c r="AG1418" s="122"/>
      <c r="AH1418" s="122"/>
      <c r="AI1418" s="122"/>
      <c r="AJ1418" s="122"/>
      <c r="AK1418" s="122"/>
      <c r="AL1418" s="122"/>
      <c r="AM1418" s="122"/>
      <c r="AN1418" s="122"/>
      <c r="AO1418" s="122"/>
      <c r="AP1418" s="122"/>
    </row>
    <row r="1419" spans="2:42">
      <c r="B1419" s="122"/>
      <c r="C1419" s="122"/>
      <c r="D1419" s="122"/>
      <c r="E1419" s="122"/>
      <c r="F1419" s="122"/>
      <c r="G1419" s="122"/>
      <c r="H1419" s="122"/>
      <c r="I1419" s="275"/>
      <c r="J1419" s="130"/>
      <c r="K1419" s="130"/>
      <c r="L1419" s="130"/>
      <c r="M1419" s="130"/>
      <c r="N1419" s="291"/>
      <c r="O1419" s="291"/>
      <c r="P1419" s="122"/>
      <c r="Q1419" s="122"/>
      <c r="R1419" s="122"/>
      <c r="S1419" s="122"/>
      <c r="T1419" s="122"/>
      <c r="U1419" s="301"/>
      <c r="V1419" s="260">
        <f t="shared" ca="1" si="30"/>
        <v>0</v>
      </c>
      <c r="W1419" s="348" t="str">
        <f>IF(板块成分!B1421="","",板块成分!B1421)</f>
        <v>002963.SZ</v>
      </c>
      <c r="X1419" s="276" t="str">
        <f>[1]!S_Info_Name(W1419)</f>
        <v>豪尔赛</v>
      </c>
      <c r="Y1419" s="276" t="str">
        <f ca="1">IF($Y$3="申万一级行业",[1]!s_info_industry_sw_2021(W1419,公司分析!D$5,1),IF($Y$3="申万二级行业",[1]!s_info_industry_sw_2021(W1419,公司分析!D$5,2),IF($Y$3="申万三级行业",[1]!s_info_industry_sw_2021(W1419,公司分析!D$5,3),IF($Y$3="wind一级行业",[1]!s_info_industry_gics(W1419,1),IF($Y$3="wind二级行业",[1]!s_info_industry_gics(W1419,2),IF($Y$3="wind三级行业",[1]!s_info_industry_gics(W1419,3),IF($Y$3="wind四级行业",[1]!s_info_industry_gics(W1419,4),IF($Y$3="证监会门类行业",[1]!s_info_industry_csrc12_n(W1419,公司分析!D$5,1),""))))))))</f>
        <v>装修装饰Ⅱ</v>
      </c>
      <c r="Z1419" s="302" t="str">
        <f ca="1">IF(Y1419=行业比较!$E$6,ROW(),"")</f>
        <v/>
      </c>
      <c r="AA1419" s="122"/>
      <c r="AB1419" s="122"/>
      <c r="AC1419" s="122"/>
      <c r="AD1419" s="122"/>
      <c r="AE1419" s="122"/>
      <c r="AF1419" s="122"/>
      <c r="AG1419" s="122"/>
      <c r="AH1419" s="122"/>
      <c r="AI1419" s="122"/>
      <c r="AJ1419" s="122"/>
      <c r="AK1419" s="122"/>
      <c r="AL1419" s="122"/>
      <c r="AM1419" s="122"/>
      <c r="AN1419" s="122"/>
      <c r="AO1419" s="122"/>
      <c r="AP1419" s="122"/>
    </row>
    <row r="1420" spans="2:42">
      <c r="B1420" s="122"/>
      <c r="C1420" s="122"/>
      <c r="D1420" s="122"/>
      <c r="E1420" s="122"/>
      <c r="F1420" s="122"/>
      <c r="G1420" s="122"/>
      <c r="H1420" s="122"/>
      <c r="I1420" s="275"/>
      <c r="J1420" s="130"/>
      <c r="K1420" s="130"/>
      <c r="L1420" s="130"/>
      <c r="M1420" s="130"/>
      <c r="N1420" s="291"/>
      <c r="O1420" s="291"/>
      <c r="P1420" s="122"/>
      <c r="Q1420" s="122"/>
      <c r="R1420" s="122"/>
      <c r="S1420" s="122"/>
      <c r="T1420" s="122"/>
      <c r="U1420" s="301"/>
      <c r="V1420" s="260">
        <f t="shared" ca="1" si="30"/>
        <v>0</v>
      </c>
      <c r="W1420" s="348" t="str">
        <f>IF(板块成分!B1422="","",板块成分!B1422)</f>
        <v>002965.SZ</v>
      </c>
      <c r="X1420" s="276" t="str">
        <f>[1]!S_Info_Name(W1420)</f>
        <v>祥鑫科技</v>
      </c>
      <c r="Y1420" s="276" t="str">
        <f ca="1">IF($Y$3="申万一级行业",[1]!s_info_industry_sw_2021(W1420,公司分析!D$5,1),IF($Y$3="申万二级行业",[1]!s_info_industry_sw_2021(W1420,公司分析!D$5,2),IF($Y$3="申万三级行业",[1]!s_info_industry_sw_2021(W1420,公司分析!D$5,3),IF($Y$3="wind一级行业",[1]!s_info_industry_gics(W1420,1),IF($Y$3="wind二级行业",[1]!s_info_industry_gics(W1420,2),IF($Y$3="wind三级行业",[1]!s_info_industry_gics(W1420,3),IF($Y$3="wind四级行业",[1]!s_info_industry_gics(W1420,4),IF($Y$3="证监会门类行业",[1]!s_info_industry_csrc12_n(W1420,公司分析!D$5,1),""))))))))</f>
        <v>汽车零部件</v>
      </c>
      <c r="Z1420" s="302" t="str">
        <f ca="1">IF(Y1420=行业比较!$E$6,ROW(),"")</f>
        <v/>
      </c>
      <c r="AA1420" s="122"/>
      <c r="AB1420" s="122"/>
      <c r="AC1420" s="122"/>
      <c r="AD1420" s="122"/>
      <c r="AE1420" s="122"/>
      <c r="AF1420" s="122"/>
      <c r="AG1420" s="122"/>
      <c r="AH1420" s="122"/>
      <c r="AI1420" s="122"/>
      <c r="AJ1420" s="122"/>
      <c r="AK1420" s="122"/>
      <c r="AL1420" s="122"/>
      <c r="AM1420" s="122"/>
      <c r="AN1420" s="122"/>
      <c r="AO1420" s="122"/>
      <c r="AP1420" s="122"/>
    </row>
    <row r="1421" spans="2:42">
      <c r="B1421" s="122"/>
      <c r="C1421" s="122"/>
      <c r="D1421" s="122"/>
      <c r="E1421" s="122"/>
      <c r="F1421" s="122"/>
      <c r="G1421" s="122"/>
      <c r="H1421" s="122"/>
      <c r="I1421" s="275"/>
      <c r="J1421" s="130"/>
      <c r="K1421" s="130"/>
      <c r="L1421" s="130"/>
      <c r="M1421" s="130"/>
      <c r="N1421" s="291"/>
      <c r="O1421" s="291"/>
      <c r="P1421" s="122"/>
      <c r="Q1421" s="122"/>
      <c r="R1421" s="122"/>
      <c r="S1421" s="122"/>
      <c r="T1421" s="122"/>
      <c r="U1421" s="301"/>
      <c r="V1421" s="260">
        <f t="shared" ca="1" si="30"/>
        <v>0</v>
      </c>
      <c r="W1421" s="348" t="str">
        <f>IF(板块成分!B1423="","",板块成分!B1423)</f>
        <v>002966.SZ</v>
      </c>
      <c r="X1421" s="276" t="str">
        <f>[1]!S_Info_Name(W1421)</f>
        <v>苏州银行</v>
      </c>
      <c r="Y1421" s="276" t="str">
        <f ca="1">IF($Y$3="申万一级行业",[1]!s_info_industry_sw_2021(W1421,公司分析!D$5,1),IF($Y$3="申万二级行业",[1]!s_info_industry_sw_2021(W1421,公司分析!D$5,2),IF($Y$3="申万三级行业",[1]!s_info_industry_sw_2021(W1421,公司分析!D$5,3),IF($Y$3="wind一级行业",[1]!s_info_industry_gics(W1421,1),IF($Y$3="wind二级行业",[1]!s_info_industry_gics(W1421,2),IF($Y$3="wind三级行业",[1]!s_info_industry_gics(W1421,3),IF($Y$3="wind四级行业",[1]!s_info_industry_gics(W1421,4),IF($Y$3="证监会门类行业",[1]!s_info_industry_csrc12_n(W1421,公司分析!D$5,1),""))))))))</f>
        <v>城商行Ⅱ</v>
      </c>
      <c r="Z1421" s="302" t="str">
        <f ca="1">IF(Y1421=行业比较!$E$6,ROW(),"")</f>
        <v/>
      </c>
      <c r="AA1421" s="122"/>
      <c r="AB1421" s="122"/>
      <c r="AC1421" s="122"/>
      <c r="AD1421" s="122"/>
      <c r="AE1421" s="122"/>
      <c r="AF1421" s="122"/>
      <c r="AG1421" s="122"/>
      <c r="AH1421" s="122"/>
      <c r="AI1421" s="122"/>
      <c r="AJ1421" s="122"/>
      <c r="AK1421" s="122"/>
      <c r="AL1421" s="122"/>
      <c r="AM1421" s="122"/>
      <c r="AN1421" s="122"/>
      <c r="AO1421" s="122"/>
      <c r="AP1421" s="122"/>
    </row>
    <row r="1422" spans="2:42">
      <c r="B1422" s="122"/>
      <c r="C1422" s="122"/>
      <c r="D1422" s="122"/>
      <c r="E1422" s="122"/>
      <c r="F1422" s="122"/>
      <c r="G1422" s="122"/>
      <c r="H1422" s="122"/>
      <c r="I1422" s="275"/>
      <c r="J1422" s="130"/>
      <c r="K1422" s="130"/>
      <c r="L1422" s="130"/>
      <c r="M1422" s="130"/>
      <c r="N1422" s="291"/>
      <c r="O1422" s="291"/>
      <c r="P1422" s="122"/>
      <c r="Q1422" s="122"/>
      <c r="R1422" s="122"/>
      <c r="S1422" s="122"/>
      <c r="T1422" s="122"/>
      <c r="U1422" s="301"/>
      <c r="V1422" s="260">
        <f t="shared" ca="1" si="30"/>
        <v>0</v>
      </c>
      <c r="W1422" s="348" t="str">
        <f>IF(板块成分!B1424="","",板块成分!B1424)</f>
        <v>002967.SZ</v>
      </c>
      <c r="X1422" s="276" t="str">
        <f>[1]!S_Info_Name(W1422)</f>
        <v>广电计量</v>
      </c>
      <c r="Y1422" s="276" t="str">
        <f ca="1">IF($Y$3="申万一级行业",[1]!s_info_industry_sw_2021(W1422,公司分析!D$5,1),IF($Y$3="申万二级行业",[1]!s_info_industry_sw_2021(W1422,公司分析!D$5,2),IF($Y$3="申万三级行业",[1]!s_info_industry_sw_2021(W1422,公司分析!D$5,3),IF($Y$3="wind一级行业",[1]!s_info_industry_gics(W1422,1),IF($Y$3="wind二级行业",[1]!s_info_industry_gics(W1422,2),IF($Y$3="wind三级行业",[1]!s_info_industry_gics(W1422,3),IF($Y$3="wind四级行业",[1]!s_info_industry_gics(W1422,4),IF($Y$3="证监会门类行业",[1]!s_info_industry_csrc12_n(W1422,公司分析!D$5,1),""))))))))</f>
        <v>专业服务</v>
      </c>
      <c r="Z1422" s="302" t="str">
        <f ca="1">IF(Y1422=行业比较!$E$6,ROW(),"")</f>
        <v/>
      </c>
      <c r="AA1422" s="122"/>
      <c r="AB1422" s="122"/>
      <c r="AC1422" s="122"/>
      <c r="AD1422" s="122"/>
      <c r="AE1422" s="122"/>
      <c r="AF1422" s="122"/>
      <c r="AG1422" s="122"/>
      <c r="AH1422" s="122"/>
      <c r="AI1422" s="122"/>
      <c r="AJ1422" s="122"/>
      <c r="AK1422" s="122"/>
      <c r="AL1422" s="122"/>
      <c r="AM1422" s="122"/>
      <c r="AN1422" s="122"/>
      <c r="AO1422" s="122"/>
      <c r="AP1422" s="122"/>
    </row>
    <row r="1423" spans="2:42">
      <c r="B1423" s="122"/>
      <c r="C1423" s="122"/>
      <c r="D1423" s="122"/>
      <c r="E1423" s="122"/>
      <c r="F1423" s="122"/>
      <c r="G1423" s="122"/>
      <c r="H1423" s="122"/>
      <c r="I1423" s="275"/>
      <c r="J1423" s="130"/>
      <c r="K1423" s="130"/>
      <c r="L1423" s="130"/>
      <c r="M1423" s="130"/>
      <c r="N1423" s="291"/>
      <c r="O1423" s="291"/>
      <c r="P1423" s="122"/>
      <c r="Q1423" s="122"/>
      <c r="R1423" s="122"/>
      <c r="S1423" s="122"/>
      <c r="T1423" s="122"/>
      <c r="U1423" s="301"/>
      <c r="V1423" s="260">
        <f t="shared" ca="1" si="30"/>
        <v>0</v>
      </c>
      <c r="W1423" s="348" t="str">
        <f>IF(板块成分!B1425="","",板块成分!B1425)</f>
        <v>002968.SZ</v>
      </c>
      <c r="X1423" s="276" t="str">
        <f>[1]!S_Info_Name(W1423)</f>
        <v>新大正</v>
      </c>
      <c r="Y1423" s="276" t="str">
        <f ca="1">IF($Y$3="申万一级行业",[1]!s_info_industry_sw_2021(W1423,公司分析!D$5,1),IF($Y$3="申万二级行业",[1]!s_info_industry_sw_2021(W1423,公司分析!D$5,2),IF($Y$3="申万三级行业",[1]!s_info_industry_sw_2021(W1423,公司分析!D$5,3),IF($Y$3="wind一级行业",[1]!s_info_industry_gics(W1423,1),IF($Y$3="wind二级行业",[1]!s_info_industry_gics(W1423,2),IF($Y$3="wind三级行业",[1]!s_info_industry_gics(W1423,3),IF($Y$3="wind四级行业",[1]!s_info_industry_gics(W1423,4),IF($Y$3="证监会门类行业",[1]!s_info_industry_csrc12_n(W1423,公司分析!D$5,1),""))))))))</f>
        <v>房地产服务</v>
      </c>
      <c r="Z1423" s="302" t="str">
        <f ca="1">IF(Y1423=行业比较!$E$6,ROW(),"")</f>
        <v/>
      </c>
      <c r="AA1423" s="122"/>
      <c r="AB1423" s="122"/>
      <c r="AC1423" s="122"/>
      <c r="AD1423" s="122"/>
      <c r="AE1423" s="122"/>
      <c r="AF1423" s="122"/>
      <c r="AG1423" s="122"/>
      <c r="AH1423" s="122"/>
      <c r="AI1423" s="122"/>
      <c r="AJ1423" s="122"/>
      <c r="AK1423" s="122"/>
      <c r="AL1423" s="122"/>
      <c r="AM1423" s="122"/>
      <c r="AN1423" s="122"/>
      <c r="AO1423" s="122"/>
      <c r="AP1423" s="122"/>
    </row>
    <row r="1424" spans="2:42">
      <c r="B1424" s="122"/>
      <c r="C1424" s="122"/>
      <c r="D1424" s="122"/>
      <c r="E1424" s="122"/>
      <c r="F1424" s="122"/>
      <c r="G1424" s="122"/>
      <c r="H1424" s="122"/>
      <c r="I1424" s="275"/>
      <c r="J1424" s="130"/>
      <c r="K1424" s="130"/>
      <c r="L1424" s="130"/>
      <c r="M1424" s="130"/>
      <c r="N1424" s="291"/>
      <c r="O1424" s="291"/>
      <c r="P1424" s="122"/>
      <c r="Q1424" s="122"/>
      <c r="R1424" s="122"/>
      <c r="S1424" s="122"/>
      <c r="T1424" s="122"/>
      <c r="U1424" s="301"/>
      <c r="V1424" s="260">
        <f t="shared" ca="1" si="30"/>
        <v>0</v>
      </c>
      <c r="W1424" s="348" t="str">
        <f>IF(板块成分!B1426="","",板块成分!B1426)</f>
        <v>002969.SZ</v>
      </c>
      <c r="X1424" s="276" t="str">
        <f>[1]!S_Info_Name(W1424)</f>
        <v>嘉美包装</v>
      </c>
      <c r="Y1424" s="276" t="str">
        <f ca="1">IF($Y$3="申万一级行业",[1]!s_info_industry_sw_2021(W1424,公司分析!D$5,1),IF($Y$3="申万二级行业",[1]!s_info_industry_sw_2021(W1424,公司分析!D$5,2),IF($Y$3="申万三级行业",[1]!s_info_industry_sw_2021(W1424,公司分析!D$5,3),IF($Y$3="wind一级行业",[1]!s_info_industry_gics(W1424,1),IF($Y$3="wind二级行业",[1]!s_info_industry_gics(W1424,2),IF($Y$3="wind三级行业",[1]!s_info_industry_gics(W1424,3),IF($Y$3="wind四级行业",[1]!s_info_industry_gics(W1424,4),IF($Y$3="证监会门类行业",[1]!s_info_industry_csrc12_n(W1424,公司分析!D$5,1),""))))))))</f>
        <v>包装印刷</v>
      </c>
      <c r="Z1424" s="302" t="str">
        <f ca="1">IF(Y1424=行业比较!$E$6,ROW(),"")</f>
        <v/>
      </c>
      <c r="AA1424" s="122"/>
      <c r="AB1424" s="122"/>
      <c r="AC1424" s="122"/>
      <c r="AD1424" s="122"/>
      <c r="AE1424" s="122"/>
      <c r="AF1424" s="122"/>
      <c r="AG1424" s="122"/>
      <c r="AH1424" s="122"/>
      <c r="AI1424" s="122"/>
      <c r="AJ1424" s="122"/>
      <c r="AK1424" s="122"/>
      <c r="AL1424" s="122"/>
      <c r="AM1424" s="122"/>
      <c r="AN1424" s="122"/>
      <c r="AO1424" s="122"/>
      <c r="AP1424" s="122"/>
    </row>
    <row r="1425" spans="2:42">
      <c r="B1425" s="122"/>
      <c r="C1425" s="122"/>
      <c r="D1425" s="122"/>
      <c r="E1425" s="122"/>
      <c r="F1425" s="122"/>
      <c r="G1425" s="122"/>
      <c r="H1425" s="122"/>
      <c r="I1425" s="275"/>
      <c r="J1425" s="130"/>
      <c r="K1425" s="130"/>
      <c r="L1425" s="130"/>
      <c r="M1425" s="130"/>
      <c r="N1425" s="291"/>
      <c r="O1425" s="291"/>
      <c r="P1425" s="122"/>
      <c r="Q1425" s="122"/>
      <c r="R1425" s="122"/>
      <c r="S1425" s="122"/>
      <c r="T1425" s="122"/>
      <c r="U1425" s="301"/>
      <c r="V1425" s="260">
        <f t="shared" ca="1" si="30"/>
        <v>0</v>
      </c>
      <c r="W1425" s="348" t="str">
        <f>IF(板块成分!B1427="","",板块成分!B1427)</f>
        <v>002970.SZ</v>
      </c>
      <c r="X1425" s="276" t="str">
        <f>[1]!S_Info_Name(W1425)</f>
        <v>锐明技术</v>
      </c>
      <c r="Y1425" s="276" t="str">
        <f ca="1">IF($Y$3="申万一级行业",[1]!s_info_industry_sw_2021(W1425,公司分析!D$5,1),IF($Y$3="申万二级行业",[1]!s_info_industry_sw_2021(W1425,公司分析!D$5,2),IF($Y$3="申万三级行业",[1]!s_info_industry_sw_2021(W1425,公司分析!D$5,3),IF($Y$3="wind一级行业",[1]!s_info_industry_gics(W1425,1),IF($Y$3="wind二级行业",[1]!s_info_industry_gics(W1425,2),IF($Y$3="wind三级行业",[1]!s_info_industry_gics(W1425,3),IF($Y$3="wind四级行业",[1]!s_info_industry_gics(W1425,4),IF($Y$3="证监会门类行业",[1]!s_info_industry_csrc12_n(W1425,公司分析!D$5,1),""))))))))</f>
        <v>计算机设备</v>
      </c>
      <c r="Z1425" s="302" t="str">
        <f ca="1">IF(Y1425=行业比较!$E$6,ROW(),"")</f>
        <v/>
      </c>
      <c r="AA1425" s="122"/>
      <c r="AB1425" s="122"/>
      <c r="AC1425" s="122"/>
      <c r="AD1425" s="122"/>
      <c r="AE1425" s="122"/>
      <c r="AF1425" s="122"/>
      <c r="AG1425" s="122"/>
      <c r="AH1425" s="122"/>
      <c r="AI1425" s="122"/>
      <c r="AJ1425" s="122"/>
      <c r="AK1425" s="122"/>
      <c r="AL1425" s="122"/>
      <c r="AM1425" s="122"/>
      <c r="AN1425" s="122"/>
      <c r="AO1425" s="122"/>
      <c r="AP1425" s="122"/>
    </row>
    <row r="1426" spans="2:42">
      <c r="B1426" s="122"/>
      <c r="C1426" s="122"/>
      <c r="D1426" s="122"/>
      <c r="E1426" s="122"/>
      <c r="F1426" s="122"/>
      <c r="G1426" s="122"/>
      <c r="H1426" s="122"/>
      <c r="I1426" s="275"/>
      <c r="J1426" s="130"/>
      <c r="K1426" s="130"/>
      <c r="L1426" s="130"/>
      <c r="M1426" s="130"/>
      <c r="N1426" s="291"/>
      <c r="O1426" s="291"/>
      <c r="P1426" s="122"/>
      <c r="Q1426" s="122"/>
      <c r="R1426" s="122"/>
      <c r="S1426" s="122"/>
      <c r="T1426" s="122"/>
      <c r="U1426" s="301"/>
      <c r="V1426" s="260">
        <f t="shared" ca="1" si="30"/>
        <v>0</v>
      </c>
      <c r="W1426" s="348" t="str">
        <f>IF(板块成分!B1428="","",板块成分!B1428)</f>
        <v>002971.SZ</v>
      </c>
      <c r="X1426" s="276" t="str">
        <f>[1]!S_Info_Name(W1426)</f>
        <v>和远气体</v>
      </c>
      <c r="Y1426" s="276" t="str">
        <f ca="1">IF($Y$3="申万一级行业",[1]!s_info_industry_sw_2021(W1426,公司分析!D$5,1),IF($Y$3="申万二级行业",[1]!s_info_industry_sw_2021(W1426,公司分析!D$5,2),IF($Y$3="申万三级行业",[1]!s_info_industry_sw_2021(W1426,公司分析!D$5,3),IF($Y$3="wind一级行业",[1]!s_info_industry_gics(W1426,1),IF($Y$3="wind二级行业",[1]!s_info_industry_gics(W1426,2),IF($Y$3="wind三级行业",[1]!s_info_industry_gics(W1426,3),IF($Y$3="wind四级行业",[1]!s_info_industry_gics(W1426,4),IF($Y$3="证监会门类行业",[1]!s_info_industry_csrc12_n(W1426,公司分析!D$5,1),""))))))))</f>
        <v>化学制品</v>
      </c>
      <c r="Z1426" s="302" t="str">
        <f ca="1">IF(Y1426=行业比较!$E$6,ROW(),"")</f>
        <v/>
      </c>
      <c r="AA1426" s="122"/>
      <c r="AB1426" s="122"/>
      <c r="AC1426" s="122"/>
      <c r="AD1426" s="122"/>
      <c r="AE1426" s="122"/>
      <c r="AF1426" s="122"/>
      <c r="AG1426" s="122"/>
      <c r="AH1426" s="122"/>
      <c r="AI1426" s="122"/>
      <c r="AJ1426" s="122"/>
      <c r="AK1426" s="122"/>
      <c r="AL1426" s="122"/>
      <c r="AM1426" s="122"/>
      <c r="AN1426" s="122"/>
      <c r="AO1426" s="122"/>
      <c r="AP1426" s="122"/>
    </row>
    <row r="1427" spans="2:42">
      <c r="B1427" s="122"/>
      <c r="C1427" s="122"/>
      <c r="D1427" s="122"/>
      <c r="E1427" s="122"/>
      <c r="F1427" s="122"/>
      <c r="G1427" s="122"/>
      <c r="H1427" s="122"/>
      <c r="I1427" s="275"/>
      <c r="J1427" s="130"/>
      <c r="K1427" s="130"/>
      <c r="L1427" s="130"/>
      <c r="M1427" s="130"/>
      <c r="N1427" s="291"/>
      <c r="O1427" s="291"/>
      <c r="P1427" s="122"/>
      <c r="Q1427" s="122"/>
      <c r="R1427" s="122"/>
      <c r="S1427" s="122"/>
      <c r="T1427" s="122"/>
      <c r="U1427" s="301"/>
      <c r="V1427" s="260">
        <f t="shared" ca="1" si="30"/>
        <v>0</v>
      </c>
      <c r="W1427" s="348" t="str">
        <f>IF(板块成分!B1429="","",板块成分!B1429)</f>
        <v>002972.SZ</v>
      </c>
      <c r="X1427" s="276" t="str">
        <f>[1]!S_Info_Name(W1427)</f>
        <v>科安达</v>
      </c>
      <c r="Y1427" s="276" t="str">
        <f ca="1">IF($Y$3="申万一级行业",[1]!s_info_industry_sw_2021(W1427,公司分析!D$5,1),IF($Y$3="申万二级行业",[1]!s_info_industry_sw_2021(W1427,公司分析!D$5,2),IF($Y$3="申万三级行业",[1]!s_info_industry_sw_2021(W1427,公司分析!D$5,3),IF($Y$3="wind一级行业",[1]!s_info_industry_gics(W1427,1),IF($Y$3="wind二级行业",[1]!s_info_industry_gics(W1427,2),IF($Y$3="wind三级行业",[1]!s_info_industry_gics(W1427,3),IF($Y$3="wind四级行业",[1]!s_info_industry_gics(W1427,4),IF($Y$3="证监会门类行业",[1]!s_info_industry_csrc12_n(W1427,公司分析!D$5,1),""))))))))</f>
        <v>轨交设备Ⅱ</v>
      </c>
      <c r="Z1427" s="302" t="str">
        <f ca="1">IF(Y1427=行业比较!$E$6,ROW(),"")</f>
        <v/>
      </c>
      <c r="AA1427" s="122"/>
      <c r="AB1427" s="122"/>
      <c r="AC1427" s="122"/>
      <c r="AD1427" s="122"/>
      <c r="AE1427" s="122"/>
      <c r="AF1427" s="122"/>
      <c r="AG1427" s="122"/>
      <c r="AH1427" s="122"/>
      <c r="AI1427" s="122"/>
      <c r="AJ1427" s="122"/>
      <c r="AK1427" s="122"/>
      <c r="AL1427" s="122"/>
      <c r="AM1427" s="122"/>
      <c r="AN1427" s="122"/>
      <c r="AO1427" s="122"/>
      <c r="AP1427" s="122"/>
    </row>
    <row r="1428" spans="2:42">
      <c r="B1428" s="122"/>
      <c r="C1428" s="122"/>
      <c r="D1428" s="122"/>
      <c r="E1428" s="122"/>
      <c r="F1428" s="122"/>
      <c r="G1428" s="122"/>
      <c r="H1428" s="122"/>
      <c r="I1428" s="275"/>
      <c r="J1428" s="130"/>
      <c r="K1428" s="130"/>
      <c r="L1428" s="130"/>
      <c r="M1428" s="130"/>
      <c r="N1428" s="291"/>
      <c r="O1428" s="291"/>
      <c r="P1428" s="122"/>
      <c r="Q1428" s="122"/>
      <c r="R1428" s="122"/>
      <c r="S1428" s="122"/>
      <c r="T1428" s="122"/>
      <c r="U1428" s="301"/>
      <c r="V1428" s="260">
        <f t="shared" ca="1" si="30"/>
        <v>0</v>
      </c>
      <c r="W1428" s="348" t="str">
        <f>IF(板块成分!B1430="","",板块成分!B1430)</f>
        <v>002973.SZ</v>
      </c>
      <c r="X1428" s="276" t="str">
        <f>[1]!S_Info_Name(W1428)</f>
        <v>侨银股份</v>
      </c>
      <c r="Y1428" s="276" t="str">
        <f ca="1">IF($Y$3="申万一级行业",[1]!s_info_industry_sw_2021(W1428,公司分析!D$5,1),IF($Y$3="申万二级行业",[1]!s_info_industry_sw_2021(W1428,公司分析!D$5,2),IF($Y$3="申万三级行业",[1]!s_info_industry_sw_2021(W1428,公司分析!D$5,3),IF($Y$3="wind一级行业",[1]!s_info_industry_gics(W1428,1),IF($Y$3="wind二级行业",[1]!s_info_industry_gics(W1428,2),IF($Y$3="wind三级行业",[1]!s_info_industry_gics(W1428,3),IF($Y$3="wind四级行业",[1]!s_info_industry_gics(W1428,4),IF($Y$3="证监会门类行业",[1]!s_info_industry_csrc12_n(W1428,公司分析!D$5,1),""))))))))</f>
        <v>环境治理</v>
      </c>
      <c r="Z1428" s="302" t="str">
        <f ca="1">IF(Y1428=行业比较!$E$6,ROW(),"")</f>
        <v/>
      </c>
      <c r="AA1428" s="122"/>
      <c r="AB1428" s="122"/>
      <c r="AC1428" s="122"/>
      <c r="AD1428" s="122"/>
      <c r="AE1428" s="122"/>
      <c r="AF1428" s="122"/>
      <c r="AG1428" s="122"/>
      <c r="AH1428" s="122"/>
      <c r="AI1428" s="122"/>
      <c r="AJ1428" s="122"/>
      <c r="AK1428" s="122"/>
      <c r="AL1428" s="122"/>
      <c r="AM1428" s="122"/>
      <c r="AN1428" s="122"/>
      <c r="AO1428" s="122"/>
      <c r="AP1428" s="122"/>
    </row>
    <row r="1429" spans="2:42">
      <c r="B1429" s="122"/>
      <c r="C1429" s="122"/>
      <c r="D1429" s="122"/>
      <c r="E1429" s="122"/>
      <c r="F1429" s="122"/>
      <c r="G1429" s="122"/>
      <c r="H1429" s="122"/>
      <c r="I1429" s="275"/>
      <c r="J1429" s="130"/>
      <c r="K1429" s="130"/>
      <c r="L1429" s="130"/>
      <c r="M1429" s="130"/>
      <c r="N1429" s="291"/>
      <c r="O1429" s="291"/>
      <c r="P1429" s="122"/>
      <c r="Q1429" s="122"/>
      <c r="R1429" s="122"/>
      <c r="S1429" s="122"/>
      <c r="T1429" s="122"/>
      <c r="U1429" s="301"/>
      <c r="V1429" s="260">
        <f t="shared" ca="1" si="30"/>
        <v>0</v>
      </c>
      <c r="W1429" s="348" t="str">
        <f>IF(板块成分!B1431="","",板块成分!B1431)</f>
        <v>002975.SZ</v>
      </c>
      <c r="X1429" s="276" t="str">
        <f>[1]!S_Info_Name(W1429)</f>
        <v>博杰股份</v>
      </c>
      <c r="Y1429" s="276" t="str">
        <f ca="1">IF($Y$3="申万一级行业",[1]!s_info_industry_sw_2021(W1429,公司分析!D$5,1),IF($Y$3="申万二级行业",[1]!s_info_industry_sw_2021(W1429,公司分析!D$5,2),IF($Y$3="申万三级行业",[1]!s_info_industry_sw_2021(W1429,公司分析!D$5,3),IF($Y$3="wind一级行业",[1]!s_info_industry_gics(W1429,1),IF($Y$3="wind二级行业",[1]!s_info_industry_gics(W1429,2),IF($Y$3="wind三级行业",[1]!s_info_industry_gics(W1429,3),IF($Y$3="wind四级行业",[1]!s_info_industry_gics(W1429,4),IF($Y$3="证监会门类行业",[1]!s_info_industry_csrc12_n(W1429,公司分析!D$5,1),""))))))))</f>
        <v>自动化设备</v>
      </c>
      <c r="Z1429" s="302" t="str">
        <f ca="1">IF(Y1429=行业比较!$E$6,ROW(),"")</f>
        <v/>
      </c>
      <c r="AA1429" s="122"/>
      <c r="AB1429" s="122"/>
      <c r="AC1429" s="122"/>
      <c r="AD1429" s="122"/>
      <c r="AE1429" s="122"/>
      <c r="AF1429" s="122"/>
      <c r="AG1429" s="122"/>
      <c r="AH1429" s="122"/>
      <c r="AI1429" s="122"/>
      <c r="AJ1429" s="122"/>
      <c r="AK1429" s="122"/>
      <c r="AL1429" s="122"/>
      <c r="AM1429" s="122"/>
      <c r="AN1429" s="122"/>
      <c r="AO1429" s="122"/>
      <c r="AP1429" s="122"/>
    </row>
    <row r="1430" spans="2:42">
      <c r="B1430" s="122"/>
      <c r="C1430" s="122"/>
      <c r="D1430" s="122"/>
      <c r="E1430" s="122"/>
      <c r="F1430" s="122"/>
      <c r="G1430" s="122"/>
      <c r="H1430" s="122"/>
      <c r="I1430" s="275"/>
      <c r="J1430" s="130"/>
      <c r="K1430" s="130"/>
      <c r="L1430" s="130"/>
      <c r="M1430" s="130"/>
      <c r="N1430" s="291"/>
      <c r="O1430" s="291"/>
      <c r="P1430" s="122"/>
      <c r="Q1430" s="122"/>
      <c r="R1430" s="122"/>
      <c r="S1430" s="122"/>
      <c r="T1430" s="122"/>
      <c r="U1430" s="301"/>
      <c r="V1430" s="260">
        <f t="shared" ca="1" si="30"/>
        <v>0</v>
      </c>
      <c r="W1430" s="348" t="str">
        <f>IF(板块成分!B1432="","",板块成分!B1432)</f>
        <v>002976.SZ</v>
      </c>
      <c r="X1430" s="276" t="str">
        <f>[1]!S_Info_Name(W1430)</f>
        <v>瑞玛精密</v>
      </c>
      <c r="Y1430" s="276" t="str">
        <f ca="1">IF($Y$3="申万一级行业",[1]!s_info_industry_sw_2021(W1430,公司分析!D$5,1),IF($Y$3="申万二级行业",[1]!s_info_industry_sw_2021(W1430,公司分析!D$5,2),IF($Y$3="申万三级行业",[1]!s_info_industry_sw_2021(W1430,公司分析!D$5,3),IF($Y$3="wind一级行业",[1]!s_info_industry_gics(W1430,1),IF($Y$3="wind二级行业",[1]!s_info_industry_gics(W1430,2),IF($Y$3="wind三级行业",[1]!s_info_industry_gics(W1430,3),IF($Y$3="wind四级行业",[1]!s_info_industry_gics(W1430,4),IF($Y$3="证监会门类行业",[1]!s_info_industry_csrc12_n(W1430,公司分析!D$5,1),""))))))))</f>
        <v>汽车零部件</v>
      </c>
      <c r="Z1430" s="302" t="str">
        <f ca="1">IF(Y1430=行业比较!$E$6,ROW(),"")</f>
        <v/>
      </c>
      <c r="AA1430" s="122"/>
      <c r="AB1430" s="122"/>
      <c r="AC1430" s="122"/>
      <c r="AD1430" s="122"/>
      <c r="AE1430" s="122"/>
      <c r="AF1430" s="122"/>
      <c r="AG1430" s="122"/>
      <c r="AH1430" s="122"/>
      <c r="AI1430" s="122"/>
      <c r="AJ1430" s="122"/>
      <c r="AK1430" s="122"/>
      <c r="AL1430" s="122"/>
      <c r="AM1430" s="122"/>
      <c r="AN1430" s="122"/>
      <c r="AO1430" s="122"/>
      <c r="AP1430" s="122"/>
    </row>
    <row r="1431" spans="2:42">
      <c r="B1431" s="122"/>
      <c r="C1431" s="122"/>
      <c r="D1431" s="122"/>
      <c r="E1431" s="122"/>
      <c r="F1431" s="122"/>
      <c r="G1431" s="122"/>
      <c r="H1431" s="122"/>
      <c r="I1431" s="275"/>
      <c r="J1431" s="130"/>
      <c r="K1431" s="130"/>
      <c r="L1431" s="130"/>
      <c r="M1431" s="130"/>
      <c r="N1431" s="291"/>
      <c r="O1431" s="291"/>
      <c r="P1431" s="122"/>
      <c r="Q1431" s="122"/>
      <c r="R1431" s="122"/>
      <c r="S1431" s="122"/>
      <c r="T1431" s="122"/>
      <c r="U1431" s="301"/>
      <c r="V1431" s="260">
        <f t="shared" ca="1" si="30"/>
        <v>0</v>
      </c>
      <c r="W1431" s="348" t="str">
        <f>IF(板块成分!B1433="","",板块成分!B1433)</f>
        <v>002977.SZ</v>
      </c>
      <c r="X1431" s="276" t="str">
        <f>[1]!S_Info_Name(W1431)</f>
        <v>天箭科技</v>
      </c>
      <c r="Y1431" s="276" t="str">
        <f ca="1">IF($Y$3="申万一级行业",[1]!s_info_industry_sw_2021(W1431,公司分析!D$5,1),IF($Y$3="申万二级行业",[1]!s_info_industry_sw_2021(W1431,公司分析!D$5,2),IF($Y$3="申万三级行业",[1]!s_info_industry_sw_2021(W1431,公司分析!D$5,3),IF($Y$3="wind一级行业",[1]!s_info_industry_gics(W1431,1),IF($Y$3="wind二级行业",[1]!s_info_industry_gics(W1431,2),IF($Y$3="wind三级行业",[1]!s_info_industry_gics(W1431,3),IF($Y$3="wind四级行业",[1]!s_info_industry_gics(W1431,4),IF($Y$3="证监会门类行业",[1]!s_info_industry_csrc12_n(W1431,公司分析!D$5,1),""))))))))</f>
        <v>军工电子Ⅱ</v>
      </c>
      <c r="Z1431" s="302" t="str">
        <f ca="1">IF(Y1431=行业比较!$E$6,ROW(),"")</f>
        <v/>
      </c>
      <c r="AA1431" s="122"/>
      <c r="AB1431" s="122"/>
      <c r="AC1431" s="122"/>
      <c r="AD1431" s="122"/>
      <c r="AE1431" s="122"/>
      <c r="AF1431" s="122"/>
      <c r="AG1431" s="122"/>
      <c r="AH1431" s="122"/>
      <c r="AI1431" s="122"/>
      <c r="AJ1431" s="122"/>
      <c r="AK1431" s="122"/>
      <c r="AL1431" s="122"/>
      <c r="AM1431" s="122"/>
      <c r="AN1431" s="122"/>
      <c r="AO1431" s="122"/>
      <c r="AP1431" s="122"/>
    </row>
    <row r="1432" spans="2:42">
      <c r="B1432" s="122"/>
      <c r="C1432" s="122"/>
      <c r="D1432" s="122"/>
      <c r="E1432" s="122"/>
      <c r="F1432" s="122"/>
      <c r="G1432" s="122"/>
      <c r="H1432" s="122"/>
      <c r="I1432" s="275"/>
      <c r="J1432" s="130"/>
      <c r="K1432" s="130"/>
      <c r="L1432" s="130"/>
      <c r="M1432" s="130"/>
      <c r="N1432" s="291"/>
      <c r="O1432" s="291"/>
      <c r="P1432" s="122"/>
      <c r="Q1432" s="122"/>
      <c r="R1432" s="122"/>
      <c r="S1432" s="122"/>
      <c r="T1432" s="122"/>
      <c r="U1432" s="301"/>
      <c r="V1432" s="260">
        <f t="shared" ca="1" si="30"/>
        <v>0</v>
      </c>
      <c r="W1432" s="348" t="str">
        <f>IF(板块成分!B1434="","",板块成分!B1434)</f>
        <v>002978.SZ</v>
      </c>
      <c r="X1432" s="276" t="str">
        <f>[1]!S_Info_Name(W1432)</f>
        <v>安宁股份</v>
      </c>
      <c r="Y1432" s="276" t="str">
        <f ca="1">IF($Y$3="申万一级行业",[1]!s_info_industry_sw_2021(W1432,公司分析!D$5,1),IF($Y$3="申万二级行业",[1]!s_info_industry_sw_2021(W1432,公司分析!D$5,2),IF($Y$3="申万三级行业",[1]!s_info_industry_sw_2021(W1432,公司分析!D$5,3),IF($Y$3="wind一级行业",[1]!s_info_industry_gics(W1432,1),IF($Y$3="wind二级行业",[1]!s_info_industry_gics(W1432,2),IF($Y$3="wind三级行业",[1]!s_info_industry_gics(W1432,3),IF($Y$3="wind四级行业",[1]!s_info_industry_gics(W1432,4),IF($Y$3="证监会门类行业",[1]!s_info_industry_csrc12_n(W1432,公司分析!D$5,1),""))))))))</f>
        <v>小金属</v>
      </c>
      <c r="Z1432" s="302" t="str">
        <f ca="1">IF(Y1432=行业比较!$E$6,ROW(),"")</f>
        <v/>
      </c>
      <c r="AA1432" s="122"/>
      <c r="AB1432" s="122"/>
      <c r="AC1432" s="122"/>
      <c r="AD1432" s="122"/>
      <c r="AE1432" s="122"/>
      <c r="AF1432" s="122"/>
      <c r="AG1432" s="122"/>
      <c r="AH1432" s="122"/>
      <c r="AI1432" s="122"/>
      <c r="AJ1432" s="122"/>
      <c r="AK1432" s="122"/>
      <c r="AL1432" s="122"/>
      <c r="AM1432" s="122"/>
      <c r="AN1432" s="122"/>
      <c r="AO1432" s="122"/>
      <c r="AP1432" s="122"/>
    </row>
    <row r="1433" spans="2:42">
      <c r="B1433" s="122"/>
      <c r="C1433" s="122"/>
      <c r="D1433" s="122"/>
      <c r="E1433" s="122"/>
      <c r="F1433" s="122"/>
      <c r="G1433" s="122"/>
      <c r="H1433" s="122"/>
      <c r="I1433" s="275"/>
      <c r="J1433" s="130"/>
      <c r="K1433" s="130"/>
      <c r="L1433" s="130"/>
      <c r="M1433" s="130"/>
      <c r="N1433" s="291"/>
      <c r="O1433" s="291"/>
      <c r="P1433" s="122"/>
      <c r="Q1433" s="122"/>
      <c r="R1433" s="122"/>
      <c r="S1433" s="122"/>
      <c r="T1433" s="122"/>
      <c r="U1433" s="301"/>
      <c r="V1433" s="260">
        <f t="shared" ca="1" si="30"/>
        <v>0</v>
      </c>
      <c r="W1433" s="348" t="str">
        <f>IF(板块成分!B1435="","",板块成分!B1435)</f>
        <v>002979.SZ</v>
      </c>
      <c r="X1433" s="276" t="str">
        <f>[1]!S_Info_Name(W1433)</f>
        <v>雷赛智能</v>
      </c>
      <c r="Y1433" s="276" t="str">
        <f ca="1">IF($Y$3="申万一级行业",[1]!s_info_industry_sw_2021(W1433,公司分析!D$5,1),IF($Y$3="申万二级行业",[1]!s_info_industry_sw_2021(W1433,公司分析!D$5,2),IF($Y$3="申万三级行业",[1]!s_info_industry_sw_2021(W1433,公司分析!D$5,3),IF($Y$3="wind一级行业",[1]!s_info_industry_gics(W1433,1),IF($Y$3="wind二级行业",[1]!s_info_industry_gics(W1433,2),IF($Y$3="wind三级行业",[1]!s_info_industry_gics(W1433,3),IF($Y$3="wind四级行业",[1]!s_info_industry_gics(W1433,4),IF($Y$3="证监会门类行业",[1]!s_info_industry_csrc12_n(W1433,公司分析!D$5,1),""))))))))</f>
        <v>自动化设备</v>
      </c>
      <c r="Z1433" s="302" t="str">
        <f ca="1">IF(Y1433=行业比较!$E$6,ROW(),"")</f>
        <v/>
      </c>
      <c r="AA1433" s="122"/>
      <c r="AB1433" s="122"/>
      <c r="AC1433" s="122"/>
      <c r="AD1433" s="122"/>
      <c r="AE1433" s="122"/>
      <c r="AF1433" s="122"/>
      <c r="AG1433" s="122"/>
      <c r="AH1433" s="122"/>
      <c r="AI1433" s="122"/>
      <c r="AJ1433" s="122"/>
      <c r="AK1433" s="122"/>
      <c r="AL1433" s="122"/>
      <c r="AM1433" s="122"/>
      <c r="AN1433" s="122"/>
      <c r="AO1433" s="122"/>
      <c r="AP1433" s="122"/>
    </row>
    <row r="1434" spans="2:42">
      <c r="B1434" s="122"/>
      <c r="C1434" s="122"/>
      <c r="D1434" s="122"/>
      <c r="E1434" s="122"/>
      <c r="F1434" s="122"/>
      <c r="G1434" s="122"/>
      <c r="H1434" s="122"/>
      <c r="I1434" s="275"/>
      <c r="J1434" s="130"/>
      <c r="K1434" s="130"/>
      <c r="L1434" s="130"/>
      <c r="M1434" s="130"/>
      <c r="N1434" s="291"/>
      <c r="O1434" s="291"/>
      <c r="P1434" s="122"/>
      <c r="Q1434" s="122"/>
      <c r="R1434" s="122"/>
      <c r="S1434" s="122"/>
      <c r="T1434" s="122"/>
      <c r="U1434" s="301"/>
      <c r="V1434" s="260">
        <f t="shared" ca="1" si="30"/>
        <v>0</v>
      </c>
      <c r="W1434" s="348" t="str">
        <f>IF(板块成分!B1436="","",板块成分!B1436)</f>
        <v>002980.SZ</v>
      </c>
      <c r="X1434" s="276" t="str">
        <f>[1]!S_Info_Name(W1434)</f>
        <v>华盛昌</v>
      </c>
      <c r="Y1434" s="276" t="str">
        <f ca="1">IF($Y$3="申万一级行业",[1]!s_info_industry_sw_2021(W1434,公司分析!D$5,1),IF($Y$3="申万二级行业",[1]!s_info_industry_sw_2021(W1434,公司分析!D$5,2),IF($Y$3="申万三级行业",[1]!s_info_industry_sw_2021(W1434,公司分析!D$5,3),IF($Y$3="wind一级行业",[1]!s_info_industry_gics(W1434,1),IF($Y$3="wind二级行业",[1]!s_info_industry_gics(W1434,2),IF($Y$3="wind三级行业",[1]!s_info_industry_gics(W1434,3),IF($Y$3="wind四级行业",[1]!s_info_industry_gics(W1434,4),IF($Y$3="证监会门类行业",[1]!s_info_industry_csrc12_n(W1434,公司分析!D$5,1),""))))))))</f>
        <v>电网设备</v>
      </c>
      <c r="Z1434" s="302" t="str">
        <f ca="1">IF(Y1434=行业比较!$E$6,ROW(),"")</f>
        <v/>
      </c>
      <c r="AA1434" s="122"/>
      <c r="AB1434" s="122"/>
      <c r="AC1434" s="122"/>
      <c r="AD1434" s="122"/>
      <c r="AE1434" s="122"/>
      <c r="AF1434" s="122"/>
      <c r="AG1434" s="122"/>
      <c r="AH1434" s="122"/>
      <c r="AI1434" s="122"/>
      <c r="AJ1434" s="122"/>
      <c r="AK1434" s="122"/>
      <c r="AL1434" s="122"/>
      <c r="AM1434" s="122"/>
      <c r="AN1434" s="122"/>
      <c r="AO1434" s="122"/>
      <c r="AP1434" s="122"/>
    </row>
    <row r="1435" spans="2:42">
      <c r="B1435" s="122"/>
      <c r="C1435" s="122"/>
      <c r="D1435" s="122"/>
      <c r="E1435" s="122"/>
      <c r="F1435" s="122"/>
      <c r="G1435" s="122"/>
      <c r="H1435" s="122"/>
      <c r="I1435" s="275"/>
      <c r="J1435" s="130"/>
      <c r="K1435" s="130"/>
      <c r="L1435" s="130"/>
      <c r="M1435" s="130"/>
      <c r="N1435" s="291"/>
      <c r="O1435" s="291"/>
      <c r="P1435" s="122"/>
      <c r="Q1435" s="122"/>
      <c r="R1435" s="122"/>
      <c r="S1435" s="122"/>
      <c r="T1435" s="122"/>
      <c r="U1435" s="301"/>
      <c r="V1435" s="260">
        <f t="shared" ca="1" si="30"/>
        <v>0</v>
      </c>
      <c r="W1435" s="348" t="str">
        <f>IF(板块成分!B1437="","",板块成分!B1437)</f>
        <v>002981.SZ</v>
      </c>
      <c r="X1435" s="276" t="str">
        <f>[1]!S_Info_Name(W1435)</f>
        <v>朝阳科技</v>
      </c>
      <c r="Y1435" s="276" t="str">
        <f ca="1">IF($Y$3="申万一级行业",[1]!s_info_industry_sw_2021(W1435,公司分析!D$5,1),IF($Y$3="申万二级行业",[1]!s_info_industry_sw_2021(W1435,公司分析!D$5,2),IF($Y$3="申万三级行业",[1]!s_info_industry_sw_2021(W1435,公司分析!D$5,3),IF($Y$3="wind一级行业",[1]!s_info_industry_gics(W1435,1),IF($Y$3="wind二级行业",[1]!s_info_industry_gics(W1435,2),IF($Y$3="wind三级行业",[1]!s_info_industry_gics(W1435,3),IF($Y$3="wind四级行业",[1]!s_info_industry_gics(W1435,4),IF($Y$3="证监会门类行业",[1]!s_info_industry_csrc12_n(W1435,公司分析!D$5,1),""))))))))</f>
        <v>消费电子</v>
      </c>
      <c r="Z1435" s="302" t="str">
        <f ca="1">IF(Y1435=行业比较!$E$6,ROW(),"")</f>
        <v/>
      </c>
      <c r="AA1435" s="122"/>
      <c r="AB1435" s="122"/>
      <c r="AC1435" s="122"/>
      <c r="AD1435" s="122"/>
      <c r="AE1435" s="122"/>
      <c r="AF1435" s="122"/>
      <c r="AG1435" s="122"/>
      <c r="AH1435" s="122"/>
      <c r="AI1435" s="122"/>
      <c r="AJ1435" s="122"/>
      <c r="AK1435" s="122"/>
      <c r="AL1435" s="122"/>
      <c r="AM1435" s="122"/>
      <c r="AN1435" s="122"/>
      <c r="AO1435" s="122"/>
      <c r="AP1435" s="122"/>
    </row>
    <row r="1436" spans="2:42">
      <c r="B1436" s="122"/>
      <c r="C1436" s="122"/>
      <c r="D1436" s="122"/>
      <c r="E1436" s="122"/>
      <c r="F1436" s="122"/>
      <c r="G1436" s="122"/>
      <c r="H1436" s="122"/>
      <c r="I1436" s="275"/>
      <c r="J1436" s="130"/>
      <c r="K1436" s="130"/>
      <c r="L1436" s="130"/>
      <c r="M1436" s="130"/>
      <c r="N1436" s="291"/>
      <c r="O1436" s="291"/>
      <c r="P1436" s="122"/>
      <c r="Q1436" s="122"/>
      <c r="R1436" s="122"/>
      <c r="S1436" s="122"/>
      <c r="T1436" s="122"/>
      <c r="U1436" s="301"/>
      <c r="V1436" s="260">
        <f t="shared" ca="1" si="30"/>
        <v>0</v>
      </c>
      <c r="W1436" s="348" t="str">
        <f>IF(板块成分!B1438="","",板块成分!B1438)</f>
        <v>002982.SZ</v>
      </c>
      <c r="X1436" s="276" t="str">
        <f>[1]!S_Info_Name(W1436)</f>
        <v>湘佳股份</v>
      </c>
      <c r="Y1436" s="276" t="str">
        <f ca="1">IF($Y$3="申万一级行业",[1]!s_info_industry_sw_2021(W1436,公司分析!D$5,1),IF($Y$3="申万二级行业",[1]!s_info_industry_sw_2021(W1436,公司分析!D$5,2),IF($Y$3="申万三级行业",[1]!s_info_industry_sw_2021(W1436,公司分析!D$5,3),IF($Y$3="wind一级行业",[1]!s_info_industry_gics(W1436,1),IF($Y$3="wind二级行业",[1]!s_info_industry_gics(W1436,2),IF($Y$3="wind三级行业",[1]!s_info_industry_gics(W1436,3),IF($Y$3="wind四级行业",[1]!s_info_industry_gics(W1436,4),IF($Y$3="证监会门类行业",[1]!s_info_industry_csrc12_n(W1436,公司分析!D$5,1),""))))))))</f>
        <v>养殖业</v>
      </c>
      <c r="Z1436" s="302" t="str">
        <f ca="1">IF(Y1436=行业比较!$E$6,ROW(),"")</f>
        <v/>
      </c>
      <c r="AA1436" s="122"/>
      <c r="AB1436" s="122"/>
      <c r="AC1436" s="122"/>
      <c r="AD1436" s="122"/>
      <c r="AE1436" s="122"/>
      <c r="AF1436" s="122"/>
      <c r="AG1436" s="122"/>
      <c r="AH1436" s="122"/>
      <c r="AI1436" s="122"/>
      <c r="AJ1436" s="122"/>
      <c r="AK1436" s="122"/>
      <c r="AL1436" s="122"/>
      <c r="AM1436" s="122"/>
      <c r="AN1436" s="122"/>
      <c r="AO1436" s="122"/>
      <c r="AP1436" s="122"/>
    </row>
    <row r="1437" spans="2:42">
      <c r="B1437" s="122"/>
      <c r="C1437" s="122"/>
      <c r="D1437" s="122"/>
      <c r="E1437" s="122"/>
      <c r="F1437" s="122"/>
      <c r="G1437" s="122"/>
      <c r="H1437" s="122"/>
      <c r="I1437" s="275"/>
      <c r="J1437" s="130"/>
      <c r="K1437" s="130"/>
      <c r="L1437" s="130"/>
      <c r="M1437" s="130"/>
      <c r="N1437" s="291"/>
      <c r="O1437" s="291"/>
      <c r="P1437" s="122"/>
      <c r="Q1437" s="122"/>
      <c r="R1437" s="122"/>
      <c r="S1437" s="122"/>
      <c r="T1437" s="122"/>
      <c r="U1437" s="301"/>
      <c r="V1437" s="260">
        <f t="shared" ca="1" si="30"/>
        <v>0</v>
      </c>
      <c r="W1437" s="348" t="str">
        <f>IF(板块成分!B1439="","",板块成分!B1439)</f>
        <v>002983.SZ</v>
      </c>
      <c r="X1437" s="276" t="str">
        <f>[1]!S_Info_Name(W1437)</f>
        <v>芯瑞达</v>
      </c>
      <c r="Y1437" s="276" t="str">
        <f ca="1">IF($Y$3="申万一级行业",[1]!s_info_industry_sw_2021(W1437,公司分析!D$5,1),IF($Y$3="申万二级行业",[1]!s_info_industry_sw_2021(W1437,公司分析!D$5,2),IF($Y$3="申万三级行业",[1]!s_info_industry_sw_2021(W1437,公司分析!D$5,3),IF($Y$3="wind一级行业",[1]!s_info_industry_gics(W1437,1),IF($Y$3="wind二级行业",[1]!s_info_industry_gics(W1437,2),IF($Y$3="wind三级行业",[1]!s_info_industry_gics(W1437,3),IF($Y$3="wind四级行业",[1]!s_info_industry_gics(W1437,4),IF($Y$3="证监会门类行业",[1]!s_info_industry_csrc12_n(W1437,公司分析!D$5,1),""))))))))</f>
        <v>光学光电子</v>
      </c>
      <c r="Z1437" s="302" t="str">
        <f ca="1">IF(Y1437=行业比较!$E$6,ROW(),"")</f>
        <v/>
      </c>
      <c r="AA1437" s="122"/>
      <c r="AB1437" s="122"/>
      <c r="AC1437" s="122"/>
      <c r="AD1437" s="122"/>
      <c r="AE1437" s="122"/>
      <c r="AF1437" s="122"/>
      <c r="AG1437" s="122"/>
      <c r="AH1437" s="122"/>
      <c r="AI1437" s="122"/>
      <c r="AJ1437" s="122"/>
      <c r="AK1437" s="122"/>
      <c r="AL1437" s="122"/>
      <c r="AM1437" s="122"/>
      <c r="AN1437" s="122"/>
      <c r="AO1437" s="122"/>
      <c r="AP1437" s="122"/>
    </row>
    <row r="1438" spans="2:42">
      <c r="B1438" s="122"/>
      <c r="C1438" s="122"/>
      <c r="D1438" s="122"/>
      <c r="E1438" s="122"/>
      <c r="F1438" s="122"/>
      <c r="G1438" s="122"/>
      <c r="H1438" s="122"/>
      <c r="I1438" s="275"/>
      <c r="J1438" s="130"/>
      <c r="K1438" s="130"/>
      <c r="L1438" s="130"/>
      <c r="M1438" s="130"/>
      <c r="N1438" s="291"/>
      <c r="O1438" s="291"/>
      <c r="P1438" s="122"/>
      <c r="Q1438" s="122"/>
      <c r="R1438" s="122"/>
      <c r="S1438" s="122"/>
      <c r="T1438" s="122"/>
      <c r="U1438" s="301"/>
      <c r="V1438" s="260">
        <f t="shared" ca="1" si="30"/>
        <v>0</v>
      </c>
      <c r="W1438" s="348" t="str">
        <f>IF(板块成分!B1440="","",板块成分!B1440)</f>
        <v>002984.SZ</v>
      </c>
      <c r="X1438" s="276" t="str">
        <f>[1]!S_Info_Name(W1438)</f>
        <v>森麒麟</v>
      </c>
      <c r="Y1438" s="276" t="str">
        <f ca="1">IF($Y$3="申万一级行业",[1]!s_info_industry_sw_2021(W1438,公司分析!D$5,1),IF($Y$3="申万二级行业",[1]!s_info_industry_sw_2021(W1438,公司分析!D$5,2),IF($Y$3="申万三级行业",[1]!s_info_industry_sw_2021(W1438,公司分析!D$5,3),IF($Y$3="wind一级行业",[1]!s_info_industry_gics(W1438,1),IF($Y$3="wind二级行业",[1]!s_info_industry_gics(W1438,2),IF($Y$3="wind三级行业",[1]!s_info_industry_gics(W1438,3),IF($Y$3="wind四级行业",[1]!s_info_industry_gics(W1438,4),IF($Y$3="证监会门类行业",[1]!s_info_industry_csrc12_n(W1438,公司分析!D$5,1),""))))))))</f>
        <v>汽车零部件</v>
      </c>
      <c r="Z1438" s="302" t="str">
        <f ca="1">IF(Y1438=行业比较!$E$6,ROW(),"")</f>
        <v/>
      </c>
      <c r="AA1438" s="122"/>
      <c r="AB1438" s="122"/>
      <c r="AC1438" s="122"/>
      <c r="AD1438" s="122"/>
      <c r="AE1438" s="122"/>
      <c r="AF1438" s="122"/>
      <c r="AG1438" s="122"/>
      <c r="AH1438" s="122"/>
      <c r="AI1438" s="122"/>
      <c r="AJ1438" s="122"/>
      <c r="AK1438" s="122"/>
      <c r="AL1438" s="122"/>
      <c r="AM1438" s="122"/>
      <c r="AN1438" s="122"/>
      <c r="AO1438" s="122"/>
      <c r="AP1438" s="122"/>
    </row>
    <row r="1439" spans="2:42">
      <c r="B1439" s="122"/>
      <c r="C1439" s="122"/>
      <c r="D1439" s="122"/>
      <c r="E1439" s="122"/>
      <c r="F1439" s="122"/>
      <c r="G1439" s="122"/>
      <c r="H1439" s="122"/>
      <c r="I1439" s="275"/>
      <c r="J1439" s="130"/>
      <c r="K1439" s="130"/>
      <c r="L1439" s="130"/>
      <c r="M1439" s="130"/>
      <c r="N1439" s="291"/>
      <c r="O1439" s="291"/>
      <c r="P1439" s="122"/>
      <c r="Q1439" s="122"/>
      <c r="R1439" s="122"/>
      <c r="S1439" s="122"/>
      <c r="T1439" s="122"/>
      <c r="U1439" s="301"/>
      <c r="V1439" s="260">
        <f t="shared" ca="1" si="30"/>
        <v>0</v>
      </c>
      <c r="W1439" s="348" t="str">
        <f>IF(板块成分!B1441="","",板块成分!B1441)</f>
        <v>002985.SZ</v>
      </c>
      <c r="X1439" s="276" t="str">
        <f>[1]!S_Info_Name(W1439)</f>
        <v>北摩高科</v>
      </c>
      <c r="Y1439" s="276" t="str">
        <f ca="1">IF($Y$3="申万一级行业",[1]!s_info_industry_sw_2021(W1439,公司分析!D$5,1),IF($Y$3="申万二级行业",[1]!s_info_industry_sw_2021(W1439,公司分析!D$5,2),IF($Y$3="申万三级行业",[1]!s_info_industry_sw_2021(W1439,公司分析!D$5,3),IF($Y$3="wind一级行业",[1]!s_info_industry_gics(W1439,1),IF($Y$3="wind二级行业",[1]!s_info_industry_gics(W1439,2),IF($Y$3="wind三级行业",[1]!s_info_industry_gics(W1439,3),IF($Y$3="wind四级行业",[1]!s_info_industry_gics(W1439,4),IF($Y$3="证监会门类行业",[1]!s_info_industry_csrc12_n(W1439,公司分析!D$5,1),""))))))))</f>
        <v>航空装备Ⅱ</v>
      </c>
      <c r="Z1439" s="302" t="str">
        <f ca="1">IF(Y1439=行业比较!$E$6,ROW(),"")</f>
        <v/>
      </c>
      <c r="AA1439" s="122"/>
      <c r="AB1439" s="122"/>
      <c r="AC1439" s="122"/>
      <c r="AD1439" s="122"/>
      <c r="AE1439" s="122"/>
      <c r="AF1439" s="122"/>
      <c r="AG1439" s="122"/>
      <c r="AH1439" s="122"/>
      <c r="AI1439" s="122"/>
      <c r="AJ1439" s="122"/>
      <c r="AK1439" s="122"/>
      <c r="AL1439" s="122"/>
      <c r="AM1439" s="122"/>
      <c r="AN1439" s="122"/>
      <c r="AO1439" s="122"/>
      <c r="AP1439" s="122"/>
    </row>
    <row r="1440" spans="2:42">
      <c r="B1440" s="122"/>
      <c r="C1440" s="122"/>
      <c r="D1440" s="122"/>
      <c r="E1440" s="122"/>
      <c r="F1440" s="122"/>
      <c r="G1440" s="122"/>
      <c r="H1440" s="122"/>
      <c r="I1440" s="275"/>
      <c r="J1440" s="130"/>
      <c r="K1440" s="130"/>
      <c r="L1440" s="130"/>
      <c r="M1440" s="130"/>
      <c r="N1440" s="291"/>
      <c r="O1440" s="291"/>
      <c r="P1440" s="122"/>
      <c r="Q1440" s="122"/>
      <c r="R1440" s="122"/>
      <c r="S1440" s="122"/>
      <c r="T1440" s="122"/>
      <c r="U1440" s="301"/>
      <c r="V1440" s="260">
        <f t="shared" ca="1" si="30"/>
        <v>0</v>
      </c>
      <c r="W1440" s="348" t="str">
        <f>IF(板块成分!B1442="","",板块成分!B1442)</f>
        <v>002986.SZ</v>
      </c>
      <c r="X1440" s="276" t="str">
        <f>[1]!S_Info_Name(W1440)</f>
        <v>宇新股份</v>
      </c>
      <c r="Y1440" s="276" t="str">
        <f ca="1">IF($Y$3="申万一级行业",[1]!s_info_industry_sw_2021(W1440,公司分析!D$5,1),IF($Y$3="申万二级行业",[1]!s_info_industry_sw_2021(W1440,公司分析!D$5,2),IF($Y$3="申万三级行业",[1]!s_info_industry_sw_2021(W1440,公司分析!D$5,3),IF($Y$3="wind一级行业",[1]!s_info_industry_gics(W1440,1),IF($Y$3="wind二级行业",[1]!s_info_industry_gics(W1440,2),IF($Y$3="wind三级行业",[1]!s_info_industry_gics(W1440,3),IF($Y$3="wind四级行业",[1]!s_info_industry_gics(W1440,4),IF($Y$3="证监会门类行业",[1]!s_info_industry_csrc12_n(W1440,公司分析!D$5,1),""))))))))</f>
        <v>炼化及贸易</v>
      </c>
      <c r="Z1440" s="302" t="str">
        <f ca="1">IF(Y1440=行业比较!$E$6,ROW(),"")</f>
        <v/>
      </c>
      <c r="AA1440" s="122"/>
      <c r="AB1440" s="122"/>
      <c r="AC1440" s="122"/>
      <c r="AD1440" s="122"/>
      <c r="AE1440" s="122"/>
      <c r="AF1440" s="122"/>
      <c r="AG1440" s="122"/>
      <c r="AH1440" s="122"/>
      <c r="AI1440" s="122"/>
      <c r="AJ1440" s="122"/>
      <c r="AK1440" s="122"/>
      <c r="AL1440" s="122"/>
      <c r="AM1440" s="122"/>
      <c r="AN1440" s="122"/>
      <c r="AO1440" s="122"/>
      <c r="AP1440" s="122"/>
    </row>
    <row r="1441" spans="2:42">
      <c r="B1441" s="122"/>
      <c r="C1441" s="122"/>
      <c r="D1441" s="122"/>
      <c r="E1441" s="122"/>
      <c r="F1441" s="122"/>
      <c r="G1441" s="122"/>
      <c r="H1441" s="122"/>
      <c r="I1441" s="275"/>
      <c r="J1441" s="130"/>
      <c r="K1441" s="130"/>
      <c r="L1441" s="130"/>
      <c r="M1441" s="130"/>
      <c r="N1441" s="291"/>
      <c r="O1441" s="291"/>
      <c r="P1441" s="122"/>
      <c r="Q1441" s="122"/>
      <c r="R1441" s="122"/>
      <c r="S1441" s="122"/>
      <c r="T1441" s="122"/>
      <c r="U1441" s="301"/>
      <c r="V1441" s="260">
        <f t="shared" ca="1" si="30"/>
        <v>0</v>
      </c>
      <c r="W1441" s="348" t="str">
        <f>IF(板块成分!B1443="","",板块成分!B1443)</f>
        <v>002987.SZ</v>
      </c>
      <c r="X1441" s="276" t="str">
        <f>[1]!S_Info_Name(W1441)</f>
        <v>京北方</v>
      </c>
      <c r="Y1441" s="276" t="str">
        <f ca="1">IF($Y$3="申万一级行业",[1]!s_info_industry_sw_2021(W1441,公司分析!D$5,1),IF($Y$3="申万二级行业",[1]!s_info_industry_sw_2021(W1441,公司分析!D$5,2),IF($Y$3="申万三级行业",[1]!s_info_industry_sw_2021(W1441,公司分析!D$5,3),IF($Y$3="wind一级行业",[1]!s_info_industry_gics(W1441,1),IF($Y$3="wind二级行业",[1]!s_info_industry_gics(W1441,2),IF($Y$3="wind三级行业",[1]!s_info_industry_gics(W1441,3),IF($Y$3="wind四级行业",[1]!s_info_industry_gics(W1441,4),IF($Y$3="证监会门类行业",[1]!s_info_industry_csrc12_n(W1441,公司分析!D$5,1),""))))))))</f>
        <v>软件开发</v>
      </c>
      <c r="Z1441" s="302" t="str">
        <f ca="1">IF(Y1441=行业比较!$E$6,ROW(),"")</f>
        <v/>
      </c>
      <c r="AA1441" s="122"/>
      <c r="AB1441" s="122"/>
      <c r="AC1441" s="122"/>
      <c r="AD1441" s="122"/>
      <c r="AE1441" s="122"/>
      <c r="AF1441" s="122"/>
      <c r="AG1441" s="122"/>
      <c r="AH1441" s="122"/>
      <c r="AI1441" s="122"/>
      <c r="AJ1441" s="122"/>
      <c r="AK1441" s="122"/>
      <c r="AL1441" s="122"/>
      <c r="AM1441" s="122"/>
      <c r="AN1441" s="122"/>
      <c r="AO1441" s="122"/>
      <c r="AP1441" s="122"/>
    </row>
    <row r="1442" spans="2:42">
      <c r="B1442" s="122"/>
      <c r="C1442" s="122"/>
      <c r="D1442" s="122"/>
      <c r="E1442" s="122"/>
      <c r="F1442" s="122"/>
      <c r="G1442" s="122"/>
      <c r="H1442" s="122"/>
      <c r="I1442" s="275"/>
      <c r="J1442" s="130"/>
      <c r="K1442" s="130"/>
      <c r="L1442" s="130"/>
      <c r="M1442" s="130"/>
      <c r="N1442" s="291"/>
      <c r="O1442" s="291"/>
      <c r="P1442" s="122"/>
      <c r="Q1442" s="122"/>
      <c r="R1442" s="122"/>
      <c r="S1442" s="122"/>
      <c r="T1442" s="122"/>
      <c r="U1442" s="301"/>
      <c r="V1442" s="260">
        <f t="shared" ca="1" si="30"/>
        <v>24</v>
      </c>
      <c r="W1442" s="348" t="str">
        <f>IF(板块成分!B1444="","",板块成分!B1444)</f>
        <v>002988.SZ</v>
      </c>
      <c r="X1442" s="276" t="str">
        <f>[1]!S_Info_Name(W1442)</f>
        <v>豪美新材</v>
      </c>
      <c r="Y1442" s="276" t="str">
        <f ca="1">IF($Y$3="申万一级行业",[1]!s_info_industry_sw_2021(W1442,公司分析!D$5,1),IF($Y$3="申万二级行业",[1]!s_info_industry_sw_2021(W1442,公司分析!D$5,2),IF($Y$3="申万三级行业",[1]!s_info_industry_sw_2021(W1442,公司分析!D$5,3),IF($Y$3="wind一级行业",[1]!s_info_industry_gics(W1442,1),IF($Y$3="wind二级行业",[1]!s_info_industry_gics(W1442,2),IF($Y$3="wind三级行业",[1]!s_info_industry_gics(W1442,3),IF($Y$3="wind四级行业",[1]!s_info_industry_gics(W1442,4),IF($Y$3="证监会门类行业",[1]!s_info_industry_csrc12_n(W1442,公司分析!D$5,1),""))))))))</f>
        <v>工业金属</v>
      </c>
      <c r="Z1442" s="302">
        <f ca="1">IF(Y1442=行业比较!$E$6,ROW(),"")</f>
        <v>1442</v>
      </c>
      <c r="AA1442" s="122"/>
      <c r="AB1442" s="122"/>
      <c r="AC1442" s="122"/>
      <c r="AD1442" s="122"/>
      <c r="AE1442" s="122"/>
      <c r="AF1442" s="122"/>
      <c r="AG1442" s="122"/>
      <c r="AH1442" s="122"/>
      <c r="AI1442" s="122"/>
      <c r="AJ1442" s="122"/>
      <c r="AK1442" s="122"/>
      <c r="AL1442" s="122"/>
      <c r="AM1442" s="122"/>
      <c r="AN1442" s="122"/>
      <c r="AO1442" s="122"/>
      <c r="AP1442" s="122"/>
    </row>
    <row r="1443" spans="2:42">
      <c r="B1443" s="122"/>
      <c r="C1443" s="122"/>
      <c r="D1443" s="122"/>
      <c r="E1443" s="122"/>
      <c r="F1443" s="122"/>
      <c r="G1443" s="122"/>
      <c r="H1443" s="122"/>
      <c r="I1443" s="275"/>
      <c r="J1443" s="130"/>
      <c r="K1443" s="130"/>
      <c r="L1443" s="130"/>
      <c r="M1443" s="130"/>
      <c r="N1443" s="291"/>
      <c r="O1443" s="291"/>
      <c r="P1443" s="122"/>
      <c r="Q1443" s="122"/>
      <c r="R1443" s="122"/>
      <c r="S1443" s="122"/>
      <c r="T1443" s="122"/>
      <c r="U1443" s="301"/>
      <c r="V1443" s="260">
        <f t="shared" ca="1" si="30"/>
        <v>0</v>
      </c>
      <c r="W1443" s="348" t="str">
        <f>IF(板块成分!B1445="","",板块成分!B1445)</f>
        <v>002989.SZ</v>
      </c>
      <c r="X1443" s="276" t="str">
        <f>[1]!S_Info_Name(W1443)</f>
        <v>中天精装</v>
      </c>
      <c r="Y1443" s="276" t="str">
        <f ca="1">IF($Y$3="申万一级行业",[1]!s_info_industry_sw_2021(W1443,公司分析!D$5,1),IF($Y$3="申万二级行业",[1]!s_info_industry_sw_2021(W1443,公司分析!D$5,2),IF($Y$3="申万三级行业",[1]!s_info_industry_sw_2021(W1443,公司分析!D$5,3),IF($Y$3="wind一级行业",[1]!s_info_industry_gics(W1443,1),IF($Y$3="wind二级行业",[1]!s_info_industry_gics(W1443,2),IF($Y$3="wind三级行业",[1]!s_info_industry_gics(W1443,3),IF($Y$3="wind四级行业",[1]!s_info_industry_gics(W1443,4),IF($Y$3="证监会门类行业",[1]!s_info_industry_csrc12_n(W1443,公司分析!D$5,1),""))))))))</f>
        <v>装修装饰Ⅱ</v>
      </c>
      <c r="Z1443" s="302" t="str">
        <f ca="1">IF(Y1443=行业比较!$E$6,ROW(),"")</f>
        <v/>
      </c>
      <c r="AA1443" s="122"/>
      <c r="AB1443" s="122"/>
      <c r="AC1443" s="122"/>
      <c r="AD1443" s="122"/>
      <c r="AE1443" s="122"/>
      <c r="AF1443" s="122"/>
      <c r="AG1443" s="122"/>
      <c r="AH1443" s="122"/>
      <c r="AI1443" s="122"/>
      <c r="AJ1443" s="122"/>
      <c r="AK1443" s="122"/>
      <c r="AL1443" s="122"/>
      <c r="AM1443" s="122"/>
      <c r="AN1443" s="122"/>
      <c r="AO1443" s="122"/>
      <c r="AP1443" s="122"/>
    </row>
    <row r="1444" spans="2:42">
      <c r="B1444" s="122"/>
      <c r="C1444" s="122"/>
      <c r="D1444" s="122"/>
      <c r="E1444" s="122"/>
      <c r="F1444" s="122"/>
      <c r="G1444" s="122"/>
      <c r="H1444" s="122"/>
      <c r="I1444" s="275"/>
      <c r="J1444" s="130"/>
      <c r="K1444" s="130"/>
      <c r="L1444" s="130"/>
      <c r="M1444" s="130"/>
      <c r="N1444" s="291"/>
      <c r="O1444" s="291"/>
      <c r="P1444" s="122"/>
      <c r="Q1444" s="122"/>
      <c r="R1444" s="122"/>
      <c r="S1444" s="122"/>
      <c r="T1444" s="122"/>
      <c r="U1444" s="301"/>
      <c r="V1444" s="260">
        <f t="shared" ca="1" si="30"/>
        <v>0</v>
      </c>
      <c r="W1444" s="348" t="str">
        <f>IF(板块成分!B1446="","",板块成分!B1446)</f>
        <v>002990.SZ</v>
      </c>
      <c r="X1444" s="276" t="str">
        <f>[1]!S_Info_Name(W1444)</f>
        <v>盛视科技</v>
      </c>
      <c r="Y1444" s="276" t="str">
        <f ca="1">IF($Y$3="申万一级行业",[1]!s_info_industry_sw_2021(W1444,公司分析!D$5,1),IF($Y$3="申万二级行业",[1]!s_info_industry_sw_2021(W1444,公司分析!D$5,2),IF($Y$3="申万三级行业",[1]!s_info_industry_sw_2021(W1444,公司分析!D$5,3),IF($Y$3="wind一级行业",[1]!s_info_industry_gics(W1444,1),IF($Y$3="wind二级行业",[1]!s_info_industry_gics(W1444,2),IF($Y$3="wind三级行业",[1]!s_info_industry_gics(W1444,3),IF($Y$3="wind四级行业",[1]!s_info_industry_gics(W1444,4),IF($Y$3="证监会门类行业",[1]!s_info_industry_csrc12_n(W1444,公司分析!D$5,1),""))))))))</f>
        <v>计算机设备</v>
      </c>
      <c r="Z1444" s="302" t="str">
        <f ca="1">IF(Y1444=行业比较!$E$6,ROW(),"")</f>
        <v/>
      </c>
      <c r="AA1444" s="122"/>
      <c r="AB1444" s="122"/>
      <c r="AC1444" s="122"/>
      <c r="AD1444" s="122"/>
      <c r="AE1444" s="122"/>
      <c r="AF1444" s="122"/>
      <c r="AG1444" s="122"/>
      <c r="AH1444" s="122"/>
      <c r="AI1444" s="122"/>
      <c r="AJ1444" s="122"/>
      <c r="AK1444" s="122"/>
      <c r="AL1444" s="122"/>
      <c r="AM1444" s="122"/>
      <c r="AN1444" s="122"/>
      <c r="AO1444" s="122"/>
      <c r="AP1444" s="122"/>
    </row>
    <row r="1445" spans="2:42">
      <c r="B1445" s="122"/>
      <c r="C1445" s="122"/>
      <c r="D1445" s="122"/>
      <c r="E1445" s="122"/>
      <c r="F1445" s="122"/>
      <c r="G1445" s="122"/>
      <c r="H1445" s="122"/>
      <c r="I1445" s="275"/>
      <c r="J1445" s="130"/>
      <c r="K1445" s="130"/>
      <c r="L1445" s="130"/>
      <c r="M1445" s="130"/>
      <c r="N1445" s="291"/>
      <c r="O1445" s="291"/>
      <c r="P1445" s="122"/>
      <c r="Q1445" s="122"/>
      <c r="R1445" s="122"/>
      <c r="S1445" s="122"/>
      <c r="T1445" s="122"/>
      <c r="U1445" s="301"/>
      <c r="V1445" s="260">
        <f t="shared" ca="1" si="30"/>
        <v>0</v>
      </c>
      <c r="W1445" s="348" t="str">
        <f>IF(板块成分!B1447="","",板块成分!B1447)</f>
        <v>002991.SZ</v>
      </c>
      <c r="X1445" s="276" t="str">
        <f>[1]!S_Info_Name(W1445)</f>
        <v>甘源食品</v>
      </c>
      <c r="Y1445" s="276" t="str">
        <f ca="1">IF($Y$3="申万一级行业",[1]!s_info_industry_sw_2021(W1445,公司分析!D$5,1),IF($Y$3="申万二级行业",[1]!s_info_industry_sw_2021(W1445,公司分析!D$5,2),IF($Y$3="申万三级行业",[1]!s_info_industry_sw_2021(W1445,公司分析!D$5,3),IF($Y$3="wind一级行业",[1]!s_info_industry_gics(W1445,1),IF($Y$3="wind二级行业",[1]!s_info_industry_gics(W1445,2),IF($Y$3="wind三级行业",[1]!s_info_industry_gics(W1445,3),IF($Y$3="wind四级行业",[1]!s_info_industry_gics(W1445,4),IF($Y$3="证监会门类行业",[1]!s_info_industry_csrc12_n(W1445,公司分析!D$5,1),""))))))))</f>
        <v>休闲食品</v>
      </c>
      <c r="Z1445" s="302" t="str">
        <f ca="1">IF(Y1445=行业比较!$E$6,ROW(),"")</f>
        <v/>
      </c>
      <c r="AA1445" s="122"/>
      <c r="AB1445" s="122"/>
      <c r="AC1445" s="122"/>
      <c r="AD1445" s="122"/>
      <c r="AE1445" s="122"/>
      <c r="AF1445" s="122"/>
      <c r="AG1445" s="122"/>
      <c r="AH1445" s="122"/>
      <c r="AI1445" s="122"/>
      <c r="AJ1445" s="122"/>
      <c r="AK1445" s="122"/>
      <c r="AL1445" s="122"/>
      <c r="AM1445" s="122"/>
      <c r="AN1445" s="122"/>
      <c r="AO1445" s="122"/>
      <c r="AP1445" s="122"/>
    </row>
    <row r="1446" spans="2:42">
      <c r="B1446" s="122"/>
      <c r="C1446" s="122"/>
      <c r="D1446" s="122"/>
      <c r="E1446" s="122"/>
      <c r="F1446" s="122"/>
      <c r="G1446" s="122"/>
      <c r="H1446" s="122"/>
      <c r="I1446" s="275"/>
      <c r="J1446" s="130"/>
      <c r="K1446" s="130"/>
      <c r="L1446" s="130"/>
      <c r="M1446" s="130"/>
      <c r="N1446" s="291"/>
      <c r="O1446" s="291"/>
      <c r="P1446" s="122"/>
      <c r="Q1446" s="122"/>
      <c r="R1446" s="122"/>
      <c r="S1446" s="122"/>
      <c r="T1446" s="122"/>
      <c r="U1446" s="301"/>
      <c r="V1446" s="260">
        <f t="shared" ca="1" si="30"/>
        <v>0</v>
      </c>
      <c r="W1446" s="348" t="str">
        <f>IF(板块成分!B1448="","",板块成分!B1448)</f>
        <v>002992.SZ</v>
      </c>
      <c r="X1446" s="276" t="str">
        <f>[1]!S_Info_Name(W1446)</f>
        <v>宝明科技</v>
      </c>
      <c r="Y1446" s="276" t="str">
        <f ca="1">IF($Y$3="申万一级行业",[1]!s_info_industry_sw_2021(W1446,公司分析!D$5,1),IF($Y$3="申万二级行业",[1]!s_info_industry_sw_2021(W1446,公司分析!D$5,2),IF($Y$3="申万三级行业",[1]!s_info_industry_sw_2021(W1446,公司分析!D$5,3),IF($Y$3="wind一级行业",[1]!s_info_industry_gics(W1446,1),IF($Y$3="wind二级行业",[1]!s_info_industry_gics(W1446,2),IF($Y$3="wind三级行业",[1]!s_info_industry_gics(W1446,3),IF($Y$3="wind四级行业",[1]!s_info_industry_gics(W1446,4),IF($Y$3="证监会门类行业",[1]!s_info_industry_csrc12_n(W1446,公司分析!D$5,1),""))))))))</f>
        <v>光学光电子</v>
      </c>
      <c r="Z1446" s="302" t="str">
        <f ca="1">IF(Y1446=行业比较!$E$6,ROW(),"")</f>
        <v/>
      </c>
      <c r="AA1446" s="122"/>
      <c r="AB1446" s="122"/>
      <c r="AC1446" s="122"/>
      <c r="AD1446" s="122"/>
      <c r="AE1446" s="122"/>
      <c r="AF1446" s="122"/>
      <c r="AG1446" s="122"/>
      <c r="AH1446" s="122"/>
      <c r="AI1446" s="122"/>
      <c r="AJ1446" s="122"/>
      <c r="AK1446" s="122"/>
      <c r="AL1446" s="122"/>
      <c r="AM1446" s="122"/>
      <c r="AN1446" s="122"/>
      <c r="AO1446" s="122"/>
      <c r="AP1446" s="122"/>
    </row>
    <row r="1447" spans="2:42">
      <c r="B1447" s="122"/>
      <c r="C1447" s="122"/>
      <c r="D1447" s="122"/>
      <c r="E1447" s="122"/>
      <c r="F1447" s="122"/>
      <c r="G1447" s="122"/>
      <c r="H1447" s="122"/>
      <c r="I1447" s="275"/>
      <c r="J1447" s="130"/>
      <c r="K1447" s="130"/>
      <c r="L1447" s="130"/>
      <c r="M1447" s="130"/>
      <c r="N1447" s="291"/>
      <c r="O1447" s="291"/>
      <c r="P1447" s="122"/>
      <c r="Q1447" s="122"/>
      <c r="R1447" s="122"/>
      <c r="S1447" s="122"/>
      <c r="T1447" s="122"/>
      <c r="U1447" s="301"/>
      <c r="V1447" s="260">
        <f t="shared" ca="1" si="30"/>
        <v>0</v>
      </c>
      <c r="W1447" s="348" t="str">
        <f>IF(板块成分!B1449="","",板块成分!B1449)</f>
        <v>002993.SZ</v>
      </c>
      <c r="X1447" s="276" t="str">
        <f>[1]!S_Info_Name(W1447)</f>
        <v>奥海科技</v>
      </c>
      <c r="Y1447" s="276" t="str">
        <f ca="1">IF($Y$3="申万一级行业",[1]!s_info_industry_sw_2021(W1447,公司分析!D$5,1),IF($Y$3="申万二级行业",[1]!s_info_industry_sw_2021(W1447,公司分析!D$5,2),IF($Y$3="申万三级行业",[1]!s_info_industry_sw_2021(W1447,公司分析!D$5,3),IF($Y$3="wind一级行业",[1]!s_info_industry_gics(W1447,1),IF($Y$3="wind二级行业",[1]!s_info_industry_gics(W1447,2),IF($Y$3="wind三级行业",[1]!s_info_industry_gics(W1447,3),IF($Y$3="wind四级行业",[1]!s_info_industry_gics(W1447,4),IF($Y$3="证监会门类行业",[1]!s_info_industry_csrc12_n(W1447,公司分析!D$5,1),""))))))))</f>
        <v>消费电子</v>
      </c>
      <c r="Z1447" s="302" t="str">
        <f ca="1">IF(Y1447=行业比较!$E$6,ROW(),"")</f>
        <v/>
      </c>
      <c r="AA1447" s="122"/>
      <c r="AB1447" s="122"/>
      <c r="AC1447" s="122"/>
      <c r="AD1447" s="122"/>
      <c r="AE1447" s="122"/>
      <c r="AF1447" s="122"/>
      <c r="AG1447" s="122"/>
      <c r="AH1447" s="122"/>
      <c r="AI1447" s="122"/>
      <c r="AJ1447" s="122"/>
      <c r="AK1447" s="122"/>
      <c r="AL1447" s="122"/>
      <c r="AM1447" s="122"/>
      <c r="AN1447" s="122"/>
      <c r="AO1447" s="122"/>
      <c r="AP1447" s="122"/>
    </row>
    <row r="1448" spans="2:42">
      <c r="B1448" s="122"/>
      <c r="C1448" s="122"/>
      <c r="D1448" s="122"/>
      <c r="E1448" s="122"/>
      <c r="F1448" s="122"/>
      <c r="G1448" s="122"/>
      <c r="H1448" s="122"/>
      <c r="I1448" s="275"/>
      <c r="J1448" s="130"/>
      <c r="K1448" s="130"/>
      <c r="L1448" s="130"/>
      <c r="M1448" s="130"/>
      <c r="N1448" s="291"/>
      <c r="O1448" s="291"/>
      <c r="P1448" s="122"/>
      <c r="Q1448" s="122"/>
      <c r="R1448" s="122"/>
      <c r="S1448" s="122"/>
      <c r="T1448" s="122"/>
      <c r="U1448" s="301"/>
      <c r="V1448" s="260">
        <f t="shared" ca="1" si="30"/>
        <v>0</v>
      </c>
      <c r="W1448" s="348" t="str">
        <f>IF(板块成分!B1450="","",板块成分!B1450)</f>
        <v>002995.SZ</v>
      </c>
      <c r="X1448" s="276" t="str">
        <f>[1]!S_Info_Name(W1448)</f>
        <v>天地在线</v>
      </c>
      <c r="Y1448" s="276" t="str">
        <f ca="1">IF($Y$3="申万一级行业",[1]!s_info_industry_sw_2021(W1448,公司分析!D$5,1),IF($Y$3="申万二级行业",[1]!s_info_industry_sw_2021(W1448,公司分析!D$5,2),IF($Y$3="申万三级行业",[1]!s_info_industry_sw_2021(W1448,公司分析!D$5,3),IF($Y$3="wind一级行业",[1]!s_info_industry_gics(W1448,1),IF($Y$3="wind二级行业",[1]!s_info_industry_gics(W1448,2),IF($Y$3="wind三级行业",[1]!s_info_industry_gics(W1448,3),IF($Y$3="wind四级行业",[1]!s_info_industry_gics(W1448,4),IF($Y$3="证监会门类行业",[1]!s_info_industry_csrc12_n(W1448,公司分析!D$5,1),""))))))))</f>
        <v>广告营销</v>
      </c>
      <c r="Z1448" s="302" t="str">
        <f ca="1">IF(Y1448=行业比较!$E$6,ROW(),"")</f>
        <v/>
      </c>
      <c r="AA1448" s="122"/>
      <c r="AB1448" s="122"/>
      <c r="AC1448" s="122"/>
      <c r="AD1448" s="122"/>
      <c r="AE1448" s="122"/>
      <c r="AF1448" s="122"/>
      <c r="AG1448" s="122"/>
      <c r="AH1448" s="122"/>
      <c r="AI1448" s="122"/>
      <c r="AJ1448" s="122"/>
      <c r="AK1448" s="122"/>
      <c r="AL1448" s="122"/>
      <c r="AM1448" s="122"/>
      <c r="AN1448" s="122"/>
      <c r="AO1448" s="122"/>
      <c r="AP1448" s="122"/>
    </row>
    <row r="1449" spans="2:42">
      <c r="B1449" s="122"/>
      <c r="C1449" s="122"/>
      <c r="D1449" s="122"/>
      <c r="E1449" s="122"/>
      <c r="F1449" s="122"/>
      <c r="G1449" s="122"/>
      <c r="H1449" s="122"/>
      <c r="I1449" s="275"/>
      <c r="J1449" s="130"/>
      <c r="K1449" s="130"/>
      <c r="L1449" s="130"/>
      <c r="M1449" s="130"/>
      <c r="N1449" s="291"/>
      <c r="O1449" s="291"/>
      <c r="P1449" s="122"/>
      <c r="Q1449" s="122"/>
      <c r="R1449" s="122"/>
      <c r="S1449" s="122"/>
      <c r="T1449" s="122"/>
      <c r="U1449" s="301"/>
      <c r="V1449" s="260">
        <f t="shared" ca="1" si="30"/>
        <v>25</v>
      </c>
      <c r="W1449" s="348" t="str">
        <f>IF(板块成分!B1451="","",板块成分!B1451)</f>
        <v>002996.SZ</v>
      </c>
      <c r="X1449" s="276" t="str">
        <f>[1]!S_Info_Name(W1449)</f>
        <v>顺博合金</v>
      </c>
      <c r="Y1449" s="276" t="str">
        <f ca="1">IF($Y$3="申万一级行业",[1]!s_info_industry_sw_2021(W1449,公司分析!D$5,1),IF($Y$3="申万二级行业",[1]!s_info_industry_sw_2021(W1449,公司分析!D$5,2),IF($Y$3="申万三级行业",[1]!s_info_industry_sw_2021(W1449,公司分析!D$5,3),IF($Y$3="wind一级行业",[1]!s_info_industry_gics(W1449,1),IF($Y$3="wind二级行业",[1]!s_info_industry_gics(W1449,2),IF($Y$3="wind三级行业",[1]!s_info_industry_gics(W1449,3),IF($Y$3="wind四级行业",[1]!s_info_industry_gics(W1449,4),IF($Y$3="证监会门类行业",[1]!s_info_industry_csrc12_n(W1449,公司分析!D$5,1),""))))))))</f>
        <v>工业金属</v>
      </c>
      <c r="Z1449" s="302">
        <f ca="1">IF(Y1449=行业比较!$E$6,ROW(),"")</f>
        <v>1449</v>
      </c>
      <c r="AA1449" s="122"/>
      <c r="AB1449" s="122"/>
      <c r="AC1449" s="122"/>
      <c r="AD1449" s="122"/>
      <c r="AE1449" s="122"/>
      <c r="AF1449" s="122"/>
      <c r="AG1449" s="122"/>
      <c r="AH1449" s="122"/>
      <c r="AI1449" s="122"/>
      <c r="AJ1449" s="122"/>
      <c r="AK1449" s="122"/>
      <c r="AL1449" s="122"/>
      <c r="AM1449" s="122"/>
      <c r="AN1449" s="122"/>
      <c r="AO1449" s="122"/>
      <c r="AP1449" s="122"/>
    </row>
    <row r="1450" spans="2:42">
      <c r="B1450" s="122"/>
      <c r="C1450" s="122"/>
      <c r="D1450" s="122"/>
      <c r="E1450" s="122"/>
      <c r="F1450" s="122"/>
      <c r="G1450" s="122"/>
      <c r="H1450" s="122"/>
      <c r="I1450" s="275"/>
      <c r="J1450" s="130"/>
      <c r="K1450" s="130"/>
      <c r="L1450" s="130"/>
      <c r="M1450" s="130"/>
      <c r="N1450" s="291"/>
      <c r="O1450" s="291"/>
      <c r="P1450" s="122"/>
      <c r="Q1450" s="122"/>
      <c r="R1450" s="122"/>
      <c r="S1450" s="122"/>
      <c r="T1450" s="122"/>
      <c r="U1450" s="301"/>
      <c r="V1450" s="260">
        <f t="shared" ca="1" si="30"/>
        <v>0</v>
      </c>
      <c r="W1450" s="348" t="str">
        <f>IF(板块成分!B1452="","",板块成分!B1452)</f>
        <v>002997.SZ</v>
      </c>
      <c r="X1450" s="276" t="str">
        <f>[1]!S_Info_Name(W1450)</f>
        <v>瑞鹄模具</v>
      </c>
      <c r="Y1450" s="276" t="str">
        <f ca="1">IF($Y$3="申万一级行业",[1]!s_info_industry_sw_2021(W1450,公司分析!D$5,1),IF($Y$3="申万二级行业",[1]!s_info_industry_sw_2021(W1450,公司分析!D$5,2),IF($Y$3="申万三级行业",[1]!s_info_industry_sw_2021(W1450,公司分析!D$5,3),IF($Y$3="wind一级行业",[1]!s_info_industry_gics(W1450,1),IF($Y$3="wind二级行业",[1]!s_info_industry_gics(W1450,2),IF($Y$3="wind三级行业",[1]!s_info_industry_gics(W1450,3),IF($Y$3="wind四级行业",[1]!s_info_industry_gics(W1450,4),IF($Y$3="证监会门类行业",[1]!s_info_industry_csrc12_n(W1450,公司分析!D$5,1),""))))))))</f>
        <v>汽车零部件</v>
      </c>
      <c r="Z1450" s="302" t="str">
        <f ca="1">IF(Y1450=行业比较!$E$6,ROW(),"")</f>
        <v/>
      </c>
      <c r="AA1450" s="122"/>
      <c r="AB1450" s="122"/>
      <c r="AC1450" s="122"/>
      <c r="AD1450" s="122"/>
      <c r="AE1450" s="122"/>
      <c r="AF1450" s="122"/>
      <c r="AG1450" s="122"/>
      <c r="AH1450" s="122"/>
      <c r="AI1450" s="122"/>
      <c r="AJ1450" s="122"/>
      <c r="AK1450" s="122"/>
      <c r="AL1450" s="122"/>
      <c r="AM1450" s="122"/>
      <c r="AN1450" s="122"/>
      <c r="AO1450" s="122"/>
      <c r="AP1450" s="122"/>
    </row>
    <row r="1451" spans="2:42">
      <c r="B1451" s="122"/>
      <c r="C1451" s="122"/>
      <c r="D1451" s="122"/>
      <c r="E1451" s="122"/>
      <c r="F1451" s="122"/>
      <c r="G1451" s="122"/>
      <c r="H1451" s="122"/>
      <c r="I1451" s="275"/>
      <c r="J1451" s="130"/>
      <c r="K1451" s="130"/>
      <c r="L1451" s="130"/>
      <c r="M1451" s="130"/>
      <c r="N1451" s="291"/>
      <c r="O1451" s="291"/>
      <c r="P1451" s="122"/>
      <c r="Q1451" s="122"/>
      <c r="R1451" s="122"/>
      <c r="S1451" s="122"/>
      <c r="T1451" s="122"/>
      <c r="U1451" s="301"/>
      <c r="V1451" s="260">
        <f t="shared" ca="1" si="30"/>
        <v>0</v>
      </c>
      <c r="W1451" s="348" t="str">
        <f>IF(板块成分!B1453="","",板块成分!B1453)</f>
        <v>002998.SZ</v>
      </c>
      <c r="X1451" s="276" t="str">
        <f>[1]!S_Info_Name(W1451)</f>
        <v>优彩资源</v>
      </c>
      <c r="Y1451" s="276" t="str">
        <f ca="1">IF($Y$3="申万一级行业",[1]!s_info_industry_sw_2021(W1451,公司分析!D$5,1),IF($Y$3="申万二级行业",[1]!s_info_industry_sw_2021(W1451,公司分析!D$5,2),IF($Y$3="申万三级行业",[1]!s_info_industry_sw_2021(W1451,公司分析!D$5,3),IF($Y$3="wind一级行业",[1]!s_info_industry_gics(W1451,1),IF($Y$3="wind二级行业",[1]!s_info_industry_gics(W1451,2),IF($Y$3="wind三级行业",[1]!s_info_industry_gics(W1451,3),IF($Y$3="wind四级行业",[1]!s_info_industry_gics(W1451,4),IF($Y$3="证监会门类行业",[1]!s_info_industry_csrc12_n(W1451,公司分析!D$5,1),""))))))))</f>
        <v>化学纤维</v>
      </c>
      <c r="Z1451" s="302" t="str">
        <f ca="1">IF(Y1451=行业比较!$E$6,ROW(),"")</f>
        <v/>
      </c>
      <c r="AA1451" s="122"/>
      <c r="AB1451" s="122"/>
      <c r="AC1451" s="122"/>
      <c r="AD1451" s="122"/>
      <c r="AE1451" s="122"/>
      <c r="AF1451" s="122"/>
      <c r="AG1451" s="122"/>
      <c r="AH1451" s="122"/>
      <c r="AI1451" s="122"/>
      <c r="AJ1451" s="122"/>
      <c r="AK1451" s="122"/>
      <c r="AL1451" s="122"/>
      <c r="AM1451" s="122"/>
      <c r="AN1451" s="122"/>
      <c r="AO1451" s="122"/>
      <c r="AP1451" s="122"/>
    </row>
    <row r="1452" spans="2:42">
      <c r="B1452" s="122"/>
      <c r="C1452" s="122"/>
      <c r="D1452" s="122"/>
      <c r="E1452" s="122"/>
      <c r="F1452" s="122"/>
      <c r="G1452" s="122"/>
      <c r="H1452" s="122"/>
      <c r="I1452" s="275"/>
      <c r="J1452" s="130"/>
      <c r="K1452" s="130"/>
      <c r="L1452" s="130"/>
      <c r="M1452" s="130"/>
      <c r="N1452" s="291"/>
      <c r="O1452" s="291"/>
      <c r="P1452" s="122"/>
      <c r="Q1452" s="122"/>
      <c r="R1452" s="122"/>
      <c r="S1452" s="122"/>
      <c r="T1452" s="122"/>
      <c r="U1452" s="301"/>
      <c r="V1452" s="260">
        <f t="shared" ca="1" si="30"/>
        <v>0</v>
      </c>
      <c r="W1452" s="348" t="str">
        <f>IF(板块成分!B1454="","",板块成分!B1454)</f>
        <v>002999.SZ</v>
      </c>
      <c r="X1452" s="276" t="str">
        <f>[1]!S_Info_Name(W1452)</f>
        <v>天禾股份</v>
      </c>
      <c r="Y1452" s="276" t="str">
        <f ca="1">IF($Y$3="申万一级行业",[1]!s_info_industry_sw_2021(W1452,公司分析!D$5,1),IF($Y$3="申万二级行业",[1]!s_info_industry_sw_2021(W1452,公司分析!D$5,2),IF($Y$3="申万三级行业",[1]!s_info_industry_sw_2021(W1452,公司分析!D$5,3),IF($Y$3="wind一级行业",[1]!s_info_industry_gics(W1452,1),IF($Y$3="wind二级行业",[1]!s_info_industry_gics(W1452,2),IF($Y$3="wind三级行业",[1]!s_info_industry_gics(W1452,3),IF($Y$3="wind四级行业",[1]!s_info_industry_gics(W1452,4),IF($Y$3="证监会门类行业",[1]!s_info_industry_csrc12_n(W1452,公司分析!D$5,1),""))))))))</f>
        <v>农化制品</v>
      </c>
      <c r="Z1452" s="302" t="str">
        <f ca="1">IF(Y1452=行业比较!$E$6,ROW(),"")</f>
        <v/>
      </c>
      <c r="AA1452" s="122"/>
      <c r="AB1452" s="122"/>
      <c r="AC1452" s="122"/>
      <c r="AD1452" s="122"/>
      <c r="AE1452" s="122"/>
      <c r="AF1452" s="122"/>
      <c r="AG1452" s="122"/>
      <c r="AH1452" s="122"/>
      <c r="AI1452" s="122"/>
      <c r="AJ1452" s="122"/>
      <c r="AK1452" s="122"/>
      <c r="AL1452" s="122"/>
      <c r="AM1452" s="122"/>
      <c r="AN1452" s="122"/>
      <c r="AO1452" s="122"/>
      <c r="AP1452" s="122"/>
    </row>
    <row r="1453" spans="2:42">
      <c r="B1453" s="122"/>
      <c r="C1453" s="122"/>
      <c r="D1453" s="122"/>
      <c r="E1453" s="122"/>
      <c r="F1453" s="122"/>
      <c r="G1453" s="122"/>
      <c r="H1453" s="122"/>
      <c r="I1453" s="275"/>
      <c r="J1453" s="130"/>
      <c r="K1453" s="130"/>
      <c r="L1453" s="130"/>
      <c r="M1453" s="130"/>
      <c r="N1453" s="291"/>
      <c r="O1453" s="291"/>
      <c r="P1453" s="122"/>
      <c r="Q1453" s="122"/>
      <c r="R1453" s="122"/>
      <c r="S1453" s="122"/>
      <c r="T1453" s="122"/>
      <c r="U1453" s="301"/>
      <c r="V1453" s="260">
        <f t="shared" ca="1" si="30"/>
        <v>0</v>
      </c>
      <c r="W1453" s="348" t="str">
        <f>IF(板块成分!B1455="","",板块成分!B1455)</f>
        <v>003000.SZ</v>
      </c>
      <c r="X1453" s="276" t="str">
        <f>[1]!S_Info_Name(W1453)</f>
        <v>劲仔食品</v>
      </c>
      <c r="Y1453" s="276" t="str">
        <f ca="1">IF($Y$3="申万一级行业",[1]!s_info_industry_sw_2021(W1453,公司分析!D$5,1),IF($Y$3="申万二级行业",[1]!s_info_industry_sw_2021(W1453,公司分析!D$5,2),IF($Y$3="申万三级行业",[1]!s_info_industry_sw_2021(W1453,公司分析!D$5,3),IF($Y$3="wind一级行业",[1]!s_info_industry_gics(W1453,1),IF($Y$3="wind二级行业",[1]!s_info_industry_gics(W1453,2),IF($Y$3="wind三级行业",[1]!s_info_industry_gics(W1453,3),IF($Y$3="wind四级行业",[1]!s_info_industry_gics(W1453,4),IF($Y$3="证监会门类行业",[1]!s_info_industry_csrc12_n(W1453,公司分析!D$5,1),""))))))))</f>
        <v>休闲食品</v>
      </c>
      <c r="Z1453" s="302" t="str">
        <f ca="1">IF(Y1453=行业比较!$E$6,ROW(),"")</f>
        <v/>
      </c>
      <c r="AA1453" s="122"/>
      <c r="AB1453" s="122"/>
      <c r="AC1453" s="122"/>
      <c r="AD1453" s="122"/>
      <c r="AE1453" s="122"/>
      <c r="AF1453" s="122"/>
      <c r="AG1453" s="122"/>
      <c r="AH1453" s="122"/>
      <c r="AI1453" s="122"/>
      <c r="AJ1453" s="122"/>
      <c r="AK1453" s="122"/>
      <c r="AL1453" s="122"/>
      <c r="AM1453" s="122"/>
      <c r="AN1453" s="122"/>
      <c r="AO1453" s="122"/>
      <c r="AP1453" s="122"/>
    </row>
    <row r="1454" spans="2:42">
      <c r="B1454" s="122"/>
      <c r="C1454" s="122"/>
      <c r="D1454" s="122"/>
      <c r="E1454" s="122"/>
      <c r="F1454" s="122"/>
      <c r="G1454" s="122"/>
      <c r="H1454" s="122"/>
      <c r="I1454" s="275"/>
      <c r="J1454" s="130"/>
      <c r="K1454" s="130"/>
      <c r="L1454" s="130"/>
      <c r="M1454" s="130"/>
      <c r="N1454" s="291"/>
      <c r="O1454" s="291"/>
      <c r="P1454" s="122"/>
      <c r="Q1454" s="122"/>
      <c r="R1454" s="122"/>
      <c r="S1454" s="122"/>
      <c r="T1454" s="122"/>
      <c r="U1454" s="301"/>
      <c r="V1454" s="260">
        <f t="shared" ca="1" si="30"/>
        <v>0</v>
      </c>
      <c r="W1454" s="348" t="str">
        <f>IF(板块成分!B1456="","",板块成分!B1456)</f>
        <v>003001.SZ</v>
      </c>
      <c r="X1454" s="276" t="str">
        <f>[1]!S_Info_Name(W1454)</f>
        <v>中岩大地</v>
      </c>
      <c r="Y1454" s="276" t="str">
        <f ca="1">IF($Y$3="申万一级行业",[1]!s_info_industry_sw_2021(W1454,公司分析!D$5,1),IF($Y$3="申万二级行业",[1]!s_info_industry_sw_2021(W1454,公司分析!D$5,2),IF($Y$3="申万三级行业",[1]!s_info_industry_sw_2021(W1454,公司分析!D$5,3),IF($Y$3="wind一级行业",[1]!s_info_industry_gics(W1454,1),IF($Y$3="wind二级行业",[1]!s_info_industry_gics(W1454,2),IF($Y$3="wind三级行业",[1]!s_info_industry_gics(W1454,3),IF($Y$3="wind四级行业",[1]!s_info_industry_gics(W1454,4),IF($Y$3="证监会门类行业",[1]!s_info_industry_csrc12_n(W1454,公司分析!D$5,1),""))))))))</f>
        <v>专业工程</v>
      </c>
      <c r="Z1454" s="302" t="str">
        <f ca="1">IF(Y1454=行业比较!$E$6,ROW(),"")</f>
        <v/>
      </c>
      <c r="AA1454" s="122"/>
      <c r="AB1454" s="122"/>
      <c r="AC1454" s="122"/>
      <c r="AD1454" s="122"/>
      <c r="AE1454" s="122"/>
      <c r="AF1454" s="122"/>
      <c r="AG1454" s="122"/>
      <c r="AH1454" s="122"/>
      <c r="AI1454" s="122"/>
      <c r="AJ1454" s="122"/>
      <c r="AK1454" s="122"/>
      <c r="AL1454" s="122"/>
      <c r="AM1454" s="122"/>
      <c r="AN1454" s="122"/>
      <c r="AO1454" s="122"/>
      <c r="AP1454" s="122"/>
    </row>
    <row r="1455" spans="2:42">
      <c r="B1455" s="122"/>
      <c r="C1455" s="122"/>
      <c r="D1455" s="122"/>
      <c r="E1455" s="122"/>
      <c r="F1455" s="122"/>
      <c r="G1455" s="122"/>
      <c r="H1455" s="122"/>
      <c r="I1455" s="275"/>
      <c r="J1455" s="130"/>
      <c r="K1455" s="130"/>
      <c r="L1455" s="130"/>
      <c r="M1455" s="130"/>
      <c r="N1455" s="291"/>
      <c r="O1455" s="291"/>
      <c r="P1455" s="122"/>
      <c r="Q1455" s="122"/>
      <c r="R1455" s="122"/>
      <c r="S1455" s="122"/>
      <c r="T1455" s="122"/>
      <c r="U1455" s="301"/>
      <c r="V1455" s="260">
        <f t="shared" ca="1" si="30"/>
        <v>0</v>
      </c>
      <c r="W1455" s="348" t="str">
        <f>IF(板块成分!B1457="","",板块成分!B1457)</f>
        <v>003002.SZ</v>
      </c>
      <c r="X1455" s="276" t="str">
        <f>[1]!S_Info_Name(W1455)</f>
        <v>壶化股份</v>
      </c>
      <c r="Y1455" s="276" t="str">
        <f ca="1">IF($Y$3="申万一级行业",[1]!s_info_industry_sw_2021(W1455,公司分析!D$5,1),IF($Y$3="申万二级行业",[1]!s_info_industry_sw_2021(W1455,公司分析!D$5,2),IF($Y$3="申万三级行业",[1]!s_info_industry_sw_2021(W1455,公司分析!D$5,3),IF($Y$3="wind一级行业",[1]!s_info_industry_gics(W1455,1),IF($Y$3="wind二级行业",[1]!s_info_industry_gics(W1455,2),IF($Y$3="wind三级行业",[1]!s_info_industry_gics(W1455,3),IF($Y$3="wind四级行业",[1]!s_info_industry_gics(W1455,4),IF($Y$3="证监会门类行业",[1]!s_info_industry_csrc12_n(W1455,公司分析!D$5,1),""))))))))</f>
        <v>化学制品</v>
      </c>
      <c r="Z1455" s="302" t="str">
        <f ca="1">IF(Y1455=行业比较!$E$6,ROW(),"")</f>
        <v/>
      </c>
      <c r="AA1455" s="122"/>
      <c r="AB1455" s="122"/>
      <c r="AC1455" s="122"/>
      <c r="AD1455" s="122"/>
      <c r="AE1455" s="122"/>
      <c r="AF1455" s="122"/>
      <c r="AG1455" s="122"/>
      <c r="AH1455" s="122"/>
      <c r="AI1455" s="122"/>
      <c r="AJ1455" s="122"/>
      <c r="AK1455" s="122"/>
      <c r="AL1455" s="122"/>
      <c r="AM1455" s="122"/>
      <c r="AN1455" s="122"/>
      <c r="AO1455" s="122"/>
      <c r="AP1455" s="122"/>
    </row>
    <row r="1456" spans="2:42">
      <c r="B1456" s="122"/>
      <c r="C1456" s="122"/>
      <c r="D1456" s="122"/>
      <c r="E1456" s="122"/>
      <c r="F1456" s="122"/>
      <c r="G1456" s="122"/>
      <c r="H1456" s="122"/>
      <c r="I1456" s="275"/>
      <c r="J1456" s="130"/>
      <c r="K1456" s="130"/>
      <c r="L1456" s="130"/>
      <c r="M1456" s="130"/>
      <c r="N1456" s="291"/>
      <c r="O1456" s="291"/>
      <c r="P1456" s="122"/>
      <c r="Q1456" s="122"/>
      <c r="R1456" s="122"/>
      <c r="S1456" s="122"/>
      <c r="T1456" s="122"/>
      <c r="U1456" s="301"/>
      <c r="V1456" s="260">
        <f t="shared" ca="1" si="30"/>
        <v>0</v>
      </c>
      <c r="W1456" s="348" t="str">
        <f>IF(板块成分!B1458="","",板块成分!B1458)</f>
        <v>003003.SZ</v>
      </c>
      <c r="X1456" s="276" t="str">
        <f>[1]!S_Info_Name(W1456)</f>
        <v>天元股份</v>
      </c>
      <c r="Y1456" s="276" t="str">
        <f ca="1">IF($Y$3="申万一级行业",[1]!s_info_industry_sw_2021(W1456,公司分析!D$5,1),IF($Y$3="申万二级行业",[1]!s_info_industry_sw_2021(W1456,公司分析!D$5,2),IF($Y$3="申万三级行业",[1]!s_info_industry_sw_2021(W1456,公司分析!D$5,3),IF($Y$3="wind一级行业",[1]!s_info_industry_gics(W1456,1),IF($Y$3="wind二级行业",[1]!s_info_industry_gics(W1456,2),IF($Y$3="wind三级行业",[1]!s_info_industry_gics(W1456,3),IF($Y$3="wind四级行业",[1]!s_info_industry_gics(W1456,4),IF($Y$3="证监会门类行业",[1]!s_info_industry_csrc12_n(W1456,公司分析!D$5,1),""))))))))</f>
        <v>包装印刷</v>
      </c>
      <c r="Z1456" s="302" t="str">
        <f ca="1">IF(Y1456=行业比较!$E$6,ROW(),"")</f>
        <v/>
      </c>
      <c r="AA1456" s="122"/>
      <c r="AB1456" s="122"/>
      <c r="AC1456" s="122"/>
      <c r="AD1456" s="122"/>
      <c r="AE1456" s="122"/>
      <c r="AF1456" s="122"/>
      <c r="AG1456" s="122"/>
      <c r="AH1456" s="122"/>
      <c r="AI1456" s="122"/>
      <c r="AJ1456" s="122"/>
      <c r="AK1456" s="122"/>
      <c r="AL1456" s="122"/>
      <c r="AM1456" s="122"/>
      <c r="AN1456" s="122"/>
      <c r="AO1456" s="122"/>
      <c r="AP1456" s="122"/>
    </row>
    <row r="1457" spans="2:42">
      <c r="B1457" s="122"/>
      <c r="C1457" s="122"/>
      <c r="D1457" s="122"/>
      <c r="E1457" s="122"/>
      <c r="F1457" s="122"/>
      <c r="G1457" s="122"/>
      <c r="H1457" s="122"/>
      <c r="I1457" s="275"/>
      <c r="J1457" s="130"/>
      <c r="K1457" s="130"/>
      <c r="L1457" s="130"/>
      <c r="M1457" s="130"/>
      <c r="N1457" s="291"/>
      <c r="O1457" s="291"/>
      <c r="P1457" s="122"/>
      <c r="Q1457" s="122"/>
      <c r="R1457" s="122"/>
      <c r="S1457" s="122"/>
      <c r="T1457" s="122"/>
      <c r="U1457" s="301"/>
      <c r="V1457" s="260">
        <f t="shared" ca="1" si="30"/>
        <v>0</v>
      </c>
      <c r="W1457" s="348" t="str">
        <f>IF(板块成分!B1459="","",板块成分!B1459)</f>
        <v>003004.SZ</v>
      </c>
      <c r="X1457" s="276" t="str">
        <f>[1]!S_Info_Name(W1457)</f>
        <v>*ST声迅</v>
      </c>
      <c r="Y1457" s="276" t="str">
        <f ca="1">IF($Y$3="申万一级行业",[1]!s_info_industry_sw_2021(W1457,公司分析!D$5,1),IF($Y$3="申万二级行业",[1]!s_info_industry_sw_2021(W1457,公司分析!D$5,2),IF($Y$3="申万三级行业",[1]!s_info_industry_sw_2021(W1457,公司分析!D$5,3),IF($Y$3="wind一级行业",[1]!s_info_industry_gics(W1457,1),IF($Y$3="wind二级行业",[1]!s_info_industry_gics(W1457,2),IF($Y$3="wind三级行业",[1]!s_info_industry_gics(W1457,3),IF($Y$3="wind四级行业",[1]!s_info_industry_gics(W1457,4),IF($Y$3="证监会门类行业",[1]!s_info_industry_csrc12_n(W1457,公司分析!D$5,1),""))))))))</f>
        <v>计算机设备</v>
      </c>
      <c r="Z1457" s="302" t="str">
        <f ca="1">IF(Y1457=行业比较!$E$6,ROW(),"")</f>
        <v/>
      </c>
      <c r="AA1457" s="122"/>
      <c r="AB1457" s="122"/>
      <c r="AC1457" s="122"/>
      <c r="AD1457" s="122"/>
      <c r="AE1457" s="122"/>
      <c r="AF1457" s="122"/>
      <c r="AG1457" s="122"/>
      <c r="AH1457" s="122"/>
      <c r="AI1457" s="122"/>
      <c r="AJ1457" s="122"/>
      <c r="AK1457" s="122"/>
      <c r="AL1457" s="122"/>
      <c r="AM1457" s="122"/>
      <c r="AN1457" s="122"/>
      <c r="AO1457" s="122"/>
      <c r="AP1457" s="122"/>
    </row>
    <row r="1458" spans="2:42">
      <c r="B1458" s="122"/>
      <c r="C1458" s="122"/>
      <c r="D1458" s="122"/>
      <c r="E1458" s="122"/>
      <c r="F1458" s="122"/>
      <c r="G1458" s="122"/>
      <c r="H1458" s="122"/>
      <c r="I1458" s="275"/>
      <c r="J1458" s="130"/>
      <c r="K1458" s="130"/>
      <c r="L1458" s="130"/>
      <c r="M1458" s="130"/>
      <c r="N1458" s="291"/>
      <c r="O1458" s="291"/>
      <c r="P1458" s="122"/>
      <c r="Q1458" s="122"/>
      <c r="R1458" s="122"/>
      <c r="S1458" s="122"/>
      <c r="T1458" s="122"/>
      <c r="U1458" s="301"/>
      <c r="V1458" s="260">
        <f t="shared" ca="1" si="30"/>
        <v>0</v>
      </c>
      <c r="W1458" s="348" t="str">
        <f>IF(板块成分!B1460="","",板块成分!B1460)</f>
        <v>003005.SZ</v>
      </c>
      <c r="X1458" s="276" t="str">
        <f>[1]!S_Info_Name(W1458)</f>
        <v>竞业达</v>
      </c>
      <c r="Y1458" s="276" t="str">
        <f ca="1">IF($Y$3="申万一级行业",[1]!s_info_industry_sw_2021(W1458,公司分析!D$5,1),IF($Y$3="申万二级行业",[1]!s_info_industry_sw_2021(W1458,公司分析!D$5,2),IF($Y$3="申万三级行业",[1]!s_info_industry_sw_2021(W1458,公司分析!D$5,3),IF($Y$3="wind一级行业",[1]!s_info_industry_gics(W1458,1),IF($Y$3="wind二级行业",[1]!s_info_industry_gics(W1458,2),IF($Y$3="wind三级行业",[1]!s_info_industry_gics(W1458,3),IF($Y$3="wind四级行业",[1]!s_info_industry_gics(W1458,4),IF($Y$3="证监会门类行业",[1]!s_info_industry_csrc12_n(W1458,公司分析!D$5,1),""))))))))</f>
        <v>IT服务Ⅱ</v>
      </c>
      <c r="Z1458" s="302" t="str">
        <f ca="1">IF(Y1458=行业比较!$E$6,ROW(),"")</f>
        <v/>
      </c>
      <c r="AA1458" s="122"/>
      <c r="AB1458" s="122"/>
      <c r="AC1458" s="122"/>
      <c r="AD1458" s="122"/>
      <c r="AE1458" s="122"/>
      <c r="AF1458" s="122"/>
      <c r="AG1458" s="122"/>
      <c r="AH1458" s="122"/>
      <c r="AI1458" s="122"/>
      <c r="AJ1458" s="122"/>
      <c r="AK1458" s="122"/>
      <c r="AL1458" s="122"/>
      <c r="AM1458" s="122"/>
      <c r="AN1458" s="122"/>
      <c r="AO1458" s="122"/>
      <c r="AP1458" s="122"/>
    </row>
    <row r="1459" spans="2:42">
      <c r="B1459" s="122"/>
      <c r="C1459" s="122"/>
      <c r="D1459" s="122"/>
      <c r="E1459" s="122"/>
      <c r="F1459" s="122"/>
      <c r="G1459" s="122"/>
      <c r="H1459" s="122"/>
      <c r="I1459" s="275"/>
      <c r="J1459" s="130"/>
      <c r="K1459" s="130"/>
      <c r="L1459" s="130"/>
      <c r="M1459" s="130"/>
      <c r="N1459" s="291"/>
      <c r="O1459" s="291"/>
      <c r="P1459" s="122"/>
      <c r="Q1459" s="122"/>
      <c r="R1459" s="122"/>
      <c r="S1459" s="122"/>
      <c r="T1459" s="122"/>
      <c r="U1459" s="301"/>
      <c r="V1459" s="260">
        <f t="shared" ca="1" si="30"/>
        <v>0</v>
      </c>
      <c r="W1459" s="348" t="str">
        <f>IF(板块成分!B1461="","",板块成分!B1461)</f>
        <v>003006.SZ</v>
      </c>
      <c r="X1459" s="276" t="str">
        <f>[1]!S_Info_Name(W1459)</f>
        <v>百亚股份</v>
      </c>
      <c r="Y1459" s="276" t="str">
        <f ca="1">IF($Y$3="申万一级行业",[1]!s_info_industry_sw_2021(W1459,公司分析!D$5,1),IF($Y$3="申万二级行业",[1]!s_info_industry_sw_2021(W1459,公司分析!D$5,2),IF($Y$3="申万三级行业",[1]!s_info_industry_sw_2021(W1459,公司分析!D$5,3),IF($Y$3="wind一级行业",[1]!s_info_industry_gics(W1459,1),IF($Y$3="wind二级行业",[1]!s_info_industry_gics(W1459,2),IF($Y$3="wind三级行业",[1]!s_info_industry_gics(W1459,3),IF($Y$3="wind四级行业",[1]!s_info_industry_gics(W1459,4),IF($Y$3="证监会门类行业",[1]!s_info_industry_csrc12_n(W1459,公司分析!D$5,1),""))))))))</f>
        <v>个护用品</v>
      </c>
      <c r="Z1459" s="302" t="str">
        <f ca="1">IF(Y1459=行业比较!$E$6,ROW(),"")</f>
        <v/>
      </c>
      <c r="AA1459" s="122"/>
      <c r="AB1459" s="122"/>
      <c r="AC1459" s="122"/>
      <c r="AD1459" s="122"/>
      <c r="AE1459" s="122"/>
      <c r="AF1459" s="122"/>
      <c r="AG1459" s="122"/>
      <c r="AH1459" s="122"/>
      <c r="AI1459" s="122"/>
      <c r="AJ1459" s="122"/>
      <c r="AK1459" s="122"/>
      <c r="AL1459" s="122"/>
      <c r="AM1459" s="122"/>
      <c r="AN1459" s="122"/>
      <c r="AO1459" s="122"/>
      <c r="AP1459" s="122"/>
    </row>
    <row r="1460" spans="2:42">
      <c r="B1460" s="122"/>
      <c r="C1460" s="122"/>
      <c r="D1460" s="122"/>
      <c r="E1460" s="122"/>
      <c r="F1460" s="122"/>
      <c r="G1460" s="122"/>
      <c r="H1460" s="122"/>
      <c r="I1460" s="275"/>
      <c r="J1460" s="130"/>
      <c r="K1460" s="130"/>
      <c r="L1460" s="130"/>
      <c r="M1460" s="130"/>
      <c r="N1460" s="291"/>
      <c r="O1460" s="291"/>
      <c r="P1460" s="122"/>
      <c r="Q1460" s="122"/>
      <c r="R1460" s="122"/>
      <c r="S1460" s="122"/>
      <c r="T1460" s="122"/>
      <c r="U1460" s="301"/>
      <c r="V1460" s="260">
        <f t="shared" ca="1" si="30"/>
        <v>0</v>
      </c>
      <c r="W1460" s="348" t="str">
        <f>IF(板块成分!B1462="","",板块成分!B1462)</f>
        <v>003007.SZ</v>
      </c>
      <c r="X1460" s="276" t="str">
        <f>[1]!S_Info_Name(W1460)</f>
        <v>直真科技</v>
      </c>
      <c r="Y1460" s="276" t="str">
        <f ca="1">IF($Y$3="申万一级行业",[1]!s_info_industry_sw_2021(W1460,公司分析!D$5,1),IF($Y$3="申万二级行业",[1]!s_info_industry_sw_2021(W1460,公司分析!D$5,2),IF($Y$3="申万三级行业",[1]!s_info_industry_sw_2021(W1460,公司分析!D$5,3),IF($Y$3="wind一级行业",[1]!s_info_industry_gics(W1460,1),IF($Y$3="wind二级行业",[1]!s_info_industry_gics(W1460,2),IF($Y$3="wind三级行业",[1]!s_info_industry_gics(W1460,3),IF($Y$3="wind四级行业",[1]!s_info_industry_gics(W1460,4),IF($Y$3="证监会门类行业",[1]!s_info_industry_csrc12_n(W1460,公司分析!D$5,1),""))))))))</f>
        <v>软件开发</v>
      </c>
      <c r="Z1460" s="302" t="str">
        <f ca="1">IF(Y1460=行业比较!$E$6,ROW(),"")</f>
        <v/>
      </c>
      <c r="AA1460" s="122"/>
      <c r="AB1460" s="122"/>
      <c r="AC1460" s="122"/>
      <c r="AD1460" s="122"/>
      <c r="AE1460" s="122"/>
      <c r="AF1460" s="122"/>
      <c r="AG1460" s="122"/>
      <c r="AH1460" s="122"/>
      <c r="AI1460" s="122"/>
      <c r="AJ1460" s="122"/>
      <c r="AK1460" s="122"/>
      <c r="AL1460" s="122"/>
      <c r="AM1460" s="122"/>
      <c r="AN1460" s="122"/>
      <c r="AO1460" s="122"/>
      <c r="AP1460" s="122"/>
    </row>
    <row r="1461" spans="2:42">
      <c r="B1461" s="122"/>
      <c r="C1461" s="122"/>
      <c r="D1461" s="122"/>
      <c r="E1461" s="122"/>
      <c r="F1461" s="122"/>
      <c r="G1461" s="122"/>
      <c r="H1461" s="122"/>
      <c r="I1461" s="275"/>
      <c r="J1461" s="130"/>
      <c r="K1461" s="130"/>
      <c r="L1461" s="130"/>
      <c r="M1461" s="130"/>
      <c r="N1461" s="291"/>
      <c r="O1461" s="291"/>
      <c r="P1461" s="122"/>
      <c r="Q1461" s="122"/>
      <c r="R1461" s="122"/>
      <c r="S1461" s="122"/>
      <c r="T1461" s="122"/>
      <c r="U1461" s="301"/>
      <c r="V1461" s="260">
        <f t="shared" ca="1" si="30"/>
        <v>0</v>
      </c>
      <c r="W1461" s="348" t="str">
        <f>IF(板块成分!B1463="","",板块成分!B1463)</f>
        <v>003008.SZ</v>
      </c>
      <c r="X1461" s="276" t="str">
        <f>[1]!S_Info_Name(W1461)</f>
        <v>开普检测</v>
      </c>
      <c r="Y1461" s="276" t="str">
        <f ca="1">IF($Y$3="申万一级行业",[1]!s_info_industry_sw_2021(W1461,公司分析!D$5,1),IF($Y$3="申万二级行业",[1]!s_info_industry_sw_2021(W1461,公司分析!D$5,2),IF($Y$3="申万三级行业",[1]!s_info_industry_sw_2021(W1461,公司分析!D$5,3),IF($Y$3="wind一级行业",[1]!s_info_industry_gics(W1461,1),IF($Y$3="wind二级行业",[1]!s_info_industry_gics(W1461,2),IF($Y$3="wind三级行业",[1]!s_info_industry_gics(W1461,3),IF($Y$3="wind四级行业",[1]!s_info_industry_gics(W1461,4),IF($Y$3="证监会门类行业",[1]!s_info_industry_csrc12_n(W1461,公司分析!D$5,1),""))))))))</f>
        <v>专业服务</v>
      </c>
      <c r="Z1461" s="302" t="str">
        <f ca="1">IF(Y1461=行业比较!$E$6,ROW(),"")</f>
        <v/>
      </c>
      <c r="AA1461" s="122"/>
      <c r="AB1461" s="122"/>
      <c r="AC1461" s="122"/>
      <c r="AD1461" s="122"/>
      <c r="AE1461" s="122"/>
      <c r="AF1461" s="122"/>
      <c r="AG1461" s="122"/>
      <c r="AH1461" s="122"/>
      <c r="AI1461" s="122"/>
      <c r="AJ1461" s="122"/>
      <c r="AK1461" s="122"/>
      <c r="AL1461" s="122"/>
      <c r="AM1461" s="122"/>
      <c r="AN1461" s="122"/>
      <c r="AO1461" s="122"/>
      <c r="AP1461" s="122"/>
    </row>
    <row r="1462" spans="2:42">
      <c r="B1462" s="122"/>
      <c r="C1462" s="122"/>
      <c r="D1462" s="122"/>
      <c r="E1462" s="122"/>
      <c r="F1462" s="122"/>
      <c r="G1462" s="122"/>
      <c r="H1462" s="122"/>
      <c r="I1462" s="275"/>
      <c r="J1462" s="130"/>
      <c r="K1462" s="130"/>
      <c r="L1462" s="130"/>
      <c r="M1462" s="130"/>
      <c r="N1462" s="291"/>
      <c r="O1462" s="291"/>
      <c r="P1462" s="122"/>
      <c r="Q1462" s="122"/>
      <c r="R1462" s="122"/>
      <c r="S1462" s="122"/>
      <c r="T1462" s="122"/>
      <c r="U1462" s="301"/>
      <c r="V1462" s="260">
        <f t="shared" ca="1" si="30"/>
        <v>0</v>
      </c>
      <c r="W1462" s="348" t="str">
        <f>IF(板块成分!B1464="","",板块成分!B1464)</f>
        <v>003009.SZ</v>
      </c>
      <c r="X1462" s="276" t="str">
        <f>[1]!S_Info_Name(W1462)</f>
        <v>中天火箭</v>
      </c>
      <c r="Y1462" s="276" t="str">
        <f ca="1">IF($Y$3="申万一级行业",[1]!s_info_industry_sw_2021(W1462,公司分析!D$5,1),IF($Y$3="申万二级行业",[1]!s_info_industry_sw_2021(W1462,公司分析!D$5,2),IF($Y$3="申万三级行业",[1]!s_info_industry_sw_2021(W1462,公司分析!D$5,3),IF($Y$3="wind一级行业",[1]!s_info_industry_gics(W1462,1),IF($Y$3="wind二级行业",[1]!s_info_industry_gics(W1462,2),IF($Y$3="wind三级行业",[1]!s_info_industry_gics(W1462,3),IF($Y$3="wind四级行业",[1]!s_info_industry_gics(W1462,4),IF($Y$3="证监会门类行业",[1]!s_info_industry_csrc12_n(W1462,公司分析!D$5,1),""))))))))</f>
        <v>航天装备Ⅱ</v>
      </c>
      <c r="Z1462" s="302" t="str">
        <f ca="1">IF(Y1462=行业比较!$E$6,ROW(),"")</f>
        <v/>
      </c>
      <c r="AA1462" s="122"/>
      <c r="AB1462" s="122"/>
      <c r="AC1462" s="122"/>
      <c r="AD1462" s="122"/>
      <c r="AE1462" s="122"/>
      <c r="AF1462" s="122"/>
      <c r="AG1462" s="122"/>
      <c r="AH1462" s="122"/>
      <c r="AI1462" s="122"/>
      <c r="AJ1462" s="122"/>
      <c r="AK1462" s="122"/>
      <c r="AL1462" s="122"/>
      <c r="AM1462" s="122"/>
      <c r="AN1462" s="122"/>
      <c r="AO1462" s="122"/>
      <c r="AP1462" s="122"/>
    </row>
    <row r="1463" spans="2:42">
      <c r="B1463" s="122"/>
      <c r="C1463" s="122"/>
      <c r="D1463" s="122"/>
      <c r="E1463" s="122"/>
      <c r="F1463" s="122"/>
      <c r="G1463" s="122"/>
      <c r="H1463" s="122"/>
      <c r="I1463" s="275"/>
      <c r="J1463" s="130"/>
      <c r="K1463" s="130"/>
      <c r="L1463" s="130"/>
      <c r="M1463" s="130"/>
      <c r="N1463" s="291"/>
      <c r="O1463" s="291"/>
      <c r="P1463" s="122"/>
      <c r="Q1463" s="122"/>
      <c r="R1463" s="122"/>
      <c r="S1463" s="122"/>
      <c r="T1463" s="122"/>
      <c r="U1463" s="301"/>
      <c r="V1463" s="260">
        <f t="shared" ca="1" si="30"/>
        <v>0</v>
      </c>
      <c r="W1463" s="348" t="str">
        <f>IF(板块成分!B1465="","",板块成分!B1465)</f>
        <v>003010.SZ</v>
      </c>
      <c r="X1463" s="276" t="str">
        <f>[1]!S_Info_Name(W1463)</f>
        <v>若羽臣</v>
      </c>
      <c r="Y1463" s="276" t="str">
        <f ca="1">IF($Y$3="申万一级行业",[1]!s_info_industry_sw_2021(W1463,公司分析!D$5,1),IF($Y$3="申万二级行业",[1]!s_info_industry_sw_2021(W1463,公司分析!D$5,2),IF($Y$3="申万三级行业",[1]!s_info_industry_sw_2021(W1463,公司分析!D$5,3),IF($Y$3="wind一级行业",[1]!s_info_industry_gics(W1463,1),IF($Y$3="wind二级行业",[1]!s_info_industry_gics(W1463,2),IF($Y$3="wind三级行业",[1]!s_info_industry_gics(W1463,3),IF($Y$3="wind四级行业",[1]!s_info_industry_gics(W1463,4),IF($Y$3="证监会门类行业",[1]!s_info_industry_csrc12_n(W1463,公司分析!D$5,1),""))))))))</f>
        <v>互联网电商</v>
      </c>
      <c r="Z1463" s="302" t="str">
        <f ca="1">IF(Y1463=行业比较!$E$6,ROW(),"")</f>
        <v/>
      </c>
      <c r="AA1463" s="122"/>
      <c r="AB1463" s="122"/>
      <c r="AC1463" s="122"/>
      <c r="AD1463" s="122"/>
      <c r="AE1463" s="122"/>
      <c r="AF1463" s="122"/>
      <c r="AG1463" s="122"/>
      <c r="AH1463" s="122"/>
      <c r="AI1463" s="122"/>
      <c r="AJ1463" s="122"/>
      <c r="AK1463" s="122"/>
      <c r="AL1463" s="122"/>
      <c r="AM1463" s="122"/>
      <c r="AN1463" s="122"/>
      <c r="AO1463" s="122"/>
      <c r="AP1463" s="122"/>
    </row>
    <row r="1464" spans="2:42">
      <c r="B1464" s="122"/>
      <c r="C1464" s="122"/>
      <c r="D1464" s="122"/>
      <c r="E1464" s="122"/>
      <c r="F1464" s="122"/>
      <c r="G1464" s="122"/>
      <c r="H1464" s="122"/>
      <c r="I1464" s="275"/>
      <c r="J1464" s="130"/>
      <c r="K1464" s="130"/>
      <c r="L1464" s="130"/>
      <c r="M1464" s="130"/>
      <c r="N1464" s="291"/>
      <c r="O1464" s="291"/>
      <c r="P1464" s="122"/>
      <c r="Q1464" s="122"/>
      <c r="R1464" s="122"/>
      <c r="S1464" s="122"/>
      <c r="T1464" s="122"/>
      <c r="U1464" s="301"/>
      <c r="V1464" s="260">
        <f t="shared" ca="1" si="30"/>
        <v>0</v>
      </c>
      <c r="W1464" s="348" t="str">
        <f>IF(板块成分!B1466="","",板块成分!B1466)</f>
        <v>003011.SZ</v>
      </c>
      <c r="X1464" s="276" t="str">
        <f>[1]!S_Info_Name(W1464)</f>
        <v>海象新材</v>
      </c>
      <c r="Y1464" s="276" t="str">
        <f ca="1">IF($Y$3="申万一级行业",[1]!s_info_industry_sw_2021(W1464,公司分析!D$5,1),IF($Y$3="申万二级行业",[1]!s_info_industry_sw_2021(W1464,公司分析!D$5,2),IF($Y$3="申万三级行业",[1]!s_info_industry_sw_2021(W1464,公司分析!D$5,3),IF($Y$3="wind一级行业",[1]!s_info_industry_gics(W1464,1),IF($Y$3="wind二级行业",[1]!s_info_industry_gics(W1464,2),IF($Y$3="wind三级行业",[1]!s_info_industry_gics(W1464,3),IF($Y$3="wind四级行业",[1]!s_info_industry_gics(W1464,4),IF($Y$3="证监会门类行业",[1]!s_info_industry_csrc12_n(W1464,公司分析!D$5,1),""))))))))</f>
        <v>家居用品</v>
      </c>
      <c r="Z1464" s="302" t="str">
        <f ca="1">IF(Y1464=行业比较!$E$6,ROW(),"")</f>
        <v/>
      </c>
      <c r="AA1464" s="122"/>
      <c r="AB1464" s="122"/>
      <c r="AC1464" s="122"/>
      <c r="AD1464" s="122"/>
      <c r="AE1464" s="122"/>
      <c r="AF1464" s="122"/>
      <c r="AG1464" s="122"/>
      <c r="AH1464" s="122"/>
      <c r="AI1464" s="122"/>
      <c r="AJ1464" s="122"/>
      <c r="AK1464" s="122"/>
      <c r="AL1464" s="122"/>
      <c r="AM1464" s="122"/>
      <c r="AN1464" s="122"/>
      <c r="AO1464" s="122"/>
      <c r="AP1464" s="122"/>
    </row>
    <row r="1465" spans="2:42">
      <c r="B1465" s="122"/>
      <c r="C1465" s="122"/>
      <c r="D1465" s="122"/>
      <c r="E1465" s="122"/>
      <c r="F1465" s="122"/>
      <c r="G1465" s="122"/>
      <c r="H1465" s="122"/>
      <c r="I1465" s="275"/>
      <c r="J1465" s="130"/>
      <c r="K1465" s="130"/>
      <c r="L1465" s="130"/>
      <c r="M1465" s="130"/>
      <c r="N1465" s="291"/>
      <c r="O1465" s="291"/>
      <c r="P1465" s="122"/>
      <c r="Q1465" s="122"/>
      <c r="R1465" s="122"/>
      <c r="S1465" s="122"/>
      <c r="T1465" s="122"/>
      <c r="U1465" s="301"/>
      <c r="V1465" s="260">
        <f t="shared" ca="1" si="30"/>
        <v>0</v>
      </c>
      <c r="W1465" s="348" t="str">
        <f>IF(板块成分!B1467="","",板块成分!B1467)</f>
        <v>003012.SZ</v>
      </c>
      <c r="X1465" s="276" t="str">
        <f>[1]!S_Info_Name(W1465)</f>
        <v>东鹏控股</v>
      </c>
      <c r="Y1465" s="276" t="str">
        <f ca="1">IF($Y$3="申万一级行业",[1]!s_info_industry_sw_2021(W1465,公司分析!D$5,1),IF($Y$3="申万二级行业",[1]!s_info_industry_sw_2021(W1465,公司分析!D$5,2),IF($Y$3="申万三级行业",[1]!s_info_industry_sw_2021(W1465,公司分析!D$5,3),IF($Y$3="wind一级行业",[1]!s_info_industry_gics(W1465,1),IF($Y$3="wind二级行业",[1]!s_info_industry_gics(W1465,2),IF($Y$3="wind三级行业",[1]!s_info_industry_gics(W1465,3),IF($Y$3="wind四级行业",[1]!s_info_industry_gics(W1465,4),IF($Y$3="证监会门类行业",[1]!s_info_industry_csrc12_n(W1465,公司分析!D$5,1),""))))))))</f>
        <v>家居用品</v>
      </c>
      <c r="Z1465" s="302" t="str">
        <f ca="1">IF(Y1465=行业比较!$E$6,ROW(),"")</f>
        <v/>
      </c>
      <c r="AA1465" s="122"/>
      <c r="AB1465" s="122"/>
      <c r="AC1465" s="122"/>
      <c r="AD1465" s="122"/>
      <c r="AE1465" s="122"/>
      <c r="AF1465" s="122"/>
      <c r="AG1465" s="122"/>
      <c r="AH1465" s="122"/>
      <c r="AI1465" s="122"/>
      <c r="AJ1465" s="122"/>
      <c r="AK1465" s="122"/>
      <c r="AL1465" s="122"/>
      <c r="AM1465" s="122"/>
      <c r="AN1465" s="122"/>
      <c r="AO1465" s="122"/>
      <c r="AP1465" s="122"/>
    </row>
    <row r="1466" spans="2:42">
      <c r="B1466" s="122"/>
      <c r="C1466" s="122"/>
      <c r="D1466" s="122"/>
      <c r="E1466" s="122"/>
      <c r="F1466" s="122"/>
      <c r="G1466" s="122"/>
      <c r="H1466" s="122"/>
      <c r="I1466" s="275"/>
      <c r="J1466" s="130"/>
      <c r="K1466" s="130"/>
      <c r="L1466" s="130"/>
      <c r="M1466" s="130"/>
      <c r="N1466" s="291"/>
      <c r="O1466" s="291"/>
      <c r="P1466" s="122"/>
      <c r="Q1466" s="122"/>
      <c r="R1466" s="122"/>
      <c r="S1466" s="122"/>
      <c r="T1466" s="122"/>
      <c r="U1466" s="301"/>
      <c r="V1466" s="260">
        <f t="shared" ca="1" si="30"/>
        <v>0</v>
      </c>
      <c r="W1466" s="348" t="str">
        <f>IF(板块成分!B1468="","",板块成分!B1468)</f>
        <v>003013.SZ</v>
      </c>
      <c r="X1466" s="276" t="str">
        <f>[1]!S_Info_Name(W1466)</f>
        <v>地铁设计</v>
      </c>
      <c r="Y1466" s="276" t="str">
        <f ca="1">IF($Y$3="申万一级行业",[1]!s_info_industry_sw_2021(W1466,公司分析!D$5,1),IF($Y$3="申万二级行业",[1]!s_info_industry_sw_2021(W1466,公司分析!D$5,2),IF($Y$3="申万三级行业",[1]!s_info_industry_sw_2021(W1466,公司分析!D$5,3),IF($Y$3="wind一级行业",[1]!s_info_industry_gics(W1466,1),IF($Y$3="wind二级行业",[1]!s_info_industry_gics(W1466,2),IF($Y$3="wind三级行业",[1]!s_info_industry_gics(W1466,3),IF($Y$3="wind四级行业",[1]!s_info_industry_gics(W1466,4),IF($Y$3="证监会门类行业",[1]!s_info_industry_csrc12_n(W1466,公司分析!D$5,1),""))))))))</f>
        <v>工程咨询服务Ⅱ</v>
      </c>
      <c r="Z1466" s="302" t="str">
        <f ca="1">IF(Y1466=行业比较!$E$6,ROW(),"")</f>
        <v/>
      </c>
      <c r="AA1466" s="122"/>
      <c r="AB1466" s="122"/>
      <c r="AC1466" s="122"/>
      <c r="AD1466" s="122"/>
      <c r="AE1466" s="122"/>
      <c r="AF1466" s="122"/>
      <c r="AG1466" s="122"/>
      <c r="AH1466" s="122"/>
      <c r="AI1466" s="122"/>
      <c r="AJ1466" s="122"/>
      <c r="AK1466" s="122"/>
      <c r="AL1466" s="122"/>
      <c r="AM1466" s="122"/>
      <c r="AN1466" s="122"/>
      <c r="AO1466" s="122"/>
      <c r="AP1466" s="122"/>
    </row>
    <row r="1467" spans="2:42">
      <c r="B1467" s="122"/>
      <c r="C1467" s="122"/>
      <c r="D1467" s="122"/>
      <c r="E1467" s="122"/>
      <c r="F1467" s="122"/>
      <c r="G1467" s="122"/>
      <c r="H1467" s="122"/>
      <c r="I1467" s="275"/>
      <c r="J1467" s="130"/>
      <c r="K1467" s="130"/>
      <c r="L1467" s="130"/>
      <c r="M1467" s="130"/>
      <c r="N1467" s="291"/>
      <c r="O1467" s="291"/>
      <c r="P1467" s="122"/>
      <c r="Q1467" s="122"/>
      <c r="R1467" s="122"/>
      <c r="S1467" s="122"/>
      <c r="T1467" s="122"/>
      <c r="U1467" s="301"/>
      <c r="V1467" s="260">
        <f t="shared" ca="1" si="30"/>
        <v>0</v>
      </c>
      <c r="W1467" s="348" t="str">
        <f>IF(板块成分!B1469="","",板块成分!B1469)</f>
        <v>003015.SZ</v>
      </c>
      <c r="X1467" s="276" t="str">
        <f>[1]!S_Info_Name(W1467)</f>
        <v>日久光电</v>
      </c>
      <c r="Y1467" s="276" t="str">
        <f ca="1">IF($Y$3="申万一级行业",[1]!s_info_industry_sw_2021(W1467,公司分析!D$5,1),IF($Y$3="申万二级行业",[1]!s_info_industry_sw_2021(W1467,公司分析!D$5,2),IF($Y$3="申万三级行业",[1]!s_info_industry_sw_2021(W1467,公司分析!D$5,3),IF($Y$3="wind一级行业",[1]!s_info_industry_gics(W1467,1),IF($Y$3="wind二级行业",[1]!s_info_industry_gics(W1467,2),IF($Y$3="wind三级行业",[1]!s_info_industry_gics(W1467,3),IF($Y$3="wind四级行业",[1]!s_info_industry_gics(W1467,4),IF($Y$3="证监会门类行业",[1]!s_info_industry_csrc12_n(W1467,公司分析!D$5,1),""))))))))</f>
        <v>光学光电子</v>
      </c>
      <c r="Z1467" s="302" t="str">
        <f ca="1">IF(Y1467=行业比较!$E$6,ROW(),"")</f>
        <v/>
      </c>
      <c r="AA1467" s="122"/>
      <c r="AB1467" s="122"/>
      <c r="AC1467" s="122"/>
      <c r="AD1467" s="122"/>
      <c r="AE1467" s="122"/>
      <c r="AF1467" s="122"/>
      <c r="AG1467" s="122"/>
      <c r="AH1467" s="122"/>
      <c r="AI1467" s="122"/>
      <c r="AJ1467" s="122"/>
      <c r="AK1467" s="122"/>
      <c r="AL1467" s="122"/>
      <c r="AM1467" s="122"/>
      <c r="AN1467" s="122"/>
      <c r="AO1467" s="122"/>
      <c r="AP1467" s="122"/>
    </row>
    <row r="1468" spans="2:42">
      <c r="B1468" s="122"/>
      <c r="C1468" s="122"/>
      <c r="D1468" s="122"/>
      <c r="E1468" s="122"/>
      <c r="F1468" s="122"/>
      <c r="G1468" s="122"/>
      <c r="H1468" s="122"/>
      <c r="I1468" s="275"/>
      <c r="J1468" s="130"/>
      <c r="K1468" s="130"/>
      <c r="L1468" s="130"/>
      <c r="M1468" s="130"/>
      <c r="N1468" s="291"/>
      <c r="O1468" s="291"/>
      <c r="P1468" s="122"/>
      <c r="Q1468" s="122"/>
      <c r="R1468" s="122"/>
      <c r="S1468" s="122"/>
      <c r="T1468" s="122"/>
      <c r="U1468" s="301"/>
      <c r="V1468" s="260">
        <f t="shared" ca="1" si="30"/>
        <v>0</v>
      </c>
      <c r="W1468" s="348" t="str">
        <f>IF(板块成分!B1470="","",板块成分!B1470)</f>
        <v>003016.SZ</v>
      </c>
      <c r="X1468" s="276" t="str">
        <f>[1]!S_Info_Name(W1468)</f>
        <v>欣贺股份</v>
      </c>
      <c r="Y1468" s="276" t="str">
        <f ca="1">IF($Y$3="申万一级行业",[1]!s_info_industry_sw_2021(W1468,公司分析!D$5,1),IF($Y$3="申万二级行业",[1]!s_info_industry_sw_2021(W1468,公司分析!D$5,2),IF($Y$3="申万三级行业",[1]!s_info_industry_sw_2021(W1468,公司分析!D$5,3),IF($Y$3="wind一级行业",[1]!s_info_industry_gics(W1468,1),IF($Y$3="wind二级行业",[1]!s_info_industry_gics(W1468,2),IF($Y$3="wind三级行业",[1]!s_info_industry_gics(W1468,3),IF($Y$3="wind四级行业",[1]!s_info_industry_gics(W1468,4),IF($Y$3="证监会门类行业",[1]!s_info_industry_csrc12_n(W1468,公司分析!D$5,1),""))))))))</f>
        <v>服装家纺</v>
      </c>
      <c r="Z1468" s="302" t="str">
        <f ca="1">IF(Y1468=行业比较!$E$6,ROW(),"")</f>
        <v/>
      </c>
      <c r="AA1468" s="122"/>
      <c r="AB1468" s="122"/>
      <c r="AC1468" s="122"/>
      <c r="AD1468" s="122"/>
      <c r="AE1468" s="122"/>
      <c r="AF1468" s="122"/>
      <c r="AG1468" s="122"/>
      <c r="AH1468" s="122"/>
      <c r="AI1468" s="122"/>
      <c r="AJ1468" s="122"/>
      <c r="AK1468" s="122"/>
      <c r="AL1468" s="122"/>
      <c r="AM1468" s="122"/>
      <c r="AN1468" s="122"/>
      <c r="AO1468" s="122"/>
      <c r="AP1468" s="122"/>
    </row>
    <row r="1469" spans="2:42">
      <c r="B1469" s="122"/>
      <c r="C1469" s="122"/>
      <c r="D1469" s="122"/>
      <c r="E1469" s="122"/>
      <c r="F1469" s="122"/>
      <c r="G1469" s="122"/>
      <c r="H1469" s="122"/>
      <c r="I1469" s="275"/>
      <c r="J1469" s="130"/>
      <c r="K1469" s="130"/>
      <c r="L1469" s="130"/>
      <c r="M1469" s="130"/>
      <c r="N1469" s="291"/>
      <c r="O1469" s="291"/>
      <c r="P1469" s="122"/>
      <c r="Q1469" s="122"/>
      <c r="R1469" s="122"/>
      <c r="S1469" s="122"/>
      <c r="T1469" s="122"/>
      <c r="U1469" s="301"/>
      <c r="V1469" s="260">
        <f t="shared" ca="1" si="30"/>
        <v>0</v>
      </c>
      <c r="W1469" s="348" t="str">
        <f>IF(板块成分!B1471="","",板块成分!B1471)</f>
        <v>003017.SZ</v>
      </c>
      <c r="X1469" s="276" t="str">
        <f>[1]!S_Info_Name(W1469)</f>
        <v>大洋生物</v>
      </c>
      <c r="Y1469" s="276" t="str">
        <f ca="1">IF($Y$3="申万一级行业",[1]!s_info_industry_sw_2021(W1469,公司分析!D$5,1),IF($Y$3="申万二级行业",[1]!s_info_industry_sw_2021(W1469,公司分析!D$5,2),IF($Y$3="申万三级行业",[1]!s_info_industry_sw_2021(W1469,公司分析!D$5,3),IF($Y$3="wind一级行业",[1]!s_info_industry_gics(W1469,1),IF($Y$3="wind二级行业",[1]!s_info_industry_gics(W1469,2),IF($Y$3="wind三级行业",[1]!s_info_industry_gics(W1469,3),IF($Y$3="wind四级行业",[1]!s_info_industry_gics(W1469,4),IF($Y$3="证监会门类行业",[1]!s_info_industry_csrc12_n(W1469,公司分析!D$5,1),""))))))))</f>
        <v>化学原料</v>
      </c>
      <c r="Z1469" s="302" t="str">
        <f ca="1">IF(Y1469=行业比较!$E$6,ROW(),"")</f>
        <v/>
      </c>
      <c r="AA1469" s="122"/>
      <c r="AB1469" s="122"/>
      <c r="AC1469" s="122"/>
      <c r="AD1469" s="122"/>
      <c r="AE1469" s="122"/>
      <c r="AF1469" s="122"/>
      <c r="AG1469" s="122"/>
      <c r="AH1469" s="122"/>
      <c r="AI1469" s="122"/>
      <c r="AJ1469" s="122"/>
      <c r="AK1469" s="122"/>
      <c r="AL1469" s="122"/>
      <c r="AM1469" s="122"/>
      <c r="AN1469" s="122"/>
      <c r="AO1469" s="122"/>
      <c r="AP1469" s="122"/>
    </row>
    <row r="1470" spans="2:42">
      <c r="B1470" s="122"/>
      <c r="C1470" s="122"/>
      <c r="D1470" s="122"/>
      <c r="E1470" s="122"/>
      <c r="F1470" s="122"/>
      <c r="G1470" s="122"/>
      <c r="H1470" s="122"/>
      <c r="I1470" s="275"/>
      <c r="J1470" s="130"/>
      <c r="K1470" s="130"/>
      <c r="L1470" s="130"/>
      <c r="M1470" s="130"/>
      <c r="N1470" s="291"/>
      <c r="O1470" s="291"/>
      <c r="P1470" s="122"/>
      <c r="Q1470" s="122"/>
      <c r="R1470" s="122"/>
      <c r="S1470" s="122"/>
      <c r="T1470" s="122"/>
      <c r="U1470" s="301"/>
      <c r="V1470" s="260">
        <f t="shared" ca="1" si="30"/>
        <v>0</v>
      </c>
      <c r="W1470" s="348" t="str">
        <f>IF(板块成分!B1472="","",板块成分!B1472)</f>
        <v>003018.SZ</v>
      </c>
      <c r="X1470" s="276" t="str">
        <f>[1]!S_Info_Name(W1470)</f>
        <v>金富科技</v>
      </c>
      <c r="Y1470" s="276" t="str">
        <f ca="1">IF($Y$3="申万一级行业",[1]!s_info_industry_sw_2021(W1470,公司分析!D$5,1),IF($Y$3="申万二级行业",[1]!s_info_industry_sw_2021(W1470,公司分析!D$5,2),IF($Y$3="申万三级行业",[1]!s_info_industry_sw_2021(W1470,公司分析!D$5,3),IF($Y$3="wind一级行业",[1]!s_info_industry_gics(W1470,1),IF($Y$3="wind二级行业",[1]!s_info_industry_gics(W1470,2),IF($Y$3="wind三级行业",[1]!s_info_industry_gics(W1470,3),IF($Y$3="wind四级行业",[1]!s_info_industry_gics(W1470,4),IF($Y$3="证监会门类行业",[1]!s_info_industry_csrc12_n(W1470,公司分析!D$5,1),""))))))))</f>
        <v>包装印刷</v>
      </c>
      <c r="Z1470" s="302" t="str">
        <f ca="1">IF(Y1470=行业比较!$E$6,ROW(),"")</f>
        <v/>
      </c>
      <c r="AA1470" s="122"/>
      <c r="AB1470" s="122"/>
      <c r="AC1470" s="122"/>
      <c r="AD1470" s="122"/>
      <c r="AE1470" s="122"/>
      <c r="AF1470" s="122"/>
      <c r="AG1470" s="122"/>
      <c r="AH1470" s="122"/>
      <c r="AI1470" s="122"/>
      <c r="AJ1470" s="122"/>
      <c r="AK1470" s="122"/>
      <c r="AL1470" s="122"/>
      <c r="AM1470" s="122"/>
      <c r="AN1470" s="122"/>
      <c r="AO1470" s="122"/>
      <c r="AP1470" s="122"/>
    </row>
    <row r="1471" spans="2:42">
      <c r="B1471" s="122"/>
      <c r="C1471" s="122"/>
      <c r="D1471" s="122"/>
      <c r="E1471" s="122"/>
      <c r="F1471" s="122"/>
      <c r="G1471" s="122"/>
      <c r="H1471" s="122"/>
      <c r="I1471" s="275"/>
      <c r="J1471" s="130"/>
      <c r="K1471" s="130"/>
      <c r="L1471" s="130"/>
      <c r="M1471" s="130"/>
      <c r="N1471" s="291"/>
      <c r="O1471" s="291"/>
      <c r="P1471" s="122"/>
      <c r="Q1471" s="122"/>
      <c r="R1471" s="122"/>
      <c r="S1471" s="122"/>
      <c r="T1471" s="122"/>
      <c r="U1471" s="301"/>
      <c r="V1471" s="260">
        <f t="shared" ca="1" si="30"/>
        <v>0</v>
      </c>
      <c r="W1471" s="348" t="str">
        <f>IF(板块成分!B1473="","",板块成分!B1473)</f>
        <v>003019.SZ</v>
      </c>
      <c r="X1471" s="276" t="str">
        <f>[1]!S_Info_Name(W1471)</f>
        <v>宸展光电</v>
      </c>
      <c r="Y1471" s="276" t="str">
        <f ca="1">IF($Y$3="申万一级行业",[1]!s_info_industry_sw_2021(W1471,公司分析!D$5,1),IF($Y$3="申万二级行业",[1]!s_info_industry_sw_2021(W1471,公司分析!D$5,2),IF($Y$3="申万三级行业",[1]!s_info_industry_sw_2021(W1471,公司分析!D$5,3),IF($Y$3="wind一级行业",[1]!s_info_industry_gics(W1471,1),IF($Y$3="wind二级行业",[1]!s_info_industry_gics(W1471,2),IF($Y$3="wind三级行业",[1]!s_info_industry_gics(W1471,3),IF($Y$3="wind四级行业",[1]!s_info_industry_gics(W1471,4),IF($Y$3="证监会门类行业",[1]!s_info_industry_csrc12_n(W1471,公司分析!D$5,1),""))))))))</f>
        <v>光学光电子</v>
      </c>
      <c r="Z1471" s="302" t="str">
        <f ca="1">IF(Y1471=行业比较!$E$6,ROW(),"")</f>
        <v/>
      </c>
      <c r="AA1471" s="122"/>
      <c r="AB1471" s="122"/>
      <c r="AC1471" s="122"/>
      <c r="AD1471" s="122"/>
      <c r="AE1471" s="122"/>
      <c r="AF1471" s="122"/>
      <c r="AG1471" s="122"/>
      <c r="AH1471" s="122"/>
      <c r="AI1471" s="122"/>
      <c r="AJ1471" s="122"/>
      <c r="AK1471" s="122"/>
      <c r="AL1471" s="122"/>
      <c r="AM1471" s="122"/>
      <c r="AN1471" s="122"/>
      <c r="AO1471" s="122"/>
      <c r="AP1471" s="122"/>
    </row>
    <row r="1472" spans="2:42">
      <c r="B1472" s="122"/>
      <c r="C1472" s="122"/>
      <c r="D1472" s="122"/>
      <c r="E1472" s="122"/>
      <c r="F1472" s="122"/>
      <c r="G1472" s="122"/>
      <c r="H1472" s="122"/>
      <c r="I1472" s="275"/>
      <c r="J1472" s="130"/>
      <c r="K1472" s="130"/>
      <c r="L1472" s="130"/>
      <c r="M1472" s="130"/>
      <c r="N1472" s="291"/>
      <c r="O1472" s="291"/>
      <c r="P1472" s="122"/>
      <c r="Q1472" s="122"/>
      <c r="R1472" s="122"/>
      <c r="S1472" s="122"/>
      <c r="T1472" s="122"/>
      <c r="U1472" s="301"/>
      <c r="V1472" s="260">
        <f t="shared" ca="1" si="30"/>
        <v>0</v>
      </c>
      <c r="W1472" s="348" t="str">
        <f>IF(板块成分!B1474="","",板块成分!B1474)</f>
        <v>003020.SZ</v>
      </c>
      <c r="X1472" s="276" t="str">
        <f>[1]!S_Info_Name(W1472)</f>
        <v>立方制药</v>
      </c>
      <c r="Y1472" s="276" t="str">
        <f ca="1">IF($Y$3="申万一级行业",[1]!s_info_industry_sw_2021(W1472,公司分析!D$5,1),IF($Y$3="申万二级行业",[1]!s_info_industry_sw_2021(W1472,公司分析!D$5,2),IF($Y$3="申万三级行业",[1]!s_info_industry_sw_2021(W1472,公司分析!D$5,3),IF($Y$3="wind一级行业",[1]!s_info_industry_gics(W1472,1),IF($Y$3="wind二级行业",[1]!s_info_industry_gics(W1472,2),IF($Y$3="wind三级行业",[1]!s_info_industry_gics(W1472,3),IF($Y$3="wind四级行业",[1]!s_info_industry_gics(W1472,4),IF($Y$3="证监会门类行业",[1]!s_info_industry_csrc12_n(W1472,公司分析!D$5,1),""))))))))</f>
        <v>化学制药</v>
      </c>
      <c r="Z1472" s="302" t="str">
        <f ca="1">IF(Y1472=行业比较!$E$6,ROW(),"")</f>
        <v/>
      </c>
      <c r="AA1472" s="122"/>
      <c r="AB1472" s="122"/>
      <c r="AC1472" s="122"/>
      <c r="AD1472" s="122"/>
      <c r="AE1472" s="122"/>
      <c r="AF1472" s="122"/>
      <c r="AG1472" s="122"/>
      <c r="AH1472" s="122"/>
      <c r="AI1472" s="122"/>
      <c r="AJ1472" s="122"/>
      <c r="AK1472" s="122"/>
      <c r="AL1472" s="122"/>
      <c r="AM1472" s="122"/>
      <c r="AN1472" s="122"/>
      <c r="AO1472" s="122"/>
      <c r="AP1472" s="122"/>
    </row>
    <row r="1473" spans="2:42">
      <c r="B1473" s="122"/>
      <c r="C1473" s="122"/>
      <c r="D1473" s="122"/>
      <c r="E1473" s="122"/>
      <c r="F1473" s="122"/>
      <c r="G1473" s="122"/>
      <c r="H1473" s="122"/>
      <c r="I1473" s="275"/>
      <c r="J1473" s="130"/>
      <c r="K1473" s="130"/>
      <c r="L1473" s="130"/>
      <c r="M1473" s="130"/>
      <c r="N1473" s="291"/>
      <c r="O1473" s="291"/>
      <c r="P1473" s="122"/>
      <c r="Q1473" s="122"/>
      <c r="R1473" s="122"/>
      <c r="S1473" s="122"/>
      <c r="T1473" s="122"/>
      <c r="U1473" s="301"/>
      <c r="V1473" s="260">
        <f t="shared" ca="1" si="30"/>
        <v>0</v>
      </c>
      <c r="W1473" s="348" t="str">
        <f>IF(板块成分!B1475="","",板块成分!B1475)</f>
        <v>003021.SZ</v>
      </c>
      <c r="X1473" s="276" t="str">
        <f>[1]!S_Info_Name(W1473)</f>
        <v>兆威机电</v>
      </c>
      <c r="Y1473" s="276" t="str">
        <f ca="1">IF($Y$3="申万一级行业",[1]!s_info_industry_sw_2021(W1473,公司分析!D$5,1),IF($Y$3="申万二级行业",[1]!s_info_industry_sw_2021(W1473,公司分析!D$5,2),IF($Y$3="申万三级行业",[1]!s_info_industry_sw_2021(W1473,公司分析!D$5,3),IF($Y$3="wind一级行业",[1]!s_info_industry_gics(W1473,1),IF($Y$3="wind二级行业",[1]!s_info_industry_gics(W1473,2),IF($Y$3="wind三级行业",[1]!s_info_industry_gics(W1473,3),IF($Y$3="wind四级行业",[1]!s_info_industry_gics(W1473,4),IF($Y$3="证监会门类行业",[1]!s_info_industry_csrc12_n(W1473,公司分析!D$5,1),""))))))))</f>
        <v>电机Ⅱ</v>
      </c>
      <c r="Z1473" s="302" t="str">
        <f ca="1">IF(Y1473=行业比较!$E$6,ROW(),"")</f>
        <v/>
      </c>
      <c r="AA1473" s="122"/>
      <c r="AB1473" s="122"/>
      <c r="AC1473" s="122"/>
      <c r="AD1473" s="122"/>
      <c r="AE1473" s="122"/>
      <c r="AF1473" s="122"/>
      <c r="AG1473" s="122"/>
      <c r="AH1473" s="122"/>
      <c r="AI1473" s="122"/>
      <c r="AJ1473" s="122"/>
      <c r="AK1473" s="122"/>
      <c r="AL1473" s="122"/>
      <c r="AM1473" s="122"/>
      <c r="AN1473" s="122"/>
      <c r="AO1473" s="122"/>
      <c r="AP1473" s="122"/>
    </row>
    <row r="1474" spans="2:42">
      <c r="B1474" s="122"/>
      <c r="C1474" s="122"/>
      <c r="D1474" s="122"/>
      <c r="E1474" s="122"/>
      <c r="F1474" s="122"/>
      <c r="G1474" s="122"/>
      <c r="H1474" s="122"/>
      <c r="I1474" s="275"/>
      <c r="J1474" s="130"/>
      <c r="K1474" s="130"/>
      <c r="L1474" s="130"/>
      <c r="M1474" s="130"/>
      <c r="N1474" s="291"/>
      <c r="O1474" s="291"/>
      <c r="P1474" s="122"/>
      <c r="Q1474" s="122"/>
      <c r="R1474" s="122"/>
      <c r="S1474" s="122"/>
      <c r="T1474" s="122"/>
      <c r="U1474" s="301"/>
      <c r="V1474" s="260">
        <f t="shared" ca="1" si="30"/>
        <v>0</v>
      </c>
      <c r="W1474" s="348" t="str">
        <f>IF(板块成分!B1476="","",板块成分!B1476)</f>
        <v>003022.SZ</v>
      </c>
      <c r="X1474" s="276" t="str">
        <f>[1]!S_Info_Name(W1474)</f>
        <v>联泓新科</v>
      </c>
      <c r="Y1474" s="276" t="str">
        <f ca="1">IF($Y$3="申万一级行业",[1]!s_info_industry_sw_2021(W1474,公司分析!D$5,1),IF($Y$3="申万二级行业",[1]!s_info_industry_sw_2021(W1474,公司分析!D$5,2),IF($Y$3="申万三级行业",[1]!s_info_industry_sw_2021(W1474,公司分析!D$5,3),IF($Y$3="wind一级行业",[1]!s_info_industry_gics(W1474,1),IF($Y$3="wind二级行业",[1]!s_info_industry_gics(W1474,2),IF($Y$3="wind三级行业",[1]!s_info_industry_gics(W1474,3),IF($Y$3="wind四级行业",[1]!s_info_industry_gics(W1474,4),IF($Y$3="证监会门类行业",[1]!s_info_industry_csrc12_n(W1474,公司分析!D$5,1),""))))))))</f>
        <v>光伏设备</v>
      </c>
      <c r="Z1474" s="302" t="str">
        <f ca="1">IF(Y1474=行业比较!$E$6,ROW(),"")</f>
        <v/>
      </c>
      <c r="AA1474" s="122"/>
      <c r="AB1474" s="122"/>
      <c r="AC1474" s="122"/>
      <c r="AD1474" s="122"/>
      <c r="AE1474" s="122"/>
      <c r="AF1474" s="122"/>
      <c r="AG1474" s="122"/>
      <c r="AH1474" s="122"/>
      <c r="AI1474" s="122"/>
      <c r="AJ1474" s="122"/>
      <c r="AK1474" s="122"/>
      <c r="AL1474" s="122"/>
      <c r="AM1474" s="122"/>
      <c r="AN1474" s="122"/>
      <c r="AO1474" s="122"/>
      <c r="AP1474" s="122"/>
    </row>
    <row r="1475" spans="2:42">
      <c r="B1475" s="122"/>
      <c r="C1475" s="122"/>
      <c r="D1475" s="122"/>
      <c r="E1475" s="122"/>
      <c r="F1475" s="122"/>
      <c r="G1475" s="122"/>
      <c r="H1475" s="122"/>
      <c r="I1475" s="275"/>
      <c r="J1475" s="130"/>
      <c r="K1475" s="130"/>
      <c r="L1475" s="130"/>
      <c r="M1475" s="130"/>
      <c r="N1475" s="291"/>
      <c r="O1475" s="291"/>
      <c r="P1475" s="122"/>
      <c r="Q1475" s="122"/>
      <c r="R1475" s="122"/>
      <c r="S1475" s="122"/>
      <c r="T1475" s="122"/>
      <c r="U1475" s="301"/>
      <c r="V1475" s="260">
        <f t="shared" ca="1" si="30"/>
        <v>0</v>
      </c>
      <c r="W1475" s="348" t="str">
        <f>IF(板块成分!B1477="","",板块成分!B1477)</f>
        <v>003023.SZ</v>
      </c>
      <c r="X1475" s="276" t="str">
        <f>[1]!S_Info_Name(W1475)</f>
        <v>彩虹集团</v>
      </c>
      <c r="Y1475" s="276" t="str">
        <f ca="1">IF($Y$3="申万一级行业",[1]!s_info_industry_sw_2021(W1475,公司分析!D$5,1),IF($Y$3="申万二级行业",[1]!s_info_industry_sw_2021(W1475,公司分析!D$5,2),IF($Y$3="申万三级行业",[1]!s_info_industry_sw_2021(W1475,公司分析!D$5,3),IF($Y$3="wind一级行业",[1]!s_info_industry_gics(W1475,1),IF($Y$3="wind二级行业",[1]!s_info_industry_gics(W1475,2),IF($Y$3="wind三级行业",[1]!s_info_industry_gics(W1475,3),IF($Y$3="wind四级行业",[1]!s_info_industry_gics(W1475,4),IF($Y$3="证监会门类行业",[1]!s_info_industry_csrc12_n(W1475,公司分析!D$5,1),""))))))))</f>
        <v>小家电</v>
      </c>
      <c r="Z1475" s="302" t="str">
        <f ca="1">IF(Y1475=行业比较!$E$6,ROW(),"")</f>
        <v/>
      </c>
      <c r="AA1475" s="122"/>
      <c r="AB1475" s="122"/>
      <c r="AC1475" s="122"/>
      <c r="AD1475" s="122"/>
      <c r="AE1475" s="122"/>
      <c r="AF1475" s="122"/>
      <c r="AG1475" s="122"/>
      <c r="AH1475" s="122"/>
      <c r="AI1475" s="122"/>
      <c r="AJ1475" s="122"/>
      <c r="AK1475" s="122"/>
      <c r="AL1475" s="122"/>
      <c r="AM1475" s="122"/>
      <c r="AN1475" s="122"/>
      <c r="AO1475" s="122"/>
      <c r="AP1475" s="122"/>
    </row>
    <row r="1476" spans="2:42">
      <c r="B1476" s="122"/>
      <c r="C1476" s="122"/>
      <c r="D1476" s="122"/>
      <c r="E1476" s="122"/>
      <c r="F1476" s="122"/>
      <c r="G1476" s="122"/>
      <c r="H1476" s="122"/>
      <c r="I1476" s="275"/>
      <c r="J1476" s="130"/>
      <c r="K1476" s="130"/>
      <c r="L1476" s="130"/>
      <c r="M1476" s="130"/>
      <c r="N1476" s="291"/>
      <c r="O1476" s="291"/>
      <c r="P1476" s="122"/>
      <c r="Q1476" s="122"/>
      <c r="R1476" s="122"/>
      <c r="S1476" s="122"/>
      <c r="T1476" s="122"/>
      <c r="U1476" s="301"/>
      <c r="V1476" s="260">
        <f t="shared" ca="1" si="30"/>
        <v>0</v>
      </c>
      <c r="W1476" s="348" t="str">
        <f>IF(板块成分!B1478="","",板块成分!B1478)</f>
        <v>003025.SZ</v>
      </c>
      <c r="X1476" s="276" t="str">
        <f>[1]!S_Info_Name(W1476)</f>
        <v>思进智能</v>
      </c>
      <c r="Y1476" s="276" t="str">
        <f ca="1">IF($Y$3="申万一级行业",[1]!s_info_industry_sw_2021(W1476,公司分析!D$5,1),IF($Y$3="申万二级行业",[1]!s_info_industry_sw_2021(W1476,公司分析!D$5,2),IF($Y$3="申万三级行业",[1]!s_info_industry_sw_2021(W1476,公司分析!D$5,3),IF($Y$3="wind一级行业",[1]!s_info_industry_gics(W1476,1),IF($Y$3="wind二级行业",[1]!s_info_industry_gics(W1476,2),IF($Y$3="wind三级行业",[1]!s_info_industry_gics(W1476,3),IF($Y$3="wind四级行业",[1]!s_info_industry_gics(W1476,4),IF($Y$3="证监会门类行业",[1]!s_info_industry_csrc12_n(W1476,公司分析!D$5,1),""))))))))</f>
        <v>通用设备</v>
      </c>
      <c r="Z1476" s="302" t="str">
        <f ca="1">IF(Y1476=行业比较!$E$6,ROW(),"")</f>
        <v/>
      </c>
      <c r="AA1476" s="122"/>
      <c r="AB1476" s="122"/>
      <c r="AC1476" s="122"/>
      <c r="AD1476" s="122"/>
      <c r="AE1476" s="122"/>
      <c r="AF1476" s="122"/>
      <c r="AG1476" s="122"/>
      <c r="AH1476" s="122"/>
      <c r="AI1476" s="122"/>
      <c r="AJ1476" s="122"/>
      <c r="AK1476" s="122"/>
      <c r="AL1476" s="122"/>
      <c r="AM1476" s="122"/>
      <c r="AN1476" s="122"/>
      <c r="AO1476" s="122"/>
      <c r="AP1476" s="122"/>
    </row>
    <row r="1477" spans="2:42">
      <c r="B1477" s="122"/>
      <c r="C1477" s="122"/>
      <c r="D1477" s="122"/>
      <c r="E1477" s="122"/>
      <c r="F1477" s="122"/>
      <c r="G1477" s="122"/>
      <c r="H1477" s="122"/>
      <c r="I1477" s="275"/>
      <c r="J1477" s="130"/>
      <c r="K1477" s="130"/>
      <c r="L1477" s="130"/>
      <c r="M1477" s="130"/>
      <c r="N1477" s="291"/>
      <c r="O1477" s="291"/>
      <c r="P1477" s="122"/>
      <c r="Q1477" s="122"/>
      <c r="R1477" s="122"/>
      <c r="S1477" s="122"/>
      <c r="T1477" s="122"/>
      <c r="U1477" s="301"/>
      <c r="V1477" s="260">
        <f t="shared" ref="V1477:V1540" ca="1" si="31">IF(Z1477="",0,RANK(Z1477,Z:Z,1))</f>
        <v>0</v>
      </c>
      <c r="W1477" s="348" t="str">
        <f>IF(板块成分!B1479="","",板块成分!B1479)</f>
        <v>003026.SZ</v>
      </c>
      <c r="X1477" s="276" t="str">
        <f>[1]!S_Info_Name(W1477)</f>
        <v>中晶科技</v>
      </c>
      <c r="Y1477" s="276" t="str">
        <f ca="1">IF($Y$3="申万一级行业",[1]!s_info_industry_sw_2021(W1477,公司分析!D$5,1),IF($Y$3="申万二级行业",[1]!s_info_industry_sw_2021(W1477,公司分析!D$5,2),IF($Y$3="申万三级行业",[1]!s_info_industry_sw_2021(W1477,公司分析!D$5,3),IF($Y$3="wind一级行业",[1]!s_info_industry_gics(W1477,1),IF($Y$3="wind二级行业",[1]!s_info_industry_gics(W1477,2),IF($Y$3="wind三级行业",[1]!s_info_industry_gics(W1477,3),IF($Y$3="wind四级行业",[1]!s_info_industry_gics(W1477,4),IF($Y$3="证监会门类行业",[1]!s_info_industry_csrc12_n(W1477,公司分析!D$5,1),""))))))))</f>
        <v>半导体</v>
      </c>
      <c r="Z1477" s="302" t="str">
        <f ca="1">IF(Y1477=行业比较!$E$6,ROW(),"")</f>
        <v/>
      </c>
      <c r="AA1477" s="122"/>
      <c r="AB1477" s="122"/>
      <c r="AC1477" s="122"/>
      <c r="AD1477" s="122"/>
      <c r="AE1477" s="122"/>
      <c r="AF1477" s="122"/>
      <c r="AG1477" s="122"/>
      <c r="AH1477" s="122"/>
      <c r="AI1477" s="122"/>
      <c r="AJ1477" s="122"/>
      <c r="AK1477" s="122"/>
      <c r="AL1477" s="122"/>
      <c r="AM1477" s="122"/>
      <c r="AN1477" s="122"/>
      <c r="AO1477" s="122"/>
      <c r="AP1477" s="122"/>
    </row>
    <row r="1478" spans="2:42">
      <c r="B1478" s="122"/>
      <c r="C1478" s="122"/>
      <c r="D1478" s="122"/>
      <c r="E1478" s="122"/>
      <c r="F1478" s="122"/>
      <c r="G1478" s="122"/>
      <c r="H1478" s="122"/>
      <c r="I1478" s="275"/>
      <c r="J1478" s="130"/>
      <c r="K1478" s="130"/>
      <c r="L1478" s="130"/>
      <c r="M1478" s="130"/>
      <c r="N1478" s="291"/>
      <c r="O1478" s="291"/>
      <c r="P1478" s="122"/>
      <c r="Q1478" s="122"/>
      <c r="R1478" s="122"/>
      <c r="S1478" s="122"/>
      <c r="T1478" s="122"/>
      <c r="U1478" s="301"/>
      <c r="V1478" s="260">
        <f t="shared" ca="1" si="31"/>
        <v>0</v>
      </c>
      <c r="W1478" s="348" t="str">
        <f>IF(板块成分!B1480="","",板块成分!B1480)</f>
        <v>003027.SZ</v>
      </c>
      <c r="X1478" s="276" t="str">
        <f>[1]!S_Info_Name(W1478)</f>
        <v>同兴科技</v>
      </c>
      <c r="Y1478" s="276" t="str">
        <f ca="1">IF($Y$3="申万一级行业",[1]!s_info_industry_sw_2021(W1478,公司分析!D$5,1),IF($Y$3="申万二级行业",[1]!s_info_industry_sw_2021(W1478,公司分析!D$5,2),IF($Y$3="申万三级行业",[1]!s_info_industry_sw_2021(W1478,公司分析!D$5,3),IF($Y$3="wind一级行业",[1]!s_info_industry_gics(W1478,1),IF($Y$3="wind二级行业",[1]!s_info_industry_gics(W1478,2),IF($Y$3="wind三级行业",[1]!s_info_industry_gics(W1478,3),IF($Y$3="wind四级行业",[1]!s_info_industry_gics(W1478,4),IF($Y$3="证监会门类行业",[1]!s_info_industry_csrc12_n(W1478,公司分析!D$5,1),""))))))))</f>
        <v>环境治理</v>
      </c>
      <c r="Z1478" s="302" t="str">
        <f ca="1">IF(Y1478=行业比较!$E$6,ROW(),"")</f>
        <v/>
      </c>
      <c r="AA1478" s="122"/>
      <c r="AB1478" s="122"/>
      <c r="AC1478" s="122"/>
      <c r="AD1478" s="122"/>
      <c r="AE1478" s="122"/>
      <c r="AF1478" s="122"/>
      <c r="AG1478" s="122"/>
      <c r="AH1478" s="122"/>
      <c r="AI1478" s="122"/>
      <c r="AJ1478" s="122"/>
      <c r="AK1478" s="122"/>
      <c r="AL1478" s="122"/>
      <c r="AM1478" s="122"/>
      <c r="AN1478" s="122"/>
      <c r="AO1478" s="122"/>
      <c r="AP1478" s="122"/>
    </row>
    <row r="1479" spans="2:42">
      <c r="B1479" s="122"/>
      <c r="C1479" s="122"/>
      <c r="D1479" s="122"/>
      <c r="E1479" s="122"/>
      <c r="F1479" s="122"/>
      <c r="G1479" s="122"/>
      <c r="H1479" s="122"/>
      <c r="I1479" s="275"/>
      <c r="J1479" s="130"/>
      <c r="K1479" s="130"/>
      <c r="L1479" s="130"/>
      <c r="M1479" s="130"/>
      <c r="N1479" s="291"/>
      <c r="O1479" s="291"/>
      <c r="P1479" s="122"/>
      <c r="Q1479" s="122"/>
      <c r="R1479" s="122"/>
      <c r="S1479" s="122"/>
      <c r="T1479" s="122"/>
      <c r="U1479" s="301"/>
      <c r="V1479" s="260">
        <f t="shared" ca="1" si="31"/>
        <v>0</v>
      </c>
      <c r="W1479" s="348" t="str">
        <f>IF(板块成分!B1481="","",板块成分!B1481)</f>
        <v>003028.SZ</v>
      </c>
      <c r="X1479" s="276" t="str">
        <f>[1]!S_Info_Name(W1479)</f>
        <v>振邦智能</v>
      </c>
      <c r="Y1479" s="276" t="str">
        <f ca="1">IF($Y$3="申万一级行业",[1]!s_info_industry_sw_2021(W1479,公司分析!D$5,1),IF($Y$3="申万二级行业",[1]!s_info_industry_sw_2021(W1479,公司分析!D$5,2),IF($Y$3="申万三级行业",[1]!s_info_industry_sw_2021(W1479,公司分析!D$5,3),IF($Y$3="wind一级行业",[1]!s_info_industry_gics(W1479,1),IF($Y$3="wind二级行业",[1]!s_info_industry_gics(W1479,2),IF($Y$3="wind三级行业",[1]!s_info_industry_gics(W1479,3),IF($Y$3="wind四级行业",[1]!s_info_industry_gics(W1479,4),IF($Y$3="证监会门类行业",[1]!s_info_industry_csrc12_n(W1479,公司分析!D$5,1),""))))))))</f>
        <v>家电零部件Ⅱ</v>
      </c>
      <c r="Z1479" s="302" t="str">
        <f ca="1">IF(Y1479=行业比较!$E$6,ROW(),"")</f>
        <v/>
      </c>
      <c r="AA1479" s="122"/>
      <c r="AB1479" s="122"/>
      <c r="AC1479" s="122"/>
      <c r="AD1479" s="122"/>
      <c r="AE1479" s="122"/>
      <c r="AF1479" s="122"/>
      <c r="AG1479" s="122"/>
      <c r="AH1479" s="122"/>
      <c r="AI1479" s="122"/>
      <c r="AJ1479" s="122"/>
      <c r="AK1479" s="122"/>
      <c r="AL1479" s="122"/>
      <c r="AM1479" s="122"/>
      <c r="AN1479" s="122"/>
      <c r="AO1479" s="122"/>
      <c r="AP1479" s="122"/>
    </row>
    <row r="1480" spans="2:42">
      <c r="B1480" s="122"/>
      <c r="C1480" s="122"/>
      <c r="D1480" s="122"/>
      <c r="E1480" s="122"/>
      <c r="F1480" s="122"/>
      <c r="G1480" s="122"/>
      <c r="H1480" s="122"/>
      <c r="I1480" s="275"/>
      <c r="J1480" s="130"/>
      <c r="K1480" s="130"/>
      <c r="L1480" s="130"/>
      <c r="M1480" s="130"/>
      <c r="N1480" s="291"/>
      <c r="O1480" s="291"/>
      <c r="P1480" s="122"/>
      <c r="Q1480" s="122"/>
      <c r="R1480" s="122"/>
      <c r="S1480" s="122"/>
      <c r="T1480" s="122"/>
      <c r="U1480" s="301"/>
      <c r="V1480" s="260">
        <f t="shared" ca="1" si="31"/>
        <v>0</v>
      </c>
      <c r="W1480" s="348" t="str">
        <f>IF(板块成分!B1482="","",板块成分!B1482)</f>
        <v>003029.SZ</v>
      </c>
      <c r="X1480" s="276" t="str">
        <f>[1]!S_Info_Name(W1480)</f>
        <v>吉大正元</v>
      </c>
      <c r="Y1480" s="276" t="str">
        <f ca="1">IF($Y$3="申万一级行业",[1]!s_info_industry_sw_2021(W1480,公司分析!D$5,1),IF($Y$3="申万二级行业",[1]!s_info_industry_sw_2021(W1480,公司分析!D$5,2),IF($Y$3="申万三级行业",[1]!s_info_industry_sw_2021(W1480,公司分析!D$5,3),IF($Y$3="wind一级行业",[1]!s_info_industry_gics(W1480,1),IF($Y$3="wind二级行业",[1]!s_info_industry_gics(W1480,2),IF($Y$3="wind三级行业",[1]!s_info_industry_gics(W1480,3),IF($Y$3="wind四级行业",[1]!s_info_industry_gics(W1480,4),IF($Y$3="证监会门类行业",[1]!s_info_industry_csrc12_n(W1480,公司分析!D$5,1),""))))))))</f>
        <v>软件开发</v>
      </c>
      <c r="Z1480" s="302" t="str">
        <f ca="1">IF(Y1480=行业比较!$E$6,ROW(),"")</f>
        <v/>
      </c>
      <c r="AA1480" s="122"/>
      <c r="AB1480" s="122"/>
      <c r="AC1480" s="122"/>
      <c r="AD1480" s="122"/>
      <c r="AE1480" s="122"/>
      <c r="AF1480" s="122"/>
      <c r="AG1480" s="122"/>
      <c r="AH1480" s="122"/>
      <c r="AI1480" s="122"/>
      <c r="AJ1480" s="122"/>
      <c r="AK1480" s="122"/>
      <c r="AL1480" s="122"/>
      <c r="AM1480" s="122"/>
      <c r="AN1480" s="122"/>
      <c r="AO1480" s="122"/>
      <c r="AP1480" s="122"/>
    </row>
    <row r="1481" spans="2:42">
      <c r="B1481" s="122"/>
      <c r="C1481" s="122"/>
      <c r="D1481" s="122"/>
      <c r="E1481" s="122"/>
      <c r="F1481" s="122"/>
      <c r="G1481" s="122"/>
      <c r="H1481" s="122"/>
      <c r="I1481" s="275"/>
      <c r="J1481" s="130"/>
      <c r="K1481" s="130"/>
      <c r="L1481" s="130"/>
      <c r="M1481" s="130"/>
      <c r="N1481" s="291"/>
      <c r="O1481" s="291"/>
      <c r="P1481" s="122"/>
      <c r="Q1481" s="122"/>
      <c r="R1481" s="122"/>
      <c r="S1481" s="122"/>
      <c r="T1481" s="122"/>
      <c r="U1481" s="301"/>
      <c r="V1481" s="260">
        <f t="shared" ca="1" si="31"/>
        <v>0</v>
      </c>
      <c r="W1481" s="348" t="str">
        <f>IF(板块成分!B1483="","",板块成分!B1483)</f>
        <v>003030.SZ</v>
      </c>
      <c r="X1481" s="276" t="str">
        <f>[1]!S_Info_Name(W1481)</f>
        <v>祖名股份</v>
      </c>
      <c r="Y1481" s="276" t="str">
        <f ca="1">IF($Y$3="申万一级行业",[1]!s_info_industry_sw_2021(W1481,公司分析!D$5,1),IF($Y$3="申万二级行业",[1]!s_info_industry_sw_2021(W1481,公司分析!D$5,2),IF($Y$3="申万三级行业",[1]!s_info_industry_sw_2021(W1481,公司分析!D$5,3),IF($Y$3="wind一级行业",[1]!s_info_industry_gics(W1481,1),IF($Y$3="wind二级行业",[1]!s_info_industry_gics(W1481,2),IF($Y$3="wind三级行业",[1]!s_info_industry_gics(W1481,3),IF($Y$3="wind四级行业",[1]!s_info_industry_gics(W1481,4),IF($Y$3="证监会门类行业",[1]!s_info_industry_csrc12_n(W1481,公司分析!D$5,1),""))))))))</f>
        <v>农产品加工</v>
      </c>
      <c r="Z1481" s="302" t="str">
        <f ca="1">IF(Y1481=行业比较!$E$6,ROW(),"")</f>
        <v/>
      </c>
      <c r="AA1481" s="122"/>
      <c r="AB1481" s="122"/>
      <c r="AC1481" s="122"/>
      <c r="AD1481" s="122"/>
      <c r="AE1481" s="122"/>
      <c r="AF1481" s="122"/>
      <c r="AG1481" s="122"/>
      <c r="AH1481" s="122"/>
      <c r="AI1481" s="122"/>
      <c r="AJ1481" s="122"/>
      <c r="AK1481" s="122"/>
      <c r="AL1481" s="122"/>
      <c r="AM1481" s="122"/>
      <c r="AN1481" s="122"/>
      <c r="AO1481" s="122"/>
      <c r="AP1481" s="122"/>
    </row>
    <row r="1482" spans="2:42">
      <c r="B1482" s="122"/>
      <c r="C1482" s="122"/>
      <c r="D1482" s="122"/>
      <c r="E1482" s="122"/>
      <c r="F1482" s="122"/>
      <c r="G1482" s="122"/>
      <c r="H1482" s="122"/>
      <c r="I1482" s="275"/>
      <c r="J1482" s="130"/>
      <c r="K1482" s="130"/>
      <c r="L1482" s="130"/>
      <c r="M1482" s="130"/>
      <c r="N1482" s="291"/>
      <c r="O1482" s="291"/>
      <c r="P1482" s="122"/>
      <c r="Q1482" s="122"/>
      <c r="R1482" s="122"/>
      <c r="S1482" s="122"/>
      <c r="T1482" s="122"/>
      <c r="U1482" s="301"/>
      <c r="V1482" s="260">
        <f t="shared" ca="1" si="31"/>
        <v>0</v>
      </c>
      <c r="W1482" s="348" t="str">
        <f>IF(板块成分!B1484="","",板块成分!B1484)</f>
        <v>003031.SZ</v>
      </c>
      <c r="X1482" s="276" t="str">
        <f>[1]!S_Info_Name(W1482)</f>
        <v>中瓷电子</v>
      </c>
      <c r="Y1482" s="276" t="str">
        <f ca="1">IF($Y$3="申万一级行业",[1]!s_info_industry_sw_2021(W1482,公司分析!D$5,1),IF($Y$3="申万二级行业",[1]!s_info_industry_sw_2021(W1482,公司分析!D$5,2),IF($Y$3="申万三级行业",[1]!s_info_industry_sw_2021(W1482,公司分析!D$5,3),IF($Y$3="wind一级行业",[1]!s_info_industry_gics(W1482,1),IF($Y$3="wind二级行业",[1]!s_info_industry_gics(W1482,2),IF($Y$3="wind三级行业",[1]!s_info_industry_gics(W1482,3),IF($Y$3="wind四级行业",[1]!s_info_industry_gics(W1482,4),IF($Y$3="证监会门类行业",[1]!s_info_industry_csrc12_n(W1482,公司分析!D$5,1),""))))))))</f>
        <v>通信设备</v>
      </c>
      <c r="Z1482" s="302" t="str">
        <f ca="1">IF(Y1482=行业比较!$E$6,ROW(),"")</f>
        <v/>
      </c>
      <c r="AA1482" s="122"/>
      <c r="AB1482" s="122"/>
      <c r="AC1482" s="122"/>
      <c r="AD1482" s="122"/>
      <c r="AE1482" s="122"/>
      <c r="AF1482" s="122"/>
      <c r="AG1482" s="122"/>
      <c r="AH1482" s="122"/>
      <c r="AI1482" s="122"/>
      <c r="AJ1482" s="122"/>
      <c r="AK1482" s="122"/>
      <c r="AL1482" s="122"/>
      <c r="AM1482" s="122"/>
      <c r="AN1482" s="122"/>
      <c r="AO1482" s="122"/>
      <c r="AP1482" s="122"/>
    </row>
    <row r="1483" spans="2:42">
      <c r="B1483" s="122"/>
      <c r="C1483" s="122"/>
      <c r="D1483" s="122"/>
      <c r="E1483" s="122"/>
      <c r="F1483" s="122"/>
      <c r="G1483" s="122"/>
      <c r="H1483" s="122"/>
      <c r="I1483" s="275"/>
      <c r="J1483" s="130"/>
      <c r="K1483" s="130"/>
      <c r="L1483" s="130"/>
      <c r="M1483" s="130"/>
      <c r="N1483" s="291"/>
      <c r="O1483" s="291"/>
      <c r="P1483" s="122"/>
      <c r="Q1483" s="122"/>
      <c r="R1483" s="122"/>
      <c r="S1483" s="122"/>
      <c r="T1483" s="122"/>
      <c r="U1483" s="301"/>
      <c r="V1483" s="260">
        <f t="shared" ca="1" si="31"/>
        <v>0</v>
      </c>
      <c r="W1483" s="348" t="str">
        <f>IF(板块成分!B1485="","",板块成分!B1485)</f>
        <v>003032.SZ</v>
      </c>
      <c r="X1483" s="276" t="str">
        <f>[1]!S_Info_Name(W1483)</f>
        <v>*ST传智</v>
      </c>
      <c r="Y1483" s="276" t="str">
        <f ca="1">IF($Y$3="申万一级行业",[1]!s_info_industry_sw_2021(W1483,公司分析!D$5,1),IF($Y$3="申万二级行业",[1]!s_info_industry_sw_2021(W1483,公司分析!D$5,2),IF($Y$3="申万三级行业",[1]!s_info_industry_sw_2021(W1483,公司分析!D$5,3),IF($Y$3="wind一级行业",[1]!s_info_industry_gics(W1483,1),IF($Y$3="wind二级行业",[1]!s_info_industry_gics(W1483,2),IF($Y$3="wind三级行业",[1]!s_info_industry_gics(W1483,3),IF($Y$3="wind四级行业",[1]!s_info_industry_gics(W1483,4),IF($Y$3="证监会门类行业",[1]!s_info_industry_csrc12_n(W1483,公司分析!D$5,1),""))))))))</f>
        <v>教育</v>
      </c>
      <c r="Z1483" s="302" t="str">
        <f ca="1">IF(Y1483=行业比较!$E$6,ROW(),"")</f>
        <v/>
      </c>
      <c r="AA1483" s="122"/>
      <c r="AB1483" s="122"/>
      <c r="AC1483" s="122"/>
      <c r="AD1483" s="122"/>
      <c r="AE1483" s="122"/>
      <c r="AF1483" s="122"/>
      <c r="AG1483" s="122"/>
      <c r="AH1483" s="122"/>
      <c r="AI1483" s="122"/>
      <c r="AJ1483" s="122"/>
      <c r="AK1483" s="122"/>
      <c r="AL1483" s="122"/>
      <c r="AM1483" s="122"/>
      <c r="AN1483" s="122"/>
      <c r="AO1483" s="122"/>
      <c r="AP1483" s="122"/>
    </row>
    <row r="1484" spans="2:42">
      <c r="B1484" s="122"/>
      <c r="C1484" s="122"/>
      <c r="D1484" s="122"/>
      <c r="E1484" s="122"/>
      <c r="F1484" s="122"/>
      <c r="G1484" s="122"/>
      <c r="H1484" s="122"/>
      <c r="I1484" s="275"/>
      <c r="J1484" s="130"/>
      <c r="K1484" s="130"/>
      <c r="L1484" s="130"/>
      <c r="M1484" s="130"/>
      <c r="N1484" s="291"/>
      <c r="O1484" s="291"/>
      <c r="P1484" s="122"/>
      <c r="Q1484" s="122"/>
      <c r="R1484" s="122"/>
      <c r="S1484" s="122"/>
      <c r="T1484" s="122"/>
      <c r="U1484" s="301"/>
      <c r="V1484" s="260">
        <f t="shared" ca="1" si="31"/>
        <v>0</v>
      </c>
      <c r="W1484" s="348" t="str">
        <f>IF(板块成分!B1486="","",板块成分!B1486)</f>
        <v>003033.SZ</v>
      </c>
      <c r="X1484" s="276" t="str">
        <f>[1]!S_Info_Name(W1484)</f>
        <v>征和工业</v>
      </c>
      <c r="Y1484" s="276" t="str">
        <f ca="1">IF($Y$3="申万一级行业",[1]!s_info_industry_sw_2021(W1484,公司分析!D$5,1),IF($Y$3="申万二级行业",[1]!s_info_industry_sw_2021(W1484,公司分析!D$5,2),IF($Y$3="申万三级行业",[1]!s_info_industry_sw_2021(W1484,公司分析!D$5,3),IF($Y$3="wind一级行业",[1]!s_info_industry_gics(W1484,1),IF($Y$3="wind二级行业",[1]!s_info_industry_gics(W1484,2),IF($Y$3="wind三级行业",[1]!s_info_industry_gics(W1484,3),IF($Y$3="wind四级行业",[1]!s_info_industry_gics(W1484,4),IF($Y$3="证监会门类行业",[1]!s_info_industry_csrc12_n(W1484,公司分析!D$5,1),""))))))))</f>
        <v>摩托车及其他</v>
      </c>
      <c r="Z1484" s="302" t="str">
        <f ca="1">IF(Y1484=行业比较!$E$6,ROW(),"")</f>
        <v/>
      </c>
      <c r="AA1484" s="122"/>
      <c r="AB1484" s="122"/>
      <c r="AC1484" s="122"/>
      <c r="AD1484" s="122"/>
      <c r="AE1484" s="122"/>
      <c r="AF1484" s="122"/>
      <c r="AG1484" s="122"/>
      <c r="AH1484" s="122"/>
      <c r="AI1484" s="122"/>
      <c r="AJ1484" s="122"/>
      <c r="AK1484" s="122"/>
      <c r="AL1484" s="122"/>
      <c r="AM1484" s="122"/>
      <c r="AN1484" s="122"/>
      <c r="AO1484" s="122"/>
      <c r="AP1484" s="122"/>
    </row>
    <row r="1485" spans="2:42">
      <c r="B1485" s="122"/>
      <c r="C1485" s="122"/>
      <c r="D1485" s="122"/>
      <c r="E1485" s="122"/>
      <c r="F1485" s="122"/>
      <c r="G1485" s="122"/>
      <c r="H1485" s="122"/>
      <c r="I1485" s="275"/>
      <c r="J1485" s="130"/>
      <c r="K1485" s="130"/>
      <c r="L1485" s="130"/>
      <c r="M1485" s="130"/>
      <c r="N1485" s="291"/>
      <c r="O1485" s="291"/>
      <c r="P1485" s="122"/>
      <c r="Q1485" s="122"/>
      <c r="R1485" s="122"/>
      <c r="S1485" s="122"/>
      <c r="T1485" s="122"/>
      <c r="U1485" s="301"/>
      <c r="V1485" s="260">
        <f t="shared" ca="1" si="31"/>
        <v>0</v>
      </c>
      <c r="W1485" s="348" t="str">
        <f>IF(板块成分!B1487="","",板块成分!B1487)</f>
        <v>003035.SZ</v>
      </c>
      <c r="X1485" s="276" t="str">
        <f>[1]!S_Info_Name(W1485)</f>
        <v>南网能源</v>
      </c>
      <c r="Y1485" s="276" t="str">
        <f ca="1">IF($Y$3="申万一级行业",[1]!s_info_industry_sw_2021(W1485,公司分析!D$5,1),IF($Y$3="申万二级行业",[1]!s_info_industry_sw_2021(W1485,公司分析!D$5,2),IF($Y$3="申万三级行业",[1]!s_info_industry_sw_2021(W1485,公司分析!D$5,3),IF($Y$3="wind一级行业",[1]!s_info_industry_gics(W1485,1),IF($Y$3="wind二级行业",[1]!s_info_industry_gics(W1485,2),IF($Y$3="wind三级行业",[1]!s_info_industry_gics(W1485,3),IF($Y$3="wind四级行业",[1]!s_info_industry_gics(W1485,4),IF($Y$3="证监会门类行业",[1]!s_info_industry_csrc12_n(W1485,公司分析!D$5,1),""))))))))</f>
        <v>电力</v>
      </c>
      <c r="Z1485" s="302" t="str">
        <f ca="1">IF(Y1485=行业比较!$E$6,ROW(),"")</f>
        <v/>
      </c>
      <c r="AA1485" s="122"/>
      <c r="AB1485" s="122"/>
      <c r="AC1485" s="122"/>
      <c r="AD1485" s="122"/>
      <c r="AE1485" s="122"/>
      <c r="AF1485" s="122"/>
      <c r="AG1485" s="122"/>
      <c r="AH1485" s="122"/>
      <c r="AI1485" s="122"/>
      <c r="AJ1485" s="122"/>
      <c r="AK1485" s="122"/>
      <c r="AL1485" s="122"/>
      <c r="AM1485" s="122"/>
      <c r="AN1485" s="122"/>
      <c r="AO1485" s="122"/>
      <c r="AP1485" s="122"/>
    </row>
    <row r="1486" spans="2:42">
      <c r="B1486" s="122"/>
      <c r="C1486" s="122"/>
      <c r="D1486" s="122"/>
      <c r="E1486" s="122"/>
      <c r="F1486" s="122"/>
      <c r="G1486" s="122"/>
      <c r="H1486" s="122"/>
      <c r="I1486" s="275"/>
      <c r="J1486" s="130"/>
      <c r="K1486" s="130"/>
      <c r="L1486" s="130"/>
      <c r="M1486" s="130"/>
      <c r="N1486" s="291"/>
      <c r="O1486" s="291"/>
      <c r="P1486" s="122"/>
      <c r="Q1486" s="122"/>
      <c r="R1486" s="122"/>
      <c r="S1486" s="122"/>
      <c r="T1486" s="122"/>
      <c r="U1486" s="301"/>
      <c r="V1486" s="260">
        <f t="shared" ca="1" si="31"/>
        <v>0</v>
      </c>
      <c r="W1486" s="348" t="str">
        <f>IF(板块成分!B1488="","",板块成分!B1488)</f>
        <v>003036.SZ</v>
      </c>
      <c r="X1486" s="276" t="str">
        <f>[1]!S_Info_Name(W1486)</f>
        <v>泰坦股份</v>
      </c>
      <c r="Y1486" s="276" t="str">
        <f ca="1">IF($Y$3="申万一级行业",[1]!s_info_industry_sw_2021(W1486,公司分析!D$5,1),IF($Y$3="申万二级行业",[1]!s_info_industry_sw_2021(W1486,公司分析!D$5,2),IF($Y$3="申万三级行业",[1]!s_info_industry_sw_2021(W1486,公司分析!D$5,3),IF($Y$3="wind一级行业",[1]!s_info_industry_gics(W1486,1),IF($Y$3="wind二级行业",[1]!s_info_industry_gics(W1486,2),IF($Y$3="wind三级行业",[1]!s_info_industry_gics(W1486,3),IF($Y$3="wind四级行业",[1]!s_info_industry_gics(W1486,4),IF($Y$3="证监会门类行业",[1]!s_info_industry_csrc12_n(W1486,公司分析!D$5,1),""))))))))</f>
        <v>专用设备</v>
      </c>
      <c r="Z1486" s="302" t="str">
        <f ca="1">IF(Y1486=行业比较!$E$6,ROW(),"")</f>
        <v/>
      </c>
      <c r="AA1486" s="122"/>
      <c r="AB1486" s="122"/>
      <c r="AC1486" s="122"/>
      <c r="AD1486" s="122"/>
      <c r="AE1486" s="122"/>
      <c r="AF1486" s="122"/>
      <c r="AG1486" s="122"/>
      <c r="AH1486" s="122"/>
      <c r="AI1486" s="122"/>
      <c r="AJ1486" s="122"/>
      <c r="AK1486" s="122"/>
      <c r="AL1486" s="122"/>
      <c r="AM1486" s="122"/>
      <c r="AN1486" s="122"/>
      <c r="AO1486" s="122"/>
      <c r="AP1486" s="122"/>
    </row>
    <row r="1487" spans="2:42">
      <c r="B1487" s="122"/>
      <c r="C1487" s="122"/>
      <c r="D1487" s="122"/>
      <c r="E1487" s="122"/>
      <c r="F1487" s="122"/>
      <c r="G1487" s="122"/>
      <c r="H1487" s="122"/>
      <c r="I1487" s="275"/>
      <c r="J1487" s="130"/>
      <c r="K1487" s="130"/>
      <c r="L1487" s="130"/>
      <c r="M1487" s="130"/>
      <c r="N1487" s="291"/>
      <c r="O1487" s="291"/>
      <c r="P1487" s="122"/>
      <c r="Q1487" s="122"/>
      <c r="R1487" s="122"/>
      <c r="S1487" s="122"/>
      <c r="T1487" s="122"/>
      <c r="U1487" s="301"/>
      <c r="V1487" s="260">
        <f t="shared" ca="1" si="31"/>
        <v>0</v>
      </c>
      <c r="W1487" s="348" t="str">
        <f>IF(板块成分!B1489="","",板块成分!B1489)</f>
        <v>003037.SZ</v>
      </c>
      <c r="X1487" s="276" t="str">
        <f>[1]!S_Info_Name(W1487)</f>
        <v>三和管桩</v>
      </c>
      <c r="Y1487" s="276" t="str">
        <f ca="1">IF($Y$3="申万一级行业",[1]!s_info_industry_sw_2021(W1487,公司分析!D$5,1),IF($Y$3="申万二级行业",[1]!s_info_industry_sw_2021(W1487,公司分析!D$5,2),IF($Y$3="申万三级行业",[1]!s_info_industry_sw_2021(W1487,公司分析!D$5,3),IF($Y$3="wind一级行业",[1]!s_info_industry_gics(W1487,1),IF($Y$3="wind二级行业",[1]!s_info_industry_gics(W1487,2),IF($Y$3="wind三级行业",[1]!s_info_industry_gics(W1487,3),IF($Y$3="wind四级行业",[1]!s_info_industry_gics(W1487,4),IF($Y$3="证监会门类行业",[1]!s_info_industry_csrc12_n(W1487,公司分析!D$5,1),""))))))))</f>
        <v>水泥</v>
      </c>
      <c r="Z1487" s="302" t="str">
        <f ca="1">IF(Y1487=行业比较!$E$6,ROW(),"")</f>
        <v/>
      </c>
      <c r="AA1487" s="122"/>
      <c r="AB1487" s="122"/>
      <c r="AC1487" s="122"/>
      <c r="AD1487" s="122"/>
      <c r="AE1487" s="122"/>
      <c r="AF1487" s="122"/>
      <c r="AG1487" s="122"/>
      <c r="AH1487" s="122"/>
      <c r="AI1487" s="122"/>
      <c r="AJ1487" s="122"/>
      <c r="AK1487" s="122"/>
      <c r="AL1487" s="122"/>
      <c r="AM1487" s="122"/>
      <c r="AN1487" s="122"/>
      <c r="AO1487" s="122"/>
      <c r="AP1487" s="122"/>
    </row>
    <row r="1488" spans="2:42">
      <c r="B1488" s="122"/>
      <c r="C1488" s="122"/>
      <c r="D1488" s="122"/>
      <c r="E1488" s="122"/>
      <c r="F1488" s="122"/>
      <c r="G1488" s="122"/>
      <c r="H1488" s="122"/>
      <c r="I1488" s="275"/>
      <c r="J1488" s="130"/>
      <c r="K1488" s="130"/>
      <c r="L1488" s="130"/>
      <c r="M1488" s="130"/>
      <c r="N1488" s="291"/>
      <c r="O1488" s="291"/>
      <c r="P1488" s="122"/>
      <c r="Q1488" s="122"/>
      <c r="R1488" s="122"/>
      <c r="S1488" s="122"/>
      <c r="T1488" s="122"/>
      <c r="U1488" s="301"/>
      <c r="V1488" s="260">
        <f t="shared" ca="1" si="31"/>
        <v>26</v>
      </c>
      <c r="W1488" s="348" t="str">
        <f>IF(板块成分!B1490="","",板块成分!B1490)</f>
        <v>003038.SZ</v>
      </c>
      <c r="X1488" s="276" t="str">
        <f>[1]!S_Info_Name(W1488)</f>
        <v>鑫铂股份</v>
      </c>
      <c r="Y1488" s="276" t="str">
        <f ca="1">IF($Y$3="申万一级行业",[1]!s_info_industry_sw_2021(W1488,公司分析!D$5,1),IF($Y$3="申万二级行业",[1]!s_info_industry_sw_2021(W1488,公司分析!D$5,2),IF($Y$3="申万三级行业",[1]!s_info_industry_sw_2021(W1488,公司分析!D$5,3),IF($Y$3="wind一级行业",[1]!s_info_industry_gics(W1488,1),IF($Y$3="wind二级行业",[1]!s_info_industry_gics(W1488,2),IF($Y$3="wind三级行业",[1]!s_info_industry_gics(W1488,3),IF($Y$3="wind四级行业",[1]!s_info_industry_gics(W1488,4),IF($Y$3="证监会门类行业",[1]!s_info_industry_csrc12_n(W1488,公司分析!D$5,1),""))))))))</f>
        <v>工业金属</v>
      </c>
      <c r="Z1488" s="302">
        <f ca="1">IF(Y1488=行业比较!$E$6,ROW(),"")</f>
        <v>1488</v>
      </c>
      <c r="AA1488" s="122"/>
      <c r="AB1488" s="122"/>
      <c r="AC1488" s="122"/>
      <c r="AD1488" s="122"/>
      <c r="AE1488" s="122"/>
      <c r="AF1488" s="122"/>
      <c r="AG1488" s="122"/>
      <c r="AH1488" s="122"/>
      <c r="AI1488" s="122"/>
      <c r="AJ1488" s="122"/>
      <c r="AK1488" s="122"/>
      <c r="AL1488" s="122"/>
      <c r="AM1488" s="122"/>
      <c r="AN1488" s="122"/>
      <c r="AO1488" s="122"/>
      <c r="AP1488" s="122"/>
    </row>
    <row r="1489" spans="2:42">
      <c r="B1489" s="122"/>
      <c r="C1489" s="122"/>
      <c r="D1489" s="122"/>
      <c r="E1489" s="122"/>
      <c r="F1489" s="122"/>
      <c r="G1489" s="122"/>
      <c r="H1489" s="122"/>
      <c r="I1489" s="275"/>
      <c r="J1489" s="130"/>
      <c r="K1489" s="130"/>
      <c r="L1489" s="130"/>
      <c r="M1489" s="130"/>
      <c r="N1489" s="291"/>
      <c r="O1489" s="291"/>
      <c r="P1489" s="122"/>
      <c r="Q1489" s="122"/>
      <c r="R1489" s="122"/>
      <c r="S1489" s="122"/>
      <c r="T1489" s="122"/>
      <c r="U1489" s="301"/>
      <c r="V1489" s="260">
        <f t="shared" ca="1" si="31"/>
        <v>0</v>
      </c>
      <c r="W1489" s="348" t="str">
        <f>IF(板块成分!B1491="","",板块成分!B1491)</f>
        <v>003039.SZ</v>
      </c>
      <c r="X1489" s="276" t="str">
        <f>[1]!S_Info_Name(W1489)</f>
        <v>顺控发展</v>
      </c>
      <c r="Y1489" s="276" t="str">
        <f ca="1">IF($Y$3="申万一级行业",[1]!s_info_industry_sw_2021(W1489,公司分析!D$5,1),IF($Y$3="申万二级行业",[1]!s_info_industry_sw_2021(W1489,公司分析!D$5,2),IF($Y$3="申万三级行业",[1]!s_info_industry_sw_2021(W1489,公司分析!D$5,3),IF($Y$3="wind一级行业",[1]!s_info_industry_gics(W1489,1),IF($Y$3="wind二级行业",[1]!s_info_industry_gics(W1489,2),IF($Y$3="wind三级行业",[1]!s_info_industry_gics(W1489,3),IF($Y$3="wind四级行业",[1]!s_info_industry_gics(W1489,4),IF($Y$3="证监会门类行业",[1]!s_info_industry_csrc12_n(W1489,公司分析!D$5,1),""))))))))</f>
        <v>环境治理</v>
      </c>
      <c r="Z1489" s="302" t="str">
        <f ca="1">IF(Y1489=行业比较!$E$6,ROW(),"")</f>
        <v/>
      </c>
      <c r="AA1489" s="122"/>
      <c r="AB1489" s="122"/>
      <c r="AC1489" s="122"/>
      <c r="AD1489" s="122"/>
      <c r="AE1489" s="122"/>
      <c r="AF1489" s="122"/>
      <c r="AG1489" s="122"/>
      <c r="AH1489" s="122"/>
      <c r="AI1489" s="122"/>
      <c r="AJ1489" s="122"/>
      <c r="AK1489" s="122"/>
      <c r="AL1489" s="122"/>
      <c r="AM1489" s="122"/>
      <c r="AN1489" s="122"/>
      <c r="AO1489" s="122"/>
      <c r="AP1489" s="122"/>
    </row>
    <row r="1490" spans="2:42">
      <c r="B1490" s="122"/>
      <c r="C1490" s="122"/>
      <c r="D1490" s="122"/>
      <c r="E1490" s="122"/>
      <c r="F1490" s="122"/>
      <c r="G1490" s="122"/>
      <c r="H1490" s="122"/>
      <c r="I1490" s="275"/>
      <c r="J1490" s="130"/>
      <c r="K1490" s="130"/>
      <c r="L1490" s="130"/>
      <c r="M1490" s="130"/>
      <c r="N1490" s="291"/>
      <c r="O1490" s="291"/>
      <c r="P1490" s="122"/>
      <c r="Q1490" s="122"/>
      <c r="R1490" s="122"/>
      <c r="S1490" s="122"/>
      <c r="T1490" s="122"/>
      <c r="U1490" s="301"/>
      <c r="V1490" s="260">
        <f t="shared" ca="1" si="31"/>
        <v>0</v>
      </c>
      <c r="W1490" s="348" t="str">
        <f>IF(板块成分!B1492="","",板块成分!B1492)</f>
        <v>003040.SZ</v>
      </c>
      <c r="X1490" s="276" t="str">
        <f>[1]!S_Info_Name(W1490)</f>
        <v>楚天龙</v>
      </c>
      <c r="Y1490" s="276" t="str">
        <f ca="1">IF($Y$3="申万一级行业",[1]!s_info_industry_sw_2021(W1490,公司分析!D$5,1),IF($Y$3="申万二级行业",[1]!s_info_industry_sw_2021(W1490,公司分析!D$5,2),IF($Y$3="申万三级行业",[1]!s_info_industry_sw_2021(W1490,公司分析!D$5,3),IF($Y$3="wind一级行业",[1]!s_info_industry_gics(W1490,1),IF($Y$3="wind二级行业",[1]!s_info_industry_gics(W1490,2),IF($Y$3="wind三级行业",[1]!s_info_industry_gics(W1490,3),IF($Y$3="wind四级行业",[1]!s_info_industry_gics(W1490,4),IF($Y$3="证监会门类行业",[1]!s_info_industry_csrc12_n(W1490,公司分析!D$5,1),""))))))))</f>
        <v>通信设备</v>
      </c>
      <c r="Z1490" s="302" t="str">
        <f ca="1">IF(Y1490=行业比较!$E$6,ROW(),"")</f>
        <v/>
      </c>
      <c r="AA1490" s="122"/>
      <c r="AB1490" s="122"/>
      <c r="AC1490" s="122"/>
      <c r="AD1490" s="122"/>
      <c r="AE1490" s="122"/>
      <c r="AF1490" s="122"/>
      <c r="AG1490" s="122"/>
      <c r="AH1490" s="122"/>
      <c r="AI1490" s="122"/>
      <c r="AJ1490" s="122"/>
      <c r="AK1490" s="122"/>
      <c r="AL1490" s="122"/>
      <c r="AM1490" s="122"/>
      <c r="AN1490" s="122"/>
      <c r="AO1490" s="122"/>
      <c r="AP1490" s="122"/>
    </row>
    <row r="1491" spans="2:42">
      <c r="B1491" s="122"/>
      <c r="C1491" s="122"/>
      <c r="D1491" s="122"/>
      <c r="E1491" s="122"/>
      <c r="F1491" s="122"/>
      <c r="G1491" s="122"/>
      <c r="H1491" s="122"/>
      <c r="I1491" s="275"/>
      <c r="J1491" s="130"/>
      <c r="K1491" s="130"/>
      <c r="L1491" s="130"/>
      <c r="M1491" s="130"/>
      <c r="N1491" s="291"/>
      <c r="O1491" s="291"/>
      <c r="P1491" s="122"/>
      <c r="Q1491" s="122"/>
      <c r="R1491" s="122"/>
      <c r="S1491" s="122"/>
      <c r="T1491" s="122"/>
      <c r="U1491" s="301"/>
      <c r="V1491" s="260">
        <f t="shared" ca="1" si="31"/>
        <v>0</v>
      </c>
      <c r="W1491" s="348" t="str">
        <f>IF(板块成分!B1493="","",板块成分!B1493)</f>
        <v>003041.SZ</v>
      </c>
      <c r="X1491" s="276" t="str">
        <f>[1]!S_Info_Name(W1491)</f>
        <v>真爱美家</v>
      </c>
      <c r="Y1491" s="276" t="str">
        <f ca="1">IF($Y$3="申万一级行业",[1]!s_info_industry_sw_2021(W1491,公司分析!D$5,1),IF($Y$3="申万二级行业",[1]!s_info_industry_sw_2021(W1491,公司分析!D$5,2),IF($Y$3="申万三级行业",[1]!s_info_industry_sw_2021(W1491,公司分析!D$5,3),IF($Y$3="wind一级行业",[1]!s_info_industry_gics(W1491,1),IF($Y$3="wind二级行业",[1]!s_info_industry_gics(W1491,2),IF($Y$3="wind三级行业",[1]!s_info_industry_gics(W1491,3),IF($Y$3="wind四级行业",[1]!s_info_industry_gics(W1491,4),IF($Y$3="证监会门类行业",[1]!s_info_industry_csrc12_n(W1491,公司分析!D$5,1),""))))))))</f>
        <v>服装家纺</v>
      </c>
      <c r="Z1491" s="302" t="str">
        <f ca="1">IF(Y1491=行业比较!$E$6,ROW(),"")</f>
        <v/>
      </c>
      <c r="AA1491" s="122"/>
      <c r="AB1491" s="122"/>
      <c r="AC1491" s="122"/>
      <c r="AD1491" s="122"/>
      <c r="AE1491" s="122"/>
      <c r="AF1491" s="122"/>
      <c r="AG1491" s="122"/>
      <c r="AH1491" s="122"/>
      <c r="AI1491" s="122"/>
      <c r="AJ1491" s="122"/>
      <c r="AK1491" s="122"/>
      <c r="AL1491" s="122"/>
      <c r="AM1491" s="122"/>
      <c r="AN1491" s="122"/>
      <c r="AO1491" s="122"/>
      <c r="AP1491" s="122"/>
    </row>
    <row r="1492" spans="2:42">
      <c r="B1492" s="122"/>
      <c r="C1492" s="122"/>
      <c r="D1492" s="122"/>
      <c r="E1492" s="122"/>
      <c r="F1492" s="122"/>
      <c r="G1492" s="122"/>
      <c r="H1492" s="122"/>
      <c r="I1492" s="275"/>
      <c r="J1492" s="130"/>
      <c r="K1492" s="130"/>
      <c r="L1492" s="130"/>
      <c r="M1492" s="130"/>
      <c r="N1492" s="291"/>
      <c r="O1492" s="291"/>
      <c r="P1492" s="122"/>
      <c r="Q1492" s="122"/>
      <c r="R1492" s="122"/>
      <c r="S1492" s="122"/>
      <c r="T1492" s="122"/>
      <c r="U1492" s="301"/>
      <c r="V1492" s="260">
        <f t="shared" ca="1" si="31"/>
        <v>0</v>
      </c>
      <c r="W1492" s="348" t="str">
        <f>IF(板块成分!B1494="","",板块成分!B1494)</f>
        <v>003042.SZ</v>
      </c>
      <c r="X1492" s="276" t="str">
        <f>[1]!S_Info_Name(W1492)</f>
        <v>中农联合</v>
      </c>
      <c r="Y1492" s="276" t="str">
        <f ca="1">IF($Y$3="申万一级行业",[1]!s_info_industry_sw_2021(W1492,公司分析!D$5,1),IF($Y$3="申万二级行业",[1]!s_info_industry_sw_2021(W1492,公司分析!D$5,2),IF($Y$3="申万三级行业",[1]!s_info_industry_sw_2021(W1492,公司分析!D$5,3),IF($Y$3="wind一级行业",[1]!s_info_industry_gics(W1492,1),IF($Y$3="wind二级行业",[1]!s_info_industry_gics(W1492,2),IF($Y$3="wind三级行业",[1]!s_info_industry_gics(W1492,3),IF($Y$3="wind四级行业",[1]!s_info_industry_gics(W1492,4),IF($Y$3="证监会门类行业",[1]!s_info_industry_csrc12_n(W1492,公司分析!D$5,1),""))))))))</f>
        <v>农化制品</v>
      </c>
      <c r="Z1492" s="302" t="str">
        <f ca="1">IF(Y1492=行业比较!$E$6,ROW(),"")</f>
        <v/>
      </c>
      <c r="AA1492" s="122"/>
      <c r="AB1492" s="122"/>
      <c r="AC1492" s="122"/>
      <c r="AD1492" s="122"/>
      <c r="AE1492" s="122"/>
      <c r="AF1492" s="122"/>
      <c r="AG1492" s="122"/>
      <c r="AH1492" s="122"/>
      <c r="AI1492" s="122"/>
      <c r="AJ1492" s="122"/>
      <c r="AK1492" s="122"/>
      <c r="AL1492" s="122"/>
      <c r="AM1492" s="122"/>
      <c r="AN1492" s="122"/>
      <c r="AO1492" s="122"/>
      <c r="AP1492" s="122"/>
    </row>
    <row r="1493" spans="2:42">
      <c r="B1493" s="122"/>
      <c r="C1493" s="122"/>
      <c r="D1493" s="122"/>
      <c r="E1493" s="122"/>
      <c r="F1493" s="122"/>
      <c r="G1493" s="122"/>
      <c r="H1493" s="122"/>
      <c r="I1493" s="275"/>
      <c r="J1493" s="130"/>
      <c r="K1493" s="130"/>
      <c r="L1493" s="130"/>
      <c r="M1493" s="130"/>
      <c r="N1493" s="291"/>
      <c r="O1493" s="291"/>
      <c r="P1493" s="122"/>
      <c r="Q1493" s="122"/>
      <c r="R1493" s="122"/>
      <c r="S1493" s="122"/>
      <c r="T1493" s="122"/>
      <c r="U1493" s="301"/>
      <c r="V1493" s="260">
        <f t="shared" ca="1" si="31"/>
        <v>0</v>
      </c>
      <c r="W1493" s="348" t="str">
        <f>IF(板块成分!B1495="","",板块成分!B1495)</f>
        <v>003043.SZ</v>
      </c>
      <c r="X1493" s="276" t="str">
        <f>[1]!S_Info_Name(W1493)</f>
        <v>华亚智能</v>
      </c>
      <c r="Y1493" s="276" t="str">
        <f ca="1">IF($Y$3="申万一级行业",[1]!s_info_industry_sw_2021(W1493,公司分析!D$5,1),IF($Y$3="申万二级行业",[1]!s_info_industry_sw_2021(W1493,公司分析!D$5,2),IF($Y$3="申万三级行业",[1]!s_info_industry_sw_2021(W1493,公司分析!D$5,3),IF($Y$3="wind一级行业",[1]!s_info_industry_gics(W1493,1),IF($Y$3="wind二级行业",[1]!s_info_industry_gics(W1493,2),IF($Y$3="wind三级行业",[1]!s_info_industry_gics(W1493,3),IF($Y$3="wind四级行业",[1]!s_info_industry_gics(W1493,4),IF($Y$3="证监会门类行业",[1]!s_info_industry_csrc12_n(W1493,公司分析!D$5,1),""))))))))</f>
        <v>半导体</v>
      </c>
      <c r="Z1493" s="302" t="str">
        <f ca="1">IF(Y1493=行业比较!$E$6,ROW(),"")</f>
        <v/>
      </c>
      <c r="AA1493" s="122"/>
      <c r="AB1493" s="122"/>
      <c r="AC1493" s="122"/>
      <c r="AD1493" s="122"/>
      <c r="AE1493" s="122"/>
      <c r="AF1493" s="122"/>
      <c r="AG1493" s="122"/>
      <c r="AH1493" s="122"/>
      <c r="AI1493" s="122"/>
      <c r="AJ1493" s="122"/>
      <c r="AK1493" s="122"/>
      <c r="AL1493" s="122"/>
      <c r="AM1493" s="122"/>
      <c r="AN1493" s="122"/>
      <c r="AO1493" s="122"/>
      <c r="AP1493" s="122"/>
    </row>
    <row r="1494" spans="2:42">
      <c r="B1494" s="122"/>
      <c r="C1494" s="122"/>
      <c r="D1494" s="122"/>
      <c r="E1494" s="122"/>
      <c r="F1494" s="122"/>
      <c r="G1494" s="122"/>
      <c r="H1494" s="122"/>
      <c r="I1494" s="275"/>
      <c r="J1494" s="130"/>
      <c r="K1494" s="130"/>
      <c r="L1494" s="130"/>
      <c r="M1494" s="130"/>
      <c r="N1494" s="291"/>
      <c r="O1494" s="291"/>
      <c r="P1494" s="122"/>
      <c r="Q1494" s="122"/>
      <c r="R1494" s="122"/>
      <c r="S1494" s="122"/>
      <c r="T1494" s="122"/>
      <c r="U1494" s="301"/>
      <c r="V1494" s="260">
        <f t="shared" ca="1" si="31"/>
        <v>0</v>
      </c>
      <c r="W1494" s="348" t="str">
        <f>IF(板块成分!B1496="","",板块成分!B1496)</f>
        <v>003816.SZ</v>
      </c>
      <c r="X1494" s="276" t="str">
        <f>[1]!S_Info_Name(W1494)</f>
        <v>中国广核</v>
      </c>
      <c r="Y1494" s="276" t="str">
        <f ca="1">IF($Y$3="申万一级行业",[1]!s_info_industry_sw_2021(W1494,公司分析!D$5,1),IF($Y$3="申万二级行业",[1]!s_info_industry_sw_2021(W1494,公司分析!D$5,2),IF($Y$3="申万三级行业",[1]!s_info_industry_sw_2021(W1494,公司分析!D$5,3),IF($Y$3="wind一级行业",[1]!s_info_industry_gics(W1494,1),IF($Y$3="wind二级行业",[1]!s_info_industry_gics(W1494,2),IF($Y$3="wind三级行业",[1]!s_info_industry_gics(W1494,3),IF($Y$3="wind四级行业",[1]!s_info_industry_gics(W1494,4),IF($Y$3="证监会门类行业",[1]!s_info_industry_csrc12_n(W1494,公司分析!D$5,1),""))))))))</f>
        <v>电力</v>
      </c>
      <c r="Z1494" s="302" t="str">
        <f ca="1">IF(Y1494=行业比较!$E$6,ROW(),"")</f>
        <v/>
      </c>
      <c r="AA1494" s="122"/>
      <c r="AB1494" s="122"/>
      <c r="AC1494" s="122"/>
      <c r="AD1494" s="122"/>
      <c r="AE1494" s="122"/>
      <c r="AF1494" s="122"/>
      <c r="AG1494" s="122"/>
      <c r="AH1494" s="122"/>
      <c r="AI1494" s="122"/>
      <c r="AJ1494" s="122"/>
      <c r="AK1494" s="122"/>
      <c r="AL1494" s="122"/>
      <c r="AM1494" s="122"/>
      <c r="AN1494" s="122"/>
      <c r="AO1494" s="122"/>
      <c r="AP1494" s="122"/>
    </row>
    <row r="1495" spans="2:42">
      <c r="B1495" s="122"/>
      <c r="C1495" s="122"/>
      <c r="D1495" s="122"/>
      <c r="E1495" s="122"/>
      <c r="F1495" s="122"/>
      <c r="G1495" s="122"/>
      <c r="H1495" s="122"/>
      <c r="I1495" s="275"/>
      <c r="J1495" s="130"/>
      <c r="K1495" s="130"/>
      <c r="L1495" s="130"/>
      <c r="M1495" s="130"/>
      <c r="N1495" s="291"/>
      <c r="O1495" s="291"/>
      <c r="P1495" s="122"/>
      <c r="Q1495" s="122"/>
      <c r="R1495" s="122"/>
      <c r="S1495" s="122"/>
      <c r="T1495" s="122"/>
      <c r="U1495" s="301"/>
      <c r="V1495" s="260">
        <f t="shared" ca="1" si="31"/>
        <v>0</v>
      </c>
      <c r="W1495" s="348" t="str">
        <f>IF(板块成分!B1497="","",板块成分!B1497)</f>
        <v>300001.SZ</v>
      </c>
      <c r="X1495" s="276" t="str">
        <f>[1]!S_Info_Name(W1495)</f>
        <v>特锐德</v>
      </c>
      <c r="Y1495" s="276" t="str">
        <f ca="1">IF($Y$3="申万一级行业",[1]!s_info_industry_sw_2021(W1495,公司分析!D$5,1),IF($Y$3="申万二级行业",[1]!s_info_industry_sw_2021(W1495,公司分析!D$5,2),IF($Y$3="申万三级行业",[1]!s_info_industry_sw_2021(W1495,公司分析!D$5,3),IF($Y$3="wind一级行业",[1]!s_info_industry_gics(W1495,1),IF($Y$3="wind二级行业",[1]!s_info_industry_gics(W1495,2),IF($Y$3="wind三级行业",[1]!s_info_industry_gics(W1495,3),IF($Y$3="wind四级行业",[1]!s_info_industry_gics(W1495,4),IF($Y$3="证监会门类行业",[1]!s_info_industry_csrc12_n(W1495,公司分析!D$5,1),""))))))))</f>
        <v>电网设备</v>
      </c>
      <c r="Z1495" s="302" t="str">
        <f ca="1">IF(Y1495=行业比较!$E$6,ROW(),"")</f>
        <v/>
      </c>
      <c r="AA1495" s="122"/>
      <c r="AB1495" s="122"/>
      <c r="AC1495" s="122"/>
      <c r="AD1495" s="122"/>
      <c r="AE1495" s="122"/>
      <c r="AF1495" s="122"/>
      <c r="AG1495" s="122"/>
      <c r="AH1495" s="122"/>
      <c r="AI1495" s="122"/>
      <c r="AJ1495" s="122"/>
      <c r="AK1495" s="122"/>
      <c r="AL1495" s="122"/>
      <c r="AM1495" s="122"/>
      <c r="AN1495" s="122"/>
      <c r="AO1495" s="122"/>
      <c r="AP1495" s="122"/>
    </row>
    <row r="1496" spans="2:42">
      <c r="B1496" s="122"/>
      <c r="C1496" s="122"/>
      <c r="D1496" s="122"/>
      <c r="E1496" s="122"/>
      <c r="F1496" s="122"/>
      <c r="G1496" s="122"/>
      <c r="H1496" s="122"/>
      <c r="I1496" s="275"/>
      <c r="J1496" s="130"/>
      <c r="K1496" s="130"/>
      <c r="L1496" s="130"/>
      <c r="M1496" s="130"/>
      <c r="N1496" s="291"/>
      <c r="O1496" s="291"/>
      <c r="P1496" s="122"/>
      <c r="Q1496" s="122"/>
      <c r="R1496" s="122"/>
      <c r="S1496" s="122"/>
      <c r="T1496" s="122"/>
      <c r="U1496" s="301"/>
      <c r="V1496" s="260">
        <f t="shared" ca="1" si="31"/>
        <v>0</v>
      </c>
      <c r="W1496" s="348" t="str">
        <f>IF(板块成分!B1498="","",板块成分!B1498)</f>
        <v>300002.SZ</v>
      </c>
      <c r="X1496" s="276" t="str">
        <f>[1]!S_Info_Name(W1496)</f>
        <v>神州泰岳</v>
      </c>
      <c r="Y1496" s="276" t="str">
        <f ca="1">IF($Y$3="申万一级行业",[1]!s_info_industry_sw_2021(W1496,公司分析!D$5,1),IF($Y$3="申万二级行业",[1]!s_info_industry_sw_2021(W1496,公司分析!D$5,2),IF($Y$3="申万三级行业",[1]!s_info_industry_sw_2021(W1496,公司分析!D$5,3),IF($Y$3="wind一级行业",[1]!s_info_industry_gics(W1496,1),IF($Y$3="wind二级行业",[1]!s_info_industry_gics(W1496,2),IF($Y$3="wind三级行业",[1]!s_info_industry_gics(W1496,3),IF($Y$3="wind四级行业",[1]!s_info_industry_gics(W1496,4),IF($Y$3="证监会门类行业",[1]!s_info_industry_csrc12_n(W1496,公司分析!D$5,1),""))))))))</f>
        <v>游戏Ⅱ</v>
      </c>
      <c r="Z1496" s="302" t="str">
        <f ca="1">IF(Y1496=行业比较!$E$6,ROW(),"")</f>
        <v/>
      </c>
      <c r="AA1496" s="122"/>
      <c r="AB1496" s="122"/>
      <c r="AC1496" s="122"/>
      <c r="AD1496" s="122"/>
      <c r="AE1496" s="122"/>
      <c r="AF1496" s="122"/>
      <c r="AG1496" s="122"/>
      <c r="AH1496" s="122"/>
      <c r="AI1496" s="122"/>
      <c r="AJ1496" s="122"/>
      <c r="AK1496" s="122"/>
      <c r="AL1496" s="122"/>
      <c r="AM1496" s="122"/>
      <c r="AN1496" s="122"/>
      <c r="AO1496" s="122"/>
      <c r="AP1496" s="122"/>
    </row>
    <row r="1497" spans="2:42">
      <c r="B1497" s="122"/>
      <c r="C1497" s="122"/>
      <c r="D1497" s="122"/>
      <c r="E1497" s="122"/>
      <c r="F1497" s="122"/>
      <c r="G1497" s="122"/>
      <c r="H1497" s="122"/>
      <c r="I1497" s="275"/>
      <c r="J1497" s="130"/>
      <c r="K1497" s="130"/>
      <c r="L1497" s="130"/>
      <c r="M1497" s="130"/>
      <c r="N1497" s="291"/>
      <c r="O1497" s="291"/>
      <c r="P1497" s="122"/>
      <c r="Q1497" s="122"/>
      <c r="R1497" s="122"/>
      <c r="S1497" s="122"/>
      <c r="T1497" s="122"/>
      <c r="U1497" s="301"/>
      <c r="V1497" s="260">
        <f t="shared" ca="1" si="31"/>
        <v>0</v>
      </c>
      <c r="W1497" s="348" t="str">
        <f>IF(板块成分!B1499="","",板块成分!B1499)</f>
        <v>300003.SZ</v>
      </c>
      <c r="X1497" s="276" t="str">
        <f>[1]!S_Info_Name(W1497)</f>
        <v>乐普医疗</v>
      </c>
      <c r="Y1497" s="276" t="str">
        <f ca="1">IF($Y$3="申万一级行业",[1]!s_info_industry_sw_2021(W1497,公司分析!D$5,1),IF($Y$3="申万二级行业",[1]!s_info_industry_sw_2021(W1497,公司分析!D$5,2),IF($Y$3="申万三级行业",[1]!s_info_industry_sw_2021(W1497,公司分析!D$5,3),IF($Y$3="wind一级行业",[1]!s_info_industry_gics(W1497,1),IF($Y$3="wind二级行业",[1]!s_info_industry_gics(W1497,2),IF($Y$3="wind三级行业",[1]!s_info_industry_gics(W1497,3),IF($Y$3="wind四级行业",[1]!s_info_industry_gics(W1497,4),IF($Y$3="证监会门类行业",[1]!s_info_industry_csrc12_n(W1497,公司分析!D$5,1),""))))))))</f>
        <v>医疗器械</v>
      </c>
      <c r="Z1497" s="302" t="str">
        <f ca="1">IF(Y1497=行业比较!$E$6,ROW(),"")</f>
        <v/>
      </c>
      <c r="AA1497" s="122"/>
      <c r="AB1497" s="122"/>
      <c r="AC1497" s="122"/>
      <c r="AD1497" s="122"/>
      <c r="AE1497" s="122"/>
      <c r="AF1497" s="122"/>
      <c r="AG1497" s="122"/>
      <c r="AH1497" s="122"/>
      <c r="AI1497" s="122"/>
      <c r="AJ1497" s="122"/>
      <c r="AK1497" s="122"/>
      <c r="AL1497" s="122"/>
      <c r="AM1497" s="122"/>
      <c r="AN1497" s="122"/>
      <c r="AO1497" s="122"/>
      <c r="AP1497" s="122"/>
    </row>
    <row r="1498" spans="2:42">
      <c r="B1498" s="122"/>
      <c r="C1498" s="122"/>
      <c r="D1498" s="122"/>
      <c r="E1498" s="122"/>
      <c r="F1498" s="122"/>
      <c r="G1498" s="122"/>
      <c r="H1498" s="122"/>
      <c r="I1498" s="275"/>
      <c r="J1498" s="130"/>
      <c r="K1498" s="130"/>
      <c r="L1498" s="130"/>
      <c r="M1498" s="130"/>
      <c r="N1498" s="291"/>
      <c r="O1498" s="291"/>
      <c r="P1498" s="122"/>
      <c r="Q1498" s="122"/>
      <c r="R1498" s="122"/>
      <c r="S1498" s="122"/>
      <c r="T1498" s="122"/>
      <c r="U1498" s="301"/>
      <c r="V1498" s="260">
        <f t="shared" ca="1" si="31"/>
        <v>0</v>
      </c>
      <c r="W1498" s="348" t="str">
        <f>IF(板块成分!B1500="","",板块成分!B1500)</f>
        <v>300004.SZ</v>
      </c>
      <c r="X1498" s="276" t="str">
        <f>[1]!S_Info_Name(W1498)</f>
        <v>南风股份</v>
      </c>
      <c r="Y1498" s="276" t="str">
        <f ca="1">IF($Y$3="申万一级行业",[1]!s_info_industry_sw_2021(W1498,公司分析!D$5,1),IF($Y$3="申万二级行业",[1]!s_info_industry_sw_2021(W1498,公司分析!D$5,2),IF($Y$3="申万三级行业",[1]!s_info_industry_sw_2021(W1498,公司分析!D$5,3),IF($Y$3="wind一级行业",[1]!s_info_industry_gics(W1498,1),IF($Y$3="wind二级行业",[1]!s_info_industry_gics(W1498,2),IF($Y$3="wind三级行业",[1]!s_info_industry_gics(W1498,3),IF($Y$3="wind四级行业",[1]!s_info_industry_gics(W1498,4),IF($Y$3="证监会门类行业",[1]!s_info_industry_csrc12_n(W1498,公司分析!D$5,1),""))))))))</f>
        <v>专用设备</v>
      </c>
      <c r="Z1498" s="302" t="str">
        <f ca="1">IF(Y1498=行业比较!$E$6,ROW(),"")</f>
        <v/>
      </c>
      <c r="AA1498" s="122"/>
      <c r="AB1498" s="122"/>
      <c r="AC1498" s="122"/>
      <c r="AD1498" s="122"/>
      <c r="AE1498" s="122"/>
      <c r="AF1498" s="122"/>
      <c r="AG1498" s="122"/>
      <c r="AH1498" s="122"/>
      <c r="AI1498" s="122"/>
      <c r="AJ1498" s="122"/>
      <c r="AK1498" s="122"/>
      <c r="AL1498" s="122"/>
      <c r="AM1498" s="122"/>
      <c r="AN1498" s="122"/>
      <c r="AO1498" s="122"/>
      <c r="AP1498" s="122"/>
    </row>
    <row r="1499" spans="2:42">
      <c r="B1499" s="122"/>
      <c r="C1499" s="122"/>
      <c r="D1499" s="122"/>
      <c r="E1499" s="122"/>
      <c r="F1499" s="122"/>
      <c r="G1499" s="122"/>
      <c r="H1499" s="122"/>
      <c r="I1499" s="275"/>
      <c r="J1499" s="130"/>
      <c r="K1499" s="130"/>
      <c r="L1499" s="130"/>
      <c r="M1499" s="130"/>
      <c r="N1499" s="291"/>
      <c r="O1499" s="291"/>
      <c r="P1499" s="122"/>
      <c r="Q1499" s="122"/>
      <c r="R1499" s="122"/>
      <c r="S1499" s="122"/>
      <c r="T1499" s="122"/>
      <c r="U1499" s="301"/>
      <c r="V1499" s="260">
        <f t="shared" ca="1" si="31"/>
        <v>0</v>
      </c>
      <c r="W1499" s="348" t="str">
        <f>IF(板块成分!B1501="","",板块成分!B1501)</f>
        <v>300005.SZ</v>
      </c>
      <c r="X1499" s="276" t="str">
        <f>[1]!S_Info_Name(W1499)</f>
        <v>探路者</v>
      </c>
      <c r="Y1499" s="276" t="str">
        <f ca="1">IF($Y$3="申万一级行业",[1]!s_info_industry_sw_2021(W1499,公司分析!D$5,1),IF($Y$3="申万二级行业",[1]!s_info_industry_sw_2021(W1499,公司分析!D$5,2),IF($Y$3="申万三级行业",[1]!s_info_industry_sw_2021(W1499,公司分析!D$5,3),IF($Y$3="wind一级行业",[1]!s_info_industry_gics(W1499,1),IF($Y$3="wind二级行业",[1]!s_info_industry_gics(W1499,2),IF($Y$3="wind三级行业",[1]!s_info_industry_gics(W1499,3),IF($Y$3="wind四级行业",[1]!s_info_industry_gics(W1499,4),IF($Y$3="证监会门类行业",[1]!s_info_industry_csrc12_n(W1499,公司分析!D$5,1),""))))))))</f>
        <v>服装家纺</v>
      </c>
      <c r="Z1499" s="302" t="str">
        <f ca="1">IF(Y1499=行业比较!$E$6,ROW(),"")</f>
        <v/>
      </c>
      <c r="AA1499" s="122"/>
      <c r="AB1499" s="122"/>
      <c r="AC1499" s="122"/>
      <c r="AD1499" s="122"/>
      <c r="AE1499" s="122"/>
      <c r="AF1499" s="122"/>
      <c r="AG1499" s="122"/>
      <c r="AH1499" s="122"/>
      <c r="AI1499" s="122"/>
      <c r="AJ1499" s="122"/>
      <c r="AK1499" s="122"/>
      <c r="AL1499" s="122"/>
      <c r="AM1499" s="122"/>
      <c r="AN1499" s="122"/>
      <c r="AO1499" s="122"/>
      <c r="AP1499" s="122"/>
    </row>
    <row r="1500" spans="2:42">
      <c r="B1500" s="122"/>
      <c r="C1500" s="122"/>
      <c r="D1500" s="122"/>
      <c r="E1500" s="122"/>
      <c r="F1500" s="122"/>
      <c r="G1500" s="122"/>
      <c r="H1500" s="122"/>
      <c r="I1500" s="275"/>
      <c r="J1500" s="130"/>
      <c r="K1500" s="130"/>
      <c r="L1500" s="130"/>
      <c r="M1500" s="130"/>
      <c r="N1500" s="291"/>
      <c r="O1500" s="291"/>
      <c r="P1500" s="122"/>
      <c r="Q1500" s="122"/>
      <c r="R1500" s="122"/>
      <c r="S1500" s="122"/>
      <c r="T1500" s="122"/>
      <c r="U1500" s="301"/>
      <c r="V1500" s="260">
        <f t="shared" ca="1" si="31"/>
        <v>0</v>
      </c>
      <c r="W1500" s="348" t="str">
        <f>IF(板块成分!B1502="","",板块成分!B1502)</f>
        <v>300006.SZ</v>
      </c>
      <c r="X1500" s="276" t="str">
        <f>[1]!S_Info_Name(W1500)</f>
        <v>莱美药业</v>
      </c>
      <c r="Y1500" s="276" t="str">
        <f ca="1">IF($Y$3="申万一级行业",[1]!s_info_industry_sw_2021(W1500,公司分析!D$5,1),IF($Y$3="申万二级行业",[1]!s_info_industry_sw_2021(W1500,公司分析!D$5,2),IF($Y$3="申万三级行业",[1]!s_info_industry_sw_2021(W1500,公司分析!D$5,3),IF($Y$3="wind一级行业",[1]!s_info_industry_gics(W1500,1),IF($Y$3="wind二级行业",[1]!s_info_industry_gics(W1500,2),IF($Y$3="wind三级行业",[1]!s_info_industry_gics(W1500,3),IF($Y$3="wind四级行业",[1]!s_info_industry_gics(W1500,4),IF($Y$3="证监会门类行业",[1]!s_info_industry_csrc12_n(W1500,公司分析!D$5,1),""))))))))</f>
        <v>化学制药</v>
      </c>
      <c r="Z1500" s="302" t="str">
        <f ca="1">IF(Y1500=行业比较!$E$6,ROW(),"")</f>
        <v/>
      </c>
      <c r="AA1500" s="122"/>
      <c r="AB1500" s="122"/>
      <c r="AC1500" s="122"/>
      <c r="AD1500" s="122"/>
      <c r="AE1500" s="122"/>
      <c r="AF1500" s="122"/>
      <c r="AG1500" s="122"/>
      <c r="AH1500" s="122"/>
      <c r="AI1500" s="122"/>
      <c r="AJ1500" s="122"/>
      <c r="AK1500" s="122"/>
      <c r="AL1500" s="122"/>
      <c r="AM1500" s="122"/>
      <c r="AN1500" s="122"/>
      <c r="AO1500" s="122"/>
      <c r="AP1500" s="122"/>
    </row>
    <row r="1501" spans="2:42">
      <c r="B1501" s="122"/>
      <c r="C1501" s="122"/>
      <c r="D1501" s="122"/>
      <c r="E1501" s="122"/>
      <c r="F1501" s="122"/>
      <c r="G1501" s="122"/>
      <c r="H1501" s="122"/>
      <c r="I1501" s="275"/>
      <c r="J1501" s="130"/>
      <c r="K1501" s="130"/>
      <c r="L1501" s="130"/>
      <c r="M1501" s="130"/>
      <c r="N1501" s="291"/>
      <c r="O1501" s="291"/>
      <c r="P1501" s="122"/>
      <c r="Q1501" s="122"/>
      <c r="R1501" s="122"/>
      <c r="S1501" s="122"/>
      <c r="T1501" s="122"/>
      <c r="U1501" s="301"/>
      <c r="V1501" s="260">
        <f t="shared" ca="1" si="31"/>
        <v>0</v>
      </c>
      <c r="W1501" s="348" t="str">
        <f>IF(板块成分!B1503="","",板块成分!B1503)</f>
        <v>300007.SZ</v>
      </c>
      <c r="X1501" s="276" t="str">
        <f>[1]!S_Info_Name(W1501)</f>
        <v>汉威科技</v>
      </c>
      <c r="Y1501" s="276" t="str">
        <f ca="1">IF($Y$3="申万一级行业",[1]!s_info_industry_sw_2021(W1501,公司分析!D$5,1),IF($Y$3="申万二级行业",[1]!s_info_industry_sw_2021(W1501,公司分析!D$5,2),IF($Y$3="申万三级行业",[1]!s_info_industry_sw_2021(W1501,公司分析!D$5,3),IF($Y$3="wind一级行业",[1]!s_info_industry_gics(W1501,1),IF($Y$3="wind二级行业",[1]!s_info_industry_gics(W1501,2),IF($Y$3="wind三级行业",[1]!s_info_industry_gics(W1501,3),IF($Y$3="wind四级行业",[1]!s_info_industry_gics(W1501,4),IF($Y$3="证监会门类行业",[1]!s_info_industry_csrc12_n(W1501,公司分析!D$5,1),""))))))))</f>
        <v>通用设备</v>
      </c>
      <c r="Z1501" s="302" t="str">
        <f ca="1">IF(Y1501=行业比较!$E$6,ROW(),"")</f>
        <v/>
      </c>
      <c r="AA1501" s="122"/>
      <c r="AB1501" s="122"/>
      <c r="AC1501" s="122"/>
      <c r="AD1501" s="122"/>
      <c r="AE1501" s="122"/>
      <c r="AF1501" s="122"/>
      <c r="AG1501" s="122"/>
      <c r="AH1501" s="122"/>
      <c r="AI1501" s="122"/>
      <c r="AJ1501" s="122"/>
      <c r="AK1501" s="122"/>
      <c r="AL1501" s="122"/>
      <c r="AM1501" s="122"/>
      <c r="AN1501" s="122"/>
      <c r="AO1501" s="122"/>
      <c r="AP1501" s="122"/>
    </row>
    <row r="1502" spans="2:42">
      <c r="B1502" s="122"/>
      <c r="C1502" s="122"/>
      <c r="D1502" s="122"/>
      <c r="E1502" s="122"/>
      <c r="F1502" s="122"/>
      <c r="G1502" s="122"/>
      <c r="H1502" s="122"/>
      <c r="I1502" s="275"/>
      <c r="J1502" s="130"/>
      <c r="K1502" s="130"/>
      <c r="L1502" s="130"/>
      <c r="M1502" s="130"/>
      <c r="N1502" s="291"/>
      <c r="O1502" s="291"/>
      <c r="P1502" s="122"/>
      <c r="Q1502" s="122"/>
      <c r="R1502" s="122"/>
      <c r="S1502" s="122"/>
      <c r="T1502" s="122"/>
      <c r="U1502" s="301"/>
      <c r="V1502" s="260">
        <f t="shared" ca="1" si="31"/>
        <v>0</v>
      </c>
      <c r="W1502" s="348" t="str">
        <f>IF(板块成分!B1504="","",板块成分!B1504)</f>
        <v>300008.SZ</v>
      </c>
      <c r="X1502" s="276" t="str">
        <f>[1]!S_Info_Name(W1502)</f>
        <v>天海防务</v>
      </c>
      <c r="Y1502" s="276" t="str">
        <f ca="1">IF($Y$3="申万一级行业",[1]!s_info_industry_sw_2021(W1502,公司分析!D$5,1),IF($Y$3="申万二级行业",[1]!s_info_industry_sw_2021(W1502,公司分析!D$5,2),IF($Y$3="申万三级行业",[1]!s_info_industry_sw_2021(W1502,公司分析!D$5,3),IF($Y$3="wind一级行业",[1]!s_info_industry_gics(W1502,1),IF($Y$3="wind二级行业",[1]!s_info_industry_gics(W1502,2),IF($Y$3="wind三级行业",[1]!s_info_industry_gics(W1502,3),IF($Y$3="wind四级行业",[1]!s_info_industry_gics(W1502,4),IF($Y$3="证监会门类行业",[1]!s_info_industry_csrc12_n(W1502,公司分析!D$5,1),""))))))))</f>
        <v>航海装备Ⅱ</v>
      </c>
      <c r="Z1502" s="302" t="str">
        <f ca="1">IF(Y1502=行业比较!$E$6,ROW(),"")</f>
        <v/>
      </c>
      <c r="AA1502" s="122"/>
      <c r="AB1502" s="122"/>
      <c r="AC1502" s="122"/>
      <c r="AD1502" s="122"/>
      <c r="AE1502" s="122"/>
      <c r="AF1502" s="122"/>
      <c r="AG1502" s="122"/>
      <c r="AH1502" s="122"/>
      <c r="AI1502" s="122"/>
      <c r="AJ1502" s="122"/>
      <c r="AK1502" s="122"/>
      <c r="AL1502" s="122"/>
      <c r="AM1502" s="122"/>
      <c r="AN1502" s="122"/>
      <c r="AO1502" s="122"/>
      <c r="AP1502" s="122"/>
    </row>
    <row r="1503" spans="2:42">
      <c r="B1503" s="122"/>
      <c r="C1503" s="122"/>
      <c r="D1503" s="122"/>
      <c r="E1503" s="122"/>
      <c r="F1503" s="122"/>
      <c r="G1503" s="122"/>
      <c r="H1503" s="122"/>
      <c r="I1503" s="275"/>
      <c r="J1503" s="130"/>
      <c r="K1503" s="130"/>
      <c r="L1503" s="130"/>
      <c r="M1503" s="130"/>
      <c r="N1503" s="291"/>
      <c r="O1503" s="291"/>
      <c r="P1503" s="122"/>
      <c r="Q1503" s="122"/>
      <c r="R1503" s="122"/>
      <c r="S1503" s="122"/>
      <c r="T1503" s="122"/>
      <c r="U1503" s="301"/>
      <c r="V1503" s="260">
        <f t="shared" ca="1" si="31"/>
        <v>0</v>
      </c>
      <c r="W1503" s="348" t="str">
        <f>IF(板块成分!B1505="","",板块成分!B1505)</f>
        <v>300009.SZ</v>
      </c>
      <c r="X1503" s="276" t="str">
        <f>[1]!S_Info_Name(W1503)</f>
        <v>安科生物</v>
      </c>
      <c r="Y1503" s="276" t="str">
        <f ca="1">IF($Y$3="申万一级行业",[1]!s_info_industry_sw_2021(W1503,公司分析!D$5,1),IF($Y$3="申万二级行业",[1]!s_info_industry_sw_2021(W1503,公司分析!D$5,2),IF($Y$3="申万三级行业",[1]!s_info_industry_sw_2021(W1503,公司分析!D$5,3),IF($Y$3="wind一级行业",[1]!s_info_industry_gics(W1503,1),IF($Y$3="wind二级行业",[1]!s_info_industry_gics(W1503,2),IF($Y$3="wind三级行业",[1]!s_info_industry_gics(W1503,3),IF($Y$3="wind四级行业",[1]!s_info_industry_gics(W1503,4),IF($Y$3="证监会门类行业",[1]!s_info_industry_csrc12_n(W1503,公司分析!D$5,1),""))))))))</f>
        <v>生物制品</v>
      </c>
      <c r="Z1503" s="302" t="str">
        <f ca="1">IF(Y1503=行业比较!$E$6,ROW(),"")</f>
        <v/>
      </c>
      <c r="AA1503" s="122"/>
      <c r="AB1503" s="122"/>
      <c r="AC1503" s="122"/>
      <c r="AD1503" s="122"/>
      <c r="AE1503" s="122"/>
      <c r="AF1503" s="122"/>
      <c r="AG1503" s="122"/>
      <c r="AH1503" s="122"/>
      <c r="AI1503" s="122"/>
      <c r="AJ1503" s="122"/>
      <c r="AK1503" s="122"/>
      <c r="AL1503" s="122"/>
      <c r="AM1503" s="122"/>
      <c r="AN1503" s="122"/>
      <c r="AO1503" s="122"/>
      <c r="AP1503" s="122"/>
    </row>
    <row r="1504" spans="2:42">
      <c r="B1504" s="122"/>
      <c r="C1504" s="122"/>
      <c r="D1504" s="122"/>
      <c r="E1504" s="122"/>
      <c r="F1504" s="122"/>
      <c r="G1504" s="122"/>
      <c r="H1504" s="122"/>
      <c r="I1504" s="275"/>
      <c r="J1504" s="130"/>
      <c r="K1504" s="130"/>
      <c r="L1504" s="130"/>
      <c r="M1504" s="130"/>
      <c r="N1504" s="291"/>
      <c r="O1504" s="291"/>
      <c r="P1504" s="122"/>
      <c r="Q1504" s="122"/>
      <c r="R1504" s="122"/>
      <c r="S1504" s="122"/>
      <c r="T1504" s="122"/>
      <c r="U1504" s="301"/>
      <c r="V1504" s="260">
        <f t="shared" ca="1" si="31"/>
        <v>0</v>
      </c>
      <c r="W1504" s="348" t="str">
        <f>IF(板块成分!B1506="","",板块成分!B1506)</f>
        <v>300010.SZ</v>
      </c>
      <c r="X1504" s="276" t="str">
        <f>[1]!S_Info_Name(W1504)</f>
        <v>豆神教育</v>
      </c>
      <c r="Y1504" s="276" t="str">
        <f ca="1">IF($Y$3="申万一级行业",[1]!s_info_industry_sw_2021(W1504,公司分析!D$5,1),IF($Y$3="申万二级行业",[1]!s_info_industry_sw_2021(W1504,公司分析!D$5,2),IF($Y$3="申万三级行业",[1]!s_info_industry_sw_2021(W1504,公司分析!D$5,3),IF($Y$3="wind一级行业",[1]!s_info_industry_gics(W1504,1),IF($Y$3="wind二级行业",[1]!s_info_industry_gics(W1504,2),IF($Y$3="wind三级行业",[1]!s_info_industry_gics(W1504,3),IF($Y$3="wind四级行业",[1]!s_info_industry_gics(W1504,4),IF($Y$3="证监会门类行业",[1]!s_info_industry_csrc12_n(W1504,公司分析!D$5,1),""))))))))</f>
        <v>教育</v>
      </c>
      <c r="Z1504" s="302" t="str">
        <f ca="1">IF(Y1504=行业比较!$E$6,ROW(),"")</f>
        <v/>
      </c>
      <c r="AA1504" s="122"/>
      <c r="AB1504" s="122"/>
      <c r="AC1504" s="122"/>
      <c r="AD1504" s="122"/>
      <c r="AE1504" s="122"/>
      <c r="AF1504" s="122"/>
      <c r="AG1504" s="122"/>
      <c r="AH1504" s="122"/>
      <c r="AI1504" s="122"/>
      <c r="AJ1504" s="122"/>
      <c r="AK1504" s="122"/>
      <c r="AL1504" s="122"/>
      <c r="AM1504" s="122"/>
      <c r="AN1504" s="122"/>
      <c r="AO1504" s="122"/>
      <c r="AP1504" s="122"/>
    </row>
    <row r="1505" spans="2:42">
      <c r="B1505" s="122"/>
      <c r="C1505" s="122"/>
      <c r="D1505" s="122"/>
      <c r="E1505" s="122"/>
      <c r="F1505" s="122"/>
      <c r="G1505" s="122"/>
      <c r="H1505" s="122"/>
      <c r="I1505" s="275"/>
      <c r="J1505" s="130"/>
      <c r="K1505" s="130"/>
      <c r="L1505" s="130"/>
      <c r="M1505" s="130"/>
      <c r="N1505" s="291"/>
      <c r="O1505" s="291"/>
      <c r="P1505" s="122"/>
      <c r="Q1505" s="122"/>
      <c r="R1505" s="122"/>
      <c r="S1505" s="122"/>
      <c r="T1505" s="122"/>
      <c r="U1505" s="301"/>
      <c r="V1505" s="260">
        <f t="shared" ca="1" si="31"/>
        <v>0</v>
      </c>
      <c r="W1505" s="348" t="str">
        <f>IF(板块成分!B1507="","",板块成分!B1507)</f>
        <v>300011.SZ</v>
      </c>
      <c r="X1505" s="276" t="str">
        <f>[1]!S_Info_Name(W1505)</f>
        <v>鼎汉技术</v>
      </c>
      <c r="Y1505" s="276" t="str">
        <f ca="1">IF($Y$3="申万一级行业",[1]!s_info_industry_sw_2021(W1505,公司分析!D$5,1),IF($Y$3="申万二级行业",[1]!s_info_industry_sw_2021(W1505,公司分析!D$5,2),IF($Y$3="申万三级行业",[1]!s_info_industry_sw_2021(W1505,公司分析!D$5,3),IF($Y$3="wind一级行业",[1]!s_info_industry_gics(W1505,1),IF($Y$3="wind二级行业",[1]!s_info_industry_gics(W1505,2),IF($Y$3="wind三级行业",[1]!s_info_industry_gics(W1505,3),IF($Y$3="wind四级行业",[1]!s_info_industry_gics(W1505,4),IF($Y$3="证监会门类行业",[1]!s_info_industry_csrc12_n(W1505,公司分析!D$5,1),""))))))))</f>
        <v>轨交设备Ⅱ</v>
      </c>
      <c r="Z1505" s="302" t="str">
        <f ca="1">IF(Y1505=行业比较!$E$6,ROW(),"")</f>
        <v/>
      </c>
      <c r="AA1505" s="122"/>
      <c r="AB1505" s="122"/>
      <c r="AC1505" s="122"/>
      <c r="AD1505" s="122"/>
      <c r="AE1505" s="122"/>
      <c r="AF1505" s="122"/>
      <c r="AG1505" s="122"/>
      <c r="AH1505" s="122"/>
      <c r="AI1505" s="122"/>
      <c r="AJ1505" s="122"/>
      <c r="AK1505" s="122"/>
      <c r="AL1505" s="122"/>
      <c r="AM1505" s="122"/>
      <c r="AN1505" s="122"/>
      <c r="AO1505" s="122"/>
      <c r="AP1505" s="122"/>
    </row>
    <row r="1506" spans="2:42">
      <c r="B1506" s="122"/>
      <c r="C1506" s="122"/>
      <c r="D1506" s="122"/>
      <c r="E1506" s="122"/>
      <c r="F1506" s="122"/>
      <c r="G1506" s="122"/>
      <c r="H1506" s="122"/>
      <c r="I1506" s="275"/>
      <c r="J1506" s="130"/>
      <c r="K1506" s="130"/>
      <c r="L1506" s="130"/>
      <c r="M1506" s="130"/>
      <c r="N1506" s="291"/>
      <c r="O1506" s="291"/>
      <c r="P1506" s="122"/>
      <c r="Q1506" s="122"/>
      <c r="R1506" s="122"/>
      <c r="S1506" s="122"/>
      <c r="T1506" s="122"/>
      <c r="U1506" s="301"/>
      <c r="V1506" s="260">
        <f t="shared" ca="1" si="31"/>
        <v>0</v>
      </c>
      <c r="W1506" s="348" t="str">
        <f>IF(板块成分!B1508="","",板块成分!B1508)</f>
        <v>300012.SZ</v>
      </c>
      <c r="X1506" s="276" t="str">
        <f>[1]!S_Info_Name(W1506)</f>
        <v>华测检测</v>
      </c>
      <c r="Y1506" s="276" t="str">
        <f ca="1">IF($Y$3="申万一级行业",[1]!s_info_industry_sw_2021(W1506,公司分析!D$5,1),IF($Y$3="申万二级行业",[1]!s_info_industry_sw_2021(W1506,公司分析!D$5,2),IF($Y$3="申万三级行业",[1]!s_info_industry_sw_2021(W1506,公司分析!D$5,3),IF($Y$3="wind一级行业",[1]!s_info_industry_gics(W1506,1),IF($Y$3="wind二级行业",[1]!s_info_industry_gics(W1506,2),IF($Y$3="wind三级行业",[1]!s_info_industry_gics(W1506,3),IF($Y$3="wind四级行业",[1]!s_info_industry_gics(W1506,4),IF($Y$3="证监会门类行业",[1]!s_info_industry_csrc12_n(W1506,公司分析!D$5,1),""))))))))</f>
        <v>专业服务</v>
      </c>
      <c r="Z1506" s="302" t="str">
        <f ca="1">IF(Y1506=行业比较!$E$6,ROW(),"")</f>
        <v/>
      </c>
      <c r="AA1506" s="122"/>
      <c r="AB1506" s="122"/>
      <c r="AC1506" s="122"/>
      <c r="AD1506" s="122"/>
      <c r="AE1506" s="122"/>
      <c r="AF1506" s="122"/>
      <c r="AG1506" s="122"/>
      <c r="AH1506" s="122"/>
      <c r="AI1506" s="122"/>
      <c r="AJ1506" s="122"/>
      <c r="AK1506" s="122"/>
      <c r="AL1506" s="122"/>
      <c r="AM1506" s="122"/>
      <c r="AN1506" s="122"/>
      <c r="AO1506" s="122"/>
      <c r="AP1506" s="122"/>
    </row>
    <row r="1507" spans="2:42">
      <c r="B1507" s="122"/>
      <c r="C1507" s="122"/>
      <c r="D1507" s="122"/>
      <c r="E1507" s="122"/>
      <c r="F1507" s="122"/>
      <c r="G1507" s="122"/>
      <c r="H1507" s="122"/>
      <c r="I1507" s="275"/>
      <c r="J1507" s="130"/>
      <c r="K1507" s="130"/>
      <c r="L1507" s="130"/>
      <c r="M1507" s="130"/>
      <c r="N1507" s="291"/>
      <c r="O1507" s="291"/>
      <c r="P1507" s="122"/>
      <c r="Q1507" s="122"/>
      <c r="R1507" s="122"/>
      <c r="S1507" s="122"/>
      <c r="T1507" s="122"/>
      <c r="U1507" s="301"/>
      <c r="V1507" s="260">
        <f t="shared" ca="1" si="31"/>
        <v>0</v>
      </c>
      <c r="W1507" s="348" t="str">
        <f>IF(板块成分!B1509="","",板块成分!B1509)</f>
        <v>300013.SZ</v>
      </c>
      <c r="X1507" s="276" t="str">
        <f>[1]!S_Info_Name(W1507)</f>
        <v>新宁物流</v>
      </c>
      <c r="Y1507" s="276" t="str">
        <f ca="1">IF($Y$3="申万一级行业",[1]!s_info_industry_sw_2021(W1507,公司分析!D$5,1),IF($Y$3="申万二级行业",[1]!s_info_industry_sw_2021(W1507,公司分析!D$5,2),IF($Y$3="申万三级行业",[1]!s_info_industry_sw_2021(W1507,公司分析!D$5,3),IF($Y$3="wind一级行业",[1]!s_info_industry_gics(W1507,1),IF($Y$3="wind二级行业",[1]!s_info_industry_gics(W1507,2),IF($Y$3="wind三级行业",[1]!s_info_industry_gics(W1507,3),IF($Y$3="wind四级行业",[1]!s_info_industry_gics(W1507,4),IF($Y$3="证监会门类行业",[1]!s_info_industry_csrc12_n(W1507,公司分析!D$5,1),""))))))))</f>
        <v>物流</v>
      </c>
      <c r="Z1507" s="302" t="str">
        <f ca="1">IF(Y1507=行业比较!$E$6,ROW(),"")</f>
        <v/>
      </c>
      <c r="AA1507" s="122"/>
      <c r="AB1507" s="122"/>
      <c r="AC1507" s="122"/>
      <c r="AD1507" s="122"/>
      <c r="AE1507" s="122"/>
      <c r="AF1507" s="122"/>
      <c r="AG1507" s="122"/>
      <c r="AH1507" s="122"/>
      <c r="AI1507" s="122"/>
      <c r="AJ1507" s="122"/>
      <c r="AK1507" s="122"/>
      <c r="AL1507" s="122"/>
      <c r="AM1507" s="122"/>
      <c r="AN1507" s="122"/>
      <c r="AO1507" s="122"/>
      <c r="AP1507" s="122"/>
    </row>
    <row r="1508" spans="2:42">
      <c r="B1508" s="122"/>
      <c r="C1508" s="122"/>
      <c r="D1508" s="122"/>
      <c r="E1508" s="122"/>
      <c r="F1508" s="122"/>
      <c r="G1508" s="122"/>
      <c r="H1508" s="122"/>
      <c r="I1508" s="275"/>
      <c r="J1508" s="130"/>
      <c r="K1508" s="130"/>
      <c r="L1508" s="130"/>
      <c r="M1508" s="130"/>
      <c r="N1508" s="291"/>
      <c r="O1508" s="291"/>
      <c r="P1508" s="122"/>
      <c r="Q1508" s="122"/>
      <c r="R1508" s="122"/>
      <c r="S1508" s="122"/>
      <c r="T1508" s="122"/>
      <c r="U1508" s="301"/>
      <c r="V1508" s="260">
        <f t="shared" ca="1" si="31"/>
        <v>0</v>
      </c>
      <c r="W1508" s="348" t="str">
        <f>IF(板块成分!B1510="","",板块成分!B1510)</f>
        <v>300014.SZ</v>
      </c>
      <c r="X1508" s="276" t="str">
        <f>[1]!S_Info_Name(W1508)</f>
        <v>亿纬锂能</v>
      </c>
      <c r="Y1508" s="276" t="str">
        <f ca="1">IF($Y$3="申万一级行业",[1]!s_info_industry_sw_2021(W1508,公司分析!D$5,1),IF($Y$3="申万二级行业",[1]!s_info_industry_sw_2021(W1508,公司分析!D$5,2),IF($Y$3="申万三级行业",[1]!s_info_industry_sw_2021(W1508,公司分析!D$5,3),IF($Y$3="wind一级行业",[1]!s_info_industry_gics(W1508,1),IF($Y$3="wind二级行业",[1]!s_info_industry_gics(W1508,2),IF($Y$3="wind三级行业",[1]!s_info_industry_gics(W1508,3),IF($Y$3="wind四级行业",[1]!s_info_industry_gics(W1508,4),IF($Y$3="证监会门类行业",[1]!s_info_industry_csrc12_n(W1508,公司分析!D$5,1),""))))))))</f>
        <v>电池</v>
      </c>
      <c r="Z1508" s="302" t="str">
        <f ca="1">IF(Y1508=行业比较!$E$6,ROW(),"")</f>
        <v/>
      </c>
      <c r="AA1508" s="122"/>
      <c r="AB1508" s="122"/>
      <c r="AC1508" s="122"/>
      <c r="AD1508" s="122"/>
      <c r="AE1508" s="122"/>
      <c r="AF1508" s="122"/>
      <c r="AG1508" s="122"/>
      <c r="AH1508" s="122"/>
      <c r="AI1508" s="122"/>
      <c r="AJ1508" s="122"/>
      <c r="AK1508" s="122"/>
      <c r="AL1508" s="122"/>
      <c r="AM1508" s="122"/>
      <c r="AN1508" s="122"/>
      <c r="AO1508" s="122"/>
      <c r="AP1508" s="122"/>
    </row>
    <row r="1509" spans="2:42">
      <c r="B1509" s="122"/>
      <c r="C1509" s="122"/>
      <c r="D1509" s="122"/>
      <c r="E1509" s="122"/>
      <c r="F1509" s="122"/>
      <c r="G1509" s="122"/>
      <c r="H1509" s="122"/>
      <c r="I1509" s="275"/>
      <c r="J1509" s="130"/>
      <c r="K1509" s="130"/>
      <c r="L1509" s="130"/>
      <c r="M1509" s="130"/>
      <c r="N1509" s="291"/>
      <c r="O1509" s="291"/>
      <c r="P1509" s="122"/>
      <c r="Q1509" s="122"/>
      <c r="R1509" s="122"/>
      <c r="S1509" s="122"/>
      <c r="T1509" s="122"/>
      <c r="U1509" s="301"/>
      <c r="V1509" s="260">
        <f t="shared" ca="1" si="31"/>
        <v>0</v>
      </c>
      <c r="W1509" s="348" t="str">
        <f>IF(板块成分!B1511="","",板块成分!B1511)</f>
        <v>300015.SZ</v>
      </c>
      <c r="X1509" s="276" t="str">
        <f>[1]!S_Info_Name(W1509)</f>
        <v>爱尔眼科</v>
      </c>
      <c r="Y1509" s="276" t="str">
        <f ca="1">IF($Y$3="申万一级行业",[1]!s_info_industry_sw_2021(W1509,公司分析!D$5,1),IF($Y$3="申万二级行业",[1]!s_info_industry_sw_2021(W1509,公司分析!D$5,2),IF($Y$3="申万三级行业",[1]!s_info_industry_sw_2021(W1509,公司分析!D$5,3),IF($Y$3="wind一级行业",[1]!s_info_industry_gics(W1509,1),IF($Y$3="wind二级行业",[1]!s_info_industry_gics(W1509,2),IF($Y$3="wind三级行业",[1]!s_info_industry_gics(W1509,3),IF($Y$3="wind四级行业",[1]!s_info_industry_gics(W1509,4),IF($Y$3="证监会门类行业",[1]!s_info_industry_csrc12_n(W1509,公司分析!D$5,1),""))))))))</f>
        <v>医疗服务</v>
      </c>
      <c r="Z1509" s="302" t="str">
        <f ca="1">IF(Y1509=行业比较!$E$6,ROW(),"")</f>
        <v/>
      </c>
      <c r="AA1509" s="122"/>
      <c r="AB1509" s="122"/>
      <c r="AC1509" s="122"/>
      <c r="AD1509" s="122"/>
      <c r="AE1509" s="122"/>
      <c r="AF1509" s="122"/>
      <c r="AG1509" s="122"/>
      <c r="AH1509" s="122"/>
      <c r="AI1509" s="122"/>
      <c r="AJ1509" s="122"/>
      <c r="AK1509" s="122"/>
      <c r="AL1509" s="122"/>
      <c r="AM1509" s="122"/>
      <c r="AN1509" s="122"/>
      <c r="AO1509" s="122"/>
      <c r="AP1509" s="122"/>
    </row>
    <row r="1510" spans="2:42">
      <c r="B1510" s="122"/>
      <c r="C1510" s="122"/>
      <c r="D1510" s="122"/>
      <c r="E1510" s="122"/>
      <c r="F1510" s="122"/>
      <c r="G1510" s="122"/>
      <c r="H1510" s="122"/>
      <c r="I1510" s="275"/>
      <c r="J1510" s="130"/>
      <c r="K1510" s="130"/>
      <c r="L1510" s="130"/>
      <c r="M1510" s="130"/>
      <c r="N1510" s="291"/>
      <c r="O1510" s="291"/>
      <c r="P1510" s="122"/>
      <c r="Q1510" s="122"/>
      <c r="R1510" s="122"/>
      <c r="S1510" s="122"/>
      <c r="T1510" s="122"/>
      <c r="U1510" s="301"/>
      <c r="V1510" s="260">
        <f t="shared" ca="1" si="31"/>
        <v>0</v>
      </c>
      <c r="W1510" s="348" t="str">
        <f>IF(板块成分!B1512="","",板块成分!B1512)</f>
        <v>300016.SZ</v>
      </c>
      <c r="X1510" s="276" t="str">
        <f>[1]!S_Info_Name(W1510)</f>
        <v>北陆药业</v>
      </c>
      <c r="Y1510" s="276" t="str">
        <f ca="1">IF($Y$3="申万一级行业",[1]!s_info_industry_sw_2021(W1510,公司分析!D$5,1),IF($Y$3="申万二级行业",[1]!s_info_industry_sw_2021(W1510,公司分析!D$5,2),IF($Y$3="申万三级行业",[1]!s_info_industry_sw_2021(W1510,公司分析!D$5,3),IF($Y$3="wind一级行业",[1]!s_info_industry_gics(W1510,1),IF($Y$3="wind二级行业",[1]!s_info_industry_gics(W1510,2),IF($Y$3="wind三级行业",[1]!s_info_industry_gics(W1510,3),IF($Y$3="wind四级行业",[1]!s_info_industry_gics(W1510,4),IF($Y$3="证监会门类行业",[1]!s_info_industry_csrc12_n(W1510,公司分析!D$5,1),""))))))))</f>
        <v>化学制药</v>
      </c>
      <c r="Z1510" s="302" t="str">
        <f ca="1">IF(Y1510=行业比较!$E$6,ROW(),"")</f>
        <v/>
      </c>
      <c r="AA1510" s="122"/>
      <c r="AB1510" s="122"/>
      <c r="AC1510" s="122"/>
      <c r="AD1510" s="122"/>
      <c r="AE1510" s="122"/>
      <c r="AF1510" s="122"/>
      <c r="AG1510" s="122"/>
      <c r="AH1510" s="122"/>
      <c r="AI1510" s="122"/>
      <c r="AJ1510" s="122"/>
      <c r="AK1510" s="122"/>
      <c r="AL1510" s="122"/>
      <c r="AM1510" s="122"/>
      <c r="AN1510" s="122"/>
      <c r="AO1510" s="122"/>
      <c r="AP1510" s="122"/>
    </row>
    <row r="1511" spans="2:42">
      <c r="B1511" s="122"/>
      <c r="C1511" s="122"/>
      <c r="D1511" s="122"/>
      <c r="E1511" s="122"/>
      <c r="F1511" s="122"/>
      <c r="G1511" s="122"/>
      <c r="H1511" s="122"/>
      <c r="I1511" s="275"/>
      <c r="J1511" s="130"/>
      <c r="K1511" s="130"/>
      <c r="L1511" s="130"/>
      <c r="M1511" s="130"/>
      <c r="N1511" s="291"/>
      <c r="O1511" s="291"/>
      <c r="P1511" s="122"/>
      <c r="Q1511" s="122"/>
      <c r="R1511" s="122"/>
      <c r="S1511" s="122"/>
      <c r="T1511" s="122"/>
      <c r="U1511" s="301"/>
      <c r="V1511" s="260">
        <f t="shared" ca="1" si="31"/>
        <v>0</v>
      </c>
      <c r="W1511" s="348" t="str">
        <f>IF(板块成分!B1513="","",板块成分!B1513)</f>
        <v>300017.SZ</v>
      </c>
      <c r="X1511" s="276" t="str">
        <f>[1]!S_Info_Name(W1511)</f>
        <v>网宿科技</v>
      </c>
      <c r="Y1511" s="276" t="str">
        <f ca="1">IF($Y$3="申万一级行业",[1]!s_info_industry_sw_2021(W1511,公司分析!D$5,1),IF($Y$3="申万二级行业",[1]!s_info_industry_sw_2021(W1511,公司分析!D$5,2),IF($Y$3="申万三级行业",[1]!s_info_industry_sw_2021(W1511,公司分析!D$5,3),IF($Y$3="wind一级行业",[1]!s_info_industry_gics(W1511,1),IF($Y$3="wind二级行业",[1]!s_info_industry_gics(W1511,2),IF($Y$3="wind三级行业",[1]!s_info_industry_gics(W1511,3),IF($Y$3="wind四级行业",[1]!s_info_industry_gics(W1511,4),IF($Y$3="证监会门类行业",[1]!s_info_industry_csrc12_n(W1511,公司分析!D$5,1),""))))))))</f>
        <v>IT服务Ⅱ</v>
      </c>
      <c r="Z1511" s="302" t="str">
        <f ca="1">IF(Y1511=行业比较!$E$6,ROW(),"")</f>
        <v/>
      </c>
      <c r="AA1511" s="122"/>
      <c r="AB1511" s="122"/>
      <c r="AC1511" s="122"/>
      <c r="AD1511" s="122"/>
      <c r="AE1511" s="122"/>
      <c r="AF1511" s="122"/>
      <c r="AG1511" s="122"/>
      <c r="AH1511" s="122"/>
      <c r="AI1511" s="122"/>
      <c r="AJ1511" s="122"/>
      <c r="AK1511" s="122"/>
      <c r="AL1511" s="122"/>
      <c r="AM1511" s="122"/>
      <c r="AN1511" s="122"/>
      <c r="AO1511" s="122"/>
      <c r="AP1511" s="122"/>
    </row>
    <row r="1512" spans="2:42">
      <c r="B1512" s="122"/>
      <c r="C1512" s="122"/>
      <c r="D1512" s="122"/>
      <c r="E1512" s="122"/>
      <c r="F1512" s="122"/>
      <c r="G1512" s="122"/>
      <c r="H1512" s="122"/>
      <c r="I1512" s="275"/>
      <c r="J1512" s="130"/>
      <c r="K1512" s="130"/>
      <c r="L1512" s="130"/>
      <c r="M1512" s="130"/>
      <c r="N1512" s="291"/>
      <c r="O1512" s="291"/>
      <c r="P1512" s="122"/>
      <c r="Q1512" s="122"/>
      <c r="R1512" s="122"/>
      <c r="S1512" s="122"/>
      <c r="T1512" s="122"/>
      <c r="U1512" s="301"/>
      <c r="V1512" s="260">
        <f t="shared" ca="1" si="31"/>
        <v>0</v>
      </c>
      <c r="W1512" s="348" t="str">
        <f>IF(板块成分!B1514="","",板块成分!B1514)</f>
        <v>300018.SZ</v>
      </c>
      <c r="X1512" s="276" t="str">
        <f>[1]!S_Info_Name(W1512)</f>
        <v>中元股份</v>
      </c>
      <c r="Y1512" s="276" t="str">
        <f ca="1">IF($Y$3="申万一级行业",[1]!s_info_industry_sw_2021(W1512,公司分析!D$5,1),IF($Y$3="申万二级行业",[1]!s_info_industry_sw_2021(W1512,公司分析!D$5,2),IF($Y$3="申万三级行业",[1]!s_info_industry_sw_2021(W1512,公司分析!D$5,3),IF($Y$3="wind一级行业",[1]!s_info_industry_gics(W1512,1),IF($Y$3="wind二级行业",[1]!s_info_industry_gics(W1512,2),IF($Y$3="wind三级行业",[1]!s_info_industry_gics(W1512,3),IF($Y$3="wind四级行业",[1]!s_info_industry_gics(W1512,4),IF($Y$3="证监会门类行业",[1]!s_info_industry_csrc12_n(W1512,公司分析!D$5,1),""))))))))</f>
        <v>电网设备</v>
      </c>
      <c r="Z1512" s="302" t="str">
        <f ca="1">IF(Y1512=行业比较!$E$6,ROW(),"")</f>
        <v/>
      </c>
      <c r="AA1512" s="122"/>
      <c r="AB1512" s="122"/>
      <c r="AC1512" s="122"/>
      <c r="AD1512" s="122"/>
      <c r="AE1512" s="122"/>
      <c r="AF1512" s="122"/>
      <c r="AG1512" s="122"/>
      <c r="AH1512" s="122"/>
      <c r="AI1512" s="122"/>
      <c r="AJ1512" s="122"/>
      <c r="AK1512" s="122"/>
      <c r="AL1512" s="122"/>
      <c r="AM1512" s="122"/>
      <c r="AN1512" s="122"/>
      <c r="AO1512" s="122"/>
      <c r="AP1512" s="122"/>
    </row>
    <row r="1513" spans="2:42">
      <c r="B1513" s="122"/>
      <c r="C1513" s="122"/>
      <c r="D1513" s="122"/>
      <c r="E1513" s="122"/>
      <c r="F1513" s="122"/>
      <c r="G1513" s="122"/>
      <c r="H1513" s="122"/>
      <c r="I1513" s="275"/>
      <c r="J1513" s="130"/>
      <c r="K1513" s="130"/>
      <c r="L1513" s="130"/>
      <c r="M1513" s="130"/>
      <c r="N1513" s="291"/>
      <c r="O1513" s="291"/>
      <c r="P1513" s="122"/>
      <c r="Q1513" s="122"/>
      <c r="R1513" s="122"/>
      <c r="S1513" s="122"/>
      <c r="T1513" s="122"/>
      <c r="U1513" s="301"/>
      <c r="V1513" s="260">
        <f t="shared" ca="1" si="31"/>
        <v>0</v>
      </c>
      <c r="W1513" s="348" t="str">
        <f>IF(板块成分!B1515="","",板块成分!B1515)</f>
        <v>300019.SZ</v>
      </c>
      <c r="X1513" s="276" t="str">
        <f>[1]!S_Info_Name(W1513)</f>
        <v>硅宝科技</v>
      </c>
      <c r="Y1513" s="276" t="str">
        <f ca="1">IF($Y$3="申万一级行业",[1]!s_info_industry_sw_2021(W1513,公司分析!D$5,1),IF($Y$3="申万二级行业",[1]!s_info_industry_sw_2021(W1513,公司分析!D$5,2),IF($Y$3="申万三级行业",[1]!s_info_industry_sw_2021(W1513,公司分析!D$5,3),IF($Y$3="wind一级行业",[1]!s_info_industry_gics(W1513,1),IF($Y$3="wind二级行业",[1]!s_info_industry_gics(W1513,2),IF($Y$3="wind三级行业",[1]!s_info_industry_gics(W1513,3),IF($Y$3="wind四级行业",[1]!s_info_industry_gics(W1513,4),IF($Y$3="证监会门类行业",[1]!s_info_industry_csrc12_n(W1513,公司分析!D$5,1),""))))))))</f>
        <v>化学制品</v>
      </c>
      <c r="Z1513" s="302" t="str">
        <f ca="1">IF(Y1513=行业比较!$E$6,ROW(),"")</f>
        <v/>
      </c>
      <c r="AA1513" s="122"/>
      <c r="AB1513" s="122"/>
      <c r="AC1513" s="122"/>
      <c r="AD1513" s="122"/>
      <c r="AE1513" s="122"/>
      <c r="AF1513" s="122"/>
      <c r="AG1513" s="122"/>
      <c r="AH1513" s="122"/>
      <c r="AI1513" s="122"/>
      <c r="AJ1513" s="122"/>
      <c r="AK1513" s="122"/>
      <c r="AL1513" s="122"/>
      <c r="AM1513" s="122"/>
      <c r="AN1513" s="122"/>
      <c r="AO1513" s="122"/>
      <c r="AP1513" s="122"/>
    </row>
    <row r="1514" spans="2:42">
      <c r="B1514" s="122"/>
      <c r="C1514" s="122"/>
      <c r="D1514" s="122"/>
      <c r="E1514" s="122"/>
      <c r="F1514" s="122"/>
      <c r="G1514" s="122"/>
      <c r="H1514" s="122"/>
      <c r="I1514" s="275"/>
      <c r="J1514" s="130"/>
      <c r="K1514" s="130"/>
      <c r="L1514" s="130"/>
      <c r="M1514" s="130"/>
      <c r="N1514" s="291"/>
      <c r="O1514" s="291"/>
      <c r="P1514" s="122"/>
      <c r="Q1514" s="122"/>
      <c r="R1514" s="122"/>
      <c r="S1514" s="122"/>
      <c r="T1514" s="122"/>
      <c r="U1514" s="301"/>
      <c r="V1514" s="260">
        <f t="shared" ca="1" si="31"/>
        <v>0</v>
      </c>
      <c r="W1514" s="348" t="str">
        <f>IF(板块成分!B1516="","",板块成分!B1516)</f>
        <v>300020.SZ</v>
      </c>
      <c r="X1514" s="276" t="str">
        <f>[1]!S_Info_Name(W1514)</f>
        <v>ST银江</v>
      </c>
      <c r="Y1514" s="276" t="str">
        <f ca="1">IF($Y$3="申万一级行业",[1]!s_info_industry_sw_2021(W1514,公司分析!D$5,1),IF($Y$3="申万二级行业",[1]!s_info_industry_sw_2021(W1514,公司分析!D$5,2),IF($Y$3="申万三级行业",[1]!s_info_industry_sw_2021(W1514,公司分析!D$5,3),IF($Y$3="wind一级行业",[1]!s_info_industry_gics(W1514,1),IF($Y$3="wind二级行业",[1]!s_info_industry_gics(W1514,2),IF($Y$3="wind三级行业",[1]!s_info_industry_gics(W1514,3),IF($Y$3="wind四级行业",[1]!s_info_industry_gics(W1514,4),IF($Y$3="证监会门类行业",[1]!s_info_industry_csrc12_n(W1514,公司分析!D$5,1),""))))))))</f>
        <v>IT服务Ⅱ</v>
      </c>
      <c r="Z1514" s="302" t="str">
        <f ca="1">IF(Y1514=行业比较!$E$6,ROW(),"")</f>
        <v/>
      </c>
      <c r="AA1514" s="122"/>
      <c r="AB1514" s="122"/>
      <c r="AC1514" s="122"/>
      <c r="AD1514" s="122"/>
      <c r="AE1514" s="122"/>
      <c r="AF1514" s="122"/>
      <c r="AG1514" s="122"/>
      <c r="AH1514" s="122"/>
      <c r="AI1514" s="122"/>
      <c r="AJ1514" s="122"/>
      <c r="AK1514" s="122"/>
      <c r="AL1514" s="122"/>
      <c r="AM1514" s="122"/>
      <c r="AN1514" s="122"/>
      <c r="AO1514" s="122"/>
      <c r="AP1514" s="122"/>
    </row>
    <row r="1515" spans="2:42">
      <c r="B1515" s="122"/>
      <c r="C1515" s="122"/>
      <c r="D1515" s="122"/>
      <c r="E1515" s="122"/>
      <c r="F1515" s="122"/>
      <c r="G1515" s="122"/>
      <c r="H1515" s="122"/>
      <c r="I1515" s="275"/>
      <c r="J1515" s="130"/>
      <c r="K1515" s="130"/>
      <c r="L1515" s="130"/>
      <c r="M1515" s="130"/>
      <c r="N1515" s="291"/>
      <c r="O1515" s="291"/>
      <c r="P1515" s="122"/>
      <c r="Q1515" s="122"/>
      <c r="R1515" s="122"/>
      <c r="S1515" s="122"/>
      <c r="T1515" s="122"/>
      <c r="U1515" s="301"/>
      <c r="V1515" s="260">
        <f t="shared" ca="1" si="31"/>
        <v>0</v>
      </c>
      <c r="W1515" s="348" t="str">
        <f>IF(板块成分!B1517="","",板块成分!B1517)</f>
        <v>300021.SZ</v>
      </c>
      <c r="X1515" s="276" t="str">
        <f>[1]!S_Info_Name(W1515)</f>
        <v>大禹节水</v>
      </c>
      <c r="Y1515" s="276" t="str">
        <f ca="1">IF($Y$3="申万一级行业",[1]!s_info_industry_sw_2021(W1515,公司分析!D$5,1),IF($Y$3="申万二级行业",[1]!s_info_industry_sw_2021(W1515,公司分析!D$5,2),IF($Y$3="申万三级行业",[1]!s_info_industry_sw_2021(W1515,公司分析!D$5,3),IF($Y$3="wind一级行业",[1]!s_info_industry_gics(W1515,1),IF($Y$3="wind二级行业",[1]!s_info_industry_gics(W1515,2),IF($Y$3="wind三级行业",[1]!s_info_industry_gics(W1515,3),IF($Y$3="wind四级行业",[1]!s_info_industry_gics(W1515,4),IF($Y$3="证监会门类行业",[1]!s_info_industry_csrc12_n(W1515,公司分析!D$5,1),""))))))))</f>
        <v>农业综合Ⅱ</v>
      </c>
      <c r="Z1515" s="302" t="str">
        <f ca="1">IF(Y1515=行业比较!$E$6,ROW(),"")</f>
        <v/>
      </c>
      <c r="AA1515" s="122"/>
      <c r="AB1515" s="122"/>
      <c r="AC1515" s="122"/>
      <c r="AD1515" s="122"/>
      <c r="AE1515" s="122"/>
      <c r="AF1515" s="122"/>
      <c r="AG1515" s="122"/>
      <c r="AH1515" s="122"/>
      <c r="AI1515" s="122"/>
      <c r="AJ1515" s="122"/>
      <c r="AK1515" s="122"/>
      <c r="AL1515" s="122"/>
      <c r="AM1515" s="122"/>
      <c r="AN1515" s="122"/>
      <c r="AO1515" s="122"/>
      <c r="AP1515" s="122"/>
    </row>
    <row r="1516" spans="2:42">
      <c r="B1516" s="122"/>
      <c r="C1516" s="122"/>
      <c r="D1516" s="122"/>
      <c r="E1516" s="122"/>
      <c r="F1516" s="122"/>
      <c r="G1516" s="122"/>
      <c r="H1516" s="122"/>
      <c r="I1516" s="275"/>
      <c r="J1516" s="130"/>
      <c r="K1516" s="130"/>
      <c r="L1516" s="130"/>
      <c r="M1516" s="130"/>
      <c r="N1516" s="291"/>
      <c r="O1516" s="291"/>
      <c r="P1516" s="122"/>
      <c r="Q1516" s="122"/>
      <c r="R1516" s="122"/>
      <c r="S1516" s="122"/>
      <c r="T1516" s="122"/>
      <c r="U1516" s="301"/>
      <c r="V1516" s="260">
        <f t="shared" ca="1" si="31"/>
        <v>0</v>
      </c>
      <c r="W1516" s="348" t="str">
        <f>IF(板块成分!B1518="","",板块成分!B1518)</f>
        <v>300022.SZ</v>
      </c>
      <c r="X1516" s="276" t="str">
        <f>[1]!S_Info_Name(W1516)</f>
        <v>吉峰科技</v>
      </c>
      <c r="Y1516" s="276" t="str">
        <f ca="1">IF($Y$3="申万一级行业",[1]!s_info_industry_sw_2021(W1516,公司分析!D$5,1),IF($Y$3="申万二级行业",[1]!s_info_industry_sw_2021(W1516,公司分析!D$5,2),IF($Y$3="申万三级行业",[1]!s_info_industry_sw_2021(W1516,公司分析!D$5,3),IF($Y$3="wind一级行业",[1]!s_info_industry_gics(W1516,1),IF($Y$3="wind二级行业",[1]!s_info_industry_gics(W1516,2),IF($Y$3="wind三级行业",[1]!s_info_industry_gics(W1516,3),IF($Y$3="wind四级行业",[1]!s_info_industry_gics(W1516,4),IF($Y$3="证监会门类行业",[1]!s_info_industry_csrc12_n(W1516,公司分析!D$5,1),""))))))))</f>
        <v>专业连锁Ⅱ</v>
      </c>
      <c r="Z1516" s="302" t="str">
        <f ca="1">IF(Y1516=行业比较!$E$6,ROW(),"")</f>
        <v/>
      </c>
      <c r="AA1516" s="122"/>
      <c r="AB1516" s="122"/>
      <c r="AC1516" s="122"/>
      <c r="AD1516" s="122"/>
      <c r="AE1516" s="122"/>
      <c r="AF1516" s="122"/>
      <c r="AG1516" s="122"/>
      <c r="AH1516" s="122"/>
      <c r="AI1516" s="122"/>
      <c r="AJ1516" s="122"/>
      <c r="AK1516" s="122"/>
      <c r="AL1516" s="122"/>
      <c r="AM1516" s="122"/>
      <c r="AN1516" s="122"/>
      <c r="AO1516" s="122"/>
      <c r="AP1516" s="122"/>
    </row>
    <row r="1517" spans="2:42">
      <c r="B1517" s="122"/>
      <c r="C1517" s="122"/>
      <c r="D1517" s="122"/>
      <c r="E1517" s="122"/>
      <c r="F1517" s="122"/>
      <c r="G1517" s="122"/>
      <c r="H1517" s="122"/>
      <c r="I1517" s="275"/>
      <c r="J1517" s="130"/>
      <c r="K1517" s="130"/>
      <c r="L1517" s="130"/>
      <c r="M1517" s="130"/>
      <c r="N1517" s="291"/>
      <c r="O1517" s="291"/>
      <c r="P1517" s="122"/>
      <c r="Q1517" s="122"/>
      <c r="R1517" s="122"/>
      <c r="S1517" s="122"/>
      <c r="T1517" s="122"/>
      <c r="U1517" s="301"/>
      <c r="V1517" s="260">
        <f t="shared" ca="1" si="31"/>
        <v>0</v>
      </c>
      <c r="W1517" s="348" t="str">
        <f>IF(板块成分!B1519="","",板块成分!B1519)</f>
        <v>300024.SZ</v>
      </c>
      <c r="X1517" s="276" t="str">
        <f>[1]!S_Info_Name(W1517)</f>
        <v>机器人</v>
      </c>
      <c r="Y1517" s="276" t="str">
        <f ca="1">IF($Y$3="申万一级行业",[1]!s_info_industry_sw_2021(W1517,公司分析!D$5,1),IF($Y$3="申万二级行业",[1]!s_info_industry_sw_2021(W1517,公司分析!D$5,2),IF($Y$3="申万三级行业",[1]!s_info_industry_sw_2021(W1517,公司分析!D$5,3),IF($Y$3="wind一级行业",[1]!s_info_industry_gics(W1517,1),IF($Y$3="wind二级行业",[1]!s_info_industry_gics(W1517,2),IF($Y$3="wind三级行业",[1]!s_info_industry_gics(W1517,3),IF($Y$3="wind四级行业",[1]!s_info_industry_gics(W1517,4),IF($Y$3="证监会门类行业",[1]!s_info_industry_csrc12_n(W1517,公司分析!D$5,1),""))))))))</f>
        <v>自动化设备</v>
      </c>
      <c r="Z1517" s="302" t="str">
        <f ca="1">IF(Y1517=行业比较!$E$6,ROW(),"")</f>
        <v/>
      </c>
      <c r="AA1517" s="122"/>
      <c r="AB1517" s="122"/>
      <c r="AC1517" s="122"/>
      <c r="AD1517" s="122"/>
      <c r="AE1517" s="122"/>
      <c r="AF1517" s="122"/>
      <c r="AG1517" s="122"/>
      <c r="AH1517" s="122"/>
      <c r="AI1517" s="122"/>
      <c r="AJ1517" s="122"/>
      <c r="AK1517" s="122"/>
      <c r="AL1517" s="122"/>
      <c r="AM1517" s="122"/>
      <c r="AN1517" s="122"/>
      <c r="AO1517" s="122"/>
      <c r="AP1517" s="122"/>
    </row>
    <row r="1518" spans="2:42">
      <c r="B1518" s="122"/>
      <c r="C1518" s="122"/>
      <c r="D1518" s="122"/>
      <c r="E1518" s="122"/>
      <c r="F1518" s="122"/>
      <c r="G1518" s="122"/>
      <c r="H1518" s="122"/>
      <c r="I1518" s="275"/>
      <c r="J1518" s="130"/>
      <c r="K1518" s="130"/>
      <c r="L1518" s="130"/>
      <c r="M1518" s="130"/>
      <c r="N1518" s="291"/>
      <c r="O1518" s="291"/>
      <c r="P1518" s="122"/>
      <c r="Q1518" s="122"/>
      <c r="R1518" s="122"/>
      <c r="S1518" s="122"/>
      <c r="T1518" s="122"/>
      <c r="U1518" s="301"/>
      <c r="V1518" s="260">
        <f t="shared" ca="1" si="31"/>
        <v>0</v>
      </c>
      <c r="W1518" s="348" t="str">
        <f>IF(板块成分!B1520="","",板块成分!B1520)</f>
        <v>300025.SZ</v>
      </c>
      <c r="X1518" s="276" t="str">
        <f>[1]!S_Info_Name(W1518)</f>
        <v>华星创业</v>
      </c>
      <c r="Y1518" s="276" t="str">
        <f ca="1">IF($Y$3="申万一级行业",[1]!s_info_industry_sw_2021(W1518,公司分析!D$5,1),IF($Y$3="申万二级行业",[1]!s_info_industry_sw_2021(W1518,公司分析!D$5,2),IF($Y$3="申万三级行业",[1]!s_info_industry_sw_2021(W1518,公司分析!D$5,3),IF($Y$3="wind一级行业",[1]!s_info_industry_gics(W1518,1),IF($Y$3="wind二级行业",[1]!s_info_industry_gics(W1518,2),IF($Y$3="wind三级行业",[1]!s_info_industry_gics(W1518,3),IF($Y$3="wind四级行业",[1]!s_info_industry_gics(W1518,4),IF($Y$3="证监会门类行业",[1]!s_info_industry_csrc12_n(W1518,公司分析!D$5,1),""))))))))</f>
        <v>通信服务</v>
      </c>
      <c r="Z1518" s="302" t="str">
        <f ca="1">IF(Y1518=行业比较!$E$6,ROW(),"")</f>
        <v/>
      </c>
      <c r="AA1518" s="122"/>
      <c r="AB1518" s="122"/>
      <c r="AC1518" s="122"/>
      <c r="AD1518" s="122"/>
      <c r="AE1518" s="122"/>
      <c r="AF1518" s="122"/>
      <c r="AG1518" s="122"/>
      <c r="AH1518" s="122"/>
      <c r="AI1518" s="122"/>
      <c r="AJ1518" s="122"/>
      <c r="AK1518" s="122"/>
      <c r="AL1518" s="122"/>
      <c r="AM1518" s="122"/>
      <c r="AN1518" s="122"/>
      <c r="AO1518" s="122"/>
      <c r="AP1518" s="122"/>
    </row>
    <row r="1519" spans="2:42">
      <c r="B1519" s="122"/>
      <c r="C1519" s="122"/>
      <c r="D1519" s="122"/>
      <c r="E1519" s="122"/>
      <c r="F1519" s="122"/>
      <c r="G1519" s="122"/>
      <c r="H1519" s="122"/>
      <c r="I1519" s="275"/>
      <c r="J1519" s="130"/>
      <c r="K1519" s="130"/>
      <c r="L1519" s="130"/>
      <c r="M1519" s="130"/>
      <c r="N1519" s="291"/>
      <c r="O1519" s="291"/>
      <c r="P1519" s="122"/>
      <c r="Q1519" s="122"/>
      <c r="R1519" s="122"/>
      <c r="S1519" s="122"/>
      <c r="T1519" s="122"/>
      <c r="U1519" s="301"/>
      <c r="V1519" s="260">
        <f t="shared" ca="1" si="31"/>
        <v>0</v>
      </c>
      <c r="W1519" s="348" t="str">
        <f>IF(板块成分!B1521="","",板块成分!B1521)</f>
        <v>300026.SZ</v>
      </c>
      <c r="X1519" s="276" t="str">
        <f>[1]!S_Info_Name(W1519)</f>
        <v>红日药业</v>
      </c>
      <c r="Y1519" s="276" t="str">
        <f ca="1">IF($Y$3="申万一级行业",[1]!s_info_industry_sw_2021(W1519,公司分析!D$5,1),IF($Y$3="申万二级行业",[1]!s_info_industry_sw_2021(W1519,公司分析!D$5,2),IF($Y$3="申万三级行业",[1]!s_info_industry_sw_2021(W1519,公司分析!D$5,3),IF($Y$3="wind一级行业",[1]!s_info_industry_gics(W1519,1),IF($Y$3="wind二级行业",[1]!s_info_industry_gics(W1519,2),IF($Y$3="wind三级行业",[1]!s_info_industry_gics(W1519,3),IF($Y$3="wind四级行业",[1]!s_info_industry_gics(W1519,4),IF($Y$3="证监会门类行业",[1]!s_info_industry_csrc12_n(W1519,公司分析!D$5,1),""))))))))</f>
        <v>中药Ⅱ</v>
      </c>
      <c r="Z1519" s="302" t="str">
        <f ca="1">IF(Y1519=行业比较!$E$6,ROW(),"")</f>
        <v/>
      </c>
      <c r="AA1519" s="122"/>
      <c r="AB1519" s="122"/>
      <c r="AC1519" s="122"/>
      <c r="AD1519" s="122"/>
      <c r="AE1519" s="122"/>
      <c r="AF1519" s="122"/>
      <c r="AG1519" s="122"/>
      <c r="AH1519" s="122"/>
      <c r="AI1519" s="122"/>
      <c r="AJ1519" s="122"/>
      <c r="AK1519" s="122"/>
      <c r="AL1519" s="122"/>
      <c r="AM1519" s="122"/>
      <c r="AN1519" s="122"/>
      <c r="AO1519" s="122"/>
      <c r="AP1519" s="122"/>
    </row>
    <row r="1520" spans="2:42">
      <c r="B1520" s="122"/>
      <c r="C1520" s="122"/>
      <c r="D1520" s="122"/>
      <c r="E1520" s="122"/>
      <c r="F1520" s="122"/>
      <c r="G1520" s="122"/>
      <c r="H1520" s="122"/>
      <c r="I1520" s="275"/>
      <c r="J1520" s="130"/>
      <c r="K1520" s="130"/>
      <c r="L1520" s="130"/>
      <c r="M1520" s="130"/>
      <c r="N1520" s="291"/>
      <c r="O1520" s="291"/>
      <c r="P1520" s="122"/>
      <c r="Q1520" s="122"/>
      <c r="R1520" s="122"/>
      <c r="S1520" s="122"/>
      <c r="T1520" s="122"/>
      <c r="U1520" s="301"/>
      <c r="V1520" s="260">
        <f t="shared" ca="1" si="31"/>
        <v>0</v>
      </c>
      <c r="W1520" s="348" t="str">
        <f>IF(板块成分!B1522="","",板块成分!B1522)</f>
        <v>300027.SZ</v>
      </c>
      <c r="X1520" s="276" t="str">
        <f>[1]!S_Info_Name(W1520)</f>
        <v>华谊兄弟</v>
      </c>
      <c r="Y1520" s="276" t="str">
        <f ca="1">IF($Y$3="申万一级行业",[1]!s_info_industry_sw_2021(W1520,公司分析!D$5,1),IF($Y$3="申万二级行业",[1]!s_info_industry_sw_2021(W1520,公司分析!D$5,2),IF($Y$3="申万三级行业",[1]!s_info_industry_sw_2021(W1520,公司分析!D$5,3),IF($Y$3="wind一级行业",[1]!s_info_industry_gics(W1520,1),IF($Y$3="wind二级行业",[1]!s_info_industry_gics(W1520,2),IF($Y$3="wind三级行业",[1]!s_info_industry_gics(W1520,3),IF($Y$3="wind四级行业",[1]!s_info_industry_gics(W1520,4),IF($Y$3="证监会门类行业",[1]!s_info_industry_csrc12_n(W1520,公司分析!D$5,1),""))))))))</f>
        <v>影视院线</v>
      </c>
      <c r="Z1520" s="302" t="str">
        <f ca="1">IF(Y1520=行业比较!$E$6,ROW(),"")</f>
        <v/>
      </c>
      <c r="AA1520" s="122"/>
      <c r="AB1520" s="122"/>
      <c r="AC1520" s="122"/>
      <c r="AD1520" s="122"/>
      <c r="AE1520" s="122"/>
      <c r="AF1520" s="122"/>
      <c r="AG1520" s="122"/>
      <c r="AH1520" s="122"/>
      <c r="AI1520" s="122"/>
      <c r="AJ1520" s="122"/>
      <c r="AK1520" s="122"/>
      <c r="AL1520" s="122"/>
      <c r="AM1520" s="122"/>
      <c r="AN1520" s="122"/>
      <c r="AO1520" s="122"/>
      <c r="AP1520" s="122"/>
    </row>
    <row r="1521" spans="2:42">
      <c r="B1521" s="122"/>
      <c r="C1521" s="122"/>
      <c r="D1521" s="122"/>
      <c r="E1521" s="122"/>
      <c r="F1521" s="122"/>
      <c r="G1521" s="122"/>
      <c r="H1521" s="122"/>
      <c r="I1521" s="275"/>
      <c r="J1521" s="130"/>
      <c r="K1521" s="130"/>
      <c r="L1521" s="130"/>
      <c r="M1521" s="130"/>
      <c r="N1521" s="291"/>
      <c r="O1521" s="291"/>
      <c r="P1521" s="122"/>
      <c r="Q1521" s="122"/>
      <c r="R1521" s="122"/>
      <c r="S1521" s="122"/>
      <c r="T1521" s="122"/>
      <c r="U1521" s="301"/>
      <c r="V1521" s="260">
        <f t="shared" ca="1" si="31"/>
        <v>0</v>
      </c>
      <c r="W1521" s="348" t="str">
        <f>IF(板块成分!B1523="","",板块成分!B1523)</f>
        <v>300029.SZ</v>
      </c>
      <c r="X1521" s="276" t="str">
        <f>[1]!S_Info_Name(W1521)</f>
        <v>*ST天龙</v>
      </c>
      <c r="Y1521" s="276" t="str">
        <f ca="1">IF($Y$3="申万一级行业",[1]!s_info_industry_sw_2021(W1521,公司分析!D$5,1),IF($Y$3="申万二级行业",[1]!s_info_industry_sw_2021(W1521,公司分析!D$5,2),IF($Y$3="申万三级行业",[1]!s_info_industry_sw_2021(W1521,公司分析!D$5,3),IF($Y$3="wind一级行业",[1]!s_info_industry_gics(W1521,1),IF($Y$3="wind二级行业",[1]!s_info_industry_gics(W1521,2),IF($Y$3="wind三级行业",[1]!s_info_industry_gics(W1521,3),IF($Y$3="wind四级行业",[1]!s_info_industry_gics(W1521,4),IF($Y$3="证监会门类行业",[1]!s_info_industry_csrc12_n(W1521,公司分析!D$5,1),""))))))))</f>
        <v>专业工程</v>
      </c>
      <c r="Z1521" s="302" t="str">
        <f ca="1">IF(Y1521=行业比较!$E$6,ROW(),"")</f>
        <v/>
      </c>
      <c r="AA1521" s="122"/>
      <c r="AB1521" s="122"/>
      <c r="AC1521" s="122"/>
      <c r="AD1521" s="122"/>
      <c r="AE1521" s="122"/>
      <c r="AF1521" s="122"/>
      <c r="AG1521" s="122"/>
      <c r="AH1521" s="122"/>
      <c r="AI1521" s="122"/>
      <c r="AJ1521" s="122"/>
      <c r="AK1521" s="122"/>
      <c r="AL1521" s="122"/>
      <c r="AM1521" s="122"/>
      <c r="AN1521" s="122"/>
      <c r="AO1521" s="122"/>
      <c r="AP1521" s="122"/>
    </row>
    <row r="1522" spans="2:42">
      <c r="B1522" s="122"/>
      <c r="C1522" s="122"/>
      <c r="D1522" s="122"/>
      <c r="E1522" s="122"/>
      <c r="F1522" s="122"/>
      <c r="G1522" s="122"/>
      <c r="H1522" s="122"/>
      <c r="I1522" s="275"/>
      <c r="J1522" s="130"/>
      <c r="K1522" s="130"/>
      <c r="L1522" s="130"/>
      <c r="M1522" s="130"/>
      <c r="N1522" s="291"/>
      <c r="O1522" s="291"/>
      <c r="P1522" s="122"/>
      <c r="Q1522" s="122"/>
      <c r="R1522" s="122"/>
      <c r="S1522" s="122"/>
      <c r="T1522" s="122"/>
      <c r="U1522" s="301"/>
      <c r="V1522" s="260">
        <f t="shared" ca="1" si="31"/>
        <v>0</v>
      </c>
      <c r="W1522" s="348" t="str">
        <f>IF(板块成分!B1524="","",板块成分!B1524)</f>
        <v>300030.SZ</v>
      </c>
      <c r="X1522" s="276" t="str">
        <f>[1]!S_Info_Name(W1522)</f>
        <v>阳普医疗</v>
      </c>
      <c r="Y1522" s="276" t="str">
        <f ca="1">IF($Y$3="申万一级行业",[1]!s_info_industry_sw_2021(W1522,公司分析!D$5,1),IF($Y$3="申万二级行业",[1]!s_info_industry_sw_2021(W1522,公司分析!D$5,2),IF($Y$3="申万三级行业",[1]!s_info_industry_sw_2021(W1522,公司分析!D$5,3),IF($Y$3="wind一级行业",[1]!s_info_industry_gics(W1522,1),IF($Y$3="wind二级行业",[1]!s_info_industry_gics(W1522,2),IF($Y$3="wind三级行业",[1]!s_info_industry_gics(W1522,3),IF($Y$3="wind四级行业",[1]!s_info_industry_gics(W1522,4),IF($Y$3="证监会门类行业",[1]!s_info_industry_csrc12_n(W1522,公司分析!D$5,1),""))))))))</f>
        <v>医疗器械</v>
      </c>
      <c r="Z1522" s="302" t="str">
        <f ca="1">IF(Y1522=行业比较!$E$6,ROW(),"")</f>
        <v/>
      </c>
      <c r="AA1522" s="122"/>
      <c r="AB1522" s="122"/>
      <c r="AC1522" s="122"/>
      <c r="AD1522" s="122"/>
      <c r="AE1522" s="122"/>
      <c r="AF1522" s="122"/>
      <c r="AG1522" s="122"/>
      <c r="AH1522" s="122"/>
      <c r="AI1522" s="122"/>
      <c r="AJ1522" s="122"/>
      <c r="AK1522" s="122"/>
      <c r="AL1522" s="122"/>
      <c r="AM1522" s="122"/>
      <c r="AN1522" s="122"/>
      <c r="AO1522" s="122"/>
      <c r="AP1522" s="122"/>
    </row>
    <row r="1523" spans="2:42">
      <c r="B1523" s="122"/>
      <c r="C1523" s="122"/>
      <c r="D1523" s="122"/>
      <c r="E1523" s="122"/>
      <c r="F1523" s="122"/>
      <c r="G1523" s="122"/>
      <c r="H1523" s="122"/>
      <c r="I1523" s="275"/>
      <c r="J1523" s="130"/>
      <c r="K1523" s="130"/>
      <c r="L1523" s="130"/>
      <c r="M1523" s="130"/>
      <c r="N1523" s="291"/>
      <c r="O1523" s="291"/>
      <c r="P1523" s="122"/>
      <c r="Q1523" s="122"/>
      <c r="R1523" s="122"/>
      <c r="S1523" s="122"/>
      <c r="T1523" s="122"/>
      <c r="U1523" s="301"/>
      <c r="V1523" s="260">
        <f t="shared" ca="1" si="31"/>
        <v>0</v>
      </c>
      <c r="W1523" s="348" t="str">
        <f>IF(板块成分!B1525="","",板块成分!B1525)</f>
        <v>300031.SZ</v>
      </c>
      <c r="X1523" s="276" t="str">
        <f>[1]!S_Info_Name(W1523)</f>
        <v>宝通科技</v>
      </c>
      <c r="Y1523" s="276" t="str">
        <f ca="1">IF($Y$3="申万一级行业",[1]!s_info_industry_sw_2021(W1523,公司分析!D$5,1),IF($Y$3="申万二级行业",[1]!s_info_industry_sw_2021(W1523,公司分析!D$5,2),IF($Y$3="申万三级行业",[1]!s_info_industry_sw_2021(W1523,公司分析!D$5,3),IF($Y$3="wind一级行业",[1]!s_info_industry_gics(W1523,1),IF($Y$3="wind二级行业",[1]!s_info_industry_gics(W1523,2),IF($Y$3="wind三级行业",[1]!s_info_industry_gics(W1523,3),IF($Y$3="wind四级行业",[1]!s_info_industry_gics(W1523,4),IF($Y$3="证监会门类行业",[1]!s_info_industry_csrc12_n(W1523,公司分析!D$5,1),""))))))))</f>
        <v>游戏Ⅱ</v>
      </c>
      <c r="Z1523" s="302" t="str">
        <f ca="1">IF(Y1523=行业比较!$E$6,ROW(),"")</f>
        <v/>
      </c>
      <c r="AA1523" s="122"/>
      <c r="AB1523" s="122"/>
      <c r="AC1523" s="122"/>
      <c r="AD1523" s="122"/>
      <c r="AE1523" s="122"/>
      <c r="AF1523" s="122"/>
      <c r="AG1523" s="122"/>
      <c r="AH1523" s="122"/>
      <c r="AI1523" s="122"/>
      <c r="AJ1523" s="122"/>
      <c r="AK1523" s="122"/>
      <c r="AL1523" s="122"/>
      <c r="AM1523" s="122"/>
      <c r="AN1523" s="122"/>
      <c r="AO1523" s="122"/>
      <c r="AP1523" s="122"/>
    </row>
    <row r="1524" spans="2:42">
      <c r="B1524" s="122"/>
      <c r="C1524" s="122"/>
      <c r="D1524" s="122"/>
      <c r="E1524" s="122"/>
      <c r="F1524" s="122"/>
      <c r="G1524" s="122"/>
      <c r="H1524" s="122"/>
      <c r="I1524" s="275"/>
      <c r="J1524" s="130"/>
      <c r="K1524" s="130"/>
      <c r="L1524" s="130"/>
      <c r="M1524" s="130"/>
      <c r="N1524" s="291"/>
      <c r="O1524" s="291"/>
      <c r="P1524" s="122"/>
      <c r="Q1524" s="122"/>
      <c r="R1524" s="122"/>
      <c r="S1524" s="122"/>
      <c r="T1524" s="122"/>
      <c r="U1524" s="301"/>
      <c r="V1524" s="260">
        <f t="shared" ca="1" si="31"/>
        <v>0</v>
      </c>
      <c r="W1524" s="348" t="str">
        <f>IF(板块成分!B1526="","",板块成分!B1526)</f>
        <v>300032.SZ</v>
      </c>
      <c r="X1524" s="276" t="str">
        <f>[1]!S_Info_Name(W1524)</f>
        <v>金龙机电</v>
      </c>
      <c r="Y1524" s="276" t="str">
        <f ca="1">IF($Y$3="申万一级行业",[1]!s_info_industry_sw_2021(W1524,公司分析!D$5,1),IF($Y$3="申万二级行业",[1]!s_info_industry_sw_2021(W1524,公司分析!D$5,2),IF($Y$3="申万三级行业",[1]!s_info_industry_sw_2021(W1524,公司分析!D$5,3),IF($Y$3="wind一级行业",[1]!s_info_industry_gics(W1524,1),IF($Y$3="wind二级行业",[1]!s_info_industry_gics(W1524,2),IF($Y$3="wind三级行业",[1]!s_info_industry_gics(W1524,3),IF($Y$3="wind四级行业",[1]!s_info_industry_gics(W1524,4),IF($Y$3="证监会门类行业",[1]!s_info_industry_csrc12_n(W1524,公司分析!D$5,1),""))))))))</f>
        <v>消费电子</v>
      </c>
      <c r="Z1524" s="302" t="str">
        <f ca="1">IF(Y1524=行业比较!$E$6,ROW(),"")</f>
        <v/>
      </c>
      <c r="AA1524" s="122"/>
      <c r="AB1524" s="122"/>
      <c r="AC1524" s="122"/>
      <c r="AD1524" s="122"/>
      <c r="AE1524" s="122"/>
      <c r="AF1524" s="122"/>
      <c r="AG1524" s="122"/>
      <c r="AH1524" s="122"/>
      <c r="AI1524" s="122"/>
      <c r="AJ1524" s="122"/>
      <c r="AK1524" s="122"/>
      <c r="AL1524" s="122"/>
      <c r="AM1524" s="122"/>
      <c r="AN1524" s="122"/>
      <c r="AO1524" s="122"/>
      <c r="AP1524" s="122"/>
    </row>
    <row r="1525" spans="2:42">
      <c r="B1525" s="122"/>
      <c r="C1525" s="122"/>
      <c r="D1525" s="122"/>
      <c r="E1525" s="122"/>
      <c r="F1525" s="122"/>
      <c r="G1525" s="122"/>
      <c r="H1525" s="122"/>
      <c r="I1525" s="275"/>
      <c r="J1525" s="130"/>
      <c r="K1525" s="130"/>
      <c r="L1525" s="130"/>
      <c r="M1525" s="130"/>
      <c r="N1525" s="291"/>
      <c r="O1525" s="291"/>
      <c r="P1525" s="122"/>
      <c r="Q1525" s="122"/>
      <c r="R1525" s="122"/>
      <c r="S1525" s="122"/>
      <c r="T1525" s="122"/>
      <c r="U1525" s="301"/>
      <c r="V1525" s="260">
        <f t="shared" ca="1" si="31"/>
        <v>0</v>
      </c>
      <c r="W1525" s="348" t="str">
        <f>IF(板块成分!B1527="","",板块成分!B1527)</f>
        <v>300033.SZ</v>
      </c>
      <c r="X1525" s="276" t="str">
        <f>[1]!S_Info_Name(W1525)</f>
        <v>同花顺</v>
      </c>
      <c r="Y1525" s="276" t="str">
        <f ca="1">IF($Y$3="申万一级行业",[1]!s_info_industry_sw_2021(W1525,公司分析!D$5,1),IF($Y$3="申万二级行业",[1]!s_info_industry_sw_2021(W1525,公司分析!D$5,2),IF($Y$3="申万三级行业",[1]!s_info_industry_sw_2021(W1525,公司分析!D$5,3),IF($Y$3="wind一级行业",[1]!s_info_industry_gics(W1525,1),IF($Y$3="wind二级行业",[1]!s_info_industry_gics(W1525,2),IF($Y$3="wind三级行业",[1]!s_info_industry_gics(W1525,3),IF($Y$3="wind四级行业",[1]!s_info_industry_gics(W1525,4),IF($Y$3="证监会门类行业",[1]!s_info_industry_csrc12_n(W1525,公司分析!D$5,1),""))))))))</f>
        <v>软件开发</v>
      </c>
      <c r="Z1525" s="302" t="str">
        <f ca="1">IF(Y1525=行业比较!$E$6,ROW(),"")</f>
        <v/>
      </c>
      <c r="AA1525" s="122"/>
      <c r="AB1525" s="122"/>
      <c r="AC1525" s="122"/>
      <c r="AD1525" s="122"/>
      <c r="AE1525" s="122"/>
      <c r="AF1525" s="122"/>
      <c r="AG1525" s="122"/>
      <c r="AH1525" s="122"/>
      <c r="AI1525" s="122"/>
      <c r="AJ1525" s="122"/>
      <c r="AK1525" s="122"/>
      <c r="AL1525" s="122"/>
      <c r="AM1525" s="122"/>
      <c r="AN1525" s="122"/>
      <c r="AO1525" s="122"/>
      <c r="AP1525" s="122"/>
    </row>
    <row r="1526" spans="2:42">
      <c r="B1526" s="122"/>
      <c r="C1526" s="122"/>
      <c r="D1526" s="122"/>
      <c r="E1526" s="122"/>
      <c r="F1526" s="122"/>
      <c r="G1526" s="122"/>
      <c r="H1526" s="122"/>
      <c r="I1526" s="275"/>
      <c r="J1526" s="130"/>
      <c r="K1526" s="130"/>
      <c r="L1526" s="130"/>
      <c r="M1526" s="130"/>
      <c r="N1526" s="291"/>
      <c r="O1526" s="291"/>
      <c r="P1526" s="122"/>
      <c r="Q1526" s="122"/>
      <c r="R1526" s="122"/>
      <c r="S1526" s="122"/>
      <c r="T1526" s="122"/>
      <c r="U1526" s="301"/>
      <c r="V1526" s="260">
        <f t="shared" ca="1" si="31"/>
        <v>0</v>
      </c>
      <c r="W1526" s="348" t="str">
        <f>IF(板块成分!B1528="","",板块成分!B1528)</f>
        <v>300034.SZ</v>
      </c>
      <c r="X1526" s="276" t="str">
        <f>[1]!S_Info_Name(W1526)</f>
        <v>钢研高纳</v>
      </c>
      <c r="Y1526" s="276" t="str">
        <f ca="1">IF($Y$3="申万一级行业",[1]!s_info_industry_sw_2021(W1526,公司分析!D$5,1),IF($Y$3="申万二级行业",[1]!s_info_industry_sw_2021(W1526,公司分析!D$5,2),IF($Y$3="申万三级行业",[1]!s_info_industry_sw_2021(W1526,公司分析!D$5,3),IF($Y$3="wind一级行业",[1]!s_info_industry_gics(W1526,1),IF($Y$3="wind二级行业",[1]!s_info_industry_gics(W1526,2),IF($Y$3="wind三级行业",[1]!s_info_industry_gics(W1526,3),IF($Y$3="wind四级行业",[1]!s_info_industry_gics(W1526,4),IF($Y$3="证监会门类行业",[1]!s_info_industry_csrc12_n(W1526,公司分析!D$5,1),""))))))))</f>
        <v>航空装备Ⅱ</v>
      </c>
      <c r="Z1526" s="302" t="str">
        <f ca="1">IF(Y1526=行业比较!$E$6,ROW(),"")</f>
        <v/>
      </c>
      <c r="AA1526" s="122"/>
      <c r="AB1526" s="122"/>
      <c r="AC1526" s="122"/>
      <c r="AD1526" s="122"/>
      <c r="AE1526" s="122"/>
      <c r="AF1526" s="122"/>
      <c r="AG1526" s="122"/>
      <c r="AH1526" s="122"/>
      <c r="AI1526" s="122"/>
      <c r="AJ1526" s="122"/>
      <c r="AK1526" s="122"/>
      <c r="AL1526" s="122"/>
      <c r="AM1526" s="122"/>
      <c r="AN1526" s="122"/>
      <c r="AO1526" s="122"/>
      <c r="AP1526" s="122"/>
    </row>
    <row r="1527" spans="2:42">
      <c r="B1527" s="122"/>
      <c r="C1527" s="122"/>
      <c r="D1527" s="122"/>
      <c r="E1527" s="122"/>
      <c r="F1527" s="122"/>
      <c r="G1527" s="122"/>
      <c r="H1527" s="122"/>
      <c r="I1527" s="275"/>
      <c r="J1527" s="130"/>
      <c r="K1527" s="130"/>
      <c r="L1527" s="130"/>
      <c r="M1527" s="130"/>
      <c r="N1527" s="291"/>
      <c r="O1527" s="291"/>
      <c r="P1527" s="122"/>
      <c r="Q1527" s="122"/>
      <c r="R1527" s="122"/>
      <c r="S1527" s="122"/>
      <c r="T1527" s="122"/>
      <c r="U1527" s="301"/>
      <c r="V1527" s="260">
        <f t="shared" ca="1" si="31"/>
        <v>0</v>
      </c>
      <c r="W1527" s="348" t="str">
        <f>IF(板块成分!B1529="","",板块成分!B1529)</f>
        <v>300035.SZ</v>
      </c>
      <c r="X1527" s="276" t="str">
        <f>[1]!S_Info_Name(W1527)</f>
        <v>中科电气</v>
      </c>
      <c r="Y1527" s="276" t="str">
        <f ca="1">IF($Y$3="申万一级行业",[1]!s_info_industry_sw_2021(W1527,公司分析!D$5,1),IF($Y$3="申万二级行业",[1]!s_info_industry_sw_2021(W1527,公司分析!D$5,2),IF($Y$3="申万三级行业",[1]!s_info_industry_sw_2021(W1527,公司分析!D$5,3),IF($Y$3="wind一级行业",[1]!s_info_industry_gics(W1527,1),IF($Y$3="wind二级行业",[1]!s_info_industry_gics(W1527,2),IF($Y$3="wind三级行业",[1]!s_info_industry_gics(W1527,3),IF($Y$3="wind四级行业",[1]!s_info_industry_gics(W1527,4),IF($Y$3="证监会门类行业",[1]!s_info_industry_csrc12_n(W1527,公司分析!D$5,1),""))))))))</f>
        <v>电池</v>
      </c>
      <c r="Z1527" s="302" t="str">
        <f ca="1">IF(Y1527=行业比较!$E$6,ROW(),"")</f>
        <v/>
      </c>
      <c r="AA1527" s="122"/>
      <c r="AB1527" s="122"/>
      <c r="AC1527" s="122"/>
      <c r="AD1527" s="122"/>
      <c r="AE1527" s="122"/>
      <c r="AF1527" s="122"/>
      <c r="AG1527" s="122"/>
      <c r="AH1527" s="122"/>
      <c r="AI1527" s="122"/>
      <c r="AJ1527" s="122"/>
      <c r="AK1527" s="122"/>
      <c r="AL1527" s="122"/>
      <c r="AM1527" s="122"/>
      <c r="AN1527" s="122"/>
      <c r="AO1527" s="122"/>
      <c r="AP1527" s="122"/>
    </row>
    <row r="1528" spans="2:42">
      <c r="B1528" s="122"/>
      <c r="C1528" s="122"/>
      <c r="D1528" s="122"/>
      <c r="E1528" s="122"/>
      <c r="F1528" s="122"/>
      <c r="G1528" s="122"/>
      <c r="H1528" s="122"/>
      <c r="I1528" s="275"/>
      <c r="J1528" s="130"/>
      <c r="K1528" s="130"/>
      <c r="L1528" s="130"/>
      <c r="M1528" s="130"/>
      <c r="N1528" s="291"/>
      <c r="O1528" s="291"/>
      <c r="P1528" s="122"/>
      <c r="Q1528" s="122"/>
      <c r="R1528" s="122"/>
      <c r="S1528" s="122"/>
      <c r="T1528" s="122"/>
      <c r="U1528" s="301"/>
      <c r="V1528" s="260">
        <f t="shared" ca="1" si="31"/>
        <v>0</v>
      </c>
      <c r="W1528" s="348" t="str">
        <f>IF(板块成分!B1530="","",板块成分!B1530)</f>
        <v>300036.SZ</v>
      </c>
      <c r="X1528" s="276" t="str">
        <f>[1]!S_Info_Name(W1528)</f>
        <v>超图软件</v>
      </c>
      <c r="Y1528" s="276" t="str">
        <f ca="1">IF($Y$3="申万一级行业",[1]!s_info_industry_sw_2021(W1528,公司分析!D$5,1),IF($Y$3="申万二级行业",[1]!s_info_industry_sw_2021(W1528,公司分析!D$5,2),IF($Y$3="申万三级行业",[1]!s_info_industry_sw_2021(W1528,公司分析!D$5,3),IF($Y$3="wind一级行业",[1]!s_info_industry_gics(W1528,1),IF($Y$3="wind二级行业",[1]!s_info_industry_gics(W1528,2),IF($Y$3="wind三级行业",[1]!s_info_industry_gics(W1528,3),IF($Y$3="wind四级行业",[1]!s_info_industry_gics(W1528,4),IF($Y$3="证监会门类行业",[1]!s_info_industry_csrc12_n(W1528,公司分析!D$5,1),""))))))))</f>
        <v>软件开发</v>
      </c>
      <c r="Z1528" s="302" t="str">
        <f ca="1">IF(Y1528=行业比较!$E$6,ROW(),"")</f>
        <v/>
      </c>
      <c r="AA1528" s="122"/>
      <c r="AB1528" s="122"/>
      <c r="AC1528" s="122"/>
      <c r="AD1528" s="122"/>
      <c r="AE1528" s="122"/>
      <c r="AF1528" s="122"/>
      <c r="AG1528" s="122"/>
      <c r="AH1528" s="122"/>
      <c r="AI1528" s="122"/>
      <c r="AJ1528" s="122"/>
      <c r="AK1528" s="122"/>
      <c r="AL1528" s="122"/>
      <c r="AM1528" s="122"/>
      <c r="AN1528" s="122"/>
      <c r="AO1528" s="122"/>
      <c r="AP1528" s="122"/>
    </row>
    <row r="1529" spans="2:42">
      <c r="B1529" s="122"/>
      <c r="C1529" s="122"/>
      <c r="D1529" s="122"/>
      <c r="E1529" s="122"/>
      <c r="F1529" s="122"/>
      <c r="G1529" s="122"/>
      <c r="H1529" s="122"/>
      <c r="I1529" s="275"/>
      <c r="J1529" s="130"/>
      <c r="K1529" s="130"/>
      <c r="L1529" s="130"/>
      <c r="M1529" s="130"/>
      <c r="N1529" s="291"/>
      <c r="O1529" s="291"/>
      <c r="P1529" s="122"/>
      <c r="Q1529" s="122"/>
      <c r="R1529" s="122"/>
      <c r="S1529" s="122"/>
      <c r="T1529" s="122"/>
      <c r="U1529" s="301"/>
      <c r="V1529" s="260">
        <f t="shared" ca="1" si="31"/>
        <v>0</v>
      </c>
      <c r="W1529" s="348" t="str">
        <f>IF(板块成分!B1531="","",板块成分!B1531)</f>
        <v>300037.SZ</v>
      </c>
      <c r="X1529" s="276" t="str">
        <f>[1]!S_Info_Name(W1529)</f>
        <v>新宙邦</v>
      </c>
      <c r="Y1529" s="276" t="str">
        <f ca="1">IF($Y$3="申万一级行业",[1]!s_info_industry_sw_2021(W1529,公司分析!D$5,1),IF($Y$3="申万二级行业",[1]!s_info_industry_sw_2021(W1529,公司分析!D$5,2),IF($Y$3="申万三级行业",[1]!s_info_industry_sw_2021(W1529,公司分析!D$5,3),IF($Y$3="wind一级行业",[1]!s_info_industry_gics(W1529,1),IF($Y$3="wind二级行业",[1]!s_info_industry_gics(W1529,2),IF($Y$3="wind三级行业",[1]!s_info_industry_gics(W1529,3),IF($Y$3="wind四级行业",[1]!s_info_industry_gics(W1529,4),IF($Y$3="证监会门类行业",[1]!s_info_industry_csrc12_n(W1529,公司分析!D$5,1),""))))))))</f>
        <v>电池</v>
      </c>
      <c r="Z1529" s="302" t="str">
        <f ca="1">IF(Y1529=行业比较!$E$6,ROW(),"")</f>
        <v/>
      </c>
      <c r="AA1529" s="122"/>
      <c r="AB1529" s="122"/>
      <c r="AC1529" s="122"/>
      <c r="AD1529" s="122"/>
      <c r="AE1529" s="122"/>
      <c r="AF1529" s="122"/>
      <c r="AG1529" s="122"/>
      <c r="AH1529" s="122"/>
      <c r="AI1529" s="122"/>
      <c r="AJ1529" s="122"/>
      <c r="AK1529" s="122"/>
      <c r="AL1529" s="122"/>
      <c r="AM1529" s="122"/>
      <c r="AN1529" s="122"/>
      <c r="AO1529" s="122"/>
      <c r="AP1529" s="122"/>
    </row>
    <row r="1530" spans="2:42">
      <c r="B1530" s="122"/>
      <c r="C1530" s="122"/>
      <c r="D1530" s="122"/>
      <c r="E1530" s="122"/>
      <c r="F1530" s="122"/>
      <c r="G1530" s="122"/>
      <c r="H1530" s="122"/>
      <c r="I1530" s="275"/>
      <c r="J1530" s="130"/>
      <c r="K1530" s="130"/>
      <c r="L1530" s="130"/>
      <c r="M1530" s="130"/>
      <c r="N1530" s="291"/>
      <c r="O1530" s="291"/>
      <c r="P1530" s="122"/>
      <c r="Q1530" s="122"/>
      <c r="R1530" s="122"/>
      <c r="S1530" s="122"/>
      <c r="T1530" s="122"/>
      <c r="U1530" s="301"/>
      <c r="V1530" s="260">
        <f t="shared" ca="1" si="31"/>
        <v>0</v>
      </c>
      <c r="W1530" s="348" t="str">
        <f>IF(板块成分!B1532="","",板块成分!B1532)</f>
        <v>300039.SZ</v>
      </c>
      <c r="X1530" s="276" t="str">
        <f>[1]!S_Info_Name(W1530)</f>
        <v>上海凯宝</v>
      </c>
      <c r="Y1530" s="276" t="str">
        <f ca="1">IF($Y$3="申万一级行业",[1]!s_info_industry_sw_2021(W1530,公司分析!D$5,1),IF($Y$3="申万二级行业",[1]!s_info_industry_sw_2021(W1530,公司分析!D$5,2),IF($Y$3="申万三级行业",[1]!s_info_industry_sw_2021(W1530,公司分析!D$5,3),IF($Y$3="wind一级行业",[1]!s_info_industry_gics(W1530,1),IF($Y$3="wind二级行业",[1]!s_info_industry_gics(W1530,2),IF($Y$3="wind三级行业",[1]!s_info_industry_gics(W1530,3),IF($Y$3="wind四级行业",[1]!s_info_industry_gics(W1530,4),IF($Y$3="证监会门类行业",[1]!s_info_industry_csrc12_n(W1530,公司分析!D$5,1),""))))))))</f>
        <v>中药Ⅱ</v>
      </c>
      <c r="Z1530" s="302" t="str">
        <f ca="1">IF(Y1530=行业比较!$E$6,ROW(),"")</f>
        <v/>
      </c>
      <c r="AA1530" s="122"/>
      <c r="AB1530" s="122"/>
      <c r="AC1530" s="122"/>
      <c r="AD1530" s="122"/>
      <c r="AE1530" s="122"/>
      <c r="AF1530" s="122"/>
      <c r="AG1530" s="122"/>
      <c r="AH1530" s="122"/>
      <c r="AI1530" s="122"/>
      <c r="AJ1530" s="122"/>
      <c r="AK1530" s="122"/>
      <c r="AL1530" s="122"/>
      <c r="AM1530" s="122"/>
      <c r="AN1530" s="122"/>
      <c r="AO1530" s="122"/>
      <c r="AP1530" s="122"/>
    </row>
    <row r="1531" spans="2:42">
      <c r="B1531" s="122"/>
      <c r="C1531" s="122"/>
      <c r="D1531" s="122"/>
      <c r="E1531" s="122"/>
      <c r="F1531" s="122"/>
      <c r="G1531" s="122"/>
      <c r="H1531" s="122"/>
      <c r="I1531" s="275"/>
      <c r="J1531" s="130"/>
      <c r="K1531" s="130"/>
      <c r="L1531" s="130"/>
      <c r="M1531" s="130"/>
      <c r="N1531" s="291"/>
      <c r="O1531" s="291"/>
      <c r="P1531" s="122"/>
      <c r="Q1531" s="122"/>
      <c r="R1531" s="122"/>
      <c r="S1531" s="122"/>
      <c r="T1531" s="122"/>
      <c r="U1531" s="301"/>
      <c r="V1531" s="260">
        <f t="shared" ca="1" si="31"/>
        <v>0</v>
      </c>
      <c r="W1531" s="348" t="str">
        <f>IF(板块成分!B1533="","",板块成分!B1533)</f>
        <v>300040.SZ</v>
      </c>
      <c r="X1531" s="276" t="str">
        <f>[1]!S_Info_Name(W1531)</f>
        <v>九洲集团</v>
      </c>
      <c r="Y1531" s="276" t="str">
        <f ca="1">IF($Y$3="申万一级行业",[1]!s_info_industry_sw_2021(W1531,公司分析!D$5,1),IF($Y$3="申万二级行业",[1]!s_info_industry_sw_2021(W1531,公司分析!D$5,2),IF($Y$3="申万三级行业",[1]!s_info_industry_sw_2021(W1531,公司分析!D$5,3),IF($Y$3="wind一级行业",[1]!s_info_industry_gics(W1531,1),IF($Y$3="wind二级行业",[1]!s_info_industry_gics(W1531,2),IF($Y$3="wind三级行业",[1]!s_info_industry_gics(W1531,3),IF($Y$3="wind四级行业",[1]!s_info_industry_gics(W1531,4),IF($Y$3="证监会门类行业",[1]!s_info_industry_csrc12_n(W1531,公司分析!D$5,1),""))))))))</f>
        <v>电力</v>
      </c>
      <c r="Z1531" s="302" t="str">
        <f ca="1">IF(Y1531=行业比较!$E$6,ROW(),"")</f>
        <v/>
      </c>
      <c r="AA1531" s="122"/>
      <c r="AB1531" s="122"/>
      <c r="AC1531" s="122"/>
      <c r="AD1531" s="122"/>
      <c r="AE1531" s="122"/>
      <c r="AF1531" s="122"/>
      <c r="AG1531" s="122"/>
      <c r="AH1531" s="122"/>
      <c r="AI1531" s="122"/>
      <c r="AJ1531" s="122"/>
      <c r="AK1531" s="122"/>
      <c r="AL1531" s="122"/>
      <c r="AM1531" s="122"/>
      <c r="AN1531" s="122"/>
      <c r="AO1531" s="122"/>
      <c r="AP1531" s="122"/>
    </row>
    <row r="1532" spans="2:42">
      <c r="B1532" s="122"/>
      <c r="C1532" s="122"/>
      <c r="D1532" s="122"/>
      <c r="E1532" s="122"/>
      <c r="F1532" s="122"/>
      <c r="G1532" s="122"/>
      <c r="H1532" s="122"/>
      <c r="I1532" s="275"/>
      <c r="J1532" s="130"/>
      <c r="K1532" s="130"/>
      <c r="L1532" s="130"/>
      <c r="M1532" s="130"/>
      <c r="N1532" s="291"/>
      <c r="O1532" s="291"/>
      <c r="P1532" s="122"/>
      <c r="Q1532" s="122"/>
      <c r="R1532" s="122"/>
      <c r="S1532" s="122"/>
      <c r="T1532" s="122"/>
      <c r="U1532" s="301"/>
      <c r="V1532" s="260">
        <f t="shared" ca="1" si="31"/>
        <v>0</v>
      </c>
      <c r="W1532" s="348" t="str">
        <f>IF(板块成分!B1534="","",板块成分!B1534)</f>
        <v>300041.SZ</v>
      </c>
      <c r="X1532" s="276" t="str">
        <f>[1]!S_Info_Name(W1532)</f>
        <v>回天新材</v>
      </c>
      <c r="Y1532" s="276" t="str">
        <f ca="1">IF($Y$3="申万一级行业",[1]!s_info_industry_sw_2021(W1532,公司分析!D$5,1),IF($Y$3="申万二级行业",[1]!s_info_industry_sw_2021(W1532,公司分析!D$5,2),IF($Y$3="申万三级行业",[1]!s_info_industry_sw_2021(W1532,公司分析!D$5,3),IF($Y$3="wind一级行业",[1]!s_info_industry_gics(W1532,1),IF($Y$3="wind二级行业",[1]!s_info_industry_gics(W1532,2),IF($Y$3="wind三级行业",[1]!s_info_industry_gics(W1532,3),IF($Y$3="wind四级行业",[1]!s_info_industry_gics(W1532,4),IF($Y$3="证监会门类行业",[1]!s_info_industry_csrc12_n(W1532,公司分析!D$5,1),""))))))))</f>
        <v>化学制品</v>
      </c>
      <c r="Z1532" s="302" t="str">
        <f ca="1">IF(Y1532=行业比较!$E$6,ROW(),"")</f>
        <v/>
      </c>
      <c r="AA1532" s="122"/>
      <c r="AB1532" s="122"/>
      <c r="AC1532" s="122"/>
      <c r="AD1532" s="122"/>
      <c r="AE1532" s="122"/>
      <c r="AF1532" s="122"/>
      <c r="AG1532" s="122"/>
      <c r="AH1532" s="122"/>
      <c r="AI1532" s="122"/>
      <c r="AJ1532" s="122"/>
      <c r="AK1532" s="122"/>
      <c r="AL1532" s="122"/>
      <c r="AM1532" s="122"/>
      <c r="AN1532" s="122"/>
      <c r="AO1532" s="122"/>
      <c r="AP1532" s="122"/>
    </row>
    <row r="1533" spans="2:42">
      <c r="B1533" s="122"/>
      <c r="C1533" s="122"/>
      <c r="D1533" s="122"/>
      <c r="E1533" s="122"/>
      <c r="F1533" s="122"/>
      <c r="G1533" s="122"/>
      <c r="H1533" s="122"/>
      <c r="I1533" s="275"/>
      <c r="J1533" s="130"/>
      <c r="K1533" s="130"/>
      <c r="L1533" s="130"/>
      <c r="M1533" s="130"/>
      <c r="N1533" s="291"/>
      <c r="O1533" s="291"/>
      <c r="P1533" s="122"/>
      <c r="Q1533" s="122"/>
      <c r="R1533" s="122"/>
      <c r="S1533" s="122"/>
      <c r="T1533" s="122"/>
      <c r="U1533" s="301"/>
      <c r="V1533" s="260">
        <f t="shared" ca="1" si="31"/>
        <v>0</v>
      </c>
      <c r="W1533" s="348" t="str">
        <f>IF(板块成分!B1535="","",板块成分!B1535)</f>
        <v>300042.SZ</v>
      </c>
      <c r="X1533" s="276" t="str">
        <f>[1]!S_Info_Name(W1533)</f>
        <v>朗科科技</v>
      </c>
      <c r="Y1533" s="276" t="str">
        <f ca="1">IF($Y$3="申万一级行业",[1]!s_info_industry_sw_2021(W1533,公司分析!D$5,1),IF($Y$3="申万二级行业",[1]!s_info_industry_sw_2021(W1533,公司分析!D$5,2),IF($Y$3="申万三级行业",[1]!s_info_industry_sw_2021(W1533,公司分析!D$5,3),IF($Y$3="wind一级行业",[1]!s_info_industry_gics(W1533,1),IF($Y$3="wind二级行业",[1]!s_info_industry_gics(W1533,2),IF($Y$3="wind三级行业",[1]!s_info_industry_gics(W1533,3),IF($Y$3="wind四级行业",[1]!s_info_industry_gics(W1533,4),IF($Y$3="证监会门类行业",[1]!s_info_industry_csrc12_n(W1533,公司分析!D$5,1),""))))))))</f>
        <v>计算机设备</v>
      </c>
      <c r="Z1533" s="302" t="str">
        <f ca="1">IF(Y1533=行业比较!$E$6,ROW(),"")</f>
        <v/>
      </c>
      <c r="AA1533" s="122"/>
      <c r="AB1533" s="122"/>
      <c r="AC1533" s="122"/>
      <c r="AD1533" s="122"/>
      <c r="AE1533" s="122"/>
      <c r="AF1533" s="122"/>
      <c r="AG1533" s="122"/>
      <c r="AH1533" s="122"/>
      <c r="AI1533" s="122"/>
      <c r="AJ1533" s="122"/>
      <c r="AK1533" s="122"/>
      <c r="AL1533" s="122"/>
      <c r="AM1533" s="122"/>
      <c r="AN1533" s="122"/>
      <c r="AO1533" s="122"/>
      <c r="AP1533" s="122"/>
    </row>
    <row r="1534" spans="2:42">
      <c r="B1534" s="122"/>
      <c r="C1534" s="122"/>
      <c r="D1534" s="122"/>
      <c r="E1534" s="122"/>
      <c r="F1534" s="122"/>
      <c r="G1534" s="122"/>
      <c r="H1534" s="122"/>
      <c r="I1534" s="275"/>
      <c r="J1534" s="130"/>
      <c r="K1534" s="130"/>
      <c r="L1534" s="130"/>
      <c r="M1534" s="130"/>
      <c r="N1534" s="291"/>
      <c r="O1534" s="291"/>
      <c r="P1534" s="122"/>
      <c r="Q1534" s="122"/>
      <c r="R1534" s="122"/>
      <c r="S1534" s="122"/>
      <c r="T1534" s="122"/>
      <c r="U1534" s="301"/>
      <c r="V1534" s="260">
        <f t="shared" ca="1" si="31"/>
        <v>0</v>
      </c>
      <c r="W1534" s="348" t="str">
        <f>IF(板块成分!B1536="","",板块成分!B1536)</f>
        <v>300043.SZ</v>
      </c>
      <c r="X1534" s="276" t="str">
        <f>[1]!S_Info_Name(W1534)</f>
        <v>星辉娱乐</v>
      </c>
      <c r="Y1534" s="276" t="str">
        <f ca="1">IF($Y$3="申万一级行业",[1]!s_info_industry_sw_2021(W1534,公司分析!D$5,1),IF($Y$3="申万二级行业",[1]!s_info_industry_sw_2021(W1534,公司分析!D$5,2),IF($Y$3="申万三级行业",[1]!s_info_industry_sw_2021(W1534,公司分析!D$5,3),IF($Y$3="wind一级行业",[1]!s_info_industry_gics(W1534,1),IF($Y$3="wind二级行业",[1]!s_info_industry_gics(W1534,2),IF($Y$3="wind三级行业",[1]!s_info_industry_gics(W1534,3),IF($Y$3="wind四级行业",[1]!s_info_industry_gics(W1534,4),IF($Y$3="证监会门类行业",[1]!s_info_industry_csrc12_n(W1534,公司分析!D$5,1),""))))))))</f>
        <v>游戏Ⅱ</v>
      </c>
      <c r="Z1534" s="302" t="str">
        <f ca="1">IF(Y1534=行业比较!$E$6,ROW(),"")</f>
        <v/>
      </c>
      <c r="AA1534" s="122"/>
      <c r="AB1534" s="122"/>
      <c r="AC1534" s="122"/>
      <c r="AD1534" s="122"/>
      <c r="AE1534" s="122"/>
      <c r="AF1534" s="122"/>
      <c r="AG1534" s="122"/>
      <c r="AH1534" s="122"/>
      <c r="AI1534" s="122"/>
      <c r="AJ1534" s="122"/>
      <c r="AK1534" s="122"/>
      <c r="AL1534" s="122"/>
      <c r="AM1534" s="122"/>
      <c r="AN1534" s="122"/>
      <c r="AO1534" s="122"/>
      <c r="AP1534" s="122"/>
    </row>
    <row r="1535" spans="2:42">
      <c r="B1535" s="122"/>
      <c r="C1535" s="122"/>
      <c r="D1535" s="122"/>
      <c r="E1535" s="122"/>
      <c r="F1535" s="122"/>
      <c r="G1535" s="122"/>
      <c r="H1535" s="122"/>
      <c r="I1535" s="275"/>
      <c r="J1535" s="130"/>
      <c r="K1535" s="130"/>
      <c r="L1535" s="130"/>
      <c r="M1535" s="130"/>
      <c r="N1535" s="291"/>
      <c r="O1535" s="291"/>
      <c r="P1535" s="122"/>
      <c r="Q1535" s="122"/>
      <c r="R1535" s="122"/>
      <c r="S1535" s="122"/>
      <c r="T1535" s="122"/>
      <c r="U1535" s="301"/>
      <c r="V1535" s="260">
        <f t="shared" ca="1" si="31"/>
        <v>0</v>
      </c>
      <c r="W1535" s="348" t="str">
        <f>IF(板块成分!B1537="","",板块成分!B1537)</f>
        <v>300044.SZ</v>
      </c>
      <c r="X1535" s="276" t="str">
        <f>[1]!S_Info_Name(W1535)</f>
        <v>ST赛为</v>
      </c>
      <c r="Y1535" s="276" t="str">
        <f ca="1">IF($Y$3="申万一级行业",[1]!s_info_industry_sw_2021(W1535,公司分析!D$5,1),IF($Y$3="申万二级行业",[1]!s_info_industry_sw_2021(W1535,公司分析!D$5,2),IF($Y$3="申万三级行业",[1]!s_info_industry_sw_2021(W1535,公司分析!D$5,3),IF($Y$3="wind一级行业",[1]!s_info_industry_gics(W1535,1),IF($Y$3="wind二级行业",[1]!s_info_industry_gics(W1535,2),IF($Y$3="wind三级行业",[1]!s_info_industry_gics(W1535,3),IF($Y$3="wind四级行业",[1]!s_info_industry_gics(W1535,4),IF($Y$3="证监会门类行业",[1]!s_info_industry_csrc12_n(W1535,公司分析!D$5,1),""))))))))</f>
        <v>IT服务Ⅱ</v>
      </c>
      <c r="Z1535" s="302" t="str">
        <f ca="1">IF(Y1535=行业比较!$E$6,ROW(),"")</f>
        <v/>
      </c>
      <c r="AA1535" s="122"/>
      <c r="AB1535" s="122"/>
      <c r="AC1535" s="122"/>
      <c r="AD1535" s="122"/>
      <c r="AE1535" s="122"/>
      <c r="AF1535" s="122"/>
      <c r="AG1535" s="122"/>
      <c r="AH1535" s="122"/>
      <c r="AI1535" s="122"/>
      <c r="AJ1535" s="122"/>
      <c r="AK1535" s="122"/>
      <c r="AL1535" s="122"/>
      <c r="AM1535" s="122"/>
      <c r="AN1535" s="122"/>
      <c r="AO1535" s="122"/>
      <c r="AP1535" s="122"/>
    </row>
    <row r="1536" spans="2:42">
      <c r="B1536" s="122"/>
      <c r="C1536" s="122"/>
      <c r="D1536" s="122"/>
      <c r="E1536" s="122"/>
      <c r="F1536" s="122"/>
      <c r="G1536" s="122"/>
      <c r="H1536" s="122"/>
      <c r="I1536" s="275"/>
      <c r="J1536" s="130"/>
      <c r="K1536" s="130"/>
      <c r="L1536" s="130"/>
      <c r="M1536" s="130"/>
      <c r="N1536" s="291"/>
      <c r="O1536" s="291"/>
      <c r="P1536" s="122"/>
      <c r="Q1536" s="122"/>
      <c r="R1536" s="122"/>
      <c r="S1536" s="122"/>
      <c r="T1536" s="122"/>
      <c r="U1536" s="301"/>
      <c r="V1536" s="260">
        <f t="shared" ca="1" si="31"/>
        <v>0</v>
      </c>
      <c r="W1536" s="348" t="str">
        <f>IF(板块成分!B1538="","",板块成分!B1538)</f>
        <v>300045.SZ</v>
      </c>
      <c r="X1536" s="276" t="str">
        <f>[1]!S_Info_Name(W1536)</f>
        <v>华力创通</v>
      </c>
      <c r="Y1536" s="276" t="str">
        <f ca="1">IF($Y$3="申万一级行业",[1]!s_info_industry_sw_2021(W1536,公司分析!D$5,1),IF($Y$3="申万二级行业",[1]!s_info_industry_sw_2021(W1536,公司分析!D$5,2),IF($Y$3="申万三级行业",[1]!s_info_industry_sw_2021(W1536,公司分析!D$5,3),IF($Y$3="wind一级行业",[1]!s_info_industry_gics(W1536,1),IF($Y$3="wind二级行业",[1]!s_info_industry_gics(W1536,2),IF($Y$3="wind三级行业",[1]!s_info_industry_gics(W1536,3),IF($Y$3="wind四级行业",[1]!s_info_industry_gics(W1536,4),IF($Y$3="证监会门类行业",[1]!s_info_industry_csrc12_n(W1536,公司分析!D$5,1),""))))))))</f>
        <v>军工电子Ⅱ</v>
      </c>
      <c r="Z1536" s="302" t="str">
        <f ca="1">IF(Y1536=行业比较!$E$6,ROW(),"")</f>
        <v/>
      </c>
      <c r="AA1536" s="122"/>
      <c r="AB1536" s="122"/>
      <c r="AC1536" s="122"/>
      <c r="AD1536" s="122"/>
      <c r="AE1536" s="122"/>
      <c r="AF1536" s="122"/>
      <c r="AG1536" s="122"/>
      <c r="AH1536" s="122"/>
      <c r="AI1536" s="122"/>
      <c r="AJ1536" s="122"/>
      <c r="AK1536" s="122"/>
      <c r="AL1536" s="122"/>
      <c r="AM1536" s="122"/>
      <c r="AN1536" s="122"/>
      <c r="AO1536" s="122"/>
      <c r="AP1536" s="122"/>
    </row>
    <row r="1537" spans="2:42">
      <c r="B1537" s="122"/>
      <c r="C1537" s="122"/>
      <c r="D1537" s="122"/>
      <c r="E1537" s="122"/>
      <c r="F1537" s="122"/>
      <c r="G1537" s="122"/>
      <c r="H1537" s="122"/>
      <c r="I1537" s="275"/>
      <c r="J1537" s="130"/>
      <c r="K1537" s="130"/>
      <c r="L1537" s="130"/>
      <c r="M1537" s="130"/>
      <c r="N1537" s="291"/>
      <c r="O1537" s="291"/>
      <c r="P1537" s="122"/>
      <c r="Q1537" s="122"/>
      <c r="R1537" s="122"/>
      <c r="S1537" s="122"/>
      <c r="T1537" s="122"/>
      <c r="U1537" s="301"/>
      <c r="V1537" s="260">
        <f t="shared" ca="1" si="31"/>
        <v>0</v>
      </c>
      <c r="W1537" s="348" t="str">
        <f>IF(板块成分!B1539="","",板块成分!B1539)</f>
        <v>300046.SZ</v>
      </c>
      <c r="X1537" s="276" t="str">
        <f>[1]!S_Info_Name(W1537)</f>
        <v>台基股份</v>
      </c>
      <c r="Y1537" s="276" t="str">
        <f ca="1">IF($Y$3="申万一级行业",[1]!s_info_industry_sw_2021(W1537,公司分析!D$5,1),IF($Y$3="申万二级行业",[1]!s_info_industry_sw_2021(W1537,公司分析!D$5,2),IF($Y$3="申万三级行业",[1]!s_info_industry_sw_2021(W1537,公司分析!D$5,3),IF($Y$3="wind一级行业",[1]!s_info_industry_gics(W1537,1),IF($Y$3="wind二级行业",[1]!s_info_industry_gics(W1537,2),IF($Y$3="wind三级行业",[1]!s_info_industry_gics(W1537,3),IF($Y$3="wind四级行业",[1]!s_info_industry_gics(W1537,4),IF($Y$3="证监会门类行业",[1]!s_info_industry_csrc12_n(W1537,公司分析!D$5,1),""))))))))</f>
        <v>半导体</v>
      </c>
      <c r="Z1537" s="302" t="str">
        <f ca="1">IF(Y1537=行业比较!$E$6,ROW(),"")</f>
        <v/>
      </c>
      <c r="AA1537" s="122"/>
      <c r="AB1537" s="122"/>
      <c r="AC1537" s="122"/>
      <c r="AD1537" s="122"/>
      <c r="AE1537" s="122"/>
      <c r="AF1537" s="122"/>
      <c r="AG1537" s="122"/>
      <c r="AH1537" s="122"/>
      <c r="AI1537" s="122"/>
      <c r="AJ1537" s="122"/>
      <c r="AK1537" s="122"/>
      <c r="AL1537" s="122"/>
      <c r="AM1537" s="122"/>
      <c r="AN1537" s="122"/>
      <c r="AO1537" s="122"/>
      <c r="AP1537" s="122"/>
    </row>
    <row r="1538" spans="2:42">
      <c r="B1538" s="122"/>
      <c r="C1538" s="122"/>
      <c r="D1538" s="122"/>
      <c r="E1538" s="122"/>
      <c r="F1538" s="122"/>
      <c r="G1538" s="122"/>
      <c r="H1538" s="122"/>
      <c r="I1538" s="275"/>
      <c r="J1538" s="130"/>
      <c r="K1538" s="130"/>
      <c r="L1538" s="130"/>
      <c r="M1538" s="130"/>
      <c r="N1538" s="291"/>
      <c r="O1538" s="291"/>
      <c r="P1538" s="122"/>
      <c r="Q1538" s="122"/>
      <c r="R1538" s="122"/>
      <c r="S1538" s="122"/>
      <c r="T1538" s="122"/>
      <c r="U1538" s="301"/>
      <c r="V1538" s="260">
        <f t="shared" ca="1" si="31"/>
        <v>0</v>
      </c>
      <c r="W1538" s="348" t="str">
        <f>IF(板块成分!B1540="","",板块成分!B1540)</f>
        <v>300047.SZ</v>
      </c>
      <c r="X1538" s="276" t="str">
        <f>[1]!S_Info_Name(W1538)</f>
        <v>天源迪科</v>
      </c>
      <c r="Y1538" s="276" t="str">
        <f ca="1">IF($Y$3="申万一级行业",[1]!s_info_industry_sw_2021(W1538,公司分析!D$5,1),IF($Y$3="申万二级行业",[1]!s_info_industry_sw_2021(W1538,公司分析!D$5,2),IF($Y$3="申万三级行业",[1]!s_info_industry_sw_2021(W1538,公司分析!D$5,3),IF($Y$3="wind一级行业",[1]!s_info_industry_gics(W1538,1),IF($Y$3="wind二级行业",[1]!s_info_industry_gics(W1538,2),IF($Y$3="wind三级行业",[1]!s_info_industry_gics(W1538,3),IF($Y$3="wind四级行业",[1]!s_info_industry_gics(W1538,4),IF($Y$3="证监会门类行业",[1]!s_info_industry_csrc12_n(W1538,公司分析!D$5,1),""))))))))</f>
        <v>软件开发</v>
      </c>
      <c r="Z1538" s="302" t="str">
        <f ca="1">IF(Y1538=行业比较!$E$6,ROW(),"")</f>
        <v/>
      </c>
      <c r="AA1538" s="122"/>
      <c r="AB1538" s="122"/>
      <c r="AC1538" s="122"/>
      <c r="AD1538" s="122"/>
      <c r="AE1538" s="122"/>
      <c r="AF1538" s="122"/>
      <c r="AG1538" s="122"/>
      <c r="AH1538" s="122"/>
      <c r="AI1538" s="122"/>
      <c r="AJ1538" s="122"/>
      <c r="AK1538" s="122"/>
      <c r="AL1538" s="122"/>
      <c r="AM1538" s="122"/>
      <c r="AN1538" s="122"/>
      <c r="AO1538" s="122"/>
      <c r="AP1538" s="122"/>
    </row>
    <row r="1539" spans="2:42">
      <c r="B1539" s="122"/>
      <c r="C1539" s="122"/>
      <c r="D1539" s="122"/>
      <c r="E1539" s="122"/>
      <c r="F1539" s="122"/>
      <c r="G1539" s="122"/>
      <c r="H1539" s="122"/>
      <c r="I1539" s="275"/>
      <c r="J1539" s="130"/>
      <c r="K1539" s="130"/>
      <c r="L1539" s="130"/>
      <c r="M1539" s="130"/>
      <c r="N1539" s="291"/>
      <c r="O1539" s="291"/>
      <c r="P1539" s="122"/>
      <c r="Q1539" s="122"/>
      <c r="R1539" s="122"/>
      <c r="S1539" s="122"/>
      <c r="T1539" s="122"/>
      <c r="U1539" s="301"/>
      <c r="V1539" s="260">
        <f t="shared" ca="1" si="31"/>
        <v>0</v>
      </c>
      <c r="W1539" s="348" t="str">
        <f>IF(板块成分!B1541="","",板块成分!B1541)</f>
        <v>300048.SZ</v>
      </c>
      <c r="X1539" s="276" t="str">
        <f>[1]!S_Info_Name(W1539)</f>
        <v>合康新能</v>
      </c>
      <c r="Y1539" s="276" t="str">
        <f ca="1">IF($Y$3="申万一级行业",[1]!s_info_industry_sw_2021(W1539,公司分析!D$5,1),IF($Y$3="申万二级行业",[1]!s_info_industry_sw_2021(W1539,公司分析!D$5,2),IF($Y$3="申万三级行业",[1]!s_info_industry_sw_2021(W1539,公司分析!D$5,3),IF($Y$3="wind一级行业",[1]!s_info_industry_gics(W1539,1),IF($Y$3="wind二级行业",[1]!s_info_industry_gics(W1539,2),IF($Y$3="wind三级行业",[1]!s_info_industry_gics(W1539,3),IF($Y$3="wind四级行业",[1]!s_info_industry_gics(W1539,4),IF($Y$3="证监会门类行业",[1]!s_info_industry_csrc12_n(W1539,公司分析!D$5,1),""))))))))</f>
        <v>自动化设备</v>
      </c>
      <c r="Z1539" s="302" t="str">
        <f ca="1">IF(Y1539=行业比较!$E$6,ROW(),"")</f>
        <v/>
      </c>
      <c r="AA1539" s="122"/>
      <c r="AB1539" s="122"/>
      <c r="AC1539" s="122"/>
      <c r="AD1539" s="122"/>
      <c r="AE1539" s="122"/>
      <c r="AF1539" s="122"/>
      <c r="AG1539" s="122"/>
      <c r="AH1539" s="122"/>
      <c r="AI1539" s="122"/>
      <c r="AJ1539" s="122"/>
      <c r="AK1539" s="122"/>
      <c r="AL1539" s="122"/>
      <c r="AM1539" s="122"/>
      <c r="AN1539" s="122"/>
      <c r="AO1539" s="122"/>
      <c r="AP1539" s="122"/>
    </row>
    <row r="1540" spans="2:42">
      <c r="B1540" s="122"/>
      <c r="C1540" s="122"/>
      <c r="D1540" s="122"/>
      <c r="E1540" s="122"/>
      <c r="F1540" s="122"/>
      <c r="G1540" s="122"/>
      <c r="H1540" s="122"/>
      <c r="I1540" s="275"/>
      <c r="J1540" s="130"/>
      <c r="K1540" s="130"/>
      <c r="L1540" s="130"/>
      <c r="M1540" s="130"/>
      <c r="N1540" s="291"/>
      <c r="O1540" s="291"/>
      <c r="P1540" s="122"/>
      <c r="Q1540" s="122"/>
      <c r="R1540" s="122"/>
      <c r="S1540" s="122"/>
      <c r="T1540" s="122"/>
      <c r="U1540" s="301"/>
      <c r="V1540" s="260">
        <f t="shared" ca="1" si="31"/>
        <v>0</v>
      </c>
      <c r="W1540" s="348" t="str">
        <f>IF(板块成分!B1542="","",板块成分!B1542)</f>
        <v>300049.SZ</v>
      </c>
      <c r="X1540" s="276" t="str">
        <f>[1]!S_Info_Name(W1540)</f>
        <v>福瑞医科</v>
      </c>
      <c r="Y1540" s="276" t="str">
        <f ca="1">IF($Y$3="申万一级行业",[1]!s_info_industry_sw_2021(W1540,公司分析!D$5,1),IF($Y$3="申万二级行业",[1]!s_info_industry_sw_2021(W1540,公司分析!D$5,2),IF($Y$3="申万三级行业",[1]!s_info_industry_sw_2021(W1540,公司分析!D$5,3),IF($Y$3="wind一级行业",[1]!s_info_industry_gics(W1540,1),IF($Y$3="wind二级行业",[1]!s_info_industry_gics(W1540,2),IF($Y$3="wind三级行业",[1]!s_info_industry_gics(W1540,3),IF($Y$3="wind四级行业",[1]!s_info_industry_gics(W1540,4),IF($Y$3="证监会门类行业",[1]!s_info_industry_csrc12_n(W1540,公司分析!D$5,1),""))))))))</f>
        <v>医疗器械</v>
      </c>
      <c r="Z1540" s="302" t="str">
        <f ca="1">IF(Y1540=行业比较!$E$6,ROW(),"")</f>
        <v/>
      </c>
      <c r="AA1540" s="122"/>
      <c r="AB1540" s="122"/>
      <c r="AC1540" s="122"/>
      <c r="AD1540" s="122"/>
      <c r="AE1540" s="122"/>
      <c r="AF1540" s="122"/>
      <c r="AG1540" s="122"/>
      <c r="AH1540" s="122"/>
      <c r="AI1540" s="122"/>
      <c r="AJ1540" s="122"/>
      <c r="AK1540" s="122"/>
      <c r="AL1540" s="122"/>
      <c r="AM1540" s="122"/>
      <c r="AN1540" s="122"/>
      <c r="AO1540" s="122"/>
      <c r="AP1540" s="122"/>
    </row>
    <row r="1541" spans="2:42">
      <c r="B1541" s="122"/>
      <c r="C1541" s="122"/>
      <c r="D1541" s="122"/>
      <c r="E1541" s="122"/>
      <c r="F1541" s="122"/>
      <c r="G1541" s="122"/>
      <c r="H1541" s="122"/>
      <c r="I1541" s="275"/>
      <c r="J1541" s="130"/>
      <c r="K1541" s="130"/>
      <c r="L1541" s="130"/>
      <c r="M1541" s="130"/>
      <c r="N1541" s="291"/>
      <c r="O1541" s="291"/>
      <c r="P1541" s="122"/>
      <c r="Q1541" s="122"/>
      <c r="R1541" s="122"/>
      <c r="S1541" s="122"/>
      <c r="T1541" s="122"/>
      <c r="U1541" s="301"/>
      <c r="V1541" s="260">
        <f t="shared" ref="V1541:V1604" ca="1" si="32">IF(Z1541="",0,RANK(Z1541,Z:Z,1))</f>
        <v>0</v>
      </c>
      <c r="W1541" s="348" t="str">
        <f>IF(板块成分!B1543="","",板块成分!B1543)</f>
        <v>300050.SZ</v>
      </c>
      <c r="X1541" s="276" t="str">
        <f>[1]!S_Info_Name(W1541)</f>
        <v>世纪鼎利</v>
      </c>
      <c r="Y1541" s="276" t="str">
        <f ca="1">IF($Y$3="申万一级行业",[1]!s_info_industry_sw_2021(W1541,公司分析!D$5,1),IF($Y$3="申万二级行业",[1]!s_info_industry_sw_2021(W1541,公司分析!D$5,2),IF($Y$3="申万三级行业",[1]!s_info_industry_sw_2021(W1541,公司分析!D$5,3),IF($Y$3="wind一级行业",[1]!s_info_industry_gics(W1541,1),IF($Y$3="wind二级行业",[1]!s_info_industry_gics(W1541,2),IF($Y$3="wind三级行业",[1]!s_info_industry_gics(W1541,3),IF($Y$3="wind四级行业",[1]!s_info_industry_gics(W1541,4),IF($Y$3="证监会门类行业",[1]!s_info_industry_csrc12_n(W1541,公司分析!D$5,1),""))))))))</f>
        <v>通信服务</v>
      </c>
      <c r="Z1541" s="302" t="str">
        <f ca="1">IF(Y1541=行业比较!$E$6,ROW(),"")</f>
        <v/>
      </c>
      <c r="AA1541" s="122"/>
      <c r="AB1541" s="122"/>
      <c r="AC1541" s="122"/>
      <c r="AD1541" s="122"/>
      <c r="AE1541" s="122"/>
      <c r="AF1541" s="122"/>
      <c r="AG1541" s="122"/>
      <c r="AH1541" s="122"/>
      <c r="AI1541" s="122"/>
      <c r="AJ1541" s="122"/>
      <c r="AK1541" s="122"/>
      <c r="AL1541" s="122"/>
      <c r="AM1541" s="122"/>
      <c r="AN1541" s="122"/>
      <c r="AO1541" s="122"/>
      <c r="AP1541" s="122"/>
    </row>
    <row r="1542" spans="2:42">
      <c r="B1542" s="122"/>
      <c r="C1542" s="122"/>
      <c r="D1542" s="122"/>
      <c r="E1542" s="122"/>
      <c r="F1542" s="122"/>
      <c r="G1542" s="122"/>
      <c r="H1542" s="122"/>
      <c r="I1542" s="275"/>
      <c r="J1542" s="130"/>
      <c r="K1542" s="130"/>
      <c r="L1542" s="130"/>
      <c r="M1542" s="130"/>
      <c r="N1542" s="291"/>
      <c r="O1542" s="291"/>
      <c r="P1542" s="122"/>
      <c r="Q1542" s="122"/>
      <c r="R1542" s="122"/>
      <c r="S1542" s="122"/>
      <c r="T1542" s="122"/>
      <c r="U1542" s="301"/>
      <c r="V1542" s="260">
        <f t="shared" ca="1" si="32"/>
        <v>0</v>
      </c>
      <c r="W1542" s="348" t="str">
        <f>IF(板块成分!B1544="","",板块成分!B1544)</f>
        <v>300051.SZ</v>
      </c>
      <c r="X1542" s="276" t="str">
        <f>[1]!S_Info_Name(W1542)</f>
        <v>琏升科技</v>
      </c>
      <c r="Y1542" s="276" t="str">
        <f ca="1">IF($Y$3="申万一级行业",[1]!s_info_industry_sw_2021(W1542,公司分析!D$5,1),IF($Y$3="申万二级行业",[1]!s_info_industry_sw_2021(W1542,公司分析!D$5,2),IF($Y$3="申万三级行业",[1]!s_info_industry_sw_2021(W1542,公司分析!D$5,3),IF($Y$3="wind一级行业",[1]!s_info_industry_gics(W1542,1),IF($Y$3="wind二级行业",[1]!s_info_industry_gics(W1542,2),IF($Y$3="wind三级行业",[1]!s_info_industry_gics(W1542,3),IF($Y$3="wind四级行业",[1]!s_info_industry_gics(W1542,4),IF($Y$3="证监会门类行业",[1]!s_info_industry_csrc12_n(W1542,公司分析!D$5,1),""))))))))</f>
        <v>光伏设备</v>
      </c>
      <c r="Z1542" s="302" t="str">
        <f ca="1">IF(Y1542=行业比较!$E$6,ROW(),"")</f>
        <v/>
      </c>
      <c r="AA1542" s="122"/>
      <c r="AB1542" s="122"/>
      <c r="AC1542" s="122"/>
      <c r="AD1542" s="122"/>
      <c r="AE1542" s="122"/>
      <c r="AF1542" s="122"/>
      <c r="AG1542" s="122"/>
      <c r="AH1542" s="122"/>
      <c r="AI1542" s="122"/>
      <c r="AJ1542" s="122"/>
      <c r="AK1542" s="122"/>
      <c r="AL1542" s="122"/>
      <c r="AM1542" s="122"/>
      <c r="AN1542" s="122"/>
      <c r="AO1542" s="122"/>
      <c r="AP1542" s="122"/>
    </row>
    <row r="1543" spans="2:42">
      <c r="B1543" s="122"/>
      <c r="C1543" s="122"/>
      <c r="D1543" s="122"/>
      <c r="E1543" s="122"/>
      <c r="F1543" s="122"/>
      <c r="G1543" s="122"/>
      <c r="H1543" s="122"/>
      <c r="I1543" s="275"/>
      <c r="J1543" s="130"/>
      <c r="K1543" s="130"/>
      <c r="L1543" s="130"/>
      <c r="M1543" s="130"/>
      <c r="N1543" s="291"/>
      <c r="O1543" s="291"/>
      <c r="P1543" s="122"/>
      <c r="Q1543" s="122"/>
      <c r="R1543" s="122"/>
      <c r="S1543" s="122"/>
      <c r="T1543" s="122"/>
      <c r="U1543" s="301"/>
      <c r="V1543" s="260">
        <f t="shared" ca="1" si="32"/>
        <v>0</v>
      </c>
      <c r="W1543" s="348" t="str">
        <f>IF(板块成分!B1545="","",板块成分!B1545)</f>
        <v>300052.SZ</v>
      </c>
      <c r="X1543" s="276" t="str">
        <f>[1]!S_Info_Name(W1543)</f>
        <v>ST中青宝</v>
      </c>
      <c r="Y1543" s="276" t="str">
        <f ca="1">IF($Y$3="申万一级行业",[1]!s_info_industry_sw_2021(W1543,公司分析!D$5,1),IF($Y$3="申万二级行业",[1]!s_info_industry_sw_2021(W1543,公司分析!D$5,2),IF($Y$3="申万三级行业",[1]!s_info_industry_sw_2021(W1543,公司分析!D$5,3),IF($Y$3="wind一级行业",[1]!s_info_industry_gics(W1543,1),IF($Y$3="wind二级行业",[1]!s_info_industry_gics(W1543,2),IF($Y$3="wind三级行业",[1]!s_info_industry_gics(W1543,3),IF($Y$3="wind四级行业",[1]!s_info_industry_gics(W1543,4),IF($Y$3="证监会门类行业",[1]!s_info_industry_csrc12_n(W1543,公司分析!D$5,1),""))))))))</f>
        <v>游戏Ⅱ</v>
      </c>
      <c r="Z1543" s="302" t="str">
        <f ca="1">IF(Y1543=行业比较!$E$6,ROW(),"")</f>
        <v/>
      </c>
      <c r="AA1543" s="122"/>
      <c r="AB1543" s="122"/>
      <c r="AC1543" s="122"/>
      <c r="AD1543" s="122"/>
      <c r="AE1543" s="122"/>
      <c r="AF1543" s="122"/>
      <c r="AG1543" s="122"/>
      <c r="AH1543" s="122"/>
      <c r="AI1543" s="122"/>
      <c r="AJ1543" s="122"/>
      <c r="AK1543" s="122"/>
      <c r="AL1543" s="122"/>
      <c r="AM1543" s="122"/>
      <c r="AN1543" s="122"/>
      <c r="AO1543" s="122"/>
      <c r="AP1543" s="122"/>
    </row>
    <row r="1544" spans="2:42">
      <c r="B1544" s="122"/>
      <c r="C1544" s="122"/>
      <c r="D1544" s="122"/>
      <c r="E1544" s="122"/>
      <c r="F1544" s="122"/>
      <c r="G1544" s="122"/>
      <c r="H1544" s="122"/>
      <c r="I1544" s="275"/>
      <c r="J1544" s="130"/>
      <c r="K1544" s="130"/>
      <c r="L1544" s="130"/>
      <c r="M1544" s="130"/>
      <c r="N1544" s="291"/>
      <c r="O1544" s="291"/>
      <c r="P1544" s="122"/>
      <c r="Q1544" s="122"/>
      <c r="R1544" s="122"/>
      <c r="S1544" s="122"/>
      <c r="T1544" s="122"/>
      <c r="U1544" s="301"/>
      <c r="V1544" s="260">
        <f t="shared" ca="1" si="32"/>
        <v>0</v>
      </c>
      <c r="W1544" s="348" t="str">
        <f>IF(板块成分!B1546="","",板块成分!B1546)</f>
        <v>300053.SZ</v>
      </c>
      <c r="X1544" s="276" t="str">
        <f>[1]!S_Info_Name(W1544)</f>
        <v>航宇微</v>
      </c>
      <c r="Y1544" s="276" t="str">
        <f ca="1">IF($Y$3="申万一级行业",[1]!s_info_industry_sw_2021(W1544,公司分析!D$5,1),IF($Y$3="申万二级行业",[1]!s_info_industry_sw_2021(W1544,公司分析!D$5,2),IF($Y$3="申万三级行业",[1]!s_info_industry_sw_2021(W1544,公司分析!D$5,3),IF($Y$3="wind一级行业",[1]!s_info_industry_gics(W1544,1),IF($Y$3="wind二级行业",[1]!s_info_industry_gics(W1544,2),IF($Y$3="wind三级行业",[1]!s_info_industry_gics(W1544,3),IF($Y$3="wind四级行业",[1]!s_info_industry_gics(W1544,4),IF($Y$3="证监会门类行业",[1]!s_info_industry_csrc12_n(W1544,公司分析!D$5,1),""))))))))</f>
        <v>半导体</v>
      </c>
      <c r="Z1544" s="302" t="str">
        <f ca="1">IF(Y1544=行业比较!$E$6,ROW(),"")</f>
        <v/>
      </c>
      <c r="AA1544" s="122"/>
      <c r="AB1544" s="122"/>
      <c r="AC1544" s="122"/>
      <c r="AD1544" s="122"/>
      <c r="AE1544" s="122"/>
      <c r="AF1544" s="122"/>
      <c r="AG1544" s="122"/>
      <c r="AH1544" s="122"/>
      <c r="AI1544" s="122"/>
      <c r="AJ1544" s="122"/>
      <c r="AK1544" s="122"/>
      <c r="AL1544" s="122"/>
      <c r="AM1544" s="122"/>
      <c r="AN1544" s="122"/>
      <c r="AO1544" s="122"/>
      <c r="AP1544" s="122"/>
    </row>
    <row r="1545" spans="2:42">
      <c r="B1545" s="122"/>
      <c r="C1545" s="122"/>
      <c r="D1545" s="122"/>
      <c r="E1545" s="122"/>
      <c r="F1545" s="122"/>
      <c r="G1545" s="122"/>
      <c r="H1545" s="122"/>
      <c r="I1545" s="275"/>
      <c r="J1545" s="130"/>
      <c r="K1545" s="130"/>
      <c r="L1545" s="130"/>
      <c r="M1545" s="130"/>
      <c r="N1545" s="291"/>
      <c r="O1545" s="291"/>
      <c r="P1545" s="122"/>
      <c r="Q1545" s="122"/>
      <c r="R1545" s="122"/>
      <c r="S1545" s="122"/>
      <c r="T1545" s="122"/>
      <c r="U1545" s="301"/>
      <c r="V1545" s="260">
        <f t="shared" ca="1" si="32"/>
        <v>0</v>
      </c>
      <c r="W1545" s="348" t="str">
        <f>IF(板块成分!B1547="","",板块成分!B1547)</f>
        <v>300054.SZ</v>
      </c>
      <c r="X1545" s="276" t="str">
        <f>[1]!S_Info_Name(W1545)</f>
        <v>鼎龙股份</v>
      </c>
      <c r="Y1545" s="276" t="str">
        <f ca="1">IF($Y$3="申万一级行业",[1]!s_info_industry_sw_2021(W1545,公司分析!D$5,1),IF($Y$3="申万二级行业",[1]!s_info_industry_sw_2021(W1545,公司分析!D$5,2),IF($Y$3="申万三级行业",[1]!s_info_industry_sw_2021(W1545,公司分析!D$5,3),IF($Y$3="wind一级行业",[1]!s_info_industry_gics(W1545,1),IF($Y$3="wind二级行业",[1]!s_info_industry_gics(W1545,2),IF($Y$3="wind三级行业",[1]!s_info_industry_gics(W1545,3),IF($Y$3="wind四级行业",[1]!s_info_industry_gics(W1545,4),IF($Y$3="证监会门类行业",[1]!s_info_industry_csrc12_n(W1545,公司分析!D$5,1),""))))))))</f>
        <v>电子化学品Ⅱ</v>
      </c>
      <c r="Z1545" s="302" t="str">
        <f ca="1">IF(Y1545=行业比较!$E$6,ROW(),"")</f>
        <v/>
      </c>
      <c r="AA1545" s="122"/>
      <c r="AB1545" s="122"/>
      <c r="AC1545" s="122"/>
      <c r="AD1545" s="122"/>
      <c r="AE1545" s="122"/>
      <c r="AF1545" s="122"/>
      <c r="AG1545" s="122"/>
      <c r="AH1545" s="122"/>
      <c r="AI1545" s="122"/>
      <c r="AJ1545" s="122"/>
      <c r="AK1545" s="122"/>
      <c r="AL1545" s="122"/>
      <c r="AM1545" s="122"/>
      <c r="AN1545" s="122"/>
      <c r="AO1545" s="122"/>
      <c r="AP1545" s="122"/>
    </row>
    <row r="1546" spans="2:42">
      <c r="B1546" s="122"/>
      <c r="C1546" s="122"/>
      <c r="D1546" s="122"/>
      <c r="E1546" s="122"/>
      <c r="F1546" s="122"/>
      <c r="G1546" s="122"/>
      <c r="H1546" s="122"/>
      <c r="I1546" s="275"/>
      <c r="J1546" s="130"/>
      <c r="K1546" s="130"/>
      <c r="L1546" s="130"/>
      <c r="M1546" s="130"/>
      <c r="N1546" s="291"/>
      <c r="O1546" s="291"/>
      <c r="P1546" s="122"/>
      <c r="Q1546" s="122"/>
      <c r="R1546" s="122"/>
      <c r="S1546" s="122"/>
      <c r="T1546" s="122"/>
      <c r="U1546" s="301"/>
      <c r="V1546" s="260">
        <f t="shared" ca="1" si="32"/>
        <v>0</v>
      </c>
      <c r="W1546" s="348" t="str">
        <f>IF(板块成分!B1548="","",板块成分!B1548)</f>
        <v>300055.SZ</v>
      </c>
      <c r="X1546" s="276" t="str">
        <f>[1]!S_Info_Name(W1546)</f>
        <v>万邦达</v>
      </c>
      <c r="Y1546" s="276" t="str">
        <f ca="1">IF($Y$3="申万一级行业",[1]!s_info_industry_sw_2021(W1546,公司分析!D$5,1),IF($Y$3="申万二级行业",[1]!s_info_industry_sw_2021(W1546,公司分析!D$5,2),IF($Y$3="申万三级行业",[1]!s_info_industry_sw_2021(W1546,公司分析!D$5,3),IF($Y$3="wind一级行业",[1]!s_info_industry_gics(W1546,1),IF($Y$3="wind二级行业",[1]!s_info_industry_gics(W1546,2),IF($Y$3="wind三级行业",[1]!s_info_industry_gics(W1546,3),IF($Y$3="wind四级行业",[1]!s_info_industry_gics(W1546,4),IF($Y$3="证监会门类行业",[1]!s_info_industry_csrc12_n(W1546,公司分析!D$5,1),""))))))))</f>
        <v>炼化及贸易</v>
      </c>
      <c r="Z1546" s="302" t="str">
        <f ca="1">IF(Y1546=行业比较!$E$6,ROW(),"")</f>
        <v/>
      </c>
      <c r="AA1546" s="122"/>
      <c r="AB1546" s="122"/>
      <c r="AC1546" s="122"/>
      <c r="AD1546" s="122"/>
      <c r="AE1546" s="122"/>
      <c r="AF1546" s="122"/>
      <c r="AG1546" s="122"/>
      <c r="AH1546" s="122"/>
      <c r="AI1546" s="122"/>
      <c r="AJ1546" s="122"/>
      <c r="AK1546" s="122"/>
      <c r="AL1546" s="122"/>
      <c r="AM1546" s="122"/>
      <c r="AN1546" s="122"/>
      <c r="AO1546" s="122"/>
      <c r="AP1546" s="122"/>
    </row>
    <row r="1547" spans="2:42">
      <c r="B1547" s="122"/>
      <c r="C1547" s="122"/>
      <c r="D1547" s="122"/>
      <c r="E1547" s="122"/>
      <c r="F1547" s="122"/>
      <c r="G1547" s="122"/>
      <c r="H1547" s="122"/>
      <c r="I1547" s="275"/>
      <c r="J1547" s="130"/>
      <c r="K1547" s="130"/>
      <c r="L1547" s="130"/>
      <c r="M1547" s="130"/>
      <c r="N1547" s="291"/>
      <c r="O1547" s="291"/>
      <c r="P1547" s="122"/>
      <c r="Q1547" s="122"/>
      <c r="R1547" s="122"/>
      <c r="S1547" s="122"/>
      <c r="T1547" s="122"/>
      <c r="U1547" s="301"/>
      <c r="V1547" s="260">
        <f t="shared" ca="1" si="32"/>
        <v>0</v>
      </c>
      <c r="W1547" s="348" t="str">
        <f>IF(板块成分!B1549="","",板块成分!B1549)</f>
        <v>300056.SZ</v>
      </c>
      <c r="X1547" s="276" t="str">
        <f>[1]!S_Info_Name(W1547)</f>
        <v>中创环保</v>
      </c>
      <c r="Y1547" s="276" t="str">
        <f ca="1">IF($Y$3="申万一级行业",[1]!s_info_industry_sw_2021(W1547,公司分析!D$5,1),IF($Y$3="申万二级行业",[1]!s_info_industry_sw_2021(W1547,公司分析!D$5,2),IF($Y$3="申万三级行业",[1]!s_info_industry_sw_2021(W1547,公司分析!D$5,3),IF($Y$3="wind一级行业",[1]!s_info_industry_gics(W1547,1),IF($Y$3="wind二级行业",[1]!s_info_industry_gics(W1547,2),IF($Y$3="wind三级行业",[1]!s_info_industry_gics(W1547,3),IF($Y$3="wind四级行业",[1]!s_info_industry_gics(W1547,4),IF($Y$3="证监会门类行业",[1]!s_info_industry_csrc12_n(W1547,公司分析!D$5,1),""))))))))</f>
        <v>环境治理</v>
      </c>
      <c r="Z1547" s="302" t="str">
        <f ca="1">IF(Y1547=行业比较!$E$6,ROW(),"")</f>
        <v/>
      </c>
      <c r="AA1547" s="122"/>
      <c r="AB1547" s="122"/>
      <c r="AC1547" s="122"/>
      <c r="AD1547" s="122"/>
      <c r="AE1547" s="122"/>
      <c r="AF1547" s="122"/>
      <c r="AG1547" s="122"/>
      <c r="AH1547" s="122"/>
      <c r="AI1547" s="122"/>
      <c r="AJ1547" s="122"/>
      <c r="AK1547" s="122"/>
      <c r="AL1547" s="122"/>
      <c r="AM1547" s="122"/>
      <c r="AN1547" s="122"/>
      <c r="AO1547" s="122"/>
      <c r="AP1547" s="122"/>
    </row>
    <row r="1548" spans="2:42">
      <c r="B1548" s="122"/>
      <c r="C1548" s="122"/>
      <c r="D1548" s="122"/>
      <c r="E1548" s="122"/>
      <c r="F1548" s="122"/>
      <c r="G1548" s="122"/>
      <c r="H1548" s="122"/>
      <c r="I1548" s="275"/>
      <c r="J1548" s="130"/>
      <c r="K1548" s="130"/>
      <c r="L1548" s="130"/>
      <c r="M1548" s="130"/>
      <c r="N1548" s="291"/>
      <c r="O1548" s="291"/>
      <c r="P1548" s="122"/>
      <c r="Q1548" s="122"/>
      <c r="R1548" s="122"/>
      <c r="S1548" s="122"/>
      <c r="T1548" s="122"/>
      <c r="U1548" s="301"/>
      <c r="V1548" s="260">
        <f t="shared" ca="1" si="32"/>
        <v>27</v>
      </c>
      <c r="W1548" s="348" t="str">
        <f>IF(板块成分!B1550="","",板块成分!B1550)</f>
        <v>300057.SZ</v>
      </c>
      <c r="X1548" s="276" t="str">
        <f>[1]!S_Info_Name(W1548)</f>
        <v>万顺新材</v>
      </c>
      <c r="Y1548" s="276" t="str">
        <f ca="1">IF($Y$3="申万一级行业",[1]!s_info_industry_sw_2021(W1548,公司分析!D$5,1),IF($Y$3="申万二级行业",[1]!s_info_industry_sw_2021(W1548,公司分析!D$5,2),IF($Y$3="申万三级行业",[1]!s_info_industry_sw_2021(W1548,公司分析!D$5,3),IF($Y$3="wind一级行业",[1]!s_info_industry_gics(W1548,1),IF($Y$3="wind二级行业",[1]!s_info_industry_gics(W1548,2),IF($Y$3="wind三级行业",[1]!s_info_industry_gics(W1548,3),IF($Y$3="wind四级行业",[1]!s_info_industry_gics(W1548,4),IF($Y$3="证监会门类行业",[1]!s_info_industry_csrc12_n(W1548,公司分析!D$5,1),""))))))))</f>
        <v>工业金属</v>
      </c>
      <c r="Z1548" s="302">
        <f ca="1">IF(Y1548=行业比较!$E$6,ROW(),"")</f>
        <v>1548</v>
      </c>
      <c r="AA1548" s="122"/>
      <c r="AB1548" s="122"/>
      <c r="AC1548" s="122"/>
      <c r="AD1548" s="122"/>
      <c r="AE1548" s="122"/>
      <c r="AF1548" s="122"/>
      <c r="AG1548" s="122"/>
      <c r="AH1548" s="122"/>
      <c r="AI1548" s="122"/>
      <c r="AJ1548" s="122"/>
      <c r="AK1548" s="122"/>
      <c r="AL1548" s="122"/>
      <c r="AM1548" s="122"/>
      <c r="AN1548" s="122"/>
      <c r="AO1548" s="122"/>
      <c r="AP1548" s="122"/>
    </row>
    <row r="1549" spans="2:42">
      <c r="B1549" s="122"/>
      <c r="C1549" s="122"/>
      <c r="D1549" s="122"/>
      <c r="E1549" s="122"/>
      <c r="F1549" s="122"/>
      <c r="G1549" s="122"/>
      <c r="H1549" s="122"/>
      <c r="I1549" s="275"/>
      <c r="J1549" s="130"/>
      <c r="K1549" s="130"/>
      <c r="L1549" s="130"/>
      <c r="M1549" s="130"/>
      <c r="N1549" s="291"/>
      <c r="O1549" s="291"/>
      <c r="P1549" s="122"/>
      <c r="Q1549" s="122"/>
      <c r="R1549" s="122"/>
      <c r="S1549" s="122"/>
      <c r="T1549" s="122"/>
      <c r="U1549" s="301"/>
      <c r="V1549" s="260">
        <f t="shared" ca="1" si="32"/>
        <v>0</v>
      </c>
      <c r="W1549" s="348" t="str">
        <f>IF(板块成分!B1551="","",板块成分!B1551)</f>
        <v>300058.SZ</v>
      </c>
      <c r="X1549" s="276" t="str">
        <f>[1]!S_Info_Name(W1549)</f>
        <v>蓝色光标</v>
      </c>
      <c r="Y1549" s="276" t="str">
        <f ca="1">IF($Y$3="申万一级行业",[1]!s_info_industry_sw_2021(W1549,公司分析!D$5,1),IF($Y$3="申万二级行业",[1]!s_info_industry_sw_2021(W1549,公司分析!D$5,2),IF($Y$3="申万三级行业",[1]!s_info_industry_sw_2021(W1549,公司分析!D$5,3),IF($Y$3="wind一级行业",[1]!s_info_industry_gics(W1549,1),IF($Y$3="wind二级行业",[1]!s_info_industry_gics(W1549,2),IF($Y$3="wind三级行业",[1]!s_info_industry_gics(W1549,3),IF($Y$3="wind四级行业",[1]!s_info_industry_gics(W1549,4),IF($Y$3="证监会门类行业",[1]!s_info_industry_csrc12_n(W1549,公司分析!D$5,1),""))))))))</f>
        <v>广告营销</v>
      </c>
      <c r="Z1549" s="302" t="str">
        <f ca="1">IF(Y1549=行业比较!$E$6,ROW(),"")</f>
        <v/>
      </c>
      <c r="AA1549" s="122"/>
      <c r="AB1549" s="122"/>
      <c r="AC1549" s="122"/>
      <c r="AD1549" s="122"/>
      <c r="AE1549" s="122"/>
      <c r="AF1549" s="122"/>
      <c r="AG1549" s="122"/>
      <c r="AH1549" s="122"/>
      <c r="AI1549" s="122"/>
      <c r="AJ1549" s="122"/>
      <c r="AK1549" s="122"/>
      <c r="AL1549" s="122"/>
      <c r="AM1549" s="122"/>
      <c r="AN1549" s="122"/>
      <c r="AO1549" s="122"/>
      <c r="AP1549" s="122"/>
    </row>
    <row r="1550" spans="2:42">
      <c r="B1550" s="122"/>
      <c r="C1550" s="122"/>
      <c r="D1550" s="122"/>
      <c r="E1550" s="122"/>
      <c r="F1550" s="122"/>
      <c r="G1550" s="122"/>
      <c r="H1550" s="122"/>
      <c r="I1550" s="275"/>
      <c r="J1550" s="130"/>
      <c r="K1550" s="130"/>
      <c r="L1550" s="130"/>
      <c r="M1550" s="130"/>
      <c r="N1550" s="291"/>
      <c r="O1550" s="291"/>
      <c r="P1550" s="122"/>
      <c r="Q1550" s="122"/>
      <c r="R1550" s="122"/>
      <c r="S1550" s="122"/>
      <c r="T1550" s="122"/>
      <c r="U1550" s="301"/>
      <c r="V1550" s="260">
        <f t="shared" ca="1" si="32"/>
        <v>0</v>
      </c>
      <c r="W1550" s="348" t="str">
        <f>IF(板块成分!B1552="","",板块成分!B1552)</f>
        <v>300059.SZ</v>
      </c>
      <c r="X1550" s="276" t="str">
        <f>[1]!S_Info_Name(W1550)</f>
        <v>东方财富</v>
      </c>
      <c r="Y1550" s="276" t="str">
        <f ca="1">IF($Y$3="申万一级行业",[1]!s_info_industry_sw_2021(W1550,公司分析!D$5,1),IF($Y$3="申万二级行业",[1]!s_info_industry_sw_2021(W1550,公司分析!D$5,2),IF($Y$3="申万三级行业",[1]!s_info_industry_sw_2021(W1550,公司分析!D$5,3),IF($Y$3="wind一级行业",[1]!s_info_industry_gics(W1550,1),IF($Y$3="wind二级行业",[1]!s_info_industry_gics(W1550,2),IF($Y$3="wind三级行业",[1]!s_info_industry_gics(W1550,3),IF($Y$3="wind四级行业",[1]!s_info_industry_gics(W1550,4),IF($Y$3="证监会门类行业",[1]!s_info_industry_csrc12_n(W1550,公司分析!D$5,1),""))))))))</f>
        <v>证券Ⅱ</v>
      </c>
      <c r="Z1550" s="302" t="str">
        <f ca="1">IF(Y1550=行业比较!$E$6,ROW(),"")</f>
        <v/>
      </c>
      <c r="AA1550" s="122"/>
      <c r="AB1550" s="122"/>
      <c r="AC1550" s="122"/>
      <c r="AD1550" s="122"/>
      <c r="AE1550" s="122"/>
      <c r="AF1550" s="122"/>
      <c r="AG1550" s="122"/>
      <c r="AH1550" s="122"/>
      <c r="AI1550" s="122"/>
      <c r="AJ1550" s="122"/>
      <c r="AK1550" s="122"/>
      <c r="AL1550" s="122"/>
      <c r="AM1550" s="122"/>
      <c r="AN1550" s="122"/>
      <c r="AO1550" s="122"/>
      <c r="AP1550" s="122"/>
    </row>
    <row r="1551" spans="2:42">
      <c r="B1551" s="122"/>
      <c r="C1551" s="122"/>
      <c r="D1551" s="122"/>
      <c r="E1551" s="122"/>
      <c r="F1551" s="122"/>
      <c r="G1551" s="122"/>
      <c r="H1551" s="122"/>
      <c r="I1551" s="275"/>
      <c r="J1551" s="130"/>
      <c r="K1551" s="130"/>
      <c r="L1551" s="130"/>
      <c r="M1551" s="130"/>
      <c r="N1551" s="291"/>
      <c r="O1551" s="291"/>
      <c r="P1551" s="122"/>
      <c r="Q1551" s="122"/>
      <c r="R1551" s="122"/>
      <c r="S1551" s="122"/>
      <c r="T1551" s="122"/>
      <c r="U1551" s="301"/>
      <c r="V1551" s="260">
        <f t="shared" ca="1" si="32"/>
        <v>0</v>
      </c>
      <c r="W1551" s="348" t="str">
        <f>IF(板块成分!B1553="","",板块成分!B1553)</f>
        <v>300061.SZ</v>
      </c>
      <c r="X1551" s="276" t="str">
        <f>[1]!S_Info_Name(W1551)</f>
        <v>旗天科技</v>
      </c>
      <c r="Y1551" s="276" t="str">
        <f ca="1">IF($Y$3="申万一级行业",[1]!s_info_industry_sw_2021(W1551,公司分析!D$5,1),IF($Y$3="申万二级行业",[1]!s_info_industry_sw_2021(W1551,公司分析!D$5,2),IF($Y$3="申万三级行业",[1]!s_info_industry_sw_2021(W1551,公司分析!D$5,3),IF($Y$3="wind一级行业",[1]!s_info_industry_gics(W1551,1),IF($Y$3="wind二级行业",[1]!s_info_industry_gics(W1551,2),IF($Y$3="wind三级行业",[1]!s_info_industry_gics(W1551,3),IF($Y$3="wind四级行业",[1]!s_info_industry_gics(W1551,4),IF($Y$3="证监会门类行业",[1]!s_info_industry_csrc12_n(W1551,公司分析!D$5,1),""))))))))</f>
        <v>广告营销</v>
      </c>
      <c r="Z1551" s="302" t="str">
        <f ca="1">IF(Y1551=行业比较!$E$6,ROW(),"")</f>
        <v/>
      </c>
      <c r="AA1551" s="122"/>
      <c r="AB1551" s="122"/>
      <c r="AC1551" s="122"/>
      <c r="AD1551" s="122"/>
      <c r="AE1551" s="122"/>
      <c r="AF1551" s="122"/>
      <c r="AG1551" s="122"/>
      <c r="AH1551" s="122"/>
      <c r="AI1551" s="122"/>
      <c r="AJ1551" s="122"/>
      <c r="AK1551" s="122"/>
      <c r="AL1551" s="122"/>
      <c r="AM1551" s="122"/>
      <c r="AN1551" s="122"/>
      <c r="AO1551" s="122"/>
      <c r="AP1551" s="122"/>
    </row>
    <row r="1552" spans="2:42">
      <c r="B1552" s="122"/>
      <c r="C1552" s="122"/>
      <c r="D1552" s="122"/>
      <c r="E1552" s="122"/>
      <c r="F1552" s="122"/>
      <c r="G1552" s="122"/>
      <c r="H1552" s="122"/>
      <c r="I1552" s="275"/>
      <c r="J1552" s="130"/>
      <c r="K1552" s="130"/>
      <c r="L1552" s="130"/>
      <c r="M1552" s="130"/>
      <c r="N1552" s="291"/>
      <c r="O1552" s="291"/>
      <c r="P1552" s="122"/>
      <c r="Q1552" s="122"/>
      <c r="R1552" s="122"/>
      <c r="S1552" s="122"/>
      <c r="T1552" s="122"/>
      <c r="U1552" s="301"/>
      <c r="V1552" s="260">
        <f t="shared" ca="1" si="32"/>
        <v>0</v>
      </c>
      <c r="W1552" s="348" t="str">
        <f>IF(板块成分!B1554="","",板块成分!B1554)</f>
        <v>300062.SZ</v>
      </c>
      <c r="X1552" s="276" t="str">
        <f>[1]!S_Info_Name(W1552)</f>
        <v>中能电气</v>
      </c>
      <c r="Y1552" s="276" t="str">
        <f ca="1">IF($Y$3="申万一级行业",[1]!s_info_industry_sw_2021(W1552,公司分析!D$5,1),IF($Y$3="申万二级行业",[1]!s_info_industry_sw_2021(W1552,公司分析!D$5,2),IF($Y$3="申万三级行业",[1]!s_info_industry_sw_2021(W1552,公司分析!D$5,3),IF($Y$3="wind一级行业",[1]!s_info_industry_gics(W1552,1),IF($Y$3="wind二级行业",[1]!s_info_industry_gics(W1552,2),IF($Y$3="wind三级行业",[1]!s_info_industry_gics(W1552,3),IF($Y$3="wind四级行业",[1]!s_info_industry_gics(W1552,4),IF($Y$3="证监会门类行业",[1]!s_info_industry_csrc12_n(W1552,公司分析!D$5,1),""))))))))</f>
        <v>电网设备</v>
      </c>
      <c r="Z1552" s="302" t="str">
        <f ca="1">IF(Y1552=行业比较!$E$6,ROW(),"")</f>
        <v/>
      </c>
      <c r="AA1552" s="122"/>
      <c r="AB1552" s="122"/>
      <c r="AC1552" s="122"/>
      <c r="AD1552" s="122"/>
      <c r="AE1552" s="122"/>
      <c r="AF1552" s="122"/>
      <c r="AG1552" s="122"/>
      <c r="AH1552" s="122"/>
      <c r="AI1552" s="122"/>
      <c r="AJ1552" s="122"/>
      <c r="AK1552" s="122"/>
      <c r="AL1552" s="122"/>
      <c r="AM1552" s="122"/>
      <c r="AN1552" s="122"/>
      <c r="AO1552" s="122"/>
      <c r="AP1552" s="122"/>
    </row>
    <row r="1553" spans="2:42">
      <c r="B1553" s="122"/>
      <c r="C1553" s="122"/>
      <c r="D1553" s="122"/>
      <c r="E1553" s="122"/>
      <c r="F1553" s="122"/>
      <c r="G1553" s="122"/>
      <c r="H1553" s="122"/>
      <c r="I1553" s="275"/>
      <c r="J1553" s="130"/>
      <c r="K1553" s="130"/>
      <c r="L1553" s="130"/>
      <c r="M1553" s="130"/>
      <c r="N1553" s="291"/>
      <c r="O1553" s="291"/>
      <c r="P1553" s="122"/>
      <c r="Q1553" s="122"/>
      <c r="R1553" s="122"/>
      <c r="S1553" s="122"/>
      <c r="T1553" s="122"/>
      <c r="U1553" s="301"/>
      <c r="V1553" s="260">
        <f t="shared" ca="1" si="32"/>
        <v>0</v>
      </c>
      <c r="W1553" s="348" t="str">
        <f>IF(板块成分!B1555="","",板块成分!B1555)</f>
        <v>300063.SZ</v>
      </c>
      <c r="X1553" s="276" t="str">
        <f>[1]!S_Info_Name(W1553)</f>
        <v>天龙集团</v>
      </c>
      <c r="Y1553" s="276" t="str">
        <f ca="1">IF($Y$3="申万一级行业",[1]!s_info_industry_sw_2021(W1553,公司分析!D$5,1),IF($Y$3="申万二级行业",[1]!s_info_industry_sw_2021(W1553,公司分析!D$5,2),IF($Y$3="申万三级行业",[1]!s_info_industry_sw_2021(W1553,公司分析!D$5,3),IF($Y$3="wind一级行业",[1]!s_info_industry_gics(W1553,1),IF($Y$3="wind二级行业",[1]!s_info_industry_gics(W1553,2),IF($Y$3="wind三级行业",[1]!s_info_industry_gics(W1553,3),IF($Y$3="wind四级行业",[1]!s_info_industry_gics(W1553,4),IF($Y$3="证监会门类行业",[1]!s_info_industry_csrc12_n(W1553,公司分析!D$5,1),""))))))))</f>
        <v>广告营销</v>
      </c>
      <c r="Z1553" s="302" t="str">
        <f ca="1">IF(Y1553=行业比较!$E$6,ROW(),"")</f>
        <v/>
      </c>
      <c r="AA1553" s="122"/>
      <c r="AB1553" s="122"/>
      <c r="AC1553" s="122"/>
      <c r="AD1553" s="122"/>
      <c r="AE1553" s="122"/>
      <c r="AF1553" s="122"/>
      <c r="AG1553" s="122"/>
      <c r="AH1553" s="122"/>
      <c r="AI1553" s="122"/>
      <c r="AJ1553" s="122"/>
      <c r="AK1553" s="122"/>
      <c r="AL1553" s="122"/>
      <c r="AM1553" s="122"/>
      <c r="AN1553" s="122"/>
      <c r="AO1553" s="122"/>
      <c r="AP1553" s="122"/>
    </row>
    <row r="1554" spans="2:42">
      <c r="B1554" s="122"/>
      <c r="C1554" s="122"/>
      <c r="D1554" s="122"/>
      <c r="E1554" s="122"/>
      <c r="F1554" s="122"/>
      <c r="G1554" s="122"/>
      <c r="H1554" s="122"/>
      <c r="I1554" s="275"/>
      <c r="J1554" s="130"/>
      <c r="K1554" s="130"/>
      <c r="L1554" s="130"/>
      <c r="M1554" s="130"/>
      <c r="N1554" s="291"/>
      <c r="O1554" s="291"/>
      <c r="P1554" s="122"/>
      <c r="Q1554" s="122"/>
      <c r="R1554" s="122"/>
      <c r="S1554" s="122"/>
      <c r="T1554" s="122"/>
      <c r="U1554" s="301"/>
      <c r="V1554" s="260">
        <f t="shared" ca="1" si="32"/>
        <v>0</v>
      </c>
      <c r="W1554" s="348" t="str">
        <f>IF(板块成分!B1556="","",板块成分!B1556)</f>
        <v>300065.SZ</v>
      </c>
      <c r="X1554" s="276" t="str">
        <f>[1]!S_Info_Name(W1554)</f>
        <v>海兰信</v>
      </c>
      <c r="Y1554" s="276" t="str">
        <f ca="1">IF($Y$3="申万一级行业",[1]!s_info_industry_sw_2021(W1554,公司分析!D$5,1),IF($Y$3="申万二级行业",[1]!s_info_industry_sw_2021(W1554,公司分析!D$5,2),IF($Y$3="申万三级行业",[1]!s_info_industry_sw_2021(W1554,公司分析!D$5,3),IF($Y$3="wind一级行业",[1]!s_info_industry_gics(W1554,1),IF($Y$3="wind二级行业",[1]!s_info_industry_gics(W1554,2),IF($Y$3="wind三级行业",[1]!s_info_industry_gics(W1554,3),IF($Y$3="wind四级行业",[1]!s_info_industry_gics(W1554,4),IF($Y$3="证监会门类行业",[1]!s_info_industry_csrc12_n(W1554,公司分析!D$5,1),""))))))))</f>
        <v>航海装备Ⅱ</v>
      </c>
      <c r="Z1554" s="302" t="str">
        <f ca="1">IF(Y1554=行业比较!$E$6,ROW(),"")</f>
        <v/>
      </c>
      <c r="AA1554" s="122"/>
      <c r="AB1554" s="122"/>
      <c r="AC1554" s="122"/>
      <c r="AD1554" s="122"/>
      <c r="AE1554" s="122"/>
      <c r="AF1554" s="122"/>
      <c r="AG1554" s="122"/>
      <c r="AH1554" s="122"/>
      <c r="AI1554" s="122"/>
      <c r="AJ1554" s="122"/>
      <c r="AK1554" s="122"/>
      <c r="AL1554" s="122"/>
      <c r="AM1554" s="122"/>
      <c r="AN1554" s="122"/>
      <c r="AO1554" s="122"/>
      <c r="AP1554" s="122"/>
    </row>
    <row r="1555" spans="2:42">
      <c r="B1555" s="122"/>
      <c r="C1555" s="122"/>
      <c r="D1555" s="122"/>
      <c r="E1555" s="122"/>
      <c r="F1555" s="122"/>
      <c r="G1555" s="122"/>
      <c r="H1555" s="122"/>
      <c r="I1555" s="275"/>
      <c r="J1555" s="130"/>
      <c r="K1555" s="130"/>
      <c r="L1555" s="130"/>
      <c r="M1555" s="130"/>
      <c r="N1555" s="291"/>
      <c r="O1555" s="291"/>
      <c r="P1555" s="122"/>
      <c r="Q1555" s="122"/>
      <c r="R1555" s="122"/>
      <c r="S1555" s="122"/>
      <c r="T1555" s="122"/>
      <c r="U1555" s="301"/>
      <c r="V1555" s="260">
        <f t="shared" ca="1" si="32"/>
        <v>0</v>
      </c>
      <c r="W1555" s="348" t="str">
        <f>IF(板块成分!B1557="","",板块成分!B1557)</f>
        <v>300066.SZ</v>
      </c>
      <c r="X1555" s="276" t="str">
        <f>[1]!S_Info_Name(W1555)</f>
        <v>三川智慧</v>
      </c>
      <c r="Y1555" s="276" t="str">
        <f ca="1">IF($Y$3="申万一级行业",[1]!s_info_industry_sw_2021(W1555,公司分析!D$5,1),IF($Y$3="申万二级行业",[1]!s_info_industry_sw_2021(W1555,公司分析!D$5,2),IF($Y$3="申万三级行业",[1]!s_info_industry_sw_2021(W1555,公司分析!D$5,3),IF($Y$3="wind一级行业",[1]!s_info_industry_gics(W1555,1),IF($Y$3="wind二级行业",[1]!s_info_industry_gics(W1555,2),IF($Y$3="wind三级行业",[1]!s_info_industry_gics(W1555,3),IF($Y$3="wind四级行业",[1]!s_info_industry_gics(W1555,4),IF($Y$3="证监会门类行业",[1]!s_info_industry_csrc12_n(W1555,公司分析!D$5,1),""))))))))</f>
        <v>通用设备</v>
      </c>
      <c r="Z1555" s="302" t="str">
        <f ca="1">IF(Y1555=行业比较!$E$6,ROW(),"")</f>
        <v/>
      </c>
      <c r="AA1555" s="122"/>
      <c r="AB1555" s="122"/>
      <c r="AC1555" s="122"/>
      <c r="AD1555" s="122"/>
      <c r="AE1555" s="122"/>
      <c r="AF1555" s="122"/>
      <c r="AG1555" s="122"/>
      <c r="AH1555" s="122"/>
      <c r="AI1555" s="122"/>
      <c r="AJ1555" s="122"/>
      <c r="AK1555" s="122"/>
      <c r="AL1555" s="122"/>
      <c r="AM1555" s="122"/>
      <c r="AN1555" s="122"/>
      <c r="AO1555" s="122"/>
      <c r="AP1555" s="122"/>
    </row>
    <row r="1556" spans="2:42">
      <c r="B1556" s="122"/>
      <c r="C1556" s="122"/>
      <c r="D1556" s="122"/>
      <c r="E1556" s="122"/>
      <c r="F1556" s="122"/>
      <c r="G1556" s="122"/>
      <c r="H1556" s="122"/>
      <c r="I1556" s="275"/>
      <c r="J1556" s="130"/>
      <c r="K1556" s="130"/>
      <c r="L1556" s="130"/>
      <c r="M1556" s="130"/>
      <c r="N1556" s="291"/>
      <c r="O1556" s="291"/>
      <c r="P1556" s="122"/>
      <c r="Q1556" s="122"/>
      <c r="R1556" s="122"/>
      <c r="S1556" s="122"/>
      <c r="T1556" s="122"/>
      <c r="U1556" s="301"/>
      <c r="V1556" s="260">
        <f t="shared" ca="1" si="32"/>
        <v>0</v>
      </c>
      <c r="W1556" s="348" t="str">
        <f>IF(板块成分!B1558="","",板块成分!B1558)</f>
        <v>300067.SZ</v>
      </c>
      <c r="X1556" s="276" t="str">
        <f>[1]!S_Info_Name(W1556)</f>
        <v>安诺其</v>
      </c>
      <c r="Y1556" s="276" t="str">
        <f ca="1">IF($Y$3="申万一级行业",[1]!s_info_industry_sw_2021(W1556,公司分析!D$5,1),IF($Y$3="申万二级行业",[1]!s_info_industry_sw_2021(W1556,公司分析!D$5,2),IF($Y$3="申万三级行业",[1]!s_info_industry_sw_2021(W1556,公司分析!D$5,3),IF($Y$3="wind一级行业",[1]!s_info_industry_gics(W1556,1),IF($Y$3="wind二级行业",[1]!s_info_industry_gics(W1556,2),IF($Y$3="wind三级行业",[1]!s_info_industry_gics(W1556,3),IF($Y$3="wind四级行业",[1]!s_info_industry_gics(W1556,4),IF($Y$3="证监会门类行业",[1]!s_info_industry_csrc12_n(W1556,公司分析!D$5,1),""))))))))</f>
        <v>化学制品</v>
      </c>
      <c r="Z1556" s="302" t="str">
        <f ca="1">IF(Y1556=行业比较!$E$6,ROW(),"")</f>
        <v/>
      </c>
      <c r="AA1556" s="122"/>
      <c r="AB1556" s="122"/>
      <c r="AC1556" s="122"/>
      <c r="AD1556" s="122"/>
      <c r="AE1556" s="122"/>
      <c r="AF1556" s="122"/>
      <c r="AG1556" s="122"/>
      <c r="AH1556" s="122"/>
      <c r="AI1556" s="122"/>
      <c r="AJ1556" s="122"/>
      <c r="AK1556" s="122"/>
      <c r="AL1556" s="122"/>
      <c r="AM1556" s="122"/>
      <c r="AN1556" s="122"/>
      <c r="AO1556" s="122"/>
      <c r="AP1556" s="122"/>
    </row>
    <row r="1557" spans="2:42">
      <c r="B1557" s="122"/>
      <c r="C1557" s="122"/>
      <c r="D1557" s="122"/>
      <c r="E1557" s="122"/>
      <c r="F1557" s="122"/>
      <c r="G1557" s="122"/>
      <c r="H1557" s="122"/>
      <c r="I1557" s="275"/>
      <c r="J1557" s="130"/>
      <c r="K1557" s="130"/>
      <c r="L1557" s="130"/>
      <c r="M1557" s="130"/>
      <c r="N1557" s="291"/>
      <c r="O1557" s="291"/>
      <c r="P1557" s="122"/>
      <c r="Q1557" s="122"/>
      <c r="R1557" s="122"/>
      <c r="S1557" s="122"/>
      <c r="T1557" s="122"/>
      <c r="U1557" s="301"/>
      <c r="V1557" s="260">
        <f t="shared" ca="1" si="32"/>
        <v>0</v>
      </c>
      <c r="W1557" s="348" t="str">
        <f>IF(板块成分!B1559="","",板块成分!B1559)</f>
        <v>300068.SZ</v>
      </c>
      <c r="X1557" s="276" t="str">
        <f>[1]!S_Info_Name(W1557)</f>
        <v>南都电源</v>
      </c>
      <c r="Y1557" s="276" t="str">
        <f ca="1">IF($Y$3="申万一级行业",[1]!s_info_industry_sw_2021(W1557,公司分析!D$5,1),IF($Y$3="申万二级行业",[1]!s_info_industry_sw_2021(W1557,公司分析!D$5,2),IF($Y$3="申万三级行业",[1]!s_info_industry_sw_2021(W1557,公司分析!D$5,3),IF($Y$3="wind一级行业",[1]!s_info_industry_gics(W1557,1),IF($Y$3="wind二级行业",[1]!s_info_industry_gics(W1557,2),IF($Y$3="wind三级行业",[1]!s_info_industry_gics(W1557,3),IF($Y$3="wind四级行业",[1]!s_info_industry_gics(W1557,4),IF($Y$3="证监会门类行业",[1]!s_info_industry_csrc12_n(W1557,公司分析!D$5,1),""))))))))</f>
        <v>电池</v>
      </c>
      <c r="Z1557" s="302" t="str">
        <f ca="1">IF(Y1557=行业比较!$E$6,ROW(),"")</f>
        <v/>
      </c>
      <c r="AA1557" s="122"/>
      <c r="AB1557" s="122"/>
      <c r="AC1557" s="122"/>
      <c r="AD1557" s="122"/>
      <c r="AE1557" s="122"/>
      <c r="AF1557" s="122"/>
      <c r="AG1557" s="122"/>
      <c r="AH1557" s="122"/>
      <c r="AI1557" s="122"/>
      <c r="AJ1557" s="122"/>
      <c r="AK1557" s="122"/>
      <c r="AL1557" s="122"/>
      <c r="AM1557" s="122"/>
      <c r="AN1557" s="122"/>
      <c r="AO1557" s="122"/>
      <c r="AP1557" s="122"/>
    </row>
    <row r="1558" spans="2:42">
      <c r="B1558" s="122"/>
      <c r="C1558" s="122"/>
      <c r="D1558" s="122"/>
      <c r="E1558" s="122"/>
      <c r="F1558" s="122"/>
      <c r="G1558" s="122"/>
      <c r="H1558" s="122"/>
      <c r="I1558" s="275"/>
      <c r="J1558" s="130"/>
      <c r="K1558" s="130"/>
      <c r="L1558" s="130"/>
      <c r="M1558" s="130"/>
      <c r="N1558" s="291"/>
      <c r="O1558" s="291"/>
      <c r="P1558" s="122"/>
      <c r="Q1558" s="122"/>
      <c r="R1558" s="122"/>
      <c r="S1558" s="122"/>
      <c r="T1558" s="122"/>
      <c r="U1558" s="301"/>
      <c r="V1558" s="260">
        <f t="shared" ca="1" si="32"/>
        <v>0</v>
      </c>
      <c r="W1558" s="348" t="str">
        <f>IF(板块成分!B1560="","",板块成分!B1560)</f>
        <v>300069.SZ</v>
      </c>
      <c r="X1558" s="276" t="str">
        <f>[1]!S_Info_Name(W1558)</f>
        <v>金利华电</v>
      </c>
      <c r="Y1558" s="276" t="str">
        <f ca="1">IF($Y$3="申万一级行业",[1]!s_info_industry_sw_2021(W1558,公司分析!D$5,1),IF($Y$3="申万二级行业",[1]!s_info_industry_sw_2021(W1558,公司分析!D$5,2),IF($Y$3="申万三级行业",[1]!s_info_industry_sw_2021(W1558,公司分析!D$5,3),IF($Y$3="wind一级行业",[1]!s_info_industry_gics(W1558,1),IF($Y$3="wind二级行业",[1]!s_info_industry_gics(W1558,2),IF($Y$3="wind三级行业",[1]!s_info_industry_gics(W1558,3),IF($Y$3="wind四级行业",[1]!s_info_industry_gics(W1558,4),IF($Y$3="证监会门类行业",[1]!s_info_industry_csrc12_n(W1558,公司分析!D$5,1),""))))))))</f>
        <v>电网设备</v>
      </c>
      <c r="Z1558" s="302" t="str">
        <f ca="1">IF(Y1558=行业比较!$E$6,ROW(),"")</f>
        <v/>
      </c>
      <c r="AA1558" s="122"/>
      <c r="AB1558" s="122"/>
      <c r="AC1558" s="122"/>
      <c r="AD1558" s="122"/>
      <c r="AE1558" s="122"/>
      <c r="AF1558" s="122"/>
      <c r="AG1558" s="122"/>
      <c r="AH1558" s="122"/>
      <c r="AI1558" s="122"/>
      <c r="AJ1558" s="122"/>
      <c r="AK1558" s="122"/>
      <c r="AL1558" s="122"/>
      <c r="AM1558" s="122"/>
      <c r="AN1558" s="122"/>
      <c r="AO1558" s="122"/>
      <c r="AP1558" s="122"/>
    </row>
    <row r="1559" spans="2:42">
      <c r="B1559" s="122"/>
      <c r="C1559" s="122"/>
      <c r="D1559" s="122"/>
      <c r="E1559" s="122"/>
      <c r="F1559" s="122"/>
      <c r="G1559" s="122"/>
      <c r="H1559" s="122"/>
      <c r="I1559" s="275"/>
      <c r="J1559" s="130"/>
      <c r="K1559" s="130"/>
      <c r="L1559" s="130"/>
      <c r="M1559" s="130"/>
      <c r="N1559" s="291"/>
      <c r="O1559" s="291"/>
      <c r="P1559" s="122"/>
      <c r="Q1559" s="122"/>
      <c r="R1559" s="122"/>
      <c r="S1559" s="122"/>
      <c r="T1559" s="122"/>
      <c r="U1559" s="301"/>
      <c r="V1559" s="260">
        <f t="shared" ca="1" si="32"/>
        <v>0</v>
      </c>
      <c r="W1559" s="348" t="str">
        <f>IF(板块成分!B1561="","",板块成分!B1561)</f>
        <v>300070.SZ</v>
      </c>
      <c r="X1559" s="276" t="str">
        <f>[1]!S_Info_Name(W1559)</f>
        <v>碧水源</v>
      </c>
      <c r="Y1559" s="276" t="str">
        <f ca="1">IF($Y$3="申万一级行业",[1]!s_info_industry_sw_2021(W1559,公司分析!D$5,1),IF($Y$3="申万二级行业",[1]!s_info_industry_sw_2021(W1559,公司分析!D$5,2),IF($Y$3="申万三级行业",[1]!s_info_industry_sw_2021(W1559,公司分析!D$5,3),IF($Y$3="wind一级行业",[1]!s_info_industry_gics(W1559,1),IF($Y$3="wind二级行业",[1]!s_info_industry_gics(W1559,2),IF($Y$3="wind三级行业",[1]!s_info_industry_gics(W1559,3),IF($Y$3="wind四级行业",[1]!s_info_industry_gics(W1559,4),IF($Y$3="证监会门类行业",[1]!s_info_industry_csrc12_n(W1559,公司分析!D$5,1),""))))))))</f>
        <v>环境治理</v>
      </c>
      <c r="Z1559" s="302" t="str">
        <f ca="1">IF(Y1559=行业比较!$E$6,ROW(),"")</f>
        <v/>
      </c>
      <c r="AA1559" s="122"/>
      <c r="AB1559" s="122"/>
      <c r="AC1559" s="122"/>
      <c r="AD1559" s="122"/>
      <c r="AE1559" s="122"/>
      <c r="AF1559" s="122"/>
      <c r="AG1559" s="122"/>
      <c r="AH1559" s="122"/>
      <c r="AI1559" s="122"/>
      <c r="AJ1559" s="122"/>
      <c r="AK1559" s="122"/>
      <c r="AL1559" s="122"/>
      <c r="AM1559" s="122"/>
      <c r="AN1559" s="122"/>
      <c r="AO1559" s="122"/>
      <c r="AP1559" s="122"/>
    </row>
    <row r="1560" spans="2:42">
      <c r="B1560" s="122"/>
      <c r="C1560" s="122"/>
      <c r="D1560" s="122"/>
      <c r="E1560" s="122"/>
      <c r="F1560" s="122"/>
      <c r="G1560" s="122"/>
      <c r="H1560" s="122"/>
      <c r="I1560" s="275"/>
      <c r="J1560" s="130"/>
      <c r="K1560" s="130"/>
      <c r="L1560" s="130"/>
      <c r="M1560" s="130"/>
      <c r="N1560" s="291"/>
      <c r="O1560" s="291"/>
      <c r="P1560" s="122"/>
      <c r="Q1560" s="122"/>
      <c r="R1560" s="122"/>
      <c r="S1560" s="122"/>
      <c r="T1560" s="122"/>
      <c r="U1560" s="301"/>
      <c r="V1560" s="260">
        <f t="shared" ca="1" si="32"/>
        <v>0</v>
      </c>
      <c r="W1560" s="348" t="str">
        <f>IF(板块成分!B1562="","",板块成分!B1562)</f>
        <v>300071.SZ</v>
      </c>
      <c r="X1560" s="276" t="str">
        <f>[1]!S_Info_Name(W1560)</f>
        <v>福石控股</v>
      </c>
      <c r="Y1560" s="276" t="str">
        <f ca="1">IF($Y$3="申万一级行业",[1]!s_info_industry_sw_2021(W1560,公司分析!D$5,1),IF($Y$3="申万二级行业",[1]!s_info_industry_sw_2021(W1560,公司分析!D$5,2),IF($Y$3="申万三级行业",[1]!s_info_industry_sw_2021(W1560,公司分析!D$5,3),IF($Y$3="wind一级行业",[1]!s_info_industry_gics(W1560,1),IF($Y$3="wind二级行业",[1]!s_info_industry_gics(W1560,2),IF($Y$3="wind三级行业",[1]!s_info_industry_gics(W1560,3),IF($Y$3="wind四级行业",[1]!s_info_industry_gics(W1560,4),IF($Y$3="证监会门类行业",[1]!s_info_industry_csrc12_n(W1560,公司分析!D$5,1),""))))))))</f>
        <v>广告营销</v>
      </c>
      <c r="Z1560" s="302" t="str">
        <f ca="1">IF(Y1560=行业比较!$E$6,ROW(),"")</f>
        <v/>
      </c>
      <c r="AA1560" s="122"/>
      <c r="AB1560" s="122"/>
      <c r="AC1560" s="122"/>
      <c r="AD1560" s="122"/>
      <c r="AE1560" s="122"/>
      <c r="AF1560" s="122"/>
      <c r="AG1560" s="122"/>
      <c r="AH1560" s="122"/>
      <c r="AI1560" s="122"/>
      <c r="AJ1560" s="122"/>
      <c r="AK1560" s="122"/>
      <c r="AL1560" s="122"/>
      <c r="AM1560" s="122"/>
      <c r="AN1560" s="122"/>
      <c r="AO1560" s="122"/>
      <c r="AP1560" s="122"/>
    </row>
    <row r="1561" spans="2:42">
      <c r="B1561" s="122"/>
      <c r="C1561" s="122"/>
      <c r="D1561" s="122"/>
      <c r="E1561" s="122"/>
      <c r="F1561" s="122"/>
      <c r="G1561" s="122"/>
      <c r="H1561" s="122"/>
      <c r="I1561" s="275"/>
      <c r="J1561" s="130"/>
      <c r="K1561" s="130"/>
      <c r="L1561" s="130"/>
      <c r="M1561" s="130"/>
      <c r="N1561" s="291"/>
      <c r="O1561" s="291"/>
      <c r="P1561" s="122"/>
      <c r="Q1561" s="122"/>
      <c r="R1561" s="122"/>
      <c r="S1561" s="122"/>
      <c r="T1561" s="122"/>
      <c r="U1561" s="301"/>
      <c r="V1561" s="260">
        <f t="shared" ca="1" si="32"/>
        <v>0</v>
      </c>
      <c r="W1561" s="348" t="str">
        <f>IF(板块成分!B1563="","",板块成分!B1563)</f>
        <v>300072.SZ</v>
      </c>
      <c r="X1561" s="276" t="str">
        <f>[1]!S_Info_Name(W1561)</f>
        <v>海新能科</v>
      </c>
      <c r="Y1561" s="276" t="str">
        <f ca="1">IF($Y$3="申万一级行业",[1]!s_info_industry_sw_2021(W1561,公司分析!D$5,1),IF($Y$3="申万二级行业",[1]!s_info_industry_sw_2021(W1561,公司分析!D$5,2),IF($Y$3="申万三级行业",[1]!s_info_industry_sw_2021(W1561,公司分析!D$5,3),IF($Y$3="wind一级行业",[1]!s_info_industry_gics(W1561,1),IF($Y$3="wind二级行业",[1]!s_info_industry_gics(W1561,2),IF($Y$3="wind三级行业",[1]!s_info_industry_gics(W1561,3),IF($Y$3="wind四级行业",[1]!s_info_industry_gics(W1561,4),IF($Y$3="证监会门类行业",[1]!s_info_industry_csrc12_n(W1561,公司分析!D$5,1),""))))))))</f>
        <v>化学制品</v>
      </c>
      <c r="Z1561" s="302" t="str">
        <f ca="1">IF(Y1561=行业比较!$E$6,ROW(),"")</f>
        <v/>
      </c>
      <c r="AA1561" s="122"/>
      <c r="AB1561" s="122"/>
      <c r="AC1561" s="122"/>
      <c r="AD1561" s="122"/>
      <c r="AE1561" s="122"/>
      <c r="AF1561" s="122"/>
      <c r="AG1561" s="122"/>
      <c r="AH1561" s="122"/>
      <c r="AI1561" s="122"/>
      <c r="AJ1561" s="122"/>
      <c r="AK1561" s="122"/>
      <c r="AL1561" s="122"/>
      <c r="AM1561" s="122"/>
      <c r="AN1561" s="122"/>
      <c r="AO1561" s="122"/>
      <c r="AP1561" s="122"/>
    </row>
    <row r="1562" spans="2:42">
      <c r="B1562" s="122"/>
      <c r="C1562" s="122"/>
      <c r="D1562" s="122"/>
      <c r="E1562" s="122"/>
      <c r="F1562" s="122"/>
      <c r="G1562" s="122"/>
      <c r="H1562" s="122"/>
      <c r="I1562" s="275"/>
      <c r="J1562" s="130"/>
      <c r="K1562" s="130"/>
      <c r="L1562" s="130"/>
      <c r="M1562" s="130"/>
      <c r="N1562" s="291"/>
      <c r="O1562" s="291"/>
      <c r="P1562" s="122"/>
      <c r="Q1562" s="122"/>
      <c r="R1562" s="122"/>
      <c r="S1562" s="122"/>
      <c r="T1562" s="122"/>
      <c r="U1562" s="301"/>
      <c r="V1562" s="260">
        <f t="shared" ca="1" si="32"/>
        <v>0</v>
      </c>
      <c r="W1562" s="348" t="str">
        <f>IF(板块成分!B1564="","",板块成分!B1564)</f>
        <v>300073.SZ</v>
      </c>
      <c r="X1562" s="276" t="str">
        <f>[1]!S_Info_Name(W1562)</f>
        <v>当升科技</v>
      </c>
      <c r="Y1562" s="276" t="str">
        <f ca="1">IF($Y$3="申万一级行业",[1]!s_info_industry_sw_2021(W1562,公司分析!D$5,1),IF($Y$3="申万二级行业",[1]!s_info_industry_sw_2021(W1562,公司分析!D$5,2),IF($Y$3="申万三级行业",[1]!s_info_industry_sw_2021(W1562,公司分析!D$5,3),IF($Y$3="wind一级行业",[1]!s_info_industry_gics(W1562,1),IF($Y$3="wind二级行业",[1]!s_info_industry_gics(W1562,2),IF($Y$3="wind三级行业",[1]!s_info_industry_gics(W1562,3),IF($Y$3="wind四级行业",[1]!s_info_industry_gics(W1562,4),IF($Y$3="证监会门类行业",[1]!s_info_industry_csrc12_n(W1562,公司分析!D$5,1),""))))))))</f>
        <v>电池</v>
      </c>
      <c r="Z1562" s="302" t="str">
        <f ca="1">IF(Y1562=行业比较!$E$6,ROW(),"")</f>
        <v/>
      </c>
      <c r="AA1562" s="122"/>
      <c r="AB1562" s="122"/>
      <c r="AC1562" s="122"/>
      <c r="AD1562" s="122"/>
      <c r="AE1562" s="122"/>
      <c r="AF1562" s="122"/>
      <c r="AG1562" s="122"/>
      <c r="AH1562" s="122"/>
      <c r="AI1562" s="122"/>
      <c r="AJ1562" s="122"/>
      <c r="AK1562" s="122"/>
      <c r="AL1562" s="122"/>
      <c r="AM1562" s="122"/>
      <c r="AN1562" s="122"/>
      <c r="AO1562" s="122"/>
      <c r="AP1562" s="122"/>
    </row>
    <row r="1563" spans="2:42">
      <c r="B1563" s="122"/>
      <c r="C1563" s="122"/>
      <c r="D1563" s="122"/>
      <c r="E1563" s="122"/>
      <c r="F1563" s="122"/>
      <c r="G1563" s="122"/>
      <c r="H1563" s="122"/>
      <c r="I1563" s="275"/>
      <c r="J1563" s="130"/>
      <c r="K1563" s="130"/>
      <c r="L1563" s="130"/>
      <c r="M1563" s="130"/>
      <c r="N1563" s="291"/>
      <c r="O1563" s="291"/>
      <c r="P1563" s="122"/>
      <c r="Q1563" s="122"/>
      <c r="R1563" s="122"/>
      <c r="S1563" s="122"/>
      <c r="T1563" s="122"/>
      <c r="U1563" s="301"/>
      <c r="V1563" s="260">
        <f t="shared" ca="1" si="32"/>
        <v>0</v>
      </c>
      <c r="W1563" s="348" t="str">
        <f>IF(板块成分!B1565="","",板块成分!B1565)</f>
        <v>300074.SZ</v>
      </c>
      <c r="X1563" s="276" t="str">
        <f>[1]!S_Info_Name(W1563)</f>
        <v>华平股份</v>
      </c>
      <c r="Y1563" s="276" t="str">
        <f ca="1">IF($Y$3="申万一级行业",[1]!s_info_industry_sw_2021(W1563,公司分析!D$5,1),IF($Y$3="申万二级行业",[1]!s_info_industry_sw_2021(W1563,公司分析!D$5,2),IF($Y$3="申万三级行业",[1]!s_info_industry_sw_2021(W1563,公司分析!D$5,3),IF($Y$3="wind一级行业",[1]!s_info_industry_gics(W1563,1),IF($Y$3="wind二级行业",[1]!s_info_industry_gics(W1563,2),IF($Y$3="wind三级行业",[1]!s_info_industry_gics(W1563,3),IF($Y$3="wind四级行业",[1]!s_info_industry_gics(W1563,4),IF($Y$3="证监会门类行业",[1]!s_info_industry_csrc12_n(W1563,公司分析!D$5,1),""))))))))</f>
        <v>软件开发</v>
      </c>
      <c r="Z1563" s="302" t="str">
        <f ca="1">IF(Y1563=行业比较!$E$6,ROW(),"")</f>
        <v/>
      </c>
      <c r="AA1563" s="122"/>
      <c r="AB1563" s="122"/>
      <c r="AC1563" s="122"/>
      <c r="AD1563" s="122"/>
      <c r="AE1563" s="122"/>
      <c r="AF1563" s="122"/>
      <c r="AG1563" s="122"/>
      <c r="AH1563" s="122"/>
      <c r="AI1563" s="122"/>
      <c r="AJ1563" s="122"/>
      <c r="AK1563" s="122"/>
      <c r="AL1563" s="122"/>
      <c r="AM1563" s="122"/>
      <c r="AN1563" s="122"/>
      <c r="AO1563" s="122"/>
      <c r="AP1563" s="122"/>
    </row>
    <row r="1564" spans="2:42">
      <c r="B1564" s="122"/>
      <c r="C1564" s="122"/>
      <c r="D1564" s="122"/>
      <c r="E1564" s="122"/>
      <c r="F1564" s="122"/>
      <c r="G1564" s="122"/>
      <c r="H1564" s="122"/>
      <c r="I1564" s="275"/>
      <c r="J1564" s="130"/>
      <c r="K1564" s="130"/>
      <c r="L1564" s="130"/>
      <c r="M1564" s="130"/>
      <c r="N1564" s="291"/>
      <c r="O1564" s="291"/>
      <c r="P1564" s="122"/>
      <c r="Q1564" s="122"/>
      <c r="R1564" s="122"/>
      <c r="S1564" s="122"/>
      <c r="T1564" s="122"/>
      <c r="U1564" s="301"/>
      <c r="V1564" s="260">
        <f t="shared" ca="1" si="32"/>
        <v>0</v>
      </c>
      <c r="W1564" s="348" t="str">
        <f>IF(板块成分!B1566="","",板块成分!B1566)</f>
        <v>300075.SZ</v>
      </c>
      <c r="X1564" s="276" t="str">
        <f>[1]!S_Info_Name(W1564)</f>
        <v>数字政通</v>
      </c>
      <c r="Y1564" s="276" t="str">
        <f ca="1">IF($Y$3="申万一级行业",[1]!s_info_industry_sw_2021(W1564,公司分析!D$5,1),IF($Y$3="申万二级行业",[1]!s_info_industry_sw_2021(W1564,公司分析!D$5,2),IF($Y$3="申万三级行业",[1]!s_info_industry_sw_2021(W1564,公司分析!D$5,3),IF($Y$3="wind一级行业",[1]!s_info_industry_gics(W1564,1),IF($Y$3="wind二级行业",[1]!s_info_industry_gics(W1564,2),IF($Y$3="wind三级行业",[1]!s_info_industry_gics(W1564,3),IF($Y$3="wind四级行业",[1]!s_info_industry_gics(W1564,4),IF($Y$3="证监会门类行业",[1]!s_info_industry_csrc12_n(W1564,公司分析!D$5,1),""))))))))</f>
        <v>软件开发</v>
      </c>
      <c r="Z1564" s="302" t="str">
        <f ca="1">IF(Y1564=行业比较!$E$6,ROW(),"")</f>
        <v/>
      </c>
      <c r="AA1564" s="122"/>
      <c r="AB1564" s="122"/>
      <c r="AC1564" s="122"/>
      <c r="AD1564" s="122"/>
      <c r="AE1564" s="122"/>
      <c r="AF1564" s="122"/>
      <c r="AG1564" s="122"/>
      <c r="AH1564" s="122"/>
      <c r="AI1564" s="122"/>
      <c r="AJ1564" s="122"/>
      <c r="AK1564" s="122"/>
      <c r="AL1564" s="122"/>
      <c r="AM1564" s="122"/>
      <c r="AN1564" s="122"/>
      <c r="AO1564" s="122"/>
      <c r="AP1564" s="122"/>
    </row>
    <row r="1565" spans="2:42">
      <c r="B1565" s="122"/>
      <c r="C1565" s="122"/>
      <c r="D1565" s="122"/>
      <c r="E1565" s="122"/>
      <c r="F1565" s="122"/>
      <c r="G1565" s="122"/>
      <c r="H1565" s="122"/>
      <c r="I1565" s="275"/>
      <c r="J1565" s="130"/>
      <c r="K1565" s="130"/>
      <c r="L1565" s="130"/>
      <c r="M1565" s="130"/>
      <c r="N1565" s="291"/>
      <c r="O1565" s="291"/>
      <c r="P1565" s="122"/>
      <c r="Q1565" s="122"/>
      <c r="R1565" s="122"/>
      <c r="S1565" s="122"/>
      <c r="T1565" s="122"/>
      <c r="U1565" s="301"/>
      <c r="V1565" s="260">
        <f t="shared" ca="1" si="32"/>
        <v>0</v>
      </c>
      <c r="W1565" s="348" t="str">
        <f>IF(板块成分!B1567="","",板块成分!B1567)</f>
        <v>300076.SZ</v>
      </c>
      <c r="X1565" s="276" t="str">
        <f>[1]!S_Info_Name(W1565)</f>
        <v>GQY视讯</v>
      </c>
      <c r="Y1565" s="276" t="str">
        <f ca="1">IF($Y$3="申万一级行业",[1]!s_info_industry_sw_2021(W1565,公司分析!D$5,1),IF($Y$3="申万二级行业",[1]!s_info_industry_sw_2021(W1565,公司分析!D$5,2),IF($Y$3="申万三级行业",[1]!s_info_industry_sw_2021(W1565,公司分析!D$5,3),IF($Y$3="wind一级行业",[1]!s_info_industry_gics(W1565,1),IF($Y$3="wind二级行业",[1]!s_info_industry_gics(W1565,2),IF($Y$3="wind三级行业",[1]!s_info_industry_gics(W1565,3),IF($Y$3="wind四级行业",[1]!s_info_industry_gics(W1565,4),IF($Y$3="证监会门类行业",[1]!s_info_industry_csrc12_n(W1565,公司分析!D$5,1),""))))))))</f>
        <v>光学光电子</v>
      </c>
      <c r="Z1565" s="302" t="str">
        <f ca="1">IF(Y1565=行业比较!$E$6,ROW(),"")</f>
        <v/>
      </c>
      <c r="AA1565" s="122"/>
      <c r="AB1565" s="122"/>
      <c r="AC1565" s="122"/>
      <c r="AD1565" s="122"/>
      <c r="AE1565" s="122"/>
      <c r="AF1565" s="122"/>
      <c r="AG1565" s="122"/>
      <c r="AH1565" s="122"/>
      <c r="AI1565" s="122"/>
      <c r="AJ1565" s="122"/>
      <c r="AK1565" s="122"/>
      <c r="AL1565" s="122"/>
      <c r="AM1565" s="122"/>
      <c r="AN1565" s="122"/>
      <c r="AO1565" s="122"/>
      <c r="AP1565" s="122"/>
    </row>
    <row r="1566" spans="2:42">
      <c r="B1566" s="122"/>
      <c r="C1566" s="122"/>
      <c r="D1566" s="122"/>
      <c r="E1566" s="122"/>
      <c r="F1566" s="122"/>
      <c r="G1566" s="122"/>
      <c r="H1566" s="122"/>
      <c r="I1566" s="275"/>
      <c r="J1566" s="130"/>
      <c r="K1566" s="130"/>
      <c r="L1566" s="130"/>
      <c r="M1566" s="130"/>
      <c r="N1566" s="291"/>
      <c r="O1566" s="291"/>
      <c r="P1566" s="122"/>
      <c r="Q1566" s="122"/>
      <c r="R1566" s="122"/>
      <c r="S1566" s="122"/>
      <c r="T1566" s="122"/>
      <c r="U1566" s="301"/>
      <c r="V1566" s="260">
        <f t="shared" ca="1" si="32"/>
        <v>0</v>
      </c>
      <c r="W1566" s="348" t="str">
        <f>IF(板块成分!B1568="","",板块成分!B1568)</f>
        <v>300077.SZ</v>
      </c>
      <c r="X1566" s="276" t="str">
        <f>[1]!S_Info_Name(W1566)</f>
        <v>国民技术</v>
      </c>
      <c r="Y1566" s="276" t="str">
        <f ca="1">IF($Y$3="申万一级行业",[1]!s_info_industry_sw_2021(W1566,公司分析!D$5,1),IF($Y$3="申万二级行业",[1]!s_info_industry_sw_2021(W1566,公司分析!D$5,2),IF($Y$3="申万三级行业",[1]!s_info_industry_sw_2021(W1566,公司分析!D$5,3),IF($Y$3="wind一级行业",[1]!s_info_industry_gics(W1566,1),IF($Y$3="wind二级行业",[1]!s_info_industry_gics(W1566,2),IF($Y$3="wind三级行业",[1]!s_info_industry_gics(W1566,3),IF($Y$3="wind四级行业",[1]!s_info_industry_gics(W1566,4),IF($Y$3="证监会门类行业",[1]!s_info_industry_csrc12_n(W1566,公司分析!D$5,1),""))))))))</f>
        <v>半导体</v>
      </c>
      <c r="Z1566" s="302" t="str">
        <f ca="1">IF(Y1566=行业比较!$E$6,ROW(),"")</f>
        <v/>
      </c>
      <c r="AA1566" s="122"/>
      <c r="AB1566" s="122"/>
      <c r="AC1566" s="122"/>
      <c r="AD1566" s="122"/>
      <c r="AE1566" s="122"/>
      <c r="AF1566" s="122"/>
      <c r="AG1566" s="122"/>
      <c r="AH1566" s="122"/>
      <c r="AI1566" s="122"/>
      <c r="AJ1566" s="122"/>
      <c r="AK1566" s="122"/>
      <c r="AL1566" s="122"/>
      <c r="AM1566" s="122"/>
      <c r="AN1566" s="122"/>
      <c r="AO1566" s="122"/>
      <c r="AP1566" s="122"/>
    </row>
    <row r="1567" spans="2:42">
      <c r="B1567" s="122"/>
      <c r="C1567" s="122"/>
      <c r="D1567" s="122"/>
      <c r="E1567" s="122"/>
      <c r="F1567" s="122"/>
      <c r="G1567" s="122"/>
      <c r="H1567" s="122"/>
      <c r="I1567" s="275"/>
      <c r="J1567" s="130"/>
      <c r="K1567" s="130"/>
      <c r="L1567" s="130"/>
      <c r="M1567" s="130"/>
      <c r="N1567" s="291"/>
      <c r="O1567" s="291"/>
      <c r="P1567" s="122"/>
      <c r="Q1567" s="122"/>
      <c r="R1567" s="122"/>
      <c r="S1567" s="122"/>
      <c r="T1567" s="122"/>
      <c r="U1567" s="301"/>
      <c r="V1567" s="260">
        <f t="shared" ca="1" si="32"/>
        <v>0</v>
      </c>
      <c r="W1567" s="348" t="str">
        <f>IF(板块成分!B1569="","",板块成分!B1569)</f>
        <v>300078.SZ</v>
      </c>
      <c r="X1567" s="276" t="str">
        <f>[1]!S_Info_Name(W1567)</f>
        <v>思创智联</v>
      </c>
      <c r="Y1567" s="276" t="str">
        <f ca="1">IF($Y$3="申万一级行业",[1]!s_info_industry_sw_2021(W1567,公司分析!D$5,1),IF($Y$3="申万二级行业",[1]!s_info_industry_sw_2021(W1567,公司分析!D$5,2),IF($Y$3="申万三级行业",[1]!s_info_industry_sw_2021(W1567,公司分析!D$5,3),IF($Y$3="wind一级行业",[1]!s_info_industry_gics(W1567,1),IF($Y$3="wind二级行业",[1]!s_info_industry_gics(W1567,2),IF($Y$3="wind三级行业",[1]!s_info_industry_gics(W1567,3),IF($Y$3="wind四级行业",[1]!s_info_industry_gics(W1567,4),IF($Y$3="证监会门类行业",[1]!s_info_industry_csrc12_n(W1567,公司分析!D$5,1),""))))))))</f>
        <v>IT服务Ⅱ</v>
      </c>
      <c r="Z1567" s="302" t="str">
        <f ca="1">IF(Y1567=行业比较!$E$6,ROW(),"")</f>
        <v/>
      </c>
      <c r="AA1567" s="122"/>
      <c r="AB1567" s="122"/>
      <c r="AC1567" s="122"/>
      <c r="AD1567" s="122"/>
      <c r="AE1567" s="122"/>
      <c r="AF1567" s="122"/>
      <c r="AG1567" s="122"/>
      <c r="AH1567" s="122"/>
      <c r="AI1567" s="122"/>
      <c r="AJ1567" s="122"/>
      <c r="AK1567" s="122"/>
      <c r="AL1567" s="122"/>
      <c r="AM1567" s="122"/>
      <c r="AN1567" s="122"/>
      <c r="AO1567" s="122"/>
      <c r="AP1567" s="122"/>
    </row>
    <row r="1568" spans="2:42">
      <c r="B1568" s="122"/>
      <c r="C1568" s="122"/>
      <c r="D1568" s="122"/>
      <c r="E1568" s="122"/>
      <c r="F1568" s="122"/>
      <c r="G1568" s="122"/>
      <c r="H1568" s="122"/>
      <c r="I1568" s="275"/>
      <c r="J1568" s="130"/>
      <c r="K1568" s="130"/>
      <c r="L1568" s="130"/>
      <c r="M1568" s="130"/>
      <c r="N1568" s="291"/>
      <c r="O1568" s="291"/>
      <c r="P1568" s="122"/>
      <c r="Q1568" s="122"/>
      <c r="R1568" s="122"/>
      <c r="S1568" s="122"/>
      <c r="T1568" s="122"/>
      <c r="U1568" s="301"/>
      <c r="V1568" s="260">
        <f t="shared" ca="1" si="32"/>
        <v>0</v>
      </c>
      <c r="W1568" s="348" t="str">
        <f>IF(板块成分!B1570="","",板块成分!B1570)</f>
        <v>300079.SZ</v>
      </c>
      <c r="X1568" s="276" t="str">
        <f>[1]!S_Info_Name(W1568)</f>
        <v>数码视讯</v>
      </c>
      <c r="Y1568" s="276" t="str">
        <f ca="1">IF($Y$3="申万一级行业",[1]!s_info_industry_sw_2021(W1568,公司分析!D$5,1),IF($Y$3="申万二级行业",[1]!s_info_industry_sw_2021(W1568,公司分析!D$5,2),IF($Y$3="申万三级行业",[1]!s_info_industry_sw_2021(W1568,公司分析!D$5,3),IF($Y$3="wind一级行业",[1]!s_info_industry_gics(W1568,1),IF($Y$3="wind二级行业",[1]!s_info_industry_gics(W1568,2),IF($Y$3="wind三级行业",[1]!s_info_industry_gics(W1568,3),IF($Y$3="wind四级行业",[1]!s_info_industry_gics(W1568,4),IF($Y$3="证监会门类行业",[1]!s_info_industry_csrc12_n(W1568,公司分析!D$5,1),""))))))))</f>
        <v>IT服务Ⅱ</v>
      </c>
      <c r="Z1568" s="302" t="str">
        <f ca="1">IF(Y1568=行业比较!$E$6,ROW(),"")</f>
        <v/>
      </c>
      <c r="AA1568" s="122"/>
      <c r="AB1568" s="122"/>
      <c r="AC1568" s="122"/>
      <c r="AD1568" s="122"/>
      <c r="AE1568" s="122"/>
      <c r="AF1568" s="122"/>
      <c r="AG1568" s="122"/>
      <c r="AH1568" s="122"/>
      <c r="AI1568" s="122"/>
      <c r="AJ1568" s="122"/>
      <c r="AK1568" s="122"/>
      <c r="AL1568" s="122"/>
      <c r="AM1568" s="122"/>
      <c r="AN1568" s="122"/>
      <c r="AO1568" s="122"/>
      <c r="AP1568" s="122"/>
    </row>
    <row r="1569" spans="2:42">
      <c r="B1569" s="122"/>
      <c r="C1569" s="122"/>
      <c r="D1569" s="122"/>
      <c r="E1569" s="122"/>
      <c r="F1569" s="122"/>
      <c r="G1569" s="122"/>
      <c r="H1569" s="122"/>
      <c r="I1569" s="275"/>
      <c r="J1569" s="130"/>
      <c r="K1569" s="130"/>
      <c r="L1569" s="130"/>
      <c r="M1569" s="130"/>
      <c r="N1569" s="291"/>
      <c r="O1569" s="291"/>
      <c r="P1569" s="122"/>
      <c r="Q1569" s="122"/>
      <c r="R1569" s="122"/>
      <c r="S1569" s="122"/>
      <c r="T1569" s="122"/>
      <c r="U1569" s="301"/>
      <c r="V1569" s="260">
        <f t="shared" ca="1" si="32"/>
        <v>0</v>
      </c>
      <c r="W1569" s="348" t="str">
        <f>IF(板块成分!B1571="","",板块成分!B1571)</f>
        <v>300080.SZ</v>
      </c>
      <c r="X1569" s="276" t="str">
        <f>[1]!S_Info_Name(W1569)</f>
        <v>易成新能</v>
      </c>
      <c r="Y1569" s="276" t="str">
        <f ca="1">IF($Y$3="申万一级行业",[1]!s_info_industry_sw_2021(W1569,公司分析!D$5,1),IF($Y$3="申万二级行业",[1]!s_info_industry_sw_2021(W1569,公司分析!D$5,2),IF($Y$3="申万三级行业",[1]!s_info_industry_sw_2021(W1569,公司分析!D$5,3),IF($Y$3="wind一级行业",[1]!s_info_industry_gics(W1569,1),IF($Y$3="wind二级行业",[1]!s_info_industry_gics(W1569,2),IF($Y$3="wind三级行业",[1]!s_info_industry_gics(W1569,3),IF($Y$3="wind四级行业",[1]!s_info_industry_gics(W1569,4),IF($Y$3="证监会门类行业",[1]!s_info_industry_csrc12_n(W1569,公司分析!D$5,1),""))))))))</f>
        <v>光伏设备</v>
      </c>
      <c r="Z1569" s="302" t="str">
        <f ca="1">IF(Y1569=行业比较!$E$6,ROW(),"")</f>
        <v/>
      </c>
      <c r="AA1569" s="122"/>
      <c r="AB1569" s="122"/>
      <c r="AC1569" s="122"/>
      <c r="AD1569" s="122"/>
      <c r="AE1569" s="122"/>
      <c r="AF1569" s="122"/>
      <c r="AG1569" s="122"/>
      <c r="AH1569" s="122"/>
      <c r="AI1569" s="122"/>
      <c r="AJ1569" s="122"/>
      <c r="AK1569" s="122"/>
      <c r="AL1569" s="122"/>
      <c r="AM1569" s="122"/>
      <c r="AN1569" s="122"/>
      <c r="AO1569" s="122"/>
      <c r="AP1569" s="122"/>
    </row>
    <row r="1570" spans="2:42">
      <c r="B1570" s="122"/>
      <c r="C1570" s="122"/>
      <c r="D1570" s="122"/>
      <c r="E1570" s="122"/>
      <c r="F1570" s="122"/>
      <c r="G1570" s="122"/>
      <c r="H1570" s="122"/>
      <c r="I1570" s="275"/>
      <c r="J1570" s="130"/>
      <c r="K1570" s="130"/>
      <c r="L1570" s="130"/>
      <c r="M1570" s="130"/>
      <c r="N1570" s="291"/>
      <c r="O1570" s="291"/>
      <c r="P1570" s="122"/>
      <c r="Q1570" s="122"/>
      <c r="R1570" s="122"/>
      <c r="S1570" s="122"/>
      <c r="T1570" s="122"/>
      <c r="U1570" s="301"/>
      <c r="V1570" s="260">
        <f t="shared" ca="1" si="32"/>
        <v>0</v>
      </c>
      <c r="W1570" s="348" t="str">
        <f>IF(板块成分!B1572="","",板块成分!B1572)</f>
        <v>300081.SZ</v>
      </c>
      <c r="X1570" s="276" t="str">
        <f>[1]!S_Info_Name(W1570)</f>
        <v>恒信东方</v>
      </c>
      <c r="Y1570" s="276" t="str">
        <f ca="1">IF($Y$3="申万一级行业",[1]!s_info_industry_sw_2021(W1570,公司分析!D$5,1),IF($Y$3="申万二级行业",[1]!s_info_industry_sw_2021(W1570,公司分析!D$5,2),IF($Y$3="申万三级行业",[1]!s_info_industry_sw_2021(W1570,公司分析!D$5,3),IF($Y$3="wind一级行业",[1]!s_info_industry_gics(W1570,1),IF($Y$3="wind二级行业",[1]!s_info_industry_gics(W1570,2),IF($Y$3="wind三级行业",[1]!s_info_industry_gics(W1570,3),IF($Y$3="wind四级行业",[1]!s_info_industry_gics(W1570,4),IF($Y$3="证监会门类行业",[1]!s_info_industry_csrc12_n(W1570,公司分析!D$5,1),""))))))))</f>
        <v>通信服务</v>
      </c>
      <c r="Z1570" s="302" t="str">
        <f ca="1">IF(Y1570=行业比较!$E$6,ROW(),"")</f>
        <v/>
      </c>
      <c r="AA1570" s="122"/>
      <c r="AB1570" s="122"/>
      <c r="AC1570" s="122"/>
      <c r="AD1570" s="122"/>
      <c r="AE1570" s="122"/>
      <c r="AF1570" s="122"/>
      <c r="AG1570" s="122"/>
      <c r="AH1570" s="122"/>
      <c r="AI1570" s="122"/>
      <c r="AJ1570" s="122"/>
      <c r="AK1570" s="122"/>
      <c r="AL1570" s="122"/>
      <c r="AM1570" s="122"/>
      <c r="AN1570" s="122"/>
      <c r="AO1570" s="122"/>
      <c r="AP1570" s="122"/>
    </row>
    <row r="1571" spans="2:42">
      <c r="B1571" s="122"/>
      <c r="C1571" s="122"/>
      <c r="D1571" s="122"/>
      <c r="E1571" s="122"/>
      <c r="F1571" s="122"/>
      <c r="G1571" s="122"/>
      <c r="H1571" s="122"/>
      <c r="I1571" s="275"/>
      <c r="J1571" s="130"/>
      <c r="K1571" s="130"/>
      <c r="L1571" s="130"/>
      <c r="M1571" s="130"/>
      <c r="N1571" s="291"/>
      <c r="O1571" s="291"/>
      <c r="P1571" s="122"/>
      <c r="Q1571" s="122"/>
      <c r="R1571" s="122"/>
      <c r="S1571" s="122"/>
      <c r="T1571" s="122"/>
      <c r="U1571" s="301"/>
      <c r="V1571" s="260">
        <f t="shared" ca="1" si="32"/>
        <v>0</v>
      </c>
      <c r="W1571" s="348" t="str">
        <f>IF(板块成分!B1573="","",板块成分!B1573)</f>
        <v>300082.SZ</v>
      </c>
      <c r="X1571" s="276" t="str">
        <f>[1]!S_Info_Name(W1571)</f>
        <v>奥克股份</v>
      </c>
      <c r="Y1571" s="276" t="str">
        <f ca="1">IF($Y$3="申万一级行业",[1]!s_info_industry_sw_2021(W1571,公司分析!D$5,1),IF($Y$3="申万二级行业",[1]!s_info_industry_sw_2021(W1571,公司分析!D$5,2),IF($Y$3="申万三级行业",[1]!s_info_industry_sw_2021(W1571,公司分析!D$5,3),IF($Y$3="wind一级行业",[1]!s_info_industry_gics(W1571,1),IF($Y$3="wind二级行业",[1]!s_info_industry_gics(W1571,2),IF($Y$3="wind三级行业",[1]!s_info_industry_gics(W1571,3),IF($Y$3="wind四级行业",[1]!s_info_industry_gics(W1571,4),IF($Y$3="证监会门类行业",[1]!s_info_industry_csrc12_n(W1571,公司分析!D$5,1),""))))))))</f>
        <v>化学原料</v>
      </c>
      <c r="Z1571" s="302" t="str">
        <f ca="1">IF(Y1571=行业比较!$E$6,ROW(),"")</f>
        <v/>
      </c>
      <c r="AA1571" s="122"/>
      <c r="AB1571" s="122"/>
      <c r="AC1571" s="122"/>
      <c r="AD1571" s="122"/>
      <c r="AE1571" s="122"/>
      <c r="AF1571" s="122"/>
      <c r="AG1571" s="122"/>
      <c r="AH1571" s="122"/>
      <c r="AI1571" s="122"/>
      <c r="AJ1571" s="122"/>
      <c r="AK1571" s="122"/>
      <c r="AL1571" s="122"/>
      <c r="AM1571" s="122"/>
      <c r="AN1571" s="122"/>
      <c r="AO1571" s="122"/>
      <c r="AP1571" s="122"/>
    </row>
    <row r="1572" spans="2:42">
      <c r="B1572" s="122"/>
      <c r="C1572" s="122"/>
      <c r="D1572" s="122"/>
      <c r="E1572" s="122"/>
      <c r="F1572" s="122"/>
      <c r="G1572" s="122"/>
      <c r="H1572" s="122"/>
      <c r="I1572" s="275"/>
      <c r="J1572" s="130"/>
      <c r="K1572" s="130"/>
      <c r="L1572" s="130"/>
      <c r="M1572" s="130"/>
      <c r="N1572" s="291"/>
      <c r="O1572" s="291"/>
      <c r="P1572" s="122"/>
      <c r="Q1572" s="122"/>
      <c r="R1572" s="122"/>
      <c r="S1572" s="122"/>
      <c r="T1572" s="122"/>
      <c r="U1572" s="301"/>
      <c r="V1572" s="260">
        <f t="shared" ca="1" si="32"/>
        <v>0</v>
      </c>
      <c r="W1572" s="348" t="str">
        <f>IF(板块成分!B1574="","",板块成分!B1574)</f>
        <v>300083.SZ</v>
      </c>
      <c r="X1572" s="276" t="str">
        <f>[1]!S_Info_Name(W1572)</f>
        <v>创世纪</v>
      </c>
      <c r="Y1572" s="276" t="str">
        <f ca="1">IF($Y$3="申万一级行业",[1]!s_info_industry_sw_2021(W1572,公司分析!D$5,1),IF($Y$3="申万二级行业",[1]!s_info_industry_sw_2021(W1572,公司分析!D$5,2),IF($Y$3="申万三级行业",[1]!s_info_industry_sw_2021(W1572,公司分析!D$5,3),IF($Y$3="wind一级行业",[1]!s_info_industry_gics(W1572,1),IF($Y$3="wind二级行业",[1]!s_info_industry_gics(W1572,2),IF($Y$3="wind三级行业",[1]!s_info_industry_gics(W1572,3),IF($Y$3="wind四级行业",[1]!s_info_industry_gics(W1572,4),IF($Y$3="证监会门类行业",[1]!s_info_industry_csrc12_n(W1572,公司分析!D$5,1),""))))))))</f>
        <v>自动化设备</v>
      </c>
      <c r="Z1572" s="302" t="str">
        <f ca="1">IF(Y1572=行业比较!$E$6,ROW(),"")</f>
        <v/>
      </c>
      <c r="AA1572" s="122"/>
      <c r="AB1572" s="122"/>
      <c r="AC1572" s="122"/>
      <c r="AD1572" s="122"/>
      <c r="AE1572" s="122"/>
      <c r="AF1572" s="122"/>
      <c r="AG1572" s="122"/>
      <c r="AH1572" s="122"/>
      <c r="AI1572" s="122"/>
      <c r="AJ1572" s="122"/>
      <c r="AK1572" s="122"/>
      <c r="AL1572" s="122"/>
      <c r="AM1572" s="122"/>
      <c r="AN1572" s="122"/>
      <c r="AO1572" s="122"/>
      <c r="AP1572" s="122"/>
    </row>
    <row r="1573" spans="2:42">
      <c r="B1573" s="122"/>
      <c r="C1573" s="122"/>
      <c r="D1573" s="122"/>
      <c r="E1573" s="122"/>
      <c r="F1573" s="122"/>
      <c r="G1573" s="122"/>
      <c r="H1573" s="122"/>
      <c r="I1573" s="275"/>
      <c r="J1573" s="130"/>
      <c r="K1573" s="130"/>
      <c r="L1573" s="130"/>
      <c r="M1573" s="130"/>
      <c r="N1573" s="291"/>
      <c r="O1573" s="291"/>
      <c r="P1573" s="122"/>
      <c r="Q1573" s="122"/>
      <c r="R1573" s="122"/>
      <c r="S1573" s="122"/>
      <c r="T1573" s="122"/>
      <c r="U1573" s="301"/>
      <c r="V1573" s="260">
        <f t="shared" ca="1" si="32"/>
        <v>0</v>
      </c>
      <c r="W1573" s="348" t="str">
        <f>IF(板块成分!B1575="","",板块成分!B1575)</f>
        <v>300084.SZ</v>
      </c>
      <c r="X1573" s="276" t="str">
        <f>[1]!S_Info_Name(W1573)</f>
        <v>海默科技</v>
      </c>
      <c r="Y1573" s="276" t="str">
        <f ca="1">IF($Y$3="申万一级行业",[1]!s_info_industry_sw_2021(W1573,公司分析!D$5,1),IF($Y$3="申万二级行业",[1]!s_info_industry_sw_2021(W1573,公司分析!D$5,2),IF($Y$3="申万三级行业",[1]!s_info_industry_sw_2021(W1573,公司分析!D$5,3),IF($Y$3="wind一级行业",[1]!s_info_industry_gics(W1573,1),IF($Y$3="wind二级行业",[1]!s_info_industry_gics(W1573,2),IF($Y$3="wind三级行业",[1]!s_info_industry_gics(W1573,3),IF($Y$3="wind四级行业",[1]!s_info_industry_gics(W1573,4),IF($Y$3="证监会门类行业",[1]!s_info_industry_csrc12_n(W1573,公司分析!D$5,1),""))))))))</f>
        <v>专用设备</v>
      </c>
      <c r="Z1573" s="302" t="str">
        <f ca="1">IF(Y1573=行业比较!$E$6,ROW(),"")</f>
        <v/>
      </c>
      <c r="AA1573" s="122"/>
      <c r="AB1573" s="122"/>
      <c r="AC1573" s="122"/>
      <c r="AD1573" s="122"/>
      <c r="AE1573" s="122"/>
      <c r="AF1573" s="122"/>
      <c r="AG1573" s="122"/>
      <c r="AH1573" s="122"/>
      <c r="AI1573" s="122"/>
      <c r="AJ1573" s="122"/>
      <c r="AK1573" s="122"/>
      <c r="AL1573" s="122"/>
      <c r="AM1573" s="122"/>
      <c r="AN1573" s="122"/>
      <c r="AO1573" s="122"/>
      <c r="AP1573" s="122"/>
    </row>
    <row r="1574" spans="2:42">
      <c r="B1574" s="122"/>
      <c r="C1574" s="122"/>
      <c r="D1574" s="122"/>
      <c r="E1574" s="122"/>
      <c r="F1574" s="122"/>
      <c r="G1574" s="122"/>
      <c r="H1574" s="122"/>
      <c r="I1574" s="275"/>
      <c r="J1574" s="130"/>
      <c r="K1574" s="130"/>
      <c r="L1574" s="130"/>
      <c r="M1574" s="130"/>
      <c r="N1574" s="291"/>
      <c r="O1574" s="291"/>
      <c r="P1574" s="122"/>
      <c r="Q1574" s="122"/>
      <c r="R1574" s="122"/>
      <c r="S1574" s="122"/>
      <c r="T1574" s="122"/>
      <c r="U1574" s="301"/>
      <c r="V1574" s="260">
        <f t="shared" ca="1" si="32"/>
        <v>0</v>
      </c>
      <c r="W1574" s="348" t="str">
        <f>IF(板块成分!B1576="","",板块成分!B1576)</f>
        <v>300085.SZ</v>
      </c>
      <c r="X1574" s="276" t="str">
        <f>[1]!S_Info_Name(W1574)</f>
        <v>银之杰</v>
      </c>
      <c r="Y1574" s="276" t="str">
        <f ca="1">IF($Y$3="申万一级行业",[1]!s_info_industry_sw_2021(W1574,公司分析!D$5,1),IF($Y$3="申万二级行业",[1]!s_info_industry_sw_2021(W1574,公司分析!D$5,2),IF($Y$3="申万三级行业",[1]!s_info_industry_sw_2021(W1574,公司分析!D$5,3),IF($Y$3="wind一级行业",[1]!s_info_industry_gics(W1574,1),IF($Y$3="wind二级行业",[1]!s_info_industry_gics(W1574,2),IF($Y$3="wind三级行业",[1]!s_info_industry_gics(W1574,3),IF($Y$3="wind四级行业",[1]!s_info_industry_gics(W1574,4),IF($Y$3="证监会门类行业",[1]!s_info_industry_csrc12_n(W1574,公司分析!D$5,1),""))))))))</f>
        <v>软件开发</v>
      </c>
      <c r="Z1574" s="302" t="str">
        <f ca="1">IF(Y1574=行业比较!$E$6,ROW(),"")</f>
        <v/>
      </c>
      <c r="AA1574" s="122"/>
      <c r="AB1574" s="122"/>
      <c r="AC1574" s="122"/>
      <c r="AD1574" s="122"/>
      <c r="AE1574" s="122"/>
      <c r="AF1574" s="122"/>
      <c r="AG1574" s="122"/>
      <c r="AH1574" s="122"/>
      <c r="AI1574" s="122"/>
      <c r="AJ1574" s="122"/>
      <c r="AK1574" s="122"/>
      <c r="AL1574" s="122"/>
      <c r="AM1574" s="122"/>
      <c r="AN1574" s="122"/>
      <c r="AO1574" s="122"/>
      <c r="AP1574" s="122"/>
    </row>
    <row r="1575" spans="2:42">
      <c r="B1575" s="122"/>
      <c r="C1575" s="122"/>
      <c r="D1575" s="122"/>
      <c r="E1575" s="122"/>
      <c r="F1575" s="122"/>
      <c r="G1575" s="122"/>
      <c r="H1575" s="122"/>
      <c r="I1575" s="275"/>
      <c r="J1575" s="130"/>
      <c r="K1575" s="130"/>
      <c r="L1575" s="130"/>
      <c r="M1575" s="130"/>
      <c r="N1575" s="291"/>
      <c r="O1575" s="291"/>
      <c r="P1575" s="122"/>
      <c r="Q1575" s="122"/>
      <c r="R1575" s="122"/>
      <c r="S1575" s="122"/>
      <c r="T1575" s="122"/>
      <c r="U1575" s="301"/>
      <c r="V1575" s="260">
        <f t="shared" ca="1" si="32"/>
        <v>0</v>
      </c>
      <c r="W1575" s="348" t="str">
        <f>IF(板块成分!B1577="","",板块成分!B1577)</f>
        <v>300086.SZ</v>
      </c>
      <c r="X1575" s="276" t="str">
        <f>[1]!S_Info_Name(W1575)</f>
        <v>康芝药业</v>
      </c>
      <c r="Y1575" s="276" t="str">
        <f ca="1">IF($Y$3="申万一级行业",[1]!s_info_industry_sw_2021(W1575,公司分析!D$5,1),IF($Y$3="申万二级行业",[1]!s_info_industry_sw_2021(W1575,公司分析!D$5,2),IF($Y$3="申万三级行业",[1]!s_info_industry_sw_2021(W1575,公司分析!D$5,3),IF($Y$3="wind一级行业",[1]!s_info_industry_gics(W1575,1),IF($Y$3="wind二级行业",[1]!s_info_industry_gics(W1575,2),IF($Y$3="wind三级行业",[1]!s_info_industry_gics(W1575,3),IF($Y$3="wind四级行业",[1]!s_info_industry_gics(W1575,4),IF($Y$3="证监会门类行业",[1]!s_info_industry_csrc12_n(W1575,公司分析!D$5,1),""))))))))</f>
        <v>化学制药</v>
      </c>
      <c r="Z1575" s="302" t="str">
        <f ca="1">IF(Y1575=行业比较!$E$6,ROW(),"")</f>
        <v/>
      </c>
      <c r="AA1575" s="122"/>
      <c r="AB1575" s="122"/>
      <c r="AC1575" s="122"/>
      <c r="AD1575" s="122"/>
      <c r="AE1575" s="122"/>
      <c r="AF1575" s="122"/>
      <c r="AG1575" s="122"/>
      <c r="AH1575" s="122"/>
      <c r="AI1575" s="122"/>
      <c r="AJ1575" s="122"/>
      <c r="AK1575" s="122"/>
      <c r="AL1575" s="122"/>
      <c r="AM1575" s="122"/>
      <c r="AN1575" s="122"/>
      <c r="AO1575" s="122"/>
      <c r="AP1575" s="122"/>
    </row>
    <row r="1576" spans="2:42">
      <c r="B1576" s="122"/>
      <c r="C1576" s="122"/>
      <c r="D1576" s="122"/>
      <c r="E1576" s="122"/>
      <c r="F1576" s="122"/>
      <c r="G1576" s="122"/>
      <c r="H1576" s="122"/>
      <c r="I1576" s="275"/>
      <c r="J1576" s="130"/>
      <c r="K1576" s="130"/>
      <c r="L1576" s="130"/>
      <c r="M1576" s="130"/>
      <c r="N1576" s="291"/>
      <c r="O1576" s="291"/>
      <c r="P1576" s="122"/>
      <c r="Q1576" s="122"/>
      <c r="R1576" s="122"/>
      <c r="S1576" s="122"/>
      <c r="T1576" s="122"/>
      <c r="U1576" s="301"/>
      <c r="V1576" s="260">
        <f t="shared" ca="1" si="32"/>
        <v>0</v>
      </c>
      <c r="W1576" s="348" t="str">
        <f>IF(板块成分!B1578="","",板块成分!B1578)</f>
        <v>300087.SZ</v>
      </c>
      <c r="X1576" s="276" t="str">
        <f>[1]!S_Info_Name(W1576)</f>
        <v>荃银高科</v>
      </c>
      <c r="Y1576" s="276" t="str">
        <f ca="1">IF($Y$3="申万一级行业",[1]!s_info_industry_sw_2021(W1576,公司分析!D$5,1),IF($Y$3="申万二级行业",[1]!s_info_industry_sw_2021(W1576,公司分析!D$5,2),IF($Y$3="申万三级行业",[1]!s_info_industry_sw_2021(W1576,公司分析!D$5,3),IF($Y$3="wind一级行业",[1]!s_info_industry_gics(W1576,1),IF($Y$3="wind二级行业",[1]!s_info_industry_gics(W1576,2),IF($Y$3="wind三级行业",[1]!s_info_industry_gics(W1576,3),IF($Y$3="wind四级行业",[1]!s_info_industry_gics(W1576,4),IF($Y$3="证监会门类行业",[1]!s_info_industry_csrc12_n(W1576,公司分析!D$5,1),""))))))))</f>
        <v>种植业</v>
      </c>
      <c r="Z1576" s="302" t="str">
        <f ca="1">IF(Y1576=行业比较!$E$6,ROW(),"")</f>
        <v/>
      </c>
      <c r="AA1576" s="122"/>
      <c r="AB1576" s="122"/>
      <c r="AC1576" s="122"/>
      <c r="AD1576" s="122"/>
      <c r="AE1576" s="122"/>
      <c r="AF1576" s="122"/>
      <c r="AG1576" s="122"/>
      <c r="AH1576" s="122"/>
      <c r="AI1576" s="122"/>
      <c r="AJ1576" s="122"/>
      <c r="AK1576" s="122"/>
      <c r="AL1576" s="122"/>
      <c r="AM1576" s="122"/>
      <c r="AN1576" s="122"/>
      <c r="AO1576" s="122"/>
      <c r="AP1576" s="122"/>
    </row>
    <row r="1577" spans="2:42">
      <c r="B1577" s="122"/>
      <c r="C1577" s="122"/>
      <c r="D1577" s="122"/>
      <c r="E1577" s="122"/>
      <c r="F1577" s="122"/>
      <c r="G1577" s="122"/>
      <c r="H1577" s="122"/>
      <c r="I1577" s="275"/>
      <c r="J1577" s="130"/>
      <c r="K1577" s="130"/>
      <c r="L1577" s="130"/>
      <c r="M1577" s="130"/>
      <c r="N1577" s="291"/>
      <c r="O1577" s="291"/>
      <c r="P1577" s="122"/>
      <c r="Q1577" s="122"/>
      <c r="R1577" s="122"/>
      <c r="S1577" s="122"/>
      <c r="T1577" s="122"/>
      <c r="U1577" s="301"/>
      <c r="V1577" s="260">
        <f t="shared" ca="1" si="32"/>
        <v>0</v>
      </c>
      <c r="W1577" s="348" t="str">
        <f>IF(板块成分!B1579="","",板块成分!B1579)</f>
        <v>300088.SZ</v>
      </c>
      <c r="X1577" s="276" t="str">
        <f>[1]!S_Info_Name(W1577)</f>
        <v>长信科技</v>
      </c>
      <c r="Y1577" s="276" t="str">
        <f ca="1">IF($Y$3="申万一级行业",[1]!s_info_industry_sw_2021(W1577,公司分析!D$5,1),IF($Y$3="申万二级行业",[1]!s_info_industry_sw_2021(W1577,公司分析!D$5,2),IF($Y$3="申万三级行业",[1]!s_info_industry_sw_2021(W1577,公司分析!D$5,3),IF($Y$3="wind一级行业",[1]!s_info_industry_gics(W1577,1),IF($Y$3="wind二级行业",[1]!s_info_industry_gics(W1577,2),IF($Y$3="wind三级行业",[1]!s_info_industry_gics(W1577,3),IF($Y$3="wind四级行业",[1]!s_info_industry_gics(W1577,4),IF($Y$3="证监会门类行业",[1]!s_info_industry_csrc12_n(W1577,公司分析!D$5,1),""))))))))</f>
        <v>光学光电子</v>
      </c>
      <c r="Z1577" s="302" t="str">
        <f ca="1">IF(Y1577=行业比较!$E$6,ROW(),"")</f>
        <v/>
      </c>
      <c r="AA1577" s="122"/>
      <c r="AB1577" s="122"/>
      <c r="AC1577" s="122"/>
      <c r="AD1577" s="122"/>
      <c r="AE1577" s="122"/>
      <c r="AF1577" s="122"/>
      <c r="AG1577" s="122"/>
      <c r="AH1577" s="122"/>
      <c r="AI1577" s="122"/>
      <c r="AJ1577" s="122"/>
      <c r="AK1577" s="122"/>
      <c r="AL1577" s="122"/>
      <c r="AM1577" s="122"/>
      <c r="AN1577" s="122"/>
      <c r="AO1577" s="122"/>
      <c r="AP1577" s="122"/>
    </row>
    <row r="1578" spans="2:42">
      <c r="B1578" s="122"/>
      <c r="C1578" s="122"/>
      <c r="D1578" s="122"/>
      <c r="E1578" s="122"/>
      <c r="F1578" s="122"/>
      <c r="G1578" s="122"/>
      <c r="H1578" s="122"/>
      <c r="I1578" s="275"/>
      <c r="J1578" s="130"/>
      <c r="K1578" s="130"/>
      <c r="L1578" s="130"/>
      <c r="M1578" s="130"/>
      <c r="N1578" s="291"/>
      <c r="O1578" s="291"/>
      <c r="P1578" s="122"/>
      <c r="Q1578" s="122"/>
      <c r="R1578" s="122"/>
      <c r="S1578" s="122"/>
      <c r="T1578" s="122"/>
      <c r="U1578" s="301"/>
      <c r="V1578" s="260">
        <f t="shared" ca="1" si="32"/>
        <v>0</v>
      </c>
      <c r="W1578" s="348" t="str">
        <f>IF(板块成分!B1580="","",板块成分!B1580)</f>
        <v>300091.SZ</v>
      </c>
      <c r="X1578" s="276" t="str">
        <f>[1]!S_Info_Name(W1578)</f>
        <v>*ST金灵</v>
      </c>
      <c r="Y1578" s="276" t="str">
        <f ca="1">IF($Y$3="申万一级行业",[1]!s_info_industry_sw_2021(W1578,公司分析!D$5,1),IF($Y$3="申万二级行业",[1]!s_info_industry_sw_2021(W1578,公司分析!D$5,2),IF($Y$3="申万三级行业",[1]!s_info_industry_sw_2021(W1578,公司分析!D$5,3),IF($Y$3="wind一级行业",[1]!s_info_industry_gics(W1578,1),IF($Y$3="wind二级行业",[1]!s_info_industry_gics(W1578,2),IF($Y$3="wind三级行业",[1]!s_info_industry_gics(W1578,3),IF($Y$3="wind四级行业",[1]!s_info_industry_gics(W1578,4),IF($Y$3="证监会门类行业",[1]!s_info_industry_csrc12_n(W1578,公司分析!D$5,1),""))))))))</f>
        <v>通用设备</v>
      </c>
      <c r="Z1578" s="302" t="str">
        <f ca="1">IF(Y1578=行业比较!$E$6,ROW(),"")</f>
        <v/>
      </c>
      <c r="AA1578" s="122"/>
      <c r="AB1578" s="122"/>
      <c r="AC1578" s="122"/>
      <c r="AD1578" s="122"/>
      <c r="AE1578" s="122"/>
      <c r="AF1578" s="122"/>
      <c r="AG1578" s="122"/>
      <c r="AH1578" s="122"/>
      <c r="AI1578" s="122"/>
      <c r="AJ1578" s="122"/>
      <c r="AK1578" s="122"/>
      <c r="AL1578" s="122"/>
      <c r="AM1578" s="122"/>
      <c r="AN1578" s="122"/>
      <c r="AO1578" s="122"/>
      <c r="AP1578" s="122"/>
    </row>
    <row r="1579" spans="2:42">
      <c r="B1579" s="122"/>
      <c r="C1579" s="122"/>
      <c r="D1579" s="122"/>
      <c r="E1579" s="122"/>
      <c r="F1579" s="122"/>
      <c r="G1579" s="122"/>
      <c r="H1579" s="122"/>
      <c r="I1579" s="275"/>
      <c r="J1579" s="130"/>
      <c r="K1579" s="130"/>
      <c r="L1579" s="130"/>
      <c r="M1579" s="130"/>
      <c r="N1579" s="291"/>
      <c r="O1579" s="291"/>
      <c r="P1579" s="122"/>
      <c r="Q1579" s="122"/>
      <c r="R1579" s="122"/>
      <c r="S1579" s="122"/>
      <c r="T1579" s="122"/>
      <c r="U1579" s="301"/>
      <c r="V1579" s="260">
        <f t="shared" ca="1" si="32"/>
        <v>0</v>
      </c>
      <c r="W1579" s="348" t="str">
        <f>IF(板块成分!B1581="","",板块成分!B1581)</f>
        <v>300092.SZ</v>
      </c>
      <c r="X1579" s="276" t="str">
        <f>[1]!S_Info_Name(W1579)</f>
        <v>科新机电</v>
      </c>
      <c r="Y1579" s="276" t="str">
        <f ca="1">IF($Y$3="申万一级行业",[1]!s_info_industry_sw_2021(W1579,公司分析!D$5,1),IF($Y$3="申万二级行业",[1]!s_info_industry_sw_2021(W1579,公司分析!D$5,2),IF($Y$3="申万三级行业",[1]!s_info_industry_sw_2021(W1579,公司分析!D$5,3),IF($Y$3="wind一级行业",[1]!s_info_industry_gics(W1579,1),IF($Y$3="wind二级行业",[1]!s_info_industry_gics(W1579,2),IF($Y$3="wind三级行业",[1]!s_info_industry_gics(W1579,3),IF($Y$3="wind四级行业",[1]!s_info_industry_gics(W1579,4),IF($Y$3="证监会门类行业",[1]!s_info_industry_csrc12_n(W1579,公司分析!D$5,1),""))))))))</f>
        <v>专用设备</v>
      </c>
      <c r="Z1579" s="302" t="str">
        <f ca="1">IF(Y1579=行业比较!$E$6,ROW(),"")</f>
        <v/>
      </c>
      <c r="AA1579" s="122"/>
      <c r="AB1579" s="122"/>
      <c r="AC1579" s="122"/>
      <c r="AD1579" s="122"/>
      <c r="AE1579" s="122"/>
      <c r="AF1579" s="122"/>
      <c r="AG1579" s="122"/>
      <c r="AH1579" s="122"/>
      <c r="AI1579" s="122"/>
      <c r="AJ1579" s="122"/>
      <c r="AK1579" s="122"/>
      <c r="AL1579" s="122"/>
      <c r="AM1579" s="122"/>
      <c r="AN1579" s="122"/>
      <c r="AO1579" s="122"/>
      <c r="AP1579" s="122"/>
    </row>
    <row r="1580" spans="2:42">
      <c r="B1580" s="122"/>
      <c r="C1580" s="122"/>
      <c r="D1580" s="122"/>
      <c r="E1580" s="122"/>
      <c r="F1580" s="122"/>
      <c r="G1580" s="122"/>
      <c r="H1580" s="122"/>
      <c r="I1580" s="275"/>
      <c r="J1580" s="130"/>
      <c r="K1580" s="130"/>
      <c r="L1580" s="130"/>
      <c r="M1580" s="130"/>
      <c r="N1580" s="291"/>
      <c r="O1580" s="291"/>
      <c r="P1580" s="122"/>
      <c r="Q1580" s="122"/>
      <c r="R1580" s="122"/>
      <c r="S1580" s="122"/>
      <c r="T1580" s="122"/>
      <c r="U1580" s="301"/>
      <c r="V1580" s="260">
        <f t="shared" ca="1" si="32"/>
        <v>0</v>
      </c>
      <c r="W1580" s="348" t="str">
        <f>IF(板块成分!B1582="","",板块成分!B1582)</f>
        <v>300093.SZ</v>
      </c>
      <c r="X1580" s="276" t="str">
        <f>[1]!S_Info_Name(W1580)</f>
        <v>*ST金刚</v>
      </c>
      <c r="Y1580" s="276" t="str">
        <f ca="1">IF($Y$3="申万一级行业",[1]!s_info_industry_sw_2021(W1580,公司分析!D$5,1),IF($Y$3="申万二级行业",[1]!s_info_industry_sw_2021(W1580,公司分析!D$5,2),IF($Y$3="申万三级行业",[1]!s_info_industry_sw_2021(W1580,公司分析!D$5,3),IF($Y$3="wind一级行业",[1]!s_info_industry_gics(W1580,1),IF($Y$3="wind二级行业",[1]!s_info_industry_gics(W1580,2),IF($Y$3="wind三级行业",[1]!s_info_industry_gics(W1580,3),IF($Y$3="wind四级行业",[1]!s_info_industry_gics(W1580,4),IF($Y$3="证监会门类行业",[1]!s_info_industry_csrc12_n(W1580,公司分析!D$5,1),""))))))))</f>
        <v>光伏设备</v>
      </c>
      <c r="Z1580" s="302" t="str">
        <f ca="1">IF(Y1580=行业比较!$E$6,ROW(),"")</f>
        <v/>
      </c>
      <c r="AA1580" s="122"/>
      <c r="AB1580" s="122"/>
      <c r="AC1580" s="122"/>
      <c r="AD1580" s="122"/>
      <c r="AE1580" s="122"/>
      <c r="AF1580" s="122"/>
      <c r="AG1580" s="122"/>
      <c r="AH1580" s="122"/>
      <c r="AI1580" s="122"/>
      <c r="AJ1580" s="122"/>
      <c r="AK1580" s="122"/>
      <c r="AL1580" s="122"/>
      <c r="AM1580" s="122"/>
      <c r="AN1580" s="122"/>
      <c r="AO1580" s="122"/>
      <c r="AP1580" s="122"/>
    </row>
    <row r="1581" spans="2:42">
      <c r="B1581" s="122"/>
      <c r="C1581" s="122"/>
      <c r="D1581" s="122"/>
      <c r="E1581" s="122"/>
      <c r="F1581" s="122"/>
      <c r="G1581" s="122"/>
      <c r="H1581" s="122"/>
      <c r="I1581" s="275"/>
      <c r="J1581" s="130"/>
      <c r="K1581" s="130"/>
      <c r="L1581" s="130"/>
      <c r="M1581" s="130"/>
      <c r="N1581" s="291"/>
      <c r="O1581" s="291"/>
      <c r="P1581" s="122"/>
      <c r="Q1581" s="122"/>
      <c r="R1581" s="122"/>
      <c r="S1581" s="122"/>
      <c r="T1581" s="122"/>
      <c r="U1581" s="301"/>
      <c r="V1581" s="260">
        <f t="shared" ca="1" si="32"/>
        <v>0</v>
      </c>
      <c r="W1581" s="348" t="str">
        <f>IF(板块成分!B1583="","",板块成分!B1583)</f>
        <v>300094.SZ</v>
      </c>
      <c r="X1581" s="276" t="str">
        <f>[1]!S_Info_Name(W1581)</f>
        <v>国联水产</v>
      </c>
      <c r="Y1581" s="276" t="str">
        <f ca="1">IF($Y$3="申万一级行业",[1]!s_info_industry_sw_2021(W1581,公司分析!D$5,1),IF($Y$3="申万二级行业",[1]!s_info_industry_sw_2021(W1581,公司分析!D$5,2),IF($Y$3="申万三级行业",[1]!s_info_industry_sw_2021(W1581,公司分析!D$5,3),IF($Y$3="wind一级行业",[1]!s_info_industry_gics(W1581,1),IF($Y$3="wind二级行业",[1]!s_info_industry_gics(W1581,2),IF($Y$3="wind三级行业",[1]!s_info_industry_gics(W1581,3),IF($Y$3="wind四级行业",[1]!s_info_industry_gics(W1581,4),IF($Y$3="证监会门类行业",[1]!s_info_industry_csrc12_n(W1581,公司分析!D$5,1),""))))))))</f>
        <v>渔业</v>
      </c>
      <c r="Z1581" s="302" t="str">
        <f ca="1">IF(Y1581=行业比较!$E$6,ROW(),"")</f>
        <v/>
      </c>
      <c r="AA1581" s="122"/>
      <c r="AB1581" s="122"/>
      <c r="AC1581" s="122"/>
      <c r="AD1581" s="122"/>
      <c r="AE1581" s="122"/>
      <c r="AF1581" s="122"/>
      <c r="AG1581" s="122"/>
      <c r="AH1581" s="122"/>
      <c r="AI1581" s="122"/>
      <c r="AJ1581" s="122"/>
      <c r="AK1581" s="122"/>
      <c r="AL1581" s="122"/>
      <c r="AM1581" s="122"/>
      <c r="AN1581" s="122"/>
      <c r="AO1581" s="122"/>
      <c r="AP1581" s="122"/>
    </row>
    <row r="1582" spans="2:42">
      <c r="B1582" s="122"/>
      <c r="C1582" s="122"/>
      <c r="D1582" s="122"/>
      <c r="E1582" s="122"/>
      <c r="F1582" s="122"/>
      <c r="G1582" s="122"/>
      <c r="H1582" s="122"/>
      <c r="I1582" s="275"/>
      <c r="J1582" s="130"/>
      <c r="K1582" s="130"/>
      <c r="L1582" s="130"/>
      <c r="M1582" s="130"/>
      <c r="N1582" s="291"/>
      <c r="O1582" s="291"/>
      <c r="P1582" s="122"/>
      <c r="Q1582" s="122"/>
      <c r="R1582" s="122"/>
      <c r="S1582" s="122"/>
      <c r="T1582" s="122"/>
      <c r="U1582" s="301"/>
      <c r="V1582" s="260">
        <f t="shared" ca="1" si="32"/>
        <v>0</v>
      </c>
      <c r="W1582" s="348" t="str">
        <f>IF(板块成分!B1584="","",板块成分!B1584)</f>
        <v>300095.SZ</v>
      </c>
      <c r="X1582" s="276" t="str">
        <f>[1]!S_Info_Name(W1582)</f>
        <v>华伍股份</v>
      </c>
      <c r="Y1582" s="276" t="str">
        <f ca="1">IF($Y$3="申万一级行业",[1]!s_info_industry_sw_2021(W1582,公司分析!D$5,1),IF($Y$3="申万二级行业",[1]!s_info_industry_sw_2021(W1582,公司分析!D$5,2),IF($Y$3="申万三级行业",[1]!s_info_industry_sw_2021(W1582,公司分析!D$5,3),IF($Y$3="wind一级行业",[1]!s_info_industry_gics(W1582,1),IF($Y$3="wind二级行业",[1]!s_info_industry_gics(W1582,2),IF($Y$3="wind三级行业",[1]!s_info_industry_gics(W1582,3),IF($Y$3="wind四级行业",[1]!s_info_industry_gics(W1582,4),IF($Y$3="证监会门类行业",[1]!s_info_industry_csrc12_n(W1582,公司分析!D$5,1),""))))))))</f>
        <v>专用设备</v>
      </c>
      <c r="Z1582" s="302" t="str">
        <f ca="1">IF(Y1582=行业比较!$E$6,ROW(),"")</f>
        <v/>
      </c>
      <c r="AA1582" s="122"/>
      <c r="AB1582" s="122"/>
      <c r="AC1582" s="122"/>
      <c r="AD1582" s="122"/>
      <c r="AE1582" s="122"/>
      <c r="AF1582" s="122"/>
      <c r="AG1582" s="122"/>
      <c r="AH1582" s="122"/>
      <c r="AI1582" s="122"/>
      <c r="AJ1582" s="122"/>
      <c r="AK1582" s="122"/>
      <c r="AL1582" s="122"/>
      <c r="AM1582" s="122"/>
      <c r="AN1582" s="122"/>
      <c r="AO1582" s="122"/>
      <c r="AP1582" s="122"/>
    </row>
    <row r="1583" spans="2:42">
      <c r="B1583" s="122"/>
      <c r="C1583" s="122"/>
      <c r="D1583" s="122"/>
      <c r="E1583" s="122"/>
      <c r="F1583" s="122"/>
      <c r="G1583" s="122"/>
      <c r="H1583" s="122"/>
      <c r="I1583" s="275"/>
      <c r="J1583" s="130"/>
      <c r="K1583" s="130"/>
      <c r="L1583" s="130"/>
      <c r="M1583" s="130"/>
      <c r="N1583" s="291"/>
      <c r="O1583" s="291"/>
      <c r="P1583" s="122"/>
      <c r="Q1583" s="122"/>
      <c r="R1583" s="122"/>
      <c r="S1583" s="122"/>
      <c r="T1583" s="122"/>
      <c r="U1583" s="301"/>
      <c r="V1583" s="260">
        <f t="shared" ca="1" si="32"/>
        <v>0</v>
      </c>
      <c r="W1583" s="348" t="str">
        <f>IF(板块成分!B1585="","",板块成分!B1585)</f>
        <v>300096.SZ</v>
      </c>
      <c r="X1583" s="276" t="str">
        <f>[1]!S_Info_Name(W1583)</f>
        <v>ST易联众</v>
      </c>
      <c r="Y1583" s="276" t="str">
        <f ca="1">IF($Y$3="申万一级行业",[1]!s_info_industry_sw_2021(W1583,公司分析!D$5,1),IF($Y$3="申万二级行业",[1]!s_info_industry_sw_2021(W1583,公司分析!D$5,2),IF($Y$3="申万三级行业",[1]!s_info_industry_sw_2021(W1583,公司分析!D$5,3),IF($Y$3="wind一级行业",[1]!s_info_industry_gics(W1583,1),IF($Y$3="wind二级行业",[1]!s_info_industry_gics(W1583,2),IF($Y$3="wind三级行业",[1]!s_info_industry_gics(W1583,3),IF($Y$3="wind四级行业",[1]!s_info_industry_gics(W1583,4),IF($Y$3="证监会门类行业",[1]!s_info_industry_csrc12_n(W1583,公司分析!D$5,1),""))))))))</f>
        <v>IT服务Ⅱ</v>
      </c>
      <c r="Z1583" s="302" t="str">
        <f ca="1">IF(Y1583=行业比较!$E$6,ROW(),"")</f>
        <v/>
      </c>
      <c r="AA1583" s="122"/>
      <c r="AB1583" s="122"/>
      <c r="AC1583" s="122"/>
      <c r="AD1583" s="122"/>
      <c r="AE1583" s="122"/>
      <c r="AF1583" s="122"/>
      <c r="AG1583" s="122"/>
      <c r="AH1583" s="122"/>
      <c r="AI1583" s="122"/>
      <c r="AJ1583" s="122"/>
      <c r="AK1583" s="122"/>
      <c r="AL1583" s="122"/>
      <c r="AM1583" s="122"/>
      <c r="AN1583" s="122"/>
      <c r="AO1583" s="122"/>
      <c r="AP1583" s="122"/>
    </row>
    <row r="1584" spans="2:42">
      <c r="B1584" s="122"/>
      <c r="C1584" s="122"/>
      <c r="D1584" s="122"/>
      <c r="E1584" s="122"/>
      <c r="F1584" s="122"/>
      <c r="G1584" s="122"/>
      <c r="H1584" s="122"/>
      <c r="I1584" s="275"/>
      <c r="J1584" s="130"/>
      <c r="K1584" s="130"/>
      <c r="L1584" s="130"/>
      <c r="M1584" s="130"/>
      <c r="N1584" s="291"/>
      <c r="O1584" s="291"/>
      <c r="P1584" s="122"/>
      <c r="Q1584" s="122"/>
      <c r="R1584" s="122"/>
      <c r="S1584" s="122"/>
      <c r="T1584" s="122"/>
      <c r="U1584" s="301"/>
      <c r="V1584" s="260">
        <f t="shared" ca="1" si="32"/>
        <v>0</v>
      </c>
      <c r="W1584" s="348" t="str">
        <f>IF(板块成分!B1586="","",板块成分!B1586)</f>
        <v>300097.SZ</v>
      </c>
      <c r="X1584" s="276" t="str">
        <f>[1]!S_Info_Name(W1584)</f>
        <v>ST智云</v>
      </c>
      <c r="Y1584" s="276" t="str">
        <f ca="1">IF($Y$3="申万一级行业",[1]!s_info_industry_sw_2021(W1584,公司分析!D$5,1),IF($Y$3="申万二级行业",[1]!s_info_industry_sw_2021(W1584,公司分析!D$5,2),IF($Y$3="申万三级行业",[1]!s_info_industry_sw_2021(W1584,公司分析!D$5,3),IF($Y$3="wind一级行业",[1]!s_info_industry_gics(W1584,1),IF($Y$3="wind二级行业",[1]!s_info_industry_gics(W1584,2),IF($Y$3="wind三级行业",[1]!s_info_industry_gics(W1584,3),IF($Y$3="wind四级行业",[1]!s_info_industry_gics(W1584,4),IF($Y$3="证监会门类行业",[1]!s_info_industry_csrc12_n(W1584,公司分析!D$5,1),""))))))))</f>
        <v>自动化设备</v>
      </c>
      <c r="Z1584" s="302" t="str">
        <f ca="1">IF(Y1584=行业比较!$E$6,ROW(),"")</f>
        <v/>
      </c>
      <c r="AA1584" s="122"/>
      <c r="AB1584" s="122"/>
      <c r="AC1584" s="122"/>
      <c r="AD1584" s="122"/>
      <c r="AE1584" s="122"/>
      <c r="AF1584" s="122"/>
      <c r="AG1584" s="122"/>
      <c r="AH1584" s="122"/>
      <c r="AI1584" s="122"/>
      <c r="AJ1584" s="122"/>
      <c r="AK1584" s="122"/>
      <c r="AL1584" s="122"/>
      <c r="AM1584" s="122"/>
      <c r="AN1584" s="122"/>
      <c r="AO1584" s="122"/>
      <c r="AP1584" s="122"/>
    </row>
    <row r="1585" spans="2:42">
      <c r="B1585" s="122"/>
      <c r="C1585" s="122"/>
      <c r="D1585" s="122"/>
      <c r="E1585" s="122"/>
      <c r="F1585" s="122"/>
      <c r="G1585" s="122"/>
      <c r="H1585" s="122"/>
      <c r="I1585" s="275"/>
      <c r="J1585" s="130"/>
      <c r="K1585" s="130"/>
      <c r="L1585" s="130"/>
      <c r="M1585" s="130"/>
      <c r="N1585" s="291"/>
      <c r="O1585" s="291"/>
      <c r="P1585" s="122"/>
      <c r="Q1585" s="122"/>
      <c r="R1585" s="122"/>
      <c r="S1585" s="122"/>
      <c r="T1585" s="122"/>
      <c r="U1585" s="301"/>
      <c r="V1585" s="260">
        <f t="shared" ca="1" si="32"/>
        <v>0</v>
      </c>
      <c r="W1585" s="348" t="str">
        <f>IF(板块成分!B1587="","",板块成分!B1587)</f>
        <v>300098.SZ</v>
      </c>
      <c r="X1585" s="276" t="str">
        <f>[1]!S_Info_Name(W1585)</f>
        <v>高新兴</v>
      </c>
      <c r="Y1585" s="276" t="str">
        <f ca="1">IF($Y$3="申万一级行业",[1]!s_info_industry_sw_2021(W1585,公司分析!D$5,1),IF($Y$3="申万二级行业",[1]!s_info_industry_sw_2021(W1585,公司分析!D$5,2),IF($Y$3="申万三级行业",[1]!s_info_industry_sw_2021(W1585,公司分析!D$5,3),IF($Y$3="wind一级行业",[1]!s_info_industry_gics(W1585,1),IF($Y$3="wind二级行业",[1]!s_info_industry_gics(W1585,2),IF($Y$3="wind三级行业",[1]!s_info_industry_gics(W1585,3),IF($Y$3="wind四级行业",[1]!s_info_industry_gics(W1585,4),IF($Y$3="证监会门类行业",[1]!s_info_industry_csrc12_n(W1585,公司分析!D$5,1),""))))))))</f>
        <v>通信设备</v>
      </c>
      <c r="Z1585" s="302" t="str">
        <f ca="1">IF(Y1585=行业比较!$E$6,ROW(),"")</f>
        <v/>
      </c>
      <c r="AA1585" s="122"/>
      <c r="AB1585" s="122"/>
      <c r="AC1585" s="122"/>
      <c r="AD1585" s="122"/>
      <c r="AE1585" s="122"/>
      <c r="AF1585" s="122"/>
      <c r="AG1585" s="122"/>
      <c r="AH1585" s="122"/>
      <c r="AI1585" s="122"/>
      <c r="AJ1585" s="122"/>
      <c r="AK1585" s="122"/>
      <c r="AL1585" s="122"/>
      <c r="AM1585" s="122"/>
      <c r="AN1585" s="122"/>
      <c r="AO1585" s="122"/>
      <c r="AP1585" s="122"/>
    </row>
    <row r="1586" spans="2:42">
      <c r="B1586" s="122"/>
      <c r="C1586" s="122"/>
      <c r="D1586" s="122"/>
      <c r="E1586" s="122"/>
      <c r="F1586" s="122"/>
      <c r="G1586" s="122"/>
      <c r="H1586" s="122"/>
      <c r="I1586" s="275"/>
      <c r="J1586" s="130"/>
      <c r="K1586" s="130"/>
      <c r="L1586" s="130"/>
      <c r="M1586" s="130"/>
      <c r="N1586" s="291"/>
      <c r="O1586" s="291"/>
      <c r="P1586" s="122"/>
      <c r="Q1586" s="122"/>
      <c r="R1586" s="122"/>
      <c r="S1586" s="122"/>
      <c r="T1586" s="122"/>
      <c r="U1586" s="301"/>
      <c r="V1586" s="260">
        <f t="shared" ca="1" si="32"/>
        <v>0</v>
      </c>
      <c r="W1586" s="348" t="str">
        <f>IF(板块成分!B1588="","",板块成分!B1588)</f>
        <v>300099.SZ</v>
      </c>
      <c r="X1586" s="276" t="str">
        <f>[1]!S_Info_Name(W1586)</f>
        <v>尤洛卡</v>
      </c>
      <c r="Y1586" s="276" t="str">
        <f ca="1">IF($Y$3="申万一级行业",[1]!s_info_industry_sw_2021(W1586,公司分析!D$5,1),IF($Y$3="申万二级行业",[1]!s_info_industry_sw_2021(W1586,公司分析!D$5,2),IF($Y$3="申万三级行业",[1]!s_info_industry_sw_2021(W1586,公司分析!D$5,3),IF($Y$3="wind一级行业",[1]!s_info_industry_gics(W1586,1),IF($Y$3="wind二级行业",[1]!s_info_industry_gics(W1586,2),IF($Y$3="wind三级行业",[1]!s_info_industry_gics(W1586,3),IF($Y$3="wind四级行业",[1]!s_info_industry_gics(W1586,4),IF($Y$3="证监会门类行业",[1]!s_info_industry_csrc12_n(W1586,公司分析!D$5,1),""))))))))</f>
        <v>专用设备</v>
      </c>
      <c r="Z1586" s="302" t="str">
        <f ca="1">IF(Y1586=行业比较!$E$6,ROW(),"")</f>
        <v/>
      </c>
      <c r="AA1586" s="122"/>
      <c r="AB1586" s="122"/>
      <c r="AC1586" s="122"/>
      <c r="AD1586" s="122"/>
      <c r="AE1586" s="122"/>
      <c r="AF1586" s="122"/>
      <c r="AG1586" s="122"/>
      <c r="AH1586" s="122"/>
      <c r="AI1586" s="122"/>
      <c r="AJ1586" s="122"/>
      <c r="AK1586" s="122"/>
      <c r="AL1586" s="122"/>
      <c r="AM1586" s="122"/>
      <c r="AN1586" s="122"/>
      <c r="AO1586" s="122"/>
      <c r="AP1586" s="122"/>
    </row>
    <row r="1587" spans="2:42">
      <c r="B1587" s="122"/>
      <c r="C1587" s="122"/>
      <c r="D1587" s="122"/>
      <c r="E1587" s="122"/>
      <c r="F1587" s="122"/>
      <c r="G1587" s="122"/>
      <c r="H1587" s="122"/>
      <c r="I1587" s="275"/>
      <c r="J1587" s="130"/>
      <c r="K1587" s="130"/>
      <c r="L1587" s="130"/>
      <c r="M1587" s="130"/>
      <c r="N1587" s="291"/>
      <c r="O1587" s="291"/>
      <c r="P1587" s="122"/>
      <c r="Q1587" s="122"/>
      <c r="R1587" s="122"/>
      <c r="S1587" s="122"/>
      <c r="T1587" s="122"/>
      <c r="U1587" s="301"/>
      <c r="V1587" s="260">
        <f t="shared" ca="1" si="32"/>
        <v>0</v>
      </c>
      <c r="W1587" s="348" t="str">
        <f>IF(板块成分!B1589="","",板块成分!B1589)</f>
        <v>300100.SZ</v>
      </c>
      <c r="X1587" s="276" t="str">
        <f>[1]!S_Info_Name(W1587)</f>
        <v>双林股份</v>
      </c>
      <c r="Y1587" s="276" t="str">
        <f ca="1">IF($Y$3="申万一级行业",[1]!s_info_industry_sw_2021(W1587,公司分析!D$5,1),IF($Y$3="申万二级行业",[1]!s_info_industry_sw_2021(W1587,公司分析!D$5,2),IF($Y$3="申万三级行业",[1]!s_info_industry_sw_2021(W1587,公司分析!D$5,3),IF($Y$3="wind一级行业",[1]!s_info_industry_gics(W1587,1),IF($Y$3="wind二级行业",[1]!s_info_industry_gics(W1587,2),IF($Y$3="wind三级行业",[1]!s_info_industry_gics(W1587,3),IF($Y$3="wind四级行业",[1]!s_info_industry_gics(W1587,4),IF($Y$3="证监会门类行业",[1]!s_info_industry_csrc12_n(W1587,公司分析!D$5,1),""))))))))</f>
        <v>汽车零部件</v>
      </c>
      <c r="Z1587" s="302" t="str">
        <f ca="1">IF(Y1587=行业比较!$E$6,ROW(),"")</f>
        <v/>
      </c>
      <c r="AA1587" s="122"/>
      <c r="AB1587" s="122"/>
      <c r="AC1587" s="122"/>
      <c r="AD1587" s="122"/>
      <c r="AE1587" s="122"/>
      <c r="AF1587" s="122"/>
      <c r="AG1587" s="122"/>
      <c r="AH1587" s="122"/>
      <c r="AI1587" s="122"/>
      <c r="AJ1587" s="122"/>
      <c r="AK1587" s="122"/>
      <c r="AL1587" s="122"/>
      <c r="AM1587" s="122"/>
      <c r="AN1587" s="122"/>
      <c r="AO1587" s="122"/>
      <c r="AP1587" s="122"/>
    </row>
    <row r="1588" spans="2:42">
      <c r="B1588" s="122"/>
      <c r="C1588" s="122"/>
      <c r="D1588" s="122"/>
      <c r="E1588" s="122"/>
      <c r="F1588" s="122"/>
      <c r="G1588" s="122"/>
      <c r="H1588" s="122"/>
      <c r="I1588" s="275"/>
      <c r="J1588" s="130"/>
      <c r="K1588" s="130"/>
      <c r="L1588" s="130"/>
      <c r="M1588" s="130"/>
      <c r="N1588" s="291"/>
      <c r="O1588" s="291"/>
      <c r="P1588" s="122"/>
      <c r="Q1588" s="122"/>
      <c r="R1588" s="122"/>
      <c r="S1588" s="122"/>
      <c r="T1588" s="122"/>
      <c r="U1588" s="301"/>
      <c r="V1588" s="260">
        <f t="shared" ca="1" si="32"/>
        <v>0</v>
      </c>
      <c r="W1588" s="348" t="str">
        <f>IF(板块成分!B1590="","",板块成分!B1590)</f>
        <v>300101.SZ</v>
      </c>
      <c r="X1588" s="276" t="str">
        <f>[1]!S_Info_Name(W1588)</f>
        <v>振芯科技</v>
      </c>
      <c r="Y1588" s="276" t="str">
        <f ca="1">IF($Y$3="申万一级行业",[1]!s_info_industry_sw_2021(W1588,公司分析!D$5,1),IF($Y$3="申万二级行业",[1]!s_info_industry_sw_2021(W1588,公司分析!D$5,2),IF($Y$3="申万三级行业",[1]!s_info_industry_sw_2021(W1588,公司分析!D$5,3),IF($Y$3="wind一级行业",[1]!s_info_industry_gics(W1588,1),IF($Y$3="wind二级行业",[1]!s_info_industry_gics(W1588,2),IF($Y$3="wind三级行业",[1]!s_info_industry_gics(W1588,3),IF($Y$3="wind四级行业",[1]!s_info_industry_gics(W1588,4),IF($Y$3="证监会门类行业",[1]!s_info_industry_csrc12_n(W1588,公司分析!D$5,1),""))))))))</f>
        <v>军工电子Ⅱ</v>
      </c>
      <c r="Z1588" s="302" t="str">
        <f ca="1">IF(Y1588=行业比较!$E$6,ROW(),"")</f>
        <v/>
      </c>
      <c r="AA1588" s="122"/>
      <c r="AB1588" s="122"/>
      <c r="AC1588" s="122"/>
      <c r="AD1588" s="122"/>
      <c r="AE1588" s="122"/>
      <c r="AF1588" s="122"/>
      <c r="AG1588" s="122"/>
      <c r="AH1588" s="122"/>
      <c r="AI1588" s="122"/>
      <c r="AJ1588" s="122"/>
      <c r="AK1588" s="122"/>
      <c r="AL1588" s="122"/>
      <c r="AM1588" s="122"/>
      <c r="AN1588" s="122"/>
      <c r="AO1588" s="122"/>
      <c r="AP1588" s="122"/>
    </row>
    <row r="1589" spans="2:42">
      <c r="B1589" s="122"/>
      <c r="C1589" s="122"/>
      <c r="D1589" s="122"/>
      <c r="E1589" s="122"/>
      <c r="F1589" s="122"/>
      <c r="G1589" s="122"/>
      <c r="H1589" s="122"/>
      <c r="I1589" s="275"/>
      <c r="J1589" s="130"/>
      <c r="K1589" s="130"/>
      <c r="L1589" s="130"/>
      <c r="M1589" s="130"/>
      <c r="N1589" s="291"/>
      <c r="O1589" s="291"/>
      <c r="P1589" s="122"/>
      <c r="Q1589" s="122"/>
      <c r="R1589" s="122"/>
      <c r="S1589" s="122"/>
      <c r="T1589" s="122"/>
      <c r="U1589" s="301"/>
      <c r="V1589" s="260">
        <f t="shared" ca="1" si="32"/>
        <v>0</v>
      </c>
      <c r="W1589" s="348" t="str">
        <f>IF(板块成分!B1591="","",板块成分!B1591)</f>
        <v>300102.SZ</v>
      </c>
      <c r="X1589" s="276" t="str">
        <f>[1]!S_Info_Name(W1589)</f>
        <v>乾照光电</v>
      </c>
      <c r="Y1589" s="276" t="str">
        <f ca="1">IF($Y$3="申万一级行业",[1]!s_info_industry_sw_2021(W1589,公司分析!D$5,1),IF($Y$3="申万二级行业",[1]!s_info_industry_sw_2021(W1589,公司分析!D$5,2),IF($Y$3="申万三级行业",[1]!s_info_industry_sw_2021(W1589,公司分析!D$5,3),IF($Y$3="wind一级行业",[1]!s_info_industry_gics(W1589,1),IF($Y$3="wind二级行业",[1]!s_info_industry_gics(W1589,2),IF($Y$3="wind三级行业",[1]!s_info_industry_gics(W1589,3),IF($Y$3="wind四级行业",[1]!s_info_industry_gics(W1589,4),IF($Y$3="证监会门类行业",[1]!s_info_industry_csrc12_n(W1589,公司分析!D$5,1),""))))))))</f>
        <v>光学光电子</v>
      </c>
      <c r="Z1589" s="302" t="str">
        <f ca="1">IF(Y1589=行业比较!$E$6,ROW(),"")</f>
        <v/>
      </c>
      <c r="AA1589" s="122"/>
      <c r="AB1589" s="122"/>
      <c r="AC1589" s="122"/>
      <c r="AD1589" s="122"/>
      <c r="AE1589" s="122"/>
      <c r="AF1589" s="122"/>
      <c r="AG1589" s="122"/>
      <c r="AH1589" s="122"/>
      <c r="AI1589" s="122"/>
      <c r="AJ1589" s="122"/>
      <c r="AK1589" s="122"/>
      <c r="AL1589" s="122"/>
      <c r="AM1589" s="122"/>
      <c r="AN1589" s="122"/>
      <c r="AO1589" s="122"/>
      <c r="AP1589" s="122"/>
    </row>
    <row r="1590" spans="2:42">
      <c r="B1590" s="122"/>
      <c r="C1590" s="122"/>
      <c r="D1590" s="122"/>
      <c r="E1590" s="122"/>
      <c r="F1590" s="122"/>
      <c r="G1590" s="122"/>
      <c r="H1590" s="122"/>
      <c r="I1590" s="275"/>
      <c r="J1590" s="130"/>
      <c r="K1590" s="130"/>
      <c r="L1590" s="130"/>
      <c r="M1590" s="130"/>
      <c r="N1590" s="291"/>
      <c r="O1590" s="291"/>
      <c r="P1590" s="122"/>
      <c r="Q1590" s="122"/>
      <c r="R1590" s="122"/>
      <c r="S1590" s="122"/>
      <c r="T1590" s="122"/>
      <c r="U1590" s="301"/>
      <c r="V1590" s="260">
        <f t="shared" ca="1" si="32"/>
        <v>0</v>
      </c>
      <c r="W1590" s="348" t="str">
        <f>IF(板块成分!B1592="","",板块成分!B1592)</f>
        <v>300103.SZ</v>
      </c>
      <c r="X1590" s="276" t="str">
        <f>[1]!S_Info_Name(W1590)</f>
        <v>达刚控股</v>
      </c>
      <c r="Y1590" s="276" t="str">
        <f ca="1">IF($Y$3="申万一级行业",[1]!s_info_industry_sw_2021(W1590,公司分析!D$5,1),IF($Y$3="申万二级行业",[1]!s_info_industry_sw_2021(W1590,公司分析!D$5,2),IF($Y$3="申万三级行业",[1]!s_info_industry_sw_2021(W1590,公司分析!D$5,3),IF($Y$3="wind一级行业",[1]!s_info_industry_gics(W1590,1),IF($Y$3="wind二级行业",[1]!s_info_industry_gics(W1590,2),IF($Y$3="wind三级行业",[1]!s_info_industry_gics(W1590,3),IF($Y$3="wind四级行业",[1]!s_info_industry_gics(W1590,4),IF($Y$3="证监会门类行业",[1]!s_info_industry_csrc12_n(W1590,公司分析!D$5,1),""))))))))</f>
        <v>专用设备</v>
      </c>
      <c r="Z1590" s="302" t="str">
        <f ca="1">IF(Y1590=行业比较!$E$6,ROW(),"")</f>
        <v/>
      </c>
      <c r="AA1590" s="122"/>
      <c r="AB1590" s="122"/>
      <c r="AC1590" s="122"/>
      <c r="AD1590" s="122"/>
      <c r="AE1590" s="122"/>
      <c r="AF1590" s="122"/>
      <c r="AG1590" s="122"/>
      <c r="AH1590" s="122"/>
      <c r="AI1590" s="122"/>
      <c r="AJ1590" s="122"/>
      <c r="AK1590" s="122"/>
      <c r="AL1590" s="122"/>
      <c r="AM1590" s="122"/>
      <c r="AN1590" s="122"/>
      <c r="AO1590" s="122"/>
      <c r="AP1590" s="122"/>
    </row>
    <row r="1591" spans="2:42">
      <c r="B1591" s="122"/>
      <c r="C1591" s="122"/>
      <c r="D1591" s="122"/>
      <c r="E1591" s="122"/>
      <c r="F1591" s="122"/>
      <c r="G1591" s="122"/>
      <c r="H1591" s="122"/>
      <c r="I1591" s="275"/>
      <c r="J1591" s="130"/>
      <c r="K1591" s="130"/>
      <c r="L1591" s="130"/>
      <c r="M1591" s="130"/>
      <c r="N1591" s="291"/>
      <c r="O1591" s="291"/>
      <c r="P1591" s="122"/>
      <c r="Q1591" s="122"/>
      <c r="R1591" s="122"/>
      <c r="S1591" s="122"/>
      <c r="T1591" s="122"/>
      <c r="U1591" s="301"/>
      <c r="V1591" s="260">
        <f t="shared" ca="1" si="32"/>
        <v>0</v>
      </c>
      <c r="W1591" s="348" t="str">
        <f>IF(板块成分!B1593="","",板块成分!B1593)</f>
        <v>300105.SZ</v>
      </c>
      <c r="X1591" s="276" t="str">
        <f>[1]!S_Info_Name(W1591)</f>
        <v>龙源技术</v>
      </c>
      <c r="Y1591" s="276" t="str">
        <f ca="1">IF($Y$3="申万一级行业",[1]!s_info_industry_sw_2021(W1591,公司分析!D$5,1),IF($Y$3="申万二级行业",[1]!s_info_industry_sw_2021(W1591,公司分析!D$5,2),IF($Y$3="申万三级行业",[1]!s_info_industry_sw_2021(W1591,公司分析!D$5,3),IF($Y$3="wind一级行业",[1]!s_info_industry_gics(W1591,1),IF($Y$3="wind二级行业",[1]!s_info_industry_gics(W1591,2),IF($Y$3="wind三级行业",[1]!s_info_industry_gics(W1591,3),IF($Y$3="wind四级行业",[1]!s_info_industry_gics(W1591,4),IF($Y$3="证监会门类行业",[1]!s_info_industry_csrc12_n(W1591,公司分析!D$5,1),""))))))))</f>
        <v>环保设备Ⅱ</v>
      </c>
      <c r="Z1591" s="302" t="str">
        <f ca="1">IF(Y1591=行业比较!$E$6,ROW(),"")</f>
        <v/>
      </c>
      <c r="AA1591" s="122"/>
      <c r="AB1591" s="122"/>
      <c r="AC1591" s="122"/>
      <c r="AD1591" s="122"/>
      <c r="AE1591" s="122"/>
      <c r="AF1591" s="122"/>
      <c r="AG1591" s="122"/>
      <c r="AH1591" s="122"/>
      <c r="AI1591" s="122"/>
      <c r="AJ1591" s="122"/>
      <c r="AK1591" s="122"/>
      <c r="AL1591" s="122"/>
      <c r="AM1591" s="122"/>
      <c r="AN1591" s="122"/>
      <c r="AO1591" s="122"/>
      <c r="AP1591" s="122"/>
    </row>
    <row r="1592" spans="2:42">
      <c r="B1592" s="122"/>
      <c r="C1592" s="122"/>
      <c r="D1592" s="122"/>
      <c r="E1592" s="122"/>
      <c r="F1592" s="122"/>
      <c r="G1592" s="122"/>
      <c r="H1592" s="122"/>
      <c r="I1592" s="275"/>
      <c r="J1592" s="130"/>
      <c r="K1592" s="130"/>
      <c r="L1592" s="130"/>
      <c r="M1592" s="130"/>
      <c r="N1592" s="291"/>
      <c r="O1592" s="291"/>
      <c r="P1592" s="122"/>
      <c r="Q1592" s="122"/>
      <c r="R1592" s="122"/>
      <c r="S1592" s="122"/>
      <c r="T1592" s="122"/>
      <c r="U1592" s="301"/>
      <c r="V1592" s="260">
        <f t="shared" ca="1" si="32"/>
        <v>0</v>
      </c>
      <c r="W1592" s="348" t="str">
        <f>IF(板块成分!B1594="","",板块成分!B1594)</f>
        <v>300106.SZ</v>
      </c>
      <c r="X1592" s="276" t="str">
        <f>[1]!S_Info_Name(W1592)</f>
        <v>西部牧业</v>
      </c>
      <c r="Y1592" s="276" t="str">
        <f ca="1">IF($Y$3="申万一级行业",[1]!s_info_industry_sw_2021(W1592,公司分析!D$5,1),IF($Y$3="申万二级行业",[1]!s_info_industry_sw_2021(W1592,公司分析!D$5,2),IF($Y$3="申万三级行业",[1]!s_info_industry_sw_2021(W1592,公司分析!D$5,3),IF($Y$3="wind一级行业",[1]!s_info_industry_gics(W1592,1),IF($Y$3="wind二级行业",[1]!s_info_industry_gics(W1592,2),IF($Y$3="wind三级行业",[1]!s_info_industry_gics(W1592,3),IF($Y$3="wind四级行业",[1]!s_info_industry_gics(W1592,4),IF($Y$3="证监会门类行业",[1]!s_info_industry_csrc12_n(W1592,公司分析!D$5,1),""))))))))</f>
        <v>饮料乳品</v>
      </c>
      <c r="Z1592" s="302" t="str">
        <f ca="1">IF(Y1592=行业比较!$E$6,ROW(),"")</f>
        <v/>
      </c>
      <c r="AA1592" s="122"/>
      <c r="AB1592" s="122"/>
      <c r="AC1592" s="122"/>
      <c r="AD1592" s="122"/>
      <c r="AE1592" s="122"/>
      <c r="AF1592" s="122"/>
      <c r="AG1592" s="122"/>
      <c r="AH1592" s="122"/>
      <c r="AI1592" s="122"/>
      <c r="AJ1592" s="122"/>
      <c r="AK1592" s="122"/>
      <c r="AL1592" s="122"/>
      <c r="AM1592" s="122"/>
      <c r="AN1592" s="122"/>
      <c r="AO1592" s="122"/>
      <c r="AP1592" s="122"/>
    </row>
    <row r="1593" spans="2:42">
      <c r="B1593" s="122"/>
      <c r="C1593" s="122"/>
      <c r="D1593" s="122"/>
      <c r="E1593" s="122"/>
      <c r="F1593" s="122"/>
      <c r="G1593" s="122"/>
      <c r="H1593" s="122"/>
      <c r="I1593" s="275"/>
      <c r="J1593" s="130"/>
      <c r="K1593" s="130"/>
      <c r="L1593" s="130"/>
      <c r="M1593" s="130"/>
      <c r="N1593" s="291"/>
      <c r="O1593" s="291"/>
      <c r="P1593" s="122"/>
      <c r="Q1593" s="122"/>
      <c r="R1593" s="122"/>
      <c r="S1593" s="122"/>
      <c r="T1593" s="122"/>
      <c r="U1593" s="301"/>
      <c r="V1593" s="260">
        <f t="shared" ca="1" si="32"/>
        <v>0</v>
      </c>
      <c r="W1593" s="348" t="str">
        <f>IF(板块成分!B1595="","",板块成分!B1595)</f>
        <v>300107.SZ</v>
      </c>
      <c r="X1593" s="276" t="str">
        <f>[1]!S_Info_Name(W1593)</f>
        <v>建新股份</v>
      </c>
      <c r="Y1593" s="276" t="str">
        <f ca="1">IF($Y$3="申万一级行业",[1]!s_info_industry_sw_2021(W1593,公司分析!D$5,1),IF($Y$3="申万二级行业",[1]!s_info_industry_sw_2021(W1593,公司分析!D$5,2),IF($Y$3="申万三级行业",[1]!s_info_industry_sw_2021(W1593,公司分析!D$5,3),IF($Y$3="wind一级行业",[1]!s_info_industry_gics(W1593,1),IF($Y$3="wind二级行业",[1]!s_info_industry_gics(W1593,2),IF($Y$3="wind三级行业",[1]!s_info_industry_gics(W1593,3),IF($Y$3="wind四级行业",[1]!s_info_industry_gics(W1593,4),IF($Y$3="证监会门类行业",[1]!s_info_industry_csrc12_n(W1593,公司分析!D$5,1),""))))))))</f>
        <v>化学制品</v>
      </c>
      <c r="Z1593" s="302" t="str">
        <f ca="1">IF(Y1593=行业比较!$E$6,ROW(),"")</f>
        <v/>
      </c>
      <c r="AA1593" s="122"/>
      <c r="AB1593" s="122"/>
      <c r="AC1593" s="122"/>
      <c r="AD1593" s="122"/>
      <c r="AE1593" s="122"/>
      <c r="AF1593" s="122"/>
      <c r="AG1593" s="122"/>
      <c r="AH1593" s="122"/>
      <c r="AI1593" s="122"/>
      <c r="AJ1593" s="122"/>
      <c r="AK1593" s="122"/>
      <c r="AL1593" s="122"/>
      <c r="AM1593" s="122"/>
      <c r="AN1593" s="122"/>
      <c r="AO1593" s="122"/>
      <c r="AP1593" s="122"/>
    </row>
    <row r="1594" spans="2:42">
      <c r="B1594" s="122"/>
      <c r="C1594" s="122"/>
      <c r="D1594" s="122"/>
      <c r="E1594" s="122"/>
      <c r="F1594" s="122"/>
      <c r="G1594" s="122"/>
      <c r="H1594" s="122"/>
      <c r="I1594" s="275"/>
      <c r="J1594" s="130"/>
      <c r="K1594" s="130"/>
      <c r="L1594" s="130"/>
      <c r="M1594" s="130"/>
      <c r="N1594" s="291"/>
      <c r="O1594" s="291"/>
      <c r="P1594" s="122"/>
      <c r="Q1594" s="122"/>
      <c r="R1594" s="122"/>
      <c r="S1594" s="122"/>
      <c r="T1594" s="122"/>
      <c r="U1594" s="301"/>
      <c r="V1594" s="260">
        <f t="shared" ca="1" si="32"/>
        <v>0</v>
      </c>
      <c r="W1594" s="348" t="str">
        <f>IF(板块成分!B1596="","",板块成分!B1596)</f>
        <v>300109.SZ</v>
      </c>
      <c r="X1594" s="276" t="str">
        <f>[1]!S_Info_Name(W1594)</f>
        <v>新开源</v>
      </c>
      <c r="Y1594" s="276" t="str">
        <f ca="1">IF($Y$3="申万一级行业",[1]!s_info_industry_sw_2021(W1594,公司分析!D$5,1),IF($Y$3="申万二级行业",[1]!s_info_industry_sw_2021(W1594,公司分析!D$5,2),IF($Y$3="申万三级行业",[1]!s_info_industry_sw_2021(W1594,公司分析!D$5,3),IF($Y$3="wind一级行业",[1]!s_info_industry_gics(W1594,1),IF($Y$3="wind二级行业",[1]!s_info_industry_gics(W1594,2),IF($Y$3="wind三级行业",[1]!s_info_industry_gics(W1594,3),IF($Y$3="wind四级行业",[1]!s_info_industry_gics(W1594,4),IF($Y$3="证监会门类行业",[1]!s_info_industry_csrc12_n(W1594,公司分析!D$5,1),""))))))))</f>
        <v>化学制品</v>
      </c>
      <c r="Z1594" s="302" t="str">
        <f ca="1">IF(Y1594=行业比较!$E$6,ROW(),"")</f>
        <v/>
      </c>
      <c r="AA1594" s="122"/>
      <c r="AB1594" s="122"/>
      <c r="AC1594" s="122"/>
      <c r="AD1594" s="122"/>
      <c r="AE1594" s="122"/>
      <c r="AF1594" s="122"/>
      <c r="AG1594" s="122"/>
      <c r="AH1594" s="122"/>
      <c r="AI1594" s="122"/>
      <c r="AJ1594" s="122"/>
      <c r="AK1594" s="122"/>
      <c r="AL1594" s="122"/>
      <c r="AM1594" s="122"/>
      <c r="AN1594" s="122"/>
      <c r="AO1594" s="122"/>
      <c r="AP1594" s="122"/>
    </row>
    <row r="1595" spans="2:42">
      <c r="B1595" s="122"/>
      <c r="C1595" s="122"/>
      <c r="D1595" s="122"/>
      <c r="E1595" s="122"/>
      <c r="F1595" s="122"/>
      <c r="G1595" s="122"/>
      <c r="H1595" s="122"/>
      <c r="I1595" s="275"/>
      <c r="J1595" s="130"/>
      <c r="K1595" s="130"/>
      <c r="L1595" s="130"/>
      <c r="M1595" s="130"/>
      <c r="N1595" s="291"/>
      <c r="O1595" s="291"/>
      <c r="P1595" s="122"/>
      <c r="Q1595" s="122"/>
      <c r="R1595" s="122"/>
      <c r="S1595" s="122"/>
      <c r="T1595" s="122"/>
      <c r="U1595" s="301"/>
      <c r="V1595" s="260">
        <f t="shared" ca="1" si="32"/>
        <v>0</v>
      </c>
      <c r="W1595" s="348" t="str">
        <f>IF(板块成分!B1597="","",板块成分!B1597)</f>
        <v>300110.SZ</v>
      </c>
      <c r="X1595" s="276" t="str">
        <f>[1]!S_Info_Name(W1595)</f>
        <v>华仁药业</v>
      </c>
      <c r="Y1595" s="276" t="str">
        <f ca="1">IF($Y$3="申万一级行业",[1]!s_info_industry_sw_2021(W1595,公司分析!D$5,1),IF($Y$3="申万二级行业",[1]!s_info_industry_sw_2021(W1595,公司分析!D$5,2),IF($Y$3="申万三级行业",[1]!s_info_industry_sw_2021(W1595,公司分析!D$5,3),IF($Y$3="wind一级行业",[1]!s_info_industry_gics(W1595,1),IF($Y$3="wind二级行业",[1]!s_info_industry_gics(W1595,2),IF($Y$3="wind三级行业",[1]!s_info_industry_gics(W1595,3),IF($Y$3="wind四级行业",[1]!s_info_industry_gics(W1595,4),IF($Y$3="证监会门类行业",[1]!s_info_industry_csrc12_n(W1595,公司分析!D$5,1),""))))))))</f>
        <v>化学制药</v>
      </c>
      <c r="Z1595" s="302" t="str">
        <f ca="1">IF(Y1595=行业比较!$E$6,ROW(),"")</f>
        <v/>
      </c>
      <c r="AA1595" s="122"/>
      <c r="AB1595" s="122"/>
      <c r="AC1595" s="122"/>
      <c r="AD1595" s="122"/>
      <c r="AE1595" s="122"/>
      <c r="AF1595" s="122"/>
      <c r="AG1595" s="122"/>
      <c r="AH1595" s="122"/>
      <c r="AI1595" s="122"/>
      <c r="AJ1595" s="122"/>
      <c r="AK1595" s="122"/>
      <c r="AL1595" s="122"/>
      <c r="AM1595" s="122"/>
      <c r="AN1595" s="122"/>
      <c r="AO1595" s="122"/>
      <c r="AP1595" s="122"/>
    </row>
    <row r="1596" spans="2:42">
      <c r="B1596" s="122"/>
      <c r="C1596" s="122"/>
      <c r="D1596" s="122"/>
      <c r="E1596" s="122"/>
      <c r="F1596" s="122"/>
      <c r="G1596" s="122"/>
      <c r="H1596" s="122"/>
      <c r="I1596" s="275"/>
      <c r="J1596" s="130"/>
      <c r="K1596" s="130"/>
      <c r="L1596" s="130"/>
      <c r="M1596" s="130"/>
      <c r="N1596" s="291"/>
      <c r="O1596" s="291"/>
      <c r="P1596" s="122"/>
      <c r="Q1596" s="122"/>
      <c r="R1596" s="122"/>
      <c r="S1596" s="122"/>
      <c r="T1596" s="122"/>
      <c r="U1596" s="301"/>
      <c r="V1596" s="260">
        <f t="shared" ca="1" si="32"/>
        <v>0</v>
      </c>
      <c r="W1596" s="348" t="str">
        <f>IF(板块成分!B1598="","",板块成分!B1598)</f>
        <v>300111.SZ</v>
      </c>
      <c r="X1596" s="276" t="str">
        <f>[1]!S_Info_Name(W1596)</f>
        <v>向日葵</v>
      </c>
      <c r="Y1596" s="276" t="str">
        <f ca="1">IF($Y$3="申万一级行业",[1]!s_info_industry_sw_2021(W1596,公司分析!D$5,1),IF($Y$3="申万二级行业",[1]!s_info_industry_sw_2021(W1596,公司分析!D$5,2),IF($Y$3="申万三级行业",[1]!s_info_industry_sw_2021(W1596,公司分析!D$5,3),IF($Y$3="wind一级行业",[1]!s_info_industry_gics(W1596,1),IF($Y$3="wind二级行业",[1]!s_info_industry_gics(W1596,2),IF($Y$3="wind三级行业",[1]!s_info_industry_gics(W1596,3),IF($Y$3="wind四级行业",[1]!s_info_industry_gics(W1596,4),IF($Y$3="证监会门类行业",[1]!s_info_industry_csrc12_n(W1596,公司分析!D$5,1),""))))))))</f>
        <v>化学制药</v>
      </c>
      <c r="Z1596" s="302" t="str">
        <f ca="1">IF(Y1596=行业比较!$E$6,ROW(),"")</f>
        <v/>
      </c>
      <c r="AA1596" s="122"/>
      <c r="AB1596" s="122"/>
      <c r="AC1596" s="122"/>
      <c r="AD1596" s="122"/>
      <c r="AE1596" s="122"/>
      <c r="AF1596" s="122"/>
      <c r="AG1596" s="122"/>
      <c r="AH1596" s="122"/>
      <c r="AI1596" s="122"/>
      <c r="AJ1596" s="122"/>
      <c r="AK1596" s="122"/>
      <c r="AL1596" s="122"/>
      <c r="AM1596" s="122"/>
      <c r="AN1596" s="122"/>
      <c r="AO1596" s="122"/>
      <c r="AP1596" s="122"/>
    </row>
    <row r="1597" spans="2:42">
      <c r="B1597" s="122"/>
      <c r="C1597" s="122"/>
      <c r="D1597" s="122"/>
      <c r="E1597" s="122"/>
      <c r="F1597" s="122"/>
      <c r="G1597" s="122"/>
      <c r="H1597" s="122"/>
      <c r="I1597" s="275"/>
      <c r="J1597" s="130"/>
      <c r="K1597" s="130"/>
      <c r="L1597" s="130"/>
      <c r="M1597" s="130"/>
      <c r="N1597" s="291"/>
      <c r="O1597" s="291"/>
      <c r="P1597" s="122"/>
      <c r="Q1597" s="122"/>
      <c r="R1597" s="122"/>
      <c r="S1597" s="122"/>
      <c r="T1597" s="122"/>
      <c r="U1597" s="301"/>
      <c r="V1597" s="260">
        <f t="shared" ca="1" si="32"/>
        <v>0</v>
      </c>
      <c r="W1597" s="348" t="str">
        <f>IF(板块成分!B1599="","",板块成分!B1599)</f>
        <v>300112.SZ</v>
      </c>
      <c r="X1597" s="276" t="str">
        <f>[1]!S_Info_Name(W1597)</f>
        <v>万讯自控</v>
      </c>
      <c r="Y1597" s="276" t="str">
        <f ca="1">IF($Y$3="申万一级行业",[1]!s_info_industry_sw_2021(W1597,公司分析!D$5,1),IF($Y$3="申万二级行业",[1]!s_info_industry_sw_2021(W1597,公司分析!D$5,2),IF($Y$3="申万三级行业",[1]!s_info_industry_sw_2021(W1597,公司分析!D$5,3),IF($Y$3="wind一级行业",[1]!s_info_industry_gics(W1597,1),IF($Y$3="wind二级行业",[1]!s_info_industry_gics(W1597,2),IF($Y$3="wind三级行业",[1]!s_info_industry_gics(W1597,3),IF($Y$3="wind四级行业",[1]!s_info_industry_gics(W1597,4),IF($Y$3="证监会门类行业",[1]!s_info_industry_csrc12_n(W1597,公司分析!D$5,1),""))))))))</f>
        <v>通用设备</v>
      </c>
      <c r="Z1597" s="302" t="str">
        <f ca="1">IF(Y1597=行业比较!$E$6,ROW(),"")</f>
        <v/>
      </c>
      <c r="AA1597" s="122"/>
      <c r="AB1597" s="122"/>
      <c r="AC1597" s="122"/>
      <c r="AD1597" s="122"/>
      <c r="AE1597" s="122"/>
      <c r="AF1597" s="122"/>
      <c r="AG1597" s="122"/>
      <c r="AH1597" s="122"/>
      <c r="AI1597" s="122"/>
      <c r="AJ1597" s="122"/>
      <c r="AK1597" s="122"/>
      <c r="AL1597" s="122"/>
      <c r="AM1597" s="122"/>
      <c r="AN1597" s="122"/>
      <c r="AO1597" s="122"/>
      <c r="AP1597" s="122"/>
    </row>
    <row r="1598" spans="2:42">
      <c r="B1598" s="122"/>
      <c r="C1598" s="122"/>
      <c r="D1598" s="122"/>
      <c r="E1598" s="122"/>
      <c r="F1598" s="122"/>
      <c r="G1598" s="122"/>
      <c r="H1598" s="122"/>
      <c r="I1598" s="275"/>
      <c r="J1598" s="130"/>
      <c r="K1598" s="130"/>
      <c r="L1598" s="130"/>
      <c r="M1598" s="130"/>
      <c r="N1598" s="291"/>
      <c r="O1598" s="291"/>
      <c r="P1598" s="122"/>
      <c r="Q1598" s="122"/>
      <c r="R1598" s="122"/>
      <c r="S1598" s="122"/>
      <c r="T1598" s="122"/>
      <c r="U1598" s="301"/>
      <c r="V1598" s="260">
        <f t="shared" ca="1" si="32"/>
        <v>0</v>
      </c>
      <c r="W1598" s="348" t="str">
        <f>IF(板块成分!B1600="","",板块成分!B1600)</f>
        <v>300113.SZ</v>
      </c>
      <c r="X1598" s="276" t="str">
        <f>[1]!S_Info_Name(W1598)</f>
        <v>顺网科技</v>
      </c>
      <c r="Y1598" s="276" t="str">
        <f ca="1">IF($Y$3="申万一级行业",[1]!s_info_industry_sw_2021(W1598,公司分析!D$5,1),IF($Y$3="申万二级行业",[1]!s_info_industry_sw_2021(W1598,公司分析!D$5,2),IF($Y$3="申万三级行业",[1]!s_info_industry_sw_2021(W1598,公司分析!D$5,3),IF($Y$3="wind一级行业",[1]!s_info_industry_gics(W1598,1),IF($Y$3="wind二级行业",[1]!s_info_industry_gics(W1598,2),IF($Y$3="wind三级行业",[1]!s_info_industry_gics(W1598,3),IF($Y$3="wind四级行业",[1]!s_info_industry_gics(W1598,4),IF($Y$3="证监会门类行业",[1]!s_info_industry_csrc12_n(W1598,公司分析!D$5,1),""))))))))</f>
        <v>游戏Ⅱ</v>
      </c>
      <c r="Z1598" s="302" t="str">
        <f ca="1">IF(Y1598=行业比较!$E$6,ROW(),"")</f>
        <v/>
      </c>
      <c r="AA1598" s="122"/>
      <c r="AB1598" s="122"/>
      <c r="AC1598" s="122"/>
      <c r="AD1598" s="122"/>
      <c r="AE1598" s="122"/>
      <c r="AF1598" s="122"/>
      <c r="AG1598" s="122"/>
      <c r="AH1598" s="122"/>
      <c r="AI1598" s="122"/>
      <c r="AJ1598" s="122"/>
      <c r="AK1598" s="122"/>
      <c r="AL1598" s="122"/>
      <c r="AM1598" s="122"/>
      <c r="AN1598" s="122"/>
      <c r="AO1598" s="122"/>
      <c r="AP1598" s="122"/>
    </row>
    <row r="1599" spans="2:42">
      <c r="B1599" s="122"/>
      <c r="C1599" s="122"/>
      <c r="D1599" s="122"/>
      <c r="E1599" s="122"/>
      <c r="F1599" s="122"/>
      <c r="G1599" s="122"/>
      <c r="H1599" s="122"/>
      <c r="I1599" s="275"/>
      <c r="J1599" s="130"/>
      <c r="K1599" s="130"/>
      <c r="L1599" s="130"/>
      <c r="M1599" s="130"/>
      <c r="N1599" s="291"/>
      <c r="O1599" s="291"/>
      <c r="P1599" s="122"/>
      <c r="Q1599" s="122"/>
      <c r="R1599" s="122"/>
      <c r="S1599" s="122"/>
      <c r="T1599" s="122"/>
      <c r="U1599" s="301"/>
      <c r="V1599" s="260">
        <f t="shared" ca="1" si="32"/>
        <v>0</v>
      </c>
      <c r="W1599" s="348" t="str">
        <f>IF(板块成分!B1601="","",板块成分!B1601)</f>
        <v>300115.SZ</v>
      </c>
      <c r="X1599" s="276" t="str">
        <f>[1]!S_Info_Name(W1599)</f>
        <v>长盈精密</v>
      </c>
      <c r="Y1599" s="276" t="str">
        <f ca="1">IF($Y$3="申万一级行业",[1]!s_info_industry_sw_2021(W1599,公司分析!D$5,1),IF($Y$3="申万二级行业",[1]!s_info_industry_sw_2021(W1599,公司分析!D$5,2),IF($Y$3="申万三级行业",[1]!s_info_industry_sw_2021(W1599,公司分析!D$5,3),IF($Y$3="wind一级行业",[1]!s_info_industry_gics(W1599,1),IF($Y$3="wind二级行业",[1]!s_info_industry_gics(W1599,2),IF($Y$3="wind三级行业",[1]!s_info_industry_gics(W1599,3),IF($Y$3="wind四级行业",[1]!s_info_industry_gics(W1599,4),IF($Y$3="证监会门类行业",[1]!s_info_industry_csrc12_n(W1599,公司分析!D$5,1),""))))))))</f>
        <v>消费电子</v>
      </c>
      <c r="Z1599" s="302" t="str">
        <f ca="1">IF(Y1599=行业比较!$E$6,ROW(),"")</f>
        <v/>
      </c>
      <c r="AA1599" s="122"/>
      <c r="AB1599" s="122"/>
      <c r="AC1599" s="122"/>
      <c r="AD1599" s="122"/>
      <c r="AE1599" s="122"/>
      <c r="AF1599" s="122"/>
      <c r="AG1599" s="122"/>
      <c r="AH1599" s="122"/>
      <c r="AI1599" s="122"/>
      <c r="AJ1599" s="122"/>
      <c r="AK1599" s="122"/>
      <c r="AL1599" s="122"/>
      <c r="AM1599" s="122"/>
      <c r="AN1599" s="122"/>
      <c r="AO1599" s="122"/>
      <c r="AP1599" s="122"/>
    </row>
    <row r="1600" spans="2:42">
      <c r="B1600" s="122"/>
      <c r="C1600" s="122"/>
      <c r="D1600" s="122"/>
      <c r="E1600" s="122"/>
      <c r="F1600" s="122"/>
      <c r="G1600" s="122"/>
      <c r="H1600" s="122"/>
      <c r="I1600" s="275"/>
      <c r="J1600" s="130"/>
      <c r="K1600" s="130"/>
      <c r="L1600" s="130"/>
      <c r="M1600" s="130"/>
      <c r="N1600" s="291"/>
      <c r="O1600" s="291"/>
      <c r="P1600" s="122"/>
      <c r="Q1600" s="122"/>
      <c r="R1600" s="122"/>
      <c r="S1600" s="122"/>
      <c r="T1600" s="122"/>
      <c r="U1600" s="301"/>
      <c r="V1600" s="260">
        <f t="shared" ca="1" si="32"/>
        <v>0</v>
      </c>
      <c r="W1600" s="348" t="str">
        <f>IF(板块成分!B1602="","",板块成分!B1602)</f>
        <v>300118.SZ</v>
      </c>
      <c r="X1600" s="276" t="str">
        <f>[1]!S_Info_Name(W1600)</f>
        <v>东方日升</v>
      </c>
      <c r="Y1600" s="276" t="str">
        <f ca="1">IF($Y$3="申万一级行业",[1]!s_info_industry_sw_2021(W1600,公司分析!D$5,1),IF($Y$3="申万二级行业",[1]!s_info_industry_sw_2021(W1600,公司分析!D$5,2),IF($Y$3="申万三级行业",[1]!s_info_industry_sw_2021(W1600,公司分析!D$5,3),IF($Y$3="wind一级行业",[1]!s_info_industry_gics(W1600,1),IF($Y$3="wind二级行业",[1]!s_info_industry_gics(W1600,2),IF($Y$3="wind三级行业",[1]!s_info_industry_gics(W1600,3),IF($Y$3="wind四级行业",[1]!s_info_industry_gics(W1600,4),IF($Y$3="证监会门类行业",[1]!s_info_industry_csrc12_n(W1600,公司分析!D$5,1),""))))))))</f>
        <v>光伏设备</v>
      </c>
      <c r="Z1600" s="302" t="str">
        <f ca="1">IF(Y1600=行业比较!$E$6,ROW(),"")</f>
        <v/>
      </c>
      <c r="AA1600" s="122"/>
      <c r="AB1600" s="122"/>
      <c r="AC1600" s="122"/>
      <c r="AD1600" s="122"/>
      <c r="AE1600" s="122"/>
      <c r="AF1600" s="122"/>
      <c r="AG1600" s="122"/>
      <c r="AH1600" s="122"/>
      <c r="AI1600" s="122"/>
      <c r="AJ1600" s="122"/>
      <c r="AK1600" s="122"/>
      <c r="AL1600" s="122"/>
      <c r="AM1600" s="122"/>
      <c r="AN1600" s="122"/>
      <c r="AO1600" s="122"/>
      <c r="AP1600" s="122"/>
    </row>
    <row r="1601" spans="2:42">
      <c r="B1601" s="122"/>
      <c r="C1601" s="122"/>
      <c r="D1601" s="122"/>
      <c r="E1601" s="122"/>
      <c r="F1601" s="122"/>
      <c r="G1601" s="122"/>
      <c r="H1601" s="122"/>
      <c r="I1601" s="275"/>
      <c r="J1601" s="130"/>
      <c r="K1601" s="130"/>
      <c r="L1601" s="130"/>
      <c r="M1601" s="130"/>
      <c r="N1601" s="291"/>
      <c r="O1601" s="291"/>
      <c r="P1601" s="122"/>
      <c r="Q1601" s="122"/>
      <c r="R1601" s="122"/>
      <c r="S1601" s="122"/>
      <c r="T1601" s="122"/>
      <c r="U1601" s="301"/>
      <c r="V1601" s="260">
        <f t="shared" ca="1" si="32"/>
        <v>0</v>
      </c>
      <c r="W1601" s="348" t="str">
        <f>IF(板块成分!B1603="","",板块成分!B1603)</f>
        <v>300119.SZ</v>
      </c>
      <c r="X1601" s="276" t="str">
        <f>[1]!S_Info_Name(W1601)</f>
        <v>瑞普生物</v>
      </c>
      <c r="Y1601" s="276" t="str">
        <f ca="1">IF($Y$3="申万一级行业",[1]!s_info_industry_sw_2021(W1601,公司分析!D$5,1),IF($Y$3="申万二级行业",[1]!s_info_industry_sw_2021(W1601,公司分析!D$5,2),IF($Y$3="申万三级行业",[1]!s_info_industry_sw_2021(W1601,公司分析!D$5,3),IF($Y$3="wind一级行业",[1]!s_info_industry_gics(W1601,1),IF($Y$3="wind二级行业",[1]!s_info_industry_gics(W1601,2),IF($Y$3="wind三级行业",[1]!s_info_industry_gics(W1601,3),IF($Y$3="wind四级行业",[1]!s_info_industry_gics(W1601,4),IF($Y$3="证监会门类行业",[1]!s_info_industry_csrc12_n(W1601,公司分析!D$5,1),""))))))))</f>
        <v>动物保健Ⅱ</v>
      </c>
      <c r="Z1601" s="302" t="str">
        <f ca="1">IF(Y1601=行业比较!$E$6,ROW(),"")</f>
        <v/>
      </c>
      <c r="AA1601" s="122"/>
      <c r="AB1601" s="122"/>
      <c r="AC1601" s="122"/>
      <c r="AD1601" s="122"/>
      <c r="AE1601" s="122"/>
      <c r="AF1601" s="122"/>
      <c r="AG1601" s="122"/>
      <c r="AH1601" s="122"/>
      <c r="AI1601" s="122"/>
      <c r="AJ1601" s="122"/>
      <c r="AK1601" s="122"/>
      <c r="AL1601" s="122"/>
      <c r="AM1601" s="122"/>
      <c r="AN1601" s="122"/>
      <c r="AO1601" s="122"/>
      <c r="AP1601" s="122"/>
    </row>
    <row r="1602" spans="2:42">
      <c r="B1602" s="122"/>
      <c r="C1602" s="122"/>
      <c r="D1602" s="122"/>
      <c r="E1602" s="122"/>
      <c r="F1602" s="122"/>
      <c r="G1602" s="122"/>
      <c r="H1602" s="122"/>
      <c r="I1602" s="275"/>
      <c r="J1602" s="130"/>
      <c r="K1602" s="130"/>
      <c r="L1602" s="130"/>
      <c r="M1602" s="130"/>
      <c r="N1602" s="291"/>
      <c r="O1602" s="291"/>
      <c r="P1602" s="122"/>
      <c r="Q1602" s="122"/>
      <c r="R1602" s="122"/>
      <c r="S1602" s="122"/>
      <c r="T1602" s="122"/>
      <c r="U1602" s="301"/>
      <c r="V1602" s="260">
        <f t="shared" ca="1" si="32"/>
        <v>0</v>
      </c>
      <c r="W1602" s="348" t="str">
        <f>IF(板块成分!B1604="","",板块成分!B1604)</f>
        <v>300120.SZ</v>
      </c>
      <c r="X1602" s="276" t="str">
        <f>[1]!S_Info_Name(W1602)</f>
        <v>经纬辉开</v>
      </c>
      <c r="Y1602" s="276" t="str">
        <f ca="1">IF($Y$3="申万一级行业",[1]!s_info_industry_sw_2021(W1602,公司分析!D$5,1),IF($Y$3="申万二级行业",[1]!s_info_industry_sw_2021(W1602,公司分析!D$5,2),IF($Y$3="申万三级行业",[1]!s_info_industry_sw_2021(W1602,公司分析!D$5,3),IF($Y$3="wind一级行业",[1]!s_info_industry_gics(W1602,1),IF($Y$3="wind二级行业",[1]!s_info_industry_gics(W1602,2),IF($Y$3="wind三级行业",[1]!s_info_industry_gics(W1602,3),IF($Y$3="wind四级行业",[1]!s_info_industry_gics(W1602,4),IF($Y$3="证监会门类行业",[1]!s_info_industry_csrc12_n(W1602,公司分析!D$5,1),""))))))))</f>
        <v>光学光电子</v>
      </c>
      <c r="Z1602" s="302" t="str">
        <f ca="1">IF(Y1602=行业比较!$E$6,ROW(),"")</f>
        <v/>
      </c>
      <c r="AA1602" s="122"/>
      <c r="AB1602" s="122"/>
      <c r="AC1602" s="122"/>
      <c r="AD1602" s="122"/>
      <c r="AE1602" s="122"/>
      <c r="AF1602" s="122"/>
      <c r="AG1602" s="122"/>
      <c r="AH1602" s="122"/>
      <c r="AI1602" s="122"/>
      <c r="AJ1602" s="122"/>
      <c r="AK1602" s="122"/>
      <c r="AL1602" s="122"/>
      <c r="AM1602" s="122"/>
      <c r="AN1602" s="122"/>
      <c r="AO1602" s="122"/>
      <c r="AP1602" s="122"/>
    </row>
    <row r="1603" spans="2:42">
      <c r="B1603" s="122"/>
      <c r="C1603" s="122"/>
      <c r="D1603" s="122"/>
      <c r="E1603" s="122"/>
      <c r="F1603" s="122"/>
      <c r="G1603" s="122"/>
      <c r="H1603" s="122"/>
      <c r="I1603" s="275"/>
      <c r="J1603" s="130"/>
      <c r="K1603" s="130"/>
      <c r="L1603" s="130"/>
      <c r="M1603" s="130"/>
      <c r="N1603" s="291"/>
      <c r="O1603" s="291"/>
      <c r="P1603" s="122"/>
      <c r="Q1603" s="122"/>
      <c r="R1603" s="122"/>
      <c r="S1603" s="122"/>
      <c r="T1603" s="122"/>
      <c r="U1603" s="301"/>
      <c r="V1603" s="260">
        <f t="shared" ca="1" si="32"/>
        <v>0</v>
      </c>
      <c r="W1603" s="348" t="str">
        <f>IF(板块成分!B1605="","",板块成分!B1605)</f>
        <v>300121.SZ</v>
      </c>
      <c r="X1603" s="276" t="str">
        <f>[1]!S_Info_Name(W1603)</f>
        <v>阳谷华泰</v>
      </c>
      <c r="Y1603" s="276" t="str">
        <f ca="1">IF($Y$3="申万一级行业",[1]!s_info_industry_sw_2021(W1603,公司分析!D$5,1),IF($Y$3="申万二级行业",[1]!s_info_industry_sw_2021(W1603,公司分析!D$5,2),IF($Y$3="申万三级行业",[1]!s_info_industry_sw_2021(W1603,公司分析!D$5,3),IF($Y$3="wind一级行业",[1]!s_info_industry_gics(W1603,1),IF($Y$3="wind二级行业",[1]!s_info_industry_gics(W1603,2),IF($Y$3="wind三级行业",[1]!s_info_industry_gics(W1603,3),IF($Y$3="wind四级行业",[1]!s_info_industry_gics(W1603,4),IF($Y$3="证监会门类行业",[1]!s_info_industry_csrc12_n(W1603,公司分析!D$5,1),""))))))))</f>
        <v>橡胶</v>
      </c>
      <c r="Z1603" s="302" t="str">
        <f ca="1">IF(Y1603=行业比较!$E$6,ROW(),"")</f>
        <v/>
      </c>
      <c r="AA1603" s="122"/>
      <c r="AB1603" s="122"/>
      <c r="AC1603" s="122"/>
      <c r="AD1603" s="122"/>
      <c r="AE1603" s="122"/>
      <c r="AF1603" s="122"/>
      <c r="AG1603" s="122"/>
      <c r="AH1603" s="122"/>
      <c r="AI1603" s="122"/>
      <c r="AJ1603" s="122"/>
      <c r="AK1603" s="122"/>
      <c r="AL1603" s="122"/>
      <c r="AM1603" s="122"/>
      <c r="AN1603" s="122"/>
      <c r="AO1603" s="122"/>
      <c r="AP1603" s="122"/>
    </row>
    <row r="1604" spans="2:42">
      <c r="B1604" s="122"/>
      <c r="C1604" s="122"/>
      <c r="D1604" s="122"/>
      <c r="E1604" s="122"/>
      <c r="F1604" s="122"/>
      <c r="G1604" s="122"/>
      <c r="H1604" s="122"/>
      <c r="I1604" s="275"/>
      <c r="J1604" s="130"/>
      <c r="K1604" s="130"/>
      <c r="L1604" s="130"/>
      <c r="M1604" s="130"/>
      <c r="N1604" s="291"/>
      <c r="O1604" s="291"/>
      <c r="P1604" s="122"/>
      <c r="Q1604" s="122"/>
      <c r="R1604" s="122"/>
      <c r="S1604" s="122"/>
      <c r="T1604" s="122"/>
      <c r="U1604" s="301"/>
      <c r="V1604" s="260">
        <f t="shared" ca="1" si="32"/>
        <v>0</v>
      </c>
      <c r="W1604" s="348" t="str">
        <f>IF(板块成分!B1606="","",板块成分!B1606)</f>
        <v>300122.SZ</v>
      </c>
      <c r="X1604" s="276" t="str">
        <f>[1]!S_Info_Name(W1604)</f>
        <v>智飞生物</v>
      </c>
      <c r="Y1604" s="276" t="str">
        <f ca="1">IF($Y$3="申万一级行业",[1]!s_info_industry_sw_2021(W1604,公司分析!D$5,1),IF($Y$3="申万二级行业",[1]!s_info_industry_sw_2021(W1604,公司分析!D$5,2),IF($Y$3="申万三级行业",[1]!s_info_industry_sw_2021(W1604,公司分析!D$5,3),IF($Y$3="wind一级行业",[1]!s_info_industry_gics(W1604,1),IF($Y$3="wind二级行业",[1]!s_info_industry_gics(W1604,2),IF($Y$3="wind三级行业",[1]!s_info_industry_gics(W1604,3),IF($Y$3="wind四级行业",[1]!s_info_industry_gics(W1604,4),IF($Y$3="证监会门类行业",[1]!s_info_industry_csrc12_n(W1604,公司分析!D$5,1),""))))))))</f>
        <v>生物制品</v>
      </c>
      <c r="Z1604" s="302" t="str">
        <f ca="1">IF(Y1604=行业比较!$E$6,ROW(),"")</f>
        <v/>
      </c>
      <c r="AA1604" s="122"/>
      <c r="AB1604" s="122"/>
      <c r="AC1604" s="122"/>
      <c r="AD1604" s="122"/>
      <c r="AE1604" s="122"/>
      <c r="AF1604" s="122"/>
      <c r="AG1604" s="122"/>
      <c r="AH1604" s="122"/>
      <c r="AI1604" s="122"/>
      <c r="AJ1604" s="122"/>
      <c r="AK1604" s="122"/>
      <c r="AL1604" s="122"/>
      <c r="AM1604" s="122"/>
      <c r="AN1604" s="122"/>
      <c r="AO1604" s="122"/>
      <c r="AP1604" s="122"/>
    </row>
    <row r="1605" spans="2:42">
      <c r="B1605" s="122"/>
      <c r="C1605" s="122"/>
      <c r="D1605" s="122"/>
      <c r="E1605" s="122"/>
      <c r="F1605" s="122"/>
      <c r="G1605" s="122"/>
      <c r="H1605" s="122"/>
      <c r="I1605" s="275"/>
      <c r="J1605" s="130"/>
      <c r="K1605" s="130"/>
      <c r="L1605" s="130"/>
      <c r="M1605" s="130"/>
      <c r="N1605" s="291"/>
      <c r="O1605" s="291"/>
      <c r="P1605" s="122"/>
      <c r="Q1605" s="122"/>
      <c r="R1605" s="122"/>
      <c r="S1605" s="122"/>
      <c r="T1605" s="122"/>
      <c r="U1605" s="301"/>
      <c r="V1605" s="260">
        <f t="shared" ref="V1605:V1668" ca="1" si="33">IF(Z1605="",0,RANK(Z1605,Z:Z,1))</f>
        <v>0</v>
      </c>
      <c r="W1605" s="348" t="str">
        <f>IF(板块成分!B1607="","",板块成分!B1607)</f>
        <v>300123.SZ</v>
      </c>
      <c r="X1605" s="276" t="str">
        <f>[1]!S_Info_Name(W1605)</f>
        <v>亚光科技</v>
      </c>
      <c r="Y1605" s="276" t="str">
        <f ca="1">IF($Y$3="申万一级行业",[1]!s_info_industry_sw_2021(W1605,公司分析!D$5,1),IF($Y$3="申万二级行业",[1]!s_info_industry_sw_2021(W1605,公司分析!D$5,2),IF($Y$3="申万三级行业",[1]!s_info_industry_sw_2021(W1605,公司分析!D$5,3),IF($Y$3="wind一级行业",[1]!s_info_industry_gics(W1605,1),IF($Y$3="wind二级行业",[1]!s_info_industry_gics(W1605,2),IF($Y$3="wind三级行业",[1]!s_info_industry_gics(W1605,3),IF($Y$3="wind四级行业",[1]!s_info_industry_gics(W1605,4),IF($Y$3="证监会门类行业",[1]!s_info_industry_csrc12_n(W1605,公司分析!D$5,1),""))))))))</f>
        <v>军工电子Ⅱ</v>
      </c>
      <c r="Z1605" s="302" t="str">
        <f ca="1">IF(Y1605=行业比较!$E$6,ROW(),"")</f>
        <v/>
      </c>
      <c r="AA1605" s="122"/>
      <c r="AB1605" s="122"/>
      <c r="AC1605" s="122"/>
      <c r="AD1605" s="122"/>
      <c r="AE1605" s="122"/>
      <c r="AF1605" s="122"/>
      <c r="AG1605" s="122"/>
      <c r="AH1605" s="122"/>
      <c r="AI1605" s="122"/>
      <c r="AJ1605" s="122"/>
      <c r="AK1605" s="122"/>
      <c r="AL1605" s="122"/>
      <c r="AM1605" s="122"/>
      <c r="AN1605" s="122"/>
      <c r="AO1605" s="122"/>
      <c r="AP1605" s="122"/>
    </row>
    <row r="1606" spans="2:42">
      <c r="B1606" s="122"/>
      <c r="C1606" s="122"/>
      <c r="D1606" s="122"/>
      <c r="E1606" s="122"/>
      <c r="F1606" s="122"/>
      <c r="G1606" s="122"/>
      <c r="H1606" s="122"/>
      <c r="I1606" s="275"/>
      <c r="J1606" s="130"/>
      <c r="K1606" s="130"/>
      <c r="L1606" s="130"/>
      <c r="M1606" s="130"/>
      <c r="N1606" s="291"/>
      <c r="O1606" s="291"/>
      <c r="P1606" s="122"/>
      <c r="Q1606" s="122"/>
      <c r="R1606" s="122"/>
      <c r="S1606" s="122"/>
      <c r="T1606" s="122"/>
      <c r="U1606" s="301"/>
      <c r="V1606" s="260">
        <f t="shared" ca="1" si="33"/>
        <v>0</v>
      </c>
      <c r="W1606" s="348" t="str">
        <f>IF(板块成分!B1608="","",板块成分!B1608)</f>
        <v>300124.SZ</v>
      </c>
      <c r="X1606" s="276" t="str">
        <f>[1]!S_Info_Name(W1606)</f>
        <v>汇川技术</v>
      </c>
      <c r="Y1606" s="276" t="str">
        <f ca="1">IF($Y$3="申万一级行业",[1]!s_info_industry_sw_2021(W1606,公司分析!D$5,1),IF($Y$3="申万二级行业",[1]!s_info_industry_sw_2021(W1606,公司分析!D$5,2),IF($Y$3="申万三级行业",[1]!s_info_industry_sw_2021(W1606,公司分析!D$5,3),IF($Y$3="wind一级行业",[1]!s_info_industry_gics(W1606,1),IF($Y$3="wind二级行业",[1]!s_info_industry_gics(W1606,2),IF($Y$3="wind三级行业",[1]!s_info_industry_gics(W1606,3),IF($Y$3="wind四级行业",[1]!s_info_industry_gics(W1606,4),IF($Y$3="证监会门类行业",[1]!s_info_industry_csrc12_n(W1606,公司分析!D$5,1),""))))))))</f>
        <v>自动化设备</v>
      </c>
      <c r="Z1606" s="302" t="str">
        <f ca="1">IF(Y1606=行业比较!$E$6,ROW(),"")</f>
        <v/>
      </c>
      <c r="AA1606" s="122"/>
      <c r="AB1606" s="122"/>
      <c r="AC1606" s="122"/>
      <c r="AD1606" s="122"/>
      <c r="AE1606" s="122"/>
      <c r="AF1606" s="122"/>
      <c r="AG1606" s="122"/>
      <c r="AH1606" s="122"/>
      <c r="AI1606" s="122"/>
      <c r="AJ1606" s="122"/>
      <c r="AK1606" s="122"/>
      <c r="AL1606" s="122"/>
      <c r="AM1606" s="122"/>
      <c r="AN1606" s="122"/>
      <c r="AO1606" s="122"/>
      <c r="AP1606" s="122"/>
    </row>
    <row r="1607" spans="2:42">
      <c r="B1607" s="122"/>
      <c r="C1607" s="122"/>
      <c r="D1607" s="122"/>
      <c r="E1607" s="122"/>
      <c r="F1607" s="122"/>
      <c r="G1607" s="122"/>
      <c r="H1607" s="122"/>
      <c r="I1607" s="275"/>
      <c r="J1607" s="130"/>
      <c r="K1607" s="130"/>
      <c r="L1607" s="130"/>
      <c r="M1607" s="130"/>
      <c r="N1607" s="291"/>
      <c r="O1607" s="291"/>
      <c r="P1607" s="122"/>
      <c r="Q1607" s="122"/>
      <c r="R1607" s="122"/>
      <c r="S1607" s="122"/>
      <c r="T1607" s="122"/>
      <c r="U1607" s="301"/>
      <c r="V1607" s="260">
        <f t="shared" ca="1" si="33"/>
        <v>0</v>
      </c>
      <c r="W1607" s="348" t="str">
        <f>IF(板块成分!B1609="","",板块成分!B1609)</f>
        <v>300125.SZ</v>
      </c>
      <c r="X1607" s="276" t="str">
        <f>[1]!S_Info_Name(W1607)</f>
        <v>*ST聆达</v>
      </c>
      <c r="Y1607" s="276" t="str">
        <f ca="1">IF($Y$3="申万一级行业",[1]!s_info_industry_sw_2021(W1607,公司分析!D$5,1),IF($Y$3="申万二级行业",[1]!s_info_industry_sw_2021(W1607,公司分析!D$5,2),IF($Y$3="申万三级行业",[1]!s_info_industry_sw_2021(W1607,公司分析!D$5,3),IF($Y$3="wind一级行业",[1]!s_info_industry_gics(W1607,1),IF($Y$3="wind二级行业",[1]!s_info_industry_gics(W1607,2),IF($Y$3="wind三级行业",[1]!s_info_industry_gics(W1607,3),IF($Y$3="wind四级行业",[1]!s_info_industry_gics(W1607,4),IF($Y$3="证监会门类行业",[1]!s_info_industry_csrc12_n(W1607,公司分析!D$5,1),""))))))))</f>
        <v>电力</v>
      </c>
      <c r="Z1607" s="302" t="str">
        <f ca="1">IF(Y1607=行业比较!$E$6,ROW(),"")</f>
        <v/>
      </c>
      <c r="AA1607" s="122"/>
      <c r="AB1607" s="122"/>
      <c r="AC1607" s="122"/>
      <c r="AD1607" s="122"/>
      <c r="AE1607" s="122"/>
      <c r="AF1607" s="122"/>
      <c r="AG1607" s="122"/>
      <c r="AH1607" s="122"/>
      <c r="AI1607" s="122"/>
      <c r="AJ1607" s="122"/>
      <c r="AK1607" s="122"/>
      <c r="AL1607" s="122"/>
      <c r="AM1607" s="122"/>
      <c r="AN1607" s="122"/>
      <c r="AO1607" s="122"/>
      <c r="AP1607" s="122"/>
    </row>
    <row r="1608" spans="2:42">
      <c r="B1608" s="122"/>
      <c r="C1608" s="122"/>
      <c r="D1608" s="122"/>
      <c r="E1608" s="122"/>
      <c r="F1608" s="122"/>
      <c r="G1608" s="122"/>
      <c r="H1608" s="122"/>
      <c r="I1608" s="275"/>
      <c r="J1608" s="130"/>
      <c r="K1608" s="130"/>
      <c r="L1608" s="130"/>
      <c r="M1608" s="130"/>
      <c r="N1608" s="291"/>
      <c r="O1608" s="291"/>
      <c r="P1608" s="122"/>
      <c r="Q1608" s="122"/>
      <c r="R1608" s="122"/>
      <c r="S1608" s="122"/>
      <c r="T1608" s="122"/>
      <c r="U1608" s="301"/>
      <c r="V1608" s="260">
        <f t="shared" ca="1" si="33"/>
        <v>0</v>
      </c>
      <c r="W1608" s="348" t="str">
        <f>IF(板块成分!B1610="","",板块成分!B1610)</f>
        <v>300126.SZ</v>
      </c>
      <c r="X1608" s="276" t="str">
        <f>[1]!S_Info_Name(W1608)</f>
        <v>锐奇股份</v>
      </c>
      <c r="Y1608" s="276" t="str">
        <f ca="1">IF($Y$3="申万一级行业",[1]!s_info_industry_sw_2021(W1608,公司分析!D$5,1),IF($Y$3="申万二级行业",[1]!s_info_industry_sw_2021(W1608,公司分析!D$5,2),IF($Y$3="申万三级行业",[1]!s_info_industry_sw_2021(W1608,公司分析!D$5,3),IF($Y$3="wind一级行业",[1]!s_info_industry_gics(W1608,1),IF($Y$3="wind二级行业",[1]!s_info_industry_gics(W1608,2),IF($Y$3="wind三级行业",[1]!s_info_industry_gics(W1608,3),IF($Y$3="wind四级行业",[1]!s_info_industry_gics(W1608,4),IF($Y$3="证监会门类行业",[1]!s_info_industry_csrc12_n(W1608,公司分析!D$5,1),""))))))))</f>
        <v>通用设备</v>
      </c>
      <c r="Z1608" s="302" t="str">
        <f ca="1">IF(Y1608=行业比较!$E$6,ROW(),"")</f>
        <v/>
      </c>
      <c r="AA1608" s="122"/>
      <c r="AB1608" s="122"/>
      <c r="AC1608" s="122"/>
      <c r="AD1608" s="122"/>
      <c r="AE1608" s="122"/>
      <c r="AF1608" s="122"/>
      <c r="AG1608" s="122"/>
      <c r="AH1608" s="122"/>
      <c r="AI1608" s="122"/>
      <c r="AJ1608" s="122"/>
      <c r="AK1608" s="122"/>
      <c r="AL1608" s="122"/>
      <c r="AM1608" s="122"/>
      <c r="AN1608" s="122"/>
      <c r="AO1608" s="122"/>
      <c r="AP1608" s="122"/>
    </row>
    <row r="1609" spans="2:42">
      <c r="B1609" s="122"/>
      <c r="C1609" s="122"/>
      <c r="D1609" s="122"/>
      <c r="E1609" s="122"/>
      <c r="F1609" s="122"/>
      <c r="G1609" s="122"/>
      <c r="H1609" s="122"/>
      <c r="I1609" s="275"/>
      <c r="J1609" s="130"/>
      <c r="K1609" s="130"/>
      <c r="L1609" s="130"/>
      <c r="M1609" s="130"/>
      <c r="N1609" s="291"/>
      <c r="O1609" s="291"/>
      <c r="P1609" s="122"/>
      <c r="Q1609" s="122"/>
      <c r="R1609" s="122"/>
      <c r="S1609" s="122"/>
      <c r="T1609" s="122"/>
      <c r="U1609" s="301"/>
      <c r="V1609" s="260">
        <f t="shared" ca="1" si="33"/>
        <v>0</v>
      </c>
      <c r="W1609" s="348" t="str">
        <f>IF(板块成分!B1611="","",板块成分!B1611)</f>
        <v>300127.SZ</v>
      </c>
      <c r="X1609" s="276" t="str">
        <f>[1]!S_Info_Name(W1609)</f>
        <v>银河磁体</v>
      </c>
      <c r="Y1609" s="276" t="str">
        <f ca="1">IF($Y$3="申万一级行业",[1]!s_info_industry_sw_2021(W1609,公司分析!D$5,1),IF($Y$3="申万二级行业",[1]!s_info_industry_sw_2021(W1609,公司分析!D$5,2),IF($Y$3="申万三级行业",[1]!s_info_industry_sw_2021(W1609,公司分析!D$5,3),IF($Y$3="wind一级行业",[1]!s_info_industry_gics(W1609,1),IF($Y$3="wind二级行业",[1]!s_info_industry_gics(W1609,2),IF($Y$3="wind三级行业",[1]!s_info_industry_gics(W1609,3),IF($Y$3="wind四级行业",[1]!s_info_industry_gics(W1609,4),IF($Y$3="证监会门类行业",[1]!s_info_industry_csrc12_n(W1609,公司分析!D$5,1),""))))))))</f>
        <v>金属新材料</v>
      </c>
      <c r="Z1609" s="302" t="str">
        <f ca="1">IF(Y1609=行业比较!$E$6,ROW(),"")</f>
        <v/>
      </c>
      <c r="AA1609" s="122"/>
      <c r="AB1609" s="122"/>
      <c r="AC1609" s="122"/>
      <c r="AD1609" s="122"/>
      <c r="AE1609" s="122"/>
      <c r="AF1609" s="122"/>
      <c r="AG1609" s="122"/>
      <c r="AH1609" s="122"/>
      <c r="AI1609" s="122"/>
      <c r="AJ1609" s="122"/>
      <c r="AK1609" s="122"/>
      <c r="AL1609" s="122"/>
      <c r="AM1609" s="122"/>
      <c r="AN1609" s="122"/>
      <c r="AO1609" s="122"/>
      <c r="AP1609" s="122"/>
    </row>
    <row r="1610" spans="2:42">
      <c r="B1610" s="122"/>
      <c r="C1610" s="122"/>
      <c r="D1610" s="122"/>
      <c r="E1610" s="122"/>
      <c r="F1610" s="122"/>
      <c r="G1610" s="122"/>
      <c r="H1610" s="122"/>
      <c r="I1610" s="275"/>
      <c r="J1610" s="130"/>
      <c r="K1610" s="130"/>
      <c r="L1610" s="130"/>
      <c r="M1610" s="130"/>
      <c r="N1610" s="291"/>
      <c r="O1610" s="291"/>
      <c r="P1610" s="122"/>
      <c r="Q1610" s="122"/>
      <c r="R1610" s="122"/>
      <c r="S1610" s="122"/>
      <c r="T1610" s="122"/>
      <c r="U1610" s="301"/>
      <c r="V1610" s="260">
        <f t="shared" ca="1" si="33"/>
        <v>0</v>
      </c>
      <c r="W1610" s="348" t="str">
        <f>IF(板块成分!B1612="","",板块成分!B1612)</f>
        <v>300128.SZ</v>
      </c>
      <c r="X1610" s="276" t="str">
        <f>[1]!S_Info_Name(W1610)</f>
        <v>锦富技术</v>
      </c>
      <c r="Y1610" s="276" t="str">
        <f ca="1">IF($Y$3="申万一级行业",[1]!s_info_industry_sw_2021(W1610,公司分析!D$5,1),IF($Y$3="申万二级行业",[1]!s_info_industry_sw_2021(W1610,公司分析!D$5,2),IF($Y$3="申万三级行业",[1]!s_info_industry_sw_2021(W1610,公司分析!D$5,3),IF($Y$3="wind一级行业",[1]!s_info_industry_gics(W1610,1),IF($Y$3="wind二级行业",[1]!s_info_industry_gics(W1610,2),IF($Y$3="wind三级行业",[1]!s_info_industry_gics(W1610,3),IF($Y$3="wind四级行业",[1]!s_info_industry_gics(W1610,4),IF($Y$3="证监会门类行业",[1]!s_info_industry_csrc12_n(W1610,公司分析!D$5,1),""))))))))</f>
        <v>电池</v>
      </c>
      <c r="Z1610" s="302" t="str">
        <f ca="1">IF(Y1610=行业比较!$E$6,ROW(),"")</f>
        <v/>
      </c>
      <c r="AA1610" s="122"/>
      <c r="AB1610" s="122"/>
      <c r="AC1610" s="122"/>
      <c r="AD1610" s="122"/>
      <c r="AE1610" s="122"/>
      <c r="AF1610" s="122"/>
      <c r="AG1610" s="122"/>
      <c r="AH1610" s="122"/>
      <c r="AI1610" s="122"/>
      <c r="AJ1610" s="122"/>
      <c r="AK1610" s="122"/>
      <c r="AL1610" s="122"/>
      <c r="AM1610" s="122"/>
      <c r="AN1610" s="122"/>
      <c r="AO1610" s="122"/>
      <c r="AP1610" s="122"/>
    </row>
    <row r="1611" spans="2:42">
      <c r="B1611" s="122"/>
      <c r="C1611" s="122"/>
      <c r="D1611" s="122"/>
      <c r="E1611" s="122"/>
      <c r="F1611" s="122"/>
      <c r="G1611" s="122"/>
      <c r="H1611" s="122"/>
      <c r="I1611" s="275"/>
      <c r="J1611" s="130"/>
      <c r="K1611" s="130"/>
      <c r="L1611" s="130"/>
      <c r="M1611" s="130"/>
      <c r="N1611" s="291"/>
      <c r="O1611" s="291"/>
      <c r="P1611" s="122"/>
      <c r="Q1611" s="122"/>
      <c r="R1611" s="122"/>
      <c r="S1611" s="122"/>
      <c r="T1611" s="122"/>
      <c r="U1611" s="301"/>
      <c r="V1611" s="260">
        <f t="shared" ca="1" si="33"/>
        <v>0</v>
      </c>
      <c r="W1611" s="348" t="str">
        <f>IF(板块成分!B1613="","",板块成分!B1613)</f>
        <v>300129.SZ</v>
      </c>
      <c r="X1611" s="276" t="str">
        <f>[1]!S_Info_Name(W1611)</f>
        <v>泰胜风能</v>
      </c>
      <c r="Y1611" s="276" t="str">
        <f ca="1">IF($Y$3="申万一级行业",[1]!s_info_industry_sw_2021(W1611,公司分析!D$5,1),IF($Y$3="申万二级行业",[1]!s_info_industry_sw_2021(W1611,公司分析!D$5,2),IF($Y$3="申万三级行业",[1]!s_info_industry_sw_2021(W1611,公司分析!D$5,3),IF($Y$3="wind一级行业",[1]!s_info_industry_gics(W1611,1),IF($Y$3="wind二级行业",[1]!s_info_industry_gics(W1611,2),IF($Y$3="wind三级行业",[1]!s_info_industry_gics(W1611,3),IF($Y$3="wind四级行业",[1]!s_info_industry_gics(W1611,4),IF($Y$3="证监会门类行业",[1]!s_info_industry_csrc12_n(W1611,公司分析!D$5,1),""))))))))</f>
        <v>风电设备</v>
      </c>
      <c r="Z1611" s="302" t="str">
        <f ca="1">IF(Y1611=行业比较!$E$6,ROW(),"")</f>
        <v/>
      </c>
      <c r="AA1611" s="122"/>
      <c r="AB1611" s="122"/>
      <c r="AC1611" s="122"/>
      <c r="AD1611" s="122"/>
      <c r="AE1611" s="122"/>
      <c r="AF1611" s="122"/>
      <c r="AG1611" s="122"/>
      <c r="AH1611" s="122"/>
      <c r="AI1611" s="122"/>
      <c r="AJ1611" s="122"/>
      <c r="AK1611" s="122"/>
      <c r="AL1611" s="122"/>
      <c r="AM1611" s="122"/>
      <c r="AN1611" s="122"/>
      <c r="AO1611" s="122"/>
      <c r="AP1611" s="122"/>
    </row>
    <row r="1612" spans="2:42">
      <c r="B1612" s="122"/>
      <c r="C1612" s="122"/>
      <c r="D1612" s="122"/>
      <c r="E1612" s="122"/>
      <c r="F1612" s="122"/>
      <c r="G1612" s="122"/>
      <c r="H1612" s="122"/>
      <c r="I1612" s="275"/>
      <c r="J1612" s="130"/>
      <c r="K1612" s="130"/>
      <c r="L1612" s="130"/>
      <c r="M1612" s="130"/>
      <c r="N1612" s="291"/>
      <c r="O1612" s="291"/>
      <c r="P1612" s="122"/>
      <c r="Q1612" s="122"/>
      <c r="R1612" s="122"/>
      <c r="S1612" s="122"/>
      <c r="T1612" s="122"/>
      <c r="U1612" s="301"/>
      <c r="V1612" s="260">
        <f t="shared" ca="1" si="33"/>
        <v>0</v>
      </c>
      <c r="W1612" s="348" t="str">
        <f>IF(板块成分!B1614="","",板块成分!B1614)</f>
        <v>300130.SZ</v>
      </c>
      <c r="X1612" s="276" t="str">
        <f>[1]!S_Info_Name(W1612)</f>
        <v>新国都</v>
      </c>
      <c r="Y1612" s="276" t="str">
        <f ca="1">IF($Y$3="申万一级行业",[1]!s_info_industry_sw_2021(W1612,公司分析!D$5,1),IF($Y$3="申万二级行业",[1]!s_info_industry_sw_2021(W1612,公司分析!D$5,2),IF($Y$3="申万三级行业",[1]!s_info_industry_sw_2021(W1612,公司分析!D$5,3),IF($Y$3="wind一级行业",[1]!s_info_industry_gics(W1612,1),IF($Y$3="wind二级行业",[1]!s_info_industry_gics(W1612,2),IF($Y$3="wind三级行业",[1]!s_info_industry_gics(W1612,3),IF($Y$3="wind四级行业",[1]!s_info_industry_gics(W1612,4),IF($Y$3="证监会门类行业",[1]!s_info_industry_csrc12_n(W1612,公司分析!D$5,1),""))))))))</f>
        <v>计算机设备</v>
      </c>
      <c r="Z1612" s="302" t="str">
        <f ca="1">IF(Y1612=行业比较!$E$6,ROW(),"")</f>
        <v/>
      </c>
      <c r="AA1612" s="122"/>
      <c r="AB1612" s="122"/>
      <c r="AC1612" s="122"/>
      <c r="AD1612" s="122"/>
      <c r="AE1612" s="122"/>
      <c r="AF1612" s="122"/>
      <c r="AG1612" s="122"/>
      <c r="AH1612" s="122"/>
      <c r="AI1612" s="122"/>
      <c r="AJ1612" s="122"/>
      <c r="AK1612" s="122"/>
      <c r="AL1612" s="122"/>
      <c r="AM1612" s="122"/>
      <c r="AN1612" s="122"/>
      <c r="AO1612" s="122"/>
      <c r="AP1612" s="122"/>
    </row>
    <row r="1613" spans="2:42">
      <c r="B1613" s="122"/>
      <c r="C1613" s="122"/>
      <c r="D1613" s="122"/>
      <c r="E1613" s="122"/>
      <c r="F1613" s="122"/>
      <c r="G1613" s="122"/>
      <c r="H1613" s="122"/>
      <c r="I1613" s="275"/>
      <c r="J1613" s="130"/>
      <c r="K1613" s="130"/>
      <c r="L1613" s="130"/>
      <c r="M1613" s="130"/>
      <c r="N1613" s="291"/>
      <c r="O1613" s="291"/>
      <c r="P1613" s="122"/>
      <c r="Q1613" s="122"/>
      <c r="R1613" s="122"/>
      <c r="S1613" s="122"/>
      <c r="T1613" s="122"/>
      <c r="U1613" s="301"/>
      <c r="V1613" s="260">
        <f t="shared" ca="1" si="33"/>
        <v>0</v>
      </c>
      <c r="W1613" s="348" t="str">
        <f>IF(板块成分!B1615="","",板块成分!B1615)</f>
        <v>300131.SZ</v>
      </c>
      <c r="X1613" s="276" t="str">
        <f>[1]!S_Info_Name(W1613)</f>
        <v>英唐智控</v>
      </c>
      <c r="Y1613" s="276" t="str">
        <f ca="1">IF($Y$3="申万一级行业",[1]!s_info_industry_sw_2021(W1613,公司分析!D$5,1),IF($Y$3="申万二级行业",[1]!s_info_industry_sw_2021(W1613,公司分析!D$5,2),IF($Y$3="申万三级行业",[1]!s_info_industry_sw_2021(W1613,公司分析!D$5,3),IF($Y$3="wind一级行业",[1]!s_info_industry_gics(W1613,1),IF($Y$3="wind二级行业",[1]!s_info_industry_gics(W1613,2),IF($Y$3="wind三级行业",[1]!s_info_industry_gics(W1613,3),IF($Y$3="wind四级行业",[1]!s_info_industry_gics(W1613,4),IF($Y$3="证监会门类行业",[1]!s_info_industry_csrc12_n(W1613,公司分析!D$5,1),""))))))))</f>
        <v>其他电子Ⅱ</v>
      </c>
      <c r="Z1613" s="302" t="str">
        <f ca="1">IF(Y1613=行业比较!$E$6,ROW(),"")</f>
        <v/>
      </c>
      <c r="AA1613" s="122"/>
      <c r="AB1613" s="122"/>
      <c r="AC1613" s="122"/>
      <c r="AD1613" s="122"/>
      <c r="AE1613" s="122"/>
      <c r="AF1613" s="122"/>
      <c r="AG1613" s="122"/>
      <c r="AH1613" s="122"/>
      <c r="AI1613" s="122"/>
      <c r="AJ1613" s="122"/>
      <c r="AK1613" s="122"/>
      <c r="AL1613" s="122"/>
      <c r="AM1613" s="122"/>
      <c r="AN1613" s="122"/>
      <c r="AO1613" s="122"/>
      <c r="AP1613" s="122"/>
    </row>
    <row r="1614" spans="2:42">
      <c r="B1614" s="122"/>
      <c r="C1614" s="122"/>
      <c r="D1614" s="122"/>
      <c r="E1614" s="122"/>
      <c r="F1614" s="122"/>
      <c r="G1614" s="122"/>
      <c r="H1614" s="122"/>
      <c r="I1614" s="275"/>
      <c r="J1614" s="130"/>
      <c r="K1614" s="130"/>
      <c r="L1614" s="130"/>
      <c r="M1614" s="130"/>
      <c r="N1614" s="291"/>
      <c r="O1614" s="291"/>
      <c r="P1614" s="122"/>
      <c r="Q1614" s="122"/>
      <c r="R1614" s="122"/>
      <c r="S1614" s="122"/>
      <c r="T1614" s="122"/>
      <c r="U1614" s="301"/>
      <c r="V1614" s="260">
        <f t="shared" ca="1" si="33"/>
        <v>0</v>
      </c>
      <c r="W1614" s="348" t="str">
        <f>IF(板块成分!B1616="","",板块成分!B1616)</f>
        <v>300132.SZ</v>
      </c>
      <c r="X1614" s="276" t="str">
        <f>[1]!S_Info_Name(W1614)</f>
        <v>青松股份</v>
      </c>
      <c r="Y1614" s="276" t="str">
        <f ca="1">IF($Y$3="申万一级行业",[1]!s_info_industry_sw_2021(W1614,公司分析!D$5,1),IF($Y$3="申万二级行业",[1]!s_info_industry_sw_2021(W1614,公司分析!D$5,2),IF($Y$3="申万三级行业",[1]!s_info_industry_sw_2021(W1614,公司分析!D$5,3),IF($Y$3="wind一级行业",[1]!s_info_industry_gics(W1614,1),IF($Y$3="wind二级行业",[1]!s_info_industry_gics(W1614,2),IF($Y$3="wind三级行业",[1]!s_info_industry_gics(W1614,3),IF($Y$3="wind四级行业",[1]!s_info_industry_gics(W1614,4),IF($Y$3="证监会门类行业",[1]!s_info_industry_csrc12_n(W1614,公司分析!D$5,1),""))))))))</f>
        <v>化妆品</v>
      </c>
      <c r="Z1614" s="302" t="str">
        <f ca="1">IF(Y1614=行业比较!$E$6,ROW(),"")</f>
        <v/>
      </c>
      <c r="AA1614" s="122"/>
      <c r="AB1614" s="122"/>
      <c r="AC1614" s="122"/>
      <c r="AD1614" s="122"/>
      <c r="AE1614" s="122"/>
      <c r="AF1614" s="122"/>
      <c r="AG1614" s="122"/>
      <c r="AH1614" s="122"/>
      <c r="AI1614" s="122"/>
      <c r="AJ1614" s="122"/>
      <c r="AK1614" s="122"/>
      <c r="AL1614" s="122"/>
      <c r="AM1614" s="122"/>
      <c r="AN1614" s="122"/>
      <c r="AO1614" s="122"/>
      <c r="AP1614" s="122"/>
    </row>
    <row r="1615" spans="2:42">
      <c r="B1615" s="122"/>
      <c r="C1615" s="122"/>
      <c r="D1615" s="122"/>
      <c r="E1615" s="122"/>
      <c r="F1615" s="122"/>
      <c r="G1615" s="122"/>
      <c r="H1615" s="122"/>
      <c r="I1615" s="275"/>
      <c r="J1615" s="130"/>
      <c r="K1615" s="130"/>
      <c r="L1615" s="130"/>
      <c r="M1615" s="130"/>
      <c r="N1615" s="291"/>
      <c r="O1615" s="291"/>
      <c r="P1615" s="122"/>
      <c r="Q1615" s="122"/>
      <c r="R1615" s="122"/>
      <c r="S1615" s="122"/>
      <c r="T1615" s="122"/>
      <c r="U1615" s="301"/>
      <c r="V1615" s="260">
        <f t="shared" ca="1" si="33"/>
        <v>0</v>
      </c>
      <c r="W1615" s="348" t="str">
        <f>IF(板块成分!B1617="","",板块成分!B1617)</f>
        <v>300133.SZ</v>
      </c>
      <c r="X1615" s="276" t="str">
        <f>[1]!S_Info_Name(W1615)</f>
        <v>华策影视</v>
      </c>
      <c r="Y1615" s="276" t="str">
        <f ca="1">IF($Y$3="申万一级行业",[1]!s_info_industry_sw_2021(W1615,公司分析!D$5,1),IF($Y$3="申万二级行业",[1]!s_info_industry_sw_2021(W1615,公司分析!D$5,2),IF($Y$3="申万三级行业",[1]!s_info_industry_sw_2021(W1615,公司分析!D$5,3),IF($Y$3="wind一级行业",[1]!s_info_industry_gics(W1615,1),IF($Y$3="wind二级行业",[1]!s_info_industry_gics(W1615,2),IF($Y$3="wind三级行业",[1]!s_info_industry_gics(W1615,3),IF($Y$3="wind四级行业",[1]!s_info_industry_gics(W1615,4),IF($Y$3="证监会门类行业",[1]!s_info_industry_csrc12_n(W1615,公司分析!D$5,1),""))))))))</f>
        <v>影视院线</v>
      </c>
      <c r="Z1615" s="302" t="str">
        <f ca="1">IF(Y1615=行业比较!$E$6,ROW(),"")</f>
        <v/>
      </c>
      <c r="AA1615" s="122"/>
      <c r="AB1615" s="122"/>
      <c r="AC1615" s="122"/>
      <c r="AD1615" s="122"/>
      <c r="AE1615" s="122"/>
      <c r="AF1615" s="122"/>
      <c r="AG1615" s="122"/>
      <c r="AH1615" s="122"/>
      <c r="AI1615" s="122"/>
      <c r="AJ1615" s="122"/>
      <c r="AK1615" s="122"/>
      <c r="AL1615" s="122"/>
      <c r="AM1615" s="122"/>
      <c r="AN1615" s="122"/>
      <c r="AO1615" s="122"/>
      <c r="AP1615" s="122"/>
    </row>
    <row r="1616" spans="2:42">
      <c r="B1616" s="122"/>
      <c r="C1616" s="122"/>
      <c r="D1616" s="122"/>
      <c r="E1616" s="122"/>
      <c r="F1616" s="122"/>
      <c r="G1616" s="122"/>
      <c r="H1616" s="122"/>
      <c r="I1616" s="275"/>
      <c r="J1616" s="130"/>
      <c r="K1616" s="130"/>
      <c r="L1616" s="130"/>
      <c r="M1616" s="130"/>
      <c r="N1616" s="291"/>
      <c r="O1616" s="291"/>
      <c r="P1616" s="122"/>
      <c r="Q1616" s="122"/>
      <c r="R1616" s="122"/>
      <c r="S1616" s="122"/>
      <c r="T1616" s="122"/>
      <c r="U1616" s="301"/>
      <c r="V1616" s="260">
        <f t="shared" ca="1" si="33"/>
        <v>0</v>
      </c>
      <c r="W1616" s="348" t="str">
        <f>IF(板块成分!B1618="","",板块成分!B1618)</f>
        <v>300134.SZ</v>
      </c>
      <c r="X1616" s="276" t="str">
        <f>[1]!S_Info_Name(W1616)</f>
        <v>大富科技</v>
      </c>
      <c r="Y1616" s="276" t="str">
        <f ca="1">IF($Y$3="申万一级行业",[1]!s_info_industry_sw_2021(W1616,公司分析!D$5,1),IF($Y$3="申万二级行业",[1]!s_info_industry_sw_2021(W1616,公司分析!D$5,2),IF($Y$3="申万三级行业",[1]!s_info_industry_sw_2021(W1616,公司分析!D$5,3),IF($Y$3="wind一级行业",[1]!s_info_industry_gics(W1616,1),IF($Y$3="wind二级行业",[1]!s_info_industry_gics(W1616,2),IF($Y$3="wind三级行业",[1]!s_info_industry_gics(W1616,3),IF($Y$3="wind四级行业",[1]!s_info_industry_gics(W1616,4),IF($Y$3="证监会门类行业",[1]!s_info_industry_csrc12_n(W1616,公司分析!D$5,1),""))))))))</f>
        <v>通信设备</v>
      </c>
      <c r="Z1616" s="302" t="str">
        <f ca="1">IF(Y1616=行业比较!$E$6,ROW(),"")</f>
        <v/>
      </c>
      <c r="AA1616" s="122"/>
      <c r="AB1616" s="122"/>
      <c r="AC1616" s="122"/>
      <c r="AD1616" s="122"/>
      <c r="AE1616" s="122"/>
      <c r="AF1616" s="122"/>
      <c r="AG1616" s="122"/>
      <c r="AH1616" s="122"/>
      <c r="AI1616" s="122"/>
      <c r="AJ1616" s="122"/>
      <c r="AK1616" s="122"/>
      <c r="AL1616" s="122"/>
      <c r="AM1616" s="122"/>
      <c r="AN1616" s="122"/>
      <c r="AO1616" s="122"/>
      <c r="AP1616" s="122"/>
    </row>
    <row r="1617" spans="2:42">
      <c r="B1617" s="122"/>
      <c r="C1617" s="122"/>
      <c r="D1617" s="122"/>
      <c r="E1617" s="122"/>
      <c r="F1617" s="122"/>
      <c r="G1617" s="122"/>
      <c r="H1617" s="122"/>
      <c r="I1617" s="275"/>
      <c r="J1617" s="130"/>
      <c r="K1617" s="130"/>
      <c r="L1617" s="130"/>
      <c r="M1617" s="130"/>
      <c r="N1617" s="291"/>
      <c r="O1617" s="291"/>
      <c r="P1617" s="122"/>
      <c r="Q1617" s="122"/>
      <c r="R1617" s="122"/>
      <c r="S1617" s="122"/>
      <c r="T1617" s="122"/>
      <c r="U1617" s="301"/>
      <c r="V1617" s="260">
        <f t="shared" ca="1" si="33"/>
        <v>0</v>
      </c>
      <c r="W1617" s="348" t="str">
        <f>IF(板块成分!B1619="","",板块成分!B1619)</f>
        <v>300135.SZ</v>
      </c>
      <c r="X1617" s="276" t="str">
        <f>[1]!S_Info_Name(W1617)</f>
        <v>宝利国际</v>
      </c>
      <c r="Y1617" s="276" t="str">
        <f ca="1">IF($Y$3="申万一级行业",[1]!s_info_industry_sw_2021(W1617,公司分析!D$5,1),IF($Y$3="申万二级行业",[1]!s_info_industry_sw_2021(W1617,公司分析!D$5,2),IF($Y$3="申万三级行业",[1]!s_info_industry_sw_2021(W1617,公司分析!D$5,3),IF($Y$3="wind一级行业",[1]!s_info_industry_gics(W1617,1),IF($Y$3="wind二级行业",[1]!s_info_industry_gics(W1617,2),IF($Y$3="wind三级行业",[1]!s_info_industry_gics(W1617,3),IF($Y$3="wind四级行业",[1]!s_info_industry_gics(W1617,4),IF($Y$3="证监会门类行业",[1]!s_info_industry_csrc12_n(W1617,公司分析!D$5,1),""))))))))</f>
        <v>炼化及贸易</v>
      </c>
      <c r="Z1617" s="302" t="str">
        <f ca="1">IF(Y1617=行业比较!$E$6,ROW(),"")</f>
        <v/>
      </c>
      <c r="AA1617" s="122"/>
      <c r="AB1617" s="122"/>
      <c r="AC1617" s="122"/>
      <c r="AD1617" s="122"/>
      <c r="AE1617" s="122"/>
      <c r="AF1617" s="122"/>
      <c r="AG1617" s="122"/>
      <c r="AH1617" s="122"/>
      <c r="AI1617" s="122"/>
      <c r="AJ1617" s="122"/>
      <c r="AK1617" s="122"/>
      <c r="AL1617" s="122"/>
      <c r="AM1617" s="122"/>
      <c r="AN1617" s="122"/>
      <c r="AO1617" s="122"/>
      <c r="AP1617" s="122"/>
    </row>
    <row r="1618" spans="2:42">
      <c r="B1618" s="122"/>
      <c r="C1618" s="122"/>
      <c r="D1618" s="122"/>
      <c r="E1618" s="122"/>
      <c r="F1618" s="122"/>
      <c r="G1618" s="122"/>
      <c r="H1618" s="122"/>
      <c r="I1618" s="275"/>
      <c r="J1618" s="130"/>
      <c r="K1618" s="130"/>
      <c r="L1618" s="130"/>
      <c r="M1618" s="130"/>
      <c r="N1618" s="291"/>
      <c r="O1618" s="291"/>
      <c r="P1618" s="122"/>
      <c r="Q1618" s="122"/>
      <c r="R1618" s="122"/>
      <c r="S1618" s="122"/>
      <c r="T1618" s="122"/>
      <c r="U1618" s="301"/>
      <c r="V1618" s="260">
        <f t="shared" ca="1" si="33"/>
        <v>0</v>
      </c>
      <c r="W1618" s="348" t="str">
        <f>IF(板块成分!B1620="","",板块成分!B1620)</f>
        <v>300136.SZ</v>
      </c>
      <c r="X1618" s="276" t="str">
        <f>[1]!S_Info_Name(W1618)</f>
        <v>信维通信</v>
      </c>
      <c r="Y1618" s="276" t="str">
        <f ca="1">IF($Y$3="申万一级行业",[1]!s_info_industry_sw_2021(W1618,公司分析!D$5,1),IF($Y$3="申万二级行业",[1]!s_info_industry_sw_2021(W1618,公司分析!D$5,2),IF($Y$3="申万三级行业",[1]!s_info_industry_sw_2021(W1618,公司分析!D$5,3),IF($Y$3="wind一级行业",[1]!s_info_industry_gics(W1618,1),IF($Y$3="wind二级行业",[1]!s_info_industry_gics(W1618,2),IF($Y$3="wind三级行业",[1]!s_info_industry_gics(W1618,3),IF($Y$3="wind四级行业",[1]!s_info_industry_gics(W1618,4),IF($Y$3="证监会门类行业",[1]!s_info_industry_csrc12_n(W1618,公司分析!D$5,1),""))))))))</f>
        <v>消费电子</v>
      </c>
      <c r="Z1618" s="302" t="str">
        <f ca="1">IF(Y1618=行业比较!$E$6,ROW(),"")</f>
        <v/>
      </c>
      <c r="AA1618" s="122"/>
      <c r="AB1618" s="122"/>
      <c r="AC1618" s="122"/>
      <c r="AD1618" s="122"/>
      <c r="AE1618" s="122"/>
      <c r="AF1618" s="122"/>
      <c r="AG1618" s="122"/>
      <c r="AH1618" s="122"/>
      <c r="AI1618" s="122"/>
      <c r="AJ1618" s="122"/>
      <c r="AK1618" s="122"/>
      <c r="AL1618" s="122"/>
      <c r="AM1618" s="122"/>
      <c r="AN1618" s="122"/>
      <c r="AO1618" s="122"/>
      <c r="AP1618" s="122"/>
    </row>
    <row r="1619" spans="2:42">
      <c r="B1619" s="122"/>
      <c r="C1619" s="122"/>
      <c r="D1619" s="122"/>
      <c r="E1619" s="122"/>
      <c r="F1619" s="122"/>
      <c r="G1619" s="122"/>
      <c r="H1619" s="122"/>
      <c r="I1619" s="275"/>
      <c r="J1619" s="130"/>
      <c r="K1619" s="130"/>
      <c r="L1619" s="130"/>
      <c r="M1619" s="130"/>
      <c r="N1619" s="291"/>
      <c r="O1619" s="291"/>
      <c r="P1619" s="122"/>
      <c r="Q1619" s="122"/>
      <c r="R1619" s="122"/>
      <c r="S1619" s="122"/>
      <c r="T1619" s="122"/>
      <c r="U1619" s="301"/>
      <c r="V1619" s="260">
        <f t="shared" ca="1" si="33"/>
        <v>0</v>
      </c>
      <c r="W1619" s="348" t="str">
        <f>IF(板块成分!B1621="","",板块成分!B1621)</f>
        <v>300137.SZ</v>
      </c>
      <c r="X1619" s="276" t="str">
        <f>[1]!S_Info_Name(W1619)</f>
        <v>先河环保</v>
      </c>
      <c r="Y1619" s="276" t="str">
        <f ca="1">IF($Y$3="申万一级行业",[1]!s_info_industry_sw_2021(W1619,公司分析!D$5,1),IF($Y$3="申万二级行业",[1]!s_info_industry_sw_2021(W1619,公司分析!D$5,2),IF($Y$3="申万三级行业",[1]!s_info_industry_sw_2021(W1619,公司分析!D$5,3),IF($Y$3="wind一级行业",[1]!s_info_industry_gics(W1619,1),IF($Y$3="wind二级行业",[1]!s_info_industry_gics(W1619,2),IF($Y$3="wind三级行业",[1]!s_info_industry_gics(W1619,3),IF($Y$3="wind四级行业",[1]!s_info_industry_gics(W1619,4),IF($Y$3="证监会门类行业",[1]!s_info_industry_csrc12_n(W1619,公司分析!D$5,1),""))))))))</f>
        <v>环保设备Ⅱ</v>
      </c>
      <c r="Z1619" s="302" t="str">
        <f ca="1">IF(Y1619=行业比较!$E$6,ROW(),"")</f>
        <v/>
      </c>
      <c r="AA1619" s="122"/>
      <c r="AB1619" s="122"/>
      <c r="AC1619" s="122"/>
      <c r="AD1619" s="122"/>
      <c r="AE1619" s="122"/>
      <c r="AF1619" s="122"/>
      <c r="AG1619" s="122"/>
      <c r="AH1619" s="122"/>
      <c r="AI1619" s="122"/>
      <c r="AJ1619" s="122"/>
      <c r="AK1619" s="122"/>
      <c r="AL1619" s="122"/>
      <c r="AM1619" s="122"/>
      <c r="AN1619" s="122"/>
      <c r="AO1619" s="122"/>
      <c r="AP1619" s="122"/>
    </row>
    <row r="1620" spans="2:42">
      <c r="B1620" s="122"/>
      <c r="C1620" s="122"/>
      <c r="D1620" s="122"/>
      <c r="E1620" s="122"/>
      <c r="F1620" s="122"/>
      <c r="G1620" s="122"/>
      <c r="H1620" s="122"/>
      <c r="I1620" s="275"/>
      <c r="J1620" s="130"/>
      <c r="K1620" s="130"/>
      <c r="L1620" s="130"/>
      <c r="M1620" s="130"/>
      <c r="N1620" s="291"/>
      <c r="O1620" s="291"/>
      <c r="P1620" s="122"/>
      <c r="Q1620" s="122"/>
      <c r="R1620" s="122"/>
      <c r="S1620" s="122"/>
      <c r="T1620" s="122"/>
      <c r="U1620" s="301"/>
      <c r="V1620" s="260">
        <f t="shared" ca="1" si="33"/>
        <v>0</v>
      </c>
      <c r="W1620" s="348" t="str">
        <f>IF(板块成分!B1622="","",板块成分!B1622)</f>
        <v>300138.SZ</v>
      </c>
      <c r="X1620" s="276" t="str">
        <f>[1]!S_Info_Name(W1620)</f>
        <v>晨光生物</v>
      </c>
      <c r="Y1620" s="276" t="str">
        <f ca="1">IF($Y$3="申万一级行业",[1]!s_info_industry_sw_2021(W1620,公司分析!D$5,1),IF($Y$3="申万二级行业",[1]!s_info_industry_sw_2021(W1620,公司分析!D$5,2),IF($Y$3="申万三级行业",[1]!s_info_industry_sw_2021(W1620,公司分析!D$5,3),IF($Y$3="wind一级行业",[1]!s_info_industry_gics(W1620,1),IF($Y$3="wind二级行业",[1]!s_info_industry_gics(W1620,2),IF($Y$3="wind三级行业",[1]!s_info_industry_gics(W1620,3),IF($Y$3="wind四级行业",[1]!s_info_industry_gics(W1620,4),IF($Y$3="证监会门类行业",[1]!s_info_industry_csrc12_n(W1620,公司分析!D$5,1),""))))))))</f>
        <v>农产品加工</v>
      </c>
      <c r="Z1620" s="302" t="str">
        <f ca="1">IF(Y1620=行业比较!$E$6,ROW(),"")</f>
        <v/>
      </c>
      <c r="AA1620" s="122"/>
      <c r="AB1620" s="122"/>
      <c r="AC1620" s="122"/>
      <c r="AD1620" s="122"/>
      <c r="AE1620" s="122"/>
      <c r="AF1620" s="122"/>
      <c r="AG1620" s="122"/>
      <c r="AH1620" s="122"/>
      <c r="AI1620" s="122"/>
      <c r="AJ1620" s="122"/>
      <c r="AK1620" s="122"/>
      <c r="AL1620" s="122"/>
      <c r="AM1620" s="122"/>
      <c r="AN1620" s="122"/>
      <c r="AO1620" s="122"/>
      <c r="AP1620" s="122"/>
    </row>
    <row r="1621" spans="2:42">
      <c r="B1621" s="122"/>
      <c r="C1621" s="122"/>
      <c r="D1621" s="122"/>
      <c r="E1621" s="122"/>
      <c r="F1621" s="122"/>
      <c r="G1621" s="122"/>
      <c r="H1621" s="122"/>
      <c r="I1621" s="275"/>
      <c r="J1621" s="130"/>
      <c r="K1621" s="130"/>
      <c r="L1621" s="130"/>
      <c r="M1621" s="130"/>
      <c r="N1621" s="291"/>
      <c r="O1621" s="291"/>
      <c r="P1621" s="122"/>
      <c r="Q1621" s="122"/>
      <c r="R1621" s="122"/>
      <c r="S1621" s="122"/>
      <c r="T1621" s="122"/>
      <c r="U1621" s="301"/>
      <c r="V1621" s="260">
        <f t="shared" ca="1" si="33"/>
        <v>0</v>
      </c>
      <c r="W1621" s="348" t="str">
        <f>IF(板块成分!B1623="","",板块成分!B1623)</f>
        <v>300139.SZ</v>
      </c>
      <c r="X1621" s="276" t="str">
        <f>[1]!S_Info_Name(W1621)</f>
        <v>晓程科技</v>
      </c>
      <c r="Y1621" s="276" t="str">
        <f ca="1">IF($Y$3="申万一级行业",[1]!s_info_industry_sw_2021(W1621,公司分析!D$5,1),IF($Y$3="申万二级行业",[1]!s_info_industry_sw_2021(W1621,公司分析!D$5,2),IF($Y$3="申万三级行业",[1]!s_info_industry_sw_2021(W1621,公司分析!D$5,3),IF($Y$3="wind一级行业",[1]!s_info_industry_gics(W1621,1),IF($Y$3="wind二级行业",[1]!s_info_industry_gics(W1621,2),IF($Y$3="wind三级行业",[1]!s_info_industry_gics(W1621,3),IF($Y$3="wind四级行业",[1]!s_info_industry_gics(W1621,4),IF($Y$3="证监会门类行业",[1]!s_info_industry_csrc12_n(W1621,公司分析!D$5,1),""))))))))</f>
        <v>贵金属</v>
      </c>
      <c r="Z1621" s="302" t="str">
        <f ca="1">IF(Y1621=行业比较!$E$6,ROW(),"")</f>
        <v/>
      </c>
      <c r="AA1621" s="122"/>
      <c r="AB1621" s="122"/>
      <c r="AC1621" s="122"/>
      <c r="AD1621" s="122"/>
      <c r="AE1621" s="122"/>
      <c r="AF1621" s="122"/>
      <c r="AG1621" s="122"/>
      <c r="AH1621" s="122"/>
      <c r="AI1621" s="122"/>
      <c r="AJ1621" s="122"/>
      <c r="AK1621" s="122"/>
      <c r="AL1621" s="122"/>
      <c r="AM1621" s="122"/>
      <c r="AN1621" s="122"/>
      <c r="AO1621" s="122"/>
      <c r="AP1621" s="122"/>
    </row>
    <row r="1622" spans="2:42">
      <c r="B1622" s="122"/>
      <c r="C1622" s="122"/>
      <c r="D1622" s="122"/>
      <c r="E1622" s="122"/>
      <c r="F1622" s="122"/>
      <c r="G1622" s="122"/>
      <c r="H1622" s="122"/>
      <c r="I1622" s="275"/>
      <c r="J1622" s="130"/>
      <c r="K1622" s="130"/>
      <c r="L1622" s="130"/>
      <c r="M1622" s="130"/>
      <c r="N1622" s="291"/>
      <c r="O1622" s="291"/>
      <c r="P1622" s="122"/>
      <c r="Q1622" s="122"/>
      <c r="R1622" s="122"/>
      <c r="S1622" s="122"/>
      <c r="T1622" s="122"/>
      <c r="U1622" s="301"/>
      <c r="V1622" s="260">
        <f t="shared" ca="1" si="33"/>
        <v>0</v>
      </c>
      <c r="W1622" s="348" t="str">
        <f>IF(板块成分!B1624="","",板块成分!B1624)</f>
        <v>300140.SZ</v>
      </c>
      <c r="X1622" s="276" t="str">
        <f>[1]!S_Info_Name(W1622)</f>
        <v>节能环境</v>
      </c>
      <c r="Y1622" s="276" t="str">
        <f ca="1">IF($Y$3="申万一级行业",[1]!s_info_industry_sw_2021(W1622,公司分析!D$5,1),IF($Y$3="申万二级行业",[1]!s_info_industry_sw_2021(W1622,公司分析!D$5,2),IF($Y$3="申万三级行业",[1]!s_info_industry_sw_2021(W1622,公司分析!D$5,3),IF($Y$3="wind一级行业",[1]!s_info_industry_gics(W1622,1),IF($Y$3="wind二级行业",[1]!s_info_industry_gics(W1622,2),IF($Y$3="wind三级行业",[1]!s_info_industry_gics(W1622,3),IF($Y$3="wind四级行业",[1]!s_info_industry_gics(W1622,4),IF($Y$3="证监会门类行业",[1]!s_info_industry_csrc12_n(W1622,公司分析!D$5,1),""))))))))</f>
        <v>环境治理</v>
      </c>
      <c r="Z1622" s="302" t="str">
        <f ca="1">IF(Y1622=行业比较!$E$6,ROW(),"")</f>
        <v/>
      </c>
      <c r="AA1622" s="122"/>
      <c r="AB1622" s="122"/>
      <c r="AC1622" s="122"/>
      <c r="AD1622" s="122"/>
      <c r="AE1622" s="122"/>
      <c r="AF1622" s="122"/>
      <c r="AG1622" s="122"/>
      <c r="AH1622" s="122"/>
      <c r="AI1622" s="122"/>
      <c r="AJ1622" s="122"/>
      <c r="AK1622" s="122"/>
      <c r="AL1622" s="122"/>
      <c r="AM1622" s="122"/>
      <c r="AN1622" s="122"/>
      <c r="AO1622" s="122"/>
      <c r="AP1622" s="122"/>
    </row>
    <row r="1623" spans="2:42">
      <c r="B1623" s="122"/>
      <c r="C1623" s="122"/>
      <c r="D1623" s="122"/>
      <c r="E1623" s="122"/>
      <c r="F1623" s="122"/>
      <c r="G1623" s="122"/>
      <c r="H1623" s="122"/>
      <c r="I1623" s="275"/>
      <c r="J1623" s="130"/>
      <c r="K1623" s="130"/>
      <c r="L1623" s="130"/>
      <c r="M1623" s="130"/>
      <c r="N1623" s="291"/>
      <c r="O1623" s="291"/>
      <c r="P1623" s="122"/>
      <c r="Q1623" s="122"/>
      <c r="R1623" s="122"/>
      <c r="S1623" s="122"/>
      <c r="T1623" s="122"/>
      <c r="U1623" s="301"/>
      <c r="V1623" s="260">
        <f t="shared" ca="1" si="33"/>
        <v>0</v>
      </c>
      <c r="W1623" s="348" t="str">
        <f>IF(板块成分!B1625="","",板块成分!B1625)</f>
        <v>300141.SZ</v>
      </c>
      <c r="X1623" s="276" t="str">
        <f>[1]!S_Info_Name(W1623)</f>
        <v>和顺电气</v>
      </c>
      <c r="Y1623" s="276" t="str">
        <f ca="1">IF($Y$3="申万一级行业",[1]!s_info_industry_sw_2021(W1623,公司分析!D$5,1),IF($Y$3="申万二级行业",[1]!s_info_industry_sw_2021(W1623,公司分析!D$5,2),IF($Y$3="申万三级行业",[1]!s_info_industry_sw_2021(W1623,公司分析!D$5,3),IF($Y$3="wind一级行业",[1]!s_info_industry_gics(W1623,1),IF($Y$3="wind二级行业",[1]!s_info_industry_gics(W1623,2),IF($Y$3="wind三级行业",[1]!s_info_industry_gics(W1623,3),IF($Y$3="wind四级行业",[1]!s_info_industry_gics(W1623,4),IF($Y$3="证监会门类行业",[1]!s_info_industry_csrc12_n(W1623,公司分析!D$5,1),""))))))))</f>
        <v>电网设备</v>
      </c>
      <c r="Z1623" s="302" t="str">
        <f ca="1">IF(Y1623=行业比较!$E$6,ROW(),"")</f>
        <v/>
      </c>
      <c r="AA1623" s="122"/>
      <c r="AB1623" s="122"/>
      <c r="AC1623" s="122"/>
      <c r="AD1623" s="122"/>
      <c r="AE1623" s="122"/>
      <c r="AF1623" s="122"/>
      <c r="AG1623" s="122"/>
      <c r="AH1623" s="122"/>
      <c r="AI1623" s="122"/>
      <c r="AJ1623" s="122"/>
      <c r="AK1623" s="122"/>
      <c r="AL1623" s="122"/>
      <c r="AM1623" s="122"/>
      <c r="AN1623" s="122"/>
      <c r="AO1623" s="122"/>
      <c r="AP1623" s="122"/>
    </row>
    <row r="1624" spans="2:42">
      <c r="B1624" s="122"/>
      <c r="C1624" s="122"/>
      <c r="D1624" s="122"/>
      <c r="E1624" s="122"/>
      <c r="F1624" s="122"/>
      <c r="G1624" s="122"/>
      <c r="H1624" s="122"/>
      <c r="I1624" s="275"/>
      <c r="J1624" s="130"/>
      <c r="K1624" s="130"/>
      <c r="L1624" s="130"/>
      <c r="M1624" s="130"/>
      <c r="N1624" s="291"/>
      <c r="O1624" s="291"/>
      <c r="P1624" s="122"/>
      <c r="Q1624" s="122"/>
      <c r="R1624" s="122"/>
      <c r="S1624" s="122"/>
      <c r="T1624" s="122"/>
      <c r="U1624" s="301"/>
      <c r="V1624" s="260">
        <f t="shared" ca="1" si="33"/>
        <v>0</v>
      </c>
      <c r="W1624" s="348" t="str">
        <f>IF(板块成分!B1626="","",板块成分!B1626)</f>
        <v>300142.SZ</v>
      </c>
      <c r="X1624" s="276" t="str">
        <f>[1]!S_Info_Name(W1624)</f>
        <v>沃森生物</v>
      </c>
      <c r="Y1624" s="276" t="str">
        <f ca="1">IF($Y$3="申万一级行业",[1]!s_info_industry_sw_2021(W1624,公司分析!D$5,1),IF($Y$3="申万二级行业",[1]!s_info_industry_sw_2021(W1624,公司分析!D$5,2),IF($Y$3="申万三级行业",[1]!s_info_industry_sw_2021(W1624,公司分析!D$5,3),IF($Y$3="wind一级行业",[1]!s_info_industry_gics(W1624,1),IF($Y$3="wind二级行业",[1]!s_info_industry_gics(W1624,2),IF($Y$3="wind三级行业",[1]!s_info_industry_gics(W1624,3),IF($Y$3="wind四级行业",[1]!s_info_industry_gics(W1624,4),IF($Y$3="证监会门类行业",[1]!s_info_industry_csrc12_n(W1624,公司分析!D$5,1),""))))))))</f>
        <v>生物制品</v>
      </c>
      <c r="Z1624" s="302" t="str">
        <f ca="1">IF(Y1624=行业比较!$E$6,ROW(),"")</f>
        <v/>
      </c>
      <c r="AA1624" s="122"/>
      <c r="AB1624" s="122"/>
      <c r="AC1624" s="122"/>
      <c r="AD1624" s="122"/>
      <c r="AE1624" s="122"/>
      <c r="AF1624" s="122"/>
      <c r="AG1624" s="122"/>
      <c r="AH1624" s="122"/>
      <c r="AI1624" s="122"/>
      <c r="AJ1624" s="122"/>
      <c r="AK1624" s="122"/>
      <c r="AL1624" s="122"/>
      <c r="AM1624" s="122"/>
      <c r="AN1624" s="122"/>
      <c r="AO1624" s="122"/>
      <c r="AP1624" s="122"/>
    </row>
    <row r="1625" spans="2:42">
      <c r="B1625" s="122"/>
      <c r="C1625" s="122"/>
      <c r="D1625" s="122"/>
      <c r="E1625" s="122"/>
      <c r="F1625" s="122"/>
      <c r="G1625" s="122"/>
      <c r="H1625" s="122"/>
      <c r="I1625" s="275"/>
      <c r="J1625" s="130"/>
      <c r="K1625" s="130"/>
      <c r="L1625" s="130"/>
      <c r="M1625" s="130"/>
      <c r="N1625" s="291"/>
      <c r="O1625" s="291"/>
      <c r="P1625" s="122"/>
      <c r="Q1625" s="122"/>
      <c r="R1625" s="122"/>
      <c r="S1625" s="122"/>
      <c r="T1625" s="122"/>
      <c r="U1625" s="301"/>
      <c r="V1625" s="260">
        <f t="shared" ca="1" si="33"/>
        <v>0</v>
      </c>
      <c r="W1625" s="348" t="str">
        <f>IF(板块成分!B1627="","",板块成分!B1627)</f>
        <v>300143.SZ</v>
      </c>
      <c r="X1625" s="276" t="str">
        <f>[1]!S_Info_Name(W1625)</f>
        <v>盈康生命</v>
      </c>
      <c r="Y1625" s="276" t="str">
        <f ca="1">IF($Y$3="申万一级行业",[1]!s_info_industry_sw_2021(W1625,公司分析!D$5,1),IF($Y$3="申万二级行业",[1]!s_info_industry_sw_2021(W1625,公司分析!D$5,2),IF($Y$3="申万三级行业",[1]!s_info_industry_sw_2021(W1625,公司分析!D$5,3),IF($Y$3="wind一级行业",[1]!s_info_industry_gics(W1625,1),IF($Y$3="wind二级行业",[1]!s_info_industry_gics(W1625,2),IF($Y$3="wind三级行业",[1]!s_info_industry_gics(W1625,3),IF($Y$3="wind四级行业",[1]!s_info_industry_gics(W1625,4),IF($Y$3="证监会门类行业",[1]!s_info_industry_csrc12_n(W1625,公司分析!D$5,1),""))))))))</f>
        <v>医疗服务</v>
      </c>
      <c r="Z1625" s="302" t="str">
        <f ca="1">IF(Y1625=行业比较!$E$6,ROW(),"")</f>
        <v/>
      </c>
      <c r="AA1625" s="122"/>
      <c r="AB1625" s="122"/>
      <c r="AC1625" s="122"/>
      <c r="AD1625" s="122"/>
      <c r="AE1625" s="122"/>
      <c r="AF1625" s="122"/>
      <c r="AG1625" s="122"/>
      <c r="AH1625" s="122"/>
      <c r="AI1625" s="122"/>
      <c r="AJ1625" s="122"/>
      <c r="AK1625" s="122"/>
      <c r="AL1625" s="122"/>
      <c r="AM1625" s="122"/>
      <c r="AN1625" s="122"/>
      <c r="AO1625" s="122"/>
      <c r="AP1625" s="122"/>
    </row>
    <row r="1626" spans="2:42">
      <c r="B1626" s="122"/>
      <c r="C1626" s="122"/>
      <c r="D1626" s="122"/>
      <c r="E1626" s="122"/>
      <c r="F1626" s="122"/>
      <c r="G1626" s="122"/>
      <c r="H1626" s="122"/>
      <c r="I1626" s="275"/>
      <c r="J1626" s="130"/>
      <c r="K1626" s="130"/>
      <c r="L1626" s="130"/>
      <c r="M1626" s="130"/>
      <c r="N1626" s="291"/>
      <c r="O1626" s="291"/>
      <c r="P1626" s="122"/>
      <c r="Q1626" s="122"/>
      <c r="R1626" s="122"/>
      <c r="S1626" s="122"/>
      <c r="T1626" s="122"/>
      <c r="U1626" s="301"/>
      <c r="V1626" s="260">
        <f t="shared" ca="1" si="33"/>
        <v>0</v>
      </c>
      <c r="W1626" s="348" t="str">
        <f>IF(板块成分!B1628="","",板块成分!B1628)</f>
        <v>300144.SZ</v>
      </c>
      <c r="X1626" s="276" t="str">
        <f>[1]!S_Info_Name(W1626)</f>
        <v>宋城演艺</v>
      </c>
      <c r="Y1626" s="276" t="str">
        <f ca="1">IF($Y$3="申万一级行业",[1]!s_info_industry_sw_2021(W1626,公司分析!D$5,1),IF($Y$3="申万二级行业",[1]!s_info_industry_sw_2021(W1626,公司分析!D$5,2),IF($Y$3="申万三级行业",[1]!s_info_industry_sw_2021(W1626,公司分析!D$5,3),IF($Y$3="wind一级行业",[1]!s_info_industry_gics(W1626,1),IF($Y$3="wind二级行业",[1]!s_info_industry_gics(W1626,2),IF($Y$3="wind三级行业",[1]!s_info_industry_gics(W1626,3),IF($Y$3="wind四级行业",[1]!s_info_industry_gics(W1626,4),IF($Y$3="证监会门类行业",[1]!s_info_industry_csrc12_n(W1626,公司分析!D$5,1),""))))))))</f>
        <v>旅游及景区</v>
      </c>
      <c r="Z1626" s="302" t="str">
        <f ca="1">IF(Y1626=行业比较!$E$6,ROW(),"")</f>
        <v/>
      </c>
      <c r="AA1626" s="122"/>
      <c r="AB1626" s="122"/>
      <c r="AC1626" s="122"/>
      <c r="AD1626" s="122"/>
      <c r="AE1626" s="122"/>
      <c r="AF1626" s="122"/>
      <c r="AG1626" s="122"/>
      <c r="AH1626" s="122"/>
      <c r="AI1626" s="122"/>
      <c r="AJ1626" s="122"/>
      <c r="AK1626" s="122"/>
      <c r="AL1626" s="122"/>
      <c r="AM1626" s="122"/>
      <c r="AN1626" s="122"/>
      <c r="AO1626" s="122"/>
      <c r="AP1626" s="122"/>
    </row>
    <row r="1627" spans="2:42">
      <c r="B1627" s="122"/>
      <c r="C1627" s="122"/>
      <c r="D1627" s="122"/>
      <c r="E1627" s="122"/>
      <c r="F1627" s="122"/>
      <c r="G1627" s="122"/>
      <c r="H1627" s="122"/>
      <c r="I1627" s="275"/>
      <c r="J1627" s="130"/>
      <c r="K1627" s="130"/>
      <c r="L1627" s="130"/>
      <c r="M1627" s="130"/>
      <c r="N1627" s="291"/>
      <c r="O1627" s="291"/>
      <c r="P1627" s="122"/>
      <c r="Q1627" s="122"/>
      <c r="R1627" s="122"/>
      <c r="S1627" s="122"/>
      <c r="T1627" s="122"/>
      <c r="U1627" s="301"/>
      <c r="V1627" s="260">
        <f t="shared" ca="1" si="33"/>
        <v>0</v>
      </c>
      <c r="W1627" s="348" t="str">
        <f>IF(板块成分!B1629="","",板块成分!B1629)</f>
        <v>300145.SZ</v>
      </c>
      <c r="X1627" s="276" t="str">
        <f>[1]!S_Info_Name(W1627)</f>
        <v>南方泵业</v>
      </c>
      <c r="Y1627" s="276" t="str">
        <f ca="1">IF($Y$3="申万一级行业",[1]!s_info_industry_sw_2021(W1627,公司分析!D$5,1),IF($Y$3="申万二级行业",[1]!s_info_industry_sw_2021(W1627,公司分析!D$5,2),IF($Y$3="申万三级行业",[1]!s_info_industry_sw_2021(W1627,公司分析!D$5,3),IF($Y$3="wind一级行业",[1]!s_info_industry_gics(W1627,1),IF($Y$3="wind二级行业",[1]!s_info_industry_gics(W1627,2),IF($Y$3="wind三级行业",[1]!s_info_industry_gics(W1627,3),IF($Y$3="wind四级行业",[1]!s_info_industry_gics(W1627,4),IF($Y$3="证监会门类行业",[1]!s_info_industry_csrc12_n(W1627,公司分析!D$5,1),""))))))))</f>
        <v>通用设备</v>
      </c>
      <c r="Z1627" s="302" t="str">
        <f ca="1">IF(Y1627=行业比较!$E$6,ROW(),"")</f>
        <v/>
      </c>
      <c r="AA1627" s="122"/>
      <c r="AB1627" s="122"/>
      <c r="AC1627" s="122"/>
      <c r="AD1627" s="122"/>
      <c r="AE1627" s="122"/>
      <c r="AF1627" s="122"/>
      <c r="AG1627" s="122"/>
      <c r="AH1627" s="122"/>
      <c r="AI1627" s="122"/>
      <c r="AJ1627" s="122"/>
      <c r="AK1627" s="122"/>
      <c r="AL1627" s="122"/>
      <c r="AM1627" s="122"/>
      <c r="AN1627" s="122"/>
      <c r="AO1627" s="122"/>
      <c r="AP1627" s="122"/>
    </row>
    <row r="1628" spans="2:42">
      <c r="B1628" s="122"/>
      <c r="C1628" s="122"/>
      <c r="D1628" s="122"/>
      <c r="E1628" s="122"/>
      <c r="F1628" s="122"/>
      <c r="G1628" s="122"/>
      <c r="H1628" s="122"/>
      <c r="I1628" s="275"/>
      <c r="J1628" s="130"/>
      <c r="K1628" s="130"/>
      <c r="L1628" s="130"/>
      <c r="M1628" s="130"/>
      <c r="N1628" s="291"/>
      <c r="O1628" s="291"/>
      <c r="P1628" s="122"/>
      <c r="Q1628" s="122"/>
      <c r="R1628" s="122"/>
      <c r="S1628" s="122"/>
      <c r="T1628" s="122"/>
      <c r="U1628" s="301"/>
      <c r="V1628" s="260">
        <f t="shared" ca="1" si="33"/>
        <v>0</v>
      </c>
      <c r="W1628" s="348" t="str">
        <f>IF(板块成分!B1630="","",板块成分!B1630)</f>
        <v>300146.SZ</v>
      </c>
      <c r="X1628" s="276" t="str">
        <f>[1]!S_Info_Name(W1628)</f>
        <v>汤臣倍健</v>
      </c>
      <c r="Y1628" s="276" t="str">
        <f ca="1">IF($Y$3="申万一级行业",[1]!s_info_industry_sw_2021(W1628,公司分析!D$5,1),IF($Y$3="申万二级行业",[1]!s_info_industry_sw_2021(W1628,公司分析!D$5,2),IF($Y$3="申万三级行业",[1]!s_info_industry_sw_2021(W1628,公司分析!D$5,3),IF($Y$3="wind一级行业",[1]!s_info_industry_gics(W1628,1),IF($Y$3="wind二级行业",[1]!s_info_industry_gics(W1628,2),IF($Y$3="wind三级行业",[1]!s_info_industry_gics(W1628,3),IF($Y$3="wind四级行业",[1]!s_info_industry_gics(W1628,4),IF($Y$3="证监会门类行业",[1]!s_info_industry_csrc12_n(W1628,公司分析!D$5,1),""))))))))</f>
        <v>食品加工</v>
      </c>
      <c r="Z1628" s="302" t="str">
        <f ca="1">IF(Y1628=行业比较!$E$6,ROW(),"")</f>
        <v/>
      </c>
      <c r="AA1628" s="122"/>
      <c r="AB1628" s="122"/>
      <c r="AC1628" s="122"/>
      <c r="AD1628" s="122"/>
      <c r="AE1628" s="122"/>
      <c r="AF1628" s="122"/>
      <c r="AG1628" s="122"/>
      <c r="AH1628" s="122"/>
      <c r="AI1628" s="122"/>
      <c r="AJ1628" s="122"/>
      <c r="AK1628" s="122"/>
      <c r="AL1628" s="122"/>
      <c r="AM1628" s="122"/>
      <c r="AN1628" s="122"/>
      <c r="AO1628" s="122"/>
      <c r="AP1628" s="122"/>
    </row>
    <row r="1629" spans="2:42">
      <c r="B1629" s="122"/>
      <c r="C1629" s="122"/>
      <c r="D1629" s="122"/>
      <c r="E1629" s="122"/>
      <c r="F1629" s="122"/>
      <c r="G1629" s="122"/>
      <c r="H1629" s="122"/>
      <c r="I1629" s="275"/>
      <c r="J1629" s="130"/>
      <c r="K1629" s="130"/>
      <c r="L1629" s="130"/>
      <c r="M1629" s="130"/>
      <c r="N1629" s="291"/>
      <c r="O1629" s="291"/>
      <c r="P1629" s="122"/>
      <c r="Q1629" s="122"/>
      <c r="R1629" s="122"/>
      <c r="S1629" s="122"/>
      <c r="T1629" s="122"/>
      <c r="U1629" s="301"/>
      <c r="V1629" s="260">
        <f t="shared" ca="1" si="33"/>
        <v>0</v>
      </c>
      <c r="W1629" s="348" t="str">
        <f>IF(板块成分!B1631="","",板块成分!B1631)</f>
        <v>300147.SZ</v>
      </c>
      <c r="X1629" s="276" t="str">
        <f>[1]!S_Info_Name(W1629)</f>
        <v>ST香雪</v>
      </c>
      <c r="Y1629" s="276" t="str">
        <f ca="1">IF($Y$3="申万一级行业",[1]!s_info_industry_sw_2021(W1629,公司分析!D$5,1),IF($Y$3="申万二级行业",[1]!s_info_industry_sw_2021(W1629,公司分析!D$5,2),IF($Y$3="申万三级行业",[1]!s_info_industry_sw_2021(W1629,公司分析!D$5,3),IF($Y$3="wind一级行业",[1]!s_info_industry_gics(W1629,1),IF($Y$3="wind二级行业",[1]!s_info_industry_gics(W1629,2),IF($Y$3="wind三级行业",[1]!s_info_industry_gics(W1629,3),IF($Y$3="wind四级行业",[1]!s_info_industry_gics(W1629,4),IF($Y$3="证监会门类行业",[1]!s_info_industry_csrc12_n(W1629,公司分析!D$5,1),""))))))))</f>
        <v>中药Ⅱ</v>
      </c>
      <c r="Z1629" s="302" t="str">
        <f ca="1">IF(Y1629=行业比较!$E$6,ROW(),"")</f>
        <v/>
      </c>
      <c r="AA1629" s="122"/>
      <c r="AB1629" s="122"/>
      <c r="AC1629" s="122"/>
      <c r="AD1629" s="122"/>
      <c r="AE1629" s="122"/>
      <c r="AF1629" s="122"/>
      <c r="AG1629" s="122"/>
      <c r="AH1629" s="122"/>
      <c r="AI1629" s="122"/>
      <c r="AJ1629" s="122"/>
      <c r="AK1629" s="122"/>
      <c r="AL1629" s="122"/>
      <c r="AM1629" s="122"/>
      <c r="AN1629" s="122"/>
      <c r="AO1629" s="122"/>
      <c r="AP1629" s="122"/>
    </row>
    <row r="1630" spans="2:42">
      <c r="B1630" s="122"/>
      <c r="C1630" s="122"/>
      <c r="D1630" s="122"/>
      <c r="E1630" s="122"/>
      <c r="F1630" s="122"/>
      <c r="G1630" s="122"/>
      <c r="H1630" s="122"/>
      <c r="I1630" s="275"/>
      <c r="J1630" s="130"/>
      <c r="K1630" s="130"/>
      <c r="L1630" s="130"/>
      <c r="M1630" s="130"/>
      <c r="N1630" s="291"/>
      <c r="O1630" s="291"/>
      <c r="P1630" s="122"/>
      <c r="Q1630" s="122"/>
      <c r="R1630" s="122"/>
      <c r="S1630" s="122"/>
      <c r="T1630" s="122"/>
      <c r="U1630" s="301"/>
      <c r="V1630" s="260">
        <f t="shared" ca="1" si="33"/>
        <v>0</v>
      </c>
      <c r="W1630" s="348" t="str">
        <f>IF(板块成分!B1632="","",板块成分!B1632)</f>
        <v>300148.SZ</v>
      </c>
      <c r="X1630" s="276" t="str">
        <f>[1]!S_Info_Name(W1630)</f>
        <v>天舟文化</v>
      </c>
      <c r="Y1630" s="276" t="str">
        <f ca="1">IF($Y$3="申万一级行业",[1]!s_info_industry_sw_2021(W1630,公司分析!D$5,1),IF($Y$3="申万二级行业",[1]!s_info_industry_sw_2021(W1630,公司分析!D$5,2),IF($Y$3="申万三级行业",[1]!s_info_industry_sw_2021(W1630,公司分析!D$5,3),IF($Y$3="wind一级行业",[1]!s_info_industry_gics(W1630,1),IF($Y$3="wind二级行业",[1]!s_info_industry_gics(W1630,2),IF($Y$3="wind三级行业",[1]!s_info_industry_gics(W1630,3),IF($Y$3="wind四级行业",[1]!s_info_industry_gics(W1630,4),IF($Y$3="证监会门类行业",[1]!s_info_industry_csrc12_n(W1630,公司分析!D$5,1),""))))))))</f>
        <v>出版</v>
      </c>
      <c r="Z1630" s="302" t="str">
        <f ca="1">IF(Y1630=行业比较!$E$6,ROW(),"")</f>
        <v/>
      </c>
      <c r="AA1630" s="122"/>
      <c r="AB1630" s="122"/>
      <c r="AC1630" s="122"/>
      <c r="AD1630" s="122"/>
      <c r="AE1630" s="122"/>
      <c r="AF1630" s="122"/>
      <c r="AG1630" s="122"/>
      <c r="AH1630" s="122"/>
      <c r="AI1630" s="122"/>
      <c r="AJ1630" s="122"/>
      <c r="AK1630" s="122"/>
      <c r="AL1630" s="122"/>
      <c r="AM1630" s="122"/>
      <c r="AN1630" s="122"/>
      <c r="AO1630" s="122"/>
      <c r="AP1630" s="122"/>
    </row>
    <row r="1631" spans="2:42">
      <c r="B1631" s="122"/>
      <c r="C1631" s="122"/>
      <c r="D1631" s="122"/>
      <c r="E1631" s="122"/>
      <c r="F1631" s="122"/>
      <c r="G1631" s="122"/>
      <c r="H1631" s="122"/>
      <c r="I1631" s="275"/>
      <c r="J1631" s="130"/>
      <c r="K1631" s="130"/>
      <c r="L1631" s="130"/>
      <c r="M1631" s="130"/>
      <c r="N1631" s="291"/>
      <c r="O1631" s="291"/>
      <c r="P1631" s="122"/>
      <c r="Q1631" s="122"/>
      <c r="R1631" s="122"/>
      <c r="S1631" s="122"/>
      <c r="T1631" s="122"/>
      <c r="U1631" s="301"/>
      <c r="V1631" s="260">
        <f t="shared" ca="1" si="33"/>
        <v>0</v>
      </c>
      <c r="W1631" s="348" t="str">
        <f>IF(板块成分!B1633="","",板块成分!B1633)</f>
        <v>300149.SZ</v>
      </c>
      <c r="X1631" s="276" t="str">
        <f>[1]!S_Info_Name(W1631)</f>
        <v>睿智医药</v>
      </c>
      <c r="Y1631" s="276" t="str">
        <f ca="1">IF($Y$3="申万一级行业",[1]!s_info_industry_sw_2021(W1631,公司分析!D$5,1),IF($Y$3="申万二级行业",[1]!s_info_industry_sw_2021(W1631,公司分析!D$5,2),IF($Y$3="申万三级行业",[1]!s_info_industry_sw_2021(W1631,公司分析!D$5,3),IF($Y$3="wind一级行业",[1]!s_info_industry_gics(W1631,1),IF($Y$3="wind二级行业",[1]!s_info_industry_gics(W1631,2),IF($Y$3="wind三级行业",[1]!s_info_industry_gics(W1631,3),IF($Y$3="wind四级行业",[1]!s_info_industry_gics(W1631,4),IF($Y$3="证监会门类行业",[1]!s_info_industry_csrc12_n(W1631,公司分析!D$5,1),""))))))))</f>
        <v>医疗服务</v>
      </c>
      <c r="Z1631" s="302" t="str">
        <f ca="1">IF(Y1631=行业比较!$E$6,ROW(),"")</f>
        <v/>
      </c>
      <c r="AA1631" s="122"/>
      <c r="AB1631" s="122"/>
      <c r="AC1631" s="122"/>
      <c r="AD1631" s="122"/>
      <c r="AE1631" s="122"/>
      <c r="AF1631" s="122"/>
      <c r="AG1631" s="122"/>
      <c r="AH1631" s="122"/>
      <c r="AI1631" s="122"/>
      <c r="AJ1631" s="122"/>
      <c r="AK1631" s="122"/>
      <c r="AL1631" s="122"/>
      <c r="AM1631" s="122"/>
      <c r="AN1631" s="122"/>
      <c r="AO1631" s="122"/>
      <c r="AP1631" s="122"/>
    </row>
    <row r="1632" spans="2:42">
      <c r="B1632" s="122"/>
      <c r="C1632" s="122"/>
      <c r="D1632" s="122"/>
      <c r="E1632" s="122"/>
      <c r="F1632" s="122"/>
      <c r="G1632" s="122"/>
      <c r="H1632" s="122"/>
      <c r="I1632" s="275"/>
      <c r="J1632" s="130"/>
      <c r="K1632" s="130"/>
      <c r="L1632" s="130"/>
      <c r="M1632" s="130"/>
      <c r="N1632" s="291"/>
      <c r="O1632" s="291"/>
      <c r="P1632" s="122"/>
      <c r="Q1632" s="122"/>
      <c r="R1632" s="122"/>
      <c r="S1632" s="122"/>
      <c r="T1632" s="122"/>
      <c r="U1632" s="301"/>
      <c r="V1632" s="260">
        <f t="shared" ca="1" si="33"/>
        <v>0</v>
      </c>
      <c r="W1632" s="348" t="str">
        <f>IF(板块成分!B1634="","",板块成分!B1634)</f>
        <v>300150.SZ</v>
      </c>
      <c r="X1632" s="276" t="str">
        <f>[1]!S_Info_Name(W1632)</f>
        <v>世纪瑞尔</v>
      </c>
      <c r="Y1632" s="276" t="str">
        <f ca="1">IF($Y$3="申万一级行业",[1]!s_info_industry_sw_2021(W1632,公司分析!D$5,1),IF($Y$3="申万二级行业",[1]!s_info_industry_sw_2021(W1632,公司分析!D$5,2),IF($Y$3="申万三级行业",[1]!s_info_industry_sw_2021(W1632,公司分析!D$5,3),IF($Y$3="wind一级行业",[1]!s_info_industry_gics(W1632,1),IF($Y$3="wind二级行业",[1]!s_info_industry_gics(W1632,2),IF($Y$3="wind三级行业",[1]!s_info_industry_gics(W1632,3),IF($Y$3="wind四级行业",[1]!s_info_industry_gics(W1632,4),IF($Y$3="证监会门类行业",[1]!s_info_industry_csrc12_n(W1632,公司分析!D$5,1),""))))))))</f>
        <v>IT服务Ⅱ</v>
      </c>
      <c r="Z1632" s="302" t="str">
        <f ca="1">IF(Y1632=行业比较!$E$6,ROW(),"")</f>
        <v/>
      </c>
      <c r="AA1632" s="122"/>
      <c r="AB1632" s="122"/>
      <c r="AC1632" s="122"/>
      <c r="AD1632" s="122"/>
      <c r="AE1632" s="122"/>
      <c r="AF1632" s="122"/>
      <c r="AG1632" s="122"/>
      <c r="AH1632" s="122"/>
      <c r="AI1632" s="122"/>
      <c r="AJ1632" s="122"/>
      <c r="AK1632" s="122"/>
      <c r="AL1632" s="122"/>
      <c r="AM1632" s="122"/>
      <c r="AN1632" s="122"/>
      <c r="AO1632" s="122"/>
      <c r="AP1632" s="122"/>
    </row>
    <row r="1633" spans="2:42">
      <c r="B1633" s="122"/>
      <c r="C1633" s="122"/>
      <c r="D1633" s="122"/>
      <c r="E1633" s="122"/>
      <c r="F1633" s="122"/>
      <c r="G1633" s="122"/>
      <c r="H1633" s="122"/>
      <c r="I1633" s="275"/>
      <c r="J1633" s="130"/>
      <c r="K1633" s="130"/>
      <c r="L1633" s="130"/>
      <c r="M1633" s="130"/>
      <c r="N1633" s="291"/>
      <c r="O1633" s="291"/>
      <c r="P1633" s="122"/>
      <c r="Q1633" s="122"/>
      <c r="R1633" s="122"/>
      <c r="S1633" s="122"/>
      <c r="T1633" s="122"/>
      <c r="U1633" s="301"/>
      <c r="V1633" s="260">
        <f t="shared" ca="1" si="33"/>
        <v>0</v>
      </c>
      <c r="W1633" s="348" t="str">
        <f>IF(板块成分!B1635="","",板块成分!B1635)</f>
        <v>300151.SZ</v>
      </c>
      <c r="X1633" s="276" t="str">
        <f>[1]!S_Info_Name(W1633)</f>
        <v>昌红科技</v>
      </c>
      <c r="Y1633" s="276" t="str">
        <f ca="1">IF($Y$3="申万一级行业",[1]!s_info_industry_sw_2021(W1633,公司分析!D$5,1),IF($Y$3="申万二级行业",[1]!s_info_industry_sw_2021(W1633,公司分析!D$5,2),IF($Y$3="申万三级行业",[1]!s_info_industry_sw_2021(W1633,公司分析!D$5,3),IF($Y$3="wind一级行业",[1]!s_info_industry_gics(W1633,1),IF($Y$3="wind二级行业",[1]!s_info_industry_gics(W1633,2),IF($Y$3="wind三级行业",[1]!s_info_industry_gics(W1633,3),IF($Y$3="wind四级行业",[1]!s_info_industry_gics(W1633,4),IF($Y$3="证监会门类行业",[1]!s_info_industry_csrc12_n(W1633,公司分析!D$5,1),""))))))))</f>
        <v>专用设备</v>
      </c>
      <c r="Z1633" s="302" t="str">
        <f ca="1">IF(Y1633=行业比较!$E$6,ROW(),"")</f>
        <v/>
      </c>
      <c r="AA1633" s="122"/>
      <c r="AB1633" s="122"/>
      <c r="AC1633" s="122"/>
      <c r="AD1633" s="122"/>
      <c r="AE1633" s="122"/>
      <c r="AF1633" s="122"/>
      <c r="AG1633" s="122"/>
      <c r="AH1633" s="122"/>
      <c r="AI1633" s="122"/>
      <c r="AJ1633" s="122"/>
      <c r="AK1633" s="122"/>
      <c r="AL1633" s="122"/>
      <c r="AM1633" s="122"/>
      <c r="AN1633" s="122"/>
      <c r="AO1633" s="122"/>
      <c r="AP1633" s="122"/>
    </row>
    <row r="1634" spans="2:42">
      <c r="B1634" s="122"/>
      <c r="C1634" s="122"/>
      <c r="D1634" s="122"/>
      <c r="E1634" s="122"/>
      <c r="F1634" s="122"/>
      <c r="G1634" s="122"/>
      <c r="H1634" s="122"/>
      <c r="I1634" s="275"/>
      <c r="J1634" s="130"/>
      <c r="K1634" s="130"/>
      <c r="L1634" s="130"/>
      <c r="M1634" s="130"/>
      <c r="N1634" s="291"/>
      <c r="O1634" s="291"/>
      <c r="P1634" s="122"/>
      <c r="Q1634" s="122"/>
      <c r="R1634" s="122"/>
      <c r="S1634" s="122"/>
      <c r="T1634" s="122"/>
      <c r="U1634" s="301"/>
      <c r="V1634" s="260">
        <f t="shared" ca="1" si="33"/>
        <v>0</v>
      </c>
      <c r="W1634" s="348" t="str">
        <f>IF(板块成分!B1636="","",板块成分!B1636)</f>
        <v>300152.SZ</v>
      </c>
      <c r="X1634" s="276" t="str">
        <f>[1]!S_Info_Name(W1634)</f>
        <v>ST新动力</v>
      </c>
      <c r="Y1634" s="276" t="str">
        <f ca="1">IF($Y$3="申万一级行业",[1]!s_info_industry_sw_2021(W1634,公司分析!D$5,1),IF($Y$3="申万二级行业",[1]!s_info_industry_sw_2021(W1634,公司分析!D$5,2),IF($Y$3="申万三级行业",[1]!s_info_industry_sw_2021(W1634,公司分析!D$5,3),IF($Y$3="wind一级行业",[1]!s_info_industry_gics(W1634,1),IF($Y$3="wind二级行业",[1]!s_info_industry_gics(W1634,2),IF($Y$3="wind三级行业",[1]!s_info_industry_gics(W1634,3),IF($Y$3="wind四级行业",[1]!s_info_industry_gics(W1634,4),IF($Y$3="证监会门类行业",[1]!s_info_industry_csrc12_n(W1634,公司分析!D$5,1),""))))))))</f>
        <v>环境治理</v>
      </c>
      <c r="Z1634" s="302" t="str">
        <f ca="1">IF(Y1634=行业比较!$E$6,ROW(),"")</f>
        <v/>
      </c>
      <c r="AA1634" s="122"/>
      <c r="AB1634" s="122"/>
      <c r="AC1634" s="122"/>
      <c r="AD1634" s="122"/>
      <c r="AE1634" s="122"/>
      <c r="AF1634" s="122"/>
      <c r="AG1634" s="122"/>
      <c r="AH1634" s="122"/>
      <c r="AI1634" s="122"/>
      <c r="AJ1634" s="122"/>
      <c r="AK1634" s="122"/>
      <c r="AL1634" s="122"/>
      <c r="AM1634" s="122"/>
      <c r="AN1634" s="122"/>
      <c r="AO1634" s="122"/>
      <c r="AP1634" s="122"/>
    </row>
    <row r="1635" spans="2:42">
      <c r="B1635" s="122"/>
      <c r="C1635" s="122"/>
      <c r="D1635" s="122"/>
      <c r="E1635" s="122"/>
      <c r="F1635" s="122"/>
      <c r="G1635" s="122"/>
      <c r="H1635" s="122"/>
      <c r="I1635" s="275"/>
      <c r="J1635" s="130"/>
      <c r="K1635" s="130"/>
      <c r="L1635" s="130"/>
      <c r="M1635" s="130"/>
      <c r="N1635" s="291"/>
      <c r="O1635" s="291"/>
      <c r="P1635" s="122"/>
      <c r="Q1635" s="122"/>
      <c r="R1635" s="122"/>
      <c r="S1635" s="122"/>
      <c r="T1635" s="122"/>
      <c r="U1635" s="301"/>
      <c r="V1635" s="260">
        <f t="shared" ca="1" si="33"/>
        <v>0</v>
      </c>
      <c r="W1635" s="348" t="str">
        <f>IF(板块成分!B1637="","",板块成分!B1637)</f>
        <v>300153.SZ</v>
      </c>
      <c r="X1635" s="276" t="str">
        <f>[1]!S_Info_Name(W1635)</f>
        <v>科泰电源</v>
      </c>
      <c r="Y1635" s="276" t="str">
        <f ca="1">IF($Y$3="申万一级行业",[1]!s_info_industry_sw_2021(W1635,公司分析!D$5,1),IF($Y$3="申万二级行业",[1]!s_info_industry_sw_2021(W1635,公司分析!D$5,2),IF($Y$3="申万三级行业",[1]!s_info_industry_sw_2021(W1635,公司分析!D$5,3),IF($Y$3="wind一级行业",[1]!s_info_industry_gics(W1635,1),IF($Y$3="wind二级行业",[1]!s_info_industry_gics(W1635,2),IF($Y$3="wind三级行业",[1]!s_info_industry_gics(W1635,3),IF($Y$3="wind四级行业",[1]!s_info_industry_gics(W1635,4),IF($Y$3="证监会门类行业",[1]!s_info_industry_csrc12_n(W1635,公司分析!D$5,1),""))))))))</f>
        <v>其他电源设备Ⅱ</v>
      </c>
      <c r="Z1635" s="302" t="str">
        <f ca="1">IF(Y1635=行业比较!$E$6,ROW(),"")</f>
        <v/>
      </c>
      <c r="AA1635" s="122"/>
      <c r="AB1635" s="122"/>
      <c r="AC1635" s="122"/>
      <c r="AD1635" s="122"/>
      <c r="AE1635" s="122"/>
      <c r="AF1635" s="122"/>
      <c r="AG1635" s="122"/>
      <c r="AH1635" s="122"/>
      <c r="AI1635" s="122"/>
      <c r="AJ1635" s="122"/>
      <c r="AK1635" s="122"/>
      <c r="AL1635" s="122"/>
      <c r="AM1635" s="122"/>
      <c r="AN1635" s="122"/>
      <c r="AO1635" s="122"/>
      <c r="AP1635" s="122"/>
    </row>
    <row r="1636" spans="2:42">
      <c r="B1636" s="122"/>
      <c r="C1636" s="122"/>
      <c r="D1636" s="122"/>
      <c r="E1636" s="122"/>
      <c r="F1636" s="122"/>
      <c r="G1636" s="122"/>
      <c r="H1636" s="122"/>
      <c r="I1636" s="275"/>
      <c r="J1636" s="130"/>
      <c r="K1636" s="130"/>
      <c r="L1636" s="130"/>
      <c r="M1636" s="130"/>
      <c r="N1636" s="291"/>
      <c r="O1636" s="291"/>
      <c r="P1636" s="122"/>
      <c r="Q1636" s="122"/>
      <c r="R1636" s="122"/>
      <c r="S1636" s="122"/>
      <c r="T1636" s="122"/>
      <c r="U1636" s="301"/>
      <c r="V1636" s="260">
        <f t="shared" ca="1" si="33"/>
        <v>0</v>
      </c>
      <c r="W1636" s="348" t="str">
        <f>IF(板块成分!B1638="","",板块成分!B1638)</f>
        <v>300154.SZ</v>
      </c>
      <c r="X1636" s="276" t="str">
        <f>[1]!S_Info_Name(W1636)</f>
        <v>瑞凌股份</v>
      </c>
      <c r="Y1636" s="276" t="str">
        <f ca="1">IF($Y$3="申万一级行业",[1]!s_info_industry_sw_2021(W1636,公司分析!D$5,1),IF($Y$3="申万二级行业",[1]!s_info_industry_sw_2021(W1636,公司分析!D$5,2),IF($Y$3="申万三级行业",[1]!s_info_industry_sw_2021(W1636,公司分析!D$5,3),IF($Y$3="wind一级行业",[1]!s_info_industry_gics(W1636,1),IF($Y$3="wind二级行业",[1]!s_info_industry_gics(W1636,2),IF($Y$3="wind三级行业",[1]!s_info_industry_gics(W1636,3),IF($Y$3="wind四级行业",[1]!s_info_industry_gics(W1636,4),IF($Y$3="证监会门类行业",[1]!s_info_industry_csrc12_n(W1636,公司分析!D$5,1),""))))))))</f>
        <v>通用设备</v>
      </c>
      <c r="Z1636" s="302" t="str">
        <f ca="1">IF(Y1636=行业比较!$E$6,ROW(),"")</f>
        <v/>
      </c>
      <c r="AA1636" s="122"/>
      <c r="AB1636" s="122"/>
      <c r="AC1636" s="122"/>
      <c r="AD1636" s="122"/>
      <c r="AE1636" s="122"/>
      <c r="AF1636" s="122"/>
      <c r="AG1636" s="122"/>
      <c r="AH1636" s="122"/>
      <c r="AI1636" s="122"/>
      <c r="AJ1636" s="122"/>
      <c r="AK1636" s="122"/>
      <c r="AL1636" s="122"/>
      <c r="AM1636" s="122"/>
      <c r="AN1636" s="122"/>
      <c r="AO1636" s="122"/>
      <c r="AP1636" s="122"/>
    </row>
    <row r="1637" spans="2:42">
      <c r="B1637" s="122"/>
      <c r="C1637" s="122"/>
      <c r="D1637" s="122"/>
      <c r="E1637" s="122"/>
      <c r="F1637" s="122"/>
      <c r="G1637" s="122"/>
      <c r="H1637" s="122"/>
      <c r="I1637" s="275"/>
      <c r="J1637" s="130"/>
      <c r="K1637" s="130"/>
      <c r="L1637" s="130"/>
      <c r="M1637" s="130"/>
      <c r="N1637" s="291"/>
      <c r="O1637" s="291"/>
      <c r="P1637" s="122"/>
      <c r="Q1637" s="122"/>
      <c r="R1637" s="122"/>
      <c r="S1637" s="122"/>
      <c r="T1637" s="122"/>
      <c r="U1637" s="301"/>
      <c r="V1637" s="260">
        <f t="shared" ca="1" si="33"/>
        <v>0</v>
      </c>
      <c r="W1637" s="348" t="str">
        <f>IF(板块成分!B1639="","",板块成分!B1639)</f>
        <v>300155.SZ</v>
      </c>
      <c r="X1637" s="276" t="str">
        <f>[1]!S_Info_Name(W1637)</f>
        <v>安居宝</v>
      </c>
      <c r="Y1637" s="276" t="str">
        <f ca="1">IF($Y$3="申万一级行业",[1]!s_info_industry_sw_2021(W1637,公司分析!D$5,1),IF($Y$3="申万二级行业",[1]!s_info_industry_sw_2021(W1637,公司分析!D$5,2),IF($Y$3="申万三级行业",[1]!s_info_industry_sw_2021(W1637,公司分析!D$5,3),IF($Y$3="wind一级行业",[1]!s_info_industry_gics(W1637,1),IF($Y$3="wind二级行业",[1]!s_info_industry_gics(W1637,2),IF($Y$3="wind三级行业",[1]!s_info_industry_gics(W1637,3),IF($Y$3="wind四级行业",[1]!s_info_industry_gics(W1637,4),IF($Y$3="证监会门类行业",[1]!s_info_industry_csrc12_n(W1637,公司分析!D$5,1),""))))))))</f>
        <v>计算机设备</v>
      </c>
      <c r="Z1637" s="302" t="str">
        <f ca="1">IF(Y1637=行业比较!$E$6,ROW(),"")</f>
        <v/>
      </c>
      <c r="AA1637" s="122"/>
      <c r="AB1637" s="122"/>
      <c r="AC1637" s="122"/>
      <c r="AD1637" s="122"/>
      <c r="AE1637" s="122"/>
      <c r="AF1637" s="122"/>
      <c r="AG1637" s="122"/>
      <c r="AH1637" s="122"/>
      <c r="AI1637" s="122"/>
      <c r="AJ1637" s="122"/>
      <c r="AK1637" s="122"/>
      <c r="AL1637" s="122"/>
      <c r="AM1637" s="122"/>
      <c r="AN1637" s="122"/>
      <c r="AO1637" s="122"/>
      <c r="AP1637" s="122"/>
    </row>
    <row r="1638" spans="2:42">
      <c r="B1638" s="122"/>
      <c r="C1638" s="122"/>
      <c r="D1638" s="122"/>
      <c r="E1638" s="122"/>
      <c r="F1638" s="122"/>
      <c r="G1638" s="122"/>
      <c r="H1638" s="122"/>
      <c r="I1638" s="275"/>
      <c r="J1638" s="130"/>
      <c r="K1638" s="130"/>
      <c r="L1638" s="130"/>
      <c r="M1638" s="130"/>
      <c r="N1638" s="291"/>
      <c r="O1638" s="291"/>
      <c r="P1638" s="122"/>
      <c r="Q1638" s="122"/>
      <c r="R1638" s="122"/>
      <c r="S1638" s="122"/>
      <c r="T1638" s="122"/>
      <c r="U1638" s="301"/>
      <c r="V1638" s="260">
        <f t="shared" ca="1" si="33"/>
        <v>0</v>
      </c>
      <c r="W1638" s="348" t="str">
        <f>IF(板块成分!B1640="","",板块成分!B1640)</f>
        <v>300157.SZ</v>
      </c>
      <c r="X1638" s="276" t="str">
        <f>[1]!S_Info_Name(W1638)</f>
        <v>新锦动力</v>
      </c>
      <c r="Y1638" s="276" t="str">
        <f ca="1">IF($Y$3="申万一级行业",[1]!s_info_industry_sw_2021(W1638,公司分析!D$5,1),IF($Y$3="申万二级行业",[1]!s_info_industry_sw_2021(W1638,公司分析!D$5,2),IF($Y$3="申万三级行业",[1]!s_info_industry_sw_2021(W1638,公司分析!D$5,3),IF($Y$3="wind一级行业",[1]!s_info_industry_gics(W1638,1),IF($Y$3="wind二级行业",[1]!s_info_industry_gics(W1638,2),IF($Y$3="wind三级行业",[1]!s_info_industry_gics(W1638,3),IF($Y$3="wind四级行业",[1]!s_info_industry_gics(W1638,4),IF($Y$3="证监会门类行业",[1]!s_info_industry_csrc12_n(W1638,公司分析!D$5,1),""))))))))</f>
        <v>通用设备</v>
      </c>
      <c r="Z1638" s="302" t="str">
        <f ca="1">IF(Y1638=行业比较!$E$6,ROW(),"")</f>
        <v/>
      </c>
      <c r="AA1638" s="122"/>
      <c r="AB1638" s="122"/>
      <c r="AC1638" s="122"/>
      <c r="AD1638" s="122"/>
      <c r="AE1638" s="122"/>
      <c r="AF1638" s="122"/>
      <c r="AG1638" s="122"/>
      <c r="AH1638" s="122"/>
      <c r="AI1638" s="122"/>
      <c r="AJ1638" s="122"/>
      <c r="AK1638" s="122"/>
      <c r="AL1638" s="122"/>
      <c r="AM1638" s="122"/>
      <c r="AN1638" s="122"/>
      <c r="AO1638" s="122"/>
      <c r="AP1638" s="122"/>
    </row>
    <row r="1639" spans="2:42">
      <c r="B1639" s="122"/>
      <c r="C1639" s="122"/>
      <c r="D1639" s="122"/>
      <c r="E1639" s="122"/>
      <c r="F1639" s="122"/>
      <c r="G1639" s="122"/>
      <c r="H1639" s="122"/>
      <c r="I1639" s="275"/>
      <c r="J1639" s="130"/>
      <c r="K1639" s="130"/>
      <c r="L1639" s="130"/>
      <c r="M1639" s="130"/>
      <c r="N1639" s="291"/>
      <c r="O1639" s="291"/>
      <c r="P1639" s="122"/>
      <c r="Q1639" s="122"/>
      <c r="R1639" s="122"/>
      <c r="S1639" s="122"/>
      <c r="T1639" s="122"/>
      <c r="U1639" s="301"/>
      <c r="V1639" s="260">
        <f t="shared" ca="1" si="33"/>
        <v>0</v>
      </c>
      <c r="W1639" s="348" t="str">
        <f>IF(板块成分!B1641="","",板块成分!B1641)</f>
        <v>300158.SZ</v>
      </c>
      <c r="X1639" s="276" t="str">
        <f>[1]!S_Info_Name(W1639)</f>
        <v>振东制药</v>
      </c>
      <c r="Y1639" s="276" t="str">
        <f ca="1">IF($Y$3="申万一级行业",[1]!s_info_industry_sw_2021(W1639,公司分析!D$5,1),IF($Y$3="申万二级行业",[1]!s_info_industry_sw_2021(W1639,公司分析!D$5,2),IF($Y$3="申万三级行业",[1]!s_info_industry_sw_2021(W1639,公司分析!D$5,3),IF($Y$3="wind一级行业",[1]!s_info_industry_gics(W1639,1),IF($Y$3="wind二级行业",[1]!s_info_industry_gics(W1639,2),IF($Y$3="wind三级行业",[1]!s_info_industry_gics(W1639,3),IF($Y$3="wind四级行业",[1]!s_info_industry_gics(W1639,4),IF($Y$3="证监会门类行业",[1]!s_info_industry_csrc12_n(W1639,公司分析!D$5,1),""))))))))</f>
        <v>中药Ⅱ</v>
      </c>
      <c r="Z1639" s="302" t="str">
        <f ca="1">IF(Y1639=行业比较!$E$6,ROW(),"")</f>
        <v/>
      </c>
      <c r="AA1639" s="122"/>
      <c r="AB1639" s="122"/>
      <c r="AC1639" s="122"/>
      <c r="AD1639" s="122"/>
      <c r="AE1639" s="122"/>
      <c r="AF1639" s="122"/>
      <c r="AG1639" s="122"/>
      <c r="AH1639" s="122"/>
      <c r="AI1639" s="122"/>
      <c r="AJ1639" s="122"/>
      <c r="AK1639" s="122"/>
      <c r="AL1639" s="122"/>
      <c r="AM1639" s="122"/>
      <c r="AN1639" s="122"/>
      <c r="AO1639" s="122"/>
      <c r="AP1639" s="122"/>
    </row>
    <row r="1640" spans="2:42">
      <c r="B1640" s="122"/>
      <c r="C1640" s="122"/>
      <c r="D1640" s="122"/>
      <c r="E1640" s="122"/>
      <c r="F1640" s="122"/>
      <c r="G1640" s="122"/>
      <c r="H1640" s="122"/>
      <c r="I1640" s="275"/>
      <c r="J1640" s="130"/>
      <c r="K1640" s="130"/>
      <c r="L1640" s="130"/>
      <c r="M1640" s="130"/>
      <c r="N1640" s="291"/>
      <c r="O1640" s="291"/>
      <c r="P1640" s="122"/>
      <c r="Q1640" s="122"/>
      <c r="R1640" s="122"/>
      <c r="S1640" s="122"/>
      <c r="T1640" s="122"/>
      <c r="U1640" s="301"/>
      <c r="V1640" s="260">
        <f t="shared" ca="1" si="33"/>
        <v>0</v>
      </c>
      <c r="W1640" s="348" t="str">
        <f>IF(板块成分!B1642="","",板块成分!B1642)</f>
        <v>300159.SZ</v>
      </c>
      <c r="X1640" s="276" t="str">
        <f>[1]!S_Info_Name(W1640)</f>
        <v>*ST新研</v>
      </c>
      <c r="Y1640" s="276" t="str">
        <f ca="1">IF($Y$3="申万一级行业",[1]!s_info_industry_sw_2021(W1640,公司分析!D$5,1),IF($Y$3="申万二级行业",[1]!s_info_industry_sw_2021(W1640,公司分析!D$5,2),IF($Y$3="申万三级行业",[1]!s_info_industry_sw_2021(W1640,公司分析!D$5,3),IF($Y$3="wind一级行业",[1]!s_info_industry_gics(W1640,1),IF($Y$3="wind二级行业",[1]!s_info_industry_gics(W1640,2),IF($Y$3="wind三级行业",[1]!s_info_industry_gics(W1640,3),IF($Y$3="wind四级行业",[1]!s_info_industry_gics(W1640,4),IF($Y$3="证监会门类行业",[1]!s_info_industry_csrc12_n(W1640,公司分析!D$5,1),""))))))))</f>
        <v>专用设备</v>
      </c>
      <c r="Z1640" s="302" t="str">
        <f ca="1">IF(Y1640=行业比较!$E$6,ROW(),"")</f>
        <v/>
      </c>
      <c r="AA1640" s="122"/>
      <c r="AB1640" s="122"/>
      <c r="AC1640" s="122"/>
      <c r="AD1640" s="122"/>
      <c r="AE1640" s="122"/>
      <c r="AF1640" s="122"/>
      <c r="AG1640" s="122"/>
      <c r="AH1640" s="122"/>
      <c r="AI1640" s="122"/>
      <c r="AJ1640" s="122"/>
      <c r="AK1640" s="122"/>
      <c r="AL1640" s="122"/>
      <c r="AM1640" s="122"/>
      <c r="AN1640" s="122"/>
      <c r="AO1640" s="122"/>
      <c r="AP1640" s="122"/>
    </row>
    <row r="1641" spans="2:42">
      <c r="B1641" s="122"/>
      <c r="C1641" s="122"/>
      <c r="D1641" s="122"/>
      <c r="E1641" s="122"/>
      <c r="F1641" s="122"/>
      <c r="G1641" s="122"/>
      <c r="H1641" s="122"/>
      <c r="I1641" s="275"/>
      <c r="J1641" s="130"/>
      <c r="K1641" s="130"/>
      <c r="L1641" s="130"/>
      <c r="M1641" s="130"/>
      <c r="N1641" s="291"/>
      <c r="O1641" s="291"/>
      <c r="P1641" s="122"/>
      <c r="Q1641" s="122"/>
      <c r="R1641" s="122"/>
      <c r="S1641" s="122"/>
      <c r="T1641" s="122"/>
      <c r="U1641" s="301"/>
      <c r="V1641" s="260">
        <f t="shared" ca="1" si="33"/>
        <v>0</v>
      </c>
      <c r="W1641" s="348" t="str">
        <f>IF(板块成分!B1643="","",板块成分!B1643)</f>
        <v>300160.SZ</v>
      </c>
      <c r="X1641" s="276" t="str">
        <f>[1]!S_Info_Name(W1641)</f>
        <v>秀强股份</v>
      </c>
      <c r="Y1641" s="276" t="str">
        <f ca="1">IF($Y$3="申万一级行业",[1]!s_info_industry_sw_2021(W1641,公司分析!D$5,1),IF($Y$3="申万二级行业",[1]!s_info_industry_sw_2021(W1641,公司分析!D$5,2),IF($Y$3="申万三级行业",[1]!s_info_industry_sw_2021(W1641,公司分析!D$5,3),IF($Y$3="wind一级行业",[1]!s_info_industry_gics(W1641,1),IF($Y$3="wind二级行业",[1]!s_info_industry_gics(W1641,2),IF($Y$3="wind三级行业",[1]!s_info_industry_gics(W1641,3),IF($Y$3="wind四级行业",[1]!s_info_industry_gics(W1641,4),IF($Y$3="证监会门类行业",[1]!s_info_industry_csrc12_n(W1641,公司分析!D$5,1),""))))))))</f>
        <v>家电零部件Ⅱ</v>
      </c>
      <c r="Z1641" s="302" t="str">
        <f ca="1">IF(Y1641=行业比较!$E$6,ROW(),"")</f>
        <v/>
      </c>
      <c r="AA1641" s="122"/>
      <c r="AB1641" s="122"/>
      <c r="AC1641" s="122"/>
      <c r="AD1641" s="122"/>
      <c r="AE1641" s="122"/>
      <c r="AF1641" s="122"/>
      <c r="AG1641" s="122"/>
      <c r="AH1641" s="122"/>
      <c r="AI1641" s="122"/>
      <c r="AJ1641" s="122"/>
      <c r="AK1641" s="122"/>
      <c r="AL1641" s="122"/>
      <c r="AM1641" s="122"/>
      <c r="AN1641" s="122"/>
      <c r="AO1641" s="122"/>
      <c r="AP1641" s="122"/>
    </row>
    <row r="1642" spans="2:42">
      <c r="B1642" s="122"/>
      <c r="C1642" s="122"/>
      <c r="D1642" s="122"/>
      <c r="E1642" s="122"/>
      <c r="F1642" s="122"/>
      <c r="G1642" s="122"/>
      <c r="H1642" s="122"/>
      <c r="I1642" s="275"/>
      <c r="J1642" s="130"/>
      <c r="K1642" s="130"/>
      <c r="L1642" s="130"/>
      <c r="M1642" s="130"/>
      <c r="N1642" s="291"/>
      <c r="O1642" s="291"/>
      <c r="P1642" s="122"/>
      <c r="Q1642" s="122"/>
      <c r="R1642" s="122"/>
      <c r="S1642" s="122"/>
      <c r="T1642" s="122"/>
      <c r="U1642" s="301"/>
      <c r="V1642" s="260">
        <f t="shared" ca="1" si="33"/>
        <v>0</v>
      </c>
      <c r="W1642" s="348" t="str">
        <f>IF(板块成分!B1644="","",板块成分!B1644)</f>
        <v>300161.SZ</v>
      </c>
      <c r="X1642" s="276" t="str">
        <f>[1]!S_Info_Name(W1642)</f>
        <v>华中数控</v>
      </c>
      <c r="Y1642" s="276" t="str">
        <f ca="1">IF($Y$3="申万一级行业",[1]!s_info_industry_sw_2021(W1642,公司分析!D$5,1),IF($Y$3="申万二级行业",[1]!s_info_industry_sw_2021(W1642,公司分析!D$5,2),IF($Y$3="申万三级行业",[1]!s_info_industry_sw_2021(W1642,公司分析!D$5,3),IF($Y$3="wind一级行业",[1]!s_info_industry_gics(W1642,1),IF($Y$3="wind二级行业",[1]!s_info_industry_gics(W1642,2),IF($Y$3="wind三级行业",[1]!s_info_industry_gics(W1642,3),IF($Y$3="wind四级行业",[1]!s_info_industry_gics(W1642,4),IF($Y$3="证监会门类行业",[1]!s_info_industry_csrc12_n(W1642,公司分析!D$5,1),""))))))))</f>
        <v>通用设备</v>
      </c>
      <c r="Z1642" s="302" t="str">
        <f ca="1">IF(Y1642=行业比较!$E$6,ROW(),"")</f>
        <v/>
      </c>
      <c r="AA1642" s="122"/>
      <c r="AB1642" s="122"/>
      <c r="AC1642" s="122"/>
      <c r="AD1642" s="122"/>
      <c r="AE1642" s="122"/>
      <c r="AF1642" s="122"/>
      <c r="AG1642" s="122"/>
      <c r="AH1642" s="122"/>
      <c r="AI1642" s="122"/>
      <c r="AJ1642" s="122"/>
      <c r="AK1642" s="122"/>
      <c r="AL1642" s="122"/>
      <c r="AM1642" s="122"/>
      <c r="AN1642" s="122"/>
      <c r="AO1642" s="122"/>
      <c r="AP1642" s="122"/>
    </row>
    <row r="1643" spans="2:42">
      <c r="B1643" s="122"/>
      <c r="C1643" s="122"/>
      <c r="D1643" s="122"/>
      <c r="E1643" s="122"/>
      <c r="F1643" s="122"/>
      <c r="G1643" s="122"/>
      <c r="H1643" s="122"/>
      <c r="I1643" s="275"/>
      <c r="J1643" s="130"/>
      <c r="K1643" s="130"/>
      <c r="L1643" s="130"/>
      <c r="M1643" s="130"/>
      <c r="N1643" s="291"/>
      <c r="O1643" s="291"/>
      <c r="P1643" s="122"/>
      <c r="Q1643" s="122"/>
      <c r="R1643" s="122"/>
      <c r="S1643" s="122"/>
      <c r="T1643" s="122"/>
      <c r="U1643" s="301"/>
      <c r="V1643" s="260">
        <f t="shared" ca="1" si="33"/>
        <v>0</v>
      </c>
      <c r="W1643" s="348" t="str">
        <f>IF(板块成分!B1645="","",板块成分!B1645)</f>
        <v>300162.SZ</v>
      </c>
      <c r="X1643" s="276" t="str">
        <f>[1]!S_Info_Name(W1643)</f>
        <v>雷曼光电</v>
      </c>
      <c r="Y1643" s="276" t="str">
        <f ca="1">IF($Y$3="申万一级行业",[1]!s_info_industry_sw_2021(W1643,公司分析!D$5,1),IF($Y$3="申万二级行业",[1]!s_info_industry_sw_2021(W1643,公司分析!D$5,2),IF($Y$3="申万三级行业",[1]!s_info_industry_sw_2021(W1643,公司分析!D$5,3),IF($Y$3="wind一级行业",[1]!s_info_industry_gics(W1643,1),IF($Y$3="wind二级行业",[1]!s_info_industry_gics(W1643,2),IF($Y$3="wind三级行业",[1]!s_info_industry_gics(W1643,3),IF($Y$3="wind四级行业",[1]!s_info_industry_gics(W1643,4),IF($Y$3="证监会门类行业",[1]!s_info_industry_csrc12_n(W1643,公司分析!D$5,1),""))))))))</f>
        <v>光学光电子</v>
      </c>
      <c r="Z1643" s="302" t="str">
        <f ca="1">IF(Y1643=行业比较!$E$6,ROW(),"")</f>
        <v/>
      </c>
      <c r="AA1643" s="122"/>
      <c r="AB1643" s="122"/>
      <c r="AC1643" s="122"/>
      <c r="AD1643" s="122"/>
      <c r="AE1643" s="122"/>
      <c r="AF1643" s="122"/>
      <c r="AG1643" s="122"/>
      <c r="AH1643" s="122"/>
      <c r="AI1643" s="122"/>
      <c r="AJ1643" s="122"/>
      <c r="AK1643" s="122"/>
      <c r="AL1643" s="122"/>
      <c r="AM1643" s="122"/>
      <c r="AN1643" s="122"/>
      <c r="AO1643" s="122"/>
      <c r="AP1643" s="122"/>
    </row>
    <row r="1644" spans="2:42">
      <c r="B1644" s="122"/>
      <c r="C1644" s="122"/>
      <c r="D1644" s="122"/>
      <c r="E1644" s="122"/>
      <c r="F1644" s="122"/>
      <c r="G1644" s="122"/>
      <c r="H1644" s="122"/>
      <c r="I1644" s="275"/>
      <c r="J1644" s="130"/>
      <c r="K1644" s="130"/>
      <c r="L1644" s="130"/>
      <c r="M1644" s="130"/>
      <c r="N1644" s="291"/>
      <c r="O1644" s="291"/>
      <c r="P1644" s="122"/>
      <c r="Q1644" s="122"/>
      <c r="R1644" s="122"/>
      <c r="S1644" s="122"/>
      <c r="T1644" s="122"/>
      <c r="U1644" s="301"/>
      <c r="V1644" s="260">
        <f t="shared" ca="1" si="33"/>
        <v>0</v>
      </c>
      <c r="W1644" s="348" t="str">
        <f>IF(板块成分!B1646="","",板块成分!B1646)</f>
        <v>300163.SZ</v>
      </c>
      <c r="X1644" s="276" t="str">
        <f>[1]!S_Info_Name(W1644)</f>
        <v>先锋新材</v>
      </c>
      <c r="Y1644" s="276" t="str">
        <f ca="1">IF($Y$3="申万一级行业",[1]!s_info_industry_sw_2021(W1644,公司分析!D$5,1),IF($Y$3="申万二级行业",[1]!s_info_industry_sw_2021(W1644,公司分析!D$5,2),IF($Y$3="申万三级行业",[1]!s_info_industry_sw_2021(W1644,公司分析!D$5,3),IF($Y$3="wind一级行业",[1]!s_info_industry_gics(W1644,1),IF($Y$3="wind二级行业",[1]!s_info_industry_gics(W1644,2),IF($Y$3="wind三级行业",[1]!s_info_industry_gics(W1644,3),IF($Y$3="wind四级行业",[1]!s_info_industry_gics(W1644,4),IF($Y$3="证监会门类行业",[1]!s_info_industry_csrc12_n(W1644,公司分析!D$5,1),""))))))))</f>
        <v>化学制品</v>
      </c>
      <c r="Z1644" s="302" t="str">
        <f ca="1">IF(Y1644=行业比较!$E$6,ROW(),"")</f>
        <v/>
      </c>
      <c r="AA1644" s="122"/>
      <c r="AB1644" s="122"/>
      <c r="AC1644" s="122"/>
      <c r="AD1644" s="122"/>
      <c r="AE1644" s="122"/>
      <c r="AF1644" s="122"/>
      <c r="AG1644" s="122"/>
      <c r="AH1644" s="122"/>
      <c r="AI1644" s="122"/>
      <c r="AJ1644" s="122"/>
      <c r="AK1644" s="122"/>
      <c r="AL1644" s="122"/>
      <c r="AM1644" s="122"/>
      <c r="AN1644" s="122"/>
      <c r="AO1644" s="122"/>
      <c r="AP1644" s="122"/>
    </row>
    <row r="1645" spans="2:42">
      <c r="B1645" s="122"/>
      <c r="C1645" s="122"/>
      <c r="D1645" s="122"/>
      <c r="E1645" s="122"/>
      <c r="F1645" s="122"/>
      <c r="G1645" s="122"/>
      <c r="H1645" s="122"/>
      <c r="I1645" s="275"/>
      <c r="J1645" s="130"/>
      <c r="K1645" s="130"/>
      <c r="L1645" s="130"/>
      <c r="M1645" s="130"/>
      <c r="N1645" s="291"/>
      <c r="O1645" s="291"/>
      <c r="P1645" s="122"/>
      <c r="Q1645" s="122"/>
      <c r="R1645" s="122"/>
      <c r="S1645" s="122"/>
      <c r="T1645" s="122"/>
      <c r="U1645" s="301"/>
      <c r="V1645" s="260">
        <f t="shared" ca="1" si="33"/>
        <v>0</v>
      </c>
      <c r="W1645" s="348" t="str">
        <f>IF(板块成分!B1647="","",板块成分!B1647)</f>
        <v>300164.SZ</v>
      </c>
      <c r="X1645" s="276" t="str">
        <f>[1]!S_Info_Name(W1645)</f>
        <v>通源石油</v>
      </c>
      <c r="Y1645" s="276" t="str">
        <f ca="1">IF($Y$3="申万一级行业",[1]!s_info_industry_sw_2021(W1645,公司分析!D$5,1),IF($Y$3="申万二级行业",[1]!s_info_industry_sw_2021(W1645,公司分析!D$5,2),IF($Y$3="申万三级行业",[1]!s_info_industry_sw_2021(W1645,公司分析!D$5,3),IF($Y$3="wind一级行业",[1]!s_info_industry_gics(W1645,1),IF($Y$3="wind二级行业",[1]!s_info_industry_gics(W1645,2),IF($Y$3="wind三级行业",[1]!s_info_industry_gics(W1645,3),IF($Y$3="wind四级行业",[1]!s_info_industry_gics(W1645,4),IF($Y$3="证监会门类行业",[1]!s_info_industry_csrc12_n(W1645,公司分析!D$5,1),""))))))))</f>
        <v>油服工程</v>
      </c>
      <c r="Z1645" s="302" t="str">
        <f ca="1">IF(Y1645=行业比较!$E$6,ROW(),"")</f>
        <v/>
      </c>
      <c r="AA1645" s="122"/>
      <c r="AB1645" s="122"/>
      <c r="AC1645" s="122"/>
      <c r="AD1645" s="122"/>
      <c r="AE1645" s="122"/>
      <c r="AF1645" s="122"/>
      <c r="AG1645" s="122"/>
      <c r="AH1645" s="122"/>
      <c r="AI1645" s="122"/>
      <c r="AJ1645" s="122"/>
      <c r="AK1645" s="122"/>
      <c r="AL1645" s="122"/>
      <c r="AM1645" s="122"/>
      <c r="AN1645" s="122"/>
      <c r="AO1645" s="122"/>
      <c r="AP1645" s="122"/>
    </row>
    <row r="1646" spans="2:42">
      <c r="B1646" s="122"/>
      <c r="C1646" s="122"/>
      <c r="D1646" s="122"/>
      <c r="E1646" s="122"/>
      <c r="F1646" s="122"/>
      <c r="G1646" s="122"/>
      <c r="H1646" s="122"/>
      <c r="I1646" s="275"/>
      <c r="J1646" s="130"/>
      <c r="K1646" s="130"/>
      <c r="L1646" s="130"/>
      <c r="M1646" s="130"/>
      <c r="N1646" s="291"/>
      <c r="O1646" s="291"/>
      <c r="P1646" s="122"/>
      <c r="Q1646" s="122"/>
      <c r="R1646" s="122"/>
      <c r="S1646" s="122"/>
      <c r="T1646" s="122"/>
      <c r="U1646" s="301"/>
      <c r="V1646" s="260">
        <f t="shared" ca="1" si="33"/>
        <v>0</v>
      </c>
      <c r="W1646" s="348" t="str">
        <f>IF(板块成分!B1648="","",板块成分!B1648)</f>
        <v>300165.SZ</v>
      </c>
      <c r="X1646" s="276" t="str">
        <f>[1]!S_Info_Name(W1646)</f>
        <v>ST天瑞</v>
      </c>
      <c r="Y1646" s="276" t="str">
        <f ca="1">IF($Y$3="申万一级行业",[1]!s_info_industry_sw_2021(W1646,公司分析!D$5,1),IF($Y$3="申万二级行业",[1]!s_info_industry_sw_2021(W1646,公司分析!D$5,2),IF($Y$3="申万三级行业",[1]!s_info_industry_sw_2021(W1646,公司分析!D$5,3),IF($Y$3="wind一级行业",[1]!s_info_industry_gics(W1646,1),IF($Y$3="wind二级行业",[1]!s_info_industry_gics(W1646,2),IF($Y$3="wind三级行业",[1]!s_info_industry_gics(W1646,3),IF($Y$3="wind四级行业",[1]!s_info_industry_gics(W1646,4),IF($Y$3="证监会门类行业",[1]!s_info_industry_csrc12_n(W1646,公司分析!D$5,1),""))))))))</f>
        <v>通用设备</v>
      </c>
      <c r="Z1646" s="302" t="str">
        <f ca="1">IF(Y1646=行业比较!$E$6,ROW(),"")</f>
        <v/>
      </c>
      <c r="AA1646" s="122"/>
      <c r="AB1646" s="122"/>
      <c r="AC1646" s="122"/>
      <c r="AD1646" s="122"/>
      <c r="AE1646" s="122"/>
      <c r="AF1646" s="122"/>
      <c r="AG1646" s="122"/>
      <c r="AH1646" s="122"/>
      <c r="AI1646" s="122"/>
      <c r="AJ1646" s="122"/>
      <c r="AK1646" s="122"/>
      <c r="AL1646" s="122"/>
      <c r="AM1646" s="122"/>
      <c r="AN1646" s="122"/>
      <c r="AO1646" s="122"/>
      <c r="AP1646" s="122"/>
    </row>
    <row r="1647" spans="2:42">
      <c r="B1647" s="122"/>
      <c r="C1647" s="122"/>
      <c r="D1647" s="122"/>
      <c r="E1647" s="122"/>
      <c r="F1647" s="122"/>
      <c r="G1647" s="122"/>
      <c r="H1647" s="122"/>
      <c r="I1647" s="275"/>
      <c r="J1647" s="130"/>
      <c r="K1647" s="130"/>
      <c r="L1647" s="130"/>
      <c r="M1647" s="130"/>
      <c r="N1647" s="291"/>
      <c r="O1647" s="291"/>
      <c r="P1647" s="122"/>
      <c r="Q1647" s="122"/>
      <c r="R1647" s="122"/>
      <c r="S1647" s="122"/>
      <c r="T1647" s="122"/>
      <c r="U1647" s="301"/>
      <c r="V1647" s="260">
        <f t="shared" ca="1" si="33"/>
        <v>0</v>
      </c>
      <c r="W1647" s="348" t="str">
        <f>IF(板块成分!B1649="","",板块成分!B1649)</f>
        <v>300166.SZ</v>
      </c>
      <c r="X1647" s="276" t="str">
        <f>[1]!S_Info_Name(W1647)</f>
        <v>东方国信</v>
      </c>
      <c r="Y1647" s="276" t="str">
        <f ca="1">IF($Y$3="申万一级行业",[1]!s_info_industry_sw_2021(W1647,公司分析!D$5,1),IF($Y$3="申万二级行业",[1]!s_info_industry_sw_2021(W1647,公司分析!D$5,2),IF($Y$3="申万三级行业",[1]!s_info_industry_sw_2021(W1647,公司分析!D$5,3),IF($Y$3="wind一级行业",[1]!s_info_industry_gics(W1647,1),IF($Y$3="wind二级行业",[1]!s_info_industry_gics(W1647,2),IF($Y$3="wind三级行业",[1]!s_info_industry_gics(W1647,3),IF($Y$3="wind四级行业",[1]!s_info_industry_gics(W1647,4),IF($Y$3="证监会门类行业",[1]!s_info_industry_csrc12_n(W1647,公司分析!D$5,1),""))))))))</f>
        <v>IT服务Ⅱ</v>
      </c>
      <c r="Z1647" s="302" t="str">
        <f ca="1">IF(Y1647=行业比较!$E$6,ROW(),"")</f>
        <v/>
      </c>
      <c r="AA1647" s="122"/>
      <c r="AB1647" s="122"/>
      <c r="AC1647" s="122"/>
      <c r="AD1647" s="122"/>
      <c r="AE1647" s="122"/>
      <c r="AF1647" s="122"/>
      <c r="AG1647" s="122"/>
      <c r="AH1647" s="122"/>
      <c r="AI1647" s="122"/>
      <c r="AJ1647" s="122"/>
      <c r="AK1647" s="122"/>
      <c r="AL1647" s="122"/>
      <c r="AM1647" s="122"/>
      <c r="AN1647" s="122"/>
      <c r="AO1647" s="122"/>
      <c r="AP1647" s="122"/>
    </row>
    <row r="1648" spans="2:42">
      <c r="B1648" s="122"/>
      <c r="C1648" s="122"/>
      <c r="D1648" s="122"/>
      <c r="E1648" s="122"/>
      <c r="F1648" s="122"/>
      <c r="G1648" s="122"/>
      <c r="H1648" s="122"/>
      <c r="I1648" s="275"/>
      <c r="J1648" s="130"/>
      <c r="K1648" s="130"/>
      <c r="L1648" s="130"/>
      <c r="M1648" s="130"/>
      <c r="N1648" s="291"/>
      <c r="O1648" s="291"/>
      <c r="P1648" s="122"/>
      <c r="Q1648" s="122"/>
      <c r="R1648" s="122"/>
      <c r="S1648" s="122"/>
      <c r="T1648" s="122"/>
      <c r="U1648" s="301"/>
      <c r="V1648" s="260">
        <f t="shared" ca="1" si="33"/>
        <v>0</v>
      </c>
      <c r="W1648" s="348" t="str">
        <f>IF(板块成分!B1650="","",板块成分!B1650)</f>
        <v>300167.SZ</v>
      </c>
      <c r="X1648" s="276" t="str">
        <f>[1]!S_Info_Name(W1648)</f>
        <v>ST迪威迅</v>
      </c>
      <c r="Y1648" s="276" t="str">
        <f ca="1">IF($Y$3="申万一级行业",[1]!s_info_industry_sw_2021(W1648,公司分析!D$5,1),IF($Y$3="申万二级行业",[1]!s_info_industry_sw_2021(W1648,公司分析!D$5,2),IF($Y$3="申万三级行业",[1]!s_info_industry_sw_2021(W1648,公司分析!D$5,3),IF($Y$3="wind一级行业",[1]!s_info_industry_gics(W1648,1),IF($Y$3="wind二级行业",[1]!s_info_industry_gics(W1648,2),IF($Y$3="wind三级行业",[1]!s_info_industry_gics(W1648,3),IF($Y$3="wind四级行业",[1]!s_info_industry_gics(W1648,4),IF($Y$3="证监会门类行业",[1]!s_info_industry_csrc12_n(W1648,公司分析!D$5,1),""))))))))</f>
        <v>IT服务Ⅱ</v>
      </c>
      <c r="Z1648" s="302" t="str">
        <f ca="1">IF(Y1648=行业比较!$E$6,ROW(),"")</f>
        <v/>
      </c>
      <c r="AA1648" s="122"/>
      <c r="AB1648" s="122"/>
      <c r="AC1648" s="122"/>
      <c r="AD1648" s="122"/>
      <c r="AE1648" s="122"/>
      <c r="AF1648" s="122"/>
      <c r="AG1648" s="122"/>
      <c r="AH1648" s="122"/>
      <c r="AI1648" s="122"/>
      <c r="AJ1648" s="122"/>
      <c r="AK1648" s="122"/>
      <c r="AL1648" s="122"/>
      <c r="AM1648" s="122"/>
      <c r="AN1648" s="122"/>
      <c r="AO1648" s="122"/>
      <c r="AP1648" s="122"/>
    </row>
    <row r="1649" spans="2:42">
      <c r="B1649" s="122"/>
      <c r="C1649" s="122"/>
      <c r="D1649" s="122"/>
      <c r="E1649" s="122"/>
      <c r="F1649" s="122"/>
      <c r="G1649" s="122"/>
      <c r="H1649" s="122"/>
      <c r="I1649" s="275"/>
      <c r="J1649" s="130"/>
      <c r="K1649" s="130"/>
      <c r="L1649" s="130"/>
      <c r="M1649" s="130"/>
      <c r="N1649" s="291"/>
      <c r="O1649" s="291"/>
      <c r="P1649" s="122"/>
      <c r="Q1649" s="122"/>
      <c r="R1649" s="122"/>
      <c r="S1649" s="122"/>
      <c r="T1649" s="122"/>
      <c r="U1649" s="301"/>
      <c r="V1649" s="260">
        <f t="shared" ca="1" si="33"/>
        <v>0</v>
      </c>
      <c r="W1649" s="348" t="str">
        <f>IF(板块成分!B1651="","",板块成分!B1651)</f>
        <v>300168.SZ</v>
      </c>
      <c r="X1649" s="276" t="str">
        <f>[1]!S_Info_Name(W1649)</f>
        <v>万达信息</v>
      </c>
      <c r="Y1649" s="276" t="str">
        <f ca="1">IF($Y$3="申万一级行业",[1]!s_info_industry_sw_2021(W1649,公司分析!D$5,1),IF($Y$3="申万二级行业",[1]!s_info_industry_sw_2021(W1649,公司分析!D$5,2),IF($Y$3="申万三级行业",[1]!s_info_industry_sw_2021(W1649,公司分析!D$5,3),IF($Y$3="wind一级行业",[1]!s_info_industry_gics(W1649,1),IF($Y$3="wind二级行业",[1]!s_info_industry_gics(W1649,2),IF($Y$3="wind三级行业",[1]!s_info_industry_gics(W1649,3),IF($Y$3="wind四级行业",[1]!s_info_industry_gics(W1649,4),IF($Y$3="证监会门类行业",[1]!s_info_industry_csrc12_n(W1649,公司分析!D$5,1),""))))))))</f>
        <v>IT服务Ⅱ</v>
      </c>
      <c r="Z1649" s="302" t="str">
        <f ca="1">IF(Y1649=行业比较!$E$6,ROW(),"")</f>
        <v/>
      </c>
      <c r="AA1649" s="122"/>
      <c r="AB1649" s="122"/>
      <c r="AC1649" s="122"/>
      <c r="AD1649" s="122"/>
      <c r="AE1649" s="122"/>
      <c r="AF1649" s="122"/>
      <c r="AG1649" s="122"/>
      <c r="AH1649" s="122"/>
      <c r="AI1649" s="122"/>
      <c r="AJ1649" s="122"/>
      <c r="AK1649" s="122"/>
      <c r="AL1649" s="122"/>
      <c r="AM1649" s="122"/>
      <c r="AN1649" s="122"/>
      <c r="AO1649" s="122"/>
      <c r="AP1649" s="122"/>
    </row>
    <row r="1650" spans="2:42">
      <c r="B1650" s="122"/>
      <c r="C1650" s="122"/>
      <c r="D1650" s="122"/>
      <c r="E1650" s="122"/>
      <c r="F1650" s="122"/>
      <c r="G1650" s="122"/>
      <c r="H1650" s="122"/>
      <c r="I1650" s="275"/>
      <c r="J1650" s="130"/>
      <c r="K1650" s="130"/>
      <c r="L1650" s="130"/>
      <c r="M1650" s="130"/>
      <c r="N1650" s="291"/>
      <c r="O1650" s="291"/>
      <c r="P1650" s="122"/>
      <c r="Q1650" s="122"/>
      <c r="R1650" s="122"/>
      <c r="S1650" s="122"/>
      <c r="T1650" s="122"/>
      <c r="U1650" s="301"/>
      <c r="V1650" s="260">
        <f t="shared" ca="1" si="33"/>
        <v>0</v>
      </c>
      <c r="W1650" s="348" t="str">
        <f>IF(板块成分!B1652="","",板块成分!B1652)</f>
        <v>300169.SZ</v>
      </c>
      <c r="X1650" s="276" t="str">
        <f>[1]!S_Info_Name(W1650)</f>
        <v>天晟新材</v>
      </c>
      <c r="Y1650" s="276" t="str">
        <f ca="1">IF($Y$3="申万一级行业",[1]!s_info_industry_sw_2021(W1650,公司分析!D$5,1),IF($Y$3="申万二级行业",[1]!s_info_industry_sw_2021(W1650,公司分析!D$5,2),IF($Y$3="申万三级行业",[1]!s_info_industry_sw_2021(W1650,公司分析!D$5,3),IF($Y$3="wind一级行业",[1]!s_info_industry_gics(W1650,1),IF($Y$3="wind二级行业",[1]!s_info_industry_gics(W1650,2),IF($Y$3="wind三级行业",[1]!s_info_industry_gics(W1650,3),IF($Y$3="wind四级行业",[1]!s_info_industry_gics(W1650,4),IF($Y$3="证监会门类行业",[1]!s_info_industry_csrc12_n(W1650,公司分析!D$5,1),""))))))))</f>
        <v>化学制品</v>
      </c>
      <c r="Z1650" s="302" t="str">
        <f ca="1">IF(Y1650=行业比较!$E$6,ROW(),"")</f>
        <v/>
      </c>
      <c r="AA1650" s="122"/>
      <c r="AB1650" s="122"/>
      <c r="AC1650" s="122"/>
      <c r="AD1650" s="122"/>
      <c r="AE1650" s="122"/>
      <c r="AF1650" s="122"/>
      <c r="AG1650" s="122"/>
      <c r="AH1650" s="122"/>
      <c r="AI1650" s="122"/>
      <c r="AJ1650" s="122"/>
      <c r="AK1650" s="122"/>
      <c r="AL1650" s="122"/>
      <c r="AM1650" s="122"/>
      <c r="AN1650" s="122"/>
      <c r="AO1650" s="122"/>
      <c r="AP1650" s="122"/>
    </row>
    <row r="1651" spans="2:42">
      <c r="B1651" s="122"/>
      <c r="C1651" s="122"/>
      <c r="D1651" s="122"/>
      <c r="E1651" s="122"/>
      <c r="F1651" s="122"/>
      <c r="G1651" s="122"/>
      <c r="H1651" s="122"/>
      <c r="I1651" s="275"/>
      <c r="J1651" s="130"/>
      <c r="K1651" s="130"/>
      <c r="L1651" s="130"/>
      <c r="M1651" s="130"/>
      <c r="N1651" s="291"/>
      <c r="O1651" s="291"/>
      <c r="P1651" s="122"/>
      <c r="Q1651" s="122"/>
      <c r="R1651" s="122"/>
      <c r="S1651" s="122"/>
      <c r="T1651" s="122"/>
      <c r="U1651" s="301"/>
      <c r="V1651" s="260">
        <f t="shared" ca="1" si="33"/>
        <v>0</v>
      </c>
      <c r="W1651" s="348" t="str">
        <f>IF(板块成分!B1653="","",板块成分!B1653)</f>
        <v>300170.SZ</v>
      </c>
      <c r="X1651" s="276" t="str">
        <f>[1]!S_Info_Name(W1651)</f>
        <v>汉得信息</v>
      </c>
      <c r="Y1651" s="276" t="str">
        <f ca="1">IF($Y$3="申万一级行业",[1]!s_info_industry_sw_2021(W1651,公司分析!D$5,1),IF($Y$3="申万二级行业",[1]!s_info_industry_sw_2021(W1651,公司分析!D$5,2),IF($Y$3="申万三级行业",[1]!s_info_industry_sw_2021(W1651,公司分析!D$5,3),IF($Y$3="wind一级行业",[1]!s_info_industry_gics(W1651,1),IF($Y$3="wind二级行业",[1]!s_info_industry_gics(W1651,2),IF($Y$3="wind三级行业",[1]!s_info_industry_gics(W1651,3),IF($Y$3="wind四级行业",[1]!s_info_industry_gics(W1651,4),IF($Y$3="证监会门类行业",[1]!s_info_industry_csrc12_n(W1651,公司分析!D$5,1),""))))))))</f>
        <v>IT服务Ⅱ</v>
      </c>
      <c r="Z1651" s="302" t="str">
        <f ca="1">IF(Y1651=行业比较!$E$6,ROW(),"")</f>
        <v/>
      </c>
      <c r="AA1651" s="122"/>
      <c r="AB1651" s="122"/>
      <c r="AC1651" s="122"/>
      <c r="AD1651" s="122"/>
      <c r="AE1651" s="122"/>
      <c r="AF1651" s="122"/>
      <c r="AG1651" s="122"/>
      <c r="AH1651" s="122"/>
      <c r="AI1651" s="122"/>
      <c r="AJ1651" s="122"/>
      <c r="AK1651" s="122"/>
      <c r="AL1651" s="122"/>
      <c r="AM1651" s="122"/>
      <c r="AN1651" s="122"/>
      <c r="AO1651" s="122"/>
      <c r="AP1651" s="122"/>
    </row>
    <row r="1652" spans="2:42">
      <c r="B1652" s="122"/>
      <c r="C1652" s="122"/>
      <c r="D1652" s="122"/>
      <c r="E1652" s="122"/>
      <c r="F1652" s="122"/>
      <c r="G1652" s="122"/>
      <c r="H1652" s="122"/>
      <c r="I1652" s="275"/>
      <c r="J1652" s="130"/>
      <c r="K1652" s="130"/>
      <c r="L1652" s="130"/>
      <c r="M1652" s="130"/>
      <c r="N1652" s="291"/>
      <c r="O1652" s="291"/>
      <c r="P1652" s="122"/>
      <c r="Q1652" s="122"/>
      <c r="R1652" s="122"/>
      <c r="S1652" s="122"/>
      <c r="T1652" s="122"/>
      <c r="U1652" s="301"/>
      <c r="V1652" s="260">
        <f t="shared" ca="1" si="33"/>
        <v>0</v>
      </c>
      <c r="W1652" s="348" t="str">
        <f>IF(板块成分!B1654="","",板块成分!B1654)</f>
        <v>300171.SZ</v>
      </c>
      <c r="X1652" s="276" t="str">
        <f>[1]!S_Info_Name(W1652)</f>
        <v>东富龙</v>
      </c>
      <c r="Y1652" s="276" t="str">
        <f ca="1">IF($Y$3="申万一级行业",[1]!s_info_industry_sw_2021(W1652,公司分析!D$5,1),IF($Y$3="申万二级行业",[1]!s_info_industry_sw_2021(W1652,公司分析!D$5,2),IF($Y$3="申万三级行业",[1]!s_info_industry_sw_2021(W1652,公司分析!D$5,3),IF($Y$3="wind一级行业",[1]!s_info_industry_gics(W1652,1),IF($Y$3="wind二级行业",[1]!s_info_industry_gics(W1652,2),IF($Y$3="wind三级行业",[1]!s_info_industry_gics(W1652,3),IF($Y$3="wind四级行业",[1]!s_info_industry_gics(W1652,4),IF($Y$3="证监会门类行业",[1]!s_info_industry_csrc12_n(W1652,公司分析!D$5,1),""))))))))</f>
        <v>医疗器械</v>
      </c>
      <c r="Z1652" s="302" t="str">
        <f ca="1">IF(Y1652=行业比较!$E$6,ROW(),"")</f>
        <v/>
      </c>
      <c r="AA1652" s="122"/>
      <c r="AB1652" s="122"/>
      <c r="AC1652" s="122"/>
      <c r="AD1652" s="122"/>
      <c r="AE1652" s="122"/>
      <c r="AF1652" s="122"/>
      <c r="AG1652" s="122"/>
      <c r="AH1652" s="122"/>
      <c r="AI1652" s="122"/>
      <c r="AJ1652" s="122"/>
      <c r="AK1652" s="122"/>
      <c r="AL1652" s="122"/>
      <c r="AM1652" s="122"/>
      <c r="AN1652" s="122"/>
      <c r="AO1652" s="122"/>
      <c r="AP1652" s="122"/>
    </row>
    <row r="1653" spans="2:42">
      <c r="B1653" s="122"/>
      <c r="C1653" s="122"/>
      <c r="D1653" s="122"/>
      <c r="E1653" s="122"/>
      <c r="F1653" s="122"/>
      <c r="G1653" s="122"/>
      <c r="H1653" s="122"/>
      <c r="I1653" s="275"/>
      <c r="J1653" s="130"/>
      <c r="K1653" s="130"/>
      <c r="L1653" s="130"/>
      <c r="M1653" s="130"/>
      <c r="N1653" s="291"/>
      <c r="O1653" s="291"/>
      <c r="P1653" s="122"/>
      <c r="Q1653" s="122"/>
      <c r="R1653" s="122"/>
      <c r="S1653" s="122"/>
      <c r="T1653" s="122"/>
      <c r="U1653" s="301"/>
      <c r="V1653" s="260">
        <f t="shared" ca="1" si="33"/>
        <v>0</v>
      </c>
      <c r="W1653" s="348" t="str">
        <f>IF(板块成分!B1655="","",板块成分!B1655)</f>
        <v>300172.SZ</v>
      </c>
      <c r="X1653" s="276" t="str">
        <f>[1]!S_Info_Name(W1653)</f>
        <v>中电环保</v>
      </c>
      <c r="Y1653" s="276" t="str">
        <f ca="1">IF($Y$3="申万一级行业",[1]!s_info_industry_sw_2021(W1653,公司分析!D$5,1),IF($Y$3="申万二级行业",[1]!s_info_industry_sw_2021(W1653,公司分析!D$5,2),IF($Y$3="申万三级行业",[1]!s_info_industry_sw_2021(W1653,公司分析!D$5,3),IF($Y$3="wind一级行业",[1]!s_info_industry_gics(W1653,1),IF($Y$3="wind二级行业",[1]!s_info_industry_gics(W1653,2),IF($Y$3="wind三级行业",[1]!s_info_industry_gics(W1653,3),IF($Y$3="wind四级行业",[1]!s_info_industry_gics(W1653,4),IF($Y$3="证监会门类行业",[1]!s_info_industry_csrc12_n(W1653,公司分析!D$5,1),""))))))))</f>
        <v>环境治理</v>
      </c>
      <c r="Z1653" s="302" t="str">
        <f ca="1">IF(Y1653=行业比较!$E$6,ROW(),"")</f>
        <v/>
      </c>
      <c r="AA1653" s="122"/>
      <c r="AB1653" s="122"/>
      <c r="AC1653" s="122"/>
      <c r="AD1653" s="122"/>
      <c r="AE1653" s="122"/>
      <c r="AF1653" s="122"/>
      <c r="AG1653" s="122"/>
      <c r="AH1653" s="122"/>
      <c r="AI1653" s="122"/>
      <c r="AJ1653" s="122"/>
      <c r="AK1653" s="122"/>
      <c r="AL1653" s="122"/>
      <c r="AM1653" s="122"/>
      <c r="AN1653" s="122"/>
      <c r="AO1653" s="122"/>
      <c r="AP1653" s="122"/>
    </row>
    <row r="1654" spans="2:42">
      <c r="B1654" s="122"/>
      <c r="C1654" s="122"/>
      <c r="D1654" s="122"/>
      <c r="E1654" s="122"/>
      <c r="F1654" s="122"/>
      <c r="G1654" s="122"/>
      <c r="H1654" s="122"/>
      <c r="I1654" s="275"/>
      <c r="J1654" s="130"/>
      <c r="K1654" s="130"/>
      <c r="L1654" s="130"/>
      <c r="M1654" s="130"/>
      <c r="N1654" s="291"/>
      <c r="O1654" s="291"/>
      <c r="P1654" s="122"/>
      <c r="Q1654" s="122"/>
      <c r="R1654" s="122"/>
      <c r="S1654" s="122"/>
      <c r="T1654" s="122"/>
      <c r="U1654" s="301"/>
      <c r="V1654" s="260">
        <f t="shared" ca="1" si="33"/>
        <v>0</v>
      </c>
      <c r="W1654" s="348" t="str">
        <f>IF(板块成分!B1656="","",板块成分!B1656)</f>
        <v>300173.SZ</v>
      </c>
      <c r="X1654" s="276" t="str">
        <f>[1]!S_Info_Name(W1654)</f>
        <v>ST福能</v>
      </c>
      <c r="Y1654" s="276" t="str">
        <f ca="1">IF($Y$3="申万一级行业",[1]!s_info_industry_sw_2021(W1654,公司分析!D$5,1),IF($Y$3="申万二级行业",[1]!s_info_industry_sw_2021(W1654,公司分析!D$5,2),IF($Y$3="申万三级行业",[1]!s_info_industry_sw_2021(W1654,公司分析!D$5,3),IF($Y$3="wind一级行业",[1]!s_info_industry_gics(W1654,1),IF($Y$3="wind二级行业",[1]!s_info_industry_gics(W1654,2),IF($Y$3="wind三级行业",[1]!s_info_industry_gics(W1654,3),IF($Y$3="wind四级行业",[1]!s_info_industry_gics(W1654,4),IF($Y$3="证监会门类行业",[1]!s_info_industry_csrc12_n(W1654,公司分析!D$5,1),""))))))))</f>
        <v>电池</v>
      </c>
      <c r="Z1654" s="302" t="str">
        <f ca="1">IF(Y1654=行业比较!$E$6,ROW(),"")</f>
        <v/>
      </c>
      <c r="AA1654" s="122"/>
      <c r="AB1654" s="122"/>
      <c r="AC1654" s="122"/>
      <c r="AD1654" s="122"/>
      <c r="AE1654" s="122"/>
      <c r="AF1654" s="122"/>
      <c r="AG1654" s="122"/>
      <c r="AH1654" s="122"/>
      <c r="AI1654" s="122"/>
      <c r="AJ1654" s="122"/>
      <c r="AK1654" s="122"/>
      <c r="AL1654" s="122"/>
      <c r="AM1654" s="122"/>
      <c r="AN1654" s="122"/>
      <c r="AO1654" s="122"/>
      <c r="AP1654" s="122"/>
    </row>
    <row r="1655" spans="2:42">
      <c r="B1655" s="122"/>
      <c r="C1655" s="122"/>
      <c r="D1655" s="122"/>
      <c r="E1655" s="122"/>
      <c r="F1655" s="122"/>
      <c r="G1655" s="122"/>
      <c r="H1655" s="122"/>
      <c r="I1655" s="275"/>
      <c r="J1655" s="130"/>
      <c r="K1655" s="130"/>
      <c r="L1655" s="130"/>
      <c r="M1655" s="130"/>
      <c r="N1655" s="291"/>
      <c r="O1655" s="291"/>
      <c r="P1655" s="122"/>
      <c r="Q1655" s="122"/>
      <c r="R1655" s="122"/>
      <c r="S1655" s="122"/>
      <c r="T1655" s="122"/>
      <c r="U1655" s="301"/>
      <c r="V1655" s="260">
        <f t="shared" ca="1" si="33"/>
        <v>0</v>
      </c>
      <c r="W1655" s="348" t="str">
        <f>IF(板块成分!B1657="","",板块成分!B1657)</f>
        <v>300174.SZ</v>
      </c>
      <c r="X1655" s="276" t="str">
        <f>[1]!S_Info_Name(W1655)</f>
        <v>元力股份</v>
      </c>
      <c r="Y1655" s="276" t="str">
        <f ca="1">IF($Y$3="申万一级行业",[1]!s_info_industry_sw_2021(W1655,公司分析!D$5,1),IF($Y$3="申万二级行业",[1]!s_info_industry_sw_2021(W1655,公司分析!D$5,2),IF($Y$3="申万三级行业",[1]!s_info_industry_sw_2021(W1655,公司分析!D$5,3),IF($Y$3="wind一级行业",[1]!s_info_industry_gics(W1655,1),IF($Y$3="wind二级行业",[1]!s_info_industry_gics(W1655,2),IF($Y$3="wind三级行业",[1]!s_info_industry_gics(W1655,3),IF($Y$3="wind四级行业",[1]!s_info_industry_gics(W1655,4),IF($Y$3="证监会门类行业",[1]!s_info_industry_csrc12_n(W1655,公司分析!D$5,1),""))))))))</f>
        <v>化学制品</v>
      </c>
      <c r="Z1655" s="302" t="str">
        <f ca="1">IF(Y1655=行业比较!$E$6,ROW(),"")</f>
        <v/>
      </c>
      <c r="AA1655" s="122"/>
      <c r="AB1655" s="122"/>
      <c r="AC1655" s="122"/>
      <c r="AD1655" s="122"/>
      <c r="AE1655" s="122"/>
      <c r="AF1655" s="122"/>
      <c r="AG1655" s="122"/>
      <c r="AH1655" s="122"/>
      <c r="AI1655" s="122"/>
      <c r="AJ1655" s="122"/>
      <c r="AK1655" s="122"/>
      <c r="AL1655" s="122"/>
      <c r="AM1655" s="122"/>
      <c r="AN1655" s="122"/>
      <c r="AO1655" s="122"/>
      <c r="AP1655" s="122"/>
    </row>
    <row r="1656" spans="2:42">
      <c r="B1656" s="122"/>
      <c r="C1656" s="122"/>
      <c r="D1656" s="122"/>
      <c r="E1656" s="122"/>
      <c r="F1656" s="122"/>
      <c r="G1656" s="122"/>
      <c r="H1656" s="122"/>
      <c r="I1656" s="275"/>
      <c r="J1656" s="130"/>
      <c r="K1656" s="130"/>
      <c r="L1656" s="130"/>
      <c r="M1656" s="130"/>
      <c r="N1656" s="291"/>
      <c r="O1656" s="291"/>
      <c r="P1656" s="122"/>
      <c r="Q1656" s="122"/>
      <c r="R1656" s="122"/>
      <c r="S1656" s="122"/>
      <c r="T1656" s="122"/>
      <c r="U1656" s="301"/>
      <c r="V1656" s="260">
        <f t="shared" ca="1" si="33"/>
        <v>0</v>
      </c>
      <c r="W1656" s="348" t="str">
        <f>IF(板块成分!B1658="","",板块成分!B1658)</f>
        <v>300175.SZ</v>
      </c>
      <c r="X1656" s="276" t="str">
        <f>[1]!S_Info_Name(W1656)</f>
        <v>ST朗源</v>
      </c>
      <c r="Y1656" s="276" t="str">
        <f ca="1">IF($Y$3="申万一级行业",[1]!s_info_industry_sw_2021(W1656,公司分析!D$5,1),IF($Y$3="申万二级行业",[1]!s_info_industry_sw_2021(W1656,公司分析!D$5,2),IF($Y$3="申万三级行业",[1]!s_info_industry_sw_2021(W1656,公司分析!D$5,3),IF($Y$3="wind一级行业",[1]!s_info_industry_gics(W1656,1),IF($Y$3="wind二级行业",[1]!s_info_industry_gics(W1656,2),IF($Y$3="wind三级行业",[1]!s_info_industry_gics(W1656,3),IF($Y$3="wind四级行业",[1]!s_info_industry_gics(W1656,4),IF($Y$3="证监会门类行业",[1]!s_info_industry_csrc12_n(W1656,公司分析!D$5,1),""))))))))</f>
        <v>农产品加工</v>
      </c>
      <c r="Z1656" s="302" t="str">
        <f ca="1">IF(Y1656=行业比较!$E$6,ROW(),"")</f>
        <v/>
      </c>
      <c r="AA1656" s="122"/>
      <c r="AB1656" s="122"/>
      <c r="AC1656" s="122"/>
      <c r="AD1656" s="122"/>
      <c r="AE1656" s="122"/>
      <c r="AF1656" s="122"/>
      <c r="AG1656" s="122"/>
      <c r="AH1656" s="122"/>
      <c r="AI1656" s="122"/>
      <c r="AJ1656" s="122"/>
      <c r="AK1656" s="122"/>
      <c r="AL1656" s="122"/>
      <c r="AM1656" s="122"/>
      <c r="AN1656" s="122"/>
      <c r="AO1656" s="122"/>
      <c r="AP1656" s="122"/>
    </row>
    <row r="1657" spans="2:42">
      <c r="B1657" s="122"/>
      <c r="C1657" s="122"/>
      <c r="D1657" s="122"/>
      <c r="E1657" s="122"/>
      <c r="F1657" s="122"/>
      <c r="G1657" s="122"/>
      <c r="H1657" s="122"/>
      <c r="I1657" s="275"/>
      <c r="J1657" s="130"/>
      <c r="K1657" s="130"/>
      <c r="L1657" s="130"/>
      <c r="M1657" s="130"/>
      <c r="N1657" s="291"/>
      <c r="O1657" s="291"/>
      <c r="P1657" s="122"/>
      <c r="Q1657" s="122"/>
      <c r="R1657" s="122"/>
      <c r="S1657" s="122"/>
      <c r="T1657" s="122"/>
      <c r="U1657" s="301"/>
      <c r="V1657" s="260">
        <f t="shared" ca="1" si="33"/>
        <v>0</v>
      </c>
      <c r="W1657" s="348" t="str">
        <f>IF(板块成分!B1659="","",板块成分!B1659)</f>
        <v>300176.SZ</v>
      </c>
      <c r="X1657" s="276" t="str">
        <f>[1]!S_Info_Name(W1657)</f>
        <v>鸿特科技</v>
      </c>
      <c r="Y1657" s="276" t="str">
        <f ca="1">IF($Y$3="申万一级行业",[1]!s_info_industry_sw_2021(W1657,公司分析!D$5,1),IF($Y$3="申万二级行业",[1]!s_info_industry_sw_2021(W1657,公司分析!D$5,2),IF($Y$3="申万三级行业",[1]!s_info_industry_sw_2021(W1657,公司分析!D$5,3),IF($Y$3="wind一级行业",[1]!s_info_industry_gics(W1657,1),IF($Y$3="wind二级行业",[1]!s_info_industry_gics(W1657,2),IF($Y$3="wind三级行业",[1]!s_info_industry_gics(W1657,3),IF($Y$3="wind四级行业",[1]!s_info_industry_gics(W1657,4),IF($Y$3="证监会门类行业",[1]!s_info_industry_csrc12_n(W1657,公司分析!D$5,1),""))))))))</f>
        <v>汽车零部件</v>
      </c>
      <c r="Z1657" s="302" t="str">
        <f ca="1">IF(Y1657=行业比较!$E$6,ROW(),"")</f>
        <v/>
      </c>
      <c r="AA1657" s="122"/>
      <c r="AB1657" s="122"/>
      <c r="AC1657" s="122"/>
      <c r="AD1657" s="122"/>
      <c r="AE1657" s="122"/>
      <c r="AF1657" s="122"/>
      <c r="AG1657" s="122"/>
      <c r="AH1657" s="122"/>
      <c r="AI1657" s="122"/>
      <c r="AJ1657" s="122"/>
      <c r="AK1657" s="122"/>
      <c r="AL1657" s="122"/>
      <c r="AM1657" s="122"/>
      <c r="AN1657" s="122"/>
      <c r="AO1657" s="122"/>
      <c r="AP1657" s="122"/>
    </row>
    <row r="1658" spans="2:42">
      <c r="B1658" s="122"/>
      <c r="C1658" s="122"/>
      <c r="D1658" s="122"/>
      <c r="E1658" s="122"/>
      <c r="F1658" s="122"/>
      <c r="G1658" s="122"/>
      <c r="H1658" s="122"/>
      <c r="I1658" s="275"/>
      <c r="J1658" s="130"/>
      <c r="K1658" s="130"/>
      <c r="L1658" s="130"/>
      <c r="M1658" s="130"/>
      <c r="N1658" s="291"/>
      <c r="O1658" s="291"/>
      <c r="P1658" s="122"/>
      <c r="Q1658" s="122"/>
      <c r="R1658" s="122"/>
      <c r="S1658" s="122"/>
      <c r="T1658" s="122"/>
      <c r="U1658" s="301"/>
      <c r="V1658" s="260">
        <f t="shared" ca="1" si="33"/>
        <v>0</v>
      </c>
      <c r="W1658" s="348" t="str">
        <f>IF(板块成分!B1660="","",板块成分!B1660)</f>
        <v>300177.SZ</v>
      </c>
      <c r="X1658" s="276" t="str">
        <f>[1]!S_Info_Name(W1658)</f>
        <v>中海达</v>
      </c>
      <c r="Y1658" s="276" t="str">
        <f ca="1">IF($Y$3="申万一级行业",[1]!s_info_industry_sw_2021(W1658,公司分析!D$5,1),IF($Y$3="申万二级行业",[1]!s_info_industry_sw_2021(W1658,公司分析!D$5,2),IF($Y$3="申万三级行业",[1]!s_info_industry_sw_2021(W1658,公司分析!D$5,3),IF($Y$3="wind一级行业",[1]!s_info_industry_gics(W1658,1),IF($Y$3="wind二级行业",[1]!s_info_industry_gics(W1658,2),IF($Y$3="wind三级行业",[1]!s_info_industry_gics(W1658,3),IF($Y$3="wind四级行业",[1]!s_info_industry_gics(W1658,4),IF($Y$3="证监会门类行业",[1]!s_info_industry_csrc12_n(W1658,公司分析!D$5,1),""))))))))</f>
        <v>军工电子Ⅱ</v>
      </c>
      <c r="Z1658" s="302" t="str">
        <f ca="1">IF(Y1658=行业比较!$E$6,ROW(),"")</f>
        <v/>
      </c>
      <c r="AA1658" s="122"/>
      <c r="AB1658" s="122"/>
      <c r="AC1658" s="122"/>
      <c r="AD1658" s="122"/>
      <c r="AE1658" s="122"/>
      <c r="AF1658" s="122"/>
      <c r="AG1658" s="122"/>
      <c r="AH1658" s="122"/>
      <c r="AI1658" s="122"/>
      <c r="AJ1658" s="122"/>
      <c r="AK1658" s="122"/>
      <c r="AL1658" s="122"/>
      <c r="AM1658" s="122"/>
      <c r="AN1658" s="122"/>
      <c r="AO1658" s="122"/>
      <c r="AP1658" s="122"/>
    </row>
    <row r="1659" spans="2:42">
      <c r="B1659" s="122"/>
      <c r="C1659" s="122"/>
      <c r="D1659" s="122"/>
      <c r="E1659" s="122"/>
      <c r="F1659" s="122"/>
      <c r="G1659" s="122"/>
      <c r="H1659" s="122"/>
      <c r="I1659" s="275"/>
      <c r="J1659" s="130"/>
      <c r="K1659" s="130"/>
      <c r="L1659" s="130"/>
      <c r="M1659" s="130"/>
      <c r="N1659" s="291"/>
      <c r="O1659" s="291"/>
      <c r="P1659" s="122"/>
      <c r="Q1659" s="122"/>
      <c r="R1659" s="122"/>
      <c r="S1659" s="122"/>
      <c r="T1659" s="122"/>
      <c r="U1659" s="301"/>
      <c r="V1659" s="260">
        <f t="shared" ca="1" si="33"/>
        <v>0</v>
      </c>
      <c r="W1659" s="348" t="str">
        <f>IF(板块成分!B1661="","",板块成分!B1661)</f>
        <v>300179.SZ</v>
      </c>
      <c r="X1659" s="276" t="str">
        <f>[1]!S_Info_Name(W1659)</f>
        <v>四方达</v>
      </c>
      <c r="Y1659" s="276" t="str">
        <f ca="1">IF($Y$3="申万一级行业",[1]!s_info_industry_sw_2021(W1659,公司分析!D$5,1),IF($Y$3="申万二级行业",[1]!s_info_industry_sw_2021(W1659,公司分析!D$5,2),IF($Y$3="申万三级行业",[1]!s_info_industry_sw_2021(W1659,公司分析!D$5,3),IF($Y$3="wind一级行业",[1]!s_info_industry_gics(W1659,1),IF($Y$3="wind二级行业",[1]!s_info_industry_gics(W1659,2),IF($Y$3="wind三级行业",[1]!s_info_industry_gics(W1659,3),IF($Y$3="wind四级行业",[1]!s_info_industry_gics(W1659,4),IF($Y$3="证监会门类行业",[1]!s_info_industry_csrc12_n(W1659,公司分析!D$5,1),""))))))))</f>
        <v>通用设备</v>
      </c>
      <c r="Z1659" s="302" t="str">
        <f ca="1">IF(Y1659=行业比较!$E$6,ROW(),"")</f>
        <v/>
      </c>
      <c r="AA1659" s="122"/>
      <c r="AB1659" s="122"/>
      <c r="AC1659" s="122"/>
      <c r="AD1659" s="122"/>
      <c r="AE1659" s="122"/>
      <c r="AF1659" s="122"/>
      <c r="AG1659" s="122"/>
      <c r="AH1659" s="122"/>
      <c r="AI1659" s="122"/>
      <c r="AJ1659" s="122"/>
      <c r="AK1659" s="122"/>
      <c r="AL1659" s="122"/>
      <c r="AM1659" s="122"/>
      <c r="AN1659" s="122"/>
      <c r="AO1659" s="122"/>
      <c r="AP1659" s="122"/>
    </row>
    <row r="1660" spans="2:42">
      <c r="B1660" s="122"/>
      <c r="C1660" s="122"/>
      <c r="D1660" s="122"/>
      <c r="E1660" s="122"/>
      <c r="F1660" s="122"/>
      <c r="G1660" s="122"/>
      <c r="H1660" s="122"/>
      <c r="I1660" s="275"/>
      <c r="J1660" s="130"/>
      <c r="K1660" s="130"/>
      <c r="L1660" s="130"/>
      <c r="M1660" s="130"/>
      <c r="N1660" s="291"/>
      <c r="O1660" s="291"/>
      <c r="P1660" s="122"/>
      <c r="Q1660" s="122"/>
      <c r="R1660" s="122"/>
      <c r="S1660" s="122"/>
      <c r="T1660" s="122"/>
      <c r="U1660" s="301"/>
      <c r="V1660" s="260">
        <f t="shared" ca="1" si="33"/>
        <v>0</v>
      </c>
      <c r="W1660" s="348" t="str">
        <f>IF(板块成分!B1662="","",板块成分!B1662)</f>
        <v>300180.SZ</v>
      </c>
      <c r="X1660" s="276" t="str">
        <f>[1]!S_Info_Name(W1660)</f>
        <v>华峰超纤</v>
      </c>
      <c r="Y1660" s="276" t="str">
        <f ca="1">IF($Y$3="申万一级行业",[1]!s_info_industry_sw_2021(W1660,公司分析!D$5,1),IF($Y$3="申万二级行业",[1]!s_info_industry_sw_2021(W1660,公司分析!D$5,2),IF($Y$3="申万三级行业",[1]!s_info_industry_sw_2021(W1660,公司分析!D$5,3),IF($Y$3="wind一级行业",[1]!s_info_industry_gics(W1660,1),IF($Y$3="wind二级行业",[1]!s_info_industry_gics(W1660,2),IF($Y$3="wind三级行业",[1]!s_info_industry_gics(W1660,3),IF($Y$3="wind四级行业",[1]!s_info_industry_gics(W1660,4),IF($Y$3="证监会门类行业",[1]!s_info_industry_csrc12_n(W1660,公司分析!D$5,1),""))))))))</f>
        <v>塑料</v>
      </c>
      <c r="Z1660" s="302" t="str">
        <f ca="1">IF(Y1660=行业比较!$E$6,ROW(),"")</f>
        <v/>
      </c>
      <c r="AA1660" s="122"/>
      <c r="AB1660" s="122"/>
      <c r="AC1660" s="122"/>
      <c r="AD1660" s="122"/>
      <c r="AE1660" s="122"/>
      <c r="AF1660" s="122"/>
      <c r="AG1660" s="122"/>
      <c r="AH1660" s="122"/>
      <c r="AI1660" s="122"/>
      <c r="AJ1660" s="122"/>
      <c r="AK1660" s="122"/>
      <c r="AL1660" s="122"/>
      <c r="AM1660" s="122"/>
      <c r="AN1660" s="122"/>
      <c r="AO1660" s="122"/>
      <c r="AP1660" s="122"/>
    </row>
    <row r="1661" spans="2:42">
      <c r="B1661" s="122"/>
      <c r="C1661" s="122"/>
      <c r="D1661" s="122"/>
      <c r="E1661" s="122"/>
      <c r="F1661" s="122"/>
      <c r="G1661" s="122"/>
      <c r="H1661" s="122"/>
      <c r="I1661" s="275"/>
      <c r="J1661" s="130"/>
      <c r="K1661" s="130"/>
      <c r="L1661" s="130"/>
      <c r="M1661" s="130"/>
      <c r="N1661" s="291"/>
      <c r="O1661" s="291"/>
      <c r="P1661" s="122"/>
      <c r="Q1661" s="122"/>
      <c r="R1661" s="122"/>
      <c r="S1661" s="122"/>
      <c r="T1661" s="122"/>
      <c r="U1661" s="301"/>
      <c r="V1661" s="260">
        <f t="shared" ca="1" si="33"/>
        <v>0</v>
      </c>
      <c r="W1661" s="348" t="str">
        <f>IF(板块成分!B1663="","",板块成分!B1663)</f>
        <v>300181.SZ</v>
      </c>
      <c r="X1661" s="276" t="str">
        <f>[1]!S_Info_Name(W1661)</f>
        <v>佐力药业</v>
      </c>
      <c r="Y1661" s="276" t="str">
        <f ca="1">IF($Y$3="申万一级行业",[1]!s_info_industry_sw_2021(W1661,公司分析!D$5,1),IF($Y$3="申万二级行业",[1]!s_info_industry_sw_2021(W1661,公司分析!D$5,2),IF($Y$3="申万三级行业",[1]!s_info_industry_sw_2021(W1661,公司分析!D$5,3),IF($Y$3="wind一级行业",[1]!s_info_industry_gics(W1661,1),IF($Y$3="wind二级行业",[1]!s_info_industry_gics(W1661,2),IF($Y$3="wind三级行业",[1]!s_info_industry_gics(W1661,3),IF($Y$3="wind四级行业",[1]!s_info_industry_gics(W1661,4),IF($Y$3="证监会门类行业",[1]!s_info_industry_csrc12_n(W1661,公司分析!D$5,1),""))))))))</f>
        <v>中药Ⅱ</v>
      </c>
      <c r="Z1661" s="302" t="str">
        <f ca="1">IF(Y1661=行业比较!$E$6,ROW(),"")</f>
        <v/>
      </c>
      <c r="AA1661" s="122"/>
      <c r="AB1661" s="122"/>
      <c r="AC1661" s="122"/>
      <c r="AD1661" s="122"/>
      <c r="AE1661" s="122"/>
      <c r="AF1661" s="122"/>
      <c r="AG1661" s="122"/>
      <c r="AH1661" s="122"/>
      <c r="AI1661" s="122"/>
      <c r="AJ1661" s="122"/>
      <c r="AK1661" s="122"/>
      <c r="AL1661" s="122"/>
      <c r="AM1661" s="122"/>
      <c r="AN1661" s="122"/>
      <c r="AO1661" s="122"/>
      <c r="AP1661" s="122"/>
    </row>
    <row r="1662" spans="2:42">
      <c r="B1662" s="122"/>
      <c r="C1662" s="122"/>
      <c r="D1662" s="122"/>
      <c r="E1662" s="122"/>
      <c r="F1662" s="122"/>
      <c r="G1662" s="122"/>
      <c r="H1662" s="122"/>
      <c r="I1662" s="275"/>
      <c r="J1662" s="130"/>
      <c r="K1662" s="130"/>
      <c r="L1662" s="130"/>
      <c r="M1662" s="130"/>
      <c r="N1662" s="291"/>
      <c r="O1662" s="291"/>
      <c r="P1662" s="122"/>
      <c r="Q1662" s="122"/>
      <c r="R1662" s="122"/>
      <c r="S1662" s="122"/>
      <c r="T1662" s="122"/>
      <c r="U1662" s="301"/>
      <c r="V1662" s="260">
        <f t="shared" ca="1" si="33"/>
        <v>0</v>
      </c>
      <c r="W1662" s="348" t="str">
        <f>IF(板块成分!B1664="","",板块成分!B1664)</f>
        <v>300182.SZ</v>
      </c>
      <c r="X1662" s="276" t="str">
        <f>[1]!S_Info_Name(W1662)</f>
        <v>捷成股份</v>
      </c>
      <c r="Y1662" s="276" t="str">
        <f ca="1">IF($Y$3="申万一级行业",[1]!s_info_industry_sw_2021(W1662,公司分析!D$5,1),IF($Y$3="申万二级行业",[1]!s_info_industry_sw_2021(W1662,公司分析!D$5,2),IF($Y$3="申万三级行业",[1]!s_info_industry_sw_2021(W1662,公司分析!D$5,3),IF($Y$3="wind一级行业",[1]!s_info_industry_gics(W1662,1),IF($Y$3="wind二级行业",[1]!s_info_industry_gics(W1662,2),IF($Y$3="wind三级行业",[1]!s_info_industry_gics(W1662,3),IF($Y$3="wind四级行业",[1]!s_info_industry_gics(W1662,4),IF($Y$3="证监会门类行业",[1]!s_info_industry_csrc12_n(W1662,公司分析!D$5,1),""))))))))</f>
        <v>影视院线</v>
      </c>
      <c r="Z1662" s="302" t="str">
        <f ca="1">IF(Y1662=行业比较!$E$6,ROW(),"")</f>
        <v/>
      </c>
      <c r="AA1662" s="122"/>
      <c r="AB1662" s="122"/>
      <c r="AC1662" s="122"/>
      <c r="AD1662" s="122"/>
      <c r="AE1662" s="122"/>
      <c r="AF1662" s="122"/>
      <c r="AG1662" s="122"/>
      <c r="AH1662" s="122"/>
      <c r="AI1662" s="122"/>
      <c r="AJ1662" s="122"/>
      <c r="AK1662" s="122"/>
      <c r="AL1662" s="122"/>
      <c r="AM1662" s="122"/>
      <c r="AN1662" s="122"/>
      <c r="AO1662" s="122"/>
      <c r="AP1662" s="122"/>
    </row>
    <row r="1663" spans="2:42">
      <c r="B1663" s="122"/>
      <c r="C1663" s="122"/>
      <c r="D1663" s="122"/>
      <c r="E1663" s="122"/>
      <c r="F1663" s="122"/>
      <c r="G1663" s="122"/>
      <c r="H1663" s="122"/>
      <c r="I1663" s="275"/>
      <c r="J1663" s="130"/>
      <c r="K1663" s="130"/>
      <c r="L1663" s="130"/>
      <c r="M1663" s="130"/>
      <c r="N1663" s="291"/>
      <c r="O1663" s="291"/>
      <c r="P1663" s="122"/>
      <c r="Q1663" s="122"/>
      <c r="R1663" s="122"/>
      <c r="S1663" s="122"/>
      <c r="T1663" s="122"/>
      <c r="U1663" s="301"/>
      <c r="V1663" s="260">
        <f t="shared" ca="1" si="33"/>
        <v>0</v>
      </c>
      <c r="W1663" s="348" t="str">
        <f>IF(板块成分!B1665="","",板块成分!B1665)</f>
        <v>300183.SZ</v>
      </c>
      <c r="X1663" s="276" t="str">
        <f>[1]!S_Info_Name(W1663)</f>
        <v>东软载波</v>
      </c>
      <c r="Y1663" s="276" t="str">
        <f ca="1">IF($Y$3="申万一级行业",[1]!s_info_industry_sw_2021(W1663,公司分析!D$5,1),IF($Y$3="申万二级行业",[1]!s_info_industry_sw_2021(W1663,公司分析!D$5,2),IF($Y$3="申万三级行业",[1]!s_info_industry_sw_2021(W1663,公司分析!D$5,3),IF($Y$3="wind一级行业",[1]!s_info_industry_gics(W1663,1),IF($Y$3="wind二级行业",[1]!s_info_industry_gics(W1663,2),IF($Y$3="wind三级行业",[1]!s_info_industry_gics(W1663,3),IF($Y$3="wind四级行业",[1]!s_info_industry_gics(W1663,4),IF($Y$3="证监会门类行业",[1]!s_info_industry_csrc12_n(W1663,公司分析!D$5,1),""))))))))</f>
        <v>通信设备</v>
      </c>
      <c r="Z1663" s="302" t="str">
        <f ca="1">IF(Y1663=行业比较!$E$6,ROW(),"")</f>
        <v/>
      </c>
      <c r="AA1663" s="122"/>
      <c r="AB1663" s="122"/>
      <c r="AC1663" s="122"/>
      <c r="AD1663" s="122"/>
      <c r="AE1663" s="122"/>
      <c r="AF1663" s="122"/>
      <c r="AG1663" s="122"/>
      <c r="AH1663" s="122"/>
      <c r="AI1663" s="122"/>
      <c r="AJ1663" s="122"/>
      <c r="AK1663" s="122"/>
      <c r="AL1663" s="122"/>
      <c r="AM1663" s="122"/>
      <c r="AN1663" s="122"/>
      <c r="AO1663" s="122"/>
      <c r="AP1663" s="122"/>
    </row>
    <row r="1664" spans="2:42">
      <c r="B1664" s="122"/>
      <c r="C1664" s="122"/>
      <c r="D1664" s="122"/>
      <c r="E1664" s="122"/>
      <c r="F1664" s="122"/>
      <c r="G1664" s="122"/>
      <c r="H1664" s="122"/>
      <c r="I1664" s="275"/>
      <c r="J1664" s="130"/>
      <c r="K1664" s="130"/>
      <c r="L1664" s="130"/>
      <c r="M1664" s="130"/>
      <c r="N1664" s="291"/>
      <c r="O1664" s="291"/>
      <c r="P1664" s="122"/>
      <c r="Q1664" s="122"/>
      <c r="R1664" s="122"/>
      <c r="S1664" s="122"/>
      <c r="T1664" s="122"/>
      <c r="U1664" s="301"/>
      <c r="V1664" s="260">
        <f t="shared" ca="1" si="33"/>
        <v>0</v>
      </c>
      <c r="W1664" s="348" t="str">
        <f>IF(板块成分!B1666="","",板块成分!B1666)</f>
        <v>300184.SZ</v>
      </c>
      <c r="X1664" s="276" t="str">
        <f>[1]!S_Info_Name(W1664)</f>
        <v>力源信息</v>
      </c>
      <c r="Y1664" s="276" t="str">
        <f ca="1">IF($Y$3="申万一级行业",[1]!s_info_industry_sw_2021(W1664,公司分析!D$5,1),IF($Y$3="申万二级行业",[1]!s_info_industry_sw_2021(W1664,公司分析!D$5,2),IF($Y$3="申万三级行业",[1]!s_info_industry_sw_2021(W1664,公司分析!D$5,3),IF($Y$3="wind一级行业",[1]!s_info_industry_gics(W1664,1),IF($Y$3="wind二级行业",[1]!s_info_industry_gics(W1664,2),IF($Y$3="wind三级行业",[1]!s_info_industry_gics(W1664,3),IF($Y$3="wind四级行业",[1]!s_info_industry_gics(W1664,4),IF($Y$3="证监会门类行业",[1]!s_info_industry_csrc12_n(W1664,公司分析!D$5,1),""))))))))</f>
        <v>其他电子Ⅱ</v>
      </c>
      <c r="Z1664" s="302" t="str">
        <f ca="1">IF(Y1664=行业比较!$E$6,ROW(),"")</f>
        <v/>
      </c>
      <c r="AA1664" s="122"/>
      <c r="AB1664" s="122"/>
      <c r="AC1664" s="122"/>
      <c r="AD1664" s="122"/>
      <c r="AE1664" s="122"/>
      <c r="AF1664" s="122"/>
      <c r="AG1664" s="122"/>
      <c r="AH1664" s="122"/>
      <c r="AI1664" s="122"/>
      <c r="AJ1664" s="122"/>
      <c r="AK1664" s="122"/>
      <c r="AL1664" s="122"/>
      <c r="AM1664" s="122"/>
      <c r="AN1664" s="122"/>
      <c r="AO1664" s="122"/>
      <c r="AP1664" s="122"/>
    </row>
    <row r="1665" spans="2:42">
      <c r="B1665" s="122"/>
      <c r="C1665" s="122"/>
      <c r="D1665" s="122"/>
      <c r="E1665" s="122"/>
      <c r="F1665" s="122"/>
      <c r="G1665" s="122"/>
      <c r="H1665" s="122"/>
      <c r="I1665" s="275"/>
      <c r="J1665" s="130"/>
      <c r="K1665" s="130"/>
      <c r="L1665" s="130"/>
      <c r="M1665" s="130"/>
      <c r="N1665" s="291"/>
      <c r="O1665" s="291"/>
      <c r="P1665" s="122"/>
      <c r="Q1665" s="122"/>
      <c r="R1665" s="122"/>
      <c r="S1665" s="122"/>
      <c r="T1665" s="122"/>
      <c r="U1665" s="301"/>
      <c r="V1665" s="260">
        <f t="shared" ca="1" si="33"/>
        <v>0</v>
      </c>
      <c r="W1665" s="348" t="str">
        <f>IF(板块成分!B1667="","",板块成分!B1667)</f>
        <v>300185.SZ</v>
      </c>
      <c r="X1665" s="276" t="str">
        <f>[1]!S_Info_Name(W1665)</f>
        <v>通裕重工</v>
      </c>
      <c r="Y1665" s="276" t="str">
        <f ca="1">IF($Y$3="申万一级行业",[1]!s_info_industry_sw_2021(W1665,公司分析!D$5,1),IF($Y$3="申万二级行业",[1]!s_info_industry_sw_2021(W1665,公司分析!D$5,2),IF($Y$3="申万三级行业",[1]!s_info_industry_sw_2021(W1665,公司分析!D$5,3),IF($Y$3="wind一级行业",[1]!s_info_industry_gics(W1665,1),IF($Y$3="wind二级行业",[1]!s_info_industry_gics(W1665,2),IF($Y$3="wind三级行业",[1]!s_info_industry_gics(W1665,3),IF($Y$3="wind四级行业",[1]!s_info_industry_gics(W1665,4),IF($Y$3="证监会门类行业",[1]!s_info_industry_csrc12_n(W1665,公司分析!D$5,1),""))))))))</f>
        <v>风电设备</v>
      </c>
      <c r="Z1665" s="302" t="str">
        <f ca="1">IF(Y1665=行业比较!$E$6,ROW(),"")</f>
        <v/>
      </c>
      <c r="AA1665" s="122"/>
      <c r="AB1665" s="122"/>
      <c r="AC1665" s="122"/>
      <c r="AD1665" s="122"/>
      <c r="AE1665" s="122"/>
      <c r="AF1665" s="122"/>
      <c r="AG1665" s="122"/>
      <c r="AH1665" s="122"/>
      <c r="AI1665" s="122"/>
      <c r="AJ1665" s="122"/>
      <c r="AK1665" s="122"/>
      <c r="AL1665" s="122"/>
      <c r="AM1665" s="122"/>
      <c r="AN1665" s="122"/>
      <c r="AO1665" s="122"/>
      <c r="AP1665" s="122"/>
    </row>
    <row r="1666" spans="2:42">
      <c r="B1666" s="122"/>
      <c r="C1666" s="122"/>
      <c r="D1666" s="122"/>
      <c r="E1666" s="122"/>
      <c r="F1666" s="122"/>
      <c r="G1666" s="122"/>
      <c r="H1666" s="122"/>
      <c r="I1666" s="275"/>
      <c r="J1666" s="130"/>
      <c r="K1666" s="130"/>
      <c r="L1666" s="130"/>
      <c r="M1666" s="130"/>
      <c r="N1666" s="291"/>
      <c r="O1666" s="291"/>
      <c r="P1666" s="122"/>
      <c r="Q1666" s="122"/>
      <c r="R1666" s="122"/>
      <c r="S1666" s="122"/>
      <c r="T1666" s="122"/>
      <c r="U1666" s="301"/>
      <c r="V1666" s="260">
        <f t="shared" ca="1" si="33"/>
        <v>0</v>
      </c>
      <c r="W1666" s="348" t="str">
        <f>IF(板块成分!B1668="","",板块成分!B1668)</f>
        <v>300187.SZ</v>
      </c>
      <c r="X1666" s="276" t="str">
        <f>[1]!S_Info_Name(W1666)</f>
        <v>永清环保</v>
      </c>
      <c r="Y1666" s="276" t="str">
        <f ca="1">IF($Y$3="申万一级行业",[1]!s_info_industry_sw_2021(W1666,公司分析!D$5,1),IF($Y$3="申万二级行业",[1]!s_info_industry_sw_2021(W1666,公司分析!D$5,2),IF($Y$3="申万三级行业",[1]!s_info_industry_sw_2021(W1666,公司分析!D$5,3),IF($Y$3="wind一级行业",[1]!s_info_industry_gics(W1666,1),IF($Y$3="wind二级行业",[1]!s_info_industry_gics(W1666,2),IF($Y$3="wind三级行业",[1]!s_info_industry_gics(W1666,3),IF($Y$3="wind四级行业",[1]!s_info_industry_gics(W1666,4),IF($Y$3="证监会门类行业",[1]!s_info_industry_csrc12_n(W1666,公司分析!D$5,1),""))))))))</f>
        <v>环境治理</v>
      </c>
      <c r="Z1666" s="302" t="str">
        <f ca="1">IF(Y1666=行业比较!$E$6,ROW(),"")</f>
        <v/>
      </c>
      <c r="AA1666" s="122"/>
      <c r="AB1666" s="122"/>
      <c r="AC1666" s="122"/>
      <c r="AD1666" s="122"/>
      <c r="AE1666" s="122"/>
      <c r="AF1666" s="122"/>
      <c r="AG1666" s="122"/>
      <c r="AH1666" s="122"/>
      <c r="AI1666" s="122"/>
      <c r="AJ1666" s="122"/>
      <c r="AK1666" s="122"/>
      <c r="AL1666" s="122"/>
      <c r="AM1666" s="122"/>
      <c r="AN1666" s="122"/>
      <c r="AO1666" s="122"/>
      <c r="AP1666" s="122"/>
    </row>
    <row r="1667" spans="2:42">
      <c r="B1667" s="122"/>
      <c r="C1667" s="122"/>
      <c r="D1667" s="122"/>
      <c r="E1667" s="122"/>
      <c r="F1667" s="122"/>
      <c r="G1667" s="122"/>
      <c r="H1667" s="122"/>
      <c r="I1667" s="275"/>
      <c r="J1667" s="130"/>
      <c r="K1667" s="130"/>
      <c r="L1667" s="130"/>
      <c r="M1667" s="130"/>
      <c r="N1667" s="291"/>
      <c r="O1667" s="291"/>
      <c r="P1667" s="122"/>
      <c r="Q1667" s="122"/>
      <c r="R1667" s="122"/>
      <c r="S1667" s="122"/>
      <c r="T1667" s="122"/>
      <c r="U1667" s="301"/>
      <c r="V1667" s="260">
        <f t="shared" ca="1" si="33"/>
        <v>0</v>
      </c>
      <c r="W1667" s="348" t="str">
        <f>IF(板块成分!B1669="","",板块成分!B1669)</f>
        <v>300188.SZ</v>
      </c>
      <c r="X1667" s="276" t="str">
        <f>[1]!S_Info_Name(W1667)</f>
        <v>国投智能</v>
      </c>
      <c r="Y1667" s="276" t="str">
        <f ca="1">IF($Y$3="申万一级行业",[1]!s_info_industry_sw_2021(W1667,公司分析!D$5,1),IF($Y$3="申万二级行业",[1]!s_info_industry_sw_2021(W1667,公司分析!D$5,2),IF($Y$3="申万三级行业",[1]!s_info_industry_sw_2021(W1667,公司分析!D$5,3),IF($Y$3="wind一级行业",[1]!s_info_industry_gics(W1667,1),IF($Y$3="wind二级行业",[1]!s_info_industry_gics(W1667,2),IF($Y$3="wind三级行业",[1]!s_info_industry_gics(W1667,3),IF($Y$3="wind四级行业",[1]!s_info_industry_gics(W1667,4),IF($Y$3="证监会门类行业",[1]!s_info_industry_csrc12_n(W1667,公司分析!D$5,1),""))))))))</f>
        <v>软件开发</v>
      </c>
      <c r="Z1667" s="302" t="str">
        <f ca="1">IF(Y1667=行业比较!$E$6,ROW(),"")</f>
        <v/>
      </c>
      <c r="AA1667" s="122"/>
      <c r="AB1667" s="122"/>
      <c r="AC1667" s="122"/>
      <c r="AD1667" s="122"/>
      <c r="AE1667" s="122"/>
      <c r="AF1667" s="122"/>
      <c r="AG1667" s="122"/>
      <c r="AH1667" s="122"/>
      <c r="AI1667" s="122"/>
      <c r="AJ1667" s="122"/>
      <c r="AK1667" s="122"/>
      <c r="AL1667" s="122"/>
      <c r="AM1667" s="122"/>
      <c r="AN1667" s="122"/>
      <c r="AO1667" s="122"/>
      <c r="AP1667" s="122"/>
    </row>
    <row r="1668" spans="2:42">
      <c r="B1668" s="122"/>
      <c r="C1668" s="122"/>
      <c r="D1668" s="122"/>
      <c r="E1668" s="122"/>
      <c r="F1668" s="122"/>
      <c r="G1668" s="122"/>
      <c r="H1668" s="122"/>
      <c r="I1668" s="275"/>
      <c r="J1668" s="130"/>
      <c r="K1668" s="130"/>
      <c r="L1668" s="130"/>
      <c r="M1668" s="130"/>
      <c r="N1668" s="291"/>
      <c r="O1668" s="291"/>
      <c r="P1668" s="122"/>
      <c r="Q1668" s="122"/>
      <c r="R1668" s="122"/>
      <c r="S1668" s="122"/>
      <c r="T1668" s="122"/>
      <c r="U1668" s="301"/>
      <c r="V1668" s="260">
        <f t="shared" ca="1" si="33"/>
        <v>0</v>
      </c>
      <c r="W1668" s="348" t="str">
        <f>IF(板块成分!B1670="","",板块成分!B1670)</f>
        <v>300189.SZ</v>
      </c>
      <c r="X1668" s="276" t="str">
        <f>[1]!S_Info_Name(W1668)</f>
        <v>神农种业</v>
      </c>
      <c r="Y1668" s="276" t="str">
        <f ca="1">IF($Y$3="申万一级行业",[1]!s_info_industry_sw_2021(W1668,公司分析!D$5,1),IF($Y$3="申万二级行业",[1]!s_info_industry_sw_2021(W1668,公司分析!D$5,2),IF($Y$3="申万三级行业",[1]!s_info_industry_sw_2021(W1668,公司分析!D$5,3),IF($Y$3="wind一级行业",[1]!s_info_industry_gics(W1668,1),IF($Y$3="wind二级行业",[1]!s_info_industry_gics(W1668,2),IF($Y$3="wind三级行业",[1]!s_info_industry_gics(W1668,3),IF($Y$3="wind四级行业",[1]!s_info_industry_gics(W1668,4),IF($Y$3="证监会门类行业",[1]!s_info_industry_csrc12_n(W1668,公司分析!D$5,1),""))))))))</f>
        <v>种植业</v>
      </c>
      <c r="Z1668" s="302" t="str">
        <f ca="1">IF(Y1668=行业比较!$E$6,ROW(),"")</f>
        <v/>
      </c>
      <c r="AA1668" s="122"/>
      <c r="AB1668" s="122"/>
      <c r="AC1668" s="122"/>
      <c r="AD1668" s="122"/>
      <c r="AE1668" s="122"/>
      <c r="AF1668" s="122"/>
      <c r="AG1668" s="122"/>
      <c r="AH1668" s="122"/>
      <c r="AI1668" s="122"/>
      <c r="AJ1668" s="122"/>
      <c r="AK1668" s="122"/>
      <c r="AL1668" s="122"/>
      <c r="AM1668" s="122"/>
      <c r="AN1668" s="122"/>
      <c r="AO1668" s="122"/>
      <c r="AP1668" s="122"/>
    </row>
    <row r="1669" spans="2:42">
      <c r="B1669" s="122"/>
      <c r="C1669" s="122"/>
      <c r="D1669" s="122"/>
      <c r="E1669" s="122"/>
      <c r="F1669" s="122"/>
      <c r="G1669" s="122"/>
      <c r="H1669" s="122"/>
      <c r="I1669" s="275"/>
      <c r="J1669" s="130"/>
      <c r="K1669" s="130"/>
      <c r="L1669" s="130"/>
      <c r="M1669" s="130"/>
      <c r="N1669" s="291"/>
      <c r="O1669" s="291"/>
      <c r="P1669" s="122"/>
      <c r="Q1669" s="122"/>
      <c r="R1669" s="122"/>
      <c r="S1669" s="122"/>
      <c r="T1669" s="122"/>
      <c r="U1669" s="301"/>
      <c r="V1669" s="260">
        <f t="shared" ref="V1669:V1732" ca="1" si="34">IF(Z1669="",0,RANK(Z1669,Z:Z,1))</f>
        <v>0</v>
      </c>
      <c r="W1669" s="348" t="str">
        <f>IF(板块成分!B1671="","",板块成分!B1671)</f>
        <v>300190.SZ</v>
      </c>
      <c r="X1669" s="276" t="str">
        <f>[1]!S_Info_Name(W1669)</f>
        <v>维尔利</v>
      </c>
      <c r="Y1669" s="276" t="str">
        <f ca="1">IF($Y$3="申万一级行业",[1]!s_info_industry_sw_2021(W1669,公司分析!D$5,1),IF($Y$3="申万二级行业",[1]!s_info_industry_sw_2021(W1669,公司分析!D$5,2),IF($Y$3="申万三级行业",[1]!s_info_industry_sw_2021(W1669,公司分析!D$5,3),IF($Y$3="wind一级行业",[1]!s_info_industry_gics(W1669,1),IF($Y$3="wind二级行业",[1]!s_info_industry_gics(W1669,2),IF($Y$3="wind三级行业",[1]!s_info_industry_gics(W1669,3),IF($Y$3="wind四级行业",[1]!s_info_industry_gics(W1669,4),IF($Y$3="证监会门类行业",[1]!s_info_industry_csrc12_n(W1669,公司分析!D$5,1),""))))))))</f>
        <v>环境治理</v>
      </c>
      <c r="Z1669" s="302" t="str">
        <f ca="1">IF(Y1669=行业比较!$E$6,ROW(),"")</f>
        <v/>
      </c>
      <c r="AA1669" s="122"/>
      <c r="AB1669" s="122"/>
      <c r="AC1669" s="122"/>
      <c r="AD1669" s="122"/>
      <c r="AE1669" s="122"/>
      <c r="AF1669" s="122"/>
      <c r="AG1669" s="122"/>
      <c r="AH1669" s="122"/>
      <c r="AI1669" s="122"/>
      <c r="AJ1669" s="122"/>
      <c r="AK1669" s="122"/>
      <c r="AL1669" s="122"/>
      <c r="AM1669" s="122"/>
      <c r="AN1669" s="122"/>
      <c r="AO1669" s="122"/>
      <c r="AP1669" s="122"/>
    </row>
    <row r="1670" spans="2:42">
      <c r="B1670" s="122"/>
      <c r="C1670" s="122"/>
      <c r="D1670" s="122"/>
      <c r="E1670" s="122"/>
      <c r="F1670" s="122"/>
      <c r="G1670" s="122"/>
      <c r="H1670" s="122"/>
      <c r="I1670" s="275"/>
      <c r="J1670" s="130"/>
      <c r="K1670" s="130"/>
      <c r="L1670" s="130"/>
      <c r="M1670" s="130"/>
      <c r="N1670" s="291"/>
      <c r="O1670" s="291"/>
      <c r="P1670" s="122"/>
      <c r="Q1670" s="122"/>
      <c r="R1670" s="122"/>
      <c r="S1670" s="122"/>
      <c r="T1670" s="122"/>
      <c r="U1670" s="301"/>
      <c r="V1670" s="260">
        <f t="shared" ca="1" si="34"/>
        <v>0</v>
      </c>
      <c r="W1670" s="348" t="str">
        <f>IF(板块成分!B1672="","",板块成分!B1672)</f>
        <v>300191.SZ</v>
      </c>
      <c r="X1670" s="276" t="str">
        <f>[1]!S_Info_Name(W1670)</f>
        <v>潜能恒信</v>
      </c>
      <c r="Y1670" s="276" t="str">
        <f ca="1">IF($Y$3="申万一级行业",[1]!s_info_industry_sw_2021(W1670,公司分析!D$5,1),IF($Y$3="申万二级行业",[1]!s_info_industry_sw_2021(W1670,公司分析!D$5,2),IF($Y$3="申万三级行业",[1]!s_info_industry_sw_2021(W1670,公司分析!D$5,3),IF($Y$3="wind一级行业",[1]!s_info_industry_gics(W1670,1),IF($Y$3="wind二级行业",[1]!s_info_industry_gics(W1670,2),IF($Y$3="wind三级行业",[1]!s_info_industry_gics(W1670,3),IF($Y$3="wind四级行业",[1]!s_info_industry_gics(W1670,4),IF($Y$3="证监会门类行业",[1]!s_info_industry_csrc12_n(W1670,公司分析!D$5,1),""))))))))</f>
        <v>油服工程</v>
      </c>
      <c r="Z1670" s="302" t="str">
        <f ca="1">IF(Y1670=行业比较!$E$6,ROW(),"")</f>
        <v/>
      </c>
      <c r="AA1670" s="122"/>
      <c r="AB1670" s="122"/>
      <c r="AC1670" s="122"/>
      <c r="AD1670" s="122"/>
      <c r="AE1670" s="122"/>
      <c r="AF1670" s="122"/>
      <c r="AG1670" s="122"/>
      <c r="AH1670" s="122"/>
      <c r="AI1670" s="122"/>
      <c r="AJ1670" s="122"/>
      <c r="AK1670" s="122"/>
      <c r="AL1670" s="122"/>
      <c r="AM1670" s="122"/>
      <c r="AN1670" s="122"/>
      <c r="AO1670" s="122"/>
      <c r="AP1670" s="122"/>
    </row>
    <row r="1671" spans="2:42">
      <c r="B1671" s="122"/>
      <c r="C1671" s="122"/>
      <c r="D1671" s="122"/>
      <c r="E1671" s="122"/>
      <c r="F1671" s="122"/>
      <c r="G1671" s="122"/>
      <c r="H1671" s="122"/>
      <c r="I1671" s="275"/>
      <c r="J1671" s="130"/>
      <c r="K1671" s="130"/>
      <c r="L1671" s="130"/>
      <c r="M1671" s="130"/>
      <c r="N1671" s="291"/>
      <c r="O1671" s="291"/>
      <c r="P1671" s="122"/>
      <c r="Q1671" s="122"/>
      <c r="R1671" s="122"/>
      <c r="S1671" s="122"/>
      <c r="T1671" s="122"/>
      <c r="U1671" s="301"/>
      <c r="V1671" s="260">
        <f t="shared" ca="1" si="34"/>
        <v>0</v>
      </c>
      <c r="W1671" s="348" t="str">
        <f>IF(板块成分!B1673="","",板块成分!B1673)</f>
        <v>300192.SZ</v>
      </c>
      <c r="X1671" s="276" t="str">
        <f>[1]!S_Info_Name(W1671)</f>
        <v>科德教育</v>
      </c>
      <c r="Y1671" s="276" t="str">
        <f ca="1">IF($Y$3="申万一级行业",[1]!s_info_industry_sw_2021(W1671,公司分析!D$5,1),IF($Y$3="申万二级行业",[1]!s_info_industry_sw_2021(W1671,公司分析!D$5,2),IF($Y$3="申万三级行业",[1]!s_info_industry_sw_2021(W1671,公司分析!D$5,3),IF($Y$3="wind一级行业",[1]!s_info_industry_gics(W1671,1),IF($Y$3="wind二级行业",[1]!s_info_industry_gics(W1671,2),IF($Y$3="wind三级行业",[1]!s_info_industry_gics(W1671,3),IF($Y$3="wind四级行业",[1]!s_info_industry_gics(W1671,4),IF($Y$3="证监会门类行业",[1]!s_info_industry_csrc12_n(W1671,公司分析!D$5,1),""))))))))</f>
        <v>教育</v>
      </c>
      <c r="Z1671" s="302" t="str">
        <f ca="1">IF(Y1671=行业比较!$E$6,ROW(),"")</f>
        <v/>
      </c>
      <c r="AA1671" s="122"/>
      <c r="AB1671" s="122"/>
      <c r="AC1671" s="122"/>
      <c r="AD1671" s="122"/>
      <c r="AE1671" s="122"/>
      <c r="AF1671" s="122"/>
      <c r="AG1671" s="122"/>
      <c r="AH1671" s="122"/>
      <c r="AI1671" s="122"/>
      <c r="AJ1671" s="122"/>
      <c r="AK1671" s="122"/>
      <c r="AL1671" s="122"/>
      <c r="AM1671" s="122"/>
      <c r="AN1671" s="122"/>
      <c r="AO1671" s="122"/>
      <c r="AP1671" s="122"/>
    </row>
    <row r="1672" spans="2:42">
      <c r="B1672" s="122"/>
      <c r="C1672" s="122"/>
      <c r="D1672" s="122"/>
      <c r="E1672" s="122"/>
      <c r="F1672" s="122"/>
      <c r="G1672" s="122"/>
      <c r="H1672" s="122"/>
      <c r="I1672" s="275"/>
      <c r="J1672" s="130"/>
      <c r="K1672" s="130"/>
      <c r="L1672" s="130"/>
      <c r="M1672" s="130"/>
      <c r="N1672" s="291"/>
      <c r="O1672" s="291"/>
      <c r="P1672" s="122"/>
      <c r="Q1672" s="122"/>
      <c r="R1672" s="122"/>
      <c r="S1672" s="122"/>
      <c r="T1672" s="122"/>
      <c r="U1672" s="301"/>
      <c r="V1672" s="260">
        <f t="shared" ca="1" si="34"/>
        <v>0</v>
      </c>
      <c r="W1672" s="348" t="str">
        <f>IF(板块成分!B1674="","",板块成分!B1674)</f>
        <v>300193.SZ</v>
      </c>
      <c r="X1672" s="276" t="str">
        <f>[1]!S_Info_Name(W1672)</f>
        <v>佳士科技</v>
      </c>
      <c r="Y1672" s="276" t="str">
        <f ca="1">IF($Y$3="申万一级行业",[1]!s_info_industry_sw_2021(W1672,公司分析!D$5,1),IF($Y$3="申万二级行业",[1]!s_info_industry_sw_2021(W1672,公司分析!D$5,2),IF($Y$3="申万三级行业",[1]!s_info_industry_sw_2021(W1672,公司分析!D$5,3),IF($Y$3="wind一级行业",[1]!s_info_industry_gics(W1672,1),IF($Y$3="wind二级行业",[1]!s_info_industry_gics(W1672,2),IF($Y$3="wind三级行业",[1]!s_info_industry_gics(W1672,3),IF($Y$3="wind四级行业",[1]!s_info_industry_gics(W1672,4),IF($Y$3="证监会门类行业",[1]!s_info_industry_csrc12_n(W1672,公司分析!D$5,1),""))))))))</f>
        <v>通用设备</v>
      </c>
      <c r="Z1672" s="302" t="str">
        <f ca="1">IF(Y1672=行业比较!$E$6,ROW(),"")</f>
        <v/>
      </c>
      <c r="AA1672" s="122"/>
      <c r="AB1672" s="122"/>
      <c r="AC1672" s="122"/>
      <c r="AD1672" s="122"/>
      <c r="AE1672" s="122"/>
      <c r="AF1672" s="122"/>
      <c r="AG1672" s="122"/>
      <c r="AH1672" s="122"/>
      <c r="AI1672" s="122"/>
      <c r="AJ1672" s="122"/>
      <c r="AK1672" s="122"/>
      <c r="AL1672" s="122"/>
      <c r="AM1672" s="122"/>
      <c r="AN1672" s="122"/>
      <c r="AO1672" s="122"/>
      <c r="AP1672" s="122"/>
    </row>
    <row r="1673" spans="2:42">
      <c r="B1673" s="122"/>
      <c r="C1673" s="122"/>
      <c r="D1673" s="122"/>
      <c r="E1673" s="122"/>
      <c r="F1673" s="122"/>
      <c r="G1673" s="122"/>
      <c r="H1673" s="122"/>
      <c r="I1673" s="275"/>
      <c r="J1673" s="130"/>
      <c r="K1673" s="130"/>
      <c r="L1673" s="130"/>
      <c r="M1673" s="130"/>
      <c r="N1673" s="291"/>
      <c r="O1673" s="291"/>
      <c r="P1673" s="122"/>
      <c r="Q1673" s="122"/>
      <c r="R1673" s="122"/>
      <c r="S1673" s="122"/>
      <c r="T1673" s="122"/>
      <c r="U1673" s="301"/>
      <c r="V1673" s="260">
        <f t="shared" ca="1" si="34"/>
        <v>0</v>
      </c>
      <c r="W1673" s="348" t="str">
        <f>IF(板块成分!B1675="","",板块成分!B1675)</f>
        <v>300194.SZ</v>
      </c>
      <c r="X1673" s="276" t="str">
        <f>[1]!S_Info_Name(W1673)</f>
        <v>福安药业</v>
      </c>
      <c r="Y1673" s="276" t="str">
        <f ca="1">IF($Y$3="申万一级行业",[1]!s_info_industry_sw_2021(W1673,公司分析!D$5,1),IF($Y$3="申万二级行业",[1]!s_info_industry_sw_2021(W1673,公司分析!D$5,2),IF($Y$3="申万三级行业",[1]!s_info_industry_sw_2021(W1673,公司分析!D$5,3),IF($Y$3="wind一级行业",[1]!s_info_industry_gics(W1673,1),IF($Y$3="wind二级行业",[1]!s_info_industry_gics(W1673,2),IF($Y$3="wind三级行业",[1]!s_info_industry_gics(W1673,3),IF($Y$3="wind四级行业",[1]!s_info_industry_gics(W1673,4),IF($Y$3="证监会门类行业",[1]!s_info_industry_csrc12_n(W1673,公司分析!D$5,1),""))))))))</f>
        <v>化学制药</v>
      </c>
      <c r="Z1673" s="302" t="str">
        <f ca="1">IF(Y1673=行业比较!$E$6,ROW(),"")</f>
        <v/>
      </c>
      <c r="AA1673" s="122"/>
      <c r="AB1673" s="122"/>
      <c r="AC1673" s="122"/>
      <c r="AD1673" s="122"/>
      <c r="AE1673" s="122"/>
      <c r="AF1673" s="122"/>
      <c r="AG1673" s="122"/>
      <c r="AH1673" s="122"/>
      <c r="AI1673" s="122"/>
      <c r="AJ1673" s="122"/>
      <c r="AK1673" s="122"/>
      <c r="AL1673" s="122"/>
      <c r="AM1673" s="122"/>
      <c r="AN1673" s="122"/>
      <c r="AO1673" s="122"/>
      <c r="AP1673" s="122"/>
    </row>
    <row r="1674" spans="2:42">
      <c r="B1674" s="122"/>
      <c r="C1674" s="122"/>
      <c r="D1674" s="122"/>
      <c r="E1674" s="122"/>
      <c r="F1674" s="122"/>
      <c r="G1674" s="122"/>
      <c r="H1674" s="122"/>
      <c r="I1674" s="275"/>
      <c r="J1674" s="130"/>
      <c r="K1674" s="130"/>
      <c r="L1674" s="130"/>
      <c r="M1674" s="130"/>
      <c r="N1674" s="291"/>
      <c r="O1674" s="291"/>
      <c r="P1674" s="122"/>
      <c r="Q1674" s="122"/>
      <c r="R1674" s="122"/>
      <c r="S1674" s="122"/>
      <c r="T1674" s="122"/>
      <c r="U1674" s="301"/>
      <c r="V1674" s="260">
        <f t="shared" ca="1" si="34"/>
        <v>0</v>
      </c>
      <c r="W1674" s="348" t="str">
        <f>IF(板块成分!B1676="","",板块成分!B1676)</f>
        <v>300195.SZ</v>
      </c>
      <c r="X1674" s="276" t="str">
        <f>[1]!S_Info_Name(W1674)</f>
        <v>长荣股份</v>
      </c>
      <c r="Y1674" s="276" t="str">
        <f ca="1">IF($Y$3="申万一级行业",[1]!s_info_industry_sw_2021(W1674,公司分析!D$5,1),IF($Y$3="申万二级行业",[1]!s_info_industry_sw_2021(W1674,公司分析!D$5,2),IF($Y$3="申万三级行业",[1]!s_info_industry_sw_2021(W1674,公司分析!D$5,3),IF($Y$3="wind一级行业",[1]!s_info_industry_gics(W1674,1),IF($Y$3="wind二级行业",[1]!s_info_industry_gics(W1674,2),IF($Y$3="wind三级行业",[1]!s_info_industry_gics(W1674,3),IF($Y$3="wind四级行业",[1]!s_info_industry_gics(W1674,4),IF($Y$3="证监会门类行业",[1]!s_info_industry_csrc12_n(W1674,公司分析!D$5,1),""))))))))</f>
        <v>专用设备</v>
      </c>
      <c r="Z1674" s="302" t="str">
        <f ca="1">IF(Y1674=行业比较!$E$6,ROW(),"")</f>
        <v/>
      </c>
      <c r="AA1674" s="122"/>
      <c r="AB1674" s="122"/>
      <c r="AC1674" s="122"/>
      <c r="AD1674" s="122"/>
      <c r="AE1674" s="122"/>
      <c r="AF1674" s="122"/>
      <c r="AG1674" s="122"/>
      <c r="AH1674" s="122"/>
      <c r="AI1674" s="122"/>
      <c r="AJ1674" s="122"/>
      <c r="AK1674" s="122"/>
      <c r="AL1674" s="122"/>
      <c r="AM1674" s="122"/>
      <c r="AN1674" s="122"/>
      <c r="AO1674" s="122"/>
      <c r="AP1674" s="122"/>
    </row>
    <row r="1675" spans="2:42">
      <c r="B1675" s="122"/>
      <c r="C1675" s="122"/>
      <c r="D1675" s="122"/>
      <c r="E1675" s="122"/>
      <c r="F1675" s="122"/>
      <c r="G1675" s="122"/>
      <c r="H1675" s="122"/>
      <c r="I1675" s="275"/>
      <c r="J1675" s="130"/>
      <c r="K1675" s="130"/>
      <c r="L1675" s="130"/>
      <c r="M1675" s="130"/>
      <c r="N1675" s="291"/>
      <c r="O1675" s="291"/>
      <c r="P1675" s="122"/>
      <c r="Q1675" s="122"/>
      <c r="R1675" s="122"/>
      <c r="S1675" s="122"/>
      <c r="T1675" s="122"/>
      <c r="U1675" s="301"/>
      <c r="V1675" s="260">
        <f t="shared" ca="1" si="34"/>
        <v>0</v>
      </c>
      <c r="W1675" s="348" t="str">
        <f>IF(板块成分!B1677="","",板块成分!B1677)</f>
        <v>300196.SZ</v>
      </c>
      <c r="X1675" s="276" t="str">
        <f>[1]!S_Info_Name(W1675)</f>
        <v>长海股份</v>
      </c>
      <c r="Y1675" s="276" t="str">
        <f ca="1">IF($Y$3="申万一级行业",[1]!s_info_industry_sw_2021(W1675,公司分析!D$5,1),IF($Y$3="申万二级行业",[1]!s_info_industry_sw_2021(W1675,公司分析!D$5,2),IF($Y$3="申万三级行业",[1]!s_info_industry_sw_2021(W1675,公司分析!D$5,3),IF($Y$3="wind一级行业",[1]!s_info_industry_gics(W1675,1),IF($Y$3="wind二级行业",[1]!s_info_industry_gics(W1675,2),IF($Y$3="wind三级行业",[1]!s_info_industry_gics(W1675,3),IF($Y$3="wind四级行业",[1]!s_info_industry_gics(W1675,4),IF($Y$3="证监会门类行业",[1]!s_info_industry_csrc12_n(W1675,公司分析!D$5,1),""))))))))</f>
        <v>玻璃玻纤</v>
      </c>
      <c r="Z1675" s="302" t="str">
        <f ca="1">IF(Y1675=行业比较!$E$6,ROW(),"")</f>
        <v/>
      </c>
      <c r="AA1675" s="122"/>
      <c r="AB1675" s="122"/>
      <c r="AC1675" s="122"/>
      <c r="AD1675" s="122"/>
      <c r="AE1675" s="122"/>
      <c r="AF1675" s="122"/>
      <c r="AG1675" s="122"/>
      <c r="AH1675" s="122"/>
      <c r="AI1675" s="122"/>
      <c r="AJ1675" s="122"/>
      <c r="AK1675" s="122"/>
      <c r="AL1675" s="122"/>
      <c r="AM1675" s="122"/>
      <c r="AN1675" s="122"/>
      <c r="AO1675" s="122"/>
      <c r="AP1675" s="122"/>
    </row>
    <row r="1676" spans="2:42">
      <c r="B1676" s="122"/>
      <c r="C1676" s="122"/>
      <c r="D1676" s="122"/>
      <c r="E1676" s="122"/>
      <c r="F1676" s="122"/>
      <c r="G1676" s="122"/>
      <c r="H1676" s="122"/>
      <c r="I1676" s="275"/>
      <c r="J1676" s="130"/>
      <c r="K1676" s="130"/>
      <c r="L1676" s="130"/>
      <c r="M1676" s="130"/>
      <c r="N1676" s="291"/>
      <c r="O1676" s="291"/>
      <c r="P1676" s="122"/>
      <c r="Q1676" s="122"/>
      <c r="R1676" s="122"/>
      <c r="S1676" s="122"/>
      <c r="T1676" s="122"/>
      <c r="U1676" s="301"/>
      <c r="V1676" s="260">
        <f t="shared" ca="1" si="34"/>
        <v>0</v>
      </c>
      <c r="W1676" s="348" t="str">
        <f>IF(板块成分!B1678="","",板块成分!B1678)</f>
        <v>300197.SZ</v>
      </c>
      <c r="X1676" s="276" t="str">
        <f>[1]!S_Info_Name(W1676)</f>
        <v>节能铁汉</v>
      </c>
      <c r="Y1676" s="276" t="str">
        <f ca="1">IF($Y$3="申万一级行业",[1]!s_info_industry_sw_2021(W1676,公司分析!D$5,1),IF($Y$3="申万二级行业",[1]!s_info_industry_sw_2021(W1676,公司分析!D$5,2),IF($Y$3="申万三级行业",[1]!s_info_industry_sw_2021(W1676,公司分析!D$5,3),IF($Y$3="wind一级行业",[1]!s_info_industry_gics(W1676,1),IF($Y$3="wind二级行业",[1]!s_info_industry_gics(W1676,2),IF($Y$3="wind三级行业",[1]!s_info_industry_gics(W1676,3),IF($Y$3="wind四级行业",[1]!s_info_industry_gics(W1676,4),IF($Y$3="证监会门类行业",[1]!s_info_industry_csrc12_n(W1676,公司分析!D$5,1),""))))))))</f>
        <v>基础建设</v>
      </c>
      <c r="Z1676" s="302" t="str">
        <f ca="1">IF(Y1676=行业比较!$E$6,ROW(),"")</f>
        <v/>
      </c>
      <c r="AA1676" s="122"/>
      <c r="AB1676" s="122"/>
      <c r="AC1676" s="122"/>
      <c r="AD1676" s="122"/>
      <c r="AE1676" s="122"/>
      <c r="AF1676" s="122"/>
      <c r="AG1676" s="122"/>
      <c r="AH1676" s="122"/>
      <c r="AI1676" s="122"/>
      <c r="AJ1676" s="122"/>
      <c r="AK1676" s="122"/>
      <c r="AL1676" s="122"/>
      <c r="AM1676" s="122"/>
      <c r="AN1676" s="122"/>
      <c r="AO1676" s="122"/>
      <c r="AP1676" s="122"/>
    </row>
    <row r="1677" spans="2:42">
      <c r="B1677" s="122"/>
      <c r="C1677" s="122"/>
      <c r="D1677" s="122"/>
      <c r="E1677" s="122"/>
      <c r="F1677" s="122"/>
      <c r="G1677" s="122"/>
      <c r="H1677" s="122"/>
      <c r="I1677" s="275"/>
      <c r="J1677" s="130"/>
      <c r="K1677" s="130"/>
      <c r="L1677" s="130"/>
      <c r="M1677" s="130"/>
      <c r="N1677" s="291"/>
      <c r="O1677" s="291"/>
      <c r="P1677" s="122"/>
      <c r="Q1677" s="122"/>
      <c r="R1677" s="122"/>
      <c r="S1677" s="122"/>
      <c r="T1677" s="122"/>
      <c r="U1677" s="301"/>
      <c r="V1677" s="260">
        <f t="shared" ca="1" si="34"/>
        <v>0</v>
      </c>
      <c r="W1677" s="348" t="str">
        <f>IF(板块成分!B1679="","",板块成分!B1679)</f>
        <v>300198.SZ</v>
      </c>
      <c r="X1677" s="276" t="str">
        <f>[1]!S_Info_Name(W1677)</f>
        <v>ST纳川</v>
      </c>
      <c r="Y1677" s="276" t="str">
        <f ca="1">IF($Y$3="申万一级行业",[1]!s_info_industry_sw_2021(W1677,公司分析!D$5,1),IF($Y$3="申万二级行业",[1]!s_info_industry_sw_2021(W1677,公司分析!D$5,2),IF($Y$3="申万三级行业",[1]!s_info_industry_sw_2021(W1677,公司分析!D$5,3),IF($Y$3="wind一级行业",[1]!s_info_industry_gics(W1677,1),IF($Y$3="wind二级行业",[1]!s_info_industry_gics(W1677,2),IF($Y$3="wind三级行业",[1]!s_info_industry_gics(W1677,3),IF($Y$3="wind四级行业",[1]!s_info_industry_gics(W1677,4),IF($Y$3="证监会门类行业",[1]!s_info_industry_csrc12_n(W1677,公司分析!D$5,1),""))))))))</f>
        <v>装修建材</v>
      </c>
      <c r="Z1677" s="302" t="str">
        <f ca="1">IF(Y1677=行业比较!$E$6,ROW(),"")</f>
        <v/>
      </c>
      <c r="AA1677" s="122"/>
      <c r="AB1677" s="122"/>
      <c r="AC1677" s="122"/>
      <c r="AD1677" s="122"/>
      <c r="AE1677" s="122"/>
      <c r="AF1677" s="122"/>
      <c r="AG1677" s="122"/>
      <c r="AH1677" s="122"/>
      <c r="AI1677" s="122"/>
      <c r="AJ1677" s="122"/>
      <c r="AK1677" s="122"/>
      <c r="AL1677" s="122"/>
      <c r="AM1677" s="122"/>
      <c r="AN1677" s="122"/>
      <c r="AO1677" s="122"/>
      <c r="AP1677" s="122"/>
    </row>
    <row r="1678" spans="2:42">
      <c r="B1678" s="122"/>
      <c r="C1678" s="122"/>
      <c r="D1678" s="122"/>
      <c r="E1678" s="122"/>
      <c r="F1678" s="122"/>
      <c r="G1678" s="122"/>
      <c r="H1678" s="122"/>
      <c r="I1678" s="275"/>
      <c r="J1678" s="130"/>
      <c r="K1678" s="130"/>
      <c r="L1678" s="130"/>
      <c r="M1678" s="130"/>
      <c r="N1678" s="291"/>
      <c r="O1678" s="291"/>
      <c r="P1678" s="122"/>
      <c r="Q1678" s="122"/>
      <c r="R1678" s="122"/>
      <c r="S1678" s="122"/>
      <c r="T1678" s="122"/>
      <c r="U1678" s="301"/>
      <c r="V1678" s="260">
        <f t="shared" ca="1" si="34"/>
        <v>0</v>
      </c>
      <c r="W1678" s="348" t="str">
        <f>IF(板块成分!B1680="","",板块成分!B1680)</f>
        <v>300199.SZ</v>
      </c>
      <c r="X1678" s="276" t="str">
        <f>[1]!S_Info_Name(W1678)</f>
        <v>翰宇药业</v>
      </c>
      <c r="Y1678" s="276" t="str">
        <f ca="1">IF($Y$3="申万一级行业",[1]!s_info_industry_sw_2021(W1678,公司分析!D$5,1),IF($Y$3="申万二级行业",[1]!s_info_industry_sw_2021(W1678,公司分析!D$5,2),IF($Y$3="申万三级行业",[1]!s_info_industry_sw_2021(W1678,公司分析!D$5,3),IF($Y$3="wind一级行业",[1]!s_info_industry_gics(W1678,1),IF($Y$3="wind二级行业",[1]!s_info_industry_gics(W1678,2),IF($Y$3="wind三级行业",[1]!s_info_industry_gics(W1678,3),IF($Y$3="wind四级行业",[1]!s_info_industry_gics(W1678,4),IF($Y$3="证监会门类行业",[1]!s_info_industry_csrc12_n(W1678,公司分析!D$5,1),""))))))))</f>
        <v>化学制药</v>
      </c>
      <c r="Z1678" s="302" t="str">
        <f ca="1">IF(Y1678=行业比较!$E$6,ROW(),"")</f>
        <v/>
      </c>
      <c r="AA1678" s="122"/>
      <c r="AB1678" s="122"/>
      <c r="AC1678" s="122"/>
      <c r="AD1678" s="122"/>
      <c r="AE1678" s="122"/>
      <c r="AF1678" s="122"/>
      <c r="AG1678" s="122"/>
      <c r="AH1678" s="122"/>
      <c r="AI1678" s="122"/>
      <c r="AJ1678" s="122"/>
      <c r="AK1678" s="122"/>
      <c r="AL1678" s="122"/>
      <c r="AM1678" s="122"/>
      <c r="AN1678" s="122"/>
      <c r="AO1678" s="122"/>
      <c r="AP1678" s="122"/>
    </row>
    <row r="1679" spans="2:42">
      <c r="B1679" s="122"/>
      <c r="C1679" s="122"/>
      <c r="D1679" s="122"/>
      <c r="E1679" s="122"/>
      <c r="F1679" s="122"/>
      <c r="G1679" s="122"/>
      <c r="H1679" s="122"/>
      <c r="I1679" s="275"/>
      <c r="J1679" s="130"/>
      <c r="K1679" s="130"/>
      <c r="L1679" s="130"/>
      <c r="M1679" s="130"/>
      <c r="N1679" s="291"/>
      <c r="O1679" s="291"/>
      <c r="P1679" s="122"/>
      <c r="Q1679" s="122"/>
      <c r="R1679" s="122"/>
      <c r="S1679" s="122"/>
      <c r="T1679" s="122"/>
      <c r="U1679" s="301"/>
      <c r="V1679" s="260">
        <f t="shared" ca="1" si="34"/>
        <v>0</v>
      </c>
      <c r="W1679" s="348" t="str">
        <f>IF(板块成分!B1681="","",板块成分!B1681)</f>
        <v>300200.SZ</v>
      </c>
      <c r="X1679" s="276" t="str">
        <f>[1]!S_Info_Name(W1679)</f>
        <v>高盟新材</v>
      </c>
      <c r="Y1679" s="276" t="str">
        <f ca="1">IF($Y$3="申万一级行业",[1]!s_info_industry_sw_2021(W1679,公司分析!D$5,1),IF($Y$3="申万二级行业",[1]!s_info_industry_sw_2021(W1679,公司分析!D$5,2),IF($Y$3="申万三级行业",[1]!s_info_industry_sw_2021(W1679,公司分析!D$5,3),IF($Y$3="wind一级行业",[1]!s_info_industry_gics(W1679,1),IF($Y$3="wind二级行业",[1]!s_info_industry_gics(W1679,2),IF($Y$3="wind三级行业",[1]!s_info_industry_gics(W1679,3),IF($Y$3="wind四级行业",[1]!s_info_industry_gics(W1679,4),IF($Y$3="证监会门类行业",[1]!s_info_industry_csrc12_n(W1679,公司分析!D$5,1),""))))))))</f>
        <v>化学制品</v>
      </c>
      <c r="Z1679" s="302" t="str">
        <f ca="1">IF(Y1679=行业比较!$E$6,ROW(),"")</f>
        <v/>
      </c>
      <c r="AA1679" s="122"/>
      <c r="AB1679" s="122"/>
      <c r="AC1679" s="122"/>
      <c r="AD1679" s="122"/>
      <c r="AE1679" s="122"/>
      <c r="AF1679" s="122"/>
      <c r="AG1679" s="122"/>
      <c r="AH1679" s="122"/>
      <c r="AI1679" s="122"/>
      <c r="AJ1679" s="122"/>
      <c r="AK1679" s="122"/>
      <c r="AL1679" s="122"/>
      <c r="AM1679" s="122"/>
      <c r="AN1679" s="122"/>
      <c r="AO1679" s="122"/>
      <c r="AP1679" s="122"/>
    </row>
    <row r="1680" spans="2:42">
      <c r="B1680" s="122"/>
      <c r="C1680" s="122"/>
      <c r="D1680" s="122"/>
      <c r="E1680" s="122"/>
      <c r="F1680" s="122"/>
      <c r="G1680" s="122"/>
      <c r="H1680" s="122"/>
      <c r="I1680" s="275"/>
      <c r="J1680" s="130"/>
      <c r="K1680" s="130"/>
      <c r="L1680" s="130"/>
      <c r="M1680" s="130"/>
      <c r="N1680" s="291"/>
      <c r="O1680" s="291"/>
      <c r="P1680" s="122"/>
      <c r="Q1680" s="122"/>
      <c r="R1680" s="122"/>
      <c r="S1680" s="122"/>
      <c r="T1680" s="122"/>
      <c r="U1680" s="301"/>
      <c r="V1680" s="260">
        <f t="shared" ca="1" si="34"/>
        <v>0</v>
      </c>
      <c r="W1680" s="348" t="str">
        <f>IF(板块成分!B1682="","",板块成分!B1682)</f>
        <v>300201.SZ</v>
      </c>
      <c r="X1680" s="276" t="str">
        <f>[1]!S_Info_Name(W1680)</f>
        <v>海伦哲</v>
      </c>
      <c r="Y1680" s="276" t="str">
        <f ca="1">IF($Y$3="申万一级行业",[1]!s_info_industry_sw_2021(W1680,公司分析!D$5,1),IF($Y$3="申万二级行业",[1]!s_info_industry_sw_2021(W1680,公司分析!D$5,2),IF($Y$3="申万三级行业",[1]!s_info_industry_sw_2021(W1680,公司分析!D$5,3),IF($Y$3="wind一级行业",[1]!s_info_industry_gics(W1680,1),IF($Y$3="wind二级行业",[1]!s_info_industry_gics(W1680,2),IF($Y$3="wind三级行业",[1]!s_info_industry_gics(W1680,3),IF($Y$3="wind四级行业",[1]!s_info_industry_gics(W1680,4),IF($Y$3="证监会门类行业",[1]!s_info_industry_csrc12_n(W1680,公司分析!D$5,1),""))))))))</f>
        <v>工程机械</v>
      </c>
      <c r="Z1680" s="302" t="str">
        <f ca="1">IF(Y1680=行业比较!$E$6,ROW(),"")</f>
        <v/>
      </c>
      <c r="AA1680" s="122"/>
      <c r="AB1680" s="122"/>
      <c r="AC1680" s="122"/>
      <c r="AD1680" s="122"/>
      <c r="AE1680" s="122"/>
      <c r="AF1680" s="122"/>
      <c r="AG1680" s="122"/>
      <c r="AH1680" s="122"/>
      <c r="AI1680" s="122"/>
      <c r="AJ1680" s="122"/>
      <c r="AK1680" s="122"/>
      <c r="AL1680" s="122"/>
      <c r="AM1680" s="122"/>
      <c r="AN1680" s="122"/>
      <c r="AO1680" s="122"/>
      <c r="AP1680" s="122"/>
    </row>
    <row r="1681" spans="2:42">
      <c r="B1681" s="122"/>
      <c r="C1681" s="122"/>
      <c r="D1681" s="122"/>
      <c r="E1681" s="122"/>
      <c r="F1681" s="122"/>
      <c r="G1681" s="122"/>
      <c r="H1681" s="122"/>
      <c r="I1681" s="275"/>
      <c r="J1681" s="130"/>
      <c r="K1681" s="130"/>
      <c r="L1681" s="130"/>
      <c r="M1681" s="130"/>
      <c r="N1681" s="291"/>
      <c r="O1681" s="291"/>
      <c r="P1681" s="122"/>
      <c r="Q1681" s="122"/>
      <c r="R1681" s="122"/>
      <c r="S1681" s="122"/>
      <c r="T1681" s="122"/>
      <c r="U1681" s="301"/>
      <c r="V1681" s="260">
        <f t="shared" ca="1" si="34"/>
        <v>0</v>
      </c>
      <c r="W1681" s="348" t="str">
        <f>IF(板块成分!B1683="","",板块成分!B1683)</f>
        <v>300203.SZ</v>
      </c>
      <c r="X1681" s="276" t="str">
        <f>[1]!S_Info_Name(W1681)</f>
        <v>聚光科技</v>
      </c>
      <c r="Y1681" s="276" t="str">
        <f ca="1">IF($Y$3="申万一级行业",[1]!s_info_industry_sw_2021(W1681,公司分析!D$5,1),IF($Y$3="申万二级行业",[1]!s_info_industry_sw_2021(W1681,公司分析!D$5,2),IF($Y$3="申万三级行业",[1]!s_info_industry_sw_2021(W1681,公司分析!D$5,3),IF($Y$3="wind一级行业",[1]!s_info_industry_gics(W1681,1),IF($Y$3="wind二级行业",[1]!s_info_industry_gics(W1681,2),IF($Y$3="wind三级行业",[1]!s_info_industry_gics(W1681,3),IF($Y$3="wind四级行业",[1]!s_info_industry_gics(W1681,4),IF($Y$3="证监会门类行业",[1]!s_info_industry_csrc12_n(W1681,公司分析!D$5,1),""))))))))</f>
        <v>环保设备Ⅱ</v>
      </c>
      <c r="Z1681" s="302" t="str">
        <f ca="1">IF(Y1681=行业比较!$E$6,ROW(),"")</f>
        <v/>
      </c>
      <c r="AA1681" s="122"/>
      <c r="AB1681" s="122"/>
      <c r="AC1681" s="122"/>
      <c r="AD1681" s="122"/>
      <c r="AE1681" s="122"/>
      <c r="AF1681" s="122"/>
      <c r="AG1681" s="122"/>
      <c r="AH1681" s="122"/>
      <c r="AI1681" s="122"/>
      <c r="AJ1681" s="122"/>
      <c r="AK1681" s="122"/>
      <c r="AL1681" s="122"/>
      <c r="AM1681" s="122"/>
      <c r="AN1681" s="122"/>
      <c r="AO1681" s="122"/>
      <c r="AP1681" s="122"/>
    </row>
    <row r="1682" spans="2:42">
      <c r="B1682" s="122"/>
      <c r="C1682" s="122"/>
      <c r="D1682" s="122"/>
      <c r="E1682" s="122"/>
      <c r="F1682" s="122"/>
      <c r="G1682" s="122"/>
      <c r="H1682" s="122"/>
      <c r="I1682" s="275"/>
      <c r="J1682" s="130"/>
      <c r="K1682" s="130"/>
      <c r="L1682" s="130"/>
      <c r="M1682" s="130"/>
      <c r="N1682" s="291"/>
      <c r="O1682" s="291"/>
      <c r="P1682" s="122"/>
      <c r="Q1682" s="122"/>
      <c r="R1682" s="122"/>
      <c r="S1682" s="122"/>
      <c r="T1682" s="122"/>
      <c r="U1682" s="301"/>
      <c r="V1682" s="260">
        <f t="shared" ca="1" si="34"/>
        <v>0</v>
      </c>
      <c r="W1682" s="348" t="str">
        <f>IF(板块成分!B1684="","",板块成分!B1684)</f>
        <v>300204.SZ</v>
      </c>
      <c r="X1682" s="276" t="str">
        <f>[1]!S_Info_Name(W1682)</f>
        <v>舒泰神</v>
      </c>
      <c r="Y1682" s="276" t="str">
        <f ca="1">IF($Y$3="申万一级行业",[1]!s_info_industry_sw_2021(W1682,公司分析!D$5,1),IF($Y$3="申万二级行业",[1]!s_info_industry_sw_2021(W1682,公司分析!D$5,2),IF($Y$3="申万三级行业",[1]!s_info_industry_sw_2021(W1682,公司分析!D$5,3),IF($Y$3="wind一级行业",[1]!s_info_industry_gics(W1682,1),IF($Y$3="wind二级行业",[1]!s_info_industry_gics(W1682,2),IF($Y$3="wind三级行业",[1]!s_info_industry_gics(W1682,3),IF($Y$3="wind四级行业",[1]!s_info_industry_gics(W1682,4),IF($Y$3="证监会门类行业",[1]!s_info_industry_csrc12_n(W1682,公司分析!D$5,1),""))))))))</f>
        <v>化学制药</v>
      </c>
      <c r="Z1682" s="302" t="str">
        <f ca="1">IF(Y1682=行业比较!$E$6,ROW(),"")</f>
        <v/>
      </c>
      <c r="AA1682" s="122"/>
      <c r="AB1682" s="122"/>
      <c r="AC1682" s="122"/>
      <c r="AD1682" s="122"/>
      <c r="AE1682" s="122"/>
      <c r="AF1682" s="122"/>
      <c r="AG1682" s="122"/>
      <c r="AH1682" s="122"/>
      <c r="AI1682" s="122"/>
      <c r="AJ1682" s="122"/>
      <c r="AK1682" s="122"/>
      <c r="AL1682" s="122"/>
      <c r="AM1682" s="122"/>
      <c r="AN1682" s="122"/>
      <c r="AO1682" s="122"/>
      <c r="AP1682" s="122"/>
    </row>
    <row r="1683" spans="2:42">
      <c r="B1683" s="122"/>
      <c r="C1683" s="122"/>
      <c r="D1683" s="122"/>
      <c r="E1683" s="122"/>
      <c r="F1683" s="122"/>
      <c r="G1683" s="122"/>
      <c r="H1683" s="122"/>
      <c r="I1683" s="275"/>
      <c r="J1683" s="130"/>
      <c r="K1683" s="130"/>
      <c r="L1683" s="130"/>
      <c r="M1683" s="130"/>
      <c r="N1683" s="291"/>
      <c r="O1683" s="291"/>
      <c r="P1683" s="122"/>
      <c r="Q1683" s="122"/>
      <c r="R1683" s="122"/>
      <c r="S1683" s="122"/>
      <c r="T1683" s="122"/>
      <c r="U1683" s="301"/>
      <c r="V1683" s="260">
        <f t="shared" ca="1" si="34"/>
        <v>0</v>
      </c>
      <c r="W1683" s="348" t="str">
        <f>IF(板块成分!B1685="","",板块成分!B1685)</f>
        <v>300205.SZ</v>
      </c>
      <c r="X1683" s="276" t="str">
        <f>[1]!S_Info_Name(W1683)</f>
        <v>*ST天喻</v>
      </c>
      <c r="Y1683" s="276" t="str">
        <f ca="1">IF($Y$3="申万一级行业",[1]!s_info_industry_sw_2021(W1683,公司分析!D$5,1),IF($Y$3="申万二级行业",[1]!s_info_industry_sw_2021(W1683,公司分析!D$5,2),IF($Y$3="申万三级行业",[1]!s_info_industry_sw_2021(W1683,公司分析!D$5,3),IF($Y$3="wind一级行业",[1]!s_info_industry_gics(W1683,1),IF($Y$3="wind二级行业",[1]!s_info_industry_gics(W1683,2),IF($Y$3="wind三级行业",[1]!s_info_industry_gics(W1683,3),IF($Y$3="wind四级行业",[1]!s_info_industry_gics(W1683,4),IF($Y$3="证监会门类行业",[1]!s_info_industry_csrc12_n(W1683,公司分析!D$5,1),""))))))))</f>
        <v>通信设备</v>
      </c>
      <c r="Z1683" s="302" t="str">
        <f ca="1">IF(Y1683=行业比较!$E$6,ROW(),"")</f>
        <v/>
      </c>
      <c r="AA1683" s="122"/>
      <c r="AB1683" s="122"/>
      <c r="AC1683" s="122"/>
      <c r="AD1683" s="122"/>
      <c r="AE1683" s="122"/>
      <c r="AF1683" s="122"/>
      <c r="AG1683" s="122"/>
      <c r="AH1683" s="122"/>
      <c r="AI1683" s="122"/>
      <c r="AJ1683" s="122"/>
      <c r="AK1683" s="122"/>
      <c r="AL1683" s="122"/>
      <c r="AM1683" s="122"/>
      <c r="AN1683" s="122"/>
      <c r="AO1683" s="122"/>
      <c r="AP1683" s="122"/>
    </row>
    <row r="1684" spans="2:42">
      <c r="B1684" s="122"/>
      <c r="C1684" s="122"/>
      <c r="D1684" s="122"/>
      <c r="E1684" s="122"/>
      <c r="F1684" s="122"/>
      <c r="G1684" s="122"/>
      <c r="H1684" s="122"/>
      <c r="I1684" s="275"/>
      <c r="J1684" s="130"/>
      <c r="K1684" s="130"/>
      <c r="L1684" s="130"/>
      <c r="M1684" s="130"/>
      <c r="N1684" s="291"/>
      <c r="O1684" s="291"/>
      <c r="P1684" s="122"/>
      <c r="Q1684" s="122"/>
      <c r="R1684" s="122"/>
      <c r="S1684" s="122"/>
      <c r="T1684" s="122"/>
      <c r="U1684" s="301"/>
      <c r="V1684" s="260">
        <f t="shared" ca="1" si="34"/>
        <v>0</v>
      </c>
      <c r="W1684" s="348" t="str">
        <f>IF(板块成分!B1686="","",板块成分!B1686)</f>
        <v>300206.SZ</v>
      </c>
      <c r="X1684" s="276" t="str">
        <f>[1]!S_Info_Name(W1684)</f>
        <v>理邦仪器</v>
      </c>
      <c r="Y1684" s="276" t="str">
        <f ca="1">IF($Y$3="申万一级行业",[1]!s_info_industry_sw_2021(W1684,公司分析!D$5,1),IF($Y$3="申万二级行业",[1]!s_info_industry_sw_2021(W1684,公司分析!D$5,2),IF($Y$3="申万三级行业",[1]!s_info_industry_sw_2021(W1684,公司分析!D$5,3),IF($Y$3="wind一级行业",[1]!s_info_industry_gics(W1684,1),IF($Y$3="wind二级行业",[1]!s_info_industry_gics(W1684,2),IF($Y$3="wind三级行业",[1]!s_info_industry_gics(W1684,3),IF($Y$3="wind四级行业",[1]!s_info_industry_gics(W1684,4),IF($Y$3="证监会门类行业",[1]!s_info_industry_csrc12_n(W1684,公司分析!D$5,1),""))))))))</f>
        <v>医疗器械</v>
      </c>
      <c r="Z1684" s="302" t="str">
        <f ca="1">IF(Y1684=行业比较!$E$6,ROW(),"")</f>
        <v/>
      </c>
      <c r="AA1684" s="122"/>
      <c r="AB1684" s="122"/>
      <c r="AC1684" s="122"/>
      <c r="AD1684" s="122"/>
      <c r="AE1684" s="122"/>
      <c r="AF1684" s="122"/>
      <c r="AG1684" s="122"/>
      <c r="AH1684" s="122"/>
      <c r="AI1684" s="122"/>
      <c r="AJ1684" s="122"/>
      <c r="AK1684" s="122"/>
      <c r="AL1684" s="122"/>
      <c r="AM1684" s="122"/>
      <c r="AN1684" s="122"/>
      <c r="AO1684" s="122"/>
      <c r="AP1684" s="122"/>
    </row>
    <row r="1685" spans="2:42">
      <c r="B1685" s="122"/>
      <c r="C1685" s="122"/>
      <c r="D1685" s="122"/>
      <c r="E1685" s="122"/>
      <c r="F1685" s="122"/>
      <c r="G1685" s="122"/>
      <c r="H1685" s="122"/>
      <c r="I1685" s="275"/>
      <c r="J1685" s="130"/>
      <c r="K1685" s="130"/>
      <c r="L1685" s="130"/>
      <c r="M1685" s="130"/>
      <c r="N1685" s="291"/>
      <c r="O1685" s="291"/>
      <c r="P1685" s="122"/>
      <c r="Q1685" s="122"/>
      <c r="R1685" s="122"/>
      <c r="S1685" s="122"/>
      <c r="T1685" s="122"/>
      <c r="U1685" s="301"/>
      <c r="V1685" s="260">
        <f t="shared" ca="1" si="34"/>
        <v>0</v>
      </c>
      <c r="W1685" s="348" t="str">
        <f>IF(板块成分!B1687="","",板块成分!B1687)</f>
        <v>300207.SZ</v>
      </c>
      <c r="X1685" s="276" t="str">
        <f>[1]!S_Info_Name(W1685)</f>
        <v>欣旺达</v>
      </c>
      <c r="Y1685" s="276" t="str">
        <f ca="1">IF($Y$3="申万一级行业",[1]!s_info_industry_sw_2021(W1685,公司分析!D$5,1),IF($Y$3="申万二级行业",[1]!s_info_industry_sw_2021(W1685,公司分析!D$5,2),IF($Y$3="申万三级行业",[1]!s_info_industry_sw_2021(W1685,公司分析!D$5,3),IF($Y$3="wind一级行业",[1]!s_info_industry_gics(W1685,1),IF($Y$3="wind二级行业",[1]!s_info_industry_gics(W1685,2),IF($Y$3="wind三级行业",[1]!s_info_industry_gics(W1685,3),IF($Y$3="wind四级行业",[1]!s_info_industry_gics(W1685,4),IF($Y$3="证监会门类行业",[1]!s_info_industry_csrc12_n(W1685,公司分析!D$5,1),""))))))))</f>
        <v>电池</v>
      </c>
      <c r="Z1685" s="302" t="str">
        <f ca="1">IF(Y1685=行业比较!$E$6,ROW(),"")</f>
        <v/>
      </c>
      <c r="AA1685" s="122"/>
      <c r="AB1685" s="122"/>
      <c r="AC1685" s="122"/>
      <c r="AD1685" s="122"/>
      <c r="AE1685" s="122"/>
      <c r="AF1685" s="122"/>
      <c r="AG1685" s="122"/>
      <c r="AH1685" s="122"/>
      <c r="AI1685" s="122"/>
      <c r="AJ1685" s="122"/>
      <c r="AK1685" s="122"/>
      <c r="AL1685" s="122"/>
      <c r="AM1685" s="122"/>
      <c r="AN1685" s="122"/>
      <c r="AO1685" s="122"/>
      <c r="AP1685" s="122"/>
    </row>
    <row r="1686" spans="2:42">
      <c r="B1686" s="122"/>
      <c r="C1686" s="122"/>
      <c r="D1686" s="122"/>
      <c r="E1686" s="122"/>
      <c r="F1686" s="122"/>
      <c r="G1686" s="122"/>
      <c r="H1686" s="122"/>
      <c r="I1686" s="275"/>
      <c r="J1686" s="130"/>
      <c r="K1686" s="130"/>
      <c r="L1686" s="130"/>
      <c r="M1686" s="130"/>
      <c r="N1686" s="291"/>
      <c r="O1686" s="291"/>
      <c r="P1686" s="122"/>
      <c r="Q1686" s="122"/>
      <c r="R1686" s="122"/>
      <c r="S1686" s="122"/>
      <c r="T1686" s="122"/>
      <c r="U1686" s="301"/>
      <c r="V1686" s="260">
        <f t="shared" ca="1" si="34"/>
        <v>0</v>
      </c>
      <c r="W1686" s="348" t="str">
        <f>IF(板块成分!B1688="","",板块成分!B1688)</f>
        <v>300209.SZ</v>
      </c>
      <c r="X1686" s="276" t="str">
        <f>[1]!S_Info_Name(W1686)</f>
        <v>行云科技</v>
      </c>
      <c r="Y1686" s="276" t="str">
        <f ca="1">IF($Y$3="申万一级行业",[1]!s_info_industry_sw_2021(W1686,公司分析!D$5,1),IF($Y$3="申万二级行业",[1]!s_info_industry_sw_2021(W1686,公司分析!D$5,2),IF($Y$3="申万三级行业",[1]!s_info_industry_sw_2021(W1686,公司分析!D$5,3),IF($Y$3="wind一级行业",[1]!s_info_industry_gics(W1686,1),IF($Y$3="wind二级行业",[1]!s_info_industry_gics(W1686,2),IF($Y$3="wind三级行业",[1]!s_info_industry_gics(W1686,3),IF($Y$3="wind四级行业",[1]!s_info_industry_gics(W1686,4),IF($Y$3="证监会门类行业",[1]!s_info_industry_csrc12_n(W1686,公司分析!D$5,1),""))))))))</f>
        <v>软件开发</v>
      </c>
      <c r="Z1686" s="302" t="str">
        <f ca="1">IF(Y1686=行业比较!$E$6,ROW(),"")</f>
        <v/>
      </c>
      <c r="AA1686" s="122"/>
      <c r="AB1686" s="122"/>
      <c r="AC1686" s="122"/>
      <c r="AD1686" s="122"/>
      <c r="AE1686" s="122"/>
      <c r="AF1686" s="122"/>
      <c r="AG1686" s="122"/>
      <c r="AH1686" s="122"/>
      <c r="AI1686" s="122"/>
      <c r="AJ1686" s="122"/>
      <c r="AK1686" s="122"/>
      <c r="AL1686" s="122"/>
      <c r="AM1686" s="122"/>
      <c r="AN1686" s="122"/>
      <c r="AO1686" s="122"/>
      <c r="AP1686" s="122"/>
    </row>
    <row r="1687" spans="2:42">
      <c r="B1687" s="122"/>
      <c r="C1687" s="122"/>
      <c r="D1687" s="122"/>
      <c r="E1687" s="122"/>
      <c r="F1687" s="122"/>
      <c r="G1687" s="122"/>
      <c r="H1687" s="122"/>
      <c r="I1687" s="275"/>
      <c r="J1687" s="130"/>
      <c r="K1687" s="130"/>
      <c r="L1687" s="130"/>
      <c r="M1687" s="130"/>
      <c r="N1687" s="291"/>
      <c r="O1687" s="291"/>
      <c r="P1687" s="122"/>
      <c r="Q1687" s="122"/>
      <c r="R1687" s="122"/>
      <c r="S1687" s="122"/>
      <c r="T1687" s="122"/>
      <c r="U1687" s="301"/>
      <c r="V1687" s="260">
        <f t="shared" ca="1" si="34"/>
        <v>0</v>
      </c>
      <c r="W1687" s="348" t="str">
        <f>IF(板块成分!B1689="","",板块成分!B1689)</f>
        <v>300210.SZ</v>
      </c>
      <c r="X1687" s="276" t="str">
        <f>[1]!S_Info_Name(W1687)</f>
        <v>森远股份</v>
      </c>
      <c r="Y1687" s="276" t="str">
        <f ca="1">IF($Y$3="申万一级行业",[1]!s_info_industry_sw_2021(W1687,公司分析!D$5,1),IF($Y$3="申万二级行业",[1]!s_info_industry_sw_2021(W1687,公司分析!D$5,2),IF($Y$3="申万三级行业",[1]!s_info_industry_sw_2021(W1687,公司分析!D$5,3),IF($Y$3="wind一级行业",[1]!s_info_industry_gics(W1687,1),IF($Y$3="wind二级行业",[1]!s_info_industry_gics(W1687,2),IF($Y$3="wind三级行业",[1]!s_info_industry_gics(W1687,3),IF($Y$3="wind四级行业",[1]!s_info_industry_gics(W1687,4),IF($Y$3="证监会门类行业",[1]!s_info_industry_csrc12_n(W1687,公司分析!D$5,1),""))))))))</f>
        <v>环保设备Ⅱ</v>
      </c>
      <c r="Z1687" s="302" t="str">
        <f ca="1">IF(Y1687=行业比较!$E$6,ROW(),"")</f>
        <v/>
      </c>
      <c r="AA1687" s="122"/>
      <c r="AB1687" s="122"/>
      <c r="AC1687" s="122"/>
      <c r="AD1687" s="122"/>
      <c r="AE1687" s="122"/>
      <c r="AF1687" s="122"/>
      <c r="AG1687" s="122"/>
      <c r="AH1687" s="122"/>
      <c r="AI1687" s="122"/>
      <c r="AJ1687" s="122"/>
      <c r="AK1687" s="122"/>
      <c r="AL1687" s="122"/>
      <c r="AM1687" s="122"/>
      <c r="AN1687" s="122"/>
      <c r="AO1687" s="122"/>
      <c r="AP1687" s="122"/>
    </row>
    <row r="1688" spans="2:42">
      <c r="B1688" s="122"/>
      <c r="C1688" s="122"/>
      <c r="D1688" s="122"/>
      <c r="E1688" s="122"/>
      <c r="F1688" s="122"/>
      <c r="G1688" s="122"/>
      <c r="H1688" s="122"/>
      <c r="I1688" s="275"/>
      <c r="J1688" s="130"/>
      <c r="K1688" s="130"/>
      <c r="L1688" s="130"/>
      <c r="M1688" s="130"/>
      <c r="N1688" s="291"/>
      <c r="O1688" s="291"/>
      <c r="P1688" s="122"/>
      <c r="Q1688" s="122"/>
      <c r="R1688" s="122"/>
      <c r="S1688" s="122"/>
      <c r="T1688" s="122"/>
      <c r="U1688" s="301"/>
      <c r="V1688" s="260">
        <f t="shared" ca="1" si="34"/>
        <v>0</v>
      </c>
      <c r="W1688" s="348" t="str">
        <f>IF(板块成分!B1690="","",板块成分!B1690)</f>
        <v>300211.SZ</v>
      </c>
      <c r="X1688" s="276" t="str">
        <f>[1]!S_Info_Name(W1688)</f>
        <v>*ST亿通</v>
      </c>
      <c r="Y1688" s="276" t="str">
        <f ca="1">IF($Y$3="申万一级行业",[1]!s_info_industry_sw_2021(W1688,公司分析!D$5,1),IF($Y$3="申万二级行业",[1]!s_info_industry_sw_2021(W1688,公司分析!D$5,2),IF($Y$3="申万三级行业",[1]!s_info_industry_sw_2021(W1688,公司分析!D$5,3),IF($Y$3="wind一级行业",[1]!s_info_industry_gics(W1688,1),IF($Y$3="wind二级行业",[1]!s_info_industry_gics(W1688,2),IF($Y$3="wind三级行业",[1]!s_info_industry_gics(W1688,3),IF($Y$3="wind四级行业",[1]!s_info_industry_gics(W1688,4),IF($Y$3="证监会门类行业",[1]!s_info_industry_csrc12_n(W1688,公司分析!D$5,1),""))))))))</f>
        <v>通信服务</v>
      </c>
      <c r="Z1688" s="302" t="str">
        <f ca="1">IF(Y1688=行业比较!$E$6,ROW(),"")</f>
        <v/>
      </c>
      <c r="AA1688" s="122"/>
      <c r="AB1688" s="122"/>
      <c r="AC1688" s="122"/>
      <c r="AD1688" s="122"/>
      <c r="AE1688" s="122"/>
      <c r="AF1688" s="122"/>
      <c r="AG1688" s="122"/>
      <c r="AH1688" s="122"/>
      <c r="AI1688" s="122"/>
      <c r="AJ1688" s="122"/>
      <c r="AK1688" s="122"/>
      <c r="AL1688" s="122"/>
      <c r="AM1688" s="122"/>
      <c r="AN1688" s="122"/>
      <c r="AO1688" s="122"/>
      <c r="AP1688" s="122"/>
    </row>
    <row r="1689" spans="2:42">
      <c r="B1689" s="122"/>
      <c r="C1689" s="122"/>
      <c r="D1689" s="122"/>
      <c r="E1689" s="122"/>
      <c r="F1689" s="122"/>
      <c r="G1689" s="122"/>
      <c r="H1689" s="122"/>
      <c r="I1689" s="275"/>
      <c r="J1689" s="130"/>
      <c r="K1689" s="130"/>
      <c r="L1689" s="130"/>
      <c r="M1689" s="130"/>
      <c r="N1689" s="291"/>
      <c r="O1689" s="291"/>
      <c r="P1689" s="122"/>
      <c r="Q1689" s="122"/>
      <c r="R1689" s="122"/>
      <c r="S1689" s="122"/>
      <c r="T1689" s="122"/>
      <c r="U1689" s="301"/>
      <c r="V1689" s="260">
        <f t="shared" ca="1" si="34"/>
        <v>0</v>
      </c>
      <c r="W1689" s="348" t="str">
        <f>IF(板块成分!B1691="","",板块成分!B1691)</f>
        <v>300212.SZ</v>
      </c>
      <c r="X1689" s="276" t="str">
        <f>[1]!S_Info_Name(W1689)</f>
        <v>易华录</v>
      </c>
      <c r="Y1689" s="276" t="str">
        <f ca="1">IF($Y$3="申万一级行业",[1]!s_info_industry_sw_2021(W1689,公司分析!D$5,1),IF($Y$3="申万二级行业",[1]!s_info_industry_sw_2021(W1689,公司分析!D$5,2),IF($Y$3="申万三级行业",[1]!s_info_industry_sw_2021(W1689,公司分析!D$5,3),IF($Y$3="wind一级行业",[1]!s_info_industry_gics(W1689,1),IF($Y$3="wind二级行业",[1]!s_info_industry_gics(W1689,2),IF($Y$3="wind三级行业",[1]!s_info_industry_gics(W1689,3),IF($Y$3="wind四级行业",[1]!s_info_industry_gics(W1689,4),IF($Y$3="证监会门类行业",[1]!s_info_industry_csrc12_n(W1689,公司分析!D$5,1),""))))))))</f>
        <v>IT服务Ⅱ</v>
      </c>
      <c r="Z1689" s="302" t="str">
        <f ca="1">IF(Y1689=行业比较!$E$6,ROW(),"")</f>
        <v/>
      </c>
      <c r="AA1689" s="122"/>
      <c r="AB1689" s="122"/>
      <c r="AC1689" s="122"/>
      <c r="AD1689" s="122"/>
      <c r="AE1689" s="122"/>
      <c r="AF1689" s="122"/>
      <c r="AG1689" s="122"/>
      <c r="AH1689" s="122"/>
      <c r="AI1689" s="122"/>
      <c r="AJ1689" s="122"/>
      <c r="AK1689" s="122"/>
      <c r="AL1689" s="122"/>
      <c r="AM1689" s="122"/>
      <c r="AN1689" s="122"/>
      <c r="AO1689" s="122"/>
      <c r="AP1689" s="122"/>
    </row>
    <row r="1690" spans="2:42">
      <c r="B1690" s="122"/>
      <c r="C1690" s="122"/>
      <c r="D1690" s="122"/>
      <c r="E1690" s="122"/>
      <c r="F1690" s="122"/>
      <c r="G1690" s="122"/>
      <c r="H1690" s="122"/>
      <c r="I1690" s="275"/>
      <c r="J1690" s="130"/>
      <c r="K1690" s="130"/>
      <c r="L1690" s="130"/>
      <c r="M1690" s="130"/>
      <c r="N1690" s="291"/>
      <c r="O1690" s="291"/>
      <c r="P1690" s="122"/>
      <c r="Q1690" s="122"/>
      <c r="R1690" s="122"/>
      <c r="S1690" s="122"/>
      <c r="T1690" s="122"/>
      <c r="U1690" s="301"/>
      <c r="V1690" s="260">
        <f t="shared" ca="1" si="34"/>
        <v>0</v>
      </c>
      <c r="W1690" s="348" t="str">
        <f>IF(板块成分!B1692="","",板块成分!B1692)</f>
        <v>300213.SZ</v>
      </c>
      <c r="X1690" s="276" t="str">
        <f>[1]!S_Info_Name(W1690)</f>
        <v>佳讯飞鸿</v>
      </c>
      <c r="Y1690" s="276" t="str">
        <f ca="1">IF($Y$3="申万一级行业",[1]!s_info_industry_sw_2021(W1690,公司分析!D$5,1),IF($Y$3="申万二级行业",[1]!s_info_industry_sw_2021(W1690,公司分析!D$5,2),IF($Y$3="申万三级行业",[1]!s_info_industry_sw_2021(W1690,公司分析!D$5,3),IF($Y$3="wind一级行业",[1]!s_info_industry_gics(W1690,1),IF($Y$3="wind二级行业",[1]!s_info_industry_gics(W1690,2),IF($Y$3="wind三级行业",[1]!s_info_industry_gics(W1690,3),IF($Y$3="wind四级行业",[1]!s_info_industry_gics(W1690,4),IF($Y$3="证监会门类行业",[1]!s_info_industry_csrc12_n(W1690,公司分析!D$5,1),""))))))))</f>
        <v>通信设备</v>
      </c>
      <c r="Z1690" s="302" t="str">
        <f ca="1">IF(Y1690=行业比较!$E$6,ROW(),"")</f>
        <v/>
      </c>
      <c r="AA1690" s="122"/>
      <c r="AB1690" s="122"/>
      <c r="AC1690" s="122"/>
      <c r="AD1690" s="122"/>
      <c r="AE1690" s="122"/>
      <c r="AF1690" s="122"/>
      <c r="AG1690" s="122"/>
      <c r="AH1690" s="122"/>
      <c r="AI1690" s="122"/>
      <c r="AJ1690" s="122"/>
      <c r="AK1690" s="122"/>
      <c r="AL1690" s="122"/>
      <c r="AM1690" s="122"/>
      <c r="AN1690" s="122"/>
      <c r="AO1690" s="122"/>
      <c r="AP1690" s="122"/>
    </row>
    <row r="1691" spans="2:42">
      <c r="B1691" s="122"/>
      <c r="C1691" s="122"/>
      <c r="D1691" s="122"/>
      <c r="E1691" s="122"/>
      <c r="F1691" s="122"/>
      <c r="G1691" s="122"/>
      <c r="H1691" s="122"/>
      <c r="I1691" s="275"/>
      <c r="J1691" s="130"/>
      <c r="K1691" s="130"/>
      <c r="L1691" s="130"/>
      <c r="M1691" s="130"/>
      <c r="N1691" s="291"/>
      <c r="O1691" s="291"/>
      <c r="P1691" s="122"/>
      <c r="Q1691" s="122"/>
      <c r="R1691" s="122"/>
      <c r="S1691" s="122"/>
      <c r="T1691" s="122"/>
      <c r="U1691" s="301"/>
      <c r="V1691" s="260">
        <f t="shared" ca="1" si="34"/>
        <v>0</v>
      </c>
      <c r="W1691" s="348" t="str">
        <f>IF(板块成分!B1693="","",板块成分!B1693)</f>
        <v>300214.SZ</v>
      </c>
      <c r="X1691" s="276" t="str">
        <f>[1]!S_Info_Name(W1691)</f>
        <v>日科化学</v>
      </c>
      <c r="Y1691" s="276" t="str">
        <f ca="1">IF($Y$3="申万一级行业",[1]!s_info_industry_sw_2021(W1691,公司分析!D$5,1),IF($Y$3="申万二级行业",[1]!s_info_industry_sw_2021(W1691,公司分析!D$5,2),IF($Y$3="申万三级行业",[1]!s_info_industry_sw_2021(W1691,公司分析!D$5,3),IF($Y$3="wind一级行业",[1]!s_info_industry_gics(W1691,1),IF($Y$3="wind二级行业",[1]!s_info_industry_gics(W1691,2),IF($Y$3="wind三级行业",[1]!s_info_industry_gics(W1691,3),IF($Y$3="wind四级行业",[1]!s_info_industry_gics(W1691,4),IF($Y$3="证监会门类行业",[1]!s_info_industry_csrc12_n(W1691,公司分析!D$5,1),""))))))))</f>
        <v>化学制品</v>
      </c>
      <c r="Z1691" s="302" t="str">
        <f ca="1">IF(Y1691=行业比较!$E$6,ROW(),"")</f>
        <v/>
      </c>
      <c r="AA1691" s="122"/>
      <c r="AB1691" s="122"/>
      <c r="AC1691" s="122"/>
      <c r="AD1691" s="122"/>
      <c r="AE1691" s="122"/>
      <c r="AF1691" s="122"/>
      <c r="AG1691" s="122"/>
      <c r="AH1691" s="122"/>
      <c r="AI1691" s="122"/>
      <c r="AJ1691" s="122"/>
      <c r="AK1691" s="122"/>
      <c r="AL1691" s="122"/>
      <c r="AM1691" s="122"/>
      <c r="AN1691" s="122"/>
      <c r="AO1691" s="122"/>
      <c r="AP1691" s="122"/>
    </row>
    <row r="1692" spans="2:42">
      <c r="B1692" s="122"/>
      <c r="C1692" s="122"/>
      <c r="D1692" s="122"/>
      <c r="E1692" s="122"/>
      <c r="F1692" s="122"/>
      <c r="G1692" s="122"/>
      <c r="H1692" s="122"/>
      <c r="I1692" s="275"/>
      <c r="J1692" s="130"/>
      <c r="K1692" s="130"/>
      <c r="L1692" s="130"/>
      <c r="M1692" s="130"/>
      <c r="N1692" s="291"/>
      <c r="O1692" s="291"/>
      <c r="P1692" s="122"/>
      <c r="Q1692" s="122"/>
      <c r="R1692" s="122"/>
      <c r="S1692" s="122"/>
      <c r="T1692" s="122"/>
      <c r="U1692" s="301"/>
      <c r="V1692" s="260">
        <f t="shared" ca="1" si="34"/>
        <v>0</v>
      </c>
      <c r="W1692" s="348" t="str">
        <f>IF(板块成分!B1694="","",板块成分!B1694)</f>
        <v>300215.SZ</v>
      </c>
      <c r="X1692" s="276" t="str">
        <f>[1]!S_Info_Name(W1692)</f>
        <v>电科院</v>
      </c>
      <c r="Y1692" s="276" t="str">
        <f ca="1">IF($Y$3="申万一级行业",[1]!s_info_industry_sw_2021(W1692,公司分析!D$5,1),IF($Y$3="申万二级行业",[1]!s_info_industry_sw_2021(W1692,公司分析!D$5,2),IF($Y$3="申万三级行业",[1]!s_info_industry_sw_2021(W1692,公司分析!D$5,3),IF($Y$3="wind一级行业",[1]!s_info_industry_gics(W1692,1),IF($Y$3="wind二级行业",[1]!s_info_industry_gics(W1692,2),IF($Y$3="wind三级行业",[1]!s_info_industry_gics(W1692,3),IF($Y$3="wind四级行业",[1]!s_info_industry_gics(W1692,4),IF($Y$3="证监会门类行业",[1]!s_info_industry_csrc12_n(W1692,公司分析!D$5,1),""))))))))</f>
        <v>专业服务</v>
      </c>
      <c r="Z1692" s="302" t="str">
        <f ca="1">IF(Y1692=行业比较!$E$6,ROW(),"")</f>
        <v/>
      </c>
      <c r="AA1692" s="122"/>
      <c r="AB1692" s="122"/>
      <c r="AC1692" s="122"/>
      <c r="AD1692" s="122"/>
      <c r="AE1692" s="122"/>
      <c r="AF1692" s="122"/>
      <c r="AG1692" s="122"/>
      <c r="AH1692" s="122"/>
      <c r="AI1692" s="122"/>
      <c r="AJ1692" s="122"/>
      <c r="AK1692" s="122"/>
      <c r="AL1692" s="122"/>
      <c r="AM1692" s="122"/>
      <c r="AN1692" s="122"/>
      <c r="AO1692" s="122"/>
      <c r="AP1692" s="122"/>
    </row>
    <row r="1693" spans="2:42">
      <c r="B1693" s="122"/>
      <c r="C1693" s="122"/>
      <c r="D1693" s="122"/>
      <c r="E1693" s="122"/>
      <c r="F1693" s="122"/>
      <c r="G1693" s="122"/>
      <c r="H1693" s="122"/>
      <c r="I1693" s="275"/>
      <c r="J1693" s="130"/>
      <c r="K1693" s="130"/>
      <c r="L1693" s="130"/>
      <c r="M1693" s="130"/>
      <c r="N1693" s="291"/>
      <c r="O1693" s="291"/>
      <c r="P1693" s="122"/>
      <c r="Q1693" s="122"/>
      <c r="R1693" s="122"/>
      <c r="S1693" s="122"/>
      <c r="T1693" s="122"/>
      <c r="U1693" s="301"/>
      <c r="V1693" s="260">
        <f t="shared" ca="1" si="34"/>
        <v>0</v>
      </c>
      <c r="W1693" s="348" t="str">
        <f>IF(板块成分!B1695="","",板块成分!B1695)</f>
        <v>300217.SZ</v>
      </c>
      <c r="X1693" s="276" t="str">
        <f>[1]!S_Info_Name(W1693)</f>
        <v>东方电热</v>
      </c>
      <c r="Y1693" s="276" t="str">
        <f ca="1">IF($Y$3="申万一级行业",[1]!s_info_industry_sw_2021(W1693,公司分析!D$5,1),IF($Y$3="申万二级行业",[1]!s_info_industry_sw_2021(W1693,公司分析!D$5,2),IF($Y$3="申万三级行业",[1]!s_info_industry_sw_2021(W1693,公司分析!D$5,3),IF($Y$3="wind一级行业",[1]!s_info_industry_gics(W1693,1),IF($Y$3="wind二级行业",[1]!s_info_industry_gics(W1693,2),IF($Y$3="wind三级行业",[1]!s_info_industry_gics(W1693,3),IF($Y$3="wind四级行业",[1]!s_info_industry_gics(W1693,4),IF($Y$3="证监会门类行业",[1]!s_info_industry_csrc12_n(W1693,公司分析!D$5,1),""))))))))</f>
        <v>家电零部件Ⅱ</v>
      </c>
      <c r="Z1693" s="302" t="str">
        <f ca="1">IF(Y1693=行业比较!$E$6,ROW(),"")</f>
        <v/>
      </c>
      <c r="AA1693" s="122"/>
      <c r="AB1693" s="122"/>
      <c r="AC1693" s="122"/>
      <c r="AD1693" s="122"/>
      <c r="AE1693" s="122"/>
      <c r="AF1693" s="122"/>
      <c r="AG1693" s="122"/>
      <c r="AH1693" s="122"/>
      <c r="AI1693" s="122"/>
      <c r="AJ1693" s="122"/>
      <c r="AK1693" s="122"/>
      <c r="AL1693" s="122"/>
      <c r="AM1693" s="122"/>
      <c r="AN1693" s="122"/>
      <c r="AO1693" s="122"/>
      <c r="AP1693" s="122"/>
    </row>
    <row r="1694" spans="2:42">
      <c r="B1694" s="122"/>
      <c r="C1694" s="122"/>
      <c r="D1694" s="122"/>
      <c r="E1694" s="122"/>
      <c r="F1694" s="122"/>
      <c r="G1694" s="122"/>
      <c r="H1694" s="122"/>
      <c r="I1694" s="275"/>
      <c r="J1694" s="130"/>
      <c r="K1694" s="130"/>
      <c r="L1694" s="130"/>
      <c r="M1694" s="130"/>
      <c r="N1694" s="291"/>
      <c r="O1694" s="291"/>
      <c r="P1694" s="122"/>
      <c r="Q1694" s="122"/>
      <c r="R1694" s="122"/>
      <c r="S1694" s="122"/>
      <c r="T1694" s="122"/>
      <c r="U1694" s="301"/>
      <c r="V1694" s="260">
        <f t="shared" ca="1" si="34"/>
        <v>0</v>
      </c>
      <c r="W1694" s="348" t="str">
        <f>IF(板块成分!B1696="","",板块成分!B1696)</f>
        <v>300218.SZ</v>
      </c>
      <c r="X1694" s="276" t="str">
        <f>[1]!S_Info_Name(W1694)</f>
        <v>安利股份</v>
      </c>
      <c r="Y1694" s="276" t="str">
        <f ca="1">IF($Y$3="申万一级行业",[1]!s_info_industry_sw_2021(W1694,公司分析!D$5,1),IF($Y$3="申万二级行业",[1]!s_info_industry_sw_2021(W1694,公司分析!D$5,2),IF($Y$3="申万三级行业",[1]!s_info_industry_sw_2021(W1694,公司分析!D$5,3),IF($Y$3="wind一级行业",[1]!s_info_industry_gics(W1694,1),IF($Y$3="wind二级行业",[1]!s_info_industry_gics(W1694,2),IF($Y$3="wind三级行业",[1]!s_info_industry_gics(W1694,3),IF($Y$3="wind四级行业",[1]!s_info_industry_gics(W1694,4),IF($Y$3="证监会门类行业",[1]!s_info_industry_csrc12_n(W1694,公司分析!D$5,1),""))))))))</f>
        <v>塑料</v>
      </c>
      <c r="Z1694" s="302" t="str">
        <f ca="1">IF(Y1694=行业比较!$E$6,ROW(),"")</f>
        <v/>
      </c>
      <c r="AA1694" s="122"/>
      <c r="AB1694" s="122"/>
      <c r="AC1694" s="122"/>
      <c r="AD1694" s="122"/>
      <c r="AE1694" s="122"/>
      <c r="AF1694" s="122"/>
      <c r="AG1694" s="122"/>
      <c r="AH1694" s="122"/>
      <c r="AI1694" s="122"/>
      <c r="AJ1694" s="122"/>
      <c r="AK1694" s="122"/>
      <c r="AL1694" s="122"/>
      <c r="AM1694" s="122"/>
      <c r="AN1694" s="122"/>
      <c r="AO1694" s="122"/>
      <c r="AP1694" s="122"/>
    </row>
    <row r="1695" spans="2:42">
      <c r="B1695" s="122"/>
      <c r="C1695" s="122"/>
      <c r="D1695" s="122"/>
      <c r="E1695" s="122"/>
      <c r="F1695" s="122"/>
      <c r="G1695" s="122"/>
      <c r="H1695" s="122"/>
      <c r="I1695" s="275"/>
      <c r="J1695" s="130"/>
      <c r="K1695" s="130"/>
      <c r="L1695" s="130"/>
      <c r="M1695" s="130"/>
      <c r="N1695" s="291"/>
      <c r="O1695" s="291"/>
      <c r="P1695" s="122"/>
      <c r="Q1695" s="122"/>
      <c r="R1695" s="122"/>
      <c r="S1695" s="122"/>
      <c r="T1695" s="122"/>
      <c r="U1695" s="301"/>
      <c r="V1695" s="260">
        <f t="shared" ca="1" si="34"/>
        <v>0</v>
      </c>
      <c r="W1695" s="348" t="str">
        <f>IF(板块成分!B1697="","",板块成分!B1697)</f>
        <v>300219.SZ</v>
      </c>
      <c r="X1695" s="276" t="str">
        <f>[1]!S_Info_Name(W1695)</f>
        <v>鸿利智汇</v>
      </c>
      <c r="Y1695" s="276" t="str">
        <f ca="1">IF($Y$3="申万一级行业",[1]!s_info_industry_sw_2021(W1695,公司分析!D$5,1),IF($Y$3="申万二级行业",[1]!s_info_industry_sw_2021(W1695,公司分析!D$5,2),IF($Y$3="申万三级行业",[1]!s_info_industry_sw_2021(W1695,公司分析!D$5,3),IF($Y$3="wind一级行业",[1]!s_info_industry_gics(W1695,1),IF($Y$3="wind二级行业",[1]!s_info_industry_gics(W1695,2),IF($Y$3="wind三级行业",[1]!s_info_industry_gics(W1695,3),IF($Y$3="wind四级行业",[1]!s_info_industry_gics(W1695,4),IF($Y$3="证监会门类行业",[1]!s_info_industry_csrc12_n(W1695,公司分析!D$5,1),""))))))))</f>
        <v>光学光电子</v>
      </c>
      <c r="Z1695" s="302" t="str">
        <f ca="1">IF(Y1695=行业比较!$E$6,ROW(),"")</f>
        <v/>
      </c>
      <c r="AA1695" s="122"/>
      <c r="AB1695" s="122"/>
      <c r="AC1695" s="122"/>
      <c r="AD1695" s="122"/>
      <c r="AE1695" s="122"/>
      <c r="AF1695" s="122"/>
      <c r="AG1695" s="122"/>
      <c r="AH1695" s="122"/>
      <c r="AI1695" s="122"/>
      <c r="AJ1695" s="122"/>
      <c r="AK1695" s="122"/>
      <c r="AL1695" s="122"/>
      <c r="AM1695" s="122"/>
      <c r="AN1695" s="122"/>
      <c r="AO1695" s="122"/>
      <c r="AP1695" s="122"/>
    </row>
    <row r="1696" spans="2:42">
      <c r="B1696" s="122"/>
      <c r="C1696" s="122"/>
      <c r="D1696" s="122"/>
      <c r="E1696" s="122"/>
      <c r="F1696" s="122"/>
      <c r="G1696" s="122"/>
      <c r="H1696" s="122"/>
      <c r="I1696" s="275"/>
      <c r="J1696" s="130"/>
      <c r="K1696" s="130"/>
      <c r="L1696" s="130"/>
      <c r="M1696" s="130"/>
      <c r="N1696" s="291"/>
      <c r="O1696" s="291"/>
      <c r="P1696" s="122"/>
      <c r="Q1696" s="122"/>
      <c r="R1696" s="122"/>
      <c r="S1696" s="122"/>
      <c r="T1696" s="122"/>
      <c r="U1696" s="301"/>
      <c r="V1696" s="260">
        <f t="shared" ca="1" si="34"/>
        <v>0</v>
      </c>
      <c r="W1696" s="348" t="str">
        <f>IF(板块成分!B1698="","",板块成分!B1698)</f>
        <v>300220.SZ</v>
      </c>
      <c r="X1696" s="276" t="str">
        <f>[1]!S_Info_Name(W1696)</f>
        <v>金运激光</v>
      </c>
      <c r="Y1696" s="276" t="str">
        <f ca="1">IF($Y$3="申万一级行业",[1]!s_info_industry_sw_2021(W1696,公司分析!D$5,1),IF($Y$3="申万二级行业",[1]!s_info_industry_sw_2021(W1696,公司分析!D$5,2),IF($Y$3="申万三级行业",[1]!s_info_industry_sw_2021(W1696,公司分析!D$5,3),IF($Y$3="wind一级行业",[1]!s_info_industry_gics(W1696,1),IF($Y$3="wind二级行业",[1]!s_info_industry_gics(W1696,2),IF($Y$3="wind三级行业",[1]!s_info_industry_gics(W1696,3),IF($Y$3="wind四级行业",[1]!s_info_industry_gics(W1696,4),IF($Y$3="证监会门类行业",[1]!s_info_industry_csrc12_n(W1696,公司分析!D$5,1),""))))))))</f>
        <v>文娱用品</v>
      </c>
      <c r="Z1696" s="302" t="str">
        <f ca="1">IF(Y1696=行业比较!$E$6,ROW(),"")</f>
        <v/>
      </c>
      <c r="AA1696" s="122"/>
      <c r="AB1696" s="122"/>
      <c r="AC1696" s="122"/>
      <c r="AD1696" s="122"/>
      <c r="AE1696" s="122"/>
      <c r="AF1696" s="122"/>
      <c r="AG1696" s="122"/>
      <c r="AH1696" s="122"/>
      <c r="AI1696" s="122"/>
      <c r="AJ1696" s="122"/>
      <c r="AK1696" s="122"/>
      <c r="AL1696" s="122"/>
      <c r="AM1696" s="122"/>
      <c r="AN1696" s="122"/>
      <c r="AO1696" s="122"/>
      <c r="AP1696" s="122"/>
    </row>
    <row r="1697" spans="2:42">
      <c r="B1697" s="122"/>
      <c r="C1697" s="122"/>
      <c r="D1697" s="122"/>
      <c r="E1697" s="122"/>
      <c r="F1697" s="122"/>
      <c r="G1697" s="122"/>
      <c r="H1697" s="122"/>
      <c r="I1697" s="275"/>
      <c r="J1697" s="130"/>
      <c r="K1697" s="130"/>
      <c r="L1697" s="130"/>
      <c r="M1697" s="130"/>
      <c r="N1697" s="291"/>
      <c r="O1697" s="291"/>
      <c r="P1697" s="122"/>
      <c r="Q1697" s="122"/>
      <c r="R1697" s="122"/>
      <c r="S1697" s="122"/>
      <c r="T1697" s="122"/>
      <c r="U1697" s="301"/>
      <c r="V1697" s="260">
        <f t="shared" ca="1" si="34"/>
        <v>0</v>
      </c>
      <c r="W1697" s="348" t="str">
        <f>IF(板块成分!B1699="","",板块成分!B1699)</f>
        <v>300221.SZ</v>
      </c>
      <c r="X1697" s="276" t="str">
        <f>[1]!S_Info_Name(W1697)</f>
        <v>银禧科技</v>
      </c>
      <c r="Y1697" s="276" t="str">
        <f ca="1">IF($Y$3="申万一级行业",[1]!s_info_industry_sw_2021(W1697,公司分析!D$5,1),IF($Y$3="申万二级行业",[1]!s_info_industry_sw_2021(W1697,公司分析!D$5,2),IF($Y$3="申万三级行业",[1]!s_info_industry_sw_2021(W1697,公司分析!D$5,3),IF($Y$3="wind一级行业",[1]!s_info_industry_gics(W1697,1),IF($Y$3="wind二级行业",[1]!s_info_industry_gics(W1697,2),IF($Y$3="wind三级行业",[1]!s_info_industry_gics(W1697,3),IF($Y$3="wind四级行业",[1]!s_info_industry_gics(W1697,4),IF($Y$3="证监会门类行业",[1]!s_info_industry_csrc12_n(W1697,公司分析!D$5,1),""))))))))</f>
        <v>塑料</v>
      </c>
      <c r="Z1697" s="302" t="str">
        <f ca="1">IF(Y1697=行业比较!$E$6,ROW(),"")</f>
        <v/>
      </c>
      <c r="AA1697" s="122"/>
      <c r="AB1697" s="122"/>
      <c r="AC1697" s="122"/>
      <c r="AD1697" s="122"/>
      <c r="AE1697" s="122"/>
      <c r="AF1697" s="122"/>
      <c r="AG1697" s="122"/>
      <c r="AH1697" s="122"/>
      <c r="AI1697" s="122"/>
      <c r="AJ1697" s="122"/>
      <c r="AK1697" s="122"/>
      <c r="AL1697" s="122"/>
      <c r="AM1697" s="122"/>
      <c r="AN1697" s="122"/>
      <c r="AO1697" s="122"/>
      <c r="AP1697" s="122"/>
    </row>
    <row r="1698" spans="2:42">
      <c r="B1698" s="122"/>
      <c r="C1698" s="122"/>
      <c r="D1698" s="122"/>
      <c r="E1698" s="122"/>
      <c r="F1698" s="122"/>
      <c r="G1698" s="122"/>
      <c r="H1698" s="122"/>
      <c r="I1698" s="275"/>
      <c r="J1698" s="130"/>
      <c r="K1698" s="130"/>
      <c r="L1698" s="130"/>
      <c r="M1698" s="130"/>
      <c r="N1698" s="291"/>
      <c r="O1698" s="291"/>
      <c r="P1698" s="122"/>
      <c r="Q1698" s="122"/>
      <c r="R1698" s="122"/>
      <c r="S1698" s="122"/>
      <c r="T1698" s="122"/>
      <c r="U1698" s="301"/>
      <c r="V1698" s="260">
        <f t="shared" ca="1" si="34"/>
        <v>0</v>
      </c>
      <c r="W1698" s="348" t="str">
        <f>IF(板块成分!B1700="","",板块成分!B1700)</f>
        <v>300222.SZ</v>
      </c>
      <c r="X1698" s="276" t="str">
        <f>[1]!S_Info_Name(W1698)</f>
        <v>科大智能</v>
      </c>
      <c r="Y1698" s="276" t="str">
        <f ca="1">IF($Y$3="申万一级行业",[1]!s_info_industry_sw_2021(W1698,公司分析!D$5,1),IF($Y$3="申万二级行业",[1]!s_info_industry_sw_2021(W1698,公司分析!D$5,2),IF($Y$3="申万三级行业",[1]!s_info_industry_sw_2021(W1698,公司分析!D$5,3),IF($Y$3="wind一级行业",[1]!s_info_industry_gics(W1698,1),IF($Y$3="wind二级行业",[1]!s_info_industry_gics(W1698,2),IF($Y$3="wind三级行业",[1]!s_info_industry_gics(W1698,3),IF($Y$3="wind四级行业",[1]!s_info_industry_gics(W1698,4),IF($Y$3="证监会门类行业",[1]!s_info_industry_csrc12_n(W1698,公司分析!D$5,1),""))))))))</f>
        <v>电网设备</v>
      </c>
      <c r="Z1698" s="302" t="str">
        <f ca="1">IF(Y1698=行业比较!$E$6,ROW(),"")</f>
        <v/>
      </c>
      <c r="AA1698" s="122"/>
      <c r="AB1698" s="122"/>
      <c r="AC1698" s="122"/>
      <c r="AD1698" s="122"/>
      <c r="AE1698" s="122"/>
      <c r="AF1698" s="122"/>
      <c r="AG1698" s="122"/>
      <c r="AH1698" s="122"/>
      <c r="AI1698" s="122"/>
      <c r="AJ1698" s="122"/>
      <c r="AK1698" s="122"/>
      <c r="AL1698" s="122"/>
      <c r="AM1698" s="122"/>
      <c r="AN1698" s="122"/>
      <c r="AO1698" s="122"/>
      <c r="AP1698" s="122"/>
    </row>
    <row r="1699" spans="2:42">
      <c r="B1699" s="122"/>
      <c r="C1699" s="122"/>
      <c r="D1699" s="122"/>
      <c r="E1699" s="122"/>
      <c r="F1699" s="122"/>
      <c r="G1699" s="122"/>
      <c r="H1699" s="122"/>
      <c r="I1699" s="275"/>
      <c r="J1699" s="130"/>
      <c r="K1699" s="130"/>
      <c r="L1699" s="130"/>
      <c r="M1699" s="130"/>
      <c r="N1699" s="291"/>
      <c r="O1699" s="291"/>
      <c r="P1699" s="122"/>
      <c r="Q1699" s="122"/>
      <c r="R1699" s="122"/>
      <c r="S1699" s="122"/>
      <c r="T1699" s="122"/>
      <c r="U1699" s="301"/>
      <c r="V1699" s="260">
        <f t="shared" ca="1" si="34"/>
        <v>0</v>
      </c>
      <c r="W1699" s="348" t="str">
        <f>IF(板块成分!B1701="","",板块成分!B1701)</f>
        <v>300223.SZ</v>
      </c>
      <c r="X1699" s="276" t="str">
        <f>[1]!S_Info_Name(W1699)</f>
        <v>北京君正</v>
      </c>
      <c r="Y1699" s="276" t="str">
        <f ca="1">IF($Y$3="申万一级行业",[1]!s_info_industry_sw_2021(W1699,公司分析!D$5,1),IF($Y$3="申万二级行业",[1]!s_info_industry_sw_2021(W1699,公司分析!D$5,2),IF($Y$3="申万三级行业",[1]!s_info_industry_sw_2021(W1699,公司分析!D$5,3),IF($Y$3="wind一级行业",[1]!s_info_industry_gics(W1699,1),IF($Y$3="wind二级行业",[1]!s_info_industry_gics(W1699,2),IF($Y$3="wind三级行业",[1]!s_info_industry_gics(W1699,3),IF($Y$3="wind四级行业",[1]!s_info_industry_gics(W1699,4),IF($Y$3="证监会门类行业",[1]!s_info_industry_csrc12_n(W1699,公司分析!D$5,1),""))))))))</f>
        <v>半导体</v>
      </c>
      <c r="Z1699" s="302" t="str">
        <f ca="1">IF(Y1699=行业比较!$E$6,ROW(),"")</f>
        <v/>
      </c>
      <c r="AA1699" s="122"/>
      <c r="AB1699" s="122"/>
      <c r="AC1699" s="122"/>
      <c r="AD1699" s="122"/>
      <c r="AE1699" s="122"/>
      <c r="AF1699" s="122"/>
      <c r="AG1699" s="122"/>
      <c r="AH1699" s="122"/>
      <c r="AI1699" s="122"/>
      <c r="AJ1699" s="122"/>
      <c r="AK1699" s="122"/>
      <c r="AL1699" s="122"/>
      <c r="AM1699" s="122"/>
      <c r="AN1699" s="122"/>
      <c r="AO1699" s="122"/>
      <c r="AP1699" s="122"/>
    </row>
    <row r="1700" spans="2:42">
      <c r="B1700" s="122"/>
      <c r="C1700" s="122"/>
      <c r="D1700" s="122"/>
      <c r="E1700" s="122"/>
      <c r="F1700" s="122"/>
      <c r="G1700" s="122"/>
      <c r="H1700" s="122"/>
      <c r="I1700" s="275"/>
      <c r="J1700" s="130"/>
      <c r="K1700" s="130"/>
      <c r="L1700" s="130"/>
      <c r="M1700" s="130"/>
      <c r="N1700" s="291"/>
      <c r="O1700" s="291"/>
      <c r="P1700" s="122"/>
      <c r="Q1700" s="122"/>
      <c r="R1700" s="122"/>
      <c r="S1700" s="122"/>
      <c r="T1700" s="122"/>
      <c r="U1700" s="301"/>
      <c r="V1700" s="260">
        <f t="shared" ca="1" si="34"/>
        <v>0</v>
      </c>
      <c r="W1700" s="348" t="str">
        <f>IF(板块成分!B1702="","",板块成分!B1702)</f>
        <v>300224.SZ</v>
      </c>
      <c r="X1700" s="276" t="str">
        <f>[1]!S_Info_Name(W1700)</f>
        <v>正海磁材</v>
      </c>
      <c r="Y1700" s="276" t="str">
        <f ca="1">IF($Y$3="申万一级行业",[1]!s_info_industry_sw_2021(W1700,公司分析!D$5,1),IF($Y$3="申万二级行业",[1]!s_info_industry_sw_2021(W1700,公司分析!D$5,2),IF($Y$3="申万三级行业",[1]!s_info_industry_sw_2021(W1700,公司分析!D$5,3),IF($Y$3="wind一级行业",[1]!s_info_industry_gics(W1700,1),IF($Y$3="wind二级行业",[1]!s_info_industry_gics(W1700,2),IF($Y$3="wind三级行业",[1]!s_info_industry_gics(W1700,3),IF($Y$3="wind四级行业",[1]!s_info_industry_gics(W1700,4),IF($Y$3="证监会门类行业",[1]!s_info_industry_csrc12_n(W1700,公司分析!D$5,1),""))))))))</f>
        <v>金属新材料</v>
      </c>
      <c r="Z1700" s="302" t="str">
        <f ca="1">IF(Y1700=行业比较!$E$6,ROW(),"")</f>
        <v/>
      </c>
      <c r="AA1700" s="122"/>
      <c r="AB1700" s="122"/>
      <c r="AC1700" s="122"/>
      <c r="AD1700" s="122"/>
      <c r="AE1700" s="122"/>
      <c r="AF1700" s="122"/>
      <c r="AG1700" s="122"/>
      <c r="AH1700" s="122"/>
      <c r="AI1700" s="122"/>
      <c r="AJ1700" s="122"/>
      <c r="AK1700" s="122"/>
      <c r="AL1700" s="122"/>
      <c r="AM1700" s="122"/>
      <c r="AN1700" s="122"/>
      <c r="AO1700" s="122"/>
      <c r="AP1700" s="122"/>
    </row>
    <row r="1701" spans="2:42">
      <c r="B1701" s="122"/>
      <c r="C1701" s="122"/>
      <c r="D1701" s="122"/>
      <c r="E1701" s="122"/>
      <c r="F1701" s="122"/>
      <c r="G1701" s="122"/>
      <c r="H1701" s="122"/>
      <c r="I1701" s="275"/>
      <c r="J1701" s="130"/>
      <c r="K1701" s="130"/>
      <c r="L1701" s="130"/>
      <c r="M1701" s="130"/>
      <c r="N1701" s="291"/>
      <c r="O1701" s="291"/>
      <c r="P1701" s="122"/>
      <c r="Q1701" s="122"/>
      <c r="R1701" s="122"/>
      <c r="S1701" s="122"/>
      <c r="T1701" s="122"/>
      <c r="U1701" s="301"/>
      <c r="V1701" s="260">
        <f t="shared" ca="1" si="34"/>
        <v>0</v>
      </c>
      <c r="W1701" s="348" t="str">
        <f>IF(板块成分!B1703="","",板块成分!B1703)</f>
        <v>300225.SZ</v>
      </c>
      <c r="X1701" s="276" t="str">
        <f>[1]!S_Info_Name(W1701)</f>
        <v>*ST金泰</v>
      </c>
      <c r="Y1701" s="276" t="str">
        <f ca="1">IF($Y$3="申万一级行业",[1]!s_info_industry_sw_2021(W1701,公司分析!D$5,1),IF($Y$3="申万二级行业",[1]!s_info_industry_sw_2021(W1701,公司分析!D$5,2),IF($Y$3="申万三级行业",[1]!s_info_industry_sw_2021(W1701,公司分析!D$5,3),IF($Y$3="wind一级行业",[1]!s_info_industry_gics(W1701,1),IF($Y$3="wind二级行业",[1]!s_info_industry_gics(W1701,2),IF($Y$3="wind三级行业",[1]!s_info_industry_gics(W1701,3),IF($Y$3="wind四级行业",[1]!s_info_industry_gics(W1701,4),IF($Y$3="证监会门类行业",[1]!s_info_industry_csrc12_n(W1701,公司分析!D$5,1),""))))))))</f>
        <v>化学制品</v>
      </c>
      <c r="Z1701" s="302" t="str">
        <f ca="1">IF(Y1701=行业比较!$E$6,ROW(),"")</f>
        <v/>
      </c>
      <c r="AA1701" s="122"/>
      <c r="AB1701" s="122"/>
      <c r="AC1701" s="122"/>
      <c r="AD1701" s="122"/>
      <c r="AE1701" s="122"/>
      <c r="AF1701" s="122"/>
      <c r="AG1701" s="122"/>
      <c r="AH1701" s="122"/>
      <c r="AI1701" s="122"/>
      <c r="AJ1701" s="122"/>
      <c r="AK1701" s="122"/>
      <c r="AL1701" s="122"/>
      <c r="AM1701" s="122"/>
      <c r="AN1701" s="122"/>
      <c r="AO1701" s="122"/>
      <c r="AP1701" s="122"/>
    </row>
    <row r="1702" spans="2:42">
      <c r="B1702" s="122"/>
      <c r="C1702" s="122"/>
      <c r="D1702" s="122"/>
      <c r="E1702" s="122"/>
      <c r="F1702" s="122"/>
      <c r="G1702" s="122"/>
      <c r="H1702" s="122"/>
      <c r="I1702" s="275"/>
      <c r="J1702" s="130"/>
      <c r="K1702" s="130"/>
      <c r="L1702" s="130"/>
      <c r="M1702" s="130"/>
      <c r="N1702" s="291"/>
      <c r="O1702" s="291"/>
      <c r="P1702" s="122"/>
      <c r="Q1702" s="122"/>
      <c r="R1702" s="122"/>
      <c r="S1702" s="122"/>
      <c r="T1702" s="122"/>
      <c r="U1702" s="301"/>
      <c r="V1702" s="260">
        <f t="shared" ca="1" si="34"/>
        <v>0</v>
      </c>
      <c r="W1702" s="348" t="str">
        <f>IF(板块成分!B1704="","",板块成分!B1704)</f>
        <v>300226.SZ</v>
      </c>
      <c r="X1702" s="276" t="str">
        <f>[1]!S_Info_Name(W1702)</f>
        <v>上海钢联</v>
      </c>
      <c r="Y1702" s="276" t="str">
        <f ca="1">IF($Y$3="申万一级行业",[1]!s_info_industry_sw_2021(W1702,公司分析!D$5,1),IF($Y$3="申万二级行业",[1]!s_info_industry_sw_2021(W1702,公司分析!D$5,2),IF($Y$3="申万三级行业",[1]!s_info_industry_sw_2021(W1702,公司分析!D$5,3),IF($Y$3="wind一级行业",[1]!s_info_industry_gics(W1702,1),IF($Y$3="wind二级行业",[1]!s_info_industry_gics(W1702,2),IF($Y$3="wind三级行业",[1]!s_info_industry_gics(W1702,3),IF($Y$3="wind四级行业",[1]!s_info_industry_gics(W1702,4),IF($Y$3="证监会门类行业",[1]!s_info_industry_csrc12_n(W1702,公司分析!D$5,1),""))))))))</f>
        <v>软件开发</v>
      </c>
      <c r="Z1702" s="302" t="str">
        <f ca="1">IF(Y1702=行业比较!$E$6,ROW(),"")</f>
        <v/>
      </c>
      <c r="AA1702" s="122"/>
      <c r="AB1702" s="122"/>
      <c r="AC1702" s="122"/>
      <c r="AD1702" s="122"/>
      <c r="AE1702" s="122"/>
      <c r="AF1702" s="122"/>
      <c r="AG1702" s="122"/>
      <c r="AH1702" s="122"/>
      <c r="AI1702" s="122"/>
      <c r="AJ1702" s="122"/>
      <c r="AK1702" s="122"/>
      <c r="AL1702" s="122"/>
      <c r="AM1702" s="122"/>
      <c r="AN1702" s="122"/>
      <c r="AO1702" s="122"/>
      <c r="AP1702" s="122"/>
    </row>
    <row r="1703" spans="2:42">
      <c r="B1703" s="122"/>
      <c r="C1703" s="122"/>
      <c r="D1703" s="122"/>
      <c r="E1703" s="122"/>
      <c r="F1703" s="122"/>
      <c r="G1703" s="122"/>
      <c r="H1703" s="122"/>
      <c r="I1703" s="275"/>
      <c r="J1703" s="130"/>
      <c r="K1703" s="130"/>
      <c r="L1703" s="130"/>
      <c r="M1703" s="130"/>
      <c r="N1703" s="291"/>
      <c r="O1703" s="291"/>
      <c r="P1703" s="122"/>
      <c r="Q1703" s="122"/>
      <c r="R1703" s="122"/>
      <c r="S1703" s="122"/>
      <c r="T1703" s="122"/>
      <c r="U1703" s="301"/>
      <c r="V1703" s="260">
        <f t="shared" ca="1" si="34"/>
        <v>0</v>
      </c>
      <c r="W1703" s="348" t="str">
        <f>IF(板块成分!B1705="","",板块成分!B1705)</f>
        <v>300227.SZ</v>
      </c>
      <c r="X1703" s="276" t="str">
        <f>[1]!S_Info_Name(W1703)</f>
        <v>光韵达</v>
      </c>
      <c r="Y1703" s="276" t="str">
        <f ca="1">IF($Y$3="申万一级行业",[1]!s_info_industry_sw_2021(W1703,公司分析!D$5,1),IF($Y$3="申万二级行业",[1]!s_info_industry_sw_2021(W1703,公司分析!D$5,2),IF($Y$3="申万三级行业",[1]!s_info_industry_sw_2021(W1703,公司分析!D$5,3),IF($Y$3="wind一级行业",[1]!s_info_industry_gics(W1703,1),IF($Y$3="wind二级行业",[1]!s_info_industry_gics(W1703,2),IF($Y$3="wind三级行业",[1]!s_info_industry_gics(W1703,3),IF($Y$3="wind四级行业",[1]!s_info_industry_gics(W1703,4),IF($Y$3="证监会门类行业",[1]!s_info_industry_csrc12_n(W1703,公司分析!D$5,1),""))))))))</f>
        <v>自动化设备</v>
      </c>
      <c r="Z1703" s="302" t="str">
        <f ca="1">IF(Y1703=行业比较!$E$6,ROW(),"")</f>
        <v/>
      </c>
      <c r="AA1703" s="122"/>
      <c r="AB1703" s="122"/>
      <c r="AC1703" s="122"/>
      <c r="AD1703" s="122"/>
      <c r="AE1703" s="122"/>
      <c r="AF1703" s="122"/>
      <c r="AG1703" s="122"/>
      <c r="AH1703" s="122"/>
      <c r="AI1703" s="122"/>
      <c r="AJ1703" s="122"/>
      <c r="AK1703" s="122"/>
      <c r="AL1703" s="122"/>
      <c r="AM1703" s="122"/>
      <c r="AN1703" s="122"/>
      <c r="AO1703" s="122"/>
      <c r="AP1703" s="122"/>
    </row>
    <row r="1704" spans="2:42">
      <c r="B1704" s="122"/>
      <c r="C1704" s="122"/>
      <c r="D1704" s="122"/>
      <c r="E1704" s="122"/>
      <c r="F1704" s="122"/>
      <c r="G1704" s="122"/>
      <c r="H1704" s="122"/>
      <c r="I1704" s="275"/>
      <c r="J1704" s="130"/>
      <c r="K1704" s="130"/>
      <c r="L1704" s="130"/>
      <c r="M1704" s="130"/>
      <c r="N1704" s="291"/>
      <c r="O1704" s="291"/>
      <c r="P1704" s="122"/>
      <c r="Q1704" s="122"/>
      <c r="R1704" s="122"/>
      <c r="S1704" s="122"/>
      <c r="T1704" s="122"/>
      <c r="U1704" s="301"/>
      <c r="V1704" s="260">
        <f t="shared" ca="1" si="34"/>
        <v>0</v>
      </c>
      <c r="W1704" s="348" t="str">
        <f>IF(板块成分!B1706="","",板块成分!B1706)</f>
        <v>300228.SZ</v>
      </c>
      <c r="X1704" s="276" t="str">
        <f>[1]!S_Info_Name(W1704)</f>
        <v>富瑞特装</v>
      </c>
      <c r="Y1704" s="276" t="str">
        <f ca="1">IF($Y$3="申万一级行业",[1]!s_info_industry_sw_2021(W1704,公司分析!D$5,1),IF($Y$3="申万二级行业",[1]!s_info_industry_sw_2021(W1704,公司分析!D$5,2),IF($Y$3="申万三级行业",[1]!s_info_industry_sw_2021(W1704,公司分析!D$5,3),IF($Y$3="wind一级行业",[1]!s_info_industry_gics(W1704,1),IF($Y$3="wind二级行业",[1]!s_info_industry_gics(W1704,2),IF($Y$3="wind三级行业",[1]!s_info_industry_gics(W1704,3),IF($Y$3="wind四级行业",[1]!s_info_industry_gics(W1704,4),IF($Y$3="证监会门类行业",[1]!s_info_industry_csrc12_n(W1704,公司分析!D$5,1),""))))))))</f>
        <v>通用设备</v>
      </c>
      <c r="Z1704" s="302" t="str">
        <f ca="1">IF(Y1704=行业比较!$E$6,ROW(),"")</f>
        <v/>
      </c>
      <c r="AA1704" s="122"/>
      <c r="AB1704" s="122"/>
      <c r="AC1704" s="122"/>
      <c r="AD1704" s="122"/>
      <c r="AE1704" s="122"/>
      <c r="AF1704" s="122"/>
      <c r="AG1704" s="122"/>
      <c r="AH1704" s="122"/>
      <c r="AI1704" s="122"/>
      <c r="AJ1704" s="122"/>
      <c r="AK1704" s="122"/>
      <c r="AL1704" s="122"/>
      <c r="AM1704" s="122"/>
      <c r="AN1704" s="122"/>
      <c r="AO1704" s="122"/>
      <c r="AP1704" s="122"/>
    </row>
    <row r="1705" spans="2:42">
      <c r="B1705" s="122"/>
      <c r="C1705" s="122"/>
      <c r="D1705" s="122"/>
      <c r="E1705" s="122"/>
      <c r="F1705" s="122"/>
      <c r="G1705" s="122"/>
      <c r="H1705" s="122"/>
      <c r="I1705" s="275"/>
      <c r="J1705" s="130"/>
      <c r="K1705" s="130"/>
      <c r="L1705" s="130"/>
      <c r="M1705" s="130"/>
      <c r="N1705" s="291"/>
      <c r="O1705" s="291"/>
      <c r="P1705" s="122"/>
      <c r="Q1705" s="122"/>
      <c r="R1705" s="122"/>
      <c r="S1705" s="122"/>
      <c r="T1705" s="122"/>
      <c r="U1705" s="301"/>
      <c r="V1705" s="260">
        <f t="shared" ca="1" si="34"/>
        <v>0</v>
      </c>
      <c r="W1705" s="348" t="str">
        <f>IF(板块成分!B1707="","",板块成分!B1707)</f>
        <v>300229.SZ</v>
      </c>
      <c r="X1705" s="276" t="str">
        <f>[1]!S_Info_Name(W1705)</f>
        <v>拓尔思</v>
      </c>
      <c r="Y1705" s="276" t="str">
        <f ca="1">IF($Y$3="申万一级行业",[1]!s_info_industry_sw_2021(W1705,公司分析!D$5,1),IF($Y$3="申万二级行业",[1]!s_info_industry_sw_2021(W1705,公司分析!D$5,2),IF($Y$3="申万三级行业",[1]!s_info_industry_sw_2021(W1705,公司分析!D$5,3),IF($Y$3="wind一级行业",[1]!s_info_industry_gics(W1705,1),IF($Y$3="wind二级行业",[1]!s_info_industry_gics(W1705,2),IF($Y$3="wind三级行业",[1]!s_info_industry_gics(W1705,3),IF($Y$3="wind四级行业",[1]!s_info_industry_gics(W1705,4),IF($Y$3="证监会门类行业",[1]!s_info_industry_csrc12_n(W1705,公司分析!D$5,1),""))))))))</f>
        <v>软件开发</v>
      </c>
      <c r="Z1705" s="302" t="str">
        <f ca="1">IF(Y1705=行业比较!$E$6,ROW(),"")</f>
        <v/>
      </c>
      <c r="AA1705" s="122"/>
      <c r="AB1705" s="122"/>
      <c r="AC1705" s="122"/>
      <c r="AD1705" s="122"/>
      <c r="AE1705" s="122"/>
      <c r="AF1705" s="122"/>
      <c r="AG1705" s="122"/>
      <c r="AH1705" s="122"/>
      <c r="AI1705" s="122"/>
      <c r="AJ1705" s="122"/>
      <c r="AK1705" s="122"/>
      <c r="AL1705" s="122"/>
      <c r="AM1705" s="122"/>
      <c r="AN1705" s="122"/>
      <c r="AO1705" s="122"/>
      <c r="AP1705" s="122"/>
    </row>
    <row r="1706" spans="2:42">
      <c r="B1706" s="122"/>
      <c r="C1706" s="122"/>
      <c r="D1706" s="122"/>
      <c r="E1706" s="122"/>
      <c r="F1706" s="122"/>
      <c r="G1706" s="122"/>
      <c r="H1706" s="122"/>
      <c r="I1706" s="275"/>
      <c r="J1706" s="130"/>
      <c r="K1706" s="130"/>
      <c r="L1706" s="130"/>
      <c r="M1706" s="130"/>
      <c r="N1706" s="291"/>
      <c r="O1706" s="291"/>
      <c r="P1706" s="122"/>
      <c r="Q1706" s="122"/>
      <c r="R1706" s="122"/>
      <c r="S1706" s="122"/>
      <c r="T1706" s="122"/>
      <c r="U1706" s="301"/>
      <c r="V1706" s="260">
        <f t="shared" ca="1" si="34"/>
        <v>0</v>
      </c>
      <c r="W1706" s="348" t="str">
        <f>IF(板块成分!B1708="","",板块成分!B1708)</f>
        <v>300230.SZ</v>
      </c>
      <c r="X1706" s="276" t="str">
        <f>[1]!S_Info_Name(W1706)</f>
        <v>永利股份</v>
      </c>
      <c r="Y1706" s="276" t="str">
        <f ca="1">IF($Y$3="申万一级行业",[1]!s_info_industry_sw_2021(W1706,公司分析!D$5,1),IF($Y$3="申万二级行业",[1]!s_info_industry_sw_2021(W1706,公司分析!D$5,2),IF($Y$3="申万三级行业",[1]!s_info_industry_sw_2021(W1706,公司分析!D$5,3),IF($Y$3="wind一级行业",[1]!s_info_industry_gics(W1706,1),IF($Y$3="wind二级行业",[1]!s_info_industry_gics(W1706,2),IF($Y$3="wind三级行业",[1]!s_info_industry_gics(W1706,3),IF($Y$3="wind四级行业",[1]!s_info_industry_gics(W1706,4),IF($Y$3="证监会门类行业",[1]!s_info_industry_csrc12_n(W1706,公司分析!D$5,1),""))))))))</f>
        <v>塑料</v>
      </c>
      <c r="Z1706" s="302" t="str">
        <f ca="1">IF(Y1706=行业比较!$E$6,ROW(),"")</f>
        <v/>
      </c>
      <c r="AA1706" s="122"/>
      <c r="AB1706" s="122"/>
      <c r="AC1706" s="122"/>
      <c r="AD1706" s="122"/>
      <c r="AE1706" s="122"/>
      <c r="AF1706" s="122"/>
      <c r="AG1706" s="122"/>
      <c r="AH1706" s="122"/>
      <c r="AI1706" s="122"/>
      <c r="AJ1706" s="122"/>
      <c r="AK1706" s="122"/>
      <c r="AL1706" s="122"/>
      <c r="AM1706" s="122"/>
      <c r="AN1706" s="122"/>
      <c r="AO1706" s="122"/>
      <c r="AP1706" s="122"/>
    </row>
    <row r="1707" spans="2:42">
      <c r="B1707" s="122"/>
      <c r="C1707" s="122"/>
      <c r="D1707" s="122"/>
      <c r="E1707" s="122"/>
      <c r="F1707" s="122"/>
      <c r="G1707" s="122"/>
      <c r="H1707" s="122"/>
      <c r="I1707" s="275"/>
      <c r="J1707" s="130"/>
      <c r="K1707" s="130"/>
      <c r="L1707" s="130"/>
      <c r="M1707" s="130"/>
      <c r="N1707" s="291"/>
      <c r="O1707" s="291"/>
      <c r="P1707" s="122"/>
      <c r="Q1707" s="122"/>
      <c r="R1707" s="122"/>
      <c r="S1707" s="122"/>
      <c r="T1707" s="122"/>
      <c r="U1707" s="301"/>
      <c r="V1707" s="260">
        <f t="shared" ca="1" si="34"/>
        <v>0</v>
      </c>
      <c r="W1707" s="348" t="str">
        <f>IF(板块成分!B1709="","",板块成分!B1709)</f>
        <v>300231.SZ</v>
      </c>
      <c r="X1707" s="276" t="str">
        <f>[1]!S_Info_Name(W1707)</f>
        <v>银信科技</v>
      </c>
      <c r="Y1707" s="276" t="str">
        <f ca="1">IF($Y$3="申万一级行业",[1]!s_info_industry_sw_2021(W1707,公司分析!D$5,1),IF($Y$3="申万二级行业",[1]!s_info_industry_sw_2021(W1707,公司分析!D$5,2),IF($Y$3="申万三级行业",[1]!s_info_industry_sw_2021(W1707,公司分析!D$5,3),IF($Y$3="wind一级行业",[1]!s_info_industry_gics(W1707,1),IF($Y$3="wind二级行业",[1]!s_info_industry_gics(W1707,2),IF($Y$3="wind三级行业",[1]!s_info_industry_gics(W1707,3),IF($Y$3="wind四级行业",[1]!s_info_industry_gics(W1707,4),IF($Y$3="证监会门类行业",[1]!s_info_industry_csrc12_n(W1707,公司分析!D$5,1),""))))))))</f>
        <v>IT服务Ⅱ</v>
      </c>
      <c r="Z1707" s="302" t="str">
        <f ca="1">IF(Y1707=行业比较!$E$6,ROW(),"")</f>
        <v/>
      </c>
      <c r="AA1707" s="122"/>
      <c r="AB1707" s="122"/>
      <c r="AC1707" s="122"/>
      <c r="AD1707" s="122"/>
      <c r="AE1707" s="122"/>
      <c r="AF1707" s="122"/>
      <c r="AG1707" s="122"/>
      <c r="AH1707" s="122"/>
      <c r="AI1707" s="122"/>
      <c r="AJ1707" s="122"/>
      <c r="AK1707" s="122"/>
      <c r="AL1707" s="122"/>
      <c r="AM1707" s="122"/>
      <c r="AN1707" s="122"/>
      <c r="AO1707" s="122"/>
      <c r="AP1707" s="122"/>
    </row>
    <row r="1708" spans="2:42">
      <c r="B1708" s="122"/>
      <c r="C1708" s="122"/>
      <c r="D1708" s="122"/>
      <c r="E1708" s="122"/>
      <c r="F1708" s="122"/>
      <c r="G1708" s="122"/>
      <c r="H1708" s="122"/>
      <c r="I1708" s="275"/>
      <c r="J1708" s="130"/>
      <c r="K1708" s="130"/>
      <c r="L1708" s="130"/>
      <c r="M1708" s="130"/>
      <c r="N1708" s="291"/>
      <c r="O1708" s="291"/>
      <c r="P1708" s="122"/>
      <c r="Q1708" s="122"/>
      <c r="R1708" s="122"/>
      <c r="S1708" s="122"/>
      <c r="T1708" s="122"/>
      <c r="U1708" s="301"/>
      <c r="V1708" s="260">
        <f t="shared" ca="1" si="34"/>
        <v>0</v>
      </c>
      <c r="W1708" s="348" t="str">
        <f>IF(板块成分!B1710="","",板块成分!B1710)</f>
        <v>300232.SZ</v>
      </c>
      <c r="X1708" s="276" t="str">
        <f>[1]!S_Info_Name(W1708)</f>
        <v>洲明科技</v>
      </c>
      <c r="Y1708" s="276" t="str">
        <f ca="1">IF($Y$3="申万一级行业",[1]!s_info_industry_sw_2021(W1708,公司分析!D$5,1),IF($Y$3="申万二级行业",[1]!s_info_industry_sw_2021(W1708,公司分析!D$5,2),IF($Y$3="申万三级行业",[1]!s_info_industry_sw_2021(W1708,公司分析!D$5,3),IF($Y$3="wind一级行业",[1]!s_info_industry_gics(W1708,1),IF($Y$3="wind二级行业",[1]!s_info_industry_gics(W1708,2),IF($Y$3="wind三级行业",[1]!s_info_industry_gics(W1708,3),IF($Y$3="wind四级行业",[1]!s_info_industry_gics(W1708,4),IF($Y$3="证监会门类行业",[1]!s_info_industry_csrc12_n(W1708,公司分析!D$5,1),""))))))))</f>
        <v>光学光电子</v>
      </c>
      <c r="Z1708" s="302" t="str">
        <f ca="1">IF(Y1708=行业比较!$E$6,ROW(),"")</f>
        <v/>
      </c>
      <c r="AA1708" s="122"/>
      <c r="AB1708" s="122"/>
      <c r="AC1708" s="122"/>
      <c r="AD1708" s="122"/>
      <c r="AE1708" s="122"/>
      <c r="AF1708" s="122"/>
      <c r="AG1708" s="122"/>
      <c r="AH1708" s="122"/>
      <c r="AI1708" s="122"/>
      <c r="AJ1708" s="122"/>
      <c r="AK1708" s="122"/>
      <c r="AL1708" s="122"/>
      <c r="AM1708" s="122"/>
      <c r="AN1708" s="122"/>
      <c r="AO1708" s="122"/>
      <c r="AP1708" s="122"/>
    </row>
    <row r="1709" spans="2:42">
      <c r="B1709" s="122"/>
      <c r="C1709" s="122"/>
      <c r="D1709" s="122"/>
      <c r="E1709" s="122"/>
      <c r="F1709" s="122"/>
      <c r="G1709" s="122"/>
      <c r="H1709" s="122"/>
      <c r="I1709" s="275"/>
      <c r="J1709" s="130"/>
      <c r="K1709" s="130"/>
      <c r="L1709" s="130"/>
      <c r="M1709" s="130"/>
      <c r="N1709" s="291"/>
      <c r="O1709" s="291"/>
      <c r="P1709" s="122"/>
      <c r="Q1709" s="122"/>
      <c r="R1709" s="122"/>
      <c r="S1709" s="122"/>
      <c r="T1709" s="122"/>
      <c r="U1709" s="301"/>
      <c r="V1709" s="260">
        <f t="shared" ca="1" si="34"/>
        <v>0</v>
      </c>
      <c r="W1709" s="348" t="str">
        <f>IF(板块成分!B1711="","",板块成分!B1711)</f>
        <v>300233.SZ</v>
      </c>
      <c r="X1709" s="276" t="str">
        <f>[1]!S_Info_Name(W1709)</f>
        <v>金城医药</v>
      </c>
      <c r="Y1709" s="276" t="str">
        <f ca="1">IF($Y$3="申万一级行业",[1]!s_info_industry_sw_2021(W1709,公司分析!D$5,1),IF($Y$3="申万二级行业",[1]!s_info_industry_sw_2021(W1709,公司分析!D$5,2),IF($Y$3="申万三级行业",[1]!s_info_industry_sw_2021(W1709,公司分析!D$5,3),IF($Y$3="wind一级行业",[1]!s_info_industry_gics(W1709,1),IF($Y$3="wind二级行业",[1]!s_info_industry_gics(W1709,2),IF($Y$3="wind三级行业",[1]!s_info_industry_gics(W1709,3),IF($Y$3="wind四级行业",[1]!s_info_industry_gics(W1709,4),IF($Y$3="证监会门类行业",[1]!s_info_industry_csrc12_n(W1709,公司分析!D$5,1),""))))))))</f>
        <v>化学制药</v>
      </c>
      <c r="Z1709" s="302" t="str">
        <f ca="1">IF(Y1709=行业比较!$E$6,ROW(),"")</f>
        <v/>
      </c>
      <c r="AA1709" s="122"/>
      <c r="AB1709" s="122"/>
      <c r="AC1709" s="122"/>
      <c r="AD1709" s="122"/>
      <c r="AE1709" s="122"/>
      <c r="AF1709" s="122"/>
      <c r="AG1709" s="122"/>
      <c r="AH1709" s="122"/>
      <c r="AI1709" s="122"/>
      <c r="AJ1709" s="122"/>
      <c r="AK1709" s="122"/>
      <c r="AL1709" s="122"/>
      <c r="AM1709" s="122"/>
      <c r="AN1709" s="122"/>
      <c r="AO1709" s="122"/>
      <c r="AP1709" s="122"/>
    </row>
    <row r="1710" spans="2:42">
      <c r="B1710" s="122"/>
      <c r="C1710" s="122"/>
      <c r="D1710" s="122"/>
      <c r="E1710" s="122"/>
      <c r="F1710" s="122"/>
      <c r="G1710" s="122"/>
      <c r="H1710" s="122"/>
      <c r="I1710" s="275"/>
      <c r="J1710" s="130"/>
      <c r="K1710" s="130"/>
      <c r="L1710" s="130"/>
      <c r="M1710" s="130"/>
      <c r="N1710" s="291"/>
      <c r="O1710" s="291"/>
      <c r="P1710" s="122"/>
      <c r="Q1710" s="122"/>
      <c r="R1710" s="122"/>
      <c r="S1710" s="122"/>
      <c r="T1710" s="122"/>
      <c r="U1710" s="301"/>
      <c r="V1710" s="260">
        <f t="shared" ca="1" si="34"/>
        <v>0</v>
      </c>
      <c r="W1710" s="348" t="str">
        <f>IF(板块成分!B1712="","",板块成分!B1712)</f>
        <v>300234.SZ</v>
      </c>
      <c r="X1710" s="276" t="str">
        <f>[1]!S_Info_Name(W1710)</f>
        <v>开尔新材</v>
      </c>
      <c r="Y1710" s="276" t="str">
        <f ca="1">IF($Y$3="申万一级行业",[1]!s_info_industry_sw_2021(W1710,公司分析!D$5,1),IF($Y$3="申万二级行业",[1]!s_info_industry_sw_2021(W1710,公司分析!D$5,2),IF($Y$3="申万三级行业",[1]!s_info_industry_sw_2021(W1710,公司分析!D$5,3),IF($Y$3="wind一级行业",[1]!s_info_industry_gics(W1710,1),IF($Y$3="wind二级行业",[1]!s_info_industry_gics(W1710,2),IF($Y$3="wind三级行业",[1]!s_info_industry_gics(W1710,3),IF($Y$3="wind四级行业",[1]!s_info_industry_gics(W1710,4),IF($Y$3="证监会门类行业",[1]!s_info_industry_csrc12_n(W1710,公司分析!D$5,1),""))))))))</f>
        <v>装修建材</v>
      </c>
      <c r="Z1710" s="302" t="str">
        <f ca="1">IF(Y1710=行业比较!$E$6,ROW(),"")</f>
        <v/>
      </c>
      <c r="AA1710" s="122"/>
      <c r="AB1710" s="122"/>
      <c r="AC1710" s="122"/>
      <c r="AD1710" s="122"/>
      <c r="AE1710" s="122"/>
      <c r="AF1710" s="122"/>
      <c r="AG1710" s="122"/>
      <c r="AH1710" s="122"/>
      <c r="AI1710" s="122"/>
      <c r="AJ1710" s="122"/>
      <c r="AK1710" s="122"/>
      <c r="AL1710" s="122"/>
      <c r="AM1710" s="122"/>
      <c r="AN1710" s="122"/>
      <c r="AO1710" s="122"/>
      <c r="AP1710" s="122"/>
    </row>
    <row r="1711" spans="2:42">
      <c r="B1711" s="122"/>
      <c r="C1711" s="122"/>
      <c r="D1711" s="122"/>
      <c r="E1711" s="122"/>
      <c r="F1711" s="122"/>
      <c r="G1711" s="122"/>
      <c r="H1711" s="122"/>
      <c r="I1711" s="275"/>
      <c r="J1711" s="130"/>
      <c r="K1711" s="130"/>
      <c r="L1711" s="130"/>
      <c r="M1711" s="130"/>
      <c r="N1711" s="291"/>
      <c r="O1711" s="291"/>
      <c r="P1711" s="122"/>
      <c r="Q1711" s="122"/>
      <c r="R1711" s="122"/>
      <c r="S1711" s="122"/>
      <c r="T1711" s="122"/>
      <c r="U1711" s="301"/>
      <c r="V1711" s="260">
        <f t="shared" ca="1" si="34"/>
        <v>0</v>
      </c>
      <c r="W1711" s="348" t="str">
        <f>IF(板块成分!B1713="","",板块成分!B1713)</f>
        <v>300235.SZ</v>
      </c>
      <c r="X1711" s="276" t="str">
        <f>[1]!S_Info_Name(W1711)</f>
        <v>方直科技</v>
      </c>
      <c r="Y1711" s="276" t="str">
        <f ca="1">IF($Y$3="申万一级行业",[1]!s_info_industry_sw_2021(W1711,公司分析!D$5,1),IF($Y$3="申万二级行业",[1]!s_info_industry_sw_2021(W1711,公司分析!D$5,2),IF($Y$3="申万三级行业",[1]!s_info_industry_sw_2021(W1711,公司分析!D$5,3),IF($Y$3="wind一级行业",[1]!s_info_industry_gics(W1711,1),IF($Y$3="wind二级行业",[1]!s_info_industry_gics(W1711,2),IF($Y$3="wind三级行业",[1]!s_info_industry_gics(W1711,3),IF($Y$3="wind四级行业",[1]!s_info_industry_gics(W1711,4),IF($Y$3="证监会门类行业",[1]!s_info_industry_csrc12_n(W1711,公司分析!D$5,1),""))))))))</f>
        <v>软件开发</v>
      </c>
      <c r="Z1711" s="302" t="str">
        <f ca="1">IF(Y1711=行业比较!$E$6,ROW(),"")</f>
        <v/>
      </c>
      <c r="AA1711" s="122"/>
      <c r="AB1711" s="122"/>
      <c r="AC1711" s="122"/>
      <c r="AD1711" s="122"/>
      <c r="AE1711" s="122"/>
      <c r="AF1711" s="122"/>
      <c r="AG1711" s="122"/>
      <c r="AH1711" s="122"/>
      <c r="AI1711" s="122"/>
      <c r="AJ1711" s="122"/>
      <c r="AK1711" s="122"/>
      <c r="AL1711" s="122"/>
      <c r="AM1711" s="122"/>
      <c r="AN1711" s="122"/>
      <c r="AO1711" s="122"/>
      <c r="AP1711" s="122"/>
    </row>
    <row r="1712" spans="2:42">
      <c r="B1712" s="122"/>
      <c r="C1712" s="122"/>
      <c r="D1712" s="122"/>
      <c r="E1712" s="122"/>
      <c r="F1712" s="122"/>
      <c r="G1712" s="122"/>
      <c r="H1712" s="122"/>
      <c r="I1712" s="275"/>
      <c r="J1712" s="130"/>
      <c r="K1712" s="130"/>
      <c r="L1712" s="130"/>
      <c r="M1712" s="130"/>
      <c r="N1712" s="291"/>
      <c r="O1712" s="291"/>
      <c r="P1712" s="122"/>
      <c r="Q1712" s="122"/>
      <c r="R1712" s="122"/>
      <c r="S1712" s="122"/>
      <c r="T1712" s="122"/>
      <c r="U1712" s="301"/>
      <c r="V1712" s="260">
        <f t="shared" ca="1" si="34"/>
        <v>0</v>
      </c>
      <c r="W1712" s="348" t="str">
        <f>IF(板块成分!B1714="","",板块成分!B1714)</f>
        <v>300236.SZ</v>
      </c>
      <c r="X1712" s="276" t="str">
        <f>[1]!S_Info_Name(W1712)</f>
        <v>上海新阳</v>
      </c>
      <c r="Y1712" s="276" t="str">
        <f ca="1">IF($Y$3="申万一级行业",[1]!s_info_industry_sw_2021(W1712,公司分析!D$5,1),IF($Y$3="申万二级行业",[1]!s_info_industry_sw_2021(W1712,公司分析!D$5,2),IF($Y$3="申万三级行业",[1]!s_info_industry_sw_2021(W1712,公司分析!D$5,3),IF($Y$3="wind一级行业",[1]!s_info_industry_gics(W1712,1),IF($Y$3="wind二级行业",[1]!s_info_industry_gics(W1712,2),IF($Y$3="wind三级行业",[1]!s_info_industry_gics(W1712,3),IF($Y$3="wind四级行业",[1]!s_info_industry_gics(W1712,4),IF($Y$3="证监会门类行业",[1]!s_info_industry_csrc12_n(W1712,公司分析!D$5,1),""))))))))</f>
        <v>电子化学品Ⅱ</v>
      </c>
      <c r="Z1712" s="302" t="str">
        <f ca="1">IF(Y1712=行业比较!$E$6,ROW(),"")</f>
        <v/>
      </c>
      <c r="AA1712" s="122"/>
      <c r="AB1712" s="122"/>
      <c r="AC1712" s="122"/>
      <c r="AD1712" s="122"/>
      <c r="AE1712" s="122"/>
      <c r="AF1712" s="122"/>
      <c r="AG1712" s="122"/>
      <c r="AH1712" s="122"/>
      <c r="AI1712" s="122"/>
      <c r="AJ1712" s="122"/>
      <c r="AK1712" s="122"/>
      <c r="AL1712" s="122"/>
      <c r="AM1712" s="122"/>
      <c r="AN1712" s="122"/>
      <c r="AO1712" s="122"/>
      <c r="AP1712" s="122"/>
    </row>
    <row r="1713" spans="2:42">
      <c r="B1713" s="122"/>
      <c r="C1713" s="122"/>
      <c r="D1713" s="122"/>
      <c r="E1713" s="122"/>
      <c r="F1713" s="122"/>
      <c r="G1713" s="122"/>
      <c r="H1713" s="122"/>
      <c r="I1713" s="275"/>
      <c r="J1713" s="130"/>
      <c r="K1713" s="130"/>
      <c r="L1713" s="130"/>
      <c r="M1713" s="130"/>
      <c r="N1713" s="291"/>
      <c r="O1713" s="291"/>
      <c r="P1713" s="122"/>
      <c r="Q1713" s="122"/>
      <c r="R1713" s="122"/>
      <c r="S1713" s="122"/>
      <c r="T1713" s="122"/>
      <c r="U1713" s="301"/>
      <c r="V1713" s="260">
        <f t="shared" ca="1" si="34"/>
        <v>0</v>
      </c>
      <c r="W1713" s="348" t="str">
        <f>IF(板块成分!B1715="","",板块成分!B1715)</f>
        <v>300237.SZ</v>
      </c>
      <c r="X1713" s="276" t="str">
        <f>[1]!S_Info_Name(W1713)</f>
        <v>ST美晨</v>
      </c>
      <c r="Y1713" s="276" t="str">
        <f ca="1">IF($Y$3="申万一级行业",[1]!s_info_industry_sw_2021(W1713,公司分析!D$5,1),IF($Y$3="申万二级行业",[1]!s_info_industry_sw_2021(W1713,公司分析!D$5,2),IF($Y$3="申万三级行业",[1]!s_info_industry_sw_2021(W1713,公司分析!D$5,3),IF($Y$3="wind一级行业",[1]!s_info_industry_gics(W1713,1),IF($Y$3="wind二级行业",[1]!s_info_industry_gics(W1713,2),IF($Y$3="wind三级行业",[1]!s_info_industry_gics(W1713,3),IF($Y$3="wind四级行业",[1]!s_info_industry_gics(W1713,4),IF($Y$3="证监会门类行业",[1]!s_info_industry_csrc12_n(W1713,公司分析!D$5,1),""))))))))</f>
        <v>汽车零部件</v>
      </c>
      <c r="Z1713" s="302" t="str">
        <f ca="1">IF(Y1713=行业比较!$E$6,ROW(),"")</f>
        <v/>
      </c>
      <c r="AA1713" s="122"/>
      <c r="AB1713" s="122"/>
      <c r="AC1713" s="122"/>
      <c r="AD1713" s="122"/>
      <c r="AE1713" s="122"/>
      <c r="AF1713" s="122"/>
      <c r="AG1713" s="122"/>
      <c r="AH1713" s="122"/>
      <c r="AI1713" s="122"/>
      <c r="AJ1713" s="122"/>
      <c r="AK1713" s="122"/>
      <c r="AL1713" s="122"/>
      <c r="AM1713" s="122"/>
      <c r="AN1713" s="122"/>
      <c r="AO1713" s="122"/>
      <c r="AP1713" s="122"/>
    </row>
    <row r="1714" spans="2:42">
      <c r="B1714" s="122"/>
      <c r="C1714" s="122"/>
      <c r="D1714" s="122"/>
      <c r="E1714" s="122"/>
      <c r="F1714" s="122"/>
      <c r="G1714" s="122"/>
      <c r="H1714" s="122"/>
      <c r="I1714" s="275"/>
      <c r="J1714" s="130"/>
      <c r="K1714" s="130"/>
      <c r="L1714" s="130"/>
      <c r="M1714" s="130"/>
      <c r="N1714" s="291"/>
      <c r="O1714" s="291"/>
      <c r="P1714" s="122"/>
      <c r="Q1714" s="122"/>
      <c r="R1714" s="122"/>
      <c r="S1714" s="122"/>
      <c r="T1714" s="122"/>
      <c r="U1714" s="301"/>
      <c r="V1714" s="260">
        <f t="shared" ca="1" si="34"/>
        <v>0</v>
      </c>
      <c r="W1714" s="348" t="str">
        <f>IF(板块成分!B1716="","",板块成分!B1716)</f>
        <v>300238.SZ</v>
      </c>
      <c r="X1714" s="276" t="str">
        <f>[1]!S_Info_Name(W1714)</f>
        <v>冠昊生物</v>
      </c>
      <c r="Y1714" s="276" t="str">
        <f ca="1">IF($Y$3="申万一级行业",[1]!s_info_industry_sw_2021(W1714,公司分析!D$5,1),IF($Y$3="申万二级行业",[1]!s_info_industry_sw_2021(W1714,公司分析!D$5,2),IF($Y$3="申万三级行业",[1]!s_info_industry_sw_2021(W1714,公司分析!D$5,3),IF($Y$3="wind一级行业",[1]!s_info_industry_gics(W1714,1),IF($Y$3="wind二级行业",[1]!s_info_industry_gics(W1714,2),IF($Y$3="wind三级行业",[1]!s_info_industry_gics(W1714,3),IF($Y$3="wind四级行业",[1]!s_info_industry_gics(W1714,4),IF($Y$3="证监会门类行业",[1]!s_info_industry_csrc12_n(W1714,公司分析!D$5,1),""))))))))</f>
        <v>医疗器械</v>
      </c>
      <c r="Z1714" s="302" t="str">
        <f ca="1">IF(Y1714=行业比较!$E$6,ROW(),"")</f>
        <v/>
      </c>
      <c r="AA1714" s="122"/>
      <c r="AB1714" s="122"/>
      <c r="AC1714" s="122"/>
      <c r="AD1714" s="122"/>
      <c r="AE1714" s="122"/>
      <c r="AF1714" s="122"/>
      <c r="AG1714" s="122"/>
      <c r="AH1714" s="122"/>
      <c r="AI1714" s="122"/>
      <c r="AJ1714" s="122"/>
      <c r="AK1714" s="122"/>
      <c r="AL1714" s="122"/>
      <c r="AM1714" s="122"/>
      <c r="AN1714" s="122"/>
      <c r="AO1714" s="122"/>
      <c r="AP1714" s="122"/>
    </row>
    <row r="1715" spans="2:42">
      <c r="B1715" s="122"/>
      <c r="C1715" s="122"/>
      <c r="D1715" s="122"/>
      <c r="E1715" s="122"/>
      <c r="F1715" s="122"/>
      <c r="G1715" s="122"/>
      <c r="H1715" s="122"/>
      <c r="I1715" s="275"/>
      <c r="J1715" s="130"/>
      <c r="K1715" s="130"/>
      <c r="L1715" s="130"/>
      <c r="M1715" s="130"/>
      <c r="N1715" s="291"/>
      <c r="O1715" s="291"/>
      <c r="P1715" s="122"/>
      <c r="Q1715" s="122"/>
      <c r="R1715" s="122"/>
      <c r="S1715" s="122"/>
      <c r="T1715" s="122"/>
      <c r="U1715" s="301"/>
      <c r="V1715" s="260">
        <f t="shared" ca="1" si="34"/>
        <v>0</v>
      </c>
      <c r="W1715" s="348" t="str">
        <f>IF(板块成分!B1717="","",板块成分!B1717)</f>
        <v>300239.SZ</v>
      </c>
      <c r="X1715" s="276" t="str">
        <f>[1]!S_Info_Name(W1715)</f>
        <v>东宝生物</v>
      </c>
      <c r="Y1715" s="276" t="str">
        <f ca="1">IF($Y$3="申万一级行业",[1]!s_info_industry_sw_2021(W1715,公司分析!D$5,1),IF($Y$3="申万二级行业",[1]!s_info_industry_sw_2021(W1715,公司分析!D$5,2),IF($Y$3="申万三级行业",[1]!s_info_industry_sw_2021(W1715,公司分析!D$5,3),IF($Y$3="wind一级行业",[1]!s_info_industry_gics(W1715,1),IF($Y$3="wind二级行业",[1]!s_info_industry_gics(W1715,2),IF($Y$3="wind三级行业",[1]!s_info_industry_gics(W1715,3),IF($Y$3="wind四级行业",[1]!s_info_industry_gics(W1715,4),IF($Y$3="证监会门类行业",[1]!s_info_industry_csrc12_n(W1715,公司分析!D$5,1),""))))))))</f>
        <v>生物制品</v>
      </c>
      <c r="Z1715" s="302" t="str">
        <f ca="1">IF(Y1715=行业比较!$E$6,ROW(),"")</f>
        <v/>
      </c>
      <c r="AA1715" s="122"/>
      <c r="AB1715" s="122"/>
      <c r="AC1715" s="122"/>
      <c r="AD1715" s="122"/>
      <c r="AE1715" s="122"/>
      <c r="AF1715" s="122"/>
      <c r="AG1715" s="122"/>
      <c r="AH1715" s="122"/>
      <c r="AI1715" s="122"/>
      <c r="AJ1715" s="122"/>
      <c r="AK1715" s="122"/>
      <c r="AL1715" s="122"/>
      <c r="AM1715" s="122"/>
      <c r="AN1715" s="122"/>
      <c r="AO1715" s="122"/>
      <c r="AP1715" s="122"/>
    </row>
    <row r="1716" spans="2:42">
      <c r="B1716" s="122"/>
      <c r="C1716" s="122"/>
      <c r="D1716" s="122"/>
      <c r="E1716" s="122"/>
      <c r="F1716" s="122"/>
      <c r="G1716" s="122"/>
      <c r="H1716" s="122"/>
      <c r="I1716" s="275"/>
      <c r="J1716" s="130"/>
      <c r="K1716" s="130"/>
      <c r="L1716" s="130"/>
      <c r="M1716" s="130"/>
      <c r="N1716" s="291"/>
      <c r="O1716" s="291"/>
      <c r="P1716" s="122"/>
      <c r="Q1716" s="122"/>
      <c r="R1716" s="122"/>
      <c r="S1716" s="122"/>
      <c r="T1716" s="122"/>
      <c r="U1716" s="301"/>
      <c r="V1716" s="260">
        <f t="shared" ca="1" si="34"/>
        <v>0</v>
      </c>
      <c r="W1716" s="348" t="str">
        <f>IF(板块成分!B1718="","",板块成分!B1718)</f>
        <v>300240.SZ</v>
      </c>
      <c r="X1716" s="276" t="str">
        <f>[1]!S_Info_Name(W1716)</f>
        <v>飞力达</v>
      </c>
      <c r="Y1716" s="276" t="str">
        <f ca="1">IF($Y$3="申万一级行业",[1]!s_info_industry_sw_2021(W1716,公司分析!D$5,1),IF($Y$3="申万二级行业",[1]!s_info_industry_sw_2021(W1716,公司分析!D$5,2),IF($Y$3="申万三级行业",[1]!s_info_industry_sw_2021(W1716,公司分析!D$5,3),IF($Y$3="wind一级行业",[1]!s_info_industry_gics(W1716,1),IF($Y$3="wind二级行业",[1]!s_info_industry_gics(W1716,2),IF($Y$3="wind三级行业",[1]!s_info_industry_gics(W1716,3),IF($Y$3="wind四级行业",[1]!s_info_industry_gics(W1716,4),IF($Y$3="证监会门类行业",[1]!s_info_industry_csrc12_n(W1716,公司分析!D$5,1),""))))))))</f>
        <v>物流</v>
      </c>
      <c r="Z1716" s="302" t="str">
        <f ca="1">IF(Y1716=行业比较!$E$6,ROW(),"")</f>
        <v/>
      </c>
      <c r="AA1716" s="122"/>
      <c r="AB1716" s="122"/>
      <c r="AC1716" s="122"/>
      <c r="AD1716" s="122"/>
      <c r="AE1716" s="122"/>
      <c r="AF1716" s="122"/>
      <c r="AG1716" s="122"/>
      <c r="AH1716" s="122"/>
      <c r="AI1716" s="122"/>
      <c r="AJ1716" s="122"/>
      <c r="AK1716" s="122"/>
      <c r="AL1716" s="122"/>
      <c r="AM1716" s="122"/>
      <c r="AN1716" s="122"/>
      <c r="AO1716" s="122"/>
      <c r="AP1716" s="122"/>
    </row>
    <row r="1717" spans="2:42">
      <c r="B1717" s="122"/>
      <c r="C1717" s="122"/>
      <c r="D1717" s="122"/>
      <c r="E1717" s="122"/>
      <c r="F1717" s="122"/>
      <c r="G1717" s="122"/>
      <c r="H1717" s="122"/>
      <c r="I1717" s="275"/>
      <c r="J1717" s="130"/>
      <c r="K1717" s="130"/>
      <c r="L1717" s="130"/>
      <c r="M1717" s="130"/>
      <c r="N1717" s="291"/>
      <c r="O1717" s="291"/>
      <c r="P1717" s="122"/>
      <c r="Q1717" s="122"/>
      <c r="R1717" s="122"/>
      <c r="S1717" s="122"/>
      <c r="T1717" s="122"/>
      <c r="U1717" s="301"/>
      <c r="V1717" s="260">
        <f t="shared" ca="1" si="34"/>
        <v>0</v>
      </c>
      <c r="W1717" s="348" t="str">
        <f>IF(板块成分!B1719="","",板块成分!B1719)</f>
        <v>300241.SZ</v>
      </c>
      <c r="X1717" s="276" t="str">
        <f>[1]!S_Info_Name(W1717)</f>
        <v>瑞丰光电</v>
      </c>
      <c r="Y1717" s="276" t="str">
        <f ca="1">IF($Y$3="申万一级行业",[1]!s_info_industry_sw_2021(W1717,公司分析!D$5,1),IF($Y$3="申万二级行业",[1]!s_info_industry_sw_2021(W1717,公司分析!D$5,2),IF($Y$3="申万三级行业",[1]!s_info_industry_sw_2021(W1717,公司分析!D$5,3),IF($Y$3="wind一级行业",[1]!s_info_industry_gics(W1717,1),IF($Y$3="wind二级行业",[1]!s_info_industry_gics(W1717,2),IF($Y$3="wind三级行业",[1]!s_info_industry_gics(W1717,3),IF($Y$3="wind四级行业",[1]!s_info_industry_gics(W1717,4),IF($Y$3="证监会门类行业",[1]!s_info_industry_csrc12_n(W1717,公司分析!D$5,1),""))))))))</f>
        <v>光学光电子</v>
      </c>
      <c r="Z1717" s="302" t="str">
        <f ca="1">IF(Y1717=行业比较!$E$6,ROW(),"")</f>
        <v/>
      </c>
      <c r="AA1717" s="122"/>
      <c r="AB1717" s="122"/>
      <c r="AC1717" s="122"/>
      <c r="AD1717" s="122"/>
      <c r="AE1717" s="122"/>
      <c r="AF1717" s="122"/>
      <c r="AG1717" s="122"/>
      <c r="AH1717" s="122"/>
      <c r="AI1717" s="122"/>
      <c r="AJ1717" s="122"/>
      <c r="AK1717" s="122"/>
      <c r="AL1717" s="122"/>
      <c r="AM1717" s="122"/>
      <c r="AN1717" s="122"/>
      <c r="AO1717" s="122"/>
      <c r="AP1717" s="122"/>
    </row>
    <row r="1718" spans="2:42">
      <c r="B1718" s="122"/>
      <c r="C1718" s="122"/>
      <c r="D1718" s="122"/>
      <c r="E1718" s="122"/>
      <c r="F1718" s="122"/>
      <c r="G1718" s="122"/>
      <c r="H1718" s="122"/>
      <c r="I1718" s="275"/>
      <c r="J1718" s="130"/>
      <c r="K1718" s="130"/>
      <c r="L1718" s="130"/>
      <c r="M1718" s="130"/>
      <c r="N1718" s="291"/>
      <c r="O1718" s="291"/>
      <c r="P1718" s="122"/>
      <c r="Q1718" s="122"/>
      <c r="R1718" s="122"/>
      <c r="S1718" s="122"/>
      <c r="T1718" s="122"/>
      <c r="U1718" s="301"/>
      <c r="V1718" s="260">
        <f t="shared" ca="1" si="34"/>
        <v>0</v>
      </c>
      <c r="W1718" s="348" t="str">
        <f>IF(板块成分!B1720="","",板块成分!B1720)</f>
        <v>300242.SZ</v>
      </c>
      <c r="X1718" s="276" t="str">
        <f>[1]!S_Info_Name(W1718)</f>
        <v>佳云科技</v>
      </c>
      <c r="Y1718" s="276" t="str">
        <f ca="1">IF($Y$3="申万一级行业",[1]!s_info_industry_sw_2021(W1718,公司分析!D$5,1),IF($Y$3="申万二级行业",[1]!s_info_industry_sw_2021(W1718,公司分析!D$5,2),IF($Y$3="申万三级行业",[1]!s_info_industry_sw_2021(W1718,公司分析!D$5,3),IF($Y$3="wind一级行业",[1]!s_info_industry_gics(W1718,1),IF($Y$3="wind二级行业",[1]!s_info_industry_gics(W1718,2),IF($Y$3="wind三级行业",[1]!s_info_industry_gics(W1718,3),IF($Y$3="wind四级行业",[1]!s_info_industry_gics(W1718,4),IF($Y$3="证监会门类行业",[1]!s_info_industry_csrc12_n(W1718,公司分析!D$5,1),""))))))))</f>
        <v>广告营销</v>
      </c>
      <c r="Z1718" s="302" t="str">
        <f ca="1">IF(Y1718=行业比较!$E$6,ROW(),"")</f>
        <v/>
      </c>
      <c r="AA1718" s="122"/>
      <c r="AB1718" s="122"/>
      <c r="AC1718" s="122"/>
      <c r="AD1718" s="122"/>
      <c r="AE1718" s="122"/>
      <c r="AF1718" s="122"/>
      <c r="AG1718" s="122"/>
      <c r="AH1718" s="122"/>
      <c r="AI1718" s="122"/>
      <c r="AJ1718" s="122"/>
      <c r="AK1718" s="122"/>
      <c r="AL1718" s="122"/>
      <c r="AM1718" s="122"/>
      <c r="AN1718" s="122"/>
      <c r="AO1718" s="122"/>
      <c r="AP1718" s="122"/>
    </row>
    <row r="1719" spans="2:42">
      <c r="B1719" s="122"/>
      <c r="C1719" s="122"/>
      <c r="D1719" s="122"/>
      <c r="E1719" s="122"/>
      <c r="F1719" s="122"/>
      <c r="G1719" s="122"/>
      <c r="H1719" s="122"/>
      <c r="I1719" s="275"/>
      <c r="J1719" s="130"/>
      <c r="K1719" s="130"/>
      <c r="L1719" s="130"/>
      <c r="M1719" s="130"/>
      <c r="N1719" s="291"/>
      <c r="O1719" s="291"/>
      <c r="P1719" s="122"/>
      <c r="Q1719" s="122"/>
      <c r="R1719" s="122"/>
      <c r="S1719" s="122"/>
      <c r="T1719" s="122"/>
      <c r="U1719" s="301"/>
      <c r="V1719" s="260">
        <f t="shared" ca="1" si="34"/>
        <v>0</v>
      </c>
      <c r="W1719" s="348" t="str">
        <f>IF(板块成分!B1721="","",板块成分!B1721)</f>
        <v>300243.SZ</v>
      </c>
      <c r="X1719" s="276" t="str">
        <f>[1]!S_Info_Name(W1719)</f>
        <v>瑞丰高材</v>
      </c>
      <c r="Y1719" s="276" t="str">
        <f ca="1">IF($Y$3="申万一级行业",[1]!s_info_industry_sw_2021(W1719,公司分析!D$5,1),IF($Y$3="申万二级行业",[1]!s_info_industry_sw_2021(W1719,公司分析!D$5,2),IF($Y$3="申万三级行业",[1]!s_info_industry_sw_2021(W1719,公司分析!D$5,3),IF($Y$3="wind一级行业",[1]!s_info_industry_gics(W1719,1),IF($Y$3="wind二级行业",[1]!s_info_industry_gics(W1719,2),IF($Y$3="wind三级行业",[1]!s_info_industry_gics(W1719,3),IF($Y$3="wind四级行业",[1]!s_info_industry_gics(W1719,4),IF($Y$3="证监会门类行业",[1]!s_info_industry_csrc12_n(W1719,公司分析!D$5,1),""))))))))</f>
        <v>塑料</v>
      </c>
      <c r="Z1719" s="302" t="str">
        <f ca="1">IF(Y1719=行业比较!$E$6,ROW(),"")</f>
        <v/>
      </c>
      <c r="AA1719" s="122"/>
      <c r="AB1719" s="122"/>
      <c r="AC1719" s="122"/>
      <c r="AD1719" s="122"/>
      <c r="AE1719" s="122"/>
      <c r="AF1719" s="122"/>
      <c r="AG1719" s="122"/>
      <c r="AH1719" s="122"/>
      <c r="AI1719" s="122"/>
      <c r="AJ1719" s="122"/>
      <c r="AK1719" s="122"/>
      <c r="AL1719" s="122"/>
      <c r="AM1719" s="122"/>
      <c r="AN1719" s="122"/>
      <c r="AO1719" s="122"/>
      <c r="AP1719" s="122"/>
    </row>
    <row r="1720" spans="2:42">
      <c r="B1720" s="122"/>
      <c r="C1720" s="122"/>
      <c r="D1720" s="122"/>
      <c r="E1720" s="122"/>
      <c r="F1720" s="122"/>
      <c r="G1720" s="122"/>
      <c r="H1720" s="122"/>
      <c r="I1720" s="275"/>
      <c r="J1720" s="130"/>
      <c r="K1720" s="130"/>
      <c r="L1720" s="130"/>
      <c r="M1720" s="130"/>
      <c r="N1720" s="291"/>
      <c r="O1720" s="291"/>
      <c r="P1720" s="122"/>
      <c r="Q1720" s="122"/>
      <c r="R1720" s="122"/>
      <c r="S1720" s="122"/>
      <c r="T1720" s="122"/>
      <c r="U1720" s="301"/>
      <c r="V1720" s="260">
        <f t="shared" ca="1" si="34"/>
        <v>0</v>
      </c>
      <c r="W1720" s="348" t="str">
        <f>IF(板块成分!B1722="","",板块成分!B1722)</f>
        <v>300244.SZ</v>
      </c>
      <c r="X1720" s="276" t="str">
        <f>[1]!S_Info_Name(W1720)</f>
        <v>迪安诊断</v>
      </c>
      <c r="Y1720" s="276" t="str">
        <f ca="1">IF($Y$3="申万一级行业",[1]!s_info_industry_sw_2021(W1720,公司分析!D$5,1),IF($Y$3="申万二级行业",[1]!s_info_industry_sw_2021(W1720,公司分析!D$5,2),IF($Y$3="申万三级行业",[1]!s_info_industry_sw_2021(W1720,公司分析!D$5,3),IF($Y$3="wind一级行业",[1]!s_info_industry_gics(W1720,1),IF($Y$3="wind二级行业",[1]!s_info_industry_gics(W1720,2),IF($Y$3="wind三级行业",[1]!s_info_industry_gics(W1720,3),IF($Y$3="wind四级行业",[1]!s_info_industry_gics(W1720,4),IF($Y$3="证监会门类行业",[1]!s_info_industry_csrc12_n(W1720,公司分析!D$5,1),""))))))))</f>
        <v>医疗服务</v>
      </c>
      <c r="Z1720" s="302" t="str">
        <f ca="1">IF(Y1720=行业比较!$E$6,ROW(),"")</f>
        <v/>
      </c>
      <c r="AA1720" s="122"/>
      <c r="AB1720" s="122"/>
      <c r="AC1720" s="122"/>
      <c r="AD1720" s="122"/>
      <c r="AE1720" s="122"/>
      <c r="AF1720" s="122"/>
      <c r="AG1720" s="122"/>
      <c r="AH1720" s="122"/>
      <c r="AI1720" s="122"/>
      <c r="AJ1720" s="122"/>
      <c r="AK1720" s="122"/>
      <c r="AL1720" s="122"/>
      <c r="AM1720" s="122"/>
      <c r="AN1720" s="122"/>
      <c r="AO1720" s="122"/>
      <c r="AP1720" s="122"/>
    </row>
    <row r="1721" spans="2:42">
      <c r="B1721" s="122"/>
      <c r="C1721" s="122"/>
      <c r="D1721" s="122"/>
      <c r="E1721" s="122"/>
      <c r="F1721" s="122"/>
      <c r="G1721" s="122"/>
      <c r="H1721" s="122"/>
      <c r="I1721" s="275"/>
      <c r="J1721" s="130"/>
      <c r="K1721" s="130"/>
      <c r="L1721" s="130"/>
      <c r="M1721" s="130"/>
      <c r="N1721" s="291"/>
      <c r="O1721" s="291"/>
      <c r="P1721" s="122"/>
      <c r="Q1721" s="122"/>
      <c r="R1721" s="122"/>
      <c r="S1721" s="122"/>
      <c r="T1721" s="122"/>
      <c r="U1721" s="301"/>
      <c r="V1721" s="260">
        <f t="shared" ca="1" si="34"/>
        <v>0</v>
      </c>
      <c r="W1721" s="348" t="str">
        <f>IF(板块成分!B1723="","",板块成分!B1723)</f>
        <v>300245.SZ</v>
      </c>
      <c r="X1721" s="276" t="str">
        <f>[1]!S_Info_Name(W1721)</f>
        <v>天玑科技</v>
      </c>
      <c r="Y1721" s="276" t="str">
        <f ca="1">IF($Y$3="申万一级行业",[1]!s_info_industry_sw_2021(W1721,公司分析!D$5,1),IF($Y$3="申万二级行业",[1]!s_info_industry_sw_2021(W1721,公司分析!D$5,2),IF($Y$3="申万三级行业",[1]!s_info_industry_sw_2021(W1721,公司分析!D$5,3),IF($Y$3="wind一级行业",[1]!s_info_industry_gics(W1721,1),IF($Y$3="wind二级行业",[1]!s_info_industry_gics(W1721,2),IF($Y$3="wind三级行业",[1]!s_info_industry_gics(W1721,3),IF($Y$3="wind四级行业",[1]!s_info_industry_gics(W1721,4),IF($Y$3="证监会门类行业",[1]!s_info_industry_csrc12_n(W1721,公司分析!D$5,1),""))))))))</f>
        <v>IT服务Ⅱ</v>
      </c>
      <c r="Z1721" s="302" t="str">
        <f ca="1">IF(Y1721=行业比较!$E$6,ROW(),"")</f>
        <v/>
      </c>
      <c r="AA1721" s="122"/>
      <c r="AB1721" s="122"/>
      <c r="AC1721" s="122"/>
      <c r="AD1721" s="122"/>
      <c r="AE1721" s="122"/>
      <c r="AF1721" s="122"/>
      <c r="AG1721" s="122"/>
      <c r="AH1721" s="122"/>
      <c r="AI1721" s="122"/>
      <c r="AJ1721" s="122"/>
      <c r="AK1721" s="122"/>
      <c r="AL1721" s="122"/>
      <c r="AM1721" s="122"/>
      <c r="AN1721" s="122"/>
      <c r="AO1721" s="122"/>
      <c r="AP1721" s="122"/>
    </row>
    <row r="1722" spans="2:42">
      <c r="B1722" s="122"/>
      <c r="C1722" s="122"/>
      <c r="D1722" s="122"/>
      <c r="E1722" s="122"/>
      <c r="F1722" s="122"/>
      <c r="G1722" s="122"/>
      <c r="H1722" s="122"/>
      <c r="I1722" s="275"/>
      <c r="J1722" s="130"/>
      <c r="K1722" s="130"/>
      <c r="L1722" s="130"/>
      <c r="M1722" s="130"/>
      <c r="N1722" s="291"/>
      <c r="O1722" s="291"/>
      <c r="P1722" s="122"/>
      <c r="Q1722" s="122"/>
      <c r="R1722" s="122"/>
      <c r="S1722" s="122"/>
      <c r="T1722" s="122"/>
      <c r="U1722" s="301"/>
      <c r="V1722" s="260">
        <f t="shared" ca="1" si="34"/>
        <v>0</v>
      </c>
      <c r="W1722" s="348" t="str">
        <f>IF(板块成分!B1724="","",板块成分!B1724)</f>
        <v>300246.SZ</v>
      </c>
      <c r="X1722" s="276" t="str">
        <f>[1]!S_Info_Name(W1722)</f>
        <v>宝莱特</v>
      </c>
      <c r="Y1722" s="276" t="str">
        <f ca="1">IF($Y$3="申万一级行业",[1]!s_info_industry_sw_2021(W1722,公司分析!D$5,1),IF($Y$3="申万二级行业",[1]!s_info_industry_sw_2021(W1722,公司分析!D$5,2),IF($Y$3="申万三级行业",[1]!s_info_industry_sw_2021(W1722,公司分析!D$5,3),IF($Y$3="wind一级行业",[1]!s_info_industry_gics(W1722,1),IF($Y$3="wind二级行业",[1]!s_info_industry_gics(W1722,2),IF($Y$3="wind三级行业",[1]!s_info_industry_gics(W1722,3),IF($Y$3="wind四级行业",[1]!s_info_industry_gics(W1722,4),IF($Y$3="证监会门类行业",[1]!s_info_industry_csrc12_n(W1722,公司分析!D$5,1),""))))))))</f>
        <v>医疗器械</v>
      </c>
      <c r="Z1722" s="302" t="str">
        <f ca="1">IF(Y1722=行业比较!$E$6,ROW(),"")</f>
        <v/>
      </c>
      <c r="AA1722" s="122"/>
      <c r="AB1722" s="122"/>
      <c r="AC1722" s="122"/>
      <c r="AD1722" s="122"/>
      <c r="AE1722" s="122"/>
      <c r="AF1722" s="122"/>
      <c r="AG1722" s="122"/>
      <c r="AH1722" s="122"/>
      <c r="AI1722" s="122"/>
      <c r="AJ1722" s="122"/>
      <c r="AK1722" s="122"/>
      <c r="AL1722" s="122"/>
      <c r="AM1722" s="122"/>
      <c r="AN1722" s="122"/>
      <c r="AO1722" s="122"/>
      <c r="AP1722" s="122"/>
    </row>
    <row r="1723" spans="2:42">
      <c r="B1723" s="122"/>
      <c r="C1723" s="122"/>
      <c r="D1723" s="122"/>
      <c r="E1723" s="122"/>
      <c r="F1723" s="122"/>
      <c r="G1723" s="122"/>
      <c r="H1723" s="122"/>
      <c r="I1723" s="275"/>
      <c r="J1723" s="130"/>
      <c r="K1723" s="130"/>
      <c r="L1723" s="130"/>
      <c r="M1723" s="130"/>
      <c r="N1723" s="291"/>
      <c r="O1723" s="291"/>
      <c r="P1723" s="122"/>
      <c r="Q1723" s="122"/>
      <c r="R1723" s="122"/>
      <c r="S1723" s="122"/>
      <c r="T1723" s="122"/>
      <c r="U1723" s="301"/>
      <c r="V1723" s="260">
        <f t="shared" ca="1" si="34"/>
        <v>0</v>
      </c>
      <c r="W1723" s="348" t="str">
        <f>IF(板块成分!B1725="","",板块成分!B1725)</f>
        <v>300247.SZ</v>
      </c>
      <c r="X1723" s="276" t="str">
        <f>[1]!S_Info_Name(W1723)</f>
        <v>融捷健康</v>
      </c>
      <c r="Y1723" s="276" t="str">
        <f ca="1">IF($Y$3="申万一级行业",[1]!s_info_industry_sw_2021(W1723,公司分析!D$5,1),IF($Y$3="申万二级行业",[1]!s_info_industry_sw_2021(W1723,公司分析!D$5,2),IF($Y$3="申万三级行业",[1]!s_info_industry_sw_2021(W1723,公司分析!D$5,3),IF($Y$3="wind一级行业",[1]!s_info_industry_gics(W1723,1),IF($Y$3="wind二级行业",[1]!s_info_industry_gics(W1723,2),IF($Y$3="wind三级行业",[1]!s_info_industry_gics(W1723,3),IF($Y$3="wind四级行业",[1]!s_info_industry_gics(W1723,4),IF($Y$3="证监会门类行业",[1]!s_info_industry_csrc12_n(W1723,公司分析!D$5,1),""))))))))</f>
        <v>其他家电Ⅱ</v>
      </c>
      <c r="Z1723" s="302" t="str">
        <f ca="1">IF(Y1723=行业比较!$E$6,ROW(),"")</f>
        <v/>
      </c>
      <c r="AA1723" s="122"/>
      <c r="AB1723" s="122"/>
      <c r="AC1723" s="122"/>
      <c r="AD1723" s="122"/>
      <c r="AE1723" s="122"/>
      <c r="AF1723" s="122"/>
      <c r="AG1723" s="122"/>
      <c r="AH1723" s="122"/>
      <c r="AI1723" s="122"/>
      <c r="AJ1723" s="122"/>
      <c r="AK1723" s="122"/>
      <c r="AL1723" s="122"/>
      <c r="AM1723" s="122"/>
      <c r="AN1723" s="122"/>
      <c r="AO1723" s="122"/>
      <c r="AP1723" s="122"/>
    </row>
    <row r="1724" spans="2:42">
      <c r="B1724" s="122"/>
      <c r="C1724" s="122"/>
      <c r="D1724" s="122"/>
      <c r="E1724" s="122"/>
      <c r="F1724" s="122"/>
      <c r="G1724" s="122"/>
      <c r="H1724" s="122"/>
      <c r="I1724" s="275"/>
      <c r="J1724" s="130"/>
      <c r="K1724" s="130"/>
      <c r="L1724" s="130"/>
      <c r="M1724" s="130"/>
      <c r="N1724" s="291"/>
      <c r="O1724" s="291"/>
      <c r="P1724" s="122"/>
      <c r="Q1724" s="122"/>
      <c r="R1724" s="122"/>
      <c r="S1724" s="122"/>
      <c r="T1724" s="122"/>
      <c r="U1724" s="301"/>
      <c r="V1724" s="260">
        <f t="shared" ca="1" si="34"/>
        <v>0</v>
      </c>
      <c r="W1724" s="348" t="str">
        <f>IF(板块成分!B1726="","",板块成分!B1726)</f>
        <v>300248.SZ</v>
      </c>
      <c r="X1724" s="276" t="str">
        <f>[1]!S_Info_Name(W1724)</f>
        <v>新开普</v>
      </c>
      <c r="Y1724" s="276" t="str">
        <f ca="1">IF($Y$3="申万一级行业",[1]!s_info_industry_sw_2021(W1724,公司分析!D$5,1),IF($Y$3="申万二级行业",[1]!s_info_industry_sw_2021(W1724,公司分析!D$5,2),IF($Y$3="申万三级行业",[1]!s_info_industry_sw_2021(W1724,公司分析!D$5,3),IF($Y$3="wind一级行业",[1]!s_info_industry_gics(W1724,1),IF($Y$3="wind二级行业",[1]!s_info_industry_gics(W1724,2),IF($Y$3="wind三级行业",[1]!s_info_industry_gics(W1724,3),IF($Y$3="wind四级行业",[1]!s_info_industry_gics(W1724,4),IF($Y$3="证监会门类行业",[1]!s_info_industry_csrc12_n(W1724,公司分析!D$5,1),""))))))))</f>
        <v>计算机设备</v>
      </c>
      <c r="Z1724" s="302" t="str">
        <f ca="1">IF(Y1724=行业比较!$E$6,ROW(),"")</f>
        <v/>
      </c>
      <c r="AA1724" s="122"/>
      <c r="AB1724" s="122"/>
      <c r="AC1724" s="122"/>
      <c r="AD1724" s="122"/>
      <c r="AE1724" s="122"/>
      <c r="AF1724" s="122"/>
      <c r="AG1724" s="122"/>
      <c r="AH1724" s="122"/>
      <c r="AI1724" s="122"/>
      <c r="AJ1724" s="122"/>
      <c r="AK1724" s="122"/>
      <c r="AL1724" s="122"/>
      <c r="AM1724" s="122"/>
      <c r="AN1724" s="122"/>
      <c r="AO1724" s="122"/>
      <c r="AP1724" s="122"/>
    </row>
    <row r="1725" spans="2:42">
      <c r="B1725" s="122"/>
      <c r="C1725" s="122"/>
      <c r="D1725" s="122"/>
      <c r="E1725" s="122"/>
      <c r="F1725" s="122"/>
      <c r="G1725" s="122"/>
      <c r="H1725" s="122"/>
      <c r="I1725" s="275"/>
      <c r="J1725" s="130"/>
      <c r="K1725" s="130"/>
      <c r="L1725" s="130"/>
      <c r="M1725" s="130"/>
      <c r="N1725" s="291"/>
      <c r="O1725" s="291"/>
      <c r="P1725" s="122"/>
      <c r="Q1725" s="122"/>
      <c r="R1725" s="122"/>
      <c r="S1725" s="122"/>
      <c r="T1725" s="122"/>
      <c r="U1725" s="301"/>
      <c r="V1725" s="260">
        <f t="shared" ca="1" si="34"/>
        <v>0</v>
      </c>
      <c r="W1725" s="348" t="str">
        <f>IF(板块成分!B1727="","",板块成分!B1727)</f>
        <v>300249.SZ</v>
      </c>
      <c r="X1725" s="276" t="str">
        <f>[1]!S_Info_Name(W1725)</f>
        <v>依米康</v>
      </c>
      <c r="Y1725" s="276" t="str">
        <f ca="1">IF($Y$3="申万一级行业",[1]!s_info_industry_sw_2021(W1725,公司分析!D$5,1),IF($Y$3="申万二级行业",[1]!s_info_industry_sw_2021(W1725,公司分析!D$5,2),IF($Y$3="申万三级行业",[1]!s_info_industry_sw_2021(W1725,公司分析!D$5,3),IF($Y$3="wind一级行业",[1]!s_info_industry_gics(W1725,1),IF($Y$3="wind二级行业",[1]!s_info_industry_gics(W1725,2),IF($Y$3="wind三级行业",[1]!s_info_industry_gics(W1725,3),IF($Y$3="wind四级行业",[1]!s_info_industry_gics(W1725,4),IF($Y$3="证监会门类行业",[1]!s_info_industry_csrc12_n(W1725,公司分析!D$5,1),""))))))))</f>
        <v>计算机设备</v>
      </c>
      <c r="Z1725" s="302" t="str">
        <f ca="1">IF(Y1725=行业比较!$E$6,ROW(),"")</f>
        <v/>
      </c>
      <c r="AA1725" s="122"/>
      <c r="AB1725" s="122"/>
      <c r="AC1725" s="122"/>
      <c r="AD1725" s="122"/>
      <c r="AE1725" s="122"/>
      <c r="AF1725" s="122"/>
      <c r="AG1725" s="122"/>
      <c r="AH1725" s="122"/>
      <c r="AI1725" s="122"/>
      <c r="AJ1725" s="122"/>
      <c r="AK1725" s="122"/>
      <c r="AL1725" s="122"/>
      <c r="AM1725" s="122"/>
      <c r="AN1725" s="122"/>
      <c r="AO1725" s="122"/>
      <c r="AP1725" s="122"/>
    </row>
    <row r="1726" spans="2:42">
      <c r="B1726" s="122"/>
      <c r="C1726" s="122"/>
      <c r="D1726" s="122"/>
      <c r="E1726" s="122"/>
      <c r="F1726" s="122"/>
      <c r="G1726" s="122"/>
      <c r="H1726" s="122"/>
      <c r="I1726" s="275"/>
      <c r="J1726" s="130"/>
      <c r="K1726" s="130"/>
      <c r="L1726" s="130"/>
      <c r="M1726" s="130"/>
      <c r="N1726" s="291"/>
      <c r="O1726" s="291"/>
      <c r="P1726" s="122"/>
      <c r="Q1726" s="122"/>
      <c r="R1726" s="122"/>
      <c r="S1726" s="122"/>
      <c r="T1726" s="122"/>
      <c r="U1726" s="301"/>
      <c r="V1726" s="260">
        <f t="shared" ca="1" si="34"/>
        <v>0</v>
      </c>
      <c r="W1726" s="348" t="str">
        <f>IF(板块成分!B1728="","",板块成分!B1728)</f>
        <v>300250.SZ</v>
      </c>
      <c r="X1726" s="276" t="str">
        <f>[1]!S_Info_Name(W1726)</f>
        <v>初灵信息</v>
      </c>
      <c r="Y1726" s="276" t="str">
        <f ca="1">IF($Y$3="申万一级行业",[1]!s_info_industry_sw_2021(W1726,公司分析!D$5,1),IF($Y$3="申万二级行业",[1]!s_info_industry_sw_2021(W1726,公司分析!D$5,2),IF($Y$3="申万三级行业",[1]!s_info_industry_sw_2021(W1726,公司分析!D$5,3),IF($Y$3="wind一级行业",[1]!s_info_industry_gics(W1726,1),IF($Y$3="wind二级行业",[1]!s_info_industry_gics(W1726,2),IF($Y$3="wind三级行业",[1]!s_info_industry_gics(W1726,3),IF($Y$3="wind四级行业",[1]!s_info_industry_gics(W1726,4),IF($Y$3="证监会门类行业",[1]!s_info_industry_csrc12_n(W1726,公司分析!D$5,1),""))))))))</f>
        <v>IT服务Ⅱ</v>
      </c>
      <c r="Z1726" s="302" t="str">
        <f ca="1">IF(Y1726=行业比较!$E$6,ROW(),"")</f>
        <v/>
      </c>
      <c r="AA1726" s="122"/>
      <c r="AB1726" s="122"/>
      <c r="AC1726" s="122"/>
      <c r="AD1726" s="122"/>
      <c r="AE1726" s="122"/>
      <c r="AF1726" s="122"/>
      <c r="AG1726" s="122"/>
      <c r="AH1726" s="122"/>
      <c r="AI1726" s="122"/>
      <c r="AJ1726" s="122"/>
      <c r="AK1726" s="122"/>
      <c r="AL1726" s="122"/>
      <c r="AM1726" s="122"/>
      <c r="AN1726" s="122"/>
      <c r="AO1726" s="122"/>
      <c r="AP1726" s="122"/>
    </row>
    <row r="1727" spans="2:42">
      <c r="B1727" s="122"/>
      <c r="C1727" s="122"/>
      <c r="D1727" s="122"/>
      <c r="E1727" s="122"/>
      <c r="F1727" s="122"/>
      <c r="G1727" s="122"/>
      <c r="H1727" s="122"/>
      <c r="I1727" s="275"/>
      <c r="J1727" s="130"/>
      <c r="K1727" s="130"/>
      <c r="L1727" s="130"/>
      <c r="M1727" s="130"/>
      <c r="N1727" s="291"/>
      <c r="O1727" s="291"/>
      <c r="P1727" s="122"/>
      <c r="Q1727" s="122"/>
      <c r="R1727" s="122"/>
      <c r="S1727" s="122"/>
      <c r="T1727" s="122"/>
      <c r="U1727" s="301"/>
      <c r="V1727" s="260">
        <f t="shared" ca="1" si="34"/>
        <v>0</v>
      </c>
      <c r="W1727" s="348" t="str">
        <f>IF(板块成分!B1729="","",板块成分!B1729)</f>
        <v>300251.SZ</v>
      </c>
      <c r="X1727" s="276" t="str">
        <f>[1]!S_Info_Name(W1727)</f>
        <v>光线传媒</v>
      </c>
      <c r="Y1727" s="276" t="str">
        <f ca="1">IF($Y$3="申万一级行业",[1]!s_info_industry_sw_2021(W1727,公司分析!D$5,1),IF($Y$3="申万二级行业",[1]!s_info_industry_sw_2021(W1727,公司分析!D$5,2),IF($Y$3="申万三级行业",[1]!s_info_industry_sw_2021(W1727,公司分析!D$5,3),IF($Y$3="wind一级行业",[1]!s_info_industry_gics(W1727,1),IF($Y$3="wind二级行业",[1]!s_info_industry_gics(W1727,2),IF($Y$3="wind三级行业",[1]!s_info_industry_gics(W1727,3),IF($Y$3="wind四级行业",[1]!s_info_industry_gics(W1727,4),IF($Y$3="证监会门类行业",[1]!s_info_industry_csrc12_n(W1727,公司分析!D$5,1),""))))))))</f>
        <v>影视院线</v>
      </c>
      <c r="Z1727" s="302" t="str">
        <f ca="1">IF(Y1727=行业比较!$E$6,ROW(),"")</f>
        <v/>
      </c>
      <c r="AA1727" s="122"/>
      <c r="AB1727" s="122"/>
      <c r="AC1727" s="122"/>
      <c r="AD1727" s="122"/>
      <c r="AE1727" s="122"/>
      <c r="AF1727" s="122"/>
      <c r="AG1727" s="122"/>
      <c r="AH1727" s="122"/>
      <c r="AI1727" s="122"/>
      <c r="AJ1727" s="122"/>
      <c r="AK1727" s="122"/>
      <c r="AL1727" s="122"/>
      <c r="AM1727" s="122"/>
      <c r="AN1727" s="122"/>
      <c r="AO1727" s="122"/>
      <c r="AP1727" s="122"/>
    </row>
    <row r="1728" spans="2:42">
      <c r="B1728" s="122"/>
      <c r="C1728" s="122"/>
      <c r="D1728" s="122"/>
      <c r="E1728" s="122"/>
      <c r="F1728" s="122"/>
      <c r="G1728" s="122"/>
      <c r="H1728" s="122"/>
      <c r="I1728" s="275"/>
      <c r="J1728" s="130"/>
      <c r="K1728" s="130"/>
      <c r="L1728" s="130"/>
      <c r="M1728" s="130"/>
      <c r="N1728" s="291"/>
      <c r="O1728" s="291"/>
      <c r="P1728" s="122"/>
      <c r="Q1728" s="122"/>
      <c r="R1728" s="122"/>
      <c r="S1728" s="122"/>
      <c r="T1728" s="122"/>
      <c r="U1728" s="301"/>
      <c r="V1728" s="260">
        <f t="shared" ca="1" si="34"/>
        <v>0</v>
      </c>
      <c r="W1728" s="348" t="str">
        <f>IF(板块成分!B1730="","",板块成分!B1730)</f>
        <v>300252.SZ</v>
      </c>
      <c r="X1728" s="276" t="str">
        <f>[1]!S_Info_Name(W1728)</f>
        <v>金信诺</v>
      </c>
      <c r="Y1728" s="276" t="str">
        <f ca="1">IF($Y$3="申万一级行业",[1]!s_info_industry_sw_2021(W1728,公司分析!D$5,1),IF($Y$3="申万二级行业",[1]!s_info_industry_sw_2021(W1728,公司分析!D$5,2),IF($Y$3="申万三级行业",[1]!s_info_industry_sw_2021(W1728,公司分析!D$5,3),IF($Y$3="wind一级行业",[1]!s_info_industry_gics(W1728,1),IF($Y$3="wind二级行业",[1]!s_info_industry_gics(W1728,2),IF($Y$3="wind三级行业",[1]!s_info_industry_gics(W1728,3),IF($Y$3="wind四级行业",[1]!s_info_industry_gics(W1728,4),IF($Y$3="证监会门类行业",[1]!s_info_industry_csrc12_n(W1728,公司分析!D$5,1),""))))))))</f>
        <v>军工电子Ⅱ</v>
      </c>
      <c r="Z1728" s="302" t="str">
        <f ca="1">IF(Y1728=行业比较!$E$6,ROW(),"")</f>
        <v/>
      </c>
      <c r="AA1728" s="122"/>
      <c r="AB1728" s="122"/>
      <c r="AC1728" s="122"/>
      <c r="AD1728" s="122"/>
      <c r="AE1728" s="122"/>
      <c r="AF1728" s="122"/>
      <c r="AG1728" s="122"/>
      <c r="AH1728" s="122"/>
      <c r="AI1728" s="122"/>
      <c r="AJ1728" s="122"/>
      <c r="AK1728" s="122"/>
      <c r="AL1728" s="122"/>
      <c r="AM1728" s="122"/>
      <c r="AN1728" s="122"/>
      <c r="AO1728" s="122"/>
      <c r="AP1728" s="122"/>
    </row>
    <row r="1729" spans="2:42">
      <c r="B1729" s="122"/>
      <c r="C1729" s="122"/>
      <c r="D1729" s="122"/>
      <c r="E1729" s="122"/>
      <c r="F1729" s="122"/>
      <c r="G1729" s="122"/>
      <c r="H1729" s="122"/>
      <c r="I1729" s="275"/>
      <c r="J1729" s="130"/>
      <c r="K1729" s="130"/>
      <c r="L1729" s="130"/>
      <c r="M1729" s="130"/>
      <c r="N1729" s="291"/>
      <c r="O1729" s="291"/>
      <c r="P1729" s="122"/>
      <c r="Q1729" s="122"/>
      <c r="R1729" s="122"/>
      <c r="S1729" s="122"/>
      <c r="T1729" s="122"/>
      <c r="U1729" s="301"/>
      <c r="V1729" s="260">
        <f t="shared" ca="1" si="34"/>
        <v>0</v>
      </c>
      <c r="W1729" s="348" t="str">
        <f>IF(板块成分!B1731="","",板块成分!B1731)</f>
        <v>300253.SZ</v>
      </c>
      <c r="X1729" s="276" t="str">
        <f>[1]!S_Info_Name(W1729)</f>
        <v>卫宁健康</v>
      </c>
      <c r="Y1729" s="276" t="str">
        <f ca="1">IF($Y$3="申万一级行业",[1]!s_info_industry_sw_2021(W1729,公司分析!D$5,1),IF($Y$3="申万二级行业",[1]!s_info_industry_sw_2021(W1729,公司分析!D$5,2),IF($Y$3="申万三级行业",[1]!s_info_industry_sw_2021(W1729,公司分析!D$5,3),IF($Y$3="wind一级行业",[1]!s_info_industry_gics(W1729,1),IF($Y$3="wind二级行业",[1]!s_info_industry_gics(W1729,2),IF($Y$3="wind三级行业",[1]!s_info_industry_gics(W1729,3),IF($Y$3="wind四级行业",[1]!s_info_industry_gics(W1729,4),IF($Y$3="证监会门类行业",[1]!s_info_industry_csrc12_n(W1729,公司分析!D$5,1),""))))))))</f>
        <v>软件开发</v>
      </c>
      <c r="Z1729" s="302" t="str">
        <f ca="1">IF(Y1729=行业比较!$E$6,ROW(),"")</f>
        <v/>
      </c>
      <c r="AA1729" s="122"/>
      <c r="AB1729" s="122"/>
      <c r="AC1729" s="122"/>
      <c r="AD1729" s="122"/>
      <c r="AE1729" s="122"/>
      <c r="AF1729" s="122"/>
      <c r="AG1729" s="122"/>
      <c r="AH1729" s="122"/>
      <c r="AI1729" s="122"/>
      <c r="AJ1729" s="122"/>
      <c r="AK1729" s="122"/>
      <c r="AL1729" s="122"/>
      <c r="AM1729" s="122"/>
      <c r="AN1729" s="122"/>
      <c r="AO1729" s="122"/>
      <c r="AP1729" s="122"/>
    </row>
    <row r="1730" spans="2:42">
      <c r="B1730" s="122"/>
      <c r="C1730" s="122"/>
      <c r="D1730" s="122"/>
      <c r="E1730" s="122"/>
      <c r="F1730" s="122"/>
      <c r="G1730" s="122"/>
      <c r="H1730" s="122"/>
      <c r="I1730" s="275"/>
      <c r="J1730" s="130"/>
      <c r="K1730" s="130"/>
      <c r="L1730" s="130"/>
      <c r="M1730" s="130"/>
      <c r="N1730" s="291"/>
      <c r="O1730" s="291"/>
      <c r="P1730" s="122"/>
      <c r="Q1730" s="122"/>
      <c r="R1730" s="122"/>
      <c r="S1730" s="122"/>
      <c r="T1730" s="122"/>
      <c r="U1730" s="301"/>
      <c r="V1730" s="260">
        <f t="shared" ca="1" si="34"/>
        <v>0</v>
      </c>
      <c r="W1730" s="348" t="str">
        <f>IF(板块成分!B1732="","",板块成分!B1732)</f>
        <v>300254.SZ</v>
      </c>
      <c r="X1730" s="276" t="str">
        <f>[1]!S_Info_Name(W1730)</f>
        <v>仟源医药</v>
      </c>
      <c r="Y1730" s="276" t="str">
        <f ca="1">IF($Y$3="申万一级行业",[1]!s_info_industry_sw_2021(W1730,公司分析!D$5,1),IF($Y$3="申万二级行业",[1]!s_info_industry_sw_2021(W1730,公司分析!D$5,2),IF($Y$3="申万三级行业",[1]!s_info_industry_sw_2021(W1730,公司分析!D$5,3),IF($Y$3="wind一级行业",[1]!s_info_industry_gics(W1730,1),IF($Y$3="wind二级行业",[1]!s_info_industry_gics(W1730,2),IF($Y$3="wind三级行业",[1]!s_info_industry_gics(W1730,3),IF($Y$3="wind四级行业",[1]!s_info_industry_gics(W1730,4),IF($Y$3="证监会门类行业",[1]!s_info_industry_csrc12_n(W1730,公司分析!D$5,1),""))))))))</f>
        <v>化学制药</v>
      </c>
      <c r="Z1730" s="302" t="str">
        <f ca="1">IF(Y1730=行业比较!$E$6,ROW(),"")</f>
        <v/>
      </c>
      <c r="AA1730" s="122"/>
      <c r="AB1730" s="122"/>
      <c r="AC1730" s="122"/>
      <c r="AD1730" s="122"/>
      <c r="AE1730" s="122"/>
      <c r="AF1730" s="122"/>
      <c r="AG1730" s="122"/>
      <c r="AH1730" s="122"/>
      <c r="AI1730" s="122"/>
      <c r="AJ1730" s="122"/>
      <c r="AK1730" s="122"/>
      <c r="AL1730" s="122"/>
      <c r="AM1730" s="122"/>
      <c r="AN1730" s="122"/>
      <c r="AO1730" s="122"/>
      <c r="AP1730" s="122"/>
    </row>
    <row r="1731" spans="2:42">
      <c r="B1731" s="122"/>
      <c r="C1731" s="122"/>
      <c r="D1731" s="122"/>
      <c r="E1731" s="122"/>
      <c r="F1731" s="122"/>
      <c r="G1731" s="122"/>
      <c r="H1731" s="122"/>
      <c r="I1731" s="275"/>
      <c r="J1731" s="130"/>
      <c r="K1731" s="130"/>
      <c r="L1731" s="130"/>
      <c r="M1731" s="130"/>
      <c r="N1731" s="291"/>
      <c r="O1731" s="291"/>
      <c r="P1731" s="122"/>
      <c r="Q1731" s="122"/>
      <c r="R1731" s="122"/>
      <c r="S1731" s="122"/>
      <c r="T1731" s="122"/>
      <c r="U1731" s="301"/>
      <c r="V1731" s="260">
        <f t="shared" ca="1" si="34"/>
        <v>0</v>
      </c>
      <c r="W1731" s="348" t="str">
        <f>IF(板块成分!B1733="","",板块成分!B1733)</f>
        <v>300255.SZ</v>
      </c>
      <c r="X1731" s="276" t="str">
        <f>[1]!S_Info_Name(W1731)</f>
        <v>常山药业</v>
      </c>
      <c r="Y1731" s="276" t="str">
        <f ca="1">IF($Y$3="申万一级行业",[1]!s_info_industry_sw_2021(W1731,公司分析!D$5,1),IF($Y$3="申万二级行业",[1]!s_info_industry_sw_2021(W1731,公司分析!D$5,2),IF($Y$3="申万三级行业",[1]!s_info_industry_sw_2021(W1731,公司分析!D$5,3),IF($Y$3="wind一级行业",[1]!s_info_industry_gics(W1731,1),IF($Y$3="wind二级行业",[1]!s_info_industry_gics(W1731,2),IF($Y$3="wind三级行业",[1]!s_info_industry_gics(W1731,3),IF($Y$3="wind四级行业",[1]!s_info_industry_gics(W1731,4),IF($Y$3="证监会门类行业",[1]!s_info_industry_csrc12_n(W1731,公司分析!D$5,1),""))))))))</f>
        <v>化学制药</v>
      </c>
      <c r="Z1731" s="302" t="str">
        <f ca="1">IF(Y1731=行业比较!$E$6,ROW(),"")</f>
        <v/>
      </c>
      <c r="AA1731" s="122"/>
      <c r="AB1731" s="122"/>
      <c r="AC1731" s="122"/>
      <c r="AD1731" s="122"/>
      <c r="AE1731" s="122"/>
      <c r="AF1731" s="122"/>
      <c r="AG1731" s="122"/>
      <c r="AH1731" s="122"/>
      <c r="AI1731" s="122"/>
      <c r="AJ1731" s="122"/>
      <c r="AK1731" s="122"/>
      <c r="AL1731" s="122"/>
      <c r="AM1731" s="122"/>
      <c r="AN1731" s="122"/>
      <c r="AO1731" s="122"/>
      <c r="AP1731" s="122"/>
    </row>
    <row r="1732" spans="2:42">
      <c r="B1732" s="122"/>
      <c r="C1732" s="122"/>
      <c r="D1732" s="122"/>
      <c r="E1732" s="122"/>
      <c r="F1732" s="122"/>
      <c r="G1732" s="122"/>
      <c r="H1732" s="122"/>
      <c r="I1732" s="275"/>
      <c r="J1732" s="130"/>
      <c r="K1732" s="130"/>
      <c r="L1732" s="130"/>
      <c r="M1732" s="130"/>
      <c r="N1732" s="291"/>
      <c r="O1732" s="291"/>
      <c r="P1732" s="122"/>
      <c r="Q1732" s="122"/>
      <c r="R1732" s="122"/>
      <c r="S1732" s="122"/>
      <c r="T1732" s="122"/>
      <c r="U1732" s="301"/>
      <c r="V1732" s="260">
        <f t="shared" ca="1" si="34"/>
        <v>0</v>
      </c>
      <c r="W1732" s="348" t="str">
        <f>IF(板块成分!B1734="","",板块成分!B1734)</f>
        <v>300256.SZ</v>
      </c>
      <c r="X1732" s="276" t="str">
        <f>[1]!S_Info_Name(W1732)</f>
        <v>星星科技</v>
      </c>
      <c r="Y1732" s="276" t="str">
        <f ca="1">IF($Y$3="申万一级行业",[1]!s_info_industry_sw_2021(W1732,公司分析!D$5,1),IF($Y$3="申万二级行业",[1]!s_info_industry_sw_2021(W1732,公司分析!D$5,2),IF($Y$3="申万三级行业",[1]!s_info_industry_sw_2021(W1732,公司分析!D$5,3),IF($Y$3="wind一级行业",[1]!s_info_industry_gics(W1732,1),IF($Y$3="wind二级行业",[1]!s_info_industry_gics(W1732,2),IF($Y$3="wind三级行业",[1]!s_info_industry_gics(W1732,3),IF($Y$3="wind四级行业",[1]!s_info_industry_gics(W1732,4),IF($Y$3="证监会门类行业",[1]!s_info_industry_csrc12_n(W1732,公司分析!D$5,1),""))))))))</f>
        <v>消费电子</v>
      </c>
      <c r="Z1732" s="302" t="str">
        <f ca="1">IF(Y1732=行业比较!$E$6,ROW(),"")</f>
        <v/>
      </c>
      <c r="AA1732" s="122"/>
      <c r="AB1732" s="122"/>
      <c r="AC1732" s="122"/>
      <c r="AD1732" s="122"/>
      <c r="AE1732" s="122"/>
      <c r="AF1732" s="122"/>
      <c r="AG1732" s="122"/>
      <c r="AH1732" s="122"/>
      <c r="AI1732" s="122"/>
      <c r="AJ1732" s="122"/>
      <c r="AK1732" s="122"/>
      <c r="AL1732" s="122"/>
      <c r="AM1732" s="122"/>
      <c r="AN1732" s="122"/>
      <c r="AO1732" s="122"/>
      <c r="AP1732" s="122"/>
    </row>
    <row r="1733" spans="2:42">
      <c r="B1733" s="122"/>
      <c r="C1733" s="122"/>
      <c r="D1733" s="122"/>
      <c r="E1733" s="122"/>
      <c r="F1733" s="122"/>
      <c r="G1733" s="122"/>
      <c r="H1733" s="122"/>
      <c r="I1733" s="275"/>
      <c r="J1733" s="130"/>
      <c r="K1733" s="130"/>
      <c r="L1733" s="130"/>
      <c r="M1733" s="130"/>
      <c r="N1733" s="291"/>
      <c r="O1733" s="291"/>
      <c r="P1733" s="122"/>
      <c r="Q1733" s="122"/>
      <c r="R1733" s="122"/>
      <c r="S1733" s="122"/>
      <c r="T1733" s="122"/>
      <c r="U1733" s="301"/>
      <c r="V1733" s="260">
        <f t="shared" ref="V1733:V1796" ca="1" si="35">IF(Z1733="",0,RANK(Z1733,Z:Z,1))</f>
        <v>0</v>
      </c>
      <c r="W1733" s="348" t="str">
        <f>IF(板块成分!B1735="","",板块成分!B1735)</f>
        <v>300257.SZ</v>
      </c>
      <c r="X1733" s="276" t="str">
        <f>[1]!S_Info_Name(W1733)</f>
        <v>开山股份</v>
      </c>
      <c r="Y1733" s="276" t="str">
        <f ca="1">IF($Y$3="申万一级行业",[1]!s_info_industry_sw_2021(W1733,公司分析!D$5,1),IF($Y$3="申万二级行业",[1]!s_info_industry_sw_2021(W1733,公司分析!D$5,2),IF($Y$3="申万三级行业",[1]!s_info_industry_sw_2021(W1733,公司分析!D$5,3),IF($Y$3="wind一级行业",[1]!s_info_industry_gics(W1733,1),IF($Y$3="wind二级行业",[1]!s_info_industry_gics(W1733,2),IF($Y$3="wind三级行业",[1]!s_info_industry_gics(W1733,3),IF($Y$3="wind四级行业",[1]!s_info_industry_gics(W1733,4),IF($Y$3="证监会门类行业",[1]!s_info_industry_csrc12_n(W1733,公司分析!D$5,1),""))))))))</f>
        <v>通用设备</v>
      </c>
      <c r="Z1733" s="302" t="str">
        <f ca="1">IF(Y1733=行业比较!$E$6,ROW(),"")</f>
        <v/>
      </c>
      <c r="AA1733" s="122"/>
      <c r="AB1733" s="122"/>
      <c r="AC1733" s="122"/>
      <c r="AD1733" s="122"/>
      <c r="AE1733" s="122"/>
      <c r="AF1733" s="122"/>
      <c r="AG1733" s="122"/>
      <c r="AH1733" s="122"/>
      <c r="AI1733" s="122"/>
      <c r="AJ1733" s="122"/>
      <c r="AK1733" s="122"/>
      <c r="AL1733" s="122"/>
      <c r="AM1733" s="122"/>
      <c r="AN1733" s="122"/>
      <c r="AO1733" s="122"/>
      <c r="AP1733" s="122"/>
    </row>
    <row r="1734" spans="2:42">
      <c r="B1734" s="122"/>
      <c r="C1734" s="122"/>
      <c r="D1734" s="122"/>
      <c r="E1734" s="122"/>
      <c r="F1734" s="122"/>
      <c r="G1734" s="122"/>
      <c r="H1734" s="122"/>
      <c r="I1734" s="275"/>
      <c r="J1734" s="130"/>
      <c r="K1734" s="130"/>
      <c r="L1734" s="130"/>
      <c r="M1734" s="130"/>
      <c r="N1734" s="291"/>
      <c r="O1734" s="291"/>
      <c r="P1734" s="122"/>
      <c r="Q1734" s="122"/>
      <c r="R1734" s="122"/>
      <c r="S1734" s="122"/>
      <c r="T1734" s="122"/>
      <c r="U1734" s="301"/>
      <c r="V1734" s="260">
        <f t="shared" ca="1" si="35"/>
        <v>0</v>
      </c>
      <c r="W1734" s="348" t="str">
        <f>IF(板块成分!B1736="","",板块成分!B1736)</f>
        <v>300258.SZ</v>
      </c>
      <c r="X1734" s="276" t="str">
        <f>[1]!S_Info_Name(W1734)</f>
        <v>精锻科技</v>
      </c>
      <c r="Y1734" s="276" t="str">
        <f ca="1">IF($Y$3="申万一级行业",[1]!s_info_industry_sw_2021(W1734,公司分析!D$5,1),IF($Y$3="申万二级行业",[1]!s_info_industry_sw_2021(W1734,公司分析!D$5,2),IF($Y$3="申万三级行业",[1]!s_info_industry_sw_2021(W1734,公司分析!D$5,3),IF($Y$3="wind一级行业",[1]!s_info_industry_gics(W1734,1),IF($Y$3="wind二级行业",[1]!s_info_industry_gics(W1734,2),IF($Y$3="wind三级行业",[1]!s_info_industry_gics(W1734,3),IF($Y$3="wind四级行业",[1]!s_info_industry_gics(W1734,4),IF($Y$3="证监会门类行业",[1]!s_info_industry_csrc12_n(W1734,公司分析!D$5,1),""))))))))</f>
        <v>汽车零部件</v>
      </c>
      <c r="Z1734" s="302" t="str">
        <f ca="1">IF(Y1734=行业比较!$E$6,ROW(),"")</f>
        <v/>
      </c>
      <c r="AA1734" s="122"/>
      <c r="AB1734" s="122"/>
      <c r="AC1734" s="122"/>
      <c r="AD1734" s="122"/>
      <c r="AE1734" s="122"/>
      <c r="AF1734" s="122"/>
      <c r="AG1734" s="122"/>
      <c r="AH1734" s="122"/>
      <c r="AI1734" s="122"/>
      <c r="AJ1734" s="122"/>
      <c r="AK1734" s="122"/>
      <c r="AL1734" s="122"/>
      <c r="AM1734" s="122"/>
      <c r="AN1734" s="122"/>
      <c r="AO1734" s="122"/>
      <c r="AP1734" s="122"/>
    </row>
    <row r="1735" spans="2:42">
      <c r="B1735" s="122"/>
      <c r="C1735" s="122"/>
      <c r="D1735" s="122"/>
      <c r="E1735" s="122"/>
      <c r="F1735" s="122"/>
      <c r="G1735" s="122"/>
      <c r="H1735" s="122"/>
      <c r="I1735" s="275"/>
      <c r="J1735" s="130"/>
      <c r="K1735" s="130"/>
      <c r="L1735" s="130"/>
      <c r="M1735" s="130"/>
      <c r="N1735" s="291"/>
      <c r="O1735" s="291"/>
      <c r="P1735" s="122"/>
      <c r="Q1735" s="122"/>
      <c r="R1735" s="122"/>
      <c r="S1735" s="122"/>
      <c r="T1735" s="122"/>
      <c r="U1735" s="301"/>
      <c r="V1735" s="260">
        <f t="shared" ca="1" si="35"/>
        <v>0</v>
      </c>
      <c r="W1735" s="348" t="str">
        <f>IF(板块成分!B1737="","",板块成分!B1737)</f>
        <v>300259.SZ</v>
      </c>
      <c r="X1735" s="276" t="str">
        <f>[1]!S_Info_Name(W1735)</f>
        <v>新天科技</v>
      </c>
      <c r="Y1735" s="276" t="str">
        <f ca="1">IF($Y$3="申万一级行业",[1]!s_info_industry_sw_2021(W1735,公司分析!D$5,1),IF($Y$3="申万二级行业",[1]!s_info_industry_sw_2021(W1735,公司分析!D$5,2),IF($Y$3="申万三级行业",[1]!s_info_industry_sw_2021(W1735,公司分析!D$5,3),IF($Y$3="wind一级行业",[1]!s_info_industry_gics(W1735,1),IF($Y$3="wind二级行业",[1]!s_info_industry_gics(W1735,2),IF($Y$3="wind三级行业",[1]!s_info_industry_gics(W1735,3),IF($Y$3="wind四级行业",[1]!s_info_industry_gics(W1735,4),IF($Y$3="证监会门类行业",[1]!s_info_industry_csrc12_n(W1735,公司分析!D$5,1),""))))))))</f>
        <v>通用设备</v>
      </c>
      <c r="Z1735" s="302" t="str">
        <f ca="1">IF(Y1735=行业比较!$E$6,ROW(),"")</f>
        <v/>
      </c>
      <c r="AA1735" s="122"/>
      <c r="AB1735" s="122"/>
      <c r="AC1735" s="122"/>
      <c r="AD1735" s="122"/>
      <c r="AE1735" s="122"/>
      <c r="AF1735" s="122"/>
      <c r="AG1735" s="122"/>
      <c r="AH1735" s="122"/>
      <c r="AI1735" s="122"/>
      <c r="AJ1735" s="122"/>
      <c r="AK1735" s="122"/>
      <c r="AL1735" s="122"/>
      <c r="AM1735" s="122"/>
      <c r="AN1735" s="122"/>
      <c r="AO1735" s="122"/>
      <c r="AP1735" s="122"/>
    </row>
    <row r="1736" spans="2:42">
      <c r="B1736" s="122"/>
      <c r="C1736" s="122"/>
      <c r="D1736" s="122"/>
      <c r="E1736" s="122"/>
      <c r="F1736" s="122"/>
      <c r="G1736" s="122"/>
      <c r="H1736" s="122"/>
      <c r="I1736" s="275"/>
      <c r="J1736" s="130"/>
      <c r="K1736" s="130"/>
      <c r="L1736" s="130"/>
      <c r="M1736" s="130"/>
      <c r="N1736" s="291"/>
      <c r="O1736" s="291"/>
      <c r="P1736" s="122"/>
      <c r="Q1736" s="122"/>
      <c r="R1736" s="122"/>
      <c r="S1736" s="122"/>
      <c r="T1736" s="122"/>
      <c r="U1736" s="301"/>
      <c r="V1736" s="260">
        <f t="shared" ca="1" si="35"/>
        <v>0</v>
      </c>
      <c r="W1736" s="348" t="str">
        <f>IF(板块成分!B1738="","",板块成分!B1738)</f>
        <v>300260.SZ</v>
      </c>
      <c r="X1736" s="276" t="str">
        <f>[1]!S_Info_Name(W1736)</f>
        <v>新莱应材</v>
      </c>
      <c r="Y1736" s="276" t="str">
        <f ca="1">IF($Y$3="申万一级行业",[1]!s_info_industry_sw_2021(W1736,公司分析!D$5,1),IF($Y$3="申万二级行业",[1]!s_info_industry_sw_2021(W1736,公司分析!D$5,2),IF($Y$3="申万三级行业",[1]!s_info_industry_sw_2021(W1736,公司分析!D$5,3),IF($Y$3="wind一级行业",[1]!s_info_industry_gics(W1736,1),IF($Y$3="wind二级行业",[1]!s_info_industry_gics(W1736,2),IF($Y$3="wind三级行业",[1]!s_info_industry_gics(W1736,3),IF($Y$3="wind四级行业",[1]!s_info_industry_gics(W1736,4),IF($Y$3="证监会门类行业",[1]!s_info_industry_csrc12_n(W1736,公司分析!D$5,1),""))))))))</f>
        <v>通用设备</v>
      </c>
      <c r="Z1736" s="302" t="str">
        <f ca="1">IF(Y1736=行业比较!$E$6,ROW(),"")</f>
        <v/>
      </c>
      <c r="AA1736" s="122"/>
      <c r="AB1736" s="122"/>
      <c r="AC1736" s="122"/>
      <c r="AD1736" s="122"/>
      <c r="AE1736" s="122"/>
      <c r="AF1736" s="122"/>
      <c r="AG1736" s="122"/>
      <c r="AH1736" s="122"/>
      <c r="AI1736" s="122"/>
      <c r="AJ1736" s="122"/>
      <c r="AK1736" s="122"/>
      <c r="AL1736" s="122"/>
      <c r="AM1736" s="122"/>
      <c r="AN1736" s="122"/>
      <c r="AO1736" s="122"/>
      <c r="AP1736" s="122"/>
    </row>
    <row r="1737" spans="2:42">
      <c r="B1737" s="122"/>
      <c r="C1737" s="122"/>
      <c r="D1737" s="122"/>
      <c r="E1737" s="122"/>
      <c r="F1737" s="122"/>
      <c r="G1737" s="122"/>
      <c r="H1737" s="122"/>
      <c r="I1737" s="275"/>
      <c r="J1737" s="130"/>
      <c r="K1737" s="130"/>
      <c r="L1737" s="130"/>
      <c r="M1737" s="130"/>
      <c r="N1737" s="291"/>
      <c r="O1737" s="291"/>
      <c r="P1737" s="122"/>
      <c r="Q1737" s="122"/>
      <c r="R1737" s="122"/>
      <c r="S1737" s="122"/>
      <c r="T1737" s="122"/>
      <c r="U1737" s="301"/>
      <c r="V1737" s="260">
        <f t="shared" ca="1" si="35"/>
        <v>0</v>
      </c>
      <c r="W1737" s="348" t="str">
        <f>IF(板块成分!B1739="","",板块成分!B1739)</f>
        <v>300261.SZ</v>
      </c>
      <c r="X1737" s="276" t="str">
        <f>[1]!S_Info_Name(W1737)</f>
        <v>雅本化学</v>
      </c>
      <c r="Y1737" s="276" t="str">
        <f ca="1">IF($Y$3="申万一级行业",[1]!s_info_industry_sw_2021(W1737,公司分析!D$5,1),IF($Y$3="申万二级行业",[1]!s_info_industry_sw_2021(W1737,公司分析!D$5,2),IF($Y$3="申万三级行业",[1]!s_info_industry_sw_2021(W1737,公司分析!D$5,3),IF($Y$3="wind一级行业",[1]!s_info_industry_gics(W1737,1),IF($Y$3="wind二级行业",[1]!s_info_industry_gics(W1737,2),IF($Y$3="wind三级行业",[1]!s_info_industry_gics(W1737,3),IF($Y$3="wind四级行业",[1]!s_info_industry_gics(W1737,4),IF($Y$3="证监会门类行业",[1]!s_info_industry_csrc12_n(W1737,公司分析!D$5,1),""))))))))</f>
        <v>农化制品</v>
      </c>
      <c r="Z1737" s="302" t="str">
        <f ca="1">IF(Y1737=行业比较!$E$6,ROW(),"")</f>
        <v/>
      </c>
      <c r="AA1737" s="122"/>
      <c r="AB1737" s="122"/>
      <c r="AC1737" s="122"/>
      <c r="AD1737" s="122"/>
      <c r="AE1737" s="122"/>
      <c r="AF1737" s="122"/>
      <c r="AG1737" s="122"/>
      <c r="AH1737" s="122"/>
      <c r="AI1737" s="122"/>
      <c r="AJ1737" s="122"/>
      <c r="AK1737" s="122"/>
      <c r="AL1737" s="122"/>
      <c r="AM1737" s="122"/>
      <c r="AN1737" s="122"/>
      <c r="AO1737" s="122"/>
      <c r="AP1737" s="122"/>
    </row>
    <row r="1738" spans="2:42">
      <c r="B1738" s="122"/>
      <c r="C1738" s="122"/>
      <c r="D1738" s="122"/>
      <c r="E1738" s="122"/>
      <c r="F1738" s="122"/>
      <c r="G1738" s="122"/>
      <c r="H1738" s="122"/>
      <c r="I1738" s="275"/>
      <c r="J1738" s="130"/>
      <c r="K1738" s="130"/>
      <c r="L1738" s="130"/>
      <c r="M1738" s="130"/>
      <c r="N1738" s="291"/>
      <c r="O1738" s="291"/>
      <c r="P1738" s="122"/>
      <c r="Q1738" s="122"/>
      <c r="R1738" s="122"/>
      <c r="S1738" s="122"/>
      <c r="T1738" s="122"/>
      <c r="U1738" s="301"/>
      <c r="V1738" s="260">
        <f t="shared" ca="1" si="35"/>
        <v>0</v>
      </c>
      <c r="W1738" s="348" t="str">
        <f>IF(板块成分!B1740="","",板块成分!B1740)</f>
        <v>300263.SZ</v>
      </c>
      <c r="X1738" s="276" t="str">
        <f>[1]!S_Info_Name(W1738)</f>
        <v>隆华科技</v>
      </c>
      <c r="Y1738" s="276" t="str">
        <f ca="1">IF($Y$3="申万一级行业",[1]!s_info_industry_sw_2021(W1738,公司分析!D$5,1),IF($Y$3="申万二级行业",[1]!s_info_industry_sw_2021(W1738,公司分析!D$5,2),IF($Y$3="申万三级行业",[1]!s_info_industry_sw_2021(W1738,公司分析!D$5,3),IF($Y$3="wind一级行业",[1]!s_info_industry_gics(W1738,1),IF($Y$3="wind二级行业",[1]!s_info_industry_gics(W1738,2),IF($Y$3="wind三级行业",[1]!s_info_industry_gics(W1738,3),IF($Y$3="wind四级行业",[1]!s_info_industry_gics(W1738,4),IF($Y$3="证监会门类行业",[1]!s_info_industry_csrc12_n(W1738,公司分析!D$5,1),""))))))))</f>
        <v>通用设备</v>
      </c>
      <c r="Z1738" s="302" t="str">
        <f ca="1">IF(Y1738=行业比较!$E$6,ROW(),"")</f>
        <v/>
      </c>
      <c r="AA1738" s="122"/>
      <c r="AB1738" s="122"/>
      <c r="AC1738" s="122"/>
      <c r="AD1738" s="122"/>
      <c r="AE1738" s="122"/>
      <c r="AF1738" s="122"/>
      <c r="AG1738" s="122"/>
      <c r="AH1738" s="122"/>
      <c r="AI1738" s="122"/>
      <c r="AJ1738" s="122"/>
      <c r="AK1738" s="122"/>
      <c r="AL1738" s="122"/>
      <c r="AM1738" s="122"/>
      <c r="AN1738" s="122"/>
      <c r="AO1738" s="122"/>
      <c r="AP1738" s="122"/>
    </row>
    <row r="1739" spans="2:42">
      <c r="B1739" s="122"/>
      <c r="C1739" s="122"/>
      <c r="D1739" s="122"/>
      <c r="E1739" s="122"/>
      <c r="F1739" s="122"/>
      <c r="G1739" s="122"/>
      <c r="H1739" s="122"/>
      <c r="I1739" s="275"/>
      <c r="J1739" s="130"/>
      <c r="K1739" s="130"/>
      <c r="L1739" s="130"/>
      <c r="M1739" s="130"/>
      <c r="N1739" s="291"/>
      <c r="O1739" s="291"/>
      <c r="P1739" s="122"/>
      <c r="Q1739" s="122"/>
      <c r="R1739" s="122"/>
      <c r="S1739" s="122"/>
      <c r="T1739" s="122"/>
      <c r="U1739" s="301"/>
      <c r="V1739" s="260">
        <f t="shared" ca="1" si="35"/>
        <v>0</v>
      </c>
      <c r="W1739" s="348" t="str">
        <f>IF(板块成分!B1741="","",板块成分!B1741)</f>
        <v>300264.SZ</v>
      </c>
      <c r="X1739" s="276" t="str">
        <f>[1]!S_Info_Name(W1739)</f>
        <v>佳创视讯</v>
      </c>
      <c r="Y1739" s="276" t="str">
        <f ca="1">IF($Y$3="申万一级行业",[1]!s_info_industry_sw_2021(W1739,公司分析!D$5,1),IF($Y$3="申万二级行业",[1]!s_info_industry_sw_2021(W1739,公司分析!D$5,2),IF($Y$3="申万三级行业",[1]!s_info_industry_sw_2021(W1739,公司分析!D$5,3),IF($Y$3="wind一级行业",[1]!s_info_industry_gics(W1739,1),IF($Y$3="wind二级行业",[1]!s_info_industry_gics(W1739,2),IF($Y$3="wind三级行业",[1]!s_info_industry_gics(W1739,3),IF($Y$3="wind四级行业",[1]!s_info_industry_gics(W1739,4),IF($Y$3="证监会门类行业",[1]!s_info_industry_csrc12_n(W1739,公司分析!D$5,1),""))))))))</f>
        <v>IT服务Ⅱ</v>
      </c>
      <c r="Z1739" s="302" t="str">
        <f ca="1">IF(Y1739=行业比较!$E$6,ROW(),"")</f>
        <v/>
      </c>
      <c r="AA1739" s="122"/>
      <c r="AB1739" s="122"/>
      <c r="AC1739" s="122"/>
      <c r="AD1739" s="122"/>
      <c r="AE1739" s="122"/>
      <c r="AF1739" s="122"/>
      <c r="AG1739" s="122"/>
      <c r="AH1739" s="122"/>
      <c r="AI1739" s="122"/>
      <c r="AJ1739" s="122"/>
      <c r="AK1739" s="122"/>
      <c r="AL1739" s="122"/>
      <c r="AM1739" s="122"/>
      <c r="AN1739" s="122"/>
      <c r="AO1739" s="122"/>
      <c r="AP1739" s="122"/>
    </row>
    <row r="1740" spans="2:42">
      <c r="B1740" s="122"/>
      <c r="C1740" s="122"/>
      <c r="D1740" s="122"/>
      <c r="E1740" s="122"/>
      <c r="F1740" s="122"/>
      <c r="G1740" s="122"/>
      <c r="H1740" s="122"/>
      <c r="I1740" s="275"/>
      <c r="J1740" s="130"/>
      <c r="K1740" s="130"/>
      <c r="L1740" s="130"/>
      <c r="M1740" s="130"/>
      <c r="N1740" s="291"/>
      <c r="O1740" s="291"/>
      <c r="P1740" s="122"/>
      <c r="Q1740" s="122"/>
      <c r="R1740" s="122"/>
      <c r="S1740" s="122"/>
      <c r="T1740" s="122"/>
      <c r="U1740" s="301"/>
      <c r="V1740" s="260">
        <f t="shared" ca="1" si="35"/>
        <v>0</v>
      </c>
      <c r="W1740" s="348" t="str">
        <f>IF(板块成分!B1742="","",板块成分!B1742)</f>
        <v>300265.SZ</v>
      </c>
      <c r="X1740" s="276" t="str">
        <f>[1]!S_Info_Name(W1740)</f>
        <v>通光线缆</v>
      </c>
      <c r="Y1740" s="276" t="str">
        <f ca="1">IF($Y$3="申万一级行业",[1]!s_info_industry_sw_2021(W1740,公司分析!D$5,1),IF($Y$3="申万二级行业",[1]!s_info_industry_sw_2021(W1740,公司分析!D$5,2),IF($Y$3="申万三级行业",[1]!s_info_industry_sw_2021(W1740,公司分析!D$5,3),IF($Y$3="wind一级行业",[1]!s_info_industry_gics(W1740,1),IF($Y$3="wind二级行业",[1]!s_info_industry_gics(W1740,2),IF($Y$3="wind三级行业",[1]!s_info_industry_gics(W1740,3),IF($Y$3="wind四级行业",[1]!s_info_industry_gics(W1740,4),IF($Y$3="证监会门类行业",[1]!s_info_industry_csrc12_n(W1740,公司分析!D$5,1),""))))))))</f>
        <v>电网设备</v>
      </c>
      <c r="Z1740" s="302" t="str">
        <f ca="1">IF(Y1740=行业比较!$E$6,ROW(),"")</f>
        <v/>
      </c>
      <c r="AA1740" s="122"/>
      <c r="AB1740" s="122"/>
      <c r="AC1740" s="122"/>
      <c r="AD1740" s="122"/>
      <c r="AE1740" s="122"/>
      <c r="AF1740" s="122"/>
      <c r="AG1740" s="122"/>
      <c r="AH1740" s="122"/>
      <c r="AI1740" s="122"/>
      <c r="AJ1740" s="122"/>
      <c r="AK1740" s="122"/>
      <c r="AL1740" s="122"/>
      <c r="AM1740" s="122"/>
      <c r="AN1740" s="122"/>
      <c r="AO1740" s="122"/>
      <c r="AP1740" s="122"/>
    </row>
    <row r="1741" spans="2:42">
      <c r="B1741" s="122"/>
      <c r="C1741" s="122"/>
      <c r="D1741" s="122"/>
      <c r="E1741" s="122"/>
      <c r="F1741" s="122"/>
      <c r="G1741" s="122"/>
      <c r="H1741" s="122"/>
      <c r="I1741" s="275"/>
      <c r="J1741" s="130"/>
      <c r="K1741" s="130"/>
      <c r="L1741" s="130"/>
      <c r="M1741" s="130"/>
      <c r="N1741" s="291"/>
      <c r="O1741" s="291"/>
      <c r="P1741" s="122"/>
      <c r="Q1741" s="122"/>
      <c r="R1741" s="122"/>
      <c r="S1741" s="122"/>
      <c r="T1741" s="122"/>
      <c r="U1741" s="301"/>
      <c r="V1741" s="260">
        <f t="shared" ca="1" si="35"/>
        <v>0</v>
      </c>
      <c r="W1741" s="348" t="str">
        <f>IF(板块成分!B1743="","",板块成分!B1743)</f>
        <v>300266.SZ</v>
      </c>
      <c r="X1741" s="276" t="str">
        <f>[1]!S_Info_Name(W1741)</f>
        <v>兴源环境</v>
      </c>
      <c r="Y1741" s="276" t="str">
        <f ca="1">IF($Y$3="申万一级行业",[1]!s_info_industry_sw_2021(W1741,公司分析!D$5,1),IF($Y$3="申万二级行业",[1]!s_info_industry_sw_2021(W1741,公司分析!D$5,2),IF($Y$3="申万三级行业",[1]!s_info_industry_sw_2021(W1741,公司分析!D$5,3),IF($Y$3="wind一级行业",[1]!s_info_industry_gics(W1741,1),IF($Y$3="wind二级行业",[1]!s_info_industry_gics(W1741,2),IF($Y$3="wind三级行业",[1]!s_info_industry_gics(W1741,3),IF($Y$3="wind四级行业",[1]!s_info_industry_gics(W1741,4),IF($Y$3="证监会门类行业",[1]!s_info_industry_csrc12_n(W1741,公司分析!D$5,1),""))))))))</f>
        <v>环境治理</v>
      </c>
      <c r="Z1741" s="302" t="str">
        <f ca="1">IF(Y1741=行业比较!$E$6,ROW(),"")</f>
        <v/>
      </c>
      <c r="AA1741" s="122"/>
      <c r="AB1741" s="122"/>
      <c r="AC1741" s="122"/>
      <c r="AD1741" s="122"/>
      <c r="AE1741" s="122"/>
      <c r="AF1741" s="122"/>
      <c r="AG1741" s="122"/>
      <c r="AH1741" s="122"/>
      <c r="AI1741" s="122"/>
      <c r="AJ1741" s="122"/>
      <c r="AK1741" s="122"/>
      <c r="AL1741" s="122"/>
      <c r="AM1741" s="122"/>
      <c r="AN1741" s="122"/>
      <c r="AO1741" s="122"/>
      <c r="AP1741" s="122"/>
    </row>
    <row r="1742" spans="2:42">
      <c r="B1742" s="122"/>
      <c r="C1742" s="122"/>
      <c r="D1742" s="122"/>
      <c r="E1742" s="122"/>
      <c r="F1742" s="122"/>
      <c r="G1742" s="122"/>
      <c r="H1742" s="122"/>
      <c r="I1742" s="275"/>
      <c r="J1742" s="130"/>
      <c r="K1742" s="130"/>
      <c r="L1742" s="130"/>
      <c r="M1742" s="130"/>
      <c r="N1742" s="291"/>
      <c r="O1742" s="291"/>
      <c r="P1742" s="122"/>
      <c r="Q1742" s="122"/>
      <c r="R1742" s="122"/>
      <c r="S1742" s="122"/>
      <c r="T1742" s="122"/>
      <c r="U1742" s="301"/>
      <c r="V1742" s="260">
        <f t="shared" ca="1" si="35"/>
        <v>0</v>
      </c>
      <c r="W1742" s="348" t="str">
        <f>IF(板块成分!B1744="","",板块成分!B1744)</f>
        <v>300267.SZ</v>
      </c>
      <c r="X1742" s="276" t="str">
        <f>[1]!S_Info_Name(W1742)</f>
        <v>尔康制药</v>
      </c>
      <c r="Y1742" s="276" t="str">
        <f ca="1">IF($Y$3="申万一级行业",[1]!s_info_industry_sw_2021(W1742,公司分析!D$5,1),IF($Y$3="申万二级行业",[1]!s_info_industry_sw_2021(W1742,公司分析!D$5,2),IF($Y$3="申万三级行业",[1]!s_info_industry_sw_2021(W1742,公司分析!D$5,3),IF($Y$3="wind一级行业",[1]!s_info_industry_gics(W1742,1),IF($Y$3="wind二级行业",[1]!s_info_industry_gics(W1742,2),IF($Y$3="wind三级行业",[1]!s_info_industry_gics(W1742,3),IF($Y$3="wind四级行业",[1]!s_info_industry_gics(W1742,4),IF($Y$3="证监会门类行业",[1]!s_info_industry_csrc12_n(W1742,公司分析!D$5,1),""))))))))</f>
        <v>化学制药</v>
      </c>
      <c r="Z1742" s="302" t="str">
        <f ca="1">IF(Y1742=行业比较!$E$6,ROW(),"")</f>
        <v/>
      </c>
      <c r="AA1742" s="122"/>
      <c r="AB1742" s="122"/>
      <c r="AC1742" s="122"/>
      <c r="AD1742" s="122"/>
      <c r="AE1742" s="122"/>
      <c r="AF1742" s="122"/>
      <c r="AG1742" s="122"/>
      <c r="AH1742" s="122"/>
      <c r="AI1742" s="122"/>
      <c r="AJ1742" s="122"/>
      <c r="AK1742" s="122"/>
      <c r="AL1742" s="122"/>
      <c r="AM1742" s="122"/>
      <c r="AN1742" s="122"/>
      <c r="AO1742" s="122"/>
      <c r="AP1742" s="122"/>
    </row>
    <row r="1743" spans="2:42">
      <c r="B1743" s="122"/>
      <c r="C1743" s="122"/>
      <c r="D1743" s="122"/>
      <c r="E1743" s="122"/>
      <c r="F1743" s="122"/>
      <c r="G1743" s="122"/>
      <c r="H1743" s="122"/>
      <c r="I1743" s="275"/>
      <c r="J1743" s="130"/>
      <c r="K1743" s="130"/>
      <c r="L1743" s="130"/>
      <c r="M1743" s="130"/>
      <c r="N1743" s="291"/>
      <c r="O1743" s="291"/>
      <c r="P1743" s="122"/>
      <c r="Q1743" s="122"/>
      <c r="R1743" s="122"/>
      <c r="S1743" s="122"/>
      <c r="T1743" s="122"/>
      <c r="U1743" s="301"/>
      <c r="V1743" s="260">
        <f t="shared" ca="1" si="35"/>
        <v>0</v>
      </c>
      <c r="W1743" s="348" t="str">
        <f>IF(板块成分!B1745="","",板块成分!B1745)</f>
        <v>300268.SZ</v>
      </c>
      <c r="X1743" s="276" t="str">
        <f>[1]!S_Info_Name(W1743)</f>
        <v>*ST佳沃</v>
      </c>
      <c r="Y1743" s="276" t="str">
        <f ca="1">IF($Y$3="申万一级行业",[1]!s_info_industry_sw_2021(W1743,公司分析!D$5,1),IF($Y$3="申万二级行业",[1]!s_info_industry_sw_2021(W1743,公司分析!D$5,2),IF($Y$3="申万三级行业",[1]!s_info_industry_sw_2021(W1743,公司分析!D$5,3),IF($Y$3="wind一级行业",[1]!s_info_industry_gics(W1743,1),IF($Y$3="wind二级行业",[1]!s_info_industry_gics(W1743,2),IF($Y$3="wind三级行业",[1]!s_info_industry_gics(W1743,3),IF($Y$3="wind四级行业",[1]!s_info_industry_gics(W1743,4),IF($Y$3="证监会门类行业",[1]!s_info_industry_csrc12_n(W1743,公司分析!D$5,1),""))))))))</f>
        <v>农产品加工</v>
      </c>
      <c r="Z1743" s="302" t="str">
        <f ca="1">IF(Y1743=行业比较!$E$6,ROW(),"")</f>
        <v/>
      </c>
      <c r="AA1743" s="122"/>
      <c r="AB1743" s="122"/>
      <c r="AC1743" s="122"/>
      <c r="AD1743" s="122"/>
      <c r="AE1743" s="122"/>
      <c r="AF1743" s="122"/>
      <c r="AG1743" s="122"/>
      <c r="AH1743" s="122"/>
      <c r="AI1743" s="122"/>
      <c r="AJ1743" s="122"/>
      <c r="AK1743" s="122"/>
      <c r="AL1743" s="122"/>
      <c r="AM1743" s="122"/>
      <c r="AN1743" s="122"/>
      <c r="AO1743" s="122"/>
      <c r="AP1743" s="122"/>
    </row>
    <row r="1744" spans="2:42">
      <c r="B1744" s="122"/>
      <c r="C1744" s="122"/>
      <c r="D1744" s="122"/>
      <c r="E1744" s="122"/>
      <c r="F1744" s="122"/>
      <c r="G1744" s="122"/>
      <c r="H1744" s="122"/>
      <c r="I1744" s="275"/>
      <c r="J1744" s="130"/>
      <c r="K1744" s="130"/>
      <c r="L1744" s="130"/>
      <c r="M1744" s="130"/>
      <c r="N1744" s="291"/>
      <c r="O1744" s="291"/>
      <c r="P1744" s="122"/>
      <c r="Q1744" s="122"/>
      <c r="R1744" s="122"/>
      <c r="S1744" s="122"/>
      <c r="T1744" s="122"/>
      <c r="U1744" s="301"/>
      <c r="V1744" s="260">
        <f t="shared" ca="1" si="35"/>
        <v>0</v>
      </c>
      <c r="W1744" s="348" t="str">
        <f>IF(板块成分!B1746="","",板块成分!B1746)</f>
        <v>300269.SZ</v>
      </c>
      <c r="X1744" s="276" t="str">
        <f>[1]!S_Info_Name(W1744)</f>
        <v>联建光电</v>
      </c>
      <c r="Y1744" s="276" t="str">
        <f ca="1">IF($Y$3="申万一级行业",[1]!s_info_industry_sw_2021(W1744,公司分析!D$5,1),IF($Y$3="申万二级行业",[1]!s_info_industry_sw_2021(W1744,公司分析!D$5,2),IF($Y$3="申万三级行业",[1]!s_info_industry_sw_2021(W1744,公司分析!D$5,3),IF($Y$3="wind一级行业",[1]!s_info_industry_gics(W1744,1),IF($Y$3="wind二级行业",[1]!s_info_industry_gics(W1744,2),IF($Y$3="wind三级行业",[1]!s_info_industry_gics(W1744,3),IF($Y$3="wind四级行业",[1]!s_info_industry_gics(W1744,4),IF($Y$3="证监会门类行业",[1]!s_info_industry_csrc12_n(W1744,公司分析!D$5,1),""))))))))</f>
        <v>光学光电子</v>
      </c>
      <c r="Z1744" s="302" t="str">
        <f ca="1">IF(Y1744=行业比较!$E$6,ROW(),"")</f>
        <v/>
      </c>
      <c r="AA1744" s="122"/>
      <c r="AB1744" s="122"/>
      <c r="AC1744" s="122"/>
      <c r="AD1744" s="122"/>
      <c r="AE1744" s="122"/>
      <c r="AF1744" s="122"/>
      <c r="AG1744" s="122"/>
      <c r="AH1744" s="122"/>
      <c r="AI1744" s="122"/>
      <c r="AJ1744" s="122"/>
      <c r="AK1744" s="122"/>
      <c r="AL1744" s="122"/>
      <c r="AM1744" s="122"/>
      <c r="AN1744" s="122"/>
      <c r="AO1744" s="122"/>
      <c r="AP1744" s="122"/>
    </row>
    <row r="1745" spans="2:42">
      <c r="B1745" s="122"/>
      <c r="C1745" s="122"/>
      <c r="D1745" s="122"/>
      <c r="E1745" s="122"/>
      <c r="F1745" s="122"/>
      <c r="G1745" s="122"/>
      <c r="H1745" s="122"/>
      <c r="I1745" s="275"/>
      <c r="J1745" s="130"/>
      <c r="K1745" s="130"/>
      <c r="L1745" s="130"/>
      <c r="M1745" s="130"/>
      <c r="N1745" s="291"/>
      <c r="O1745" s="291"/>
      <c r="P1745" s="122"/>
      <c r="Q1745" s="122"/>
      <c r="R1745" s="122"/>
      <c r="S1745" s="122"/>
      <c r="T1745" s="122"/>
      <c r="U1745" s="301"/>
      <c r="V1745" s="260">
        <f t="shared" ca="1" si="35"/>
        <v>0</v>
      </c>
      <c r="W1745" s="348" t="str">
        <f>IF(板块成分!B1747="","",板块成分!B1747)</f>
        <v>300270.SZ</v>
      </c>
      <c r="X1745" s="276" t="str">
        <f>[1]!S_Info_Name(W1745)</f>
        <v>中威电子</v>
      </c>
      <c r="Y1745" s="276" t="str">
        <f ca="1">IF($Y$3="申万一级行业",[1]!s_info_industry_sw_2021(W1745,公司分析!D$5,1),IF($Y$3="申万二级行业",[1]!s_info_industry_sw_2021(W1745,公司分析!D$5,2),IF($Y$3="申万三级行业",[1]!s_info_industry_sw_2021(W1745,公司分析!D$5,3),IF($Y$3="wind一级行业",[1]!s_info_industry_gics(W1745,1),IF($Y$3="wind二级行业",[1]!s_info_industry_gics(W1745,2),IF($Y$3="wind三级行业",[1]!s_info_industry_gics(W1745,3),IF($Y$3="wind四级行业",[1]!s_info_industry_gics(W1745,4),IF($Y$3="证监会门类行业",[1]!s_info_industry_csrc12_n(W1745,公司分析!D$5,1),""))))))))</f>
        <v>计算机设备</v>
      </c>
      <c r="Z1745" s="302" t="str">
        <f ca="1">IF(Y1745=行业比较!$E$6,ROW(),"")</f>
        <v/>
      </c>
      <c r="AA1745" s="122"/>
      <c r="AB1745" s="122"/>
      <c r="AC1745" s="122"/>
      <c r="AD1745" s="122"/>
      <c r="AE1745" s="122"/>
      <c r="AF1745" s="122"/>
      <c r="AG1745" s="122"/>
      <c r="AH1745" s="122"/>
      <c r="AI1745" s="122"/>
      <c r="AJ1745" s="122"/>
      <c r="AK1745" s="122"/>
      <c r="AL1745" s="122"/>
      <c r="AM1745" s="122"/>
      <c r="AN1745" s="122"/>
      <c r="AO1745" s="122"/>
      <c r="AP1745" s="122"/>
    </row>
    <row r="1746" spans="2:42">
      <c r="B1746" s="122"/>
      <c r="C1746" s="122"/>
      <c r="D1746" s="122"/>
      <c r="E1746" s="122"/>
      <c r="F1746" s="122"/>
      <c r="G1746" s="122"/>
      <c r="H1746" s="122"/>
      <c r="I1746" s="275"/>
      <c r="J1746" s="130"/>
      <c r="K1746" s="130"/>
      <c r="L1746" s="130"/>
      <c r="M1746" s="130"/>
      <c r="N1746" s="291"/>
      <c r="O1746" s="291"/>
      <c r="P1746" s="122"/>
      <c r="Q1746" s="122"/>
      <c r="R1746" s="122"/>
      <c r="S1746" s="122"/>
      <c r="T1746" s="122"/>
      <c r="U1746" s="301"/>
      <c r="V1746" s="260">
        <f t="shared" ca="1" si="35"/>
        <v>0</v>
      </c>
      <c r="W1746" s="348" t="str">
        <f>IF(板块成分!B1748="","",板块成分!B1748)</f>
        <v>300271.SZ</v>
      </c>
      <c r="X1746" s="276" t="str">
        <f>[1]!S_Info_Name(W1746)</f>
        <v>华宇软件</v>
      </c>
      <c r="Y1746" s="276" t="str">
        <f ca="1">IF($Y$3="申万一级行业",[1]!s_info_industry_sw_2021(W1746,公司分析!D$5,1),IF($Y$3="申万二级行业",[1]!s_info_industry_sw_2021(W1746,公司分析!D$5,2),IF($Y$3="申万三级行业",[1]!s_info_industry_sw_2021(W1746,公司分析!D$5,3),IF($Y$3="wind一级行业",[1]!s_info_industry_gics(W1746,1),IF($Y$3="wind二级行业",[1]!s_info_industry_gics(W1746,2),IF($Y$3="wind三级行业",[1]!s_info_industry_gics(W1746,3),IF($Y$3="wind四级行业",[1]!s_info_industry_gics(W1746,4),IF($Y$3="证监会门类行业",[1]!s_info_industry_csrc12_n(W1746,公司分析!D$5,1),""))))))))</f>
        <v>IT服务Ⅱ</v>
      </c>
      <c r="Z1746" s="302" t="str">
        <f ca="1">IF(Y1746=行业比较!$E$6,ROW(),"")</f>
        <v/>
      </c>
      <c r="AA1746" s="122"/>
      <c r="AB1746" s="122"/>
      <c r="AC1746" s="122"/>
      <c r="AD1746" s="122"/>
      <c r="AE1746" s="122"/>
      <c r="AF1746" s="122"/>
      <c r="AG1746" s="122"/>
      <c r="AH1746" s="122"/>
      <c r="AI1746" s="122"/>
      <c r="AJ1746" s="122"/>
      <c r="AK1746" s="122"/>
      <c r="AL1746" s="122"/>
      <c r="AM1746" s="122"/>
      <c r="AN1746" s="122"/>
      <c r="AO1746" s="122"/>
      <c r="AP1746" s="122"/>
    </row>
    <row r="1747" spans="2:42">
      <c r="B1747" s="122"/>
      <c r="C1747" s="122"/>
      <c r="D1747" s="122"/>
      <c r="E1747" s="122"/>
      <c r="F1747" s="122"/>
      <c r="G1747" s="122"/>
      <c r="H1747" s="122"/>
      <c r="I1747" s="275"/>
      <c r="J1747" s="130"/>
      <c r="K1747" s="130"/>
      <c r="L1747" s="130"/>
      <c r="M1747" s="130"/>
      <c r="N1747" s="291"/>
      <c r="O1747" s="291"/>
      <c r="P1747" s="122"/>
      <c r="Q1747" s="122"/>
      <c r="R1747" s="122"/>
      <c r="S1747" s="122"/>
      <c r="T1747" s="122"/>
      <c r="U1747" s="301"/>
      <c r="V1747" s="260">
        <f t="shared" ca="1" si="35"/>
        <v>0</v>
      </c>
      <c r="W1747" s="348" t="str">
        <f>IF(板块成分!B1749="","",板块成分!B1749)</f>
        <v>300272.SZ</v>
      </c>
      <c r="X1747" s="276" t="str">
        <f>[1]!S_Info_Name(W1747)</f>
        <v>开能健康</v>
      </c>
      <c r="Y1747" s="276" t="str">
        <f ca="1">IF($Y$3="申万一级行业",[1]!s_info_industry_sw_2021(W1747,公司分析!D$5,1),IF($Y$3="申万二级行业",[1]!s_info_industry_sw_2021(W1747,公司分析!D$5,2),IF($Y$3="申万三级行业",[1]!s_info_industry_sw_2021(W1747,公司分析!D$5,3),IF($Y$3="wind一级行业",[1]!s_info_industry_gics(W1747,1),IF($Y$3="wind二级行业",[1]!s_info_industry_gics(W1747,2),IF($Y$3="wind三级行业",[1]!s_info_industry_gics(W1747,3),IF($Y$3="wind四级行业",[1]!s_info_industry_gics(W1747,4),IF($Y$3="证监会门类行业",[1]!s_info_industry_csrc12_n(W1747,公司分析!D$5,1),""))))))))</f>
        <v>小家电</v>
      </c>
      <c r="Z1747" s="302" t="str">
        <f ca="1">IF(Y1747=行业比较!$E$6,ROW(),"")</f>
        <v/>
      </c>
      <c r="AA1747" s="122"/>
      <c r="AB1747" s="122"/>
      <c r="AC1747" s="122"/>
      <c r="AD1747" s="122"/>
      <c r="AE1747" s="122"/>
      <c r="AF1747" s="122"/>
      <c r="AG1747" s="122"/>
      <c r="AH1747" s="122"/>
      <c r="AI1747" s="122"/>
      <c r="AJ1747" s="122"/>
      <c r="AK1747" s="122"/>
      <c r="AL1747" s="122"/>
      <c r="AM1747" s="122"/>
      <c r="AN1747" s="122"/>
      <c r="AO1747" s="122"/>
      <c r="AP1747" s="122"/>
    </row>
    <row r="1748" spans="2:42">
      <c r="B1748" s="122"/>
      <c r="C1748" s="122"/>
      <c r="D1748" s="122"/>
      <c r="E1748" s="122"/>
      <c r="F1748" s="122"/>
      <c r="G1748" s="122"/>
      <c r="H1748" s="122"/>
      <c r="I1748" s="275"/>
      <c r="J1748" s="130"/>
      <c r="K1748" s="130"/>
      <c r="L1748" s="130"/>
      <c r="M1748" s="130"/>
      <c r="N1748" s="291"/>
      <c r="O1748" s="291"/>
      <c r="P1748" s="122"/>
      <c r="Q1748" s="122"/>
      <c r="R1748" s="122"/>
      <c r="S1748" s="122"/>
      <c r="T1748" s="122"/>
      <c r="U1748" s="301"/>
      <c r="V1748" s="260">
        <f t="shared" ca="1" si="35"/>
        <v>0</v>
      </c>
      <c r="W1748" s="348" t="str">
        <f>IF(板块成分!B1750="","",板块成分!B1750)</f>
        <v>300274.SZ</v>
      </c>
      <c r="X1748" s="276" t="str">
        <f>[1]!S_Info_Name(W1748)</f>
        <v>阳光电源</v>
      </c>
      <c r="Y1748" s="276" t="str">
        <f ca="1">IF($Y$3="申万一级行业",[1]!s_info_industry_sw_2021(W1748,公司分析!D$5,1),IF($Y$3="申万二级行业",[1]!s_info_industry_sw_2021(W1748,公司分析!D$5,2),IF($Y$3="申万三级行业",[1]!s_info_industry_sw_2021(W1748,公司分析!D$5,3),IF($Y$3="wind一级行业",[1]!s_info_industry_gics(W1748,1),IF($Y$3="wind二级行业",[1]!s_info_industry_gics(W1748,2),IF($Y$3="wind三级行业",[1]!s_info_industry_gics(W1748,3),IF($Y$3="wind四级行业",[1]!s_info_industry_gics(W1748,4),IF($Y$3="证监会门类行业",[1]!s_info_industry_csrc12_n(W1748,公司分析!D$5,1),""))))))))</f>
        <v>光伏设备</v>
      </c>
      <c r="Z1748" s="302" t="str">
        <f ca="1">IF(Y1748=行业比较!$E$6,ROW(),"")</f>
        <v/>
      </c>
      <c r="AA1748" s="122"/>
      <c r="AB1748" s="122"/>
      <c r="AC1748" s="122"/>
      <c r="AD1748" s="122"/>
      <c r="AE1748" s="122"/>
      <c r="AF1748" s="122"/>
      <c r="AG1748" s="122"/>
      <c r="AH1748" s="122"/>
      <c r="AI1748" s="122"/>
      <c r="AJ1748" s="122"/>
      <c r="AK1748" s="122"/>
      <c r="AL1748" s="122"/>
      <c r="AM1748" s="122"/>
      <c r="AN1748" s="122"/>
      <c r="AO1748" s="122"/>
      <c r="AP1748" s="122"/>
    </row>
    <row r="1749" spans="2:42">
      <c r="B1749" s="122"/>
      <c r="C1749" s="122"/>
      <c r="D1749" s="122"/>
      <c r="E1749" s="122"/>
      <c r="F1749" s="122"/>
      <c r="G1749" s="122"/>
      <c r="H1749" s="122"/>
      <c r="I1749" s="275"/>
      <c r="J1749" s="130"/>
      <c r="K1749" s="130"/>
      <c r="L1749" s="130"/>
      <c r="M1749" s="130"/>
      <c r="N1749" s="291"/>
      <c r="O1749" s="291"/>
      <c r="P1749" s="122"/>
      <c r="Q1749" s="122"/>
      <c r="R1749" s="122"/>
      <c r="S1749" s="122"/>
      <c r="T1749" s="122"/>
      <c r="U1749" s="301"/>
      <c r="V1749" s="260">
        <f t="shared" ca="1" si="35"/>
        <v>0</v>
      </c>
      <c r="W1749" s="348" t="str">
        <f>IF(板块成分!B1751="","",板块成分!B1751)</f>
        <v>300275.SZ</v>
      </c>
      <c r="X1749" s="276" t="str">
        <f>[1]!S_Info_Name(W1749)</f>
        <v>梅安森</v>
      </c>
      <c r="Y1749" s="276" t="str">
        <f ca="1">IF($Y$3="申万一级行业",[1]!s_info_industry_sw_2021(W1749,公司分析!D$5,1),IF($Y$3="申万二级行业",[1]!s_info_industry_sw_2021(W1749,公司分析!D$5,2),IF($Y$3="申万三级行业",[1]!s_info_industry_sw_2021(W1749,公司分析!D$5,3),IF($Y$3="wind一级行业",[1]!s_info_industry_gics(W1749,1),IF($Y$3="wind二级行业",[1]!s_info_industry_gics(W1749,2),IF($Y$3="wind三级行业",[1]!s_info_industry_gics(W1749,3),IF($Y$3="wind四级行业",[1]!s_info_industry_gics(W1749,4),IF($Y$3="证监会门类行业",[1]!s_info_industry_csrc12_n(W1749,公司分析!D$5,1),""))))))))</f>
        <v>计算机设备</v>
      </c>
      <c r="Z1749" s="302" t="str">
        <f ca="1">IF(Y1749=行业比较!$E$6,ROW(),"")</f>
        <v/>
      </c>
      <c r="AA1749" s="122"/>
      <c r="AB1749" s="122"/>
      <c r="AC1749" s="122"/>
      <c r="AD1749" s="122"/>
      <c r="AE1749" s="122"/>
      <c r="AF1749" s="122"/>
      <c r="AG1749" s="122"/>
      <c r="AH1749" s="122"/>
      <c r="AI1749" s="122"/>
      <c r="AJ1749" s="122"/>
      <c r="AK1749" s="122"/>
      <c r="AL1749" s="122"/>
      <c r="AM1749" s="122"/>
      <c r="AN1749" s="122"/>
      <c r="AO1749" s="122"/>
      <c r="AP1749" s="122"/>
    </row>
    <row r="1750" spans="2:42">
      <c r="B1750" s="122"/>
      <c r="C1750" s="122"/>
      <c r="D1750" s="122"/>
      <c r="E1750" s="122"/>
      <c r="F1750" s="122"/>
      <c r="G1750" s="122"/>
      <c r="H1750" s="122"/>
      <c r="I1750" s="275"/>
      <c r="J1750" s="130"/>
      <c r="K1750" s="130"/>
      <c r="L1750" s="130"/>
      <c r="M1750" s="130"/>
      <c r="N1750" s="291"/>
      <c r="O1750" s="291"/>
      <c r="P1750" s="122"/>
      <c r="Q1750" s="122"/>
      <c r="R1750" s="122"/>
      <c r="S1750" s="122"/>
      <c r="T1750" s="122"/>
      <c r="U1750" s="301"/>
      <c r="V1750" s="260">
        <f t="shared" ca="1" si="35"/>
        <v>0</v>
      </c>
      <c r="W1750" s="348" t="str">
        <f>IF(板块成分!B1752="","",板块成分!B1752)</f>
        <v>300276.SZ</v>
      </c>
      <c r="X1750" s="276" t="str">
        <f>[1]!S_Info_Name(W1750)</f>
        <v>三丰智能</v>
      </c>
      <c r="Y1750" s="276" t="str">
        <f ca="1">IF($Y$3="申万一级行业",[1]!s_info_industry_sw_2021(W1750,公司分析!D$5,1),IF($Y$3="申万二级行业",[1]!s_info_industry_sw_2021(W1750,公司分析!D$5,2),IF($Y$3="申万三级行业",[1]!s_info_industry_sw_2021(W1750,公司分析!D$5,3),IF($Y$3="wind一级行业",[1]!s_info_industry_gics(W1750,1),IF($Y$3="wind二级行业",[1]!s_info_industry_gics(W1750,2),IF($Y$3="wind三级行业",[1]!s_info_industry_gics(W1750,3),IF($Y$3="wind四级行业",[1]!s_info_industry_gics(W1750,4),IF($Y$3="证监会门类行业",[1]!s_info_industry_csrc12_n(W1750,公司分析!D$5,1),""))))))))</f>
        <v>自动化设备</v>
      </c>
      <c r="Z1750" s="302" t="str">
        <f ca="1">IF(Y1750=行业比较!$E$6,ROW(),"")</f>
        <v/>
      </c>
      <c r="AA1750" s="122"/>
      <c r="AB1750" s="122"/>
      <c r="AC1750" s="122"/>
      <c r="AD1750" s="122"/>
      <c r="AE1750" s="122"/>
      <c r="AF1750" s="122"/>
      <c r="AG1750" s="122"/>
      <c r="AH1750" s="122"/>
      <c r="AI1750" s="122"/>
      <c r="AJ1750" s="122"/>
      <c r="AK1750" s="122"/>
      <c r="AL1750" s="122"/>
      <c r="AM1750" s="122"/>
      <c r="AN1750" s="122"/>
      <c r="AO1750" s="122"/>
      <c r="AP1750" s="122"/>
    </row>
    <row r="1751" spans="2:42">
      <c r="B1751" s="122"/>
      <c r="C1751" s="122"/>
      <c r="D1751" s="122"/>
      <c r="E1751" s="122"/>
      <c r="F1751" s="122"/>
      <c r="G1751" s="122"/>
      <c r="H1751" s="122"/>
      <c r="I1751" s="275"/>
      <c r="J1751" s="130"/>
      <c r="K1751" s="130"/>
      <c r="L1751" s="130"/>
      <c r="M1751" s="130"/>
      <c r="N1751" s="291"/>
      <c r="O1751" s="291"/>
      <c r="P1751" s="122"/>
      <c r="Q1751" s="122"/>
      <c r="R1751" s="122"/>
      <c r="S1751" s="122"/>
      <c r="T1751" s="122"/>
      <c r="U1751" s="301"/>
      <c r="V1751" s="260">
        <f t="shared" ca="1" si="35"/>
        <v>0</v>
      </c>
      <c r="W1751" s="348" t="str">
        <f>IF(板块成分!B1753="","",板块成分!B1753)</f>
        <v>300277.SZ</v>
      </c>
      <c r="X1751" s="276" t="str">
        <f>[1]!S_Info_Name(W1751)</f>
        <v>海联讯</v>
      </c>
      <c r="Y1751" s="276" t="str">
        <f ca="1">IF($Y$3="申万一级行业",[1]!s_info_industry_sw_2021(W1751,公司分析!D$5,1),IF($Y$3="申万二级行业",[1]!s_info_industry_sw_2021(W1751,公司分析!D$5,2),IF($Y$3="申万三级行业",[1]!s_info_industry_sw_2021(W1751,公司分析!D$5,3),IF($Y$3="wind一级行业",[1]!s_info_industry_gics(W1751,1),IF($Y$3="wind二级行业",[1]!s_info_industry_gics(W1751,2),IF($Y$3="wind三级行业",[1]!s_info_industry_gics(W1751,3),IF($Y$3="wind四级行业",[1]!s_info_industry_gics(W1751,4),IF($Y$3="证监会门类行业",[1]!s_info_industry_csrc12_n(W1751,公司分析!D$5,1),""))))))))</f>
        <v>IT服务Ⅱ</v>
      </c>
      <c r="Z1751" s="302" t="str">
        <f ca="1">IF(Y1751=行业比较!$E$6,ROW(),"")</f>
        <v/>
      </c>
      <c r="AA1751" s="122"/>
      <c r="AB1751" s="122"/>
      <c r="AC1751" s="122"/>
      <c r="AD1751" s="122"/>
      <c r="AE1751" s="122"/>
      <c r="AF1751" s="122"/>
      <c r="AG1751" s="122"/>
      <c r="AH1751" s="122"/>
      <c r="AI1751" s="122"/>
      <c r="AJ1751" s="122"/>
      <c r="AK1751" s="122"/>
      <c r="AL1751" s="122"/>
      <c r="AM1751" s="122"/>
      <c r="AN1751" s="122"/>
      <c r="AO1751" s="122"/>
      <c r="AP1751" s="122"/>
    </row>
    <row r="1752" spans="2:42">
      <c r="B1752" s="122"/>
      <c r="C1752" s="122"/>
      <c r="D1752" s="122"/>
      <c r="E1752" s="122"/>
      <c r="F1752" s="122"/>
      <c r="G1752" s="122"/>
      <c r="H1752" s="122"/>
      <c r="I1752" s="275"/>
      <c r="J1752" s="130"/>
      <c r="K1752" s="130"/>
      <c r="L1752" s="130"/>
      <c r="M1752" s="130"/>
      <c r="N1752" s="291"/>
      <c r="O1752" s="291"/>
      <c r="P1752" s="122"/>
      <c r="Q1752" s="122"/>
      <c r="R1752" s="122"/>
      <c r="S1752" s="122"/>
      <c r="T1752" s="122"/>
      <c r="U1752" s="301"/>
      <c r="V1752" s="260">
        <f t="shared" ca="1" si="35"/>
        <v>0</v>
      </c>
      <c r="W1752" s="348" t="str">
        <f>IF(板块成分!B1754="","",板块成分!B1754)</f>
        <v>300278.SZ</v>
      </c>
      <c r="X1752" s="276" t="str">
        <f>[1]!S_Info_Name(W1752)</f>
        <v>华昌达</v>
      </c>
      <c r="Y1752" s="276" t="str">
        <f ca="1">IF($Y$3="申万一级行业",[1]!s_info_industry_sw_2021(W1752,公司分析!D$5,1),IF($Y$3="申万二级行业",[1]!s_info_industry_sw_2021(W1752,公司分析!D$5,2),IF($Y$3="申万三级行业",[1]!s_info_industry_sw_2021(W1752,公司分析!D$5,3),IF($Y$3="wind一级行业",[1]!s_info_industry_gics(W1752,1),IF($Y$3="wind二级行业",[1]!s_info_industry_gics(W1752,2),IF($Y$3="wind三级行业",[1]!s_info_industry_gics(W1752,3),IF($Y$3="wind四级行业",[1]!s_info_industry_gics(W1752,4),IF($Y$3="证监会门类行业",[1]!s_info_industry_csrc12_n(W1752,公司分析!D$5,1),""))))))))</f>
        <v>自动化设备</v>
      </c>
      <c r="Z1752" s="302" t="str">
        <f ca="1">IF(Y1752=行业比较!$E$6,ROW(),"")</f>
        <v/>
      </c>
      <c r="AA1752" s="122"/>
      <c r="AB1752" s="122"/>
      <c r="AC1752" s="122"/>
      <c r="AD1752" s="122"/>
      <c r="AE1752" s="122"/>
      <c r="AF1752" s="122"/>
      <c r="AG1752" s="122"/>
      <c r="AH1752" s="122"/>
      <c r="AI1752" s="122"/>
      <c r="AJ1752" s="122"/>
      <c r="AK1752" s="122"/>
      <c r="AL1752" s="122"/>
      <c r="AM1752" s="122"/>
      <c r="AN1752" s="122"/>
      <c r="AO1752" s="122"/>
      <c r="AP1752" s="122"/>
    </row>
    <row r="1753" spans="2:42">
      <c r="B1753" s="122"/>
      <c r="C1753" s="122"/>
      <c r="D1753" s="122"/>
      <c r="E1753" s="122"/>
      <c r="F1753" s="122"/>
      <c r="G1753" s="122"/>
      <c r="H1753" s="122"/>
      <c r="I1753" s="275"/>
      <c r="J1753" s="130"/>
      <c r="K1753" s="130"/>
      <c r="L1753" s="130"/>
      <c r="M1753" s="130"/>
      <c r="N1753" s="291"/>
      <c r="O1753" s="291"/>
      <c r="P1753" s="122"/>
      <c r="Q1753" s="122"/>
      <c r="R1753" s="122"/>
      <c r="S1753" s="122"/>
      <c r="T1753" s="122"/>
      <c r="U1753" s="301"/>
      <c r="V1753" s="260">
        <f t="shared" ca="1" si="35"/>
        <v>0</v>
      </c>
      <c r="W1753" s="348" t="str">
        <f>IF(板块成分!B1755="","",板块成分!B1755)</f>
        <v>300279.SZ</v>
      </c>
      <c r="X1753" s="276" t="str">
        <f>[1]!S_Info_Name(W1753)</f>
        <v>和晶科技</v>
      </c>
      <c r="Y1753" s="276" t="str">
        <f ca="1">IF($Y$3="申万一级行业",[1]!s_info_industry_sw_2021(W1753,公司分析!D$5,1),IF($Y$3="申万二级行业",[1]!s_info_industry_sw_2021(W1753,公司分析!D$5,2),IF($Y$3="申万三级行业",[1]!s_info_industry_sw_2021(W1753,公司分析!D$5,3),IF($Y$3="wind一级行业",[1]!s_info_industry_gics(W1753,1),IF($Y$3="wind二级行业",[1]!s_info_industry_gics(W1753,2),IF($Y$3="wind三级行业",[1]!s_info_industry_gics(W1753,3),IF($Y$3="wind四级行业",[1]!s_info_industry_gics(W1753,4),IF($Y$3="证监会门类行业",[1]!s_info_industry_csrc12_n(W1753,公司分析!D$5,1),""))))))))</f>
        <v>家电零部件Ⅱ</v>
      </c>
      <c r="Z1753" s="302" t="str">
        <f ca="1">IF(Y1753=行业比较!$E$6,ROW(),"")</f>
        <v/>
      </c>
      <c r="AA1753" s="122"/>
      <c r="AB1753" s="122"/>
      <c r="AC1753" s="122"/>
      <c r="AD1753" s="122"/>
      <c r="AE1753" s="122"/>
      <c r="AF1753" s="122"/>
      <c r="AG1753" s="122"/>
      <c r="AH1753" s="122"/>
      <c r="AI1753" s="122"/>
      <c r="AJ1753" s="122"/>
      <c r="AK1753" s="122"/>
      <c r="AL1753" s="122"/>
      <c r="AM1753" s="122"/>
      <c r="AN1753" s="122"/>
      <c r="AO1753" s="122"/>
      <c r="AP1753" s="122"/>
    </row>
    <row r="1754" spans="2:42">
      <c r="B1754" s="122"/>
      <c r="C1754" s="122"/>
      <c r="D1754" s="122"/>
      <c r="E1754" s="122"/>
      <c r="F1754" s="122"/>
      <c r="G1754" s="122"/>
      <c r="H1754" s="122"/>
      <c r="I1754" s="275"/>
      <c r="J1754" s="130"/>
      <c r="K1754" s="130"/>
      <c r="L1754" s="130"/>
      <c r="M1754" s="130"/>
      <c r="N1754" s="291"/>
      <c r="O1754" s="291"/>
      <c r="P1754" s="122"/>
      <c r="Q1754" s="122"/>
      <c r="R1754" s="122"/>
      <c r="S1754" s="122"/>
      <c r="T1754" s="122"/>
      <c r="U1754" s="301"/>
      <c r="V1754" s="260">
        <f t="shared" ca="1" si="35"/>
        <v>0</v>
      </c>
      <c r="W1754" s="348" t="str">
        <f>IF(板块成分!B1756="","",板块成分!B1756)</f>
        <v>300281.SZ</v>
      </c>
      <c r="X1754" s="276" t="str">
        <f>[1]!S_Info_Name(W1754)</f>
        <v>金明精机</v>
      </c>
      <c r="Y1754" s="276" t="str">
        <f ca="1">IF($Y$3="申万一级行业",[1]!s_info_industry_sw_2021(W1754,公司分析!D$5,1),IF($Y$3="申万二级行业",[1]!s_info_industry_sw_2021(W1754,公司分析!D$5,2),IF($Y$3="申万三级行业",[1]!s_info_industry_sw_2021(W1754,公司分析!D$5,3),IF($Y$3="wind一级行业",[1]!s_info_industry_gics(W1754,1),IF($Y$3="wind二级行业",[1]!s_info_industry_gics(W1754,2),IF($Y$3="wind三级行业",[1]!s_info_industry_gics(W1754,3),IF($Y$3="wind四级行业",[1]!s_info_industry_gics(W1754,4),IF($Y$3="证监会门类行业",[1]!s_info_industry_csrc12_n(W1754,公司分析!D$5,1),""))))))))</f>
        <v>专用设备</v>
      </c>
      <c r="Z1754" s="302" t="str">
        <f ca="1">IF(Y1754=行业比较!$E$6,ROW(),"")</f>
        <v/>
      </c>
      <c r="AA1754" s="122"/>
      <c r="AB1754" s="122"/>
      <c r="AC1754" s="122"/>
      <c r="AD1754" s="122"/>
      <c r="AE1754" s="122"/>
      <c r="AF1754" s="122"/>
      <c r="AG1754" s="122"/>
      <c r="AH1754" s="122"/>
      <c r="AI1754" s="122"/>
      <c r="AJ1754" s="122"/>
      <c r="AK1754" s="122"/>
      <c r="AL1754" s="122"/>
      <c r="AM1754" s="122"/>
      <c r="AN1754" s="122"/>
      <c r="AO1754" s="122"/>
      <c r="AP1754" s="122"/>
    </row>
    <row r="1755" spans="2:42">
      <c r="B1755" s="122"/>
      <c r="C1755" s="122"/>
      <c r="D1755" s="122"/>
      <c r="E1755" s="122"/>
      <c r="F1755" s="122"/>
      <c r="G1755" s="122"/>
      <c r="H1755" s="122"/>
      <c r="I1755" s="275"/>
      <c r="J1755" s="130"/>
      <c r="K1755" s="130"/>
      <c r="L1755" s="130"/>
      <c r="M1755" s="130"/>
      <c r="N1755" s="291"/>
      <c r="O1755" s="291"/>
      <c r="P1755" s="122"/>
      <c r="Q1755" s="122"/>
      <c r="R1755" s="122"/>
      <c r="S1755" s="122"/>
      <c r="T1755" s="122"/>
      <c r="U1755" s="301"/>
      <c r="V1755" s="260">
        <f t="shared" ca="1" si="35"/>
        <v>0</v>
      </c>
      <c r="W1755" s="348" t="str">
        <f>IF(板块成分!B1757="","",板块成分!B1757)</f>
        <v>300283.SZ</v>
      </c>
      <c r="X1755" s="276" t="str">
        <f>[1]!S_Info_Name(W1755)</f>
        <v>温州宏丰</v>
      </c>
      <c r="Y1755" s="276" t="str">
        <f ca="1">IF($Y$3="申万一级行业",[1]!s_info_industry_sw_2021(W1755,公司分析!D$5,1),IF($Y$3="申万二级行业",[1]!s_info_industry_sw_2021(W1755,公司分析!D$5,2),IF($Y$3="申万三级行业",[1]!s_info_industry_sw_2021(W1755,公司分析!D$5,3),IF($Y$3="wind一级行业",[1]!s_info_industry_gics(W1755,1),IF($Y$3="wind二级行业",[1]!s_info_industry_gics(W1755,2),IF($Y$3="wind三级行业",[1]!s_info_industry_gics(W1755,3),IF($Y$3="wind四级行业",[1]!s_info_industry_gics(W1755,4),IF($Y$3="证监会门类行业",[1]!s_info_industry_csrc12_n(W1755,公司分析!D$5,1),""))))))))</f>
        <v>电网设备</v>
      </c>
      <c r="Z1755" s="302" t="str">
        <f ca="1">IF(Y1755=行业比较!$E$6,ROW(),"")</f>
        <v/>
      </c>
      <c r="AA1755" s="122"/>
      <c r="AB1755" s="122"/>
      <c r="AC1755" s="122"/>
      <c r="AD1755" s="122"/>
      <c r="AE1755" s="122"/>
      <c r="AF1755" s="122"/>
      <c r="AG1755" s="122"/>
      <c r="AH1755" s="122"/>
      <c r="AI1755" s="122"/>
      <c r="AJ1755" s="122"/>
      <c r="AK1755" s="122"/>
      <c r="AL1755" s="122"/>
      <c r="AM1755" s="122"/>
      <c r="AN1755" s="122"/>
      <c r="AO1755" s="122"/>
      <c r="AP1755" s="122"/>
    </row>
    <row r="1756" spans="2:42">
      <c r="B1756" s="122"/>
      <c r="C1756" s="122"/>
      <c r="D1756" s="122"/>
      <c r="E1756" s="122"/>
      <c r="F1756" s="122"/>
      <c r="G1756" s="122"/>
      <c r="H1756" s="122"/>
      <c r="I1756" s="275"/>
      <c r="J1756" s="130"/>
      <c r="K1756" s="130"/>
      <c r="L1756" s="130"/>
      <c r="M1756" s="130"/>
      <c r="N1756" s="291"/>
      <c r="O1756" s="291"/>
      <c r="P1756" s="122"/>
      <c r="Q1756" s="122"/>
      <c r="R1756" s="122"/>
      <c r="S1756" s="122"/>
      <c r="T1756" s="122"/>
      <c r="U1756" s="301"/>
      <c r="V1756" s="260">
        <f t="shared" ca="1" si="35"/>
        <v>0</v>
      </c>
      <c r="W1756" s="348" t="str">
        <f>IF(板块成分!B1758="","",板块成分!B1758)</f>
        <v>300284.SZ</v>
      </c>
      <c r="X1756" s="276" t="str">
        <f>[1]!S_Info_Name(W1756)</f>
        <v>苏交科</v>
      </c>
      <c r="Y1756" s="276" t="str">
        <f ca="1">IF($Y$3="申万一级行业",[1]!s_info_industry_sw_2021(W1756,公司分析!D$5,1),IF($Y$3="申万二级行业",[1]!s_info_industry_sw_2021(W1756,公司分析!D$5,2),IF($Y$3="申万三级行业",[1]!s_info_industry_sw_2021(W1756,公司分析!D$5,3),IF($Y$3="wind一级行业",[1]!s_info_industry_gics(W1756,1),IF($Y$3="wind二级行业",[1]!s_info_industry_gics(W1756,2),IF($Y$3="wind三级行业",[1]!s_info_industry_gics(W1756,3),IF($Y$3="wind四级行业",[1]!s_info_industry_gics(W1756,4),IF($Y$3="证监会门类行业",[1]!s_info_industry_csrc12_n(W1756,公司分析!D$5,1),""))))))))</f>
        <v>工程咨询服务Ⅱ</v>
      </c>
      <c r="Z1756" s="302" t="str">
        <f ca="1">IF(Y1756=行业比较!$E$6,ROW(),"")</f>
        <v/>
      </c>
      <c r="AA1756" s="122"/>
      <c r="AB1756" s="122"/>
      <c r="AC1756" s="122"/>
      <c r="AD1756" s="122"/>
      <c r="AE1756" s="122"/>
      <c r="AF1756" s="122"/>
      <c r="AG1756" s="122"/>
      <c r="AH1756" s="122"/>
      <c r="AI1756" s="122"/>
      <c r="AJ1756" s="122"/>
      <c r="AK1756" s="122"/>
      <c r="AL1756" s="122"/>
      <c r="AM1756" s="122"/>
      <c r="AN1756" s="122"/>
      <c r="AO1756" s="122"/>
      <c r="AP1756" s="122"/>
    </row>
    <row r="1757" spans="2:42">
      <c r="B1757" s="122"/>
      <c r="C1757" s="122"/>
      <c r="D1757" s="122"/>
      <c r="E1757" s="122"/>
      <c r="F1757" s="122"/>
      <c r="G1757" s="122"/>
      <c r="H1757" s="122"/>
      <c r="I1757" s="275"/>
      <c r="J1757" s="130"/>
      <c r="K1757" s="130"/>
      <c r="L1757" s="130"/>
      <c r="M1757" s="130"/>
      <c r="N1757" s="291"/>
      <c r="O1757" s="291"/>
      <c r="P1757" s="122"/>
      <c r="Q1757" s="122"/>
      <c r="R1757" s="122"/>
      <c r="S1757" s="122"/>
      <c r="T1757" s="122"/>
      <c r="U1757" s="301"/>
      <c r="V1757" s="260">
        <f t="shared" ca="1" si="35"/>
        <v>0</v>
      </c>
      <c r="W1757" s="348" t="str">
        <f>IF(板块成分!B1759="","",板块成分!B1759)</f>
        <v>300285.SZ</v>
      </c>
      <c r="X1757" s="276" t="str">
        <f>[1]!S_Info_Name(W1757)</f>
        <v>国瓷材料</v>
      </c>
      <c r="Y1757" s="276" t="str">
        <f ca="1">IF($Y$3="申万一级行业",[1]!s_info_industry_sw_2021(W1757,公司分析!D$5,1),IF($Y$3="申万二级行业",[1]!s_info_industry_sw_2021(W1757,公司分析!D$5,2),IF($Y$3="申万三级行业",[1]!s_info_industry_sw_2021(W1757,公司分析!D$5,3),IF($Y$3="wind一级行业",[1]!s_info_industry_gics(W1757,1),IF($Y$3="wind二级行业",[1]!s_info_industry_gics(W1757,2),IF($Y$3="wind三级行业",[1]!s_info_industry_gics(W1757,3),IF($Y$3="wind四级行业",[1]!s_info_industry_gics(W1757,4),IF($Y$3="证监会门类行业",[1]!s_info_industry_csrc12_n(W1757,公司分析!D$5,1),""))))))))</f>
        <v>电子化学品Ⅱ</v>
      </c>
      <c r="Z1757" s="302" t="str">
        <f ca="1">IF(Y1757=行业比较!$E$6,ROW(),"")</f>
        <v/>
      </c>
      <c r="AA1757" s="122"/>
      <c r="AB1757" s="122"/>
      <c r="AC1757" s="122"/>
      <c r="AD1757" s="122"/>
      <c r="AE1757" s="122"/>
      <c r="AF1757" s="122"/>
      <c r="AG1757" s="122"/>
      <c r="AH1757" s="122"/>
      <c r="AI1757" s="122"/>
      <c r="AJ1757" s="122"/>
      <c r="AK1757" s="122"/>
      <c r="AL1757" s="122"/>
      <c r="AM1757" s="122"/>
      <c r="AN1757" s="122"/>
      <c r="AO1757" s="122"/>
      <c r="AP1757" s="122"/>
    </row>
    <row r="1758" spans="2:42">
      <c r="B1758" s="122"/>
      <c r="C1758" s="122"/>
      <c r="D1758" s="122"/>
      <c r="E1758" s="122"/>
      <c r="F1758" s="122"/>
      <c r="G1758" s="122"/>
      <c r="H1758" s="122"/>
      <c r="I1758" s="275"/>
      <c r="J1758" s="130"/>
      <c r="K1758" s="130"/>
      <c r="L1758" s="130"/>
      <c r="M1758" s="130"/>
      <c r="N1758" s="291"/>
      <c r="O1758" s="291"/>
      <c r="P1758" s="122"/>
      <c r="Q1758" s="122"/>
      <c r="R1758" s="122"/>
      <c r="S1758" s="122"/>
      <c r="T1758" s="122"/>
      <c r="U1758" s="301"/>
      <c r="V1758" s="260">
        <f t="shared" ca="1" si="35"/>
        <v>0</v>
      </c>
      <c r="W1758" s="348" t="str">
        <f>IF(板块成分!B1760="","",板块成分!B1760)</f>
        <v>300286.SZ</v>
      </c>
      <c r="X1758" s="276" t="str">
        <f>[1]!S_Info_Name(W1758)</f>
        <v>安科瑞</v>
      </c>
      <c r="Y1758" s="276" t="str">
        <f ca="1">IF($Y$3="申万一级行业",[1]!s_info_industry_sw_2021(W1758,公司分析!D$5,1),IF($Y$3="申万二级行业",[1]!s_info_industry_sw_2021(W1758,公司分析!D$5,2),IF($Y$3="申万三级行业",[1]!s_info_industry_sw_2021(W1758,公司分析!D$5,3),IF($Y$3="wind一级行业",[1]!s_info_industry_gics(W1758,1),IF($Y$3="wind二级行业",[1]!s_info_industry_gics(W1758,2),IF($Y$3="wind三级行业",[1]!s_info_industry_gics(W1758,3),IF($Y$3="wind四级行业",[1]!s_info_industry_gics(W1758,4),IF($Y$3="证监会门类行业",[1]!s_info_industry_csrc12_n(W1758,公司分析!D$5,1),""))))))))</f>
        <v>电网设备</v>
      </c>
      <c r="Z1758" s="302" t="str">
        <f ca="1">IF(Y1758=行业比较!$E$6,ROW(),"")</f>
        <v/>
      </c>
      <c r="AA1758" s="122"/>
      <c r="AB1758" s="122"/>
      <c r="AC1758" s="122"/>
      <c r="AD1758" s="122"/>
      <c r="AE1758" s="122"/>
      <c r="AF1758" s="122"/>
      <c r="AG1758" s="122"/>
      <c r="AH1758" s="122"/>
      <c r="AI1758" s="122"/>
      <c r="AJ1758" s="122"/>
      <c r="AK1758" s="122"/>
      <c r="AL1758" s="122"/>
      <c r="AM1758" s="122"/>
      <c r="AN1758" s="122"/>
      <c r="AO1758" s="122"/>
      <c r="AP1758" s="122"/>
    </row>
    <row r="1759" spans="2:42">
      <c r="B1759" s="122"/>
      <c r="C1759" s="122"/>
      <c r="D1759" s="122"/>
      <c r="E1759" s="122"/>
      <c r="F1759" s="122"/>
      <c r="G1759" s="122"/>
      <c r="H1759" s="122"/>
      <c r="I1759" s="275"/>
      <c r="J1759" s="130"/>
      <c r="K1759" s="130"/>
      <c r="L1759" s="130"/>
      <c r="M1759" s="130"/>
      <c r="N1759" s="291"/>
      <c r="O1759" s="291"/>
      <c r="P1759" s="122"/>
      <c r="Q1759" s="122"/>
      <c r="R1759" s="122"/>
      <c r="S1759" s="122"/>
      <c r="T1759" s="122"/>
      <c r="U1759" s="301"/>
      <c r="V1759" s="260">
        <f t="shared" ca="1" si="35"/>
        <v>0</v>
      </c>
      <c r="W1759" s="348" t="str">
        <f>IF(板块成分!B1761="","",板块成分!B1761)</f>
        <v>300287.SZ</v>
      </c>
      <c r="X1759" s="276" t="str">
        <f>[1]!S_Info_Name(W1759)</f>
        <v>飞利信</v>
      </c>
      <c r="Y1759" s="276" t="str">
        <f ca="1">IF($Y$3="申万一级行业",[1]!s_info_industry_sw_2021(W1759,公司分析!D$5,1),IF($Y$3="申万二级行业",[1]!s_info_industry_sw_2021(W1759,公司分析!D$5,2),IF($Y$3="申万三级行业",[1]!s_info_industry_sw_2021(W1759,公司分析!D$5,3),IF($Y$3="wind一级行业",[1]!s_info_industry_gics(W1759,1),IF($Y$3="wind二级行业",[1]!s_info_industry_gics(W1759,2),IF($Y$3="wind三级行业",[1]!s_info_industry_gics(W1759,3),IF($Y$3="wind四级行业",[1]!s_info_industry_gics(W1759,4),IF($Y$3="证监会门类行业",[1]!s_info_industry_csrc12_n(W1759,公司分析!D$5,1),""))))))))</f>
        <v>IT服务Ⅱ</v>
      </c>
      <c r="Z1759" s="302" t="str">
        <f ca="1">IF(Y1759=行业比较!$E$6,ROW(),"")</f>
        <v/>
      </c>
      <c r="AA1759" s="122"/>
      <c r="AB1759" s="122"/>
      <c r="AC1759" s="122"/>
      <c r="AD1759" s="122"/>
      <c r="AE1759" s="122"/>
      <c r="AF1759" s="122"/>
      <c r="AG1759" s="122"/>
      <c r="AH1759" s="122"/>
      <c r="AI1759" s="122"/>
      <c r="AJ1759" s="122"/>
      <c r="AK1759" s="122"/>
      <c r="AL1759" s="122"/>
      <c r="AM1759" s="122"/>
      <c r="AN1759" s="122"/>
      <c r="AO1759" s="122"/>
      <c r="AP1759" s="122"/>
    </row>
    <row r="1760" spans="2:42">
      <c r="B1760" s="122"/>
      <c r="C1760" s="122"/>
      <c r="D1760" s="122"/>
      <c r="E1760" s="122"/>
      <c r="F1760" s="122"/>
      <c r="G1760" s="122"/>
      <c r="H1760" s="122"/>
      <c r="I1760" s="275"/>
      <c r="J1760" s="130"/>
      <c r="K1760" s="130"/>
      <c r="L1760" s="130"/>
      <c r="M1760" s="130"/>
      <c r="N1760" s="291"/>
      <c r="O1760" s="291"/>
      <c r="P1760" s="122"/>
      <c r="Q1760" s="122"/>
      <c r="R1760" s="122"/>
      <c r="S1760" s="122"/>
      <c r="T1760" s="122"/>
      <c r="U1760" s="301"/>
      <c r="V1760" s="260">
        <f t="shared" ca="1" si="35"/>
        <v>0</v>
      </c>
      <c r="W1760" s="348" t="str">
        <f>IF(板块成分!B1762="","",板块成分!B1762)</f>
        <v>300288.SZ</v>
      </c>
      <c r="X1760" s="276" t="str">
        <f>[1]!S_Info_Name(W1760)</f>
        <v>朗玛信息</v>
      </c>
      <c r="Y1760" s="276" t="str">
        <f ca="1">IF($Y$3="申万一级行业",[1]!s_info_industry_sw_2021(W1760,公司分析!D$5,1),IF($Y$3="申万二级行业",[1]!s_info_industry_sw_2021(W1760,公司分析!D$5,2),IF($Y$3="申万三级行业",[1]!s_info_industry_sw_2021(W1760,公司分析!D$5,3),IF($Y$3="wind一级行业",[1]!s_info_industry_gics(W1760,1),IF($Y$3="wind二级行业",[1]!s_info_industry_gics(W1760,2),IF($Y$3="wind三级行业",[1]!s_info_industry_gics(W1760,3),IF($Y$3="wind四级行业",[1]!s_info_industry_gics(W1760,4),IF($Y$3="证监会门类行业",[1]!s_info_industry_csrc12_n(W1760,公司分析!D$5,1),""))))))))</f>
        <v>IT服务Ⅱ</v>
      </c>
      <c r="Z1760" s="302" t="str">
        <f ca="1">IF(Y1760=行业比较!$E$6,ROW(),"")</f>
        <v/>
      </c>
      <c r="AA1760" s="122"/>
      <c r="AB1760" s="122"/>
      <c r="AC1760" s="122"/>
      <c r="AD1760" s="122"/>
      <c r="AE1760" s="122"/>
      <c r="AF1760" s="122"/>
      <c r="AG1760" s="122"/>
      <c r="AH1760" s="122"/>
      <c r="AI1760" s="122"/>
      <c r="AJ1760" s="122"/>
      <c r="AK1760" s="122"/>
      <c r="AL1760" s="122"/>
      <c r="AM1760" s="122"/>
      <c r="AN1760" s="122"/>
      <c r="AO1760" s="122"/>
      <c r="AP1760" s="122"/>
    </row>
    <row r="1761" spans="2:42">
      <c r="B1761" s="122"/>
      <c r="C1761" s="122"/>
      <c r="D1761" s="122"/>
      <c r="E1761" s="122"/>
      <c r="F1761" s="122"/>
      <c r="G1761" s="122"/>
      <c r="H1761" s="122"/>
      <c r="I1761" s="275"/>
      <c r="J1761" s="130"/>
      <c r="K1761" s="130"/>
      <c r="L1761" s="130"/>
      <c r="M1761" s="130"/>
      <c r="N1761" s="291"/>
      <c r="O1761" s="291"/>
      <c r="P1761" s="122"/>
      <c r="Q1761" s="122"/>
      <c r="R1761" s="122"/>
      <c r="S1761" s="122"/>
      <c r="T1761" s="122"/>
      <c r="U1761" s="301"/>
      <c r="V1761" s="260">
        <f t="shared" ca="1" si="35"/>
        <v>0</v>
      </c>
      <c r="W1761" s="348" t="str">
        <f>IF(板块成分!B1763="","",板块成分!B1763)</f>
        <v>300289.SZ</v>
      </c>
      <c r="X1761" s="276" t="str">
        <f>[1]!S_Info_Name(W1761)</f>
        <v>利德曼</v>
      </c>
      <c r="Y1761" s="276" t="str">
        <f ca="1">IF($Y$3="申万一级行业",[1]!s_info_industry_sw_2021(W1761,公司分析!D$5,1),IF($Y$3="申万二级行业",[1]!s_info_industry_sw_2021(W1761,公司分析!D$5,2),IF($Y$3="申万三级行业",[1]!s_info_industry_sw_2021(W1761,公司分析!D$5,3),IF($Y$3="wind一级行业",[1]!s_info_industry_gics(W1761,1),IF($Y$3="wind二级行业",[1]!s_info_industry_gics(W1761,2),IF($Y$3="wind三级行业",[1]!s_info_industry_gics(W1761,3),IF($Y$3="wind四级行业",[1]!s_info_industry_gics(W1761,4),IF($Y$3="证监会门类行业",[1]!s_info_industry_csrc12_n(W1761,公司分析!D$5,1),""))))))))</f>
        <v>医疗器械</v>
      </c>
      <c r="Z1761" s="302" t="str">
        <f ca="1">IF(Y1761=行业比较!$E$6,ROW(),"")</f>
        <v/>
      </c>
      <c r="AA1761" s="122"/>
      <c r="AB1761" s="122"/>
      <c r="AC1761" s="122"/>
      <c r="AD1761" s="122"/>
      <c r="AE1761" s="122"/>
      <c r="AF1761" s="122"/>
      <c r="AG1761" s="122"/>
      <c r="AH1761" s="122"/>
      <c r="AI1761" s="122"/>
      <c r="AJ1761" s="122"/>
      <c r="AK1761" s="122"/>
      <c r="AL1761" s="122"/>
      <c r="AM1761" s="122"/>
      <c r="AN1761" s="122"/>
      <c r="AO1761" s="122"/>
      <c r="AP1761" s="122"/>
    </row>
    <row r="1762" spans="2:42">
      <c r="B1762" s="122"/>
      <c r="C1762" s="122"/>
      <c r="D1762" s="122"/>
      <c r="E1762" s="122"/>
      <c r="F1762" s="122"/>
      <c r="G1762" s="122"/>
      <c r="H1762" s="122"/>
      <c r="I1762" s="275"/>
      <c r="J1762" s="130"/>
      <c r="K1762" s="130"/>
      <c r="L1762" s="130"/>
      <c r="M1762" s="130"/>
      <c r="N1762" s="291"/>
      <c r="O1762" s="291"/>
      <c r="P1762" s="122"/>
      <c r="Q1762" s="122"/>
      <c r="R1762" s="122"/>
      <c r="S1762" s="122"/>
      <c r="T1762" s="122"/>
      <c r="U1762" s="301"/>
      <c r="V1762" s="260">
        <f t="shared" ca="1" si="35"/>
        <v>0</v>
      </c>
      <c r="W1762" s="348" t="str">
        <f>IF(板块成分!B1764="","",板块成分!B1764)</f>
        <v>300290.SZ</v>
      </c>
      <c r="X1762" s="276" t="str">
        <f>[1]!S_Info_Name(W1762)</f>
        <v>荣科科技</v>
      </c>
      <c r="Y1762" s="276" t="str">
        <f ca="1">IF($Y$3="申万一级行业",[1]!s_info_industry_sw_2021(W1762,公司分析!D$5,1),IF($Y$3="申万二级行业",[1]!s_info_industry_sw_2021(W1762,公司分析!D$5,2),IF($Y$3="申万三级行业",[1]!s_info_industry_sw_2021(W1762,公司分析!D$5,3),IF($Y$3="wind一级行业",[1]!s_info_industry_gics(W1762,1),IF($Y$3="wind二级行业",[1]!s_info_industry_gics(W1762,2),IF($Y$3="wind三级行业",[1]!s_info_industry_gics(W1762,3),IF($Y$3="wind四级行业",[1]!s_info_industry_gics(W1762,4),IF($Y$3="证监会门类行业",[1]!s_info_industry_csrc12_n(W1762,公司分析!D$5,1),""))))))))</f>
        <v>IT服务Ⅱ</v>
      </c>
      <c r="Z1762" s="302" t="str">
        <f ca="1">IF(Y1762=行业比较!$E$6,ROW(),"")</f>
        <v/>
      </c>
      <c r="AA1762" s="122"/>
      <c r="AB1762" s="122"/>
      <c r="AC1762" s="122"/>
      <c r="AD1762" s="122"/>
      <c r="AE1762" s="122"/>
      <c r="AF1762" s="122"/>
      <c r="AG1762" s="122"/>
      <c r="AH1762" s="122"/>
      <c r="AI1762" s="122"/>
      <c r="AJ1762" s="122"/>
      <c r="AK1762" s="122"/>
      <c r="AL1762" s="122"/>
      <c r="AM1762" s="122"/>
      <c r="AN1762" s="122"/>
      <c r="AO1762" s="122"/>
      <c r="AP1762" s="122"/>
    </row>
    <row r="1763" spans="2:42">
      <c r="B1763" s="122"/>
      <c r="C1763" s="122"/>
      <c r="D1763" s="122"/>
      <c r="E1763" s="122"/>
      <c r="F1763" s="122"/>
      <c r="G1763" s="122"/>
      <c r="H1763" s="122"/>
      <c r="I1763" s="275"/>
      <c r="J1763" s="130"/>
      <c r="K1763" s="130"/>
      <c r="L1763" s="130"/>
      <c r="M1763" s="130"/>
      <c r="N1763" s="291"/>
      <c r="O1763" s="291"/>
      <c r="P1763" s="122"/>
      <c r="Q1763" s="122"/>
      <c r="R1763" s="122"/>
      <c r="S1763" s="122"/>
      <c r="T1763" s="122"/>
      <c r="U1763" s="301"/>
      <c r="V1763" s="260">
        <f t="shared" ca="1" si="35"/>
        <v>0</v>
      </c>
      <c r="W1763" s="348" t="str">
        <f>IF(板块成分!B1765="","",板块成分!B1765)</f>
        <v>300291.SZ</v>
      </c>
      <c r="X1763" s="276" t="str">
        <f>[1]!S_Info_Name(W1763)</f>
        <v>百纳千成</v>
      </c>
      <c r="Y1763" s="276" t="str">
        <f ca="1">IF($Y$3="申万一级行业",[1]!s_info_industry_sw_2021(W1763,公司分析!D$5,1),IF($Y$3="申万二级行业",[1]!s_info_industry_sw_2021(W1763,公司分析!D$5,2),IF($Y$3="申万三级行业",[1]!s_info_industry_sw_2021(W1763,公司分析!D$5,3),IF($Y$3="wind一级行业",[1]!s_info_industry_gics(W1763,1),IF($Y$3="wind二级行业",[1]!s_info_industry_gics(W1763,2),IF($Y$3="wind三级行业",[1]!s_info_industry_gics(W1763,3),IF($Y$3="wind四级行业",[1]!s_info_industry_gics(W1763,4),IF($Y$3="证监会门类行业",[1]!s_info_industry_csrc12_n(W1763,公司分析!D$5,1),""))))))))</f>
        <v>影视院线</v>
      </c>
      <c r="Z1763" s="302" t="str">
        <f ca="1">IF(Y1763=行业比较!$E$6,ROW(),"")</f>
        <v/>
      </c>
      <c r="AA1763" s="122"/>
      <c r="AB1763" s="122"/>
      <c r="AC1763" s="122"/>
      <c r="AD1763" s="122"/>
      <c r="AE1763" s="122"/>
      <c r="AF1763" s="122"/>
      <c r="AG1763" s="122"/>
      <c r="AH1763" s="122"/>
      <c r="AI1763" s="122"/>
      <c r="AJ1763" s="122"/>
      <c r="AK1763" s="122"/>
      <c r="AL1763" s="122"/>
      <c r="AM1763" s="122"/>
      <c r="AN1763" s="122"/>
      <c r="AO1763" s="122"/>
      <c r="AP1763" s="122"/>
    </row>
    <row r="1764" spans="2:42">
      <c r="B1764" s="122"/>
      <c r="C1764" s="122"/>
      <c r="D1764" s="122"/>
      <c r="E1764" s="122"/>
      <c r="F1764" s="122"/>
      <c r="G1764" s="122"/>
      <c r="H1764" s="122"/>
      <c r="I1764" s="275"/>
      <c r="J1764" s="130"/>
      <c r="K1764" s="130"/>
      <c r="L1764" s="130"/>
      <c r="M1764" s="130"/>
      <c r="N1764" s="291"/>
      <c r="O1764" s="291"/>
      <c r="P1764" s="122"/>
      <c r="Q1764" s="122"/>
      <c r="R1764" s="122"/>
      <c r="S1764" s="122"/>
      <c r="T1764" s="122"/>
      <c r="U1764" s="301"/>
      <c r="V1764" s="260">
        <f t="shared" ca="1" si="35"/>
        <v>0</v>
      </c>
      <c r="W1764" s="348" t="str">
        <f>IF(板块成分!B1766="","",板块成分!B1766)</f>
        <v>300292.SZ</v>
      </c>
      <c r="X1764" s="276" t="str">
        <f>[1]!S_Info_Name(W1764)</f>
        <v>吴通控股</v>
      </c>
      <c r="Y1764" s="276" t="str">
        <f ca="1">IF($Y$3="申万一级行业",[1]!s_info_industry_sw_2021(W1764,公司分析!D$5,1),IF($Y$3="申万二级行业",[1]!s_info_industry_sw_2021(W1764,公司分析!D$5,2),IF($Y$3="申万三级行业",[1]!s_info_industry_sw_2021(W1764,公司分析!D$5,3),IF($Y$3="wind一级行业",[1]!s_info_industry_gics(W1764,1),IF($Y$3="wind二级行业",[1]!s_info_industry_gics(W1764,2),IF($Y$3="wind三级行业",[1]!s_info_industry_gics(W1764,3),IF($Y$3="wind四级行业",[1]!s_info_industry_gics(W1764,4),IF($Y$3="证监会门类行业",[1]!s_info_industry_csrc12_n(W1764,公司分析!D$5,1),""))))))))</f>
        <v>通信服务</v>
      </c>
      <c r="Z1764" s="302" t="str">
        <f ca="1">IF(Y1764=行业比较!$E$6,ROW(),"")</f>
        <v/>
      </c>
      <c r="AA1764" s="122"/>
      <c r="AB1764" s="122"/>
      <c r="AC1764" s="122"/>
      <c r="AD1764" s="122"/>
      <c r="AE1764" s="122"/>
      <c r="AF1764" s="122"/>
      <c r="AG1764" s="122"/>
      <c r="AH1764" s="122"/>
      <c r="AI1764" s="122"/>
      <c r="AJ1764" s="122"/>
      <c r="AK1764" s="122"/>
      <c r="AL1764" s="122"/>
      <c r="AM1764" s="122"/>
      <c r="AN1764" s="122"/>
      <c r="AO1764" s="122"/>
      <c r="AP1764" s="122"/>
    </row>
    <row r="1765" spans="2:42">
      <c r="B1765" s="122"/>
      <c r="C1765" s="122"/>
      <c r="D1765" s="122"/>
      <c r="E1765" s="122"/>
      <c r="F1765" s="122"/>
      <c r="G1765" s="122"/>
      <c r="H1765" s="122"/>
      <c r="I1765" s="275"/>
      <c r="J1765" s="130"/>
      <c r="K1765" s="130"/>
      <c r="L1765" s="130"/>
      <c r="M1765" s="130"/>
      <c r="N1765" s="291"/>
      <c r="O1765" s="291"/>
      <c r="P1765" s="122"/>
      <c r="Q1765" s="122"/>
      <c r="R1765" s="122"/>
      <c r="S1765" s="122"/>
      <c r="T1765" s="122"/>
      <c r="U1765" s="301"/>
      <c r="V1765" s="260">
        <f t="shared" ca="1" si="35"/>
        <v>0</v>
      </c>
      <c r="W1765" s="348" t="str">
        <f>IF(板块成分!B1767="","",板块成分!B1767)</f>
        <v>300293.SZ</v>
      </c>
      <c r="X1765" s="276" t="str">
        <f>[1]!S_Info_Name(W1765)</f>
        <v>蓝英装备</v>
      </c>
      <c r="Y1765" s="276" t="str">
        <f ca="1">IF($Y$3="申万一级行业",[1]!s_info_industry_sw_2021(W1765,公司分析!D$5,1),IF($Y$3="申万二级行业",[1]!s_info_industry_sw_2021(W1765,公司分析!D$5,2),IF($Y$3="申万三级行业",[1]!s_info_industry_sw_2021(W1765,公司分析!D$5,3),IF($Y$3="wind一级行业",[1]!s_info_industry_gics(W1765,1),IF($Y$3="wind二级行业",[1]!s_info_industry_gics(W1765,2),IF($Y$3="wind三级行业",[1]!s_info_industry_gics(W1765,3),IF($Y$3="wind四级行业",[1]!s_info_industry_gics(W1765,4),IF($Y$3="证监会门类行业",[1]!s_info_industry_csrc12_n(W1765,公司分析!D$5,1),""))))))))</f>
        <v>专用设备</v>
      </c>
      <c r="Z1765" s="302" t="str">
        <f ca="1">IF(Y1765=行业比较!$E$6,ROW(),"")</f>
        <v/>
      </c>
      <c r="AA1765" s="122"/>
      <c r="AB1765" s="122"/>
      <c r="AC1765" s="122"/>
      <c r="AD1765" s="122"/>
      <c r="AE1765" s="122"/>
      <c r="AF1765" s="122"/>
      <c r="AG1765" s="122"/>
      <c r="AH1765" s="122"/>
      <c r="AI1765" s="122"/>
      <c r="AJ1765" s="122"/>
      <c r="AK1765" s="122"/>
      <c r="AL1765" s="122"/>
      <c r="AM1765" s="122"/>
      <c r="AN1765" s="122"/>
      <c r="AO1765" s="122"/>
      <c r="AP1765" s="122"/>
    </row>
    <row r="1766" spans="2:42">
      <c r="B1766" s="122"/>
      <c r="C1766" s="122"/>
      <c r="D1766" s="122"/>
      <c r="E1766" s="122"/>
      <c r="F1766" s="122"/>
      <c r="G1766" s="122"/>
      <c r="H1766" s="122"/>
      <c r="I1766" s="275"/>
      <c r="J1766" s="130"/>
      <c r="K1766" s="130"/>
      <c r="L1766" s="130"/>
      <c r="M1766" s="130"/>
      <c r="N1766" s="291"/>
      <c r="O1766" s="291"/>
      <c r="P1766" s="122"/>
      <c r="Q1766" s="122"/>
      <c r="R1766" s="122"/>
      <c r="S1766" s="122"/>
      <c r="T1766" s="122"/>
      <c r="U1766" s="301"/>
      <c r="V1766" s="260">
        <f t="shared" ca="1" si="35"/>
        <v>0</v>
      </c>
      <c r="W1766" s="348" t="str">
        <f>IF(板块成分!B1768="","",板块成分!B1768)</f>
        <v>300294.SZ</v>
      </c>
      <c r="X1766" s="276" t="str">
        <f>[1]!S_Info_Name(W1766)</f>
        <v>博雅生物</v>
      </c>
      <c r="Y1766" s="276" t="str">
        <f ca="1">IF($Y$3="申万一级行业",[1]!s_info_industry_sw_2021(W1766,公司分析!D$5,1),IF($Y$3="申万二级行业",[1]!s_info_industry_sw_2021(W1766,公司分析!D$5,2),IF($Y$3="申万三级行业",[1]!s_info_industry_sw_2021(W1766,公司分析!D$5,3),IF($Y$3="wind一级行业",[1]!s_info_industry_gics(W1766,1),IF($Y$3="wind二级行业",[1]!s_info_industry_gics(W1766,2),IF($Y$3="wind三级行业",[1]!s_info_industry_gics(W1766,3),IF($Y$3="wind四级行业",[1]!s_info_industry_gics(W1766,4),IF($Y$3="证监会门类行业",[1]!s_info_industry_csrc12_n(W1766,公司分析!D$5,1),""))))))))</f>
        <v>生物制品</v>
      </c>
      <c r="Z1766" s="302" t="str">
        <f ca="1">IF(Y1766=行业比较!$E$6,ROW(),"")</f>
        <v/>
      </c>
      <c r="AA1766" s="122"/>
      <c r="AB1766" s="122"/>
      <c r="AC1766" s="122"/>
      <c r="AD1766" s="122"/>
      <c r="AE1766" s="122"/>
      <c r="AF1766" s="122"/>
      <c r="AG1766" s="122"/>
      <c r="AH1766" s="122"/>
      <c r="AI1766" s="122"/>
      <c r="AJ1766" s="122"/>
      <c r="AK1766" s="122"/>
      <c r="AL1766" s="122"/>
      <c r="AM1766" s="122"/>
      <c r="AN1766" s="122"/>
      <c r="AO1766" s="122"/>
      <c r="AP1766" s="122"/>
    </row>
    <row r="1767" spans="2:42">
      <c r="B1767" s="122"/>
      <c r="C1767" s="122"/>
      <c r="D1767" s="122"/>
      <c r="E1767" s="122"/>
      <c r="F1767" s="122"/>
      <c r="G1767" s="122"/>
      <c r="H1767" s="122"/>
      <c r="I1767" s="275"/>
      <c r="J1767" s="130"/>
      <c r="K1767" s="130"/>
      <c r="L1767" s="130"/>
      <c r="M1767" s="130"/>
      <c r="N1767" s="291"/>
      <c r="O1767" s="291"/>
      <c r="P1767" s="122"/>
      <c r="Q1767" s="122"/>
      <c r="R1767" s="122"/>
      <c r="S1767" s="122"/>
      <c r="T1767" s="122"/>
      <c r="U1767" s="301"/>
      <c r="V1767" s="260">
        <f t="shared" ca="1" si="35"/>
        <v>0</v>
      </c>
      <c r="W1767" s="348" t="str">
        <f>IF(板块成分!B1769="","",板块成分!B1769)</f>
        <v>300295.SZ</v>
      </c>
      <c r="X1767" s="276" t="str">
        <f>[1]!S_Info_Name(W1767)</f>
        <v>三六五网</v>
      </c>
      <c r="Y1767" s="276" t="str">
        <f ca="1">IF($Y$3="申万一级行业",[1]!s_info_industry_sw_2021(W1767,公司分析!D$5,1),IF($Y$3="申万二级行业",[1]!s_info_industry_sw_2021(W1767,公司分析!D$5,2),IF($Y$3="申万三级行业",[1]!s_info_industry_sw_2021(W1767,公司分析!D$5,3),IF($Y$3="wind一级行业",[1]!s_info_industry_gics(W1767,1),IF($Y$3="wind二级行业",[1]!s_info_industry_gics(W1767,2),IF($Y$3="wind三级行业",[1]!s_info_industry_gics(W1767,3),IF($Y$3="wind四级行业",[1]!s_info_industry_gics(W1767,4),IF($Y$3="证监会门类行业",[1]!s_info_industry_csrc12_n(W1767,公司分析!D$5,1),""))))))))</f>
        <v>数字媒体</v>
      </c>
      <c r="Z1767" s="302" t="str">
        <f ca="1">IF(Y1767=行业比较!$E$6,ROW(),"")</f>
        <v/>
      </c>
      <c r="AA1767" s="122"/>
      <c r="AB1767" s="122"/>
      <c r="AC1767" s="122"/>
      <c r="AD1767" s="122"/>
      <c r="AE1767" s="122"/>
      <c r="AF1767" s="122"/>
      <c r="AG1767" s="122"/>
      <c r="AH1767" s="122"/>
      <c r="AI1767" s="122"/>
      <c r="AJ1767" s="122"/>
      <c r="AK1767" s="122"/>
      <c r="AL1767" s="122"/>
      <c r="AM1767" s="122"/>
      <c r="AN1767" s="122"/>
      <c r="AO1767" s="122"/>
      <c r="AP1767" s="122"/>
    </row>
    <row r="1768" spans="2:42">
      <c r="B1768" s="122"/>
      <c r="C1768" s="122"/>
      <c r="D1768" s="122"/>
      <c r="E1768" s="122"/>
      <c r="F1768" s="122"/>
      <c r="G1768" s="122"/>
      <c r="H1768" s="122"/>
      <c r="I1768" s="275"/>
      <c r="J1768" s="130"/>
      <c r="K1768" s="130"/>
      <c r="L1768" s="130"/>
      <c r="M1768" s="130"/>
      <c r="N1768" s="291"/>
      <c r="O1768" s="291"/>
      <c r="P1768" s="122"/>
      <c r="Q1768" s="122"/>
      <c r="R1768" s="122"/>
      <c r="S1768" s="122"/>
      <c r="T1768" s="122"/>
      <c r="U1768" s="301"/>
      <c r="V1768" s="260">
        <f t="shared" ca="1" si="35"/>
        <v>0</v>
      </c>
      <c r="W1768" s="348" t="str">
        <f>IF(板块成分!B1770="","",板块成分!B1770)</f>
        <v>300296.SZ</v>
      </c>
      <c r="X1768" s="276" t="str">
        <f>[1]!S_Info_Name(W1768)</f>
        <v>利亚德</v>
      </c>
      <c r="Y1768" s="276" t="str">
        <f ca="1">IF($Y$3="申万一级行业",[1]!s_info_industry_sw_2021(W1768,公司分析!D$5,1),IF($Y$3="申万二级行业",[1]!s_info_industry_sw_2021(W1768,公司分析!D$5,2),IF($Y$3="申万三级行业",[1]!s_info_industry_sw_2021(W1768,公司分析!D$5,3),IF($Y$3="wind一级行业",[1]!s_info_industry_gics(W1768,1),IF($Y$3="wind二级行业",[1]!s_info_industry_gics(W1768,2),IF($Y$3="wind三级行业",[1]!s_info_industry_gics(W1768,3),IF($Y$3="wind四级行业",[1]!s_info_industry_gics(W1768,4),IF($Y$3="证监会门类行业",[1]!s_info_industry_csrc12_n(W1768,公司分析!D$5,1),""))))))))</f>
        <v>光学光电子</v>
      </c>
      <c r="Z1768" s="302" t="str">
        <f ca="1">IF(Y1768=行业比较!$E$6,ROW(),"")</f>
        <v/>
      </c>
      <c r="AA1768" s="122"/>
      <c r="AB1768" s="122"/>
      <c r="AC1768" s="122"/>
      <c r="AD1768" s="122"/>
      <c r="AE1768" s="122"/>
      <c r="AF1768" s="122"/>
      <c r="AG1768" s="122"/>
      <c r="AH1768" s="122"/>
      <c r="AI1768" s="122"/>
      <c r="AJ1768" s="122"/>
      <c r="AK1768" s="122"/>
      <c r="AL1768" s="122"/>
      <c r="AM1768" s="122"/>
      <c r="AN1768" s="122"/>
      <c r="AO1768" s="122"/>
      <c r="AP1768" s="122"/>
    </row>
    <row r="1769" spans="2:42">
      <c r="B1769" s="122"/>
      <c r="C1769" s="122"/>
      <c r="D1769" s="122"/>
      <c r="E1769" s="122"/>
      <c r="F1769" s="122"/>
      <c r="G1769" s="122"/>
      <c r="H1769" s="122"/>
      <c r="I1769" s="275"/>
      <c r="J1769" s="130"/>
      <c r="K1769" s="130"/>
      <c r="L1769" s="130"/>
      <c r="M1769" s="130"/>
      <c r="N1769" s="291"/>
      <c r="O1769" s="291"/>
      <c r="P1769" s="122"/>
      <c r="Q1769" s="122"/>
      <c r="R1769" s="122"/>
      <c r="S1769" s="122"/>
      <c r="T1769" s="122"/>
      <c r="U1769" s="301"/>
      <c r="V1769" s="260">
        <f t="shared" ca="1" si="35"/>
        <v>0</v>
      </c>
      <c r="W1769" s="348" t="str">
        <f>IF(板块成分!B1771="","",板块成分!B1771)</f>
        <v>300298.SZ</v>
      </c>
      <c r="X1769" s="276" t="str">
        <f>[1]!S_Info_Name(W1769)</f>
        <v>三诺生物</v>
      </c>
      <c r="Y1769" s="276" t="str">
        <f ca="1">IF($Y$3="申万一级行业",[1]!s_info_industry_sw_2021(W1769,公司分析!D$5,1),IF($Y$3="申万二级行业",[1]!s_info_industry_sw_2021(W1769,公司分析!D$5,2),IF($Y$3="申万三级行业",[1]!s_info_industry_sw_2021(W1769,公司分析!D$5,3),IF($Y$3="wind一级行业",[1]!s_info_industry_gics(W1769,1),IF($Y$3="wind二级行业",[1]!s_info_industry_gics(W1769,2),IF($Y$3="wind三级行业",[1]!s_info_industry_gics(W1769,3),IF($Y$3="wind四级行业",[1]!s_info_industry_gics(W1769,4),IF($Y$3="证监会门类行业",[1]!s_info_industry_csrc12_n(W1769,公司分析!D$5,1),""))))))))</f>
        <v>医疗器械</v>
      </c>
      <c r="Z1769" s="302" t="str">
        <f ca="1">IF(Y1769=行业比较!$E$6,ROW(),"")</f>
        <v/>
      </c>
      <c r="AA1769" s="122"/>
      <c r="AB1769" s="122"/>
      <c r="AC1769" s="122"/>
      <c r="AD1769" s="122"/>
      <c r="AE1769" s="122"/>
      <c r="AF1769" s="122"/>
      <c r="AG1769" s="122"/>
      <c r="AH1769" s="122"/>
      <c r="AI1769" s="122"/>
      <c r="AJ1769" s="122"/>
      <c r="AK1769" s="122"/>
      <c r="AL1769" s="122"/>
      <c r="AM1769" s="122"/>
      <c r="AN1769" s="122"/>
      <c r="AO1769" s="122"/>
      <c r="AP1769" s="122"/>
    </row>
    <row r="1770" spans="2:42">
      <c r="B1770" s="122"/>
      <c r="C1770" s="122"/>
      <c r="D1770" s="122"/>
      <c r="E1770" s="122"/>
      <c r="F1770" s="122"/>
      <c r="G1770" s="122"/>
      <c r="H1770" s="122"/>
      <c r="I1770" s="275"/>
      <c r="J1770" s="130"/>
      <c r="K1770" s="130"/>
      <c r="L1770" s="130"/>
      <c r="M1770" s="130"/>
      <c r="N1770" s="291"/>
      <c r="O1770" s="291"/>
      <c r="P1770" s="122"/>
      <c r="Q1770" s="122"/>
      <c r="R1770" s="122"/>
      <c r="S1770" s="122"/>
      <c r="T1770" s="122"/>
      <c r="U1770" s="301"/>
      <c r="V1770" s="260">
        <f t="shared" ca="1" si="35"/>
        <v>0</v>
      </c>
      <c r="W1770" s="348" t="str">
        <f>IF(板块成分!B1772="","",板块成分!B1772)</f>
        <v>300299.SZ</v>
      </c>
      <c r="X1770" s="276" t="str">
        <f>[1]!S_Info_Name(W1770)</f>
        <v>富春股份</v>
      </c>
      <c r="Y1770" s="276" t="str">
        <f ca="1">IF($Y$3="申万一级行业",[1]!s_info_industry_sw_2021(W1770,公司分析!D$5,1),IF($Y$3="申万二级行业",[1]!s_info_industry_sw_2021(W1770,公司分析!D$5,2),IF($Y$3="申万三级行业",[1]!s_info_industry_sw_2021(W1770,公司分析!D$5,3),IF($Y$3="wind一级行业",[1]!s_info_industry_gics(W1770,1),IF($Y$3="wind二级行业",[1]!s_info_industry_gics(W1770,2),IF($Y$3="wind三级行业",[1]!s_info_industry_gics(W1770,3),IF($Y$3="wind四级行业",[1]!s_info_industry_gics(W1770,4),IF($Y$3="证监会门类行业",[1]!s_info_industry_csrc12_n(W1770,公司分析!D$5,1),""))))))))</f>
        <v>游戏Ⅱ</v>
      </c>
      <c r="Z1770" s="302" t="str">
        <f ca="1">IF(Y1770=行业比较!$E$6,ROW(),"")</f>
        <v/>
      </c>
      <c r="AA1770" s="122"/>
      <c r="AB1770" s="122"/>
      <c r="AC1770" s="122"/>
      <c r="AD1770" s="122"/>
      <c r="AE1770" s="122"/>
      <c r="AF1770" s="122"/>
      <c r="AG1770" s="122"/>
      <c r="AH1770" s="122"/>
      <c r="AI1770" s="122"/>
      <c r="AJ1770" s="122"/>
      <c r="AK1770" s="122"/>
      <c r="AL1770" s="122"/>
      <c r="AM1770" s="122"/>
      <c r="AN1770" s="122"/>
      <c r="AO1770" s="122"/>
      <c r="AP1770" s="122"/>
    </row>
    <row r="1771" spans="2:42">
      <c r="B1771" s="122"/>
      <c r="C1771" s="122"/>
      <c r="D1771" s="122"/>
      <c r="E1771" s="122"/>
      <c r="F1771" s="122"/>
      <c r="G1771" s="122"/>
      <c r="H1771" s="122"/>
      <c r="I1771" s="275"/>
      <c r="J1771" s="130"/>
      <c r="K1771" s="130"/>
      <c r="L1771" s="130"/>
      <c r="M1771" s="130"/>
      <c r="N1771" s="291"/>
      <c r="O1771" s="291"/>
      <c r="P1771" s="122"/>
      <c r="Q1771" s="122"/>
      <c r="R1771" s="122"/>
      <c r="S1771" s="122"/>
      <c r="T1771" s="122"/>
      <c r="U1771" s="301"/>
      <c r="V1771" s="260">
        <f t="shared" ca="1" si="35"/>
        <v>0</v>
      </c>
      <c r="W1771" s="348" t="str">
        <f>IF(板块成分!B1773="","",板块成分!B1773)</f>
        <v>300300.SZ</v>
      </c>
      <c r="X1771" s="276" t="str">
        <f>[1]!S_Info_Name(W1771)</f>
        <v>海峡创新</v>
      </c>
      <c r="Y1771" s="276" t="str">
        <f ca="1">IF($Y$3="申万一级行业",[1]!s_info_industry_sw_2021(W1771,公司分析!D$5,1),IF($Y$3="申万二级行业",[1]!s_info_industry_sw_2021(W1771,公司分析!D$5,2),IF($Y$3="申万三级行业",[1]!s_info_industry_sw_2021(W1771,公司分析!D$5,3),IF($Y$3="wind一级行业",[1]!s_info_industry_gics(W1771,1),IF($Y$3="wind二级行业",[1]!s_info_industry_gics(W1771,2),IF($Y$3="wind三级行业",[1]!s_info_industry_gics(W1771,3),IF($Y$3="wind四级行业",[1]!s_info_industry_gics(W1771,4),IF($Y$3="证监会门类行业",[1]!s_info_industry_csrc12_n(W1771,公司分析!D$5,1),""))))))))</f>
        <v>IT服务Ⅱ</v>
      </c>
      <c r="Z1771" s="302" t="str">
        <f ca="1">IF(Y1771=行业比较!$E$6,ROW(),"")</f>
        <v/>
      </c>
      <c r="AA1771" s="122"/>
      <c r="AB1771" s="122"/>
      <c r="AC1771" s="122"/>
      <c r="AD1771" s="122"/>
      <c r="AE1771" s="122"/>
      <c r="AF1771" s="122"/>
      <c r="AG1771" s="122"/>
      <c r="AH1771" s="122"/>
      <c r="AI1771" s="122"/>
      <c r="AJ1771" s="122"/>
      <c r="AK1771" s="122"/>
      <c r="AL1771" s="122"/>
      <c r="AM1771" s="122"/>
      <c r="AN1771" s="122"/>
      <c r="AO1771" s="122"/>
      <c r="AP1771" s="122"/>
    </row>
    <row r="1772" spans="2:42">
      <c r="B1772" s="122"/>
      <c r="C1772" s="122"/>
      <c r="D1772" s="122"/>
      <c r="E1772" s="122"/>
      <c r="F1772" s="122"/>
      <c r="G1772" s="122"/>
      <c r="H1772" s="122"/>
      <c r="I1772" s="275"/>
      <c r="J1772" s="130"/>
      <c r="K1772" s="130"/>
      <c r="L1772" s="130"/>
      <c r="M1772" s="130"/>
      <c r="N1772" s="291"/>
      <c r="O1772" s="291"/>
      <c r="P1772" s="122"/>
      <c r="Q1772" s="122"/>
      <c r="R1772" s="122"/>
      <c r="S1772" s="122"/>
      <c r="T1772" s="122"/>
      <c r="U1772" s="301"/>
      <c r="V1772" s="260">
        <f t="shared" ca="1" si="35"/>
        <v>0</v>
      </c>
      <c r="W1772" s="348" t="str">
        <f>IF(板块成分!B1774="","",板块成分!B1774)</f>
        <v>300301.SZ</v>
      </c>
      <c r="X1772" s="276" t="str">
        <f>[1]!S_Info_Name(W1772)</f>
        <v>ST长方</v>
      </c>
      <c r="Y1772" s="276" t="str">
        <f ca="1">IF($Y$3="申万一级行业",[1]!s_info_industry_sw_2021(W1772,公司分析!D$5,1),IF($Y$3="申万二级行业",[1]!s_info_industry_sw_2021(W1772,公司分析!D$5,2),IF($Y$3="申万三级行业",[1]!s_info_industry_sw_2021(W1772,公司分析!D$5,3),IF($Y$3="wind一级行业",[1]!s_info_industry_gics(W1772,1),IF($Y$3="wind二级行业",[1]!s_info_industry_gics(W1772,2),IF($Y$3="wind三级行业",[1]!s_info_industry_gics(W1772,3),IF($Y$3="wind四级行业",[1]!s_info_industry_gics(W1772,4),IF($Y$3="证监会门类行业",[1]!s_info_industry_csrc12_n(W1772,公司分析!D$5,1),""))))))))</f>
        <v>光学光电子</v>
      </c>
      <c r="Z1772" s="302" t="str">
        <f ca="1">IF(Y1772=行业比较!$E$6,ROW(),"")</f>
        <v/>
      </c>
      <c r="AA1772" s="122"/>
      <c r="AB1772" s="122"/>
      <c r="AC1772" s="122"/>
      <c r="AD1772" s="122"/>
      <c r="AE1772" s="122"/>
      <c r="AF1772" s="122"/>
      <c r="AG1772" s="122"/>
      <c r="AH1772" s="122"/>
      <c r="AI1772" s="122"/>
      <c r="AJ1772" s="122"/>
      <c r="AK1772" s="122"/>
      <c r="AL1772" s="122"/>
      <c r="AM1772" s="122"/>
      <c r="AN1772" s="122"/>
      <c r="AO1772" s="122"/>
      <c r="AP1772" s="122"/>
    </row>
    <row r="1773" spans="2:42">
      <c r="B1773" s="122"/>
      <c r="C1773" s="122"/>
      <c r="D1773" s="122"/>
      <c r="E1773" s="122"/>
      <c r="F1773" s="122"/>
      <c r="G1773" s="122"/>
      <c r="H1773" s="122"/>
      <c r="I1773" s="275"/>
      <c r="J1773" s="130"/>
      <c r="K1773" s="130"/>
      <c r="L1773" s="130"/>
      <c r="M1773" s="130"/>
      <c r="N1773" s="291"/>
      <c r="O1773" s="291"/>
      <c r="P1773" s="122"/>
      <c r="Q1773" s="122"/>
      <c r="R1773" s="122"/>
      <c r="S1773" s="122"/>
      <c r="T1773" s="122"/>
      <c r="U1773" s="301"/>
      <c r="V1773" s="260">
        <f t="shared" ca="1" si="35"/>
        <v>0</v>
      </c>
      <c r="W1773" s="348" t="str">
        <f>IF(板块成分!B1775="","",板块成分!B1775)</f>
        <v>300302.SZ</v>
      </c>
      <c r="X1773" s="276" t="str">
        <f>[1]!S_Info_Name(W1773)</f>
        <v>同有科技</v>
      </c>
      <c r="Y1773" s="276" t="str">
        <f ca="1">IF($Y$3="申万一级行业",[1]!s_info_industry_sw_2021(W1773,公司分析!D$5,1),IF($Y$3="申万二级行业",[1]!s_info_industry_sw_2021(W1773,公司分析!D$5,2),IF($Y$3="申万三级行业",[1]!s_info_industry_sw_2021(W1773,公司分析!D$5,3),IF($Y$3="wind一级行业",[1]!s_info_industry_gics(W1773,1),IF($Y$3="wind二级行业",[1]!s_info_industry_gics(W1773,2),IF($Y$3="wind三级行业",[1]!s_info_industry_gics(W1773,3),IF($Y$3="wind四级行业",[1]!s_info_industry_gics(W1773,4),IF($Y$3="证监会门类行业",[1]!s_info_industry_csrc12_n(W1773,公司分析!D$5,1),""))))))))</f>
        <v>计算机设备</v>
      </c>
      <c r="Z1773" s="302" t="str">
        <f ca="1">IF(Y1773=行业比较!$E$6,ROW(),"")</f>
        <v/>
      </c>
      <c r="AA1773" s="122"/>
      <c r="AB1773" s="122"/>
      <c r="AC1773" s="122"/>
      <c r="AD1773" s="122"/>
      <c r="AE1773" s="122"/>
      <c r="AF1773" s="122"/>
      <c r="AG1773" s="122"/>
      <c r="AH1773" s="122"/>
      <c r="AI1773" s="122"/>
      <c r="AJ1773" s="122"/>
      <c r="AK1773" s="122"/>
      <c r="AL1773" s="122"/>
      <c r="AM1773" s="122"/>
      <c r="AN1773" s="122"/>
      <c r="AO1773" s="122"/>
      <c r="AP1773" s="122"/>
    </row>
    <row r="1774" spans="2:42">
      <c r="B1774" s="122"/>
      <c r="C1774" s="122"/>
      <c r="D1774" s="122"/>
      <c r="E1774" s="122"/>
      <c r="F1774" s="122"/>
      <c r="G1774" s="122"/>
      <c r="H1774" s="122"/>
      <c r="I1774" s="275"/>
      <c r="J1774" s="130"/>
      <c r="K1774" s="130"/>
      <c r="L1774" s="130"/>
      <c r="M1774" s="130"/>
      <c r="N1774" s="291"/>
      <c r="O1774" s="291"/>
      <c r="P1774" s="122"/>
      <c r="Q1774" s="122"/>
      <c r="R1774" s="122"/>
      <c r="S1774" s="122"/>
      <c r="T1774" s="122"/>
      <c r="U1774" s="301"/>
      <c r="V1774" s="260">
        <f t="shared" ca="1" si="35"/>
        <v>0</v>
      </c>
      <c r="W1774" s="348" t="str">
        <f>IF(板块成分!B1776="","",板块成分!B1776)</f>
        <v>300303.SZ</v>
      </c>
      <c r="X1774" s="276" t="str">
        <f>[1]!S_Info_Name(W1774)</f>
        <v>聚飞光电</v>
      </c>
      <c r="Y1774" s="276" t="str">
        <f ca="1">IF($Y$3="申万一级行业",[1]!s_info_industry_sw_2021(W1774,公司分析!D$5,1),IF($Y$3="申万二级行业",[1]!s_info_industry_sw_2021(W1774,公司分析!D$5,2),IF($Y$3="申万三级行业",[1]!s_info_industry_sw_2021(W1774,公司分析!D$5,3),IF($Y$3="wind一级行业",[1]!s_info_industry_gics(W1774,1),IF($Y$3="wind二级行业",[1]!s_info_industry_gics(W1774,2),IF($Y$3="wind三级行业",[1]!s_info_industry_gics(W1774,3),IF($Y$3="wind四级行业",[1]!s_info_industry_gics(W1774,4),IF($Y$3="证监会门类行业",[1]!s_info_industry_csrc12_n(W1774,公司分析!D$5,1),""))))))))</f>
        <v>光学光电子</v>
      </c>
      <c r="Z1774" s="302" t="str">
        <f ca="1">IF(Y1774=行业比较!$E$6,ROW(),"")</f>
        <v/>
      </c>
      <c r="AA1774" s="122"/>
      <c r="AB1774" s="122"/>
      <c r="AC1774" s="122"/>
      <c r="AD1774" s="122"/>
      <c r="AE1774" s="122"/>
      <c r="AF1774" s="122"/>
      <c r="AG1774" s="122"/>
      <c r="AH1774" s="122"/>
      <c r="AI1774" s="122"/>
      <c r="AJ1774" s="122"/>
      <c r="AK1774" s="122"/>
      <c r="AL1774" s="122"/>
      <c r="AM1774" s="122"/>
      <c r="AN1774" s="122"/>
      <c r="AO1774" s="122"/>
      <c r="AP1774" s="122"/>
    </row>
    <row r="1775" spans="2:42">
      <c r="B1775" s="122"/>
      <c r="C1775" s="122"/>
      <c r="D1775" s="122"/>
      <c r="E1775" s="122"/>
      <c r="F1775" s="122"/>
      <c r="G1775" s="122"/>
      <c r="H1775" s="122"/>
      <c r="I1775" s="275"/>
      <c r="J1775" s="130"/>
      <c r="K1775" s="130"/>
      <c r="L1775" s="130"/>
      <c r="M1775" s="130"/>
      <c r="N1775" s="291"/>
      <c r="O1775" s="291"/>
      <c r="P1775" s="122"/>
      <c r="Q1775" s="122"/>
      <c r="R1775" s="122"/>
      <c r="S1775" s="122"/>
      <c r="T1775" s="122"/>
      <c r="U1775" s="301"/>
      <c r="V1775" s="260">
        <f t="shared" ca="1" si="35"/>
        <v>0</v>
      </c>
      <c r="W1775" s="348" t="str">
        <f>IF(板块成分!B1777="","",板块成分!B1777)</f>
        <v>300304.SZ</v>
      </c>
      <c r="X1775" s="276" t="str">
        <f>[1]!S_Info_Name(W1775)</f>
        <v>云意电气</v>
      </c>
      <c r="Y1775" s="276" t="str">
        <f ca="1">IF($Y$3="申万一级行业",[1]!s_info_industry_sw_2021(W1775,公司分析!D$5,1),IF($Y$3="申万二级行业",[1]!s_info_industry_sw_2021(W1775,公司分析!D$5,2),IF($Y$3="申万三级行业",[1]!s_info_industry_sw_2021(W1775,公司分析!D$5,3),IF($Y$3="wind一级行业",[1]!s_info_industry_gics(W1775,1),IF($Y$3="wind二级行业",[1]!s_info_industry_gics(W1775,2),IF($Y$3="wind三级行业",[1]!s_info_industry_gics(W1775,3),IF($Y$3="wind四级行业",[1]!s_info_industry_gics(W1775,4),IF($Y$3="证监会门类行业",[1]!s_info_industry_csrc12_n(W1775,公司分析!D$5,1),""))))))))</f>
        <v>汽车零部件</v>
      </c>
      <c r="Z1775" s="302" t="str">
        <f ca="1">IF(Y1775=行业比较!$E$6,ROW(),"")</f>
        <v/>
      </c>
      <c r="AA1775" s="122"/>
      <c r="AB1775" s="122"/>
      <c r="AC1775" s="122"/>
      <c r="AD1775" s="122"/>
      <c r="AE1775" s="122"/>
      <c r="AF1775" s="122"/>
      <c r="AG1775" s="122"/>
      <c r="AH1775" s="122"/>
      <c r="AI1775" s="122"/>
      <c r="AJ1775" s="122"/>
      <c r="AK1775" s="122"/>
      <c r="AL1775" s="122"/>
      <c r="AM1775" s="122"/>
      <c r="AN1775" s="122"/>
      <c r="AO1775" s="122"/>
      <c r="AP1775" s="122"/>
    </row>
    <row r="1776" spans="2:42">
      <c r="B1776" s="122"/>
      <c r="C1776" s="122"/>
      <c r="D1776" s="122"/>
      <c r="E1776" s="122"/>
      <c r="F1776" s="122"/>
      <c r="G1776" s="122"/>
      <c r="H1776" s="122"/>
      <c r="I1776" s="275"/>
      <c r="J1776" s="130"/>
      <c r="K1776" s="130"/>
      <c r="L1776" s="130"/>
      <c r="M1776" s="130"/>
      <c r="N1776" s="291"/>
      <c r="O1776" s="291"/>
      <c r="P1776" s="122"/>
      <c r="Q1776" s="122"/>
      <c r="R1776" s="122"/>
      <c r="S1776" s="122"/>
      <c r="T1776" s="122"/>
      <c r="U1776" s="301"/>
      <c r="V1776" s="260">
        <f t="shared" ca="1" si="35"/>
        <v>0</v>
      </c>
      <c r="W1776" s="348" t="str">
        <f>IF(板块成分!B1778="","",板块成分!B1778)</f>
        <v>300305.SZ</v>
      </c>
      <c r="X1776" s="276" t="str">
        <f>[1]!S_Info_Name(W1776)</f>
        <v>裕兴股份</v>
      </c>
      <c r="Y1776" s="276" t="str">
        <f ca="1">IF($Y$3="申万一级行业",[1]!s_info_industry_sw_2021(W1776,公司分析!D$5,1),IF($Y$3="申万二级行业",[1]!s_info_industry_sw_2021(W1776,公司分析!D$5,2),IF($Y$3="申万三级行业",[1]!s_info_industry_sw_2021(W1776,公司分析!D$5,3),IF($Y$3="wind一级行业",[1]!s_info_industry_gics(W1776,1),IF($Y$3="wind二级行业",[1]!s_info_industry_gics(W1776,2),IF($Y$3="wind三级行业",[1]!s_info_industry_gics(W1776,3),IF($Y$3="wind四级行业",[1]!s_info_industry_gics(W1776,4),IF($Y$3="证监会门类行业",[1]!s_info_industry_csrc12_n(W1776,公司分析!D$5,1),""))))))))</f>
        <v>塑料</v>
      </c>
      <c r="Z1776" s="302" t="str">
        <f ca="1">IF(Y1776=行业比较!$E$6,ROW(),"")</f>
        <v/>
      </c>
      <c r="AA1776" s="122"/>
      <c r="AB1776" s="122"/>
      <c r="AC1776" s="122"/>
      <c r="AD1776" s="122"/>
      <c r="AE1776" s="122"/>
      <c r="AF1776" s="122"/>
      <c r="AG1776" s="122"/>
      <c r="AH1776" s="122"/>
      <c r="AI1776" s="122"/>
      <c r="AJ1776" s="122"/>
      <c r="AK1776" s="122"/>
      <c r="AL1776" s="122"/>
      <c r="AM1776" s="122"/>
      <c r="AN1776" s="122"/>
      <c r="AO1776" s="122"/>
      <c r="AP1776" s="122"/>
    </row>
    <row r="1777" spans="2:42">
      <c r="B1777" s="122"/>
      <c r="C1777" s="122"/>
      <c r="D1777" s="122"/>
      <c r="E1777" s="122"/>
      <c r="F1777" s="122"/>
      <c r="G1777" s="122"/>
      <c r="H1777" s="122"/>
      <c r="I1777" s="275"/>
      <c r="J1777" s="130"/>
      <c r="K1777" s="130"/>
      <c r="L1777" s="130"/>
      <c r="M1777" s="130"/>
      <c r="N1777" s="291"/>
      <c r="O1777" s="291"/>
      <c r="P1777" s="122"/>
      <c r="Q1777" s="122"/>
      <c r="R1777" s="122"/>
      <c r="S1777" s="122"/>
      <c r="T1777" s="122"/>
      <c r="U1777" s="301"/>
      <c r="V1777" s="260">
        <f t="shared" ca="1" si="35"/>
        <v>0</v>
      </c>
      <c r="W1777" s="348" t="str">
        <f>IF(板块成分!B1779="","",板块成分!B1779)</f>
        <v>300306.SZ</v>
      </c>
      <c r="X1777" s="276" t="str">
        <f>[1]!S_Info_Name(W1777)</f>
        <v>远方信息</v>
      </c>
      <c r="Y1777" s="276" t="str">
        <f ca="1">IF($Y$3="申万一级行业",[1]!s_info_industry_sw_2021(W1777,公司分析!D$5,1),IF($Y$3="申万二级行业",[1]!s_info_industry_sw_2021(W1777,公司分析!D$5,2),IF($Y$3="申万三级行业",[1]!s_info_industry_sw_2021(W1777,公司分析!D$5,3),IF($Y$3="wind一级行业",[1]!s_info_industry_gics(W1777,1),IF($Y$3="wind二级行业",[1]!s_info_industry_gics(W1777,2),IF($Y$3="wind三级行业",[1]!s_info_industry_gics(W1777,3),IF($Y$3="wind四级行业",[1]!s_info_industry_gics(W1777,4),IF($Y$3="证监会门类行业",[1]!s_info_industry_csrc12_n(W1777,公司分析!D$5,1),""))))))))</f>
        <v>通用设备</v>
      </c>
      <c r="Z1777" s="302" t="str">
        <f ca="1">IF(Y1777=行业比较!$E$6,ROW(),"")</f>
        <v/>
      </c>
      <c r="AA1777" s="122"/>
      <c r="AB1777" s="122"/>
      <c r="AC1777" s="122"/>
      <c r="AD1777" s="122"/>
      <c r="AE1777" s="122"/>
      <c r="AF1777" s="122"/>
      <c r="AG1777" s="122"/>
      <c r="AH1777" s="122"/>
      <c r="AI1777" s="122"/>
      <c r="AJ1777" s="122"/>
      <c r="AK1777" s="122"/>
      <c r="AL1777" s="122"/>
      <c r="AM1777" s="122"/>
      <c r="AN1777" s="122"/>
      <c r="AO1777" s="122"/>
      <c r="AP1777" s="122"/>
    </row>
    <row r="1778" spans="2:42">
      <c r="B1778" s="122"/>
      <c r="C1778" s="122"/>
      <c r="D1778" s="122"/>
      <c r="E1778" s="122"/>
      <c r="F1778" s="122"/>
      <c r="G1778" s="122"/>
      <c r="H1778" s="122"/>
      <c r="I1778" s="275"/>
      <c r="J1778" s="130"/>
      <c r="K1778" s="130"/>
      <c r="L1778" s="130"/>
      <c r="M1778" s="130"/>
      <c r="N1778" s="291"/>
      <c r="O1778" s="291"/>
      <c r="P1778" s="122"/>
      <c r="Q1778" s="122"/>
      <c r="R1778" s="122"/>
      <c r="S1778" s="122"/>
      <c r="T1778" s="122"/>
      <c r="U1778" s="301"/>
      <c r="V1778" s="260">
        <f t="shared" ca="1" si="35"/>
        <v>0</v>
      </c>
      <c r="W1778" s="348" t="str">
        <f>IF(板块成分!B1780="","",板块成分!B1780)</f>
        <v>300307.SZ</v>
      </c>
      <c r="X1778" s="276" t="str">
        <f>[1]!S_Info_Name(W1778)</f>
        <v>慈星股份</v>
      </c>
      <c r="Y1778" s="276" t="str">
        <f ca="1">IF($Y$3="申万一级行业",[1]!s_info_industry_sw_2021(W1778,公司分析!D$5,1),IF($Y$3="申万二级行业",[1]!s_info_industry_sw_2021(W1778,公司分析!D$5,2),IF($Y$3="申万三级行业",[1]!s_info_industry_sw_2021(W1778,公司分析!D$5,3),IF($Y$3="wind一级行业",[1]!s_info_industry_gics(W1778,1),IF($Y$3="wind二级行业",[1]!s_info_industry_gics(W1778,2),IF($Y$3="wind三级行业",[1]!s_info_industry_gics(W1778,3),IF($Y$3="wind四级行业",[1]!s_info_industry_gics(W1778,4),IF($Y$3="证监会门类行业",[1]!s_info_industry_csrc12_n(W1778,公司分析!D$5,1),""))))))))</f>
        <v>专用设备</v>
      </c>
      <c r="Z1778" s="302" t="str">
        <f ca="1">IF(Y1778=行业比较!$E$6,ROW(),"")</f>
        <v/>
      </c>
      <c r="AA1778" s="122"/>
      <c r="AB1778" s="122"/>
      <c r="AC1778" s="122"/>
      <c r="AD1778" s="122"/>
      <c r="AE1778" s="122"/>
      <c r="AF1778" s="122"/>
      <c r="AG1778" s="122"/>
      <c r="AH1778" s="122"/>
      <c r="AI1778" s="122"/>
      <c r="AJ1778" s="122"/>
      <c r="AK1778" s="122"/>
      <c r="AL1778" s="122"/>
      <c r="AM1778" s="122"/>
      <c r="AN1778" s="122"/>
      <c r="AO1778" s="122"/>
      <c r="AP1778" s="122"/>
    </row>
    <row r="1779" spans="2:42">
      <c r="B1779" s="122"/>
      <c r="C1779" s="122"/>
      <c r="D1779" s="122"/>
      <c r="E1779" s="122"/>
      <c r="F1779" s="122"/>
      <c r="G1779" s="122"/>
      <c r="H1779" s="122"/>
      <c r="I1779" s="275"/>
      <c r="J1779" s="130"/>
      <c r="K1779" s="130"/>
      <c r="L1779" s="130"/>
      <c r="M1779" s="130"/>
      <c r="N1779" s="291"/>
      <c r="O1779" s="291"/>
      <c r="P1779" s="122"/>
      <c r="Q1779" s="122"/>
      <c r="R1779" s="122"/>
      <c r="S1779" s="122"/>
      <c r="T1779" s="122"/>
      <c r="U1779" s="301"/>
      <c r="V1779" s="260">
        <f t="shared" ca="1" si="35"/>
        <v>0</v>
      </c>
      <c r="W1779" s="348" t="str">
        <f>IF(板块成分!B1781="","",板块成分!B1781)</f>
        <v>300308.SZ</v>
      </c>
      <c r="X1779" s="276" t="str">
        <f>[1]!S_Info_Name(W1779)</f>
        <v>中际旭创</v>
      </c>
      <c r="Y1779" s="276" t="str">
        <f ca="1">IF($Y$3="申万一级行业",[1]!s_info_industry_sw_2021(W1779,公司分析!D$5,1),IF($Y$3="申万二级行业",[1]!s_info_industry_sw_2021(W1779,公司分析!D$5,2),IF($Y$3="申万三级行业",[1]!s_info_industry_sw_2021(W1779,公司分析!D$5,3),IF($Y$3="wind一级行业",[1]!s_info_industry_gics(W1779,1),IF($Y$3="wind二级行业",[1]!s_info_industry_gics(W1779,2),IF($Y$3="wind三级行业",[1]!s_info_industry_gics(W1779,3),IF($Y$3="wind四级行业",[1]!s_info_industry_gics(W1779,4),IF($Y$3="证监会门类行业",[1]!s_info_industry_csrc12_n(W1779,公司分析!D$5,1),""))))))))</f>
        <v>通信设备</v>
      </c>
      <c r="Z1779" s="302" t="str">
        <f ca="1">IF(Y1779=行业比较!$E$6,ROW(),"")</f>
        <v/>
      </c>
      <c r="AA1779" s="122"/>
      <c r="AB1779" s="122"/>
      <c r="AC1779" s="122"/>
      <c r="AD1779" s="122"/>
      <c r="AE1779" s="122"/>
      <c r="AF1779" s="122"/>
      <c r="AG1779" s="122"/>
      <c r="AH1779" s="122"/>
      <c r="AI1779" s="122"/>
      <c r="AJ1779" s="122"/>
      <c r="AK1779" s="122"/>
      <c r="AL1779" s="122"/>
      <c r="AM1779" s="122"/>
      <c r="AN1779" s="122"/>
      <c r="AO1779" s="122"/>
      <c r="AP1779" s="122"/>
    </row>
    <row r="1780" spans="2:42">
      <c r="B1780" s="122"/>
      <c r="C1780" s="122"/>
      <c r="D1780" s="122"/>
      <c r="E1780" s="122"/>
      <c r="F1780" s="122"/>
      <c r="G1780" s="122"/>
      <c r="H1780" s="122"/>
      <c r="I1780" s="275"/>
      <c r="J1780" s="130"/>
      <c r="K1780" s="130"/>
      <c r="L1780" s="130"/>
      <c r="M1780" s="130"/>
      <c r="N1780" s="291"/>
      <c r="O1780" s="291"/>
      <c r="P1780" s="122"/>
      <c r="Q1780" s="122"/>
      <c r="R1780" s="122"/>
      <c r="S1780" s="122"/>
      <c r="T1780" s="122"/>
      <c r="U1780" s="301"/>
      <c r="V1780" s="260">
        <f t="shared" ca="1" si="35"/>
        <v>0</v>
      </c>
      <c r="W1780" s="348" t="str">
        <f>IF(板块成分!B1782="","",板块成分!B1782)</f>
        <v>300310.SZ</v>
      </c>
      <c r="X1780" s="276" t="str">
        <f>[1]!S_Info_Name(W1780)</f>
        <v>宜通世纪</v>
      </c>
      <c r="Y1780" s="276" t="str">
        <f ca="1">IF($Y$3="申万一级行业",[1]!s_info_industry_sw_2021(W1780,公司分析!D$5,1),IF($Y$3="申万二级行业",[1]!s_info_industry_sw_2021(W1780,公司分析!D$5,2),IF($Y$3="申万三级行业",[1]!s_info_industry_sw_2021(W1780,公司分析!D$5,3),IF($Y$3="wind一级行业",[1]!s_info_industry_gics(W1780,1),IF($Y$3="wind二级行业",[1]!s_info_industry_gics(W1780,2),IF($Y$3="wind三级行业",[1]!s_info_industry_gics(W1780,3),IF($Y$3="wind四级行业",[1]!s_info_industry_gics(W1780,4),IF($Y$3="证监会门类行业",[1]!s_info_industry_csrc12_n(W1780,公司分析!D$5,1),""))))))))</f>
        <v>通信服务</v>
      </c>
      <c r="Z1780" s="302" t="str">
        <f ca="1">IF(Y1780=行业比较!$E$6,ROW(),"")</f>
        <v/>
      </c>
      <c r="AA1780" s="122"/>
      <c r="AB1780" s="122"/>
      <c r="AC1780" s="122"/>
      <c r="AD1780" s="122"/>
      <c r="AE1780" s="122"/>
      <c r="AF1780" s="122"/>
      <c r="AG1780" s="122"/>
      <c r="AH1780" s="122"/>
      <c r="AI1780" s="122"/>
      <c r="AJ1780" s="122"/>
      <c r="AK1780" s="122"/>
      <c r="AL1780" s="122"/>
      <c r="AM1780" s="122"/>
      <c r="AN1780" s="122"/>
      <c r="AO1780" s="122"/>
      <c r="AP1780" s="122"/>
    </row>
    <row r="1781" spans="2:42">
      <c r="B1781" s="122"/>
      <c r="C1781" s="122"/>
      <c r="D1781" s="122"/>
      <c r="E1781" s="122"/>
      <c r="F1781" s="122"/>
      <c r="G1781" s="122"/>
      <c r="H1781" s="122"/>
      <c r="I1781" s="275"/>
      <c r="J1781" s="130"/>
      <c r="K1781" s="130"/>
      <c r="L1781" s="130"/>
      <c r="M1781" s="130"/>
      <c r="N1781" s="291"/>
      <c r="O1781" s="291"/>
      <c r="P1781" s="122"/>
      <c r="Q1781" s="122"/>
      <c r="R1781" s="122"/>
      <c r="S1781" s="122"/>
      <c r="T1781" s="122"/>
      <c r="U1781" s="301"/>
      <c r="V1781" s="260">
        <f t="shared" ca="1" si="35"/>
        <v>0</v>
      </c>
      <c r="W1781" s="348" t="str">
        <f>IF(板块成分!B1783="","",板块成分!B1783)</f>
        <v>300311.SZ</v>
      </c>
      <c r="X1781" s="276" t="str">
        <f>[1]!S_Info_Name(W1781)</f>
        <v>ST任子行</v>
      </c>
      <c r="Y1781" s="276" t="str">
        <f ca="1">IF($Y$3="申万一级行业",[1]!s_info_industry_sw_2021(W1781,公司分析!D$5,1),IF($Y$3="申万二级行业",[1]!s_info_industry_sw_2021(W1781,公司分析!D$5,2),IF($Y$3="申万三级行业",[1]!s_info_industry_sw_2021(W1781,公司分析!D$5,3),IF($Y$3="wind一级行业",[1]!s_info_industry_gics(W1781,1),IF($Y$3="wind二级行业",[1]!s_info_industry_gics(W1781,2),IF($Y$3="wind三级行业",[1]!s_info_industry_gics(W1781,3),IF($Y$3="wind四级行业",[1]!s_info_industry_gics(W1781,4),IF($Y$3="证监会门类行业",[1]!s_info_industry_csrc12_n(W1781,公司分析!D$5,1),""))))))))</f>
        <v>软件开发</v>
      </c>
      <c r="Z1781" s="302" t="str">
        <f ca="1">IF(Y1781=行业比较!$E$6,ROW(),"")</f>
        <v/>
      </c>
      <c r="AA1781" s="122"/>
      <c r="AB1781" s="122"/>
      <c r="AC1781" s="122"/>
      <c r="AD1781" s="122"/>
      <c r="AE1781" s="122"/>
      <c r="AF1781" s="122"/>
      <c r="AG1781" s="122"/>
      <c r="AH1781" s="122"/>
      <c r="AI1781" s="122"/>
      <c r="AJ1781" s="122"/>
      <c r="AK1781" s="122"/>
      <c r="AL1781" s="122"/>
      <c r="AM1781" s="122"/>
      <c r="AN1781" s="122"/>
      <c r="AO1781" s="122"/>
      <c r="AP1781" s="122"/>
    </row>
    <row r="1782" spans="2:42">
      <c r="B1782" s="122"/>
      <c r="C1782" s="122"/>
      <c r="D1782" s="122"/>
      <c r="E1782" s="122"/>
      <c r="F1782" s="122"/>
      <c r="G1782" s="122"/>
      <c r="H1782" s="122"/>
      <c r="I1782" s="275"/>
      <c r="J1782" s="130"/>
      <c r="K1782" s="130"/>
      <c r="L1782" s="130"/>
      <c r="M1782" s="130"/>
      <c r="N1782" s="291"/>
      <c r="O1782" s="291"/>
      <c r="P1782" s="122"/>
      <c r="Q1782" s="122"/>
      <c r="R1782" s="122"/>
      <c r="S1782" s="122"/>
      <c r="T1782" s="122"/>
      <c r="U1782" s="301"/>
      <c r="V1782" s="260">
        <f t="shared" ca="1" si="35"/>
        <v>0</v>
      </c>
      <c r="W1782" s="348" t="str">
        <f>IF(板块成分!B1784="","",板块成分!B1784)</f>
        <v>300313.SZ</v>
      </c>
      <c r="X1782" s="276" t="str">
        <f>[1]!S_Info_Name(W1782)</f>
        <v>*ST天山</v>
      </c>
      <c r="Y1782" s="276" t="str">
        <f ca="1">IF($Y$3="申万一级行业",[1]!s_info_industry_sw_2021(W1782,公司分析!D$5,1),IF($Y$3="申万二级行业",[1]!s_info_industry_sw_2021(W1782,公司分析!D$5,2),IF($Y$3="申万三级行业",[1]!s_info_industry_sw_2021(W1782,公司分析!D$5,3),IF($Y$3="wind一级行业",[1]!s_info_industry_gics(W1782,1),IF($Y$3="wind二级行业",[1]!s_info_industry_gics(W1782,2),IF($Y$3="wind三级行业",[1]!s_info_industry_gics(W1782,3),IF($Y$3="wind四级行业",[1]!s_info_industry_gics(W1782,4),IF($Y$3="证监会门类行业",[1]!s_info_industry_csrc12_n(W1782,公司分析!D$5,1),""))))))))</f>
        <v>养殖业</v>
      </c>
      <c r="Z1782" s="302" t="str">
        <f ca="1">IF(Y1782=行业比较!$E$6,ROW(),"")</f>
        <v/>
      </c>
      <c r="AA1782" s="122"/>
      <c r="AB1782" s="122"/>
      <c r="AC1782" s="122"/>
      <c r="AD1782" s="122"/>
      <c r="AE1782" s="122"/>
      <c r="AF1782" s="122"/>
      <c r="AG1782" s="122"/>
      <c r="AH1782" s="122"/>
      <c r="AI1782" s="122"/>
      <c r="AJ1782" s="122"/>
      <c r="AK1782" s="122"/>
      <c r="AL1782" s="122"/>
      <c r="AM1782" s="122"/>
      <c r="AN1782" s="122"/>
      <c r="AO1782" s="122"/>
      <c r="AP1782" s="122"/>
    </row>
    <row r="1783" spans="2:42">
      <c r="B1783" s="122"/>
      <c r="C1783" s="122"/>
      <c r="D1783" s="122"/>
      <c r="E1783" s="122"/>
      <c r="F1783" s="122"/>
      <c r="G1783" s="122"/>
      <c r="H1783" s="122"/>
      <c r="I1783" s="275"/>
      <c r="J1783" s="130"/>
      <c r="K1783" s="130"/>
      <c r="L1783" s="130"/>
      <c r="M1783" s="130"/>
      <c r="N1783" s="291"/>
      <c r="O1783" s="291"/>
      <c r="P1783" s="122"/>
      <c r="Q1783" s="122"/>
      <c r="R1783" s="122"/>
      <c r="S1783" s="122"/>
      <c r="T1783" s="122"/>
      <c r="U1783" s="301"/>
      <c r="V1783" s="260">
        <f t="shared" ca="1" si="35"/>
        <v>0</v>
      </c>
      <c r="W1783" s="348" t="str">
        <f>IF(板块成分!B1785="","",板块成分!B1785)</f>
        <v>300314.SZ</v>
      </c>
      <c r="X1783" s="276" t="str">
        <f>[1]!S_Info_Name(W1783)</f>
        <v>戴维医疗</v>
      </c>
      <c r="Y1783" s="276" t="str">
        <f ca="1">IF($Y$3="申万一级行业",[1]!s_info_industry_sw_2021(W1783,公司分析!D$5,1),IF($Y$3="申万二级行业",[1]!s_info_industry_sw_2021(W1783,公司分析!D$5,2),IF($Y$3="申万三级行业",[1]!s_info_industry_sw_2021(W1783,公司分析!D$5,3),IF($Y$3="wind一级行业",[1]!s_info_industry_gics(W1783,1),IF($Y$3="wind二级行业",[1]!s_info_industry_gics(W1783,2),IF($Y$3="wind三级行业",[1]!s_info_industry_gics(W1783,3),IF($Y$3="wind四级行业",[1]!s_info_industry_gics(W1783,4),IF($Y$3="证监会门类行业",[1]!s_info_industry_csrc12_n(W1783,公司分析!D$5,1),""))))))))</f>
        <v>医疗器械</v>
      </c>
      <c r="Z1783" s="302" t="str">
        <f ca="1">IF(Y1783=行业比较!$E$6,ROW(),"")</f>
        <v/>
      </c>
      <c r="AA1783" s="122"/>
      <c r="AB1783" s="122"/>
      <c r="AC1783" s="122"/>
      <c r="AD1783" s="122"/>
      <c r="AE1783" s="122"/>
      <c r="AF1783" s="122"/>
      <c r="AG1783" s="122"/>
      <c r="AH1783" s="122"/>
      <c r="AI1783" s="122"/>
      <c r="AJ1783" s="122"/>
      <c r="AK1783" s="122"/>
      <c r="AL1783" s="122"/>
      <c r="AM1783" s="122"/>
      <c r="AN1783" s="122"/>
      <c r="AO1783" s="122"/>
      <c r="AP1783" s="122"/>
    </row>
    <row r="1784" spans="2:42">
      <c r="B1784" s="122"/>
      <c r="C1784" s="122"/>
      <c r="D1784" s="122"/>
      <c r="E1784" s="122"/>
      <c r="F1784" s="122"/>
      <c r="G1784" s="122"/>
      <c r="H1784" s="122"/>
      <c r="I1784" s="275"/>
      <c r="J1784" s="130"/>
      <c r="K1784" s="130"/>
      <c r="L1784" s="130"/>
      <c r="M1784" s="130"/>
      <c r="N1784" s="291"/>
      <c r="O1784" s="291"/>
      <c r="P1784" s="122"/>
      <c r="Q1784" s="122"/>
      <c r="R1784" s="122"/>
      <c r="S1784" s="122"/>
      <c r="T1784" s="122"/>
      <c r="U1784" s="301"/>
      <c r="V1784" s="260">
        <f t="shared" ca="1" si="35"/>
        <v>0</v>
      </c>
      <c r="W1784" s="348" t="str">
        <f>IF(板块成分!B1786="","",板块成分!B1786)</f>
        <v>300315.SZ</v>
      </c>
      <c r="X1784" s="276" t="str">
        <f>[1]!S_Info_Name(W1784)</f>
        <v>掌趣科技</v>
      </c>
      <c r="Y1784" s="276" t="str">
        <f ca="1">IF($Y$3="申万一级行业",[1]!s_info_industry_sw_2021(W1784,公司分析!D$5,1),IF($Y$3="申万二级行业",[1]!s_info_industry_sw_2021(W1784,公司分析!D$5,2),IF($Y$3="申万三级行业",[1]!s_info_industry_sw_2021(W1784,公司分析!D$5,3),IF($Y$3="wind一级行业",[1]!s_info_industry_gics(W1784,1),IF($Y$3="wind二级行业",[1]!s_info_industry_gics(W1784,2),IF($Y$3="wind三级行业",[1]!s_info_industry_gics(W1784,3),IF($Y$3="wind四级行业",[1]!s_info_industry_gics(W1784,4),IF($Y$3="证监会门类行业",[1]!s_info_industry_csrc12_n(W1784,公司分析!D$5,1),""))))))))</f>
        <v>游戏Ⅱ</v>
      </c>
      <c r="Z1784" s="302" t="str">
        <f ca="1">IF(Y1784=行业比较!$E$6,ROW(),"")</f>
        <v/>
      </c>
      <c r="AA1784" s="122"/>
      <c r="AB1784" s="122"/>
      <c r="AC1784" s="122"/>
      <c r="AD1784" s="122"/>
      <c r="AE1784" s="122"/>
      <c r="AF1784" s="122"/>
      <c r="AG1784" s="122"/>
      <c r="AH1784" s="122"/>
      <c r="AI1784" s="122"/>
      <c r="AJ1784" s="122"/>
      <c r="AK1784" s="122"/>
      <c r="AL1784" s="122"/>
      <c r="AM1784" s="122"/>
      <c r="AN1784" s="122"/>
      <c r="AO1784" s="122"/>
      <c r="AP1784" s="122"/>
    </row>
    <row r="1785" spans="2:42">
      <c r="B1785" s="122"/>
      <c r="C1785" s="122"/>
      <c r="D1785" s="122"/>
      <c r="E1785" s="122"/>
      <c r="F1785" s="122"/>
      <c r="G1785" s="122"/>
      <c r="H1785" s="122"/>
      <c r="I1785" s="275"/>
      <c r="J1785" s="130"/>
      <c r="K1785" s="130"/>
      <c r="L1785" s="130"/>
      <c r="M1785" s="130"/>
      <c r="N1785" s="291"/>
      <c r="O1785" s="291"/>
      <c r="P1785" s="122"/>
      <c r="Q1785" s="122"/>
      <c r="R1785" s="122"/>
      <c r="S1785" s="122"/>
      <c r="T1785" s="122"/>
      <c r="U1785" s="301"/>
      <c r="V1785" s="260">
        <f t="shared" ca="1" si="35"/>
        <v>0</v>
      </c>
      <c r="W1785" s="348" t="str">
        <f>IF(板块成分!B1787="","",板块成分!B1787)</f>
        <v>300316.SZ</v>
      </c>
      <c r="X1785" s="276" t="str">
        <f>[1]!S_Info_Name(W1785)</f>
        <v>晶盛机电</v>
      </c>
      <c r="Y1785" s="276" t="str">
        <f ca="1">IF($Y$3="申万一级行业",[1]!s_info_industry_sw_2021(W1785,公司分析!D$5,1),IF($Y$3="申万二级行业",[1]!s_info_industry_sw_2021(W1785,公司分析!D$5,2),IF($Y$3="申万三级行业",[1]!s_info_industry_sw_2021(W1785,公司分析!D$5,3),IF($Y$3="wind一级行业",[1]!s_info_industry_gics(W1785,1),IF($Y$3="wind二级行业",[1]!s_info_industry_gics(W1785,2),IF($Y$3="wind三级行业",[1]!s_info_industry_gics(W1785,3),IF($Y$3="wind四级行业",[1]!s_info_industry_gics(W1785,4),IF($Y$3="证监会门类行业",[1]!s_info_industry_csrc12_n(W1785,公司分析!D$5,1),""))))))))</f>
        <v>光伏设备</v>
      </c>
      <c r="Z1785" s="302" t="str">
        <f ca="1">IF(Y1785=行业比较!$E$6,ROW(),"")</f>
        <v/>
      </c>
      <c r="AA1785" s="122"/>
      <c r="AB1785" s="122"/>
      <c r="AC1785" s="122"/>
      <c r="AD1785" s="122"/>
      <c r="AE1785" s="122"/>
      <c r="AF1785" s="122"/>
      <c r="AG1785" s="122"/>
      <c r="AH1785" s="122"/>
      <c r="AI1785" s="122"/>
      <c r="AJ1785" s="122"/>
      <c r="AK1785" s="122"/>
      <c r="AL1785" s="122"/>
      <c r="AM1785" s="122"/>
      <c r="AN1785" s="122"/>
      <c r="AO1785" s="122"/>
      <c r="AP1785" s="122"/>
    </row>
    <row r="1786" spans="2:42">
      <c r="B1786" s="122"/>
      <c r="C1786" s="122"/>
      <c r="D1786" s="122"/>
      <c r="E1786" s="122"/>
      <c r="F1786" s="122"/>
      <c r="G1786" s="122"/>
      <c r="H1786" s="122"/>
      <c r="I1786" s="275"/>
      <c r="J1786" s="130"/>
      <c r="K1786" s="130"/>
      <c r="L1786" s="130"/>
      <c r="M1786" s="130"/>
      <c r="N1786" s="291"/>
      <c r="O1786" s="291"/>
      <c r="P1786" s="122"/>
      <c r="Q1786" s="122"/>
      <c r="R1786" s="122"/>
      <c r="S1786" s="122"/>
      <c r="T1786" s="122"/>
      <c r="U1786" s="301"/>
      <c r="V1786" s="260">
        <f t="shared" ca="1" si="35"/>
        <v>0</v>
      </c>
      <c r="W1786" s="348" t="str">
        <f>IF(板块成分!B1788="","",板块成分!B1788)</f>
        <v>300317.SZ</v>
      </c>
      <c r="X1786" s="276" t="str">
        <f>[1]!S_Info_Name(W1786)</f>
        <v>珈伟新能</v>
      </c>
      <c r="Y1786" s="276" t="str">
        <f ca="1">IF($Y$3="申万一级行业",[1]!s_info_industry_sw_2021(W1786,公司分析!D$5,1),IF($Y$3="申万二级行业",[1]!s_info_industry_sw_2021(W1786,公司分析!D$5,2),IF($Y$3="申万三级行业",[1]!s_info_industry_sw_2021(W1786,公司分析!D$5,3),IF($Y$3="wind一级行业",[1]!s_info_industry_gics(W1786,1),IF($Y$3="wind二级行业",[1]!s_info_industry_gics(W1786,2),IF($Y$3="wind三级行业",[1]!s_info_industry_gics(W1786,3),IF($Y$3="wind四级行业",[1]!s_info_industry_gics(W1786,4),IF($Y$3="证监会门类行业",[1]!s_info_industry_csrc12_n(W1786,公司分析!D$5,1),""))))))))</f>
        <v>电力</v>
      </c>
      <c r="Z1786" s="302" t="str">
        <f ca="1">IF(Y1786=行业比较!$E$6,ROW(),"")</f>
        <v/>
      </c>
      <c r="AA1786" s="122"/>
      <c r="AB1786" s="122"/>
      <c r="AC1786" s="122"/>
      <c r="AD1786" s="122"/>
      <c r="AE1786" s="122"/>
      <c r="AF1786" s="122"/>
      <c r="AG1786" s="122"/>
      <c r="AH1786" s="122"/>
      <c r="AI1786" s="122"/>
      <c r="AJ1786" s="122"/>
      <c r="AK1786" s="122"/>
      <c r="AL1786" s="122"/>
      <c r="AM1786" s="122"/>
      <c r="AN1786" s="122"/>
      <c r="AO1786" s="122"/>
      <c r="AP1786" s="122"/>
    </row>
    <row r="1787" spans="2:42">
      <c r="B1787" s="122"/>
      <c r="C1787" s="122"/>
      <c r="D1787" s="122"/>
      <c r="E1787" s="122"/>
      <c r="F1787" s="122"/>
      <c r="G1787" s="122"/>
      <c r="H1787" s="122"/>
      <c r="I1787" s="275"/>
      <c r="J1787" s="130"/>
      <c r="K1787" s="130"/>
      <c r="L1787" s="130"/>
      <c r="M1787" s="130"/>
      <c r="N1787" s="291"/>
      <c r="O1787" s="291"/>
      <c r="P1787" s="122"/>
      <c r="Q1787" s="122"/>
      <c r="R1787" s="122"/>
      <c r="S1787" s="122"/>
      <c r="T1787" s="122"/>
      <c r="U1787" s="301"/>
      <c r="V1787" s="260">
        <f t="shared" ca="1" si="35"/>
        <v>0</v>
      </c>
      <c r="W1787" s="348" t="str">
        <f>IF(板块成分!B1789="","",板块成分!B1789)</f>
        <v>300318.SZ</v>
      </c>
      <c r="X1787" s="276" t="str">
        <f>[1]!S_Info_Name(W1787)</f>
        <v>博晖创新</v>
      </c>
      <c r="Y1787" s="276" t="str">
        <f ca="1">IF($Y$3="申万一级行业",[1]!s_info_industry_sw_2021(W1787,公司分析!D$5,1),IF($Y$3="申万二级行业",[1]!s_info_industry_sw_2021(W1787,公司分析!D$5,2),IF($Y$3="申万三级行业",[1]!s_info_industry_sw_2021(W1787,公司分析!D$5,3),IF($Y$3="wind一级行业",[1]!s_info_industry_gics(W1787,1),IF($Y$3="wind二级行业",[1]!s_info_industry_gics(W1787,2),IF($Y$3="wind三级行业",[1]!s_info_industry_gics(W1787,3),IF($Y$3="wind四级行业",[1]!s_info_industry_gics(W1787,4),IF($Y$3="证监会门类行业",[1]!s_info_industry_csrc12_n(W1787,公司分析!D$5,1),""))))))))</f>
        <v>生物制品</v>
      </c>
      <c r="Z1787" s="302" t="str">
        <f ca="1">IF(Y1787=行业比较!$E$6,ROW(),"")</f>
        <v/>
      </c>
      <c r="AA1787" s="122"/>
      <c r="AB1787" s="122"/>
      <c r="AC1787" s="122"/>
      <c r="AD1787" s="122"/>
      <c r="AE1787" s="122"/>
      <c r="AF1787" s="122"/>
      <c r="AG1787" s="122"/>
      <c r="AH1787" s="122"/>
      <c r="AI1787" s="122"/>
      <c r="AJ1787" s="122"/>
      <c r="AK1787" s="122"/>
      <c r="AL1787" s="122"/>
      <c r="AM1787" s="122"/>
      <c r="AN1787" s="122"/>
      <c r="AO1787" s="122"/>
      <c r="AP1787" s="122"/>
    </row>
    <row r="1788" spans="2:42">
      <c r="B1788" s="122"/>
      <c r="C1788" s="122"/>
      <c r="D1788" s="122"/>
      <c r="E1788" s="122"/>
      <c r="F1788" s="122"/>
      <c r="G1788" s="122"/>
      <c r="H1788" s="122"/>
      <c r="I1788" s="275"/>
      <c r="J1788" s="130"/>
      <c r="K1788" s="130"/>
      <c r="L1788" s="130"/>
      <c r="M1788" s="130"/>
      <c r="N1788" s="291"/>
      <c r="O1788" s="291"/>
      <c r="P1788" s="122"/>
      <c r="Q1788" s="122"/>
      <c r="R1788" s="122"/>
      <c r="S1788" s="122"/>
      <c r="T1788" s="122"/>
      <c r="U1788" s="301"/>
      <c r="V1788" s="260">
        <f t="shared" ca="1" si="35"/>
        <v>0</v>
      </c>
      <c r="W1788" s="348" t="str">
        <f>IF(板块成分!B1790="","",板块成分!B1790)</f>
        <v>300319.SZ</v>
      </c>
      <c r="X1788" s="276" t="str">
        <f>[1]!S_Info_Name(W1788)</f>
        <v>麦捷科技</v>
      </c>
      <c r="Y1788" s="276" t="str">
        <f ca="1">IF($Y$3="申万一级行业",[1]!s_info_industry_sw_2021(W1788,公司分析!D$5,1),IF($Y$3="申万二级行业",[1]!s_info_industry_sw_2021(W1788,公司分析!D$5,2),IF($Y$3="申万三级行业",[1]!s_info_industry_sw_2021(W1788,公司分析!D$5,3),IF($Y$3="wind一级行业",[1]!s_info_industry_gics(W1788,1),IF($Y$3="wind二级行业",[1]!s_info_industry_gics(W1788,2),IF($Y$3="wind三级行业",[1]!s_info_industry_gics(W1788,3),IF($Y$3="wind四级行业",[1]!s_info_industry_gics(W1788,4),IF($Y$3="证监会门类行业",[1]!s_info_industry_csrc12_n(W1788,公司分析!D$5,1),""))))))))</f>
        <v>元件</v>
      </c>
      <c r="Z1788" s="302" t="str">
        <f ca="1">IF(Y1788=行业比较!$E$6,ROW(),"")</f>
        <v/>
      </c>
      <c r="AA1788" s="122"/>
      <c r="AB1788" s="122"/>
      <c r="AC1788" s="122"/>
      <c r="AD1788" s="122"/>
      <c r="AE1788" s="122"/>
      <c r="AF1788" s="122"/>
      <c r="AG1788" s="122"/>
      <c r="AH1788" s="122"/>
      <c r="AI1788" s="122"/>
      <c r="AJ1788" s="122"/>
      <c r="AK1788" s="122"/>
      <c r="AL1788" s="122"/>
      <c r="AM1788" s="122"/>
      <c r="AN1788" s="122"/>
      <c r="AO1788" s="122"/>
      <c r="AP1788" s="122"/>
    </row>
    <row r="1789" spans="2:42">
      <c r="B1789" s="122"/>
      <c r="C1789" s="122"/>
      <c r="D1789" s="122"/>
      <c r="E1789" s="122"/>
      <c r="F1789" s="122"/>
      <c r="G1789" s="122"/>
      <c r="H1789" s="122"/>
      <c r="I1789" s="275"/>
      <c r="J1789" s="130"/>
      <c r="K1789" s="130"/>
      <c r="L1789" s="130"/>
      <c r="M1789" s="130"/>
      <c r="N1789" s="291"/>
      <c r="O1789" s="291"/>
      <c r="P1789" s="122"/>
      <c r="Q1789" s="122"/>
      <c r="R1789" s="122"/>
      <c r="S1789" s="122"/>
      <c r="T1789" s="122"/>
      <c r="U1789" s="301"/>
      <c r="V1789" s="260">
        <f t="shared" ca="1" si="35"/>
        <v>0</v>
      </c>
      <c r="W1789" s="348" t="str">
        <f>IF(板块成分!B1791="","",板块成分!B1791)</f>
        <v>300320.SZ</v>
      </c>
      <c r="X1789" s="276" t="str">
        <f>[1]!S_Info_Name(W1789)</f>
        <v>海达股份</v>
      </c>
      <c r="Y1789" s="276" t="str">
        <f ca="1">IF($Y$3="申万一级行业",[1]!s_info_industry_sw_2021(W1789,公司分析!D$5,1),IF($Y$3="申万二级行业",[1]!s_info_industry_sw_2021(W1789,公司分析!D$5,2),IF($Y$3="申万三级行业",[1]!s_info_industry_sw_2021(W1789,公司分析!D$5,3),IF($Y$3="wind一级行业",[1]!s_info_industry_gics(W1789,1),IF($Y$3="wind二级行业",[1]!s_info_industry_gics(W1789,2),IF($Y$3="wind三级行业",[1]!s_info_industry_gics(W1789,3),IF($Y$3="wind四级行业",[1]!s_info_industry_gics(W1789,4),IF($Y$3="证监会门类行业",[1]!s_info_industry_csrc12_n(W1789,公司分析!D$5,1),""))))))))</f>
        <v>橡胶</v>
      </c>
      <c r="Z1789" s="302" t="str">
        <f ca="1">IF(Y1789=行业比较!$E$6,ROW(),"")</f>
        <v/>
      </c>
      <c r="AA1789" s="122"/>
      <c r="AB1789" s="122"/>
      <c r="AC1789" s="122"/>
      <c r="AD1789" s="122"/>
      <c r="AE1789" s="122"/>
      <c r="AF1789" s="122"/>
      <c r="AG1789" s="122"/>
      <c r="AH1789" s="122"/>
      <c r="AI1789" s="122"/>
      <c r="AJ1789" s="122"/>
      <c r="AK1789" s="122"/>
      <c r="AL1789" s="122"/>
      <c r="AM1789" s="122"/>
      <c r="AN1789" s="122"/>
      <c r="AO1789" s="122"/>
      <c r="AP1789" s="122"/>
    </row>
    <row r="1790" spans="2:42">
      <c r="B1790" s="122"/>
      <c r="C1790" s="122"/>
      <c r="D1790" s="122"/>
      <c r="E1790" s="122"/>
      <c r="F1790" s="122"/>
      <c r="G1790" s="122"/>
      <c r="H1790" s="122"/>
      <c r="I1790" s="275"/>
      <c r="J1790" s="130"/>
      <c r="K1790" s="130"/>
      <c r="L1790" s="130"/>
      <c r="M1790" s="130"/>
      <c r="N1790" s="291"/>
      <c r="O1790" s="291"/>
      <c r="P1790" s="122"/>
      <c r="Q1790" s="122"/>
      <c r="R1790" s="122"/>
      <c r="S1790" s="122"/>
      <c r="T1790" s="122"/>
      <c r="U1790" s="301"/>
      <c r="V1790" s="260">
        <f t="shared" ca="1" si="35"/>
        <v>0</v>
      </c>
      <c r="W1790" s="348" t="str">
        <f>IF(板块成分!B1792="","",板块成分!B1792)</f>
        <v>300321.SZ</v>
      </c>
      <c r="X1790" s="276" t="str">
        <f>[1]!S_Info_Name(W1790)</f>
        <v>同大股份</v>
      </c>
      <c r="Y1790" s="276" t="str">
        <f ca="1">IF($Y$3="申万一级行业",[1]!s_info_industry_sw_2021(W1790,公司分析!D$5,1),IF($Y$3="申万二级行业",[1]!s_info_industry_sw_2021(W1790,公司分析!D$5,2),IF($Y$3="申万三级行业",[1]!s_info_industry_sw_2021(W1790,公司分析!D$5,3),IF($Y$3="wind一级行业",[1]!s_info_industry_gics(W1790,1),IF($Y$3="wind二级行业",[1]!s_info_industry_gics(W1790,2),IF($Y$3="wind三级行业",[1]!s_info_industry_gics(W1790,3),IF($Y$3="wind四级行业",[1]!s_info_industry_gics(W1790,4),IF($Y$3="证监会门类行业",[1]!s_info_industry_csrc12_n(W1790,公司分析!D$5,1),""))))))))</f>
        <v>化学制品</v>
      </c>
      <c r="Z1790" s="302" t="str">
        <f ca="1">IF(Y1790=行业比较!$E$6,ROW(),"")</f>
        <v/>
      </c>
      <c r="AA1790" s="122"/>
      <c r="AB1790" s="122"/>
      <c r="AC1790" s="122"/>
      <c r="AD1790" s="122"/>
      <c r="AE1790" s="122"/>
      <c r="AF1790" s="122"/>
      <c r="AG1790" s="122"/>
      <c r="AH1790" s="122"/>
      <c r="AI1790" s="122"/>
      <c r="AJ1790" s="122"/>
      <c r="AK1790" s="122"/>
      <c r="AL1790" s="122"/>
      <c r="AM1790" s="122"/>
      <c r="AN1790" s="122"/>
      <c r="AO1790" s="122"/>
      <c r="AP1790" s="122"/>
    </row>
    <row r="1791" spans="2:42">
      <c r="B1791" s="122"/>
      <c r="C1791" s="122"/>
      <c r="D1791" s="122"/>
      <c r="E1791" s="122"/>
      <c r="F1791" s="122"/>
      <c r="G1791" s="122"/>
      <c r="H1791" s="122"/>
      <c r="I1791" s="275"/>
      <c r="J1791" s="130"/>
      <c r="K1791" s="130"/>
      <c r="L1791" s="130"/>
      <c r="M1791" s="130"/>
      <c r="N1791" s="291"/>
      <c r="O1791" s="291"/>
      <c r="P1791" s="122"/>
      <c r="Q1791" s="122"/>
      <c r="R1791" s="122"/>
      <c r="S1791" s="122"/>
      <c r="T1791" s="122"/>
      <c r="U1791" s="301"/>
      <c r="V1791" s="260">
        <f t="shared" ca="1" si="35"/>
        <v>0</v>
      </c>
      <c r="W1791" s="348" t="str">
        <f>IF(板块成分!B1793="","",板块成分!B1793)</f>
        <v>300322.SZ</v>
      </c>
      <c r="X1791" s="276" t="str">
        <f>[1]!S_Info_Name(W1791)</f>
        <v>硕贝德</v>
      </c>
      <c r="Y1791" s="276" t="str">
        <f ca="1">IF($Y$3="申万一级行业",[1]!s_info_industry_sw_2021(W1791,公司分析!D$5,1),IF($Y$3="申万二级行业",[1]!s_info_industry_sw_2021(W1791,公司分析!D$5,2),IF($Y$3="申万三级行业",[1]!s_info_industry_sw_2021(W1791,公司分析!D$5,3),IF($Y$3="wind一级行业",[1]!s_info_industry_gics(W1791,1),IF($Y$3="wind二级行业",[1]!s_info_industry_gics(W1791,2),IF($Y$3="wind三级行业",[1]!s_info_industry_gics(W1791,3),IF($Y$3="wind四级行业",[1]!s_info_industry_gics(W1791,4),IF($Y$3="证监会门类行业",[1]!s_info_industry_csrc12_n(W1791,公司分析!D$5,1),""))))))))</f>
        <v>消费电子</v>
      </c>
      <c r="Z1791" s="302" t="str">
        <f ca="1">IF(Y1791=行业比较!$E$6,ROW(),"")</f>
        <v/>
      </c>
      <c r="AA1791" s="122"/>
      <c r="AB1791" s="122"/>
      <c r="AC1791" s="122"/>
      <c r="AD1791" s="122"/>
      <c r="AE1791" s="122"/>
      <c r="AF1791" s="122"/>
      <c r="AG1791" s="122"/>
      <c r="AH1791" s="122"/>
      <c r="AI1791" s="122"/>
      <c r="AJ1791" s="122"/>
      <c r="AK1791" s="122"/>
      <c r="AL1791" s="122"/>
      <c r="AM1791" s="122"/>
      <c r="AN1791" s="122"/>
      <c r="AO1791" s="122"/>
      <c r="AP1791" s="122"/>
    </row>
    <row r="1792" spans="2:42">
      <c r="B1792" s="122"/>
      <c r="C1792" s="122"/>
      <c r="D1792" s="122"/>
      <c r="E1792" s="122"/>
      <c r="F1792" s="122"/>
      <c r="G1792" s="122"/>
      <c r="H1792" s="122"/>
      <c r="I1792" s="275"/>
      <c r="J1792" s="130"/>
      <c r="K1792" s="130"/>
      <c r="L1792" s="130"/>
      <c r="M1792" s="130"/>
      <c r="N1792" s="291"/>
      <c r="O1792" s="291"/>
      <c r="P1792" s="122"/>
      <c r="Q1792" s="122"/>
      <c r="R1792" s="122"/>
      <c r="S1792" s="122"/>
      <c r="T1792" s="122"/>
      <c r="U1792" s="301"/>
      <c r="V1792" s="260">
        <f t="shared" ca="1" si="35"/>
        <v>0</v>
      </c>
      <c r="W1792" s="348" t="str">
        <f>IF(板块成分!B1794="","",板块成分!B1794)</f>
        <v>300323.SZ</v>
      </c>
      <c r="X1792" s="276" t="str">
        <f>[1]!S_Info_Name(W1792)</f>
        <v>华灿光电</v>
      </c>
      <c r="Y1792" s="276" t="str">
        <f ca="1">IF($Y$3="申万一级行业",[1]!s_info_industry_sw_2021(W1792,公司分析!D$5,1),IF($Y$3="申万二级行业",[1]!s_info_industry_sw_2021(W1792,公司分析!D$5,2),IF($Y$3="申万三级行业",[1]!s_info_industry_sw_2021(W1792,公司分析!D$5,3),IF($Y$3="wind一级行业",[1]!s_info_industry_gics(W1792,1),IF($Y$3="wind二级行业",[1]!s_info_industry_gics(W1792,2),IF($Y$3="wind三级行业",[1]!s_info_industry_gics(W1792,3),IF($Y$3="wind四级行业",[1]!s_info_industry_gics(W1792,4),IF($Y$3="证监会门类行业",[1]!s_info_industry_csrc12_n(W1792,公司分析!D$5,1),""))))))))</f>
        <v>光学光电子</v>
      </c>
      <c r="Z1792" s="302" t="str">
        <f ca="1">IF(Y1792=行业比较!$E$6,ROW(),"")</f>
        <v/>
      </c>
      <c r="AA1792" s="122"/>
      <c r="AB1792" s="122"/>
      <c r="AC1792" s="122"/>
      <c r="AD1792" s="122"/>
      <c r="AE1792" s="122"/>
      <c r="AF1792" s="122"/>
      <c r="AG1792" s="122"/>
      <c r="AH1792" s="122"/>
      <c r="AI1792" s="122"/>
      <c r="AJ1792" s="122"/>
      <c r="AK1792" s="122"/>
      <c r="AL1792" s="122"/>
      <c r="AM1792" s="122"/>
      <c r="AN1792" s="122"/>
      <c r="AO1792" s="122"/>
      <c r="AP1792" s="122"/>
    </row>
    <row r="1793" spans="2:42">
      <c r="B1793" s="122"/>
      <c r="C1793" s="122"/>
      <c r="D1793" s="122"/>
      <c r="E1793" s="122"/>
      <c r="F1793" s="122"/>
      <c r="G1793" s="122"/>
      <c r="H1793" s="122"/>
      <c r="I1793" s="275"/>
      <c r="J1793" s="130"/>
      <c r="K1793" s="130"/>
      <c r="L1793" s="130"/>
      <c r="M1793" s="130"/>
      <c r="N1793" s="291"/>
      <c r="O1793" s="291"/>
      <c r="P1793" s="122"/>
      <c r="Q1793" s="122"/>
      <c r="R1793" s="122"/>
      <c r="S1793" s="122"/>
      <c r="T1793" s="122"/>
      <c r="U1793" s="301"/>
      <c r="V1793" s="260">
        <f t="shared" ca="1" si="35"/>
        <v>0</v>
      </c>
      <c r="W1793" s="348" t="str">
        <f>IF(板块成分!B1795="","",板块成分!B1795)</f>
        <v>300324.SZ</v>
      </c>
      <c r="X1793" s="276" t="str">
        <f>[1]!S_Info_Name(W1793)</f>
        <v>旋极信息</v>
      </c>
      <c r="Y1793" s="276" t="str">
        <f ca="1">IF($Y$3="申万一级行业",[1]!s_info_industry_sw_2021(W1793,公司分析!D$5,1),IF($Y$3="申万二级行业",[1]!s_info_industry_sw_2021(W1793,公司分析!D$5,2),IF($Y$3="申万三级行业",[1]!s_info_industry_sw_2021(W1793,公司分析!D$5,3),IF($Y$3="wind一级行业",[1]!s_info_industry_gics(W1793,1),IF($Y$3="wind二级行业",[1]!s_info_industry_gics(W1793,2),IF($Y$3="wind三级行业",[1]!s_info_industry_gics(W1793,3),IF($Y$3="wind四级行业",[1]!s_info_industry_gics(W1793,4),IF($Y$3="证监会门类行业",[1]!s_info_industry_csrc12_n(W1793,公司分析!D$5,1),""))))))))</f>
        <v>计算机设备</v>
      </c>
      <c r="Z1793" s="302" t="str">
        <f ca="1">IF(Y1793=行业比较!$E$6,ROW(),"")</f>
        <v/>
      </c>
      <c r="AA1793" s="122"/>
      <c r="AB1793" s="122"/>
      <c r="AC1793" s="122"/>
      <c r="AD1793" s="122"/>
      <c r="AE1793" s="122"/>
      <c r="AF1793" s="122"/>
      <c r="AG1793" s="122"/>
      <c r="AH1793" s="122"/>
      <c r="AI1793" s="122"/>
      <c r="AJ1793" s="122"/>
      <c r="AK1793" s="122"/>
      <c r="AL1793" s="122"/>
      <c r="AM1793" s="122"/>
      <c r="AN1793" s="122"/>
      <c r="AO1793" s="122"/>
      <c r="AP1793" s="122"/>
    </row>
    <row r="1794" spans="2:42">
      <c r="B1794" s="122"/>
      <c r="C1794" s="122"/>
      <c r="D1794" s="122"/>
      <c r="E1794" s="122"/>
      <c r="F1794" s="122"/>
      <c r="G1794" s="122"/>
      <c r="H1794" s="122"/>
      <c r="I1794" s="275"/>
      <c r="J1794" s="130"/>
      <c r="K1794" s="130"/>
      <c r="L1794" s="130"/>
      <c r="M1794" s="130"/>
      <c r="N1794" s="291"/>
      <c r="O1794" s="291"/>
      <c r="P1794" s="122"/>
      <c r="Q1794" s="122"/>
      <c r="R1794" s="122"/>
      <c r="S1794" s="122"/>
      <c r="T1794" s="122"/>
      <c r="U1794" s="301"/>
      <c r="V1794" s="260">
        <f t="shared" ca="1" si="35"/>
        <v>0</v>
      </c>
      <c r="W1794" s="348" t="str">
        <f>IF(板块成分!B1796="","",板块成分!B1796)</f>
        <v>300326.SZ</v>
      </c>
      <c r="X1794" s="276" t="str">
        <f>[1]!S_Info_Name(W1794)</f>
        <v>ST凯利</v>
      </c>
      <c r="Y1794" s="276" t="str">
        <f ca="1">IF($Y$3="申万一级行业",[1]!s_info_industry_sw_2021(W1794,公司分析!D$5,1),IF($Y$3="申万二级行业",[1]!s_info_industry_sw_2021(W1794,公司分析!D$5,2),IF($Y$3="申万三级行业",[1]!s_info_industry_sw_2021(W1794,公司分析!D$5,3),IF($Y$3="wind一级行业",[1]!s_info_industry_gics(W1794,1),IF($Y$3="wind二级行业",[1]!s_info_industry_gics(W1794,2),IF($Y$3="wind三级行业",[1]!s_info_industry_gics(W1794,3),IF($Y$3="wind四级行业",[1]!s_info_industry_gics(W1794,4),IF($Y$3="证监会门类行业",[1]!s_info_industry_csrc12_n(W1794,公司分析!D$5,1),""))))))))</f>
        <v>医疗器械</v>
      </c>
      <c r="Z1794" s="302" t="str">
        <f ca="1">IF(Y1794=行业比较!$E$6,ROW(),"")</f>
        <v/>
      </c>
      <c r="AA1794" s="122"/>
      <c r="AB1794" s="122"/>
      <c r="AC1794" s="122"/>
      <c r="AD1794" s="122"/>
      <c r="AE1794" s="122"/>
      <c r="AF1794" s="122"/>
      <c r="AG1794" s="122"/>
      <c r="AH1794" s="122"/>
      <c r="AI1794" s="122"/>
      <c r="AJ1794" s="122"/>
      <c r="AK1794" s="122"/>
      <c r="AL1794" s="122"/>
      <c r="AM1794" s="122"/>
      <c r="AN1794" s="122"/>
      <c r="AO1794" s="122"/>
      <c r="AP1794" s="122"/>
    </row>
    <row r="1795" spans="2:42">
      <c r="B1795" s="122"/>
      <c r="C1795" s="122"/>
      <c r="D1795" s="122"/>
      <c r="E1795" s="122"/>
      <c r="F1795" s="122"/>
      <c r="G1795" s="122"/>
      <c r="H1795" s="122"/>
      <c r="I1795" s="275"/>
      <c r="J1795" s="130"/>
      <c r="K1795" s="130"/>
      <c r="L1795" s="130"/>
      <c r="M1795" s="130"/>
      <c r="N1795" s="291"/>
      <c r="O1795" s="291"/>
      <c r="P1795" s="122"/>
      <c r="Q1795" s="122"/>
      <c r="R1795" s="122"/>
      <c r="S1795" s="122"/>
      <c r="T1795" s="122"/>
      <c r="U1795" s="301"/>
      <c r="V1795" s="260">
        <f t="shared" ca="1" si="35"/>
        <v>0</v>
      </c>
      <c r="W1795" s="348" t="str">
        <f>IF(板块成分!B1797="","",板块成分!B1797)</f>
        <v>300327.SZ</v>
      </c>
      <c r="X1795" s="276" t="str">
        <f>[1]!S_Info_Name(W1795)</f>
        <v>中颖电子</v>
      </c>
      <c r="Y1795" s="276" t="str">
        <f ca="1">IF($Y$3="申万一级行业",[1]!s_info_industry_sw_2021(W1795,公司分析!D$5,1),IF($Y$3="申万二级行业",[1]!s_info_industry_sw_2021(W1795,公司分析!D$5,2),IF($Y$3="申万三级行业",[1]!s_info_industry_sw_2021(W1795,公司分析!D$5,3),IF($Y$3="wind一级行业",[1]!s_info_industry_gics(W1795,1),IF($Y$3="wind二级行业",[1]!s_info_industry_gics(W1795,2),IF($Y$3="wind三级行业",[1]!s_info_industry_gics(W1795,3),IF($Y$3="wind四级行业",[1]!s_info_industry_gics(W1795,4),IF($Y$3="证监会门类行业",[1]!s_info_industry_csrc12_n(W1795,公司分析!D$5,1),""))))))))</f>
        <v>半导体</v>
      </c>
      <c r="Z1795" s="302" t="str">
        <f ca="1">IF(Y1795=行业比较!$E$6,ROW(),"")</f>
        <v/>
      </c>
      <c r="AA1795" s="122"/>
      <c r="AB1795" s="122"/>
      <c r="AC1795" s="122"/>
      <c r="AD1795" s="122"/>
      <c r="AE1795" s="122"/>
      <c r="AF1795" s="122"/>
      <c r="AG1795" s="122"/>
      <c r="AH1795" s="122"/>
      <c r="AI1795" s="122"/>
      <c r="AJ1795" s="122"/>
      <c r="AK1795" s="122"/>
      <c r="AL1795" s="122"/>
      <c r="AM1795" s="122"/>
      <c r="AN1795" s="122"/>
      <c r="AO1795" s="122"/>
      <c r="AP1795" s="122"/>
    </row>
    <row r="1796" spans="2:42">
      <c r="B1796" s="122"/>
      <c r="C1796" s="122"/>
      <c r="D1796" s="122"/>
      <c r="E1796" s="122"/>
      <c r="F1796" s="122"/>
      <c r="G1796" s="122"/>
      <c r="H1796" s="122"/>
      <c r="I1796" s="275"/>
      <c r="J1796" s="130"/>
      <c r="K1796" s="130"/>
      <c r="L1796" s="130"/>
      <c r="M1796" s="130"/>
      <c r="N1796" s="291"/>
      <c r="O1796" s="291"/>
      <c r="P1796" s="122"/>
      <c r="Q1796" s="122"/>
      <c r="R1796" s="122"/>
      <c r="S1796" s="122"/>
      <c r="T1796" s="122"/>
      <c r="U1796" s="301"/>
      <c r="V1796" s="260">
        <f t="shared" ca="1" si="35"/>
        <v>28</v>
      </c>
      <c r="W1796" s="348" t="str">
        <f>IF(板块成分!B1798="","",板块成分!B1798)</f>
        <v>300328.SZ</v>
      </c>
      <c r="X1796" s="276" t="str">
        <f>[1]!S_Info_Name(W1796)</f>
        <v>宜安科技</v>
      </c>
      <c r="Y1796" s="276" t="str">
        <f ca="1">IF($Y$3="申万一级行业",[1]!s_info_industry_sw_2021(W1796,公司分析!D$5,1),IF($Y$3="申万二级行业",[1]!s_info_industry_sw_2021(W1796,公司分析!D$5,2),IF($Y$3="申万三级行业",[1]!s_info_industry_sw_2021(W1796,公司分析!D$5,3),IF($Y$3="wind一级行业",[1]!s_info_industry_gics(W1796,1),IF($Y$3="wind二级行业",[1]!s_info_industry_gics(W1796,2),IF($Y$3="wind三级行业",[1]!s_info_industry_gics(W1796,3),IF($Y$3="wind四级行业",[1]!s_info_industry_gics(W1796,4),IF($Y$3="证监会门类行业",[1]!s_info_industry_csrc12_n(W1796,公司分析!D$5,1),""))))))))</f>
        <v>工业金属</v>
      </c>
      <c r="Z1796" s="302">
        <f ca="1">IF(Y1796=行业比较!$E$6,ROW(),"")</f>
        <v>1796</v>
      </c>
      <c r="AA1796" s="122"/>
      <c r="AB1796" s="122"/>
      <c r="AC1796" s="122"/>
      <c r="AD1796" s="122"/>
      <c r="AE1796" s="122"/>
      <c r="AF1796" s="122"/>
      <c r="AG1796" s="122"/>
      <c r="AH1796" s="122"/>
      <c r="AI1796" s="122"/>
      <c r="AJ1796" s="122"/>
      <c r="AK1796" s="122"/>
      <c r="AL1796" s="122"/>
      <c r="AM1796" s="122"/>
      <c r="AN1796" s="122"/>
      <c r="AO1796" s="122"/>
      <c r="AP1796" s="122"/>
    </row>
    <row r="1797" spans="2:42">
      <c r="B1797" s="122"/>
      <c r="C1797" s="122"/>
      <c r="D1797" s="122"/>
      <c r="E1797" s="122"/>
      <c r="F1797" s="122"/>
      <c r="G1797" s="122"/>
      <c r="H1797" s="122"/>
      <c r="I1797" s="275"/>
      <c r="J1797" s="130"/>
      <c r="K1797" s="130"/>
      <c r="L1797" s="130"/>
      <c r="M1797" s="130"/>
      <c r="N1797" s="291"/>
      <c r="O1797" s="291"/>
      <c r="P1797" s="122"/>
      <c r="Q1797" s="122"/>
      <c r="R1797" s="122"/>
      <c r="S1797" s="122"/>
      <c r="T1797" s="122"/>
      <c r="U1797" s="301"/>
      <c r="V1797" s="260">
        <f t="shared" ref="V1797:V1860" ca="1" si="36">IF(Z1797="",0,RANK(Z1797,Z:Z,1))</f>
        <v>0</v>
      </c>
      <c r="W1797" s="348" t="str">
        <f>IF(板块成分!B1799="","",板块成分!B1799)</f>
        <v>300329.SZ</v>
      </c>
      <c r="X1797" s="276" t="str">
        <f>[1]!S_Info_Name(W1797)</f>
        <v>海伦钢琴</v>
      </c>
      <c r="Y1797" s="276" t="str">
        <f ca="1">IF($Y$3="申万一级行业",[1]!s_info_industry_sw_2021(W1797,公司分析!D$5,1),IF($Y$3="申万二级行业",[1]!s_info_industry_sw_2021(W1797,公司分析!D$5,2),IF($Y$3="申万三级行业",[1]!s_info_industry_sw_2021(W1797,公司分析!D$5,3),IF($Y$3="wind一级行业",[1]!s_info_industry_gics(W1797,1),IF($Y$3="wind二级行业",[1]!s_info_industry_gics(W1797,2),IF($Y$3="wind三级行业",[1]!s_info_industry_gics(W1797,3),IF($Y$3="wind四级行业",[1]!s_info_industry_gics(W1797,4),IF($Y$3="证监会门类行业",[1]!s_info_industry_csrc12_n(W1797,公司分析!D$5,1),""))))))))</f>
        <v>文娱用品</v>
      </c>
      <c r="Z1797" s="302" t="str">
        <f ca="1">IF(Y1797=行业比较!$E$6,ROW(),"")</f>
        <v/>
      </c>
      <c r="AA1797" s="122"/>
      <c r="AB1797" s="122"/>
      <c r="AC1797" s="122"/>
      <c r="AD1797" s="122"/>
      <c r="AE1797" s="122"/>
      <c r="AF1797" s="122"/>
      <c r="AG1797" s="122"/>
      <c r="AH1797" s="122"/>
      <c r="AI1797" s="122"/>
      <c r="AJ1797" s="122"/>
      <c r="AK1797" s="122"/>
      <c r="AL1797" s="122"/>
      <c r="AM1797" s="122"/>
      <c r="AN1797" s="122"/>
      <c r="AO1797" s="122"/>
      <c r="AP1797" s="122"/>
    </row>
    <row r="1798" spans="2:42">
      <c r="B1798" s="122"/>
      <c r="C1798" s="122"/>
      <c r="D1798" s="122"/>
      <c r="E1798" s="122"/>
      <c r="F1798" s="122"/>
      <c r="G1798" s="122"/>
      <c r="H1798" s="122"/>
      <c r="I1798" s="275"/>
      <c r="J1798" s="130"/>
      <c r="K1798" s="130"/>
      <c r="L1798" s="130"/>
      <c r="M1798" s="130"/>
      <c r="N1798" s="291"/>
      <c r="O1798" s="291"/>
      <c r="P1798" s="122"/>
      <c r="Q1798" s="122"/>
      <c r="R1798" s="122"/>
      <c r="S1798" s="122"/>
      <c r="T1798" s="122"/>
      <c r="U1798" s="301"/>
      <c r="V1798" s="260">
        <f t="shared" ca="1" si="36"/>
        <v>0</v>
      </c>
      <c r="W1798" s="348" t="str">
        <f>IF(板块成分!B1800="","",板块成分!B1800)</f>
        <v>300331.SZ</v>
      </c>
      <c r="X1798" s="276" t="str">
        <f>[1]!S_Info_Name(W1798)</f>
        <v>苏大维格</v>
      </c>
      <c r="Y1798" s="276" t="str">
        <f ca="1">IF($Y$3="申万一级行业",[1]!s_info_industry_sw_2021(W1798,公司分析!D$5,1),IF($Y$3="申万二级行业",[1]!s_info_industry_sw_2021(W1798,公司分析!D$5,2),IF($Y$3="申万三级行业",[1]!s_info_industry_sw_2021(W1798,公司分析!D$5,3),IF($Y$3="wind一级行业",[1]!s_info_industry_gics(W1798,1),IF($Y$3="wind二级行业",[1]!s_info_industry_gics(W1798,2),IF($Y$3="wind三级行业",[1]!s_info_industry_gics(W1798,3),IF($Y$3="wind四级行业",[1]!s_info_industry_gics(W1798,4),IF($Y$3="证监会门类行业",[1]!s_info_industry_csrc12_n(W1798,公司分析!D$5,1),""))))))))</f>
        <v>光学光电子</v>
      </c>
      <c r="Z1798" s="302" t="str">
        <f ca="1">IF(Y1798=行业比较!$E$6,ROW(),"")</f>
        <v/>
      </c>
      <c r="AA1798" s="122"/>
      <c r="AB1798" s="122"/>
      <c r="AC1798" s="122"/>
      <c r="AD1798" s="122"/>
      <c r="AE1798" s="122"/>
      <c r="AF1798" s="122"/>
      <c r="AG1798" s="122"/>
      <c r="AH1798" s="122"/>
      <c r="AI1798" s="122"/>
      <c r="AJ1798" s="122"/>
      <c r="AK1798" s="122"/>
      <c r="AL1798" s="122"/>
      <c r="AM1798" s="122"/>
      <c r="AN1798" s="122"/>
      <c r="AO1798" s="122"/>
      <c r="AP1798" s="122"/>
    </row>
    <row r="1799" spans="2:42">
      <c r="B1799" s="122"/>
      <c r="C1799" s="122"/>
      <c r="D1799" s="122"/>
      <c r="E1799" s="122"/>
      <c r="F1799" s="122"/>
      <c r="G1799" s="122"/>
      <c r="H1799" s="122"/>
      <c r="I1799" s="275"/>
      <c r="J1799" s="130"/>
      <c r="K1799" s="130"/>
      <c r="L1799" s="130"/>
      <c r="M1799" s="130"/>
      <c r="N1799" s="291"/>
      <c r="O1799" s="291"/>
      <c r="P1799" s="122"/>
      <c r="Q1799" s="122"/>
      <c r="R1799" s="122"/>
      <c r="S1799" s="122"/>
      <c r="T1799" s="122"/>
      <c r="U1799" s="301"/>
      <c r="V1799" s="260">
        <f t="shared" ca="1" si="36"/>
        <v>0</v>
      </c>
      <c r="W1799" s="348" t="str">
        <f>IF(板块成分!B1801="","",板块成分!B1801)</f>
        <v>300332.SZ</v>
      </c>
      <c r="X1799" s="276" t="str">
        <f>[1]!S_Info_Name(W1799)</f>
        <v>天壕能源</v>
      </c>
      <c r="Y1799" s="276" t="str">
        <f ca="1">IF($Y$3="申万一级行业",[1]!s_info_industry_sw_2021(W1799,公司分析!D$5,1),IF($Y$3="申万二级行业",[1]!s_info_industry_sw_2021(W1799,公司分析!D$5,2),IF($Y$3="申万三级行业",[1]!s_info_industry_sw_2021(W1799,公司分析!D$5,3),IF($Y$3="wind一级行业",[1]!s_info_industry_gics(W1799,1),IF($Y$3="wind二级行业",[1]!s_info_industry_gics(W1799,2),IF($Y$3="wind三级行业",[1]!s_info_industry_gics(W1799,3),IF($Y$3="wind四级行业",[1]!s_info_industry_gics(W1799,4),IF($Y$3="证监会门类行业",[1]!s_info_industry_csrc12_n(W1799,公司分析!D$5,1),""))))))))</f>
        <v>燃气Ⅱ</v>
      </c>
      <c r="Z1799" s="302" t="str">
        <f ca="1">IF(Y1799=行业比较!$E$6,ROW(),"")</f>
        <v/>
      </c>
      <c r="AA1799" s="122"/>
      <c r="AB1799" s="122"/>
      <c r="AC1799" s="122"/>
      <c r="AD1799" s="122"/>
      <c r="AE1799" s="122"/>
      <c r="AF1799" s="122"/>
      <c r="AG1799" s="122"/>
      <c r="AH1799" s="122"/>
      <c r="AI1799" s="122"/>
      <c r="AJ1799" s="122"/>
      <c r="AK1799" s="122"/>
      <c r="AL1799" s="122"/>
      <c r="AM1799" s="122"/>
      <c r="AN1799" s="122"/>
      <c r="AO1799" s="122"/>
      <c r="AP1799" s="122"/>
    </row>
    <row r="1800" spans="2:42">
      <c r="B1800" s="122"/>
      <c r="C1800" s="122"/>
      <c r="D1800" s="122"/>
      <c r="E1800" s="122"/>
      <c r="F1800" s="122"/>
      <c r="G1800" s="122"/>
      <c r="H1800" s="122"/>
      <c r="I1800" s="275"/>
      <c r="J1800" s="130"/>
      <c r="K1800" s="130"/>
      <c r="L1800" s="130"/>
      <c r="M1800" s="130"/>
      <c r="N1800" s="291"/>
      <c r="O1800" s="291"/>
      <c r="P1800" s="122"/>
      <c r="Q1800" s="122"/>
      <c r="R1800" s="122"/>
      <c r="S1800" s="122"/>
      <c r="T1800" s="122"/>
      <c r="U1800" s="301"/>
      <c r="V1800" s="260">
        <f t="shared" ca="1" si="36"/>
        <v>0</v>
      </c>
      <c r="W1800" s="348" t="str">
        <f>IF(板块成分!B1802="","",板块成分!B1802)</f>
        <v>300333.SZ</v>
      </c>
      <c r="X1800" s="276" t="str">
        <f>[1]!S_Info_Name(W1800)</f>
        <v>兆日科技</v>
      </c>
      <c r="Y1800" s="276" t="str">
        <f ca="1">IF($Y$3="申万一级行业",[1]!s_info_industry_sw_2021(W1800,公司分析!D$5,1),IF($Y$3="申万二级行业",[1]!s_info_industry_sw_2021(W1800,公司分析!D$5,2),IF($Y$3="申万三级行业",[1]!s_info_industry_sw_2021(W1800,公司分析!D$5,3),IF($Y$3="wind一级行业",[1]!s_info_industry_gics(W1800,1),IF($Y$3="wind二级行业",[1]!s_info_industry_gics(W1800,2),IF($Y$3="wind三级行业",[1]!s_info_industry_gics(W1800,3),IF($Y$3="wind四级行业",[1]!s_info_industry_gics(W1800,4),IF($Y$3="证监会门类行业",[1]!s_info_industry_csrc12_n(W1800,公司分析!D$5,1),""))))))))</f>
        <v>计算机设备</v>
      </c>
      <c r="Z1800" s="302" t="str">
        <f ca="1">IF(Y1800=行业比较!$E$6,ROW(),"")</f>
        <v/>
      </c>
      <c r="AA1800" s="122"/>
      <c r="AB1800" s="122"/>
      <c r="AC1800" s="122"/>
      <c r="AD1800" s="122"/>
      <c r="AE1800" s="122"/>
      <c r="AF1800" s="122"/>
      <c r="AG1800" s="122"/>
      <c r="AH1800" s="122"/>
      <c r="AI1800" s="122"/>
      <c r="AJ1800" s="122"/>
      <c r="AK1800" s="122"/>
      <c r="AL1800" s="122"/>
      <c r="AM1800" s="122"/>
      <c r="AN1800" s="122"/>
      <c r="AO1800" s="122"/>
      <c r="AP1800" s="122"/>
    </row>
    <row r="1801" spans="2:42">
      <c r="B1801" s="122"/>
      <c r="C1801" s="122"/>
      <c r="D1801" s="122"/>
      <c r="E1801" s="122"/>
      <c r="F1801" s="122"/>
      <c r="G1801" s="122"/>
      <c r="H1801" s="122"/>
      <c r="I1801" s="275"/>
      <c r="J1801" s="130"/>
      <c r="K1801" s="130"/>
      <c r="L1801" s="130"/>
      <c r="M1801" s="130"/>
      <c r="N1801" s="291"/>
      <c r="O1801" s="291"/>
      <c r="P1801" s="122"/>
      <c r="Q1801" s="122"/>
      <c r="R1801" s="122"/>
      <c r="S1801" s="122"/>
      <c r="T1801" s="122"/>
      <c r="U1801" s="301"/>
      <c r="V1801" s="260">
        <f t="shared" ca="1" si="36"/>
        <v>0</v>
      </c>
      <c r="W1801" s="348" t="str">
        <f>IF(板块成分!B1803="","",板块成分!B1803)</f>
        <v>300334.SZ</v>
      </c>
      <c r="X1801" s="276" t="str">
        <f>[1]!S_Info_Name(W1801)</f>
        <v>津膜科技</v>
      </c>
      <c r="Y1801" s="276" t="str">
        <f ca="1">IF($Y$3="申万一级行业",[1]!s_info_industry_sw_2021(W1801,公司分析!D$5,1),IF($Y$3="申万二级行业",[1]!s_info_industry_sw_2021(W1801,公司分析!D$5,2),IF($Y$3="申万三级行业",[1]!s_info_industry_sw_2021(W1801,公司分析!D$5,3),IF($Y$3="wind一级行业",[1]!s_info_industry_gics(W1801,1),IF($Y$3="wind二级行业",[1]!s_info_industry_gics(W1801,2),IF($Y$3="wind三级行业",[1]!s_info_industry_gics(W1801,3),IF($Y$3="wind四级行业",[1]!s_info_industry_gics(W1801,4),IF($Y$3="证监会门类行业",[1]!s_info_industry_csrc12_n(W1801,公司分析!D$5,1),""))))))))</f>
        <v>环境治理</v>
      </c>
      <c r="Z1801" s="302" t="str">
        <f ca="1">IF(Y1801=行业比较!$E$6,ROW(),"")</f>
        <v/>
      </c>
      <c r="AA1801" s="122"/>
      <c r="AB1801" s="122"/>
      <c r="AC1801" s="122"/>
      <c r="AD1801" s="122"/>
      <c r="AE1801" s="122"/>
      <c r="AF1801" s="122"/>
      <c r="AG1801" s="122"/>
      <c r="AH1801" s="122"/>
      <c r="AI1801" s="122"/>
      <c r="AJ1801" s="122"/>
      <c r="AK1801" s="122"/>
      <c r="AL1801" s="122"/>
      <c r="AM1801" s="122"/>
      <c r="AN1801" s="122"/>
      <c r="AO1801" s="122"/>
      <c r="AP1801" s="122"/>
    </row>
    <row r="1802" spans="2:42">
      <c r="B1802" s="122"/>
      <c r="C1802" s="122"/>
      <c r="D1802" s="122"/>
      <c r="E1802" s="122"/>
      <c r="F1802" s="122"/>
      <c r="G1802" s="122"/>
      <c r="H1802" s="122"/>
      <c r="I1802" s="275"/>
      <c r="J1802" s="130"/>
      <c r="K1802" s="130"/>
      <c r="L1802" s="130"/>
      <c r="M1802" s="130"/>
      <c r="N1802" s="291"/>
      <c r="O1802" s="291"/>
      <c r="P1802" s="122"/>
      <c r="Q1802" s="122"/>
      <c r="R1802" s="122"/>
      <c r="S1802" s="122"/>
      <c r="T1802" s="122"/>
      <c r="U1802" s="301"/>
      <c r="V1802" s="260">
        <f t="shared" ca="1" si="36"/>
        <v>0</v>
      </c>
      <c r="W1802" s="348" t="str">
        <f>IF(板块成分!B1804="","",板块成分!B1804)</f>
        <v>300335.SZ</v>
      </c>
      <c r="X1802" s="276" t="str">
        <f>[1]!S_Info_Name(W1802)</f>
        <v>迪森股份</v>
      </c>
      <c r="Y1802" s="276" t="str">
        <f ca="1">IF($Y$3="申万一级行业",[1]!s_info_industry_sw_2021(W1802,公司分析!D$5,1),IF($Y$3="申万二级行业",[1]!s_info_industry_sw_2021(W1802,公司分析!D$5,2),IF($Y$3="申万三级行业",[1]!s_info_industry_sw_2021(W1802,公司分析!D$5,3),IF($Y$3="wind一级行业",[1]!s_info_industry_gics(W1802,1),IF($Y$3="wind二级行业",[1]!s_info_industry_gics(W1802,2),IF($Y$3="wind三级行业",[1]!s_info_industry_gics(W1802,3),IF($Y$3="wind四级行业",[1]!s_info_industry_gics(W1802,4),IF($Y$3="证监会门类行业",[1]!s_info_industry_csrc12_n(W1802,公司分析!D$5,1),""))))))))</f>
        <v>电力</v>
      </c>
      <c r="Z1802" s="302" t="str">
        <f ca="1">IF(Y1802=行业比较!$E$6,ROW(),"")</f>
        <v/>
      </c>
      <c r="AA1802" s="122"/>
      <c r="AB1802" s="122"/>
      <c r="AC1802" s="122"/>
      <c r="AD1802" s="122"/>
      <c r="AE1802" s="122"/>
      <c r="AF1802" s="122"/>
      <c r="AG1802" s="122"/>
      <c r="AH1802" s="122"/>
      <c r="AI1802" s="122"/>
      <c r="AJ1802" s="122"/>
      <c r="AK1802" s="122"/>
      <c r="AL1802" s="122"/>
      <c r="AM1802" s="122"/>
      <c r="AN1802" s="122"/>
      <c r="AO1802" s="122"/>
      <c r="AP1802" s="122"/>
    </row>
    <row r="1803" spans="2:42">
      <c r="B1803" s="122"/>
      <c r="C1803" s="122"/>
      <c r="D1803" s="122"/>
      <c r="E1803" s="122"/>
      <c r="F1803" s="122"/>
      <c r="G1803" s="122"/>
      <c r="H1803" s="122"/>
      <c r="I1803" s="275"/>
      <c r="J1803" s="130"/>
      <c r="K1803" s="130"/>
      <c r="L1803" s="130"/>
      <c r="M1803" s="130"/>
      <c r="N1803" s="291"/>
      <c r="O1803" s="291"/>
      <c r="P1803" s="122"/>
      <c r="Q1803" s="122"/>
      <c r="R1803" s="122"/>
      <c r="S1803" s="122"/>
      <c r="T1803" s="122"/>
      <c r="U1803" s="301"/>
      <c r="V1803" s="260">
        <f t="shared" ca="1" si="36"/>
        <v>29</v>
      </c>
      <c r="W1803" s="348" t="str">
        <f>IF(板块成分!B1805="","",板块成分!B1805)</f>
        <v>300337.SZ</v>
      </c>
      <c r="X1803" s="276" t="str">
        <f>[1]!S_Info_Name(W1803)</f>
        <v>银邦股份</v>
      </c>
      <c r="Y1803" s="276" t="str">
        <f ca="1">IF($Y$3="申万一级行业",[1]!s_info_industry_sw_2021(W1803,公司分析!D$5,1),IF($Y$3="申万二级行业",[1]!s_info_industry_sw_2021(W1803,公司分析!D$5,2),IF($Y$3="申万三级行业",[1]!s_info_industry_sw_2021(W1803,公司分析!D$5,3),IF($Y$3="wind一级行业",[1]!s_info_industry_gics(W1803,1),IF($Y$3="wind二级行业",[1]!s_info_industry_gics(W1803,2),IF($Y$3="wind三级行业",[1]!s_info_industry_gics(W1803,3),IF($Y$3="wind四级行业",[1]!s_info_industry_gics(W1803,4),IF($Y$3="证监会门类行业",[1]!s_info_industry_csrc12_n(W1803,公司分析!D$5,1),""))))))))</f>
        <v>工业金属</v>
      </c>
      <c r="Z1803" s="302">
        <f ca="1">IF(Y1803=行业比较!$E$6,ROW(),"")</f>
        <v>1803</v>
      </c>
      <c r="AA1803" s="122"/>
      <c r="AB1803" s="122"/>
      <c r="AC1803" s="122"/>
      <c r="AD1803" s="122"/>
      <c r="AE1803" s="122"/>
      <c r="AF1803" s="122"/>
      <c r="AG1803" s="122"/>
      <c r="AH1803" s="122"/>
      <c r="AI1803" s="122"/>
      <c r="AJ1803" s="122"/>
      <c r="AK1803" s="122"/>
      <c r="AL1803" s="122"/>
      <c r="AM1803" s="122"/>
      <c r="AN1803" s="122"/>
      <c r="AO1803" s="122"/>
      <c r="AP1803" s="122"/>
    </row>
    <row r="1804" spans="2:42">
      <c r="B1804" s="122"/>
      <c r="C1804" s="122"/>
      <c r="D1804" s="122"/>
      <c r="E1804" s="122"/>
      <c r="F1804" s="122"/>
      <c r="G1804" s="122"/>
      <c r="H1804" s="122"/>
      <c r="I1804" s="275"/>
      <c r="J1804" s="130"/>
      <c r="K1804" s="130"/>
      <c r="L1804" s="130"/>
      <c r="M1804" s="130"/>
      <c r="N1804" s="291"/>
      <c r="O1804" s="291"/>
      <c r="P1804" s="122"/>
      <c r="Q1804" s="122"/>
      <c r="R1804" s="122"/>
      <c r="S1804" s="122"/>
      <c r="T1804" s="122"/>
      <c r="U1804" s="301"/>
      <c r="V1804" s="260">
        <f t="shared" ca="1" si="36"/>
        <v>0</v>
      </c>
      <c r="W1804" s="348" t="str">
        <f>IF(板块成分!B1806="","",板块成分!B1806)</f>
        <v>300338.SZ</v>
      </c>
      <c r="X1804" s="276" t="str">
        <f>[1]!S_Info_Name(W1804)</f>
        <v>ST开元</v>
      </c>
      <c r="Y1804" s="276" t="str">
        <f ca="1">IF($Y$3="申万一级行业",[1]!s_info_industry_sw_2021(W1804,公司分析!D$5,1),IF($Y$3="申万二级行业",[1]!s_info_industry_sw_2021(W1804,公司分析!D$5,2),IF($Y$3="申万三级行业",[1]!s_info_industry_sw_2021(W1804,公司分析!D$5,3),IF($Y$3="wind一级行业",[1]!s_info_industry_gics(W1804,1),IF($Y$3="wind二级行业",[1]!s_info_industry_gics(W1804,2),IF($Y$3="wind三级行业",[1]!s_info_industry_gics(W1804,3),IF($Y$3="wind四级行业",[1]!s_info_industry_gics(W1804,4),IF($Y$3="证监会门类行业",[1]!s_info_industry_csrc12_n(W1804,公司分析!D$5,1),""))))))))</f>
        <v>教育</v>
      </c>
      <c r="Z1804" s="302" t="str">
        <f ca="1">IF(Y1804=行业比较!$E$6,ROW(),"")</f>
        <v/>
      </c>
      <c r="AA1804" s="122"/>
      <c r="AB1804" s="122"/>
      <c r="AC1804" s="122"/>
      <c r="AD1804" s="122"/>
      <c r="AE1804" s="122"/>
      <c r="AF1804" s="122"/>
      <c r="AG1804" s="122"/>
      <c r="AH1804" s="122"/>
      <c r="AI1804" s="122"/>
      <c r="AJ1804" s="122"/>
      <c r="AK1804" s="122"/>
      <c r="AL1804" s="122"/>
      <c r="AM1804" s="122"/>
      <c r="AN1804" s="122"/>
      <c r="AO1804" s="122"/>
      <c r="AP1804" s="122"/>
    </row>
    <row r="1805" spans="2:42">
      <c r="B1805" s="122"/>
      <c r="C1805" s="122"/>
      <c r="D1805" s="122"/>
      <c r="E1805" s="122"/>
      <c r="F1805" s="122"/>
      <c r="G1805" s="122"/>
      <c r="H1805" s="122"/>
      <c r="I1805" s="275"/>
      <c r="J1805" s="130"/>
      <c r="K1805" s="130"/>
      <c r="L1805" s="130"/>
      <c r="M1805" s="130"/>
      <c r="N1805" s="291"/>
      <c r="O1805" s="291"/>
      <c r="P1805" s="122"/>
      <c r="Q1805" s="122"/>
      <c r="R1805" s="122"/>
      <c r="S1805" s="122"/>
      <c r="T1805" s="122"/>
      <c r="U1805" s="301"/>
      <c r="V1805" s="260">
        <f t="shared" ca="1" si="36"/>
        <v>0</v>
      </c>
      <c r="W1805" s="348" t="str">
        <f>IF(板块成分!B1807="","",板块成分!B1807)</f>
        <v>300339.SZ</v>
      </c>
      <c r="X1805" s="276" t="str">
        <f>[1]!S_Info_Name(W1805)</f>
        <v>润和软件</v>
      </c>
      <c r="Y1805" s="276" t="str">
        <f ca="1">IF($Y$3="申万一级行业",[1]!s_info_industry_sw_2021(W1805,公司分析!D$5,1),IF($Y$3="申万二级行业",[1]!s_info_industry_sw_2021(W1805,公司分析!D$5,2),IF($Y$3="申万三级行业",[1]!s_info_industry_sw_2021(W1805,公司分析!D$5,3),IF($Y$3="wind一级行业",[1]!s_info_industry_gics(W1805,1),IF($Y$3="wind二级行业",[1]!s_info_industry_gics(W1805,2),IF($Y$3="wind三级行业",[1]!s_info_industry_gics(W1805,3),IF($Y$3="wind四级行业",[1]!s_info_industry_gics(W1805,4),IF($Y$3="证监会门类行业",[1]!s_info_industry_csrc12_n(W1805,公司分析!D$5,1),""))))))))</f>
        <v>IT服务Ⅱ</v>
      </c>
      <c r="Z1805" s="302" t="str">
        <f ca="1">IF(Y1805=行业比较!$E$6,ROW(),"")</f>
        <v/>
      </c>
      <c r="AA1805" s="122"/>
      <c r="AB1805" s="122"/>
      <c r="AC1805" s="122"/>
      <c r="AD1805" s="122"/>
      <c r="AE1805" s="122"/>
      <c r="AF1805" s="122"/>
      <c r="AG1805" s="122"/>
      <c r="AH1805" s="122"/>
      <c r="AI1805" s="122"/>
      <c r="AJ1805" s="122"/>
      <c r="AK1805" s="122"/>
      <c r="AL1805" s="122"/>
      <c r="AM1805" s="122"/>
      <c r="AN1805" s="122"/>
      <c r="AO1805" s="122"/>
      <c r="AP1805" s="122"/>
    </row>
    <row r="1806" spans="2:42">
      <c r="B1806" s="122"/>
      <c r="C1806" s="122"/>
      <c r="D1806" s="122"/>
      <c r="E1806" s="122"/>
      <c r="F1806" s="122"/>
      <c r="G1806" s="122"/>
      <c r="H1806" s="122"/>
      <c r="I1806" s="275"/>
      <c r="J1806" s="130"/>
      <c r="K1806" s="130"/>
      <c r="L1806" s="130"/>
      <c r="M1806" s="130"/>
      <c r="N1806" s="291"/>
      <c r="O1806" s="291"/>
      <c r="P1806" s="122"/>
      <c r="Q1806" s="122"/>
      <c r="R1806" s="122"/>
      <c r="S1806" s="122"/>
      <c r="T1806" s="122"/>
      <c r="U1806" s="301"/>
      <c r="V1806" s="260">
        <f t="shared" ca="1" si="36"/>
        <v>0</v>
      </c>
      <c r="W1806" s="348" t="str">
        <f>IF(板块成分!B1808="","",板块成分!B1808)</f>
        <v>300340.SZ</v>
      </c>
      <c r="X1806" s="276" t="str">
        <f>[1]!S_Info_Name(W1806)</f>
        <v>科恒股份</v>
      </c>
      <c r="Y1806" s="276" t="str">
        <f ca="1">IF($Y$3="申万一级行业",[1]!s_info_industry_sw_2021(W1806,公司分析!D$5,1),IF($Y$3="申万二级行业",[1]!s_info_industry_sw_2021(W1806,公司分析!D$5,2),IF($Y$3="申万三级行业",[1]!s_info_industry_sw_2021(W1806,公司分析!D$5,3),IF($Y$3="wind一级行业",[1]!s_info_industry_gics(W1806,1),IF($Y$3="wind二级行业",[1]!s_info_industry_gics(W1806,2),IF($Y$3="wind三级行业",[1]!s_info_industry_gics(W1806,3),IF($Y$3="wind四级行业",[1]!s_info_industry_gics(W1806,4),IF($Y$3="证监会门类行业",[1]!s_info_industry_csrc12_n(W1806,公司分析!D$5,1),""))))))))</f>
        <v>电池</v>
      </c>
      <c r="Z1806" s="302" t="str">
        <f ca="1">IF(Y1806=行业比较!$E$6,ROW(),"")</f>
        <v/>
      </c>
      <c r="AA1806" s="122"/>
      <c r="AB1806" s="122"/>
      <c r="AC1806" s="122"/>
      <c r="AD1806" s="122"/>
      <c r="AE1806" s="122"/>
      <c r="AF1806" s="122"/>
      <c r="AG1806" s="122"/>
      <c r="AH1806" s="122"/>
      <c r="AI1806" s="122"/>
      <c r="AJ1806" s="122"/>
      <c r="AK1806" s="122"/>
      <c r="AL1806" s="122"/>
      <c r="AM1806" s="122"/>
      <c r="AN1806" s="122"/>
      <c r="AO1806" s="122"/>
      <c r="AP1806" s="122"/>
    </row>
    <row r="1807" spans="2:42">
      <c r="B1807" s="122"/>
      <c r="C1807" s="122"/>
      <c r="D1807" s="122"/>
      <c r="E1807" s="122"/>
      <c r="F1807" s="122"/>
      <c r="G1807" s="122"/>
      <c r="H1807" s="122"/>
      <c r="I1807" s="275"/>
      <c r="J1807" s="130"/>
      <c r="K1807" s="130"/>
      <c r="L1807" s="130"/>
      <c r="M1807" s="130"/>
      <c r="N1807" s="291"/>
      <c r="O1807" s="291"/>
      <c r="P1807" s="122"/>
      <c r="Q1807" s="122"/>
      <c r="R1807" s="122"/>
      <c r="S1807" s="122"/>
      <c r="T1807" s="122"/>
      <c r="U1807" s="301"/>
      <c r="V1807" s="260">
        <f t="shared" ca="1" si="36"/>
        <v>0</v>
      </c>
      <c r="W1807" s="348" t="str">
        <f>IF(板块成分!B1809="","",板块成分!B1809)</f>
        <v>300341.SZ</v>
      </c>
      <c r="X1807" s="276" t="str">
        <f>[1]!S_Info_Name(W1807)</f>
        <v>麦克奥迪</v>
      </c>
      <c r="Y1807" s="276" t="str">
        <f ca="1">IF($Y$3="申万一级行业",[1]!s_info_industry_sw_2021(W1807,公司分析!D$5,1),IF($Y$3="申万二级行业",[1]!s_info_industry_sw_2021(W1807,公司分析!D$5,2),IF($Y$3="申万三级行业",[1]!s_info_industry_sw_2021(W1807,公司分析!D$5,3),IF($Y$3="wind一级行业",[1]!s_info_industry_gics(W1807,1),IF($Y$3="wind二级行业",[1]!s_info_industry_gics(W1807,2),IF($Y$3="wind三级行业",[1]!s_info_industry_gics(W1807,3),IF($Y$3="wind四级行业",[1]!s_info_industry_gics(W1807,4),IF($Y$3="证监会门类行业",[1]!s_info_industry_csrc12_n(W1807,公司分析!D$5,1),""))))))))</f>
        <v>医疗器械</v>
      </c>
      <c r="Z1807" s="302" t="str">
        <f ca="1">IF(Y1807=行业比较!$E$6,ROW(),"")</f>
        <v/>
      </c>
      <c r="AA1807" s="122"/>
      <c r="AB1807" s="122"/>
      <c r="AC1807" s="122"/>
      <c r="AD1807" s="122"/>
      <c r="AE1807" s="122"/>
      <c r="AF1807" s="122"/>
      <c r="AG1807" s="122"/>
      <c r="AH1807" s="122"/>
      <c r="AI1807" s="122"/>
      <c r="AJ1807" s="122"/>
      <c r="AK1807" s="122"/>
      <c r="AL1807" s="122"/>
      <c r="AM1807" s="122"/>
      <c r="AN1807" s="122"/>
      <c r="AO1807" s="122"/>
      <c r="AP1807" s="122"/>
    </row>
    <row r="1808" spans="2:42">
      <c r="B1808" s="122"/>
      <c r="C1808" s="122"/>
      <c r="D1808" s="122"/>
      <c r="E1808" s="122"/>
      <c r="F1808" s="122"/>
      <c r="G1808" s="122"/>
      <c r="H1808" s="122"/>
      <c r="I1808" s="275"/>
      <c r="J1808" s="130"/>
      <c r="K1808" s="130"/>
      <c r="L1808" s="130"/>
      <c r="M1808" s="130"/>
      <c r="N1808" s="291"/>
      <c r="O1808" s="291"/>
      <c r="P1808" s="122"/>
      <c r="Q1808" s="122"/>
      <c r="R1808" s="122"/>
      <c r="S1808" s="122"/>
      <c r="T1808" s="122"/>
      <c r="U1808" s="301"/>
      <c r="V1808" s="260">
        <f t="shared" ca="1" si="36"/>
        <v>0</v>
      </c>
      <c r="W1808" s="348" t="str">
        <f>IF(板块成分!B1810="","",板块成分!B1810)</f>
        <v>300342.SZ</v>
      </c>
      <c r="X1808" s="276" t="str">
        <f>[1]!S_Info_Name(W1808)</f>
        <v>天银机电</v>
      </c>
      <c r="Y1808" s="276" t="str">
        <f ca="1">IF($Y$3="申万一级行业",[1]!s_info_industry_sw_2021(W1808,公司分析!D$5,1),IF($Y$3="申万二级行业",[1]!s_info_industry_sw_2021(W1808,公司分析!D$5,2),IF($Y$3="申万三级行业",[1]!s_info_industry_sw_2021(W1808,公司分析!D$5,3),IF($Y$3="wind一级行业",[1]!s_info_industry_gics(W1808,1),IF($Y$3="wind二级行业",[1]!s_info_industry_gics(W1808,2),IF($Y$3="wind三级行业",[1]!s_info_industry_gics(W1808,3),IF($Y$3="wind四级行业",[1]!s_info_industry_gics(W1808,4),IF($Y$3="证监会门类行业",[1]!s_info_industry_csrc12_n(W1808,公司分析!D$5,1),""))))))))</f>
        <v>家电零部件Ⅱ</v>
      </c>
      <c r="Z1808" s="302" t="str">
        <f ca="1">IF(Y1808=行业比较!$E$6,ROW(),"")</f>
        <v/>
      </c>
      <c r="AA1808" s="122"/>
      <c r="AB1808" s="122"/>
      <c r="AC1808" s="122"/>
      <c r="AD1808" s="122"/>
      <c r="AE1808" s="122"/>
      <c r="AF1808" s="122"/>
      <c r="AG1808" s="122"/>
      <c r="AH1808" s="122"/>
      <c r="AI1808" s="122"/>
      <c r="AJ1808" s="122"/>
      <c r="AK1808" s="122"/>
      <c r="AL1808" s="122"/>
      <c r="AM1808" s="122"/>
      <c r="AN1808" s="122"/>
      <c r="AO1808" s="122"/>
      <c r="AP1808" s="122"/>
    </row>
    <row r="1809" spans="2:42">
      <c r="B1809" s="122"/>
      <c r="C1809" s="122"/>
      <c r="D1809" s="122"/>
      <c r="E1809" s="122"/>
      <c r="F1809" s="122"/>
      <c r="G1809" s="122"/>
      <c r="H1809" s="122"/>
      <c r="I1809" s="275"/>
      <c r="J1809" s="130"/>
      <c r="K1809" s="130"/>
      <c r="L1809" s="130"/>
      <c r="M1809" s="130"/>
      <c r="N1809" s="291"/>
      <c r="O1809" s="291"/>
      <c r="P1809" s="122"/>
      <c r="Q1809" s="122"/>
      <c r="R1809" s="122"/>
      <c r="S1809" s="122"/>
      <c r="T1809" s="122"/>
      <c r="U1809" s="301"/>
      <c r="V1809" s="260">
        <f t="shared" ca="1" si="36"/>
        <v>0</v>
      </c>
      <c r="W1809" s="348" t="str">
        <f>IF(板块成分!B1811="","",板块成分!B1811)</f>
        <v>300343.SZ</v>
      </c>
      <c r="X1809" s="276" t="str">
        <f>[1]!S_Info_Name(W1809)</f>
        <v>ST联创</v>
      </c>
      <c r="Y1809" s="276" t="str">
        <f ca="1">IF($Y$3="申万一级行业",[1]!s_info_industry_sw_2021(W1809,公司分析!D$5,1),IF($Y$3="申万二级行业",[1]!s_info_industry_sw_2021(W1809,公司分析!D$5,2),IF($Y$3="申万三级行业",[1]!s_info_industry_sw_2021(W1809,公司分析!D$5,3),IF($Y$3="wind一级行业",[1]!s_info_industry_gics(W1809,1),IF($Y$3="wind二级行业",[1]!s_info_industry_gics(W1809,2),IF($Y$3="wind三级行业",[1]!s_info_industry_gics(W1809,3),IF($Y$3="wind四级行业",[1]!s_info_industry_gics(W1809,4),IF($Y$3="证监会门类行业",[1]!s_info_industry_csrc12_n(W1809,公司分析!D$5,1),""))))))))</f>
        <v>化学制品</v>
      </c>
      <c r="Z1809" s="302" t="str">
        <f ca="1">IF(Y1809=行业比较!$E$6,ROW(),"")</f>
        <v/>
      </c>
      <c r="AA1809" s="122"/>
      <c r="AB1809" s="122"/>
      <c r="AC1809" s="122"/>
      <c r="AD1809" s="122"/>
      <c r="AE1809" s="122"/>
      <c r="AF1809" s="122"/>
      <c r="AG1809" s="122"/>
      <c r="AH1809" s="122"/>
      <c r="AI1809" s="122"/>
      <c r="AJ1809" s="122"/>
      <c r="AK1809" s="122"/>
      <c r="AL1809" s="122"/>
      <c r="AM1809" s="122"/>
      <c r="AN1809" s="122"/>
      <c r="AO1809" s="122"/>
      <c r="AP1809" s="122"/>
    </row>
    <row r="1810" spans="2:42">
      <c r="B1810" s="122"/>
      <c r="C1810" s="122"/>
      <c r="D1810" s="122"/>
      <c r="E1810" s="122"/>
      <c r="F1810" s="122"/>
      <c r="G1810" s="122"/>
      <c r="H1810" s="122"/>
      <c r="I1810" s="275"/>
      <c r="J1810" s="130"/>
      <c r="K1810" s="130"/>
      <c r="L1810" s="130"/>
      <c r="M1810" s="130"/>
      <c r="N1810" s="291"/>
      <c r="O1810" s="291"/>
      <c r="P1810" s="122"/>
      <c r="Q1810" s="122"/>
      <c r="R1810" s="122"/>
      <c r="S1810" s="122"/>
      <c r="T1810" s="122"/>
      <c r="U1810" s="301"/>
      <c r="V1810" s="260">
        <f t="shared" ca="1" si="36"/>
        <v>0</v>
      </c>
      <c r="W1810" s="348" t="str">
        <f>IF(板块成分!B1812="","",板块成分!B1812)</f>
        <v>300344.SZ</v>
      </c>
      <c r="X1810" s="276" t="str">
        <f>[1]!S_Info_Name(W1810)</f>
        <v>*ST立方</v>
      </c>
      <c r="Y1810" s="276" t="str">
        <f ca="1">IF($Y$3="申万一级行业",[1]!s_info_industry_sw_2021(W1810,公司分析!D$5,1),IF($Y$3="申万二级行业",[1]!s_info_industry_sw_2021(W1810,公司分析!D$5,2),IF($Y$3="申万三级行业",[1]!s_info_industry_sw_2021(W1810,公司分析!D$5,3),IF($Y$3="wind一级行业",[1]!s_info_industry_gics(W1810,1),IF($Y$3="wind二级行业",[1]!s_info_industry_gics(W1810,2),IF($Y$3="wind三级行业",[1]!s_info_industry_gics(W1810,3),IF($Y$3="wind四级行业",[1]!s_info_industry_gics(W1810,4),IF($Y$3="证监会门类行业",[1]!s_info_industry_csrc12_n(W1810,公司分析!D$5,1),""))))))))</f>
        <v>软件开发</v>
      </c>
      <c r="Z1810" s="302" t="str">
        <f ca="1">IF(Y1810=行业比较!$E$6,ROW(),"")</f>
        <v/>
      </c>
      <c r="AA1810" s="122"/>
      <c r="AB1810" s="122"/>
      <c r="AC1810" s="122"/>
      <c r="AD1810" s="122"/>
      <c r="AE1810" s="122"/>
      <c r="AF1810" s="122"/>
      <c r="AG1810" s="122"/>
      <c r="AH1810" s="122"/>
      <c r="AI1810" s="122"/>
      <c r="AJ1810" s="122"/>
      <c r="AK1810" s="122"/>
      <c r="AL1810" s="122"/>
      <c r="AM1810" s="122"/>
      <c r="AN1810" s="122"/>
      <c r="AO1810" s="122"/>
      <c r="AP1810" s="122"/>
    </row>
    <row r="1811" spans="2:42">
      <c r="B1811" s="122"/>
      <c r="C1811" s="122"/>
      <c r="D1811" s="122"/>
      <c r="E1811" s="122"/>
      <c r="F1811" s="122"/>
      <c r="G1811" s="122"/>
      <c r="H1811" s="122"/>
      <c r="I1811" s="275"/>
      <c r="J1811" s="130"/>
      <c r="K1811" s="130"/>
      <c r="L1811" s="130"/>
      <c r="M1811" s="130"/>
      <c r="N1811" s="291"/>
      <c r="O1811" s="291"/>
      <c r="P1811" s="122"/>
      <c r="Q1811" s="122"/>
      <c r="R1811" s="122"/>
      <c r="S1811" s="122"/>
      <c r="T1811" s="122"/>
      <c r="U1811" s="301"/>
      <c r="V1811" s="260">
        <f t="shared" ca="1" si="36"/>
        <v>0</v>
      </c>
      <c r="W1811" s="348" t="str">
        <f>IF(板块成分!B1813="","",板块成分!B1813)</f>
        <v>300345.SZ</v>
      </c>
      <c r="X1811" s="276" t="str">
        <f>[1]!S_Info_Name(W1811)</f>
        <v>华民股份</v>
      </c>
      <c r="Y1811" s="276" t="str">
        <f ca="1">IF($Y$3="申万一级行业",[1]!s_info_industry_sw_2021(W1811,公司分析!D$5,1),IF($Y$3="申万二级行业",[1]!s_info_industry_sw_2021(W1811,公司分析!D$5,2),IF($Y$3="申万三级行业",[1]!s_info_industry_sw_2021(W1811,公司分析!D$5,3),IF($Y$3="wind一级行业",[1]!s_info_industry_gics(W1811,1),IF($Y$3="wind二级行业",[1]!s_info_industry_gics(W1811,2),IF($Y$3="wind三级行业",[1]!s_info_industry_gics(W1811,3),IF($Y$3="wind四级行业",[1]!s_info_industry_gics(W1811,4),IF($Y$3="证监会门类行业",[1]!s_info_industry_csrc12_n(W1811,公司分析!D$5,1),""))))))))</f>
        <v>光伏设备</v>
      </c>
      <c r="Z1811" s="302" t="str">
        <f ca="1">IF(Y1811=行业比较!$E$6,ROW(),"")</f>
        <v/>
      </c>
      <c r="AA1811" s="122"/>
      <c r="AB1811" s="122"/>
      <c r="AC1811" s="122"/>
      <c r="AD1811" s="122"/>
      <c r="AE1811" s="122"/>
      <c r="AF1811" s="122"/>
      <c r="AG1811" s="122"/>
      <c r="AH1811" s="122"/>
      <c r="AI1811" s="122"/>
      <c r="AJ1811" s="122"/>
      <c r="AK1811" s="122"/>
      <c r="AL1811" s="122"/>
      <c r="AM1811" s="122"/>
      <c r="AN1811" s="122"/>
      <c r="AO1811" s="122"/>
      <c r="AP1811" s="122"/>
    </row>
    <row r="1812" spans="2:42">
      <c r="B1812" s="122"/>
      <c r="C1812" s="122"/>
      <c r="D1812" s="122"/>
      <c r="E1812" s="122"/>
      <c r="F1812" s="122"/>
      <c r="G1812" s="122"/>
      <c r="H1812" s="122"/>
      <c r="I1812" s="275"/>
      <c r="J1812" s="130"/>
      <c r="K1812" s="130"/>
      <c r="L1812" s="130"/>
      <c r="M1812" s="130"/>
      <c r="N1812" s="291"/>
      <c r="O1812" s="291"/>
      <c r="P1812" s="122"/>
      <c r="Q1812" s="122"/>
      <c r="R1812" s="122"/>
      <c r="S1812" s="122"/>
      <c r="T1812" s="122"/>
      <c r="U1812" s="301"/>
      <c r="V1812" s="260">
        <f t="shared" ca="1" si="36"/>
        <v>0</v>
      </c>
      <c r="W1812" s="348" t="str">
        <f>IF(板块成分!B1814="","",板块成分!B1814)</f>
        <v>300346.SZ</v>
      </c>
      <c r="X1812" s="276" t="str">
        <f>[1]!S_Info_Name(W1812)</f>
        <v>南大光电</v>
      </c>
      <c r="Y1812" s="276" t="str">
        <f ca="1">IF($Y$3="申万一级行业",[1]!s_info_industry_sw_2021(W1812,公司分析!D$5,1),IF($Y$3="申万二级行业",[1]!s_info_industry_sw_2021(W1812,公司分析!D$5,2),IF($Y$3="申万三级行业",[1]!s_info_industry_sw_2021(W1812,公司分析!D$5,3),IF($Y$3="wind一级行业",[1]!s_info_industry_gics(W1812,1),IF($Y$3="wind二级行业",[1]!s_info_industry_gics(W1812,2),IF($Y$3="wind三级行业",[1]!s_info_industry_gics(W1812,3),IF($Y$3="wind四级行业",[1]!s_info_industry_gics(W1812,4),IF($Y$3="证监会门类行业",[1]!s_info_industry_csrc12_n(W1812,公司分析!D$5,1),""))))))))</f>
        <v>电子化学品Ⅱ</v>
      </c>
      <c r="Z1812" s="302" t="str">
        <f ca="1">IF(Y1812=行业比较!$E$6,ROW(),"")</f>
        <v/>
      </c>
      <c r="AA1812" s="122"/>
      <c r="AB1812" s="122"/>
      <c r="AC1812" s="122"/>
      <c r="AD1812" s="122"/>
      <c r="AE1812" s="122"/>
      <c r="AF1812" s="122"/>
      <c r="AG1812" s="122"/>
      <c r="AH1812" s="122"/>
      <c r="AI1812" s="122"/>
      <c r="AJ1812" s="122"/>
      <c r="AK1812" s="122"/>
      <c r="AL1812" s="122"/>
      <c r="AM1812" s="122"/>
      <c r="AN1812" s="122"/>
      <c r="AO1812" s="122"/>
      <c r="AP1812" s="122"/>
    </row>
    <row r="1813" spans="2:42">
      <c r="B1813" s="122"/>
      <c r="C1813" s="122"/>
      <c r="D1813" s="122"/>
      <c r="E1813" s="122"/>
      <c r="F1813" s="122"/>
      <c r="G1813" s="122"/>
      <c r="H1813" s="122"/>
      <c r="I1813" s="275"/>
      <c r="J1813" s="130"/>
      <c r="K1813" s="130"/>
      <c r="L1813" s="130"/>
      <c r="M1813" s="130"/>
      <c r="N1813" s="291"/>
      <c r="O1813" s="291"/>
      <c r="P1813" s="122"/>
      <c r="Q1813" s="122"/>
      <c r="R1813" s="122"/>
      <c r="S1813" s="122"/>
      <c r="T1813" s="122"/>
      <c r="U1813" s="301"/>
      <c r="V1813" s="260">
        <f t="shared" ca="1" si="36"/>
        <v>0</v>
      </c>
      <c r="W1813" s="348" t="str">
        <f>IF(板块成分!B1815="","",板块成分!B1815)</f>
        <v>300347.SZ</v>
      </c>
      <c r="X1813" s="276" t="str">
        <f>[1]!S_Info_Name(W1813)</f>
        <v>泰格医药</v>
      </c>
      <c r="Y1813" s="276" t="str">
        <f ca="1">IF($Y$3="申万一级行业",[1]!s_info_industry_sw_2021(W1813,公司分析!D$5,1),IF($Y$3="申万二级行业",[1]!s_info_industry_sw_2021(W1813,公司分析!D$5,2),IF($Y$3="申万三级行业",[1]!s_info_industry_sw_2021(W1813,公司分析!D$5,3),IF($Y$3="wind一级行业",[1]!s_info_industry_gics(W1813,1),IF($Y$3="wind二级行业",[1]!s_info_industry_gics(W1813,2),IF($Y$3="wind三级行业",[1]!s_info_industry_gics(W1813,3),IF($Y$3="wind四级行业",[1]!s_info_industry_gics(W1813,4),IF($Y$3="证监会门类行业",[1]!s_info_industry_csrc12_n(W1813,公司分析!D$5,1),""))))))))</f>
        <v>医疗服务</v>
      </c>
      <c r="Z1813" s="302" t="str">
        <f ca="1">IF(Y1813=行业比较!$E$6,ROW(),"")</f>
        <v/>
      </c>
      <c r="AA1813" s="122"/>
      <c r="AB1813" s="122"/>
      <c r="AC1813" s="122"/>
      <c r="AD1813" s="122"/>
      <c r="AE1813" s="122"/>
      <c r="AF1813" s="122"/>
      <c r="AG1813" s="122"/>
      <c r="AH1813" s="122"/>
      <c r="AI1813" s="122"/>
      <c r="AJ1813" s="122"/>
      <c r="AK1813" s="122"/>
      <c r="AL1813" s="122"/>
      <c r="AM1813" s="122"/>
      <c r="AN1813" s="122"/>
      <c r="AO1813" s="122"/>
      <c r="AP1813" s="122"/>
    </row>
    <row r="1814" spans="2:42">
      <c r="B1814" s="122"/>
      <c r="C1814" s="122"/>
      <c r="D1814" s="122"/>
      <c r="E1814" s="122"/>
      <c r="F1814" s="122"/>
      <c r="G1814" s="122"/>
      <c r="H1814" s="122"/>
      <c r="I1814" s="275"/>
      <c r="J1814" s="130"/>
      <c r="K1814" s="130"/>
      <c r="L1814" s="130"/>
      <c r="M1814" s="130"/>
      <c r="N1814" s="291"/>
      <c r="O1814" s="291"/>
      <c r="P1814" s="122"/>
      <c r="Q1814" s="122"/>
      <c r="R1814" s="122"/>
      <c r="S1814" s="122"/>
      <c r="T1814" s="122"/>
      <c r="U1814" s="301"/>
      <c r="V1814" s="260">
        <f t="shared" ca="1" si="36"/>
        <v>0</v>
      </c>
      <c r="W1814" s="348" t="str">
        <f>IF(板块成分!B1816="","",板块成分!B1816)</f>
        <v>300348.SZ</v>
      </c>
      <c r="X1814" s="276" t="str">
        <f>[1]!S_Info_Name(W1814)</f>
        <v>长亮科技</v>
      </c>
      <c r="Y1814" s="276" t="str">
        <f ca="1">IF($Y$3="申万一级行业",[1]!s_info_industry_sw_2021(W1814,公司分析!D$5,1),IF($Y$3="申万二级行业",[1]!s_info_industry_sw_2021(W1814,公司分析!D$5,2),IF($Y$3="申万三级行业",[1]!s_info_industry_sw_2021(W1814,公司分析!D$5,3),IF($Y$3="wind一级行业",[1]!s_info_industry_gics(W1814,1),IF($Y$3="wind二级行业",[1]!s_info_industry_gics(W1814,2),IF($Y$3="wind三级行业",[1]!s_info_industry_gics(W1814,3),IF($Y$3="wind四级行业",[1]!s_info_industry_gics(W1814,4),IF($Y$3="证监会门类行业",[1]!s_info_industry_csrc12_n(W1814,公司分析!D$5,1),""))))))))</f>
        <v>软件开发</v>
      </c>
      <c r="Z1814" s="302" t="str">
        <f ca="1">IF(Y1814=行业比较!$E$6,ROW(),"")</f>
        <v/>
      </c>
      <c r="AA1814" s="122"/>
      <c r="AB1814" s="122"/>
      <c r="AC1814" s="122"/>
      <c r="AD1814" s="122"/>
      <c r="AE1814" s="122"/>
      <c r="AF1814" s="122"/>
      <c r="AG1814" s="122"/>
      <c r="AH1814" s="122"/>
      <c r="AI1814" s="122"/>
      <c r="AJ1814" s="122"/>
      <c r="AK1814" s="122"/>
      <c r="AL1814" s="122"/>
      <c r="AM1814" s="122"/>
      <c r="AN1814" s="122"/>
      <c r="AO1814" s="122"/>
      <c r="AP1814" s="122"/>
    </row>
    <row r="1815" spans="2:42">
      <c r="B1815" s="122"/>
      <c r="C1815" s="122"/>
      <c r="D1815" s="122"/>
      <c r="E1815" s="122"/>
      <c r="F1815" s="122"/>
      <c r="G1815" s="122"/>
      <c r="H1815" s="122"/>
      <c r="I1815" s="275"/>
      <c r="J1815" s="130"/>
      <c r="K1815" s="130"/>
      <c r="L1815" s="130"/>
      <c r="M1815" s="130"/>
      <c r="N1815" s="291"/>
      <c r="O1815" s="291"/>
      <c r="P1815" s="122"/>
      <c r="Q1815" s="122"/>
      <c r="R1815" s="122"/>
      <c r="S1815" s="122"/>
      <c r="T1815" s="122"/>
      <c r="U1815" s="301"/>
      <c r="V1815" s="260">
        <f t="shared" ca="1" si="36"/>
        <v>0</v>
      </c>
      <c r="W1815" s="348" t="str">
        <f>IF(板块成分!B1817="","",板块成分!B1817)</f>
        <v>300349.SZ</v>
      </c>
      <c r="X1815" s="276" t="str">
        <f>[1]!S_Info_Name(W1815)</f>
        <v>金卡智能</v>
      </c>
      <c r="Y1815" s="276" t="str">
        <f ca="1">IF($Y$3="申万一级行业",[1]!s_info_industry_sw_2021(W1815,公司分析!D$5,1),IF($Y$3="申万二级行业",[1]!s_info_industry_sw_2021(W1815,公司分析!D$5,2),IF($Y$3="申万三级行业",[1]!s_info_industry_sw_2021(W1815,公司分析!D$5,3),IF($Y$3="wind一级行业",[1]!s_info_industry_gics(W1815,1),IF($Y$3="wind二级行业",[1]!s_info_industry_gics(W1815,2),IF($Y$3="wind三级行业",[1]!s_info_industry_gics(W1815,3),IF($Y$3="wind四级行业",[1]!s_info_industry_gics(W1815,4),IF($Y$3="证监会门类行业",[1]!s_info_industry_csrc12_n(W1815,公司分析!D$5,1),""))))))))</f>
        <v>通用设备</v>
      </c>
      <c r="Z1815" s="302" t="str">
        <f ca="1">IF(Y1815=行业比较!$E$6,ROW(),"")</f>
        <v/>
      </c>
      <c r="AA1815" s="122"/>
      <c r="AB1815" s="122"/>
      <c r="AC1815" s="122"/>
      <c r="AD1815" s="122"/>
      <c r="AE1815" s="122"/>
      <c r="AF1815" s="122"/>
      <c r="AG1815" s="122"/>
      <c r="AH1815" s="122"/>
      <c r="AI1815" s="122"/>
      <c r="AJ1815" s="122"/>
      <c r="AK1815" s="122"/>
      <c r="AL1815" s="122"/>
      <c r="AM1815" s="122"/>
      <c r="AN1815" s="122"/>
      <c r="AO1815" s="122"/>
      <c r="AP1815" s="122"/>
    </row>
    <row r="1816" spans="2:42">
      <c r="B1816" s="122"/>
      <c r="C1816" s="122"/>
      <c r="D1816" s="122"/>
      <c r="E1816" s="122"/>
      <c r="F1816" s="122"/>
      <c r="G1816" s="122"/>
      <c r="H1816" s="122"/>
      <c r="I1816" s="275"/>
      <c r="J1816" s="130"/>
      <c r="K1816" s="130"/>
      <c r="L1816" s="130"/>
      <c r="M1816" s="130"/>
      <c r="N1816" s="291"/>
      <c r="O1816" s="291"/>
      <c r="P1816" s="122"/>
      <c r="Q1816" s="122"/>
      <c r="R1816" s="122"/>
      <c r="S1816" s="122"/>
      <c r="T1816" s="122"/>
      <c r="U1816" s="301"/>
      <c r="V1816" s="260">
        <f t="shared" ca="1" si="36"/>
        <v>0</v>
      </c>
      <c r="W1816" s="348" t="str">
        <f>IF(板块成分!B1818="","",板块成分!B1818)</f>
        <v>300350.SZ</v>
      </c>
      <c r="X1816" s="276" t="str">
        <f>[1]!S_Info_Name(W1816)</f>
        <v>华鹏飞</v>
      </c>
      <c r="Y1816" s="276" t="str">
        <f ca="1">IF($Y$3="申万一级行业",[1]!s_info_industry_sw_2021(W1816,公司分析!D$5,1),IF($Y$3="申万二级行业",[1]!s_info_industry_sw_2021(W1816,公司分析!D$5,2),IF($Y$3="申万三级行业",[1]!s_info_industry_sw_2021(W1816,公司分析!D$5,3),IF($Y$3="wind一级行业",[1]!s_info_industry_gics(W1816,1),IF($Y$3="wind二级行业",[1]!s_info_industry_gics(W1816,2),IF($Y$3="wind三级行业",[1]!s_info_industry_gics(W1816,3),IF($Y$3="wind四级行业",[1]!s_info_industry_gics(W1816,4),IF($Y$3="证监会门类行业",[1]!s_info_industry_csrc12_n(W1816,公司分析!D$5,1),""))))))))</f>
        <v>物流</v>
      </c>
      <c r="Z1816" s="302" t="str">
        <f ca="1">IF(Y1816=行业比较!$E$6,ROW(),"")</f>
        <v/>
      </c>
      <c r="AA1816" s="122"/>
      <c r="AB1816" s="122"/>
      <c r="AC1816" s="122"/>
      <c r="AD1816" s="122"/>
      <c r="AE1816" s="122"/>
      <c r="AF1816" s="122"/>
      <c r="AG1816" s="122"/>
      <c r="AH1816" s="122"/>
      <c r="AI1816" s="122"/>
      <c r="AJ1816" s="122"/>
      <c r="AK1816" s="122"/>
      <c r="AL1816" s="122"/>
      <c r="AM1816" s="122"/>
      <c r="AN1816" s="122"/>
      <c r="AO1816" s="122"/>
      <c r="AP1816" s="122"/>
    </row>
    <row r="1817" spans="2:42">
      <c r="B1817" s="122"/>
      <c r="C1817" s="122"/>
      <c r="D1817" s="122"/>
      <c r="E1817" s="122"/>
      <c r="F1817" s="122"/>
      <c r="G1817" s="122"/>
      <c r="H1817" s="122"/>
      <c r="I1817" s="275"/>
      <c r="J1817" s="130"/>
      <c r="K1817" s="130"/>
      <c r="L1817" s="130"/>
      <c r="M1817" s="130"/>
      <c r="N1817" s="291"/>
      <c r="O1817" s="291"/>
      <c r="P1817" s="122"/>
      <c r="Q1817" s="122"/>
      <c r="R1817" s="122"/>
      <c r="S1817" s="122"/>
      <c r="T1817" s="122"/>
      <c r="U1817" s="301"/>
      <c r="V1817" s="260">
        <f t="shared" ca="1" si="36"/>
        <v>0</v>
      </c>
      <c r="W1817" s="348" t="str">
        <f>IF(板块成分!B1819="","",板块成分!B1819)</f>
        <v>300351.SZ</v>
      </c>
      <c r="X1817" s="276" t="str">
        <f>[1]!S_Info_Name(W1817)</f>
        <v>永贵电器</v>
      </c>
      <c r="Y1817" s="276" t="str">
        <f ca="1">IF($Y$3="申万一级行业",[1]!s_info_industry_sw_2021(W1817,公司分析!D$5,1),IF($Y$3="申万二级行业",[1]!s_info_industry_sw_2021(W1817,公司分析!D$5,2),IF($Y$3="申万三级行业",[1]!s_info_industry_sw_2021(W1817,公司分析!D$5,3),IF($Y$3="wind一级行业",[1]!s_info_industry_gics(W1817,1),IF($Y$3="wind二级行业",[1]!s_info_industry_gics(W1817,2),IF($Y$3="wind三级行业",[1]!s_info_industry_gics(W1817,3),IF($Y$3="wind四级行业",[1]!s_info_industry_gics(W1817,4),IF($Y$3="证监会门类行业",[1]!s_info_industry_csrc12_n(W1817,公司分析!D$5,1),""))))))))</f>
        <v>轨交设备Ⅱ</v>
      </c>
      <c r="Z1817" s="302" t="str">
        <f ca="1">IF(Y1817=行业比较!$E$6,ROW(),"")</f>
        <v/>
      </c>
      <c r="AA1817" s="122"/>
      <c r="AB1817" s="122"/>
      <c r="AC1817" s="122"/>
      <c r="AD1817" s="122"/>
      <c r="AE1817" s="122"/>
      <c r="AF1817" s="122"/>
      <c r="AG1817" s="122"/>
      <c r="AH1817" s="122"/>
      <c r="AI1817" s="122"/>
      <c r="AJ1817" s="122"/>
      <c r="AK1817" s="122"/>
      <c r="AL1817" s="122"/>
      <c r="AM1817" s="122"/>
      <c r="AN1817" s="122"/>
      <c r="AO1817" s="122"/>
      <c r="AP1817" s="122"/>
    </row>
    <row r="1818" spans="2:42">
      <c r="B1818" s="122"/>
      <c r="C1818" s="122"/>
      <c r="D1818" s="122"/>
      <c r="E1818" s="122"/>
      <c r="F1818" s="122"/>
      <c r="G1818" s="122"/>
      <c r="H1818" s="122"/>
      <c r="I1818" s="275"/>
      <c r="J1818" s="130"/>
      <c r="K1818" s="130"/>
      <c r="L1818" s="130"/>
      <c r="M1818" s="130"/>
      <c r="N1818" s="291"/>
      <c r="O1818" s="291"/>
      <c r="P1818" s="122"/>
      <c r="Q1818" s="122"/>
      <c r="R1818" s="122"/>
      <c r="S1818" s="122"/>
      <c r="T1818" s="122"/>
      <c r="U1818" s="301"/>
      <c r="V1818" s="260">
        <f t="shared" ca="1" si="36"/>
        <v>0</v>
      </c>
      <c r="W1818" s="348" t="str">
        <f>IF(板块成分!B1820="","",板块成分!B1820)</f>
        <v>300352.SZ</v>
      </c>
      <c r="X1818" s="276" t="str">
        <f>[1]!S_Info_Name(W1818)</f>
        <v>北信源</v>
      </c>
      <c r="Y1818" s="276" t="str">
        <f ca="1">IF($Y$3="申万一级行业",[1]!s_info_industry_sw_2021(W1818,公司分析!D$5,1),IF($Y$3="申万二级行业",[1]!s_info_industry_sw_2021(W1818,公司分析!D$5,2),IF($Y$3="申万三级行业",[1]!s_info_industry_sw_2021(W1818,公司分析!D$5,3),IF($Y$3="wind一级行业",[1]!s_info_industry_gics(W1818,1),IF($Y$3="wind二级行业",[1]!s_info_industry_gics(W1818,2),IF($Y$3="wind三级行业",[1]!s_info_industry_gics(W1818,3),IF($Y$3="wind四级行业",[1]!s_info_industry_gics(W1818,4),IF($Y$3="证监会门类行业",[1]!s_info_industry_csrc12_n(W1818,公司分析!D$5,1),""))))))))</f>
        <v>软件开发</v>
      </c>
      <c r="Z1818" s="302" t="str">
        <f ca="1">IF(Y1818=行业比较!$E$6,ROW(),"")</f>
        <v/>
      </c>
      <c r="AA1818" s="122"/>
      <c r="AB1818" s="122"/>
      <c r="AC1818" s="122"/>
      <c r="AD1818" s="122"/>
      <c r="AE1818" s="122"/>
      <c r="AF1818" s="122"/>
      <c r="AG1818" s="122"/>
      <c r="AH1818" s="122"/>
      <c r="AI1818" s="122"/>
      <c r="AJ1818" s="122"/>
      <c r="AK1818" s="122"/>
      <c r="AL1818" s="122"/>
      <c r="AM1818" s="122"/>
      <c r="AN1818" s="122"/>
      <c r="AO1818" s="122"/>
      <c r="AP1818" s="122"/>
    </row>
    <row r="1819" spans="2:42">
      <c r="B1819" s="122"/>
      <c r="C1819" s="122"/>
      <c r="D1819" s="122"/>
      <c r="E1819" s="122"/>
      <c r="F1819" s="122"/>
      <c r="G1819" s="122"/>
      <c r="H1819" s="122"/>
      <c r="I1819" s="275"/>
      <c r="J1819" s="130"/>
      <c r="K1819" s="130"/>
      <c r="L1819" s="130"/>
      <c r="M1819" s="130"/>
      <c r="N1819" s="291"/>
      <c r="O1819" s="291"/>
      <c r="P1819" s="122"/>
      <c r="Q1819" s="122"/>
      <c r="R1819" s="122"/>
      <c r="S1819" s="122"/>
      <c r="T1819" s="122"/>
      <c r="U1819" s="301"/>
      <c r="V1819" s="260">
        <f t="shared" ca="1" si="36"/>
        <v>0</v>
      </c>
      <c r="W1819" s="348" t="str">
        <f>IF(板块成分!B1821="","",板块成分!B1821)</f>
        <v>300353.SZ</v>
      </c>
      <c r="X1819" s="276" t="str">
        <f>[1]!S_Info_Name(W1819)</f>
        <v>东土科技</v>
      </c>
      <c r="Y1819" s="276" t="str">
        <f ca="1">IF($Y$3="申万一级行业",[1]!s_info_industry_sw_2021(W1819,公司分析!D$5,1),IF($Y$3="申万二级行业",[1]!s_info_industry_sw_2021(W1819,公司分析!D$5,2),IF($Y$3="申万三级行业",[1]!s_info_industry_sw_2021(W1819,公司分析!D$5,3),IF($Y$3="wind一级行业",[1]!s_info_industry_gics(W1819,1),IF($Y$3="wind二级行业",[1]!s_info_industry_gics(W1819,2),IF($Y$3="wind三级行业",[1]!s_info_industry_gics(W1819,3),IF($Y$3="wind四级行业",[1]!s_info_industry_gics(W1819,4),IF($Y$3="证监会门类行业",[1]!s_info_industry_csrc12_n(W1819,公司分析!D$5,1),""))))))))</f>
        <v>通信设备</v>
      </c>
      <c r="Z1819" s="302" t="str">
        <f ca="1">IF(Y1819=行业比较!$E$6,ROW(),"")</f>
        <v/>
      </c>
      <c r="AA1819" s="122"/>
      <c r="AB1819" s="122"/>
      <c r="AC1819" s="122"/>
      <c r="AD1819" s="122"/>
      <c r="AE1819" s="122"/>
      <c r="AF1819" s="122"/>
      <c r="AG1819" s="122"/>
      <c r="AH1819" s="122"/>
      <c r="AI1819" s="122"/>
      <c r="AJ1819" s="122"/>
      <c r="AK1819" s="122"/>
      <c r="AL1819" s="122"/>
      <c r="AM1819" s="122"/>
      <c r="AN1819" s="122"/>
      <c r="AO1819" s="122"/>
      <c r="AP1819" s="122"/>
    </row>
    <row r="1820" spans="2:42">
      <c r="B1820" s="122"/>
      <c r="C1820" s="122"/>
      <c r="D1820" s="122"/>
      <c r="E1820" s="122"/>
      <c r="F1820" s="122"/>
      <c r="G1820" s="122"/>
      <c r="H1820" s="122"/>
      <c r="I1820" s="275"/>
      <c r="J1820" s="130"/>
      <c r="K1820" s="130"/>
      <c r="L1820" s="130"/>
      <c r="M1820" s="130"/>
      <c r="N1820" s="291"/>
      <c r="O1820" s="291"/>
      <c r="P1820" s="122"/>
      <c r="Q1820" s="122"/>
      <c r="R1820" s="122"/>
      <c r="S1820" s="122"/>
      <c r="T1820" s="122"/>
      <c r="U1820" s="301"/>
      <c r="V1820" s="260">
        <f t="shared" ca="1" si="36"/>
        <v>0</v>
      </c>
      <c r="W1820" s="348" t="str">
        <f>IF(板块成分!B1822="","",板块成分!B1822)</f>
        <v>300354.SZ</v>
      </c>
      <c r="X1820" s="276" t="str">
        <f>[1]!S_Info_Name(W1820)</f>
        <v>东华测试</v>
      </c>
      <c r="Y1820" s="276" t="str">
        <f ca="1">IF($Y$3="申万一级行业",[1]!s_info_industry_sw_2021(W1820,公司分析!D$5,1),IF($Y$3="申万二级行业",[1]!s_info_industry_sw_2021(W1820,公司分析!D$5,2),IF($Y$3="申万三级行业",[1]!s_info_industry_sw_2021(W1820,公司分析!D$5,3),IF($Y$3="wind一级行业",[1]!s_info_industry_gics(W1820,1),IF($Y$3="wind二级行业",[1]!s_info_industry_gics(W1820,2),IF($Y$3="wind三级行业",[1]!s_info_industry_gics(W1820,3),IF($Y$3="wind四级行业",[1]!s_info_industry_gics(W1820,4),IF($Y$3="证监会门类行业",[1]!s_info_industry_csrc12_n(W1820,公司分析!D$5,1),""))))))))</f>
        <v>通用设备</v>
      </c>
      <c r="Z1820" s="302" t="str">
        <f ca="1">IF(Y1820=行业比较!$E$6,ROW(),"")</f>
        <v/>
      </c>
      <c r="AA1820" s="122"/>
      <c r="AB1820" s="122"/>
      <c r="AC1820" s="122"/>
      <c r="AD1820" s="122"/>
      <c r="AE1820" s="122"/>
      <c r="AF1820" s="122"/>
      <c r="AG1820" s="122"/>
      <c r="AH1820" s="122"/>
      <c r="AI1820" s="122"/>
      <c r="AJ1820" s="122"/>
      <c r="AK1820" s="122"/>
      <c r="AL1820" s="122"/>
      <c r="AM1820" s="122"/>
      <c r="AN1820" s="122"/>
      <c r="AO1820" s="122"/>
      <c r="AP1820" s="122"/>
    </row>
    <row r="1821" spans="2:42">
      <c r="B1821" s="122"/>
      <c r="C1821" s="122"/>
      <c r="D1821" s="122"/>
      <c r="E1821" s="122"/>
      <c r="F1821" s="122"/>
      <c r="G1821" s="122"/>
      <c r="H1821" s="122"/>
      <c r="I1821" s="275"/>
      <c r="J1821" s="130"/>
      <c r="K1821" s="130"/>
      <c r="L1821" s="130"/>
      <c r="M1821" s="130"/>
      <c r="N1821" s="291"/>
      <c r="O1821" s="291"/>
      <c r="P1821" s="122"/>
      <c r="Q1821" s="122"/>
      <c r="R1821" s="122"/>
      <c r="S1821" s="122"/>
      <c r="T1821" s="122"/>
      <c r="U1821" s="301"/>
      <c r="V1821" s="260">
        <f t="shared" ca="1" si="36"/>
        <v>0</v>
      </c>
      <c r="W1821" s="348" t="str">
        <f>IF(板块成分!B1823="","",板块成分!B1823)</f>
        <v>300355.SZ</v>
      </c>
      <c r="X1821" s="276" t="str">
        <f>[1]!S_Info_Name(W1821)</f>
        <v>蒙草生态</v>
      </c>
      <c r="Y1821" s="276" t="str">
        <f ca="1">IF($Y$3="申万一级行业",[1]!s_info_industry_sw_2021(W1821,公司分析!D$5,1),IF($Y$3="申万二级行业",[1]!s_info_industry_sw_2021(W1821,公司分析!D$5,2),IF($Y$3="申万三级行业",[1]!s_info_industry_sw_2021(W1821,公司分析!D$5,3),IF($Y$3="wind一级行业",[1]!s_info_industry_gics(W1821,1),IF($Y$3="wind二级行业",[1]!s_info_industry_gics(W1821,2),IF($Y$3="wind三级行业",[1]!s_info_industry_gics(W1821,3),IF($Y$3="wind四级行业",[1]!s_info_industry_gics(W1821,4),IF($Y$3="证监会门类行业",[1]!s_info_industry_csrc12_n(W1821,公司分析!D$5,1),""))))))))</f>
        <v>基础建设</v>
      </c>
      <c r="Z1821" s="302" t="str">
        <f ca="1">IF(Y1821=行业比较!$E$6,ROW(),"")</f>
        <v/>
      </c>
      <c r="AA1821" s="122"/>
      <c r="AB1821" s="122"/>
      <c r="AC1821" s="122"/>
      <c r="AD1821" s="122"/>
      <c r="AE1821" s="122"/>
      <c r="AF1821" s="122"/>
      <c r="AG1821" s="122"/>
      <c r="AH1821" s="122"/>
      <c r="AI1821" s="122"/>
      <c r="AJ1821" s="122"/>
      <c r="AK1821" s="122"/>
      <c r="AL1821" s="122"/>
      <c r="AM1821" s="122"/>
      <c r="AN1821" s="122"/>
      <c r="AO1821" s="122"/>
      <c r="AP1821" s="122"/>
    </row>
    <row r="1822" spans="2:42">
      <c r="B1822" s="122"/>
      <c r="C1822" s="122"/>
      <c r="D1822" s="122"/>
      <c r="E1822" s="122"/>
      <c r="F1822" s="122"/>
      <c r="G1822" s="122"/>
      <c r="H1822" s="122"/>
      <c r="I1822" s="275"/>
      <c r="J1822" s="130"/>
      <c r="K1822" s="130"/>
      <c r="L1822" s="130"/>
      <c r="M1822" s="130"/>
      <c r="N1822" s="291"/>
      <c r="O1822" s="291"/>
      <c r="P1822" s="122"/>
      <c r="Q1822" s="122"/>
      <c r="R1822" s="122"/>
      <c r="S1822" s="122"/>
      <c r="T1822" s="122"/>
      <c r="U1822" s="301"/>
      <c r="V1822" s="260">
        <f t="shared" ca="1" si="36"/>
        <v>0</v>
      </c>
      <c r="W1822" s="348" t="str">
        <f>IF(板块成分!B1824="","",板块成分!B1824)</f>
        <v>300357.SZ</v>
      </c>
      <c r="X1822" s="276" t="str">
        <f>[1]!S_Info_Name(W1822)</f>
        <v>我武生物</v>
      </c>
      <c r="Y1822" s="276" t="str">
        <f ca="1">IF($Y$3="申万一级行业",[1]!s_info_industry_sw_2021(W1822,公司分析!D$5,1),IF($Y$3="申万二级行业",[1]!s_info_industry_sw_2021(W1822,公司分析!D$5,2),IF($Y$3="申万三级行业",[1]!s_info_industry_sw_2021(W1822,公司分析!D$5,3),IF($Y$3="wind一级行业",[1]!s_info_industry_gics(W1822,1),IF($Y$3="wind二级行业",[1]!s_info_industry_gics(W1822,2),IF($Y$3="wind三级行业",[1]!s_info_industry_gics(W1822,3),IF($Y$3="wind四级行业",[1]!s_info_industry_gics(W1822,4),IF($Y$3="证监会门类行业",[1]!s_info_industry_csrc12_n(W1822,公司分析!D$5,1),""))))))))</f>
        <v>生物制品</v>
      </c>
      <c r="Z1822" s="302" t="str">
        <f ca="1">IF(Y1822=行业比较!$E$6,ROW(),"")</f>
        <v/>
      </c>
      <c r="AA1822" s="122"/>
      <c r="AB1822" s="122"/>
      <c r="AC1822" s="122"/>
      <c r="AD1822" s="122"/>
      <c r="AE1822" s="122"/>
      <c r="AF1822" s="122"/>
      <c r="AG1822" s="122"/>
      <c r="AH1822" s="122"/>
      <c r="AI1822" s="122"/>
      <c r="AJ1822" s="122"/>
      <c r="AK1822" s="122"/>
      <c r="AL1822" s="122"/>
      <c r="AM1822" s="122"/>
      <c r="AN1822" s="122"/>
      <c r="AO1822" s="122"/>
      <c r="AP1822" s="122"/>
    </row>
    <row r="1823" spans="2:42">
      <c r="B1823" s="122"/>
      <c r="C1823" s="122"/>
      <c r="D1823" s="122"/>
      <c r="E1823" s="122"/>
      <c r="F1823" s="122"/>
      <c r="G1823" s="122"/>
      <c r="H1823" s="122"/>
      <c r="I1823" s="275"/>
      <c r="J1823" s="130"/>
      <c r="K1823" s="130"/>
      <c r="L1823" s="130"/>
      <c r="M1823" s="130"/>
      <c r="N1823" s="291"/>
      <c r="O1823" s="291"/>
      <c r="P1823" s="122"/>
      <c r="Q1823" s="122"/>
      <c r="R1823" s="122"/>
      <c r="S1823" s="122"/>
      <c r="T1823" s="122"/>
      <c r="U1823" s="301"/>
      <c r="V1823" s="260">
        <f t="shared" ca="1" si="36"/>
        <v>0</v>
      </c>
      <c r="W1823" s="348" t="str">
        <f>IF(板块成分!B1825="","",板块成分!B1825)</f>
        <v>300358.SZ</v>
      </c>
      <c r="X1823" s="276" t="str">
        <f>[1]!S_Info_Name(W1823)</f>
        <v>楚天科技</v>
      </c>
      <c r="Y1823" s="276" t="str">
        <f ca="1">IF($Y$3="申万一级行业",[1]!s_info_industry_sw_2021(W1823,公司分析!D$5,1),IF($Y$3="申万二级行业",[1]!s_info_industry_sw_2021(W1823,公司分析!D$5,2),IF($Y$3="申万三级行业",[1]!s_info_industry_sw_2021(W1823,公司分析!D$5,3),IF($Y$3="wind一级行业",[1]!s_info_industry_gics(W1823,1),IF($Y$3="wind二级行业",[1]!s_info_industry_gics(W1823,2),IF($Y$3="wind三级行业",[1]!s_info_industry_gics(W1823,3),IF($Y$3="wind四级行业",[1]!s_info_industry_gics(W1823,4),IF($Y$3="证监会门类行业",[1]!s_info_industry_csrc12_n(W1823,公司分析!D$5,1),""))))))))</f>
        <v>医疗器械</v>
      </c>
      <c r="Z1823" s="302" t="str">
        <f ca="1">IF(Y1823=行业比较!$E$6,ROW(),"")</f>
        <v/>
      </c>
      <c r="AA1823" s="122"/>
      <c r="AB1823" s="122"/>
      <c r="AC1823" s="122"/>
      <c r="AD1823" s="122"/>
      <c r="AE1823" s="122"/>
      <c r="AF1823" s="122"/>
      <c r="AG1823" s="122"/>
      <c r="AH1823" s="122"/>
      <c r="AI1823" s="122"/>
      <c r="AJ1823" s="122"/>
      <c r="AK1823" s="122"/>
      <c r="AL1823" s="122"/>
      <c r="AM1823" s="122"/>
      <c r="AN1823" s="122"/>
      <c r="AO1823" s="122"/>
      <c r="AP1823" s="122"/>
    </row>
    <row r="1824" spans="2:42">
      <c r="B1824" s="122"/>
      <c r="C1824" s="122"/>
      <c r="D1824" s="122"/>
      <c r="E1824" s="122"/>
      <c r="F1824" s="122"/>
      <c r="G1824" s="122"/>
      <c r="H1824" s="122"/>
      <c r="I1824" s="275"/>
      <c r="J1824" s="130"/>
      <c r="K1824" s="130"/>
      <c r="L1824" s="130"/>
      <c r="M1824" s="130"/>
      <c r="N1824" s="291"/>
      <c r="O1824" s="291"/>
      <c r="P1824" s="122"/>
      <c r="Q1824" s="122"/>
      <c r="R1824" s="122"/>
      <c r="S1824" s="122"/>
      <c r="T1824" s="122"/>
      <c r="U1824" s="301"/>
      <c r="V1824" s="260">
        <f t="shared" ca="1" si="36"/>
        <v>0</v>
      </c>
      <c r="W1824" s="348" t="str">
        <f>IF(板块成分!B1826="","",板块成分!B1826)</f>
        <v>300359.SZ</v>
      </c>
      <c r="X1824" s="276" t="str">
        <f>[1]!S_Info_Name(W1824)</f>
        <v>全通教育</v>
      </c>
      <c r="Y1824" s="276" t="str">
        <f ca="1">IF($Y$3="申万一级行业",[1]!s_info_industry_sw_2021(W1824,公司分析!D$5,1),IF($Y$3="申万二级行业",[1]!s_info_industry_sw_2021(W1824,公司分析!D$5,2),IF($Y$3="申万三级行业",[1]!s_info_industry_sw_2021(W1824,公司分析!D$5,3),IF($Y$3="wind一级行业",[1]!s_info_industry_gics(W1824,1),IF($Y$3="wind二级行业",[1]!s_info_industry_gics(W1824,2),IF($Y$3="wind三级行业",[1]!s_info_industry_gics(W1824,3),IF($Y$3="wind四级行业",[1]!s_info_industry_gics(W1824,4),IF($Y$3="证监会门类行业",[1]!s_info_industry_csrc12_n(W1824,公司分析!D$5,1),""))))))))</f>
        <v>教育</v>
      </c>
      <c r="Z1824" s="302" t="str">
        <f ca="1">IF(Y1824=行业比较!$E$6,ROW(),"")</f>
        <v/>
      </c>
      <c r="AA1824" s="122"/>
      <c r="AB1824" s="122"/>
      <c r="AC1824" s="122"/>
      <c r="AD1824" s="122"/>
      <c r="AE1824" s="122"/>
      <c r="AF1824" s="122"/>
      <c r="AG1824" s="122"/>
      <c r="AH1824" s="122"/>
      <c r="AI1824" s="122"/>
      <c r="AJ1824" s="122"/>
      <c r="AK1824" s="122"/>
      <c r="AL1824" s="122"/>
      <c r="AM1824" s="122"/>
      <c r="AN1824" s="122"/>
      <c r="AO1824" s="122"/>
      <c r="AP1824" s="122"/>
    </row>
    <row r="1825" spans="2:42">
      <c r="B1825" s="122"/>
      <c r="C1825" s="122"/>
      <c r="D1825" s="122"/>
      <c r="E1825" s="122"/>
      <c r="F1825" s="122"/>
      <c r="G1825" s="122"/>
      <c r="H1825" s="122"/>
      <c r="I1825" s="275"/>
      <c r="J1825" s="130"/>
      <c r="K1825" s="130"/>
      <c r="L1825" s="130"/>
      <c r="M1825" s="130"/>
      <c r="N1825" s="291"/>
      <c r="O1825" s="291"/>
      <c r="P1825" s="122"/>
      <c r="Q1825" s="122"/>
      <c r="R1825" s="122"/>
      <c r="S1825" s="122"/>
      <c r="T1825" s="122"/>
      <c r="U1825" s="301"/>
      <c r="V1825" s="260">
        <f t="shared" ca="1" si="36"/>
        <v>0</v>
      </c>
      <c r="W1825" s="348" t="str">
        <f>IF(板块成分!B1827="","",板块成分!B1827)</f>
        <v>300360.SZ</v>
      </c>
      <c r="X1825" s="276" t="str">
        <f>[1]!S_Info_Name(W1825)</f>
        <v>炬华科技</v>
      </c>
      <c r="Y1825" s="276" t="str">
        <f ca="1">IF($Y$3="申万一级行业",[1]!s_info_industry_sw_2021(W1825,公司分析!D$5,1),IF($Y$3="申万二级行业",[1]!s_info_industry_sw_2021(W1825,公司分析!D$5,2),IF($Y$3="申万三级行业",[1]!s_info_industry_sw_2021(W1825,公司分析!D$5,3),IF($Y$3="wind一级行业",[1]!s_info_industry_gics(W1825,1),IF($Y$3="wind二级行业",[1]!s_info_industry_gics(W1825,2),IF($Y$3="wind三级行业",[1]!s_info_industry_gics(W1825,3),IF($Y$3="wind四级行业",[1]!s_info_industry_gics(W1825,4),IF($Y$3="证监会门类行业",[1]!s_info_industry_csrc12_n(W1825,公司分析!D$5,1),""))))))))</f>
        <v>电网设备</v>
      </c>
      <c r="Z1825" s="302" t="str">
        <f ca="1">IF(Y1825=行业比较!$E$6,ROW(),"")</f>
        <v/>
      </c>
      <c r="AA1825" s="122"/>
      <c r="AB1825" s="122"/>
      <c r="AC1825" s="122"/>
      <c r="AD1825" s="122"/>
      <c r="AE1825" s="122"/>
      <c r="AF1825" s="122"/>
      <c r="AG1825" s="122"/>
      <c r="AH1825" s="122"/>
      <c r="AI1825" s="122"/>
      <c r="AJ1825" s="122"/>
      <c r="AK1825" s="122"/>
      <c r="AL1825" s="122"/>
      <c r="AM1825" s="122"/>
      <c r="AN1825" s="122"/>
      <c r="AO1825" s="122"/>
      <c r="AP1825" s="122"/>
    </row>
    <row r="1826" spans="2:42">
      <c r="B1826" s="122"/>
      <c r="C1826" s="122"/>
      <c r="D1826" s="122"/>
      <c r="E1826" s="122"/>
      <c r="F1826" s="122"/>
      <c r="G1826" s="122"/>
      <c r="H1826" s="122"/>
      <c r="I1826" s="275"/>
      <c r="J1826" s="130"/>
      <c r="K1826" s="130"/>
      <c r="L1826" s="130"/>
      <c r="M1826" s="130"/>
      <c r="N1826" s="291"/>
      <c r="O1826" s="291"/>
      <c r="P1826" s="122"/>
      <c r="Q1826" s="122"/>
      <c r="R1826" s="122"/>
      <c r="S1826" s="122"/>
      <c r="T1826" s="122"/>
      <c r="U1826" s="301"/>
      <c r="V1826" s="260">
        <f t="shared" ca="1" si="36"/>
        <v>0</v>
      </c>
      <c r="W1826" s="348" t="str">
        <f>IF(板块成分!B1828="","",板块成分!B1828)</f>
        <v>300363.SZ</v>
      </c>
      <c r="X1826" s="276" t="str">
        <f>[1]!S_Info_Name(W1826)</f>
        <v>博腾股份</v>
      </c>
      <c r="Y1826" s="276" t="str">
        <f ca="1">IF($Y$3="申万一级行业",[1]!s_info_industry_sw_2021(W1826,公司分析!D$5,1),IF($Y$3="申万二级行业",[1]!s_info_industry_sw_2021(W1826,公司分析!D$5,2),IF($Y$3="申万三级行业",[1]!s_info_industry_sw_2021(W1826,公司分析!D$5,3),IF($Y$3="wind一级行业",[1]!s_info_industry_gics(W1826,1),IF($Y$3="wind二级行业",[1]!s_info_industry_gics(W1826,2),IF($Y$3="wind三级行业",[1]!s_info_industry_gics(W1826,3),IF($Y$3="wind四级行业",[1]!s_info_industry_gics(W1826,4),IF($Y$3="证监会门类行业",[1]!s_info_industry_csrc12_n(W1826,公司分析!D$5,1),""))))))))</f>
        <v>医疗服务</v>
      </c>
      <c r="Z1826" s="302" t="str">
        <f ca="1">IF(Y1826=行业比较!$E$6,ROW(),"")</f>
        <v/>
      </c>
      <c r="AA1826" s="122"/>
      <c r="AB1826" s="122"/>
      <c r="AC1826" s="122"/>
      <c r="AD1826" s="122"/>
      <c r="AE1826" s="122"/>
      <c r="AF1826" s="122"/>
      <c r="AG1826" s="122"/>
      <c r="AH1826" s="122"/>
      <c r="AI1826" s="122"/>
      <c r="AJ1826" s="122"/>
      <c r="AK1826" s="122"/>
      <c r="AL1826" s="122"/>
      <c r="AM1826" s="122"/>
      <c r="AN1826" s="122"/>
      <c r="AO1826" s="122"/>
      <c r="AP1826" s="122"/>
    </row>
    <row r="1827" spans="2:42">
      <c r="B1827" s="122"/>
      <c r="C1827" s="122"/>
      <c r="D1827" s="122"/>
      <c r="E1827" s="122"/>
      <c r="F1827" s="122"/>
      <c r="G1827" s="122"/>
      <c r="H1827" s="122"/>
      <c r="I1827" s="275"/>
      <c r="J1827" s="130"/>
      <c r="K1827" s="130"/>
      <c r="L1827" s="130"/>
      <c r="M1827" s="130"/>
      <c r="N1827" s="291"/>
      <c r="O1827" s="291"/>
      <c r="P1827" s="122"/>
      <c r="Q1827" s="122"/>
      <c r="R1827" s="122"/>
      <c r="S1827" s="122"/>
      <c r="T1827" s="122"/>
      <c r="U1827" s="301"/>
      <c r="V1827" s="260">
        <f t="shared" ca="1" si="36"/>
        <v>0</v>
      </c>
      <c r="W1827" s="348" t="str">
        <f>IF(板块成分!B1829="","",板块成分!B1829)</f>
        <v>300364.SZ</v>
      </c>
      <c r="X1827" s="276" t="str">
        <f>[1]!S_Info_Name(W1827)</f>
        <v>中文在线</v>
      </c>
      <c r="Y1827" s="276" t="str">
        <f ca="1">IF($Y$3="申万一级行业",[1]!s_info_industry_sw_2021(W1827,公司分析!D$5,1),IF($Y$3="申万二级行业",[1]!s_info_industry_sw_2021(W1827,公司分析!D$5,2),IF($Y$3="申万三级行业",[1]!s_info_industry_sw_2021(W1827,公司分析!D$5,3),IF($Y$3="wind一级行业",[1]!s_info_industry_gics(W1827,1),IF($Y$3="wind二级行业",[1]!s_info_industry_gics(W1827,2),IF($Y$3="wind三级行业",[1]!s_info_industry_gics(W1827,3),IF($Y$3="wind四级行业",[1]!s_info_industry_gics(W1827,4),IF($Y$3="证监会门类行业",[1]!s_info_industry_csrc12_n(W1827,公司分析!D$5,1),""))))))))</f>
        <v>出版</v>
      </c>
      <c r="Z1827" s="302" t="str">
        <f ca="1">IF(Y1827=行业比较!$E$6,ROW(),"")</f>
        <v/>
      </c>
      <c r="AA1827" s="122"/>
      <c r="AB1827" s="122"/>
      <c r="AC1827" s="122"/>
      <c r="AD1827" s="122"/>
      <c r="AE1827" s="122"/>
      <c r="AF1827" s="122"/>
      <c r="AG1827" s="122"/>
      <c r="AH1827" s="122"/>
      <c r="AI1827" s="122"/>
      <c r="AJ1827" s="122"/>
      <c r="AK1827" s="122"/>
      <c r="AL1827" s="122"/>
      <c r="AM1827" s="122"/>
      <c r="AN1827" s="122"/>
      <c r="AO1827" s="122"/>
      <c r="AP1827" s="122"/>
    </row>
    <row r="1828" spans="2:42">
      <c r="B1828" s="122"/>
      <c r="C1828" s="122"/>
      <c r="D1828" s="122"/>
      <c r="E1828" s="122"/>
      <c r="F1828" s="122"/>
      <c r="G1828" s="122"/>
      <c r="H1828" s="122"/>
      <c r="I1828" s="275"/>
      <c r="J1828" s="130"/>
      <c r="K1828" s="130"/>
      <c r="L1828" s="130"/>
      <c r="M1828" s="130"/>
      <c r="N1828" s="291"/>
      <c r="O1828" s="291"/>
      <c r="P1828" s="122"/>
      <c r="Q1828" s="122"/>
      <c r="R1828" s="122"/>
      <c r="S1828" s="122"/>
      <c r="T1828" s="122"/>
      <c r="U1828" s="301"/>
      <c r="V1828" s="260">
        <f t="shared" ca="1" si="36"/>
        <v>0</v>
      </c>
      <c r="W1828" s="348" t="str">
        <f>IF(板块成分!B1830="","",板块成分!B1830)</f>
        <v>300365.SZ</v>
      </c>
      <c r="X1828" s="276" t="str">
        <f>[1]!S_Info_Name(W1828)</f>
        <v>恒华科技</v>
      </c>
      <c r="Y1828" s="276" t="str">
        <f ca="1">IF($Y$3="申万一级行业",[1]!s_info_industry_sw_2021(W1828,公司分析!D$5,1),IF($Y$3="申万二级行业",[1]!s_info_industry_sw_2021(W1828,公司分析!D$5,2),IF($Y$3="申万三级行业",[1]!s_info_industry_sw_2021(W1828,公司分析!D$5,3),IF($Y$3="wind一级行业",[1]!s_info_industry_gics(W1828,1),IF($Y$3="wind二级行业",[1]!s_info_industry_gics(W1828,2),IF($Y$3="wind三级行业",[1]!s_info_industry_gics(W1828,3),IF($Y$3="wind四级行业",[1]!s_info_industry_gics(W1828,4),IF($Y$3="证监会门类行业",[1]!s_info_industry_csrc12_n(W1828,公司分析!D$5,1),""))))))))</f>
        <v>软件开发</v>
      </c>
      <c r="Z1828" s="302" t="str">
        <f ca="1">IF(Y1828=行业比较!$E$6,ROW(),"")</f>
        <v/>
      </c>
      <c r="AA1828" s="122"/>
      <c r="AB1828" s="122"/>
      <c r="AC1828" s="122"/>
      <c r="AD1828" s="122"/>
      <c r="AE1828" s="122"/>
      <c r="AF1828" s="122"/>
      <c r="AG1828" s="122"/>
      <c r="AH1828" s="122"/>
      <c r="AI1828" s="122"/>
      <c r="AJ1828" s="122"/>
      <c r="AK1828" s="122"/>
      <c r="AL1828" s="122"/>
      <c r="AM1828" s="122"/>
      <c r="AN1828" s="122"/>
      <c r="AO1828" s="122"/>
      <c r="AP1828" s="122"/>
    </row>
    <row r="1829" spans="2:42">
      <c r="B1829" s="122"/>
      <c r="C1829" s="122"/>
      <c r="D1829" s="122"/>
      <c r="E1829" s="122"/>
      <c r="F1829" s="122"/>
      <c r="G1829" s="122"/>
      <c r="H1829" s="122"/>
      <c r="I1829" s="275"/>
      <c r="J1829" s="130"/>
      <c r="K1829" s="130"/>
      <c r="L1829" s="130"/>
      <c r="M1829" s="130"/>
      <c r="N1829" s="291"/>
      <c r="O1829" s="291"/>
      <c r="P1829" s="122"/>
      <c r="Q1829" s="122"/>
      <c r="R1829" s="122"/>
      <c r="S1829" s="122"/>
      <c r="T1829" s="122"/>
      <c r="U1829" s="301"/>
      <c r="V1829" s="260">
        <f t="shared" ca="1" si="36"/>
        <v>0</v>
      </c>
      <c r="W1829" s="348" t="str">
        <f>IF(板块成分!B1831="","",板块成分!B1831)</f>
        <v>300366.SZ</v>
      </c>
      <c r="X1829" s="276" t="str">
        <f>[1]!S_Info_Name(W1829)</f>
        <v>ST创意</v>
      </c>
      <c r="Y1829" s="276" t="str">
        <f ca="1">IF($Y$3="申万一级行业",[1]!s_info_industry_sw_2021(W1829,公司分析!D$5,1),IF($Y$3="申万二级行业",[1]!s_info_industry_sw_2021(W1829,公司分析!D$5,2),IF($Y$3="申万三级行业",[1]!s_info_industry_sw_2021(W1829,公司分析!D$5,3),IF($Y$3="wind一级行业",[1]!s_info_industry_gics(W1829,1),IF($Y$3="wind二级行业",[1]!s_info_industry_gics(W1829,2),IF($Y$3="wind三级行业",[1]!s_info_industry_gics(W1829,3),IF($Y$3="wind四级行业",[1]!s_info_industry_gics(W1829,4),IF($Y$3="证监会门类行业",[1]!s_info_industry_csrc12_n(W1829,公司分析!D$5,1),""))))))))</f>
        <v>软件开发</v>
      </c>
      <c r="Z1829" s="302" t="str">
        <f ca="1">IF(Y1829=行业比较!$E$6,ROW(),"")</f>
        <v/>
      </c>
      <c r="AA1829" s="122"/>
      <c r="AB1829" s="122"/>
      <c r="AC1829" s="122"/>
      <c r="AD1829" s="122"/>
      <c r="AE1829" s="122"/>
      <c r="AF1829" s="122"/>
      <c r="AG1829" s="122"/>
      <c r="AH1829" s="122"/>
      <c r="AI1829" s="122"/>
      <c r="AJ1829" s="122"/>
      <c r="AK1829" s="122"/>
      <c r="AL1829" s="122"/>
      <c r="AM1829" s="122"/>
      <c r="AN1829" s="122"/>
      <c r="AO1829" s="122"/>
      <c r="AP1829" s="122"/>
    </row>
    <row r="1830" spans="2:42">
      <c r="B1830" s="122"/>
      <c r="C1830" s="122"/>
      <c r="D1830" s="122"/>
      <c r="E1830" s="122"/>
      <c r="F1830" s="122"/>
      <c r="G1830" s="122"/>
      <c r="H1830" s="122"/>
      <c r="I1830" s="275"/>
      <c r="J1830" s="130"/>
      <c r="K1830" s="130"/>
      <c r="L1830" s="130"/>
      <c r="M1830" s="130"/>
      <c r="N1830" s="291"/>
      <c r="O1830" s="291"/>
      <c r="P1830" s="122"/>
      <c r="Q1830" s="122"/>
      <c r="R1830" s="122"/>
      <c r="S1830" s="122"/>
      <c r="T1830" s="122"/>
      <c r="U1830" s="301"/>
      <c r="V1830" s="260">
        <f t="shared" ca="1" si="36"/>
        <v>0</v>
      </c>
      <c r="W1830" s="348" t="str">
        <f>IF(板块成分!B1832="","",板块成分!B1832)</f>
        <v>300368.SZ</v>
      </c>
      <c r="X1830" s="276" t="str">
        <f>[1]!S_Info_Name(W1830)</f>
        <v>汇金股份</v>
      </c>
      <c r="Y1830" s="276" t="str">
        <f ca="1">IF($Y$3="申万一级行业",[1]!s_info_industry_sw_2021(W1830,公司分析!D$5,1),IF($Y$3="申万二级行业",[1]!s_info_industry_sw_2021(W1830,公司分析!D$5,2),IF($Y$3="申万三级行业",[1]!s_info_industry_sw_2021(W1830,公司分析!D$5,3),IF($Y$3="wind一级行业",[1]!s_info_industry_gics(W1830,1),IF($Y$3="wind二级行业",[1]!s_info_industry_gics(W1830,2),IF($Y$3="wind三级行业",[1]!s_info_industry_gics(W1830,3),IF($Y$3="wind四级行业",[1]!s_info_industry_gics(W1830,4),IF($Y$3="证监会门类行业",[1]!s_info_industry_csrc12_n(W1830,公司分析!D$5,1),""))))))))</f>
        <v>计算机设备</v>
      </c>
      <c r="Z1830" s="302" t="str">
        <f ca="1">IF(Y1830=行业比较!$E$6,ROW(),"")</f>
        <v/>
      </c>
      <c r="AA1830" s="122"/>
      <c r="AB1830" s="122"/>
      <c r="AC1830" s="122"/>
      <c r="AD1830" s="122"/>
      <c r="AE1830" s="122"/>
      <c r="AF1830" s="122"/>
      <c r="AG1830" s="122"/>
      <c r="AH1830" s="122"/>
      <c r="AI1830" s="122"/>
      <c r="AJ1830" s="122"/>
      <c r="AK1830" s="122"/>
      <c r="AL1830" s="122"/>
      <c r="AM1830" s="122"/>
      <c r="AN1830" s="122"/>
      <c r="AO1830" s="122"/>
      <c r="AP1830" s="122"/>
    </row>
    <row r="1831" spans="2:42">
      <c r="B1831" s="122"/>
      <c r="C1831" s="122"/>
      <c r="D1831" s="122"/>
      <c r="E1831" s="122"/>
      <c r="F1831" s="122"/>
      <c r="G1831" s="122"/>
      <c r="H1831" s="122"/>
      <c r="I1831" s="275"/>
      <c r="J1831" s="130"/>
      <c r="K1831" s="130"/>
      <c r="L1831" s="130"/>
      <c r="M1831" s="130"/>
      <c r="N1831" s="291"/>
      <c r="O1831" s="291"/>
      <c r="P1831" s="122"/>
      <c r="Q1831" s="122"/>
      <c r="R1831" s="122"/>
      <c r="S1831" s="122"/>
      <c r="T1831" s="122"/>
      <c r="U1831" s="301"/>
      <c r="V1831" s="260">
        <f t="shared" ca="1" si="36"/>
        <v>0</v>
      </c>
      <c r="W1831" s="348" t="str">
        <f>IF(板块成分!B1833="","",板块成分!B1833)</f>
        <v>300369.SZ</v>
      </c>
      <c r="X1831" s="276" t="str">
        <f>[1]!S_Info_Name(W1831)</f>
        <v>绿盟科技</v>
      </c>
      <c r="Y1831" s="276" t="str">
        <f ca="1">IF($Y$3="申万一级行业",[1]!s_info_industry_sw_2021(W1831,公司分析!D$5,1),IF($Y$3="申万二级行业",[1]!s_info_industry_sw_2021(W1831,公司分析!D$5,2),IF($Y$3="申万三级行业",[1]!s_info_industry_sw_2021(W1831,公司分析!D$5,3),IF($Y$3="wind一级行业",[1]!s_info_industry_gics(W1831,1),IF($Y$3="wind二级行业",[1]!s_info_industry_gics(W1831,2),IF($Y$3="wind三级行业",[1]!s_info_industry_gics(W1831,3),IF($Y$3="wind四级行业",[1]!s_info_industry_gics(W1831,4),IF($Y$3="证监会门类行业",[1]!s_info_industry_csrc12_n(W1831,公司分析!D$5,1),""))))))))</f>
        <v>软件开发</v>
      </c>
      <c r="Z1831" s="302" t="str">
        <f ca="1">IF(Y1831=行业比较!$E$6,ROW(),"")</f>
        <v/>
      </c>
      <c r="AA1831" s="122"/>
      <c r="AB1831" s="122"/>
      <c r="AC1831" s="122"/>
      <c r="AD1831" s="122"/>
      <c r="AE1831" s="122"/>
      <c r="AF1831" s="122"/>
      <c r="AG1831" s="122"/>
      <c r="AH1831" s="122"/>
      <c r="AI1831" s="122"/>
      <c r="AJ1831" s="122"/>
      <c r="AK1831" s="122"/>
      <c r="AL1831" s="122"/>
      <c r="AM1831" s="122"/>
      <c r="AN1831" s="122"/>
      <c r="AO1831" s="122"/>
      <c r="AP1831" s="122"/>
    </row>
    <row r="1832" spans="2:42">
      <c r="B1832" s="122"/>
      <c r="C1832" s="122"/>
      <c r="D1832" s="122"/>
      <c r="E1832" s="122"/>
      <c r="F1832" s="122"/>
      <c r="G1832" s="122"/>
      <c r="H1832" s="122"/>
      <c r="I1832" s="275"/>
      <c r="J1832" s="130"/>
      <c r="K1832" s="130"/>
      <c r="L1832" s="130"/>
      <c r="M1832" s="130"/>
      <c r="N1832" s="291"/>
      <c r="O1832" s="291"/>
      <c r="P1832" s="122"/>
      <c r="Q1832" s="122"/>
      <c r="R1832" s="122"/>
      <c r="S1832" s="122"/>
      <c r="T1832" s="122"/>
      <c r="U1832" s="301"/>
      <c r="V1832" s="260">
        <f t="shared" ca="1" si="36"/>
        <v>0</v>
      </c>
      <c r="W1832" s="348" t="str">
        <f>IF(板块成分!B1834="","",板块成分!B1834)</f>
        <v>300370.SZ</v>
      </c>
      <c r="X1832" s="276" t="str">
        <f>[1]!S_Info_Name(W1832)</f>
        <v>安控科技</v>
      </c>
      <c r="Y1832" s="276" t="str">
        <f ca="1">IF($Y$3="申万一级行业",[1]!s_info_industry_sw_2021(W1832,公司分析!D$5,1),IF($Y$3="申万二级行业",[1]!s_info_industry_sw_2021(W1832,公司分析!D$5,2),IF($Y$3="申万三级行业",[1]!s_info_industry_sw_2021(W1832,公司分析!D$5,3),IF($Y$3="wind一级行业",[1]!s_info_industry_gics(W1832,1),IF($Y$3="wind二级行业",[1]!s_info_industry_gics(W1832,2),IF($Y$3="wind三级行业",[1]!s_info_industry_gics(W1832,3),IF($Y$3="wind四级行业",[1]!s_info_industry_gics(W1832,4),IF($Y$3="证监会门类行业",[1]!s_info_industry_csrc12_n(W1832,公司分析!D$5,1),""))))))))</f>
        <v>通用设备</v>
      </c>
      <c r="Z1832" s="302" t="str">
        <f ca="1">IF(Y1832=行业比较!$E$6,ROW(),"")</f>
        <v/>
      </c>
      <c r="AA1832" s="122"/>
      <c r="AB1832" s="122"/>
      <c r="AC1832" s="122"/>
      <c r="AD1832" s="122"/>
      <c r="AE1832" s="122"/>
      <c r="AF1832" s="122"/>
      <c r="AG1832" s="122"/>
      <c r="AH1832" s="122"/>
      <c r="AI1832" s="122"/>
      <c r="AJ1832" s="122"/>
      <c r="AK1832" s="122"/>
      <c r="AL1832" s="122"/>
      <c r="AM1832" s="122"/>
      <c r="AN1832" s="122"/>
      <c r="AO1832" s="122"/>
      <c r="AP1832" s="122"/>
    </row>
    <row r="1833" spans="2:42">
      <c r="B1833" s="122"/>
      <c r="C1833" s="122"/>
      <c r="D1833" s="122"/>
      <c r="E1833" s="122"/>
      <c r="F1833" s="122"/>
      <c r="G1833" s="122"/>
      <c r="H1833" s="122"/>
      <c r="I1833" s="275"/>
      <c r="J1833" s="130"/>
      <c r="K1833" s="130"/>
      <c r="L1833" s="130"/>
      <c r="M1833" s="130"/>
      <c r="N1833" s="291"/>
      <c r="O1833" s="291"/>
      <c r="P1833" s="122"/>
      <c r="Q1833" s="122"/>
      <c r="R1833" s="122"/>
      <c r="S1833" s="122"/>
      <c r="T1833" s="122"/>
      <c r="U1833" s="301"/>
      <c r="V1833" s="260">
        <f t="shared" ca="1" si="36"/>
        <v>0</v>
      </c>
      <c r="W1833" s="348" t="str">
        <f>IF(板块成分!B1835="","",板块成分!B1835)</f>
        <v>300371.SZ</v>
      </c>
      <c r="X1833" s="276" t="str">
        <f>[1]!S_Info_Name(W1833)</f>
        <v>汇中股份</v>
      </c>
      <c r="Y1833" s="276" t="str">
        <f ca="1">IF($Y$3="申万一级行业",[1]!s_info_industry_sw_2021(W1833,公司分析!D$5,1),IF($Y$3="申万二级行业",[1]!s_info_industry_sw_2021(W1833,公司分析!D$5,2),IF($Y$3="申万三级行业",[1]!s_info_industry_sw_2021(W1833,公司分析!D$5,3),IF($Y$3="wind一级行业",[1]!s_info_industry_gics(W1833,1),IF($Y$3="wind二级行业",[1]!s_info_industry_gics(W1833,2),IF($Y$3="wind三级行业",[1]!s_info_industry_gics(W1833,3),IF($Y$3="wind四级行业",[1]!s_info_industry_gics(W1833,4),IF($Y$3="证监会门类行业",[1]!s_info_industry_csrc12_n(W1833,公司分析!D$5,1),""))))))))</f>
        <v>通用设备</v>
      </c>
      <c r="Z1833" s="302" t="str">
        <f ca="1">IF(Y1833=行业比较!$E$6,ROW(),"")</f>
        <v/>
      </c>
      <c r="AA1833" s="122"/>
      <c r="AB1833" s="122"/>
      <c r="AC1833" s="122"/>
      <c r="AD1833" s="122"/>
      <c r="AE1833" s="122"/>
      <c r="AF1833" s="122"/>
      <c r="AG1833" s="122"/>
      <c r="AH1833" s="122"/>
      <c r="AI1833" s="122"/>
      <c r="AJ1833" s="122"/>
      <c r="AK1833" s="122"/>
      <c r="AL1833" s="122"/>
      <c r="AM1833" s="122"/>
      <c r="AN1833" s="122"/>
      <c r="AO1833" s="122"/>
      <c r="AP1833" s="122"/>
    </row>
    <row r="1834" spans="2:42">
      <c r="B1834" s="122"/>
      <c r="C1834" s="122"/>
      <c r="D1834" s="122"/>
      <c r="E1834" s="122"/>
      <c r="F1834" s="122"/>
      <c r="G1834" s="122"/>
      <c r="H1834" s="122"/>
      <c r="I1834" s="275"/>
      <c r="J1834" s="130"/>
      <c r="K1834" s="130"/>
      <c r="L1834" s="130"/>
      <c r="M1834" s="130"/>
      <c r="N1834" s="291"/>
      <c r="O1834" s="291"/>
      <c r="P1834" s="122"/>
      <c r="Q1834" s="122"/>
      <c r="R1834" s="122"/>
      <c r="S1834" s="122"/>
      <c r="T1834" s="122"/>
      <c r="U1834" s="301"/>
      <c r="V1834" s="260">
        <f t="shared" ca="1" si="36"/>
        <v>0</v>
      </c>
      <c r="W1834" s="348" t="str">
        <f>IF(板块成分!B1836="","",板块成分!B1836)</f>
        <v>300373.SZ</v>
      </c>
      <c r="X1834" s="276" t="str">
        <f>[1]!S_Info_Name(W1834)</f>
        <v>扬杰科技</v>
      </c>
      <c r="Y1834" s="276" t="str">
        <f ca="1">IF($Y$3="申万一级行业",[1]!s_info_industry_sw_2021(W1834,公司分析!D$5,1),IF($Y$3="申万二级行业",[1]!s_info_industry_sw_2021(W1834,公司分析!D$5,2),IF($Y$3="申万三级行业",[1]!s_info_industry_sw_2021(W1834,公司分析!D$5,3),IF($Y$3="wind一级行业",[1]!s_info_industry_gics(W1834,1),IF($Y$3="wind二级行业",[1]!s_info_industry_gics(W1834,2),IF($Y$3="wind三级行业",[1]!s_info_industry_gics(W1834,3),IF($Y$3="wind四级行业",[1]!s_info_industry_gics(W1834,4),IF($Y$3="证监会门类行业",[1]!s_info_industry_csrc12_n(W1834,公司分析!D$5,1),""))))))))</f>
        <v>半导体</v>
      </c>
      <c r="Z1834" s="302" t="str">
        <f ca="1">IF(Y1834=行业比较!$E$6,ROW(),"")</f>
        <v/>
      </c>
      <c r="AA1834" s="122"/>
      <c r="AB1834" s="122"/>
      <c r="AC1834" s="122"/>
      <c r="AD1834" s="122"/>
      <c r="AE1834" s="122"/>
      <c r="AF1834" s="122"/>
      <c r="AG1834" s="122"/>
      <c r="AH1834" s="122"/>
      <c r="AI1834" s="122"/>
      <c r="AJ1834" s="122"/>
      <c r="AK1834" s="122"/>
      <c r="AL1834" s="122"/>
      <c r="AM1834" s="122"/>
      <c r="AN1834" s="122"/>
      <c r="AO1834" s="122"/>
      <c r="AP1834" s="122"/>
    </row>
    <row r="1835" spans="2:42">
      <c r="B1835" s="122"/>
      <c r="C1835" s="122"/>
      <c r="D1835" s="122"/>
      <c r="E1835" s="122"/>
      <c r="F1835" s="122"/>
      <c r="G1835" s="122"/>
      <c r="H1835" s="122"/>
      <c r="I1835" s="275"/>
      <c r="J1835" s="130"/>
      <c r="K1835" s="130"/>
      <c r="L1835" s="130"/>
      <c r="M1835" s="130"/>
      <c r="N1835" s="291"/>
      <c r="O1835" s="291"/>
      <c r="P1835" s="122"/>
      <c r="Q1835" s="122"/>
      <c r="R1835" s="122"/>
      <c r="S1835" s="122"/>
      <c r="T1835" s="122"/>
      <c r="U1835" s="301"/>
      <c r="V1835" s="260">
        <f t="shared" ca="1" si="36"/>
        <v>0</v>
      </c>
      <c r="W1835" s="348" t="str">
        <f>IF(板块成分!B1837="","",板块成分!B1837)</f>
        <v>300374.SZ</v>
      </c>
      <c r="X1835" s="276" t="str">
        <f>[1]!S_Info_Name(W1835)</f>
        <v>中铁装配</v>
      </c>
      <c r="Y1835" s="276" t="str">
        <f ca="1">IF($Y$3="申万一级行业",[1]!s_info_industry_sw_2021(W1835,公司分析!D$5,1),IF($Y$3="申万二级行业",[1]!s_info_industry_sw_2021(W1835,公司分析!D$5,2),IF($Y$3="申万三级行业",[1]!s_info_industry_sw_2021(W1835,公司分析!D$5,3),IF($Y$3="wind一级行业",[1]!s_info_industry_gics(W1835,1),IF($Y$3="wind二级行业",[1]!s_info_industry_gics(W1835,2),IF($Y$3="wind三级行业",[1]!s_info_industry_gics(W1835,3),IF($Y$3="wind四级行业",[1]!s_info_industry_gics(W1835,4),IF($Y$3="证监会门类行业",[1]!s_info_industry_csrc12_n(W1835,公司分析!D$5,1),""))))))))</f>
        <v>装修建材</v>
      </c>
      <c r="Z1835" s="302" t="str">
        <f ca="1">IF(Y1835=行业比较!$E$6,ROW(),"")</f>
        <v/>
      </c>
      <c r="AA1835" s="122"/>
      <c r="AB1835" s="122"/>
      <c r="AC1835" s="122"/>
      <c r="AD1835" s="122"/>
      <c r="AE1835" s="122"/>
      <c r="AF1835" s="122"/>
      <c r="AG1835" s="122"/>
      <c r="AH1835" s="122"/>
      <c r="AI1835" s="122"/>
      <c r="AJ1835" s="122"/>
      <c r="AK1835" s="122"/>
      <c r="AL1835" s="122"/>
      <c r="AM1835" s="122"/>
      <c r="AN1835" s="122"/>
      <c r="AO1835" s="122"/>
      <c r="AP1835" s="122"/>
    </row>
    <row r="1836" spans="2:42">
      <c r="B1836" s="122"/>
      <c r="C1836" s="122"/>
      <c r="D1836" s="122"/>
      <c r="E1836" s="122"/>
      <c r="F1836" s="122"/>
      <c r="G1836" s="122"/>
      <c r="H1836" s="122"/>
      <c r="I1836" s="275"/>
      <c r="J1836" s="130"/>
      <c r="K1836" s="130"/>
      <c r="L1836" s="130"/>
      <c r="M1836" s="130"/>
      <c r="N1836" s="291"/>
      <c r="O1836" s="291"/>
      <c r="P1836" s="122"/>
      <c r="Q1836" s="122"/>
      <c r="R1836" s="122"/>
      <c r="S1836" s="122"/>
      <c r="T1836" s="122"/>
      <c r="U1836" s="301"/>
      <c r="V1836" s="260">
        <f t="shared" ca="1" si="36"/>
        <v>0</v>
      </c>
      <c r="W1836" s="348" t="str">
        <f>IF(板块成分!B1838="","",板块成分!B1838)</f>
        <v>300375.SZ</v>
      </c>
      <c r="X1836" s="276" t="str">
        <f>[1]!S_Info_Name(W1836)</f>
        <v>鹏翎股份</v>
      </c>
      <c r="Y1836" s="276" t="str">
        <f ca="1">IF($Y$3="申万一级行业",[1]!s_info_industry_sw_2021(W1836,公司分析!D$5,1),IF($Y$3="申万二级行业",[1]!s_info_industry_sw_2021(W1836,公司分析!D$5,2),IF($Y$3="申万三级行业",[1]!s_info_industry_sw_2021(W1836,公司分析!D$5,3),IF($Y$3="wind一级行业",[1]!s_info_industry_gics(W1836,1),IF($Y$3="wind二级行业",[1]!s_info_industry_gics(W1836,2),IF($Y$3="wind三级行业",[1]!s_info_industry_gics(W1836,3),IF($Y$3="wind四级行业",[1]!s_info_industry_gics(W1836,4),IF($Y$3="证监会门类行业",[1]!s_info_industry_csrc12_n(W1836,公司分析!D$5,1),""))))))))</f>
        <v>汽车零部件</v>
      </c>
      <c r="Z1836" s="302" t="str">
        <f ca="1">IF(Y1836=行业比较!$E$6,ROW(),"")</f>
        <v/>
      </c>
      <c r="AA1836" s="122"/>
      <c r="AB1836" s="122"/>
      <c r="AC1836" s="122"/>
      <c r="AD1836" s="122"/>
      <c r="AE1836" s="122"/>
      <c r="AF1836" s="122"/>
      <c r="AG1836" s="122"/>
      <c r="AH1836" s="122"/>
      <c r="AI1836" s="122"/>
      <c r="AJ1836" s="122"/>
      <c r="AK1836" s="122"/>
      <c r="AL1836" s="122"/>
      <c r="AM1836" s="122"/>
      <c r="AN1836" s="122"/>
      <c r="AO1836" s="122"/>
      <c r="AP1836" s="122"/>
    </row>
    <row r="1837" spans="2:42">
      <c r="B1837" s="122"/>
      <c r="C1837" s="122"/>
      <c r="D1837" s="122"/>
      <c r="E1837" s="122"/>
      <c r="F1837" s="122"/>
      <c r="G1837" s="122"/>
      <c r="H1837" s="122"/>
      <c r="I1837" s="275"/>
      <c r="J1837" s="130"/>
      <c r="K1837" s="130"/>
      <c r="L1837" s="130"/>
      <c r="M1837" s="130"/>
      <c r="N1837" s="291"/>
      <c r="O1837" s="291"/>
      <c r="P1837" s="122"/>
      <c r="Q1837" s="122"/>
      <c r="R1837" s="122"/>
      <c r="S1837" s="122"/>
      <c r="T1837" s="122"/>
      <c r="U1837" s="301"/>
      <c r="V1837" s="260">
        <f t="shared" ca="1" si="36"/>
        <v>0</v>
      </c>
      <c r="W1837" s="348" t="str">
        <f>IF(板块成分!B1839="","",板块成分!B1839)</f>
        <v>300376.SZ</v>
      </c>
      <c r="X1837" s="276" t="str">
        <f>[1]!S_Info_Name(W1837)</f>
        <v>易事特</v>
      </c>
      <c r="Y1837" s="276" t="str">
        <f ca="1">IF($Y$3="申万一级行业",[1]!s_info_industry_sw_2021(W1837,公司分析!D$5,1),IF($Y$3="申万二级行业",[1]!s_info_industry_sw_2021(W1837,公司分析!D$5,2),IF($Y$3="申万三级行业",[1]!s_info_industry_sw_2021(W1837,公司分析!D$5,3),IF($Y$3="wind一级行业",[1]!s_info_industry_gics(W1837,1),IF($Y$3="wind二级行业",[1]!s_info_industry_gics(W1837,2),IF($Y$3="wind三级行业",[1]!s_info_industry_gics(W1837,3),IF($Y$3="wind四级行业",[1]!s_info_industry_gics(W1837,4),IF($Y$3="证监会门类行业",[1]!s_info_industry_csrc12_n(W1837,公司分析!D$5,1),""))))))))</f>
        <v>其他电源设备Ⅱ</v>
      </c>
      <c r="Z1837" s="302" t="str">
        <f ca="1">IF(Y1837=行业比较!$E$6,ROW(),"")</f>
        <v/>
      </c>
      <c r="AA1837" s="122"/>
      <c r="AB1837" s="122"/>
      <c r="AC1837" s="122"/>
      <c r="AD1837" s="122"/>
      <c r="AE1837" s="122"/>
      <c r="AF1837" s="122"/>
      <c r="AG1837" s="122"/>
      <c r="AH1837" s="122"/>
      <c r="AI1837" s="122"/>
      <c r="AJ1837" s="122"/>
      <c r="AK1837" s="122"/>
      <c r="AL1837" s="122"/>
      <c r="AM1837" s="122"/>
      <c r="AN1837" s="122"/>
      <c r="AO1837" s="122"/>
      <c r="AP1837" s="122"/>
    </row>
    <row r="1838" spans="2:42">
      <c r="B1838" s="122"/>
      <c r="C1838" s="122"/>
      <c r="D1838" s="122"/>
      <c r="E1838" s="122"/>
      <c r="F1838" s="122"/>
      <c r="G1838" s="122"/>
      <c r="H1838" s="122"/>
      <c r="I1838" s="275"/>
      <c r="J1838" s="130"/>
      <c r="K1838" s="130"/>
      <c r="L1838" s="130"/>
      <c r="M1838" s="130"/>
      <c r="N1838" s="291"/>
      <c r="O1838" s="291"/>
      <c r="P1838" s="122"/>
      <c r="Q1838" s="122"/>
      <c r="R1838" s="122"/>
      <c r="S1838" s="122"/>
      <c r="T1838" s="122"/>
      <c r="U1838" s="301"/>
      <c r="V1838" s="260">
        <f t="shared" ca="1" si="36"/>
        <v>0</v>
      </c>
      <c r="W1838" s="348" t="str">
        <f>IF(板块成分!B1840="","",板块成分!B1840)</f>
        <v>300377.SZ</v>
      </c>
      <c r="X1838" s="276" t="str">
        <f>[1]!S_Info_Name(W1838)</f>
        <v>赢时胜</v>
      </c>
      <c r="Y1838" s="276" t="str">
        <f ca="1">IF($Y$3="申万一级行业",[1]!s_info_industry_sw_2021(W1838,公司分析!D$5,1),IF($Y$3="申万二级行业",[1]!s_info_industry_sw_2021(W1838,公司分析!D$5,2),IF($Y$3="申万三级行业",[1]!s_info_industry_sw_2021(W1838,公司分析!D$5,3),IF($Y$3="wind一级行业",[1]!s_info_industry_gics(W1838,1),IF($Y$3="wind二级行业",[1]!s_info_industry_gics(W1838,2),IF($Y$3="wind三级行业",[1]!s_info_industry_gics(W1838,3),IF($Y$3="wind四级行业",[1]!s_info_industry_gics(W1838,4),IF($Y$3="证监会门类行业",[1]!s_info_industry_csrc12_n(W1838,公司分析!D$5,1),""))))))))</f>
        <v>软件开发</v>
      </c>
      <c r="Z1838" s="302" t="str">
        <f ca="1">IF(Y1838=行业比较!$E$6,ROW(),"")</f>
        <v/>
      </c>
      <c r="AA1838" s="122"/>
      <c r="AB1838" s="122"/>
      <c r="AC1838" s="122"/>
      <c r="AD1838" s="122"/>
      <c r="AE1838" s="122"/>
      <c r="AF1838" s="122"/>
      <c r="AG1838" s="122"/>
      <c r="AH1838" s="122"/>
      <c r="AI1838" s="122"/>
      <c r="AJ1838" s="122"/>
      <c r="AK1838" s="122"/>
      <c r="AL1838" s="122"/>
      <c r="AM1838" s="122"/>
      <c r="AN1838" s="122"/>
      <c r="AO1838" s="122"/>
      <c r="AP1838" s="122"/>
    </row>
    <row r="1839" spans="2:42">
      <c r="B1839" s="122"/>
      <c r="C1839" s="122"/>
      <c r="D1839" s="122"/>
      <c r="E1839" s="122"/>
      <c r="F1839" s="122"/>
      <c r="G1839" s="122"/>
      <c r="H1839" s="122"/>
      <c r="I1839" s="275"/>
      <c r="J1839" s="130"/>
      <c r="K1839" s="130"/>
      <c r="L1839" s="130"/>
      <c r="M1839" s="130"/>
      <c r="N1839" s="291"/>
      <c r="O1839" s="291"/>
      <c r="P1839" s="122"/>
      <c r="Q1839" s="122"/>
      <c r="R1839" s="122"/>
      <c r="S1839" s="122"/>
      <c r="T1839" s="122"/>
      <c r="U1839" s="301"/>
      <c r="V1839" s="260">
        <f t="shared" ca="1" si="36"/>
        <v>0</v>
      </c>
      <c r="W1839" s="348" t="str">
        <f>IF(板块成分!B1841="","",板块成分!B1841)</f>
        <v>300378.SZ</v>
      </c>
      <c r="X1839" s="276" t="str">
        <f>[1]!S_Info_Name(W1839)</f>
        <v>鼎捷数智</v>
      </c>
      <c r="Y1839" s="276" t="str">
        <f ca="1">IF($Y$3="申万一级行业",[1]!s_info_industry_sw_2021(W1839,公司分析!D$5,1),IF($Y$3="申万二级行业",[1]!s_info_industry_sw_2021(W1839,公司分析!D$5,2),IF($Y$3="申万三级行业",[1]!s_info_industry_sw_2021(W1839,公司分析!D$5,3),IF($Y$3="wind一级行业",[1]!s_info_industry_gics(W1839,1),IF($Y$3="wind二级行业",[1]!s_info_industry_gics(W1839,2),IF($Y$3="wind三级行业",[1]!s_info_industry_gics(W1839,3),IF($Y$3="wind四级行业",[1]!s_info_industry_gics(W1839,4),IF($Y$3="证监会门类行业",[1]!s_info_industry_csrc12_n(W1839,公司分析!D$5,1),""))))))))</f>
        <v>软件开发</v>
      </c>
      <c r="Z1839" s="302" t="str">
        <f ca="1">IF(Y1839=行业比较!$E$6,ROW(),"")</f>
        <v/>
      </c>
      <c r="AA1839" s="122"/>
      <c r="AB1839" s="122"/>
      <c r="AC1839" s="122"/>
      <c r="AD1839" s="122"/>
      <c r="AE1839" s="122"/>
      <c r="AF1839" s="122"/>
      <c r="AG1839" s="122"/>
      <c r="AH1839" s="122"/>
      <c r="AI1839" s="122"/>
      <c r="AJ1839" s="122"/>
      <c r="AK1839" s="122"/>
      <c r="AL1839" s="122"/>
      <c r="AM1839" s="122"/>
      <c r="AN1839" s="122"/>
      <c r="AO1839" s="122"/>
      <c r="AP1839" s="122"/>
    </row>
    <row r="1840" spans="2:42">
      <c r="B1840" s="122"/>
      <c r="C1840" s="122"/>
      <c r="D1840" s="122"/>
      <c r="E1840" s="122"/>
      <c r="F1840" s="122"/>
      <c r="G1840" s="122"/>
      <c r="H1840" s="122"/>
      <c r="I1840" s="275"/>
      <c r="J1840" s="130"/>
      <c r="K1840" s="130"/>
      <c r="L1840" s="130"/>
      <c r="M1840" s="130"/>
      <c r="N1840" s="291"/>
      <c r="O1840" s="291"/>
      <c r="P1840" s="122"/>
      <c r="Q1840" s="122"/>
      <c r="R1840" s="122"/>
      <c r="S1840" s="122"/>
      <c r="T1840" s="122"/>
      <c r="U1840" s="301"/>
      <c r="V1840" s="260">
        <f t="shared" ca="1" si="36"/>
        <v>0</v>
      </c>
      <c r="W1840" s="348" t="str">
        <f>IF(板块成分!B1842="","",板块成分!B1842)</f>
        <v>300380.SZ</v>
      </c>
      <c r="X1840" s="276" t="str">
        <f>[1]!S_Info_Name(W1840)</f>
        <v>安硕信息</v>
      </c>
      <c r="Y1840" s="276" t="str">
        <f ca="1">IF($Y$3="申万一级行业",[1]!s_info_industry_sw_2021(W1840,公司分析!D$5,1),IF($Y$3="申万二级行业",[1]!s_info_industry_sw_2021(W1840,公司分析!D$5,2),IF($Y$3="申万三级行业",[1]!s_info_industry_sw_2021(W1840,公司分析!D$5,3),IF($Y$3="wind一级行业",[1]!s_info_industry_gics(W1840,1),IF($Y$3="wind二级行业",[1]!s_info_industry_gics(W1840,2),IF($Y$3="wind三级行业",[1]!s_info_industry_gics(W1840,3),IF($Y$3="wind四级行业",[1]!s_info_industry_gics(W1840,4),IF($Y$3="证监会门类行业",[1]!s_info_industry_csrc12_n(W1840,公司分析!D$5,1),""))))))))</f>
        <v>软件开发</v>
      </c>
      <c r="Z1840" s="302" t="str">
        <f ca="1">IF(Y1840=行业比较!$E$6,ROW(),"")</f>
        <v/>
      </c>
      <c r="AA1840" s="122"/>
      <c r="AB1840" s="122"/>
      <c r="AC1840" s="122"/>
      <c r="AD1840" s="122"/>
      <c r="AE1840" s="122"/>
      <c r="AF1840" s="122"/>
      <c r="AG1840" s="122"/>
      <c r="AH1840" s="122"/>
      <c r="AI1840" s="122"/>
      <c r="AJ1840" s="122"/>
      <c r="AK1840" s="122"/>
      <c r="AL1840" s="122"/>
      <c r="AM1840" s="122"/>
      <c r="AN1840" s="122"/>
      <c r="AO1840" s="122"/>
      <c r="AP1840" s="122"/>
    </row>
    <row r="1841" spans="2:42">
      <c r="B1841" s="122"/>
      <c r="C1841" s="122"/>
      <c r="D1841" s="122"/>
      <c r="E1841" s="122"/>
      <c r="F1841" s="122"/>
      <c r="G1841" s="122"/>
      <c r="H1841" s="122"/>
      <c r="I1841" s="275"/>
      <c r="J1841" s="130"/>
      <c r="K1841" s="130"/>
      <c r="L1841" s="130"/>
      <c r="M1841" s="130"/>
      <c r="N1841" s="291"/>
      <c r="O1841" s="291"/>
      <c r="P1841" s="122"/>
      <c r="Q1841" s="122"/>
      <c r="R1841" s="122"/>
      <c r="S1841" s="122"/>
      <c r="T1841" s="122"/>
      <c r="U1841" s="301"/>
      <c r="V1841" s="260">
        <f t="shared" ca="1" si="36"/>
        <v>0</v>
      </c>
      <c r="W1841" s="348" t="str">
        <f>IF(板块成分!B1843="","",板块成分!B1843)</f>
        <v>300381.SZ</v>
      </c>
      <c r="X1841" s="276" t="str">
        <f>[1]!S_Info_Name(W1841)</f>
        <v>溢多利</v>
      </c>
      <c r="Y1841" s="276" t="str">
        <f ca="1">IF($Y$3="申万一级行业",[1]!s_info_industry_sw_2021(W1841,公司分析!D$5,1),IF($Y$3="申万二级行业",[1]!s_info_industry_sw_2021(W1841,公司分析!D$5,2),IF($Y$3="申万三级行业",[1]!s_info_industry_sw_2021(W1841,公司分析!D$5,3),IF($Y$3="wind一级行业",[1]!s_info_industry_gics(W1841,1),IF($Y$3="wind二级行业",[1]!s_info_industry_gics(W1841,2),IF($Y$3="wind三级行业",[1]!s_info_industry_gics(W1841,3),IF($Y$3="wind四级行业",[1]!s_info_industry_gics(W1841,4),IF($Y$3="证监会门类行业",[1]!s_info_industry_csrc12_n(W1841,公司分析!D$5,1),""))))))))</f>
        <v>化学制药</v>
      </c>
      <c r="Z1841" s="302" t="str">
        <f ca="1">IF(Y1841=行业比较!$E$6,ROW(),"")</f>
        <v/>
      </c>
      <c r="AA1841" s="122"/>
      <c r="AB1841" s="122"/>
      <c r="AC1841" s="122"/>
      <c r="AD1841" s="122"/>
      <c r="AE1841" s="122"/>
      <c r="AF1841" s="122"/>
      <c r="AG1841" s="122"/>
      <c r="AH1841" s="122"/>
      <c r="AI1841" s="122"/>
      <c r="AJ1841" s="122"/>
      <c r="AK1841" s="122"/>
      <c r="AL1841" s="122"/>
      <c r="AM1841" s="122"/>
      <c r="AN1841" s="122"/>
      <c r="AO1841" s="122"/>
      <c r="AP1841" s="122"/>
    </row>
    <row r="1842" spans="2:42">
      <c r="B1842" s="122"/>
      <c r="C1842" s="122"/>
      <c r="D1842" s="122"/>
      <c r="E1842" s="122"/>
      <c r="F1842" s="122"/>
      <c r="G1842" s="122"/>
      <c r="H1842" s="122"/>
      <c r="I1842" s="275"/>
      <c r="J1842" s="130"/>
      <c r="K1842" s="130"/>
      <c r="L1842" s="130"/>
      <c r="M1842" s="130"/>
      <c r="N1842" s="291"/>
      <c r="O1842" s="291"/>
      <c r="P1842" s="122"/>
      <c r="Q1842" s="122"/>
      <c r="R1842" s="122"/>
      <c r="S1842" s="122"/>
      <c r="T1842" s="122"/>
      <c r="U1842" s="301"/>
      <c r="V1842" s="260">
        <f t="shared" ca="1" si="36"/>
        <v>0</v>
      </c>
      <c r="W1842" s="348" t="str">
        <f>IF(板块成分!B1844="","",板块成分!B1844)</f>
        <v>300382.SZ</v>
      </c>
      <c r="X1842" s="276" t="str">
        <f>[1]!S_Info_Name(W1842)</f>
        <v>斯莱克</v>
      </c>
      <c r="Y1842" s="276" t="str">
        <f ca="1">IF($Y$3="申万一级行业",[1]!s_info_industry_sw_2021(W1842,公司分析!D$5,1),IF($Y$3="申万二级行业",[1]!s_info_industry_sw_2021(W1842,公司分析!D$5,2),IF($Y$3="申万三级行业",[1]!s_info_industry_sw_2021(W1842,公司分析!D$5,3),IF($Y$3="wind一级行业",[1]!s_info_industry_gics(W1842,1),IF($Y$3="wind二级行业",[1]!s_info_industry_gics(W1842,2),IF($Y$3="wind三级行业",[1]!s_info_industry_gics(W1842,3),IF($Y$3="wind四级行业",[1]!s_info_industry_gics(W1842,4),IF($Y$3="证监会门类行业",[1]!s_info_industry_csrc12_n(W1842,公司分析!D$5,1),""))))))))</f>
        <v>专用设备</v>
      </c>
      <c r="Z1842" s="302" t="str">
        <f ca="1">IF(Y1842=行业比较!$E$6,ROW(),"")</f>
        <v/>
      </c>
      <c r="AA1842" s="122"/>
      <c r="AB1842" s="122"/>
      <c r="AC1842" s="122"/>
      <c r="AD1842" s="122"/>
      <c r="AE1842" s="122"/>
      <c r="AF1842" s="122"/>
      <c r="AG1842" s="122"/>
      <c r="AH1842" s="122"/>
      <c r="AI1842" s="122"/>
      <c r="AJ1842" s="122"/>
      <c r="AK1842" s="122"/>
      <c r="AL1842" s="122"/>
      <c r="AM1842" s="122"/>
      <c r="AN1842" s="122"/>
      <c r="AO1842" s="122"/>
      <c r="AP1842" s="122"/>
    </row>
    <row r="1843" spans="2:42">
      <c r="B1843" s="122"/>
      <c r="C1843" s="122"/>
      <c r="D1843" s="122"/>
      <c r="E1843" s="122"/>
      <c r="F1843" s="122"/>
      <c r="G1843" s="122"/>
      <c r="H1843" s="122"/>
      <c r="I1843" s="275"/>
      <c r="J1843" s="130"/>
      <c r="K1843" s="130"/>
      <c r="L1843" s="130"/>
      <c r="M1843" s="130"/>
      <c r="N1843" s="291"/>
      <c r="O1843" s="291"/>
      <c r="P1843" s="122"/>
      <c r="Q1843" s="122"/>
      <c r="R1843" s="122"/>
      <c r="S1843" s="122"/>
      <c r="T1843" s="122"/>
      <c r="U1843" s="301"/>
      <c r="V1843" s="260">
        <f t="shared" ca="1" si="36"/>
        <v>0</v>
      </c>
      <c r="W1843" s="348" t="str">
        <f>IF(板块成分!B1845="","",板块成分!B1845)</f>
        <v>300383.SZ</v>
      </c>
      <c r="X1843" s="276" t="str">
        <f>[1]!S_Info_Name(W1843)</f>
        <v>光环新网</v>
      </c>
      <c r="Y1843" s="276" t="str">
        <f ca="1">IF($Y$3="申万一级行业",[1]!s_info_industry_sw_2021(W1843,公司分析!D$5,1),IF($Y$3="申万二级行业",[1]!s_info_industry_sw_2021(W1843,公司分析!D$5,2),IF($Y$3="申万三级行业",[1]!s_info_industry_sw_2021(W1843,公司分析!D$5,3),IF($Y$3="wind一级行业",[1]!s_info_industry_gics(W1843,1),IF($Y$3="wind二级行业",[1]!s_info_industry_gics(W1843,2),IF($Y$3="wind三级行业",[1]!s_info_industry_gics(W1843,3),IF($Y$3="wind四级行业",[1]!s_info_industry_gics(W1843,4),IF($Y$3="证监会门类行业",[1]!s_info_industry_csrc12_n(W1843,公司分析!D$5,1),""))))))))</f>
        <v>通信服务</v>
      </c>
      <c r="Z1843" s="302" t="str">
        <f ca="1">IF(Y1843=行业比较!$E$6,ROW(),"")</f>
        <v/>
      </c>
      <c r="AA1843" s="122"/>
      <c r="AB1843" s="122"/>
      <c r="AC1843" s="122"/>
      <c r="AD1843" s="122"/>
      <c r="AE1843" s="122"/>
      <c r="AF1843" s="122"/>
      <c r="AG1843" s="122"/>
      <c r="AH1843" s="122"/>
      <c r="AI1843" s="122"/>
      <c r="AJ1843" s="122"/>
      <c r="AK1843" s="122"/>
      <c r="AL1843" s="122"/>
      <c r="AM1843" s="122"/>
      <c r="AN1843" s="122"/>
      <c r="AO1843" s="122"/>
      <c r="AP1843" s="122"/>
    </row>
    <row r="1844" spans="2:42">
      <c r="B1844" s="122"/>
      <c r="C1844" s="122"/>
      <c r="D1844" s="122"/>
      <c r="E1844" s="122"/>
      <c r="F1844" s="122"/>
      <c r="G1844" s="122"/>
      <c r="H1844" s="122"/>
      <c r="I1844" s="275"/>
      <c r="J1844" s="130"/>
      <c r="K1844" s="130"/>
      <c r="L1844" s="130"/>
      <c r="M1844" s="130"/>
      <c r="N1844" s="291"/>
      <c r="O1844" s="291"/>
      <c r="P1844" s="122"/>
      <c r="Q1844" s="122"/>
      <c r="R1844" s="122"/>
      <c r="S1844" s="122"/>
      <c r="T1844" s="122"/>
      <c r="U1844" s="301"/>
      <c r="V1844" s="260">
        <f t="shared" ca="1" si="36"/>
        <v>0</v>
      </c>
      <c r="W1844" s="348" t="str">
        <f>IF(板块成分!B1846="","",板块成分!B1846)</f>
        <v>300384.SZ</v>
      </c>
      <c r="X1844" s="276" t="str">
        <f>[1]!S_Info_Name(W1844)</f>
        <v>三联虹普</v>
      </c>
      <c r="Y1844" s="276" t="str">
        <f ca="1">IF($Y$3="申万一级行业",[1]!s_info_industry_sw_2021(W1844,公司分析!D$5,1),IF($Y$3="申万二级行业",[1]!s_info_industry_sw_2021(W1844,公司分析!D$5,2),IF($Y$3="申万三级行业",[1]!s_info_industry_sw_2021(W1844,公司分析!D$5,3),IF($Y$3="wind一级行业",[1]!s_info_industry_gics(W1844,1),IF($Y$3="wind二级行业",[1]!s_info_industry_gics(W1844,2),IF($Y$3="wind三级行业",[1]!s_info_industry_gics(W1844,3),IF($Y$3="wind四级行业",[1]!s_info_industry_gics(W1844,4),IF($Y$3="证监会门类行业",[1]!s_info_industry_csrc12_n(W1844,公司分析!D$5,1),""))))))))</f>
        <v>专业工程</v>
      </c>
      <c r="Z1844" s="302" t="str">
        <f ca="1">IF(Y1844=行业比较!$E$6,ROW(),"")</f>
        <v/>
      </c>
      <c r="AA1844" s="122"/>
      <c r="AB1844" s="122"/>
      <c r="AC1844" s="122"/>
      <c r="AD1844" s="122"/>
      <c r="AE1844" s="122"/>
      <c r="AF1844" s="122"/>
      <c r="AG1844" s="122"/>
      <c r="AH1844" s="122"/>
      <c r="AI1844" s="122"/>
      <c r="AJ1844" s="122"/>
      <c r="AK1844" s="122"/>
      <c r="AL1844" s="122"/>
      <c r="AM1844" s="122"/>
      <c r="AN1844" s="122"/>
      <c r="AO1844" s="122"/>
      <c r="AP1844" s="122"/>
    </row>
    <row r="1845" spans="2:42">
      <c r="B1845" s="122"/>
      <c r="C1845" s="122"/>
      <c r="D1845" s="122"/>
      <c r="E1845" s="122"/>
      <c r="F1845" s="122"/>
      <c r="G1845" s="122"/>
      <c r="H1845" s="122"/>
      <c r="I1845" s="275"/>
      <c r="J1845" s="130"/>
      <c r="K1845" s="130"/>
      <c r="L1845" s="130"/>
      <c r="M1845" s="130"/>
      <c r="N1845" s="291"/>
      <c r="O1845" s="291"/>
      <c r="P1845" s="122"/>
      <c r="Q1845" s="122"/>
      <c r="R1845" s="122"/>
      <c r="S1845" s="122"/>
      <c r="T1845" s="122"/>
      <c r="U1845" s="301"/>
      <c r="V1845" s="260">
        <f t="shared" ca="1" si="36"/>
        <v>0</v>
      </c>
      <c r="W1845" s="348" t="str">
        <f>IF(板块成分!B1847="","",板块成分!B1847)</f>
        <v>300385.SZ</v>
      </c>
      <c r="X1845" s="276" t="str">
        <f>[1]!S_Info_Name(W1845)</f>
        <v>雪浪环境</v>
      </c>
      <c r="Y1845" s="276" t="str">
        <f ca="1">IF($Y$3="申万一级行业",[1]!s_info_industry_sw_2021(W1845,公司分析!D$5,1),IF($Y$3="申万二级行业",[1]!s_info_industry_sw_2021(W1845,公司分析!D$5,2),IF($Y$3="申万三级行业",[1]!s_info_industry_sw_2021(W1845,公司分析!D$5,3),IF($Y$3="wind一级行业",[1]!s_info_industry_gics(W1845,1),IF($Y$3="wind二级行业",[1]!s_info_industry_gics(W1845,2),IF($Y$3="wind三级行业",[1]!s_info_industry_gics(W1845,3),IF($Y$3="wind四级行业",[1]!s_info_industry_gics(W1845,4),IF($Y$3="证监会门类行业",[1]!s_info_industry_csrc12_n(W1845,公司分析!D$5,1),""))))))))</f>
        <v>环境治理</v>
      </c>
      <c r="Z1845" s="302" t="str">
        <f ca="1">IF(Y1845=行业比较!$E$6,ROW(),"")</f>
        <v/>
      </c>
      <c r="AA1845" s="122"/>
      <c r="AB1845" s="122"/>
      <c r="AC1845" s="122"/>
      <c r="AD1845" s="122"/>
      <c r="AE1845" s="122"/>
      <c r="AF1845" s="122"/>
      <c r="AG1845" s="122"/>
      <c r="AH1845" s="122"/>
      <c r="AI1845" s="122"/>
      <c r="AJ1845" s="122"/>
      <c r="AK1845" s="122"/>
      <c r="AL1845" s="122"/>
      <c r="AM1845" s="122"/>
      <c r="AN1845" s="122"/>
      <c r="AO1845" s="122"/>
      <c r="AP1845" s="122"/>
    </row>
    <row r="1846" spans="2:42">
      <c r="B1846" s="122"/>
      <c r="C1846" s="122"/>
      <c r="D1846" s="122"/>
      <c r="E1846" s="122"/>
      <c r="F1846" s="122"/>
      <c r="G1846" s="122"/>
      <c r="H1846" s="122"/>
      <c r="I1846" s="275"/>
      <c r="J1846" s="130"/>
      <c r="K1846" s="130"/>
      <c r="L1846" s="130"/>
      <c r="M1846" s="130"/>
      <c r="N1846" s="291"/>
      <c r="O1846" s="291"/>
      <c r="P1846" s="122"/>
      <c r="Q1846" s="122"/>
      <c r="R1846" s="122"/>
      <c r="S1846" s="122"/>
      <c r="T1846" s="122"/>
      <c r="U1846" s="301"/>
      <c r="V1846" s="260">
        <f t="shared" ca="1" si="36"/>
        <v>0</v>
      </c>
      <c r="W1846" s="348" t="str">
        <f>IF(板块成分!B1848="","",板块成分!B1848)</f>
        <v>300386.SZ</v>
      </c>
      <c r="X1846" s="276" t="str">
        <f>[1]!S_Info_Name(W1846)</f>
        <v>飞天诚信</v>
      </c>
      <c r="Y1846" s="276" t="str">
        <f ca="1">IF($Y$3="申万一级行业",[1]!s_info_industry_sw_2021(W1846,公司分析!D$5,1),IF($Y$3="申万二级行业",[1]!s_info_industry_sw_2021(W1846,公司分析!D$5,2),IF($Y$3="申万三级行业",[1]!s_info_industry_sw_2021(W1846,公司分析!D$5,3),IF($Y$3="wind一级行业",[1]!s_info_industry_gics(W1846,1),IF($Y$3="wind二级行业",[1]!s_info_industry_gics(W1846,2),IF($Y$3="wind三级行业",[1]!s_info_industry_gics(W1846,3),IF($Y$3="wind四级行业",[1]!s_info_industry_gics(W1846,4),IF($Y$3="证监会门类行业",[1]!s_info_industry_csrc12_n(W1846,公司分析!D$5,1),""))))))))</f>
        <v>计算机设备</v>
      </c>
      <c r="Z1846" s="302" t="str">
        <f ca="1">IF(Y1846=行业比较!$E$6,ROW(),"")</f>
        <v/>
      </c>
      <c r="AA1846" s="122"/>
      <c r="AB1846" s="122"/>
      <c r="AC1846" s="122"/>
      <c r="AD1846" s="122"/>
      <c r="AE1846" s="122"/>
      <c r="AF1846" s="122"/>
      <c r="AG1846" s="122"/>
      <c r="AH1846" s="122"/>
      <c r="AI1846" s="122"/>
      <c r="AJ1846" s="122"/>
      <c r="AK1846" s="122"/>
      <c r="AL1846" s="122"/>
      <c r="AM1846" s="122"/>
      <c r="AN1846" s="122"/>
      <c r="AO1846" s="122"/>
      <c r="AP1846" s="122"/>
    </row>
    <row r="1847" spans="2:42">
      <c r="B1847" s="122"/>
      <c r="C1847" s="122"/>
      <c r="D1847" s="122"/>
      <c r="E1847" s="122"/>
      <c r="F1847" s="122"/>
      <c r="G1847" s="122"/>
      <c r="H1847" s="122"/>
      <c r="I1847" s="275"/>
      <c r="J1847" s="130"/>
      <c r="K1847" s="130"/>
      <c r="L1847" s="130"/>
      <c r="M1847" s="130"/>
      <c r="N1847" s="291"/>
      <c r="O1847" s="291"/>
      <c r="P1847" s="122"/>
      <c r="Q1847" s="122"/>
      <c r="R1847" s="122"/>
      <c r="S1847" s="122"/>
      <c r="T1847" s="122"/>
      <c r="U1847" s="301"/>
      <c r="V1847" s="260">
        <f t="shared" ca="1" si="36"/>
        <v>0</v>
      </c>
      <c r="W1847" s="348" t="str">
        <f>IF(板块成分!B1849="","",板块成分!B1849)</f>
        <v>300387.SZ</v>
      </c>
      <c r="X1847" s="276" t="str">
        <f>[1]!S_Info_Name(W1847)</f>
        <v>富邦科技</v>
      </c>
      <c r="Y1847" s="276" t="str">
        <f ca="1">IF($Y$3="申万一级行业",[1]!s_info_industry_sw_2021(W1847,公司分析!D$5,1),IF($Y$3="申万二级行业",[1]!s_info_industry_sw_2021(W1847,公司分析!D$5,2),IF($Y$3="申万三级行业",[1]!s_info_industry_sw_2021(W1847,公司分析!D$5,3),IF($Y$3="wind一级行业",[1]!s_info_industry_gics(W1847,1),IF($Y$3="wind二级行业",[1]!s_info_industry_gics(W1847,2),IF($Y$3="wind三级行业",[1]!s_info_industry_gics(W1847,3),IF($Y$3="wind四级行业",[1]!s_info_industry_gics(W1847,4),IF($Y$3="证监会门类行业",[1]!s_info_industry_csrc12_n(W1847,公司分析!D$5,1),""))))))))</f>
        <v>农化制品</v>
      </c>
      <c r="Z1847" s="302" t="str">
        <f ca="1">IF(Y1847=行业比较!$E$6,ROW(),"")</f>
        <v/>
      </c>
      <c r="AA1847" s="122"/>
      <c r="AB1847" s="122"/>
      <c r="AC1847" s="122"/>
      <c r="AD1847" s="122"/>
      <c r="AE1847" s="122"/>
      <c r="AF1847" s="122"/>
      <c r="AG1847" s="122"/>
      <c r="AH1847" s="122"/>
      <c r="AI1847" s="122"/>
      <c r="AJ1847" s="122"/>
      <c r="AK1847" s="122"/>
      <c r="AL1847" s="122"/>
      <c r="AM1847" s="122"/>
      <c r="AN1847" s="122"/>
      <c r="AO1847" s="122"/>
      <c r="AP1847" s="122"/>
    </row>
    <row r="1848" spans="2:42">
      <c r="B1848" s="122"/>
      <c r="C1848" s="122"/>
      <c r="D1848" s="122"/>
      <c r="E1848" s="122"/>
      <c r="F1848" s="122"/>
      <c r="G1848" s="122"/>
      <c r="H1848" s="122"/>
      <c r="I1848" s="275"/>
      <c r="J1848" s="130"/>
      <c r="K1848" s="130"/>
      <c r="L1848" s="130"/>
      <c r="M1848" s="130"/>
      <c r="N1848" s="291"/>
      <c r="O1848" s="291"/>
      <c r="P1848" s="122"/>
      <c r="Q1848" s="122"/>
      <c r="R1848" s="122"/>
      <c r="S1848" s="122"/>
      <c r="T1848" s="122"/>
      <c r="U1848" s="301"/>
      <c r="V1848" s="260">
        <f t="shared" ca="1" si="36"/>
        <v>0</v>
      </c>
      <c r="W1848" s="348" t="str">
        <f>IF(板块成分!B1850="","",板块成分!B1850)</f>
        <v>300388.SZ</v>
      </c>
      <c r="X1848" s="276" t="str">
        <f>[1]!S_Info_Name(W1848)</f>
        <v>节能国祯</v>
      </c>
      <c r="Y1848" s="276" t="str">
        <f ca="1">IF($Y$3="申万一级行业",[1]!s_info_industry_sw_2021(W1848,公司分析!D$5,1),IF($Y$3="申万二级行业",[1]!s_info_industry_sw_2021(W1848,公司分析!D$5,2),IF($Y$3="申万三级行业",[1]!s_info_industry_sw_2021(W1848,公司分析!D$5,3),IF($Y$3="wind一级行业",[1]!s_info_industry_gics(W1848,1),IF($Y$3="wind二级行业",[1]!s_info_industry_gics(W1848,2),IF($Y$3="wind三级行业",[1]!s_info_industry_gics(W1848,3),IF($Y$3="wind四级行业",[1]!s_info_industry_gics(W1848,4),IF($Y$3="证监会门类行业",[1]!s_info_industry_csrc12_n(W1848,公司分析!D$5,1),""))))))))</f>
        <v>环境治理</v>
      </c>
      <c r="Z1848" s="302" t="str">
        <f ca="1">IF(Y1848=行业比较!$E$6,ROW(),"")</f>
        <v/>
      </c>
      <c r="AA1848" s="122"/>
      <c r="AB1848" s="122"/>
      <c r="AC1848" s="122"/>
      <c r="AD1848" s="122"/>
      <c r="AE1848" s="122"/>
      <c r="AF1848" s="122"/>
      <c r="AG1848" s="122"/>
      <c r="AH1848" s="122"/>
      <c r="AI1848" s="122"/>
      <c r="AJ1848" s="122"/>
      <c r="AK1848" s="122"/>
      <c r="AL1848" s="122"/>
      <c r="AM1848" s="122"/>
      <c r="AN1848" s="122"/>
      <c r="AO1848" s="122"/>
      <c r="AP1848" s="122"/>
    </row>
    <row r="1849" spans="2:42">
      <c r="B1849" s="122"/>
      <c r="C1849" s="122"/>
      <c r="D1849" s="122"/>
      <c r="E1849" s="122"/>
      <c r="F1849" s="122"/>
      <c r="G1849" s="122"/>
      <c r="H1849" s="122"/>
      <c r="I1849" s="275"/>
      <c r="J1849" s="130"/>
      <c r="K1849" s="130"/>
      <c r="L1849" s="130"/>
      <c r="M1849" s="130"/>
      <c r="N1849" s="291"/>
      <c r="O1849" s="291"/>
      <c r="P1849" s="122"/>
      <c r="Q1849" s="122"/>
      <c r="R1849" s="122"/>
      <c r="S1849" s="122"/>
      <c r="T1849" s="122"/>
      <c r="U1849" s="301"/>
      <c r="V1849" s="260">
        <f t="shared" ca="1" si="36"/>
        <v>0</v>
      </c>
      <c r="W1849" s="348" t="str">
        <f>IF(板块成分!B1851="","",板块成分!B1851)</f>
        <v>300389.SZ</v>
      </c>
      <c r="X1849" s="276" t="str">
        <f>[1]!S_Info_Name(W1849)</f>
        <v>艾比森</v>
      </c>
      <c r="Y1849" s="276" t="str">
        <f ca="1">IF($Y$3="申万一级行业",[1]!s_info_industry_sw_2021(W1849,公司分析!D$5,1),IF($Y$3="申万二级行业",[1]!s_info_industry_sw_2021(W1849,公司分析!D$5,2),IF($Y$3="申万三级行业",[1]!s_info_industry_sw_2021(W1849,公司分析!D$5,3),IF($Y$3="wind一级行业",[1]!s_info_industry_gics(W1849,1),IF($Y$3="wind二级行业",[1]!s_info_industry_gics(W1849,2),IF($Y$3="wind三级行业",[1]!s_info_industry_gics(W1849,3),IF($Y$3="wind四级行业",[1]!s_info_industry_gics(W1849,4),IF($Y$3="证监会门类行业",[1]!s_info_industry_csrc12_n(W1849,公司分析!D$5,1),""))))))))</f>
        <v>光学光电子</v>
      </c>
      <c r="Z1849" s="302" t="str">
        <f ca="1">IF(Y1849=行业比较!$E$6,ROW(),"")</f>
        <v/>
      </c>
      <c r="AA1849" s="122"/>
      <c r="AB1849" s="122"/>
      <c r="AC1849" s="122"/>
      <c r="AD1849" s="122"/>
      <c r="AE1849" s="122"/>
      <c r="AF1849" s="122"/>
      <c r="AG1849" s="122"/>
      <c r="AH1849" s="122"/>
      <c r="AI1849" s="122"/>
      <c r="AJ1849" s="122"/>
      <c r="AK1849" s="122"/>
      <c r="AL1849" s="122"/>
      <c r="AM1849" s="122"/>
      <c r="AN1849" s="122"/>
      <c r="AO1849" s="122"/>
      <c r="AP1849" s="122"/>
    </row>
    <row r="1850" spans="2:42">
      <c r="B1850" s="122"/>
      <c r="C1850" s="122"/>
      <c r="D1850" s="122"/>
      <c r="E1850" s="122"/>
      <c r="F1850" s="122"/>
      <c r="G1850" s="122"/>
      <c r="H1850" s="122"/>
      <c r="I1850" s="275"/>
      <c r="J1850" s="130"/>
      <c r="K1850" s="130"/>
      <c r="L1850" s="130"/>
      <c r="M1850" s="130"/>
      <c r="N1850" s="291"/>
      <c r="O1850" s="291"/>
      <c r="P1850" s="122"/>
      <c r="Q1850" s="122"/>
      <c r="R1850" s="122"/>
      <c r="S1850" s="122"/>
      <c r="T1850" s="122"/>
      <c r="U1850" s="301"/>
      <c r="V1850" s="260">
        <f t="shared" ca="1" si="36"/>
        <v>0</v>
      </c>
      <c r="W1850" s="348" t="str">
        <f>IF(板块成分!B1852="","",板块成分!B1852)</f>
        <v>300390.SZ</v>
      </c>
      <c r="X1850" s="276" t="str">
        <f>[1]!S_Info_Name(W1850)</f>
        <v>天华新能</v>
      </c>
      <c r="Y1850" s="276" t="str">
        <f ca="1">IF($Y$3="申万一级行业",[1]!s_info_industry_sw_2021(W1850,公司分析!D$5,1),IF($Y$3="申万二级行业",[1]!s_info_industry_sw_2021(W1850,公司分析!D$5,2),IF($Y$3="申万三级行业",[1]!s_info_industry_sw_2021(W1850,公司分析!D$5,3),IF($Y$3="wind一级行业",[1]!s_info_industry_gics(W1850,1),IF($Y$3="wind二级行业",[1]!s_info_industry_gics(W1850,2),IF($Y$3="wind三级行业",[1]!s_info_industry_gics(W1850,3),IF($Y$3="wind四级行业",[1]!s_info_industry_gics(W1850,4),IF($Y$3="证监会门类行业",[1]!s_info_industry_csrc12_n(W1850,公司分析!D$5,1),""))))))))</f>
        <v>电池</v>
      </c>
      <c r="Z1850" s="302" t="str">
        <f ca="1">IF(Y1850=行业比较!$E$6,ROW(),"")</f>
        <v/>
      </c>
      <c r="AA1850" s="122"/>
      <c r="AB1850" s="122"/>
      <c r="AC1850" s="122"/>
      <c r="AD1850" s="122"/>
      <c r="AE1850" s="122"/>
      <c r="AF1850" s="122"/>
      <c r="AG1850" s="122"/>
      <c r="AH1850" s="122"/>
      <c r="AI1850" s="122"/>
      <c r="AJ1850" s="122"/>
      <c r="AK1850" s="122"/>
      <c r="AL1850" s="122"/>
      <c r="AM1850" s="122"/>
      <c r="AN1850" s="122"/>
      <c r="AO1850" s="122"/>
      <c r="AP1850" s="122"/>
    </row>
    <row r="1851" spans="2:42">
      <c r="B1851" s="122"/>
      <c r="C1851" s="122"/>
      <c r="D1851" s="122"/>
      <c r="E1851" s="122"/>
      <c r="F1851" s="122"/>
      <c r="G1851" s="122"/>
      <c r="H1851" s="122"/>
      <c r="I1851" s="275"/>
      <c r="J1851" s="130"/>
      <c r="K1851" s="130"/>
      <c r="L1851" s="130"/>
      <c r="M1851" s="130"/>
      <c r="N1851" s="291"/>
      <c r="O1851" s="291"/>
      <c r="P1851" s="122"/>
      <c r="Q1851" s="122"/>
      <c r="R1851" s="122"/>
      <c r="S1851" s="122"/>
      <c r="T1851" s="122"/>
      <c r="U1851" s="301"/>
      <c r="V1851" s="260">
        <f t="shared" ca="1" si="36"/>
        <v>0</v>
      </c>
      <c r="W1851" s="348" t="str">
        <f>IF(板块成分!B1853="","",板块成分!B1853)</f>
        <v>300391.SZ</v>
      </c>
      <c r="X1851" s="276" t="str">
        <f>[1]!S_Info_Name(W1851)</f>
        <v>*ST长药</v>
      </c>
      <c r="Y1851" s="276" t="str">
        <f ca="1">IF($Y$3="申万一级行业",[1]!s_info_industry_sw_2021(W1851,公司分析!D$5,1),IF($Y$3="申万二级行业",[1]!s_info_industry_sw_2021(W1851,公司分析!D$5,2),IF($Y$3="申万三级行业",[1]!s_info_industry_sw_2021(W1851,公司分析!D$5,3),IF($Y$3="wind一级行业",[1]!s_info_industry_gics(W1851,1),IF($Y$3="wind二级行业",[1]!s_info_industry_gics(W1851,2),IF($Y$3="wind三级行业",[1]!s_info_industry_gics(W1851,3),IF($Y$3="wind四级行业",[1]!s_info_industry_gics(W1851,4),IF($Y$3="证监会门类行业",[1]!s_info_industry_csrc12_n(W1851,公司分析!D$5,1),""))))))))</f>
        <v>中药Ⅱ</v>
      </c>
      <c r="Z1851" s="302" t="str">
        <f ca="1">IF(Y1851=行业比较!$E$6,ROW(),"")</f>
        <v/>
      </c>
      <c r="AA1851" s="122"/>
      <c r="AB1851" s="122"/>
      <c r="AC1851" s="122"/>
      <c r="AD1851" s="122"/>
      <c r="AE1851" s="122"/>
      <c r="AF1851" s="122"/>
      <c r="AG1851" s="122"/>
      <c r="AH1851" s="122"/>
      <c r="AI1851" s="122"/>
      <c r="AJ1851" s="122"/>
      <c r="AK1851" s="122"/>
      <c r="AL1851" s="122"/>
      <c r="AM1851" s="122"/>
      <c r="AN1851" s="122"/>
      <c r="AO1851" s="122"/>
      <c r="AP1851" s="122"/>
    </row>
    <row r="1852" spans="2:42">
      <c r="B1852" s="122"/>
      <c r="C1852" s="122"/>
      <c r="D1852" s="122"/>
      <c r="E1852" s="122"/>
      <c r="F1852" s="122"/>
      <c r="G1852" s="122"/>
      <c r="H1852" s="122"/>
      <c r="I1852" s="275"/>
      <c r="J1852" s="130"/>
      <c r="K1852" s="130"/>
      <c r="L1852" s="130"/>
      <c r="M1852" s="130"/>
      <c r="N1852" s="291"/>
      <c r="O1852" s="291"/>
      <c r="P1852" s="122"/>
      <c r="Q1852" s="122"/>
      <c r="R1852" s="122"/>
      <c r="S1852" s="122"/>
      <c r="T1852" s="122"/>
      <c r="U1852" s="301"/>
      <c r="V1852" s="260">
        <f t="shared" ca="1" si="36"/>
        <v>0</v>
      </c>
      <c r="W1852" s="348" t="str">
        <f>IF(板块成分!B1854="","",板块成分!B1854)</f>
        <v>300393.SZ</v>
      </c>
      <c r="X1852" s="276" t="str">
        <f>[1]!S_Info_Name(W1852)</f>
        <v>中来股份</v>
      </c>
      <c r="Y1852" s="276" t="str">
        <f ca="1">IF($Y$3="申万一级行业",[1]!s_info_industry_sw_2021(W1852,公司分析!D$5,1),IF($Y$3="申万二级行业",[1]!s_info_industry_sw_2021(W1852,公司分析!D$5,2),IF($Y$3="申万三级行业",[1]!s_info_industry_sw_2021(W1852,公司分析!D$5,3),IF($Y$3="wind一级行业",[1]!s_info_industry_gics(W1852,1),IF($Y$3="wind二级行业",[1]!s_info_industry_gics(W1852,2),IF($Y$3="wind三级行业",[1]!s_info_industry_gics(W1852,3),IF($Y$3="wind四级行业",[1]!s_info_industry_gics(W1852,4),IF($Y$3="证监会门类行业",[1]!s_info_industry_csrc12_n(W1852,公司分析!D$5,1),""))))))))</f>
        <v>光伏设备</v>
      </c>
      <c r="Z1852" s="302" t="str">
        <f ca="1">IF(Y1852=行业比较!$E$6,ROW(),"")</f>
        <v/>
      </c>
      <c r="AA1852" s="122"/>
      <c r="AB1852" s="122"/>
      <c r="AC1852" s="122"/>
      <c r="AD1852" s="122"/>
      <c r="AE1852" s="122"/>
      <c r="AF1852" s="122"/>
      <c r="AG1852" s="122"/>
      <c r="AH1852" s="122"/>
      <c r="AI1852" s="122"/>
      <c r="AJ1852" s="122"/>
      <c r="AK1852" s="122"/>
      <c r="AL1852" s="122"/>
      <c r="AM1852" s="122"/>
      <c r="AN1852" s="122"/>
      <c r="AO1852" s="122"/>
      <c r="AP1852" s="122"/>
    </row>
    <row r="1853" spans="2:42">
      <c r="B1853" s="122"/>
      <c r="C1853" s="122"/>
      <c r="D1853" s="122"/>
      <c r="E1853" s="122"/>
      <c r="F1853" s="122"/>
      <c r="G1853" s="122"/>
      <c r="H1853" s="122"/>
      <c r="I1853" s="275"/>
      <c r="J1853" s="130"/>
      <c r="K1853" s="130"/>
      <c r="L1853" s="130"/>
      <c r="M1853" s="130"/>
      <c r="N1853" s="291"/>
      <c r="O1853" s="291"/>
      <c r="P1853" s="122"/>
      <c r="Q1853" s="122"/>
      <c r="R1853" s="122"/>
      <c r="S1853" s="122"/>
      <c r="T1853" s="122"/>
      <c r="U1853" s="301"/>
      <c r="V1853" s="260">
        <f t="shared" ca="1" si="36"/>
        <v>0</v>
      </c>
      <c r="W1853" s="348" t="str">
        <f>IF(板块成分!B1855="","",板块成分!B1855)</f>
        <v>300394.SZ</v>
      </c>
      <c r="X1853" s="276" t="str">
        <f>[1]!S_Info_Name(W1853)</f>
        <v>天孚通信</v>
      </c>
      <c r="Y1853" s="276" t="str">
        <f ca="1">IF($Y$3="申万一级行业",[1]!s_info_industry_sw_2021(W1853,公司分析!D$5,1),IF($Y$3="申万二级行业",[1]!s_info_industry_sw_2021(W1853,公司分析!D$5,2),IF($Y$3="申万三级行业",[1]!s_info_industry_sw_2021(W1853,公司分析!D$5,3),IF($Y$3="wind一级行业",[1]!s_info_industry_gics(W1853,1),IF($Y$3="wind二级行业",[1]!s_info_industry_gics(W1853,2),IF($Y$3="wind三级行业",[1]!s_info_industry_gics(W1853,3),IF($Y$3="wind四级行业",[1]!s_info_industry_gics(W1853,4),IF($Y$3="证监会门类行业",[1]!s_info_industry_csrc12_n(W1853,公司分析!D$5,1),""))))))))</f>
        <v>通信设备</v>
      </c>
      <c r="Z1853" s="302" t="str">
        <f ca="1">IF(Y1853=行业比较!$E$6,ROW(),"")</f>
        <v/>
      </c>
      <c r="AA1853" s="122"/>
      <c r="AB1853" s="122"/>
      <c r="AC1853" s="122"/>
      <c r="AD1853" s="122"/>
      <c r="AE1853" s="122"/>
      <c r="AF1853" s="122"/>
      <c r="AG1853" s="122"/>
      <c r="AH1853" s="122"/>
      <c r="AI1853" s="122"/>
      <c r="AJ1853" s="122"/>
      <c r="AK1853" s="122"/>
      <c r="AL1853" s="122"/>
      <c r="AM1853" s="122"/>
      <c r="AN1853" s="122"/>
      <c r="AO1853" s="122"/>
      <c r="AP1853" s="122"/>
    </row>
    <row r="1854" spans="2:42">
      <c r="B1854" s="122"/>
      <c r="C1854" s="122"/>
      <c r="D1854" s="122"/>
      <c r="E1854" s="122"/>
      <c r="F1854" s="122"/>
      <c r="G1854" s="122"/>
      <c r="H1854" s="122"/>
      <c r="I1854" s="275"/>
      <c r="J1854" s="130"/>
      <c r="K1854" s="130"/>
      <c r="L1854" s="130"/>
      <c r="M1854" s="130"/>
      <c r="N1854" s="291"/>
      <c r="O1854" s="291"/>
      <c r="P1854" s="122"/>
      <c r="Q1854" s="122"/>
      <c r="R1854" s="122"/>
      <c r="S1854" s="122"/>
      <c r="T1854" s="122"/>
      <c r="U1854" s="301"/>
      <c r="V1854" s="260">
        <f t="shared" ca="1" si="36"/>
        <v>0</v>
      </c>
      <c r="W1854" s="348" t="str">
        <f>IF(板块成分!B1856="","",板块成分!B1856)</f>
        <v>300395.SZ</v>
      </c>
      <c r="X1854" s="276" t="str">
        <f>[1]!S_Info_Name(W1854)</f>
        <v>菲利华</v>
      </c>
      <c r="Y1854" s="276" t="str">
        <f ca="1">IF($Y$3="申万一级行业",[1]!s_info_industry_sw_2021(W1854,公司分析!D$5,1),IF($Y$3="申万二级行业",[1]!s_info_industry_sw_2021(W1854,公司分析!D$5,2),IF($Y$3="申万三级行业",[1]!s_info_industry_sw_2021(W1854,公司分析!D$5,3),IF($Y$3="wind一级行业",[1]!s_info_industry_gics(W1854,1),IF($Y$3="wind二级行业",[1]!s_info_industry_gics(W1854,2),IF($Y$3="wind三级行业",[1]!s_info_industry_gics(W1854,3),IF($Y$3="wind四级行业",[1]!s_info_industry_gics(W1854,4),IF($Y$3="证监会门类行业",[1]!s_info_industry_csrc12_n(W1854,公司分析!D$5,1),""))))))))</f>
        <v>航空装备Ⅱ</v>
      </c>
      <c r="Z1854" s="302" t="str">
        <f ca="1">IF(Y1854=行业比较!$E$6,ROW(),"")</f>
        <v/>
      </c>
      <c r="AA1854" s="122"/>
      <c r="AB1854" s="122"/>
      <c r="AC1854" s="122"/>
      <c r="AD1854" s="122"/>
      <c r="AE1854" s="122"/>
      <c r="AF1854" s="122"/>
      <c r="AG1854" s="122"/>
      <c r="AH1854" s="122"/>
      <c r="AI1854" s="122"/>
      <c r="AJ1854" s="122"/>
      <c r="AK1854" s="122"/>
      <c r="AL1854" s="122"/>
      <c r="AM1854" s="122"/>
      <c r="AN1854" s="122"/>
      <c r="AO1854" s="122"/>
      <c r="AP1854" s="122"/>
    </row>
    <row r="1855" spans="2:42">
      <c r="B1855" s="122"/>
      <c r="C1855" s="122"/>
      <c r="D1855" s="122"/>
      <c r="E1855" s="122"/>
      <c r="F1855" s="122"/>
      <c r="G1855" s="122"/>
      <c r="H1855" s="122"/>
      <c r="I1855" s="275"/>
      <c r="J1855" s="130"/>
      <c r="K1855" s="130"/>
      <c r="L1855" s="130"/>
      <c r="M1855" s="130"/>
      <c r="N1855" s="291"/>
      <c r="O1855" s="291"/>
      <c r="P1855" s="122"/>
      <c r="Q1855" s="122"/>
      <c r="R1855" s="122"/>
      <c r="S1855" s="122"/>
      <c r="T1855" s="122"/>
      <c r="U1855" s="301"/>
      <c r="V1855" s="260">
        <f t="shared" ca="1" si="36"/>
        <v>0</v>
      </c>
      <c r="W1855" s="348" t="str">
        <f>IF(板块成分!B1857="","",板块成分!B1857)</f>
        <v>300396.SZ</v>
      </c>
      <c r="X1855" s="276" t="str">
        <f>[1]!S_Info_Name(W1855)</f>
        <v>迪瑞医疗</v>
      </c>
      <c r="Y1855" s="276" t="str">
        <f ca="1">IF($Y$3="申万一级行业",[1]!s_info_industry_sw_2021(W1855,公司分析!D$5,1),IF($Y$3="申万二级行业",[1]!s_info_industry_sw_2021(W1855,公司分析!D$5,2),IF($Y$3="申万三级行业",[1]!s_info_industry_sw_2021(W1855,公司分析!D$5,3),IF($Y$3="wind一级行业",[1]!s_info_industry_gics(W1855,1),IF($Y$3="wind二级行业",[1]!s_info_industry_gics(W1855,2),IF($Y$3="wind三级行业",[1]!s_info_industry_gics(W1855,3),IF($Y$3="wind四级行业",[1]!s_info_industry_gics(W1855,4),IF($Y$3="证监会门类行业",[1]!s_info_industry_csrc12_n(W1855,公司分析!D$5,1),""))))))))</f>
        <v>医疗器械</v>
      </c>
      <c r="Z1855" s="302" t="str">
        <f ca="1">IF(Y1855=行业比较!$E$6,ROW(),"")</f>
        <v/>
      </c>
      <c r="AA1855" s="122"/>
      <c r="AB1855" s="122"/>
      <c r="AC1855" s="122"/>
      <c r="AD1855" s="122"/>
      <c r="AE1855" s="122"/>
      <c r="AF1855" s="122"/>
      <c r="AG1855" s="122"/>
      <c r="AH1855" s="122"/>
      <c r="AI1855" s="122"/>
      <c r="AJ1855" s="122"/>
      <c r="AK1855" s="122"/>
      <c r="AL1855" s="122"/>
      <c r="AM1855" s="122"/>
      <c r="AN1855" s="122"/>
      <c r="AO1855" s="122"/>
      <c r="AP1855" s="122"/>
    </row>
    <row r="1856" spans="2:42">
      <c r="B1856" s="122"/>
      <c r="C1856" s="122"/>
      <c r="D1856" s="122"/>
      <c r="E1856" s="122"/>
      <c r="F1856" s="122"/>
      <c r="G1856" s="122"/>
      <c r="H1856" s="122"/>
      <c r="I1856" s="275"/>
      <c r="J1856" s="130"/>
      <c r="K1856" s="130"/>
      <c r="L1856" s="130"/>
      <c r="M1856" s="130"/>
      <c r="N1856" s="291"/>
      <c r="O1856" s="291"/>
      <c r="P1856" s="122"/>
      <c r="Q1856" s="122"/>
      <c r="R1856" s="122"/>
      <c r="S1856" s="122"/>
      <c r="T1856" s="122"/>
      <c r="U1856" s="301"/>
      <c r="V1856" s="260">
        <f t="shared" ca="1" si="36"/>
        <v>0</v>
      </c>
      <c r="W1856" s="348" t="str">
        <f>IF(板块成分!B1858="","",板块成分!B1858)</f>
        <v>300397.SZ</v>
      </c>
      <c r="X1856" s="276" t="str">
        <f>[1]!S_Info_Name(W1856)</f>
        <v>天和防务</v>
      </c>
      <c r="Y1856" s="276" t="str">
        <f ca="1">IF($Y$3="申万一级行业",[1]!s_info_industry_sw_2021(W1856,公司分析!D$5,1),IF($Y$3="申万二级行业",[1]!s_info_industry_sw_2021(W1856,公司分析!D$5,2),IF($Y$3="申万三级行业",[1]!s_info_industry_sw_2021(W1856,公司分析!D$5,3),IF($Y$3="wind一级行业",[1]!s_info_industry_gics(W1856,1),IF($Y$3="wind二级行业",[1]!s_info_industry_gics(W1856,2),IF($Y$3="wind三级行业",[1]!s_info_industry_gics(W1856,3),IF($Y$3="wind四级行业",[1]!s_info_industry_gics(W1856,4),IF($Y$3="证监会门类行业",[1]!s_info_industry_csrc12_n(W1856,公司分析!D$5,1),""))))))))</f>
        <v>军工电子Ⅱ</v>
      </c>
      <c r="Z1856" s="302" t="str">
        <f ca="1">IF(Y1856=行业比较!$E$6,ROW(),"")</f>
        <v/>
      </c>
      <c r="AA1856" s="122"/>
      <c r="AB1856" s="122"/>
      <c r="AC1856" s="122"/>
      <c r="AD1856" s="122"/>
      <c r="AE1856" s="122"/>
      <c r="AF1856" s="122"/>
      <c r="AG1856" s="122"/>
      <c r="AH1856" s="122"/>
      <c r="AI1856" s="122"/>
      <c r="AJ1856" s="122"/>
      <c r="AK1856" s="122"/>
      <c r="AL1856" s="122"/>
      <c r="AM1856" s="122"/>
      <c r="AN1856" s="122"/>
      <c r="AO1856" s="122"/>
      <c r="AP1856" s="122"/>
    </row>
    <row r="1857" spans="2:42">
      <c r="B1857" s="122"/>
      <c r="C1857" s="122"/>
      <c r="D1857" s="122"/>
      <c r="E1857" s="122"/>
      <c r="F1857" s="122"/>
      <c r="G1857" s="122"/>
      <c r="H1857" s="122"/>
      <c r="I1857" s="275"/>
      <c r="J1857" s="130"/>
      <c r="K1857" s="130"/>
      <c r="L1857" s="130"/>
      <c r="M1857" s="130"/>
      <c r="N1857" s="291"/>
      <c r="O1857" s="291"/>
      <c r="P1857" s="122"/>
      <c r="Q1857" s="122"/>
      <c r="R1857" s="122"/>
      <c r="S1857" s="122"/>
      <c r="T1857" s="122"/>
      <c r="U1857" s="301"/>
      <c r="V1857" s="260">
        <f t="shared" ca="1" si="36"/>
        <v>0</v>
      </c>
      <c r="W1857" s="348" t="str">
        <f>IF(板块成分!B1859="","",板块成分!B1859)</f>
        <v>300398.SZ</v>
      </c>
      <c r="X1857" s="276" t="str">
        <f>[1]!S_Info_Name(W1857)</f>
        <v>飞凯材料</v>
      </c>
      <c r="Y1857" s="276" t="str">
        <f ca="1">IF($Y$3="申万一级行业",[1]!s_info_industry_sw_2021(W1857,公司分析!D$5,1),IF($Y$3="申万二级行业",[1]!s_info_industry_sw_2021(W1857,公司分析!D$5,2),IF($Y$3="申万三级行业",[1]!s_info_industry_sw_2021(W1857,公司分析!D$5,3),IF($Y$3="wind一级行业",[1]!s_info_industry_gics(W1857,1),IF($Y$3="wind二级行业",[1]!s_info_industry_gics(W1857,2),IF($Y$3="wind三级行业",[1]!s_info_industry_gics(W1857,3),IF($Y$3="wind四级行业",[1]!s_info_industry_gics(W1857,4),IF($Y$3="证监会门类行业",[1]!s_info_industry_csrc12_n(W1857,公司分析!D$5,1),""))))))))</f>
        <v>电子化学品Ⅱ</v>
      </c>
      <c r="Z1857" s="302" t="str">
        <f ca="1">IF(Y1857=行业比较!$E$6,ROW(),"")</f>
        <v/>
      </c>
      <c r="AA1857" s="122"/>
      <c r="AB1857" s="122"/>
      <c r="AC1857" s="122"/>
      <c r="AD1857" s="122"/>
      <c r="AE1857" s="122"/>
      <c r="AF1857" s="122"/>
      <c r="AG1857" s="122"/>
      <c r="AH1857" s="122"/>
      <c r="AI1857" s="122"/>
      <c r="AJ1857" s="122"/>
      <c r="AK1857" s="122"/>
      <c r="AL1857" s="122"/>
      <c r="AM1857" s="122"/>
      <c r="AN1857" s="122"/>
      <c r="AO1857" s="122"/>
      <c r="AP1857" s="122"/>
    </row>
    <row r="1858" spans="2:42">
      <c r="B1858" s="122"/>
      <c r="C1858" s="122"/>
      <c r="D1858" s="122"/>
      <c r="E1858" s="122"/>
      <c r="F1858" s="122"/>
      <c r="G1858" s="122"/>
      <c r="H1858" s="122"/>
      <c r="I1858" s="275"/>
      <c r="J1858" s="130"/>
      <c r="K1858" s="130"/>
      <c r="L1858" s="130"/>
      <c r="M1858" s="130"/>
      <c r="N1858" s="291"/>
      <c r="O1858" s="291"/>
      <c r="P1858" s="122"/>
      <c r="Q1858" s="122"/>
      <c r="R1858" s="122"/>
      <c r="S1858" s="122"/>
      <c r="T1858" s="122"/>
      <c r="U1858" s="301"/>
      <c r="V1858" s="260">
        <f t="shared" ca="1" si="36"/>
        <v>0</v>
      </c>
      <c r="W1858" s="348" t="str">
        <f>IF(板块成分!B1860="","",板块成分!B1860)</f>
        <v>300399.SZ</v>
      </c>
      <c r="X1858" s="276" t="str">
        <f>[1]!S_Info_Name(W1858)</f>
        <v>天利科技</v>
      </c>
      <c r="Y1858" s="276" t="str">
        <f ca="1">IF($Y$3="申万一级行业",[1]!s_info_industry_sw_2021(W1858,公司分析!D$5,1),IF($Y$3="申万二级行业",[1]!s_info_industry_sw_2021(W1858,公司分析!D$5,2),IF($Y$3="申万三级行业",[1]!s_info_industry_sw_2021(W1858,公司分析!D$5,3),IF($Y$3="wind一级行业",[1]!s_info_industry_gics(W1858,1),IF($Y$3="wind二级行业",[1]!s_info_industry_gics(W1858,2),IF($Y$3="wind三级行业",[1]!s_info_industry_gics(W1858,3),IF($Y$3="wind四级行业",[1]!s_info_industry_gics(W1858,4),IF($Y$3="证监会门类行业",[1]!s_info_industry_csrc12_n(W1858,公司分析!D$5,1),""))))))))</f>
        <v>IT服务Ⅱ</v>
      </c>
      <c r="Z1858" s="302" t="str">
        <f ca="1">IF(Y1858=行业比较!$E$6,ROW(),"")</f>
        <v/>
      </c>
      <c r="AA1858" s="122"/>
      <c r="AB1858" s="122"/>
      <c r="AC1858" s="122"/>
      <c r="AD1858" s="122"/>
      <c r="AE1858" s="122"/>
      <c r="AF1858" s="122"/>
      <c r="AG1858" s="122"/>
      <c r="AH1858" s="122"/>
      <c r="AI1858" s="122"/>
      <c r="AJ1858" s="122"/>
      <c r="AK1858" s="122"/>
      <c r="AL1858" s="122"/>
      <c r="AM1858" s="122"/>
      <c r="AN1858" s="122"/>
      <c r="AO1858" s="122"/>
      <c r="AP1858" s="122"/>
    </row>
    <row r="1859" spans="2:42">
      <c r="B1859" s="122"/>
      <c r="C1859" s="122"/>
      <c r="D1859" s="122"/>
      <c r="E1859" s="122"/>
      <c r="F1859" s="122"/>
      <c r="G1859" s="122"/>
      <c r="H1859" s="122"/>
      <c r="I1859" s="275"/>
      <c r="J1859" s="130"/>
      <c r="K1859" s="130"/>
      <c r="L1859" s="130"/>
      <c r="M1859" s="130"/>
      <c r="N1859" s="291"/>
      <c r="O1859" s="291"/>
      <c r="P1859" s="122"/>
      <c r="Q1859" s="122"/>
      <c r="R1859" s="122"/>
      <c r="S1859" s="122"/>
      <c r="T1859" s="122"/>
      <c r="U1859" s="301"/>
      <c r="V1859" s="260">
        <f t="shared" ca="1" si="36"/>
        <v>0</v>
      </c>
      <c r="W1859" s="348" t="str">
        <f>IF(板块成分!B1861="","",板块成分!B1861)</f>
        <v>300400.SZ</v>
      </c>
      <c r="X1859" s="276" t="str">
        <f>[1]!S_Info_Name(W1859)</f>
        <v>劲拓股份</v>
      </c>
      <c r="Y1859" s="276" t="str">
        <f ca="1">IF($Y$3="申万一级行业",[1]!s_info_industry_sw_2021(W1859,公司分析!D$5,1),IF($Y$3="申万二级行业",[1]!s_info_industry_sw_2021(W1859,公司分析!D$5,2),IF($Y$3="申万三级行业",[1]!s_info_industry_sw_2021(W1859,公司分析!D$5,3),IF($Y$3="wind一级行业",[1]!s_info_industry_gics(W1859,1),IF($Y$3="wind二级行业",[1]!s_info_industry_gics(W1859,2),IF($Y$3="wind三级行业",[1]!s_info_industry_gics(W1859,3),IF($Y$3="wind四级行业",[1]!s_info_industry_gics(W1859,4),IF($Y$3="证监会门类行业",[1]!s_info_industry_csrc12_n(W1859,公司分析!D$5,1),""))))))))</f>
        <v>自动化设备</v>
      </c>
      <c r="Z1859" s="302" t="str">
        <f ca="1">IF(Y1859=行业比较!$E$6,ROW(),"")</f>
        <v/>
      </c>
      <c r="AA1859" s="122"/>
      <c r="AB1859" s="122"/>
      <c r="AC1859" s="122"/>
      <c r="AD1859" s="122"/>
      <c r="AE1859" s="122"/>
      <c r="AF1859" s="122"/>
      <c r="AG1859" s="122"/>
      <c r="AH1859" s="122"/>
      <c r="AI1859" s="122"/>
      <c r="AJ1859" s="122"/>
      <c r="AK1859" s="122"/>
      <c r="AL1859" s="122"/>
      <c r="AM1859" s="122"/>
      <c r="AN1859" s="122"/>
      <c r="AO1859" s="122"/>
      <c r="AP1859" s="122"/>
    </row>
    <row r="1860" spans="2:42">
      <c r="B1860" s="122"/>
      <c r="C1860" s="122"/>
      <c r="D1860" s="122"/>
      <c r="E1860" s="122"/>
      <c r="F1860" s="122"/>
      <c r="G1860" s="122"/>
      <c r="H1860" s="122"/>
      <c r="I1860" s="275"/>
      <c r="J1860" s="130"/>
      <c r="K1860" s="130"/>
      <c r="L1860" s="130"/>
      <c r="M1860" s="130"/>
      <c r="N1860" s="291"/>
      <c r="O1860" s="291"/>
      <c r="P1860" s="122"/>
      <c r="Q1860" s="122"/>
      <c r="R1860" s="122"/>
      <c r="S1860" s="122"/>
      <c r="T1860" s="122"/>
      <c r="U1860" s="301"/>
      <c r="V1860" s="260">
        <f t="shared" ca="1" si="36"/>
        <v>0</v>
      </c>
      <c r="W1860" s="348" t="str">
        <f>IF(板块成分!B1862="","",板块成分!B1862)</f>
        <v>300401.SZ</v>
      </c>
      <c r="X1860" s="276" t="str">
        <f>[1]!S_Info_Name(W1860)</f>
        <v>花园生物</v>
      </c>
      <c r="Y1860" s="276" t="str">
        <f ca="1">IF($Y$3="申万一级行业",[1]!s_info_industry_sw_2021(W1860,公司分析!D$5,1),IF($Y$3="申万二级行业",[1]!s_info_industry_sw_2021(W1860,公司分析!D$5,2),IF($Y$3="申万三级行业",[1]!s_info_industry_sw_2021(W1860,公司分析!D$5,3),IF($Y$3="wind一级行业",[1]!s_info_industry_gics(W1860,1),IF($Y$3="wind二级行业",[1]!s_info_industry_gics(W1860,2),IF($Y$3="wind三级行业",[1]!s_info_industry_gics(W1860,3),IF($Y$3="wind四级行业",[1]!s_info_industry_gics(W1860,4),IF($Y$3="证监会门类行业",[1]!s_info_industry_csrc12_n(W1860,公司分析!D$5,1),""))))))))</f>
        <v>化学制药</v>
      </c>
      <c r="Z1860" s="302" t="str">
        <f ca="1">IF(Y1860=行业比较!$E$6,ROW(),"")</f>
        <v/>
      </c>
      <c r="AA1860" s="122"/>
      <c r="AB1860" s="122"/>
      <c r="AC1860" s="122"/>
      <c r="AD1860" s="122"/>
      <c r="AE1860" s="122"/>
      <c r="AF1860" s="122"/>
      <c r="AG1860" s="122"/>
      <c r="AH1860" s="122"/>
      <c r="AI1860" s="122"/>
      <c r="AJ1860" s="122"/>
      <c r="AK1860" s="122"/>
      <c r="AL1860" s="122"/>
      <c r="AM1860" s="122"/>
      <c r="AN1860" s="122"/>
      <c r="AO1860" s="122"/>
      <c r="AP1860" s="122"/>
    </row>
    <row r="1861" spans="2:42">
      <c r="B1861" s="122"/>
      <c r="C1861" s="122"/>
      <c r="D1861" s="122"/>
      <c r="E1861" s="122"/>
      <c r="F1861" s="122"/>
      <c r="G1861" s="122"/>
      <c r="H1861" s="122"/>
      <c r="I1861" s="275"/>
      <c r="J1861" s="130"/>
      <c r="K1861" s="130"/>
      <c r="L1861" s="130"/>
      <c r="M1861" s="130"/>
      <c r="N1861" s="291"/>
      <c r="O1861" s="291"/>
      <c r="P1861" s="122"/>
      <c r="Q1861" s="122"/>
      <c r="R1861" s="122"/>
      <c r="S1861" s="122"/>
      <c r="T1861" s="122"/>
      <c r="U1861" s="301"/>
      <c r="V1861" s="260">
        <f t="shared" ref="V1861:V1924" ca="1" si="37">IF(Z1861="",0,RANK(Z1861,Z:Z,1))</f>
        <v>0</v>
      </c>
      <c r="W1861" s="348" t="str">
        <f>IF(板块成分!B1863="","",板块成分!B1863)</f>
        <v>300402.SZ</v>
      </c>
      <c r="X1861" s="276" t="str">
        <f>[1]!S_Info_Name(W1861)</f>
        <v>宝色股份</v>
      </c>
      <c r="Y1861" s="276" t="str">
        <f ca="1">IF($Y$3="申万一级行业",[1]!s_info_industry_sw_2021(W1861,公司分析!D$5,1),IF($Y$3="申万二级行业",[1]!s_info_industry_sw_2021(W1861,公司分析!D$5,2),IF($Y$3="申万三级行业",[1]!s_info_industry_sw_2021(W1861,公司分析!D$5,3),IF($Y$3="wind一级行业",[1]!s_info_industry_gics(W1861,1),IF($Y$3="wind二级行业",[1]!s_info_industry_gics(W1861,2),IF($Y$3="wind三级行业",[1]!s_info_industry_gics(W1861,3),IF($Y$3="wind四级行业",[1]!s_info_industry_gics(W1861,4),IF($Y$3="证监会门类行业",[1]!s_info_industry_csrc12_n(W1861,公司分析!D$5,1),""))))))))</f>
        <v>通用设备</v>
      </c>
      <c r="Z1861" s="302" t="str">
        <f ca="1">IF(Y1861=行业比较!$E$6,ROW(),"")</f>
        <v/>
      </c>
      <c r="AA1861" s="122"/>
      <c r="AB1861" s="122"/>
      <c r="AC1861" s="122"/>
      <c r="AD1861" s="122"/>
      <c r="AE1861" s="122"/>
      <c r="AF1861" s="122"/>
      <c r="AG1861" s="122"/>
      <c r="AH1861" s="122"/>
      <c r="AI1861" s="122"/>
      <c r="AJ1861" s="122"/>
      <c r="AK1861" s="122"/>
      <c r="AL1861" s="122"/>
      <c r="AM1861" s="122"/>
      <c r="AN1861" s="122"/>
      <c r="AO1861" s="122"/>
      <c r="AP1861" s="122"/>
    </row>
    <row r="1862" spans="2:42">
      <c r="B1862" s="122"/>
      <c r="C1862" s="122"/>
      <c r="D1862" s="122"/>
      <c r="E1862" s="122"/>
      <c r="F1862" s="122"/>
      <c r="G1862" s="122"/>
      <c r="H1862" s="122"/>
      <c r="I1862" s="275"/>
      <c r="J1862" s="130"/>
      <c r="K1862" s="130"/>
      <c r="L1862" s="130"/>
      <c r="M1862" s="130"/>
      <c r="N1862" s="291"/>
      <c r="O1862" s="291"/>
      <c r="P1862" s="122"/>
      <c r="Q1862" s="122"/>
      <c r="R1862" s="122"/>
      <c r="S1862" s="122"/>
      <c r="T1862" s="122"/>
      <c r="U1862" s="301"/>
      <c r="V1862" s="260">
        <f t="shared" ca="1" si="37"/>
        <v>0</v>
      </c>
      <c r="W1862" s="348" t="str">
        <f>IF(板块成分!B1864="","",板块成分!B1864)</f>
        <v>300403.SZ</v>
      </c>
      <c r="X1862" s="276" t="str">
        <f>[1]!S_Info_Name(W1862)</f>
        <v>汉宇集团</v>
      </c>
      <c r="Y1862" s="276" t="str">
        <f ca="1">IF($Y$3="申万一级行业",[1]!s_info_industry_sw_2021(W1862,公司分析!D$5,1),IF($Y$3="申万二级行业",[1]!s_info_industry_sw_2021(W1862,公司分析!D$5,2),IF($Y$3="申万三级行业",[1]!s_info_industry_sw_2021(W1862,公司分析!D$5,3),IF($Y$3="wind一级行业",[1]!s_info_industry_gics(W1862,1),IF($Y$3="wind二级行业",[1]!s_info_industry_gics(W1862,2),IF($Y$3="wind三级行业",[1]!s_info_industry_gics(W1862,3),IF($Y$3="wind四级行业",[1]!s_info_industry_gics(W1862,4),IF($Y$3="证监会门类行业",[1]!s_info_industry_csrc12_n(W1862,公司分析!D$5,1),""))))))))</f>
        <v>家电零部件Ⅱ</v>
      </c>
      <c r="Z1862" s="302" t="str">
        <f ca="1">IF(Y1862=行业比较!$E$6,ROW(),"")</f>
        <v/>
      </c>
      <c r="AA1862" s="122"/>
      <c r="AB1862" s="122"/>
      <c r="AC1862" s="122"/>
      <c r="AD1862" s="122"/>
      <c r="AE1862" s="122"/>
      <c r="AF1862" s="122"/>
      <c r="AG1862" s="122"/>
      <c r="AH1862" s="122"/>
      <c r="AI1862" s="122"/>
      <c r="AJ1862" s="122"/>
      <c r="AK1862" s="122"/>
      <c r="AL1862" s="122"/>
      <c r="AM1862" s="122"/>
      <c r="AN1862" s="122"/>
      <c r="AO1862" s="122"/>
      <c r="AP1862" s="122"/>
    </row>
    <row r="1863" spans="2:42">
      <c r="B1863" s="122"/>
      <c r="C1863" s="122"/>
      <c r="D1863" s="122"/>
      <c r="E1863" s="122"/>
      <c r="F1863" s="122"/>
      <c r="G1863" s="122"/>
      <c r="H1863" s="122"/>
      <c r="I1863" s="275"/>
      <c r="J1863" s="130"/>
      <c r="K1863" s="130"/>
      <c r="L1863" s="130"/>
      <c r="M1863" s="130"/>
      <c r="N1863" s="291"/>
      <c r="O1863" s="291"/>
      <c r="P1863" s="122"/>
      <c r="Q1863" s="122"/>
      <c r="R1863" s="122"/>
      <c r="S1863" s="122"/>
      <c r="T1863" s="122"/>
      <c r="U1863" s="301"/>
      <c r="V1863" s="260">
        <f t="shared" ca="1" si="37"/>
        <v>0</v>
      </c>
      <c r="W1863" s="348" t="str">
        <f>IF(板块成分!B1865="","",板块成分!B1865)</f>
        <v>300404.SZ</v>
      </c>
      <c r="X1863" s="276" t="str">
        <f>[1]!S_Info_Name(W1863)</f>
        <v>博济医药</v>
      </c>
      <c r="Y1863" s="276" t="str">
        <f ca="1">IF($Y$3="申万一级行业",[1]!s_info_industry_sw_2021(W1863,公司分析!D$5,1),IF($Y$3="申万二级行业",[1]!s_info_industry_sw_2021(W1863,公司分析!D$5,2),IF($Y$3="申万三级行业",[1]!s_info_industry_sw_2021(W1863,公司分析!D$5,3),IF($Y$3="wind一级行业",[1]!s_info_industry_gics(W1863,1),IF($Y$3="wind二级行业",[1]!s_info_industry_gics(W1863,2),IF($Y$3="wind三级行业",[1]!s_info_industry_gics(W1863,3),IF($Y$3="wind四级行业",[1]!s_info_industry_gics(W1863,4),IF($Y$3="证监会门类行业",[1]!s_info_industry_csrc12_n(W1863,公司分析!D$5,1),""))))))))</f>
        <v>医疗服务</v>
      </c>
      <c r="Z1863" s="302" t="str">
        <f ca="1">IF(Y1863=行业比较!$E$6,ROW(),"")</f>
        <v/>
      </c>
      <c r="AA1863" s="122"/>
      <c r="AB1863" s="122"/>
      <c r="AC1863" s="122"/>
      <c r="AD1863" s="122"/>
      <c r="AE1863" s="122"/>
      <c r="AF1863" s="122"/>
      <c r="AG1863" s="122"/>
      <c r="AH1863" s="122"/>
      <c r="AI1863" s="122"/>
      <c r="AJ1863" s="122"/>
      <c r="AK1863" s="122"/>
      <c r="AL1863" s="122"/>
      <c r="AM1863" s="122"/>
      <c r="AN1863" s="122"/>
      <c r="AO1863" s="122"/>
      <c r="AP1863" s="122"/>
    </row>
    <row r="1864" spans="2:42">
      <c r="B1864" s="122"/>
      <c r="C1864" s="122"/>
      <c r="D1864" s="122"/>
      <c r="E1864" s="122"/>
      <c r="F1864" s="122"/>
      <c r="G1864" s="122"/>
      <c r="H1864" s="122"/>
      <c r="I1864" s="275"/>
      <c r="J1864" s="130"/>
      <c r="K1864" s="130"/>
      <c r="L1864" s="130"/>
      <c r="M1864" s="130"/>
      <c r="N1864" s="291"/>
      <c r="O1864" s="291"/>
      <c r="P1864" s="122"/>
      <c r="Q1864" s="122"/>
      <c r="R1864" s="122"/>
      <c r="S1864" s="122"/>
      <c r="T1864" s="122"/>
      <c r="U1864" s="301"/>
      <c r="V1864" s="260">
        <f t="shared" ca="1" si="37"/>
        <v>0</v>
      </c>
      <c r="W1864" s="348" t="str">
        <f>IF(板块成分!B1866="","",板块成分!B1866)</f>
        <v>300405.SZ</v>
      </c>
      <c r="X1864" s="276" t="str">
        <f>[1]!S_Info_Name(W1864)</f>
        <v>科隆股份</v>
      </c>
      <c r="Y1864" s="276" t="str">
        <f ca="1">IF($Y$3="申万一级行业",[1]!s_info_industry_sw_2021(W1864,公司分析!D$5,1),IF($Y$3="申万二级行业",[1]!s_info_industry_sw_2021(W1864,公司分析!D$5,2),IF($Y$3="申万三级行业",[1]!s_info_industry_sw_2021(W1864,公司分析!D$5,3),IF($Y$3="wind一级行业",[1]!s_info_industry_gics(W1864,1),IF($Y$3="wind二级行业",[1]!s_info_industry_gics(W1864,2),IF($Y$3="wind三级行业",[1]!s_info_industry_gics(W1864,3),IF($Y$3="wind四级行业",[1]!s_info_industry_gics(W1864,4),IF($Y$3="证监会门类行业",[1]!s_info_industry_csrc12_n(W1864,公司分析!D$5,1),""))))))))</f>
        <v>化学制品</v>
      </c>
      <c r="Z1864" s="302" t="str">
        <f ca="1">IF(Y1864=行业比较!$E$6,ROW(),"")</f>
        <v/>
      </c>
      <c r="AA1864" s="122"/>
      <c r="AB1864" s="122"/>
      <c r="AC1864" s="122"/>
      <c r="AD1864" s="122"/>
      <c r="AE1864" s="122"/>
      <c r="AF1864" s="122"/>
      <c r="AG1864" s="122"/>
      <c r="AH1864" s="122"/>
      <c r="AI1864" s="122"/>
      <c r="AJ1864" s="122"/>
      <c r="AK1864" s="122"/>
      <c r="AL1864" s="122"/>
      <c r="AM1864" s="122"/>
      <c r="AN1864" s="122"/>
      <c r="AO1864" s="122"/>
      <c r="AP1864" s="122"/>
    </row>
    <row r="1865" spans="2:42">
      <c r="B1865" s="122"/>
      <c r="C1865" s="122"/>
      <c r="D1865" s="122"/>
      <c r="E1865" s="122"/>
      <c r="F1865" s="122"/>
      <c r="G1865" s="122"/>
      <c r="H1865" s="122"/>
      <c r="I1865" s="275"/>
      <c r="J1865" s="130"/>
      <c r="K1865" s="130"/>
      <c r="L1865" s="130"/>
      <c r="M1865" s="130"/>
      <c r="N1865" s="291"/>
      <c r="O1865" s="291"/>
      <c r="P1865" s="122"/>
      <c r="Q1865" s="122"/>
      <c r="R1865" s="122"/>
      <c r="S1865" s="122"/>
      <c r="T1865" s="122"/>
      <c r="U1865" s="301"/>
      <c r="V1865" s="260">
        <f t="shared" ca="1" si="37"/>
        <v>0</v>
      </c>
      <c r="W1865" s="348" t="str">
        <f>IF(板块成分!B1867="","",板块成分!B1867)</f>
        <v>300406.SZ</v>
      </c>
      <c r="X1865" s="276" t="str">
        <f>[1]!S_Info_Name(W1865)</f>
        <v>九强生物</v>
      </c>
      <c r="Y1865" s="276" t="str">
        <f ca="1">IF($Y$3="申万一级行业",[1]!s_info_industry_sw_2021(W1865,公司分析!D$5,1),IF($Y$3="申万二级行业",[1]!s_info_industry_sw_2021(W1865,公司分析!D$5,2),IF($Y$3="申万三级行业",[1]!s_info_industry_sw_2021(W1865,公司分析!D$5,3),IF($Y$3="wind一级行业",[1]!s_info_industry_gics(W1865,1),IF($Y$3="wind二级行业",[1]!s_info_industry_gics(W1865,2),IF($Y$3="wind三级行业",[1]!s_info_industry_gics(W1865,3),IF($Y$3="wind四级行业",[1]!s_info_industry_gics(W1865,4),IF($Y$3="证监会门类行业",[1]!s_info_industry_csrc12_n(W1865,公司分析!D$5,1),""))))))))</f>
        <v>医疗器械</v>
      </c>
      <c r="Z1865" s="302" t="str">
        <f ca="1">IF(Y1865=行业比较!$E$6,ROW(),"")</f>
        <v/>
      </c>
      <c r="AA1865" s="122"/>
      <c r="AB1865" s="122"/>
      <c r="AC1865" s="122"/>
      <c r="AD1865" s="122"/>
      <c r="AE1865" s="122"/>
      <c r="AF1865" s="122"/>
      <c r="AG1865" s="122"/>
      <c r="AH1865" s="122"/>
      <c r="AI1865" s="122"/>
      <c r="AJ1865" s="122"/>
      <c r="AK1865" s="122"/>
      <c r="AL1865" s="122"/>
      <c r="AM1865" s="122"/>
      <c r="AN1865" s="122"/>
      <c r="AO1865" s="122"/>
      <c r="AP1865" s="122"/>
    </row>
    <row r="1866" spans="2:42">
      <c r="B1866" s="122"/>
      <c r="C1866" s="122"/>
      <c r="D1866" s="122"/>
      <c r="E1866" s="122"/>
      <c r="F1866" s="122"/>
      <c r="G1866" s="122"/>
      <c r="H1866" s="122"/>
      <c r="I1866" s="275"/>
      <c r="J1866" s="130"/>
      <c r="K1866" s="130"/>
      <c r="L1866" s="130"/>
      <c r="M1866" s="130"/>
      <c r="N1866" s="291"/>
      <c r="O1866" s="291"/>
      <c r="P1866" s="122"/>
      <c r="Q1866" s="122"/>
      <c r="R1866" s="122"/>
      <c r="S1866" s="122"/>
      <c r="T1866" s="122"/>
      <c r="U1866" s="301"/>
      <c r="V1866" s="260">
        <f t="shared" ca="1" si="37"/>
        <v>0</v>
      </c>
      <c r="W1866" s="348" t="str">
        <f>IF(板块成分!B1868="","",板块成分!B1868)</f>
        <v>300407.SZ</v>
      </c>
      <c r="X1866" s="276" t="str">
        <f>[1]!S_Info_Name(W1866)</f>
        <v>凯发电气</v>
      </c>
      <c r="Y1866" s="276" t="str">
        <f ca="1">IF($Y$3="申万一级行业",[1]!s_info_industry_sw_2021(W1866,公司分析!D$5,1),IF($Y$3="申万二级行业",[1]!s_info_industry_sw_2021(W1866,公司分析!D$5,2),IF($Y$3="申万三级行业",[1]!s_info_industry_sw_2021(W1866,公司分析!D$5,3),IF($Y$3="wind一级行业",[1]!s_info_industry_gics(W1866,1),IF($Y$3="wind二级行业",[1]!s_info_industry_gics(W1866,2),IF($Y$3="wind三级行业",[1]!s_info_industry_gics(W1866,3),IF($Y$3="wind四级行业",[1]!s_info_industry_gics(W1866,4),IF($Y$3="证监会门类行业",[1]!s_info_industry_csrc12_n(W1866,公司分析!D$5,1),""))))))))</f>
        <v>电网设备</v>
      </c>
      <c r="Z1866" s="302" t="str">
        <f ca="1">IF(Y1866=行业比较!$E$6,ROW(),"")</f>
        <v/>
      </c>
      <c r="AA1866" s="122"/>
      <c r="AB1866" s="122"/>
      <c r="AC1866" s="122"/>
      <c r="AD1866" s="122"/>
      <c r="AE1866" s="122"/>
      <c r="AF1866" s="122"/>
      <c r="AG1866" s="122"/>
      <c r="AH1866" s="122"/>
      <c r="AI1866" s="122"/>
      <c r="AJ1866" s="122"/>
      <c r="AK1866" s="122"/>
      <c r="AL1866" s="122"/>
      <c r="AM1866" s="122"/>
      <c r="AN1866" s="122"/>
      <c r="AO1866" s="122"/>
      <c r="AP1866" s="122"/>
    </row>
    <row r="1867" spans="2:42">
      <c r="B1867" s="122"/>
      <c r="C1867" s="122"/>
      <c r="D1867" s="122"/>
      <c r="E1867" s="122"/>
      <c r="F1867" s="122"/>
      <c r="G1867" s="122"/>
      <c r="H1867" s="122"/>
      <c r="I1867" s="275"/>
      <c r="J1867" s="130"/>
      <c r="K1867" s="130"/>
      <c r="L1867" s="130"/>
      <c r="M1867" s="130"/>
      <c r="N1867" s="291"/>
      <c r="O1867" s="291"/>
      <c r="P1867" s="122"/>
      <c r="Q1867" s="122"/>
      <c r="R1867" s="122"/>
      <c r="S1867" s="122"/>
      <c r="T1867" s="122"/>
      <c r="U1867" s="301"/>
      <c r="V1867" s="260">
        <f t="shared" ca="1" si="37"/>
        <v>0</v>
      </c>
      <c r="W1867" s="348" t="str">
        <f>IF(板块成分!B1869="","",板块成分!B1869)</f>
        <v>300408.SZ</v>
      </c>
      <c r="X1867" s="276" t="str">
        <f>[1]!S_Info_Name(W1867)</f>
        <v>三环集团</v>
      </c>
      <c r="Y1867" s="276" t="str">
        <f ca="1">IF($Y$3="申万一级行业",[1]!s_info_industry_sw_2021(W1867,公司分析!D$5,1),IF($Y$3="申万二级行业",[1]!s_info_industry_sw_2021(W1867,公司分析!D$5,2),IF($Y$3="申万三级行业",[1]!s_info_industry_sw_2021(W1867,公司分析!D$5,3),IF($Y$3="wind一级行业",[1]!s_info_industry_gics(W1867,1),IF($Y$3="wind二级行业",[1]!s_info_industry_gics(W1867,2),IF($Y$3="wind三级行业",[1]!s_info_industry_gics(W1867,3),IF($Y$3="wind四级行业",[1]!s_info_industry_gics(W1867,4),IF($Y$3="证监会门类行业",[1]!s_info_industry_csrc12_n(W1867,公司分析!D$5,1),""))))))))</f>
        <v>元件</v>
      </c>
      <c r="Z1867" s="302" t="str">
        <f ca="1">IF(Y1867=行业比较!$E$6,ROW(),"")</f>
        <v/>
      </c>
      <c r="AA1867" s="122"/>
      <c r="AB1867" s="122"/>
      <c r="AC1867" s="122"/>
      <c r="AD1867" s="122"/>
      <c r="AE1867" s="122"/>
      <c r="AF1867" s="122"/>
      <c r="AG1867" s="122"/>
      <c r="AH1867" s="122"/>
      <c r="AI1867" s="122"/>
      <c r="AJ1867" s="122"/>
      <c r="AK1867" s="122"/>
      <c r="AL1867" s="122"/>
      <c r="AM1867" s="122"/>
      <c r="AN1867" s="122"/>
      <c r="AO1867" s="122"/>
      <c r="AP1867" s="122"/>
    </row>
    <row r="1868" spans="2:42">
      <c r="B1868" s="122"/>
      <c r="C1868" s="122"/>
      <c r="D1868" s="122"/>
      <c r="E1868" s="122"/>
      <c r="F1868" s="122"/>
      <c r="G1868" s="122"/>
      <c r="H1868" s="122"/>
      <c r="I1868" s="275"/>
      <c r="J1868" s="130"/>
      <c r="K1868" s="130"/>
      <c r="L1868" s="130"/>
      <c r="M1868" s="130"/>
      <c r="N1868" s="291"/>
      <c r="O1868" s="291"/>
      <c r="P1868" s="122"/>
      <c r="Q1868" s="122"/>
      <c r="R1868" s="122"/>
      <c r="S1868" s="122"/>
      <c r="T1868" s="122"/>
      <c r="U1868" s="301"/>
      <c r="V1868" s="260">
        <f t="shared" ca="1" si="37"/>
        <v>0</v>
      </c>
      <c r="W1868" s="348" t="str">
        <f>IF(板块成分!B1870="","",板块成分!B1870)</f>
        <v>300409.SZ</v>
      </c>
      <c r="X1868" s="276" t="str">
        <f>[1]!S_Info_Name(W1868)</f>
        <v>道氏技术</v>
      </c>
      <c r="Y1868" s="276" t="str">
        <f ca="1">IF($Y$3="申万一级行业",[1]!s_info_industry_sw_2021(W1868,公司分析!D$5,1),IF($Y$3="申万二级行业",[1]!s_info_industry_sw_2021(W1868,公司分析!D$5,2),IF($Y$3="申万三级行业",[1]!s_info_industry_sw_2021(W1868,公司分析!D$5,3),IF($Y$3="wind一级行业",[1]!s_info_industry_gics(W1868,1),IF($Y$3="wind二级行业",[1]!s_info_industry_gics(W1868,2),IF($Y$3="wind三级行业",[1]!s_info_industry_gics(W1868,3),IF($Y$3="wind四级行业",[1]!s_info_industry_gics(W1868,4),IF($Y$3="证监会门类行业",[1]!s_info_industry_csrc12_n(W1868,公司分析!D$5,1),""))))))))</f>
        <v>电池</v>
      </c>
      <c r="Z1868" s="302" t="str">
        <f ca="1">IF(Y1868=行业比较!$E$6,ROW(),"")</f>
        <v/>
      </c>
      <c r="AA1868" s="122"/>
      <c r="AB1868" s="122"/>
      <c r="AC1868" s="122"/>
      <c r="AD1868" s="122"/>
      <c r="AE1868" s="122"/>
      <c r="AF1868" s="122"/>
      <c r="AG1868" s="122"/>
      <c r="AH1868" s="122"/>
      <c r="AI1868" s="122"/>
      <c r="AJ1868" s="122"/>
      <c r="AK1868" s="122"/>
      <c r="AL1868" s="122"/>
      <c r="AM1868" s="122"/>
      <c r="AN1868" s="122"/>
      <c r="AO1868" s="122"/>
      <c r="AP1868" s="122"/>
    </row>
    <row r="1869" spans="2:42">
      <c r="B1869" s="122"/>
      <c r="C1869" s="122"/>
      <c r="D1869" s="122"/>
      <c r="E1869" s="122"/>
      <c r="F1869" s="122"/>
      <c r="G1869" s="122"/>
      <c r="H1869" s="122"/>
      <c r="I1869" s="275"/>
      <c r="J1869" s="130"/>
      <c r="K1869" s="130"/>
      <c r="L1869" s="130"/>
      <c r="M1869" s="130"/>
      <c r="N1869" s="291"/>
      <c r="O1869" s="291"/>
      <c r="P1869" s="122"/>
      <c r="Q1869" s="122"/>
      <c r="R1869" s="122"/>
      <c r="S1869" s="122"/>
      <c r="T1869" s="122"/>
      <c r="U1869" s="301"/>
      <c r="V1869" s="260">
        <f t="shared" ca="1" si="37"/>
        <v>0</v>
      </c>
      <c r="W1869" s="348" t="str">
        <f>IF(板块成分!B1871="","",板块成分!B1871)</f>
        <v>300410.SZ</v>
      </c>
      <c r="X1869" s="276" t="str">
        <f>[1]!S_Info_Name(W1869)</f>
        <v>正业科技</v>
      </c>
      <c r="Y1869" s="276" t="str">
        <f ca="1">IF($Y$3="申万一级行业",[1]!s_info_industry_sw_2021(W1869,公司分析!D$5,1),IF($Y$3="申万二级行业",[1]!s_info_industry_sw_2021(W1869,公司分析!D$5,2),IF($Y$3="申万三级行业",[1]!s_info_industry_sw_2021(W1869,公司分析!D$5,3),IF($Y$3="wind一级行业",[1]!s_info_industry_gics(W1869,1),IF($Y$3="wind二级行业",[1]!s_info_industry_gics(W1869,2),IF($Y$3="wind三级行业",[1]!s_info_industry_gics(W1869,3),IF($Y$3="wind四级行业",[1]!s_info_industry_gics(W1869,4),IF($Y$3="证监会门类行业",[1]!s_info_industry_csrc12_n(W1869,公司分析!D$5,1),""))))))))</f>
        <v>电池</v>
      </c>
      <c r="Z1869" s="302" t="str">
        <f ca="1">IF(Y1869=行业比较!$E$6,ROW(),"")</f>
        <v/>
      </c>
      <c r="AA1869" s="122"/>
      <c r="AB1869" s="122"/>
      <c r="AC1869" s="122"/>
      <c r="AD1869" s="122"/>
      <c r="AE1869" s="122"/>
      <c r="AF1869" s="122"/>
      <c r="AG1869" s="122"/>
      <c r="AH1869" s="122"/>
      <c r="AI1869" s="122"/>
      <c r="AJ1869" s="122"/>
      <c r="AK1869" s="122"/>
      <c r="AL1869" s="122"/>
      <c r="AM1869" s="122"/>
      <c r="AN1869" s="122"/>
      <c r="AO1869" s="122"/>
      <c r="AP1869" s="122"/>
    </row>
    <row r="1870" spans="2:42">
      <c r="B1870" s="122"/>
      <c r="C1870" s="122"/>
      <c r="D1870" s="122"/>
      <c r="E1870" s="122"/>
      <c r="F1870" s="122"/>
      <c r="G1870" s="122"/>
      <c r="H1870" s="122"/>
      <c r="I1870" s="275"/>
      <c r="J1870" s="130"/>
      <c r="K1870" s="130"/>
      <c r="L1870" s="130"/>
      <c r="M1870" s="130"/>
      <c r="N1870" s="291"/>
      <c r="O1870" s="291"/>
      <c r="P1870" s="122"/>
      <c r="Q1870" s="122"/>
      <c r="R1870" s="122"/>
      <c r="S1870" s="122"/>
      <c r="T1870" s="122"/>
      <c r="U1870" s="301"/>
      <c r="V1870" s="260">
        <f t="shared" ca="1" si="37"/>
        <v>0</v>
      </c>
      <c r="W1870" s="348" t="str">
        <f>IF(板块成分!B1872="","",板块成分!B1872)</f>
        <v>300411.SZ</v>
      </c>
      <c r="X1870" s="276" t="str">
        <f>[1]!S_Info_Name(W1870)</f>
        <v>金盾股份</v>
      </c>
      <c r="Y1870" s="276" t="str">
        <f ca="1">IF($Y$3="申万一级行业",[1]!s_info_industry_sw_2021(W1870,公司分析!D$5,1),IF($Y$3="申万二级行业",[1]!s_info_industry_sw_2021(W1870,公司分析!D$5,2),IF($Y$3="申万三级行业",[1]!s_info_industry_sw_2021(W1870,公司分析!D$5,3),IF($Y$3="wind一级行业",[1]!s_info_industry_gics(W1870,1),IF($Y$3="wind二级行业",[1]!s_info_industry_gics(W1870,2),IF($Y$3="wind三级行业",[1]!s_info_industry_gics(W1870,3),IF($Y$3="wind四级行业",[1]!s_info_industry_gics(W1870,4),IF($Y$3="证监会门类行业",[1]!s_info_industry_csrc12_n(W1870,公司分析!D$5,1),""))))))))</f>
        <v>专用设备</v>
      </c>
      <c r="Z1870" s="302" t="str">
        <f ca="1">IF(Y1870=行业比较!$E$6,ROW(),"")</f>
        <v/>
      </c>
      <c r="AA1870" s="122"/>
      <c r="AB1870" s="122"/>
      <c r="AC1870" s="122"/>
      <c r="AD1870" s="122"/>
      <c r="AE1870" s="122"/>
      <c r="AF1870" s="122"/>
      <c r="AG1870" s="122"/>
      <c r="AH1870" s="122"/>
      <c r="AI1870" s="122"/>
      <c r="AJ1870" s="122"/>
      <c r="AK1870" s="122"/>
      <c r="AL1870" s="122"/>
      <c r="AM1870" s="122"/>
      <c r="AN1870" s="122"/>
      <c r="AO1870" s="122"/>
      <c r="AP1870" s="122"/>
    </row>
    <row r="1871" spans="2:42">
      <c r="B1871" s="122"/>
      <c r="C1871" s="122"/>
      <c r="D1871" s="122"/>
      <c r="E1871" s="122"/>
      <c r="F1871" s="122"/>
      <c r="G1871" s="122"/>
      <c r="H1871" s="122"/>
      <c r="I1871" s="275"/>
      <c r="J1871" s="130"/>
      <c r="K1871" s="130"/>
      <c r="L1871" s="130"/>
      <c r="M1871" s="130"/>
      <c r="N1871" s="291"/>
      <c r="O1871" s="291"/>
      <c r="P1871" s="122"/>
      <c r="Q1871" s="122"/>
      <c r="R1871" s="122"/>
      <c r="S1871" s="122"/>
      <c r="T1871" s="122"/>
      <c r="U1871" s="301"/>
      <c r="V1871" s="260">
        <f t="shared" ca="1" si="37"/>
        <v>0</v>
      </c>
      <c r="W1871" s="348" t="str">
        <f>IF(板块成分!B1873="","",板块成分!B1873)</f>
        <v>300412.SZ</v>
      </c>
      <c r="X1871" s="276" t="str">
        <f>[1]!S_Info_Name(W1871)</f>
        <v>迦南科技</v>
      </c>
      <c r="Y1871" s="276" t="str">
        <f ca="1">IF($Y$3="申万一级行业",[1]!s_info_industry_sw_2021(W1871,公司分析!D$5,1),IF($Y$3="申万二级行业",[1]!s_info_industry_sw_2021(W1871,公司分析!D$5,2),IF($Y$3="申万三级行业",[1]!s_info_industry_sw_2021(W1871,公司分析!D$5,3),IF($Y$3="wind一级行业",[1]!s_info_industry_gics(W1871,1),IF($Y$3="wind二级行业",[1]!s_info_industry_gics(W1871,2),IF($Y$3="wind三级行业",[1]!s_info_industry_gics(W1871,3),IF($Y$3="wind四级行业",[1]!s_info_industry_gics(W1871,4),IF($Y$3="证监会门类行业",[1]!s_info_industry_csrc12_n(W1871,公司分析!D$5,1),""))))))))</f>
        <v>专用设备</v>
      </c>
      <c r="Z1871" s="302" t="str">
        <f ca="1">IF(Y1871=行业比较!$E$6,ROW(),"")</f>
        <v/>
      </c>
      <c r="AA1871" s="122"/>
      <c r="AB1871" s="122"/>
      <c r="AC1871" s="122"/>
      <c r="AD1871" s="122"/>
      <c r="AE1871" s="122"/>
      <c r="AF1871" s="122"/>
      <c r="AG1871" s="122"/>
      <c r="AH1871" s="122"/>
      <c r="AI1871" s="122"/>
      <c r="AJ1871" s="122"/>
      <c r="AK1871" s="122"/>
      <c r="AL1871" s="122"/>
      <c r="AM1871" s="122"/>
      <c r="AN1871" s="122"/>
      <c r="AO1871" s="122"/>
      <c r="AP1871" s="122"/>
    </row>
    <row r="1872" spans="2:42">
      <c r="B1872" s="122"/>
      <c r="C1872" s="122"/>
      <c r="D1872" s="122"/>
      <c r="E1872" s="122"/>
      <c r="F1872" s="122"/>
      <c r="G1872" s="122"/>
      <c r="H1872" s="122"/>
      <c r="I1872" s="275"/>
      <c r="J1872" s="130"/>
      <c r="K1872" s="130"/>
      <c r="L1872" s="130"/>
      <c r="M1872" s="130"/>
      <c r="N1872" s="291"/>
      <c r="O1872" s="291"/>
      <c r="P1872" s="122"/>
      <c r="Q1872" s="122"/>
      <c r="R1872" s="122"/>
      <c r="S1872" s="122"/>
      <c r="T1872" s="122"/>
      <c r="U1872" s="301"/>
      <c r="V1872" s="260">
        <f t="shared" ca="1" si="37"/>
        <v>0</v>
      </c>
      <c r="W1872" s="348" t="str">
        <f>IF(板块成分!B1874="","",板块成分!B1874)</f>
        <v>300413.SZ</v>
      </c>
      <c r="X1872" s="276" t="str">
        <f>[1]!S_Info_Name(W1872)</f>
        <v>芒果超媒</v>
      </c>
      <c r="Y1872" s="276" t="str">
        <f ca="1">IF($Y$3="申万一级行业",[1]!s_info_industry_sw_2021(W1872,公司分析!D$5,1),IF($Y$3="申万二级行业",[1]!s_info_industry_sw_2021(W1872,公司分析!D$5,2),IF($Y$3="申万三级行业",[1]!s_info_industry_sw_2021(W1872,公司分析!D$5,3),IF($Y$3="wind一级行业",[1]!s_info_industry_gics(W1872,1),IF($Y$3="wind二级行业",[1]!s_info_industry_gics(W1872,2),IF($Y$3="wind三级行业",[1]!s_info_industry_gics(W1872,3),IF($Y$3="wind四级行业",[1]!s_info_industry_gics(W1872,4),IF($Y$3="证监会门类行业",[1]!s_info_industry_csrc12_n(W1872,公司分析!D$5,1),""))))))))</f>
        <v>数字媒体</v>
      </c>
      <c r="Z1872" s="302" t="str">
        <f ca="1">IF(Y1872=行业比较!$E$6,ROW(),"")</f>
        <v/>
      </c>
      <c r="AA1872" s="122"/>
      <c r="AB1872" s="122"/>
      <c r="AC1872" s="122"/>
      <c r="AD1872" s="122"/>
      <c r="AE1872" s="122"/>
      <c r="AF1872" s="122"/>
      <c r="AG1872" s="122"/>
      <c r="AH1872" s="122"/>
      <c r="AI1872" s="122"/>
      <c r="AJ1872" s="122"/>
      <c r="AK1872" s="122"/>
      <c r="AL1872" s="122"/>
      <c r="AM1872" s="122"/>
      <c r="AN1872" s="122"/>
      <c r="AO1872" s="122"/>
      <c r="AP1872" s="122"/>
    </row>
    <row r="1873" spans="2:42">
      <c r="B1873" s="122"/>
      <c r="C1873" s="122"/>
      <c r="D1873" s="122"/>
      <c r="E1873" s="122"/>
      <c r="F1873" s="122"/>
      <c r="G1873" s="122"/>
      <c r="H1873" s="122"/>
      <c r="I1873" s="275"/>
      <c r="J1873" s="130"/>
      <c r="K1873" s="130"/>
      <c r="L1873" s="130"/>
      <c r="M1873" s="130"/>
      <c r="N1873" s="291"/>
      <c r="O1873" s="291"/>
      <c r="P1873" s="122"/>
      <c r="Q1873" s="122"/>
      <c r="R1873" s="122"/>
      <c r="S1873" s="122"/>
      <c r="T1873" s="122"/>
      <c r="U1873" s="301"/>
      <c r="V1873" s="260">
        <f t="shared" ca="1" si="37"/>
        <v>0</v>
      </c>
      <c r="W1873" s="348" t="str">
        <f>IF(板块成分!B1875="","",板块成分!B1875)</f>
        <v>300414.SZ</v>
      </c>
      <c r="X1873" s="276" t="str">
        <f>[1]!S_Info_Name(W1873)</f>
        <v>中光防雷</v>
      </c>
      <c r="Y1873" s="276" t="str">
        <f ca="1">IF($Y$3="申万一级行业",[1]!s_info_industry_sw_2021(W1873,公司分析!D$5,1),IF($Y$3="申万二级行业",[1]!s_info_industry_sw_2021(W1873,公司分析!D$5,2),IF($Y$3="申万三级行业",[1]!s_info_industry_sw_2021(W1873,公司分析!D$5,3),IF($Y$3="wind一级行业",[1]!s_info_industry_gics(W1873,1),IF($Y$3="wind二级行业",[1]!s_info_industry_gics(W1873,2),IF($Y$3="wind三级行业",[1]!s_info_industry_gics(W1873,3),IF($Y$3="wind四级行业",[1]!s_info_industry_gics(W1873,4),IF($Y$3="证监会门类行业",[1]!s_info_industry_csrc12_n(W1873,公司分析!D$5,1),""))))))))</f>
        <v>通信设备</v>
      </c>
      <c r="Z1873" s="302" t="str">
        <f ca="1">IF(Y1873=行业比较!$E$6,ROW(),"")</f>
        <v/>
      </c>
      <c r="AA1873" s="122"/>
      <c r="AB1873" s="122"/>
      <c r="AC1873" s="122"/>
      <c r="AD1873" s="122"/>
      <c r="AE1873" s="122"/>
      <c r="AF1873" s="122"/>
      <c r="AG1873" s="122"/>
      <c r="AH1873" s="122"/>
      <c r="AI1873" s="122"/>
      <c r="AJ1873" s="122"/>
      <c r="AK1873" s="122"/>
      <c r="AL1873" s="122"/>
      <c r="AM1873" s="122"/>
      <c r="AN1873" s="122"/>
      <c r="AO1873" s="122"/>
      <c r="AP1873" s="122"/>
    </row>
    <row r="1874" spans="2:42">
      <c r="B1874" s="122"/>
      <c r="C1874" s="122"/>
      <c r="D1874" s="122"/>
      <c r="E1874" s="122"/>
      <c r="F1874" s="122"/>
      <c r="G1874" s="122"/>
      <c r="H1874" s="122"/>
      <c r="I1874" s="275"/>
      <c r="J1874" s="130"/>
      <c r="K1874" s="130"/>
      <c r="L1874" s="130"/>
      <c r="M1874" s="130"/>
      <c r="N1874" s="291"/>
      <c r="O1874" s="291"/>
      <c r="P1874" s="122"/>
      <c r="Q1874" s="122"/>
      <c r="R1874" s="122"/>
      <c r="S1874" s="122"/>
      <c r="T1874" s="122"/>
      <c r="U1874" s="301"/>
      <c r="V1874" s="260">
        <f t="shared" ca="1" si="37"/>
        <v>0</v>
      </c>
      <c r="W1874" s="348" t="str">
        <f>IF(板块成分!B1876="","",板块成分!B1876)</f>
        <v>300415.SZ</v>
      </c>
      <c r="X1874" s="276" t="str">
        <f>[1]!S_Info_Name(W1874)</f>
        <v>伊之密</v>
      </c>
      <c r="Y1874" s="276" t="str">
        <f ca="1">IF($Y$3="申万一级行业",[1]!s_info_industry_sw_2021(W1874,公司分析!D$5,1),IF($Y$3="申万二级行业",[1]!s_info_industry_sw_2021(W1874,公司分析!D$5,2),IF($Y$3="申万三级行业",[1]!s_info_industry_sw_2021(W1874,公司分析!D$5,3),IF($Y$3="wind一级行业",[1]!s_info_industry_gics(W1874,1),IF($Y$3="wind二级行业",[1]!s_info_industry_gics(W1874,2),IF($Y$3="wind三级行业",[1]!s_info_industry_gics(W1874,3),IF($Y$3="wind四级行业",[1]!s_info_industry_gics(W1874,4),IF($Y$3="证监会门类行业",[1]!s_info_industry_csrc12_n(W1874,公司分析!D$5,1),""))))))))</f>
        <v>专用设备</v>
      </c>
      <c r="Z1874" s="302" t="str">
        <f ca="1">IF(Y1874=行业比较!$E$6,ROW(),"")</f>
        <v/>
      </c>
      <c r="AA1874" s="122"/>
      <c r="AB1874" s="122"/>
      <c r="AC1874" s="122"/>
      <c r="AD1874" s="122"/>
      <c r="AE1874" s="122"/>
      <c r="AF1874" s="122"/>
      <c r="AG1874" s="122"/>
      <c r="AH1874" s="122"/>
      <c r="AI1874" s="122"/>
      <c r="AJ1874" s="122"/>
      <c r="AK1874" s="122"/>
      <c r="AL1874" s="122"/>
      <c r="AM1874" s="122"/>
      <c r="AN1874" s="122"/>
      <c r="AO1874" s="122"/>
      <c r="AP1874" s="122"/>
    </row>
    <row r="1875" spans="2:42">
      <c r="B1875" s="122"/>
      <c r="C1875" s="122"/>
      <c r="D1875" s="122"/>
      <c r="E1875" s="122"/>
      <c r="F1875" s="122"/>
      <c r="G1875" s="122"/>
      <c r="H1875" s="122"/>
      <c r="I1875" s="275"/>
      <c r="J1875" s="130"/>
      <c r="K1875" s="130"/>
      <c r="L1875" s="130"/>
      <c r="M1875" s="130"/>
      <c r="N1875" s="291"/>
      <c r="O1875" s="291"/>
      <c r="P1875" s="122"/>
      <c r="Q1875" s="122"/>
      <c r="R1875" s="122"/>
      <c r="S1875" s="122"/>
      <c r="T1875" s="122"/>
      <c r="U1875" s="301"/>
      <c r="V1875" s="260">
        <f t="shared" ca="1" si="37"/>
        <v>0</v>
      </c>
      <c r="W1875" s="348" t="str">
        <f>IF(板块成分!B1877="","",板块成分!B1877)</f>
        <v>300416.SZ</v>
      </c>
      <c r="X1875" s="276" t="str">
        <f>[1]!S_Info_Name(W1875)</f>
        <v>苏试试验</v>
      </c>
      <c r="Y1875" s="276" t="str">
        <f ca="1">IF($Y$3="申万一级行业",[1]!s_info_industry_sw_2021(W1875,公司分析!D$5,1),IF($Y$3="申万二级行业",[1]!s_info_industry_sw_2021(W1875,公司分析!D$5,2),IF($Y$3="申万三级行业",[1]!s_info_industry_sw_2021(W1875,公司分析!D$5,3),IF($Y$3="wind一级行业",[1]!s_info_industry_gics(W1875,1),IF($Y$3="wind二级行业",[1]!s_info_industry_gics(W1875,2),IF($Y$3="wind三级行业",[1]!s_info_industry_gics(W1875,3),IF($Y$3="wind四级行业",[1]!s_info_industry_gics(W1875,4),IF($Y$3="证监会门类行业",[1]!s_info_industry_csrc12_n(W1875,公司分析!D$5,1),""))))))))</f>
        <v>专业服务</v>
      </c>
      <c r="Z1875" s="302" t="str">
        <f ca="1">IF(Y1875=行业比较!$E$6,ROW(),"")</f>
        <v/>
      </c>
      <c r="AA1875" s="122"/>
      <c r="AB1875" s="122"/>
      <c r="AC1875" s="122"/>
      <c r="AD1875" s="122"/>
      <c r="AE1875" s="122"/>
      <c r="AF1875" s="122"/>
      <c r="AG1875" s="122"/>
      <c r="AH1875" s="122"/>
      <c r="AI1875" s="122"/>
      <c r="AJ1875" s="122"/>
      <c r="AK1875" s="122"/>
      <c r="AL1875" s="122"/>
      <c r="AM1875" s="122"/>
      <c r="AN1875" s="122"/>
      <c r="AO1875" s="122"/>
      <c r="AP1875" s="122"/>
    </row>
    <row r="1876" spans="2:42">
      <c r="B1876" s="122"/>
      <c r="C1876" s="122"/>
      <c r="D1876" s="122"/>
      <c r="E1876" s="122"/>
      <c r="F1876" s="122"/>
      <c r="G1876" s="122"/>
      <c r="H1876" s="122"/>
      <c r="I1876" s="275"/>
      <c r="J1876" s="130"/>
      <c r="K1876" s="130"/>
      <c r="L1876" s="130"/>
      <c r="M1876" s="130"/>
      <c r="N1876" s="291"/>
      <c r="O1876" s="291"/>
      <c r="P1876" s="122"/>
      <c r="Q1876" s="122"/>
      <c r="R1876" s="122"/>
      <c r="S1876" s="122"/>
      <c r="T1876" s="122"/>
      <c r="U1876" s="301"/>
      <c r="V1876" s="260">
        <f t="shared" ca="1" si="37"/>
        <v>0</v>
      </c>
      <c r="W1876" s="348" t="str">
        <f>IF(板块成分!B1878="","",板块成分!B1878)</f>
        <v>300417.SZ</v>
      </c>
      <c r="X1876" s="276" t="str">
        <f>[1]!S_Info_Name(W1876)</f>
        <v>南华仪器</v>
      </c>
      <c r="Y1876" s="276" t="str">
        <f ca="1">IF($Y$3="申万一级行业",[1]!s_info_industry_sw_2021(W1876,公司分析!D$5,1),IF($Y$3="申万二级行业",[1]!s_info_industry_sw_2021(W1876,公司分析!D$5,2),IF($Y$3="申万三级行业",[1]!s_info_industry_sw_2021(W1876,公司分析!D$5,3),IF($Y$3="wind一级行业",[1]!s_info_industry_gics(W1876,1),IF($Y$3="wind二级行业",[1]!s_info_industry_gics(W1876,2),IF($Y$3="wind三级行业",[1]!s_info_industry_gics(W1876,3),IF($Y$3="wind四级行业",[1]!s_info_industry_gics(W1876,4),IF($Y$3="证监会门类行业",[1]!s_info_industry_csrc12_n(W1876,公司分析!D$5,1),""))))))))</f>
        <v>通用设备</v>
      </c>
      <c r="Z1876" s="302" t="str">
        <f ca="1">IF(Y1876=行业比较!$E$6,ROW(),"")</f>
        <v/>
      </c>
      <c r="AA1876" s="122"/>
      <c r="AB1876" s="122"/>
      <c r="AC1876" s="122"/>
      <c r="AD1876" s="122"/>
      <c r="AE1876" s="122"/>
      <c r="AF1876" s="122"/>
      <c r="AG1876" s="122"/>
      <c r="AH1876" s="122"/>
      <c r="AI1876" s="122"/>
      <c r="AJ1876" s="122"/>
      <c r="AK1876" s="122"/>
      <c r="AL1876" s="122"/>
      <c r="AM1876" s="122"/>
      <c r="AN1876" s="122"/>
      <c r="AO1876" s="122"/>
      <c r="AP1876" s="122"/>
    </row>
    <row r="1877" spans="2:42">
      <c r="B1877" s="122"/>
      <c r="C1877" s="122"/>
      <c r="D1877" s="122"/>
      <c r="E1877" s="122"/>
      <c r="F1877" s="122"/>
      <c r="G1877" s="122"/>
      <c r="H1877" s="122"/>
      <c r="I1877" s="275"/>
      <c r="J1877" s="130"/>
      <c r="K1877" s="130"/>
      <c r="L1877" s="130"/>
      <c r="M1877" s="130"/>
      <c r="N1877" s="291"/>
      <c r="O1877" s="291"/>
      <c r="P1877" s="122"/>
      <c r="Q1877" s="122"/>
      <c r="R1877" s="122"/>
      <c r="S1877" s="122"/>
      <c r="T1877" s="122"/>
      <c r="U1877" s="301"/>
      <c r="V1877" s="260">
        <f t="shared" ca="1" si="37"/>
        <v>0</v>
      </c>
      <c r="W1877" s="348" t="str">
        <f>IF(板块成分!B1879="","",板块成分!B1879)</f>
        <v>300418.SZ</v>
      </c>
      <c r="X1877" s="276" t="str">
        <f>[1]!S_Info_Name(W1877)</f>
        <v>昆仑万维</v>
      </c>
      <c r="Y1877" s="276" t="str">
        <f ca="1">IF($Y$3="申万一级行业",[1]!s_info_industry_sw_2021(W1877,公司分析!D$5,1),IF($Y$3="申万二级行业",[1]!s_info_industry_sw_2021(W1877,公司分析!D$5,2),IF($Y$3="申万三级行业",[1]!s_info_industry_sw_2021(W1877,公司分析!D$5,3),IF($Y$3="wind一级行业",[1]!s_info_industry_gics(W1877,1),IF($Y$3="wind二级行业",[1]!s_info_industry_gics(W1877,2),IF($Y$3="wind三级行业",[1]!s_info_industry_gics(W1877,3),IF($Y$3="wind四级行业",[1]!s_info_industry_gics(W1877,4),IF($Y$3="证监会门类行业",[1]!s_info_industry_csrc12_n(W1877,公司分析!D$5,1),""))))))))</f>
        <v>游戏Ⅱ</v>
      </c>
      <c r="Z1877" s="302" t="str">
        <f ca="1">IF(Y1877=行业比较!$E$6,ROW(),"")</f>
        <v/>
      </c>
      <c r="AA1877" s="122"/>
      <c r="AB1877" s="122"/>
      <c r="AC1877" s="122"/>
      <c r="AD1877" s="122"/>
      <c r="AE1877" s="122"/>
      <c r="AF1877" s="122"/>
      <c r="AG1877" s="122"/>
      <c r="AH1877" s="122"/>
      <c r="AI1877" s="122"/>
      <c r="AJ1877" s="122"/>
      <c r="AK1877" s="122"/>
      <c r="AL1877" s="122"/>
      <c r="AM1877" s="122"/>
      <c r="AN1877" s="122"/>
      <c r="AO1877" s="122"/>
      <c r="AP1877" s="122"/>
    </row>
    <row r="1878" spans="2:42">
      <c r="B1878" s="122"/>
      <c r="C1878" s="122"/>
      <c r="D1878" s="122"/>
      <c r="E1878" s="122"/>
      <c r="F1878" s="122"/>
      <c r="G1878" s="122"/>
      <c r="H1878" s="122"/>
      <c r="I1878" s="275"/>
      <c r="J1878" s="130"/>
      <c r="K1878" s="130"/>
      <c r="L1878" s="130"/>
      <c r="M1878" s="130"/>
      <c r="N1878" s="291"/>
      <c r="O1878" s="291"/>
      <c r="P1878" s="122"/>
      <c r="Q1878" s="122"/>
      <c r="R1878" s="122"/>
      <c r="S1878" s="122"/>
      <c r="T1878" s="122"/>
      <c r="U1878" s="301"/>
      <c r="V1878" s="260">
        <f t="shared" ca="1" si="37"/>
        <v>0</v>
      </c>
      <c r="W1878" s="348" t="str">
        <f>IF(板块成分!B1880="","",板块成分!B1880)</f>
        <v>300419.SZ</v>
      </c>
      <c r="X1878" s="276" t="str">
        <f>[1]!S_Info_Name(W1878)</f>
        <v>ST浩丰</v>
      </c>
      <c r="Y1878" s="276" t="str">
        <f ca="1">IF($Y$3="申万一级行业",[1]!s_info_industry_sw_2021(W1878,公司分析!D$5,1),IF($Y$3="申万二级行业",[1]!s_info_industry_sw_2021(W1878,公司分析!D$5,2),IF($Y$3="申万三级行业",[1]!s_info_industry_sw_2021(W1878,公司分析!D$5,3),IF($Y$3="wind一级行业",[1]!s_info_industry_gics(W1878,1),IF($Y$3="wind二级行业",[1]!s_info_industry_gics(W1878,2),IF($Y$3="wind三级行业",[1]!s_info_industry_gics(W1878,3),IF($Y$3="wind四级行业",[1]!s_info_industry_gics(W1878,4),IF($Y$3="证监会门类行业",[1]!s_info_industry_csrc12_n(W1878,公司分析!D$5,1),""))))))))</f>
        <v>IT服务Ⅱ</v>
      </c>
      <c r="Z1878" s="302" t="str">
        <f ca="1">IF(Y1878=行业比较!$E$6,ROW(),"")</f>
        <v/>
      </c>
      <c r="AA1878" s="122"/>
      <c r="AB1878" s="122"/>
      <c r="AC1878" s="122"/>
      <c r="AD1878" s="122"/>
      <c r="AE1878" s="122"/>
      <c r="AF1878" s="122"/>
      <c r="AG1878" s="122"/>
      <c r="AH1878" s="122"/>
      <c r="AI1878" s="122"/>
      <c r="AJ1878" s="122"/>
      <c r="AK1878" s="122"/>
      <c r="AL1878" s="122"/>
      <c r="AM1878" s="122"/>
      <c r="AN1878" s="122"/>
      <c r="AO1878" s="122"/>
      <c r="AP1878" s="122"/>
    </row>
    <row r="1879" spans="2:42">
      <c r="B1879" s="122"/>
      <c r="C1879" s="122"/>
      <c r="D1879" s="122"/>
      <c r="E1879" s="122"/>
      <c r="F1879" s="122"/>
      <c r="G1879" s="122"/>
      <c r="H1879" s="122"/>
      <c r="I1879" s="275"/>
      <c r="J1879" s="130"/>
      <c r="K1879" s="130"/>
      <c r="L1879" s="130"/>
      <c r="M1879" s="130"/>
      <c r="N1879" s="291"/>
      <c r="O1879" s="291"/>
      <c r="P1879" s="122"/>
      <c r="Q1879" s="122"/>
      <c r="R1879" s="122"/>
      <c r="S1879" s="122"/>
      <c r="T1879" s="122"/>
      <c r="U1879" s="301"/>
      <c r="V1879" s="260">
        <f t="shared" ca="1" si="37"/>
        <v>0</v>
      </c>
      <c r="W1879" s="348" t="str">
        <f>IF(板块成分!B1881="","",板块成分!B1881)</f>
        <v>300420.SZ</v>
      </c>
      <c r="X1879" s="276" t="str">
        <f>[1]!S_Info_Name(W1879)</f>
        <v>五洋自控</v>
      </c>
      <c r="Y1879" s="276" t="str">
        <f ca="1">IF($Y$3="申万一级行业",[1]!s_info_industry_sw_2021(W1879,公司分析!D$5,1),IF($Y$3="申万二级行业",[1]!s_info_industry_sw_2021(W1879,公司分析!D$5,2),IF($Y$3="申万三级行业",[1]!s_info_industry_sw_2021(W1879,公司分析!D$5,3),IF($Y$3="wind一级行业",[1]!s_info_industry_gics(W1879,1),IF($Y$3="wind二级行业",[1]!s_info_industry_gics(W1879,2),IF($Y$3="wind三级行业",[1]!s_info_industry_gics(W1879,3),IF($Y$3="wind四级行业",[1]!s_info_industry_gics(W1879,4),IF($Y$3="证监会门类行业",[1]!s_info_industry_csrc12_n(W1879,公司分析!D$5,1),""))))))))</f>
        <v>通用设备</v>
      </c>
      <c r="Z1879" s="302" t="str">
        <f ca="1">IF(Y1879=行业比较!$E$6,ROW(),"")</f>
        <v/>
      </c>
      <c r="AA1879" s="122"/>
      <c r="AB1879" s="122"/>
      <c r="AC1879" s="122"/>
      <c r="AD1879" s="122"/>
      <c r="AE1879" s="122"/>
      <c r="AF1879" s="122"/>
      <c r="AG1879" s="122"/>
      <c r="AH1879" s="122"/>
      <c r="AI1879" s="122"/>
      <c r="AJ1879" s="122"/>
      <c r="AK1879" s="122"/>
      <c r="AL1879" s="122"/>
      <c r="AM1879" s="122"/>
      <c r="AN1879" s="122"/>
      <c r="AO1879" s="122"/>
      <c r="AP1879" s="122"/>
    </row>
    <row r="1880" spans="2:42">
      <c r="B1880" s="122"/>
      <c r="C1880" s="122"/>
      <c r="D1880" s="122"/>
      <c r="E1880" s="122"/>
      <c r="F1880" s="122"/>
      <c r="G1880" s="122"/>
      <c r="H1880" s="122"/>
      <c r="I1880" s="275"/>
      <c r="J1880" s="130"/>
      <c r="K1880" s="130"/>
      <c r="L1880" s="130"/>
      <c r="M1880" s="130"/>
      <c r="N1880" s="291"/>
      <c r="O1880" s="291"/>
      <c r="P1880" s="122"/>
      <c r="Q1880" s="122"/>
      <c r="R1880" s="122"/>
      <c r="S1880" s="122"/>
      <c r="T1880" s="122"/>
      <c r="U1880" s="301"/>
      <c r="V1880" s="260">
        <f t="shared" ca="1" si="37"/>
        <v>0</v>
      </c>
      <c r="W1880" s="348" t="str">
        <f>IF(板块成分!B1882="","",板块成分!B1882)</f>
        <v>300421.SZ</v>
      </c>
      <c r="X1880" s="276" t="str">
        <f>[1]!S_Info_Name(W1880)</f>
        <v>力星股份</v>
      </c>
      <c r="Y1880" s="276" t="str">
        <f ca="1">IF($Y$3="申万一级行业",[1]!s_info_industry_sw_2021(W1880,公司分析!D$5,1),IF($Y$3="申万二级行业",[1]!s_info_industry_sw_2021(W1880,公司分析!D$5,2),IF($Y$3="申万三级行业",[1]!s_info_industry_sw_2021(W1880,公司分析!D$5,3),IF($Y$3="wind一级行业",[1]!s_info_industry_gics(W1880,1),IF($Y$3="wind二级行业",[1]!s_info_industry_gics(W1880,2),IF($Y$3="wind三级行业",[1]!s_info_industry_gics(W1880,3),IF($Y$3="wind四级行业",[1]!s_info_industry_gics(W1880,4),IF($Y$3="证监会门类行业",[1]!s_info_industry_csrc12_n(W1880,公司分析!D$5,1),""))))))))</f>
        <v>通用设备</v>
      </c>
      <c r="Z1880" s="302" t="str">
        <f ca="1">IF(Y1880=行业比较!$E$6,ROW(),"")</f>
        <v/>
      </c>
      <c r="AA1880" s="122"/>
      <c r="AB1880" s="122"/>
      <c r="AC1880" s="122"/>
      <c r="AD1880" s="122"/>
      <c r="AE1880" s="122"/>
      <c r="AF1880" s="122"/>
      <c r="AG1880" s="122"/>
      <c r="AH1880" s="122"/>
      <c r="AI1880" s="122"/>
      <c r="AJ1880" s="122"/>
      <c r="AK1880" s="122"/>
      <c r="AL1880" s="122"/>
      <c r="AM1880" s="122"/>
      <c r="AN1880" s="122"/>
      <c r="AO1880" s="122"/>
      <c r="AP1880" s="122"/>
    </row>
    <row r="1881" spans="2:42">
      <c r="B1881" s="122"/>
      <c r="C1881" s="122"/>
      <c r="D1881" s="122"/>
      <c r="E1881" s="122"/>
      <c r="F1881" s="122"/>
      <c r="G1881" s="122"/>
      <c r="H1881" s="122"/>
      <c r="I1881" s="275"/>
      <c r="J1881" s="130"/>
      <c r="K1881" s="130"/>
      <c r="L1881" s="130"/>
      <c r="M1881" s="130"/>
      <c r="N1881" s="291"/>
      <c r="O1881" s="291"/>
      <c r="P1881" s="122"/>
      <c r="Q1881" s="122"/>
      <c r="R1881" s="122"/>
      <c r="S1881" s="122"/>
      <c r="T1881" s="122"/>
      <c r="U1881" s="301"/>
      <c r="V1881" s="260">
        <f t="shared" ca="1" si="37"/>
        <v>0</v>
      </c>
      <c r="W1881" s="348" t="str">
        <f>IF(板块成分!B1883="","",板块成分!B1883)</f>
        <v>300422.SZ</v>
      </c>
      <c r="X1881" s="276" t="str">
        <f>[1]!S_Info_Name(W1881)</f>
        <v>博世科</v>
      </c>
      <c r="Y1881" s="276" t="str">
        <f ca="1">IF($Y$3="申万一级行业",[1]!s_info_industry_sw_2021(W1881,公司分析!D$5,1),IF($Y$3="申万二级行业",[1]!s_info_industry_sw_2021(W1881,公司分析!D$5,2),IF($Y$3="申万三级行业",[1]!s_info_industry_sw_2021(W1881,公司分析!D$5,3),IF($Y$3="wind一级行业",[1]!s_info_industry_gics(W1881,1),IF($Y$3="wind二级行业",[1]!s_info_industry_gics(W1881,2),IF($Y$3="wind三级行业",[1]!s_info_industry_gics(W1881,3),IF($Y$3="wind四级行业",[1]!s_info_industry_gics(W1881,4),IF($Y$3="证监会门类行业",[1]!s_info_industry_csrc12_n(W1881,公司分析!D$5,1),""))))))))</f>
        <v>环境治理</v>
      </c>
      <c r="Z1881" s="302" t="str">
        <f ca="1">IF(Y1881=行业比较!$E$6,ROW(),"")</f>
        <v/>
      </c>
      <c r="AA1881" s="122"/>
      <c r="AB1881" s="122"/>
      <c r="AC1881" s="122"/>
      <c r="AD1881" s="122"/>
      <c r="AE1881" s="122"/>
      <c r="AF1881" s="122"/>
      <c r="AG1881" s="122"/>
      <c r="AH1881" s="122"/>
      <c r="AI1881" s="122"/>
      <c r="AJ1881" s="122"/>
      <c r="AK1881" s="122"/>
      <c r="AL1881" s="122"/>
      <c r="AM1881" s="122"/>
      <c r="AN1881" s="122"/>
      <c r="AO1881" s="122"/>
      <c r="AP1881" s="122"/>
    </row>
    <row r="1882" spans="2:42">
      <c r="B1882" s="122"/>
      <c r="C1882" s="122"/>
      <c r="D1882" s="122"/>
      <c r="E1882" s="122"/>
      <c r="F1882" s="122"/>
      <c r="G1882" s="122"/>
      <c r="H1882" s="122"/>
      <c r="I1882" s="275"/>
      <c r="J1882" s="130"/>
      <c r="K1882" s="130"/>
      <c r="L1882" s="130"/>
      <c r="M1882" s="130"/>
      <c r="N1882" s="291"/>
      <c r="O1882" s="291"/>
      <c r="P1882" s="122"/>
      <c r="Q1882" s="122"/>
      <c r="R1882" s="122"/>
      <c r="S1882" s="122"/>
      <c r="T1882" s="122"/>
      <c r="U1882" s="301"/>
      <c r="V1882" s="260">
        <f t="shared" ca="1" si="37"/>
        <v>0</v>
      </c>
      <c r="W1882" s="348" t="str">
        <f>IF(板块成分!B1884="","",板块成分!B1884)</f>
        <v>300423.SZ</v>
      </c>
      <c r="X1882" s="276" t="str">
        <f>[1]!S_Info_Name(W1882)</f>
        <v>昇辉科技</v>
      </c>
      <c r="Y1882" s="276" t="str">
        <f ca="1">IF($Y$3="申万一级行业",[1]!s_info_industry_sw_2021(W1882,公司分析!D$5,1),IF($Y$3="申万二级行业",[1]!s_info_industry_sw_2021(W1882,公司分析!D$5,2),IF($Y$3="申万三级行业",[1]!s_info_industry_sw_2021(W1882,公司分析!D$5,3),IF($Y$3="wind一级行业",[1]!s_info_industry_gics(W1882,1),IF($Y$3="wind二级行业",[1]!s_info_industry_gics(W1882,2),IF($Y$3="wind三级行业",[1]!s_info_industry_gics(W1882,3),IF($Y$3="wind四级行业",[1]!s_info_industry_gics(W1882,4),IF($Y$3="证监会门类行业",[1]!s_info_industry_csrc12_n(W1882,公司分析!D$5,1),""))))))))</f>
        <v>电网设备</v>
      </c>
      <c r="Z1882" s="302" t="str">
        <f ca="1">IF(Y1882=行业比较!$E$6,ROW(),"")</f>
        <v/>
      </c>
      <c r="AA1882" s="122"/>
      <c r="AB1882" s="122"/>
      <c r="AC1882" s="122"/>
      <c r="AD1882" s="122"/>
      <c r="AE1882" s="122"/>
      <c r="AF1882" s="122"/>
      <c r="AG1882" s="122"/>
      <c r="AH1882" s="122"/>
      <c r="AI1882" s="122"/>
      <c r="AJ1882" s="122"/>
      <c r="AK1882" s="122"/>
      <c r="AL1882" s="122"/>
      <c r="AM1882" s="122"/>
      <c r="AN1882" s="122"/>
      <c r="AO1882" s="122"/>
      <c r="AP1882" s="122"/>
    </row>
    <row r="1883" spans="2:42">
      <c r="B1883" s="122"/>
      <c r="C1883" s="122"/>
      <c r="D1883" s="122"/>
      <c r="E1883" s="122"/>
      <c r="F1883" s="122"/>
      <c r="G1883" s="122"/>
      <c r="H1883" s="122"/>
      <c r="I1883" s="275"/>
      <c r="J1883" s="130"/>
      <c r="K1883" s="130"/>
      <c r="L1883" s="130"/>
      <c r="M1883" s="130"/>
      <c r="N1883" s="291"/>
      <c r="O1883" s="291"/>
      <c r="P1883" s="122"/>
      <c r="Q1883" s="122"/>
      <c r="R1883" s="122"/>
      <c r="S1883" s="122"/>
      <c r="T1883" s="122"/>
      <c r="U1883" s="301"/>
      <c r="V1883" s="260">
        <f t="shared" ca="1" si="37"/>
        <v>0</v>
      </c>
      <c r="W1883" s="348" t="str">
        <f>IF(板块成分!B1885="","",板块成分!B1885)</f>
        <v>300424.SZ</v>
      </c>
      <c r="X1883" s="276" t="str">
        <f>[1]!S_Info_Name(W1883)</f>
        <v>航新科技</v>
      </c>
      <c r="Y1883" s="276" t="str">
        <f ca="1">IF($Y$3="申万一级行业",[1]!s_info_industry_sw_2021(W1883,公司分析!D$5,1),IF($Y$3="申万二级行业",[1]!s_info_industry_sw_2021(W1883,公司分析!D$5,2),IF($Y$3="申万三级行业",[1]!s_info_industry_sw_2021(W1883,公司分析!D$5,3),IF($Y$3="wind一级行业",[1]!s_info_industry_gics(W1883,1),IF($Y$3="wind二级行业",[1]!s_info_industry_gics(W1883,2),IF($Y$3="wind三级行业",[1]!s_info_industry_gics(W1883,3),IF($Y$3="wind四级行业",[1]!s_info_industry_gics(W1883,4),IF($Y$3="证监会门类行业",[1]!s_info_industry_csrc12_n(W1883,公司分析!D$5,1),""))))))))</f>
        <v>航空装备Ⅱ</v>
      </c>
      <c r="Z1883" s="302" t="str">
        <f ca="1">IF(Y1883=行业比较!$E$6,ROW(),"")</f>
        <v/>
      </c>
      <c r="AA1883" s="122"/>
      <c r="AB1883" s="122"/>
      <c r="AC1883" s="122"/>
      <c r="AD1883" s="122"/>
      <c r="AE1883" s="122"/>
      <c r="AF1883" s="122"/>
      <c r="AG1883" s="122"/>
      <c r="AH1883" s="122"/>
      <c r="AI1883" s="122"/>
      <c r="AJ1883" s="122"/>
      <c r="AK1883" s="122"/>
      <c r="AL1883" s="122"/>
      <c r="AM1883" s="122"/>
      <c r="AN1883" s="122"/>
      <c r="AO1883" s="122"/>
      <c r="AP1883" s="122"/>
    </row>
    <row r="1884" spans="2:42">
      <c r="B1884" s="122"/>
      <c r="C1884" s="122"/>
      <c r="D1884" s="122"/>
      <c r="E1884" s="122"/>
      <c r="F1884" s="122"/>
      <c r="G1884" s="122"/>
      <c r="H1884" s="122"/>
      <c r="I1884" s="275"/>
      <c r="J1884" s="130"/>
      <c r="K1884" s="130"/>
      <c r="L1884" s="130"/>
      <c r="M1884" s="130"/>
      <c r="N1884" s="291"/>
      <c r="O1884" s="291"/>
      <c r="P1884" s="122"/>
      <c r="Q1884" s="122"/>
      <c r="R1884" s="122"/>
      <c r="S1884" s="122"/>
      <c r="T1884" s="122"/>
      <c r="U1884" s="301"/>
      <c r="V1884" s="260">
        <f t="shared" ca="1" si="37"/>
        <v>0</v>
      </c>
      <c r="W1884" s="348" t="str">
        <f>IF(板块成分!B1886="","",板块成分!B1886)</f>
        <v>300425.SZ</v>
      </c>
      <c r="X1884" s="276" t="str">
        <f>[1]!S_Info_Name(W1884)</f>
        <v>中建环能</v>
      </c>
      <c r="Y1884" s="276" t="str">
        <f ca="1">IF($Y$3="申万一级行业",[1]!s_info_industry_sw_2021(W1884,公司分析!D$5,1),IF($Y$3="申万二级行业",[1]!s_info_industry_sw_2021(W1884,公司分析!D$5,2),IF($Y$3="申万三级行业",[1]!s_info_industry_sw_2021(W1884,公司分析!D$5,3),IF($Y$3="wind一级行业",[1]!s_info_industry_gics(W1884,1),IF($Y$3="wind二级行业",[1]!s_info_industry_gics(W1884,2),IF($Y$3="wind三级行业",[1]!s_info_industry_gics(W1884,3),IF($Y$3="wind四级行业",[1]!s_info_industry_gics(W1884,4),IF($Y$3="证监会门类行业",[1]!s_info_industry_csrc12_n(W1884,公司分析!D$5,1),""))))))))</f>
        <v>环境治理</v>
      </c>
      <c r="Z1884" s="302" t="str">
        <f ca="1">IF(Y1884=行业比较!$E$6,ROW(),"")</f>
        <v/>
      </c>
      <c r="AA1884" s="122"/>
      <c r="AB1884" s="122"/>
      <c r="AC1884" s="122"/>
      <c r="AD1884" s="122"/>
      <c r="AE1884" s="122"/>
      <c r="AF1884" s="122"/>
      <c r="AG1884" s="122"/>
      <c r="AH1884" s="122"/>
      <c r="AI1884" s="122"/>
      <c r="AJ1884" s="122"/>
      <c r="AK1884" s="122"/>
      <c r="AL1884" s="122"/>
      <c r="AM1884" s="122"/>
      <c r="AN1884" s="122"/>
      <c r="AO1884" s="122"/>
      <c r="AP1884" s="122"/>
    </row>
    <row r="1885" spans="2:42">
      <c r="B1885" s="122"/>
      <c r="C1885" s="122"/>
      <c r="D1885" s="122"/>
      <c r="E1885" s="122"/>
      <c r="F1885" s="122"/>
      <c r="G1885" s="122"/>
      <c r="H1885" s="122"/>
      <c r="I1885" s="275"/>
      <c r="J1885" s="130"/>
      <c r="K1885" s="130"/>
      <c r="L1885" s="130"/>
      <c r="M1885" s="130"/>
      <c r="N1885" s="291"/>
      <c r="O1885" s="291"/>
      <c r="P1885" s="122"/>
      <c r="Q1885" s="122"/>
      <c r="R1885" s="122"/>
      <c r="S1885" s="122"/>
      <c r="T1885" s="122"/>
      <c r="U1885" s="301"/>
      <c r="V1885" s="260">
        <f t="shared" ca="1" si="37"/>
        <v>0</v>
      </c>
      <c r="W1885" s="348" t="str">
        <f>IF(板块成分!B1887="","",板块成分!B1887)</f>
        <v>300426.SZ</v>
      </c>
      <c r="X1885" s="276" t="str">
        <f>[1]!S_Info_Name(W1885)</f>
        <v>华智数媒</v>
      </c>
      <c r="Y1885" s="276" t="str">
        <f ca="1">IF($Y$3="申万一级行业",[1]!s_info_industry_sw_2021(W1885,公司分析!D$5,1),IF($Y$3="申万二级行业",[1]!s_info_industry_sw_2021(W1885,公司分析!D$5,2),IF($Y$3="申万三级行业",[1]!s_info_industry_sw_2021(W1885,公司分析!D$5,3),IF($Y$3="wind一级行业",[1]!s_info_industry_gics(W1885,1),IF($Y$3="wind二级行业",[1]!s_info_industry_gics(W1885,2),IF($Y$3="wind三级行业",[1]!s_info_industry_gics(W1885,3),IF($Y$3="wind四级行业",[1]!s_info_industry_gics(W1885,4),IF($Y$3="证监会门类行业",[1]!s_info_industry_csrc12_n(W1885,公司分析!D$5,1),""))))))))</f>
        <v>影视院线</v>
      </c>
      <c r="Z1885" s="302" t="str">
        <f ca="1">IF(Y1885=行业比较!$E$6,ROW(),"")</f>
        <v/>
      </c>
      <c r="AA1885" s="122"/>
      <c r="AB1885" s="122"/>
      <c r="AC1885" s="122"/>
      <c r="AD1885" s="122"/>
      <c r="AE1885" s="122"/>
      <c r="AF1885" s="122"/>
      <c r="AG1885" s="122"/>
      <c r="AH1885" s="122"/>
      <c r="AI1885" s="122"/>
      <c r="AJ1885" s="122"/>
      <c r="AK1885" s="122"/>
      <c r="AL1885" s="122"/>
      <c r="AM1885" s="122"/>
      <c r="AN1885" s="122"/>
      <c r="AO1885" s="122"/>
      <c r="AP1885" s="122"/>
    </row>
    <row r="1886" spans="2:42">
      <c r="B1886" s="122"/>
      <c r="C1886" s="122"/>
      <c r="D1886" s="122"/>
      <c r="E1886" s="122"/>
      <c r="F1886" s="122"/>
      <c r="G1886" s="122"/>
      <c r="H1886" s="122"/>
      <c r="I1886" s="275"/>
      <c r="J1886" s="130"/>
      <c r="K1886" s="130"/>
      <c r="L1886" s="130"/>
      <c r="M1886" s="130"/>
      <c r="N1886" s="291"/>
      <c r="O1886" s="291"/>
      <c r="P1886" s="122"/>
      <c r="Q1886" s="122"/>
      <c r="R1886" s="122"/>
      <c r="S1886" s="122"/>
      <c r="T1886" s="122"/>
      <c r="U1886" s="301"/>
      <c r="V1886" s="260">
        <f t="shared" ca="1" si="37"/>
        <v>0</v>
      </c>
      <c r="W1886" s="348" t="str">
        <f>IF(板块成分!B1888="","",板块成分!B1888)</f>
        <v>300427.SZ</v>
      </c>
      <c r="X1886" s="276" t="str">
        <f>[1]!S_Info_Name(W1886)</f>
        <v>红相股份</v>
      </c>
      <c r="Y1886" s="276" t="str">
        <f ca="1">IF($Y$3="申万一级行业",[1]!s_info_industry_sw_2021(W1886,公司分析!D$5,1),IF($Y$3="申万二级行业",[1]!s_info_industry_sw_2021(W1886,公司分析!D$5,2),IF($Y$3="申万三级行业",[1]!s_info_industry_sw_2021(W1886,公司分析!D$5,3),IF($Y$3="wind一级行业",[1]!s_info_industry_gics(W1886,1),IF($Y$3="wind二级行业",[1]!s_info_industry_gics(W1886,2),IF($Y$3="wind三级行业",[1]!s_info_industry_gics(W1886,3),IF($Y$3="wind四级行业",[1]!s_info_industry_gics(W1886,4),IF($Y$3="证监会门类行业",[1]!s_info_industry_csrc12_n(W1886,公司分析!D$5,1),""))))))))</f>
        <v>电网设备</v>
      </c>
      <c r="Z1886" s="302" t="str">
        <f ca="1">IF(Y1886=行业比较!$E$6,ROW(),"")</f>
        <v/>
      </c>
      <c r="AA1886" s="122"/>
      <c r="AB1886" s="122"/>
      <c r="AC1886" s="122"/>
      <c r="AD1886" s="122"/>
      <c r="AE1886" s="122"/>
      <c r="AF1886" s="122"/>
      <c r="AG1886" s="122"/>
      <c r="AH1886" s="122"/>
      <c r="AI1886" s="122"/>
      <c r="AJ1886" s="122"/>
      <c r="AK1886" s="122"/>
      <c r="AL1886" s="122"/>
      <c r="AM1886" s="122"/>
      <c r="AN1886" s="122"/>
      <c r="AO1886" s="122"/>
      <c r="AP1886" s="122"/>
    </row>
    <row r="1887" spans="2:42">
      <c r="B1887" s="122"/>
      <c r="C1887" s="122"/>
      <c r="D1887" s="122"/>
      <c r="E1887" s="122"/>
      <c r="F1887" s="122"/>
      <c r="G1887" s="122"/>
      <c r="H1887" s="122"/>
      <c r="I1887" s="275"/>
      <c r="J1887" s="130"/>
      <c r="K1887" s="130"/>
      <c r="L1887" s="130"/>
      <c r="M1887" s="130"/>
      <c r="N1887" s="291"/>
      <c r="O1887" s="291"/>
      <c r="P1887" s="122"/>
      <c r="Q1887" s="122"/>
      <c r="R1887" s="122"/>
      <c r="S1887" s="122"/>
      <c r="T1887" s="122"/>
      <c r="U1887" s="301"/>
      <c r="V1887" s="260">
        <f t="shared" ca="1" si="37"/>
        <v>0</v>
      </c>
      <c r="W1887" s="348" t="str">
        <f>IF(板块成分!B1889="","",板块成分!B1889)</f>
        <v>300428.SZ</v>
      </c>
      <c r="X1887" s="276" t="str">
        <f>[1]!S_Info_Name(W1887)</f>
        <v>立中集团</v>
      </c>
      <c r="Y1887" s="276" t="str">
        <f ca="1">IF($Y$3="申万一级行业",[1]!s_info_industry_sw_2021(W1887,公司分析!D$5,1),IF($Y$3="申万二级行业",[1]!s_info_industry_sw_2021(W1887,公司分析!D$5,2),IF($Y$3="申万三级行业",[1]!s_info_industry_sw_2021(W1887,公司分析!D$5,3),IF($Y$3="wind一级行业",[1]!s_info_industry_gics(W1887,1),IF($Y$3="wind二级行业",[1]!s_info_industry_gics(W1887,2),IF($Y$3="wind三级行业",[1]!s_info_industry_gics(W1887,3),IF($Y$3="wind四级行业",[1]!s_info_industry_gics(W1887,4),IF($Y$3="证监会门类行业",[1]!s_info_industry_csrc12_n(W1887,公司分析!D$5,1),""))))))))</f>
        <v>汽车零部件</v>
      </c>
      <c r="Z1887" s="302" t="str">
        <f ca="1">IF(Y1887=行业比较!$E$6,ROW(),"")</f>
        <v/>
      </c>
      <c r="AA1887" s="122"/>
      <c r="AB1887" s="122"/>
      <c r="AC1887" s="122"/>
      <c r="AD1887" s="122"/>
      <c r="AE1887" s="122"/>
      <c r="AF1887" s="122"/>
      <c r="AG1887" s="122"/>
      <c r="AH1887" s="122"/>
      <c r="AI1887" s="122"/>
      <c r="AJ1887" s="122"/>
      <c r="AK1887" s="122"/>
      <c r="AL1887" s="122"/>
      <c r="AM1887" s="122"/>
      <c r="AN1887" s="122"/>
      <c r="AO1887" s="122"/>
      <c r="AP1887" s="122"/>
    </row>
    <row r="1888" spans="2:42">
      <c r="B1888" s="122"/>
      <c r="C1888" s="122"/>
      <c r="D1888" s="122"/>
      <c r="E1888" s="122"/>
      <c r="F1888" s="122"/>
      <c r="G1888" s="122"/>
      <c r="H1888" s="122"/>
      <c r="I1888" s="275"/>
      <c r="J1888" s="130"/>
      <c r="K1888" s="130"/>
      <c r="L1888" s="130"/>
      <c r="M1888" s="130"/>
      <c r="N1888" s="291"/>
      <c r="O1888" s="291"/>
      <c r="P1888" s="122"/>
      <c r="Q1888" s="122"/>
      <c r="R1888" s="122"/>
      <c r="S1888" s="122"/>
      <c r="T1888" s="122"/>
      <c r="U1888" s="301"/>
      <c r="V1888" s="260">
        <f t="shared" ca="1" si="37"/>
        <v>0</v>
      </c>
      <c r="W1888" s="348" t="str">
        <f>IF(板块成分!B1890="","",板块成分!B1890)</f>
        <v>300429.SZ</v>
      </c>
      <c r="X1888" s="276" t="str">
        <f>[1]!S_Info_Name(W1888)</f>
        <v>强力新材</v>
      </c>
      <c r="Y1888" s="276" t="str">
        <f ca="1">IF($Y$3="申万一级行业",[1]!s_info_industry_sw_2021(W1888,公司分析!D$5,1),IF($Y$3="申万二级行业",[1]!s_info_industry_sw_2021(W1888,公司分析!D$5,2),IF($Y$3="申万三级行业",[1]!s_info_industry_sw_2021(W1888,公司分析!D$5,3),IF($Y$3="wind一级行业",[1]!s_info_industry_gics(W1888,1),IF($Y$3="wind二级行业",[1]!s_info_industry_gics(W1888,2),IF($Y$3="wind三级行业",[1]!s_info_industry_gics(W1888,3),IF($Y$3="wind四级行业",[1]!s_info_industry_gics(W1888,4),IF($Y$3="证监会门类行业",[1]!s_info_industry_csrc12_n(W1888,公司分析!D$5,1),""))))))))</f>
        <v>电子化学品Ⅱ</v>
      </c>
      <c r="Z1888" s="302" t="str">
        <f ca="1">IF(Y1888=行业比较!$E$6,ROW(),"")</f>
        <v/>
      </c>
      <c r="AA1888" s="122"/>
      <c r="AB1888" s="122"/>
      <c r="AC1888" s="122"/>
      <c r="AD1888" s="122"/>
      <c r="AE1888" s="122"/>
      <c r="AF1888" s="122"/>
      <c r="AG1888" s="122"/>
      <c r="AH1888" s="122"/>
      <c r="AI1888" s="122"/>
      <c r="AJ1888" s="122"/>
      <c r="AK1888" s="122"/>
      <c r="AL1888" s="122"/>
      <c r="AM1888" s="122"/>
      <c r="AN1888" s="122"/>
      <c r="AO1888" s="122"/>
      <c r="AP1888" s="122"/>
    </row>
    <row r="1889" spans="2:42">
      <c r="B1889" s="122"/>
      <c r="C1889" s="122"/>
      <c r="D1889" s="122"/>
      <c r="E1889" s="122"/>
      <c r="F1889" s="122"/>
      <c r="G1889" s="122"/>
      <c r="H1889" s="122"/>
      <c r="I1889" s="275"/>
      <c r="J1889" s="130"/>
      <c r="K1889" s="130"/>
      <c r="L1889" s="130"/>
      <c r="M1889" s="130"/>
      <c r="N1889" s="291"/>
      <c r="O1889" s="291"/>
      <c r="P1889" s="122"/>
      <c r="Q1889" s="122"/>
      <c r="R1889" s="122"/>
      <c r="S1889" s="122"/>
      <c r="T1889" s="122"/>
      <c r="U1889" s="301"/>
      <c r="V1889" s="260">
        <f t="shared" ca="1" si="37"/>
        <v>0</v>
      </c>
      <c r="W1889" s="348" t="str">
        <f>IF(板块成分!B1891="","",板块成分!B1891)</f>
        <v>300430.SZ</v>
      </c>
      <c r="X1889" s="276" t="str">
        <f>[1]!S_Info_Name(W1889)</f>
        <v>诚益通</v>
      </c>
      <c r="Y1889" s="276" t="str">
        <f ca="1">IF($Y$3="申万一级行业",[1]!s_info_industry_sw_2021(W1889,公司分析!D$5,1),IF($Y$3="申万二级行业",[1]!s_info_industry_sw_2021(W1889,公司分析!D$5,2),IF($Y$3="申万三级行业",[1]!s_info_industry_sw_2021(W1889,公司分析!D$5,3),IF($Y$3="wind一级行业",[1]!s_info_industry_gics(W1889,1),IF($Y$3="wind二级行业",[1]!s_info_industry_gics(W1889,2),IF($Y$3="wind三级行业",[1]!s_info_industry_gics(W1889,3),IF($Y$3="wind四级行业",[1]!s_info_industry_gics(W1889,4),IF($Y$3="证监会门类行业",[1]!s_info_industry_csrc12_n(W1889,公司分析!D$5,1),""))))))))</f>
        <v>通用设备</v>
      </c>
      <c r="Z1889" s="302" t="str">
        <f ca="1">IF(Y1889=行业比较!$E$6,ROW(),"")</f>
        <v/>
      </c>
      <c r="AA1889" s="122"/>
      <c r="AB1889" s="122"/>
      <c r="AC1889" s="122"/>
      <c r="AD1889" s="122"/>
      <c r="AE1889" s="122"/>
      <c r="AF1889" s="122"/>
      <c r="AG1889" s="122"/>
      <c r="AH1889" s="122"/>
      <c r="AI1889" s="122"/>
      <c r="AJ1889" s="122"/>
      <c r="AK1889" s="122"/>
      <c r="AL1889" s="122"/>
      <c r="AM1889" s="122"/>
      <c r="AN1889" s="122"/>
      <c r="AO1889" s="122"/>
      <c r="AP1889" s="122"/>
    </row>
    <row r="1890" spans="2:42">
      <c r="B1890" s="122"/>
      <c r="C1890" s="122"/>
      <c r="D1890" s="122"/>
      <c r="E1890" s="122"/>
      <c r="F1890" s="122"/>
      <c r="G1890" s="122"/>
      <c r="H1890" s="122"/>
      <c r="I1890" s="275"/>
      <c r="J1890" s="130"/>
      <c r="K1890" s="130"/>
      <c r="L1890" s="130"/>
      <c r="M1890" s="130"/>
      <c r="N1890" s="291"/>
      <c r="O1890" s="291"/>
      <c r="P1890" s="122"/>
      <c r="Q1890" s="122"/>
      <c r="R1890" s="122"/>
      <c r="S1890" s="122"/>
      <c r="T1890" s="122"/>
      <c r="U1890" s="301"/>
      <c r="V1890" s="260">
        <f t="shared" ca="1" si="37"/>
        <v>0</v>
      </c>
      <c r="W1890" s="348" t="str">
        <f>IF(板块成分!B1892="","",板块成分!B1892)</f>
        <v>300432.SZ</v>
      </c>
      <c r="X1890" s="276" t="str">
        <f>[1]!S_Info_Name(W1890)</f>
        <v>富临精工</v>
      </c>
      <c r="Y1890" s="276" t="str">
        <f ca="1">IF($Y$3="申万一级行业",[1]!s_info_industry_sw_2021(W1890,公司分析!D$5,1),IF($Y$3="申万二级行业",[1]!s_info_industry_sw_2021(W1890,公司分析!D$5,2),IF($Y$3="申万三级行业",[1]!s_info_industry_sw_2021(W1890,公司分析!D$5,3),IF($Y$3="wind一级行业",[1]!s_info_industry_gics(W1890,1),IF($Y$3="wind二级行业",[1]!s_info_industry_gics(W1890,2),IF($Y$3="wind三级行业",[1]!s_info_industry_gics(W1890,3),IF($Y$3="wind四级行业",[1]!s_info_industry_gics(W1890,4),IF($Y$3="证监会门类行业",[1]!s_info_industry_csrc12_n(W1890,公司分析!D$5,1),""))))))))</f>
        <v>电池</v>
      </c>
      <c r="Z1890" s="302" t="str">
        <f ca="1">IF(Y1890=行业比较!$E$6,ROW(),"")</f>
        <v/>
      </c>
      <c r="AA1890" s="122"/>
      <c r="AB1890" s="122"/>
      <c r="AC1890" s="122"/>
      <c r="AD1890" s="122"/>
      <c r="AE1890" s="122"/>
      <c r="AF1890" s="122"/>
      <c r="AG1890" s="122"/>
      <c r="AH1890" s="122"/>
      <c r="AI1890" s="122"/>
      <c r="AJ1890" s="122"/>
      <c r="AK1890" s="122"/>
      <c r="AL1890" s="122"/>
      <c r="AM1890" s="122"/>
      <c r="AN1890" s="122"/>
      <c r="AO1890" s="122"/>
      <c r="AP1890" s="122"/>
    </row>
    <row r="1891" spans="2:42">
      <c r="B1891" s="122"/>
      <c r="C1891" s="122"/>
      <c r="D1891" s="122"/>
      <c r="E1891" s="122"/>
      <c r="F1891" s="122"/>
      <c r="G1891" s="122"/>
      <c r="H1891" s="122"/>
      <c r="I1891" s="275"/>
      <c r="J1891" s="130"/>
      <c r="K1891" s="130"/>
      <c r="L1891" s="130"/>
      <c r="M1891" s="130"/>
      <c r="N1891" s="291"/>
      <c r="O1891" s="291"/>
      <c r="P1891" s="122"/>
      <c r="Q1891" s="122"/>
      <c r="R1891" s="122"/>
      <c r="S1891" s="122"/>
      <c r="T1891" s="122"/>
      <c r="U1891" s="301"/>
      <c r="V1891" s="260">
        <f t="shared" ca="1" si="37"/>
        <v>0</v>
      </c>
      <c r="W1891" s="348" t="str">
        <f>IF(板块成分!B1893="","",板块成分!B1893)</f>
        <v>300433.SZ</v>
      </c>
      <c r="X1891" s="276" t="str">
        <f>[1]!S_Info_Name(W1891)</f>
        <v>蓝思科技</v>
      </c>
      <c r="Y1891" s="276" t="str">
        <f ca="1">IF($Y$3="申万一级行业",[1]!s_info_industry_sw_2021(W1891,公司分析!D$5,1),IF($Y$3="申万二级行业",[1]!s_info_industry_sw_2021(W1891,公司分析!D$5,2),IF($Y$3="申万三级行业",[1]!s_info_industry_sw_2021(W1891,公司分析!D$5,3),IF($Y$3="wind一级行业",[1]!s_info_industry_gics(W1891,1),IF($Y$3="wind二级行业",[1]!s_info_industry_gics(W1891,2),IF($Y$3="wind三级行业",[1]!s_info_industry_gics(W1891,3),IF($Y$3="wind四级行业",[1]!s_info_industry_gics(W1891,4),IF($Y$3="证监会门类行业",[1]!s_info_industry_csrc12_n(W1891,公司分析!D$5,1),""))))))))</f>
        <v>消费电子</v>
      </c>
      <c r="Z1891" s="302" t="str">
        <f ca="1">IF(Y1891=行业比较!$E$6,ROW(),"")</f>
        <v/>
      </c>
      <c r="AA1891" s="122"/>
      <c r="AB1891" s="122"/>
      <c r="AC1891" s="122"/>
      <c r="AD1891" s="122"/>
      <c r="AE1891" s="122"/>
      <c r="AF1891" s="122"/>
      <c r="AG1891" s="122"/>
      <c r="AH1891" s="122"/>
      <c r="AI1891" s="122"/>
      <c r="AJ1891" s="122"/>
      <c r="AK1891" s="122"/>
      <c r="AL1891" s="122"/>
      <c r="AM1891" s="122"/>
      <c r="AN1891" s="122"/>
      <c r="AO1891" s="122"/>
      <c r="AP1891" s="122"/>
    </row>
    <row r="1892" spans="2:42">
      <c r="B1892" s="122"/>
      <c r="C1892" s="122"/>
      <c r="D1892" s="122"/>
      <c r="E1892" s="122"/>
      <c r="F1892" s="122"/>
      <c r="G1892" s="122"/>
      <c r="H1892" s="122"/>
      <c r="I1892" s="275"/>
      <c r="J1892" s="130"/>
      <c r="K1892" s="130"/>
      <c r="L1892" s="130"/>
      <c r="M1892" s="130"/>
      <c r="N1892" s="291"/>
      <c r="O1892" s="291"/>
      <c r="P1892" s="122"/>
      <c r="Q1892" s="122"/>
      <c r="R1892" s="122"/>
      <c r="S1892" s="122"/>
      <c r="T1892" s="122"/>
      <c r="U1892" s="301"/>
      <c r="V1892" s="260">
        <f t="shared" ca="1" si="37"/>
        <v>0</v>
      </c>
      <c r="W1892" s="348" t="str">
        <f>IF(板块成分!B1894="","",板块成分!B1894)</f>
        <v>300434.SZ</v>
      </c>
      <c r="X1892" s="276" t="str">
        <f>[1]!S_Info_Name(W1892)</f>
        <v>金石亚药</v>
      </c>
      <c r="Y1892" s="276" t="str">
        <f ca="1">IF($Y$3="申万一级行业",[1]!s_info_industry_sw_2021(W1892,公司分析!D$5,1),IF($Y$3="申万二级行业",[1]!s_info_industry_sw_2021(W1892,公司分析!D$5,2),IF($Y$3="申万三级行业",[1]!s_info_industry_sw_2021(W1892,公司分析!D$5,3),IF($Y$3="wind一级行业",[1]!s_info_industry_gics(W1892,1),IF($Y$3="wind二级行业",[1]!s_info_industry_gics(W1892,2),IF($Y$3="wind三级行业",[1]!s_info_industry_gics(W1892,3),IF($Y$3="wind四级行业",[1]!s_info_industry_gics(W1892,4),IF($Y$3="证监会门类行业",[1]!s_info_industry_csrc12_n(W1892,公司分析!D$5,1),""))))))))</f>
        <v>化学制药</v>
      </c>
      <c r="Z1892" s="302" t="str">
        <f ca="1">IF(Y1892=行业比较!$E$6,ROW(),"")</f>
        <v/>
      </c>
      <c r="AA1892" s="122"/>
      <c r="AB1892" s="122"/>
      <c r="AC1892" s="122"/>
      <c r="AD1892" s="122"/>
      <c r="AE1892" s="122"/>
      <c r="AF1892" s="122"/>
      <c r="AG1892" s="122"/>
      <c r="AH1892" s="122"/>
      <c r="AI1892" s="122"/>
      <c r="AJ1892" s="122"/>
      <c r="AK1892" s="122"/>
      <c r="AL1892" s="122"/>
      <c r="AM1892" s="122"/>
      <c r="AN1892" s="122"/>
      <c r="AO1892" s="122"/>
      <c r="AP1892" s="122"/>
    </row>
    <row r="1893" spans="2:42">
      <c r="B1893" s="122"/>
      <c r="C1893" s="122"/>
      <c r="D1893" s="122"/>
      <c r="E1893" s="122"/>
      <c r="F1893" s="122"/>
      <c r="G1893" s="122"/>
      <c r="H1893" s="122"/>
      <c r="I1893" s="275"/>
      <c r="J1893" s="130"/>
      <c r="K1893" s="130"/>
      <c r="L1893" s="130"/>
      <c r="M1893" s="130"/>
      <c r="N1893" s="291"/>
      <c r="O1893" s="291"/>
      <c r="P1893" s="122"/>
      <c r="Q1893" s="122"/>
      <c r="R1893" s="122"/>
      <c r="S1893" s="122"/>
      <c r="T1893" s="122"/>
      <c r="U1893" s="301"/>
      <c r="V1893" s="260">
        <f t="shared" ca="1" si="37"/>
        <v>0</v>
      </c>
      <c r="W1893" s="348" t="str">
        <f>IF(板块成分!B1895="","",板块成分!B1895)</f>
        <v>300435.SZ</v>
      </c>
      <c r="X1893" s="276" t="str">
        <f>[1]!S_Info_Name(W1893)</f>
        <v>中泰股份</v>
      </c>
      <c r="Y1893" s="276" t="str">
        <f ca="1">IF($Y$3="申万一级行业",[1]!s_info_industry_sw_2021(W1893,公司分析!D$5,1),IF($Y$3="申万二级行业",[1]!s_info_industry_sw_2021(W1893,公司分析!D$5,2),IF($Y$3="申万三级行业",[1]!s_info_industry_sw_2021(W1893,公司分析!D$5,3),IF($Y$3="wind一级行业",[1]!s_info_industry_gics(W1893,1),IF($Y$3="wind二级行业",[1]!s_info_industry_gics(W1893,2),IF($Y$3="wind三级行业",[1]!s_info_industry_gics(W1893,3),IF($Y$3="wind四级行业",[1]!s_info_industry_gics(W1893,4),IF($Y$3="证监会门类行业",[1]!s_info_industry_csrc12_n(W1893,公司分析!D$5,1),""))))))))</f>
        <v>燃气Ⅱ</v>
      </c>
      <c r="Z1893" s="302" t="str">
        <f ca="1">IF(Y1893=行业比较!$E$6,ROW(),"")</f>
        <v/>
      </c>
      <c r="AA1893" s="122"/>
      <c r="AB1893" s="122"/>
      <c r="AC1893" s="122"/>
      <c r="AD1893" s="122"/>
      <c r="AE1893" s="122"/>
      <c r="AF1893" s="122"/>
      <c r="AG1893" s="122"/>
      <c r="AH1893" s="122"/>
      <c r="AI1893" s="122"/>
      <c r="AJ1893" s="122"/>
      <c r="AK1893" s="122"/>
      <c r="AL1893" s="122"/>
      <c r="AM1893" s="122"/>
      <c r="AN1893" s="122"/>
      <c r="AO1893" s="122"/>
      <c r="AP1893" s="122"/>
    </row>
    <row r="1894" spans="2:42">
      <c r="B1894" s="122"/>
      <c r="C1894" s="122"/>
      <c r="D1894" s="122"/>
      <c r="E1894" s="122"/>
      <c r="F1894" s="122"/>
      <c r="G1894" s="122"/>
      <c r="H1894" s="122"/>
      <c r="I1894" s="275"/>
      <c r="J1894" s="130"/>
      <c r="K1894" s="130"/>
      <c r="L1894" s="130"/>
      <c r="M1894" s="130"/>
      <c r="N1894" s="291"/>
      <c r="O1894" s="291"/>
      <c r="P1894" s="122"/>
      <c r="Q1894" s="122"/>
      <c r="R1894" s="122"/>
      <c r="S1894" s="122"/>
      <c r="T1894" s="122"/>
      <c r="U1894" s="301"/>
      <c r="V1894" s="260">
        <f t="shared" ca="1" si="37"/>
        <v>0</v>
      </c>
      <c r="W1894" s="348" t="str">
        <f>IF(板块成分!B1896="","",板块成分!B1896)</f>
        <v>300436.SZ</v>
      </c>
      <c r="X1894" s="276" t="str">
        <f>[1]!S_Info_Name(W1894)</f>
        <v>广生堂</v>
      </c>
      <c r="Y1894" s="276" t="str">
        <f ca="1">IF($Y$3="申万一级行业",[1]!s_info_industry_sw_2021(W1894,公司分析!D$5,1),IF($Y$3="申万二级行业",[1]!s_info_industry_sw_2021(W1894,公司分析!D$5,2),IF($Y$3="申万三级行业",[1]!s_info_industry_sw_2021(W1894,公司分析!D$5,3),IF($Y$3="wind一级行业",[1]!s_info_industry_gics(W1894,1),IF($Y$3="wind二级行业",[1]!s_info_industry_gics(W1894,2),IF($Y$3="wind三级行业",[1]!s_info_industry_gics(W1894,3),IF($Y$3="wind四级行业",[1]!s_info_industry_gics(W1894,4),IF($Y$3="证监会门类行业",[1]!s_info_industry_csrc12_n(W1894,公司分析!D$5,1),""))))))))</f>
        <v>化学制药</v>
      </c>
      <c r="Z1894" s="302" t="str">
        <f ca="1">IF(Y1894=行业比较!$E$6,ROW(),"")</f>
        <v/>
      </c>
      <c r="AA1894" s="122"/>
      <c r="AB1894" s="122"/>
      <c r="AC1894" s="122"/>
      <c r="AD1894" s="122"/>
      <c r="AE1894" s="122"/>
      <c r="AF1894" s="122"/>
      <c r="AG1894" s="122"/>
      <c r="AH1894" s="122"/>
      <c r="AI1894" s="122"/>
      <c r="AJ1894" s="122"/>
      <c r="AK1894" s="122"/>
      <c r="AL1894" s="122"/>
      <c r="AM1894" s="122"/>
      <c r="AN1894" s="122"/>
      <c r="AO1894" s="122"/>
      <c r="AP1894" s="122"/>
    </row>
    <row r="1895" spans="2:42">
      <c r="B1895" s="122"/>
      <c r="C1895" s="122"/>
      <c r="D1895" s="122"/>
      <c r="E1895" s="122"/>
      <c r="F1895" s="122"/>
      <c r="G1895" s="122"/>
      <c r="H1895" s="122"/>
      <c r="I1895" s="275"/>
      <c r="J1895" s="130"/>
      <c r="K1895" s="130"/>
      <c r="L1895" s="130"/>
      <c r="M1895" s="130"/>
      <c r="N1895" s="291"/>
      <c r="O1895" s="291"/>
      <c r="P1895" s="122"/>
      <c r="Q1895" s="122"/>
      <c r="R1895" s="122"/>
      <c r="S1895" s="122"/>
      <c r="T1895" s="122"/>
      <c r="U1895" s="301"/>
      <c r="V1895" s="260">
        <f t="shared" ca="1" si="37"/>
        <v>0</v>
      </c>
      <c r="W1895" s="348" t="str">
        <f>IF(板块成分!B1897="","",板块成分!B1897)</f>
        <v>300437.SZ</v>
      </c>
      <c r="X1895" s="276" t="str">
        <f>[1]!S_Info_Name(W1895)</f>
        <v>清水源</v>
      </c>
      <c r="Y1895" s="276" t="str">
        <f ca="1">IF($Y$3="申万一级行业",[1]!s_info_industry_sw_2021(W1895,公司分析!D$5,1),IF($Y$3="申万二级行业",[1]!s_info_industry_sw_2021(W1895,公司分析!D$5,2),IF($Y$3="申万三级行业",[1]!s_info_industry_sw_2021(W1895,公司分析!D$5,3),IF($Y$3="wind一级行业",[1]!s_info_industry_gics(W1895,1),IF($Y$3="wind二级行业",[1]!s_info_industry_gics(W1895,2),IF($Y$3="wind三级行业",[1]!s_info_industry_gics(W1895,3),IF($Y$3="wind四级行业",[1]!s_info_industry_gics(W1895,4),IF($Y$3="证监会门类行业",[1]!s_info_industry_csrc12_n(W1895,公司分析!D$5,1),""))))))))</f>
        <v>环境治理</v>
      </c>
      <c r="Z1895" s="302" t="str">
        <f ca="1">IF(Y1895=行业比较!$E$6,ROW(),"")</f>
        <v/>
      </c>
      <c r="AA1895" s="122"/>
      <c r="AB1895" s="122"/>
      <c r="AC1895" s="122"/>
      <c r="AD1895" s="122"/>
      <c r="AE1895" s="122"/>
      <c r="AF1895" s="122"/>
      <c r="AG1895" s="122"/>
      <c r="AH1895" s="122"/>
      <c r="AI1895" s="122"/>
      <c r="AJ1895" s="122"/>
      <c r="AK1895" s="122"/>
      <c r="AL1895" s="122"/>
      <c r="AM1895" s="122"/>
      <c r="AN1895" s="122"/>
      <c r="AO1895" s="122"/>
      <c r="AP1895" s="122"/>
    </row>
    <row r="1896" spans="2:42">
      <c r="B1896" s="122"/>
      <c r="C1896" s="122"/>
      <c r="D1896" s="122"/>
      <c r="E1896" s="122"/>
      <c r="F1896" s="122"/>
      <c r="G1896" s="122"/>
      <c r="H1896" s="122"/>
      <c r="I1896" s="275"/>
      <c r="J1896" s="130"/>
      <c r="K1896" s="130"/>
      <c r="L1896" s="130"/>
      <c r="M1896" s="130"/>
      <c r="N1896" s="291"/>
      <c r="O1896" s="291"/>
      <c r="P1896" s="122"/>
      <c r="Q1896" s="122"/>
      <c r="R1896" s="122"/>
      <c r="S1896" s="122"/>
      <c r="T1896" s="122"/>
      <c r="U1896" s="301"/>
      <c r="V1896" s="260">
        <f t="shared" ca="1" si="37"/>
        <v>0</v>
      </c>
      <c r="W1896" s="348" t="str">
        <f>IF(板块成分!B1898="","",板块成分!B1898)</f>
        <v>300438.SZ</v>
      </c>
      <c r="X1896" s="276" t="str">
        <f>[1]!S_Info_Name(W1896)</f>
        <v>鹏辉能源</v>
      </c>
      <c r="Y1896" s="276" t="str">
        <f ca="1">IF($Y$3="申万一级行业",[1]!s_info_industry_sw_2021(W1896,公司分析!D$5,1),IF($Y$3="申万二级行业",[1]!s_info_industry_sw_2021(W1896,公司分析!D$5,2),IF($Y$3="申万三级行业",[1]!s_info_industry_sw_2021(W1896,公司分析!D$5,3),IF($Y$3="wind一级行业",[1]!s_info_industry_gics(W1896,1),IF($Y$3="wind二级行业",[1]!s_info_industry_gics(W1896,2),IF($Y$3="wind三级行业",[1]!s_info_industry_gics(W1896,3),IF($Y$3="wind四级行业",[1]!s_info_industry_gics(W1896,4),IF($Y$3="证监会门类行业",[1]!s_info_industry_csrc12_n(W1896,公司分析!D$5,1),""))))))))</f>
        <v>电池</v>
      </c>
      <c r="Z1896" s="302" t="str">
        <f ca="1">IF(Y1896=行业比较!$E$6,ROW(),"")</f>
        <v/>
      </c>
      <c r="AA1896" s="122"/>
      <c r="AB1896" s="122"/>
      <c r="AC1896" s="122"/>
      <c r="AD1896" s="122"/>
      <c r="AE1896" s="122"/>
      <c r="AF1896" s="122"/>
      <c r="AG1896" s="122"/>
      <c r="AH1896" s="122"/>
      <c r="AI1896" s="122"/>
      <c r="AJ1896" s="122"/>
      <c r="AK1896" s="122"/>
      <c r="AL1896" s="122"/>
      <c r="AM1896" s="122"/>
      <c r="AN1896" s="122"/>
      <c r="AO1896" s="122"/>
      <c r="AP1896" s="122"/>
    </row>
    <row r="1897" spans="2:42">
      <c r="B1897" s="122"/>
      <c r="C1897" s="122"/>
      <c r="D1897" s="122"/>
      <c r="E1897" s="122"/>
      <c r="F1897" s="122"/>
      <c r="G1897" s="122"/>
      <c r="H1897" s="122"/>
      <c r="I1897" s="275"/>
      <c r="J1897" s="130"/>
      <c r="K1897" s="130"/>
      <c r="L1897" s="130"/>
      <c r="M1897" s="130"/>
      <c r="N1897" s="291"/>
      <c r="O1897" s="291"/>
      <c r="P1897" s="122"/>
      <c r="Q1897" s="122"/>
      <c r="R1897" s="122"/>
      <c r="S1897" s="122"/>
      <c r="T1897" s="122"/>
      <c r="U1897" s="301"/>
      <c r="V1897" s="260">
        <f t="shared" ca="1" si="37"/>
        <v>0</v>
      </c>
      <c r="W1897" s="348" t="str">
        <f>IF(板块成分!B1899="","",板块成分!B1899)</f>
        <v>300439.SZ</v>
      </c>
      <c r="X1897" s="276" t="str">
        <f>[1]!S_Info_Name(W1897)</f>
        <v>美康生物</v>
      </c>
      <c r="Y1897" s="276" t="str">
        <f ca="1">IF($Y$3="申万一级行业",[1]!s_info_industry_sw_2021(W1897,公司分析!D$5,1),IF($Y$3="申万二级行业",[1]!s_info_industry_sw_2021(W1897,公司分析!D$5,2),IF($Y$3="申万三级行业",[1]!s_info_industry_sw_2021(W1897,公司分析!D$5,3),IF($Y$3="wind一级行业",[1]!s_info_industry_gics(W1897,1),IF($Y$3="wind二级行业",[1]!s_info_industry_gics(W1897,2),IF($Y$3="wind三级行业",[1]!s_info_industry_gics(W1897,3),IF($Y$3="wind四级行业",[1]!s_info_industry_gics(W1897,4),IF($Y$3="证监会门类行业",[1]!s_info_industry_csrc12_n(W1897,公司分析!D$5,1),""))))))))</f>
        <v>医疗器械</v>
      </c>
      <c r="Z1897" s="302" t="str">
        <f ca="1">IF(Y1897=行业比较!$E$6,ROW(),"")</f>
        <v/>
      </c>
      <c r="AA1897" s="122"/>
      <c r="AB1897" s="122"/>
      <c r="AC1897" s="122"/>
      <c r="AD1897" s="122"/>
      <c r="AE1897" s="122"/>
      <c r="AF1897" s="122"/>
      <c r="AG1897" s="122"/>
      <c r="AH1897" s="122"/>
      <c r="AI1897" s="122"/>
      <c r="AJ1897" s="122"/>
      <c r="AK1897" s="122"/>
      <c r="AL1897" s="122"/>
      <c r="AM1897" s="122"/>
      <c r="AN1897" s="122"/>
      <c r="AO1897" s="122"/>
      <c r="AP1897" s="122"/>
    </row>
    <row r="1898" spans="2:42">
      <c r="B1898" s="122"/>
      <c r="C1898" s="122"/>
      <c r="D1898" s="122"/>
      <c r="E1898" s="122"/>
      <c r="F1898" s="122"/>
      <c r="G1898" s="122"/>
      <c r="H1898" s="122"/>
      <c r="I1898" s="275"/>
      <c r="J1898" s="130"/>
      <c r="K1898" s="130"/>
      <c r="L1898" s="130"/>
      <c r="M1898" s="130"/>
      <c r="N1898" s="291"/>
      <c r="O1898" s="291"/>
      <c r="P1898" s="122"/>
      <c r="Q1898" s="122"/>
      <c r="R1898" s="122"/>
      <c r="S1898" s="122"/>
      <c r="T1898" s="122"/>
      <c r="U1898" s="301"/>
      <c r="V1898" s="260">
        <f t="shared" ca="1" si="37"/>
        <v>0</v>
      </c>
      <c r="W1898" s="348" t="str">
        <f>IF(板块成分!B1900="","",板块成分!B1900)</f>
        <v>300440.SZ</v>
      </c>
      <c r="X1898" s="276" t="str">
        <f>[1]!S_Info_Name(W1898)</f>
        <v>运达科技</v>
      </c>
      <c r="Y1898" s="276" t="str">
        <f ca="1">IF($Y$3="申万一级行业",[1]!s_info_industry_sw_2021(W1898,公司分析!D$5,1),IF($Y$3="申万二级行业",[1]!s_info_industry_sw_2021(W1898,公司分析!D$5,2),IF($Y$3="申万三级行业",[1]!s_info_industry_sw_2021(W1898,公司分析!D$5,3),IF($Y$3="wind一级行业",[1]!s_info_industry_gics(W1898,1),IF($Y$3="wind二级行业",[1]!s_info_industry_gics(W1898,2),IF($Y$3="wind三级行业",[1]!s_info_industry_gics(W1898,3),IF($Y$3="wind四级行业",[1]!s_info_industry_gics(W1898,4),IF($Y$3="证监会门类行业",[1]!s_info_industry_csrc12_n(W1898,公司分析!D$5,1),""))))))))</f>
        <v>IT服务Ⅱ</v>
      </c>
      <c r="Z1898" s="302" t="str">
        <f ca="1">IF(Y1898=行业比较!$E$6,ROW(),"")</f>
        <v/>
      </c>
      <c r="AA1898" s="122"/>
      <c r="AB1898" s="122"/>
      <c r="AC1898" s="122"/>
      <c r="AD1898" s="122"/>
      <c r="AE1898" s="122"/>
      <c r="AF1898" s="122"/>
      <c r="AG1898" s="122"/>
      <c r="AH1898" s="122"/>
      <c r="AI1898" s="122"/>
      <c r="AJ1898" s="122"/>
      <c r="AK1898" s="122"/>
      <c r="AL1898" s="122"/>
      <c r="AM1898" s="122"/>
      <c r="AN1898" s="122"/>
      <c r="AO1898" s="122"/>
      <c r="AP1898" s="122"/>
    </row>
    <row r="1899" spans="2:42">
      <c r="B1899" s="122"/>
      <c r="C1899" s="122"/>
      <c r="D1899" s="122"/>
      <c r="E1899" s="122"/>
      <c r="F1899" s="122"/>
      <c r="G1899" s="122"/>
      <c r="H1899" s="122"/>
      <c r="I1899" s="275"/>
      <c r="J1899" s="130"/>
      <c r="K1899" s="130"/>
      <c r="L1899" s="130"/>
      <c r="M1899" s="130"/>
      <c r="N1899" s="291"/>
      <c r="O1899" s="291"/>
      <c r="P1899" s="122"/>
      <c r="Q1899" s="122"/>
      <c r="R1899" s="122"/>
      <c r="S1899" s="122"/>
      <c r="T1899" s="122"/>
      <c r="U1899" s="301"/>
      <c r="V1899" s="260">
        <f t="shared" ca="1" si="37"/>
        <v>0</v>
      </c>
      <c r="W1899" s="348" t="str">
        <f>IF(板块成分!B1901="","",板块成分!B1901)</f>
        <v>300441.SZ</v>
      </c>
      <c r="X1899" s="276" t="str">
        <f>[1]!S_Info_Name(W1899)</f>
        <v>鲍斯股份</v>
      </c>
      <c r="Y1899" s="276" t="str">
        <f ca="1">IF($Y$3="申万一级行业",[1]!s_info_industry_sw_2021(W1899,公司分析!D$5,1),IF($Y$3="申万二级行业",[1]!s_info_industry_sw_2021(W1899,公司分析!D$5,2),IF($Y$3="申万三级行业",[1]!s_info_industry_sw_2021(W1899,公司分析!D$5,3),IF($Y$3="wind一级行业",[1]!s_info_industry_gics(W1899,1),IF($Y$3="wind二级行业",[1]!s_info_industry_gics(W1899,2),IF($Y$3="wind三级行业",[1]!s_info_industry_gics(W1899,3),IF($Y$3="wind四级行业",[1]!s_info_industry_gics(W1899,4),IF($Y$3="证监会门类行业",[1]!s_info_industry_csrc12_n(W1899,公司分析!D$5,1),""))))))))</f>
        <v>通用设备</v>
      </c>
      <c r="Z1899" s="302" t="str">
        <f ca="1">IF(Y1899=行业比较!$E$6,ROW(),"")</f>
        <v/>
      </c>
      <c r="AA1899" s="122"/>
      <c r="AB1899" s="122"/>
      <c r="AC1899" s="122"/>
      <c r="AD1899" s="122"/>
      <c r="AE1899" s="122"/>
      <c r="AF1899" s="122"/>
      <c r="AG1899" s="122"/>
      <c r="AH1899" s="122"/>
      <c r="AI1899" s="122"/>
      <c r="AJ1899" s="122"/>
      <c r="AK1899" s="122"/>
      <c r="AL1899" s="122"/>
      <c r="AM1899" s="122"/>
      <c r="AN1899" s="122"/>
      <c r="AO1899" s="122"/>
      <c r="AP1899" s="122"/>
    </row>
    <row r="1900" spans="2:42">
      <c r="B1900" s="122"/>
      <c r="C1900" s="122"/>
      <c r="D1900" s="122"/>
      <c r="E1900" s="122"/>
      <c r="F1900" s="122"/>
      <c r="G1900" s="122"/>
      <c r="H1900" s="122"/>
      <c r="I1900" s="275"/>
      <c r="J1900" s="130"/>
      <c r="K1900" s="130"/>
      <c r="L1900" s="130"/>
      <c r="M1900" s="130"/>
      <c r="N1900" s="291"/>
      <c r="O1900" s="291"/>
      <c r="P1900" s="122"/>
      <c r="Q1900" s="122"/>
      <c r="R1900" s="122"/>
      <c r="S1900" s="122"/>
      <c r="T1900" s="122"/>
      <c r="U1900" s="301"/>
      <c r="V1900" s="260">
        <f t="shared" ca="1" si="37"/>
        <v>0</v>
      </c>
      <c r="W1900" s="348" t="str">
        <f>IF(板块成分!B1902="","",板块成分!B1902)</f>
        <v>300442.SZ</v>
      </c>
      <c r="X1900" s="276" t="str">
        <f>[1]!S_Info_Name(W1900)</f>
        <v>润泽科技</v>
      </c>
      <c r="Y1900" s="276" t="str">
        <f ca="1">IF($Y$3="申万一级行业",[1]!s_info_industry_sw_2021(W1900,公司分析!D$5,1),IF($Y$3="申万二级行业",[1]!s_info_industry_sw_2021(W1900,公司分析!D$5,2),IF($Y$3="申万三级行业",[1]!s_info_industry_sw_2021(W1900,公司分析!D$5,3),IF($Y$3="wind一级行业",[1]!s_info_industry_gics(W1900,1),IF($Y$3="wind二级行业",[1]!s_info_industry_gics(W1900,2),IF($Y$3="wind三级行业",[1]!s_info_industry_gics(W1900,3),IF($Y$3="wind四级行业",[1]!s_info_industry_gics(W1900,4),IF($Y$3="证监会门类行业",[1]!s_info_industry_csrc12_n(W1900,公司分析!D$5,1),""))))))))</f>
        <v>通信服务</v>
      </c>
      <c r="Z1900" s="302" t="str">
        <f ca="1">IF(Y1900=行业比较!$E$6,ROW(),"")</f>
        <v/>
      </c>
      <c r="AA1900" s="122"/>
      <c r="AB1900" s="122"/>
      <c r="AC1900" s="122"/>
      <c r="AD1900" s="122"/>
      <c r="AE1900" s="122"/>
      <c r="AF1900" s="122"/>
      <c r="AG1900" s="122"/>
      <c r="AH1900" s="122"/>
      <c r="AI1900" s="122"/>
      <c r="AJ1900" s="122"/>
      <c r="AK1900" s="122"/>
      <c r="AL1900" s="122"/>
      <c r="AM1900" s="122"/>
      <c r="AN1900" s="122"/>
      <c r="AO1900" s="122"/>
      <c r="AP1900" s="122"/>
    </row>
    <row r="1901" spans="2:42">
      <c r="B1901" s="122"/>
      <c r="C1901" s="122"/>
      <c r="D1901" s="122"/>
      <c r="E1901" s="122"/>
      <c r="F1901" s="122"/>
      <c r="G1901" s="122"/>
      <c r="H1901" s="122"/>
      <c r="I1901" s="275"/>
      <c r="J1901" s="130"/>
      <c r="K1901" s="130"/>
      <c r="L1901" s="130"/>
      <c r="M1901" s="130"/>
      <c r="N1901" s="291"/>
      <c r="O1901" s="291"/>
      <c r="P1901" s="122"/>
      <c r="Q1901" s="122"/>
      <c r="R1901" s="122"/>
      <c r="S1901" s="122"/>
      <c r="T1901" s="122"/>
      <c r="U1901" s="301"/>
      <c r="V1901" s="260">
        <f t="shared" ca="1" si="37"/>
        <v>0</v>
      </c>
      <c r="W1901" s="348" t="str">
        <f>IF(板块成分!B1903="","",板块成分!B1903)</f>
        <v>300443.SZ</v>
      </c>
      <c r="X1901" s="276" t="str">
        <f>[1]!S_Info_Name(W1901)</f>
        <v>金雷股份</v>
      </c>
      <c r="Y1901" s="276" t="str">
        <f ca="1">IF($Y$3="申万一级行业",[1]!s_info_industry_sw_2021(W1901,公司分析!D$5,1),IF($Y$3="申万二级行业",[1]!s_info_industry_sw_2021(W1901,公司分析!D$5,2),IF($Y$3="申万三级行业",[1]!s_info_industry_sw_2021(W1901,公司分析!D$5,3),IF($Y$3="wind一级行业",[1]!s_info_industry_gics(W1901,1),IF($Y$3="wind二级行业",[1]!s_info_industry_gics(W1901,2),IF($Y$3="wind三级行业",[1]!s_info_industry_gics(W1901,3),IF($Y$3="wind四级行业",[1]!s_info_industry_gics(W1901,4),IF($Y$3="证监会门类行业",[1]!s_info_industry_csrc12_n(W1901,公司分析!D$5,1),""))))))))</f>
        <v>风电设备</v>
      </c>
      <c r="Z1901" s="302" t="str">
        <f ca="1">IF(Y1901=行业比较!$E$6,ROW(),"")</f>
        <v/>
      </c>
      <c r="AA1901" s="122"/>
      <c r="AB1901" s="122"/>
      <c r="AC1901" s="122"/>
      <c r="AD1901" s="122"/>
      <c r="AE1901" s="122"/>
      <c r="AF1901" s="122"/>
      <c r="AG1901" s="122"/>
      <c r="AH1901" s="122"/>
      <c r="AI1901" s="122"/>
      <c r="AJ1901" s="122"/>
      <c r="AK1901" s="122"/>
      <c r="AL1901" s="122"/>
      <c r="AM1901" s="122"/>
      <c r="AN1901" s="122"/>
      <c r="AO1901" s="122"/>
      <c r="AP1901" s="122"/>
    </row>
    <row r="1902" spans="2:42">
      <c r="B1902" s="122"/>
      <c r="C1902" s="122"/>
      <c r="D1902" s="122"/>
      <c r="E1902" s="122"/>
      <c r="F1902" s="122"/>
      <c r="G1902" s="122"/>
      <c r="H1902" s="122"/>
      <c r="I1902" s="275"/>
      <c r="J1902" s="130"/>
      <c r="K1902" s="130"/>
      <c r="L1902" s="130"/>
      <c r="M1902" s="130"/>
      <c r="N1902" s="291"/>
      <c r="O1902" s="291"/>
      <c r="P1902" s="122"/>
      <c r="Q1902" s="122"/>
      <c r="R1902" s="122"/>
      <c r="S1902" s="122"/>
      <c r="T1902" s="122"/>
      <c r="U1902" s="301"/>
      <c r="V1902" s="260">
        <f t="shared" ca="1" si="37"/>
        <v>0</v>
      </c>
      <c r="W1902" s="348" t="str">
        <f>IF(板块成分!B1904="","",板块成分!B1904)</f>
        <v>300444.SZ</v>
      </c>
      <c r="X1902" s="276" t="str">
        <f>[1]!S_Info_Name(W1902)</f>
        <v>双杰电气</v>
      </c>
      <c r="Y1902" s="276" t="str">
        <f ca="1">IF($Y$3="申万一级行业",[1]!s_info_industry_sw_2021(W1902,公司分析!D$5,1),IF($Y$3="申万二级行业",[1]!s_info_industry_sw_2021(W1902,公司分析!D$5,2),IF($Y$3="申万三级行业",[1]!s_info_industry_sw_2021(W1902,公司分析!D$5,3),IF($Y$3="wind一级行业",[1]!s_info_industry_gics(W1902,1),IF($Y$3="wind二级行业",[1]!s_info_industry_gics(W1902,2),IF($Y$3="wind三级行业",[1]!s_info_industry_gics(W1902,3),IF($Y$3="wind四级行业",[1]!s_info_industry_gics(W1902,4),IF($Y$3="证监会门类行业",[1]!s_info_industry_csrc12_n(W1902,公司分析!D$5,1),""))))))))</f>
        <v>电网设备</v>
      </c>
      <c r="Z1902" s="302" t="str">
        <f ca="1">IF(Y1902=行业比较!$E$6,ROW(),"")</f>
        <v/>
      </c>
      <c r="AA1902" s="122"/>
      <c r="AB1902" s="122"/>
      <c r="AC1902" s="122"/>
      <c r="AD1902" s="122"/>
      <c r="AE1902" s="122"/>
      <c r="AF1902" s="122"/>
      <c r="AG1902" s="122"/>
      <c r="AH1902" s="122"/>
      <c r="AI1902" s="122"/>
      <c r="AJ1902" s="122"/>
      <c r="AK1902" s="122"/>
      <c r="AL1902" s="122"/>
      <c r="AM1902" s="122"/>
      <c r="AN1902" s="122"/>
      <c r="AO1902" s="122"/>
      <c r="AP1902" s="122"/>
    </row>
    <row r="1903" spans="2:42">
      <c r="B1903" s="122"/>
      <c r="C1903" s="122"/>
      <c r="D1903" s="122"/>
      <c r="E1903" s="122"/>
      <c r="F1903" s="122"/>
      <c r="G1903" s="122"/>
      <c r="H1903" s="122"/>
      <c r="I1903" s="275"/>
      <c r="J1903" s="130"/>
      <c r="K1903" s="130"/>
      <c r="L1903" s="130"/>
      <c r="M1903" s="130"/>
      <c r="N1903" s="291"/>
      <c r="O1903" s="291"/>
      <c r="P1903" s="122"/>
      <c r="Q1903" s="122"/>
      <c r="R1903" s="122"/>
      <c r="S1903" s="122"/>
      <c r="T1903" s="122"/>
      <c r="U1903" s="301"/>
      <c r="V1903" s="260">
        <f t="shared" ca="1" si="37"/>
        <v>0</v>
      </c>
      <c r="W1903" s="348" t="str">
        <f>IF(板块成分!B1905="","",板块成分!B1905)</f>
        <v>300445.SZ</v>
      </c>
      <c r="X1903" s="276" t="str">
        <f>[1]!S_Info_Name(W1903)</f>
        <v>康斯特</v>
      </c>
      <c r="Y1903" s="276" t="str">
        <f ca="1">IF($Y$3="申万一级行业",[1]!s_info_industry_sw_2021(W1903,公司分析!D$5,1),IF($Y$3="申万二级行业",[1]!s_info_industry_sw_2021(W1903,公司分析!D$5,2),IF($Y$3="申万三级行业",[1]!s_info_industry_sw_2021(W1903,公司分析!D$5,3),IF($Y$3="wind一级行业",[1]!s_info_industry_gics(W1903,1),IF($Y$3="wind二级行业",[1]!s_info_industry_gics(W1903,2),IF($Y$3="wind三级行业",[1]!s_info_industry_gics(W1903,3),IF($Y$3="wind四级行业",[1]!s_info_industry_gics(W1903,4),IF($Y$3="证监会门类行业",[1]!s_info_industry_csrc12_n(W1903,公司分析!D$5,1),""))))))))</f>
        <v>通用设备</v>
      </c>
      <c r="Z1903" s="302" t="str">
        <f ca="1">IF(Y1903=行业比较!$E$6,ROW(),"")</f>
        <v/>
      </c>
      <c r="AA1903" s="122"/>
      <c r="AB1903" s="122"/>
      <c r="AC1903" s="122"/>
      <c r="AD1903" s="122"/>
      <c r="AE1903" s="122"/>
      <c r="AF1903" s="122"/>
      <c r="AG1903" s="122"/>
      <c r="AH1903" s="122"/>
      <c r="AI1903" s="122"/>
      <c r="AJ1903" s="122"/>
      <c r="AK1903" s="122"/>
      <c r="AL1903" s="122"/>
      <c r="AM1903" s="122"/>
      <c r="AN1903" s="122"/>
      <c r="AO1903" s="122"/>
      <c r="AP1903" s="122"/>
    </row>
    <row r="1904" spans="2:42">
      <c r="B1904" s="122"/>
      <c r="C1904" s="122"/>
      <c r="D1904" s="122"/>
      <c r="E1904" s="122"/>
      <c r="F1904" s="122"/>
      <c r="G1904" s="122"/>
      <c r="H1904" s="122"/>
      <c r="I1904" s="275"/>
      <c r="J1904" s="130"/>
      <c r="K1904" s="130"/>
      <c r="L1904" s="130"/>
      <c r="M1904" s="130"/>
      <c r="N1904" s="291"/>
      <c r="O1904" s="291"/>
      <c r="P1904" s="122"/>
      <c r="Q1904" s="122"/>
      <c r="R1904" s="122"/>
      <c r="S1904" s="122"/>
      <c r="T1904" s="122"/>
      <c r="U1904" s="301"/>
      <c r="V1904" s="260">
        <f t="shared" ca="1" si="37"/>
        <v>0</v>
      </c>
      <c r="W1904" s="348" t="str">
        <f>IF(板块成分!B1906="","",板块成分!B1906)</f>
        <v>300446.SZ</v>
      </c>
      <c r="X1904" s="276" t="str">
        <f>[1]!S_Info_Name(W1904)</f>
        <v>航天智造</v>
      </c>
      <c r="Y1904" s="276" t="str">
        <f ca="1">IF($Y$3="申万一级行业",[1]!s_info_industry_sw_2021(W1904,公司分析!D$5,1),IF($Y$3="申万二级行业",[1]!s_info_industry_sw_2021(W1904,公司分析!D$5,2),IF($Y$3="申万三级行业",[1]!s_info_industry_sw_2021(W1904,公司分析!D$5,3),IF($Y$3="wind一级行业",[1]!s_info_industry_gics(W1904,1),IF($Y$3="wind二级行业",[1]!s_info_industry_gics(W1904,2),IF($Y$3="wind三级行业",[1]!s_info_industry_gics(W1904,3),IF($Y$3="wind四级行业",[1]!s_info_industry_gics(W1904,4),IF($Y$3="证监会门类行业",[1]!s_info_industry_csrc12_n(W1904,公司分析!D$5,1),""))))))))</f>
        <v>汽车零部件</v>
      </c>
      <c r="Z1904" s="302" t="str">
        <f ca="1">IF(Y1904=行业比较!$E$6,ROW(),"")</f>
        <v/>
      </c>
      <c r="AA1904" s="122"/>
      <c r="AB1904" s="122"/>
      <c r="AC1904" s="122"/>
      <c r="AD1904" s="122"/>
      <c r="AE1904" s="122"/>
      <c r="AF1904" s="122"/>
      <c r="AG1904" s="122"/>
      <c r="AH1904" s="122"/>
      <c r="AI1904" s="122"/>
      <c r="AJ1904" s="122"/>
      <c r="AK1904" s="122"/>
      <c r="AL1904" s="122"/>
      <c r="AM1904" s="122"/>
      <c r="AN1904" s="122"/>
      <c r="AO1904" s="122"/>
      <c r="AP1904" s="122"/>
    </row>
    <row r="1905" spans="2:42">
      <c r="B1905" s="122"/>
      <c r="C1905" s="122"/>
      <c r="D1905" s="122"/>
      <c r="E1905" s="122"/>
      <c r="F1905" s="122"/>
      <c r="G1905" s="122"/>
      <c r="H1905" s="122"/>
      <c r="I1905" s="275"/>
      <c r="J1905" s="130"/>
      <c r="K1905" s="130"/>
      <c r="L1905" s="130"/>
      <c r="M1905" s="130"/>
      <c r="N1905" s="291"/>
      <c r="O1905" s="291"/>
      <c r="P1905" s="122"/>
      <c r="Q1905" s="122"/>
      <c r="R1905" s="122"/>
      <c r="S1905" s="122"/>
      <c r="T1905" s="122"/>
      <c r="U1905" s="301"/>
      <c r="V1905" s="260">
        <f t="shared" ca="1" si="37"/>
        <v>0</v>
      </c>
      <c r="W1905" s="348" t="str">
        <f>IF(板块成分!B1907="","",板块成分!B1907)</f>
        <v>300447.SZ</v>
      </c>
      <c r="X1905" s="276" t="str">
        <f>[1]!S_Info_Name(W1905)</f>
        <v>全信股份</v>
      </c>
      <c r="Y1905" s="276" t="str">
        <f ca="1">IF($Y$3="申万一级行业",[1]!s_info_industry_sw_2021(W1905,公司分析!D$5,1),IF($Y$3="申万二级行业",[1]!s_info_industry_sw_2021(W1905,公司分析!D$5,2),IF($Y$3="申万三级行业",[1]!s_info_industry_sw_2021(W1905,公司分析!D$5,3),IF($Y$3="wind一级行业",[1]!s_info_industry_gics(W1905,1),IF($Y$3="wind二级行业",[1]!s_info_industry_gics(W1905,2),IF($Y$3="wind三级行业",[1]!s_info_industry_gics(W1905,3),IF($Y$3="wind四级行业",[1]!s_info_industry_gics(W1905,4),IF($Y$3="证监会门类行业",[1]!s_info_industry_csrc12_n(W1905,公司分析!D$5,1),""))))))))</f>
        <v>军工电子Ⅱ</v>
      </c>
      <c r="Z1905" s="302" t="str">
        <f ca="1">IF(Y1905=行业比较!$E$6,ROW(),"")</f>
        <v/>
      </c>
      <c r="AA1905" s="122"/>
      <c r="AB1905" s="122"/>
      <c r="AC1905" s="122"/>
      <c r="AD1905" s="122"/>
      <c r="AE1905" s="122"/>
      <c r="AF1905" s="122"/>
      <c r="AG1905" s="122"/>
      <c r="AH1905" s="122"/>
      <c r="AI1905" s="122"/>
      <c r="AJ1905" s="122"/>
      <c r="AK1905" s="122"/>
      <c r="AL1905" s="122"/>
      <c r="AM1905" s="122"/>
      <c r="AN1905" s="122"/>
      <c r="AO1905" s="122"/>
      <c r="AP1905" s="122"/>
    </row>
    <row r="1906" spans="2:42">
      <c r="B1906" s="122"/>
      <c r="C1906" s="122"/>
      <c r="D1906" s="122"/>
      <c r="E1906" s="122"/>
      <c r="F1906" s="122"/>
      <c r="G1906" s="122"/>
      <c r="H1906" s="122"/>
      <c r="I1906" s="275"/>
      <c r="J1906" s="130"/>
      <c r="K1906" s="130"/>
      <c r="L1906" s="130"/>
      <c r="M1906" s="130"/>
      <c r="N1906" s="291"/>
      <c r="O1906" s="291"/>
      <c r="P1906" s="122"/>
      <c r="Q1906" s="122"/>
      <c r="R1906" s="122"/>
      <c r="S1906" s="122"/>
      <c r="T1906" s="122"/>
      <c r="U1906" s="301"/>
      <c r="V1906" s="260">
        <f t="shared" ca="1" si="37"/>
        <v>0</v>
      </c>
      <c r="W1906" s="348" t="str">
        <f>IF(板块成分!B1908="","",板块成分!B1908)</f>
        <v>300448.SZ</v>
      </c>
      <c r="X1906" s="276" t="str">
        <f>[1]!S_Info_Name(W1906)</f>
        <v>浩云科技</v>
      </c>
      <c r="Y1906" s="276" t="str">
        <f ca="1">IF($Y$3="申万一级行业",[1]!s_info_industry_sw_2021(W1906,公司分析!D$5,1),IF($Y$3="申万二级行业",[1]!s_info_industry_sw_2021(W1906,公司分析!D$5,2),IF($Y$3="申万三级行业",[1]!s_info_industry_sw_2021(W1906,公司分析!D$5,3),IF($Y$3="wind一级行业",[1]!s_info_industry_gics(W1906,1),IF($Y$3="wind二级行业",[1]!s_info_industry_gics(W1906,2),IF($Y$3="wind三级行业",[1]!s_info_industry_gics(W1906,3),IF($Y$3="wind四级行业",[1]!s_info_industry_gics(W1906,4),IF($Y$3="证监会门类行业",[1]!s_info_industry_csrc12_n(W1906,公司分析!D$5,1),""))))))))</f>
        <v>IT服务Ⅱ</v>
      </c>
      <c r="Z1906" s="302" t="str">
        <f ca="1">IF(Y1906=行业比较!$E$6,ROW(),"")</f>
        <v/>
      </c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</row>
    <row r="1907" spans="2:42">
      <c r="B1907" s="122"/>
      <c r="C1907" s="122"/>
      <c r="D1907" s="122"/>
      <c r="E1907" s="122"/>
      <c r="F1907" s="122"/>
      <c r="G1907" s="122"/>
      <c r="H1907" s="122"/>
      <c r="I1907" s="275"/>
      <c r="J1907" s="130"/>
      <c r="K1907" s="130"/>
      <c r="L1907" s="130"/>
      <c r="M1907" s="130"/>
      <c r="N1907" s="291"/>
      <c r="O1907" s="291"/>
      <c r="P1907" s="122"/>
      <c r="Q1907" s="122"/>
      <c r="R1907" s="122"/>
      <c r="S1907" s="122"/>
      <c r="T1907" s="122"/>
      <c r="U1907" s="301"/>
      <c r="V1907" s="260">
        <f t="shared" ca="1" si="37"/>
        <v>0</v>
      </c>
      <c r="W1907" s="348" t="str">
        <f>IF(板块成分!B1909="","",板块成分!B1909)</f>
        <v>300449.SZ</v>
      </c>
      <c r="X1907" s="276" t="str">
        <f>[1]!S_Info_Name(W1907)</f>
        <v>汉邦高科</v>
      </c>
      <c r="Y1907" s="276" t="str">
        <f ca="1">IF($Y$3="申万一级行业",[1]!s_info_industry_sw_2021(W1907,公司分析!D$5,1),IF($Y$3="申万二级行业",[1]!s_info_industry_sw_2021(W1907,公司分析!D$5,2),IF($Y$3="申万三级行业",[1]!s_info_industry_sw_2021(W1907,公司分析!D$5,3),IF($Y$3="wind一级行业",[1]!s_info_industry_gics(W1907,1),IF($Y$3="wind二级行业",[1]!s_info_industry_gics(W1907,2),IF($Y$3="wind三级行业",[1]!s_info_industry_gics(W1907,3),IF($Y$3="wind四级行业",[1]!s_info_industry_gics(W1907,4),IF($Y$3="证监会门类行业",[1]!s_info_industry_csrc12_n(W1907,公司分析!D$5,1),""))))))))</f>
        <v>计算机设备</v>
      </c>
      <c r="Z1907" s="302" t="str">
        <f ca="1">IF(Y1907=行业比较!$E$6,ROW(),"")</f>
        <v/>
      </c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</row>
    <row r="1908" spans="2:42">
      <c r="B1908" s="122"/>
      <c r="C1908" s="122"/>
      <c r="D1908" s="122"/>
      <c r="E1908" s="122"/>
      <c r="F1908" s="122"/>
      <c r="G1908" s="122"/>
      <c r="H1908" s="122"/>
      <c r="I1908" s="275"/>
      <c r="J1908" s="130"/>
      <c r="K1908" s="130"/>
      <c r="L1908" s="130"/>
      <c r="M1908" s="130"/>
      <c r="N1908" s="291"/>
      <c r="O1908" s="291"/>
      <c r="P1908" s="122"/>
      <c r="Q1908" s="122"/>
      <c r="R1908" s="122"/>
      <c r="S1908" s="122"/>
      <c r="T1908" s="122"/>
      <c r="U1908" s="301"/>
      <c r="V1908" s="260">
        <f t="shared" ca="1" si="37"/>
        <v>0</v>
      </c>
      <c r="W1908" s="348" t="str">
        <f>IF(板块成分!B1910="","",板块成分!B1910)</f>
        <v>300450.SZ</v>
      </c>
      <c r="X1908" s="276" t="str">
        <f>[1]!S_Info_Name(W1908)</f>
        <v>先导智能</v>
      </c>
      <c r="Y1908" s="276" t="str">
        <f ca="1">IF($Y$3="申万一级行业",[1]!s_info_industry_sw_2021(W1908,公司分析!D$5,1),IF($Y$3="申万二级行业",[1]!s_info_industry_sw_2021(W1908,公司分析!D$5,2),IF($Y$3="申万三级行业",[1]!s_info_industry_sw_2021(W1908,公司分析!D$5,3),IF($Y$3="wind一级行业",[1]!s_info_industry_gics(W1908,1),IF($Y$3="wind二级行业",[1]!s_info_industry_gics(W1908,2),IF($Y$3="wind三级行业",[1]!s_info_industry_gics(W1908,3),IF($Y$3="wind四级行业",[1]!s_info_industry_gics(W1908,4),IF($Y$3="证监会门类行业",[1]!s_info_industry_csrc12_n(W1908,公司分析!D$5,1),""))))))))</f>
        <v>电池</v>
      </c>
      <c r="Z1908" s="302" t="str">
        <f ca="1">IF(Y1908=行业比较!$E$6,ROW(),"")</f>
        <v/>
      </c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</row>
    <row r="1909" spans="2:42">
      <c r="B1909" s="122"/>
      <c r="C1909" s="122"/>
      <c r="D1909" s="122"/>
      <c r="E1909" s="122"/>
      <c r="F1909" s="122"/>
      <c r="G1909" s="122"/>
      <c r="H1909" s="122"/>
      <c r="I1909" s="275"/>
      <c r="J1909" s="130"/>
      <c r="K1909" s="130"/>
      <c r="L1909" s="130"/>
      <c r="M1909" s="130"/>
      <c r="N1909" s="291"/>
      <c r="O1909" s="291"/>
      <c r="P1909" s="122"/>
      <c r="Q1909" s="122"/>
      <c r="R1909" s="122"/>
      <c r="S1909" s="122"/>
      <c r="T1909" s="122"/>
      <c r="U1909" s="301"/>
      <c r="V1909" s="260">
        <f t="shared" ca="1" si="37"/>
        <v>0</v>
      </c>
      <c r="W1909" s="348" t="str">
        <f>IF(板块成分!B1911="","",板块成分!B1911)</f>
        <v>300451.SZ</v>
      </c>
      <c r="X1909" s="276" t="str">
        <f>[1]!S_Info_Name(W1909)</f>
        <v>创业慧康</v>
      </c>
      <c r="Y1909" s="276" t="str">
        <f ca="1">IF($Y$3="申万一级行业",[1]!s_info_industry_sw_2021(W1909,公司分析!D$5,1),IF($Y$3="申万二级行业",[1]!s_info_industry_sw_2021(W1909,公司分析!D$5,2),IF($Y$3="申万三级行业",[1]!s_info_industry_sw_2021(W1909,公司分析!D$5,3),IF($Y$3="wind一级行业",[1]!s_info_industry_gics(W1909,1),IF($Y$3="wind二级行业",[1]!s_info_industry_gics(W1909,2),IF($Y$3="wind三级行业",[1]!s_info_industry_gics(W1909,3),IF($Y$3="wind四级行业",[1]!s_info_industry_gics(W1909,4),IF($Y$3="证监会门类行业",[1]!s_info_industry_csrc12_n(W1909,公司分析!D$5,1),""))))))))</f>
        <v>软件开发</v>
      </c>
      <c r="Z1909" s="302" t="str">
        <f ca="1">IF(Y1909=行业比较!$E$6,ROW(),"")</f>
        <v/>
      </c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</row>
    <row r="1910" spans="2:42">
      <c r="B1910" s="122"/>
      <c r="C1910" s="122"/>
      <c r="D1910" s="122"/>
      <c r="E1910" s="122"/>
      <c r="F1910" s="122"/>
      <c r="G1910" s="122"/>
      <c r="H1910" s="122"/>
      <c r="I1910" s="275"/>
      <c r="J1910" s="130"/>
      <c r="K1910" s="130"/>
      <c r="L1910" s="130"/>
      <c r="M1910" s="130"/>
      <c r="N1910" s="291"/>
      <c r="O1910" s="291"/>
      <c r="P1910" s="122"/>
      <c r="Q1910" s="122"/>
      <c r="R1910" s="122"/>
      <c r="S1910" s="122"/>
      <c r="T1910" s="122"/>
      <c r="U1910" s="301"/>
      <c r="V1910" s="260">
        <f t="shared" ca="1" si="37"/>
        <v>0</v>
      </c>
      <c r="W1910" s="348" t="str">
        <f>IF(板块成分!B1912="","",板块成分!B1912)</f>
        <v>300452.SZ</v>
      </c>
      <c r="X1910" s="276" t="str">
        <f>[1]!S_Info_Name(W1910)</f>
        <v>山河药辅</v>
      </c>
      <c r="Y1910" s="276" t="str">
        <f ca="1">IF($Y$3="申万一级行业",[1]!s_info_industry_sw_2021(W1910,公司分析!D$5,1),IF($Y$3="申万二级行业",[1]!s_info_industry_sw_2021(W1910,公司分析!D$5,2),IF($Y$3="申万三级行业",[1]!s_info_industry_sw_2021(W1910,公司分析!D$5,3),IF($Y$3="wind一级行业",[1]!s_info_industry_gics(W1910,1),IF($Y$3="wind二级行业",[1]!s_info_industry_gics(W1910,2),IF($Y$3="wind三级行业",[1]!s_info_industry_gics(W1910,3),IF($Y$3="wind四级行业",[1]!s_info_industry_gics(W1910,4),IF($Y$3="证监会门类行业",[1]!s_info_industry_csrc12_n(W1910,公司分析!D$5,1),""))))))))</f>
        <v>化学制药</v>
      </c>
      <c r="Z1910" s="302" t="str">
        <f ca="1">IF(Y1910=行业比较!$E$6,ROW(),"")</f>
        <v/>
      </c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</row>
    <row r="1911" spans="2:42">
      <c r="B1911" s="122"/>
      <c r="C1911" s="122"/>
      <c r="D1911" s="122"/>
      <c r="E1911" s="122"/>
      <c r="F1911" s="122"/>
      <c r="G1911" s="122"/>
      <c r="H1911" s="122"/>
      <c r="I1911" s="275"/>
      <c r="J1911" s="130"/>
      <c r="K1911" s="130"/>
      <c r="L1911" s="130"/>
      <c r="M1911" s="130"/>
      <c r="N1911" s="291"/>
      <c r="O1911" s="291"/>
      <c r="P1911" s="122"/>
      <c r="Q1911" s="122"/>
      <c r="R1911" s="122"/>
      <c r="S1911" s="122"/>
      <c r="T1911" s="122"/>
      <c r="U1911" s="301"/>
      <c r="V1911" s="260">
        <f t="shared" ca="1" si="37"/>
        <v>0</v>
      </c>
      <c r="W1911" s="348" t="str">
        <f>IF(板块成分!B1913="","",板块成分!B1913)</f>
        <v>300453.SZ</v>
      </c>
      <c r="X1911" s="276" t="str">
        <f>[1]!S_Info_Name(W1911)</f>
        <v>三鑫医疗</v>
      </c>
      <c r="Y1911" s="276" t="str">
        <f ca="1">IF($Y$3="申万一级行业",[1]!s_info_industry_sw_2021(W1911,公司分析!D$5,1),IF($Y$3="申万二级行业",[1]!s_info_industry_sw_2021(W1911,公司分析!D$5,2),IF($Y$3="申万三级行业",[1]!s_info_industry_sw_2021(W1911,公司分析!D$5,3),IF($Y$3="wind一级行业",[1]!s_info_industry_gics(W1911,1),IF($Y$3="wind二级行业",[1]!s_info_industry_gics(W1911,2),IF($Y$3="wind三级行业",[1]!s_info_industry_gics(W1911,3),IF($Y$3="wind四级行业",[1]!s_info_industry_gics(W1911,4),IF($Y$3="证监会门类行业",[1]!s_info_industry_csrc12_n(W1911,公司分析!D$5,1),""))))))))</f>
        <v>医疗器械</v>
      </c>
      <c r="Z1911" s="302" t="str">
        <f ca="1">IF(Y1911=行业比较!$E$6,ROW(),"")</f>
        <v/>
      </c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</row>
    <row r="1912" spans="2:42">
      <c r="B1912" s="122"/>
      <c r="C1912" s="122"/>
      <c r="D1912" s="122"/>
      <c r="E1912" s="122"/>
      <c r="F1912" s="122"/>
      <c r="G1912" s="122"/>
      <c r="H1912" s="122"/>
      <c r="I1912" s="275"/>
      <c r="J1912" s="130"/>
      <c r="K1912" s="130"/>
      <c r="L1912" s="130"/>
      <c r="M1912" s="130"/>
      <c r="N1912" s="291"/>
      <c r="O1912" s="291"/>
      <c r="P1912" s="122"/>
      <c r="Q1912" s="122"/>
      <c r="R1912" s="122"/>
      <c r="S1912" s="122"/>
      <c r="T1912" s="122"/>
      <c r="U1912" s="301"/>
      <c r="V1912" s="260">
        <f t="shared" ca="1" si="37"/>
        <v>0</v>
      </c>
      <c r="W1912" s="348" t="str">
        <f>IF(板块成分!B1914="","",板块成分!B1914)</f>
        <v>300454.SZ</v>
      </c>
      <c r="X1912" s="276" t="str">
        <f>[1]!S_Info_Name(W1912)</f>
        <v>深信服</v>
      </c>
      <c r="Y1912" s="276" t="str">
        <f ca="1">IF($Y$3="申万一级行业",[1]!s_info_industry_sw_2021(W1912,公司分析!D$5,1),IF($Y$3="申万二级行业",[1]!s_info_industry_sw_2021(W1912,公司分析!D$5,2),IF($Y$3="申万三级行业",[1]!s_info_industry_sw_2021(W1912,公司分析!D$5,3),IF($Y$3="wind一级行业",[1]!s_info_industry_gics(W1912,1),IF($Y$3="wind二级行业",[1]!s_info_industry_gics(W1912,2),IF($Y$3="wind三级行业",[1]!s_info_industry_gics(W1912,3),IF($Y$3="wind四级行业",[1]!s_info_industry_gics(W1912,4),IF($Y$3="证监会门类行业",[1]!s_info_industry_csrc12_n(W1912,公司分析!D$5,1),""))))))))</f>
        <v>软件开发</v>
      </c>
      <c r="Z1912" s="302" t="str">
        <f ca="1">IF(Y1912=行业比较!$E$6,ROW(),"")</f>
        <v/>
      </c>
      <c r="AA1912" s="122"/>
      <c r="AB1912" s="122"/>
      <c r="AC1912" s="122"/>
      <c r="AD1912" s="122"/>
      <c r="AE1912" s="122"/>
      <c r="AF1912" s="122"/>
      <c r="AG1912" s="122"/>
      <c r="AH1912" s="122"/>
      <c r="AI1912" s="122"/>
      <c r="AJ1912" s="122"/>
      <c r="AK1912" s="122"/>
      <c r="AL1912" s="122"/>
      <c r="AM1912" s="122"/>
      <c r="AN1912" s="122"/>
      <c r="AO1912" s="122"/>
      <c r="AP1912" s="122"/>
    </row>
    <row r="1913" spans="2:42">
      <c r="B1913" s="122"/>
      <c r="C1913" s="122"/>
      <c r="D1913" s="122"/>
      <c r="E1913" s="122"/>
      <c r="F1913" s="122"/>
      <c r="G1913" s="122"/>
      <c r="H1913" s="122"/>
      <c r="I1913" s="275"/>
      <c r="J1913" s="130"/>
      <c r="K1913" s="130"/>
      <c r="L1913" s="130"/>
      <c r="M1913" s="130"/>
      <c r="N1913" s="291"/>
      <c r="O1913" s="291"/>
      <c r="P1913" s="122"/>
      <c r="Q1913" s="122"/>
      <c r="R1913" s="122"/>
      <c r="S1913" s="122"/>
      <c r="T1913" s="122"/>
      <c r="U1913" s="301"/>
      <c r="V1913" s="260">
        <f t="shared" ca="1" si="37"/>
        <v>0</v>
      </c>
      <c r="W1913" s="348" t="str">
        <f>IF(板块成分!B1915="","",板块成分!B1915)</f>
        <v>300455.SZ</v>
      </c>
      <c r="X1913" s="276" t="str">
        <f>[1]!S_Info_Name(W1913)</f>
        <v>航天智装</v>
      </c>
      <c r="Y1913" s="276" t="str">
        <f ca="1">IF($Y$3="申万一级行业",[1]!s_info_industry_sw_2021(W1913,公司分析!D$5,1),IF($Y$3="申万二级行业",[1]!s_info_industry_sw_2021(W1913,公司分析!D$5,2),IF($Y$3="申万三级行业",[1]!s_info_industry_sw_2021(W1913,公司分析!D$5,3),IF($Y$3="wind一级行业",[1]!s_info_industry_gics(W1913,1),IF($Y$3="wind二级行业",[1]!s_info_industry_gics(W1913,2),IF($Y$3="wind三级行业",[1]!s_info_industry_gics(W1913,3),IF($Y$3="wind四级行业",[1]!s_info_industry_gics(W1913,4),IF($Y$3="证监会门类行业",[1]!s_info_industry_csrc12_n(W1913,公司分析!D$5,1),""))))))))</f>
        <v>计算机设备</v>
      </c>
      <c r="Z1913" s="302" t="str">
        <f ca="1">IF(Y1913=行业比较!$E$6,ROW(),"")</f>
        <v/>
      </c>
      <c r="AA1913" s="122"/>
      <c r="AB1913" s="122"/>
      <c r="AC1913" s="122"/>
      <c r="AD1913" s="122"/>
      <c r="AE1913" s="122"/>
      <c r="AF1913" s="122"/>
      <c r="AG1913" s="122"/>
      <c r="AH1913" s="122"/>
      <c r="AI1913" s="122"/>
      <c r="AJ1913" s="122"/>
      <c r="AK1913" s="122"/>
      <c r="AL1913" s="122"/>
      <c r="AM1913" s="122"/>
      <c r="AN1913" s="122"/>
      <c r="AO1913" s="122"/>
      <c r="AP1913" s="122"/>
    </row>
    <row r="1914" spans="2:42">
      <c r="B1914" s="122"/>
      <c r="C1914" s="122"/>
      <c r="D1914" s="122"/>
      <c r="E1914" s="122"/>
      <c r="F1914" s="122"/>
      <c r="G1914" s="122"/>
      <c r="H1914" s="122"/>
      <c r="I1914" s="275"/>
      <c r="J1914" s="130"/>
      <c r="K1914" s="130"/>
      <c r="L1914" s="130"/>
      <c r="M1914" s="130"/>
      <c r="N1914" s="291"/>
      <c r="O1914" s="291"/>
      <c r="P1914" s="122"/>
      <c r="Q1914" s="122"/>
      <c r="R1914" s="122"/>
      <c r="S1914" s="122"/>
      <c r="T1914" s="122"/>
      <c r="U1914" s="301"/>
      <c r="V1914" s="260">
        <f t="shared" ca="1" si="37"/>
        <v>0</v>
      </c>
      <c r="W1914" s="348" t="str">
        <f>IF(板块成分!B1916="","",板块成分!B1916)</f>
        <v>300456.SZ</v>
      </c>
      <c r="X1914" s="276" t="str">
        <f>[1]!S_Info_Name(W1914)</f>
        <v>赛微电子</v>
      </c>
      <c r="Y1914" s="276" t="str">
        <f ca="1">IF($Y$3="申万一级行业",[1]!s_info_industry_sw_2021(W1914,公司分析!D$5,1),IF($Y$3="申万二级行业",[1]!s_info_industry_sw_2021(W1914,公司分析!D$5,2),IF($Y$3="申万三级行业",[1]!s_info_industry_sw_2021(W1914,公司分析!D$5,3),IF($Y$3="wind一级行业",[1]!s_info_industry_gics(W1914,1),IF($Y$3="wind二级行业",[1]!s_info_industry_gics(W1914,2),IF($Y$3="wind三级行业",[1]!s_info_industry_gics(W1914,3),IF($Y$3="wind四级行业",[1]!s_info_industry_gics(W1914,4),IF($Y$3="证监会门类行业",[1]!s_info_industry_csrc12_n(W1914,公司分析!D$5,1),""))))))))</f>
        <v>半导体</v>
      </c>
      <c r="Z1914" s="302" t="str">
        <f ca="1">IF(Y1914=行业比较!$E$6,ROW(),"")</f>
        <v/>
      </c>
      <c r="AA1914" s="122"/>
      <c r="AB1914" s="122"/>
      <c r="AC1914" s="122"/>
      <c r="AD1914" s="122"/>
      <c r="AE1914" s="122"/>
      <c r="AF1914" s="122"/>
      <c r="AG1914" s="122"/>
      <c r="AH1914" s="122"/>
      <c r="AI1914" s="122"/>
      <c r="AJ1914" s="122"/>
      <c r="AK1914" s="122"/>
      <c r="AL1914" s="122"/>
      <c r="AM1914" s="122"/>
      <c r="AN1914" s="122"/>
      <c r="AO1914" s="122"/>
      <c r="AP1914" s="122"/>
    </row>
    <row r="1915" spans="2:42">
      <c r="B1915" s="122"/>
      <c r="C1915" s="122"/>
      <c r="D1915" s="122"/>
      <c r="E1915" s="122"/>
      <c r="F1915" s="122"/>
      <c r="G1915" s="122"/>
      <c r="H1915" s="122"/>
      <c r="I1915" s="275"/>
      <c r="J1915" s="130"/>
      <c r="K1915" s="130"/>
      <c r="L1915" s="130"/>
      <c r="M1915" s="130"/>
      <c r="N1915" s="291"/>
      <c r="O1915" s="291"/>
      <c r="P1915" s="122"/>
      <c r="Q1915" s="122"/>
      <c r="R1915" s="122"/>
      <c r="S1915" s="122"/>
      <c r="T1915" s="122"/>
      <c r="U1915" s="301"/>
      <c r="V1915" s="260">
        <f t="shared" ca="1" si="37"/>
        <v>0</v>
      </c>
      <c r="W1915" s="348" t="str">
        <f>IF(板块成分!B1917="","",板块成分!B1917)</f>
        <v>300457.SZ</v>
      </c>
      <c r="X1915" s="276" t="str">
        <f>[1]!S_Info_Name(W1915)</f>
        <v>赢合科技</v>
      </c>
      <c r="Y1915" s="276" t="str">
        <f ca="1">IF($Y$3="申万一级行业",[1]!s_info_industry_sw_2021(W1915,公司分析!D$5,1),IF($Y$3="申万二级行业",[1]!s_info_industry_sw_2021(W1915,公司分析!D$5,2),IF($Y$3="申万三级行业",[1]!s_info_industry_sw_2021(W1915,公司分析!D$5,3),IF($Y$3="wind一级行业",[1]!s_info_industry_gics(W1915,1),IF($Y$3="wind二级行业",[1]!s_info_industry_gics(W1915,2),IF($Y$3="wind三级行业",[1]!s_info_industry_gics(W1915,3),IF($Y$3="wind四级行业",[1]!s_info_industry_gics(W1915,4),IF($Y$3="证监会门类行业",[1]!s_info_industry_csrc12_n(W1915,公司分析!D$5,1),""))))))))</f>
        <v>电池</v>
      </c>
      <c r="Z1915" s="302" t="str">
        <f ca="1">IF(Y1915=行业比较!$E$6,ROW(),"")</f>
        <v/>
      </c>
      <c r="AA1915" s="122"/>
      <c r="AB1915" s="122"/>
      <c r="AC1915" s="122"/>
      <c r="AD1915" s="122"/>
      <c r="AE1915" s="122"/>
      <c r="AF1915" s="122"/>
      <c r="AG1915" s="122"/>
      <c r="AH1915" s="122"/>
      <c r="AI1915" s="122"/>
      <c r="AJ1915" s="122"/>
      <c r="AK1915" s="122"/>
      <c r="AL1915" s="122"/>
      <c r="AM1915" s="122"/>
      <c r="AN1915" s="122"/>
      <c r="AO1915" s="122"/>
      <c r="AP1915" s="122"/>
    </row>
    <row r="1916" spans="2:42">
      <c r="B1916" s="122"/>
      <c r="C1916" s="122"/>
      <c r="D1916" s="122"/>
      <c r="E1916" s="122"/>
      <c r="F1916" s="122"/>
      <c r="G1916" s="122"/>
      <c r="H1916" s="122"/>
      <c r="I1916" s="275"/>
      <c r="J1916" s="130"/>
      <c r="K1916" s="130"/>
      <c r="L1916" s="130"/>
      <c r="M1916" s="130"/>
      <c r="N1916" s="291"/>
      <c r="O1916" s="291"/>
      <c r="P1916" s="122"/>
      <c r="Q1916" s="122"/>
      <c r="R1916" s="122"/>
      <c r="S1916" s="122"/>
      <c r="T1916" s="122"/>
      <c r="U1916" s="301"/>
      <c r="V1916" s="260">
        <f t="shared" ca="1" si="37"/>
        <v>0</v>
      </c>
      <c r="W1916" s="348" t="str">
        <f>IF(板块成分!B1918="","",板块成分!B1918)</f>
        <v>300458.SZ</v>
      </c>
      <c r="X1916" s="276" t="str">
        <f>[1]!S_Info_Name(W1916)</f>
        <v>全志科技</v>
      </c>
      <c r="Y1916" s="276" t="str">
        <f ca="1">IF($Y$3="申万一级行业",[1]!s_info_industry_sw_2021(W1916,公司分析!D$5,1),IF($Y$3="申万二级行业",[1]!s_info_industry_sw_2021(W1916,公司分析!D$5,2),IF($Y$3="申万三级行业",[1]!s_info_industry_sw_2021(W1916,公司分析!D$5,3),IF($Y$3="wind一级行业",[1]!s_info_industry_gics(W1916,1),IF($Y$3="wind二级行业",[1]!s_info_industry_gics(W1916,2),IF($Y$3="wind三级行业",[1]!s_info_industry_gics(W1916,3),IF($Y$3="wind四级行业",[1]!s_info_industry_gics(W1916,4),IF($Y$3="证监会门类行业",[1]!s_info_industry_csrc12_n(W1916,公司分析!D$5,1),""))))))))</f>
        <v>半导体</v>
      </c>
      <c r="Z1916" s="302" t="str">
        <f ca="1">IF(Y1916=行业比较!$E$6,ROW(),"")</f>
        <v/>
      </c>
      <c r="AA1916" s="122"/>
      <c r="AB1916" s="122"/>
      <c r="AC1916" s="122"/>
      <c r="AD1916" s="122"/>
      <c r="AE1916" s="122"/>
      <c r="AF1916" s="122"/>
      <c r="AG1916" s="122"/>
      <c r="AH1916" s="122"/>
      <c r="AI1916" s="122"/>
      <c r="AJ1916" s="122"/>
      <c r="AK1916" s="122"/>
      <c r="AL1916" s="122"/>
      <c r="AM1916" s="122"/>
      <c r="AN1916" s="122"/>
      <c r="AO1916" s="122"/>
      <c r="AP1916" s="122"/>
    </row>
    <row r="1917" spans="2:42">
      <c r="B1917" s="122"/>
      <c r="C1917" s="122"/>
      <c r="D1917" s="122"/>
      <c r="E1917" s="122"/>
      <c r="F1917" s="122"/>
      <c r="G1917" s="122"/>
      <c r="H1917" s="122"/>
      <c r="I1917" s="275"/>
      <c r="J1917" s="130"/>
      <c r="K1917" s="130"/>
      <c r="L1917" s="130"/>
      <c r="M1917" s="130"/>
      <c r="N1917" s="291"/>
      <c r="O1917" s="291"/>
      <c r="P1917" s="122"/>
      <c r="Q1917" s="122"/>
      <c r="R1917" s="122"/>
      <c r="S1917" s="122"/>
      <c r="T1917" s="122"/>
      <c r="U1917" s="301"/>
      <c r="V1917" s="260">
        <f t="shared" ca="1" si="37"/>
        <v>0</v>
      </c>
      <c r="W1917" s="348" t="str">
        <f>IF(板块成分!B1919="","",板块成分!B1919)</f>
        <v>300459.SZ</v>
      </c>
      <c r="X1917" s="276" t="str">
        <f>[1]!S_Info_Name(W1917)</f>
        <v>汤姆猫</v>
      </c>
      <c r="Y1917" s="276" t="str">
        <f ca="1">IF($Y$3="申万一级行业",[1]!s_info_industry_sw_2021(W1917,公司分析!D$5,1),IF($Y$3="申万二级行业",[1]!s_info_industry_sw_2021(W1917,公司分析!D$5,2),IF($Y$3="申万三级行业",[1]!s_info_industry_sw_2021(W1917,公司分析!D$5,3),IF($Y$3="wind一级行业",[1]!s_info_industry_gics(W1917,1),IF($Y$3="wind二级行业",[1]!s_info_industry_gics(W1917,2),IF($Y$3="wind三级行业",[1]!s_info_industry_gics(W1917,3),IF($Y$3="wind四级行业",[1]!s_info_industry_gics(W1917,4),IF($Y$3="证监会门类行业",[1]!s_info_industry_csrc12_n(W1917,公司分析!D$5,1),""))))))))</f>
        <v>游戏Ⅱ</v>
      </c>
      <c r="Z1917" s="302" t="str">
        <f ca="1">IF(Y1917=行业比较!$E$6,ROW(),"")</f>
        <v/>
      </c>
      <c r="AA1917" s="122"/>
      <c r="AB1917" s="122"/>
      <c r="AC1917" s="122"/>
      <c r="AD1917" s="122"/>
      <c r="AE1917" s="122"/>
      <c r="AF1917" s="122"/>
      <c r="AG1917" s="122"/>
      <c r="AH1917" s="122"/>
      <c r="AI1917" s="122"/>
      <c r="AJ1917" s="122"/>
      <c r="AK1917" s="122"/>
      <c r="AL1917" s="122"/>
      <c r="AM1917" s="122"/>
      <c r="AN1917" s="122"/>
      <c r="AO1917" s="122"/>
      <c r="AP1917" s="122"/>
    </row>
    <row r="1918" spans="2:42">
      <c r="B1918" s="122"/>
      <c r="C1918" s="122"/>
      <c r="D1918" s="122"/>
      <c r="E1918" s="122"/>
      <c r="F1918" s="122"/>
      <c r="G1918" s="122"/>
      <c r="H1918" s="122"/>
      <c r="I1918" s="275"/>
      <c r="J1918" s="130"/>
      <c r="K1918" s="130"/>
      <c r="L1918" s="130"/>
      <c r="M1918" s="130"/>
      <c r="N1918" s="291"/>
      <c r="O1918" s="291"/>
      <c r="P1918" s="122"/>
      <c r="Q1918" s="122"/>
      <c r="R1918" s="122"/>
      <c r="S1918" s="122"/>
      <c r="T1918" s="122"/>
      <c r="U1918" s="301"/>
      <c r="V1918" s="260">
        <f t="shared" ca="1" si="37"/>
        <v>0</v>
      </c>
      <c r="W1918" s="348" t="str">
        <f>IF(板块成分!B1920="","",板块成分!B1920)</f>
        <v>300460.SZ</v>
      </c>
      <c r="X1918" s="276" t="str">
        <f>[1]!S_Info_Name(W1918)</f>
        <v>ST惠伦</v>
      </c>
      <c r="Y1918" s="276" t="str">
        <f ca="1">IF($Y$3="申万一级行业",[1]!s_info_industry_sw_2021(W1918,公司分析!D$5,1),IF($Y$3="申万二级行业",[1]!s_info_industry_sw_2021(W1918,公司分析!D$5,2),IF($Y$3="申万三级行业",[1]!s_info_industry_sw_2021(W1918,公司分析!D$5,3),IF($Y$3="wind一级行业",[1]!s_info_industry_gics(W1918,1),IF($Y$3="wind二级行业",[1]!s_info_industry_gics(W1918,2),IF($Y$3="wind三级行业",[1]!s_info_industry_gics(W1918,3),IF($Y$3="wind四级行业",[1]!s_info_industry_gics(W1918,4),IF($Y$3="证监会门类行业",[1]!s_info_industry_csrc12_n(W1918,公司分析!D$5,1),""))))))))</f>
        <v>元件</v>
      </c>
      <c r="Z1918" s="302" t="str">
        <f ca="1">IF(Y1918=行业比较!$E$6,ROW(),"")</f>
        <v/>
      </c>
      <c r="AA1918" s="122"/>
      <c r="AB1918" s="122"/>
      <c r="AC1918" s="122"/>
      <c r="AD1918" s="122"/>
      <c r="AE1918" s="122"/>
      <c r="AF1918" s="122"/>
      <c r="AG1918" s="122"/>
      <c r="AH1918" s="122"/>
      <c r="AI1918" s="122"/>
      <c r="AJ1918" s="122"/>
      <c r="AK1918" s="122"/>
      <c r="AL1918" s="122"/>
      <c r="AM1918" s="122"/>
      <c r="AN1918" s="122"/>
      <c r="AO1918" s="122"/>
      <c r="AP1918" s="122"/>
    </row>
    <row r="1919" spans="2:42">
      <c r="B1919" s="122"/>
      <c r="C1919" s="122"/>
      <c r="D1919" s="122"/>
      <c r="E1919" s="122"/>
      <c r="F1919" s="122"/>
      <c r="G1919" s="122"/>
      <c r="H1919" s="122"/>
      <c r="I1919" s="275"/>
      <c r="J1919" s="130"/>
      <c r="K1919" s="130"/>
      <c r="L1919" s="130"/>
      <c r="M1919" s="130"/>
      <c r="N1919" s="291"/>
      <c r="O1919" s="291"/>
      <c r="P1919" s="122"/>
      <c r="Q1919" s="122"/>
      <c r="R1919" s="122"/>
      <c r="S1919" s="122"/>
      <c r="T1919" s="122"/>
      <c r="U1919" s="301"/>
      <c r="V1919" s="260">
        <f t="shared" ca="1" si="37"/>
        <v>0</v>
      </c>
      <c r="W1919" s="348" t="str">
        <f>IF(板块成分!B1921="","",板块成分!B1921)</f>
        <v>300461.SZ</v>
      </c>
      <c r="X1919" s="276" t="str">
        <f>[1]!S_Info_Name(W1919)</f>
        <v>田中精机</v>
      </c>
      <c r="Y1919" s="276" t="str">
        <f ca="1">IF($Y$3="申万一级行业",[1]!s_info_industry_sw_2021(W1919,公司分析!D$5,1),IF($Y$3="申万二级行业",[1]!s_info_industry_sw_2021(W1919,公司分析!D$5,2),IF($Y$3="申万三级行业",[1]!s_info_industry_sw_2021(W1919,公司分析!D$5,3),IF($Y$3="wind一级行业",[1]!s_info_industry_gics(W1919,1),IF($Y$3="wind二级行业",[1]!s_info_industry_gics(W1919,2),IF($Y$3="wind三级行业",[1]!s_info_industry_gics(W1919,3),IF($Y$3="wind四级行业",[1]!s_info_industry_gics(W1919,4),IF($Y$3="证监会门类行业",[1]!s_info_industry_csrc12_n(W1919,公司分析!D$5,1),""))))))))</f>
        <v>自动化设备</v>
      </c>
      <c r="Z1919" s="302" t="str">
        <f ca="1">IF(Y1919=行业比较!$E$6,ROW(),"")</f>
        <v/>
      </c>
      <c r="AA1919" s="122"/>
      <c r="AB1919" s="122"/>
      <c r="AC1919" s="122"/>
      <c r="AD1919" s="122"/>
      <c r="AE1919" s="122"/>
      <c r="AF1919" s="122"/>
      <c r="AG1919" s="122"/>
      <c r="AH1919" s="122"/>
      <c r="AI1919" s="122"/>
      <c r="AJ1919" s="122"/>
      <c r="AK1919" s="122"/>
      <c r="AL1919" s="122"/>
      <c r="AM1919" s="122"/>
      <c r="AN1919" s="122"/>
      <c r="AO1919" s="122"/>
      <c r="AP1919" s="122"/>
    </row>
    <row r="1920" spans="2:42">
      <c r="B1920" s="122"/>
      <c r="C1920" s="122"/>
      <c r="D1920" s="122"/>
      <c r="E1920" s="122"/>
      <c r="F1920" s="122"/>
      <c r="G1920" s="122"/>
      <c r="H1920" s="122"/>
      <c r="I1920" s="275"/>
      <c r="J1920" s="130"/>
      <c r="K1920" s="130"/>
      <c r="L1920" s="130"/>
      <c r="M1920" s="130"/>
      <c r="N1920" s="291"/>
      <c r="O1920" s="291"/>
      <c r="P1920" s="122"/>
      <c r="Q1920" s="122"/>
      <c r="R1920" s="122"/>
      <c r="S1920" s="122"/>
      <c r="T1920" s="122"/>
      <c r="U1920" s="301"/>
      <c r="V1920" s="260">
        <f t="shared" ca="1" si="37"/>
        <v>0</v>
      </c>
      <c r="W1920" s="348" t="str">
        <f>IF(板块成分!B1922="","",板块成分!B1922)</f>
        <v>300462.SZ</v>
      </c>
      <c r="X1920" s="276" t="str">
        <f>[1]!S_Info_Name(W1920)</f>
        <v>ST华铭</v>
      </c>
      <c r="Y1920" s="276" t="str">
        <f ca="1">IF($Y$3="申万一级行业",[1]!s_info_industry_sw_2021(W1920,公司分析!D$5,1),IF($Y$3="申万二级行业",[1]!s_info_industry_sw_2021(W1920,公司分析!D$5,2),IF($Y$3="申万三级行业",[1]!s_info_industry_sw_2021(W1920,公司分析!D$5,3),IF($Y$3="wind一级行业",[1]!s_info_industry_gics(W1920,1),IF($Y$3="wind二级行业",[1]!s_info_industry_gics(W1920,2),IF($Y$3="wind三级行业",[1]!s_info_industry_gics(W1920,3),IF($Y$3="wind四级行业",[1]!s_info_industry_gics(W1920,4),IF($Y$3="证监会门类行业",[1]!s_info_industry_csrc12_n(W1920,公司分析!D$5,1),""))))))))</f>
        <v>计算机设备</v>
      </c>
      <c r="Z1920" s="302" t="str">
        <f ca="1">IF(Y1920=行业比较!$E$6,ROW(),"")</f>
        <v/>
      </c>
      <c r="AA1920" s="122"/>
      <c r="AB1920" s="122"/>
      <c r="AC1920" s="122"/>
      <c r="AD1920" s="122"/>
      <c r="AE1920" s="122"/>
      <c r="AF1920" s="122"/>
      <c r="AG1920" s="122"/>
      <c r="AH1920" s="122"/>
      <c r="AI1920" s="122"/>
      <c r="AJ1920" s="122"/>
      <c r="AK1920" s="122"/>
      <c r="AL1920" s="122"/>
      <c r="AM1920" s="122"/>
      <c r="AN1920" s="122"/>
      <c r="AO1920" s="122"/>
      <c r="AP1920" s="122"/>
    </row>
    <row r="1921" spans="2:42">
      <c r="B1921" s="122"/>
      <c r="C1921" s="122"/>
      <c r="D1921" s="122"/>
      <c r="E1921" s="122"/>
      <c r="F1921" s="122"/>
      <c r="G1921" s="122"/>
      <c r="H1921" s="122"/>
      <c r="I1921" s="275"/>
      <c r="J1921" s="130"/>
      <c r="K1921" s="130"/>
      <c r="L1921" s="130"/>
      <c r="M1921" s="130"/>
      <c r="N1921" s="291"/>
      <c r="O1921" s="291"/>
      <c r="P1921" s="122"/>
      <c r="Q1921" s="122"/>
      <c r="R1921" s="122"/>
      <c r="S1921" s="122"/>
      <c r="T1921" s="122"/>
      <c r="U1921" s="301"/>
      <c r="V1921" s="260">
        <f t="shared" ca="1" si="37"/>
        <v>0</v>
      </c>
      <c r="W1921" s="348" t="str">
        <f>IF(板块成分!B1923="","",板块成分!B1923)</f>
        <v>300463.SZ</v>
      </c>
      <c r="X1921" s="276" t="str">
        <f>[1]!S_Info_Name(W1921)</f>
        <v>迈克生物</v>
      </c>
      <c r="Y1921" s="276" t="str">
        <f ca="1">IF($Y$3="申万一级行业",[1]!s_info_industry_sw_2021(W1921,公司分析!D$5,1),IF($Y$3="申万二级行业",[1]!s_info_industry_sw_2021(W1921,公司分析!D$5,2),IF($Y$3="申万三级行业",[1]!s_info_industry_sw_2021(W1921,公司分析!D$5,3),IF($Y$3="wind一级行业",[1]!s_info_industry_gics(W1921,1),IF($Y$3="wind二级行业",[1]!s_info_industry_gics(W1921,2),IF($Y$3="wind三级行业",[1]!s_info_industry_gics(W1921,3),IF($Y$3="wind四级行业",[1]!s_info_industry_gics(W1921,4),IF($Y$3="证监会门类行业",[1]!s_info_industry_csrc12_n(W1921,公司分析!D$5,1),""))))))))</f>
        <v>医疗器械</v>
      </c>
      <c r="Z1921" s="302" t="str">
        <f ca="1">IF(Y1921=行业比较!$E$6,ROW(),"")</f>
        <v/>
      </c>
      <c r="AA1921" s="122"/>
      <c r="AB1921" s="122"/>
      <c r="AC1921" s="122"/>
      <c r="AD1921" s="122"/>
      <c r="AE1921" s="122"/>
      <c r="AF1921" s="122"/>
      <c r="AG1921" s="122"/>
      <c r="AH1921" s="122"/>
      <c r="AI1921" s="122"/>
      <c r="AJ1921" s="122"/>
      <c r="AK1921" s="122"/>
      <c r="AL1921" s="122"/>
      <c r="AM1921" s="122"/>
      <c r="AN1921" s="122"/>
      <c r="AO1921" s="122"/>
      <c r="AP1921" s="122"/>
    </row>
    <row r="1922" spans="2:42">
      <c r="B1922" s="122"/>
      <c r="C1922" s="122"/>
      <c r="D1922" s="122"/>
      <c r="E1922" s="122"/>
      <c r="F1922" s="122"/>
      <c r="G1922" s="122"/>
      <c r="H1922" s="122"/>
      <c r="I1922" s="275"/>
      <c r="J1922" s="130"/>
      <c r="K1922" s="130"/>
      <c r="L1922" s="130"/>
      <c r="M1922" s="130"/>
      <c r="N1922" s="291"/>
      <c r="O1922" s="291"/>
      <c r="P1922" s="122"/>
      <c r="Q1922" s="122"/>
      <c r="R1922" s="122"/>
      <c r="S1922" s="122"/>
      <c r="T1922" s="122"/>
      <c r="U1922" s="301"/>
      <c r="V1922" s="260">
        <f t="shared" ca="1" si="37"/>
        <v>0</v>
      </c>
      <c r="W1922" s="348" t="str">
        <f>IF(板块成分!B1924="","",板块成分!B1924)</f>
        <v>300464.SZ</v>
      </c>
      <c r="X1922" s="276" t="str">
        <f>[1]!S_Info_Name(W1922)</f>
        <v>星徽股份</v>
      </c>
      <c r="Y1922" s="276" t="str">
        <f ca="1">IF($Y$3="申万一级行业",[1]!s_info_industry_sw_2021(W1922,公司分析!D$5,1),IF($Y$3="申万二级行业",[1]!s_info_industry_sw_2021(W1922,公司分析!D$5,2),IF($Y$3="申万三级行业",[1]!s_info_industry_sw_2021(W1922,公司分析!D$5,3),IF($Y$3="wind一级行业",[1]!s_info_industry_gics(W1922,1),IF($Y$3="wind二级行业",[1]!s_info_industry_gics(W1922,2),IF($Y$3="wind三级行业",[1]!s_info_industry_gics(W1922,3),IF($Y$3="wind四级行业",[1]!s_info_industry_gics(W1922,4),IF($Y$3="证监会门类行业",[1]!s_info_industry_csrc12_n(W1922,公司分析!D$5,1),""))))))))</f>
        <v>互联网电商</v>
      </c>
      <c r="Z1922" s="302" t="str">
        <f ca="1">IF(Y1922=行业比较!$E$6,ROW(),"")</f>
        <v/>
      </c>
      <c r="AA1922" s="122"/>
      <c r="AB1922" s="122"/>
      <c r="AC1922" s="122"/>
      <c r="AD1922" s="122"/>
      <c r="AE1922" s="122"/>
      <c r="AF1922" s="122"/>
      <c r="AG1922" s="122"/>
      <c r="AH1922" s="122"/>
      <c r="AI1922" s="122"/>
      <c r="AJ1922" s="122"/>
      <c r="AK1922" s="122"/>
      <c r="AL1922" s="122"/>
      <c r="AM1922" s="122"/>
      <c r="AN1922" s="122"/>
      <c r="AO1922" s="122"/>
      <c r="AP1922" s="122"/>
    </row>
    <row r="1923" spans="2:42">
      <c r="B1923" s="122"/>
      <c r="C1923" s="122"/>
      <c r="D1923" s="122"/>
      <c r="E1923" s="122"/>
      <c r="F1923" s="122"/>
      <c r="G1923" s="122"/>
      <c r="H1923" s="122"/>
      <c r="I1923" s="275"/>
      <c r="J1923" s="130"/>
      <c r="K1923" s="130"/>
      <c r="L1923" s="130"/>
      <c r="M1923" s="130"/>
      <c r="N1923" s="291"/>
      <c r="O1923" s="291"/>
      <c r="P1923" s="122"/>
      <c r="Q1923" s="122"/>
      <c r="R1923" s="122"/>
      <c r="S1923" s="122"/>
      <c r="T1923" s="122"/>
      <c r="U1923" s="301"/>
      <c r="V1923" s="260">
        <f t="shared" ca="1" si="37"/>
        <v>0</v>
      </c>
      <c r="W1923" s="348" t="str">
        <f>IF(板块成分!B1925="","",板块成分!B1925)</f>
        <v>300465.SZ</v>
      </c>
      <c r="X1923" s="276" t="str">
        <f>[1]!S_Info_Name(W1923)</f>
        <v>高伟达</v>
      </c>
      <c r="Y1923" s="276" t="str">
        <f ca="1">IF($Y$3="申万一级行业",[1]!s_info_industry_sw_2021(W1923,公司分析!D$5,1),IF($Y$3="申万二级行业",[1]!s_info_industry_sw_2021(W1923,公司分析!D$5,2),IF($Y$3="申万三级行业",[1]!s_info_industry_sw_2021(W1923,公司分析!D$5,3),IF($Y$3="wind一级行业",[1]!s_info_industry_gics(W1923,1),IF($Y$3="wind二级行业",[1]!s_info_industry_gics(W1923,2),IF($Y$3="wind三级行业",[1]!s_info_industry_gics(W1923,3),IF($Y$3="wind四级行业",[1]!s_info_industry_gics(W1923,4),IF($Y$3="证监会门类行业",[1]!s_info_industry_csrc12_n(W1923,公司分析!D$5,1),""))))))))</f>
        <v>软件开发</v>
      </c>
      <c r="Z1923" s="302" t="str">
        <f ca="1">IF(Y1923=行业比较!$E$6,ROW(),"")</f>
        <v/>
      </c>
      <c r="AA1923" s="122"/>
      <c r="AB1923" s="122"/>
      <c r="AC1923" s="122"/>
      <c r="AD1923" s="122"/>
      <c r="AE1923" s="122"/>
      <c r="AF1923" s="122"/>
      <c r="AG1923" s="122"/>
      <c r="AH1923" s="122"/>
      <c r="AI1923" s="122"/>
      <c r="AJ1923" s="122"/>
      <c r="AK1923" s="122"/>
      <c r="AL1923" s="122"/>
      <c r="AM1923" s="122"/>
      <c r="AN1923" s="122"/>
      <c r="AO1923" s="122"/>
      <c r="AP1923" s="122"/>
    </row>
    <row r="1924" spans="2:42">
      <c r="B1924" s="122"/>
      <c r="C1924" s="122"/>
      <c r="D1924" s="122"/>
      <c r="E1924" s="122"/>
      <c r="F1924" s="122"/>
      <c r="G1924" s="122"/>
      <c r="H1924" s="122"/>
      <c r="I1924" s="275"/>
      <c r="J1924" s="130"/>
      <c r="K1924" s="130"/>
      <c r="L1924" s="130"/>
      <c r="M1924" s="130"/>
      <c r="N1924" s="291"/>
      <c r="O1924" s="291"/>
      <c r="P1924" s="122"/>
      <c r="Q1924" s="122"/>
      <c r="R1924" s="122"/>
      <c r="S1924" s="122"/>
      <c r="T1924" s="122"/>
      <c r="U1924" s="301"/>
      <c r="V1924" s="260">
        <f t="shared" ca="1" si="37"/>
        <v>0</v>
      </c>
      <c r="W1924" s="348" t="str">
        <f>IF(板块成分!B1926="","",板块成分!B1926)</f>
        <v>300466.SZ</v>
      </c>
      <c r="X1924" s="276" t="str">
        <f>[1]!S_Info_Name(W1924)</f>
        <v>赛摩智能</v>
      </c>
      <c r="Y1924" s="276" t="str">
        <f ca="1">IF($Y$3="申万一级行业",[1]!s_info_industry_sw_2021(W1924,公司分析!D$5,1),IF($Y$3="申万二级行业",[1]!s_info_industry_sw_2021(W1924,公司分析!D$5,2),IF($Y$3="申万三级行业",[1]!s_info_industry_sw_2021(W1924,公司分析!D$5,3),IF($Y$3="wind一级行业",[1]!s_info_industry_gics(W1924,1),IF($Y$3="wind二级行业",[1]!s_info_industry_gics(W1924,2),IF($Y$3="wind三级行业",[1]!s_info_industry_gics(W1924,3),IF($Y$3="wind四级行业",[1]!s_info_industry_gics(W1924,4),IF($Y$3="证监会门类行业",[1]!s_info_industry_csrc12_n(W1924,公司分析!D$5,1),""))))))))</f>
        <v>通用设备</v>
      </c>
      <c r="Z1924" s="302" t="str">
        <f ca="1">IF(Y1924=行业比较!$E$6,ROW(),"")</f>
        <v/>
      </c>
      <c r="AA1924" s="122"/>
      <c r="AB1924" s="122"/>
      <c r="AC1924" s="122"/>
      <c r="AD1924" s="122"/>
      <c r="AE1924" s="122"/>
      <c r="AF1924" s="122"/>
      <c r="AG1924" s="122"/>
      <c r="AH1924" s="122"/>
      <c r="AI1924" s="122"/>
      <c r="AJ1924" s="122"/>
      <c r="AK1924" s="122"/>
      <c r="AL1924" s="122"/>
      <c r="AM1924" s="122"/>
      <c r="AN1924" s="122"/>
      <c r="AO1924" s="122"/>
      <c r="AP1924" s="122"/>
    </row>
    <row r="1925" spans="2:42">
      <c r="B1925" s="122"/>
      <c r="C1925" s="122"/>
      <c r="D1925" s="122"/>
      <c r="E1925" s="122"/>
      <c r="F1925" s="122"/>
      <c r="G1925" s="122"/>
      <c r="H1925" s="122"/>
      <c r="I1925" s="275"/>
      <c r="J1925" s="130"/>
      <c r="K1925" s="130"/>
      <c r="L1925" s="130"/>
      <c r="M1925" s="130"/>
      <c r="N1925" s="291"/>
      <c r="O1925" s="291"/>
      <c r="P1925" s="122"/>
      <c r="Q1925" s="122"/>
      <c r="R1925" s="122"/>
      <c r="S1925" s="122"/>
      <c r="T1925" s="122"/>
      <c r="U1925" s="301"/>
      <c r="V1925" s="260">
        <f t="shared" ref="V1925:V1988" ca="1" si="38">IF(Z1925="",0,RANK(Z1925,Z:Z,1))</f>
        <v>0</v>
      </c>
      <c r="W1925" s="348" t="str">
        <f>IF(板块成分!B1927="","",板块成分!B1927)</f>
        <v>300467.SZ</v>
      </c>
      <c r="X1925" s="276" t="str">
        <f>[1]!S_Info_Name(W1925)</f>
        <v>迅游科技</v>
      </c>
      <c r="Y1925" s="276" t="str">
        <f ca="1">IF($Y$3="申万一级行业",[1]!s_info_industry_sw_2021(W1925,公司分析!D$5,1),IF($Y$3="申万二级行业",[1]!s_info_industry_sw_2021(W1925,公司分析!D$5,2),IF($Y$3="申万三级行业",[1]!s_info_industry_sw_2021(W1925,公司分析!D$5,3),IF($Y$3="wind一级行业",[1]!s_info_industry_gics(W1925,1),IF($Y$3="wind二级行业",[1]!s_info_industry_gics(W1925,2),IF($Y$3="wind三级行业",[1]!s_info_industry_gics(W1925,3),IF($Y$3="wind四级行业",[1]!s_info_industry_gics(W1925,4),IF($Y$3="证监会门类行业",[1]!s_info_industry_csrc12_n(W1925,公司分析!D$5,1),""))))))))</f>
        <v>游戏Ⅱ</v>
      </c>
      <c r="Z1925" s="302" t="str">
        <f ca="1">IF(Y1925=行业比较!$E$6,ROW(),"")</f>
        <v/>
      </c>
      <c r="AA1925" s="122"/>
      <c r="AB1925" s="122"/>
      <c r="AC1925" s="122"/>
      <c r="AD1925" s="122"/>
      <c r="AE1925" s="122"/>
      <c r="AF1925" s="122"/>
      <c r="AG1925" s="122"/>
      <c r="AH1925" s="122"/>
      <c r="AI1925" s="122"/>
      <c r="AJ1925" s="122"/>
      <c r="AK1925" s="122"/>
      <c r="AL1925" s="122"/>
      <c r="AM1925" s="122"/>
      <c r="AN1925" s="122"/>
      <c r="AO1925" s="122"/>
      <c r="AP1925" s="122"/>
    </row>
    <row r="1926" spans="2:42">
      <c r="B1926" s="122"/>
      <c r="C1926" s="122"/>
      <c r="D1926" s="122"/>
      <c r="E1926" s="122"/>
      <c r="F1926" s="122"/>
      <c r="G1926" s="122"/>
      <c r="H1926" s="122"/>
      <c r="I1926" s="275"/>
      <c r="J1926" s="130"/>
      <c r="K1926" s="130"/>
      <c r="L1926" s="130"/>
      <c r="M1926" s="130"/>
      <c r="N1926" s="291"/>
      <c r="O1926" s="291"/>
      <c r="P1926" s="122"/>
      <c r="Q1926" s="122"/>
      <c r="R1926" s="122"/>
      <c r="S1926" s="122"/>
      <c r="T1926" s="122"/>
      <c r="U1926" s="301"/>
      <c r="V1926" s="260">
        <f t="shared" ca="1" si="38"/>
        <v>0</v>
      </c>
      <c r="W1926" s="348" t="str">
        <f>IF(板块成分!B1928="","",板块成分!B1928)</f>
        <v>300468.SZ</v>
      </c>
      <c r="X1926" s="276" t="str">
        <f>[1]!S_Info_Name(W1926)</f>
        <v>四方精创</v>
      </c>
      <c r="Y1926" s="276" t="str">
        <f ca="1">IF($Y$3="申万一级行业",[1]!s_info_industry_sw_2021(W1926,公司分析!D$5,1),IF($Y$3="申万二级行业",[1]!s_info_industry_sw_2021(W1926,公司分析!D$5,2),IF($Y$3="申万三级行业",[1]!s_info_industry_sw_2021(W1926,公司分析!D$5,3),IF($Y$3="wind一级行业",[1]!s_info_industry_gics(W1926,1),IF($Y$3="wind二级行业",[1]!s_info_industry_gics(W1926,2),IF($Y$3="wind三级行业",[1]!s_info_industry_gics(W1926,3),IF($Y$3="wind四级行业",[1]!s_info_industry_gics(W1926,4),IF($Y$3="证监会门类行业",[1]!s_info_industry_csrc12_n(W1926,公司分析!D$5,1),""))))))))</f>
        <v>软件开发</v>
      </c>
      <c r="Z1926" s="302" t="str">
        <f ca="1">IF(Y1926=行业比较!$E$6,ROW(),"")</f>
        <v/>
      </c>
      <c r="AA1926" s="122"/>
      <c r="AB1926" s="122"/>
      <c r="AC1926" s="122"/>
      <c r="AD1926" s="122"/>
      <c r="AE1926" s="122"/>
      <c r="AF1926" s="122"/>
      <c r="AG1926" s="122"/>
      <c r="AH1926" s="122"/>
      <c r="AI1926" s="122"/>
      <c r="AJ1926" s="122"/>
      <c r="AK1926" s="122"/>
      <c r="AL1926" s="122"/>
      <c r="AM1926" s="122"/>
      <c r="AN1926" s="122"/>
      <c r="AO1926" s="122"/>
      <c r="AP1926" s="122"/>
    </row>
    <row r="1927" spans="2:42">
      <c r="B1927" s="122"/>
      <c r="C1927" s="122"/>
      <c r="D1927" s="122"/>
      <c r="E1927" s="122"/>
      <c r="F1927" s="122"/>
      <c r="G1927" s="122"/>
      <c r="H1927" s="122"/>
      <c r="I1927" s="275"/>
      <c r="J1927" s="130"/>
      <c r="K1927" s="130"/>
      <c r="L1927" s="130"/>
      <c r="M1927" s="130"/>
      <c r="N1927" s="291"/>
      <c r="O1927" s="291"/>
      <c r="P1927" s="122"/>
      <c r="Q1927" s="122"/>
      <c r="R1927" s="122"/>
      <c r="S1927" s="122"/>
      <c r="T1927" s="122"/>
      <c r="U1927" s="301"/>
      <c r="V1927" s="260">
        <f t="shared" ca="1" si="38"/>
        <v>0</v>
      </c>
      <c r="W1927" s="348" t="str">
        <f>IF(板块成分!B1929="","",板块成分!B1929)</f>
        <v>300469.SZ</v>
      </c>
      <c r="X1927" s="276" t="str">
        <f>[1]!S_Info_Name(W1927)</f>
        <v>信息发展</v>
      </c>
      <c r="Y1927" s="276" t="str">
        <f ca="1">IF($Y$3="申万一级行业",[1]!s_info_industry_sw_2021(W1927,公司分析!D$5,1),IF($Y$3="申万二级行业",[1]!s_info_industry_sw_2021(W1927,公司分析!D$5,2),IF($Y$3="申万三级行业",[1]!s_info_industry_sw_2021(W1927,公司分析!D$5,3),IF($Y$3="wind一级行业",[1]!s_info_industry_gics(W1927,1),IF($Y$3="wind二级行业",[1]!s_info_industry_gics(W1927,2),IF($Y$3="wind三级行业",[1]!s_info_industry_gics(W1927,3),IF($Y$3="wind四级行业",[1]!s_info_industry_gics(W1927,4),IF($Y$3="证监会门类行业",[1]!s_info_industry_csrc12_n(W1927,公司分析!D$5,1),""))))))))</f>
        <v>软件开发</v>
      </c>
      <c r="Z1927" s="302" t="str">
        <f ca="1">IF(Y1927=行业比较!$E$6,ROW(),"")</f>
        <v/>
      </c>
      <c r="AA1927" s="122"/>
      <c r="AB1927" s="122"/>
      <c r="AC1927" s="122"/>
      <c r="AD1927" s="122"/>
      <c r="AE1927" s="122"/>
      <c r="AF1927" s="122"/>
      <c r="AG1927" s="122"/>
      <c r="AH1927" s="122"/>
      <c r="AI1927" s="122"/>
      <c r="AJ1927" s="122"/>
      <c r="AK1927" s="122"/>
      <c r="AL1927" s="122"/>
      <c r="AM1927" s="122"/>
      <c r="AN1927" s="122"/>
      <c r="AO1927" s="122"/>
      <c r="AP1927" s="122"/>
    </row>
    <row r="1928" spans="2:42">
      <c r="B1928" s="122"/>
      <c r="C1928" s="122"/>
      <c r="D1928" s="122"/>
      <c r="E1928" s="122"/>
      <c r="F1928" s="122"/>
      <c r="G1928" s="122"/>
      <c r="H1928" s="122"/>
      <c r="I1928" s="275"/>
      <c r="J1928" s="130"/>
      <c r="K1928" s="130"/>
      <c r="L1928" s="130"/>
      <c r="M1928" s="130"/>
      <c r="N1928" s="291"/>
      <c r="O1928" s="291"/>
      <c r="P1928" s="122"/>
      <c r="Q1928" s="122"/>
      <c r="R1928" s="122"/>
      <c r="S1928" s="122"/>
      <c r="T1928" s="122"/>
      <c r="U1928" s="301"/>
      <c r="V1928" s="260">
        <f t="shared" ca="1" si="38"/>
        <v>0</v>
      </c>
      <c r="W1928" s="348" t="str">
        <f>IF(板块成分!B1930="","",板块成分!B1930)</f>
        <v>300470.SZ</v>
      </c>
      <c r="X1928" s="276" t="str">
        <f>[1]!S_Info_Name(W1928)</f>
        <v>中密控股</v>
      </c>
      <c r="Y1928" s="276" t="str">
        <f ca="1">IF($Y$3="申万一级行业",[1]!s_info_industry_sw_2021(W1928,公司分析!D$5,1),IF($Y$3="申万二级行业",[1]!s_info_industry_sw_2021(W1928,公司分析!D$5,2),IF($Y$3="申万三级行业",[1]!s_info_industry_sw_2021(W1928,公司分析!D$5,3),IF($Y$3="wind一级行业",[1]!s_info_industry_gics(W1928,1),IF($Y$3="wind二级行业",[1]!s_info_industry_gics(W1928,2),IF($Y$3="wind三级行业",[1]!s_info_industry_gics(W1928,3),IF($Y$3="wind四级行业",[1]!s_info_industry_gics(W1928,4),IF($Y$3="证监会门类行业",[1]!s_info_industry_csrc12_n(W1928,公司分析!D$5,1),""))))))))</f>
        <v>通用设备</v>
      </c>
      <c r="Z1928" s="302" t="str">
        <f ca="1">IF(Y1928=行业比较!$E$6,ROW(),"")</f>
        <v/>
      </c>
      <c r="AA1928" s="122"/>
      <c r="AB1928" s="122"/>
      <c r="AC1928" s="122"/>
      <c r="AD1928" s="122"/>
      <c r="AE1928" s="122"/>
      <c r="AF1928" s="122"/>
      <c r="AG1928" s="122"/>
      <c r="AH1928" s="122"/>
      <c r="AI1928" s="122"/>
      <c r="AJ1928" s="122"/>
      <c r="AK1928" s="122"/>
      <c r="AL1928" s="122"/>
      <c r="AM1928" s="122"/>
      <c r="AN1928" s="122"/>
      <c r="AO1928" s="122"/>
      <c r="AP1928" s="122"/>
    </row>
    <row r="1929" spans="2:42">
      <c r="B1929" s="122"/>
      <c r="C1929" s="122"/>
      <c r="D1929" s="122"/>
      <c r="E1929" s="122"/>
      <c r="F1929" s="122"/>
      <c r="G1929" s="122"/>
      <c r="H1929" s="122"/>
      <c r="I1929" s="275"/>
      <c r="J1929" s="130"/>
      <c r="K1929" s="130"/>
      <c r="L1929" s="130"/>
      <c r="M1929" s="130"/>
      <c r="N1929" s="291"/>
      <c r="O1929" s="291"/>
      <c r="P1929" s="122"/>
      <c r="Q1929" s="122"/>
      <c r="R1929" s="122"/>
      <c r="S1929" s="122"/>
      <c r="T1929" s="122"/>
      <c r="U1929" s="301"/>
      <c r="V1929" s="260">
        <f t="shared" ca="1" si="38"/>
        <v>0</v>
      </c>
      <c r="W1929" s="348" t="str">
        <f>IF(板块成分!B1931="","",板块成分!B1931)</f>
        <v>300471.SZ</v>
      </c>
      <c r="X1929" s="276" t="str">
        <f>[1]!S_Info_Name(W1929)</f>
        <v>厚普股份</v>
      </c>
      <c r="Y1929" s="276" t="str">
        <f ca="1">IF($Y$3="申万一级行业",[1]!s_info_industry_sw_2021(W1929,公司分析!D$5,1),IF($Y$3="申万二级行业",[1]!s_info_industry_sw_2021(W1929,公司分析!D$5,2),IF($Y$3="申万三级行业",[1]!s_info_industry_sw_2021(W1929,公司分析!D$5,3),IF($Y$3="wind一级行业",[1]!s_info_industry_gics(W1929,1),IF($Y$3="wind二级行业",[1]!s_info_industry_gics(W1929,2),IF($Y$3="wind三级行业",[1]!s_info_industry_gics(W1929,3),IF($Y$3="wind四级行业",[1]!s_info_industry_gics(W1929,4),IF($Y$3="证监会门类行业",[1]!s_info_industry_csrc12_n(W1929,公司分析!D$5,1),""))))))))</f>
        <v>专用设备</v>
      </c>
      <c r="Z1929" s="302" t="str">
        <f ca="1">IF(Y1929=行业比较!$E$6,ROW(),"")</f>
        <v/>
      </c>
      <c r="AA1929" s="122"/>
      <c r="AB1929" s="122"/>
      <c r="AC1929" s="122"/>
      <c r="AD1929" s="122"/>
      <c r="AE1929" s="122"/>
      <c r="AF1929" s="122"/>
      <c r="AG1929" s="122"/>
      <c r="AH1929" s="122"/>
      <c r="AI1929" s="122"/>
      <c r="AJ1929" s="122"/>
      <c r="AK1929" s="122"/>
      <c r="AL1929" s="122"/>
      <c r="AM1929" s="122"/>
      <c r="AN1929" s="122"/>
      <c r="AO1929" s="122"/>
      <c r="AP1929" s="122"/>
    </row>
    <row r="1930" spans="2:42">
      <c r="B1930" s="122"/>
      <c r="C1930" s="122"/>
      <c r="D1930" s="122"/>
      <c r="E1930" s="122"/>
      <c r="F1930" s="122"/>
      <c r="G1930" s="122"/>
      <c r="H1930" s="122"/>
      <c r="I1930" s="275"/>
      <c r="J1930" s="130"/>
      <c r="K1930" s="130"/>
      <c r="L1930" s="130"/>
      <c r="M1930" s="130"/>
      <c r="N1930" s="291"/>
      <c r="O1930" s="291"/>
      <c r="P1930" s="122"/>
      <c r="Q1930" s="122"/>
      <c r="R1930" s="122"/>
      <c r="S1930" s="122"/>
      <c r="T1930" s="122"/>
      <c r="U1930" s="301"/>
      <c r="V1930" s="260">
        <f t="shared" ca="1" si="38"/>
        <v>0</v>
      </c>
      <c r="W1930" s="348" t="str">
        <f>IF(板块成分!B1932="","",板块成分!B1932)</f>
        <v>300472.SZ</v>
      </c>
      <c r="X1930" s="276" t="str">
        <f>[1]!S_Info_Name(W1930)</f>
        <v>*ST新元</v>
      </c>
      <c r="Y1930" s="276" t="str">
        <f ca="1">IF($Y$3="申万一级行业",[1]!s_info_industry_sw_2021(W1930,公司分析!D$5,1),IF($Y$3="申万二级行业",[1]!s_info_industry_sw_2021(W1930,公司分析!D$5,2),IF($Y$3="申万三级行业",[1]!s_info_industry_sw_2021(W1930,公司分析!D$5,3),IF($Y$3="wind一级行业",[1]!s_info_industry_gics(W1930,1),IF($Y$3="wind二级行业",[1]!s_info_industry_gics(W1930,2),IF($Y$3="wind三级行业",[1]!s_info_industry_gics(W1930,3),IF($Y$3="wind四级行业",[1]!s_info_industry_gics(W1930,4),IF($Y$3="证监会门类行业",[1]!s_info_industry_csrc12_n(W1930,公司分析!D$5,1),""))))))))</f>
        <v>专用设备</v>
      </c>
      <c r="Z1930" s="302" t="str">
        <f ca="1">IF(Y1930=行业比较!$E$6,ROW(),"")</f>
        <v/>
      </c>
      <c r="AA1930" s="122"/>
      <c r="AB1930" s="122"/>
      <c r="AC1930" s="122"/>
      <c r="AD1930" s="122"/>
      <c r="AE1930" s="122"/>
      <c r="AF1930" s="122"/>
      <c r="AG1930" s="122"/>
      <c r="AH1930" s="122"/>
      <c r="AI1930" s="122"/>
      <c r="AJ1930" s="122"/>
      <c r="AK1930" s="122"/>
      <c r="AL1930" s="122"/>
      <c r="AM1930" s="122"/>
      <c r="AN1930" s="122"/>
      <c r="AO1930" s="122"/>
      <c r="AP1930" s="122"/>
    </row>
    <row r="1931" spans="2:42">
      <c r="B1931" s="122"/>
      <c r="C1931" s="122"/>
      <c r="D1931" s="122"/>
      <c r="E1931" s="122"/>
      <c r="F1931" s="122"/>
      <c r="G1931" s="122"/>
      <c r="H1931" s="122"/>
      <c r="I1931" s="275"/>
      <c r="J1931" s="130"/>
      <c r="K1931" s="130"/>
      <c r="L1931" s="130"/>
      <c r="M1931" s="130"/>
      <c r="N1931" s="291"/>
      <c r="O1931" s="291"/>
      <c r="P1931" s="122"/>
      <c r="Q1931" s="122"/>
      <c r="R1931" s="122"/>
      <c r="S1931" s="122"/>
      <c r="T1931" s="122"/>
      <c r="U1931" s="301"/>
      <c r="V1931" s="260">
        <f t="shared" ca="1" si="38"/>
        <v>0</v>
      </c>
      <c r="W1931" s="348" t="str">
        <f>IF(板块成分!B1933="","",板块成分!B1933)</f>
        <v>300473.SZ</v>
      </c>
      <c r="X1931" s="276" t="str">
        <f>[1]!S_Info_Name(W1931)</f>
        <v>德尔股份</v>
      </c>
      <c r="Y1931" s="276" t="str">
        <f ca="1">IF($Y$3="申万一级行业",[1]!s_info_industry_sw_2021(W1931,公司分析!D$5,1),IF($Y$3="申万二级行业",[1]!s_info_industry_sw_2021(W1931,公司分析!D$5,2),IF($Y$3="申万三级行业",[1]!s_info_industry_sw_2021(W1931,公司分析!D$5,3),IF($Y$3="wind一级行业",[1]!s_info_industry_gics(W1931,1),IF($Y$3="wind二级行业",[1]!s_info_industry_gics(W1931,2),IF($Y$3="wind三级行业",[1]!s_info_industry_gics(W1931,3),IF($Y$3="wind四级行业",[1]!s_info_industry_gics(W1931,4),IF($Y$3="证监会门类行业",[1]!s_info_industry_csrc12_n(W1931,公司分析!D$5,1),""))))))))</f>
        <v>汽车零部件</v>
      </c>
      <c r="Z1931" s="302" t="str">
        <f ca="1">IF(Y1931=行业比较!$E$6,ROW(),"")</f>
        <v/>
      </c>
      <c r="AA1931" s="122"/>
      <c r="AB1931" s="122"/>
      <c r="AC1931" s="122"/>
      <c r="AD1931" s="122"/>
      <c r="AE1931" s="122"/>
      <c r="AF1931" s="122"/>
      <c r="AG1931" s="122"/>
      <c r="AH1931" s="122"/>
      <c r="AI1931" s="122"/>
      <c r="AJ1931" s="122"/>
      <c r="AK1931" s="122"/>
      <c r="AL1931" s="122"/>
      <c r="AM1931" s="122"/>
      <c r="AN1931" s="122"/>
      <c r="AO1931" s="122"/>
      <c r="AP1931" s="122"/>
    </row>
    <row r="1932" spans="2:42">
      <c r="B1932" s="122"/>
      <c r="C1932" s="122"/>
      <c r="D1932" s="122"/>
      <c r="E1932" s="122"/>
      <c r="F1932" s="122"/>
      <c r="G1932" s="122"/>
      <c r="H1932" s="122"/>
      <c r="I1932" s="275"/>
      <c r="J1932" s="130"/>
      <c r="K1932" s="130"/>
      <c r="L1932" s="130"/>
      <c r="M1932" s="130"/>
      <c r="N1932" s="291"/>
      <c r="O1932" s="291"/>
      <c r="P1932" s="122"/>
      <c r="Q1932" s="122"/>
      <c r="R1932" s="122"/>
      <c r="S1932" s="122"/>
      <c r="T1932" s="122"/>
      <c r="U1932" s="301"/>
      <c r="V1932" s="260">
        <f t="shared" ca="1" si="38"/>
        <v>0</v>
      </c>
      <c r="W1932" s="348" t="str">
        <f>IF(板块成分!B1934="","",板块成分!B1934)</f>
        <v>300474.SZ</v>
      </c>
      <c r="X1932" s="276" t="str">
        <f>[1]!S_Info_Name(W1932)</f>
        <v>景嘉微</v>
      </c>
      <c r="Y1932" s="276" t="str">
        <f ca="1">IF($Y$3="申万一级行业",[1]!s_info_industry_sw_2021(W1932,公司分析!D$5,1),IF($Y$3="申万二级行业",[1]!s_info_industry_sw_2021(W1932,公司分析!D$5,2),IF($Y$3="申万三级行业",[1]!s_info_industry_sw_2021(W1932,公司分析!D$5,3),IF($Y$3="wind一级行业",[1]!s_info_industry_gics(W1932,1),IF($Y$3="wind二级行业",[1]!s_info_industry_gics(W1932,2),IF($Y$3="wind三级行业",[1]!s_info_industry_gics(W1932,3),IF($Y$3="wind四级行业",[1]!s_info_industry_gics(W1932,4),IF($Y$3="证监会门类行业",[1]!s_info_industry_csrc12_n(W1932,公司分析!D$5,1),""))))))))</f>
        <v>军工电子Ⅱ</v>
      </c>
      <c r="Z1932" s="302" t="str">
        <f ca="1">IF(Y1932=行业比较!$E$6,ROW(),"")</f>
        <v/>
      </c>
      <c r="AA1932" s="122"/>
      <c r="AB1932" s="122"/>
      <c r="AC1932" s="122"/>
      <c r="AD1932" s="122"/>
      <c r="AE1932" s="122"/>
      <c r="AF1932" s="122"/>
      <c r="AG1932" s="122"/>
      <c r="AH1932" s="122"/>
      <c r="AI1932" s="122"/>
      <c r="AJ1932" s="122"/>
      <c r="AK1932" s="122"/>
      <c r="AL1932" s="122"/>
      <c r="AM1932" s="122"/>
      <c r="AN1932" s="122"/>
      <c r="AO1932" s="122"/>
      <c r="AP1932" s="122"/>
    </row>
    <row r="1933" spans="2:42">
      <c r="B1933" s="122"/>
      <c r="C1933" s="122"/>
      <c r="D1933" s="122"/>
      <c r="E1933" s="122"/>
      <c r="F1933" s="122"/>
      <c r="G1933" s="122"/>
      <c r="H1933" s="122"/>
      <c r="I1933" s="275"/>
      <c r="J1933" s="130"/>
      <c r="K1933" s="130"/>
      <c r="L1933" s="130"/>
      <c r="M1933" s="130"/>
      <c r="N1933" s="291"/>
      <c r="O1933" s="291"/>
      <c r="P1933" s="122"/>
      <c r="Q1933" s="122"/>
      <c r="R1933" s="122"/>
      <c r="S1933" s="122"/>
      <c r="T1933" s="122"/>
      <c r="U1933" s="301"/>
      <c r="V1933" s="260">
        <f t="shared" ca="1" si="38"/>
        <v>0</v>
      </c>
      <c r="W1933" s="348" t="str">
        <f>IF(板块成分!B1935="","",板块成分!B1935)</f>
        <v>300475.SZ</v>
      </c>
      <c r="X1933" s="276" t="str">
        <f>[1]!S_Info_Name(W1933)</f>
        <v>香农芯创</v>
      </c>
      <c r="Y1933" s="276" t="str">
        <f ca="1">IF($Y$3="申万一级行业",[1]!s_info_industry_sw_2021(W1933,公司分析!D$5,1),IF($Y$3="申万二级行业",[1]!s_info_industry_sw_2021(W1933,公司分析!D$5,2),IF($Y$3="申万三级行业",[1]!s_info_industry_sw_2021(W1933,公司分析!D$5,3),IF($Y$3="wind一级行业",[1]!s_info_industry_gics(W1933,1),IF($Y$3="wind二级行业",[1]!s_info_industry_gics(W1933,2),IF($Y$3="wind三级行业",[1]!s_info_industry_gics(W1933,3),IF($Y$3="wind四级行业",[1]!s_info_industry_gics(W1933,4),IF($Y$3="证监会门类行业",[1]!s_info_industry_csrc12_n(W1933,公司分析!D$5,1),""))))))))</f>
        <v>其他电子Ⅱ</v>
      </c>
      <c r="Z1933" s="302" t="str">
        <f ca="1">IF(Y1933=行业比较!$E$6,ROW(),"")</f>
        <v/>
      </c>
      <c r="AA1933" s="122"/>
      <c r="AB1933" s="122"/>
      <c r="AC1933" s="122"/>
      <c r="AD1933" s="122"/>
      <c r="AE1933" s="122"/>
      <c r="AF1933" s="122"/>
      <c r="AG1933" s="122"/>
      <c r="AH1933" s="122"/>
      <c r="AI1933" s="122"/>
      <c r="AJ1933" s="122"/>
      <c r="AK1933" s="122"/>
      <c r="AL1933" s="122"/>
      <c r="AM1933" s="122"/>
      <c r="AN1933" s="122"/>
      <c r="AO1933" s="122"/>
      <c r="AP1933" s="122"/>
    </row>
    <row r="1934" spans="2:42">
      <c r="B1934" s="122"/>
      <c r="C1934" s="122"/>
      <c r="D1934" s="122"/>
      <c r="E1934" s="122"/>
      <c r="F1934" s="122"/>
      <c r="G1934" s="122"/>
      <c r="H1934" s="122"/>
      <c r="I1934" s="275"/>
      <c r="J1934" s="130"/>
      <c r="K1934" s="130"/>
      <c r="L1934" s="130"/>
      <c r="M1934" s="130"/>
      <c r="N1934" s="291"/>
      <c r="O1934" s="291"/>
      <c r="P1934" s="122"/>
      <c r="Q1934" s="122"/>
      <c r="R1934" s="122"/>
      <c r="S1934" s="122"/>
      <c r="T1934" s="122"/>
      <c r="U1934" s="301"/>
      <c r="V1934" s="260">
        <f t="shared" ca="1" si="38"/>
        <v>0</v>
      </c>
      <c r="W1934" s="348" t="str">
        <f>IF(板块成分!B1936="","",板块成分!B1936)</f>
        <v>300476.SZ</v>
      </c>
      <c r="X1934" s="276" t="str">
        <f>[1]!S_Info_Name(W1934)</f>
        <v>胜宏科技</v>
      </c>
      <c r="Y1934" s="276" t="str">
        <f ca="1">IF($Y$3="申万一级行业",[1]!s_info_industry_sw_2021(W1934,公司分析!D$5,1),IF($Y$3="申万二级行业",[1]!s_info_industry_sw_2021(W1934,公司分析!D$5,2),IF($Y$3="申万三级行业",[1]!s_info_industry_sw_2021(W1934,公司分析!D$5,3),IF($Y$3="wind一级行业",[1]!s_info_industry_gics(W1934,1),IF($Y$3="wind二级行业",[1]!s_info_industry_gics(W1934,2),IF($Y$3="wind三级行业",[1]!s_info_industry_gics(W1934,3),IF($Y$3="wind四级行业",[1]!s_info_industry_gics(W1934,4),IF($Y$3="证监会门类行业",[1]!s_info_industry_csrc12_n(W1934,公司分析!D$5,1),""))))))))</f>
        <v>元件</v>
      </c>
      <c r="Z1934" s="302" t="str">
        <f ca="1">IF(Y1934=行业比较!$E$6,ROW(),"")</f>
        <v/>
      </c>
      <c r="AA1934" s="122"/>
      <c r="AB1934" s="122"/>
      <c r="AC1934" s="122"/>
      <c r="AD1934" s="122"/>
      <c r="AE1934" s="122"/>
      <c r="AF1934" s="122"/>
      <c r="AG1934" s="122"/>
      <c r="AH1934" s="122"/>
      <c r="AI1934" s="122"/>
      <c r="AJ1934" s="122"/>
      <c r="AK1934" s="122"/>
      <c r="AL1934" s="122"/>
      <c r="AM1934" s="122"/>
      <c r="AN1934" s="122"/>
      <c r="AO1934" s="122"/>
      <c r="AP1934" s="122"/>
    </row>
    <row r="1935" spans="2:42">
      <c r="B1935" s="122"/>
      <c r="C1935" s="122"/>
      <c r="D1935" s="122"/>
      <c r="E1935" s="122"/>
      <c r="F1935" s="122"/>
      <c r="G1935" s="122"/>
      <c r="H1935" s="122"/>
      <c r="I1935" s="275"/>
      <c r="J1935" s="130"/>
      <c r="K1935" s="130"/>
      <c r="L1935" s="130"/>
      <c r="M1935" s="130"/>
      <c r="N1935" s="291"/>
      <c r="O1935" s="291"/>
      <c r="P1935" s="122"/>
      <c r="Q1935" s="122"/>
      <c r="R1935" s="122"/>
      <c r="S1935" s="122"/>
      <c r="T1935" s="122"/>
      <c r="U1935" s="301"/>
      <c r="V1935" s="260">
        <f t="shared" ca="1" si="38"/>
        <v>0</v>
      </c>
      <c r="W1935" s="348" t="str">
        <f>IF(板块成分!B1937="","",板块成分!B1937)</f>
        <v>300477.SZ</v>
      </c>
      <c r="X1935" s="276" t="str">
        <f>[1]!S_Info_Name(W1935)</f>
        <v>ST合纵</v>
      </c>
      <c r="Y1935" s="276" t="str">
        <f ca="1">IF($Y$3="申万一级行业",[1]!s_info_industry_sw_2021(W1935,公司分析!D$5,1),IF($Y$3="申万二级行业",[1]!s_info_industry_sw_2021(W1935,公司分析!D$5,2),IF($Y$3="申万三级行业",[1]!s_info_industry_sw_2021(W1935,公司分析!D$5,3),IF($Y$3="wind一级行业",[1]!s_info_industry_gics(W1935,1),IF($Y$3="wind二级行业",[1]!s_info_industry_gics(W1935,2),IF($Y$3="wind三级行业",[1]!s_info_industry_gics(W1935,3),IF($Y$3="wind四级行业",[1]!s_info_industry_gics(W1935,4),IF($Y$3="证监会门类行业",[1]!s_info_industry_csrc12_n(W1935,公司分析!D$5,1),""))))))))</f>
        <v>电池</v>
      </c>
      <c r="Z1935" s="302" t="str">
        <f ca="1">IF(Y1935=行业比较!$E$6,ROW(),"")</f>
        <v/>
      </c>
      <c r="AA1935" s="122"/>
      <c r="AB1935" s="122"/>
      <c r="AC1935" s="122"/>
      <c r="AD1935" s="122"/>
      <c r="AE1935" s="122"/>
      <c r="AF1935" s="122"/>
      <c r="AG1935" s="122"/>
      <c r="AH1935" s="122"/>
      <c r="AI1935" s="122"/>
      <c r="AJ1935" s="122"/>
      <c r="AK1935" s="122"/>
      <c r="AL1935" s="122"/>
      <c r="AM1935" s="122"/>
      <c r="AN1935" s="122"/>
      <c r="AO1935" s="122"/>
      <c r="AP1935" s="122"/>
    </row>
    <row r="1936" spans="2:42">
      <c r="B1936" s="122"/>
      <c r="C1936" s="122"/>
      <c r="D1936" s="122"/>
      <c r="E1936" s="122"/>
      <c r="F1936" s="122"/>
      <c r="G1936" s="122"/>
      <c r="H1936" s="122"/>
      <c r="I1936" s="275"/>
      <c r="J1936" s="130"/>
      <c r="K1936" s="130"/>
      <c r="L1936" s="130"/>
      <c r="M1936" s="130"/>
      <c r="N1936" s="291"/>
      <c r="O1936" s="291"/>
      <c r="P1936" s="122"/>
      <c r="Q1936" s="122"/>
      <c r="R1936" s="122"/>
      <c r="S1936" s="122"/>
      <c r="T1936" s="122"/>
      <c r="U1936" s="301"/>
      <c r="V1936" s="260">
        <f t="shared" ca="1" si="38"/>
        <v>0</v>
      </c>
      <c r="W1936" s="348" t="str">
        <f>IF(板块成分!B1938="","",板块成分!B1938)</f>
        <v>300478.SZ</v>
      </c>
      <c r="X1936" s="276" t="str">
        <f>[1]!S_Info_Name(W1936)</f>
        <v>杭州高新</v>
      </c>
      <c r="Y1936" s="276" t="str">
        <f ca="1">IF($Y$3="申万一级行业",[1]!s_info_industry_sw_2021(W1936,公司分析!D$5,1),IF($Y$3="申万二级行业",[1]!s_info_industry_sw_2021(W1936,公司分析!D$5,2),IF($Y$3="申万三级行业",[1]!s_info_industry_sw_2021(W1936,公司分析!D$5,3),IF($Y$3="wind一级行业",[1]!s_info_industry_gics(W1936,1),IF($Y$3="wind二级行业",[1]!s_info_industry_gics(W1936,2),IF($Y$3="wind三级行业",[1]!s_info_industry_gics(W1936,3),IF($Y$3="wind四级行业",[1]!s_info_industry_gics(W1936,4),IF($Y$3="证监会门类行业",[1]!s_info_industry_csrc12_n(W1936,公司分析!D$5,1),""))))))))</f>
        <v>塑料</v>
      </c>
      <c r="Z1936" s="302" t="str">
        <f ca="1">IF(Y1936=行业比较!$E$6,ROW(),"")</f>
        <v/>
      </c>
      <c r="AA1936" s="122"/>
      <c r="AB1936" s="122"/>
      <c r="AC1936" s="122"/>
      <c r="AD1936" s="122"/>
      <c r="AE1936" s="122"/>
      <c r="AF1936" s="122"/>
      <c r="AG1936" s="122"/>
      <c r="AH1936" s="122"/>
      <c r="AI1936" s="122"/>
      <c r="AJ1936" s="122"/>
      <c r="AK1936" s="122"/>
      <c r="AL1936" s="122"/>
      <c r="AM1936" s="122"/>
      <c r="AN1936" s="122"/>
      <c r="AO1936" s="122"/>
      <c r="AP1936" s="122"/>
    </row>
    <row r="1937" spans="2:42">
      <c r="B1937" s="122"/>
      <c r="C1937" s="122"/>
      <c r="D1937" s="122"/>
      <c r="E1937" s="122"/>
      <c r="F1937" s="122"/>
      <c r="G1937" s="122"/>
      <c r="H1937" s="122"/>
      <c r="I1937" s="275"/>
      <c r="J1937" s="130"/>
      <c r="K1937" s="130"/>
      <c r="L1937" s="130"/>
      <c r="M1937" s="130"/>
      <c r="N1937" s="291"/>
      <c r="O1937" s="291"/>
      <c r="P1937" s="122"/>
      <c r="Q1937" s="122"/>
      <c r="R1937" s="122"/>
      <c r="S1937" s="122"/>
      <c r="T1937" s="122"/>
      <c r="U1937" s="301"/>
      <c r="V1937" s="260">
        <f t="shared" ca="1" si="38"/>
        <v>0</v>
      </c>
      <c r="W1937" s="348" t="str">
        <f>IF(板块成分!B1939="","",板块成分!B1939)</f>
        <v>300479.SZ</v>
      </c>
      <c r="X1937" s="276" t="str">
        <f>[1]!S_Info_Name(W1937)</f>
        <v>神思电子</v>
      </c>
      <c r="Y1937" s="276" t="str">
        <f ca="1">IF($Y$3="申万一级行业",[1]!s_info_industry_sw_2021(W1937,公司分析!D$5,1),IF($Y$3="申万二级行业",[1]!s_info_industry_sw_2021(W1937,公司分析!D$5,2),IF($Y$3="申万三级行业",[1]!s_info_industry_sw_2021(W1937,公司分析!D$5,3),IF($Y$3="wind一级行业",[1]!s_info_industry_gics(W1937,1),IF($Y$3="wind二级行业",[1]!s_info_industry_gics(W1937,2),IF($Y$3="wind三级行业",[1]!s_info_industry_gics(W1937,3),IF($Y$3="wind四级行业",[1]!s_info_industry_gics(W1937,4),IF($Y$3="证监会门类行业",[1]!s_info_industry_csrc12_n(W1937,公司分析!D$5,1),""))))))))</f>
        <v>计算机设备</v>
      </c>
      <c r="Z1937" s="302" t="str">
        <f ca="1">IF(Y1937=行业比较!$E$6,ROW(),"")</f>
        <v/>
      </c>
      <c r="AA1937" s="122"/>
      <c r="AB1937" s="122"/>
      <c r="AC1937" s="122"/>
      <c r="AD1937" s="122"/>
      <c r="AE1937" s="122"/>
      <c r="AF1937" s="122"/>
      <c r="AG1937" s="122"/>
      <c r="AH1937" s="122"/>
      <c r="AI1937" s="122"/>
      <c r="AJ1937" s="122"/>
      <c r="AK1937" s="122"/>
      <c r="AL1937" s="122"/>
      <c r="AM1937" s="122"/>
      <c r="AN1937" s="122"/>
      <c r="AO1937" s="122"/>
      <c r="AP1937" s="122"/>
    </row>
    <row r="1938" spans="2:42">
      <c r="B1938" s="122"/>
      <c r="C1938" s="122"/>
      <c r="D1938" s="122"/>
      <c r="E1938" s="122"/>
      <c r="F1938" s="122"/>
      <c r="G1938" s="122"/>
      <c r="H1938" s="122"/>
      <c r="I1938" s="275"/>
      <c r="J1938" s="130"/>
      <c r="K1938" s="130"/>
      <c r="L1938" s="130"/>
      <c r="M1938" s="130"/>
      <c r="N1938" s="291"/>
      <c r="O1938" s="291"/>
      <c r="P1938" s="122"/>
      <c r="Q1938" s="122"/>
      <c r="R1938" s="122"/>
      <c r="S1938" s="122"/>
      <c r="T1938" s="122"/>
      <c r="U1938" s="301"/>
      <c r="V1938" s="260">
        <f t="shared" ca="1" si="38"/>
        <v>0</v>
      </c>
      <c r="W1938" s="348" t="str">
        <f>IF(板块成分!B1940="","",板块成分!B1940)</f>
        <v>300480.SZ</v>
      </c>
      <c r="X1938" s="276" t="str">
        <f>[1]!S_Info_Name(W1938)</f>
        <v>光力科技</v>
      </c>
      <c r="Y1938" s="276" t="str">
        <f ca="1">IF($Y$3="申万一级行业",[1]!s_info_industry_sw_2021(W1938,公司分析!D$5,1),IF($Y$3="申万二级行业",[1]!s_info_industry_sw_2021(W1938,公司分析!D$5,2),IF($Y$3="申万三级行业",[1]!s_info_industry_sw_2021(W1938,公司分析!D$5,3),IF($Y$3="wind一级行业",[1]!s_info_industry_gics(W1938,1),IF($Y$3="wind二级行业",[1]!s_info_industry_gics(W1938,2),IF($Y$3="wind三级行业",[1]!s_info_industry_gics(W1938,3),IF($Y$3="wind四级行业",[1]!s_info_industry_gics(W1938,4),IF($Y$3="证监会门类行业",[1]!s_info_industry_csrc12_n(W1938,公司分析!D$5,1),""))))))))</f>
        <v>专用设备</v>
      </c>
      <c r="Z1938" s="302" t="str">
        <f ca="1">IF(Y1938=行业比较!$E$6,ROW(),"")</f>
        <v/>
      </c>
      <c r="AA1938" s="122"/>
      <c r="AB1938" s="122"/>
      <c r="AC1938" s="122"/>
      <c r="AD1938" s="122"/>
      <c r="AE1938" s="122"/>
      <c r="AF1938" s="122"/>
      <c r="AG1938" s="122"/>
      <c r="AH1938" s="122"/>
      <c r="AI1938" s="122"/>
      <c r="AJ1938" s="122"/>
      <c r="AK1938" s="122"/>
      <c r="AL1938" s="122"/>
      <c r="AM1938" s="122"/>
      <c r="AN1938" s="122"/>
      <c r="AO1938" s="122"/>
      <c r="AP1938" s="122"/>
    </row>
    <row r="1939" spans="2:42">
      <c r="B1939" s="122"/>
      <c r="C1939" s="122"/>
      <c r="D1939" s="122"/>
      <c r="E1939" s="122"/>
      <c r="F1939" s="122"/>
      <c r="G1939" s="122"/>
      <c r="H1939" s="122"/>
      <c r="I1939" s="275"/>
      <c r="J1939" s="130"/>
      <c r="K1939" s="130"/>
      <c r="L1939" s="130"/>
      <c r="M1939" s="130"/>
      <c r="N1939" s="291"/>
      <c r="O1939" s="291"/>
      <c r="P1939" s="122"/>
      <c r="Q1939" s="122"/>
      <c r="R1939" s="122"/>
      <c r="S1939" s="122"/>
      <c r="T1939" s="122"/>
      <c r="U1939" s="301"/>
      <c r="V1939" s="260">
        <f t="shared" ca="1" si="38"/>
        <v>0</v>
      </c>
      <c r="W1939" s="348" t="str">
        <f>IF(板块成分!B1941="","",板块成分!B1941)</f>
        <v>300481.SZ</v>
      </c>
      <c r="X1939" s="276" t="str">
        <f>[1]!S_Info_Name(W1939)</f>
        <v>濮阳惠成</v>
      </c>
      <c r="Y1939" s="276" t="str">
        <f ca="1">IF($Y$3="申万一级行业",[1]!s_info_industry_sw_2021(W1939,公司分析!D$5,1),IF($Y$3="申万二级行业",[1]!s_info_industry_sw_2021(W1939,公司分析!D$5,2),IF($Y$3="申万三级行业",[1]!s_info_industry_sw_2021(W1939,公司分析!D$5,3),IF($Y$3="wind一级行业",[1]!s_info_industry_gics(W1939,1),IF($Y$3="wind二级行业",[1]!s_info_industry_gics(W1939,2),IF($Y$3="wind三级行业",[1]!s_info_industry_gics(W1939,3),IF($Y$3="wind四级行业",[1]!s_info_industry_gics(W1939,4),IF($Y$3="证监会门类行业",[1]!s_info_industry_csrc12_n(W1939,公司分析!D$5,1),""))))))))</f>
        <v>电子化学品Ⅱ</v>
      </c>
      <c r="Z1939" s="302" t="str">
        <f ca="1">IF(Y1939=行业比较!$E$6,ROW(),"")</f>
        <v/>
      </c>
      <c r="AA1939" s="122"/>
      <c r="AB1939" s="122"/>
      <c r="AC1939" s="122"/>
      <c r="AD1939" s="122"/>
      <c r="AE1939" s="122"/>
      <c r="AF1939" s="122"/>
      <c r="AG1939" s="122"/>
      <c r="AH1939" s="122"/>
      <c r="AI1939" s="122"/>
      <c r="AJ1939" s="122"/>
      <c r="AK1939" s="122"/>
      <c r="AL1939" s="122"/>
      <c r="AM1939" s="122"/>
      <c r="AN1939" s="122"/>
      <c r="AO1939" s="122"/>
      <c r="AP1939" s="122"/>
    </row>
    <row r="1940" spans="2:42">
      <c r="B1940" s="122"/>
      <c r="C1940" s="122"/>
      <c r="D1940" s="122"/>
      <c r="E1940" s="122"/>
      <c r="F1940" s="122"/>
      <c r="G1940" s="122"/>
      <c r="H1940" s="122"/>
      <c r="I1940" s="275"/>
      <c r="J1940" s="130"/>
      <c r="K1940" s="130"/>
      <c r="L1940" s="130"/>
      <c r="M1940" s="130"/>
      <c r="N1940" s="291"/>
      <c r="O1940" s="291"/>
      <c r="P1940" s="122"/>
      <c r="Q1940" s="122"/>
      <c r="R1940" s="122"/>
      <c r="S1940" s="122"/>
      <c r="T1940" s="122"/>
      <c r="U1940" s="301"/>
      <c r="V1940" s="260">
        <f t="shared" ca="1" si="38"/>
        <v>0</v>
      </c>
      <c r="W1940" s="348" t="str">
        <f>IF(板块成分!B1942="","",板块成分!B1942)</f>
        <v>300482.SZ</v>
      </c>
      <c r="X1940" s="276" t="str">
        <f>[1]!S_Info_Name(W1940)</f>
        <v>万孚生物</v>
      </c>
      <c r="Y1940" s="276" t="str">
        <f ca="1">IF($Y$3="申万一级行业",[1]!s_info_industry_sw_2021(W1940,公司分析!D$5,1),IF($Y$3="申万二级行业",[1]!s_info_industry_sw_2021(W1940,公司分析!D$5,2),IF($Y$3="申万三级行业",[1]!s_info_industry_sw_2021(W1940,公司分析!D$5,3),IF($Y$3="wind一级行业",[1]!s_info_industry_gics(W1940,1),IF($Y$3="wind二级行业",[1]!s_info_industry_gics(W1940,2),IF($Y$3="wind三级行业",[1]!s_info_industry_gics(W1940,3),IF($Y$3="wind四级行业",[1]!s_info_industry_gics(W1940,4),IF($Y$3="证监会门类行业",[1]!s_info_industry_csrc12_n(W1940,公司分析!D$5,1),""))))))))</f>
        <v>医疗器械</v>
      </c>
      <c r="Z1940" s="302" t="str">
        <f ca="1">IF(Y1940=行业比较!$E$6,ROW(),"")</f>
        <v/>
      </c>
      <c r="AA1940" s="122"/>
      <c r="AB1940" s="122"/>
      <c r="AC1940" s="122"/>
      <c r="AD1940" s="122"/>
      <c r="AE1940" s="122"/>
      <c r="AF1940" s="122"/>
      <c r="AG1940" s="122"/>
      <c r="AH1940" s="122"/>
      <c r="AI1940" s="122"/>
      <c r="AJ1940" s="122"/>
      <c r="AK1940" s="122"/>
      <c r="AL1940" s="122"/>
      <c r="AM1940" s="122"/>
      <c r="AN1940" s="122"/>
      <c r="AO1940" s="122"/>
      <c r="AP1940" s="122"/>
    </row>
    <row r="1941" spans="2:42">
      <c r="B1941" s="122"/>
      <c r="C1941" s="122"/>
      <c r="D1941" s="122"/>
      <c r="E1941" s="122"/>
      <c r="F1941" s="122"/>
      <c r="G1941" s="122"/>
      <c r="H1941" s="122"/>
      <c r="I1941" s="275"/>
      <c r="J1941" s="130"/>
      <c r="K1941" s="130"/>
      <c r="L1941" s="130"/>
      <c r="M1941" s="130"/>
      <c r="N1941" s="291"/>
      <c r="O1941" s="291"/>
      <c r="P1941" s="122"/>
      <c r="Q1941" s="122"/>
      <c r="R1941" s="122"/>
      <c r="S1941" s="122"/>
      <c r="T1941" s="122"/>
      <c r="U1941" s="301"/>
      <c r="V1941" s="260">
        <f t="shared" ca="1" si="38"/>
        <v>0</v>
      </c>
      <c r="W1941" s="348" t="str">
        <f>IF(板块成分!B1943="","",板块成分!B1943)</f>
        <v>300483.SZ</v>
      </c>
      <c r="X1941" s="276" t="str">
        <f>[1]!S_Info_Name(W1941)</f>
        <v>首华燃气</v>
      </c>
      <c r="Y1941" s="276" t="str">
        <f ca="1">IF($Y$3="申万一级行业",[1]!s_info_industry_sw_2021(W1941,公司分析!D$5,1),IF($Y$3="申万二级行业",[1]!s_info_industry_sw_2021(W1941,公司分析!D$5,2),IF($Y$3="申万三级行业",[1]!s_info_industry_sw_2021(W1941,公司分析!D$5,3),IF($Y$3="wind一级行业",[1]!s_info_industry_gics(W1941,1),IF($Y$3="wind二级行业",[1]!s_info_industry_gics(W1941,2),IF($Y$3="wind三级行业",[1]!s_info_industry_gics(W1941,3),IF($Y$3="wind四级行业",[1]!s_info_industry_gics(W1941,4),IF($Y$3="证监会门类行业",[1]!s_info_industry_csrc12_n(W1941,公司分析!D$5,1),""))))))))</f>
        <v>燃气Ⅱ</v>
      </c>
      <c r="Z1941" s="302" t="str">
        <f ca="1">IF(Y1941=行业比较!$E$6,ROW(),"")</f>
        <v/>
      </c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</row>
    <row r="1942" spans="2:42">
      <c r="B1942" s="122"/>
      <c r="C1942" s="122"/>
      <c r="D1942" s="122"/>
      <c r="E1942" s="122"/>
      <c r="F1942" s="122"/>
      <c r="G1942" s="122"/>
      <c r="H1942" s="122"/>
      <c r="I1942" s="275"/>
      <c r="J1942" s="130"/>
      <c r="K1942" s="130"/>
      <c r="L1942" s="130"/>
      <c r="M1942" s="130"/>
      <c r="N1942" s="291"/>
      <c r="O1942" s="291"/>
      <c r="P1942" s="122"/>
      <c r="Q1942" s="122"/>
      <c r="R1942" s="122"/>
      <c r="S1942" s="122"/>
      <c r="T1942" s="122"/>
      <c r="U1942" s="301"/>
      <c r="V1942" s="260">
        <f t="shared" ca="1" si="38"/>
        <v>0</v>
      </c>
      <c r="W1942" s="348" t="str">
        <f>IF(板块成分!B1944="","",板块成分!B1944)</f>
        <v>300484.SZ</v>
      </c>
      <c r="X1942" s="276" t="str">
        <f>[1]!S_Info_Name(W1942)</f>
        <v>蓝海华腾</v>
      </c>
      <c r="Y1942" s="276" t="str">
        <f ca="1">IF($Y$3="申万一级行业",[1]!s_info_industry_sw_2021(W1942,公司分析!D$5,1),IF($Y$3="申万二级行业",[1]!s_info_industry_sw_2021(W1942,公司分析!D$5,2),IF($Y$3="申万三级行业",[1]!s_info_industry_sw_2021(W1942,公司分析!D$5,3),IF($Y$3="wind一级行业",[1]!s_info_industry_gics(W1942,1),IF($Y$3="wind二级行业",[1]!s_info_industry_gics(W1942,2),IF($Y$3="wind三级行业",[1]!s_info_industry_gics(W1942,3),IF($Y$3="wind四级行业",[1]!s_info_industry_gics(W1942,4),IF($Y$3="证监会门类行业",[1]!s_info_industry_csrc12_n(W1942,公司分析!D$5,1),""))))))))</f>
        <v>自动化设备</v>
      </c>
      <c r="Z1942" s="302" t="str">
        <f ca="1">IF(Y1942=行业比较!$E$6,ROW(),"")</f>
        <v/>
      </c>
      <c r="AA1942" s="122"/>
      <c r="AB1942" s="122"/>
      <c r="AC1942" s="122"/>
      <c r="AD1942" s="122"/>
      <c r="AE1942" s="122"/>
      <c r="AF1942" s="122"/>
      <c r="AG1942" s="122"/>
      <c r="AH1942" s="122"/>
      <c r="AI1942" s="122"/>
      <c r="AJ1942" s="122"/>
      <c r="AK1942" s="122"/>
      <c r="AL1942" s="122"/>
      <c r="AM1942" s="122"/>
      <c r="AN1942" s="122"/>
      <c r="AO1942" s="122"/>
      <c r="AP1942" s="122"/>
    </row>
    <row r="1943" spans="2:42">
      <c r="B1943" s="122"/>
      <c r="C1943" s="122"/>
      <c r="D1943" s="122"/>
      <c r="E1943" s="122"/>
      <c r="F1943" s="122"/>
      <c r="G1943" s="122"/>
      <c r="H1943" s="122"/>
      <c r="I1943" s="275"/>
      <c r="J1943" s="130"/>
      <c r="K1943" s="130"/>
      <c r="L1943" s="130"/>
      <c r="M1943" s="130"/>
      <c r="N1943" s="291"/>
      <c r="O1943" s="291"/>
      <c r="P1943" s="122"/>
      <c r="Q1943" s="122"/>
      <c r="R1943" s="122"/>
      <c r="S1943" s="122"/>
      <c r="T1943" s="122"/>
      <c r="U1943" s="301"/>
      <c r="V1943" s="260">
        <f t="shared" ca="1" si="38"/>
        <v>0</v>
      </c>
      <c r="W1943" s="348" t="str">
        <f>IF(板块成分!B1945="","",板块成分!B1945)</f>
        <v>300485.SZ</v>
      </c>
      <c r="X1943" s="276" t="str">
        <f>[1]!S_Info_Name(W1943)</f>
        <v>赛升药业</v>
      </c>
      <c r="Y1943" s="276" t="str">
        <f ca="1">IF($Y$3="申万一级行业",[1]!s_info_industry_sw_2021(W1943,公司分析!D$5,1),IF($Y$3="申万二级行业",[1]!s_info_industry_sw_2021(W1943,公司分析!D$5,2),IF($Y$3="申万三级行业",[1]!s_info_industry_sw_2021(W1943,公司分析!D$5,3),IF($Y$3="wind一级行业",[1]!s_info_industry_gics(W1943,1),IF($Y$3="wind二级行业",[1]!s_info_industry_gics(W1943,2),IF($Y$3="wind三级行业",[1]!s_info_industry_gics(W1943,3),IF($Y$3="wind四级行业",[1]!s_info_industry_gics(W1943,4),IF($Y$3="证监会门类行业",[1]!s_info_industry_csrc12_n(W1943,公司分析!D$5,1),""))))))))</f>
        <v>生物制品</v>
      </c>
      <c r="Z1943" s="302" t="str">
        <f ca="1">IF(Y1943=行业比较!$E$6,ROW(),"")</f>
        <v/>
      </c>
      <c r="AA1943" s="122"/>
      <c r="AB1943" s="122"/>
      <c r="AC1943" s="122"/>
      <c r="AD1943" s="122"/>
      <c r="AE1943" s="122"/>
      <c r="AF1943" s="122"/>
      <c r="AG1943" s="122"/>
      <c r="AH1943" s="122"/>
      <c r="AI1943" s="122"/>
      <c r="AJ1943" s="122"/>
      <c r="AK1943" s="122"/>
      <c r="AL1943" s="122"/>
      <c r="AM1943" s="122"/>
      <c r="AN1943" s="122"/>
      <c r="AO1943" s="122"/>
      <c r="AP1943" s="122"/>
    </row>
    <row r="1944" spans="2:42">
      <c r="B1944" s="122"/>
      <c r="C1944" s="122"/>
      <c r="D1944" s="122"/>
      <c r="E1944" s="122"/>
      <c r="F1944" s="122"/>
      <c r="G1944" s="122"/>
      <c r="H1944" s="122"/>
      <c r="I1944" s="275"/>
      <c r="J1944" s="130"/>
      <c r="K1944" s="130"/>
      <c r="L1944" s="130"/>
      <c r="M1944" s="130"/>
      <c r="N1944" s="291"/>
      <c r="O1944" s="291"/>
      <c r="P1944" s="122"/>
      <c r="Q1944" s="122"/>
      <c r="R1944" s="122"/>
      <c r="S1944" s="122"/>
      <c r="T1944" s="122"/>
      <c r="U1944" s="301"/>
      <c r="V1944" s="260">
        <f t="shared" ca="1" si="38"/>
        <v>0</v>
      </c>
      <c r="W1944" s="348" t="str">
        <f>IF(板块成分!B1946="","",板块成分!B1946)</f>
        <v>300486.SZ</v>
      </c>
      <c r="X1944" s="276" t="str">
        <f>[1]!S_Info_Name(W1944)</f>
        <v>东杰智能</v>
      </c>
      <c r="Y1944" s="276" t="str">
        <f ca="1">IF($Y$3="申万一级行业",[1]!s_info_industry_sw_2021(W1944,公司分析!D$5,1),IF($Y$3="申万二级行业",[1]!s_info_industry_sw_2021(W1944,公司分析!D$5,2),IF($Y$3="申万三级行业",[1]!s_info_industry_sw_2021(W1944,公司分析!D$5,3),IF($Y$3="wind一级行业",[1]!s_info_industry_gics(W1944,1),IF($Y$3="wind二级行业",[1]!s_info_industry_gics(W1944,2),IF($Y$3="wind三级行业",[1]!s_info_industry_gics(W1944,3),IF($Y$3="wind四级行业",[1]!s_info_industry_gics(W1944,4),IF($Y$3="证监会门类行业",[1]!s_info_industry_csrc12_n(W1944,公司分析!D$5,1),""))))))))</f>
        <v>自动化设备</v>
      </c>
      <c r="Z1944" s="302" t="str">
        <f ca="1">IF(Y1944=行业比较!$E$6,ROW(),"")</f>
        <v/>
      </c>
      <c r="AA1944" s="122"/>
      <c r="AB1944" s="122"/>
      <c r="AC1944" s="122"/>
      <c r="AD1944" s="122"/>
      <c r="AE1944" s="122"/>
      <c r="AF1944" s="122"/>
      <c r="AG1944" s="122"/>
      <c r="AH1944" s="122"/>
      <c r="AI1944" s="122"/>
      <c r="AJ1944" s="122"/>
      <c r="AK1944" s="122"/>
      <c r="AL1944" s="122"/>
      <c r="AM1944" s="122"/>
      <c r="AN1944" s="122"/>
      <c r="AO1944" s="122"/>
      <c r="AP1944" s="122"/>
    </row>
    <row r="1945" spans="2:42">
      <c r="B1945" s="122"/>
      <c r="C1945" s="122"/>
      <c r="D1945" s="122"/>
      <c r="E1945" s="122"/>
      <c r="F1945" s="122"/>
      <c r="G1945" s="122"/>
      <c r="H1945" s="122"/>
      <c r="I1945" s="275"/>
      <c r="J1945" s="130"/>
      <c r="K1945" s="130"/>
      <c r="L1945" s="130"/>
      <c r="M1945" s="130"/>
      <c r="N1945" s="291"/>
      <c r="O1945" s="291"/>
      <c r="P1945" s="122"/>
      <c r="Q1945" s="122"/>
      <c r="R1945" s="122"/>
      <c r="S1945" s="122"/>
      <c r="T1945" s="122"/>
      <c r="U1945" s="301"/>
      <c r="V1945" s="260">
        <f t="shared" ca="1" si="38"/>
        <v>0</v>
      </c>
      <c r="W1945" s="348" t="str">
        <f>IF(板块成分!B1947="","",板块成分!B1947)</f>
        <v>300487.SZ</v>
      </c>
      <c r="X1945" s="276" t="str">
        <f>[1]!S_Info_Name(W1945)</f>
        <v>蓝晓科技</v>
      </c>
      <c r="Y1945" s="276" t="str">
        <f ca="1">IF($Y$3="申万一级行业",[1]!s_info_industry_sw_2021(W1945,公司分析!D$5,1),IF($Y$3="申万二级行业",[1]!s_info_industry_sw_2021(W1945,公司分析!D$5,2),IF($Y$3="申万三级行业",[1]!s_info_industry_sw_2021(W1945,公司分析!D$5,3),IF($Y$3="wind一级行业",[1]!s_info_industry_gics(W1945,1),IF($Y$3="wind二级行业",[1]!s_info_industry_gics(W1945,2),IF($Y$3="wind三级行业",[1]!s_info_industry_gics(W1945,3),IF($Y$3="wind四级行业",[1]!s_info_industry_gics(W1945,4),IF($Y$3="证监会门类行业",[1]!s_info_industry_csrc12_n(W1945,公司分析!D$5,1),""))))))))</f>
        <v>塑料</v>
      </c>
      <c r="Z1945" s="302" t="str">
        <f ca="1">IF(Y1945=行业比较!$E$6,ROW(),"")</f>
        <v/>
      </c>
      <c r="AA1945" s="122"/>
      <c r="AB1945" s="122"/>
      <c r="AC1945" s="122"/>
      <c r="AD1945" s="122"/>
      <c r="AE1945" s="122"/>
      <c r="AF1945" s="122"/>
      <c r="AG1945" s="122"/>
      <c r="AH1945" s="122"/>
      <c r="AI1945" s="122"/>
      <c r="AJ1945" s="122"/>
      <c r="AK1945" s="122"/>
      <c r="AL1945" s="122"/>
      <c r="AM1945" s="122"/>
      <c r="AN1945" s="122"/>
      <c r="AO1945" s="122"/>
      <c r="AP1945" s="122"/>
    </row>
    <row r="1946" spans="2:42">
      <c r="B1946" s="122"/>
      <c r="C1946" s="122"/>
      <c r="D1946" s="122"/>
      <c r="E1946" s="122"/>
      <c r="F1946" s="122"/>
      <c r="G1946" s="122"/>
      <c r="H1946" s="122"/>
      <c r="I1946" s="275"/>
      <c r="J1946" s="130"/>
      <c r="K1946" s="130"/>
      <c r="L1946" s="130"/>
      <c r="M1946" s="130"/>
      <c r="N1946" s="291"/>
      <c r="O1946" s="291"/>
      <c r="P1946" s="122"/>
      <c r="Q1946" s="122"/>
      <c r="R1946" s="122"/>
      <c r="S1946" s="122"/>
      <c r="T1946" s="122"/>
      <c r="U1946" s="301"/>
      <c r="V1946" s="260">
        <f t="shared" ca="1" si="38"/>
        <v>0</v>
      </c>
      <c r="W1946" s="348" t="str">
        <f>IF(板块成分!B1948="","",板块成分!B1948)</f>
        <v>300488.SZ</v>
      </c>
      <c r="X1946" s="276" t="str">
        <f>[1]!S_Info_Name(W1946)</f>
        <v>恒锋工具</v>
      </c>
      <c r="Y1946" s="276" t="str">
        <f ca="1">IF($Y$3="申万一级行业",[1]!s_info_industry_sw_2021(W1946,公司分析!D$5,1),IF($Y$3="申万二级行业",[1]!s_info_industry_sw_2021(W1946,公司分析!D$5,2),IF($Y$3="申万三级行业",[1]!s_info_industry_sw_2021(W1946,公司分析!D$5,3),IF($Y$3="wind一级行业",[1]!s_info_industry_gics(W1946,1),IF($Y$3="wind二级行业",[1]!s_info_industry_gics(W1946,2),IF($Y$3="wind三级行业",[1]!s_info_industry_gics(W1946,3),IF($Y$3="wind四级行业",[1]!s_info_industry_gics(W1946,4),IF($Y$3="证监会门类行业",[1]!s_info_industry_csrc12_n(W1946,公司分析!D$5,1),""))))))))</f>
        <v>通用设备</v>
      </c>
      <c r="Z1946" s="302" t="str">
        <f ca="1">IF(Y1946=行业比较!$E$6,ROW(),"")</f>
        <v/>
      </c>
      <c r="AA1946" s="122"/>
      <c r="AB1946" s="122"/>
      <c r="AC1946" s="122"/>
      <c r="AD1946" s="122"/>
      <c r="AE1946" s="122"/>
      <c r="AF1946" s="122"/>
      <c r="AG1946" s="122"/>
      <c r="AH1946" s="122"/>
      <c r="AI1946" s="122"/>
      <c r="AJ1946" s="122"/>
      <c r="AK1946" s="122"/>
      <c r="AL1946" s="122"/>
      <c r="AM1946" s="122"/>
      <c r="AN1946" s="122"/>
      <c r="AO1946" s="122"/>
      <c r="AP1946" s="122"/>
    </row>
    <row r="1947" spans="2:42">
      <c r="B1947" s="122"/>
      <c r="C1947" s="122"/>
      <c r="D1947" s="122"/>
      <c r="E1947" s="122"/>
      <c r="F1947" s="122"/>
      <c r="G1947" s="122"/>
      <c r="H1947" s="122"/>
      <c r="I1947" s="275"/>
      <c r="J1947" s="130"/>
      <c r="K1947" s="130"/>
      <c r="L1947" s="130"/>
      <c r="M1947" s="130"/>
      <c r="N1947" s="291"/>
      <c r="O1947" s="291"/>
      <c r="P1947" s="122"/>
      <c r="Q1947" s="122"/>
      <c r="R1947" s="122"/>
      <c r="S1947" s="122"/>
      <c r="T1947" s="122"/>
      <c r="U1947" s="301"/>
      <c r="V1947" s="260">
        <f t="shared" ca="1" si="38"/>
        <v>0</v>
      </c>
      <c r="W1947" s="348" t="str">
        <f>IF(板块成分!B1949="","",板块成分!B1949)</f>
        <v>300489.SZ</v>
      </c>
      <c r="X1947" s="276" t="str">
        <f>[1]!S_Info_Name(W1947)</f>
        <v>光智科技</v>
      </c>
      <c r="Y1947" s="276" t="str">
        <f ca="1">IF($Y$3="申万一级行业",[1]!s_info_industry_sw_2021(W1947,公司分析!D$5,1),IF($Y$3="申万二级行业",[1]!s_info_industry_sw_2021(W1947,公司分析!D$5,2),IF($Y$3="申万三级行业",[1]!s_info_industry_sw_2021(W1947,公司分析!D$5,3),IF($Y$3="wind一级行业",[1]!s_info_industry_gics(W1947,1),IF($Y$3="wind二级行业",[1]!s_info_industry_gics(W1947,2),IF($Y$3="wind三级行业",[1]!s_info_industry_gics(W1947,3),IF($Y$3="wind四级行业",[1]!s_info_industry_gics(W1947,4),IF($Y$3="证监会门类行业",[1]!s_info_industry_csrc12_n(W1947,公司分析!D$5,1),""))))))))</f>
        <v>光学光电子</v>
      </c>
      <c r="Z1947" s="302" t="str">
        <f ca="1">IF(Y1947=行业比较!$E$6,ROW(),"")</f>
        <v/>
      </c>
      <c r="AA1947" s="122"/>
      <c r="AB1947" s="122"/>
      <c r="AC1947" s="122"/>
      <c r="AD1947" s="122"/>
      <c r="AE1947" s="122"/>
      <c r="AF1947" s="122"/>
      <c r="AG1947" s="122"/>
      <c r="AH1947" s="122"/>
      <c r="AI1947" s="122"/>
      <c r="AJ1947" s="122"/>
      <c r="AK1947" s="122"/>
      <c r="AL1947" s="122"/>
      <c r="AM1947" s="122"/>
      <c r="AN1947" s="122"/>
      <c r="AO1947" s="122"/>
      <c r="AP1947" s="122"/>
    </row>
    <row r="1948" spans="2:42">
      <c r="B1948" s="122"/>
      <c r="C1948" s="122"/>
      <c r="D1948" s="122"/>
      <c r="E1948" s="122"/>
      <c r="F1948" s="122"/>
      <c r="G1948" s="122"/>
      <c r="H1948" s="122"/>
      <c r="I1948" s="275"/>
      <c r="J1948" s="130"/>
      <c r="K1948" s="130"/>
      <c r="L1948" s="130"/>
      <c r="M1948" s="130"/>
      <c r="N1948" s="291"/>
      <c r="O1948" s="291"/>
      <c r="P1948" s="122"/>
      <c r="Q1948" s="122"/>
      <c r="R1948" s="122"/>
      <c r="S1948" s="122"/>
      <c r="T1948" s="122"/>
      <c r="U1948" s="301"/>
      <c r="V1948" s="260">
        <f t="shared" ca="1" si="38"/>
        <v>0</v>
      </c>
      <c r="W1948" s="348" t="str">
        <f>IF(板块成分!B1950="","",板块成分!B1950)</f>
        <v>300490.SZ</v>
      </c>
      <c r="X1948" s="276" t="str">
        <f>[1]!S_Info_Name(W1948)</f>
        <v>华自科技</v>
      </c>
      <c r="Y1948" s="276" t="str">
        <f ca="1">IF($Y$3="申万一级行业",[1]!s_info_industry_sw_2021(W1948,公司分析!D$5,1),IF($Y$3="申万二级行业",[1]!s_info_industry_sw_2021(W1948,公司分析!D$5,2),IF($Y$3="申万三级行业",[1]!s_info_industry_sw_2021(W1948,公司分析!D$5,3),IF($Y$3="wind一级行业",[1]!s_info_industry_gics(W1948,1),IF($Y$3="wind二级行业",[1]!s_info_industry_gics(W1948,2),IF($Y$3="wind三级行业",[1]!s_info_industry_gics(W1948,3),IF($Y$3="wind四级行业",[1]!s_info_industry_gics(W1948,4),IF($Y$3="证监会门类行业",[1]!s_info_industry_csrc12_n(W1948,公司分析!D$5,1),""))))))))</f>
        <v>电池</v>
      </c>
      <c r="Z1948" s="302" t="str">
        <f ca="1">IF(Y1948=行业比较!$E$6,ROW(),"")</f>
        <v/>
      </c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</row>
    <row r="1949" spans="2:42">
      <c r="B1949" s="122"/>
      <c r="C1949" s="122"/>
      <c r="D1949" s="122"/>
      <c r="E1949" s="122"/>
      <c r="F1949" s="122"/>
      <c r="G1949" s="122"/>
      <c r="H1949" s="122"/>
      <c r="I1949" s="275"/>
      <c r="J1949" s="130"/>
      <c r="K1949" s="130"/>
      <c r="L1949" s="130"/>
      <c r="M1949" s="130"/>
      <c r="N1949" s="291"/>
      <c r="O1949" s="291"/>
      <c r="P1949" s="122"/>
      <c r="Q1949" s="122"/>
      <c r="R1949" s="122"/>
      <c r="S1949" s="122"/>
      <c r="T1949" s="122"/>
      <c r="U1949" s="301"/>
      <c r="V1949" s="260">
        <f t="shared" ca="1" si="38"/>
        <v>0</v>
      </c>
      <c r="W1949" s="348" t="str">
        <f>IF(板块成分!B1951="","",板块成分!B1951)</f>
        <v>300491.SZ</v>
      </c>
      <c r="X1949" s="276" t="str">
        <f>[1]!S_Info_Name(W1949)</f>
        <v>通合科技</v>
      </c>
      <c r="Y1949" s="276" t="str">
        <f ca="1">IF($Y$3="申万一级行业",[1]!s_info_industry_sw_2021(W1949,公司分析!D$5,1),IF($Y$3="申万二级行业",[1]!s_info_industry_sw_2021(W1949,公司分析!D$5,2),IF($Y$3="申万三级行业",[1]!s_info_industry_sw_2021(W1949,公司分析!D$5,3),IF($Y$3="wind一级行业",[1]!s_info_industry_gics(W1949,1),IF($Y$3="wind二级行业",[1]!s_info_industry_gics(W1949,2),IF($Y$3="wind三级行业",[1]!s_info_industry_gics(W1949,3),IF($Y$3="wind四级行业",[1]!s_info_industry_gics(W1949,4),IF($Y$3="证监会门类行业",[1]!s_info_industry_csrc12_n(W1949,公司分析!D$5,1),""))))))))</f>
        <v>其他电源设备Ⅱ</v>
      </c>
      <c r="Z1949" s="302" t="str">
        <f ca="1">IF(Y1949=行业比较!$E$6,ROW(),"")</f>
        <v/>
      </c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</row>
    <row r="1950" spans="2:42">
      <c r="B1950" s="122"/>
      <c r="C1950" s="122"/>
      <c r="D1950" s="122"/>
      <c r="E1950" s="122"/>
      <c r="F1950" s="122"/>
      <c r="G1950" s="122"/>
      <c r="H1950" s="122"/>
      <c r="I1950" s="275"/>
      <c r="J1950" s="130"/>
      <c r="K1950" s="130"/>
      <c r="L1950" s="130"/>
      <c r="M1950" s="130"/>
      <c r="N1950" s="291"/>
      <c r="O1950" s="291"/>
      <c r="P1950" s="122"/>
      <c r="Q1950" s="122"/>
      <c r="R1950" s="122"/>
      <c r="S1950" s="122"/>
      <c r="T1950" s="122"/>
      <c r="U1950" s="301"/>
      <c r="V1950" s="260">
        <f t="shared" ca="1" si="38"/>
        <v>0</v>
      </c>
      <c r="W1950" s="348" t="str">
        <f>IF(板块成分!B1952="","",板块成分!B1952)</f>
        <v>300492.SZ</v>
      </c>
      <c r="X1950" s="276" t="str">
        <f>[1]!S_Info_Name(W1950)</f>
        <v>华图山鼎</v>
      </c>
      <c r="Y1950" s="276" t="str">
        <f ca="1">IF($Y$3="申万一级行业",[1]!s_info_industry_sw_2021(W1950,公司分析!D$5,1),IF($Y$3="申万二级行业",[1]!s_info_industry_sw_2021(W1950,公司分析!D$5,2),IF($Y$3="申万三级行业",[1]!s_info_industry_sw_2021(W1950,公司分析!D$5,3),IF($Y$3="wind一级行业",[1]!s_info_industry_gics(W1950,1),IF($Y$3="wind二级行业",[1]!s_info_industry_gics(W1950,2),IF($Y$3="wind三级行业",[1]!s_info_industry_gics(W1950,3),IF($Y$3="wind四级行业",[1]!s_info_industry_gics(W1950,4),IF($Y$3="证监会门类行业",[1]!s_info_industry_csrc12_n(W1950,公司分析!D$5,1),""))))))))</f>
        <v>工程咨询服务Ⅱ</v>
      </c>
      <c r="Z1950" s="302" t="str">
        <f ca="1">IF(Y1950=行业比较!$E$6,ROW(),"")</f>
        <v/>
      </c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</row>
    <row r="1951" spans="2:42">
      <c r="B1951" s="122"/>
      <c r="C1951" s="122"/>
      <c r="D1951" s="122"/>
      <c r="E1951" s="122"/>
      <c r="F1951" s="122"/>
      <c r="G1951" s="122"/>
      <c r="H1951" s="122"/>
      <c r="I1951" s="275"/>
      <c r="J1951" s="130"/>
      <c r="K1951" s="130"/>
      <c r="L1951" s="130"/>
      <c r="M1951" s="130"/>
      <c r="N1951" s="291"/>
      <c r="O1951" s="291"/>
      <c r="P1951" s="122"/>
      <c r="Q1951" s="122"/>
      <c r="R1951" s="122"/>
      <c r="S1951" s="122"/>
      <c r="T1951" s="122"/>
      <c r="U1951" s="301"/>
      <c r="V1951" s="260">
        <f t="shared" ca="1" si="38"/>
        <v>0</v>
      </c>
      <c r="W1951" s="348" t="str">
        <f>IF(板块成分!B1953="","",板块成分!B1953)</f>
        <v>300493.SZ</v>
      </c>
      <c r="X1951" s="276" t="str">
        <f>[1]!S_Info_Name(W1951)</f>
        <v>润欣科技</v>
      </c>
      <c r="Y1951" s="276" t="str">
        <f ca="1">IF($Y$3="申万一级行业",[1]!s_info_industry_sw_2021(W1951,公司分析!D$5,1),IF($Y$3="申万二级行业",[1]!s_info_industry_sw_2021(W1951,公司分析!D$5,2),IF($Y$3="申万三级行业",[1]!s_info_industry_sw_2021(W1951,公司分析!D$5,3),IF($Y$3="wind一级行业",[1]!s_info_industry_gics(W1951,1),IF($Y$3="wind二级行业",[1]!s_info_industry_gics(W1951,2),IF($Y$3="wind三级行业",[1]!s_info_industry_gics(W1951,3),IF($Y$3="wind四级行业",[1]!s_info_industry_gics(W1951,4),IF($Y$3="证监会门类行业",[1]!s_info_industry_csrc12_n(W1951,公司分析!D$5,1),""))))))))</f>
        <v>其他电子Ⅱ</v>
      </c>
      <c r="Z1951" s="302" t="str">
        <f ca="1">IF(Y1951=行业比较!$E$6,ROW(),"")</f>
        <v/>
      </c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</row>
    <row r="1952" spans="2:42">
      <c r="B1952" s="122"/>
      <c r="C1952" s="122"/>
      <c r="D1952" s="122"/>
      <c r="E1952" s="122"/>
      <c r="F1952" s="122"/>
      <c r="G1952" s="122"/>
      <c r="H1952" s="122"/>
      <c r="I1952" s="275"/>
      <c r="J1952" s="130"/>
      <c r="K1952" s="130"/>
      <c r="L1952" s="130"/>
      <c r="M1952" s="130"/>
      <c r="N1952" s="291"/>
      <c r="O1952" s="291"/>
      <c r="P1952" s="122"/>
      <c r="Q1952" s="122"/>
      <c r="R1952" s="122"/>
      <c r="S1952" s="122"/>
      <c r="T1952" s="122"/>
      <c r="U1952" s="301"/>
      <c r="V1952" s="260">
        <f t="shared" ca="1" si="38"/>
        <v>0</v>
      </c>
      <c r="W1952" s="348" t="str">
        <f>IF(板块成分!B1954="","",板块成分!B1954)</f>
        <v>300494.SZ</v>
      </c>
      <c r="X1952" s="276" t="str">
        <f>[1]!S_Info_Name(W1952)</f>
        <v>盛天网络</v>
      </c>
      <c r="Y1952" s="276" t="str">
        <f ca="1">IF($Y$3="申万一级行业",[1]!s_info_industry_sw_2021(W1952,公司分析!D$5,1),IF($Y$3="申万二级行业",[1]!s_info_industry_sw_2021(W1952,公司分析!D$5,2),IF($Y$3="申万三级行业",[1]!s_info_industry_sw_2021(W1952,公司分析!D$5,3),IF($Y$3="wind一级行业",[1]!s_info_industry_gics(W1952,1),IF($Y$3="wind二级行业",[1]!s_info_industry_gics(W1952,2),IF($Y$3="wind三级行业",[1]!s_info_industry_gics(W1952,3),IF($Y$3="wind四级行业",[1]!s_info_industry_gics(W1952,4),IF($Y$3="证监会门类行业",[1]!s_info_industry_csrc12_n(W1952,公司分析!D$5,1),""))))))))</f>
        <v>游戏Ⅱ</v>
      </c>
      <c r="Z1952" s="302" t="str">
        <f ca="1">IF(Y1952=行业比较!$E$6,ROW(),"")</f>
        <v/>
      </c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</row>
    <row r="1953" spans="2:42">
      <c r="B1953" s="122"/>
      <c r="C1953" s="122"/>
      <c r="D1953" s="122"/>
      <c r="E1953" s="122"/>
      <c r="F1953" s="122"/>
      <c r="G1953" s="122"/>
      <c r="H1953" s="122"/>
      <c r="I1953" s="275"/>
      <c r="J1953" s="130"/>
      <c r="K1953" s="130"/>
      <c r="L1953" s="130"/>
      <c r="M1953" s="130"/>
      <c r="N1953" s="291"/>
      <c r="O1953" s="291"/>
      <c r="P1953" s="122"/>
      <c r="Q1953" s="122"/>
      <c r="R1953" s="122"/>
      <c r="S1953" s="122"/>
      <c r="T1953" s="122"/>
      <c r="U1953" s="301"/>
      <c r="V1953" s="260">
        <f t="shared" ca="1" si="38"/>
        <v>0</v>
      </c>
      <c r="W1953" s="348" t="str">
        <f>IF(板块成分!B1955="","",板块成分!B1955)</f>
        <v>300496.SZ</v>
      </c>
      <c r="X1953" s="276" t="str">
        <f>[1]!S_Info_Name(W1953)</f>
        <v>中科创达</v>
      </c>
      <c r="Y1953" s="276" t="str">
        <f ca="1">IF($Y$3="申万一级行业",[1]!s_info_industry_sw_2021(W1953,公司分析!D$5,1),IF($Y$3="申万二级行业",[1]!s_info_industry_sw_2021(W1953,公司分析!D$5,2),IF($Y$3="申万三级行业",[1]!s_info_industry_sw_2021(W1953,公司分析!D$5,3),IF($Y$3="wind一级行业",[1]!s_info_industry_gics(W1953,1),IF($Y$3="wind二级行业",[1]!s_info_industry_gics(W1953,2),IF($Y$3="wind三级行业",[1]!s_info_industry_gics(W1953,3),IF($Y$3="wind四级行业",[1]!s_info_industry_gics(W1953,4),IF($Y$3="证监会门类行业",[1]!s_info_industry_csrc12_n(W1953,公司分析!D$5,1),""))))))))</f>
        <v>IT服务Ⅱ</v>
      </c>
      <c r="Z1953" s="302" t="str">
        <f ca="1">IF(Y1953=行业比较!$E$6,ROW(),"")</f>
        <v/>
      </c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</row>
    <row r="1954" spans="2:42">
      <c r="B1954" s="122"/>
      <c r="C1954" s="122"/>
      <c r="D1954" s="122"/>
      <c r="E1954" s="122"/>
      <c r="F1954" s="122"/>
      <c r="G1954" s="122"/>
      <c r="H1954" s="122"/>
      <c r="I1954" s="275"/>
      <c r="J1954" s="130"/>
      <c r="K1954" s="130"/>
      <c r="L1954" s="130"/>
      <c r="M1954" s="130"/>
      <c r="N1954" s="291"/>
      <c r="O1954" s="291"/>
      <c r="P1954" s="122"/>
      <c r="Q1954" s="122"/>
      <c r="R1954" s="122"/>
      <c r="S1954" s="122"/>
      <c r="T1954" s="122"/>
      <c r="U1954" s="301"/>
      <c r="V1954" s="260">
        <f t="shared" ca="1" si="38"/>
        <v>0</v>
      </c>
      <c r="W1954" s="348" t="str">
        <f>IF(板块成分!B1956="","",板块成分!B1956)</f>
        <v>300497.SZ</v>
      </c>
      <c r="X1954" s="276" t="str">
        <f>[1]!S_Info_Name(W1954)</f>
        <v>富祥药业</v>
      </c>
      <c r="Y1954" s="276" t="str">
        <f ca="1">IF($Y$3="申万一级行业",[1]!s_info_industry_sw_2021(W1954,公司分析!D$5,1),IF($Y$3="申万二级行业",[1]!s_info_industry_sw_2021(W1954,公司分析!D$5,2),IF($Y$3="申万三级行业",[1]!s_info_industry_sw_2021(W1954,公司分析!D$5,3),IF($Y$3="wind一级行业",[1]!s_info_industry_gics(W1954,1),IF($Y$3="wind二级行业",[1]!s_info_industry_gics(W1954,2),IF($Y$3="wind三级行业",[1]!s_info_industry_gics(W1954,3),IF($Y$3="wind四级行业",[1]!s_info_industry_gics(W1954,4),IF($Y$3="证监会门类行业",[1]!s_info_industry_csrc12_n(W1954,公司分析!D$5,1),""))))))))</f>
        <v>化学制药</v>
      </c>
      <c r="Z1954" s="302" t="str">
        <f ca="1">IF(Y1954=行业比较!$E$6,ROW(),"")</f>
        <v/>
      </c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</row>
    <row r="1955" spans="2:42">
      <c r="B1955" s="122"/>
      <c r="C1955" s="122"/>
      <c r="D1955" s="122"/>
      <c r="E1955" s="122"/>
      <c r="F1955" s="122"/>
      <c r="G1955" s="122"/>
      <c r="H1955" s="122"/>
      <c r="I1955" s="275"/>
      <c r="J1955" s="130"/>
      <c r="K1955" s="130"/>
      <c r="L1955" s="130"/>
      <c r="M1955" s="130"/>
      <c r="N1955" s="291"/>
      <c r="O1955" s="291"/>
      <c r="P1955" s="122"/>
      <c r="Q1955" s="122"/>
      <c r="R1955" s="122"/>
      <c r="S1955" s="122"/>
      <c r="T1955" s="122"/>
      <c r="U1955" s="301"/>
      <c r="V1955" s="260">
        <f t="shared" ca="1" si="38"/>
        <v>0</v>
      </c>
      <c r="W1955" s="348" t="str">
        <f>IF(板块成分!B1957="","",板块成分!B1957)</f>
        <v>300498.SZ</v>
      </c>
      <c r="X1955" s="276" t="str">
        <f>[1]!S_Info_Name(W1955)</f>
        <v>温氏股份</v>
      </c>
      <c r="Y1955" s="276" t="str">
        <f ca="1">IF($Y$3="申万一级行业",[1]!s_info_industry_sw_2021(W1955,公司分析!D$5,1),IF($Y$3="申万二级行业",[1]!s_info_industry_sw_2021(W1955,公司分析!D$5,2),IF($Y$3="申万三级行业",[1]!s_info_industry_sw_2021(W1955,公司分析!D$5,3),IF($Y$3="wind一级行业",[1]!s_info_industry_gics(W1955,1),IF($Y$3="wind二级行业",[1]!s_info_industry_gics(W1955,2),IF($Y$3="wind三级行业",[1]!s_info_industry_gics(W1955,3),IF($Y$3="wind四级行业",[1]!s_info_industry_gics(W1955,4),IF($Y$3="证监会门类行业",[1]!s_info_industry_csrc12_n(W1955,公司分析!D$5,1),""))))))))</f>
        <v>养殖业</v>
      </c>
      <c r="Z1955" s="302" t="str">
        <f ca="1">IF(Y1955=行业比较!$E$6,ROW(),"")</f>
        <v/>
      </c>
      <c r="AA1955" s="122"/>
      <c r="AB1955" s="122"/>
      <c r="AC1955" s="122"/>
      <c r="AD1955" s="122"/>
      <c r="AE1955" s="122"/>
      <c r="AF1955" s="122"/>
      <c r="AG1955" s="122"/>
      <c r="AH1955" s="122"/>
      <c r="AI1955" s="122"/>
      <c r="AJ1955" s="122"/>
      <c r="AK1955" s="122"/>
      <c r="AL1955" s="122"/>
      <c r="AM1955" s="122"/>
      <c r="AN1955" s="122"/>
      <c r="AO1955" s="122"/>
      <c r="AP1955" s="122"/>
    </row>
    <row r="1956" spans="2:42">
      <c r="B1956" s="122"/>
      <c r="C1956" s="122"/>
      <c r="D1956" s="122"/>
      <c r="E1956" s="122"/>
      <c r="F1956" s="122"/>
      <c r="G1956" s="122"/>
      <c r="H1956" s="122"/>
      <c r="I1956" s="275"/>
      <c r="J1956" s="130"/>
      <c r="K1956" s="130"/>
      <c r="L1956" s="130"/>
      <c r="M1956" s="130"/>
      <c r="N1956" s="291"/>
      <c r="O1956" s="291"/>
      <c r="P1956" s="122"/>
      <c r="Q1956" s="122"/>
      <c r="R1956" s="122"/>
      <c r="S1956" s="122"/>
      <c r="T1956" s="122"/>
      <c r="U1956" s="301"/>
      <c r="V1956" s="260">
        <f t="shared" ca="1" si="38"/>
        <v>0</v>
      </c>
      <c r="W1956" s="348" t="str">
        <f>IF(板块成分!B1958="","",板块成分!B1958)</f>
        <v>300499.SZ</v>
      </c>
      <c r="X1956" s="276" t="str">
        <f>[1]!S_Info_Name(W1956)</f>
        <v>高澜股份</v>
      </c>
      <c r="Y1956" s="276" t="str">
        <f ca="1">IF($Y$3="申万一级行业",[1]!s_info_industry_sw_2021(W1956,公司分析!D$5,1),IF($Y$3="申万二级行业",[1]!s_info_industry_sw_2021(W1956,公司分析!D$5,2),IF($Y$3="申万三级行业",[1]!s_info_industry_sw_2021(W1956,公司分析!D$5,3),IF($Y$3="wind一级行业",[1]!s_info_industry_gics(W1956,1),IF($Y$3="wind二级行业",[1]!s_info_industry_gics(W1956,2),IF($Y$3="wind三级行业",[1]!s_info_industry_gics(W1956,3),IF($Y$3="wind四级行业",[1]!s_info_industry_gics(W1956,4),IF($Y$3="证监会门类行业",[1]!s_info_industry_csrc12_n(W1956,公司分析!D$5,1),""))))))))</f>
        <v>专用设备</v>
      </c>
      <c r="Z1956" s="302" t="str">
        <f ca="1">IF(Y1956=行业比较!$E$6,ROW(),"")</f>
        <v/>
      </c>
      <c r="AA1956" s="122"/>
      <c r="AB1956" s="122"/>
      <c r="AC1956" s="122"/>
      <c r="AD1956" s="122"/>
      <c r="AE1956" s="122"/>
      <c r="AF1956" s="122"/>
      <c r="AG1956" s="122"/>
      <c r="AH1956" s="122"/>
      <c r="AI1956" s="122"/>
      <c r="AJ1956" s="122"/>
      <c r="AK1956" s="122"/>
      <c r="AL1956" s="122"/>
      <c r="AM1956" s="122"/>
      <c r="AN1956" s="122"/>
      <c r="AO1956" s="122"/>
      <c r="AP1956" s="122"/>
    </row>
    <row r="1957" spans="2:42">
      <c r="B1957" s="122"/>
      <c r="C1957" s="122"/>
      <c r="D1957" s="122"/>
      <c r="E1957" s="122"/>
      <c r="F1957" s="122"/>
      <c r="G1957" s="122"/>
      <c r="H1957" s="122"/>
      <c r="I1957" s="275"/>
      <c r="J1957" s="130"/>
      <c r="K1957" s="130"/>
      <c r="L1957" s="130"/>
      <c r="M1957" s="130"/>
      <c r="N1957" s="291"/>
      <c r="O1957" s="291"/>
      <c r="P1957" s="122"/>
      <c r="Q1957" s="122"/>
      <c r="R1957" s="122"/>
      <c r="S1957" s="122"/>
      <c r="T1957" s="122"/>
      <c r="U1957" s="301"/>
      <c r="V1957" s="260">
        <f t="shared" ca="1" si="38"/>
        <v>0</v>
      </c>
      <c r="W1957" s="348" t="str">
        <f>IF(板块成分!B1959="","",板块成分!B1959)</f>
        <v>300500.SZ</v>
      </c>
      <c r="X1957" s="276" t="str">
        <f>[1]!S_Info_Name(W1957)</f>
        <v>启迪设计</v>
      </c>
      <c r="Y1957" s="276" t="str">
        <f ca="1">IF($Y$3="申万一级行业",[1]!s_info_industry_sw_2021(W1957,公司分析!D$5,1),IF($Y$3="申万二级行业",[1]!s_info_industry_sw_2021(W1957,公司分析!D$5,2),IF($Y$3="申万三级行业",[1]!s_info_industry_sw_2021(W1957,公司分析!D$5,3),IF($Y$3="wind一级行业",[1]!s_info_industry_gics(W1957,1),IF($Y$3="wind二级行业",[1]!s_info_industry_gics(W1957,2),IF($Y$3="wind三级行业",[1]!s_info_industry_gics(W1957,3),IF($Y$3="wind四级行业",[1]!s_info_industry_gics(W1957,4),IF($Y$3="证监会门类行业",[1]!s_info_industry_csrc12_n(W1957,公司分析!D$5,1),""))))))))</f>
        <v>工程咨询服务Ⅱ</v>
      </c>
      <c r="Z1957" s="302" t="str">
        <f ca="1">IF(Y1957=行业比较!$E$6,ROW(),"")</f>
        <v/>
      </c>
      <c r="AA1957" s="122"/>
      <c r="AB1957" s="122"/>
      <c r="AC1957" s="122"/>
      <c r="AD1957" s="122"/>
      <c r="AE1957" s="122"/>
      <c r="AF1957" s="122"/>
      <c r="AG1957" s="122"/>
      <c r="AH1957" s="122"/>
      <c r="AI1957" s="122"/>
      <c r="AJ1957" s="122"/>
      <c r="AK1957" s="122"/>
      <c r="AL1957" s="122"/>
      <c r="AM1957" s="122"/>
      <c r="AN1957" s="122"/>
      <c r="AO1957" s="122"/>
      <c r="AP1957" s="122"/>
    </row>
    <row r="1958" spans="2:42">
      <c r="B1958" s="122"/>
      <c r="C1958" s="122"/>
      <c r="D1958" s="122"/>
      <c r="E1958" s="122"/>
      <c r="F1958" s="122"/>
      <c r="G1958" s="122"/>
      <c r="H1958" s="122"/>
      <c r="I1958" s="275"/>
      <c r="J1958" s="130"/>
      <c r="K1958" s="130"/>
      <c r="L1958" s="130"/>
      <c r="M1958" s="130"/>
      <c r="N1958" s="291"/>
      <c r="O1958" s="291"/>
      <c r="P1958" s="122"/>
      <c r="Q1958" s="122"/>
      <c r="R1958" s="122"/>
      <c r="S1958" s="122"/>
      <c r="T1958" s="122"/>
      <c r="U1958" s="301"/>
      <c r="V1958" s="260">
        <f t="shared" ca="1" si="38"/>
        <v>0</v>
      </c>
      <c r="W1958" s="348" t="str">
        <f>IF(板块成分!B1960="","",板块成分!B1960)</f>
        <v>300501.SZ</v>
      </c>
      <c r="X1958" s="276" t="str">
        <f>[1]!S_Info_Name(W1958)</f>
        <v>海顺新材</v>
      </c>
      <c r="Y1958" s="276" t="str">
        <f ca="1">IF($Y$3="申万一级行业",[1]!s_info_industry_sw_2021(W1958,公司分析!D$5,1),IF($Y$3="申万二级行业",[1]!s_info_industry_sw_2021(W1958,公司分析!D$5,2),IF($Y$3="申万三级行业",[1]!s_info_industry_sw_2021(W1958,公司分析!D$5,3),IF($Y$3="wind一级行业",[1]!s_info_industry_gics(W1958,1),IF($Y$3="wind二级行业",[1]!s_info_industry_gics(W1958,2),IF($Y$3="wind三级行业",[1]!s_info_industry_gics(W1958,3),IF($Y$3="wind四级行业",[1]!s_info_industry_gics(W1958,4),IF($Y$3="证监会门类行业",[1]!s_info_industry_csrc12_n(W1958,公司分析!D$5,1),""))))))))</f>
        <v>包装印刷</v>
      </c>
      <c r="Z1958" s="302" t="str">
        <f ca="1">IF(Y1958=行业比较!$E$6,ROW(),"")</f>
        <v/>
      </c>
      <c r="AA1958" s="122"/>
      <c r="AB1958" s="122"/>
      <c r="AC1958" s="122"/>
      <c r="AD1958" s="122"/>
      <c r="AE1958" s="122"/>
      <c r="AF1958" s="122"/>
      <c r="AG1958" s="122"/>
      <c r="AH1958" s="122"/>
      <c r="AI1958" s="122"/>
      <c r="AJ1958" s="122"/>
      <c r="AK1958" s="122"/>
      <c r="AL1958" s="122"/>
      <c r="AM1958" s="122"/>
      <c r="AN1958" s="122"/>
      <c r="AO1958" s="122"/>
      <c r="AP1958" s="122"/>
    </row>
    <row r="1959" spans="2:42">
      <c r="B1959" s="122"/>
      <c r="C1959" s="122"/>
      <c r="D1959" s="122"/>
      <c r="E1959" s="122"/>
      <c r="F1959" s="122"/>
      <c r="G1959" s="122"/>
      <c r="H1959" s="122"/>
      <c r="I1959" s="275"/>
      <c r="J1959" s="130"/>
      <c r="K1959" s="130"/>
      <c r="L1959" s="130"/>
      <c r="M1959" s="130"/>
      <c r="N1959" s="291"/>
      <c r="O1959" s="291"/>
      <c r="P1959" s="122"/>
      <c r="Q1959" s="122"/>
      <c r="R1959" s="122"/>
      <c r="S1959" s="122"/>
      <c r="T1959" s="122"/>
      <c r="U1959" s="301"/>
      <c r="V1959" s="260">
        <f t="shared" ca="1" si="38"/>
        <v>0</v>
      </c>
      <c r="W1959" s="348" t="str">
        <f>IF(板块成分!B1961="","",板块成分!B1961)</f>
        <v>300502.SZ</v>
      </c>
      <c r="X1959" s="276" t="str">
        <f>[1]!S_Info_Name(W1959)</f>
        <v>新易盛</v>
      </c>
      <c r="Y1959" s="276" t="str">
        <f ca="1">IF($Y$3="申万一级行业",[1]!s_info_industry_sw_2021(W1959,公司分析!D$5,1),IF($Y$3="申万二级行业",[1]!s_info_industry_sw_2021(W1959,公司分析!D$5,2),IF($Y$3="申万三级行业",[1]!s_info_industry_sw_2021(W1959,公司分析!D$5,3),IF($Y$3="wind一级行业",[1]!s_info_industry_gics(W1959,1),IF($Y$3="wind二级行业",[1]!s_info_industry_gics(W1959,2),IF($Y$3="wind三级行业",[1]!s_info_industry_gics(W1959,3),IF($Y$3="wind四级行业",[1]!s_info_industry_gics(W1959,4),IF($Y$3="证监会门类行业",[1]!s_info_industry_csrc12_n(W1959,公司分析!D$5,1),""))))))))</f>
        <v>通信设备</v>
      </c>
      <c r="Z1959" s="302" t="str">
        <f ca="1">IF(Y1959=行业比较!$E$6,ROW(),"")</f>
        <v/>
      </c>
      <c r="AA1959" s="122"/>
      <c r="AB1959" s="122"/>
      <c r="AC1959" s="122"/>
      <c r="AD1959" s="122"/>
      <c r="AE1959" s="122"/>
      <c r="AF1959" s="122"/>
      <c r="AG1959" s="122"/>
      <c r="AH1959" s="122"/>
      <c r="AI1959" s="122"/>
      <c r="AJ1959" s="122"/>
      <c r="AK1959" s="122"/>
      <c r="AL1959" s="122"/>
      <c r="AM1959" s="122"/>
      <c r="AN1959" s="122"/>
      <c r="AO1959" s="122"/>
      <c r="AP1959" s="122"/>
    </row>
    <row r="1960" spans="2:42">
      <c r="B1960" s="122"/>
      <c r="C1960" s="122"/>
      <c r="D1960" s="122"/>
      <c r="E1960" s="122"/>
      <c r="F1960" s="122"/>
      <c r="G1960" s="122"/>
      <c r="H1960" s="122"/>
      <c r="I1960" s="275"/>
      <c r="J1960" s="130"/>
      <c r="K1960" s="130"/>
      <c r="L1960" s="130"/>
      <c r="M1960" s="130"/>
      <c r="N1960" s="291"/>
      <c r="O1960" s="291"/>
      <c r="P1960" s="122"/>
      <c r="Q1960" s="122"/>
      <c r="R1960" s="122"/>
      <c r="S1960" s="122"/>
      <c r="T1960" s="122"/>
      <c r="U1960" s="301"/>
      <c r="V1960" s="260">
        <f t="shared" ca="1" si="38"/>
        <v>0</v>
      </c>
      <c r="W1960" s="348" t="str">
        <f>IF(板块成分!B1962="","",板块成分!B1962)</f>
        <v>300503.SZ</v>
      </c>
      <c r="X1960" s="276" t="str">
        <f>[1]!S_Info_Name(W1960)</f>
        <v>昊志机电</v>
      </c>
      <c r="Y1960" s="276" t="str">
        <f ca="1">IF($Y$3="申万一级行业",[1]!s_info_industry_sw_2021(W1960,公司分析!D$5,1),IF($Y$3="申万二级行业",[1]!s_info_industry_sw_2021(W1960,公司分析!D$5,2),IF($Y$3="申万三级行业",[1]!s_info_industry_sw_2021(W1960,公司分析!D$5,3),IF($Y$3="wind一级行业",[1]!s_info_industry_gics(W1960,1),IF($Y$3="wind二级行业",[1]!s_info_industry_gics(W1960,2),IF($Y$3="wind三级行业",[1]!s_info_industry_gics(W1960,3),IF($Y$3="wind四级行业",[1]!s_info_industry_gics(W1960,4),IF($Y$3="证监会门类行业",[1]!s_info_industry_csrc12_n(W1960,公司分析!D$5,1),""))))))))</f>
        <v>通用设备</v>
      </c>
      <c r="Z1960" s="302" t="str">
        <f ca="1">IF(Y1960=行业比较!$E$6,ROW(),"")</f>
        <v/>
      </c>
      <c r="AA1960" s="122"/>
      <c r="AB1960" s="122"/>
      <c r="AC1960" s="122"/>
      <c r="AD1960" s="122"/>
      <c r="AE1960" s="122"/>
      <c r="AF1960" s="122"/>
      <c r="AG1960" s="122"/>
      <c r="AH1960" s="122"/>
      <c r="AI1960" s="122"/>
      <c r="AJ1960" s="122"/>
      <c r="AK1960" s="122"/>
      <c r="AL1960" s="122"/>
      <c r="AM1960" s="122"/>
      <c r="AN1960" s="122"/>
      <c r="AO1960" s="122"/>
      <c r="AP1960" s="122"/>
    </row>
    <row r="1961" spans="2:42">
      <c r="B1961" s="122"/>
      <c r="C1961" s="122"/>
      <c r="D1961" s="122"/>
      <c r="E1961" s="122"/>
      <c r="F1961" s="122"/>
      <c r="G1961" s="122"/>
      <c r="H1961" s="122"/>
      <c r="I1961" s="275"/>
      <c r="J1961" s="130"/>
      <c r="K1961" s="130"/>
      <c r="L1961" s="130"/>
      <c r="M1961" s="130"/>
      <c r="N1961" s="291"/>
      <c r="O1961" s="291"/>
      <c r="P1961" s="122"/>
      <c r="Q1961" s="122"/>
      <c r="R1961" s="122"/>
      <c r="S1961" s="122"/>
      <c r="T1961" s="122"/>
      <c r="U1961" s="301"/>
      <c r="V1961" s="260">
        <f t="shared" ca="1" si="38"/>
        <v>0</v>
      </c>
      <c r="W1961" s="348" t="str">
        <f>IF(板块成分!B1963="","",板块成分!B1963)</f>
        <v>300504.SZ</v>
      </c>
      <c r="X1961" s="276" t="str">
        <f>[1]!S_Info_Name(W1961)</f>
        <v>天邑股份</v>
      </c>
      <c r="Y1961" s="276" t="str">
        <f ca="1">IF($Y$3="申万一级行业",[1]!s_info_industry_sw_2021(W1961,公司分析!D$5,1),IF($Y$3="申万二级行业",[1]!s_info_industry_sw_2021(W1961,公司分析!D$5,2),IF($Y$3="申万三级行业",[1]!s_info_industry_sw_2021(W1961,公司分析!D$5,3),IF($Y$3="wind一级行业",[1]!s_info_industry_gics(W1961,1),IF($Y$3="wind二级行业",[1]!s_info_industry_gics(W1961,2),IF($Y$3="wind三级行业",[1]!s_info_industry_gics(W1961,3),IF($Y$3="wind四级行业",[1]!s_info_industry_gics(W1961,4),IF($Y$3="证监会门类行业",[1]!s_info_industry_csrc12_n(W1961,公司分析!D$5,1),""))))))))</f>
        <v>通信设备</v>
      </c>
      <c r="Z1961" s="302" t="str">
        <f ca="1">IF(Y1961=行业比较!$E$6,ROW(),"")</f>
        <v/>
      </c>
      <c r="AA1961" s="122"/>
      <c r="AB1961" s="122"/>
      <c r="AC1961" s="122"/>
      <c r="AD1961" s="122"/>
      <c r="AE1961" s="122"/>
      <c r="AF1961" s="122"/>
      <c r="AG1961" s="122"/>
      <c r="AH1961" s="122"/>
      <c r="AI1961" s="122"/>
      <c r="AJ1961" s="122"/>
      <c r="AK1961" s="122"/>
      <c r="AL1961" s="122"/>
      <c r="AM1961" s="122"/>
      <c r="AN1961" s="122"/>
      <c r="AO1961" s="122"/>
      <c r="AP1961" s="122"/>
    </row>
    <row r="1962" spans="2:42">
      <c r="B1962" s="122"/>
      <c r="C1962" s="122"/>
      <c r="D1962" s="122"/>
      <c r="E1962" s="122"/>
      <c r="F1962" s="122"/>
      <c r="G1962" s="122"/>
      <c r="H1962" s="122"/>
      <c r="I1962" s="275"/>
      <c r="J1962" s="130"/>
      <c r="K1962" s="130"/>
      <c r="L1962" s="130"/>
      <c r="M1962" s="130"/>
      <c r="N1962" s="291"/>
      <c r="O1962" s="291"/>
      <c r="P1962" s="122"/>
      <c r="Q1962" s="122"/>
      <c r="R1962" s="122"/>
      <c r="S1962" s="122"/>
      <c r="T1962" s="122"/>
      <c r="U1962" s="301"/>
      <c r="V1962" s="260">
        <f t="shared" ca="1" si="38"/>
        <v>0</v>
      </c>
      <c r="W1962" s="348" t="str">
        <f>IF(板块成分!B1964="","",板块成分!B1964)</f>
        <v>300505.SZ</v>
      </c>
      <c r="X1962" s="276" t="str">
        <f>[1]!S_Info_Name(W1962)</f>
        <v>川金诺</v>
      </c>
      <c r="Y1962" s="276" t="str">
        <f ca="1">IF($Y$3="申万一级行业",[1]!s_info_industry_sw_2021(W1962,公司分析!D$5,1),IF($Y$3="申万二级行业",[1]!s_info_industry_sw_2021(W1962,公司分析!D$5,2),IF($Y$3="申万三级行业",[1]!s_info_industry_sw_2021(W1962,公司分析!D$5,3),IF($Y$3="wind一级行业",[1]!s_info_industry_gics(W1962,1),IF($Y$3="wind二级行业",[1]!s_info_industry_gics(W1962,2),IF($Y$3="wind三级行业",[1]!s_info_industry_gics(W1962,3),IF($Y$3="wind四级行业",[1]!s_info_industry_gics(W1962,4),IF($Y$3="证监会门类行业",[1]!s_info_industry_csrc12_n(W1962,公司分析!D$5,1),""))))))))</f>
        <v>农化制品</v>
      </c>
      <c r="Z1962" s="302" t="str">
        <f ca="1">IF(Y1962=行业比较!$E$6,ROW(),"")</f>
        <v/>
      </c>
      <c r="AA1962" s="122"/>
      <c r="AB1962" s="122"/>
      <c r="AC1962" s="122"/>
      <c r="AD1962" s="122"/>
      <c r="AE1962" s="122"/>
      <c r="AF1962" s="122"/>
      <c r="AG1962" s="122"/>
      <c r="AH1962" s="122"/>
      <c r="AI1962" s="122"/>
      <c r="AJ1962" s="122"/>
      <c r="AK1962" s="122"/>
      <c r="AL1962" s="122"/>
      <c r="AM1962" s="122"/>
      <c r="AN1962" s="122"/>
      <c r="AO1962" s="122"/>
      <c r="AP1962" s="122"/>
    </row>
    <row r="1963" spans="2:42">
      <c r="B1963" s="122"/>
      <c r="C1963" s="122"/>
      <c r="D1963" s="122"/>
      <c r="E1963" s="122"/>
      <c r="F1963" s="122"/>
      <c r="G1963" s="122"/>
      <c r="H1963" s="122"/>
      <c r="I1963" s="275"/>
      <c r="J1963" s="130"/>
      <c r="K1963" s="130"/>
      <c r="L1963" s="130"/>
      <c r="M1963" s="130"/>
      <c r="N1963" s="291"/>
      <c r="O1963" s="291"/>
      <c r="P1963" s="122"/>
      <c r="Q1963" s="122"/>
      <c r="R1963" s="122"/>
      <c r="S1963" s="122"/>
      <c r="T1963" s="122"/>
      <c r="U1963" s="301"/>
      <c r="V1963" s="260">
        <f t="shared" ca="1" si="38"/>
        <v>0</v>
      </c>
      <c r="W1963" s="348" t="str">
        <f>IF(板块成分!B1965="","",板块成分!B1965)</f>
        <v>300506.SZ</v>
      </c>
      <c r="X1963" s="276" t="str">
        <f>[1]!S_Info_Name(W1963)</f>
        <v>ST名家汇</v>
      </c>
      <c r="Y1963" s="276" t="str">
        <f ca="1">IF($Y$3="申万一级行业",[1]!s_info_industry_sw_2021(W1963,公司分析!D$5,1),IF($Y$3="申万二级行业",[1]!s_info_industry_sw_2021(W1963,公司分析!D$5,2),IF($Y$3="申万三级行业",[1]!s_info_industry_sw_2021(W1963,公司分析!D$5,3),IF($Y$3="wind一级行业",[1]!s_info_industry_gics(W1963,1),IF($Y$3="wind二级行业",[1]!s_info_industry_gics(W1963,2),IF($Y$3="wind三级行业",[1]!s_info_industry_gics(W1963,3),IF($Y$3="wind四级行业",[1]!s_info_industry_gics(W1963,4),IF($Y$3="证监会门类行业",[1]!s_info_industry_csrc12_n(W1963,公司分析!D$5,1),""))))))))</f>
        <v>装修装饰Ⅱ</v>
      </c>
      <c r="Z1963" s="302" t="str">
        <f ca="1">IF(Y1963=行业比较!$E$6,ROW(),"")</f>
        <v/>
      </c>
      <c r="AA1963" s="122"/>
      <c r="AB1963" s="122"/>
      <c r="AC1963" s="122"/>
      <c r="AD1963" s="122"/>
      <c r="AE1963" s="122"/>
      <c r="AF1963" s="122"/>
      <c r="AG1963" s="122"/>
      <c r="AH1963" s="122"/>
      <c r="AI1963" s="122"/>
      <c r="AJ1963" s="122"/>
      <c r="AK1963" s="122"/>
      <c r="AL1963" s="122"/>
      <c r="AM1963" s="122"/>
      <c r="AN1963" s="122"/>
      <c r="AO1963" s="122"/>
      <c r="AP1963" s="122"/>
    </row>
    <row r="1964" spans="2:42">
      <c r="B1964" s="122"/>
      <c r="C1964" s="122"/>
      <c r="D1964" s="122"/>
      <c r="E1964" s="122"/>
      <c r="F1964" s="122"/>
      <c r="G1964" s="122"/>
      <c r="H1964" s="122"/>
      <c r="I1964" s="275"/>
      <c r="J1964" s="130"/>
      <c r="K1964" s="130"/>
      <c r="L1964" s="130"/>
      <c r="M1964" s="130"/>
      <c r="N1964" s="291"/>
      <c r="O1964" s="291"/>
      <c r="P1964" s="122"/>
      <c r="Q1964" s="122"/>
      <c r="R1964" s="122"/>
      <c r="S1964" s="122"/>
      <c r="T1964" s="122"/>
      <c r="U1964" s="301"/>
      <c r="V1964" s="260">
        <f t="shared" ca="1" si="38"/>
        <v>0</v>
      </c>
      <c r="W1964" s="348" t="str">
        <f>IF(板块成分!B1966="","",板块成分!B1966)</f>
        <v>300507.SZ</v>
      </c>
      <c r="X1964" s="276" t="str">
        <f>[1]!S_Info_Name(W1964)</f>
        <v>苏奥传感</v>
      </c>
      <c r="Y1964" s="276" t="str">
        <f ca="1">IF($Y$3="申万一级行业",[1]!s_info_industry_sw_2021(W1964,公司分析!D$5,1),IF($Y$3="申万二级行业",[1]!s_info_industry_sw_2021(W1964,公司分析!D$5,2),IF($Y$3="申万三级行业",[1]!s_info_industry_sw_2021(W1964,公司分析!D$5,3),IF($Y$3="wind一级行业",[1]!s_info_industry_gics(W1964,1),IF($Y$3="wind二级行业",[1]!s_info_industry_gics(W1964,2),IF($Y$3="wind三级行业",[1]!s_info_industry_gics(W1964,3),IF($Y$3="wind四级行业",[1]!s_info_industry_gics(W1964,4),IF($Y$3="证监会门类行业",[1]!s_info_industry_csrc12_n(W1964,公司分析!D$5,1),""))))))))</f>
        <v>汽车零部件</v>
      </c>
      <c r="Z1964" s="302" t="str">
        <f ca="1">IF(Y1964=行业比较!$E$6,ROW(),"")</f>
        <v/>
      </c>
      <c r="AA1964" s="122"/>
      <c r="AB1964" s="122"/>
      <c r="AC1964" s="122"/>
      <c r="AD1964" s="122"/>
      <c r="AE1964" s="122"/>
      <c r="AF1964" s="122"/>
      <c r="AG1964" s="122"/>
      <c r="AH1964" s="122"/>
      <c r="AI1964" s="122"/>
      <c r="AJ1964" s="122"/>
      <c r="AK1964" s="122"/>
      <c r="AL1964" s="122"/>
      <c r="AM1964" s="122"/>
      <c r="AN1964" s="122"/>
      <c r="AO1964" s="122"/>
      <c r="AP1964" s="122"/>
    </row>
    <row r="1965" spans="2:42">
      <c r="B1965" s="122"/>
      <c r="C1965" s="122"/>
      <c r="D1965" s="122"/>
      <c r="E1965" s="122"/>
      <c r="F1965" s="122"/>
      <c r="G1965" s="122"/>
      <c r="H1965" s="122"/>
      <c r="I1965" s="275"/>
      <c r="J1965" s="130"/>
      <c r="K1965" s="130"/>
      <c r="L1965" s="130"/>
      <c r="M1965" s="130"/>
      <c r="N1965" s="291"/>
      <c r="O1965" s="291"/>
      <c r="P1965" s="122"/>
      <c r="Q1965" s="122"/>
      <c r="R1965" s="122"/>
      <c r="S1965" s="122"/>
      <c r="T1965" s="122"/>
      <c r="U1965" s="301"/>
      <c r="V1965" s="260">
        <f t="shared" ca="1" si="38"/>
        <v>0</v>
      </c>
      <c r="W1965" s="348" t="str">
        <f>IF(板块成分!B1967="","",板块成分!B1967)</f>
        <v>300508.SZ</v>
      </c>
      <c r="X1965" s="276" t="str">
        <f>[1]!S_Info_Name(W1965)</f>
        <v>维宏股份</v>
      </c>
      <c r="Y1965" s="276" t="str">
        <f ca="1">IF($Y$3="申万一级行业",[1]!s_info_industry_sw_2021(W1965,公司分析!D$5,1),IF($Y$3="申万二级行业",[1]!s_info_industry_sw_2021(W1965,公司分析!D$5,2),IF($Y$3="申万三级行业",[1]!s_info_industry_sw_2021(W1965,公司分析!D$5,3),IF($Y$3="wind一级行业",[1]!s_info_industry_gics(W1965,1),IF($Y$3="wind二级行业",[1]!s_info_industry_gics(W1965,2),IF($Y$3="wind三级行业",[1]!s_info_industry_gics(W1965,3),IF($Y$3="wind四级行业",[1]!s_info_industry_gics(W1965,4),IF($Y$3="证监会门类行业",[1]!s_info_industry_csrc12_n(W1965,公司分析!D$5,1),""))))))))</f>
        <v>计算机设备</v>
      </c>
      <c r="Z1965" s="302" t="str">
        <f ca="1">IF(Y1965=行业比较!$E$6,ROW(),"")</f>
        <v/>
      </c>
      <c r="AA1965" s="122"/>
      <c r="AB1965" s="122"/>
      <c r="AC1965" s="122"/>
      <c r="AD1965" s="122"/>
      <c r="AE1965" s="122"/>
      <c r="AF1965" s="122"/>
      <c r="AG1965" s="122"/>
      <c r="AH1965" s="122"/>
      <c r="AI1965" s="122"/>
      <c r="AJ1965" s="122"/>
      <c r="AK1965" s="122"/>
      <c r="AL1965" s="122"/>
      <c r="AM1965" s="122"/>
      <c r="AN1965" s="122"/>
      <c r="AO1965" s="122"/>
      <c r="AP1965" s="122"/>
    </row>
    <row r="1966" spans="2:42">
      <c r="B1966" s="122"/>
      <c r="C1966" s="122"/>
      <c r="D1966" s="122"/>
      <c r="E1966" s="122"/>
      <c r="F1966" s="122"/>
      <c r="G1966" s="122"/>
      <c r="H1966" s="122"/>
      <c r="I1966" s="275"/>
      <c r="J1966" s="130"/>
      <c r="K1966" s="130"/>
      <c r="L1966" s="130"/>
      <c r="M1966" s="130"/>
      <c r="N1966" s="291"/>
      <c r="O1966" s="291"/>
      <c r="P1966" s="122"/>
      <c r="Q1966" s="122"/>
      <c r="R1966" s="122"/>
      <c r="S1966" s="122"/>
      <c r="T1966" s="122"/>
      <c r="U1966" s="301"/>
      <c r="V1966" s="260">
        <f t="shared" ca="1" si="38"/>
        <v>0</v>
      </c>
      <c r="W1966" s="348" t="str">
        <f>IF(板块成分!B1968="","",板块成分!B1968)</f>
        <v>300509.SZ</v>
      </c>
      <c r="X1966" s="276" t="str">
        <f>[1]!S_Info_Name(W1966)</f>
        <v>新美星</v>
      </c>
      <c r="Y1966" s="276" t="str">
        <f ca="1">IF($Y$3="申万一级行业",[1]!s_info_industry_sw_2021(W1966,公司分析!D$5,1),IF($Y$3="申万二级行业",[1]!s_info_industry_sw_2021(W1966,公司分析!D$5,2),IF($Y$3="申万三级行业",[1]!s_info_industry_sw_2021(W1966,公司分析!D$5,3),IF($Y$3="wind一级行业",[1]!s_info_industry_gics(W1966,1),IF($Y$3="wind二级行业",[1]!s_info_industry_gics(W1966,2),IF($Y$3="wind三级行业",[1]!s_info_industry_gics(W1966,3),IF($Y$3="wind四级行业",[1]!s_info_industry_gics(W1966,4),IF($Y$3="证监会门类行业",[1]!s_info_industry_csrc12_n(W1966,公司分析!D$5,1),""))))))))</f>
        <v>专用设备</v>
      </c>
      <c r="Z1966" s="302" t="str">
        <f ca="1">IF(Y1966=行业比较!$E$6,ROW(),"")</f>
        <v/>
      </c>
      <c r="AA1966" s="122"/>
      <c r="AB1966" s="122"/>
      <c r="AC1966" s="122"/>
      <c r="AD1966" s="122"/>
      <c r="AE1966" s="122"/>
      <c r="AF1966" s="122"/>
      <c r="AG1966" s="122"/>
      <c r="AH1966" s="122"/>
      <c r="AI1966" s="122"/>
      <c r="AJ1966" s="122"/>
      <c r="AK1966" s="122"/>
      <c r="AL1966" s="122"/>
      <c r="AM1966" s="122"/>
      <c r="AN1966" s="122"/>
      <c r="AO1966" s="122"/>
      <c r="AP1966" s="122"/>
    </row>
    <row r="1967" spans="2:42">
      <c r="B1967" s="122"/>
      <c r="C1967" s="122"/>
      <c r="D1967" s="122"/>
      <c r="E1967" s="122"/>
      <c r="F1967" s="122"/>
      <c r="G1967" s="122"/>
      <c r="H1967" s="122"/>
      <c r="I1967" s="275"/>
      <c r="J1967" s="130"/>
      <c r="K1967" s="130"/>
      <c r="L1967" s="130"/>
      <c r="M1967" s="130"/>
      <c r="N1967" s="291"/>
      <c r="O1967" s="291"/>
      <c r="P1967" s="122"/>
      <c r="Q1967" s="122"/>
      <c r="R1967" s="122"/>
      <c r="S1967" s="122"/>
      <c r="T1967" s="122"/>
      <c r="U1967" s="301"/>
      <c r="V1967" s="260">
        <f t="shared" ca="1" si="38"/>
        <v>0</v>
      </c>
      <c r="W1967" s="348" t="str">
        <f>IF(板块成分!B1969="","",板块成分!B1969)</f>
        <v>300510.SZ</v>
      </c>
      <c r="X1967" s="276" t="str">
        <f>[1]!S_Info_Name(W1967)</f>
        <v>金冠股份</v>
      </c>
      <c r="Y1967" s="276" t="str">
        <f ca="1">IF($Y$3="申万一级行业",[1]!s_info_industry_sw_2021(W1967,公司分析!D$5,1),IF($Y$3="申万二级行业",[1]!s_info_industry_sw_2021(W1967,公司分析!D$5,2),IF($Y$3="申万三级行业",[1]!s_info_industry_sw_2021(W1967,公司分析!D$5,3),IF($Y$3="wind一级行业",[1]!s_info_industry_gics(W1967,1),IF($Y$3="wind二级行业",[1]!s_info_industry_gics(W1967,2),IF($Y$3="wind三级行业",[1]!s_info_industry_gics(W1967,3),IF($Y$3="wind四级行业",[1]!s_info_industry_gics(W1967,4),IF($Y$3="证监会门类行业",[1]!s_info_industry_csrc12_n(W1967,公司分析!D$5,1),""))))))))</f>
        <v>电网设备</v>
      </c>
      <c r="Z1967" s="302" t="str">
        <f ca="1">IF(Y1967=行业比较!$E$6,ROW(),"")</f>
        <v/>
      </c>
      <c r="AA1967" s="122"/>
      <c r="AB1967" s="122"/>
      <c r="AC1967" s="122"/>
      <c r="AD1967" s="122"/>
      <c r="AE1967" s="122"/>
      <c r="AF1967" s="122"/>
      <c r="AG1967" s="122"/>
      <c r="AH1967" s="122"/>
      <c r="AI1967" s="122"/>
      <c r="AJ1967" s="122"/>
      <c r="AK1967" s="122"/>
      <c r="AL1967" s="122"/>
      <c r="AM1967" s="122"/>
      <c r="AN1967" s="122"/>
      <c r="AO1967" s="122"/>
      <c r="AP1967" s="122"/>
    </row>
    <row r="1968" spans="2:42">
      <c r="B1968" s="122"/>
      <c r="C1968" s="122"/>
      <c r="D1968" s="122"/>
      <c r="E1968" s="122"/>
      <c r="F1968" s="122"/>
      <c r="G1968" s="122"/>
      <c r="H1968" s="122"/>
      <c r="I1968" s="275"/>
      <c r="J1968" s="130"/>
      <c r="K1968" s="130"/>
      <c r="L1968" s="130"/>
      <c r="M1968" s="130"/>
      <c r="N1968" s="291"/>
      <c r="O1968" s="291"/>
      <c r="P1968" s="122"/>
      <c r="Q1968" s="122"/>
      <c r="R1968" s="122"/>
      <c r="S1968" s="122"/>
      <c r="T1968" s="122"/>
      <c r="U1968" s="301"/>
      <c r="V1968" s="260">
        <f t="shared" ca="1" si="38"/>
        <v>0</v>
      </c>
      <c r="W1968" s="348" t="str">
        <f>IF(板块成分!B1970="","",板块成分!B1970)</f>
        <v>300511.SZ</v>
      </c>
      <c r="X1968" s="276" t="str">
        <f>[1]!S_Info_Name(W1968)</f>
        <v>雪榕生物</v>
      </c>
      <c r="Y1968" s="276" t="str">
        <f ca="1">IF($Y$3="申万一级行业",[1]!s_info_industry_sw_2021(W1968,公司分析!D$5,1),IF($Y$3="申万二级行业",[1]!s_info_industry_sw_2021(W1968,公司分析!D$5,2),IF($Y$3="申万三级行业",[1]!s_info_industry_sw_2021(W1968,公司分析!D$5,3),IF($Y$3="wind一级行业",[1]!s_info_industry_gics(W1968,1),IF($Y$3="wind二级行业",[1]!s_info_industry_gics(W1968,2),IF($Y$3="wind三级行业",[1]!s_info_industry_gics(W1968,3),IF($Y$3="wind四级行业",[1]!s_info_industry_gics(W1968,4),IF($Y$3="证监会门类行业",[1]!s_info_industry_csrc12_n(W1968,公司分析!D$5,1),""))))))))</f>
        <v>种植业</v>
      </c>
      <c r="Z1968" s="302" t="str">
        <f ca="1">IF(Y1968=行业比较!$E$6,ROW(),"")</f>
        <v/>
      </c>
      <c r="AA1968" s="122"/>
      <c r="AB1968" s="122"/>
      <c r="AC1968" s="122"/>
      <c r="AD1968" s="122"/>
      <c r="AE1968" s="122"/>
      <c r="AF1968" s="122"/>
      <c r="AG1968" s="122"/>
      <c r="AH1968" s="122"/>
      <c r="AI1968" s="122"/>
      <c r="AJ1968" s="122"/>
      <c r="AK1968" s="122"/>
      <c r="AL1968" s="122"/>
      <c r="AM1968" s="122"/>
      <c r="AN1968" s="122"/>
      <c r="AO1968" s="122"/>
      <c r="AP1968" s="122"/>
    </row>
    <row r="1969" spans="2:42">
      <c r="B1969" s="122"/>
      <c r="C1969" s="122"/>
      <c r="D1969" s="122"/>
      <c r="E1969" s="122"/>
      <c r="F1969" s="122"/>
      <c r="G1969" s="122"/>
      <c r="H1969" s="122"/>
      <c r="I1969" s="275"/>
      <c r="J1969" s="130"/>
      <c r="K1969" s="130"/>
      <c r="L1969" s="130"/>
      <c r="M1969" s="130"/>
      <c r="N1969" s="291"/>
      <c r="O1969" s="291"/>
      <c r="P1969" s="122"/>
      <c r="Q1969" s="122"/>
      <c r="R1969" s="122"/>
      <c r="S1969" s="122"/>
      <c r="T1969" s="122"/>
      <c r="U1969" s="301"/>
      <c r="V1969" s="260">
        <f t="shared" ca="1" si="38"/>
        <v>0</v>
      </c>
      <c r="W1969" s="348" t="str">
        <f>IF(板块成分!B1971="","",板块成分!B1971)</f>
        <v>300512.SZ</v>
      </c>
      <c r="X1969" s="276" t="str">
        <f>[1]!S_Info_Name(W1969)</f>
        <v>中亚股份</v>
      </c>
      <c r="Y1969" s="276" t="str">
        <f ca="1">IF($Y$3="申万一级行业",[1]!s_info_industry_sw_2021(W1969,公司分析!D$5,1),IF($Y$3="申万二级行业",[1]!s_info_industry_sw_2021(W1969,公司分析!D$5,2),IF($Y$3="申万三级行业",[1]!s_info_industry_sw_2021(W1969,公司分析!D$5,3),IF($Y$3="wind一级行业",[1]!s_info_industry_gics(W1969,1),IF($Y$3="wind二级行业",[1]!s_info_industry_gics(W1969,2),IF($Y$3="wind三级行业",[1]!s_info_industry_gics(W1969,3),IF($Y$3="wind四级行业",[1]!s_info_industry_gics(W1969,4),IF($Y$3="证监会门类行业",[1]!s_info_industry_csrc12_n(W1969,公司分析!D$5,1),""))))))))</f>
        <v>专用设备</v>
      </c>
      <c r="Z1969" s="302" t="str">
        <f ca="1">IF(Y1969=行业比较!$E$6,ROW(),"")</f>
        <v/>
      </c>
      <c r="AA1969" s="122"/>
      <c r="AB1969" s="122"/>
      <c r="AC1969" s="122"/>
      <c r="AD1969" s="122"/>
      <c r="AE1969" s="122"/>
      <c r="AF1969" s="122"/>
      <c r="AG1969" s="122"/>
      <c r="AH1969" s="122"/>
      <c r="AI1969" s="122"/>
      <c r="AJ1969" s="122"/>
      <c r="AK1969" s="122"/>
      <c r="AL1969" s="122"/>
      <c r="AM1969" s="122"/>
      <c r="AN1969" s="122"/>
      <c r="AO1969" s="122"/>
      <c r="AP1969" s="122"/>
    </row>
    <row r="1970" spans="2:42">
      <c r="B1970" s="122"/>
      <c r="C1970" s="122"/>
      <c r="D1970" s="122"/>
      <c r="E1970" s="122"/>
      <c r="F1970" s="122"/>
      <c r="G1970" s="122"/>
      <c r="H1970" s="122"/>
      <c r="I1970" s="275"/>
      <c r="J1970" s="130"/>
      <c r="K1970" s="130"/>
      <c r="L1970" s="130"/>
      <c r="M1970" s="130"/>
      <c r="N1970" s="291"/>
      <c r="O1970" s="291"/>
      <c r="P1970" s="122"/>
      <c r="Q1970" s="122"/>
      <c r="R1970" s="122"/>
      <c r="S1970" s="122"/>
      <c r="T1970" s="122"/>
      <c r="U1970" s="301"/>
      <c r="V1970" s="260">
        <f t="shared" ca="1" si="38"/>
        <v>0</v>
      </c>
      <c r="W1970" s="348" t="str">
        <f>IF(板块成分!B1972="","",板块成分!B1972)</f>
        <v>300513.SZ</v>
      </c>
      <c r="X1970" s="276" t="str">
        <f>[1]!S_Info_Name(W1970)</f>
        <v>恒实科技</v>
      </c>
      <c r="Y1970" s="276" t="str">
        <f ca="1">IF($Y$3="申万一级行业",[1]!s_info_industry_sw_2021(W1970,公司分析!D$5,1),IF($Y$3="申万二级行业",[1]!s_info_industry_sw_2021(W1970,公司分析!D$5,2),IF($Y$3="申万三级行业",[1]!s_info_industry_sw_2021(W1970,公司分析!D$5,3),IF($Y$3="wind一级行业",[1]!s_info_industry_gics(W1970,1),IF($Y$3="wind二级行业",[1]!s_info_industry_gics(W1970,2),IF($Y$3="wind三级行业",[1]!s_info_industry_gics(W1970,3),IF($Y$3="wind四级行业",[1]!s_info_industry_gics(W1970,4),IF($Y$3="证监会门类行业",[1]!s_info_industry_csrc12_n(W1970,公司分析!D$5,1),""))))))))</f>
        <v>通信服务</v>
      </c>
      <c r="Z1970" s="302" t="str">
        <f ca="1">IF(Y1970=行业比较!$E$6,ROW(),"")</f>
        <v/>
      </c>
      <c r="AA1970" s="122"/>
      <c r="AB1970" s="122"/>
      <c r="AC1970" s="122"/>
      <c r="AD1970" s="122"/>
      <c r="AE1970" s="122"/>
      <c r="AF1970" s="122"/>
      <c r="AG1970" s="122"/>
      <c r="AH1970" s="122"/>
      <c r="AI1970" s="122"/>
      <c r="AJ1970" s="122"/>
      <c r="AK1970" s="122"/>
      <c r="AL1970" s="122"/>
      <c r="AM1970" s="122"/>
      <c r="AN1970" s="122"/>
      <c r="AO1970" s="122"/>
      <c r="AP1970" s="122"/>
    </row>
    <row r="1971" spans="2:42">
      <c r="B1971" s="122"/>
      <c r="C1971" s="122"/>
      <c r="D1971" s="122"/>
      <c r="E1971" s="122"/>
      <c r="F1971" s="122"/>
      <c r="G1971" s="122"/>
      <c r="H1971" s="122"/>
      <c r="I1971" s="275"/>
      <c r="J1971" s="130"/>
      <c r="K1971" s="130"/>
      <c r="L1971" s="130"/>
      <c r="M1971" s="130"/>
      <c r="N1971" s="291"/>
      <c r="O1971" s="291"/>
      <c r="P1971" s="122"/>
      <c r="Q1971" s="122"/>
      <c r="R1971" s="122"/>
      <c r="S1971" s="122"/>
      <c r="T1971" s="122"/>
      <c r="U1971" s="301"/>
      <c r="V1971" s="260">
        <f t="shared" ca="1" si="38"/>
        <v>0</v>
      </c>
      <c r="W1971" s="348" t="str">
        <f>IF(板块成分!B1973="","",板块成分!B1973)</f>
        <v>300514.SZ</v>
      </c>
      <c r="X1971" s="276" t="str">
        <f>[1]!S_Info_Name(W1971)</f>
        <v>友讯达</v>
      </c>
      <c r="Y1971" s="276" t="str">
        <f ca="1">IF($Y$3="申万一级行业",[1]!s_info_industry_sw_2021(W1971,公司分析!D$5,1),IF($Y$3="申万二级行业",[1]!s_info_industry_sw_2021(W1971,公司分析!D$5,2),IF($Y$3="申万三级行业",[1]!s_info_industry_sw_2021(W1971,公司分析!D$5,3),IF($Y$3="wind一级行业",[1]!s_info_industry_gics(W1971,1),IF($Y$3="wind二级行业",[1]!s_info_industry_gics(W1971,2),IF($Y$3="wind三级行业",[1]!s_info_industry_gics(W1971,3),IF($Y$3="wind四级行业",[1]!s_info_industry_gics(W1971,4),IF($Y$3="证监会门类行业",[1]!s_info_industry_csrc12_n(W1971,公司分析!D$5,1),""))))))))</f>
        <v>电网设备</v>
      </c>
      <c r="Z1971" s="302" t="str">
        <f ca="1">IF(Y1971=行业比较!$E$6,ROW(),"")</f>
        <v/>
      </c>
      <c r="AA1971" s="122"/>
      <c r="AB1971" s="122"/>
      <c r="AC1971" s="122"/>
      <c r="AD1971" s="122"/>
      <c r="AE1971" s="122"/>
      <c r="AF1971" s="122"/>
      <c r="AG1971" s="122"/>
      <c r="AH1971" s="122"/>
      <c r="AI1971" s="122"/>
      <c r="AJ1971" s="122"/>
      <c r="AK1971" s="122"/>
      <c r="AL1971" s="122"/>
      <c r="AM1971" s="122"/>
      <c r="AN1971" s="122"/>
      <c r="AO1971" s="122"/>
      <c r="AP1971" s="122"/>
    </row>
    <row r="1972" spans="2:42">
      <c r="B1972" s="122"/>
      <c r="C1972" s="122"/>
      <c r="D1972" s="122"/>
      <c r="E1972" s="122"/>
      <c r="F1972" s="122"/>
      <c r="G1972" s="122"/>
      <c r="H1972" s="122"/>
      <c r="I1972" s="275"/>
      <c r="J1972" s="130"/>
      <c r="K1972" s="130"/>
      <c r="L1972" s="130"/>
      <c r="M1972" s="130"/>
      <c r="N1972" s="291"/>
      <c r="O1972" s="291"/>
      <c r="P1972" s="122"/>
      <c r="Q1972" s="122"/>
      <c r="R1972" s="122"/>
      <c r="S1972" s="122"/>
      <c r="T1972" s="122"/>
      <c r="U1972" s="301"/>
      <c r="V1972" s="260">
        <f t="shared" ca="1" si="38"/>
        <v>0</v>
      </c>
      <c r="W1972" s="348" t="str">
        <f>IF(板块成分!B1974="","",板块成分!B1974)</f>
        <v>300515.SZ</v>
      </c>
      <c r="X1972" s="276" t="str">
        <f>[1]!S_Info_Name(W1972)</f>
        <v>三德科技</v>
      </c>
      <c r="Y1972" s="276" t="str">
        <f ca="1">IF($Y$3="申万一级行业",[1]!s_info_industry_sw_2021(W1972,公司分析!D$5,1),IF($Y$3="申万二级行业",[1]!s_info_industry_sw_2021(W1972,公司分析!D$5,2),IF($Y$3="申万三级行业",[1]!s_info_industry_sw_2021(W1972,公司分析!D$5,3),IF($Y$3="wind一级行业",[1]!s_info_industry_gics(W1972,1),IF($Y$3="wind二级行业",[1]!s_info_industry_gics(W1972,2),IF($Y$3="wind三级行业",[1]!s_info_industry_gics(W1972,3),IF($Y$3="wind四级行业",[1]!s_info_industry_gics(W1972,4),IF($Y$3="证监会门类行业",[1]!s_info_industry_csrc12_n(W1972,公司分析!D$5,1),""))))))))</f>
        <v>通用设备</v>
      </c>
      <c r="Z1972" s="302" t="str">
        <f ca="1">IF(Y1972=行业比较!$E$6,ROW(),"")</f>
        <v/>
      </c>
      <c r="AA1972" s="122"/>
      <c r="AB1972" s="122"/>
      <c r="AC1972" s="122"/>
      <c r="AD1972" s="122"/>
      <c r="AE1972" s="122"/>
      <c r="AF1972" s="122"/>
      <c r="AG1972" s="122"/>
      <c r="AH1972" s="122"/>
      <c r="AI1972" s="122"/>
      <c r="AJ1972" s="122"/>
      <c r="AK1972" s="122"/>
      <c r="AL1972" s="122"/>
      <c r="AM1972" s="122"/>
      <c r="AN1972" s="122"/>
      <c r="AO1972" s="122"/>
      <c r="AP1972" s="122"/>
    </row>
    <row r="1973" spans="2:42">
      <c r="B1973" s="122"/>
      <c r="C1973" s="122"/>
      <c r="D1973" s="122"/>
      <c r="E1973" s="122"/>
      <c r="F1973" s="122"/>
      <c r="G1973" s="122"/>
      <c r="H1973" s="122"/>
      <c r="I1973" s="275"/>
      <c r="J1973" s="130"/>
      <c r="K1973" s="130"/>
      <c r="L1973" s="130"/>
      <c r="M1973" s="130"/>
      <c r="N1973" s="291"/>
      <c r="O1973" s="291"/>
      <c r="P1973" s="122"/>
      <c r="Q1973" s="122"/>
      <c r="R1973" s="122"/>
      <c r="S1973" s="122"/>
      <c r="T1973" s="122"/>
      <c r="U1973" s="301"/>
      <c r="V1973" s="260">
        <f t="shared" ca="1" si="38"/>
        <v>0</v>
      </c>
      <c r="W1973" s="348" t="str">
        <f>IF(板块成分!B1975="","",板块成分!B1975)</f>
        <v>300516.SZ</v>
      </c>
      <c r="X1973" s="276" t="str">
        <f>[1]!S_Info_Name(W1973)</f>
        <v>久之洋</v>
      </c>
      <c r="Y1973" s="276" t="str">
        <f ca="1">IF($Y$3="申万一级行业",[1]!s_info_industry_sw_2021(W1973,公司分析!D$5,1),IF($Y$3="申万二级行业",[1]!s_info_industry_sw_2021(W1973,公司分析!D$5,2),IF($Y$3="申万三级行业",[1]!s_info_industry_sw_2021(W1973,公司分析!D$5,3),IF($Y$3="wind一级行业",[1]!s_info_industry_gics(W1973,1),IF($Y$3="wind二级行业",[1]!s_info_industry_gics(W1973,2),IF($Y$3="wind三级行业",[1]!s_info_industry_gics(W1973,3),IF($Y$3="wind四级行业",[1]!s_info_industry_gics(W1973,4),IF($Y$3="证监会门类行业",[1]!s_info_industry_csrc12_n(W1973,公司分析!D$5,1),""))))))))</f>
        <v>其他电子Ⅱ</v>
      </c>
      <c r="Z1973" s="302" t="str">
        <f ca="1">IF(Y1973=行业比较!$E$6,ROW(),"")</f>
        <v/>
      </c>
      <c r="AA1973" s="122"/>
      <c r="AB1973" s="122"/>
      <c r="AC1973" s="122"/>
      <c r="AD1973" s="122"/>
      <c r="AE1973" s="122"/>
      <c r="AF1973" s="122"/>
      <c r="AG1973" s="122"/>
      <c r="AH1973" s="122"/>
      <c r="AI1973" s="122"/>
      <c r="AJ1973" s="122"/>
      <c r="AK1973" s="122"/>
      <c r="AL1973" s="122"/>
      <c r="AM1973" s="122"/>
      <c r="AN1973" s="122"/>
      <c r="AO1973" s="122"/>
      <c r="AP1973" s="122"/>
    </row>
    <row r="1974" spans="2:42">
      <c r="B1974" s="122"/>
      <c r="C1974" s="122"/>
      <c r="D1974" s="122"/>
      <c r="E1974" s="122"/>
      <c r="F1974" s="122"/>
      <c r="G1974" s="122"/>
      <c r="H1974" s="122"/>
      <c r="I1974" s="275"/>
      <c r="J1974" s="130"/>
      <c r="K1974" s="130"/>
      <c r="L1974" s="130"/>
      <c r="M1974" s="130"/>
      <c r="N1974" s="291"/>
      <c r="O1974" s="291"/>
      <c r="P1974" s="122"/>
      <c r="Q1974" s="122"/>
      <c r="R1974" s="122"/>
      <c r="S1974" s="122"/>
      <c r="T1974" s="122"/>
      <c r="U1974" s="301"/>
      <c r="V1974" s="260">
        <f t="shared" ca="1" si="38"/>
        <v>0</v>
      </c>
      <c r="W1974" s="348" t="str">
        <f>IF(板块成分!B1976="","",板块成分!B1976)</f>
        <v>300517.SZ</v>
      </c>
      <c r="X1974" s="276" t="str">
        <f>[1]!S_Info_Name(W1974)</f>
        <v>海波重科</v>
      </c>
      <c r="Y1974" s="276" t="str">
        <f ca="1">IF($Y$3="申万一级行业",[1]!s_info_industry_sw_2021(W1974,公司分析!D$5,1),IF($Y$3="申万二级行业",[1]!s_info_industry_sw_2021(W1974,公司分析!D$5,2),IF($Y$3="申万三级行业",[1]!s_info_industry_sw_2021(W1974,公司分析!D$5,3),IF($Y$3="wind一级行业",[1]!s_info_industry_gics(W1974,1),IF($Y$3="wind二级行业",[1]!s_info_industry_gics(W1974,2),IF($Y$3="wind三级行业",[1]!s_info_industry_gics(W1974,3),IF($Y$3="wind四级行业",[1]!s_info_industry_gics(W1974,4),IF($Y$3="证监会门类行业",[1]!s_info_industry_csrc12_n(W1974,公司分析!D$5,1),""))))))))</f>
        <v>专业工程</v>
      </c>
      <c r="Z1974" s="302" t="str">
        <f ca="1">IF(Y1974=行业比较!$E$6,ROW(),"")</f>
        <v/>
      </c>
      <c r="AA1974" s="122"/>
      <c r="AB1974" s="122"/>
      <c r="AC1974" s="122"/>
      <c r="AD1974" s="122"/>
      <c r="AE1974" s="122"/>
      <c r="AF1974" s="122"/>
      <c r="AG1974" s="122"/>
      <c r="AH1974" s="122"/>
      <c r="AI1974" s="122"/>
      <c r="AJ1974" s="122"/>
      <c r="AK1974" s="122"/>
      <c r="AL1974" s="122"/>
      <c r="AM1974" s="122"/>
      <c r="AN1974" s="122"/>
      <c r="AO1974" s="122"/>
      <c r="AP1974" s="122"/>
    </row>
    <row r="1975" spans="2:42">
      <c r="B1975" s="122"/>
      <c r="C1975" s="122"/>
      <c r="D1975" s="122"/>
      <c r="E1975" s="122"/>
      <c r="F1975" s="122"/>
      <c r="G1975" s="122"/>
      <c r="H1975" s="122"/>
      <c r="I1975" s="275"/>
      <c r="J1975" s="130"/>
      <c r="K1975" s="130"/>
      <c r="L1975" s="130"/>
      <c r="M1975" s="130"/>
      <c r="N1975" s="291"/>
      <c r="O1975" s="291"/>
      <c r="P1975" s="122"/>
      <c r="Q1975" s="122"/>
      <c r="R1975" s="122"/>
      <c r="S1975" s="122"/>
      <c r="T1975" s="122"/>
      <c r="U1975" s="301"/>
      <c r="V1975" s="260">
        <f t="shared" ca="1" si="38"/>
        <v>0</v>
      </c>
      <c r="W1975" s="348" t="str">
        <f>IF(板块成分!B1977="","",板块成分!B1977)</f>
        <v>300518.SZ</v>
      </c>
      <c r="X1975" s="276" t="str">
        <f>[1]!S_Info_Name(W1975)</f>
        <v>新迅达</v>
      </c>
      <c r="Y1975" s="276" t="str">
        <f ca="1">IF($Y$3="申万一级行业",[1]!s_info_industry_sw_2021(W1975,公司分析!D$5,1),IF($Y$3="申万二级行业",[1]!s_info_industry_sw_2021(W1975,公司分析!D$5,2),IF($Y$3="申万三级行业",[1]!s_info_industry_sw_2021(W1975,公司分析!D$5,3),IF($Y$3="wind一级行业",[1]!s_info_industry_gics(W1975,1),IF($Y$3="wind二级行业",[1]!s_info_industry_gics(W1975,2),IF($Y$3="wind三级行业",[1]!s_info_industry_gics(W1975,3),IF($Y$3="wind四级行业",[1]!s_info_industry_gics(W1975,4),IF($Y$3="证监会门类行业",[1]!s_info_industry_csrc12_n(W1975,公司分析!D$5,1),""))))))))</f>
        <v>互联网电商</v>
      </c>
      <c r="Z1975" s="302" t="str">
        <f ca="1">IF(Y1975=行业比较!$E$6,ROW(),"")</f>
        <v/>
      </c>
      <c r="AA1975" s="122"/>
      <c r="AB1975" s="122"/>
      <c r="AC1975" s="122"/>
      <c r="AD1975" s="122"/>
      <c r="AE1975" s="122"/>
      <c r="AF1975" s="122"/>
      <c r="AG1975" s="122"/>
      <c r="AH1975" s="122"/>
      <c r="AI1975" s="122"/>
      <c r="AJ1975" s="122"/>
      <c r="AK1975" s="122"/>
      <c r="AL1975" s="122"/>
      <c r="AM1975" s="122"/>
      <c r="AN1975" s="122"/>
      <c r="AO1975" s="122"/>
      <c r="AP1975" s="122"/>
    </row>
    <row r="1976" spans="2:42">
      <c r="B1976" s="122"/>
      <c r="C1976" s="122"/>
      <c r="D1976" s="122"/>
      <c r="E1976" s="122"/>
      <c r="F1976" s="122"/>
      <c r="G1976" s="122"/>
      <c r="H1976" s="122"/>
      <c r="I1976" s="275"/>
      <c r="J1976" s="130"/>
      <c r="K1976" s="130"/>
      <c r="L1976" s="130"/>
      <c r="M1976" s="130"/>
      <c r="N1976" s="291"/>
      <c r="O1976" s="291"/>
      <c r="P1976" s="122"/>
      <c r="Q1976" s="122"/>
      <c r="R1976" s="122"/>
      <c r="S1976" s="122"/>
      <c r="T1976" s="122"/>
      <c r="U1976" s="301"/>
      <c r="V1976" s="260">
        <f t="shared" ca="1" si="38"/>
        <v>0</v>
      </c>
      <c r="W1976" s="348" t="str">
        <f>IF(板块成分!B1978="","",板块成分!B1978)</f>
        <v>300519.SZ</v>
      </c>
      <c r="X1976" s="276" t="str">
        <f>[1]!S_Info_Name(W1976)</f>
        <v>新光药业</v>
      </c>
      <c r="Y1976" s="276" t="str">
        <f ca="1">IF($Y$3="申万一级行业",[1]!s_info_industry_sw_2021(W1976,公司分析!D$5,1),IF($Y$3="申万二级行业",[1]!s_info_industry_sw_2021(W1976,公司分析!D$5,2),IF($Y$3="申万三级行业",[1]!s_info_industry_sw_2021(W1976,公司分析!D$5,3),IF($Y$3="wind一级行业",[1]!s_info_industry_gics(W1976,1),IF($Y$3="wind二级行业",[1]!s_info_industry_gics(W1976,2),IF($Y$3="wind三级行业",[1]!s_info_industry_gics(W1976,3),IF($Y$3="wind四级行业",[1]!s_info_industry_gics(W1976,4),IF($Y$3="证监会门类行业",[1]!s_info_industry_csrc12_n(W1976,公司分析!D$5,1),""))))))))</f>
        <v>中药Ⅱ</v>
      </c>
      <c r="Z1976" s="302" t="str">
        <f ca="1">IF(Y1976=行业比较!$E$6,ROW(),"")</f>
        <v/>
      </c>
      <c r="AA1976" s="122"/>
      <c r="AB1976" s="122"/>
      <c r="AC1976" s="122"/>
      <c r="AD1976" s="122"/>
      <c r="AE1976" s="122"/>
      <c r="AF1976" s="122"/>
      <c r="AG1976" s="122"/>
      <c r="AH1976" s="122"/>
      <c r="AI1976" s="122"/>
      <c r="AJ1976" s="122"/>
      <c r="AK1976" s="122"/>
      <c r="AL1976" s="122"/>
      <c r="AM1976" s="122"/>
      <c r="AN1976" s="122"/>
      <c r="AO1976" s="122"/>
      <c r="AP1976" s="122"/>
    </row>
    <row r="1977" spans="2:42">
      <c r="B1977" s="122"/>
      <c r="C1977" s="122"/>
      <c r="D1977" s="122"/>
      <c r="E1977" s="122"/>
      <c r="F1977" s="122"/>
      <c r="G1977" s="122"/>
      <c r="H1977" s="122"/>
      <c r="I1977" s="275"/>
      <c r="J1977" s="130"/>
      <c r="K1977" s="130"/>
      <c r="L1977" s="130"/>
      <c r="M1977" s="130"/>
      <c r="N1977" s="291"/>
      <c r="O1977" s="291"/>
      <c r="P1977" s="122"/>
      <c r="Q1977" s="122"/>
      <c r="R1977" s="122"/>
      <c r="S1977" s="122"/>
      <c r="T1977" s="122"/>
      <c r="U1977" s="301"/>
      <c r="V1977" s="260">
        <f t="shared" ca="1" si="38"/>
        <v>0</v>
      </c>
      <c r="W1977" s="348" t="str">
        <f>IF(板块成分!B1979="","",板块成分!B1979)</f>
        <v>300520.SZ</v>
      </c>
      <c r="X1977" s="276" t="str">
        <f>[1]!S_Info_Name(W1977)</f>
        <v>科大国创</v>
      </c>
      <c r="Y1977" s="276" t="str">
        <f ca="1">IF($Y$3="申万一级行业",[1]!s_info_industry_sw_2021(W1977,公司分析!D$5,1),IF($Y$3="申万二级行业",[1]!s_info_industry_sw_2021(W1977,公司分析!D$5,2),IF($Y$3="申万三级行业",[1]!s_info_industry_sw_2021(W1977,公司分析!D$5,3),IF($Y$3="wind一级行业",[1]!s_info_industry_gics(W1977,1),IF($Y$3="wind二级行业",[1]!s_info_industry_gics(W1977,2),IF($Y$3="wind三级行业",[1]!s_info_industry_gics(W1977,3),IF($Y$3="wind四级行业",[1]!s_info_industry_gics(W1977,4),IF($Y$3="证监会门类行业",[1]!s_info_industry_csrc12_n(W1977,公司分析!D$5,1),""))))))))</f>
        <v>软件开发</v>
      </c>
      <c r="Z1977" s="302" t="str">
        <f ca="1">IF(Y1977=行业比较!$E$6,ROW(),"")</f>
        <v/>
      </c>
      <c r="AA1977" s="122"/>
      <c r="AB1977" s="122"/>
      <c r="AC1977" s="122"/>
      <c r="AD1977" s="122"/>
      <c r="AE1977" s="122"/>
      <c r="AF1977" s="122"/>
      <c r="AG1977" s="122"/>
      <c r="AH1977" s="122"/>
      <c r="AI1977" s="122"/>
      <c r="AJ1977" s="122"/>
      <c r="AK1977" s="122"/>
      <c r="AL1977" s="122"/>
      <c r="AM1977" s="122"/>
      <c r="AN1977" s="122"/>
      <c r="AO1977" s="122"/>
      <c r="AP1977" s="122"/>
    </row>
    <row r="1978" spans="2:42">
      <c r="B1978" s="122"/>
      <c r="C1978" s="122"/>
      <c r="D1978" s="122"/>
      <c r="E1978" s="122"/>
      <c r="F1978" s="122"/>
      <c r="G1978" s="122"/>
      <c r="H1978" s="122"/>
      <c r="I1978" s="275"/>
      <c r="J1978" s="130"/>
      <c r="K1978" s="130"/>
      <c r="L1978" s="130"/>
      <c r="M1978" s="130"/>
      <c r="N1978" s="291"/>
      <c r="O1978" s="291"/>
      <c r="P1978" s="122"/>
      <c r="Q1978" s="122"/>
      <c r="R1978" s="122"/>
      <c r="S1978" s="122"/>
      <c r="T1978" s="122"/>
      <c r="U1978" s="315"/>
      <c r="V1978" s="260">
        <f t="shared" ca="1" si="38"/>
        <v>0</v>
      </c>
      <c r="W1978" s="348" t="str">
        <f>IF(板块成分!B1980="","",板块成分!B1980)</f>
        <v>300521.SZ</v>
      </c>
      <c r="X1978" s="276" t="str">
        <f>[1]!S_Info_Name(W1978)</f>
        <v>爱司凯</v>
      </c>
      <c r="Y1978" s="276" t="str">
        <f ca="1">IF($Y$3="申万一级行业",[1]!s_info_industry_sw_2021(W1978,公司分析!D$5,1),IF($Y$3="申万二级行业",[1]!s_info_industry_sw_2021(W1978,公司分析!D$5,2),IF($Y$3="申万三级行业",[1]!s_info_industry_sw_2021(W1978,公司分析!D$5,3),IF($Y$3="wind一级行业",[1]!s_info_industry_gics(W1978,1),IF($Y$3="wind二级行业",[1]!s_info_industry_gics(W1978,2),IF($Y$3="wind三级行业",[1]!s_info_industry_gics(W1978,3),IF($Y$3="wind四级行业",[1]!s_info_industry_gics(W1978,4),IF($Y$3="证监会门类行业",[1]!s_info_industry_csrc12_n(W1978,公司分析!D$5,1),""))))))))</f>
        <v>专用设备</v>
      </c>
      <c r="Z1978" s="302" t="str">
        <f ca="1">IF(Y1978=行业比较!$E$6,ROW(),"")</f>
        <v/>
      </c>
      <c r="AA1978" s="122"/>
      <c r="AB1978" s="122"/>
      <c r="AC1978" s="122"/>
      <c r="AD1978" s="122"/>
      <c r="AE1978" s="122"/>
      <c r="AF1978" s="122"/>
      <c r="AG1978" s="122"/>
      <c r="AH1978" s="122"/>
      <c r="AI1978" s="122"/>
      <c r="AJ1978" s="122"/>
      <c r="AK1978" s="122"/>
      <c r="AL1978" s="122"/>
      <c r="AM1978" s="122"/>
      <c r="AN1978" s="122"/>
      <c r="AO1978" s="122"/>
      <c r="AP1978" s="122"/>
    </row>
    <row r="1979" spans="2:42">
      <c r="B1979" s="122"/>
      <c r="C1979" s="122"/>
      <c r="D1979" s="122"/>
      <c r="E1979" s="122"/>
      <c r="F1979" s="122"/>
      <c r="G1979" s="122"/>
      <c r="H1979" s="122"/>
      <c r="I1979" s="275"/>
      <c r="J1979" s="130"/>
      <c r="K1979" s="130"/>
      <c r="L1979" s="130"/>
      <c r="M1979" s="130"/>
      <c r="N1979" s="291"/>
      <c r="O1979" s="291"/>
      <c r="P1979" s="122"/>
      <c r="Q1979" s="122"/>
      <c r="R1979" s="122"/>
      <c r="S1979" s="122"/>
      <c r="T1979" s="122"/>
      <c r="U1979" s="315"/>
      <c r="V1979" s="260">
        <f t="shared" ca="1" si="38"/>
        <v>0</v>
      </c>
      <c r="W1979" s="348" t="str">
        <f>IF(板块成分!B1981="","",板块成分!B1981)</f>
        <v>300522.SZ</v>
      </c>
      <c r="X1979" s="276" t="str">
        <f>[1]!S_Info_Name(W1979)</f>
        <v>世名科技</v>
      </c>
      <c r="Y1979" s="276" t="str">
        <f ca="1">IF($Y$3="申万一级行业",[1]!s_info_industry_sw_2021(W1979,公司分析!D$5,1),IF($Y$3="申万二级行业",[1]!s_info_industry_sw_2021(W1979,公司分析!D$5,2),IF($Y$3="申万三级行业",[1]!s_info_industry_sw_2021(W1979,公司分析!D$5,3),IF($Y$3="wind一级行业",[1]!s_info_industry_gics(W1979,1),IF($Y$3="wind二级行业",[1]!s_info_industry_gics(W1979,2),IF($Y$3="wind三级行业",[1]!s_info_industry_gics(W1979,3),IF($Y$3="wind四级行业",[1]!s_info_industry_gics(W1979,4),IF($Y$3="证监会门类行业",[1]!s_info_industry_csrc12_n(W1979,公司分析!D$5,1),""))))))))</f>
        <v>化学制品</v>
      </c>
      <c r="Z1979" s="302" t="str">
        <f ca="1">IF(Y1979=行业比较!$E$6,ROW(),"")</f>
        <v/>
      </c>
      <c r="AA1979" s="122"/>
      <c r="AB1979" s="122"/>
      <c r="AC1979" s="122"/>
      <c r="AD1979" s="122"/>
      <c r="AE1979" s="122"/>
      <c r="AF1979" s="122"/>
      <c r="AG1979" s="122"/>
      <c r="AH1979" s="122"/>
      <c r="AI1979" s="122"/>
      <c r="AJ1979" s="122"/>
      <c r="AK1979" s="122"/>
      <c r="AL1979" s="122"/>
      <c r="AM1979" s="122"/>
      <c r="AN1979" s="122"/>
      <c r="AO1979" s="122"/>
      <c r="AP1979" s="122"/>
    </row>
    <row r="1980" spans="2:42">
      <c r="B1980" s="122"/>
      <c r="C1980" s="122"/>
      <c r="D1980" s="122"/>
      <c r="E1980" s="122"/>
      <c r="F1980" s="122"/>
      <c r="G1980" s="122"/>
      <c r="H1980" s="122"/>
      <c r="I1980" s="275"/>
      <c r="J1980" s="130"/>
      <c r="K1980" s="130"/>
      <c r="L1980" s="130"/>
      <c r="M1980" s="130"/>
      <c r="N1980" s="291"/>
      <c r="O1980" s="291"/>
      <c r="P1980" s="122"/>
      <c r="Q1980" s="122"/>
      <c r="R1980" s="122"/>
      <c r="S1980" s="122"/>
      <c r="T1980" s="122"/>
      <c r="U1980" s="315"/>
      <c r="V1980" s="260">
        <f t="shared" ca="1" si="38"/>
        <v>0</v>
      </c>
      <c r="W1980" s="348" t="str">
        <f>IF(板块成分!B1982="","",板块成分!B1982)</f>
        <v>300523.SZ</v>
      </c>
      <c r="X1980" s="276" t="str">
        <f>[1]!S_Info_Name(W1980)</f>
        <v>辰安科技</v>
      </c>
      <c r="Y1980" s="276" t="str">
        <f ca="1">IF($Y$3="申万一级行业",[1]!s_info_industry_sw_2021(W1980,公司分析!D$5,1),IF($Y$3="申万二级行业",[1]!s_info_industry_sw_2021(W1980,公司分析!D$5,2),IF($Y$3="申万三级行业",[1]!s_info_industry_sw_2021(W1980,公司分析!D$5,3),IF($Y$3="wind一级行业",[1]!s_info_industry_gics(W1980,1),IF($Y$3="wind二级行业",[1]!s_info_industry_gics(W1980,2),IF($Y$3="wind三级行业",[1]!s_info_industry_gics(W1980,3),IF($Y$3="wind四级行业",[1]!s_info_industry_gics(W1980,4),IF($Y$3="证监会门类行业",[1]!s_info_industry_csrc12_n(W1980,公司分析!D$5,1),""))))))))</f>
        <v>IT服务Ⅱ</v>
      </c>
      <c r="Z1980" s="302" t="str">
        <f ca="1">IF(Y1980=行业比较!$E$6,ROW(),"")</f>
        <v/>
      </c>
      <c r="AA1980" s="122"/>
      <c r="AB1980" s="122"/>
      <c r="AC1980" s="122"/>
      <c r="AD1980" s="122"/>
      <c r="AE1980" s="122"/>
      <c r="AF1980" s="122"/>
      <c r="AG1980" s="122"/>
      <c r="AH1980" s="122"/>
      <c r="AI1980" s="122"/>
      <c r="AJ1980" s="122"/>
      <c r="AK1980" s="122"/>
      <c r="AL1980" s="122"/>
      <c r="AM1980" s="122"/>
      <c r="AN1980" s="122"/>
      <c r="AO1980" s="122"/>
      <c r="AP1980" s="122"/>
    </row>
    <row r="1981" spans="2:42">
      <c r="B1981" s="122"/>
      <c r="C1981" s="122"/>
      <c r="D1981" s="122"/>
      <c r="E1981" s="122"/>
      <c r="F1981" s="122"/>
      <c r="G1981" s="122"/>
      <c r="H1981" s="122"/>
      <c r="I1981" s="275"/>
      <c r="J1981" s="130"/>
      <c r="K1981" s="130"/>
      <c r="L1981" s="130"/>
      <c r="M1981" s="130"/>
      <c r="N1981" s="291"/>
      <c r="O1981" s="291"/>
      <c r="P1981" s="122"/>
      <c r="Q1981" s="122"/>
      <c r="R1981" s="122"/>
      <c r="S1981" s="122"/>
      <c r="T1981" s="122"/>
      <c r="U1981" s="315"/>
      <c r="V1981" s="260">
        <f t="shared" ca="1" si="38"/>
        <v>0</v>
      </c>
      <c r="W1981" s="348" t="str">
        <f>IF(板块成分!B1983="","",板块成分!B1983)</f>
        <v>300525.SZ</v>
      </c>
      <c r="X1981" s="276" t="str">
        <f>[1]!S_Info_Name(W1981)</f>
        <v>博思软件</v>
      </c>
      <c r="Y1981" s="276" t="str">
        <f ca="1">IF($Y$3="申万一级行业",[1]!s_info_industry_sw_2021(W1981,公司分析!D$5,1),IF($Y$3="申万二级行业",[1]!s_info_industry_sw_2021(W1981,公司分析!D$5,2),IF($Y$3="申万三级行业",[1]!s_info_industry_sw_2021(W1981,公司分析!D$5,3),IF($Y$3="wind一级行业",[1]!s_info_industry_gics(W1981,1),IF($Y$3="wind二级行业",[1]!s_info_industry_gics(W1981,2),IF($Y$3="wind三级行业",[1]!s_info_industry_gics(W1981,3),IF($Y$3="wind四级行业",[1]!s_info_industry_gics(W1981,4),IF($Y$3="证监会门类行业",[1]!s_info_industry_csrc12_n(W1981,公司分析!D$5,1),""))))))))</f>
        <v>软件开发</v>
      </c>
      <c r="Z1981" s="302" t="str">
        <f ca="1">IF(Y1981=行业比较!$E$6,ROW(),"")</f>
        <v/>
      </c>
      <c r="AA1981" s="122"/>
      <c r="AB1981" s="122"/>
      <c r="AC1981" s="122"/>
      <c r="AD1981" s="122"/>
      <c r="AE1981" s="122"/>
      <c r="AF1981" s="122"/>
      <c r="AG1981" s="122"/>
      <c r="AH1981" s="122"/>
      <c r="AI1981" s="122"/>
      <c r="AJ1981" s="122"/>
      <c r="AK1981" s="122"/>
      <c r="AL1981" s="122"/>
      <c r="AM1981" s="122"/>
      <c r="AN1981" s="122"/>
      <c r="AO1981" s="122"/>
      <c r="AP1981" s="122"/>
    </row>
    <row r="1982" spans="2:42">
      <c r="B1982" s="122"/>
      <c r="C1982" s="122"/>
      <c r="D1982" s="122"/>
      <c r="E1982" s="122"/>
      <c r="F1982" s="122"/>
      <c r="G1982" s="122"/>
      <c r="H1982" s="122"/>
      <c r="I1982" s="275"/>
      <c r="J1982" s="130"/>
      <c r="K1982" s="130"/>
      <c r="L1982" s="130"/>
      <c r="M1982" s="130"/>
      <c r="N1982" s="291"/>
      <c r="O1982" s="291"/>
      <c r="P1982" s="122"/>
      <c r="Q1982" s="122"/>
      <c r="R1982" s="122"/>
      <c r="S1982" s="122"/>
      <c r="T1982" s="122"/>
      <c r="U1982" s="315"/>
      <c r="V1982" s="260">
        <f t="shared" ca="1" si="38"/>
        <v>0</v>
      </c>
      <c r="W1982" s="348" t="str">
        <f>IF(板块成分!B1984="","",板块成分!B1984)</f>
        <v>300527.SZ</v>
      </c>
      <c r="X1982" s="276" t="str">
        <f>[1]!S_Info_Name(W1982)</f>
        <v>ST应急</v>
      </c>
      <c r="Y1982" s="276" t="str">
        <f ca="1">IF($Y$3="申万一级行业",[1]!s_info_industry_sw_2021(W1982,公司分析!D$5,1),IF($Y$3="申万二级行业",[1]!s_info_industry_sw_2021(W1982,公司分析!D$5,2),IF($Y$3="申万三级行业",[1]!s_info_industry_sw_2021(W1982,公司分析!D$5,3),IF($Y$3="wind一级行业",[1]!s_info_industry_gics(W1982,1),IF($Y$3="wind二级行业",[1]!s_info_industry_gics(W1982,2),IF($Y$3="wind三级行业",[1]!s_info_industry_gics(W1982,3),IF($Y$3="wind四级行业",[1]!s_info_industry_gics(W1982,4),IF($Y$3="证监会门类行业",[1]!s_info_industry_csrc12_n(W1982,公司分析!D$5,1),""))))))))</f>
        <v>地面兵装Ⅱ</v>
      </c>
      <c r="Z1982" s="302" t="str">
        <f ca="1">IF(Y1982=行业比较!$E$6,ROW(),"")</f>
        <v/>
      </c>
      <c r="AA1982" s="122"/>
      <c r="AB1982" s="122"/>
      <c r="AC1982" s="122"/>
      <c r="AD1982" s="122"/>
      <c r="AE1982" s="122"/>
      <c r="AF1982" s="122"/>
      <c r="AG1982" s="122"/>
      <c r="AH1982" s="122"/>
      <c r="AI1982" s="122"/>
      <c r="AJ1982" s="122"/>
      <c r="AK1982" s="122"/>
      <c r="AL1982" s="122"/>
      <c r="AM1982" s="122"/>
      <c r="AN1982" s="122"/>
      <c r="AO1982" s="122"/>
      <c r="AP1982" s="122"/>
    </row>
    <row r="1983" spans="2:42">
      <c r="B1983" s="122"/>
      <c r="C1983" s="122"/>
      <c r="D1983" s="122"/>
      <c r="E1983" s="122"/>
      <c r="F1983" s="122"/>
      <c r="G1983" s="122"/>
      <c r="H1983" s="122"/>
      <c r="I1983" s="275"/>
      <c r="J1983" s="130"/>
      <c r="K1983" s="130"/>
      <c r="L1983" s="130"/>
      <c r="M1983" s="130"/>
      <c r="N1983" s="291"/>
      <c r="O1983" s="291"/>
      <c r="P1983" s="122"/>
      <c r="Q1983" s="122"/>
      <c r="R1983" s="122"/>
      <c r="S1983" s="122"/>
      <c r="T1983" s="122"/>
      <c r="U1983" s="315"/>
      <c r="V1983" s="260">
        <f t="shared" ca="1" si="38"/>
        <v>0</v>
      </c>
      <c r="W1983" s="348" t="str">
        <f>IF(板块成分!B1985="","",板块成分!B1985)</f>
        <v>300528.SZ</v>
      </c>
      <c r="X1983" s="276" t="str">
        <f>[1]!S_Info_Name(W1983)</f>
        <v>幸福蓝海</v>
      </c>
      <c r="Y1983" s="276" t="str">
        <f ca="1">IF($Y$3="申万一级行业",[1]!s_info_industry_sw_2021(W1983,公司分析!D$5,1),IF($Y$3="申万二级行业",[1]!s_info_industry_sw_2021(W1983,公司分析!D$5,2),IF($Y$3="申万三级行业",[1]!s_info_industry_sw_2021(W1983,公司分析!D$5,3),IF($Y$3="wind一级行业",[1]!s_info_industry_gics(W1983,1),IF($Y$3="wind二级行业",[1]!s_info_industry_gics(W1983,2),IF($Y$3="wind三级行业",[1]!s_info_industry_gics(W1983,3),IF($Y$3="wind四级行业",[1]!s_info_industry_gics(W1983,4),IF($Y$3="证监会门类行业",[1]!s_info_industry_csrc12_n(W1983,公司分析!D$5,1),""))))))))</f>
        <v>影视院线</v>
      </c>
      <c r="Z1983" s="302" t="str">
        <f ca="1">IF(Y1983=行业比较!$E$6,ROW(),"")</f>
        <v/>
      </c>
      <c r="AA1983" s="122"/>
      <c r="AB1983" s="122"/>
      <c r="AC1983" s="122"/>
      <c r="AD1983" s="122"/>
      <c r="AE1983" s="122"/>
      <c r="AF1983" s="122"/>
      <c r="AG1983" s="122"/>
      <c r="AH1983" s="122"/>
      <c r="AI1983" s="122"/>
      <c r="AJ1983" s="122"/>
      <c r="AK1983" s="122"/>
      <c r="AL1983" s="122"/>
      <c r="AM1983" s="122"/>
      <c r="AN1983" s="122"/>
      <c r="AO1983" s="122"/>
      <c r="AP1983" s="122"/>
    </row>
    <row r="1984" spans="2:42">
      <c r="B1984" s="122"/>
      <c r="C1984" s="122"/>
      <c r="D1984" s="122"/>
      <c r="E1984" s="122"/>
      <c r="F1984" s="122"/>
      <c r="G1984" s="122"/>
      <c r="H1984" s="122"/>
      <c r="I1984" s="275"/>
      <c r="J1984" s="130"/>
      <c r="K1984" s="130"/>
      <c r="L1984" s="130"/>
      <c r="M1984" s="130"/>
      <c r="N1984" s="291"/>
      <c r="O1984" s="291"/>
      <c r="P1984" s="122"/>
      <c r="Q1984" s="122"/>
      <c r="R1984" s="122"/>
      <c r="S1984" s="122"/>
      <c r="T1984" s="122"/>
      <c r="U1984" s="315"/>
      <c r="V1984" s="260">
        <f t="shared" ca="1" si="38"/>
        <v>0</v>
      </c>
      <c r="W1984" s="348" t="str">
        <f>IF(板块成分!B1986="","",板块成分!B1986)</f>
        <v>300529.SZ</v>
      </c>
      <c r="X1984" s="276" t="str">
        <f>[1]!S_Info_Name(W1984)</f>
        <v>健帆生物</v>
      </c>
      <c r="Y1984" s="276" t="str">
        <f ca="1">IF($Y$3="申万一级行业",[1]!s_info_industry_sw_2021(W1984,公司分析!D$5,1),IF($Y$3="申万二级行业",[1]!s_info_industry_sw_2021(W1984,公司分析!D$5,2),IF($Y$3="申万三级行业",[1]!s_info_industry_sw_2021(W1984,公司分析!D$5,3),IF($Y$3="wind一级行业",[1]!s_info_industry_gics(W1984,1),IF($Y$3="wind二级行业",[1]!s_info_industry_gics(W1984,2),IF($Y$3="wind三级行业",[1]!s_info_industry_gics(W1984,3),IF($Y$3="wind四级行业",[1]!s_info_industry_gics(W1984,4),IF($Y$3="证监会门类行业",[1]!s_info_industry_csrc12_n(W1984,公司分析!D$5,1),""))))))))</f>
        <v>医疗器械</v>
      </c>
      <c r="Z1984" s="302" t="str">
        <f ca="1">IF(Y1984=行业比较!$E$6,ROW(),"")</f>
        <v/>
      </c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</row>
    <row r="1985" spans="2:42">
      <c r="B1985" s="122"/>
      <c r="C1985" s="122"/>
      <c r="D1985" s="122"/>
      <c r="E1985" s="122"/>
      <c r="F1985" s="122"/>
      <c r="G1985" s="122"/>
      <c r="H1985" s="122"/>
      <c r="I1985" s="275"/>
      <c r="J1985" s="130"/>
      <c r="K1985" s="130"/>
      <c r="L1985" s="130"/>
      <c r="M1985" s="130"/>
      <c r="N1985" s="291"/>
      <c r="O1985" s="291"/>
      <c r="P1985" s="122"/>
      <c r="Q1985" s="122"/>
      <c r="R1985" s="122"/>
      <c r="S1985" s="122"/>
      <c r="T1985" s="122"/>
      <c r="U1985" s="315"/>
      <c r="V1985" s="260">
        <f t="shared" ca="1" si="38"/>
        <v>0</v>
      </c>
      <c r="W1985" s="348" t="str">
        <f>IF(板块成分!B1987="","",板块成分!B1987)</f>
        <v>300530.SZ</v>
      </c>
      <c r="X1985" s="276" t="str">
        <f>[1]!S_Info_Name(W1985)</f>
        <v>领湃科技</v>
      </c>
      <c r="Y1985" s="276" t="str">
        <f ca="1">IF($Y$3="申万一级行业",[1]!s_info_industry_sw_2021(W1985,公司分析!D$5,1),IF($Y$3="申万二级行业",[1]!s_info_industry_sw_2021(W1985,公司分析!D$5,2),IF($Y$3="申万三级行业",[1]!s_info_industry_sw_2021(W1985,公司分析!D$5,3),IF($Y$3="wind一级行业",[1]!s_info_industry_gics(W1985,1),IF($Y$3="wind二级行业",[1]!s_info_industry_gics(W1985,2),IF($Y$3="wind三级行业",[1]!s_info_industry_gics(W1985,3),IF($Y$3="wind四级行业",[1]!s_info_industry_gics(W1985,4),IF($Y$3="证监会门类行业",[1]!s_info_industry_csrc12_n(W1985,公司分析!D$5,1),""))))))))</f>
        <v>化学制品</v>
      </c>
      <c r="Z1985" s="302" t="str">
        <f ca="1">IF(Y1985=行业比较!$E$6,ROW(),"")</f>
        <v/>
      </c>
      <c r="AA1985" s="122"/>
      <c r="AB1985" s="122"/>
      <c r="AC1985" s="122"/>
      <c r="AD1985" s="122"/>
      <c r="AE1985" s="122"/>
      <c r="AF1985" s="122"/>
      <c r="AG1985" s="122"/>
      <c r="AH1985" s="122"/>
      <c r="AI1985" s="122"/>
      <c r="AJ1985" s="122"/>
      <c r="AK1985" s="122"/>
      <c r="AL1985" s="122"/>
      <c r="AM1985" s="122"/>
      <c r="AN1985" s="122"/>
      <c r="AO1985" s="122"/>
      <c r="AP1985" s="122"/>
    </row>
    <row r="1986" spans="2:42">
      <c r="B1986" s="122"/>
      <c r="C1986" s="122"/>
      <c r="D1986" s="122"/>
      <c r="E1986" s="122"/>
      <c r="F1986" s="122"/>
      <c r="G1986" s="122"/>
      <c r="H1986" s="122"/>
      <c r="I1986" s="275"/>
      <c r="J1986" s="130"/>
      <c r="K1986" s="130"/>
      <c r="L1986" s="130"/>
      <c r="M1986" s="130"/>
      <c r="N1986" s="291"/>
      <c r="O1986" s="291"/>
      <c r="P1986" s="122"/>
      <c r="Q1986" s="122"/>
      <c r="R1986" s="122"/>
      <c r="S1986" s="122"/>
      <c r="T1986" s="122"/>
      <c r="U1986" s="315"/>
      <c r="V1986" s="260">
        <f t="shared" ca="1" si="38"/>
        <v>0</v>
      </c>
      <c r="W1986" s="348" t="str">
        <f>IF(板块成分!B1988="","",板块成分!B1988)</f>
        <v>300531.SZ</v>
      </c>
      <c r="X1986" s="276" t="str">
        <f>[1]!S_Info_Name(W1986)</f>
        <v>优博讯</v>
      </c>
      <c r="Y1986" s="276" t="str">
        <f ca="1">IF($Y$3="申万一级行业",[1]!s_info_industry_sw_2021(W1986,公司分析!D$5,1),IF($Y$3="申万二级行业",[1]!s_info_industry_sw_2021(W1986,公司分析!D$5,2),IF($Y$3="申万三级行业",[1]!s_info_industry_sw_2021(W1986,公司分析!D$5,3),IF($Y$3="wind一级行业",[1]!s_info_industry_gics(W1986,1),IF($Y$3="wind二级行业",[1]!s_info_industry_gics(W1986,2),IF($Y$3="wind三级行业",[1]!s_info_industry_gics(W1986,3),IF($Y$3="wind四级行业",[1]!s_info_industry_gics(W1986,4),IF($Y$3="证监会门类行业",[1]!s_info_industry_csrc12_n(W1986,公司分析!D$5,1),""))))))))</f>
        <v>计算机设备</v>
      </c>
      <c r="Z1986" s="302" t="str">
        <f ca="1">IF(Y1986=行业比较!$E$6,ROW(),"")</f>
        <v/>
      </c>
      <c r="AA1986" s="122"/>
      <c r="AB1986" s="122"/>
      <c r="AC1986" s="122"/>
      <c r="AD1986" s="122"/>
      <c r="AE1986" s="122"/>
      <c r="AF1986" s="122"/>
      <c r="AG1986" s="122"/>
      <c r="AH1986" s="122"/>
      <c r="AI1986" s="122"/>
      <c r="AJ1986" s="122"/>
      <c r="AK1986" s="122"/>
      <c r="AL1986" s="122"/>
      <c r="AM1986" s="122"/>
      <c r="AN1986" s="122"/>
      <c r="AO1986" s="122"/>
      <c r="AP1986" s="122"/>
    </row>
    <row r="1987" spans="2:42">
      <c r="B1987" s="122"/>
      <c r="C1987" s="122"/>
      <c r="D1987" s="122"/>
      <c r="E1987" s="122"/>
      <c r="F1987" s="122"/>
      <c r="G1987" s="122"/>
      <c r="H1987" s="122"/>
      <c r="I1987" s="275"/>
      <c r="J1987" s="130"/>
      <c r="K1987" s="130"/>
      <c r="L1987" s="130"/>
      <c r="M1987" s="130"/>
      <c r="N1987" s="291"/>
      <c r="O1987" s="291"/>
      <c r="P1987" s="122"/>
      <c r="Q1987" s="122"/>
      <c r="R1987" s="122"/>
      <c r="S1987" s="122"/>
      <c r="T1987" s="122"/>
      <c r="U1987" s="315"/>
      <c r="V1987" s="260">
        <f t="shared" ca="1" si="38"/>
        <v>0</v>
      </c>
      <c r="W1987" s="348" t="str">
        <f>IF(板块成分!B1989="","",板块成分!B1989)</f>
        <v>300532.SZ</v>
      </c>
      <c r="X1987" s="276" t="str">
        <f>[1]!S_Info_Name(W1987)</f>
        <v>今天国际</v>
      </c>
      <c r="Y1987" s="276" t="str">
        <f ca="1">IF($Y$3="申万一级行业",[1]!s_info_industry_sw_2021(W1987,公司分析!D$5,1),IF($Y$3="申万二级行业",[1]!s_info_industry_sw_2021(W1987,公司分析!D$5,2),IF($Y$3="申万三级行业",[1]!s_info_industry_sw_2021(W1987,公司分析!D$5,3),IF($Y$3="wind一级行业",[1]!s_info_industry_gics(W1987,1),IF($Y$3="wind二级行业",[1]!s_info_industry_gics(W1987,2),IF($Y$3="wind三级行业",[1]!s_info_industry_gics(W1987,3),IF($Y$3="wind四级行业",[1]!s_info_industry_gics(W1987,4),IF($Y$3="证监会门类行业",[1]!s_info_industry_csrc12_n(W1987,公司分析!D$5,1),""))))))))</f>
        <v>IT服务Ⅱ</v>
      </c>
      <c r="Z1987" s="302" t="str">
        <f ca="1">IF(Y1987=行业比较!$E$6,ROW(),"")</f>
        <v/>
      </c>
      <c r="AA1987" s="122"/>
      <c r="AB1987" s="122"/>
      <c r="AC1987" s="122"/>
      <c r="AD1987" s="122"/>
      <c r="AE1987" s="122"/>
      <c r="AF1987" s="122"/>
      <c r="AG1987" s="122"/>
      <c r="AH1987" s="122"/>
      <c r="AI1987" s="122"/>
      <c r="AJ1987" s="122"/>
      <c r="AK1987" s="122"/>
      <c r="AL1987" s="122"/>
      <c r="AM1987" s="122"/>
      <c r="AN1987" s="122"/>
      <c r="AO1987" s="122"/>
      <c r="AP1987" s="122"/>
    </row>
    <row r="1988" spans="2:42">
      <c r="B1988" s="122"/>
      <c r="C1988" s="122"/>
      <c r="D1988" s="122"/>
      <c r="E1988" s="122"/>
      <c r="F1988" s="122"/>
      <c r="G1988" s="122"/>
      <c r="H1988" s="122"/>
      <c r="I1988" s="275"/>
      <c r="J1988" s="130"/>
      <c r="K1988" s="130"/>
      <c r="L1988" s="130"/>
      <c r="M1988" s="130"/>
      <c r="N1988" s="291"/>
      <c r="O1988" s="291"/>
      <c r="P1988" s="122"/>
      <c r="Q1988" s="122"/>
      <c r="R1988" s="122"/>
      <c r="S1988" s="122"/>
      <c r="T1988" s="122"/>
      <c r="U1988" s="315"/>
      <c r="V1988" s="260">
        <f t="shared" ca="1" si="38"/>
        <v>0</v>
      </c>
      <c r="W1988" s="348" t="str">
        <f>IF(板块成分!B1990="","",板块成分!B1990)</f>
        <v>300533.SZ</v>
      </c>
      <c r="X1988" s="276" t="str">
        <f>[1]!S_Info_Name(W1988)</f>
        <v>冰川网络</v>
      </c>
      <c r="Y1988" s="276" t="str">
        <f ca="1">IF($Y$3="申万一级行业",[1]!s_info_industry_sw_2021(W1988,公司分析!D$5,1),IF($Y$3="申万二级行业",[1]!s_info_industry_sw_2021(W1988,公司分析!D$5,2),IF($Y$3="申万三级行业",[1]!s_info_industry_sw_2021(W1988,公司分析!D$5,3),IF($Y$3="wind一级行业",[1]!s_info_industry_gics(W1988,1),IF($Y$3="wind二级行业",[1]!s_info_industry_gics(W1988,2),IF($Y$3="wind三级行业",[1]!s_info_industry_gics(W1988,3),IF($Y$3="wind四级行业",[1]!s_info_industry_gics(W1988,4),IF($Y$3="证监会门类行业",[1]!s_info_industry_csrc12_n(W1988,公司分析!D$5,1),""))))))))</f>
        <v>游戏Ⅱ</v>
      </c>
      <c r="Z1988" s="302" t="str">
        <f ca="1">IF(Y1988=行业比较!$E$6,ROW(),"")</f>
        <v/>
      </c>
      <c r="AA1988" s="122"/>
      <c r="AB1988" s="122"/>
      <c r="AC1988" s="122"/>
      <c r="AD1988" s="122"/>
      <c r="AE1988" s="122"/>
      <c r="AF1988" s="122"/>
      <c r="AG1988" s="122"/>
      <c r="AH1988" s="122"/>
      <c r="AI1988" s="122"/>
      <c r="AJ1988" s="122"/>
      <c r="AK1988" s="122"/>
      <c r="AL1988" s="122"/>
      <c r="AM1988" s="122"/>
      <c r="AN1988" s="122"/>
      <c r="AO1988" s="122"/>
      <c r="AP1988" s="122"/>
    </row>
    <row r="1989" spans="2:42">
      <c r="B1989" s="122"/>
      <c r="C1989" s="122"/>
      <c r="D1989" s="122"/>
      <c r="E1989" s="122"/>
      <c r="F1989" s="122"/>
      <c r="G1989" s="122"/>
      <c r="H1989" s="122"/>
      <c r="I1989" s="275"/>
      <c r="J1989" s="130"/>
      <c r="K1989" s="130"/>
      <c r="L1989" s="130"/>
      <c r="M1989" s="130"/>
      <c r="N1989" s="291"/>
      <c r="O1989" s="291"/>
      <c r="P1989" s="122"/>
      <c r="Q1989" s="122"/>
      <c r="R1989" s="122"/>
      <c r="S1989" s="122"/>
      <c r="T1989" s="122"/>
      <c r="U1989" s="315"/>
      <c r="V1989" s="260">
        <f t="shared" ref="V1989:V2052" ca="1" si="39">IF(Z1989="",0,RANK(Z1989,Z:Z,1))</f>
        <v>0</v>
      </c>
      <c r="W1989" s="348" t="str">
        <f>IF(板块成分!B1991="","",板块成分!B1991)</f>
        <v>300534.SZ</v>
      </c>
      <c r="X1989" s="276" t="str">
        <f>[1]!S_Info_Name(W1989)</f>
        <v>陇神戎发</v>
      </c>
      <c r="Y1989" s="276" t="str">
        <f ca="1">IF($Y$3="申万一级行业",[1]!s_info_industry_sw_2021(W1989,公司分析!D$5,1),IF($Y$3="申万二级行业",[1]!s_info_industry_sw_2021(W1989,公司分析!D$5,2),IF($Y$3="申万三级行业",[1]!s_info_industry_sw_2021(W1989,公司分析!D$5,3),IF($Y$3="wind一级行业",[1]!s_info_industry_gics(W1989,1),IF($Y$3="wind二级行业",[1]!s_info_industry_gics(W1989,2),IF($Y$3="wind三级行业",[1]!s_info_industry_gics(W1989,3),IF($Y$3="wind四级行业",[1]!s_info_industry_gics(W1989,4),IF($Y$3="证监会门类行业",[1]!s_info_industry_csrc12_n(W1989,公司分析!D$5,1),""))))))))</f>
        <v>中药Ⅱ</v>
      </c>
      <c r="Z1989" s="302" t="str">
        <f ca="1">IF(Y1989=行业比较!$E$6,ROW(),"")</f>
        <v/>
      </c>
      <c r="AA1989" s="122"/>
      <c r="AB1989" s="122"/>
      <c r="AC1989" s="122"/>
      <c r="AD1989" s="122"/>
      <c r="AE1989" s="122"/>
      <c r="AF1989" s="122"/>
      <c r="AG1989" s="122"/>
      <c r="AH1989" s="122"/>
      <c r="AI1989" s="122"/>
      <c r="AJ1989" s="122"/>
      <c r="AK1989" s="122"/>
      <c r="AL1989" s="122"/>
      <c r="AM1989" s="122"/>
      <c r="AN1989" s="122"/>
      <c r="AO1989" s="122"/>
      <c r="AP1989" s="122"/>
    </row>
    <row r="1990" spans="2:42">
      <c r="B1990" s="122"/>
      <c r="C1990" s="122"/>
      <c r="D1990" s="122"/>
      <c r="E1990" s="122"/>
      <c r="F1990" s="122"/>
      <c r="G1990" s="122"/>
      <c r="H1990" s="122"/>
      <c r="I1990" s="275"/>
      <c r="J1990" s="130"/>
      <c r="K1990" s="130"/>
      <c r="L1990" s="130"/>
      <c r="M1990" s="130"/>
      <c r="N1990" s="291"/>
      <c r="O1990" s="291"/>
      <c r="P1990" s="122"/>
      <c r="Q1990" s="122"/>
      <c r="R1990" s="122"/>
      <c r="S1990" s="122"/>
      <c r="T1990" s="122"/>
      <c r="U1990" s="315"/>
      <c r="V1990" s="260">
        <f t="shared" ca="1" si="39"/>
        <v>0</v>
      </c>
      <c r="W1990" s="348" t="str">
        <f>IF(板块成分!B1992="","",板块成分!B1992)</f>
        <v>300535.SZ</v>
      </c>
      <c r="X1990" s="276" t="str">
        <f>[1]!S_Info_Name(W1990)</f>
        <v>达威股份</v>
      </c>
      <c r="Y1990" s="276" t="str">
        <f ca="1">IF($Y$3="申万一级行业",[1]!s_info_industry_sw_2021(W1990,公司分析!D$5,1),IF($Y$3="申万二级行业",[1]!s_info_industry_sw_2021(W1990,公司分析!D$5,2),IF($Y$3="申万三级行业",[1]!s_info_industry_sw_2021(W1990,公司分析!D$5,3),IF($Y$3="wind一级行业",[1]!s_info_industry_gics(W1990,1),IF($Y$3="wind二级行业",[1]!s_info_industry_gics(W1990,2),IF($Y$3="wind三级行业",[1]!s_info_industry_gics(W1990,3),IF($Y$3="wind四级行业",[1]!s_info_industry_gics(W1990,4),IF($Y$3="证监会门类行业",[1]!s_info_industry_csrc12_n(W1990,公司分析!D$5,1),""))))))))</f>
        <v>化学制品</v>
      </c>
      <c r="Z1990" s="302" t="str">
        <f ca="1">IF(Y1990=行业比较!$E$6,ROW(),"")</f>
        <v/>
      </c>
      <c r="AA1990" s="122"/>
      <c r="AB1990" s="122"/>
      <c r="AC1990" s="122"/>
      <c r="AD1990" s="122"/>
      <c r="AE1990" s="122"/>
      <c r="AF1990" s="122"/>
      <c r="AG1990" s="122"/>
      <c r="AH1990" s="122"/>
      <c r="AI1990" s="122"/>
      <c r="AJ1990" s="122"/>
      <c r="AK1990" s="122"/>
      <c r="AL1990" s="122"/>
      <c r="AM1990" s="122"/>
      <c r="AN1990" s="122"/>
      <c r="AO1990" s="122"/>
      <c r="AP1990" s="122"/>
    </row>
    <row r="1991" spans="2:42">
      <c r="B1991" s="122"/>
      <c r="C1991" s="122"/>
      <c r="D1991" s="122"/>
      <c r="E1991" s="122"/>
      <c r="F1991" s="122"/>
      <c r="G1991" s="122"/>
      <c r="H1991" s="122"/>
      <c r="I1991" s="275"/>
      <c r="J1991" s="130"/>
      <c r="K1991" s="130"/>
      <c r="L1991" s="130"/>
      <c r="M1991" s="130"/>
      <c r="N1991" s="291"/>
      <c r="O1991" s="291"/>
      <c r="P1991" s="122"/>
      <c r="Q1991" s="122"/>
      <c r="R1991" s="122"/>
      <c r="S1991" s="122"/>
      <c r="T1991" s="122"/>
      <c r="U1991" s="315"/>
      <c r="V1991" s="260">
        <f t="shared" ca="1" si="39"/>
        <v>0</v>
      </c>
      <c r="W1991" s="348" t="str">
        <f>IF(板块成分!B1993="","",板块成分!B1993)</f>
        <v>300536.SZ</v>
      </c>
      <c r="X1991" s="276" t="str">
        <f>[1]!S_Info_Name(W1991)</f>
        <v>农尚环境</v>
      </c>
      <c r="Y1991" s="276" t="str">
        <f ca="1">IF($Y$3="申万一级行业",[1]!s_info_industry_sw_2021(W1991,公司分析!D$5,1),IF($Y$3="申万二级行业",[1]!s_info_industry_sw_2021(W1991,公司分析!D$5,2),IF($Y$3="申万三级行业",[1]!s_info_industry_sw_2021(W1991,公司分析!D$5,3),IF($Y$3="wind一级行业",[1]!s_info_industry_gics(W1991,1),IF($Y$3="wind二级行业",[1]!s_info_industry_gics(W1991,2),IF($Y$3="wind三级行业",[1]!s_info_industry_gics(W1991,3),IF($Y$3="wind四级行业",[1]!s_info_industry_gics(W1991,4),IF($Y$3="证监会门类行业",[1]!s_info_industry_csrc12_n(W1991,公司分析!D$5,1),""))))))))</f>
        <v>基础建设</v>
      </c>
      <c r="Z1991" s="302" t="str">
        <f ca="1">IF(Y1991=行业比较!$E$6,ROW(),"")</f>
        <v/>
      </c>
      <c r="AA1991" s="122"/>
      <c r="AB1991" s="122"/>
      <c r="AC1991" s="122"/>
      <c r="AD1991" s="122"/>
      <c r="AE1991" s="122"/>
      <c r="AF1991" s="122"/>
      <c r="AG1991" s="122"/>
      <c r="AH1991" s="122"/>
      <c r="AI1991" s="122"/>
      <c r="AJ1991" s="122"/>
      <c r="AK1991" s="122"/>
      <c r="AL1991" s="122"/>
      <c r="AM1991" s="122"/>
      <c r="AN1991" s="122"/>
      <c r="AO1991" s="122"/>
      <c r="AP1991" s="122"/>
    </row>
    <row r="1992" spans="2:42">
      <c r="B1992" s="122"/>
      <c r="C1992" s="122"/>
      <c r="D1992" s="122"/>
      <c r="E1992" s="122"/>
      <c r="F1992" s="122"/>
      <c r="G1992" s="122"/>
      <c r="H1992" s="122"/>
      <c r="I1992" s="275"/>
      <c r="J1992" s="130"/>
      <c r="K1992" s="130"/>
      <c r="L1992" s="130"/>
      <c r="M1992" s="130"/>
      <c r="N1992" s="291"/>
      <c r="O1992" s="291"/>
      <c r="P1992" s="122"/>
      <c r="Q1992" s="122"/>
      <c r="R1992" s="122"/>
      <c r="S1992" s="122"/>
      <c r="T1992" s="122"/>
      <c r="U1992" s="315"/>
      <c r="V1992" s="260">
        <f t="shared" ca="1" si="39"/>
        <v>0</v>
      </c>
      <c r="W1992" s="348" t="str">
        <f>IF(板块成分!B1994="","",板块成分!B1994)</f>
        <v>300537.SZ</v>
      </c>
      <c r="X1992" s="276" t="str">
        <f>[1]!S_Info_Name(W1992)</f>
        <v>广信材料</v>
      </c>
      <c r="Y1992" s="276" t="str">
        <f ca="1">IF($Y$3="申万一级行业",[1]!s_info_industry_sw_2021(W1992,公司分析!D$5,1),IF($Y$3="申万二级行业",[1]!s_info_industry_sw_2021(W1992,公司分析!D$5,2),IF($Y$3="申万三级行业",[1]!s_info_industry_sw_2021(W1992,公司分析!D$5,3),IF($Y$3="wind一级行业",[1]!s_info_industry_gics(W1992,1),IF($Y$3="wind二级行业",[1]!s_info_industry_gics(W1992,2),IF($Y$3="wind三级行业",[1]!s_info_industry_gics(W1992,3),IF($Y$3="wind四级行业",[1]!s_info_industry_gics(W1992,4),IF($Y$3="证监会门类行业",[1]!s_info_industry_csrc12_n(W1992,公司分析!D$5,1),""))))))))</f>
        <v>电子化学品Ⅱ</v>
      </c>
      <c r="Z1992" s="302" t="str">
        <f ca="1">IF(Y1992=行业比较!$E$6,ROW(),"")</f>
        <v/>
      </c>
      <c r="AA1992" s="122"/>
      <c r="AB1992" s="122"/>
      <c r="AC1992" s="122"/>
      <c r="AD1992" s="122"/>
      <c r="AE1992" s="122"/>
      <c r="AF1992" s="122"/>
      <c r="AG1992" s="122"/>
      <c r="AH1992" s="122"/>
      <c r="AI1992" s="122"/>
      <c r="AJ1992" s="122"/>
      <c r="AK1992" s="122"/>
      <c r="AL1992" s="122"/>
      <c r="AM1992" s="122"/>
      <c r="AN1992" s="122"/>
      <c r="AO1992" s="122"/>
      <c r="AP1992" s="122"/>
    </row>
    <row r="1993" spans="2:42">
      <c r="B1993" s="122"/>
      <c r="C1993" s="122"/>
      <c r="D1993" s="122"/>
      <c r="E1993" s="122"/>
      <c r="F1993" s="122"/>
      <c r="G1993" s="122"/>
      <c r="H1993" s="122"/>
      <c r="I1993" s="275"/>
      <c r="J1993" s="130"/>
      <c r="K1993" s="130"/>
      <c r="L1993" s="130"/>
      <c r="M1993" s="130"/>
      <c r="N1993" s="291"/>
      <c r="O1993" s="291"/>
      <c r="P1993" s="122"/>
      <c r="Q1993" s="122"/>
      <c r="R1993" s="122"/>
      <c r="S1993" s="122"/>
      <c r="T1993" s="122"/>
      <c r="U1993" s="315"/>
      <c r="V1993" s="260">
        <f t="shared" ca="1" si="39"/>
        <v>0</v>
      </c>
      <c r="W1993" s="348" t="str">
        <f>IF(板块成分!B1995="","",板块成分!B1995)</f>
        <v>300538.SZ</v>
      </c>
      <c r="X1993" s="276" t="str">
        <f>[1]!S_Info_Name(W1993)</f>
        <v>同益股份</v>
      </c>
      <c r="Y1993" s="276" t="str">
        <f ca="1">IF($Y$3="申万一级行业",[1]!s_info_industry_sw_2021(W1993,公司分析!D$5,1),IF($Y$3="申万二级行业",[1]!s_info_industry_sw_2021(W1993,公司分析!D$5,2),IF($Y$3="申万三级行业",[1]!s_info_industry_sw_2021(W1993,公司分析!D$5,3),IF($Y$3="wind一级行业",[1]!s_info_industry_gics(W1993,1),IF($Y$3="wind二级行业",[1]!s_info_industry_gics(W1993,2),IF($Y$3="wind三级行业",[1]!s_info_industry_gics(W1993,3),IF($Y$3="wind四级行业",[1]!s_info_industry_gics(W1993,4),IF($Y$3="证监会门类行业",[1]!s_info_industry_csrc12_n(W1993,公司分析!D$5,1),""))))))))</f>
        <v>塑料</v>
      </c>
      <c r="Z1993" s="302" t="str">
        <f ca="1">IF(Y1993=行业比较!$E$6,ROW(),"")</f>
        <v/>
      </c>
      <c r="AA1993" s="122"/>
      <c r="AB1993" s="122"/>
      <c r="AC1993" s="122"/>
      <c r="AD1993" s="122"/>
      <c r="AE1993" s="122"/>
      <c r="AF1993" s="122"/>
      <c r="AG1993" s="122"/>
      <c r="AH1993" s="122"/>
      <c r="AI1993" s="122"/>
      <c r="AJ1993" s="122"/>
      <c r="AK1993" s="122"/>
      <c r="AL1993" s="122"/>
      <c r="AM1993" s="122"/>
      <c r="AN1993" s="122"/>
      <c r="AO1993" s="122"/>
      <c r="AP1993" s="122"/>
    </row>
    <row r="1994" spans="2:42">
      <c r="B1994" s="122"/>
      <c r="C1994" s="122"/>
      <c r="D1994" s="122"/>
      <c r="E1994" s="122"/>
      <c r="F1994" s="122"/>
      <c r="G1994" s="122"/>
      <c r="H1994" s="122"/>
      <c r="I1994" s="275"/>
      <c r="J1994" s="130"/>
      <c r="K1994" s="130"/>
      <c r="L1994" s="130"/>
      <c r="M1994" s="130"/>
      <c r="N1994" s="291"/>
      <c r="O1994" s="291"/>
      <c r="P1994" s="122"/>
      <c r="Q1994" s="122"/>
      <c r="R1994" s="122"/>
      <c r="S1994" s="122"/>
      <c r="T1994" s="122"/>
      <c r="U1994" s="315"/>
      <c r="V1994" s="260">
        <f t="shared" ca="1" si="39"/>
        <v>0</v>
      </c>
      <c r="W1994" s="348" t="str">
        <f>IF(板块成分!B1996="","",板块成分!B1996)</f>
        <v>300539.SZ</v>
      </c>
      <c r="X1994" s="276" t="str">
        <f>[1]!S_Info_Name(W1994)</f>
        <v>横河精密</v>
      </c>
      <c r="Y1994" s="276" t="str">
        <f ca="1">IF($Y$3="申万一级行业",[1]!s_info_industry_sw_2021(W1994,公司分析!D$5,1),IF($Y$3="申万二级行业",[1]!s_info_industry_sw_2021(W1994,公司分析!D$5,2),IF($Y$3="申万三级行业",[1]!s_info_industry_sw_2021(W1994,公司分析!D$5,3),IF($Y$3="wind一级行业",[1]!s_info_industry_gics(W1994,1),IF($Y$3="wind二级行业",[1]!s_info_industry_gics(W1994,2),IF($Y$3="wind三级行业",[1]!s_info_industry_gics(W1994,3),IF($Y$3="wind四级行业",[1]!s_info_industry_gics(W1994,4),IF($Y$3="证监会门类行业",[1]!s_info_industry_csrc12_n(W1994,公司分析!D$5,1),""))))))))</f>
        <v>塑料</v>
      </c>
      <c r="Z1994" s="302" t="str">
        <f ca="1">IF(Y1994=行业比较!$E$6,ROW(),"")</f>
        <v/>
      </c>
      <c r="AA1994" s="122"/>
      <c r="AB1994" s="122"/>
      <c r="AC1994" s="122"/>
      <c r="AD1994" s="122"/>
      <c r="AE1994" s="122"/>
      <c r="AF1994" s="122"/>
      <c r="AG1994" s="122"/>
      <c r="AH1994" s="122"/>
      <c r="AI1994" s="122"/>
      <c r="AJ1994" s="122"/>
      <c r="AK1994" s="122"/>
      <c r="AL1994" s="122"/>
      <c r="AM1994" s="122"/>
      <c r="AN1994" s="122"/>
      <c r="AO1994" s="122"/>
      <c r="AP1994" s="122"/>
    </row>
    <row r="1995" spans="2:42">
      <c r="B1995" s="122"/>
      <c r="C1995" s="122"/>
      <c r="D1995" s="122"/>
      <c r="E1995" s="122"/>
      <c r="F1995" s="122"/>
      <c r="G1995" s="122"/>
      <c r="H1995" s="122"/>
      <c r="I1995" s="275"/>
      <c r="J1995" s="130"/>
      <c r="K1995" s="130"/>
      <c r="L1995" s="130"/>
      <c r="M1995" s="130"/>
      <c r="N1995" s="291"/>
      <c r="O1995" s="291"/>
      <c r="P1995" s="122"/>
      <c r="Q1995" s="122"/>
      <c r="R1995" s="122"/>
      <c r="S1995" s="122"/>
      <c r="T1995" s="122"/>
      <c r="U1995" s="315"/>
      <c r="V1995" s="260">
        <f t="shared" ca="1" si="39"/>
        <v>0</v>
      </c>
      <c r="W1995" s="348" t="str">
        <f>IF(板块成分!B1997="","",板块成分!B1997)</f>
        <v>300540.SZ</v>
      </c>
      <c r="X1995" s="276" t="str">
        <f>[1]!S_Info_Name(W1995)</f>
        <v>蜀道装备</v>
      </c>
      <c r="Y1995" s="276" t="str">
        <f ca="1">IF($Y$3="申万一级行业",[1]!s_info_industry_sw_2021(W1995,公司分析!D$5,1),IF($Y$3="申万二级行业",[1]!s_info_industry_sw_2021(W1995,公司分析!D$5,2),IF($Y$3="申万三级行业",[1]!s_info_industry_sw_2021(W1995,公司分析!D$5,3),IF($Y$3="wind一级行业",[1]!s_info_industry_gics(W1995,1),IF($Y$3="wind二级行业",[1]!s_info_industry_gics(W1995,2),IF($Y$3="wind三级行业",[1]!s_info_industry_gics(W1995,3),IF($Y$3="wind四级行业",[1]!s_info_industry_gics(W1995,4),IF($Y$3="证监会门类行业",[1]!s_info_industry_csrc12_n(W1995,公司分析!D$5,1),""))))))))</f>
        <v>专用设备</v>
      </c>
      <c r="Z1995" s="302" t="str">
        <f ca="1">IF(Y1995=行业比较!$E$6,ROW(),"")</f>
        <v/>
      </c>
      <c r="AA1995" s="122"/>
      <c r="AB1995" s="122"/>
      <c r="AC1995" s="122"/>
      <c r="AD1995" s="122"/>
      <c r="AE1995" s="122"/>
      <c r="AF1995" s="122"/>
      <c r="AG1995" s="122"/>
      <c r="AH1995" s="122"/>
      <c r="AI1995" s="122"/>
      <c r="AJ1995" s="122"/>
      <c r="AK1995" s="122"/>
      <c r="AL1995" s="122"/>
      <c r="AM1995" s="122"/>
      <c r="AN1995" s="122"/>
      <c r="AO1995" s="122"/>
      <c r="AP1995" s="122"/>
    </row>
    <row r="1996" spans="2:42">
      <c r="B1996" s="122"/>
      <c r="C1996" s="122"/>
      <c r="D1996" s="122"/>
      <c r="E1996" s="122"/>
      <c r="F1996" s="122"/>
      <c r="G1996" s="122"/>
      <c r="H1996" s="122"/>
      <c r="I1996" s="275"/>
      <c r="J1996" s="130"/>
      <c r="K1996" s="130"/>
      <c r="L1996" s="130"/>
      <c r="M1996" s="130"/>
      <c r="N1996" s="291"/>
      <c r="O1996" s="291"/>
      <c r="P1996" s="122"/>
      <c r="Q1996" s="122"/>
      <c r="R1996" s="122"/>
      <c r="S1996" s="122"/>
      <c r="T1996" s="122"/>
      <c r="U1996" s="315"/>
      <c r="V1996" s="260">
        <f t="shared" ca="1" si="39"/>
        <v>0</v>
      </c>
      <c r="W1996" s="348" t="str">
        <f>IF(板块成分!B1998="","",板块成分!B1998)</f>
        <v>300541.SZ</v>
      </c>
      <c r="X1996" s="276" t="str">
        <f>[1]!S_Info_Name(W1996)</f>
        <v>先进数通</v>
      </c>
      <c r="Y1996" s="276" t="str">
        <f ca="1">IF($Y$3="申万一级行业",[1]!s_info_industry_sw_2021(W1996,公司分析!D$5,1),IF($Y$3="申万二级行业",[1]!s_info_industry_sw_2021(W1996,公司分析!D$5,2),IF($Y$3="申万三级行业",[1]!s_info_industry_sw_2021(W1996,公司分析!D$5,3),IF($Y$3="wind一级行业",[1]!s_info_industry_gics(W1996,1),IF($Y$3="wind二级行业",[1]!s_info_industry_gics(W1996,2),IF($Y$3="wind三级行业",[1]!s_info_industry_gics(W1996,3),IF($Y$3="wind四级行业",[1]!s_info_industry_gics(W1996,4),IF($Y$3="证监会门类行业",[1]!s_info_industry_csrc12_n(W1996,公司分析!D$5,1),""))))))))</f>
        <v>IT服务Ⅱ</v>
      </c>
      <c r="Z1996" s="302" t="str">
        <f ca="1">IF(Y1996=行业比较!$E$6,ROW(),"")</f>
        <v/>
      </c>
      <c r="AA1996" s="122"/>
      <c r="AB1996" s="122"/>
      <c r="AC1996" s="122"/>
      <c r="AD1996" s="122"/>
      <c r="AE1996" s="122"/>
      <c r="AF1996" s="122"/>
      <c r="AG1996" s="122"/>
      <c r="AH1996" s="122"/>
      <c r="AI1996" s="122"/>
      <c r="AJ1996" s="122"/>
      <c r="AK1996" s="122"/>
      <c r="AL1996" s="122"/>
      <c r="AM1996" s="122"/>
      <c r="AN1996" s="122"/>
      <c r="AO1996" s="122"/>
      <c r="AP1996" s="122"/>
    </row>
    <row r="1997" spans="2:42">
      <c r="B1997" s="122"/>
      <c r="C1997" s="122"/>
      <c r="D1997" s="122"/>
      <c r="E1997" s="122"/>
      <c r="F1997" s="122"/>
      <c r="G1997" s="122"/>
      <c r="H1997" s="122"/>
      <c r="I1997" s="275"/>
      <c r="J1997" s="130"/>
      <c r="K1997" s="130"/>
      <c r="L1997" s="130"/>
      <c r="M1997" s="130"/>
      <c r="N1997" s="291"/>
      <c r="O1997" s="291"/>
      <c r="P1997" s="122"/>
      <c r="Q1997" s="122"/>
      <c r="R1997" s="122"/>
      <c r="S1997" s="122"/>
      <c r="T1997" s="122"/>
      <c r="U1997" s="315"/>
      <c r="V1997" s="260">
        <f t="shared" ca="1" si="39"/>
        <v>0</v>
      </c>
      <c r="W1997" s="348" t="str">
        <f>IF(板块成分!B1999="","",板块成分!B1999)</f>
        <v>300542.SZ</v>
      </c>
      <c r="X1997" s="276" t="str">
        <f>[1]!S_Info_Name(W1997)</f>
        <v>新晨科技</v>
      </c>
      <c r="Y1997" s="276" t="str">
        <f ca="1">IF($Y$3="申万一级行业",[1]!s_info_industry_sw_2021(W1997,公司分析!D$5,1),IF($Y$3="申万二级行业",[1]!s_info_industry_sw_2021(W1997,公司分析!D$5,2),IF($Y$3="申万三级行业",[1]!s_info_industry_sw_2021(W1997,公司分析!D$5,3),IF($Y$3="wind一级行业",[1]!s_info_industry_gics(W1997,1),IF($Y$3="wind二级行业",[1]!s_info_industry_gics(W1997,2),IF($Y$3="wind三级行业",[1]!s_info_industry_gics(W1997,3),IF($Y$3="wind四级行业",[1]!s_info_industry_gics(W1997,4),IF($Y$3="证监会门类行业",[1]!s_info_industry_csrc12_n(W1997,公司分析!D$5,1),""))))))))</f>
        <v>软件开发</v>
      </c>
      <c r="Z1997" s="302" t="str">
        <f ca="1">IF(Y1997=行业比较!$E$6,ROW(),"")</f>
        <v/>
      </c>
      <c r="AA1997" s="122"/>
      <c r="AB1997" s="122"/>
      <c r="AC1997" s="122"/>
      <c r="AD1997" s="122"/>
      <c r="AE1997" s="122"/>
      <c r="AF1997" s="122"/>
      <c r="AG1997" s="122"/>
      <c r="AH1997" s="122"/>
      <c r="AI1997" s="122"/>
      <c r="AJ1997" s="122"/>
      <c r="AK1997" s="122"/>
      <c r="AL1997" s="122"/>
      <c r="AM1997" s="122"/>
      <c r="AN1997" s="122"/>
      <c r="AO1997" s="122"/>
      <c r="AP1997" s="122"/>
    </row>
    <row r="1998" spans="2:42">
      <c r="B1998" s="122"/>
      <c r="C1998" s="122"/>
      <c r="D1998" s="122"/>
      <c r="E1998" s="122"/>
      <c r="F1998" s="122"/>
      <c r="G1998" s="122"/>
      <c r="H1998" s="122"/>
      <c r="I1998" s="275"/>
      <c r="J1998" s="130"/>
      <c r="K1998" s="130"/>
      <c r="L1998" s="130"/>
      <c r="M1998" s="130"/>
      <c r="N1998" s="291"/>
      <c r="O1998" s="291"/>
      <c r="P1998" s="122"/>
      <c r="Q1998" s="122"/>
      <c r="R1998" s="122"/>
      <c r="S1998" s="122"/>
      <c r="T1998" s="122"/>
      <c r="U1998" s="315"/>
      <c r="V1998" s="260">
        <f t="shared" ca="1" si="39"/>
        <v>0</v>
      </c>
      <c r="W1998" s="348" t="str">
        <f>IF(板块成分!B2000="","",板块成分!B2000)</f>
        <v>300543.SZ</v>
      </c>
      <c r="X1998" s="276" t="str">
        <f>[1]!S_Info_Name(W1998)</f>
        <v>朗科智能</v>
      </c>
      <c r="Y1998" s="276" t="str">
        <f ca="1">IF($Y$3="申万一级行业",[1]!s_info_industry_sw_2021(W1998,公司分析!D$5,1),IF($Y$3="申万二级行业",[1]!s_info_industry_sw_2021(W1998,公司分析!D$5,2),IF($Y$3="申万三级行业",[1]!s_info_industry_sw_2021(W1998,公司分析!D$5,3),IF($Y$3="wind一级行业",[1]!s_info_industry_gics(W1998,1),IF($Y$3="wind二级行业",[1]!s_info_industry_gics(W1998,2),IF($Y$3="wind三级行业",[1]!s_info_industry_gics(W1998,3),IF($Y$3="wind四级行业",[1]!s_info_industry_gics(W1998,4),IF($Y$3="证监会门类行业",[1]!s_info_industry_csrc12_n(W1998,公司分析!D$5,1),""))))))))</f>
        <v>家电零部件Ⅱ</v>
      </c>
      <c r="Z1998" s="302" t="str">
        <f ca="1">IF(Y1998=行业比较!$E$6,ROW(),"")</f>
        <v/>
      </c>
      <c r="AA1998" s="122"/>
      <c r="AB1998" s="122"/>
      <c r="AC1998" s="122"/>
      <c r="AD1998" s="122"/>
      <c r="AE1998" s="122"/>
      <c r="AF1998" s="122"/>
      <c r="AG1998" s="122"/>
      <c r="AH1998" s="122"/>
      <c r="AI1998" s="122"/>
      <c r="AJ1998" s="122"/>
      <c r="AK1998" s="122"/>
      <c r="AL1998" s="122"/>
      <c r="AM1998" s="122"/>
      <c r="AN1998" s="122"/>
      <c r="AO1998" s="122"/>
      <c r="AP1998" s="122"/>
    </row>
    <row r="1999" spans="2:42">
      <c r="B1999" s="122"/>
      <c r="C1999" s="122"/>
      <c r="D1999" s="122"/>
      <c r="E1999" s="122"/>
      <c r="F1999" s="122"/>
      <c r="G1999" s="122"/>
      <c r="H1999" s="122"/>
      <c r="I1999" s="275"/>
      <c r="J1999" s="130"/>
      <c r="K1999" s="130"/>
      <c r="L1999" s="130"/>
      <c r="M1999" s="130"/>
      <c r="N1999" s="291"/>
      <c r="O1999" s="291"/>
      <c r="P1999" s="122"/>
      <c r="Q1999" s="122"/>
      <c r="R1999" s="122"/>
      <c r="S1999" s="122"/>
      <c r="T1999" s="122"/>
      <c r="U1999" s="315"/>
      <c r="V1999" s="260">
        <f t="shared" ca="1" si="39"/>
        <v>0</v>
      </c>
      <c r="W1999" s="348" t="str">
        <f>IF(板块成分!B2001="","",板块成分!B2001)</f>
        <v>300545.SZ</v>
      </c>
      <c r="X1999" s="276" t="str">
        <f>[1]!S_Info_Name(W1999)</f>
        <v>联得装备</v>
      </c>
      <c r="Y1999" s="276" t="str">
        <f ca="1">IF($Y$3="申万一级行业",[1]!s_info_industry_sw_2021(W1999,公司分析!D$5,1),IF($Y$3="申万二级行业",[1]!s_info_industry_sw_2021(W1999,公司分析!D$5,2),IF($Y$3="申万三级行业",[1]!s_info_industry_sw_2021(W1999,公司分析!D$5,3),IF($Y$3="wind一级行业",[1]!s_info_industry_gics(W1999,1),IF($Y$3="wind二级行业",[1]!s_info_industry_gics(W1999,2),IF($Y$3="wind三级行业",[1]!s_info_industry_gics(W1999,3),IF($Y$3="wind四级行业",[1]!s_info_industry_gics(W1999,4),IF($Y$3="证监会门类行业",[1]!s_info_industry_csrc12_n(W1999,公司分析!D$5,1),""))))))))</f>
        <v>光学光电子</v>
      </c>
      <c r="Z1999" s="302" t="str">
        <f ca="1">IF(Y1999=行业比较!$E$6,ROW(),"")</f>
        <v/>
      </c>
      <c r="AA1999" s="122"/>
      <c r="AB1999" s="122"/>
      <c r="AC1999" s="122"/>
      <c r="AD1999" s="122"/>
      <c r="AE1999" s="122"/>
      <c r="AF1999" s="122"/>
      <c r="AG1999" s="122"/>
      <c r="AH1999" s="122"/>
      <c r="AI1999" s="122"/>
      <c r="AJ1999" s="122"/>
      <c r="AK1999" s="122"/>
      <c r="AL1999" s="122"/>
      <c r="AM1999" s="122"/>
      <c r="AN1999" s="122"/>
      <c r="AO1999" s="122"/>
      <c r="AP1999" s="122"/>
    </row>
    <row r="2000" spans="2:42">
      <c r="B2000" s="122"/>
      <c r="C2000" s="122"/>
      <c r="D2000" s="122"/>
      <c r="E2000" s="122"/>
      <c r="F2000" s="122"/>
      <c r="G2000" s="122"/>
      <c r="H2000" s="122"/>
      <c r="I2000" s="275"/>
      <c r="J2000" s="130"/>
      <c r="K2000" s="130"/>
      <c r="L2000" s="130"/>
      <c r="M2000" s="130"/>
      <c r="N2000" s="291"/>
      <c r="O2000" s="291"/>
      <c r="P2000" s="122"/>
      <c r="Q2000" s="122"/>
      <c r="R2000" s="122"/>
      <c r="S2000" s="122"/>
      <c r="T2000" s="122"/>
      <c r="U2000" s="315"/>
      <c r="V2000" s="260">
        <f t="shared" ca="1" si="39"/>
        <v>0</v>
      </c>
      <c r="W2000" s="348" t="str">
        <f>IF(板块成分!B2002="","",板块成分!B2002)</f>
        <v>300546.SZ</v>
      </c>
      <c r="X2000" s="276" t="str">
        <f>[1]!S_Info_Name(W2000)</f>
        <v>雄帝科技</v>
      </c>
      <c r="Y2000" s="276" t="str">
        <f ca="1">IF($Y$3="申万一级行业",[1]!s_info_industry_sw_2021(W2000,公司分析!D$5,1),IF($Y$3="申万二级行业",[1]!s_info_industry_sw_2021(W2000,公司分析!D$5,2),IF($Y$3="申万三级行业",[1]!s_info_industry_sw_2021(W2000,公司分析!D$5,3),IF($Y$3="wind一级行业",[1]!s_info_industry_gics(W2000,1),IF($Y$3="wind二级行业",[1]!s_info_industry_gics(W2000,2),IF($Y$3="wind三级行业",[1]!s_info_industry_gics(W2000,3),IF($Y$3="wind四级行业",[1]!s_info_industry_gics(W2000,4),IF($Y$3="证监会门类行业",[1]!s_info_industry_csrc12_n(W2000,公司分析!D$5,1),""))))))))</f>
        <v>计算机设备</v>
      </c>
      <c r="Z2000" s="302" t="str">
        <f ca="1">IF(Y2000=行业比较!$E$6,ROW(),"")</f>
        <v/>
      </c>
      <c r="AA2000" s="122"/>
      <c r="AB2000" s="122"/>
      <c r="AC2000" s="122"/>
      <c r="AD2000" s="122"/>
      <c r="AE2000" s="122"/>
      <c r="AF2000" s="122"/>
      <c r="AG2000" s="122"/>
      <c r="AH2000" s="122"/>
      <c r="AI2000" s="122"/>
      <c r="AJ2000" s="122"/>
      <c r="AK2000" s="122"/>
      <c r="AL2000" s="122"/>
      <c r="AM2000" s="122"/>
      <c r="AN2000" s="122"/>
      <c r="AO2000" s="122"/>
      <c r="AP2000" s="122"/>
    </row>
    <row r="2001" spans="2:42">
      <c r="B2001" s="122"/>
      <c r="C2001" s="122"/>
      <c r="D2001" s="122"/>
      <c r="E2001" s="122"/>
      <c r="F2001" s="122"/>
      <c r="G2001" s="122"/>
      <c r="H2001" s="122"/>
      <c r="I2001" s="275"/>
      <c r="J2001" s="130"/>
      <c r="K2001" s="130"/>
      <c r="L2001" s="130"/>
      <c r="M2001" s="130"/>
      <c r="N2001" s="291"/>
      <c r="O2001" s="291"/>
      <c r="P2001" s="122"/>
      <c r="Q2001" s="122"/>
      <c r="R2001" s="122"/>
      <c r="S2001" s="122"/>
      <c r="T2001" s="122"/>
      <c r="U2001" s="315"/>
      <c r="V2001" s="260">
        <f t="shared" ca="1" si="39"/>
        <v>0</v>
      </c>
      <c r="W2001" s="348" t="str">
        <f>IF(板块成分!B2003="","",板块成分!B2003)</f>
        <v>300547.SZ</v>
      </c>
      <c r="X2001" s="276" t="str">
        <f>[1]!S_Info_Name(W2001)</f>
        <v>川环科技</v>
      </c>
      <c r="Y2001" s="276" t="str">
        <f ca="1">IF($Y$3="申万一级行业",[1]!s_info_industry_sw_2021(W2001,公司分析!D$5,1),IF($Y$3="申万二级行业",[1]!s_info_industry_sw_2021(W2001,公司分析!D$5,2),IF($Y$3="申万三级行业",[1]!s_info_industry_sw_2021(W2001,公司分析!D$5,3),IF($Y$3="wind一级行业",[1]!s_info_industry_gics(W2001,1),IF($Y$3="wind二级行业",[1]!s_info_industry_gics(W2001,2),IF($Y$3="wind三级行业",[1]!s_info_industry_gics(W2001,3),IF($Y$3="wind四级行业",[1]!s_info_industry_gics(W2001,4),IF($Y$3="证监会门类行业",[1]!s_info_industry_csrc12_n(W2001,公司分析!D$5,1),""))))))))</f>
        <v>汽车零部件</v>
      </c>
      <c r="Z2001" s="302" t="str">
        <f ca="1">IF(Y2001=行业比较!$E$6,ROW(),"")</f>
        <v/>
      </c>
      <c r="AA2001" s="122"/>
      <c r="AB2001" s="122"/>
      <c r="AC2001" s="122"/>
      <c r="AD2001" s="122"/>
      <c r="AE2001" s="122"/>
      <c r="AF2001" s="122"/>
      <c r="AG2001" s="122"/>
      <c r="AH2001" s="122"/>
      <c r="AI2001" s="122"/>
      <c r="AJ2001" s="122"/>
      <c r="AK2001" s="122"/>
      <c r="AL2001" s="122"/>
      <c r="AM2001" s="122"/>
      <c r="AN2001" s="122"/>
      <c r="AO2001" s="122"/>
      <c r="AP2001" s="122"/>
    </row>
    <row r="2002" spans="2:42">
      <c r="B2002" s="122"/>
      <c r="C2002" s="122"/>
      <c r="D2002" s="122"/>
      <c r="E2002" s="122"/>
      <c r="F2002" s="122"/>
      <c r="G2002" s="122"/>
      <c r="H2002" s="122"/>
      <c r="I2002" s="275"/>
      <c r="J2002" s="130"/>
      <c r="K2002" s="130"/>
      <c r="L2002" s="130"/>
      <c r="M2002" s="130"/>
      <c r="N2002" s="291"/>
      <c r="O2002" s="291"/>
      <c r="P2002" s="122"/>
      <c r="Q2002" s="122"/>
      <c r="R2002" s="122"/>
      <c r="S2002" s="122"/>
      <c r="T2002" s="122"/>
      <c r="U2002" s="315"/>
      <c r="V2002" s="260">
        <f t="shared" ca="1" si="39"/>
        <v>0</v>
      </c>
      <c r="W2002" s="348" t="str">
        <f>IF(板块成分!B2004="","",板块成分!B2004)</f>
        <v>300548.SZ</v>
      </c>
      <c r="X2002" s="276" t="str">
        <f>[1]!S_Info_Name(W2002)</f>
        <v>长芯博创</v>
      </c>
      <c r="Y2002" s="276" t="str">
        <f ca="1">IF($Y$3="申万一级行业",[1]!s_info_industry_sw_2021(W2002,公司分析!D$5,1),IF($Y$3="申万二级行业",[1]!s_info_industry_sw_2021(W2002,公司分析!D$5,2),IF($Y$3="申万三级行业",[1]!s_info_industry_sw_2021(W2002,公司分析!D$5,3),IF($Y$3="wind一级行业",[1]!s_info_industry_gics(W2002,1),IF($Y$3="wind二级行业",[1]!s_info_industry_gics(W2002,2),IF($Y$3="wind三级行业",[1]!s_info_industry_gics(W2002,3),IF($Y$3="wind四级行业",[1]!s_info_industry_gics(W2002,4),IF($Y$3="证监会门类行业",[1]!s_info_industry_csrc12_n(W2002,公司分析!D$5,1),""))))))))</f>
        <v>通信设备</v>
      </c>
      <c r="Z2002" s="302" t="str">
        <f ca="1">IF(Y2002=行业比较!$E$6,ROW(),"")</f>
        <v/>
      </c>
      <c r="AA2002" s="122"/>
      <c r="AB2002" s="122"/>
      <c r="AC2002" s="122"/>
      <c r="AD2002" s="122"/>
      <c r="AE2002" s="122"/>
      <c r="AF2002" s="122"/>
      <c r="AG2002" s="122"/>
      <c r="AH2002" s="122"/>
      <c r="AI2002" s="122"/>
      <c r="AJ2002" s="122"/>
      <c r="AK2002" s="122"/>
      <c r="AL2002" s="122"/>
      <c r="AM2002" s="122"/>
      <c r="AN2002" s="122"/>
      <c r="AO2002" s="122"/>
      <c r="AP2002" s="122"/>
    </row>
    <row r="2003" spans="2:42">
      <c r="B2003" s="122"/>
      <c r="C2003" s="122"/>
      <c r="D2003" s="122"/>
      <c r="E2003" s="122"/>
      <c r="F2003" s="122"/>
      <c r="G2003" s="122"/>
      <c r="H2003" s="122"/>
      <c r="I2003" s="275"/>
      <c r="J2003" s="130"/>
      <c r="K2003" s="130"/>
      <c r="L2003" s="130"/>
      <c r="M2003" s="130"/>
      <c r="N2003" s="291"/>
      <c r="O2003" s="291"/>
      <c r="P2003" s="122"/>
      <c r="Q2003" s="122"/>
      <c r="R2003" s="122"/>
      <c r="S2003" s="122"/>
      <c r="T2003" s="122"/>
      <c r="U2003" s="315"/>
      <c r="V2003" s="260">
        <f t="shared" ca="1" si="39"/>
        <v>0</v>
      </c>
      <c r="W2003" s="348" t="str">
        <f>IF(板块成分!B2005="","",板块成分!B2005)</f>
        <v>300549.SZ</v>
      </c>
      <c r="X2003" s="276" t="str">
        <f>[1]!S_Info_Name(W2003)</f>
        <v>优德精密</v>
      </c>
      <c r="Y2003" s="276" t="str">
        <f ca="1">IF($Y$3="申万一级行业",[1]!s_info_industry_sw_2021(W2003,公司分析!D$5,1),IF($Y$3="申万二级行业",[1]!s_info_industry_sw_2021(W2003,公司分析!D$5,2),IF($Y$3="申万三级行业",[1]!s_info_industry_sw_2021(W2003,公司分析!D$5,3),IF($Y$3="wind一级行业",[1]!s_info_industry_gics(W2003,1),IF($Y$3="wind二级行业",[1]!s_info_industry_gics(W2003,2),IF($Y$3="wind三级行业",[1]!s_info_industry_gics(W2003,3),IF($Y$3="wind四级行业",[1]!s_info_industry_gics(W2003,4),IF($Y$3="证监会门类行业",[1]!s_info_industry_csrc12_n(W2003,公司分析!D$5,1),""))))))))</f>
        <v>专用设备</v>
      </c>
      <c r="Z2003" s="302" t="str">
        <f ca="1">IF(Y2003=行业比较!$E$6,ROW(),"")</f>
        <v/>
      </c>
      <c r="AA2003" s="122"/>
      <c r="AB2003" s="122"/>
      <c r="AC2003" s="122"/>
      <c r="AD2003" s="122"/>
      <c r="AE2003" s="122"/>
      <c r="AF2003" s="122"/>
      <c r="AG2003" s="122"/>
      <c r="AH2003" s="122"/>
      <c r="AI2003" s="122"/>
      <c r="AJ2003" s="122"/>
      <c r="AK2003" s="122"/>
      <c r="AL2003" s="122"/>
      <c r="AM2003" s="122"/>
      <c r="AN2003" s="122"/>
      <c r="AO2003" s="122"/>
      <c r="AP2003" s="122"/>
    </row>
    <row r="2004" spans="2:42">
      <c r="B2004" s="122"/>
      <c r="C2004" s="122"/>
      <c r="D2004" s="122"/>
      <c r="E2004" s="122"/>
      <c r="F2004" s="122"/>
      <c r="G2004" s="122"/>
      <c r="H2004" s="122"/>
      <c r="I2004" s="275"/>
      <c r="J2004" s="130"/>
      <c r="K2004" s="130"/>
      <c r="L2004" s="130"/>
      <c r="M2004" s="130"/>
      <c r="N2004" s="291"/>
      <c r="O2004" s="291"/>
      <c r="P2004" s="122"/>
      <c r="Q2004" s="122"/>
      <c r="R2004" s="122"/>
      <c r="S2004" s="122"/>
      <c r="T2004" s="122"/>
      <c r="U2004" s="315"/>
      <c r="V2004" s="260">
        <f t="shared" ca="1" si="39"/>
        <v>0</v>
      </c>
      <c r="W2004" s="348" t="str">
        <f>IF(板块成分!B2006="","",板块成分!B2006)</f>
        <v>300550.SZ</v>
      </c>
      <c r="X2004" s="276" t="str">
        <f>[1]!S_Info_Name(W2004)</f>
        <v>和仁科技</v>
      </c>
      <c r="Y2004" s="276" t="str">
        <f ca="1">IF($Y$3="申万一级行业",[1]!s_info_industry_sw_2021(W2004,公司分析!D$5,1),IF($Y$3="申万二级行业",[1]!s_info_industry_sw_2021(W2004,公司分析!D$5,2),IF($Y$3="申万三级行业",[1]!s_info_industry_sw_2021(W2004,公司分析!D$5,3),IF($Y$3="wind一级行业",[1]!s_info_industry_gics(W2004,1),IF($Y$3="wind二级行业",[1]!s_info_industry_gics(W2004,2),IF($Y$3="wind三级行业",[1]!s_info_industry_gics(W2004,3),IF($Y$3="wind四级行业",[1]!s_info_industry_gics(W2004,4),IF($Y$3="证监会门类行业",[1]!s_info_industry_csrc12_n(W2004,公司分析!D$5,1),""))))))))</f>
        <v>软件开发</v>
      </c>
      <c r="Z2004" s="302" t="str">
        <f ca="1">IF(Y2004=行业比较!$E$6,ROW(),"")</f>
        <v/>
      </c>
      <c r="AA2004" s="122"/>
      <c r="AB2004" s="122"/>
      <c r="AC2004" s="122"/>
      <c r="AD2004" s="122"/>
      <c r="AE2004" s="122"/>
      <c r="AF2004" s="122"/>
      <c r="AG2004" s="122"/>
      <c r="AH2004" s="122"/>
      <c r="AI2004" s="122"/>
      <c r="AJ2004" s="122"/>
      <c r="AK2004" s="122"/>
      <c r="AL2004" s="122"/>
      <c r="AM2004" s="122"/>
      <c r="AN2004" s="122"/>
      <c r="AO2004" s="122"/>
      <c r="AP2004" s="122"/>
    </row>
    <row r="2005" spans="2:42">
      <c r="B2005" s="122"/>
      <c r="C2005" s="122"/>
      <c r="D2005" s="122"/>
      <c r="E2005" s="122"/>
      <c r="F2005" s="122"/>
      <c r="G2005" s="122"/>
      <c r="H2005" s="122"/>
      <c r="I2005" s="275"/>
      <c r="J2005" s="130"/>
      <c r="K2005" s="130"/>
      <c r="L2005" s="130"/>
      <c r="M2005" s="130"/>
      <c r="N2005" s="291"/>
      <c r="O2005" s="291"/>
      <c r="P2005" s="122"/>
      <c r="Q2005" s="122"/>
      <c r="R2005" s="122"/>
      <c r="S2005" s="122"/>
      <c r="T2005" s="122"/>
      <c r="U2005" s="315"/>
      <c r="V2005" s="260">
        <f t="shared" ca="1" si="39"/>
        <v>0</v>
      </c>
      <c r="W2005" s="348" t="str">
        <f>IF(板块成分!B2007="","",板块成分!B2007)</f>
        <v>300551.SZ</v>
      </c>
      <c r="X2005" s="276" t="str">
        <f>[1]!S_Info_Name(W2005)</f>
        <v>古鳌科技</v>
      </c>
      <c r="Y2005" s="276" t="str">
        <f ca="1">IF($Y$3="申万一级行业",[1]!s_info_industry_sw_2021(W2005,公司分析!D$5,1),IF($Y$3="申万二级行业",[1]!s_info_industry_sw_2021(W2005,公司分析!D$5,2),IF($Y$3="申万三级行业",[1]!s_info_industry_sw_2021(W2005,公司分析!D$5,3),IF($Y$3="wind一级行业",[1]!s_info_industry_gics(W2005,1),IF($Y$3="wind二级行业",[1]!s_info_industry_gics(W2005,2),IF($Y$3="wind三级行业",[1]!s_info_industry_gics(W2005,3),IF($Y$3="wind四级行业",[1]!s_info_industry_gics(W2005,4),IF($Y$3="证监会门类行业",[1]!s_info_industry_csrc12_n(W2005,公司分析!D$5,1),""))))))))</f>
        <v>计算机设备</v>
      </c>
      <c r="Z2005" s="302" t="str">
        <f ca="1">IF(Y2005=行业比较!$E$6,ROW(),"")</f>
        <v/>
      </c>
      <c r="AA2005" s="122"/>
      <c r="AB2005" s="122"/>
      <c r="AC2005" s="122"/>
      <c r="AD2005" s="122"/>
      <c r="AE2005" s="122"/>
      <c r="AF2005" s="122"/>
      <c r="AG2005" s="122"/>
      <c r="AH2005" s="122"/>
      <c r="AI2005" s="122"/>
      <c r="AJ2005" s="122"/>
      <c r="AK2005" s="122"/>
      <c r="AL2005" s="122"/>
      <c r="AM2005" s="122"/>
      <c r="AN2005" s="122"/>
      <c r="AO2005" s="122"/>
      <c r="AP2005" s="122"/>
    </row>
    <row r="2006" spans="2:42">
      <c r="B2006" s="122"/>
      <c r="C2006" s="122"/>
      <c r="D2006" s="122"/>
      <c r="E2006" s="122"/>
      <c r="F2006" s="122"/>
      <c r="G2006" s="122"/>
      <c r="H2006" s="122"/>
      <c r="I2006" s="275"/>
      <c r="J2006" s="130"/>
      <c r="K2006" s="130"/>
      <c r="L2006" s="130"/>
      <c r="M2006" s="130"/>
      <c r="N2006" s="291"/>
      <c r="O2006" s="291"/>
      <c r="P2006" s="122"/>
      <c r="Q2006" s="122"/>
      <c r="R2006" s="122"/>
      <c r="S2006" s="122"/>
      <c r="T2006" s="122"/>
      <c r="U2006" s="315"/>
      <c r="V2006" s="260">
        <f t="shared" ca="1" si="39"/>
        <v>0</v>
      </c>
      <c r="W2006" s="348" t="str">
        <f>IF(板块成分!B2008="","",板块成分!B2008)</f>
        <v>300552.SZ</v>
      </c>
      <c r="X2006" s="276" t="str">
        <f>[1]!S_Info_Name(W2006)</f>
        <v>万集科技</v>
      </c>
      <c r="Y2006" s="276" t="str">
        <f ca="1">IF($Y$3="申万一级行业",[1]!s_info_industry_sw_2021(W2006,公司分析!D$5,1),IF($Y$3="申万二级行业",[1]!s_info_industry_sw_2021(W2006,公司分析!D$5,2),IF($Y$3="申万三级行业",[1]!s_info_industry_sw_2021(W2006,公司分析!D$5,3),IF($Y$3="wind一级行业",[1]!s_info_industry_gics(W2006,1),IF($Y$3="wind二级行业",[1]!s_info_industry_gics(W2006,2),IF($Y$3="wind三级行业",[1]!s_info_industry_gics(W2006,3),IF($Y$3="wind四级行业",[1]!s_info_industry_gics(W2006,4),IF($Y$3="证监会门类行业",[1]!s_info_industry_csrc12_n(W2006,公司分析!D$5,1),""))))))))</f>
        <v>计算机设备</v>
      </c>
      <c r="Z2006" s="302" t="str">
        <f ca="1">IF(Y2006=行业比较!$E$6,ROW(),"")</f>
        <v/>
      </c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</row>
    <row r="2007" spans="2:42">
      <c r="B2007" s="122"/>
      <c r="C2007" s="122"/>
      <c r="D2007" s="122"/>
      <c r="E2007" s="122"/>
      <c r="F2007" s="122"/>
      <c r="G2007" s="122"/>
      <c r="H2007" s="122"/>
      <c r="I2007" s="275"/>
      <c r="J2007" s="130"/>
      <c r="K2007" s="130"/>
      <c r="L2007" s="130"/>
      <c r="M2007" s="130"/>
      <c r="N2007" s="291"/>
      <c r="O2007" s="291"/>
      <c r="P2007" s="122"/>
      <c r="Q2007" s="122"/>
      <c r="R2007" s="122"/>
      <c r="S2007" s="122"/>
      <c r="T2007" s="122"/>
      <c r="U2007" s="315"/>
      <c r="V2007" s="260">
        <f t="shared" ca="1" si="39"/>
        <v>0</v>
      </c>
      <c r="W2007" s="348" t="str">
        <f>IF(板块成分!B2009="","",板块成分!B2009)</f>
        <v>300553.SZ</v>
      </c>
      <c r="X2007" s="276" t="str">
        <f>[1]!S_Info_Name(W2007)</f>
        <v>集智股份</v>
      </c>
      <c r="Y2007" s="276" t="str">
        <f ca="1">IF($Y$3="申万一级行业",[1]!s_info_industry_sw_2021(W2007,公司分析!D$5,1),IF($Y$3="申万二级行业",[1]!s_info_industry_sw_2021(W2007,公司分析!D$5,2),IF($Y$3="申万三级行业",[1]!s_info_industry_sw_2021(W2007,公司分析!D$5,3),IF($Y$3="wind一级行业",[1]!s_info_industry_gics(W2007,1),IF($Y$3="wind二级行业",[1]!s_info_industry_gics(W2007,2),IF($Y$3="wind三级行业",[1]!s_info_industry_gics(W2007,3),IF($Y$3="wind四级行业",[1]!s_info_industry_gics(W2007,4),IF($Y$3="证监会门类行业",[1]!s_info_industry_csrc12_n(W2007,公司分析!D$5,1),""))))))))</f>
        <v>通用设备</v>
      </c>
      <c r="Z2007" s="302" t="str">
        <f ca="1">IF(Y2007=行业比较!$E$6,ROW(),"")</f>
        <v/>
      </c>
      <c r="AA2007" s="122"/>
      <c r="AB2007" s="122"/>
      <c r="AC2007" s="122"/>
      <c r="AD2007" s="122"/>
      <c r="AE2007" s="122"/>
      <c r="AF2007" s="122"/>
      <c r="AG2007" s="122"/>
      <c r="AH2007" s="122"/>
      <c r="AI2007" s="122"/>
      <c r="AJ2007" s="122"/>
      <c r="AK2007" s="122"/>
      <c r="AL2007" s="122"/>
      <c r="AM2007" s="122"/>
      <c r="AN2007" s="122"/>
      <c r="AO2007" s="122"/>
      <c r="AP2007" s="122"/>
    </row>
    <row r="2008" spans="2:42">
      <c r="B2008" s="122"/>
      <c r="C2008" s="122"/>
      <c r="D2008" s="122"/>
      <c r="E2008" s="122"/>
      <c r="F2008" s="122"/>
      <c r="G2008" s="122"/>
      <c r="H2008" s="122"/>
      <c r="I2008" s="275"/>
      <c r="J2008" s="130"/>
      <c r="K2008" s="130"/>
      <c r="L2008" s="130"/>
      <c r="M2008" s="130"/>
      <c r="N2008" s="291"/>
      <c r="O2008" s="291"/>
      <c r="P2008" s="122"/>
      <c r="Q2008" s="122"/>
      <c r="R2008" s="122"/>
      <c r="S2008" s="122"/>
      <c r="T2008" s="122"/>
      <c r="U2008" s="315"/>
      <c r="V2008" s="260">
        <f t="shared" ca="1" si="39"/>
        <v>0</v>
      </c>
      <c r="W2008" s="348" t="str">
        <f>IF(板块成分!B2010="","",板块成分!B2010)</f>
        <v>300554.SZ</v>
      </c>
      <c r="X2008" s="276" t="str">
        <f>[1]!S_Info_Name(W2008)</f>
        <v>三超新材</v>
      </c>
      <c r="Y2008" s="276" t="str">
        <f ca="1">IF($Y$3="申万一级行业",[1]!s_info_industry_sw_2021(W2008,公司分析!D$5,1),IF($Y$3="申万二级行业",[1]!s_info_industry_sw_2021(W2008,公司分析!D$5,2),IF($Y$3="申万三级行业",[1]!s_info_industry_sw_2021(W2008,公司分析!D$5,3),IF($Y$3="wind一级行业",[1]!s_info_industry_gics(W2008,1),IF($Y$3="wind二级行业",[1]!s_info_industry_gics(W2008,2),IF($Y$3="wind三级行业",[1]!s_info_industry_gics(W2008,3),IF($Y$3="wind四级行业",[1]!s_info_industry_gics(W2008,4),IF($Y$3="证监会门类行业",[1]!s_info_industry_csrc12_n(W2008,公司分析!D$5,1),""))))))))</f>
        <v>通用设备</v>
      </c>
      <c r="Z2008" s="302" t="str">
        <f ca="1">IF(Y2008=行业比较!$E$6,ROW(),"")</f>
        <v/>
      </c>
      <c r="AA2008" s="122"/>
      <c r="AB2008" s="122"/>
      <c r="AC2008" s="122"/>
      <c r="AD2008" s="122"/>
      <c r="AE2008" s="122"/>
      <c r="AF2008" s="122"/>
      <c r="AG2008" s="122"/>
      <c r="AH2008" s="122"/>
      <c r="AI2008" s="122"/>
      <c r="AJ2008" s="122"/>
      <c r="AK2008" s="122"/>
      <c r="AL2008" s="122"/>
      <c r="AM2008" s="122"/>
      <c r="AN2008" s="122"/>
      <c r="AO2008" s="122"/>
      <c r="AP2008" s="122"/>
    </row>
    <row r="2009" spans="2:42">
      <c r="B2009" s="122"/>
      <c r="C2009" s="122"/>
      <c r="D2009" s="122"/>
      <c r="E2009" s="122"/>
      <c r="F2009" s="122"/>
      <c r="G2009" s="122"/>
      <c r="H2009" s="122"/>
      <c r="I2009" s="275"/>
      <c r="J2009" s="130"/>
      <c r="K2009" s="130"/>
      <c r="L2009" s="130"/>
      <c r="M2009" s="130"/>
      <c r="N2009" s="291"/>
      <c r="O2009" s="291"/>
      <c r="P2009" s="122"/>
      <c r="Q2009" s="122"/>
      <c r="R2009" s="122"/>
      <c r="S2009" s="122"/>
      <c r="T2009" s="122"/>
      <c r="U2009" s="315"/>
      <c r="V2009" s="260">
        <f t="shared" ca="1" si="39"/>
        <v>0</v>
      </c>
      <c r="W2009" s="348" t="str">
        <f>IF(板块成分!B2011="","",板块成分!B2011)</f>
        <v>300555.SZ</v>
      </c>
      <c r="X2009" s="276" t="str">
        <f>[1]!S_Info_Name(W2009)</f>
        <v>ST路通</v>
      </c>
      <c r="Y2009" s="276" t="str">
        <f ca="1">IF($Y$3="申万一级行业",[1]!s_info_industry_sw_2021(W2009,公司分析!D$5,1),IF($Y$3="申万二级行业",[1]!s_info_industry_sw_2021(W2009,公司分析!D$5,2),IF($Y$3="申万三级行业",[1]!s_info_industry_sw_2021(W2009,公司分析!D$5,3),IF($Y$3="wind一级行业",[1]!s_info_industry_gics(W2009,1),IF($Y$3="wind二级行业",[1]!s_info_industry_gics(W2009,2),IF($Y$3="wind三级行业",[1]!s_info_industry_gics(W2009,3),IF($Y$3="wind四级行业",[1]!s_info_industry_gics(W2009,4),IF($Y$3="证监会门类行业",[1]!s_info_industry_csrc12_n(W2009,公司分析!D$5,1),""))))))))</f>
        <v>通信设备</v>
      </c>
      <c r="Z2009" s="302" t="str">
        <f ca="1">IF(Y2009=行业比较!$E$6,ROW(),"")</f>
        <v/>
      </c>
      <c r="AA2009" s="122"/>
      <c r="AB2009" s="122"/>
      <c r="AC2009" s="122"/>
      <c r="AD2009" s="122"/>
      <c r="AE2009" s="122"/>
      <c r="AF2009" s="122"/>
      <c r="AG2009" s="122"/>
      <c r="AH2009" s="122"/>
      <c r="AI2009" s="122"/>
      <c r="AJ2009" s="122"/>
      <c r="AK2009" s="122"/>
      <c r="AL2009" s="122"/>
      <c r="AM2009" s="122"/>
      <c r="AN2009" s="122"/>
      <c r="AO2009" s="122"/>
      <c r="AP2009" s="122"/>
    </row>
    <row r="2010" spans="2:42">
      <c r="B2010" s="122"/>
      <c r="C2010" s="122"/>
      <c r="D2010" s="122"/>
      <c r="E2010" s="122"/>
      <c r="F2010" s="122"/>
      <c r="G2010" s="122"/>
      <c r="H2010" s="122"/>
      <c r="I2010" s="275"/>
      <c r="J2010" s="130"/>
      <c r="K2010" s="130"/>
      <c r="L2010" s="130"/>
      <c r="M2010" s="130"/>
      <c r="N2010" s="291"/>
      <c r="O2010" s="291"/>
      <c r="P2010" s="122"/>
      <c r="Q2010" s="122"/>
      <c r="R2010" s="122"/>
      <c r="S2010" s="122"/>
      <c r="T2010" s="122"/>
      <c r="U2010" s="315"/>
      <c r="V2010" s="260">
        <f t="shared" ca="1" si="39"/>
        <v>0</v>
      </c>
      <c r="W2010" s="348" t="str">
        <f>IF(板块成分!B2012="","",板块成分!B2012)</f>
        <v>300556.SZ</v>
      </c>
      <c r="X2010" s="276" t="str">
        <f>[1]!S_Info_Name(W2010)</f>
        <v>丝路视觉</v>
      </c>
      <c r="Y2010" s="276" t="str">
        <f ca="1">IF($Y$3="申万一级行业",[1]!s_info_industry_sw_2021(W2010,公司分析!D$5,1),IF($Y$3="申万二级行业",[1]!s_info_industry_sw_2021(W2010,公司分析!D$5,2),IF($Y$3="申万三级行业",[1]!s_info_industry_sw_2021(W2010,公司分析!D$5,3),IF($Y$3="wind一级行业",[1]!s_info_industry_gics(W2010,1),IF($Y$3="wind二级行业",[1]!s_info_industry_gics(W2010,2),IF($Y$3="wind三级行业",[1]!s_info_industry_gics(W2010,3),IF($Y$3="wind四级行业",[1]!s_info_industry_gics(W2010,4),IF($Y$3="证监会门类行业",[1]!s_info_industry_csrc12_n(W2010,公司分析!D$5,1),""))))))))</f>
        <v>软件开发</v>
      </c>
      <c r="Z2010" s="302" t="str">
        <f ca="1">IF(Y2010=行业比较!$E$6,ROW(),"")</f>
        <v/>
      </c>
      <c r="AA2010" s="122"/>
      <c r="AB2010" s="122"/>
      <c r="AC2010" s="122"/>
      <c r="AD2010" s="122"/>
      <c r="AE2010" s="122"/>
      <c r="AF2010" s="122"/>
      <c r="AG2010" s="122"/>
      <c r="AH2010" s="122"/>
      <c r="AI2010" s="122"/>
      <c r="AJ2010" s="122"/>
      <c r="AK2010" s="122"/>
      <c r="AL2010" s="122"/>
      <c r="AM2010" s="122"/>
      <c r="AN2010" s="122"/>
      <c r="AO2010" s="122"/>
      <c r="AP2010" s="122"/>
    </row>
    <row r="2011" spans="2:42">
      <c r="B2011" s="122"/>
      <c r="C2011" s="122"/>
      <c r="D2011" s="122"/>
      <c r="E2011" s="122"/>
      <c r="F2011" s="122"/>
      <c r="G2011" s="122"/>
      <c r="H2011" s="122"/>
      <c r="I2011" s="275"/>
      <c r="J2011" s="130"/>
      <c r="K2011" s="130"/>
      <c r="L2011" s="130"/>
      <c r="M2011" s="130"/>
      <c r="N2011" s="291"/>
      <c r="O2011" s="291"/>
      <c r="P2011" s="122"/>
      <c r="Q2011" s="122"/>
      <c r="R2011" s="122"/>
      <c r="S2011" s="122"/>
      <c r="T2011" s="122"/>
      <c r="U2011" s="315"/>
      <c r="V2011" s="260">
        <f t="shared" ca="1" si="39"/>
        <v>0</v>
      </c>
      <c r="W2011" s="348" t="str">
        <f>IF(板块成分!B2013="","",板块成分!B2013)</f>
        <v>300557.SZ</v>
      </c>
      <c r="X2011" s="276" t="str">
        <f>[1]!S_Info_Name(W2011)</f>
        <v>理工光科</v>
      </c>
      <c r="Y2011" s="276" t="str">
        <f ca="1">IF($Y$3="申万一级行业",[1]!s_info_industry_sw_2021(W2011,公司分析!D$5,1),IF($Y$3="申万二级行业",[1]!s_info_industry_sw_2021(W2011,公司分析!D$5,2),IF($Y$3="申万三级行业",[1]!s_info_industry_sw_2021(W2011,公司分析!D$5,3),IF($Y$3="wind一级行业",[1]!s_info_industry_gics(W2011,1),IF($Y$3="wind二级行业",[1]!s_info_industry_gics(W2011,2),IF($Y$3="wind三级行业",[1]!s_info_industry_gics(W2011,3),IF($Y$3="wind四级行业",[1]!s_info_industry_gics(W2011,4),IF($Y$3="证监会门类行业",[1]!s_info_industry_csrc12_n(W2011,公司分析!D$5,1),""))))))))</f>
        <v>通用设备</v>
      </c>
      <c r="Z2011" s="302" t="str">
        <f ca="1">IF(Y2011=行业比较!$E$6,ROW(),"")</f>
        <v/>
      </c>
      <c r="AA2011" s="122"/>
      <c r="AB2011" s="122"/>
      <c r="AC2011" s="122"/>
      <c r="AD2011" s="122"/>
      <c r="AE2011" s="122"/>
      <c r="AF2011" s="122"/>
      <c r="AG2011" s="122"/>
      <c r="AH2011" s="122"/>
      <c r="AI2011" s="122"/>
      <c r="AJ2011" s="122"/>
      <c r="AK2011" s="122"/>
      <c r="AL2011" s="122"/>
      <c r="AM2011" s="122"/>
      <c r="AN2011" s="122"/>
      <c r="AO2011" s="122"/>
      <c r="AP2011" s="122"/>
    </row>
    <row r="2012" spans="2:42">
      <c r="B2012" s="122"/>
      <c r="C2012" s="122"/>
      <c r="D2012" s="122"/>
      <c r="E2012" s="122"/>
      <c r="F2012" s="122"/>
      <c r="G2012" s="122"/>
      <c r="H2012" s="122"/>
      <c r="I2012" s="275"/>
      <c r="J2012" s="130"/>
      <c r="K2012" s="130"/>
      <c r="L2012" s="130"/>
      <c r="M2012" s="130"/>
      <c r="N2012" s="291"/>
      <c r="O2012" s="291"/>
      <c r="P2012" s="122"/>
      <c r="Q2012" s="122"/>
      <c r="R2012" s="122"/>
      <c r="S2012" s="122"/>
      <c r="T2012" s="122"/>
      <c r="U2012" s="315"/>
      <c r="V2012" s="260">
        <f t="shared" ca="1" si="39"/>
        <v>0</v>
      </c>
      <c r="W2012" s="348" t="str">
        <f>IF(板块成分!B2014="","",板块成分!B2014)</f>
        <v>300558.SZ</v>
      </c>
      <c r="X2012" s="276" t="str">
        <f>[1]!S_Info_Name(W2012)</f>
        <v>贝达药业</v>
      </c>
      <c r="Y2012" s="276" t="str">
        <f ca="1">IF($Y$3="申万一级行业",[1]!s_info_industry_sw_2021(W2012,公司分析!D$5,1),IF($Y$3="申万二级行业",[1]!s_info_industry_sw_2021(W2012,公司分析!D$5,2),IF($Y$3="申万三级行业",[1]!s_info_industry_sw_2021(W2012,公司分析!D$5,3),IF($Y$3="wind一级行业",[1]!s_info_industry_gics(W2012,1),IF($Y$3="wind二级行业",[1]!s_info_industry_gics(W2012,2),IF($Y$3="wind三级行业",[1]!s_info_industry_gics(W2012,3),IF($Y$3="wind四级行业",[1]!s_info_industry_gics(W2012,4),IF($Y$3="证监会门类行业",[1]!s_info_industry_csrc12_n(W2012,公司分析!D$5,1),""))))))))</f>
        <v>化学制药</v>
      </c>
      <c r="Z2012" s="302" t="str">
        <f ca="1">IF(Y2012=行业比较!$E$6,ROW(),"")</f>
        <v/>
      </c>
      <c r="AA2012" s="122"/>
      <c r="AB2012" s="122"/>
      <c r="AC2012" s="122"/>
      <c r="AD2012" s="122"/>
      <c r="AE2012" s="122"/>
      <c r="AF2012" s="122"/>
      <c r="AG2012" s="122"/>
      <c r="AH2012" s="122"/>
      <c r="AI2012" s="122"/>
      <c r="AJ2012" s="122"/>
      <c r="AK2012" s="122"/>
      <c r="AL2012" s="122"/>
      <c r="AM2012" s="122"/>
      <c r="AN2012" s="122"/>
      <c r="AO2012" s="122"/>
      <c r="AP2012" s="122"/>
    </row>
    <row r="2013" spans="2:42">
      <c r="B2013" s="122"/>
      <c r="C2013" s="122"/>
      <c r="D2013" s="122"/>
      <c r="E2013" s="122"/>
      <c r="F2013" s="122"/>
      <c r="G2013" s="122"/>
      <c r="H2013" s="122"/>
      <c r="I2013" s="275"/>
      <c r="J2013" s="130"/>
      <c r="K2013" s="130"/>
      <c r="L2013" s="130"/>
      <c r="M2013" s="130"/>
      <c r="N2013" s="291"/>
      <c r="O2013" s="291"/>
      <c r="P2013" s="122"/>
      <c r="Q2013" s="122"/>
      <c r="R2013" s="122"/>
      <c r="S2013" s="122"/>
      <c r="T2013" s="122"/>
      <c r="U2013" s="315"/>
      <c r="V2013" s="260">
        <f t="shared" ca="1" si="39"/>
        <v>0</v>
      </c>
      <c r="W2013" s="348" t="str">
        <f>IF(板块成分!B2015="","",板块成分!B2015)</f>
        <v>300559.SZ</v>
      </c>
      <c r="X2013" s="276" t="str">
        <f>[1]!S_Info_Name(W2013)</f>
        <v>佳发教育</v>
      </c>
      <c r="Y2013" s="276" t="str">
        <f ca="1">IF($Y$3="申万一级行业",[1]!s_info_industry_sw_2021(W2013,公司分析!D$5,1),IF($Y$3="申万二级行业",[1]!s_info_industry_sw_2021(W2013,公司分析!D$5,2),IF($Y$3="申万三级行业",[1]!s_info_industry_sw_2021(W2013,公司分析!D$5,3),IF($Y$3="wind一级行业",[1]!s_info_industry_gics(W2013,1),IF($Y$3="wind二级行业",[1]!s_info_industry_gics(W2013,2),IF($Y$3="wind三级行业",[1]!s_info_industry_gics(W2013,3),IF($Y$3="wind四级行业",[1]!s_info_industry_gics(W2013,4),IF($Y$3="证监会门类行业",[1]!s_info_industry_csrc12_n(W2013,公司分析!D$5,1),""))))))))</f>
        <v>软件开发</v>
      </c>
      <c r="Z2013" s="302" t="str">
        <f ca="1">IF(Y2013=行业比较!$E$6,ROW(),"")</f>
        <v/>
      </c>
      <c r="AA2013" s="122"/>
      <c r="AB2013" s="122"/>
      <c r="AC2013" s="122"/>
      <c r="AD2013" s="122"/>
      <c r="AE2013" s="122"/>
      <c r="AF2013" s="122"/>
      <c r="AG2013" s="122"/>
      <c r="AH2013" s="122"/>
      <c r="AI2013" s="122"/>
      <c r="AJ2013" s="122"/>
      <c r="AK2013" s="122"/>
      <c r="AL2013" s="122"/>
      <c r="AM2013" s="122"/>
      <c r="AN2013" s="122"/>
      <c r="AO2013" s="122"/>
      <c r="AP2013" s="122"/>
    </row>
    <row r="2014" spans="2:42">
      <c r="B2014" s="122"/>
      <c r="C2014" s="122"/>
      <c r="D2014" s="122"/>
      <c r="E2014" s="122"/>
      <c r="F2014" s="122"/>
      <c r="G2014" s="122"/>
      <c r="H2014" s="122"/>
      <c r="I2014" s="275"/>
      <c r="J2014" s="130"/>
      <c r="K2014" s="130"/>
      <c r="L2014" s="130"/>
      <c r="M2014" s="130"/>
      <c r="N2014" s="291"/>
      <c r="O2014" s="291"/>
      <c r="P2014" s="122"/>
      <c r="Q2014" s="122"/>
      <c r="R2014" s="122"/>
      <c r="S2014" s="122"/>
      <c r="T2014" s="122"/>
      <c r="U2014" s="315"/>
      <c r="V2014" s="260">
        <f t="shared" ca="1" si="39"/>
        <v>0</v>
      </c>
      <c r="W2014" s="348" t="str">
        <f>IF(板块成分!B2016="","",板块成分!B2016)</f>
        <v>300560.SZ</v>
      </c>
      <c r="X2014" s="276" t="str">
        <f>[1]!S_Info_Name(W2014)</f>
        <v>中富通</v>
      </c>
      <c r="Y2014" s="276" t="str">
        <f ca="1">IF($Y$3="申万一级行业",[1]!s_info_industry_sw_2021(W2014,公司分析!D$5,1),IF($Y$3="申万二级行业",[1]!s_info_industry_sw_2021(W2014,公司分析!D$5,2),IF($Y$3="申万三级行业",[1]!s_info_industry_sw_2021(W2014,公司分析!D$5,3),IF($Y$3="wind一级行业",[1]!s_info_industry_gics(W2014,1),IF($Y$3="wind二级行业",[1]!s_info_industry_gics(W2014,2),IF($Y$3="wind三级行业",[1]!s_info_industry_gics(W2014,3),IF($Y$3="wind四级行业",[1]!s_info_industry_gics(W2014,4),IF($Y$3="证监会门类行业",[1]!s_info_industry_csrc12_n(W2014,公司分析!D$5,1),""))))))))</f>
        <v>通信服务</v>
      </c>
      <c r="Z2014" s="302" t="str">
        <f ca="1">IF(Y2014=行业比较!$E$6,ROW(),"")</f>
        <v/>
      </c>
      <c r="AA2014" s="122"/>
      <c r="AB2014" s="122"/>
      <c r="AC2014" s="122"/>
      <c r="AD2014" s="122"/>
      <c r="AE2014" s="122"/>
      <c r="AF2014" s="122"/>
      <c r="AG2014" s="122"/>
      <c r="AH2014" s="122"/>
      <c r="AI2014" s="122"/>
      <c r="AJ2014" s="122"/>
      <c r="AK2014" s="122"/>
      <c r="AL2014" s="122"/>
      <c r="AM2014" s="122"/>
      <c r="AN2014" s="122"/>
      <c r="AO2014" s="122"/>
      <c r="AP2014" s="122"/>
    </row>
    <row r="2015" spans="2:42">
      <c r="B2015" s="122"/>
      <c r="C2015" s="122"/>
      <c r="D2015" s="122"/>
      <c r="E2015" s="122"/>
      <c r="F2015" s="122"/>
      <c r="G2015" s="122"/>
      <c r="H2015" s="122"/>
      <c r="I2015" s="275"/>
      <c r="J2015" s="130"/>
      <c r="K2015" s="130"/>
      <c r="L2015" s="130"/>
      <c r="M2015" s="130"/>
      <c r="N2015" s="291"/>
      <c r="O2015" s="291"/>
      <c r="P2015" s="122"/>
      <c r="Q2015" s="122"/>
      <c r="R2015" s="122"/>
      <c r="S2015" s="122"/>
      <c r="T2015" s="122"/>
      <c r="U2015" s="315"/>
      <c r="V2015" s="260">
        <f t="shared" ca="1" si="39"/>
        <v>0</v>
      </c>
      <c r="W2015" s="348" t="str">
        <f>IF(板块成分!B2017="","",板块成分!B2017)</f>
        <v>300561.SZ</v>
      </c>
      <c r="X2015" s="276" t="str">
        <f>[1]!S_Info_Name(W2015)</f>
        <v>*ST汇科</v>
      </c>
      <c r="Y2015" s="276" t="str">
        <f ca="1">IF($Y$3="申万一级行业",[1]!s_info_industry_sw_2021(W2015,公司分析!D$5,1),IF($Y$3="申万二级行业",[1]!s_info_industry_sw_2021(W2015,公司分析!D$5,2),IF($Y$3="申万三级行业",[1]!s_info_industry_sw_2021(W2015,公司分析!D$5,3),IF($Y$3="wind一级行业",[1]!s_info_industry_gics(W2015,1),IF($Y$3="wind二级行业",[1]!s_info_industry_gics(W2015,2),IF($Y$3="wind三级行业",[1]!s_info_industry_gics(W2015,3),IF($Y$3="wind四级行业",[1]!s_info_industry_gics(W2015,4),IF($Y$3="证监会门类行业",[1]!s_info_industry_csrc12_n(W2015,公司分析!D$5,1),""))))))))</f>
        <v>软件开发</v>
      </c>
      <c r="Z2015" s="302" t="str">
        <f ca="1">IF(Y2015=行业比较!$E$6,ROW(),"")</f>
        <v/>
      </c>
      <c r="AA2015" s="122"/>
      <c r="AB2015" s="122"/>
      <c r="AC2015" s="122"/>
      <c r="AD2015" s="122"/>
      <c r="AE2015" s="122"/>
      <c r="AF2015" s="122"/>
      <c r="AG2015" s="122"/>
      <c r="AH2015" s="122"/>
      <c r="AI2015" s="122"/>
      <c r="AJ2015" s="122"/>
      <c r="AK2015" s="122"/>
      <c r="AL2015" s="122"/>
      <c r="AM2015" s="122"/>
      <c r="AN2015" s="122"/>
      <c r="AO2015" s="122"/>
      <c r="AP2015" s="122"/>
    </row>
    <row r="2016" spans="2:42">
      <c r="B2016" s="122"/>
      <c r="C2016" s="122"/>
      <c r="D2016" s="122"/>
      <c r="E2016" s="122"/>
      <c r="F2016" s="122"/>
      <c r="G2016" s="122"/>
      <c r="H2016" s="122"/>
      <c r="I2016" s="275"/>
      <c r="J2016" s="130"/>
      <c r="K2016" s="130"/>
      <c r="L2016" s="130"/>
      <c r="M2016" s="130"/>
      <c r="N2016" s="291"/>
      <c r="O2016" s="291"/>
      <c r="P2016" s="122"/>
      <c r="Q2016" s="122"/>
      <c r="R2016" s="122"/>
      <c r="S2016" s="122"/>
      <c r="T2016" s="122"/>
      <c r="U2016" s="315"/>
      <c r="V2016" s="260">
        <f t="shared" ca="1" si="39"/>
        <v>0</v>
      </c>
      <c r="W2016" s="348" t="str">
        <f>IF(板块成分!B2018="","",板块成分!B2018)</f>
        <v>300562.SZ</v>
      </c>
      <c r="X2016" s="276" t="str">
        <f>[1]!S_Info_Name(W2016)</f>
        <v>乐心医疗</v>
      </c>
      <c r="Y2016" s="276" t="str">
        <f ca="1">IF($Y$3="申万一级行业",[1]!s_info_industry_sw_2021(W2016,公司分析!D$5,1),IF($Y$3="申万二级行业",[1]!s_info_industry_sw_2021(W2016,公司分析!D$5,2),IF($Y$3="申万三级行业",[1]!s_info_industry_sw_2021(W2016,公司分析!D$5,3),IF($Y$3="wind一级行业",[1]!s_info_industry_gics(W2016,1),IF($Y$3="wind二级行业",[1]!s_info_industry_gics(W2016,2),IF($Y$3="wind三级行业",[1]!s_info_industry_gics(W2016,3),IF($Y$3="wind四级行业",[1]!s_info_industry_gics(W2016,4),IF($Y$3="证监会门类行业",[1]!s_info_industry_csrc12_n(W2016,公司分析!D$5,1),""))))))))</f>
        <v>医疗器械</v>
      </c>
      <c r="Z2016" s="302" t="str">
        <f ca="1">IF(Y2016=行业比较!$E$6,ROW(),"")</f>
        <v/>
      </c>
      <c r="AA2016" s="122"/>
      <c r="AB2016" s="122"/>
      <c r="AC2016" s="122"/>
      <c r="AD2016" s="122"/>
      <c r="AE2016" s="122"/>
      <c r="AF2016" s="122"/>
      <c r="AG2016" s="122"/>
      <c r="AH2016" s="122"/>
      <c r="AI2016" s="122"/>
      <c r="AJ2016" s="122"/>
      <c r="AK2016" s="122"/>
      <c r="AL2016" s="122"/>
      <c r="AM2016" s="122"/>
      <c r="AN2016" s="122"/>
      <c r="AO2016" s="122"/>
      <c r="AP2016" s="122"/>
    </row>
    <row r="2017" spans="2:42">
      <c r="B2017" s="122"/>
      <c r="C2017" s="122"/>
      <c r="D2017" s="122"/>
      <c r="E2017" s="122"/>
      <c r="F2017" s="122"/>
      <c r="G2017" s="122"/>
      <c r="H2017" s="122"/>
      <c r="I2017" s="275"/>
      <c r="J2017" s="130"/>
      <c r="K2017" s="130"/>
      <c r="L2017" s="130"/>
      <c r="M2017" s="130"/>
      <c r="N2017" s="291"/>
      <c r="O2017" s="291"/>
      <c r="P2017" s="122"/>
      <c r="Q2017" s="122"/>
      <c r="R2017" s="122"/>
      <c r="S2017" s="122"/>
      <c r="T2017" s="122"/>
      <c r="U2017" s="315"/>
      <c r="V2017" s="260">
        <f t="shared" ca="1" si="39"/>
        <v>0</v>
      </c>
      <c r="W2017" s="348" t="str">
        <f>IF(板块成分!B2019="","",板块成分!B2019)</f>
        <v>300563.SZ</v>
      </c>
      <c r="X2017" s="276" t="str">
        <f>[1]!S_Info_Name(W2017)</f>
        <v>神宇股份</v>
      </c>
      <c r="Y2017" s="276" t="str">
        <f ca="1">IF($Y$3="申万一级行业",[1]!s_info_industry_sw_2021(W2017,公司分析!D$5,1),IF($Y$3="申万二级行业",[1]!s_info_industry_sw_2021(W2017,公司分析!D$5,2),IF($Y$3="申万三级行业",[1]!s_info_industry_sw_2021(W2017,公司分析!D$5,3),IF($Y$3="wind一级行业",[1]!s_info_industry_gics(W2017,1),IF($Y$3="wind二级行业",[1]!s_info_industry_gics(W2017,2),IF($Y$3="wind三级行业",[1]!s_info_industry_gics(W2017,3),IF($Y$3="wind四级行业",[1]!s_info_industry_gics(W2017,4),IF($Y$3="证监会门类行业",[1]!s_info_industry_csrc12_n(W2017,公司分析!D$5,1),""))))))))</f>
        <v>通信设备</v>
      </c>
      <c r="Z2017" s="302" t="str">
        <f ca="1">IF(Y2017=行业比较!$E$6,ROW(),"")</f>
        <v/>
      </c>
      <c r="AA2017" s="122"/>
      <c r="AB2017" s="122"/>
      <c r="AC2017" s="122"/>
      <c r="AD2017" s="122"/>
      <c r="AE2017" s="122"/>
      <c r="AF2017" s="122"/>
      <c r="AG2017" s="122"/>
      <c r="AH2017" s="122"/>
      <c r="AI2017" s="122"/>
      <c r="AJ2017" s="122"/>
      <c r="AK2017" s="122"/>
      <c r="AL2017" s="122"/>
      <c r="AM2017" s="122"/>
      <c r="AN2017" s="122"/>
      <c r="AO2017" s="122"/>
      <c r="AP2017" s="122"/>
    </row>
    <row r="2018" spans="2:42">
      <c r="B2018" s="122"/>
      <c r="C2018" s="122"/>
      <c r="D2018" s="122"/>
      <c r="E2018" s="122"/>
      <c r="F2018" s="122"/>
      <c r="G2018" s="122"/>
      <c r="H2018" s="122"/>
      <c r="I2018" s="275"/>
      <c r="J2018" s="130"/>
      <c r="K2018" s="130"/>
      <c r="L2018" s="130"/>
      <c r="M2018" s="130"/>
      <c r="N2018" s="291"/>
      <c r="O2018" s="291"/>
      <c r="P2018" s="122"/>
      <c r="Q2018" s="122"/>
      <c r="R2018" s="122"/>
      <c r="S2018" s="122"/>
      <c r="T2018" s="122"/>
      <c r="U2018" s="315"/>
      <c r="V2018" s="260">
        <f t="shared" ca="1" si="39"/>
        <v>0</v>
      </c>
      <c r="W2018" s="348" t="str">
        <f>IF(板块成分!B2020="","",板块成分!B2020)</f>
        <v>300564.SZ</v>
      </c>
      <c r="X2018" s="276" t="str">
        <f>[1]!S_Info_Name(W2018)</f>
        <v>筑博设计</v>
      </c>
      <c r="Y2018" s="276" t="str">
        <f ca="1">IF($Y$3="申万一级行业",[1]!s_info_industry_sw_2021(W2018,公司分析!D$5,1),IF($Y$3="申万二级行业",[1]!s_info_industry_sw_2021(W2018,公司分析!D$5,2),IF($Y$3="申万三级行业",[1]!s_info_industry_sw_2021(W2018,公司分析!D$5,3),IF($Y$3="wind一级行业",[1]!s_info_industry_gics(W2018,1),IF($Y$3="wind二级行业",[1]!s_info_industry_gics(W2018,2),IF($Y$3="wind三级行业",[1]!s_info_industry_gics(W2018,3),IF($Y$3="wind四级行业",[1]!s_info_industry_gics(W2018,4),IF($Y$3="证监会门类行业",[1]!s_info_industry_csrc12_n(W2018,公司分析!D$5,1),""))))))))</f>
        <v>工程咨询服务Ⅱ</v>
      </c>
      <c r="Z2018" s="302" t="str">
        <f ca="1">IF(Y2018=行业比较!$E$6,ROW(),"")</f>
        <v/>
      </c>
      <c r="AA2018" s="122"/>
      <c r="AB2018" s="122"/>
      <c r="AC2018" s="122"/>
      <c r="AD2018" s="122"/>
      <c r="AE2018" s="122"/>
      <c r="AF2018" s="122"/>
      <c r="AG2018" s="122"/>
      <c r="AH2018" s="122"/>
      <c r="AI2018" s="122"/>
      <c r="AJ2018" s="122"/>
      <c r="AK2018" s="122"/>
      <c r="AL2018" s="122"/>
      <c r="AM2018" s="122"/>
      <c r="AN2018" s="122"/>
      <c r="AO2018" s="122"/>
      <c r="AP2018" s="122"/>
    </row>
    <row r="2019" spans="2:42">
      <c r="B2019" s="122"/>
      <c r="C2019" s="122"/>
      <c r="D2019" s="122"/>
      <c r="E2019" s="122"/>
      <c r="F2019" s="122"/>
      <c r="G2019" s="122"/>
      <c r="H2019" s="122"/>
      <c r="I2019" s="275"/>
      <c r="J2019" s="130"/>
      <c r="K2019" s="130"/>
      <c r="L2019" s="130"/>
      <c r="M2019" s="130"/>
      <c r="N2019" s="291"/>
      <c r="O2019" s="291"/>
      <c r="P2019" s="122"/>
      <c r="Q2019" s="122"/>
      <c r="R2019" s="122"/>
      <c r="S2019" s="122"/>
      <c r="T2019" s="122"/>
      <c r="U2019" s="315"/>
      <c r="V2019" s="260">
        <f t="shared" ca="1" si="39"/>
        <v>0</v>
      </c>
      <c r="W2019" s="348" t="str">
        <f>IF(板块成分!B2021="","",板块成分!B2021)</f>
        <v>300565.SZ</v>
      </c>
      <c r="X2019" s="276" t="str">
        <f>[1]!S_Info_Name(W2019)</f>
        <v>科信技术</v>
      </c>
      <c r="Y2019" s="276" t="str">
        <f ca="1">IF($Y$3="申万一级行业",[1]!s_info_industry_sw_2021(W2019,公司分析!D$5,1),IF($Y$3="申万二级行业",[1]!s_info_industry_sw_2021(W2019,公司分析!D$5,2),IF($Y$3="申万三级行业",[1]!s_info_industry_sw_2021(W2019,公司分析!D$5,3),IF($Y$3="wind一级行业",[1]!s_info_industry_gics(W2019,1),IF($Y$3="wind二级行业",[1]!s_info_industry_gics(W2019,2),IF($Y$3="wind三级行业",[1]!s_info_industry_gics(W2019,3),IF($Y$3="wind四级行业",[1]!s_info_industry_gics(W2019,4),IF($Y$3="证监会门类行业",[1]!s_info_industry_csrc12_n(W2019,公司分析!D$5,1),""))))))))</f>
        <v>通信设备</v>
      </c>
      <c r="Z2019" s="302" t="str">
        <f ca="1">IF(Y2019=行业比较!$E$6,ROW(),"")</f>
        <v/>
      </c>
      <c r="AA2019" s="122"/>
      <c r="AB2019" s="122"/>
      <c r="AC2019" s="122"/>
      <c r="AD2019" s="122"/>
      <c r="AE2019" s="122"/>
      <c r="AF2019" s="122"/>
      <c r="AG2019" s="122"/>
      <c r="AH2019" s="122"/>
      <c r="AI2019" s="122"/>
      <c r="AJ2019" s="122"/>
      <c r="AK2019" s="122"/>
      <c r="AL2019" s="122"/>
      <c r="AM2019" s="122"/>
      <c r="AN2019" s="122"/>
      <c r="AO2019" s="122"/>
      <c r="AP2019" s="122"/>
    </row>
    <row r="2020" spans="2:42">
      <c r="B2020" s="122"/>
      <c r="C2020" s="122"/>
      <c r="D2020" s="122"/>
      <c r="E2020" s="122"/>
      <c r="F2020" s="122"/>
      <c r="G2020" s="122"/>
      <c r="H2020" s="122"/>
      <c r="I2020" s="275"/>
      <c r="J2020" s="130"/>
      <c r="K2020" s="130"/>
      <c r="L2020" s="130"/>
      <c r="M2020" s="130"/>
      <c r="N2020" s="291"/>
      <c r="O2020" s="291"/>
      <c r="P2020" s="122"/>
      <c r="Q2020" s="122"/>
      <c r="R2020" s="122"/>
      <c r="S2020" s="122"/>
      <c r="T2020" s="122"/>
      <c r="U2020" s="315"/>
      <c r="V2020" s="260">
        <f t="shared" ca="1" si="39"/>
        <v>0</v>
      </c>
      <c r="W2020" s="348" t="str">
        <f>IF(板块成分!B2022="","",板块成分!B2022)</f>
        <v>300566.SZ</v>
      </c>
      <c r="X2020" s="276" t="str">
        <f>[1]!S_Info_Name(W2020)</f>
        <v>激智科技</v>
      </c>
      <c r="Y2020" s="276" t="str">
        <f ca="1">IF($Y$3="申万一级行业",[1]!s_info_industry_sw_2021(W2020,公司分析!D$5,1),IF($Y$3="申万二级行业",[1]!s_info_industry_sw_2021(W2020,公司分析!D$5,2),IF($Y$3="申万三级行业",[1]!s_info_industry_sw_2021(W2020,公司分析!D$5,3),IF($Y$3="wind一级行业",[1]!s_info_industry_gics(W2020,1),IF($Y$3="wind二级行业",[1]!s_info_industry_gics(W2020,2),IF($Y$3="wind三级行业",[1]!s_info_industry_gics(W2020,3),IF($Y$3="wind四级行业",[1]!s_info_industry_gics(W2020,4),IF($Y$3="证监会门类行业",[1]!s_info_industry_csrc12_n(W2020,公司分析!D$5,1),""))))))))</f>
        <v>光学光电子</v>
      </c>
      <c r="Z2020" s="302" t="str">
        <f ca="1">IF(Y2020=行业比较!$E$6,ROW(),"")</f>
        <v/>
      </c>
      <c r="AA2020" s="122"/>
      <c r="AB2020" s="122"/>
      <c r="AC2020" s="122"/>
      <c r="AD2020" s="122"/>
      <c r="AE2020" s="122"/>
      <c r="AF2020" s="122"/>
      <c r="AG2020" s="122"/>
      <c r="AH2020" s="122"/>
      <c r="AI2020" s="122"/>
      <c r="AJ2020" s="122"/>
      <c r="AK2020" s="122"/>
      <c r="AL2020" s="122"/>
      <c r="AM2020" s="122"/>
      <c r="AN2020" s="122"/>
      <c r="AO2020" s="122"/>
      <c r="AP2020" s="122"/>
    </row>
    <row r="2021" spans="2:42">
      <c r="B2021" s="122"/>
      <c r="C2021" s="122"/>
      <c r="D2021" s="122"/>
      <c r="E2021" s="122"/>
      <c r="F2021" s="122"/>
      <c r="G2021" s="122"/>
      <c r="H2021" s="122"/>
      <c r="I2021" s="275"/>
      <c r="J2021" s="130"/>
      <c r="K2021" s="130"/>
      <c r="L2021" s="130"/>
      <c r="M2021" s="130"/>
      <c r="N2021" s="291"/>
      <c r="O2021" s="291"/>
      <c r="P2021" s="122"/>
      <c r="Q2021" s="122"/>
      <c r="R2021" s="122"/>
      <c r="S2021" s="122"/>
      <c r="T2021" s="122"/>
      <c r="U2021" s="315"/>
      <c r="V2021" s="260">
        <f t="shared" ca="1" si="39"/>
        <v>0</v>
      </c>
      <c r="W2021" s="348" t="str">
        <f>IF(板块成分!B2023="","",板块成分!B2023)</f>
        <v>300567.SZ</v>
      </c>
      <c r="X2021" s="276" t="str">
        <f>[1]!S_Info_Name(W2021)</f>
        <v>精测电子</v>
      </c>
      <c r="Y2021" s="276" t="str">
        <f ca="1">IF($Y$3="申万一级行业",[1]!s_info_industry_sw_2021(W2021,公司分析!D$5,1),IF($Y$3="申万二级行业",[1]!s_info_industry_sw_2021(W2021,公司分析!D$5,2),IF($Y$3="申万三级行业",[1]!s_info_industry_sw_2021(W2021,公司分析!D$5,3),IF($Y$3="wind一级行业",[1]!s_info_industry_gics(W2021,1),IF($Y$3="wind二级行业",[1]!s_info_industry_gics(W2021,2),IF($Y$3="wind三级行业",[1]!s_info_industry_gics(W2021,3),IF($Y$3="wind四级行业",[1]!s_info_industry_gics(W2021,4),IF($Y$3="证监会门类行业",[1]!s_info_industry_csrc12_n(W2021,公司分析!D$5,1),""))))))))</f>
        <v>通用设备</v>
      </c>
      <c r="Z2021" s="302" t="str">
        <f ca="1">IF(Y2021=行业比较!$E$6,ROW(),"")</f>
        <v/>
      </c>
      <c r="AA2021" s="122"/>
      <c r="AB2021" s="122"/>
      <c r="AC2021" s="122"/>
      <c r="AD2021" s="122"/>
      <c r="AE2021" s="122"/>
      <c r="AF2021" s="122"/>
      <c r="AG2021" s="122"/>
      <c r="AH2021" s="122"/>
      <c r="AI2021" s="122"/>
      <c r="AJ2021" s="122"/>
      <c r="AK2021" s="122"/>
      <c r="AL2021" s="122"/>
      <c r="AM2021" s="122"/>
      <c r="AN2021" s="122"/>
      <c r="AO2021" s="122"/>
      <c r="AP2021" s="122"/>
    </row>
    <row r="2022" spans="2:42">
      <c r="B2022" s="122"/>
      <c r="C2022" s="122"/>
      <c r="D2022" s="122"/>
      <c r="E2022" s="122"/>
      <c r="F2022" s="122"/>
      <c r="G2022" s="122"/>
      <c r="H2022" s="122"/>
      <c r="I2022" s="275"/>
      <c r="J2022" s="130"/>
      <c r="K2022" s="130"/>
      <c r="L2022" s="130"/>
      <c r="M2022" s="130"/>
      <c r="N2022" s="291"/>
      <c r="O2022" s="291"/>
      <c r="P2022" s="122"/>
      <c r="Q2022" s="122"/>
      <c r="R2022" s="122"/>
      <c r="S2022" s="122"/>
      <c r="T2022" s="122"/>
      <c r="U2022" s="315"/>
      <c r="V2022" s="260">
        <f t="shared" ca="1" si="39"/>
        <v>0</v>
      </c>
      <c r="W2022" s="348" t="str">
        <f>IF(板块成分!B2024="","",板块成分!B2024)</f>
        <v>300568.SZ</v>
      </c>
      <c r="X2022" s="276" t="str">
        <f>[1]!S_Info_Name(W2022)</f>
        <v>星源材质</v>
      </c>
      <c r="Y2022" s="276" t="str">
        <f ca="1">IF($Y$3="申万一级行业",[1]!s_info_industry_sw_2021(W2022,公司分析!D$5,1),IF($Y$3="申万二级行业",[1]!s_info_industry_sw_2021(W2022,公司分析!D$5,2),IF($Y$3="申万三级行业",[1]!s_info_industry_sw_2021(W2022,公司分析!D$5,3),IF($Y$3="wind一级行业",[1]!s_info_industry_gics(W2022,1),IF($Y$3="wind二级行业",[1]!s_info_industry_gics(W2022,2),IF($Y$3="wind三级行业",[1]!s_info_industry_gics(W2022,3),IF($Y$3="wind四级行业",[1]!s_info_industry_gics(W2022,4),IF($Y$3="证监会门类行业",[1]!s_info_industry_csrc12_n(W2022,公司分析!D$5,1),""))))))))</f>
        <v>电池</v>
      </c>
      <c r="Z2022" s="302" t="str">
        <f ca="1">IF(Y2022=行业比较!$E$6,ROW(),"")</f>
        <v/>
      </c>
      <c r="AA2022" s="122"/>
      <c r="AB2022" s="122"/>
      <c r="AC2022" s="122"/>
      <c r="AD2022" s="122"/>
      <c r="AE2022" s="122"/>
      <c r="AF2022" s="122"/>
      <c r="AG2022" s="122"/>
      <c r="AH2022" s="122"/>
      <c r="AI2022" s="122"/>
      <c r="AJ2022" s="122"/>
      <c r="AK2022" s="122"/>
      <c r="AL2022" s="122"/>
      <c r="AM2022" s="122"/>
      <c r="AN2022" s="122"/>
      <c r="AO2022" s="122"/>
      <c r="AP2022" s="122"/>
    </row>
    <row r="2023" spans="2:42">
      <c r="B2023" s="122"/>
      <c r="C2023" s="122"/>
      <c r="D2023" s="122"/>
      <c r="E2023" s="122"/>
      <c r="F2023" s="122"/>
      <c r="G2023" s="122"/>
      <c r="H2023" s="122"/>
      <c r="I2023" s="275"/>
      <c r="J2023" s="130"/>
      <c r="K2023" s="130"/>
      <c r="L2023" s="130"/>
      <c r="M2023" s="130"/>
      <c r="N2023" s="291"/>
      <c r="O2023" s="291"/>
      <c r="P2023" s="122"/>
      <c r="Q2023" s="122"/>
      <c r="R2023" s="122"/>
      <c r="S2023" s="122"/>
      <c r="T2023" s="122"/>
      <c r="U2023" s="315"/>
      <c r="V2023" s="260">
        <f t="shared" ca="1" si="39"/>
        <v>0</v>
      </c>
      <c r="W2023" s="348" t="str">
        <f>IF(板块成分!B2025="","",板块成分!B2025)</f>
        <v>300569.SZ</v>
      </c>
      <c r="X2023" s="276" t="str">
        <f>[1]!S_Info_Name(W2023)</f>
        <v>天能重工</v>
      </c>
      <c r="Y2023" s="276" t="str">
        <f ca="1">IF($Y$3="申万一级行业",[1]!s_info_industry_sw_2021(W2023,公司分析!D$5,1),IF($Y$3="申万二级行业",[1]!s_info_industry_sw_2021(W2023,公司分析!D$5,2),IF($Y$3="申万三级行业",[1]!s_info_industry_sw_2021(W2023,公司分析!D$5,3),IF($Y$3="wind一级行业",[1]!s_info_industry_gics(W2023,1),IF($Y$3="wind二级行业",[1]!s_info_industry_gics(W2023,2),IF($Y$3="wind三级行业",[1]!s_info_industry_gics(W2023,3),IF($Y$3="wind四级行业",[1]!s_info_industry_gics(W2023,4),IF($Y$3="证监会门类行业",[1]!s_info_industry_csrc12_n(W2023,公司分析!D$5,1),""))))))))</f>
        <v>风电设备</v>
      </c>
      <c r="Z2023" s="302" t="str">
        <f ca="1">IF(Y2023=行业比较!$E$6,ROW(),"")</f>
        <v/>
      </c>
      <c r="AA2023" s="122"/>
      <c r="AB2023" s="122"/>
      <c r="AC2023" s="122"/>
      <c r="AD2023" s="122"/>
      <c r="AE2023" s="122"/>
      <c r="AF2023" s="122"/>
      <c r="AG2023" s="122"/>
      <c r="AH2023" s="122"/>
      <c r="AI2023" s="122"/>
      <c r="AJ2023" s="122"/>
      <c r="AK2023" s="122"/>
      <c r="AL2023" s="122"/>
      <c r="AM2023" s="122"/>
      <c r="AN2023" s="122"/>
      <c r="AO2023" s="122"/>
      <c r="AP2023" s="122"/>
    </row>
    <row r="2024" spans="2:42">
      <c r="B2024" s="122"/>
      <c r="C2024" s="122"/>
      <c r="D2024" s="122"/>
      <c r="E2024" s="122"/>
      <c r="F2024" s="122"/>
      <c r="G2024" s="122"/>
      <c r="H2024" s="122"/>
      <c r="I2024" s="275"/>
      <c r="J2024" s="130"/>
      <c r="K2024" s="130"/>
      <c r="L2024" s="130"/>
      <c r="M2024" s="130"/>
      <c r="N2024" s="291"/>
      <c r="O2024" s="291"/>
      <c r="P2024" s="122"/>
      <c r="Q2024" s="122"/>
      <c r="R2024" s="122"/>
      <c r="S2024" s="122"/>
      <c r="T2024" s="122"/>
      <c r="U2024" s="315"/>
      <c r="V2024" s="260">
        <f t="shared" ca="1" si="39"/>
        <v>0</v>
      </c>
      <c r="W2024" s="348" t="str">
        <f>IF(板块成分!B2026="","",板块成分!B2026)</f>
        <v>300570.SZ</v>
      </c>
      <c r="X2024" s="276" t="str">
        <f>[1]!S_Info_Name(W2024)</f>
        <v>太辰光</v>
      </c>
      <c r="Y2024" s="276" t="str">
        <f ca="1">IF($Y$3="申万一级行业",[1]!s_info_industry_sw_2021(W2024,公司分析!D$5,1),IF($Y$3="申万二级行业",[1]!s_info_industry_sw_2021(W2024,公司分析!D$5,2),IF($Y$3="申万三级行业",[1]!s_info_industry_sw_2021(W2024,公司分析!D$5,3),IF($Y$3="wind一级行业",[1]!s_info_industry_gics(W2024,1),IF($Y$3="wind二级行业",[1]!s_info_industry_gics(W2024,2),IF($Y$3="wind三级行业",[1]!s_info_industry_gics(W2024,3),IF($Y$3="wind四级行业",[1]!s_info_industry_gics(W2024,4),IF($Y$3="证监会门类行业",[1]!s_info_industry_csrc12_n(W2024,公司分析!D$5,1),""))))))))</f>
        <v>通信设备</v>
      </c>
      <c r="Z2024" s="302" t="str">
        <f ca="1">IF(Y2024=行业比较!$E$6,ROW(),"")</f>
        <v/>
      </c>
      <c r="AA2024" s="122"/>
      <c r="AB2024" s="122"/>
      <c r="AC2024" s="122"/>
      <c r="AD2024" s="122"/>
      <c r="AE2024" s="122"/>
      <c r="AF2024" s="122"/>
      <c r="AG2024" s="122"/>
      <c r="AH2024" s="122"/>
      <c r="AI2024" s="122"/>
      <c r="AJ2024" s="122"/>
      <c r="AK2024" s="122"/>
      <c r="AL2024" s="122"/>
      <c r="AM2024" s="122"/>
      <c r="AN2024" s="122"/>
      <c r="AO2024" s="122"/>
      <c r="AP2024" s="122"/>
    </row>
    <row r="2025" spans="2:42">
      <c r="B2025" s="122"/>
      <c r="C2025" s="122"/>
      <c r="D2025" s="122"/>
      <c r="E2025" s="122"/>
      <c r="F2025" s="122"/>
      <c r="G2025" s="122"/>
      <c r="H2025" s="122"/>
      <c r="I2025" s="275"/>
      <c r="J2025" s="130"/>
      <c r="K2025" s="130"/>
      <c r="L2025" s="130"/>
      <c r="M2025" s="130"/>
      <c r="N2025" s="291"/>
      <c r="O2025" s="291"/>
      <c r="P2025" s="122"/>
      <c r="Q2025" s="122"/>
      <c r="R2025" s="122"/>
      <c r="S2025" s="122"/>
      <c r="T2025" s="122"/>
      <c r="U2025" s="315"/>
      <c r="V2025" s="260">
        <f t="shared" ca="1" si="39"/>
        <v>0</v>
      </c>
      <c r="W2025" s="348" t="str">
        <f>IF(板块成分!B2027="","",板块成分!B2027)</f>
        <v>300571.SZ</v>
      </c>
      <c r="X2025" s="276" t="str">
        <f>[1]!S_Info_Name(W2025)</f>
        <v>平治信息</v>
      </c>
      <c r="Y2025" s="276" t="str">
        <f ca="1">IF($Y$3="申万一级行业",[1]!s_info_industry_sw_2021(W2025,公司分析!D$5,1),IF($Y$3="申万二级行业",[1]!s_info_industry_sw_2021(W2025,公司分析!D$5,2),IF($Y$3="申万三级行业",[1]!s_info_industry_sw_2021(W2025,公司分析!D$5,3),IF($Y$3="wind一级行业",[1]!s_info_industry_gics(W2025,1),IF($Y$3="wind二级行业",[1]!s_info_industry_gics(W2025,2),IF($Y$3="wind三级行业",[1]!s_info_industry_gics(W2025,3),IF($Y$3="wind四级行业",[1]!s_info_industry_gics(W2025,4),IF($Y$3="证监会门类行业",[1]!s_info_industry_csrc12_n(W2025,公司分析!D$5,1),""))))))))</f>
        <v>通信服务</v>
      </c>
      <c r="Z2025" s="302" t="str">
        <f ca="1">IF(Y2025=行业比较!$E$6,ROW(),"")</f>
        <v/>
      </c>
      <c r="AA2025" s="122"/>
      <c r="AB2025" s="122"/>
      <c r="AC2025" s="122"/>
      <c r="AD2025" s="122"/>
      <c r="AE2025" s="122"/>
      <c r="AF2025" s="122"/>
      <c r="AG2025" s="122"/>
      <c r="AH2025" s="122"/>
      <c r="AI2025" s="122"/>
      <c r="AJ2025" s="122"/>
      <c r="AK2025" s="122"/>
      <c r="AL2025" s="122"/>
      <c r="AM2025" s="122"/>
      <c r="AN2025" s="122"/>
      <c r="AO2025" s="122"/>
      <c r="AP2025" s="122"/>
    </row>
    <row r="2026" spans="2:42">
      <c r="B2026" s="122"/>
      <c r="C2026" s="122"/>
      <c r="D2026" s="122"/>
      <c r="E2026" s="122"/>
      <c r="F2026" s="122"/>
      <c r="G2026" s="122"/>
      <c r="H2026" s="122"/>
      <c r="I2026" s="275"/>
      <c r="J2026" s="130"/>
      <c r="K2026" s="130"/>
      <c r="L2026" s="130"/>
      <c r="M2026" s="130"/>
      <c r="N2026" s="291"/>
      <c r="O2026" s="291"/>
      <c r="P2026" s="122"/>
      <c r="Q2026" s="122"/>
      <c r="R2026" s="122"/>
      <c r="S2026" s="122"/>
      <c r="T2026" s="122"/>
      <c r="U2026" s="315"/>
      <c r="V2026" s="260">
        <f t="shared" ca="1" si="39"/>
        <v>0</v>
      </c>
      <c r="W2026" s="348" t="str">
        <f>IF(板块成分!B2028="","",板块成分!B2028)</f>
        <v>300572.SZ</v>
      </c>
      <c r="X2026" s="276" t="str">
        <f>[1]!S_Info_Name(W2026)</f>
        <v>安车检测</v>
      </c>
      <c r="Y2026" s="276" t="str">
        <f ca="1">IF($Y$3="申万一级行业",[1]!s_info_industry_sw_2021(W2026,公司分析!D$5,1),IF($Y$3="申万二级行业",[1]!s_info_industry_sw_2021(W2026,公司分析!D$5,2),IF($Y$3="申万三级行业",[1]!s_info_industry_sw_2021(W2026,公司分析!D$5,3),IF($Y$3="wind一级行业",[1]!s_info_industry_gics(W2026,1),IF($Y$3="wind二级行业",[1]!s_info_industry_gics(W2026,2),IF($Y$3="wind三级行业",[1]!s_info_industry_gics(W2026,3),IF($Y$3="wind四级行业",[1]!s_info_industry_gics(W2026,4),IF($Y$3="证监会门类行业",[1]!s_info_industry_csrc12_n(W2026,公司分析!D$5,1),""))))))))</f>
        <v>专业服务</v>
      </c>
      <c r="Z2026" s="302" t="str">
        <f ca="1">IF(Y2026=行业比较!$E$6,ROW(),"")</f>
        <v/>
      </c>
      <c r="AA2026" s="122"/>
      <c r="AB2026" s="122"/>
      <c r="AC2026" s="122"/>
      <c r="AD2026" s="122"/>
      <c r="AE2026" s="122"/>
      <c r="AF2026" s="122"/>
      <c r="AG2026" s="122"/>
      <c r="AH2026" s="122"/>
      <c r="AI2026" s="122"/>
      <c r="AJ2026" s="122"/>
      <c r="AK2026" s="122"/>
      <c r="AL2026" s="122"/>
      <c r="AM2026" s="122"/>
      <c r="AN2026" s="122"/>
      <c r="AO2026" s="122"/>
      <c r="AP2026" s="122"/>
    </row>
    <row r="2027" spans="2:42">
      <c r="B2027" s="122"/>
      <c r="C2027" s="122"/>
      <c r="D2027" s="122"/>
      <c r="E2027" s="122"/>
      <c r="F2027" s="122"/>
      <c r="G2027" s="122"/>
      <c r="H2027" s="122"/>
      <c r="I2027" s="275"/>
      <c r="J2027" s="130"/>
      <c r="K2027" s="130"/>
      <c r="L2027" s="130"/>
      <c r="M2027" s="130"/>
      <c r="N2027" s="291"/>
      <c r="O2027" s="291"/>
      <c r="P2027" s="122"/>
      <c r="Q2027" s="122"/>
      <c r="R2027" s="122"/>
      <c r="S2027" s="122"/>
      <c r="T2027" s="122"/>
      <c r="U2027" s="315"/>
      <c r="V2027" s="260">
        <f t="shared" ca="1" si="39"/>
        <v>0</v>
      </c>
      <c r="W2027" s="348" t="str">
        <f>IF(板块成分!B2029="","",板块成分!B2029)</f>
        <v>300573.SZ</v>
      </c>
      <c r="X2027" s="276" t="str">
        <f>[1]!S_Info_Name(W2027)</f>
        <v>兴齐眼药</v>
      </c>
      <c r="Y2027" s="276" t="str">
        <f ca="1">IF($Y$3="申万一级行业",[1]!s_info_industry_sw_2021(W2027,公司分析!D$5,1),IF($Y$3="申万二级行业",[1]!s_info_industry_sw_2021(W2027,公司分析!D$5,2),IF($Y$3="申万三级行业",[1]!s_info_industry_sw_2021(W2027,公司分析!D$5,3),IF($Y$3="wind一级行业",[1]!s_info_industry_gics(W2027,1),IF($Y$3="wind二级行业",[1]!s_info_industry_gics(W2027,2),IF($Y$3="wind三级行业",[1]!s_info_industry_gics(W2027,3),IF($Y$3="wind四级行业",[1]!s_info_industry_gics(W2027,4),IF($Y$3="证监会门类行业",[1]!s_info_industry_csrc12_n(W2027,公司分析!D$5,1),""))))))))</f>
        <v>化学制药</v>
      </c>
      <c r="Z2027" s="302" t="str">
        <f ca="1">IF(Y2027=行业比较!$E$6,ROW(),"")</f>
        <v/>
      </c>
      <c r="AA2027" s="122"/>
      <c r="AB2027" s="122"/>
      <c r="AC2027" s="122"/>
      <c r="AD2027" s="122"/>
      <c r="AE2027" s="122"/>
      <c r="AF2027" s="122"/>
      <c r="AG2027" s="122"/>
      <c r="AH2027" s="122"/>
      <c r="AI2027" s="122"/>
      <c r="AJ2027" s="122"/>
      <c r="AK2027" s="122"/>
      <c r="AL2027" s="122"/>
      <c r="AM2027" s="122"/>
      <c r="AN2027" s="122"/>
      <c r="AO2027" s="122"/>
      <c r="AP2027" s="122"/>
    </row>
    <row r="2028" spans="2:42">
      <c r="B2028" s="122"/>
      <c r="C2028" s="122"/>
      <c r="D2028" s="122"/>
      <c r="E2028" s="122"/>
      <c r="F2028" s="122"/>
      <c r="G2028" s="122"/>
      <c r="H2028" s="122"/>
      <c r="I2028" s="275"/>
      <c r="J2028" s="130"/>
      <c r="K2028" s="130"/>
      <c r="L2028" s="130"/>
      <c r="M2028" s="130"/>
      <c r="N2028" s="291"/>
      <c r="O2028" s="291"/>
      <c r="P2028" s="122"/>
      <c r="Q2028" s="122"/>
      <c r="R2028" s="122"/>
      <c r="S2028" s="122"/>
      <c r="T2028" s="122"/>
      <c r="U2028" s="315"/>
      <c r="V2028" s="260">
        <f t="shared" ca="1" si="39"/>
        <v>0</v>
      </c>
      <c r="W2028" s="348" t="str">
        <f>IF(板块成分!B2030="","",板块成分!B2030)</f>
        <v>300575.SZ</v>
      </c>
      <c r="X2028" s="276" t="str">
        <f>[1]!S_Info_Name(W2028)</f>
        <v>中旗股份</v>
      </c>
      <c r="Y2028" s="276" t="str">
        <f ca="1">IF($Y$3="申万一级行业",[1]!s_info_industry_sw_2021(W2028,公司分析!D$5,1),IF($Y$3="申万二级行业",[1]!s_info_industry_sw_2021(W2028,公司分析!D$5,2),IF($Y$3="申万三级行业",[1]!s_info_industry_sw_2021(W2028,公司分析!D$5,3),IF($Y$3="wind一级行业",[1]!s_info_industry_gics(W2028,1),IF($Y$3="wind二级行业",[1]!s_info_industry_gics(W2028,2),IF($Y$3="wind三级行业",[1]!s_info_industry_gics(W2028,3),IF($Y$3="wind四级行业",[1]!s_info_industry_gics(W2028,4),IF($Y$3="证监会门类行业",[1]!s_info_industry_csrc12_n(W2028,公司分析!D$5,1),""))))))))</f>
        <v>农化制品</v>
      </c>
      <c r="Z2028" s="302" t="str">
        <f ca="1">IF(Y2028=行业比较!$E$6,ROW(),"")</f>
        <v/>
      </c>
      <c r="AA2028" s="122"/>
      <c r="AB2028" s="122"/>
      <c r="AC2028" s="122"/>
      <c r="AD2028" s="122"/>
      <c r="AE2028" s="122"/>
      <c r="AF2028" s="122"/>
      <c r="AG2028" s="122"/>
      <c r="AH2028" s="122"/>
      <c r="AI2028" s="122"/>
      <c r="AJ2028" s="122"/>
      <c r="AK2028" s="122"/>
      <c r="AL2028" s="122"/>
      <c r="AM2028" s="122"/>
      <c r="AN2028" s="122"/>
      <c r="AO2028" s="122"/>
      <c r="AP2028" s="122"/>
    </row>
    <row r="2029" spans="2:42">
      <c r="B2029" s="122"/>
      <c r="C2029" s="122"/>
      <c r="D2029" s="122"/>
      <c r="E2029" s="122"/>
      <c r="F2029" s="122"/>
      <c r="G2029" s="122"/>
      <c r="H2029" s="122"/>
      <c r="I2029" s="275"/>
      <c r="J2029" s="130"/>
      <c r="K2029" s="130"/>
      <c r="L2029" s="130"/>
      <c r="M2029" s="130"/>
      <c r="N2029" s="291"/>
      <c r="O2029" s="291"/>
      <c r="P2029" s="122"/>
      <c r="Q2029" s="122"/>
      <c r="R2029" s="122"/>
      <c r="S2029" s="122"/>
      <c r="T2029" s="122"/>
      <c r="U2029" s="315"/>
      <c r="V2029" s="260">
        <f t="shared" ca="1" si="39"/>
        <v>0</v>
      </c>
      <c r="W2029" s="348" t="str">
        <f>IF(板块成分!B2031="","",板块成分!B2031)</f>
        <v>300576.SZ</v>
      </c>
      <c r="X2029" s="276" t="str">
        <f>[1]!S_Info_Name(W2029)</f>
        <v>容大感光</v>
      </c>
      <c r="Y2029" s="276" t="str">
        <f ca="1">IF($Y$3="申万一级行业",[1]!s_info_industry_sw_2021(W2029,公司分析!D$5,1),IF($Y$3="申万二级行业",[1]!s_info_industry_sw_2021(W2029,公司分析!D$5,2),IF($Y$3="申万三级行业",[1]!s_info_industry_sw_2021(W2029,公司分析!D$5,3),IF($Y$3="wind一级行业",[1]!s_info_industry_gics(W2029,1),IF($Y$3="wind二级行业",[1]!s_info_industry_gics(W2029,2),IF($Y$3="wind三级行业",[1]!s_info_industry_gics(W2029,3),IF($Y$3="wind四级行业",[1]!s_info_industry_gics(W2029,4),IF($Y$3="证监会门类行业",[1]!s_info_industry_csrc12_n(W2029,公司分析!D$5,1),""))))))))</f>
        <v>电子化学品Ⅱ</v>
      </c>
      <c r="Z2029" s="302" t="str">
        <f ca="1">IF(Y2029=行业比较!$E$6,ROW(),"")</f>
        <v/>
      </c>
      <c r="AA2029" s="122"/>
      <c r="AB2029" s="122"/>
      <c r="AC2029" s="122"/>
      <c r="AD2029" s="122"/>
      <c r="AE2029" s="122"/>
      <c r="AF2029" s="122"/>
      <c r="AG2029" s="122"/>
      <c r="AH2029" s="122"/>
      <c r="AI2029" s="122"/>
      <c r="AJ2029" s="122"/>
      <c r="AK2029" s="122"/>
      <c r="AL2029" s="122"/>
      <c r="AM2029" s="122"/>
      <c r="AN2029" s="122"/>
      <c r="AO2029" s="122"/>
      <c r="AP2029" s="122"/>
    </row>
    <row r="2030" spans="2:42">
      <c r="B2030" s="122"/>
      <c r="C2030" s="122"/>
      <c r="D2030" s="122"/>
      <c r="E2030" s="122"/>
      <c r="F2030" s="122"/>
      <c r="G2030" s="122"/>
      <c r="H2030" s="122"/>
      <c r="I2030" s="275"/>
      <c r="J2030" s="130"/>
      <c r="K2030" s="130"/>
      <c r="L2030" s="130"/>
      <c r="M2030" s="130"/>
      <c r="N2030" s="291"/>
      <c r="O2030" s="291"/>
      <c r="P2030" s="122"/>
      <c r="Q2030" s="122"/>
      <c r="R2030" s="122"/>
      <c r="S2030" s="122"/>
      <c r="T2030" s="122"/>
      <c r="U2030" s="315"/>
      <c r="V2030" s="260">
        <f t="shared" ca="1" si="39"/>
        <v>0</v>
      </c>
      <c r="W2030" s="348" t="str">
        <f>IF(板块成分!B2032="","",板块成分!B2032)</f>
        <v>300577.SZ</v>
      </c>
      <c r="X2030" s="276" t="str">
        <f>[1]!S_Info_Name(W2030)</f>
        <v>开润股份</v>
      </c>
      <c r="Y2030" s="276" t="str">
        <f ca="1">IF($Y$3="申万一级行业",[1]!s_info_industry_sw_2021(W2030,公司分析!D$5,1),IF($Y$3="申万二级行业",[1]!s_info_industry_sw_2021(W2030,公司分析!D$5,2),IF($Y$3="申万三级行业",[1]!s_info_industry_sw_2021(W2030,公司分析!D$5,3),IF($Y$3="wind一级行业",[1]!s_info_industry_gics(W2030,1),IF($Y$3="wind二级行业",[1]!s_info_industry_gics(W2030,2),IF($Y$3="wind三级行业",[1]!s_info_industry_gics(W2030,3),IF($Y$3="wind四级行业",[1]!s_info_industry_gics(W2030,4),IF($Y$3="证监会门类行业",[1]!s_info_industry_csrc12_n(W2030,公司分析!D$5,1),""))))))))</f>
        <v>服装家纺</v>
      </c>
      <c r="Z2030" s="302" t="str">
        <f ca="1">IF(Y2030=行业比较!$E$6,ROW(),"")</f>
        <v/>
      </c>
      <c r="AA2030" s="122"/>
      <c r="AB2030" s="122"/>
      <c r="AC2030" s="122"/>
      <c r="AD2030" s="122"/>
      <c r="AE2030" s="122"/>
      <c r="AF2030" s="122"/>
      <c r="AG2030" s="122"/>
      <c r="AH2030" s="122"/>
      <c r="AI2030" s="122"/>
      <c r="AJ2030" s="122"/>
      <c r="AK2030" s="122"/>
      <c r="AL2030" s="122"/>
      <c r="AM2030" s="122"/>
      <c r="AN2030" s="122"/>
      <c r="AO2030" s="122"/>
      <c r="AP2030" s="122"/>
    </row>
    <row r="2031" spans="2:42">
      <c r="B2031" s="122"/>
      <c r="C2031" s="122"/>
      <c r="D2031" s="122"/>
      <c r="E2031" s="122"/>
      <c r="F2031" s="122"/>
      <c r="G2031" s="122"/>
      <c r="H2031" s="122"/>
      <c r="I2031" s="275"/>
      <c r="J2031" s="130"/>
      <c r="K2031" s="130"/>
      <c r="L2031" s="130"/>
      <c r="M2031" s="130"/>
      <c r="N2031" s="291"/>
      <c r="O2031" s="291"/>
      <c r="P2031" s="122"/>
      <c r="Q2031" s="122"/>
      <c r="R2031" s="122"/>
      <c r="S2031" s="122"/>
      <c r="T2031" s="122"/>
      <c r="U2031" s="315"/>
      <c r="V2031" s="260">
        <f t="shared" ca="1" si="39"/>
        <v>0</v>
      </c>
      <c r="W2031" s="348" t="str">
        <f>IF(板块成分!B2033="","",板块成分!B2033)</f>
        <v>300578.SZ</v>
      </c>
      <c r="X2031" s="276" t="str">
        <f>[1]!S_Info_Name(W2031)</f>
        <v>会畅科技</v>
      </c>
      <c r="Y2031" s="276" t="str">
        <f ca="1">IF($Y$3="申万一级行业",[1]!s_info_industry_sw_2021(W2031,公司分析!D$5,1),IF($Y$3="申万二级行业",[1]!s_info_industry_sw_2021(W2031,公司分析!D$5,2),IF($Y$3="申万三级行业",[1]!s_info_industry_sw_2021(W2031,公司分析!D$5,3),IF($Y$3="wind一级行业",[1]!s_info_industry_gics(W2031,1),IF($Y$3="wind二级行业",[1]!s_info_industry_gics(W2031,2),IF($Y$3="wind三级行业",[1]!s_info_industry_gics(W2031,3),IF($Y$3="wind四级行业",[1]!s_info_industry_gics(W2031,4),IF($Y$3="证监会门类行业",[1]!s_info_industry_csrc12_n(W2031,公司分析!D$5,1),""))))))))</f>
        <v>通信服务</v>
      </c>
      <c r="Z2031" s="302" t="str">
        <f ca="1">IF(Y2031=行业比较!$E$6,ROW(),"")</f>
        <v/>
      </c>
      <c r="AA2031" s="122"/>
      <c r="AB2031" s="122"/>
      <c r="AC2031" s="122"/>
      <c r="AD2031" s="122"/>
      <c r="AE2031" s="122"/>
      <c r="AF2031" s="122"/>
      <c r="AG2031" s="122"/>
      <c r="AH2031" s="122"/>
      <c r="AI2031" s="122"/>
      <c r="AJ2031" s="122"/>
      <c r="AK2031" s="122"/>
      <c r="AL2031" s="122"/>
      <c r="AM2031" s="122"/>
      <c r="AN2031" s="122"/>
      <c r="AO2031" s="122"/>
      <c r="AP2031" s="122"/>
    </row>
    <row r="2032" spans="2:42">
      <c r="B2032" s="122"/>
      <c r="C2032" s="122"/>
      <c r="D2032" s="122"/>
      <c r="E2032" s="122"/>
      <c r="F2032" s="122"/>
      <c r="G2032" s="122"/>
      <c r="H2032" s="122"/>
      <c r="I2032" s="275"/>
      <c r="J2032" s="130"/>
      <c r="K2032" s="130"/>
      <c r="L2032" s="130"/>
      <c r="M2032" s="130"/>
      <c r="N2032" s="291"/>
      <c r="O2032" s="291"/>
      <c r="P2032" s="122"/>
      <c r="Q2032" s="122"/>
      <c r="R2032" s="122"/>
      <c r="S2032" s="122"/>
      <c r="T2032" s="122"/>
      <c r="U2032" s="315"/>
      <c r="V2032" s="260">
        <f t="shared" ca="1" si="39"/>
        <v>0</v>
      </c>
      <c r="W2032" s="348" t="str">
        <f>IF(板块成分!B2034="","",板块成分!B2034)</f>
        <v>300579.SZ</v>
      </c>
      <c r="X2032" s="276" t="str">
        <f>[1]!S_Info_Name(W2032)</f>
        <v>数字认证</v>
      </c>
      <c r="Y2032" s="276" t="str">
        <f ca="1">IF($Y$3="申万一级行业",[1]!s_info_industry_sw_2021(W2032,公司分析!D$5,1),IF($Y$3="申万二级行业",[1]!s_info_industry_sw_2021(W2032,公司分析!D$5,2),IF($Y$3="申万三级行业",[1]!s_info_industry_sw_2021(W2032,公司分析!D$5,3),IF($Y$3="wind一级行业",[1]!s_info_industry_gics(W2032,1),IF($Y$3="wind二级行业",[1]!s_info_industry_gics(W2032,2),IF($Y$3="wind三级行业",[1]!s_info_industry_gics(W2032,3),IF($Y$3="wind四级行业",[1]!s_info_industry_gics(W2032,4),IF($Y$3="证监会门类行业",[1]!s_info_industry_csrc12_n(W2032,公司分析!D$5,1),""))))))))</f>
        <v>软件开发</v>
      </c>
      <c r="Z2032" s="302" t="str">
        <f ca="1">IF(Y2032=行业比较!$E$6,ROW(),"")</f>
        <v/>
      </c>
      <c r="AA2032" s="122"/>
      <c r="AB2032" s="122"/>
      <c r="AC2032" s="122"/>
      <c r="AD2032" s="122"/>
      <c r="AE2032" s="122"/>
      <c r="AF2032" s="122"/>
      <c r="AG2032" s="122"/>
      <c r="AH2032" s="122"/>
      <c r="AI2032" s="122"/>
      <c r="AJ2032" s="122"/>
      <c r="AK2032" s="122"/>
      <c r="AL2032" s="122"/>
      <c r="AM2032" s="122"/>
      <c r="AN2032" s="122"/>
      <c r="AO2032" s="122"/>
      <c r="AP2032" s="122"/>
    </row>
    <row r="2033" spans="2:42">
      <c r="B2033" s="122"/>
      <c r="C2033" s="122"/>
      <c r="D2033" s="122"/>
      <c r="E2033" s="122"/>
      <c r="F2033" s="122"/>
      <c r="G2033" s="122"/>
      <c r="H2033" s="122"/>
      <c r="I2033" s="275"/>
      <c r="J2033" s="130"/>
      <c r="K2033" s="130"/>
      <c r="L2033" s="130"/>
      <c r="M2033" s="130"/>
      <c r="N2033" s="291"/>
      <c r="O2033" s="291"/>
      <c r="P2033" s="122"/>
      <c r="Q2033" s="122"/>
      <c r="R2033" s="122"/>
      <c r="S2033" s="122"/>
      <c r="T2033" s="122"/>
      <c r="U2033" s="315"/>
      <c r="V2033" s="260">
        <f t="shared" ca="1" si="39"/>
        <v>0</v>
      </c>
      <c r="W2033" s="348" t="str">
        <f>IF(板块成分!B2035="","",板块成分!B2035)</f>
        <v>300580.SZ</v>
      </c>
      <c r="X2033" s="276" t="str">
        <f>[1]!S_Info_Name(W2033)</f>
        <v>贝斯特</v>
      </c>
      <c r="Y2033" s="276" t="str">
        <f ca="1">IF($Y$3="申万一级行业",[1]!s_info_industry_sw_2021(W2033,公司分析!D$5,1),IF($Y$3="申万二级行业",[1]!s_info_industry_sw_2021(W2033,公司分析!D$5,2),IF($Y$3="申万三级行业",[1]!s_info_industry_sw_2021(W2033,公司分析!D$5,3),IF($Y$3="wind一级行业",[1]!s_info_industry_gics(W2033,1),IF($Y$3="wind二级行业",[1]!s_info_industry_gics(W2033,2),IF($Y$3="wind三级行业",[1]!s_info_industry_gics(W2033,3),IF($Y$3="wind四级行业",[1]!s_info_industry_gics(W2033,4),IF($Y$3="证监会门类行业",[1]!s_info_industry_csrc12_n(W2033,公司分析!D$5,1),""))))))))</f>
        <v>汽车零部件</v>
      </c>
      <c r="Z2033" s="302" t="str">
        <f ca="1">IF(Y2033=行业比较!$E$6,ROW(),"")</f>
        <v/>
      </c>
      <c r="AA2033" s="122"/>
      <c r="AB2033" s="122"/>
      <c r="AC2033" s="122"/>
      <c r="AD2033" s="122"/>
      <c r="AE2033" s="122"/>
      <c r="AF2033" s="122"/>
      <c r="AG2033" s="122"/>
      <c r="AH2033" s="122"/>
      <c r="AI2033" s="122"/>
      <c r="AJ2033" s="122"/>
      <c r="AK2033" s="122"/>
      <c r="AL2033" s="122"/>
      <c r="AM2033" s="122"/>
      <c r="AN2033" s="122"/>
      <c r="AO2033" s="122"/>
      <c r="AP2033" s="122"/>
    </row>
    <row r="2034" spans="2:42">
      <c r="B2034" s="122"/>
      <c r="C2034" s="122"/>
      <c r="D2034" s="122"/>
      <c r="E2034" s="122"/>
      <c r="F2034" s="122"/>
      <c r="G2034" s="122"/>
      <c r="H2034" s="122"/>
      <c r="I2034" s="275"/>
      <c r="J2034" s="130"/>
      <c r="K2034" s="130"/>
      <c r="L2034" s="130"/>
      <c r="M2034" s="130"/>
      <c r="N2034" s="291"/>
      <c r="O2034" s="291"/>
      <c r="P2034" s="122"/>
      <c r="Q2034" s="122"/>
      <c r="R2034" s="122"/>
      <c r="S2034" s="122"/>
      <c r="T2034" s="122"/>
      <c r="U2034" s="315"/>
      <c r="V2034" s="260">
        <f t="shared" ca="1" si="39"/>
        <v>0</v>
      </c>
      <c r="W2034" s="348" t="str">
        <f>IF(板块成分!B2036="","",板块成分!B2036)</f>
        <v>300581.SZ</v>
      </c>
      <c r="X2034" s="276" t="str">
        <f>[1]!S_Info_Name(W2034)</f>
        <v>晨曦航空</v>
      </c>
      <c r="Y2034" s="276" t="str">
        <f ca="1">IF($Y$3="申万一级行业",[1]!s_info_industry_sw_2021(W2034,公司分析!D$5,1),IF($Y$3="申万二级行业",[1]!s_info_industry_sw_2021(W2034,公司分析!D$5,2),IF($Y$3="申万三级行业",[1]!s_info_industry_sw_2021(W2034,公司分析!D$5,3),IF($Y$3="wind一级行业",[1]!s_info_industry_gics(W2034,1),IF($Y$3="wind二级行业",[1]!s_info_industry_gics(W2034,2),IF($Y$3="wind三级行业",[1]!s_info_industry_gics(W2034,3),IF($Y$3="wind四级行业",[1]!s_info_industry_gics(W2034,4),IF($Y$3="证监会门类行业",[1]!s_info_industry_csrc12_n(W2034,公司分析!D$5,1),""))))))))</f>
        <v>航空装备Ⅱ</v>
      </c>
      <c r="Z2034" s="302" t="str">
        <f ca="1">IF(Y2034=行业比较!$E$6,ROW(),"")</f>
        <v/>
      </c>
      <c r="AA2034" s="122"/>
      <c r="AB2034" s="122"/>
      <c r="AC2034" s="122"/>
      <c r="AD2034" s="122"/>
      <c r="AE2034" s="122"/>
      <c r="AF2034" s="122"/>
      <c r="AG2034" s="122"/>
      <c r="AH2034" s="122"/>
      <c r="AI2034" s="122"/>
      <c r="AJ2034" s="122"/>
      <c r="AK2034" s="122"/>
      <c r="AL2034" s="122"/>
      <c r="AM2034" s="122"/>
      <c r="AN2034" s="122"/>
      <c r="AO2034" s="122"/>
      <c r="AP2034" s="122"/>
    </row>
    <row r="2035" spans="2:42">
      <c r="B2035" s="122"/>
      <c r="C2035" s="122"/>
      <c r="D2035" s="122"/>
      <c r="E2035" s="122"/>
      <c r="F2035" s="122"/>
      <c r="G2035" s="122"/>
      <c r="H2035" s="122"/>
      <c r="I2035" s="275"/>
      <c r="J2035" s="130"/>
      <c r="K2035" s="130"/>
      <c r="L2035" s="130"/>
      <c r="M2035" s="130"/>
      <c r="N2035" s="291"/>
      <c r="O2035" s="291"/>
      <c r="P2035" s="122"/>
      <c r="Q2035" s="122"/>
      <c r="R2035" s="122"/>
      <c r="S2035" s="122"/>
      <c r="T2035" s="122"/>
      <c r="U2035" s="315"/>
      <c r="V2035" s="260">
        <f t="shared" ca="1" si="39"/>
        <v>0</v>
      </c>
      <c r="W2035" s="348" t="str">
        <f>IF(板块成分!B2037="","",板块成分!B2037)</f>
        <v>300582.SZ</v>
      </c>
      <c r="X2035" s="276" t="str">
        <f>[1]!S_Info_Name(W2035)</f>
        <v>英飞特</v>
      </c>
      <c r="Y2035" s="276" t="str">
        <f ca="1">IF($Y$3="申万一级行业",[1]!s_info_industry_sw_2021(W2035,公司分析!D$5,1),IF($Y$3="申万二级行业",[1]!s_info_industry_sw_2021(W2035,公司分析!D$5,2),IF($Y$3="申万三级行业",[1]!s_info_industry_sw_2021(W2035,公司分析!D$5,3),IF($Y$3="wind一级行业",[1]!s_info_industry_gics(W2035,1),IF($Y$3="wind二级行业",[1]!s_info_industry_gics(W2035,2),IF($Y$3="wind三级行业",[1]!s_info_industry_gics(W2035,3),IF($Y$3="wind四级行业",[1]!s_info_industry_gics(W2035,4),IF($Y$3="证监会门类行业",[1]!s_info_industry_csrc12_n(W2035,公司分析!D$5,1),""))))))))</f>
        <v>光学光电子</v>
      </c>
      <c r="Z2035" s="302" t="str">
        <f ca="1">IF(Y2035=行业比较!$E$6,ROW(),"")</f>
        <v/>
      </c>
      <c r="AA2035" s="122"/>
      <c r="AB2035" s="122"/>
      <c r="AC2035" s="122"/>
      <c r="AD2035" s="122"/>
      <c r="AE2035" s="122"/>
      <c r="AF2035" s="122"/>
      <c r="AG2035" s="122"/>
      <c r="AH2035" s="122"/>
      <c r="AI2035" s="122"/>
      <c r="AJ2035" s="122"/>
      <c r="AK2035" s="122"/>
      <c r="AL2035" s="122"/>
      <c r="AM2035" s="122"/>
      <c r="AN2035" s="122"/>
      <c r="AO2035" s="122"/>
      <c r="AP2035" s="122"/>
    </row>
    <row r="2036" spans="2:42">
      <c r="B2036" s="122"/>
      <c r="C2036" s="122"/>
      <c r="D2036" s="122"/>
      <c r="E2036" s="122"/>
      <c r="F2036" s="122"/>
      <c r="G2036" s="122"/>
      <c r="H2036" s="122"/>
      <c r="I2036" s="275"/>
      <c r="J2036" s="130"/>
      <c r="K2036" s="130"/>
      <c r="L2036" s="130"/>
      <c r="M2036" s="130"/>
      <c r="N2036" s="291"/>
      <c r="O2036" s="291"/>
      <c r="P2036" s="122"/>
      <c r="Q2036" s="122"/>
      <c r="R2036" s="122"/>
      <c r="S2036" s="122"/>
      <c r="T2036" s="122"/>
      <c r="U2036" s="315"/>
      <c r="V2036" s="260">
        <f t="shared" ca="1" si="39"/>
        <v>0</v>
      </c>
      <c r="W2036" s="348" t="str">
        <f>IF(板块成分!B2038="","",板块成分!B2038)</f>
        <v>300583.SZ</v>
      </c>
      <c r="X2036" s="276" t="str">
        <f>[1]!S_Info_Name(W2036)</f>
        <v>赛托生物</v>
      </c>
      <c r="Y2036" s="276" t="str">
        <f ca="1">IF($Y$3="申万一级行业",[1]!s_info_industry_sw_2021(W2036,公司分析!D$5,1),IF($Y$3="申万二级行业",[1]!s_info_industry_sw_2021(W2036,公司分析!D$5,2),IF($Y$3="申万三级行业",[1]!s_info_industry_sw_2021(W2036,公司分析!D$5,3),IF($Y$3="wind一级行业",[1]!s_info_industry_gics(W2036,1),IF($Y$3="wind二级行业",[1]!s_info_industry_gics(W2036,2),IF($Y$3="wind三级行业",[1]!s_info_industry_gics(W2036,3),IF($Y$3="wind四级行业",[1]!s_info_industry_gics(W2036,4),IF($Y$3="证监会门类行业",[1]!s_info_industry_csrc12_n(W2036,公司分析!D$5,1),""))))))))</f>
        <v>化学制药</v>
      </c>
      <c r="Z2036" s="302" t="str">
        <f ca="1">IF(Y2036=行业比较!$E$6,ROW(),"")</f>
        <v/>
      </c>
      <c r="AA2036" s="122"/>
      <c r="AB2036" s="122"/>
      <c r="AC2036" s="122"/>
      <c r="AD2036" s="122"/>
      <c r="AE2036" s="122"/>
      <c r="AF2036" s="122"/>
      <c r="AG2036" s="122"/>
      <c r="AH2036" s="122"/>
      <c r="AI2036" s="122"/>
      <c r="AJ2036" s="122"/>
      <c r="AK2036" s="122"/>
      <c r="AL2036" s="122"/>
      <c r="AM2036" s="122"/>
      <c r="AN2036" s="122"/>
      <c r="AO2036" s="122"/>
      <c r="AP2036" s="122"/>
    </row>
    <row r="2037" spans="2:42">
      <c r="B2037" s="122"/>
      <c r="C2037" s="122"/>
      <c r="D2037" s="122"/>
      <c r="E2037" s="122"/>
      <c r="F2037" s="122"/>
      <c r="G2037" s="122"/>
      <c r="H2037" s="122"/>
      <c r="I2037" s="275"/>
      <c r="J2037" s="130"/>
      <c r="K2037" s="130"/>
      <c r="L2037" s="130"/>
      <c r="M2037" s="130"/>
      <c r="N2037" s="291"/>
      <c r="O2037" s="291"/>
      <c r="P2037" s="122"/>
      <c r="Q2037" s="122"/>
      <c r="R2037" s="122"/>
      <c r="S2037" s="122"/>
      <c r="T2037" s="122"/>
      <c r="U2037" s="315"/>
      <c r="V2037" s="260">
        <f t="shared" ca="1" si="39"/>
        <v>0</v>
      </c>
      <c r="W2037" s="348" t="str">
        <f>IF(板块成分!B2039="","",板块成分!B2039)</f>
        <v>300584.SZ</v>
      </c>
      <c r="X2037" s="276" t="str">
        <f>[1]!S_Info_Name(W2037)</f>
        <v>海辰药业</v>
      </c>
      <c r="Y2037" s="276" t="str">
        <f ca="1">IF($Y$3="申万一级行业",[1]!s_info_industry_sw_2021(W2037,公司分析!D$5,1),IF($Y$3="申万二级行业",[1]!s_info_industry_sw_2021(W2037,公司分析!D$5,2),IF($Y$3="申万三级行业",[1]!s_info_industry_sw_2021(W2037,公司分析!D$5,3),IF($Y$3="wind一级行业",[1]!s_info_industry_gics(W2037,1),IF($Y$3="wind二级行业",[1]!s_info_industry_gics(W2037,2),IF($Y$3="wind三级行业",[1]!s_info_industry_gics(W2037,3),IF($Y$3="wind四级行业",[1]!s_info_industry_gics(W2037,4),IF($Y$3="证监会门类行业",[1]!s_info_industry_csrc12_n(W2037,公司分析!D$5,1),""))))))))</f>
        <v>化学制药</v>
      </c>
      <c r="Z2037" s="302" t="str">
        <f ca="1">IF(Y2037=行业比较!$E$6,ROW(),"")</f>
        <v/>
      </c>
      <c r="AA2037" s="122"/>
      <c r="AB2037" s="122"/>
      <c r="AC2037" s="122"/>
      <c r="AD2037" s="122"/>
      <c r="AE2037" s="122"/>
      <c r="AF2037" s="122"/>
      <c r="AG2037" s="122"/>
      <c r="AH2037" s="122"/>
      <c r="AI2037" s="122"/>
      <c r="AJ2037" s="122"/>
      <c r="AK2037" s="122"/>
      <c r="AL2037" s="122"/>
      <c r="AM2037" s="122"/>
      <c r="AN2037" s="122"/>
      <c r="AO2037" s="122"/>
      <c r="AP2037" s="122"/>
    </row>
    <row r="2038" spans="2:42">
      <c r="B2038" s="122"/>
      <c r="C2038" s="122"/>
      <c r="D2038" s="122"/>
      <c r="E2038" s="122"/>
      <c r="F2038" s="122"/>
      <c r="G2038" s="122"/>
      <c r="H2038" s="122"/>
      <c r="I2038" s="275"/>
      <c r="J2038" s="130"/>
      <c r="K2038" s="130"/>
      <c r="L2038" s="130"/>
      <c r="M2038" s="130"/>
      <c r="N2038" s="291"/>
      <c r="O2038" s="291"/>
      <c r="P2038" s="122"/>
      <c r="Q2038" s="122"/>
      <c r="R2038" s="122"/>
      <c r="S2038" s="122"/>
      <c r="T2038" s="122"/>
      <c r="U2038" s="315"/>
      <c r="V2038" s="260">
        <f t="shared" ca="1" si="39"/>
        <v>0</v>
      </c>
      <c r="W2038" s="348" t="str">
        <f>IF(板块成分!B2040="","",板块成分!B2040)</f>
        <v>300585.SZ</v>
      </c>
      <c r="X2038" s="276" t="str">
        <f>[1]!S_Info_Name(W2038)</f>
        <v>奥联电子</v>
      </c>
      <c r="Y2038" s="276" t="str">
        <f ca="1">IF($Y$3="申万一级行业",[1]!s_info_industry_sw_2021(W2038,公司分析!D$5,1),IF($Y$3="申万二级行业",[1]!s_info_industry_sw_2021(W2038,公司分析!D$5,2),IF($Y$3="申万三级行业",[1]!s_info_industry_sw_2021(W2038,公司分析!D$5,3),IF($Y$3="wind一级行业",[1]!s_info_industry_gics(W2038,1),IF($Y$3="wind二级行业",[1]!s_info_industry_gics(W2038,2),IF($Y$3="wind三级行业",[1]!s_info_industry_gics(W2038,3),IF($Y$3="wind四级行业",[1]!s_info_industry_gics(W2038,4),IF($Y$3="证监会门类行业",[1]!s_info_industry_csrc12_n(W2038,公司分析!D$5,1),""))))))))</f>
        <v>汽车零部件</v>
      </c>
      <c r="Z2038" s="302" t="str">
        <f ca="1">IF(Y2038=行业比较!$E$6,ROW(),"")</f>
        <v/>
      </c>
      <c r="AA2038" s="122"/>
      <c r="AB2038" s="122"/>
      <c r="AC2038" s="122"/>
      <c r="AD2038" s="122"/>
      <c r="AE2038" s="122"/>
      <c r="AF2038" s="122"/>
      <c r="AG2038" s="122"/>
      <c r="AH2038" s="122"/>
      <c r="AI2038" s="122"/>
      <c r="AJ2038" s="122"/>
      <c r="AK2038" s="122"/>
      <c r="AL2038" s="122"/>
      <c r="AM2038" s="122"/>
      <c r="AN2038" s="122"/>
      <c r="AO2038" s="122"/>
      <c r="AP2038" s="122"/>
    </row>
    <row r="2039" spans="2:42">
      <c r="B2039" s="122"/>
      <c r="C2039" s="122"/>
      <c r="D2039" s="122"/>
      <c r="E2039" s="122"/>
      <c r="F2039" s="122"/>
      <c r="G2039" s="122"/>
      <c r="H2039" s="122"/>
      <c r="I2039" s="275"/>
      <c r="J2039" s="130"/>
      <c r="K2039" s="130"/>
      <c r="L2039" s="130"/>
      <c r="M2039" s="130"/>
      <c r="N2039" s="291"/>
      <c r="O2039" s="291"/>
      <c r="P2039" s="122"/>
      <c r="Q2039" s="122"/>
      <c r="R2039" s="122"/>
      <c r="S2039" s="122"/>
      <c r="T2039" s="122"/>
      <c r="U2039" s="315"/>
      <c r="V2039" s="260">
        <f t="shared" ca="1" si="39"/>
        <v>0</v>
      </c>
      <c r="W2039" s="348" t="str">
        <f>IF(板块成分!B2041="","",板块成分!B2041)</f>
        <v>300586.SZ</v>
      </c>
      <c r="X2039" s="276" t="str">
        <f>[1]!S_Info_Name(W2039)</f>
        <v>美联新材</v>
      </c>
      <c r="Y2039" s="276" t="str">
        <f ca="1">IF($Y$3="申万一级行业",[1]!s_info_industry_sw_2021(W2039,公司分析!D$5,1),IF($Y$3="申万二级行业",[1]!s_info_industry_sw_2021(W2039,公司分析!D$5,2),IF($Y$3="申万三级行业",[1]!s_info_industry_sw_2021(W2039,公司分析!D$5,3),IF($Y$3="wind一级行业",[1]!s_info_industry_gics(W2039,1),IF($Y$3="wind二级行业",[1]!s_info_industry_gics(W2039,2),IF($Y$3="wind三级行业",[1]!s_info_industry_gics(W2039,3),IF($Y$3="wind四级行业",[1]!s_info_industry_gics(W2039,4),IF($Y$3="证监会门类行业",[1]!s_info_industry_csrc12_n(W2039,公司分析!D$5,1),""))))))))</f>
        <v>塑料</v>
      </c>
      <c r="Z2039" s="302" t="str">
        <f ca="1">IF(Y2039=行业比较!$E$6,ROW(),"")</f>
        <v/>
      </c>
      <c r="AA2039" s="122"/>
      <c r="AB2039" s="122"/>
      <c r="AC2039" s="122"/>
      <c r="AD2039" s="122"/>
      <c r="AE2039" s="122"/>
      <c r="AF2039" s="122"/>
      <c r="AG2039" s="122"/>
      <c r="AH2039" s="122"/>
      <c r="AI2039" s="122"/>
      <c r="AJ2039" s="122"/>
      <c r="AK2039" s="122"/>
      <c r="AL2039" s="122"/>
      <c r="AM2039" s="122"/>
      <c r="AN2039" s="122"/>
      <c r="AO2039" s="122"/>
      <c r="AP2039" s="122"/>
    </row>
    <row r="2040" spans="2:42">
      <c r="B2040" s="122"/>
      <c r="C2040" s="122"/>
      <c r="D2040" s="122"/>
      <c r="E2040" s="122"/>
      <c r="F2040" s="122"/>
      <c r="G2040" s="122"/>
      <c r="H2040" s="122"/>
      <c r="I2040" s="275"/>
      <c r="J2040" s="130"/>
      <c r="K2040" s="130"/>
      <c r="L2040" s="130"/>
      <c r="M2040" s="130"/>
      <c r="N2040" s="291"/>
      <c r="O2040" s="291"/>
      <c r="P2040" s="122"/>
      <c r="Q2040" s="122"/>
      <c r="R2040" s="122"/>
      <c r="S2040" s="122"/>
      <c r="T2040" s="122"/>
      <c r="U2040" s="315"/>
      <c r="V2040" s="260">
        <f t="shared" ca="1" si="39"/>
        <v>0</v>
      </c>
      <c r="W2040" s="348" t="str">
        <f>IF(板块成分!B2042="","",板块成分!B2042)</f>
        <v>300587.SZ</v>
      </c>
      <c r="X2040" s="276" t="str">
        <f>[1]!S_Info_Name(W2040)</f>
        <v>天铁科技</v>
      </c>
      <c r="Y2040" s="276" t="str">
        <f ca="1">IF($Y$3="申万一级行业",[1]!s_info_industry_sw_2021(W2040,公司分析!D$5,1),IF($Y$3="申万二级行业",[1]!s_info_industry_sw_2021(W2040,公司分析!D$5,2),IF($Y$3="申万三级行业",[1]!s_info_industry_sw_2021(W2040,公司分析!D$5,3),IF($Y$3="wind一级行业",[1]!s_info_industry_gics(W2040,1),IF($Y$3="wind二级行业",[1]!s_info_industry_gics(W2040,2),IF($Y$3="wind三级行业",[1]!s_info_industry_gics(W2040,3),IF($Y$3="wind四级行业",[1]!s_info_industry_gics(W2040,4),IF($Y$3="证监会门类行业",[1]!s_info_industry_csrc12_n(W2040,公司分析!D$5,1),""))))))))</f>
        <v>橡胶</v>
      </c>
      <c r="Z2040" s="302" t="str">
        <f ca="1">IF(Y2040=行业比较!$E$6,ROW(),"")</f>
        <v/>
      </c>
      <c r="AA2040" s="122"/>
      <c r="AB2040" s="122"/>
      <c r="AC2040" s="122"/>
      <c r="AD2040" s="122"/>
      <c r="AE2040" s="122"/>
      <c r="AF2040" s="122"/>
      <c r="AG2040" s="122"/>
      <c r="AH2040" s="122"/>
      <c r="AI2040" s="122"/>
      <c r="AJ2040" s="122"/>
      <c r="AK2040" s="122"/>
      <c r="AL2040" s="122"/>
      <c r="AM2040" s="122"/>
      <c r="AN2040" s="122"/>
      <c r="AO2040" s="122"/>
      <c r="AP2040" s="122"/>
    </row>
    <row r="2041" spans="2:42">
      <c r="B2041" s="122"/>
      <c r="C2041" s="122"/>
      <c r="D2041" s="122"/>
      <c r="E2041" s="122"/>
      <c r="F2041" s="122"/>
      <c r="G2041" s="122"/>
      <c r="H2041" s="122"/>
      <c r="I2041" s="275"/>
      <c r="J2041" s="130"/>
      <c r="K2041" s="130"/>
      <c r="L2041" s="130"/>
      <c r="M2041" s="130"/>
      <c r="N2041" s="291"/>
      <c r="O2041" s="291"/>
      <c r="P2041" s="122"/>
      <c r="Q2041" s="122"/>
      <c r="R2041" s="122"/>
      <c r="S2041" s="122"/>
      <c r="T2041" s="122"/>
      <c r="U2041" s="315"/>
      <c r="V2041" s="260">
        <f t="shared" ca="1" si="39"/>
        <v>0</v>
      </c>
      <c r="W2041" s="348" t="str">
        <f>IF(板块成分!B2043="","",板块成分!B2043)</f>
        <v>300588.SZ</v>
      </c>
      <c r="X2041" s="276" t="str">
        <f>[1]!S_Info_Name(W2041)</f>
        <v>熙菱信息</v>
      </c>
      <c r="Y2041" s="276" t="str">
        <f ca="1">IF($Y$3="申万一级行业",[1]!s_info_industry_sw_2021(W2041,公司分析!D$5,1),IF($Y$3="申万二级行业",[1]!s_info_industry_sw_2021(W2041,公司分析!D$5,2),IF($Y$3="申万三级行业",[1]!s_info_industry_sw_2021(W2041,公司分析!D$5,3),IF($Y$3="wind一级行业",[1]!s_info_industry_gics(W2041,1),IF($Y$3="wind二级行业",[1]!s_info_industry_gics(W2041,2),IF($Y$3="wind三级行业",[1]!s_info_industry_gics(W2041,3),IF($Y$3="wind四级行业",[1]!s_info_industry_gics(W2041,4),IF($Y$3="证监会门类行业",[1]!s_info_industry_csrc12_n(W2041,公司分析!D$5,1),""))))))))</f>
        <v>计算机设备</v>
      </c>
      <c r="Z2041" s="302" t="str">
        <f ca="1">IF(Y2041=行业比较!$E$6,ROW(),"")</f>
        <v/>
      </c>
      <c r="AA2041" s="122"/>
      <c r="AB2041" s="122"/>
      <c r="AC2041" s="122"/>
      <c r="AD2041" s="122"/>
      <c r="AE2041" s="122"/>
      <c r="AF2041" s="122"/>
      <c r="AG2041" s="122"/>
      <c r="AH2041" s="122"/>
      <c r="AI2041" s="122"/>
      <c r="AJ2041" s="122"/>
      <c r="AK2041" s="122"/>
      <c r="AL2041" s="122"/>
      <c r="AM2041" s="122"/>
      <c r="AN2041" s="122"/>
      <c r="AO2041" s="122"/>
      <c r="AP2041" s="122"/>
    </row>
    <row r="2042" spans="2:42">
      <c r="B2042" s="122"/>
      <c r="C2042" s="122"/>
      <c r="D2042" s="122"/>
      <c r="E2042" s="122"/>
      <c r="F2042" s="122"/>
      <c r="G2042" s="122"/>
      <c r="H2042" s="122"/>
      <c r="I2042" s="275"/>
      <c r="J2042" s="130"/>
      <c r="K2042" s="130"/>
      <c r="L2042" s="130"/>
      <c r="M2042" s="130"/>
      <c r="N2042" s="291"/>
      <c r="O2042" s="291"/>
      <c r="P2042" s="122"/>
      <c r="Q2042" s="122"/>
      <c r="R2042" s="122"/>
      <c r="S2042" s="122"/>
      <c r="T2042" s="122"/>
      <c r="U2042" s="315"/>
      <c r="V2042" s="260">
        <f t="shared" ca="1" si="39"/>
        <v>0</v>
      </c>
      <c r="W2042" s="348" t="str">
        <f>IF(板块成分!B2044="","",板块成分!B2044)</f>
        <v>300589.SZ</v>
      </c>
      <c r="X2042" s="276" t="str">
        <f>[1]!S_Info_Name(W2042)</f>
        <v>江龙船艇</v>
      </c>
      <c r="Y2042" s="276" t="str">
        <f ca="1">IF($Y$3="申万一级行业",[1]!s_info_industry_sw_2021(W2042,公司分析!D$5,1),IF($Y$3="申万二级行业",[1]!s_info_industry_sw_2021(W2042,公司分析!D$5,2),IF($Y$3="申万三级行业",[1]!s_info_industry_sw_2021(W2042,公司分析!D$5,3),IF($Y$3="wind一级行业",[1]!s_info_industry_gics(W2042,1),IF($Y$3="wind二级行业",[1]!s_info_industry_gics(W2042,2),IF($Y$3="wind三级行业",[1]!s_info_industry_gics(W2042,3),IF($Y$3="wind四级行业",[1]!s_info_industry_gics(W2042,4),IF($Y$3="证监会门类行业",[1]!s_info_industry_csrc12_n(W2042,公司分析!D$5,1),""))))))))</f>
        <v>航海装备Ⅱ</v>
      </c>
      <c r="Z2042" s="302" t="str">
        <f ca="1">IF(Y2042=行业比较!$E$6,ROW(),"")</f>
        <v/>
      </c>
      <c r="AA2042" s="122"/>
      <c r="AB2042" s="122"/>
      <c r="AC2042" s="122"/>
      <c r="AD2042" s="122"/>
      <c r="AE2042" s="122"/>
      <c r="AF2042" s="122"/>
      <c r="AG2042" s="122"/>
      <c r="AH2042" s="122"/>
      <c r="AI2042" s="122"/>
      <c r="AJ2042" s="122"/>
      <c r="AK2042" s="122"/>
      <c r="AL2042" s="122"/>
      <c r="AM2042" s="122"/>
      <c r="AN2042" s="122"/>
      <c r="AO2042" s="122"/>
      <c r="AP2042" s="122"/>
    </row>
    <row r="2043" spans="2:42">
      <c r="B2043" s="122"/>
      <c r="C2043" s="122"/>
      <c r="D2043" s="122"/>
      <c r="E2043" s="122"/>
      <c r="F2043" s="122"/>
      <c r="G2043" s="122"/>
      <c r="H2043" s="122"/>
      <c r="I2043" s="275"/>
      <c r="J2043" s="130"/>
      <c r="K2043" s="130"/>
      <c r="L2043" s="130"/>
      <c r="M2043" s="130"/>
      <c r="N2043" s="291"/>
      <c r="O2043" s="291"/>
      <c r="P2043" s="122"/>
      <c r="Q2043" s="122"/>
      <c r="R2043" s="122"/>
      <c r="S2043" s="122"/>
      <c r="T2043" s="122"/>
      <c r="U2043" s="315"/>
      <c r="V2043" s="260">
        <f t="shared" ca="1" si="39"/>
        <v>0</v>
      </c>
      <c r="W2043" s="348" t="str">
        <f>IF(板块成分!B2045="","",板块成分!B2045)</f>
        <v>300590.SZ</v>
      </c>
      <c r="X2043" s="276" t="str">
        <f>[1]!S_Info_Name(W2043)</f>
        <v>移为通信</v>
      </c>
      <c r="Y2043" s="276" t="str">
        <f ca="1">IF($Y$3="申万一级行业",[1]!s_info_industry_sw_2021(W2043,公司分析!D$5,1),IF($Y$3="申万二级行业",[1]!s_info_industry_sw_2021(W2043,公司分析!D$5,2),IF($Y$3="申万三级行业",[1]!s_info_industry_sw_2021(W2043,公司分析!D$5,3),IF($Y$3="wind一级行业",[1]!s_info_industry_gics(W2043,1),IF($Y$3="wind二级行业",[1]!s_info_industry_gics(W2043,2),IF($Y$3="wind三级行业",[1]!s_info_industry_gics(W2043,3),IF($Y$3="wind四级行业",[1]!s_info_industry_gics(W2043,4),IF($Y$3="证监会门类行业",[1]!s_info_industry_csrc12_n(W2043,公司分析!D$5,1),""))))))))</f>
        <v>通信设备</v>
      </c>
      <c r="Z2043" s="302" t="str">
        <f ca="1">IF(Y2043=行业比较!$E$6,ROW(),"")</f>
        <v/>
      </c>
      <c r="AA2043" s="122"/>
      <c r="AB2043" s="122"/>
      <c r="AC2043" s="122"/>
      <c r="AD2043" s="122"/>
      <c r="AE2043" s="122"/>
      <c r="AF2043" s="122"/>
      <c r="AG2043" s="122"/>
      <c r="AH2043" s="122"/>
      <c r="AI2043" s="122"/>
      <c r="AJ2043" s="122"/>
      <c r="AK2043" s="122"/>
      <c r="AL2043" s="122"/>
      <c r="AM2043" s="122"/>
      <c r="AN2043" s="122"/>
      <c r="AO2043" s="122"/>
      <c r="AP2043" s="122"/>
    </row>
    <row r="2044" spans="2:42">
      <c r="B2044" s="122"/>
      <c r="C2044" s="122"/>
      <c r="D2044" s="122"/>
      <c r="E2044" s="122"/>
      <c r="F2044" s="122"/>
      <c r="G2044" s="122"/>
      <c r="H2044" s="122"/>
      <c r="I2044" s="275"/>
      <c r="J2044" s="130"/>
      <c r="K2044" s="130"/>
      <c r="L2044" s="130"/>
      <c r="M2044" s="130"/>
      <c r="N2044" s="291"/>
      <c r="O2044" s="291"/>
      <c r="P2044" s="122"/>
      <c r="Q2044" s="122"/>
      <c r="R2044" s="122"/>
      <c r="S2044" s="122"/>
      <c r="T2044" s="122"/>
      <c r="U2044" s="315"/>
      <c r="V2044" s="260">
        <f t="shared" ca="1" si="39"/>
        <v>0</v>
      </c>
      <c r="W2044" s="348" t="str">
        <f>IF(板块成分!B2046="","",板块成分!B2046)</f>
        <v>300591.SZ</v>
      </c>
      <c r="X2044" s="276" t="str">
        <f>[1]!S_Info_Name(W2044)</f>
        <v>万里马</v>
      </c>
      <c r="Y2044" s="276" t="str">
        <f ca="1">IF($Y$3="申万一级行业",[1]!s_info_industry_sw_2021(W2044,公司分析!D$5,1),IF($Y$3="申万二级行业",[1]!s_info_industry_sw_2021(W2044,公司分析!D$5,2),IF($Y$3="申万三级行业",[1]!s_info_industry_sw_2021(W2044,公司分析!D$5,3),IF($Y$3="wind一级行业",[1]!s_info_industry_gics(W2044,1),IF($Y$3="wind二级行业",[1]!s_info_industry_gics(W2044,2),IF($Y$3="wind三级行业",[1]!s_info_industry_gics(W2044,3),IF($Y$3="wind四级行业",[1]!s_info_industry_gics(W2044,4),IF($Y$3="证监会门类行业",[1]!s_info_industry_csrc12_n(W2044,公司分析!D$5,1),""))))))))</f>
        <v>服装家纺</v>
      </c>
      <c r="Z2044" s="302" t="str">
        <f ca="1">IF(Y2044=行业比较!$E$6,ROW(),"")</f>
        <v/>
      </c>
      <c r="AA2044" s="122"/>
      <c r="AB2044" s="122"/>
      <c r="AC2044" s="122"/>
      <c r="AD2044" s="122"/>
      <c r="AE2044" s="122"/>
      <c r="AF2044" s="122"/>
      <c r="AG2044" s="122"/>
      <c r="AH2044" s="122"/>
      <c r="AI2044" s="122"/>
      <c r="AJ2044" s="122"/>
      <c r="AK2044" s="122"/>
      <c r="AL2044" s="122"/>
      <c r="AM2044" s="122"/>
      <c r="AN2044" s="122"/>
      <c r="AO2044" s="122"/>
      <c r="AP2044" s="122"/>
    </row>
    <row r="2045" spans="2:42">
      <c r="B2045" s="122"/>
      <c r="C2045" s="122"/>
      <c r="D2045" s="122"/>
      <c r="E2045" s="122"/>
      <c r="F2045" s="122"/>
      <c r="G2045" s="122"/>
      <c r="H2045" s="122"/>
      <c r="I2045" s="275"/>
      <c r="J2045" s="130"/>
      <c r="K2045" s="130"/>
      <c r="L2045" s="130"/>
      <c r="M2045" s="130"/>
      <c r="N2045" s="291"/>
      <c r="O2045" s="291"/>
      <c r="P2045" s="122"/>
      <c r="Q2045" s="122"/>
      <c r="R2045" s="122"/>
      <c r="S2045" s="122"/>
      <c r="T2045" s="122"/>
      <c r="U2045" s="315"/>
      <c r="V2045" s="260">
        <f t="shared" ca="1" si="39"/>
        <v>0</v>
      </c>
      <c r="W2045" s="348" t="str">
        <f>IF(板块成分!B2047="","",板块成分!B2047)</f>
        <v>300592.SZ</v>
      </c>
      <c r="X2045" s="276" t="str">
        <f>[1]!S_Info_Name(W2045)</f>
        <v>华凯易佰</v>
      </c>
      <c r="Y2045" s="276" t="str">
        <f ca="1">IF($Y$3="申万一级行业",[1]!s_info_industry_sw_2021(W2045,公司分析!D$5,1),IF($Y$3="申万二级行业",[1]!s_info_industry_sw_2021(W2045,公司分析!D$5,2),IF($Y$3="申万三级行业",[1]!s_info_industry_sw_2021(W2045,公司分析!D$5,3),IF($Y$3="wind一级行业",[1]!s_info_industry_gics(W2045,1),IF($Y$3="wind二级行业",[1]!s_info_industry_gics(W2045,2),IF($Y$3="wind三级行业",[1]!s_info_industry_gics(W2045,3),IF($Y$3="wind四级行业",[1]!s_info_industry_gics(W2045,4),IF($Y$3="证监会门类行业",[1]!s_info_industry_csrc12_n(W2045,公司分析!D$5,1),""))))))))</f>
        <v>互联网电商</v>
      </c>
      <c r="Z2045" s="302" t="str">
        <f ca="1">IF(Y2045=行业比较!$E$6,ROW(),"")</f>
        <v/>
      </c>
      <c r="AA2045" s="122"/>
      <c r="AB2045" s="122"/>
      <c r="AC2045" s="122"/>
      <c r="AD2045" s="122"/>
      <c r="AE2045" s="122"/>
      <c r="AF2045" s="122"/>
      <c r="AG2045" s="122"/>
      <c r="AH2045" s="122"/>
      <c r="AI2045" s="122"/>
      <c r="AJ2045" s="122"/>
      <c r="AK2045" s="122"/>
      <c r="AL2045" s="122"/>
      <c r="AM2045" s="122"/>
      <c r="AN2045" s="122"/>
      <c r="AO2045" s="122"/>
      <c r="AP2045" s="122"/>
    </row>
    <row r="2046" spans="2:42">
      <c r="B2046" s="122"/>
      <c r="C2046" s="122"/>
      <c r="D2046" s="122"/>
      <c r="E2046" s="122"/>
      <c r="F2046" s="122"/>
      <c r="G2046" s="122"/>
      <c r="H2046" s="122"/>
      <c r="I2046" s="275"/>
      <c r="J2046" s="130"/>
      <c r="K2046" s="130"/>
      <c r="L2046" s="130"/>
      <c r="M2046" s="130"/>
      <c r="N2046" s="291"/>
      <c r="O2046" s="291"/>
      <c r="P2046" s="122"/>
      <c r="Q2046" s="122"/>
      <c r="R2046" s="122"/>
      <c r="S2046" s="122"/>
      <c r="T2046" s="122"/>
      <c r="U2046" s="315"/>
      <c r="V2046" s="260">
        <f t="shared" ca="1" si="39"/>
        <v>0</v>
      </c>
      <c r="W2046" s="348" t="str">
        <f>IF(板块成分!B2048="","",板块成分!B2048)</f>
        <v>300593.SZ</v>
      </c>
      <c r="X2046" s="276" t="str">
        <f>[1]!S_Info_Name(W2046)</f>
        <v>新雷能</v>
      </c>
      <c r="Y2046" s="276" t="str">
        <f ca="1">IF($Y$3="申万一级行业",[1]!s_info_industry_sw_2021(W2046,公司分析!D$5,1),IF($Y$3="申万二级行业",[1]!s_info_industry_sw_2021(W2046,公司分析!D$5,2),IF($Y$3="申万三级行业",[1]!s_info_industry_sw_2021(W2046,公司分析!D$5,3),IF($Y$3="wind一级行业",[1]!s_info_industry_gics(W2046,1),IF($Y$3="wind二级行业",[1]!s_info_industry_gics(W2046,2),IF($Y$3="wind三级行业",[1]!s_info_industry_gics(W2046,3),IF($Y$3="wind四级行业",[1]!s_info_industry_gics(W2046,4),IF($Y$3="证监会门类行业",[1]!s_info_industry_csrc12_n(W2046,公司分析!D$5,1),""))))))))</f>
        <v>其他电源设备Ⅱ</v>
      </c>
      <c r="Z2046" s="302" t="str">
        <f ca="1">IF(Y2046=行业比较!$E$6,ROW(),"")</f>
        <v/>
      </c>
      <c r="AA2046" s="122"/>
      <c r="AB2046" s="122"/>
      <c r="AC2046" s="122"/>
      <c r="AD2046" s="122"/>
      <c r="AE2046" s="122"/>
      <c r="AF2046" s="122"/>
      <c r="AG2046" s="122"/>
      <c r="AH2046" s="122"/>
      <c r="AI2046" s="122"/>
      <c r="AJ2046" s="122"/>
      <c r="AK2046" s="122"/>
      <c r="AL2046" s="122"/>
      <c r="AM2046" s="122"/>
      <c r="AN2046" s="122"/>
      <c r="AO2046" s="122"/>
      <c r="AP2046" s="122"/>
    </row>
    <row r="2047" spans="2:42">
      <c r="B2047" s="122"/>
      <c r="C2047" s="122"/>
      <c r="D2047" s="122"/>
      <c r="E2047" s="122"/>
      <c r="F2047" s="122"/>
      <c r="G2047" s="122"/>
      <c r="H2047" s="122"/>
      <c r="I2047" s="275"/>
      <c r="J2047" s="130"/>
      <c r="K2047" s="130"/>
      <c r="L2047" s="130"/>
      <c r="M2047" s="130"/>
      <c r="N2047" s="291"/>
      <c r="O2047" s="291"/>
      <c r="P2047" s="122"/>
      <c r="Q2047" s="122"/>
      <c r="R2047" s="122"/>
      <c r="S2047" s="122"/>
      <c r="T2047" s="122"/>
      <c r="U2047" s="315"/>
      <c r="V2047" s="260">
        <f t="shared" ca="1" si="39"/>
        <v>0</v>
      </c>
      <c r="W2047" s="348" t="str">
        <f>IF(板块成分!B2049="","",板块成分!B2049)</f>
        <v>300594.SZ</v>
      </c>
      <c r="X2047" s="276" t="str">
        <f>[1]!S_Info_Name(W2047)</f>
        <v>朗进科技</v>
      </c>
      <c r="Y2047" s="276" t="str">
        <f ca="1">IF($Y$3="申万一级行业",[1]!s_info_industry_sw_2021(W2047,公司分析!D$5,1),IF($Y$3="申万二级行业",[1]!s_info_industry_sw_2021(W2047,公司分析!D$5,2),IF($Y$3="申万三级行业",[1]!s_info_industry_sw_2021(W2047,公司分析!D$5,3),IF($Y$3="wind一级行业",[1]!s_info_industry_gics(W2047,1),IF($Y$3="wind二级行业",[1]!s_info_industry_gics(W2047,2),IF($Y$3="wind三级行业",[1]!s_info_industry_gics(W2047,3),IF($Y$3="wind四级行业",[1]!s_info_industry_gics(W2047,4),IF($Y$3="证监会门类行业",[1]!s_info_industry_csrc12_n(W2047,公司分析!D$5,1),""))))))))</f>
        <v>轨交设备Ⅱ</v>
      </c>
      <c r="Z2047" s="302" t="str">
        <f ca="1">IF(Y2047=行业比较!$E$6,ROW(),"")</f>
        <v/>
      </c>
      <c r="AA2047" s="122"/>
      <c r="AB2047" s="122"/>
      <c r="AC2047" s="122"/>
      <c r="AD2047" s="122"/>
      <c r="AE2047" s="122"/>
      <c r="AF2047" s="122"/>
      <c r="AG2047" s="122"/>
      <c r="AH2047" s="122"/>
      <c r="AI2047" s="122"/>
      <c r="AJ2047" s="122"/>
      <c r="AK2047" s="122"/>
      <c r="AL2047" s="122"/>
      <c r="AM2047" s="122"/>
      <c r="AN2047" s="122"/>
      <c r="AO2047" s="122"/>
      <c r="AP2047" s="122"/>
    </row>
    <row r="2048" spans="2:42">
      <c r="B2048" s="122"/>
      <c r="C2048" s="122"/>
      <c r="D2048" s="122"/>
      <c r="E2048" s="122"/>
      <c r="F2048" s="122"/>
      <c r="G2048" s="122"/>
      <c r="H2048" s="122"/>
      <c r="I2048" s="275"/>
      <c r="J2048" s="130"/>
      <c r="K2048" s="130"/>
      <c r="L2048" s="130"/>
      <c r="M2048" s="130"/>
      <c r="N2048" s="291"/>
      <c r="O2048" s="291"/>
      <c r="P2048" s="122"/>
      <c r="Q2048" s="122"/>
      <c r="R2048" s="122"/>
      <c r="S2048" s="122"/>
      <c r="T2048" s="122"/>
      <c r="U2048" s="315"/>
      <c r="V2048" s="260">
        <f t="shared" ca="1" si="39"/>
        <v>0</v>
      </c>
      <c r="W2048" s="348" t="str">
        <f>IF(板块成分!B2050="","",板块成分!B2050)</f>
        <v>300595.SZ</v>
      </c>
      <c r="X2048" s="276" t="str">
        <f>[1]!S_Info_Name(W2048)</f>
        <v>欧普康视</v>
      </c>
      <c r="Y2048" s="276" t="str">
        <f ca="1">IF($Y$3="申万一级行业",[1]!s_info_industry_sw_2021(W2048,公司分析!D$5,1),IF($Y$3="申万二级行业",[1]!s_info_industry_sw_2021(W2048,公司分析!D$5,2),IF($Y$3="申万三级行业",[1]!s_info_industry_sw_2021(W2048,公司分析!D$5,3),IF($Y$3="wind一级行业",[1]!s_info_industry_gics(W2048,1),IF($Y$3="wind二级行业",[1]!s_info_industry_gics(W2048,2),IF($Y$3="wind三级行业",[1]!s_info_industry_gics(W2048,3),IF($Y$3="wind四级行业",[1]!s_info_industry_gics(W2048,4),IF($Y$3="证监会门类行业",[1]!s_info_industry_csrc12_n(W2048,公司分析!D$5,1),""))))))))</f>
        <v>医疗器械</v>
      </c>
      <c r="Z2048" s="302" t="str">
        <f ca="1">IF(Y2048=行业比较!$E$6,ROW(),"")</f>
        <v/>
      </c>
      <c r="AA2048" s="122"/>
      <c r="AB2048" s="122"/>
      <c r="AC2048" s="122"/>
      <c r="AD2048" s="122"/>
      <c r="AE2048" s="122"/>
      <c r="AF2048" s="122"/>
      <c r="AG2048" s="122"/>
      <c r="AH2048" s="122"/>
      <c r="AI2048" s="122"/>
      <c r="AJ2048" s="122"/>
      <c r="AK2048" s="122"/>
      <c r="AL2048" s="122"/>
      <c r="AM2048" s="122"/>
      <c r="AN2048" s="122"/>
      <c r="AO2048" s="122"/>
      <c r="AP2048" s="122"/>
    </row>
    <row r="2049" spans="2:42">
      <c r="B2049" s="122"/>
      <c r="C2049" s="122"/>
      <c r="D2049" s="122"/>
      <c r="E2049" s="122"/>
      <c r="F2049" s="122"/>
      <c r="G2049" s="122"/>
      <c r="H2049" s="122"/>
      <c r="I2049" s="275"/>
      <c r="J2049" s="130"/>
      <c r="K2049" s="130"/>
      <c r="L2049" s="130"/>
      <c r="M2049" s="130"/>
      <c r="N2049" s="291"/>
      <c r="O2049" s="291"/>
      <c r="P2049" s="122"/>
      <c r="Q2049" s="122"/>
      <c r="R2049" s="122"/>
      <c r="S2049" s="122"/>
      <c r="T2049" s="122"/>
      <c r="U2049" s="315"/>
      <c r="V2049" s="260">
        <f t="shared" ca="1" si="39"/>
        <v>0</v>
      </c>
      <c r="W2049" s="348" t="str">
        <f>IF(板块成分!B2051="","",板块成分!B2051)</f>
        <v>300596.SZ</v>
      </c>
      <c r="X2049" s="276" t="str">
        <f>[1]!S_Info_Name(W2049)</f>
        <v>利安隆</v>
      </c>
      <c r="Y2049" s="276" t="str">
        <f ca="1">IF($Y$3="申万一级行业",[1]!s_info_industry_sw_2021(W2049,公司分析!D$5,1),IF($Y$3="申万二级行业",[1]!s_info_industry_sw_2021(W2049,公司分析!D$5,2),IF($Y$3="申万三级行业",[1]!s_info_industry_sw_2021(W2049,公司分析!D$5,3),IF($Y$3="wind一级行业",[1]!s_info_industry_gics(W2049,1),IF($Y$3="wind二级行业",[1]!s_info_industry_gics(W2049,2),IF($Y$3="wind三级行业",[1]!s_info_industry_gics(W2049,3),IF($Y$3="wind四级行业",[1]!s_info_industry_gics(W2049,4),IF($Y$3="证监会门类行业",[1]!s_info_industry_csrc12_n(W2049,公司分析!D$5,1),""))))))))</f>
        <v>化学制品</v>
      </c>
      <c r="Z2049" s="302" t="str">
        <f ca="1">IF(Y2049=行业比较!$E$6,ROW(),"")</f>
        <v/>
      </c>
      <c r="AA2049" s="122"/>
      <c r="AB2049" s="122"/>
      <c r="AC2049" s="122"/>
      <c r="AD2049" s="122"/>
      <c r="AE2049" s="122"/>
      <c r="AF2049" s="122"/>
      <c r="AG2049" s="122"/>
      <c r="AH2049" s="122"/>
      <c r="AI2049" s="122"/>
      <c r="AJ2049" s="122"/>
      <c r="AK2049" s="122"/>
      <c r="AL2049" s="122"/>
      <c r="AM2049" s="122"/>
      <c r="AN2049" s="122"/>
      <c r="AO2049" s="122"/>
      <c r="AP2049" s="122"/>
    </row>
    <row r="2050" spans="2:42">
      <c r="B2050" s="122"/>
      <c r="C2050" s="122"/>
      <c r="D2050" s="122"/>
      <c r="E2050" s="122"/>
      <c r="F2050" s="122"/>
      <c r="G2050" s="122"/>
      <c r="H2050" s="122"/>
      <c r="I2050" s="275"/>
      <c r="J2050" s="130"/>
      <c r="K2050" s="130"/>
      <c r="L2050" s="130"/>
      <c r="M2050" s="130"/>
      <c r="N2050" s="291"/>
      <c r="O2050" s="291"/>
      <c r="P2050" s="122"/>
      <c r="Q2050" s="122"/>
      <c r="R2050" s="122"/>
      <c r="S2050" s="122"/>
      <c r="T2050" s="122"/>
      <c r="U2050" s="315"/>
      <c r="V2050" s="260">
        <f t="shared" ca="1" si="39"/>
        <v>0</v>
      </c>
      <c r="W2050" s="348" t="str">
        <f>IF(板块成分!B2052="","",板块成分!B2052)</f>
        <v>300597.SZ</v>
      </c>
      <c r="X2050" s="276" t="str">
        <f>[1]!S_Info_Name(W2050)</f>
        <v>吉大通信</v>
      </c>
      <c r="Y2050" s="276" t="str">
        <f ca="1">IF($Y$3="申万一级行业",[1]!s_info_industry_sw_2021(W2050,公司分析!D$5,1),IF($Y$3="申万二级行业",[1]!s_info_industry_sw_2021(W2050,公司分析!D$5,2),IF($Y$3="申万三级行业",[1]!s_info_industry_sw_2021(W2050,公司分析!D$5,3),IF($Y$3="wind一级行业",[1]!s_info_industry_gics(W2050,1),IF($Y$3="wind二级行业",[1]!s_info_industry_gics(W2050,2),IF($Y$3="wind三级行业",[1]!s_info_industry_gics(W2050,3),IF($Y$3="wind四级行业",[1]!s_info_industry_gics(W2050,4),IF($Y$3="证监会门类行业",[1]!s_info_industry_csrc12_n(W2050,公司分析!D$5,1),""))))))))</f>
        <v>通信服务</v>
      </c>
      <c r="Z2050" s="302" t="str">
        <f ca="1">IF(Y2050=行业比较!$E$6,ROW(),"")</f>
        <v/>
      </c>
      <c r="AA2050" s="122"/>
      <c r="AB2050" s="122"/>
      <c r="AC2050" s="122"/>
      <c r="AD2050" s="122"/>
      <c r="AE2050" s="122"/>
      <c r="AF2050" s="122"/>
      <c r="AG2050" s="122"/>
      <c r="AH2050" s="122"/>
      <c r="AI2050" s="122"/>
      <c r="AJ2050" s="122"/>
      <c r="AK2050" s="122"/>
      <c r="AL2050" s="122"/>
      <c r="AM2050" s="122"/>
      <c r="AN2050" s="122"/>
      <c r="AO2050" s="122"/>
      <c r="AP2050" s="122"/>
    </row>
    <row r="2051" spans="2:42">
      <c r="B2051" s="122"/>
      <c r="C2051" s="122"/>
      <c r="D2051" s="122"/>
      <c r="E2051" s="122"/>
      <c r="F2051" s="122"/>
      <c r="G2051" s="122"/>
      <c r="H2051" s="122"/>
      <c r="I2051" s="275"/>
      <c r="J2051" s="130"/>
      <c r="K2051" s="130"/>
      <c r="L2051" s="130"/>
      <c r="M2051" s="130"/>
      <c r="N2051" s="291"/>
      <c r="O2051" s="291"/>
      <c r="P2051" s="122"/>
      <c r="Q2051" s="122"/>
      <c r="R2051" s="122"/>
      <c r="S2051" s="122"/>
      <c r="T2051" s="122"/>
      <c r="U2051" s="315"/>
      <c r="V2051" s="260">
        <f t="shared" ca="1" si="39"/>
        <v>0</v>
      </c>
      <c r="W2051" s="348" t="str">
        <f>IF(板块成分!B2053="","",板块成分!B2053)</f>
        <v>300598.SZ</v>
      </c>
      <c r="X2051" s="276" t="str">
        <f>[1]!S_Info_Name(W2051)</f>
        <v>诚迈科技</v>
      </c>
      <c r="Y2051" s="276" t="str">
        <f ca="1">IF($Y$3="申万一级行业",[1]!s_info_industry_sw_2021(W2051,公司分析!D$5,1),IF($Y$3="申万二级行业",[1]!s_info_industry_sw_2021(W2051,公司分析!D$5,2),IF($Y$3="申万三级行业",[1]!s_info_industry_sw_2021(W2051,公司分析!D$5,3),IF($Y$3="wind一级行业",[1]!s_info_industry_gics(W2051,1),IF($Y$3="wind二级行业",[1]!s_info_industry_gics(W2051,2),IF($Y$3="wind三级行业",[1]!s_info_industry_gics(W2051,3),IF($Y$3="wind四级行业",[1]!s_info_industry_gics(W2051,4),IF($Y$3="证监会门类行业",[1]!s_info_industry_csrc12_n(W2051,公司分析!D$5,1),""))))))))</f>
        <v>软件开发</v>
      </c>
      <c r="Z2051" s="302" t="str">
        <f ca="1">IF(Y2051=行业比较!$E$6,ROW(),"")</f>
        <v/>
      </c>
      <c r="AA2051" s="122"/>
      <c r="AB2051" s="122"/>
      <c r="AC2051" s="122"/>
      <c r="AD2051" s="122"/>
      <c r="AE2051" s="122"/>
      <c r="AF2051" s="122"/>
      <c r="AG2051" s="122"/>
      <c r="AH2051" s="122"/>
      <c r="AI2051" s="122"/>
      <c r="AJ2051" s="122"/>
      <c r="AK2051" s="122"/>
      <c r="AL2051" s="122"/>
      <c r="AM2051" s="122"/>
      <c r="AN2051" s="122"/>
      <c r="AO2051" s="122"/>
      <c r="AP2051" s="122"/>
    </row>
    <row r="2052" spans="2:42">
      <c r="B2052" s="122"/>
      <c r="C2052" s="122"/>
      <c r="D2052" s="122"/>
      <c r="E2052" s="122"/>
      <c r="F2052" s="122"/>
      <c r="G2052" s="122"/>
      <c r="H2052" s="122"/>
      <c r="I2052" s="275"/>
      <c r="J2052" s="130"/>
      <c r="K2052" s="130"/>
      <c r="L2052" s="130"/>
      <c r="M2052" s="130"/>
      <c r="N2052" s="291"/>
      <c r="O2052" s="291"/>
      <c r="P2052" s="122"/>
      <c r="Q2052" s="122"/>
      <c r="R2052" s="122"/>
      <c r="S2052" s="122"/>
      <c r="T2052" s="122"/>
      <c r="U2052" s="315"/>
      <c r="V2052" s="260">
        <f t="shared" ca="1" si="39"/>
        <v>0</v>
      </c>
      <c r="W2052" s="348" t="str">
        <f>IF(板块成分!B2054="","",板块成分!B2054)</f>
        <v>300599.SZ</v>
      </c>
      <c r="X2052" s="276" t="str">
        <f>[1]!S_Info_Name(W2052)</f>
        <v>雄塑科技</v>
      </c>
      <c r="Y2052" s="276" t="str">
        <f ca="1">IF($Y$3="申万一级行业",[1]!s_info_industry_sw_2021(W2052,公司分析!D$5,1),IF($Y$3="申万二级行业",[1]!s_info_industry_sw_2021(W2052,公司分析!D$5,2),IF($Y$3="申万三级行业",[1]!s_info_industry_sw_2021(W2052,公司分析!D$5,3),IF($Y$3="wind一级行业",[1]!s_info_industry_gics(W2052,1),IF($Y$3="wind二级行业",[1]!s_info_industry_gics(W2052,2),IF($Y$3="wind三级行业",[1]!s_info_industry_gics(W2052,3),IF($Y$3="wind四级行业",[1]!s_info_industry_gics(W2052,4),IF($Y$3="证监会门类行业",[1]!s_info_industry_csrc12_n(W2052,公司分析!D$5,1),""))))))))</f>
        <v>装修建材</v>
      </c>
      <c r="Z2052" s="302" t="str">
        <f ca="1">IF(Y2052=行业比较!$E$6,ROW(),"")</f>
        <v/>
      </c>
      <c r="AA2052" s="122"/>
      <c r="AB2052" s="122"/>
      <c r="AC2052" s="122"/>
      <c r="AD2052" s="122"/>
      <c r="AE2052" s="122"/>
      <c r="AF2052" s="122"/>
      <c r="AG2052" s="122"/>
      <c r="AH2052" s="122"/>
      <c r="AI2052" s="122"/>
      <c r="AJ2052" s="122"/>
      <c r="AK2052" s="122"/>
      <c r="AL2052" s="122"/>
      <c r="AM2052" s="122"/>
      <c r="AN2052" s="122"/>
      <c r="AO2052" s="122"/>
      <c r="AP2052" s="122"/>
    </row>
    <row r="2053" spans="2:42">
      <c r="B2053" s="122"/>
      <c r="C2053" s="122"/>
      <c r="D2053" s="122"/>
      <c r="E2053" s="122"/>
      <c r="F2053" s="122"/>
      <c r="G2053" s="122"/>
      <c r="H2053" s="122"/>
      <c r="I2053" s="275"/>
      <c r="J2053" s="130"/>
      <c r="K2053" s="130"/>
      <c r="L2053" s="130"/>
      <c r="M2053" s="130"/>
      <c r="N2053" s="291"/>
      <c r="O2053" s="291"/>
      <c r="P2053" s="122"/>
      <c r="Q2053" s="122"/>
      <c r="R2053" s="122"/>
      <c r="S2053" s="122"/>
      <c r="T2053" s="122"/>
      <c r="U2053" s="315"/>
      <c r="V2053" s="260">
        <f t="shared" ref="V2053:V2116" ca="1" si="40">IF(Z2053="",0,RANK(Z2053,Z:Z,1))</f>
        <v>0</v>
      </c>
      <c r="W2053" s="348" t="str">
        <f>IF(板块成分!B2055="","",板块成分!B2055)</f>
        <v>300600.SZ</v>
      </c>
      <c r="X2053" s="276" t="str">
        <f>[1]!S_Info_Name(W2053)</f>
        <v>国瑞科技</v>
      </c>
      <c r="Y2053" s="276" t="str">
        <f ca="1">IF($Y$3="申万一级行业",[1]!s_info_industry_sw_2021(W2053,公司分析!D$5,1),IF($Y$3="申万二级行业",[1]!s_info_industry_sw_2021(W2053,公司分析!D$5,2),IF($Y$3="申万三级行业",[1]!s_info_industry_sw_2021(W2053,公司分析!D$5,3),IF($Y$3="wind一级行业",[1]!s_info_industry_gics(W2053,1),IF($Y$3="wind二级行业",[1]!s_info_industry_gics(W2053,2),IF($Y$3="wind三级行业",[1]!s_info_industry_gics(W2053,3),IF($Y$3="wind四级行业",[1]!s_info_industry_gics(W2053,4),IF($Y$3="证监会门类行业",[1]!s_info_industry_csrc12_n(W2053,公司分析!D$5,1),""))))))))</f>
        <v>航海装备Ⅱ</v>
      </c>
      <c r="Z2053" s="302" t="str">
        <f ca="1">IF(Y2053=行业比较!$E$6,ROW(),"")</f>
        <v/>
      </c>
      <c r="AA2053" s="122"/>
      <c r="AB2053" s="122"/>
      <c r="AC2053" s="122"/>
      <c r="AD2053" s="122"/>
      <c r="AE2053" s="122"/>
      <c r="AF2053" s="122"/>
      <c r="AG2053" s="122"/>
      <c r="AH2053" s="122"/>
      <c r="AI2053" s="122"/>
      <c r="AJ2053" s="122"/>
      <c r="AK2053" s="122"/>
      <c r="AL2053" s="122"/>
      <c r="AM2053" s="122"/>
      <c r="AN2053" s="122"/>
      <c r="AO2053" s="122"/>
      <c r="AP2053" s="122"/>
    </row>
    <row r="2054" spans="2:42">
      <c r="B2054" s="122"/>
      <c r="C2054" s="122"/>
      <c r="D2054" s="122"/>
      <c r="E2054" s="122"/>
      <c r="F2054" s="122"/>
      <c r="G2054" s="122"/>
      <c r="H2054" s="122"/>
      <c r="I2054" s="275"/>
      <c r="J2054" s="130"/>
      <c r="K2054" s="130"/>
      <c r="L2054" s="130"/>
      <c r="M2054" s="130"/>
      <c r="N2054" s="291"/>
      <c r="O2054" s="291"/>
      <c r="P2054" s="122"/>
      <c r="Q2054" s="122"/>
      <c r="R2054" s="122"/>
      <c r="S2054" s="122"/>
      <c r="T2054" s="122"/>
      <c r="U2054" s="315"/>
      <c r="V2054" s="260">
        <f t="shared" ca="1" si="40"/>
        <v>0</v>
      </c>
      <c r="W2054" s="348" t="str">
        <f>IF(板块成分!B2056="","",板块成分!B2056)</f>
        <v>300601.SZ</v>
      </c>
      <c r="X2054" s="276" t="str">
        <f>[1]!S_Info_Name(W2054)</f>
        <v>康泰生物</v>
      </c>
      <c r="Y2054" s="276" t="str">
        <f ca="1">IF($Y$3="申万一级行业",[1]!s_info_industry_sw_2021(W2054,公司分析!D$5,1),IF($Y$3="申万二级行业",[1]!s_info_industry_sw_2021(W2054,公司分析!D$5,2),IF($Y$3="申万三级行业",[1]!s_info_industry_sw_2021(W2054,公司分析!D$5,3),IF($Y$3="wind一级行业",[1]!s_info_industry_gics(W2054,1),IF($Y$3="wind二级行业",[1]!s_info_industry_gics(W2054,2),IF($Y$3="wind三级行业",[1]!s_info_industry_gics(W2054,3),IF($Y$3="wind四级行业",[1]!s_info_industry_gics(W2054,4),IF($Y$3="证监会门类行业",[1]!s_info_industry_csrc12_n(W2054,公司分析!D$5,1),""))))))))</f>
        <v>生物制品</v>
      </c>
      <c r="Z2054" s="302" t="str">
        <f ca="1">IF(Y2054=行业比较!$E$6,ROW(),"")</f>
        <v/>
      </c>
      <c r="AA2054" s="122"/>
      <c r="AB2054" s="122"/>
      <c r="AC2054" s="122"/>
      <c r="AD2054" s="122"/>
      <c r="AE2054" s="122"/>
      <c r="AF2054" s="122"/>
      <c r="AG2054" s="122"/>
      <c r="AH2054" s="122"/>
      <c r="AI2054" s="122"/>
      <c r="AJ2054" s="122"/>
      <c r="AK2054" s="122"/>
      <c r="AL2054" s="122"/>
      <c r="AM2054" s="122"/>
      <c r="AN2054" s="122"/>
      <c r="AO2054" s="122"/>
      <c r="AP2054" s="122"/>
    </row>
    <row r="2055" spans="2:42">
      <c r="B2055" s="122"/>
      <c r="C2055" s="122"/>
      <c r="D2055" s="122"/>
      <c r="E2055" s="122"/>
      <c r="F2055" s="122"/>
      <c r="G2055" s="122"/>
      <c r="H2055" s="122"/>
      <c r="I2055" s="275"/>
      <c r="J2055" s="130"/>
      <c r="K2055" s="130"/>
      <c r="L2055" s="130"/>
      <c r="M2055" s="130"/>
      <c r="N2055" s="291"/>
      <c r="O2055" s="291"/>
      <c r="P2055" s="122"/>
      <c r="Q2055" s="122"/>
      <c r="R2055" s="122"/>
      <c r="S2055" s="122"/>
      <c r="T2055" s="122"/>
      <c r="U2055" s="315"/>
      <c r="V2055" s="260">
        <f t="shared" ca="1" si="40"/>
        <v>0</v>
      </c>
      <c r="W2055" s="348" t="str">
        <f>IF(板块成分!B2057="","",板块成分!B2057)</f>
        <v>300602.SZ</v>
      </c>
      <c r="X2055" s="276" t="str">
        <f>[1]!S_Info_Name(W2055)</f>
        <v>飞荣达</v>
      </c>
      <c r="Y2055" s="276" t="str">
        <f ca="1">IF($Y$3="申万一级行业",[1]!s_info_industry_sw_2021(W2055,公司分析!D$5,1),IF($Y$3="申万二级行业",[1]!s_info_industry_sw_2021(W2055,公司分析!D$5,2),IF($Y$3="申万三级行业",[1]!s_info_industry_sw_2021(W2055,公司分析!D$5,3),IF($Y$3="wind一级行业",[1]!s_info_industry_gics(W2055,1),IF($Y$3="wind二级行业",[1]!s_info_industry_gics(W2055,2),IF($Y$3="wind三级行业",[1]!s_info_industry_gics(W2055,3),IF($Y$3="wind四级行业",[1]!s_info_industry_gics(W2055,4),IF($Y$3="证监会门类行业",[1]!s_info_industry_csrc12_n(W2055,公司分析!D$5,1),""))))))))</f>
        <v>消费电子</v>
      </c>
      <c r="Z2055" s="302" t="str">
        <f ca="1">IF(Y2055=行业比较!$E$6,ROW(),"")</f>
        <v/>
      </c>
      <c r="AA2055" s="122"/>
      <c r="AB2055" s="122"/>
      <c r="AC2055" s="122"/>
      <c r="AD2055" s="122"/>
      <c r="AE2055" s="122"/>
      <c r="AF2055" s="122"/>
      <c r="AG2055" s="122"/>
      <c r="AH2055" s="122"/>
      <c r="AI2055" s="122"/>
      <c r="AJ2055" s="122"/>
      <c r="AK2055" s="122"/>
      <c r="AL2055" s="122"/>
      <c r="AM2055" s="122"/>
      <c r="AN2055" s="122"/>
      <c r="AO2055" s="122"/>
      <c r="AP2055" s="122"/>
    </row>
    <row r="2056" spans="2:42">
      <c r="B2056" s="122"/>
      <c r="C2056" s="122"/>
      <c r="D2056" s="122"/>
      <c r="E2056" s="122"/>
      <c r="F2056" s="122"/>
      <c r="G2056" s="122"/>
      <c r="H2056" s="122"/>
      <c r="I2056" s="275"/>
      <c r="J2056" s="130"/>
      <c r="K2056" s="130"/>
      <c r="L2056" s="130"/>
      <c r="M2056" s="130"/>
      <c r="N2056" s="291"/>
      <c r="O2056" s="291"/>
      <c r="P2056" s="122"/>
      <c r="Q2056" s="122"/>
      <c r="R2056" s="122"/>
      <c r="S2056" s="122"/>
      <c r="T2056" s="122"/>
      <c r="U2056" s="315"/>
      <c r="V2056" s="260">
        <f t="shared" ca="1" si="40"/>
        <v>0</v>
      </c>
      <c r="W2056" s="348" t="str">
        <f>IF(板块成分!B2058="","",板块成分!B2058)</f>
        <v>300603.SZ</v>
      </c>
      <c r="X2056" s="276" t="str">
        <f>[1]!S_Info_Name(W2056)</f>
        <v>立昂技术</v>
      </c>
      <c r="Y2056" s="276" t="str">
        <f ca="1">IF($Y$3="申万一级行业",[1]!s_info_industry_sw_2021(W2056,公司分析!D$5,1),IF($Y$3="申万二级行业",[1]!s_info_industry_sw_2021(W2056,公司分析!D$5,2),IF($Y$3="申万三级行业",[1]!s_info_industry_sw_2021(W2056,公司分析!D$5,3),IF($Y$3="wind一级行业",[1]!s_info_industry_gics(W2056,1),IF($Y$3="wind二级行业",[1]!s_info_industry_gics(W2056,2),IF($Y$3="wind三级行业",[1]!s_info_industry_gics(W2056,3),IF($Y$3="wind四级行业",[1]!s_info_industry_gics(W2056,4),IF($Y$3="证监会门类行业",[1]!s_info_industry_csrc12_n(W2056,公司分析!D$5,1),""))))))))</f>
        <v>通信服务</v>
      </c>
      <c r="Z2056" s="302" t="str">
        <f ca="1">IF(Y2056=行业比较!$E$6,ROW(),"")</f>
        <v/>
      </c>
      <c r="AA2056" s="122"/>
      <c r="AB2056" s="122"/>
      <c r="AC2056" s="122"/>
      <c r="AD2056" s="122"/>
      <c r="AE2056" s="122"/>
      <c r="AF2056" s="122"/>
      <c r="AG2056" s="122"/>
      <c r="AH2056" s="122"/>
      <c r="AI2056" s="122"/>
      <c r="AJ2056" s="122"/>
      <c r="AK2056" s="122"/>
      <c r="AL2056" s="122"/>
      <c r="AM2056" s="122"/>
      <c r="AN2056" s="122"/>
      <c r="AO2056" s="122"/>
      <c r="AP2056" s="122"/>
    </row>
    <row r="2057" spans="2:42">
      <c r="B2057" s="122"/>
      <c r="C2057" s="122"/>
      <c r="D2057" s="122"/>
      <c r="E2057" s="122"/>
      <c r="F2057" s="122"/>
      <c r="G2057" s="122"/>
      <c r="H2057" s="122"/>
      <c r="I2057" s="275"/>
      <c r="J2057" s="130"/>
      <c r="K2057" s="130"/>
      <c r="L2057" s="130"/>
      <c r="M2057" s="130"/>
      <c r="N2057" s="291"/>
      <c r="O2057" s="291"/>
      <c r="P2057" s="122"/>
      <c r="Q2057" s="122"/>
      <c r="R2057" s="122"/>
      <c r="S2057" s="122"/>
      <c r="T2057" s="122"/>
      <c r="U2057" s="315"/>
      <c r="V2057" s="260">
        <f t="shared" ca="1" si="40"/>
        <v>0</v>
      </c>
      <c r="W2057" s="348" t="str">
        <f>IF(板块成分!B2059="","",板块成分!B2059)</f>
        <v>300604.SZ</v>
      </c>
      <c r="X2057" s="276" t="str">
        <f>[1]!S_Info_Name(W2057)</f>
        <v>长川科技</v>
      </c>
      <c r="Y2057" s="276" t="str">
        <f ca="1">IF($Y$3="申万一级行业",[1]!s_info_industry_sw_2021(W2057,公司分析!D$5,1),IF($Y$3="申万二级行业",[1]!s_info_industry_sw_2021(W2057,公司分析!D$5,2),IF($Y$3="申万三级行业",[1]!s_info_industry_sw_2021(W2057,公司分析!D$5,3),IF($Y$3="wind一级行业",[1]!s_info_industry_gics(W2057,1),IF($Y$3="wind二级行业",[1]!s_info_industry_gics(W2057,2),IF($Y$3="wind三级行业",[1]!s_info_industry_gics(W2057,3),IF($Y$3="wind四级行业",[1]!s_info_industry_gics(W2057,4),IF($Y$3="证监会门类行业",[1]!s_info_industry_csrc12_n(W2057,公司分析!D$5,1),""))))))))</f>
        <v>半导体</v>
      </c>
      <c r="Z2057" s="302" t="str">
        <f ca="1">IF(Y2057=行业比较!$E$6,ROW(),"")</f>
        <v/>
      </c>
      <c r="AA2057" s="122"/>
      <c r="AB2057" s="122"/>
      <c r="AC2057" s="122"/>
      <c r="AD2057" s="122"/>
      <c r="AE2057" s="122"/>
      <c r="AF2057" s="122"/>
      <c r="AG2057" s="122"/>
      <c r="AH2057" s="122"/>
      <c r="AI2057" s="122"/>
      <c r="AJ2057" s="122"/>
      <c r="AK2057" s="122"/>
      <c r="AL2057" s="122"/>
      <c r="AM2057" s="122"/>
      <c r="AN2057" s="122"/>
      <c r="AO2057" s="122"/>
      <c r="AP2057" s="122"/>
    </row>
    <row r="2058" spans="2:42">
      <c r="B2058" s="122"/>
      <c r="C2058" s="122"/>
      <c r="D2058" s="122"/>
      <c r="E2058" s="122"/>
      <c r="F2058" s="122"/>
      <c r="G2058" s="122"/>
      <c r="H2058" s="122"/>
      <c r="I2058" s="275"/>
      <c r="J2058" s="130"/>
      <c r="K2058" s="130"/>
      <c r="L2058" s="130"/>
      <c r="M2058" s="130"/>
      <c r="N2058" s="291"/>
      <c r="O2058" s="291"/>
      <c r="P2058" s="122"/>
      <c r="Q2058" s="122"/>
      <c r="R2058" s="122"/>
      <c r="S2058" s="122"/>
      <c r="T2058" s="122"/>
      <c r="U2058" s="315"/>
      <c r="V2058" s="260">
        <f t="shared" ca="1" si="40"/>
        <v>0</v>
      </c>
      <c r="W2058" s="348" t="str">
        <f>IF(板块成分!B2060="","",板块成分!B2060)</f>
        <v>300605.SZ</v>
      </c>
      <c r="X2058" s="276" t="str">
        <f>[1]!S_Info_Name(W2058)</f>
        <v>恒锋信息</v>
      </c>
      <c r="Y2058" s="276" t="str">
        <f ca="1">IF($Y$3="申万一级行业",[1]!s_info_industry_sw_2021(W2058,公司分析!D$5,1),IF($Y$3="申万二级行业",[1]!s_info_industry_sw_2021(W2058,公司分析!D$5,2),IF($Y$3="申万三级行业",[1]!s_info_industry_sw_2021(W2058,公司分析!D$5,3),IF($Y$3="wind一级行业",[1]!s_info_industry_gics(W2058,1),IF($Y$3="wind二级行业",[1]!s_info_industry_gics(W2058,2),IF($Y$3="wind三级行业",[1]!s_info_industry_gics(W2058,3),IF($Y$3="wind四级行业",[1]!s_info_industry_gics(W2058,4),IF($Y$3="证监会门类行业",[1]!s_info_industry_csrc12_n(W2058,公司分析!D$5,1),""))))))))</f>
        <v>软件开发</v>
      </c>
      <c r="Z2058" s="302" t="str">
        <f ca="1">IF(Y2058=行业比较!$E$6,ROW(),"")</f>
        <v/>
      </c>
      <c r="AA2058" s="122"/>
      <c r="AB2058" s="122"/>
      <c r="AC2058" s="122"/>
      <c r="AD2058" s="122"/>
      <c r="AE2058" s="122"/>
      <c r="AF2058" s="122"/>
      <c r="AG2058" s="122"/>
      <c r="AH2058" s="122"/>
      <c r="AI2058" s="122"/>
      <c r="AJ2058" s="122"/>
      <c r="AK2058" s="122"/>
      <c r="AL2058" s="122"/>
      <c r="AM2058" s="122"/>
      <c r="AN2058" s="122"/>
      <c r="AO2058" s="122"/>
      <c r="AP2058" s="122"/>
    </row>
    <row r="2059" spans="2:42">
      <c r="B2059" s="122"/>
      <c r="C2059" s="122"/>
      <c r="D2059" s="122"/>
      <c r="E2059" s="122"/>
      <c r="F2059" s="122"/>
      <c r="G2059" s="122"/>
      <c r="H2059" s="122"/>
      <c r="I2059" s="275"/>
      <c r="J2059" s="130"/>
      <c r="K2059" s="130"/>
      <c r="L2059" s="130"/>
      <c r="M2059" s="130"/>
      <c r="N2059" s="291"/>
      <c r="O2059" s="291"/>
      <c r="P2059" s="122"/>
      <c r="Q2059" s="122"/>
      <c r="R2059" s="122"/>
      <c r="S2059" s="122"/>
      <c r="T2059" s="122"/>
      <c r="U2059" s="315"/>
      <c r="V2059" s="260">
        <f t="shared" ca="1" si="40"/>
        <v>0</v>
      </c>
      <c r="W2059" s="348" t="str">
        <f>IF(板块成分!B2061="","",板块成分!B2061)</f>
        <v>300606.SZ</v>
      </c>
      <c r="X2059" s="276" t="str">
        <f>[1]!S_Info_Name(W2059)</f>
        <v>金太阳</v>
      </c>
      <c r="Y2059" s="276" t="str">
        <f ca="1">IF($Y$3="申万一级行业",[1]!s_info_industry_sw_2021(W2059,公司分析!D$5,1),IF($Y$3="申万二级行业",[1]!s_info_industry_sw_2021(W2059,公司分析!D$5,2),IF($Y$3="申万三级行业",[1]!s_info_industry_sw_2021(W2059,公司分析!D$5,3),IF($Y$3="wind一级行业",[1]!s_info_industry_gics(W2059,1),IF($Y$3="wind二级行业",[1]!s_info_industry_gics(W2059,2),IF($Y$3="wind三级行业",[1]!s_info_industry_gics(W2059,3),IF($Y$3="wind四级行业",[1]!s_info_industry_gics(W2059,4),IF($Y$3="证监会门类行业",[1]!s_info_industry_csrc12_n(W2059,公司分析!D$5,1),""))))))))</f>
        <v>通用设备</v>
      </c>
      <c r="Z2059" s="302" t="str">
        <f ca="1">IF(Y2059=行业比较!$E$6,ROW(),"")</f>
        <v/>
      </c>
      <c r="AA2059" s="122"/>
      <c r="AB2059" s="122"/>
      <c r="AC2059" s="122"/>
      <c r="AD2059" s="122"/>
      <c r="AE2059" s="122"/>
      <c r="AF2059" s="122"/>
      <c r="AG2059" s="122"/>
      <c r="AH2059" s="122"/>
      <c r="AI2059" s="122"/>
      <c r="AJ2059" s="122"/>
      <c r="AK2059" s="122"/>
      <c r="AL2059" s="122"/>
      <c r="AM2059" s="122"/>
      <c r="AN2059" s="122"/>
      <c r="AO2059" s="122"/>
      <c r="AP2059" s="122"/>
    </row>
    <row r="2060" spans="2:42">
      <c r="B2060" s="122"/>
      <c r="C2060" s="122"/>
      <c r="D2060" s="122"/>
      <c r="E2060" s="122"/>
      <c r="F2060" s="122"/>
      <c r="G2060" s="122"/>
      <c r="H2060" s="122"/>
      <c r="I2060" s="275"/>
      <c r="J2060" s="130"/>
      <c r="K2060" s="130"/>
      <c r="L2060" s="130"/>
      <c r="M2060" s="130"/>
      <c r="N2060" s="291"/>
      <c r="O2060" s="291"/>
      <c r="P2060" s="122"/>
      <c r="Q2060" s="122"/>
      <c r="R2060" s="122"/>
      <c r="S2060" s="122"/>
      <c r="T2060" s="122"/>
      <c r="U2060" s="315"/>
      <c r="V2060" s="260">
        <f t="shared" ca="1" si="40"/>
        <v>0</v>
      </c>
      <c r="W2060" s="348" t="str">
        <f>IF(板块成分!B2062="","",板块成分!B2062)</f>
        <v>300607.SZ</v>
      </c>
      <c r="X2060" s="276" t="str">
        <f>[1]!S_Info_Name(W2060)</f>
        <v>拓斯达</v>
      </c>
      <c r="Y2060" s="276" t="str">
        <f ca="1">IF($Y$3="申万一级行业",[1]!s_info_industry_sw_2021(W2060,公司分析!D$5,1),IF($Y$3="申万二级行业",[1]!s_info_industry_sw_2021(W2060,公司分析!D$5,2),IF($Y$3="申万三级行业",[1]!s_info_industry_sw_2021(W2060,公司分析!D$5,3),IF($Y$3="wind一级行业",[1]!s_info_industry_gics(W2060,1),IF($Y$3="wind二级行业",[1]!s_info_industry_gics(W2060,2),IF($Y$3="wind三级行业",[1]!s_info_industry_gics(W2060,3),IF($Y$3="wind四级行业",[1]!s_info_industry_gics(W2060,4),IF($Y$3="证监会门类行业",[1]!s_info_industry_csrc12_n(W2060,公司分析!D$5,1),""))))))))</f>
        <v>自动化设备</v>
      </c>
      <c r="Z2060" s="302" t="str">
        <f ca="1">IF(Y2060=行业比较!$E$6,ROW(),"")</f>
        <v/>
      </c>
      <c r="AA2060" s="122"/>
      <c r="AB2060" s="122"/>
      <c r="AC2060" s="122"/>
      <c r="AD2060" s="122"/>
      <c r="AE2060" s="122"/>
      <c r="AF2060" s="122"/>
      <c r="AG2060" s="122"/>
      <c r="AH2060" s="122"/>
      <c r="AI2060" s="122"/>
      <c r="AJ2060" s="122"/>
      <c r="AK2060" s="122"/>
      <c r="AL2060" s="122"/>
      <c r="AM2060" s="122"/>
      <c r="AN2060" s="122"/>
      <c r="AO2060" s="122"/>
      <c r="AP2060" s="122"/>
    </row>
    <row r="2061" spans="2:42">
      <c r="B2061" s="122"/>
      <c r="C2061" s="122"/>
      <c r="D2061" s="122"/>
      <c r="E2061" s="122"/>
      <c r="F2061" s="122"/>
      <c r="G2061" s="122"/>
      <c r="H2061" s="122"/>
      <c r="I2061" s="275"/>
      <c r="J2061" s="130"/>
      <c r="K2061" s="130"/>
      <c r="L2061" s="130"/>
      <c r="M2061" s="130"/>
      <c r="N2061" s="291"/>
      <c r="O2061" s="291"/>
      <c r="P2061" s="122"/>
      <c r="Q2061" s="122"/>
      <c r="R2061" s="122"/>
      <c r="S2061" s="122"/>
      <c r="T2061" s="122"/>
      <c r="U2061" s="315"/>
      <c r="V2061" s="260">
        <f t="shared" ca="1" si="40"/>
        <v>0</v>
      </c>
      <c r="W2061" s="348" t="str">
        <f>IF(板块成分!B2063="","",板块成分!B2063)</f>
        <v>300608.SZ</v>
      </c>
      <c r="X2061" s="276" t="str">
        <f>[1]!S_Info_Name(W2061)</f>
        <v>思特奇</v>
      </c>
      <c r="Y2061" s="276" t="str">
        <f ca="1">IF($Y$3="申万一级行业",[1]!s_info_industry_sw_2021(W2061,公司分析!D$5,1),IF($Y$3="申万二级行业",[1]!s_info_industry_sw_2021(W2061,公司分析!D$5,2),IF($Y$3="申万三级行业",[1]!s_info_industry_sw_2021(W2061,公司分析!D$5,3),IF($Y$3="wind一级行业",[1]!s_info_industry_gics(W2061,1),IF($Y$3="wind二级行业",[1]!s_info_industry_gics(W2061,2),IF($Y$3="wind三级行业",[1]!s_info_industry_gics(W2061,3),IF($Y$3="wind四级行业",[1]!s_info_industry_gics(W2061,4),IF($Y$3="证监会门类行业",[1]!s_info_industry_csrc12_n(W2061,公司分析!D$5,1),""))))))))</f>
        <v>软件开发</v>
      </c>
      <c r="Z2061" s="302" t="str">
        <f ca="1">IF(Y2061=行业比较!$E$6,ROW(),"")</f>
        <v/>
      </c>
      <c r="AA2061" s="122"/>
      <c r="AB2061" s="122"/>
      <c r="AC2061" s="122"/>
      <c r="AD2061" s="122"/>
      <c r="AE2061" s="122"/>
      <c r="AF2061" s="122"/>
      <c r="AG2061" s="122"/>
      <c r="AH2061" s="122"/>
      <c r="AI2061" s="122"/>
      <c r="AJ2061" s="122"/>
      <c r="AK2061" s="122"/>
      <c r="AL2061" s="122"/>
      <c r="AM2061" s="122"/>
      <c r="AN2061" s="122"/>
      <c r="AO2061" s="122"/>
      <c r="AP2061" s="122"/>
    </row>
    <row r="2062" spans="2:42">
      <c r="B2062" s="122"/>
      <c r="C2062" s="122"/>
      <c r="D2062" s="122"/>
      <c r="E2062" s="122"/>
      <c r="F2062" s="122"/>
      <c r="G2062" s="122"/>
      <c r="H2062" s="122"/>
      <c r="I2062" s="275"/>
      <c r="J2062" s="130"/>
      <c r="K2062" s="130"/>
      <c r="L2062" s="130"/>
      <c r="M2062" s="130"/>
      <c r="N2062" s="291"/>
      <c r="O2062" s="291"/>
      <c r="P2062" s="122"/>
      <c r="Q2062" s="122"/>
      <c r="R2062" s="122"/>
      <c r="S2062" s="122"/>
      <c r="T2062" s="122"/>
      <c r="U2062" s="315"/>
      <c r="V2062" s="260">
        <f t="shared" ca="1" si="40"/>
        <v>0</v>
      </c>
      <c r="W2062" s="348" t="str">
        <f>IF(板块成分!B2064="","",板块成分!B2064)</f>
        <v>300609.SZ</v>
      </c>
      <c r="X2062" s="276" t="str">
        <f>[1]!S_Info_Name(W2062)</f>
        <v>汇纳科技</v>
      </c>
      <c r="Y2062" s="276" t="str">
        <f ca="1">IF($Y$3="申万一级行业",[1]!s_info_industry_sw_2021(W2062,公司分析!D$5,1),IF($Y$3="申万二级行业",[1]!s_info_industry_sw_2021(W2062,公司分析!D$5,2),IF($Y$3="申万三级行业",[1]!s_info_industry_sw_2021(W2062,公司分析!D$5,3),IF($Y$3="wind一级行业",[1]!s_info_industry_gics(W2062,1),IF($Y$3="wind二级行业",[1]!s_info_industry_gics(W2062,2),IF($Y$3="wind三级行业",[1]!s_info_industry_gics(W2062,3),IF($Y$3="wind四级行业",[1]!s_info_industry_gics(W2062,4),IF($Y$3="证监会门类行业",[1]!s_info_industry_csrc12_n(W2062,公司分析!D$5,1),""))))))))</f>
        <v>IT服务Ⅱ</v>
      </c>
      <c r="Z2062" s="302" t="str">
        <f ca="1">IF(Y2062=行业比较!$E$6,ROW(),"")</f>
        <v/>
      </c>
      <c r="AA2062" s="122"/>
      <c r="AB2062" s="122"/>
      <c r="AC2062" s="122"/>
      <c r="AD2062" s="122"/>
      <c r="AE2062" s="122"/>
      <c r="AF2062" s="122"/>
      <c r="AG2062" s="122"/>
      <c r="AH2062" s="122"/>
      <c r="AI2062" s="122"/>
      <c r="AJ2062" s="122"/>
      <c r="AK2062" s="122"/>
      <c r="AL2062" s="122"/>
      <c r="AM2062" s="122"/>
      <c r="AN2062" s="122"/>
      <c r="AO2062" s="122"/>
      <c r="AP2062" s="122"/>
    </row>
    <row r="2063" spans="2:42">
      <c r="B2063" s="122"/>
      <c r="C2063" s="122"/>
      <c r="D2063" s="122"/>
      <c r="E2063" s="122"/>
      <c r="F2063" s="122"/>
      <c r="G2063" s="122"/>
      <c r="H2063" s="122"/>
      <c r="I2063" s="275"/>
      <c r="J2063" s="130"/>
      <c r="K2063" s="130"/>
      <c r="L2063" s="130"/>
      <c r="M2063" s="130"/>
      <c r="N2063" s="291"/>
      <c r="O2063" s="291"/>
      <c r="P2063" s="122"/>
      <c r="Q2063" s="122"/>
      <c r="R2063" s="122"/>
      <c r="S2063" s="122"/>
      <c r="T2063" s="122"/>
      <c r="U2063" s="315"/>
      <c r="V2063" s="260">
        <f t="shared" ca="1" si="40"/>
        <v>0</v>
      </c>
      <c r="W2063" s="348" t="str">
        <f>IF(板块成分!B2065="","",板块成分!B2065)</f>
        <v>300610.SZ</v>
      </c>
      <c r="X2063" s="276" t="str">
        <f>[1]!S_Info_Name(W2063)</f>
        <v>晨化股份</v>
      </c>
      <c r="Y2063" s="276" t="str">
        <f ca="1">IF($Y$3="申万一级行业",[1]!s_info_industry_sw_2021(W2063,公司分析!D$5,1),IF($Y$3="申万二级行业",[1]!s_info_industry_sw_2021(W2063,公司分析!D$5,2),IF($Y$3="申万三级行业",[1]!s_info_industry_sw_2021(W2063,公司分析!D$5,3),IF($Y$3="wind一级行业",[1]!s_info_industry_gics(W2063,1),IF($Y$3="wind二级行业",[1]!s_info_industry_gics(W2063,2),IF($Y$3="wind三级行业",[1]!s_info_industry_gics(W2063,3),IF($Y$3="wind四级行业",[1]!s_info_industry_gics(W2063,4),IF($Y$3="证监会门类行业",[1]!s_info_industry_csrc12_n(W2063,公司分析!D$5,1),""))))))))</f>
        <v>化学制品</v>
      </c>
      <c r="Z2063" s="302" t="str">
        <f ca="1">IF(Y2063=行业比较!$E$6,ROW(),"")</f>
        <v/>
      </c>
      <c r="AA2063" s="122"/>
      <c r="AB2063" s="122"/>
      <c r="AC2063" s="122"/>
      <c r="AD2063" s="122"/>
      <c r="AE2063" s="122"/>
      <c r="AF2063" s="122"/>
      <c r="AG2063" s="122"/>
      <c r="AH2063" s="122"/>
      <c r="AI2063" s="122"/>
      <c r="AJ2063" s="122"/>
      <c r="AK2063" s="122"/>
      <c r="AL2063" s="122"/>
      <c r="AM2063" s="122"/>
      <c r="AN2063" s="122"/>
      <c r="AO2063" s="122"/>
      <c r="AP2063" s="122"/>
    </row>
    <row r="2064" spans="2:42">
      <c r="B2064" s="122"/>
      <c r="C2064" s="122"/>
      <c r="D2064" s="122"/>
      <c r="E2064" s="122"/>
      <c r="F2064" s="122"/>
      <c r="G2064" s="122"/>
      <c r="H2064" s="122"/>
      <c r="I2064" s="275"/>
      <c r="J2064" s="130"/>
      <c r="K2064" s="130"/>
      <c r="L2064" s="130"/>
      <c r="M2064" s="130"/>
      <c r="N2064" s="291"/>
      <c r="O2064" s="291"/>
      <c r="P2064" s="122"/>
      <c r="Q2064" s="122"/>
      <c r="R2064" s="122"/>
      <c r="S2064" s="122"/>
      <c r="T2064" s="122"/>
      <c r="U2064" s="315"/>
      <c r="V2064" s="260">
        <f t="shared" ca="1" si="40"/>
        <v>0</v>
      </c>
      <c r="W2064" s="348" t="str">
        <f>IF(板块成分!B2066="","",板块成分!B2066)</f>
        <v>300611.SZ</v>
      </c>
      <c r="X2064" s="276" t="str">
        <f>[1]!S_Info_Name(W2064)</f>
        <v>美力科技</v>
      </c>
      <c r="Y2064" s="276" t="str">
        <f ca="1">IF($Y$3="申万一级行业",[1]!s_info_industry_sw_2021(W2064,公司分析!D$5,1),IF($Y$3="申万二级行业",[1]!s_info_industry_sw_2021(W2064,公司分析!D$5,2),IF($Y$3="申万三级行业",[1]!s_info_industry_sw_2021(W2064,公司分析!D$5,3),IF($Y$3="wind一级行业",[1]!s_info_industry_gics(W2064,1),IF($Y$3="wind二级行业",[1]!s_info_industry_gics(W2064,2),IF($Y$3="wind三级行业",[1]!s_info_industry_gics(W2064,3),IF($Y$3="wind四级行业",[1]!s_info_industry_gics(W2064,4),IF($Y$3="证监会门类行业",[1]!s_info_industry_csrc12_n(W2064,公司分析!D$5,1),""))))))))</f>
        <v>汽车零部件</v>
      </c>
      <c r="Z2064" s="302" t="str">
        <f ca="1">IF(Y2064=行业比较!$E$6,ROW(),"")</f>
        <v/>
      </c>
      <c r="AA2064" s="122"/>
      <c r="AB2064" s="122"/>
      <c r="AC2064" s="122"/>
      <c r="AD2064" s="122"/>
      <c r="AE2064" s="122"/>
      <c r="AF2064" s="122"/>
      <c r="AG2064" s="122"/>
      <c r="AH2064" s="122"/>
      <c r="AI2064" s="122"/>
      <c r="AJ2064" s="122"/>
      <c r="AK2064" s="122"/>
      <c r="AL2064" s="122"/>
      <c r="AM2064" s="122"/>
      <c r="AN2064" s="122"/>
      <c r="AO2064" s="122"/>
      <c r="AP2064" s="122"/>
    </row>
    <row r="2065" spans="2:42">
      <c r="B2065" s="122"/>
      <c r="C2065" s="122"/>
      <c r="D2065" s="122"/>
      <c r="E2065" s="122"/>
      <c r="F2065" s="122"/>
      <c r="G2065" s="122"/>
      <c r="H2065" s="122"/>
      <c r="I2065" s="275"/>
      <c r="J2065" s="130"/>
      <c r="K2065" s="130"/>
      <c r="L2065" s="130"/>
      <c r="M2065" s="130"/>
      <c r="N2065" s="291"/>
      <c r="O2065" s="291"/>
      <c r="P2065" s="122"/>
      <c r="Q2065" s="122"/>
      <c r="R2065" s="122"/>
      <c r="S2065" s="122"/>
      <c r="T2065" s="122"/>
      <c r="U2065" s="315"/>
      <c r="V2065" s="260">
        <f t="shared" ca="1" si="40"/>
        <v>0</v>
      </c>
      <c r="W2065" s="348" t="str">
        <f>IF(板块成分!B2067="","",板块成分!B2067)</f>
        <v>300612.SZ</v>
      </c>
      <c r="X2065" s="276" t="str">
        <f>[1]!S_Info_Name(W2065)</f>
        <v>宣亚国际</v>
      </c>
      <c r="Y2065" s="276" t="str">
        <f ca="1">IF($Y$3="申万一级行业",[1]!s_info_industry_sw_2021(W2065,公司分析!D$5,1),IF($Y$3="申万二级行业",[1]!s_info_industry_sw_2021(W2065,公司分析!D$5,2),IF($Y$3="申万三级行业",[1]!s_info_industry_sw_2021(W2065,公司分析!D$5,3),IF($Y$3="wind一级行业",[1]!s_info_industry_gics(W2065,1),IF($Y$3="wind二级行业",[1]!s_info_industry_gics(W2065,2),IF($Y$3="wind三级行业",[1]!s_info_industry_gics(W2065,3),IF($Y$3="wind四级行业",[1]!s_info_industry_gics(W2065,4),IF($Y$3="证监会门类行业",[1]!s_info_industry_csrc12_n(W2065,公司分析!D$5,1),""))))))))</f>
        <v>广告营销</v>
      </c>
      <c r="Z2065" s="302" t="str">
        <f ca="1">IF(Y2065=行业比较!$E$6,ROW(),"")</f>
        <v/>
      </c>
      <c r="AA2065" s="122"/>
      <c r="AB2065" s="122"/>
      <c r="AC2065" s="122"/>
      <c r="AD2065" s="122"/>
      <c r="AE2065" s="122"/>
      <c r="AF2065" s="122"/>
      <c r="AG2065" s="122"/>
      <c r="AH2065" s="122"/>
      <c r="AI2065" s="122"/>
      <c r="AJ2065" s="122"/>
      <c r="AK2065" s="122"/>
      <c r="AL2065" s="122"/>
      <c r="AM2065" s="122"/>
      <c r="AN2065" s="122"/>
      <c r="AO2065" s="122"/>
      <c r="AP2065" s="122"/>
    </row>
    <row r="2066" spans="2:42">
      <c r="B2066" s="122"/>
      <c r="C2066" s="122"/>
      <c r="D2066" s="122"/>
      <c r="E2066" s="122"/>
      <c r="F2066" s="122"/>
      <c r="G2066" s="122"/>
      <c r="H2066" s="122"/>
      <c r="I2066" s="275"/>
      <c r="J2066" s="130"/>
      <c r="K2066" s="130"/>
      <c r="L2066" s="130"/>
      <c r="M2066" s="130"/>
      <c r="N2066" s="291"/>
      <c r="O2066" s="291"/>
      <c r="P2066" s="122"/>
      <c r="Q2066" s="122"/>
      <c r="R2066" s="122"/>
      <c r="S2066" s="122"/>
      <c r="T2066" s="122"/>
      <c r="U2066" s="315"/>
      <c r="V2066" s="260">
        <f t="shared" ca="1" si="40"/>
        <v>0</v>
      </c>
      <c r="W2066" s="348" t="str">
        <f>IF(板块成分!B2068="","",板块成分!B2068)</f>
        <v>300613.SZ</v>
      </c>
      <c r="X2066" s="276" t="str">
        <f>[1]!S_Info_Name(W2066)</f>
        <v>富瀚微</v>
      </c>
      <c r="Y2066" s="276" t="str">
        <f ca="1">IF($Y$3="申万一级行业",[1]!s_info_industry_sw_2021(W2066,公司分析!D$5,1),IF($Y$3="申万二级行业",[1]!s_info_industry_sw_2021(W2066,公司分析!D$5,2),IF($Y$3="申万三级行业",[1]!s_info_industry_sw_2021(W2066,公司分析!D$5,3),IF($Y$3="wind一级行业",[1]!s_info_industry_gics(W2066,1),IF($Y$3="wind二级行业",[1]!s_info_industry_gics(W2066,2),IF($Y$3="wind三级行业",[1]!s_info_industry_gics(W2066,3),IF($Y$3="wind四级行业",[1]!s_info_industry_gics(W2066,4),IF($Y$3="证监会门类行业",[1]!s_info_industry_csrc12_n(W2066,公司分析!D$5,1),""))))))))</f>
        <v>半导体</v>
      </c>
      <c r="Z2066" s="302" t="str">
        <f ca="1">IF(Y2066=行业比较!$E$6,ROW(),"")</f>
        <v/>
      </c>
      <c r="AA2066" s="122"/>
      <c r="AB2066" s="122"/>
      <c r="AC2066" s="122"/>
      <c r="AD2066" s="122"/>
      <c r="AE2066" s="122"/>
      <c r="AF2066" s="122"/>
      <c r="AG2066" s="122"/>
      <c r="AH2066" s="122"/>
      <c r="AI2066" s="122"/>
      <c r="AJ2066" s="122"/>
      <c r="AK2066" s="122"/>
      <c r="AL2066" s="122"/>
      <c r="AM2066" s="122"/>
      <c r="AN2066" s="122"/>
      <c r="AO2066" s="122"/>
      <c r="AP2066" s="122"/>
    </row>
    <row r="2067" spans="2:42">
      <c r="B2067" s="122"/>
      <c r="C2067" s="122"/>
      <c r="D2067" s="122"/>
      <c r="E2067" s="122"/>
      <c r="F2067" s="122"/>
      <c r="G2067" s="122"/>
      <c r="H2067" s="122"/>
      <c r="I2067" s="275"/>
      <c r="J2067" s="130"/>
      <c r="K2067" s="130"/>
      <c r="L2067" s="130"/>
      <c r="M2067" s="130"/>
      <c r="N2067" s="291"/>
      <c r="O2067" s="291"/>
      <c r="P2067" s="122"/>
      <c r="Q2067" s="122"/>
      <c r="R2067" s="122"/>
      <c r="S2067" s="122"/>
      <c r="T2067" s="122"/>
      <c r="U2067" s="315"/>
      <c r="V2067" s="260">
        <f t="shared" ca="1" si="40"/>
        <v>0</v>
      </c>
      <c r="W2067" s="348" t="str">
        <f>IF(板块成分!B2069="","",板块成分!B2069)</f>
        <v>300614.SZ</v>
      </c>
      <c r="X2067" s="276" t="str">
        <f>[1]!S_Info_Name(W2067)</f>
        <v>百川畅银</v>
      </c>
      <c r="Y2067" s="276" t="str">
        <f ca="1">IF($Y$3="申万一级行业",[1]!s_info_industry_sw_2021(W2067,公司分析!D$5,1),IF($Y$3="申万二级行业",[1]!s_info_industry_sw_2021(W2067,公司分析!D$5,2),IF($Y$3="申万三级行业",[1]!s_info_industry_sw_2021(W2067,公司分析!D$5,3),IF($Y$3="wind一级行业",[1]!s_info_industry_gics(W2067,1),IF($Y$3="wind二级行业",[1]!s_info_industry_gics(W2067,2),IF($Y$3="wind三级行业",[1]!s_info_industry_gics(W2067,3),IF($Y$3="wind四级行业",[1]!s_info_industry_gics(W2067,4),IF($Y$3="证监会门类行业",[1]!s_info_industry_csrc12_n(W2067,公司分析!D$5,1),""))))))))</f>
        <v>环境治理</v>
      </c>
      <c r="Z2067" s="302" t="str">
        <f ca="1">IF(Y2067=行业比较!$E$6,ROW(),"")</f>
        <v/>
      </c>
      <c r="AA2067" s="122"/>
      <c r="AB2067" s="122"/>
      <c r="AC2067" s="122"/>
      <c r="AD2067" s="122"/>
      <c r="AE2067" s="122"/>
      <c r="AF2067" s="122"/>
      <c r="AG2067" s="122"/>
      <c r="AH2067" s="122"/>
      <c r="AI2067" s="122"/>
      <c r="AJ2067" s="122"/>
      <c r="AK2067" s="122"/>
      <c r="AL2067" s="122"/>
      <c r="AM2067" s="122"/>
      <c r="AN2067" s="122"/>
      <c r="AO2067" s="122"/>
      <c r="AP2067" s="122"/>
    </row>
    <row r="2068" spans="2:42">
      <c r="B2068" s="122"/>
      <c r="C2068" s="122"/>
      <c r="D2068" s="122"/>
      <c r="E2068" s="122"/>
      <c r="F2068" s="122"/>
      <c r="G2068" s="122"/>
      <c r="H2068" s="122"/>
      <c r="I2068" s="275"/>
      <c r="J2068" s="130"/>
      <c r="K2068" s="130"/>
      <c r="L2068" s="130"/>
      <c r="M2068" s="130"/>
      <c r="N2068" s="291"/>
      <c r="O2068" s="291"/>
      <c r="P2068" s="122"/>
      <c r="Q2068" s="122"/>
      <c r="R2068" s="122"/>
      <c r="S2068" s="122"/>
      <c r="T2068" s="122"/>
      <c r="U2068" s="315"/>
      <c r="V2068" s="260">
        <f t="shared" ca="1" si="40"/>
        <v>0</v>
      </c>
      <c r="W2068" s="348" t="str">
        <f>IF(板块成分!B2070="","",板块成分!B2070)</f>
        <v>300615.SZ</v>
      </c>
      <c r="X2068" s="276" t="str">
        <f>[1]!S_Info_Name(W2068)</f>
        <v>欣天科技</v>
      </c>
      <c r="Y2068" s="276" t="str">
        <f ca="1">IF($Y$3="申万一级行业",[1]!s_info_industry_sw_2021(W2068,公司分析!D$5,1),IF($Y$3="申万二级行业",[1]!s_info_industry_sw_2021(W2068,公司分析!D$5,2),IF($Y$3="申万三级行业",[1]!s_info_industry_sw_2021(W2068,公司分析!D$5,3),IF($Y$3="wind一级行业",[1]!s_info_industry_gics(W2068,1),IF($Y$3="wind二级行业",[1]!s_info_industry_gics(W2068,2),IF($Y$3="wind三级行业",[1]!s_info_industry_gics(W2068,3),IF($Y$3="wind四级行业",[1]!s_info_industry_gics(W2068,4),IF($Y$3="证监会门类行业",[1]!s_info_industry_csrc12_n(W2068,公司分析!D$5,1),""))))))))</f>
        <v>通信设备</v>
      </c>
      <c r="Z2068" s="302" t="str">
        <f ca="1">IF(Y2068=行业比较!$E$6,ROW(),"")</f>
        <v/>
      </c>
      <c r="AA2068" s="122"/>
      <c r="AB2068" s="122"/>
      <c r="AC2068" s="122"/>
      <c r="AD2068" s="122"/>
      <c r="AE2068" s="122"/>
      <c r="AF2068" s="122"/>
      <c r="AG2068" s="122"/>
      <c r="AH2068" s="122"/>
      <c r="AI2068" s="122"/>
      <c r="AJ2068" s="122"/>
      <c r="AK2068" s="122"/>
      <c r="AL2068" s="122"/>
      <c r="AM2068" s="122"/>
      <c r="AN2068" s="122"/>
      <c r="AO2068" s="122"/>
      <c r="AP2068" s="122"/>
    </row>
    <row r="2069" spans="2:42">
      <c r="B2069" s="122"/>
      <c r="C2069" s="122"/>
      <c r="D2069" s="122"/>
      <c r="E2069" s="122"/>
      <c r="F2069" s="122"/>
      <c r="G2069" s="122"/>
      <c r="H2069" s="122"/>
      <c r="I2069" s="275"/>
      <c r="J2069" s="130"/>
      <c r="K2069" s="130"/>
      <c r="L2069" s="130"/>
      <c r="M2069" s="130"/>
      <c r="N2069" s="291"/>
      <c r="O2069" s="291"/>
      <c r="P2069" s="122"/>
      <c r="Q2069" s="122"/>
      <c r="R2069" s="122"/>
      <c r="S2069" s="122"/>
      <c r="T2069" s="122"/>
      <c r="U2069" s="315"/>
      <c r="V2069" s="260">
        <f t="shared" ca="1" si="40"/>
        <v>0</v>
      </c>
      <c r="W2069" s="348" t="str">
        <f>IF(板块成分!B2071="","",板块成分!B2071)</f>
        <v>300616.SZ</v>
      </c>
      <c r="X2069" s="276" t="str">
        <f>[1]!S_Info_Name(W2069)</f>
        <v>尚品宅配</v>
      </c>
      <c r="Y2069" s="276" t="str">
        <f ca="1">IF($Y$3="申万一级行业",[1]!s_info_industry_sw_2021(W2069,公司分析!D$5,1),IF($Y$3="申万二级行业",[1]!s_info_industry_sw_2021(W2069,公司分析!D$5,2),IF($Y$3="申万三级行业",[1]!s_info_industry_sw_2021(W2069,公司分析!D$5,3),IF($Y$3="wind一级行业",[1]!s_info_industry_gics(W2069,1),IF($Y$3="wind二级行业",[1]!s_info_industry_gics(W2069,2),IF($Y$3="wind三级行业",[1]!s_info_industry_gics(W2069,3),IF($Y$3="wind四级行业",[1]!s_info_industry_gics(W2069,4),IF($Y$3="证监会门类行业",[1]!s_info_industry_csrc12_n(W2069,公司分析!D$5,1),""))))))))</f>
        <v>家居用品</v>
      </c>
      <c r="Z2069" s="302" t="str">
        <f ca="1">IF(Y2069=行业比较!$E$6,ROW(),"")</f>
        <v/>
      </c>
      <c r="AA2069" s="122"/>
      <c r="AB2069" s="122"/>
      <c r="AC2069" s="122"/>
      <c r="AD2069" s="122"/>
      <c r="AE2069" s="122"/>
      <c r="AF2069" s="122"/>
      <c r="AG2069" s="122"/>
      <c r="AH2069" s="122"/>
      <c r="AI2069" s="122"/>
      <c r="AJ2069" s="122"/>
      <c r="AK2069" s="122"/>
      <c r="AL2069" s="122"/>
      <c r="AM2069" s="122"/>
      <c r="AN2069" s="122"/>
      <c r="AO2069" s="122"/>
      <c r="AP2069" s="122"/>
    </row>
    <row r="2070" spans="2:42">
      <c r="B2070" s="122"/>
      <c r="C2070" s="122"/>
      <c r="D2070" s="122"/>
      <c r="E2070" s="122"/>
      <c r="F2070" s="122"/>
      <c r="G2070" s="122"/>
      <c r="H2070" s="122"/>
      <c r="I2070" s="275"/>
      <c r="J2070" s="130"/>
      <c r="K2070" s="130"/>
      <c r="L2070" s="130"/>
      <c r="M2070" s="130"/>
      <c r="N2070" s="291"/>
      <c r="O2070" s="291"/>
      <c r="P2070" s="122"/>
      <c r="Q2070" s="122"/>
      <c r="R2070" s="122"/>
      <c r="S2070" s="122"/>
      <c r="T2070" s="122"/>
      <c r="U2070" s="315"/>
      <c r="V2070" s="260">
        <f t="shared" ca="1" si="40"/>
        <v>0</v>
      </c>
      <c r="W2070" s="348" t="str">
        <f>IF(板块成分!B2072="","",板块成分!B2072)</f>
        <v>300617.SZ</v>
      </c>
      <c r="X2070" s="276" t="str">
        <f>[1]!S_Info_Name(W2070)</f>
        <v>安靠智电</v>
      </c>
      <c r="Y2070" s="276" t="str">
        <f ca="1">IF($Y$3="申万一级行业",[1]!s_info_industry_sw_2021(W2070,公司分析!D$5,1),IF($Y$3="申万二级行业",[1]!s_info_industry_sw_2021(W2070,公司分析!D$5,2),IF($Y$3="申万三级行业",[1]!s_info_industry_sw_2021(W2070,公司分析!D$5,3),IF($Y$3="wind一级行业",[1]!s_info_industry_gics(W2070,1),IF($Y$3="wind二级行业",[1]!s_info_industry_gics(W2070,2),IF($Y$3="wind三级行业",[1]!s_info_industry_gics(W2070,3),IF($Y$3="wind四级行业",[1]!s_info_industry_gics(W2070,4),IF($Y$3="证监会门类行业",[1]!s_info_industry_csrc12_n(W2070,公司分析!D$5,1),""))))))))</f>
        <v>电网设备</v>
      </c>
      <c r="Z2070" s="302" t="str">
        <f ca="1">IF(Y2070=行业比较!$E$6,ROW(),"")</f>
        <v/>
      </c>
      <c r="AA2070" s="122"/>
      <c r="AB2070" s="122"/>
      <c r="AC2070" s="122"/>
      <c r="AD2070" s="122"/>
      <c r="AE2070" s="122"/>
      <c r="AF2070" s="122"/>
      <c r="AG2070" s="122"/>
      <c r="AH2070" s="122"/>
      <c r="AI2070" s="122"/>
      <c r="AJ2070" s="122"/>
      <c r="AK2070" s="122"/>
      <c r="AL2070" s="122"/>
      <c r="AM2070" s="122"/>
      <c r="AN2070" s="122"/>
      <c r="AO2070" s="122"/>
      <c r="AP2070" s="122"/>
    </row>
    <row r="2071" spans="2:42">
      <c r="B2071" s="122"/>
      <c r="C2071" s="122"/>
      <c r="D2071" s="122"/>
      <c r="E2071" s="122"/>
      <c r="F2071" s="122"/>
      <c r="G2071" s="122"/>
      <c r="H2071" s="122"/>
      <c r="I2071" s="275"/>
      <c r="J2071" s="130"/>
      <c r="K2071" s="130"/>
      <c r="L2071" s="130"/>
      <c r="M2071" s="130"/>
      <c r="N2071" s="291"/>
      <c r="O2071" s="291"/>
      <c r="P2071" s="122"/>
      <c r="Q2071" s="122"/>
      <c r="R2071" s="122"/>
      <c r="S2071" s="122"/>
      <c r="T2071" s="122"/>
      <c r="U2071" s="315"/>
      <c r="V2071" s="260">
        <f t="shared" ca="1" si="40"/>
        <v>0</v>
      </c>
      <c r="W2071" s="348" t="str">
        <f>IF(板块成分!B2073="","",板块成分!B2073)</f>
        <v>300618.SZ</v>
      </c>
      <c r="X2071" s="276" t="str">
        <f>[1]!S_Info_Name(W2071)</f>
        <v>寒锐钴业</v>
      </c>
      <c r="Y2071" s="276" t="str">
        <f ca="1">IF($Y$3="申万一级行业",[1]!s_info_industry_sw_2021(W2071,公司分析!D$5,1),IF($Y$3="申万二级行业",[1]!s_info_industry_sw_2021(W2071,公司分析!D$5,2),IF($Y$3="申万三级行业",[1]!s_info_industry_sw_2021(W2071,公司分析!D$5,3),IF($Y$3="wind一级行业",[1]!s_info_industry_gics(W2071,1),IF($Y$3="wind二级行业",[1]!s_info_industry_gics(W2071,2),IF($Y$3="wind三级行业",[1]!s_info_industry_gics(W2071,3),IF($Y$3="wind四级行业",[1]!s_info_industry_gics(W2071,4),IF($Y$3="证监会门类行业",[1]!s_info_industry_csrc12_n(W2071,公司分析!D$5,1),""))))))))</f>
        <v>能源金属</v>
      </c>
      <c r="Z2071" s="302" t="str">
        <f ca="1">IF(Y2071=行业比较!$E$6,ROW(),"")</f>
        <v/>
      </c>
      <c r="AA2071" s="122"/>
      <c r="AB2071" s="122"/>
      <c r="AC2071" s="122"/>
      <c r="AD2071" s="122"/>
      <c r="AE2071" s="122"/>
      <c r="AF2071" s="122"/>
      <c r="AG2071" s="122"/>
      <c r="AH2071" s="122"/>
      <c r="AI2071" s="122"/>
      <c r="AJ2071" s="122"/>
      <c r="AK2071" s="122"/>
      <c r="AL2071" s="122"/>
      <c r="AM2071" s="122"/>
      <c r="AN2071" s="122"/>
      <c r="AO2071" s="122"/>
      <c r="AP2071" s="122"/>
    </row>
    <row r="2072" spans="2:42">
      <c r="B2072" s="122"/>
      <c r="C2072" s="122"/>
      <c r="D2072" s="122"/>
      <c r="E2072" s="122"/>
      <c r="F2072" s="122"/>
      <c r="G2072" s="122"/>
      <c r="H2072" s="122"/>
      <c r="I2072" s="275"/>
      <c r="J2072" s="130"/>
      <c r="K2072" s="130"/>
      <c r="L2072" s="130"/>
      <c r="M2072" s="130"/>
      <c r="N2072" s="291"/>
      <c r="O2072" s="291"/>
      <c r="P2072" s="122"/>
      <c r="Q2072" s="122"/>
      <c r="R2072" s="122"/>
      <c r="S2072" s="122"/>
      <c r="T2072" s="122"/>
      <c r="U2072" s="315"/>
      <c r="V2072" s="260">
        <f t="shared" ca="1" si="40"/>
        <v>0</v>
      </c>
      <c r="W2072" s="348" t="str">
        <f>IF(板块成分!B2074="","",板块成分!B2074)</f>
        <v>300619.SZ</v>
      </c>
      <c r="X2072" s="276" t="str">
        <f>[1]!S_Info_Name(W2072)</f>
        <v>金银河</v>
      </c>
      <c r="Y2072" s="276" t="str">
        <f ca="1">IF($Y$3="申万一级行业",[1]!s_info_industry_sw_2021(W2072,公司分析!D$5,1),IF($Y$3="申万二级行业",[1]!s_info_industry_sw_2021(W2072,公司分析!D$5,2),IF($Y$3="申万三级行业",[1]!s_info_industry_sw_2021(W2072,公司分析!D$5,3),IF($Y$3="wind一级行业",[1]!s_info_industry_gics(W2072,1),IF($Y$3="wind二级行业",[1]!s_info_industry_gics(W2072,2),IF($Y$3="wind三级行业",[1]!s_info_industry_gics(W2072,3),IF($Y$3="wind四级行业",[1]!s_info_industry_gics(W2072,4),IF($Y$3="证监会门类行业",[1]!s_info_industry_csrc12_n(W2072,公司分析!D$5,1),""))))))))</f>
        <v>电池</v>
      </c>
      <c r="Z2072" s="302" t="str">
        <f ca="1">IF(Y2072=行业比较!$E$6,ROW(),"")</f>
        <v/>
      </c>
      <c r="AA2072" s="122"/>
      <c r="AB2072" s="122"/>
      <c r="AC2072" s="122"/>
      <c r="AD2072" s="122"/>
      <c r="AE2072" s="122"/>
      <c r="AF2072" s="122"/>
      <c r="AG2072" s="122"/>
      <c r="AH2072" s="122"/>
      <c r="AI2072" s="122"/>
      <c r="AJ2072" s="122"/>
      <c r="AK2072" s="122"/>
      <c r="AL2072" s="122"/>
      <c r="AM2072" s="122"/>
      <c r="AN2072" s="122"/>
      <c r="AO2072" s="122"/>
      <c r="AP2072" s="122"/>
    </row>
    <row r="2073" spans="2:42">
      <c r="B2073" s="122"/>
      <c r="C2073" s="122"/>
      <c r="D2073" s="122"/>
      <c r="E2073" s="122"/>
      <c r="F2073" s="122"/>
      <c r="G2073" s="122"/>
      <c r="H2073" s="122"/>
      <c r="I2073" s="275"/>
      <c r="J2073" s="130"/>
      <c r="K2073" s="130"/>
      <c r="L2073" s="130"/>
      <c r="M2073" s="130"/>
      <c r="N2073" s="291"/>
      <c r="O2073" s="291"/>
      <c r="P2073" s="122"/>
      <c r="Q2073" s="122"/>
      <c r="R2073" s="122"/>
      <c r="S2073" s="122"/>
      <c r="T2073" s="122"/>
      <c r="U2073" s="315"/>
      <c r="V2073" s="260">
        <f t="shared" ca="1" si="40"/>
        <v>0</v>
      </c>
      <c r="W2073" s="348" t="str">
        <f>IF(板块成分!B2075="","",板块成分!B2075)</f>
        <v>300620.SZ</v>
      </c>
      <c r="X2073" s="276" t="str">
        <f>[1]!S_Info_Name(W2073)</f>
        <v>光库科技</v>
      </c>
      <c r="Y2073" s="276" t="str">
        <f ca="1">IF($Y$3="申万一级行业",[1]!s_info_industry_sw_2021(W2073,公司分析!D$5,1),IF($Y$3="申万二级行业",[1]!s_info_industry_sw_2021(W2073,公司分析!D$5,2),IF($Y$3="申万三级行业",[1]!s_info_industry_sw_2021(W2073,公司分析!D$5,3),IF($Y$3="wind一级行业",[1]!s_info_industry_gics(W2073,1),IF($Y$3="wind二级行业",[1]!s_info_industry_gics(W2073,2),IF($Y$3="wind三级行业",[1]!s_info_industry_gics(W2073,3),IF($Y$3="wind四级行业",[1]!s_info_industry_gics(W2073,4),IF($Y$3="证监会门类行业",[1]!s_info_industry_csrc12_n(W2073,公司分析!D$5,1),""))))))))</f>
        <v>通信设备</v>
      </c>
      <c r="Z2073" s="302" t="str">
        <f ca="1">IF(Y2073=行业比较!$E$6,ROW(),"")</f>
        <v/>
      </c>
      <c r="AA2073" s="122"/>
      <c r="AB2073" s="122"/>
      <c r="AC2073" s="122"/>
      <c r="AD2073" s="122"/>
      <c r="AE2073" s="122"/>
      <c r="AF2073" s="122"/>
      <c r="AG2073" s="122"/>
      <c r="AH2073" s="122"/>
      <c r="AI2073" s="122"/>
      <c r="AJ2073" s="122"/>
      <c r="AK2073" s="122"/>
      <c r="AL2073" s="122"/>
      <c r="AM2073" s="122"/>
      <c r="AN2073" s="122"/>
      <c r="AO2073" s="122"/>
      <c r="AP2073" s="122"/>
    </row>
    <row r="2074" spans="2:42">
      <c r="B2074" s="122"/>
      <c r="C2074" s="122"/>
      <c r="D2074" s="122"/>
      <c r="E2074" s="122"/>
      <c r="F2074" s="122"/>
      <c r="G2074" s="122"/>
      <c r="H2074" s="122"/>
      <c r="I2074" s="275"/>
      <c r="J2074" s="130"/>
      <c r="K2074" s="130"/>
      <c r="L2074" s="130"/>
      <c r="M2074" s="130"/>
      <c r="N2074" s="291"/>
      <c r="O2074" s="291"/>
      <c r="P2074" s="122"/>
      <c r="Q2074" s="122"/>
      <c r="R2074" s="122"/>
      <c r="S2074" s="122"/>
      <c r="T2074" s="122"/>
      <c r="U2074" s="315"/>
      <c r="V2074" s="260">
        <f t="shared" ca="1" si="40"/>
        <v>0</v>
      </c>
      <c r="W2074" s="348" t="str">
        <f>IF(板块成分!B2076="","",板块成分!B2076)</f>
        <v>300621.SZ</v>
      </c>
      <c r="X2074" s="276" t="str">
        <f>[1]!S_Info_Name(W2074)</f>
        <v>维业股份</v>
      </c>
      <c r="Y2074" s="276" t="str">
        <f ca="1">IF($Y$3="申万一级行业",[1]!s_info_industry_sw_2021(W2074,公司分析!D$5,1),IF($Y$3="申万二级行业",[1]!s_info_industry_sw_2021(W2074,公司分析!D$5,2),IF($Y$3="申万三级行业",[1]!s_info_industry_sw_2021(W2074,公司分析!D$5,3),IF($Y$3="wind一级行业",[1]!s_info_industry_gics(W2074,1),IF($Y$3="wind二级行业",[1]!s_info_industry_gics(W2074,2),IF($Y$3="wind三级行业",[1]!s_info_industry_gics(W2074,3),IF($Y$3="wind四级行业",[1]!s_info_industry_gics(W2074,4),IF($Y$3="证监会门类行业",[1]!s_info_industry_csrc12_n(W2074,公司分析!D$5,1),""))))))))</f>
        <v>装修装饰Ⅱ</v>
      </c>
      <c r="Z2074" s="302" t="str">
        <f ca="1">IF(Y2074=行业比较!$E$6,ROW(),"")</f>
        <v/>
      </c>
      <c r="AA2074" s="122"/>
      <c r="AB2074" s="122"/>
      <c r="AC2074" s="122"/>
      <c r="AD2074" s="122"/>
      <c r="AE2074" s="122"/>
      <c r="AF2074" s="122"/>
      <c r="AG2074" s="122"/>
      <c r="AH2074" s="122"/>
      <c r="AI2074" s="122"/>
      <c r="AJ2074" s="122"/>
      <c r="AK2074" s="122"/>
      <c r="AL2074" s="122"/>
      <c r="AM2074" s="122"/>
      <c r="AN2074" s="122"/>
      <c r="AO2074" s="122"/>
      <c r="AP2074" s="122"/>
    </row>
    <row r="2075" spans="2:42">
      <c r="B2075" s="122"/>
      <c r="C2075" s="122"/>
      <c r="D2075" s="122"/>
      <c r="E2075" s="122"/>
      <c r="F2075" s="122"/>
      <c r="G2075" s="122"/>
      <c r="H2075" s="122"/>
      <c r="I2075" s="275"/>
      <c r="J2075" s="130"/>
      <c r="K2075" s="130"/>
      <c r="L2075" s="130"/>
      <c r="M2075" s="130"/>
      <c r="N2075" s="291"/>
      <c r="O2075" s="291"/>
      <c r="P2075" s="122"/>
      <c r="Q2075" s="122"/>
      <c r="R2075" s="122"/>
      <c r="S2075" s="122"/>
      <c r="T2075" s="122"/>
      <c r="U2075" s="315"/>
      <c r="V2075" s="260">
        <f t="shared" ca="1" si="40"/>
        <v>0</v>
      </c>
      <c r="W2075" s="348" t="str">
        <f>IF(板块成分!B2077="","",板块成分!B2077)</f>
        <v>300622.SZ</v>
      </c>
      <c r="X2075" s="276" t="str">
        <f>[1]!S_Info_Name(W2075)</f>
        <v>博士眼镜</v>
      </c>
      <c r="Y2075" s="276" t="str">
        <f ca="1">IF($Y$3="申万一级行业",[1]!s_info_industry_sw_2021(W2075,公司分析!D$5,1),IF($Y$3="申万二级行业",[1]!s_info_industry_sw_2021(W2075,公司分析!D$5,2),IF($Y$3="申万三级行业",[1]!s_info_industry_sw_2021(W2075,公司分析!D$5,3),IF($Y$3="wind一级行业",[1]!s_info_industry_gics(W2075,1),IF($Y$3="wind二级行业",[1]!s_info_industry_gics(W2075,2),IF($Y$3="wind三级行业",[1]!s_info_industry_gics(W2075,3),IF($Y$3="wind四级行业",[1]!s_info_industry_gics(W2075,4),IF($Y$3="证监会门类行业",[1]!s_info_industry_csrc12_n(W2075,公司分析!D$5,1),""))))))))</f>
        <v>专业连锁Ⅱ</v>
      </c>
      <c r="Z2075" s="302" t="str">
        <f ca="1">IF(Y2075=行业比较!$E$6,ROW(),"")</f>
        <v/>
      </c>
      <c r="AA2075" s="122"/>
      <c r="AB2075" s="122"/>
      <c r="AC2075" s="122"/>
      <c r="AD2075" s="122"/>
      <c r="AE2075" s="122"/>
      <c r="AF2075" s="122"/>
      <c r="AG2075" s="122"/>
      <c r="AH2075" s="122"/>
      <c r="AI2075" s="122"/>
      <c r="AJ2075" s="122"/>
      <c r="AK2075" s="122"/>
      <c r="AL2075" s="122"/>
      <c r="AM2075" s="122"/>
      <c r="AN2075" s="122"/>
      <c r="AO2075" s="122"/>
      <c r="AP2075" s="122"/>
    </row>
    <row r="2076" spans="2:42">
      <c r="B2076" s="122"/>
      <c r="C2076" s="122"/>
      <c r="D2076" s="122"/>
      <c r="E2076" s="122"/>
      <c r="F2076" s="122"/>
      <c r="G2076" s="122"/>
      <c r="H2076" s="122"/>
      <c r="I2076" s="275"/>
      <c r="J2076" s="130"/>
      <c r="K2076" s="130"/>
      <c r="L2076" s="130"/>
      <c r="M2076" s="130"/>
      <c r="N2076" s="291"/>
      <c r="O2076" s="291"/>
      <c r="P2076" s="122"/>
      <c r="Q2076" s="122"/>
      <c r="R2076" s="122"/>
      <c r="S2076" s="122"/>
      <c r="T2076" s="122"/>
      <c r="U2076" s="315"/>
      <c r="V2076" s="260">
        <f t="shared" ca="1" si="40"/>
        <v>0</v>
      </c>
      <c r="W2076" s="348" t="str">
        <f>IF(板块成分!B2078="","",板块成分!B2078)</f>
        <v>300623.SZ</v>
      </c>
      <c r="X2076" s="276" t="str">
        <f>[1]!S_Info_Name(W2076)</f>
        <v>捷捷微电</v>
      </c>
      <c r="Y2076" s="276" t="str">
        <f ca="1">IF($Y$3="申万一级行业",[1]!s_info_industry_sw_2021(W2076,公司分析!D$5,1),IF($Y$3="申万二级行业",[1]!s_info_industry_sw_2021(W2076,公司分析!D$5,2),IF($Y$3="申万三级行业",[1]!s_info_industry_sw_2021(W2076,公司分析!D$5,3),IF($Y$3="wind一级行业",[1]!s_info_industry_gics(W2076,1),IF($Y$3="wind二级行业",[1]!s_info_industry_gics(W2076,2),IF($Y$3="wind三级行业",[1]!s_info_industry_gics(W2076,3),IF($Y$3="wind四级行业",[1]!s_info_industry_gics(W2076,4),IF($Y$3="证监会门类行业",[1]!s_info_industry_csrc12_n(W2076,公司分析!D$5,1),""))))))))</f>
        <v>半导体</v>
      </c>
      <c r="Z2076" s="302" t="str">
        <f ca="1">IF(Y2076=行业比较!$E$6,ROW(),"")</f>
        <v/>
      </c>
      <c r="AA2076" s="122"/>
      <c r="AB2076" s="122"/>
      <c r="AC2076" s="122"/>
      <c r="AD2076" s="122"/>
      <c r="AE2076" s="122"/>
      <c r="AF2076" s="122"/>
      <c r="AG2076" s="122"/>
      <c r="AH2076" s="122"/>
      <c r="AI2076" s="122"/>
      <c r="AJ2076" s="122"/>
      <c r="AK2076" s="122"/>
      <c r="AL2076" s="122"/>
      <c r="AM2076" s="122"/>
      <c r="AN2076" s="122"/>
      <c r="AO2076" s="122"/>
      <c r="AP2076" s="122"/>
    </row>
    <row r="2077" spans="2:42">
      <c r="B2077" s="122"/>
      <c r="C2077" s="122"/>
      <c r="D2077" s="122"/>
      <c r="E2077" s="122"/>
      <c r="F2077" s="122"/>
      <c r="G2077" s="122"/>
      <c r="H2077" s="122"/>
      <c r="I2077" s="275"/>
      <c r="J2077" s="130"/>
      <c r="K2077" s="130"/>
      <c r="L2077" s="130"/>
      <c r="M2077" s="130"/>
      <c r="N2077" s="291"/>
      <c r="O2077" s="291"/>
      <c r="P2077" s="122"/>
      <c r="Q2077" s="122"/>
      <c r="R2077" s="122"/>
      <c r="S2077" s="122"/>
      <c r="T2077" s="122"/>
      <c r="U2077" s="315"/>
      <c r="V2077" s="260">
        <f t="shared" ca="1" si="40"/>
        <v>0</v>
      </c>
      <c r="W2077" s="348" t="str">
        <f>IF(板块成分!B2079="","",板块成分!B2079)</f>
        <v>300624.SZ</v>
      </c>
      <c r="X2077" s="276" t="str">
        <f>[1]!S_Info_Name(W2077)</f>
        <v>万兴科技</v>
      </c>
      <c r="Y2077" s="276" t="str">
        <f ca="1">IF($Y$3="申万一级行业",[1]!s_info_industry_sw_2021(W2077,公司分析!D$5,1),IF($Y$3="申万二级行业",[1]!s_info_industry_sw_2021(W2077,公司分析!D$5,2),IF($Y$3="申万三级行业",[1]!s_info_industry_sw_2021(W2077,公司分析!D$5,3),IF($Y$3="wind一级行业",[1]!s_info_industry_gics(W2077,1),IF($Y$3="wind二级行业",[1]!s_info_industry_gics(W2077,2),IF($Y$3="wind三级行业",[1]!s_info_industry_gics(W2077,3),IF($Y$3="wind四级行业",[1]!s_info_industry_gics(W2077,4),IF($Y$3="证监会门类行业",[1]!s_info_industry_csrc12_n(W2077,公司分析!D$5,1),""))))))))</f>
        <v>软件开发</v>
      </c>
      <c r="Z2077" s="302" t="str">
        <f ca="1">IF(Y2077=行业比较!$E$6,ROW(),"")</f>
        <v/>
      </c>
      <c r="AA2077" s="122"/>
      <c r="AB2077" s="122"/>
      <c r="AC2077" s="122"/>
      <c r="AD2077" s="122"/>
      <c r="AE2077" s="122"/>
      <c r="AF2077" s="122"/>
      <c r="AG2077" s="122"/>
      <c r="AH2077" s="122"/>
      <c r="AI2077" s="122"/>
      <c r="AJ2077" s="122"/>
      <c r="AK2077" s="122"/>
      <c r="AL2077" s="122"/>
      <c r="AM2077" s="122"/>
      <c r="AN2077" s="122"/>
      <c r="AO2077" s="122"/>
      <c r="AP2077" s="122"/>
    </row>
    <row r="2078" spans="2:42">
      <c r="B2078" s="122"/>
      <c r="C2078" s="122"/>
      <c r="D2078" s="122"/>
      <c r="E2078" s="122"/>
      <c r="F2078" s="122"/>
      <c r="G2078" s="122"/>
      <c r="H2078" s="122"/>
      <c r="I2078" s="275"/>
      <c r="J2078" s="130"/>
      <c r="K2078" s="130"/>
      <c r="L2078" s="130"/>
      <c r="M2078" s="130"/>
      <c r="N2078" s="291"/>
      <c r="O2078" s="291"/>
      <c r="P2078" s="122"/>
      <c r="Q2078" s="122"/>
      <c r="R2078" s="122"/>
      <c r="S2078" s="122"/>
      <c r="T2078" s="122"/>
      <c r="U2078" s="315"/>
      <c r="V2078" s="260">
        <f t="shared" ca="1" si="40"/>
        <v>0</v>
      </c>
      <c r="W2078" s="348" t="str">
        <f>IF(板块成分!B2080="","",板块成分!B2080)</f>
        <v>300625.SZ</v>
      </c>
      <c r="X2078" s="276" t="str">
        <f>[1]!S_Info_Name(W2078)</f>
        <v>三雄极光</v>
      </c>
      <c r="Y2078" s="276" t="str">
        <f ca="1">IF($Y$3="申万一级行业",[1]!s_info_industry_sw_2021(W2078,公司分析!D$5,1),IF($Y$3="申万二级行业",[1]!s_info_industry_sw_2021(W2078,公司分析!D$5,2),IF($Y$3="申万三级行业",[1]!s_info_industry_sw_2021(W2078,公司分析!D$5,3),IF($Y$3="wind一级行业",[1]!s_info_industry_gics(W2078,1),IF($Y$3="wind二级行业",[1]!s_info_industry_gics(W2078,2),IF($Y$3="wind三级行业",[1]!s_info_industry_gics(W2078,3),IF($Y$3="wind四级行业",[1]!s_info_industry_gics(W2078,4),IF($Y$3="证监会门类行业",[1]!s_info_industry_csrc12_n(W2078,公司分析!D$5,1),""))))))))</f>
        <v>照明设备Ⅱ</v>
      </c>
      <c r="Z2078" s="302" t="str">
        <f ca="1">IF(Y2078=行业比较!$E$6,ROW(),"")</f>
        <v/>
      </c>
      <c r="AA2078" s="122"/>
      <c r="AB2078" s="122"/>
      <c r="AC2078" s="122"/>
      <c r="AD2078" s="122"/>
      <c r="AE2078" s="122"/>
      <c r="AF2078" s="122"/>
      <c r="AG2078" s="122"/>
      <c r="AH2078" s="122"/>
      <c r="AI2078" s="122"/>
      <c r="AJ2078" s="122"/>
      <c r="AK2078" s="122"/>
      <c r="AL2078" s="122"/>
      <c r="AM2078" s="122"/>
      <c r="AN2078" s="122"/>
      <c r="AO2078" s="122"/>
      <c r="AP2078" s="122"/>
    </row>
    <row r="2079" spans="2:42">
      <c r="B2079" s="122"/>
      <c r="C2079" s="122"/>
      <c r="D2079" s="122"/>
      <c r="E2079" s="122"/>
      <c r="F2079" s="122"/>
      <c r="G2079" s="122"/>
      <c r="H2079" s="122"/>
      <c r="I2079" s="275"/>
      <c r="J2079" s="130"/>
      <c r="K2079" s="130"/>
      <c r="L2079" s="130"/>
      <c r="M2079" s="130"/>
      <c r="N2079" s="291"/>
      <c r="O2079" s="291"/>
      <c r="P2079" s="122"/>
      <c r="Q2079" s="122"/>
      <c r="R2079" s="122"/>
      <c r="S2079" s="122"/>
      <c r="T2079" s="122"/>
      <c r="U2079" s="315"/>
      <c r="V2079" s="260">
        <f t="shared" ca="1" si="40"/>
        <v>0</v>
      </c>
      <c r="W2079" s="348" t="str">
        <f>IF(板块成分!B2081="","",板块成分!B2081)</f>
        <v>300626.SZ</v>
      </c>
      <c r="X2079" s="276" t="str">
        <f>[1]!S_Info_Name(W2079)</f>
        <v>华瑞股份</v>
      </c>
      <c r="Y2079" s="276" t="str">
        <f ca="1">IF($Y$3="申万一级行业",[1]!s_info_industry_sw_2021(W2079,公司分析!D$5,1),IF($Y$3="申万二级行业",[1]!s_info_industry_sw_2021(W2079,公司分析!D$5,2),IF($Y$3="申万三级行业",[1]!s_info_industry_sw_2021(W2079,公司分析!D$5,3),IF($Y$3="wind一级行业",[1]!s_info_industry_gics(W2079,1),IF($Y$3="wind二级行业",[1]!s_info_industry_gics(W2079,2),IF($Y$3="wind三级行业",[1]!s_info_industry_gics(W2079,3),IF($Y$3="wind四级行业",[1]!s_info_industry_gics(W2079,4),IF($Y$3="证监会门类行业",[1]!s_info_industry_csrc12_n(W2079,公司分析!D$5,1),""))))))))</f>
        <v>电机Ⅱ</v>
      </c>
      <c r="Z2079" s="302" t="str">
        <f ca="1">IF(Y2079=行业比较!$E$6,ROW(),"")</f>
        <v/>
      </c>
      <c r="AA2079" s="122"/>
      <c r="AB2079" s="122"/>
      <c r="AC2079" s="122"/>
      <c r="AD2079" s="122"/>
      <c r="AE2079" s="122"/>
      <c r="AF2079" s="122"/>
      <c r="AG2079" s="122"/>
      <c r="AH2079" s="122"/>
      <c r="AI2079" s="122"/>
      <c r="AJ2079" s="122"/>
      <c r="AK2079" s="122"/>
      <c r="AL2079" s="122"/>
      <c r="AM2079" s="122"/>
      <c r="AN2079" s="122"/>
      <c r="AO2079" s="122"/>
      <c r="AP2079" s="122"/>
    </row>
    <row r="2080" spans="2:42">
      <c r="B2080" s="122"/>
      <c r="C2080" s="122"/>
      <c r="D2080" s="122"/>
      <c r="E2080" s="122"/>
      <c r="F2080" s="122"/>
      <c r="G2080" s="122"/>
      <c r="H2080" s="122"/>
      <c r="I2080" s="275"/>
      <c r="J2080" s="130"/>
      <c r="K2080" s="130"/>
      <c r="L2080" s="130"/>
      <c r="M2080" s="130"/>
      <c r="N2080" s="291"/>
      <c r="O2080" s="291"/>
      <c r="P2080" s="122"/>
      <c r="Q2080" s="122"/>
      <c r="R2080" s="122"/>
      <c r="S2080" s="122"/>
      <c r="T2080" s="122"/>
      <c r="U2080" s="315"/>
      <c r="V2080" s="260">
        <f t="shared" ca="1" si="40"/>
        <v>0</v>
      </c>
      <c r="W2080" s="348" t="str">
        <f>IF(板块成分!B2082="","",板块成分!B2082)</f>
        <v>300627.SZ</v>
      </c>
      <c r="X2080" s="276" t="str">
        <f>[1]!S_Info_Name(W2080)</f>
        <v>华测导航</v>
      </c>
      <c r="Y2080" s="276" t="str">
        <f ca="1">IF($Y$3="申万一级行业",[1]!s_info_industry_sw_2021(W2080,公司分析!D$5,1),IF($Y$3="申万二级行业",[1]!s_info_industry_sw_2021(W2080,公司分析!D$5,2),IF($Y$3="申万三级行业",[1]!s_info_industry_sw_2021(W2080,公司分析!D$5,3),IF($Y$3="wind一级行业",[1]!s_info_industry_gics(W2080,1),IF($Y$3="wind二级行业",[1]!s_info_industry_gics(W2080,2),IF($Y$3="wind三级行业",[1]!s_info_industry_gics(W2080,3),IF($Y$3="wind四级行业",[1]!s_info_industry_gics(W2080,4),IF($Y$3="证监会门类行业",[1]!s_info_industry_csrc12_n(W2080,公司分析!D$5,1),""))))))))</f>
        <v>通信设备</v>
      </c>
      <c r="Z2080" s="302" t="str">
        <f ca="1">IF(Y2080=行业比较!$E$6,ROW(),"")</f>
        <v/>
      </c>
      <c r="AA2080" s="122"/>
      <c r="AB2080" s="122"/>
      <c r="AC2080" s="122"/>
      <c r="AD2080" s="122"/>
      <c r="AE2080" s="122"/>
      <c r="AF2080" s="122"/>
      <c r="AG2080" s="122"/>
      <c r="AH2080" s="122"/>
      <c r="AI2080" s="122"/>
      <c r="AJ2080" s="122"/>
      <c r="AK2080" s="122"/>
      <c r="AL2080" s="122"/>
      <c r="AM2080" s="122"/>
      <c r="AN2080" s="122"/>
      <c r="AO2080" s="122"/>
      <c r="AP2080" s="122"/>
    </row>
    <row r="2081" spans="2:42">
      <c r="B2081" s="122"/>
      <c r="C2081" s="122"/>
      <c r="D2081" s="122"/>
      <c r="E2081" s="122"/>
      <c r="F2081" s="122"/>
      <c r="G2081" s="122"/>
      <c r="H2081" s="122"/>
      <c r="I2081" s="275"/>
      <c r="J2081" s="130"/>
      <c r="K2081" s="130"/>
      <c r="L2081" s="130"/>
      <c r="M2081" s="130"/>
      <c r="N2081" s="291"/>
      <c r="O2081" s="291"/>
      <c r="P2081" s="122"/>
      <c r="Q2081" s="122"/>
      <c r="R2081" s="122"/>
      <c r="S2081" s="122"/>
      <c r="T2081" s="122"/>
      <c r="U2081" s="315"/>
      <c r="V2081" s="260">
        <f t="shared" ca="1" si="40"/>
        <v>0</v>
      </c>
      <c r="W2081" s="348" t="str">
        <f>IF(板块成分!B2083="","",板块成分!B2083)</f>
        <v>300628.SZ</v>
      </c>
      <c r="X2081" s="276" t="str">
        <f>[1]!S_Info_Name(W2081)</f>
        <v>亿联网络</v>
      </c>
      <c r="Y2081" s="276" t="str">
        <f ca="1">IF($Y$3="申万一级行业",[1]!s_info_industry_sw_2021(W2081,公司分析!D$5,1),IF($Y$3="申万二级行业",[1]!s_info_industry_sw_2021(W2081,公司分析!D$5,2),IF($Y$3="申万三级行业",[1]!s_info_industry_sw_2021(W2081,公司分析!D$5,3),IF($Y$3="wind一级行业",[1]!s_info_industry_gics(W2081,1),IF($Y$3="wind二级行业",[1]!s_info_industry_gics(W2081,2),IF($Y$3="wind三级行业",[1]!s_info_industry_gics(W2081,3),IF($Y$3="wind四级行业",[1]!s_info_industry_gics(W2081,4),IF($Y$3="证监会门类行业",[1]!s_info_industry_csrc12_n(W2081,公司分析!D$5,1),""))))))))</f>
        <v>通信设备</v>
      </c>
      <c r="Z2081" s="302" t="str">
        <f ca="1">IF(Y2081=行业比较!$E$6,ROW(),"")</f>
        <v/>
      </c>
      <c r="AA2081" s="122"/>
      <c r="AB2081" s="122"/>
      <c r="AC2081" s="122"/>
      <c r="AD2081" s="122"/>
      <c r="AE2081" s="122"/>
      <c r="AF2081" s="122"/>
      <c r="AG2081" s="122"/>
      <c r="AH2081" s="122"/>
      <c r="AI2081" s="122"/>
      <c r="AJ2081" s="122"/>
      <c r="AK2081" s="122"/>
      <c r="AL2081" s="122"/>
      <c r="AM2081" s="122"/>
      <c r="AN2081" s="122"/>
      <c r="AO2081" s="122"/>
      <c r="AP2081" s="122"/>
    </row>
    <row r="2082" spans="2:42">
      <c r="B2082" s="122"/>
      <c r="C2082" s="122"/>
      <c r="D2082" s="122"/>
      <c r="E2082" s="122"/>
      <c r="F2082" s="122"/>
      <c r="G2082" s="122"/>
      <c r="H2082" s="122"/>
      <c r="I2082" s="275"/>
      <c r="J2082" s="130"/>
      <c r="K2082" s="130"/>
      <c r="L2082" s="130"/>
      <c r="M2082" s="130"/>
      <c r="N2082" s="291"/>
      <c r="O2082" s="291"/>
      <c r="P2082" s="122"/>
      <c r="Q2082" s="122"/>
      <c r="R2082" s="122"/>
      <c r="S2082" s="122"/>
      <c r="T2082" s="122"/>
      <c r="U2082" s="315"/>
      <c r="V2082" s="260">
        <f t="shared" ca="1" si="40"/>
        <v>0</v>
      </c>
      <c r="W2082" s="348" t="str">
        <f>IF(板块成分!B2084="","",板块成分!B2084)</f>
        <v>300629.SZ</v>
      </c>
      <c r="X2082" s="276" t="str">
        <f>[1]!S_Info_Name(W2082)</f>
        <v>新劲刚</v>
      </c>
      <c r="Y2082" s="276" t="str">
        <f ca="1">IF($Y$3="申万一级行业",[1]!s_info_industry_sw_2021(W2082,公司分析!D$5,1),IF($Y$3="申万二级行业",[1]!s_info_industry_sw_2021(W2082,公司分析!D$5,2),IF($Y$3="申万三级行业",[1]!s_info_industry_sw_2021(W2082,公司分析!D$5,3),IF($Y$3="wind一级行业",[1]!s_info_industry_gics(W2082,1),IF($Y$3="wind二级行业",[1]!s_info_industry_gics(W2082,2),IF($Y$3="wind三级行业",[1]!s_info_industry_gics(W2082,3),IF($Y$3="wind四级行业",[1]!s_info_industry_gics(W2082,4),IF($Y$3="证监会门类行业",[1]!s_info_industry_csrc12_n(W2082,公司分析!D$5,1),""))))))))</f>
        <v>军工电子Ⅱ</v>
      </c>
      <c r="Z2082" s="302" t="str">
        <f ca="1">IF(Y2082=行业比较!$E$6,ROW(),"")</f>
        <v/>
      </c>
      <c r="AA2082" s="122"/>
      <c r="AB2082" s="122"/>
      <c r="AC2082" s="122"/>
      <c r="AD2082" s="122"/>
      <c r="AE2082" s="122"/>
      <c r="AF2082" s="122"/>
      <c r="AG2082" s="122"/>
      <c r="AH2082" s="122"/>
      <c r="AI2082" s="122"/>
      <c r="AJ2082" s="122"/>
      <c r="AK2082" s="122"/>
      <c r="AL2082" s="122"/>
      <c r="AM2082" s="122"/>
      <c r="AN2082" s="122"/>
      <c r="AO2082" s="122"/>
      <c r="AP2082" s="122"/>
    </row>
    <row r="2083" spans="2:42">
      <c r="B2083" s="122"/>
      <c r="C2083" s="122"/>
      <c r="D2083" s="122"/>
      <c r="E2083" s="122"/>
      <c r="F2083" s="122"/>
      <c r="G2083" s="122"/>
      <c r="H2083" s="122"/>
      <c r="I2083" s="275"/>
      <c r="J2083" s="130"/>
      <c r="K2083" s="130"/>
      <c r="L2083" s="130"/>
      <c r="M2083" s="130"/>
      <c r="N2083" s="291"/>
      <c r="O2083" s="291"/>
      <c r="P2083" s="122"/>
      <c r="Q2083" s="122"/>
      <c r="R2083" s="122"/>
      <c r="S2083" s="122"/>
      <c r="T2083" s="122"/>
      <c r="U2083" s="315"/>
      <c r="V2083" s="260">
        <f t="shared" ca="1" si="40"/>
        <v>0</v>
      </c>
      <c r="W2083" s="348" t="str">
        <f>IF(板块成分!B2085="","",板块成分!B2085)</f>
        <v>300631.SZ</v>
      </c>
      <c r="X2083" s="276" t="str">
        <f>[1]!S_Info_Name(W2083)</f>
        <v>久吾高科</v>
      </c>
      <c r="Y2083" s="276" t="str">
        <f ca="1">IF($Y$3="申万一级行业",[1]!s_info_industry_sw_2021(W2083,公司分析!D$5,1),IF($Y$3="申万二级行业",[1]!s_info_industry_sw_2021(W2083,公司分析!D$5,2),IF($Y$3="申万三级行业",[1]!s_info_industry_sw_2021(W2083,公司分析!D$5,3),IF($Y$3="wind一级行业",[1]!s_info_industry_gics(W2083,1),IF($Y$3="wind二级行业",[1]!s_info_industry_gics(W2083,2),IF($Y$3="wind三级行业",[1]!s_info_industry_gics(W2083,3),IF($Y$3="wind四级行业",[1]!s_info_industry_gics(W2083,4),IF($Y$3="证监会门类行业",[1]!s_info_industry_csrc12_n(W2083,公司分析!D$5,1),""))))))))</f>
        <v>环保设备Ⅱ</v>
      </c>
      <c r="Z2083" s="302" t="str">
        <f ca="1">IF(Y2083=行业比较!$E$6,ROW(),"")</f>
        <v/>
      </c>
      <c r="AA2083" s="122"/>
      <c r="AB2083" s="122"/>
      <c r="AC2083" s="122"/>
      <c r="AD2083" s="122"/>
      <c r="AE2083" s="122"/>
      <c r="AF2083" s="122"/>
      <c r="AG2083" s="122"/>
      <c r="AH2083" s="122"/>
      <c r="AI2083" s="122"/>
      <c r="AJ2083" s="122"/>
      <c r="AK2083" s="122"/>
      <c r="AL2083" s="122"/>
      <c r="AM2083" s="122"/>
      <c r="AN2083" s="122"/>
      <c r="AO2083" s="122"/>
      <c r="AP2083" s="122"/>
    </row>
    <row r="2084" spans="2:42">
      <c r="B2084" s="122"/>
      <c r="C2084" s="122"/>
      <c r="D2084" s="122"/>
      <c r="E2084" s="122"/>
      <c r="F2084" s="122"/>
      <c r="G2084" s="122"/>
      <c r="H2084" s="122"/>
      <c r="I2084" s="275"/>
      <c r="J2084" s="130"/>
      <c r="K2084" s="130"/>
      <c r="L2084" s="130"/>
      <c r="M2084" s="130"/>
      <c r="N2084" s="291"/>
      <c r="O2084" s="291"/>
      <c r="P2084" s="122"/>
      <c r="Q2084" s="122"/>
      <c r="R2084" s="122"/>
      <c r="S2084" s="122"/>
      <c r="T2084" s="122"/>
      <c r="U2084" s="315"/>
      <c r="V2084" s="260">
        <f t="shared" ca="1" si="40"/>
        <v>0</v>
      </c>
      <c r="W2084" s="348" t="str">
        <f>IF(板块成分!B2086="","",板块成分!B2086)</f>
        <v>300632.SZ</v>
      </c>
      <c r="X2084" s="276" t="str">
        <f>[1]!S_Info_Name(W2084)</f>
        <v>光莆股份</v>
      </c>
      <c r="Y2084" s="276" t="str">
        <f ca="1">IF($Y$3="申万一级行业",[1]!s_info_industry_sw_2021(W2084,公司分析!D$5,1),IF($Y$3="申万二级行业",[1]!s_info_industry_sw_2021(W2084,公司分析!D$5,2),IF($Y$3="申万三级行业",[1]!s_info_industry_sw_2021(W2084,公司分析!D$5,3),IF($Y$3="wind一级行业",[1]!s_info_industry_gics(W2084,1),IF($Y$3="wind二级行业",[1]!s_info_industry_gics(W2084,2),IF($Y$3="wind三级行业",[1]!s_info_industry_gics(W2084,3),IF($Y$3="wind四级行业",[1]!s_info_industry_gics(W2084,4),IF($Y$3="证监会门类行业",[1]!s_info_industry_csrc12_n(W2084,公司分析!D$5,1),""))))))))</f>
        <v>光学光电子</v>
      </c>
      <c r="Z2084" s="302" t="str">
        <f ca="1">IF(Y2084=行业比较!$E$6,ROW(),"")</f>
        <v/>
      </c>
      <c r="AA2084" s="122"/>
      <c r="AB2084" s="122"/>
      <c r="AC2084" s="122"/>
      <c r="AD2084" s="122"/>
      <c r="AE2084" s="122"/>
      <c r="AF2084" s="122"/>
      <c r="AG2084" s="122"/>
      <c r="AH2084" s="122"/>
      <c r="AI2084" s="122"/>
      <c r="AJ2084" s="122"/>
      <c r="AK2084" s="122"/>
      <c r="AL2084" s="122"/>
      <c r="AM2084" s="122"/>
      <c r="AN2084" s="122"/>
      <c r="AO2084" s="122"/>
      <c r="AP2084" s="122"/>
    </row>
    <row r="2085" spans="2:42">
      <c r="B2085" s="122"/>
      <c r="C2085" s="122"/>
      <c r="D2085" s="122"/>
      <c r="E2085" s="122"/>
      <c r="F2085" s="122"/>
      <c r="G2085" s="122"/>
      <c r="H2085" s="122"/>
      <c r="I2085" s="275"/>
      <c r="J2085" s="130"/>
      <c r="K2085" s="130"/>
      <c r="L2085" s="130"/>
      <c r="M2085" s="130"/>
      <c r="N2085" s="291"/>
      <c r="O2085" s="291"/>
      <c r="P2085" s="122"/>
      <c r="Q2085" s="122"/>
      <c r="R2085" s="122"/>
      <c r="S2085" s="122"/>
      <c r="T2085" s="122"/>
      <c r="U2085" s="315"/>
      <c r="V2085" s="260">
        <f t="shared" ca="1" si="40"/>
        <v>0</v>
      </c>
      <c r="W2085" s="348" t="str">
        <f>IF(板块成分!B2087="","",板块成分!B2087)</f>
        <v>300633.SZ</v>
      </c>
      <c r="X2085" s="276" t="str">
        <f>[1]!S_Info_Name(W2085)</f>
        <v>开立医疗</v>
      </c>
      <c r="Y2085" s="276" t="str">
        <f ca="1">IF($Y$3="申万一级行业",[1]!s_info_industry_sw_2021(W2085,公司分析!D$5,1),IF($Y$3="申万二级行业",[1]!s_info_industry_sw_2021(W2085,公司分析!D$5,2),IF($Y$3="申万三级行业",[1]!s_info_industry_sw_2021(W2085,公司分析!D$5,3),IF($Y$3="wind一级行业",[1]!s_info_industry_gics(W2085,1),IF($Y$3="wind二级行业",[1]!s_info_industry_gics(W2085,2),IF($Y$3="wind三级行业",[1]!s_info_industry_gics(W2085,3),IF($Y$3="wind四级行业",[1]!s_info_industry_gics(W2085,4),IF($Y$3="证监会门类行业",[1]!s_info_industry_csrc12_n(W2085,公司分析!D$5,1),""))))))))</f>
        <v>医疗器械</v>
      </c>
      <c r="Z2085" s="302" t="str">
        <f ca="1">IF(Y2085=行业比较!$E$6,ROW(),"")</f>
        <v/>
      </c>
      <c r="AA2085" s="122"/>
      <c r="AB2085" s="122"/>
      <c r="AC2085" s="122"/>
      <c r="AD2085" s="122"/>
      <c r="AE2085" s="122"/>
      <c r="AF2085" s="122"/>
      <c r="AG2085" s="122"/>
      <c r="AH2085" s="122"/>
      <c r="AI2085" s="122"/>
      <c r="AJ2085" s="122"/>
      <c r="AK2085" s="122"/>
      <c r="AL2085" s="122"/>
      <c r="AM2085" s="122"/>
      <c r="AN2085" s="122"/>
      <c r="AO2085" s="122"/>
      <c r="AP2085" s="122"/>
    </row>
    <row r="2086" spans="2:42">
      <c r="B2086" s="122"/>
      <c r="C2086" s="122"/>
      <c r="D2086" s="122"/>
      <c r="E2086" s="122"/>
      <c r="F2086" s="122"/>
      <c r="G2086" s="122"/>
      <c r="H2086" s="122"/>
      <c r="I2086" s="275"/>
      <c r="J2086" s="130"/>
      <c r="K2086" s="130"/>
      <c r="L2086" s="130"/>
      <c r="M2086" s="130"/>
      <c r="N2086" s="291"/>
      <c r="O2086" s="291"/>
      <c r="P2086" s="122"/>
      <c r="Q2086" s="122"/>
      <c r="R2086" s="122"/>
      <c r="S2086" s="122"/>
      <c r="T2086" s="122"/>
      <c r="U2086" s="315"/>
      <c r="V2086" s="260">
        <f t="shared" ca="1" si="40"/>
        <v>0</v>
      </c>
      <c r="W2086" s="348" t="str">
        <f>IF(板块成分!B2088="","",板块成分!B2088)</f>
        <v>300634.SZ</v>
      </c>
      <c r="X2086" s="276" t="str">
        <f>[1]!S_Info_Name(W2086)</f>
        <v>彩讯股份</v>
      </c>
      <c r="Y2086" s="276" t="str">
        <f ca="1">IF($Y$3="申万一级行业",[1]!s_info_industry_sw_2021(W2086,公司分析!D$5,1),IF($Y$3="申万二级行业",[1]!s_info_industry_sw_2021(W2086,公司分析!D$5,2),IF($Y$3="申万三级行业",[1]!s_info_industry_sw_2021(W2086,公司分析!D$5,3),IF($Y$3="wind一级行业",[1]!s_info_industry_gics(W2086,1),IF($Y$3="wind二级行业",[1]!s_info_industry_gics(W2086,2),IF($Y$3="wind三级行业",[1]!s_info_industry_gics(W2086,3),IF($Y$3="wind四级行业",[1]!s_info_industry_gics(W2086,4),IF($Y$3="证监会门类行业",[1]!s_info_industry_csrc12_n(W2086,公司分析!D$5,1),""))))))))</f>
        <v>IT服务Ⅱ</v>
      </c>
      <c r="Z2086" s="302" t="str">
        <f ca="1">IF(Y2086=行业比较!$E$6,ROW(),"")</f>
        <v/>
      </c>
      <c r="AA2086" s="122"/>
      <c r="AB2086" s="122"/>
      <c r="AC2086" s="122"/>
      <c r="AD2086" s="122"/>
      <c r="AE2086" s="122"/>
      <c r="AF2086" s="122"/>
      <c r="AG2086" s="122"/>
      <c r="AH2086" s="122"/>
      <c r="AI2086" s="122"/>
      <c r="AJ2086" s="122"/>
      <c r="AK2086" s="122"/>
      <c r="AL2086" s="122"/>
      <c r="AM2086" s="122"/>
      <c r="AN2086" s="122"/>
      <c r="AO2086" s="122"/>
      <c r="AP2086" s="122"/>
    </row>
    <row r="2087" spans="2:42">
      <c r="B2087" s="122"/>
      <c r="C2087" s="122"/>
      <c r="D2087" s="122"/>
      <c r="E2087" s="122"/>
      <c r="F2087" s="122"/>
      <c r="G2087" s="122"/>
      <c r="H2087" s="122"/>
      <c r="I2087" s="275"/>
      <c r="J2087" s="130"/>
      <c r="K2087" s="130"/>
      <c r="L2087" s="130"/>
      <c r="M2087" s="130"/>
      <c r="N2087" s="291"/>
      <c r="O2087" s="291"/>
      <c r="P2087" s="122"/>
      <c r="Q2087" s="122"/>
      <c r="R2087" s="122"/>
      <c r="S2087" s="122"/>
      <c r="T2087" s="122"/>
      <c r="U2087" s="315"/>
      <c r="V2087" s="260">
        <f t="shared" ca="1" si="40"/>
        <v>0</v>
      </c>
      <c r="W2087" s="348" t="str">
        <f>IF(板块成分!B2089="","",板块成分!B2089)</f>
        <v>300635.SZ</v>
      </c>
      <c r="X2087" s="276" t="str">
        <f>[1]!S_Info_Name(W2087)</f>
        <v>中达安</v>
      </c>
      <c r="Y2087" s="276" t="str">
        <f ca="1">IF($Y$3="申万一级行业",[1]!s_info_industry_sw_2021(W2087,公司分析!D$5,1),IF($Y$3="申万二级行业",[1]!s_info_industry_sw_2021(W2087,公司分析!D$5,2),IF($Y$3="申万三级行业",[1]!s_info_industry_sw_2021(W2087,公司分析!D$5,3),IF($Y$3="wind一级行业",[1]!s_info_industry_gics(W2087,1),IF($Y$3="wind二级行业",[1]!s_info_industry_gics(W2087,2),IF($Y$3="wind三级行业",[1]!s_info_industry_gics(W2087,3),IF($Y$3="wind四级行业",[1]!s_info_industry_gics(W2087,4),IF($Y$3="证监会门类行业",[1]!s_info_industry_csrc12_n(W2087,公司分析!D$5,1),""))))))))</f>
        <v>工程咨询服务Ⅱ</v>
      </c>
      <c r="Z2087" s="302" t="str">
        <f ca="1">IF(Y2087=行业比较!$E$6,ROW(),"")</f>
        <v/>
      </c>
      <c r="AA2087" s="122"/>
      <c r="AB2087" s="122"/>
      <c r="AC2087" s="122"/>
      <c r="AD2087" s="122"/>
      <c r="AE2087" s="122"/>
      <c r="AF2087" s="122"/>
      <c r="AG2087" s="122"/>
      <c r="AH2087" s="122"/>
      <c r="AI2087" s="122"/>
      <c r="AJ2087" s="122"/>
      <c r="AK2087" s="122"/>
      <c r="AL2087" s="122"/>
      <c r="AM2087" s="122"/>
      <c r="AN2087" s="122"/>
      <c r="AO2087" s="122"/>
      <c r="AP2087" s="122"/>
    </row>
    <row r="2088" spans="2:42">
      <c r="B2088" s="122"/>
      <c r="C2088" s="122"/>
      <c r="D2088" s="122"/>
      <c r="E2088" s="122"/>
      <c r="F2088" s="122"/>
      <c r="G2088" s="122"/>
      <c r="H2088" s="122"/>
      <c r="I2088" s="275"/>
      <c r="J2088" s="130"/>
      <c r="K2088" s="130"/>
      <c r="L2088" s="130"/>
      <c r="M2088" s="130"/>
      <c r="N2088" s="291"/>
      <c r="O2088" s="291"/>
      <c r="P2088" s="122"/>
      <c r="Q2088" s="122"/>
      <c r="R2088" s="122"/>
      <c r="S2088" s="122"/>
      <c r="T2088" s="122"/>
      <c r="U2088" s="315"/>
      <c r="V2088" s="260">
        <f t="shared" ca="1" si="40"/>
        <v>0</v>
      </c>
      <c r="W2088" s="348" t="str">
        <f>IF(板块成分!B2090="","",板块成分!B2090)</f>
        <v>300636.SZ</v>
      </c>
      <c r="X2088" s="276" t="str">
        <f>[1]!S_Info_Name(W2088)</f>
        <v>同和药业</v>
      </c>
      <c r="Y2088" s="276" t="str">
        <f ca="1">IF($Y$3="申万一级行业",[1]!s_info_industry_sw_2021(W2088,公司分析!D$5,1),IF($Y$3="申万二级行业",[1]!s_info_industry_sw_2021(W2088,公司分析!D$5,2),IF($Y$3="申万三级行业",[1]!s_info_industry_sw_2021(W2088,公司分析!D$5,3),IF($Y$3="wind一级行业",[1]!s_info_industry_gics(W2088,1),IF($Y$3="wind二级行业",[1]!s_info_industry_gics(W2088,2),IF($Y$3="wind三级行业",[1]!s_info_industry_gics(W2088,3),IF($Y$3="wind四级行业",[1]!s_info_industry_gics(W2088,4),IF($Y$3="证监会门类行业",[1]!s_info_industry_csrc12_n(W2088,公司分析!D$5,1),""))))))))</f>
        <v>化学制药</v>
      </c>
      <c r="Z2088" s="302" t="str">
        <f ca="1">IF(Y2088=行业比较!$E$6,ROW(),"")</f>
        <v/>
      </c>
      <c r="AA2088" s="122"/>
      <c r="AB2088" s="122"/>
      <c r="AC2088" s="122"/>
      <c r="AD2088" s="122"/>
      <c r="AE2088" s="122"/>
      <c r="AF2088" s="122"/>
      <c r="AG2088" s="122"/>
      <c r="AH2088" s="122"/>
      <c r="AI2088" s="122"/>
      <c r="AJ2088" s="122"/>
      <c r="AK2088" s="122"/>
      <c r="AL2088" s="122"/>
      <c r="AM2088" s="122"/>
      <c r="AN2088" s="122"/>
      <c r="AO2088" s="122"/>
      <c r="AP2088" s="122"/>
    </row>
    <row r="2089" spans="2:42">
      <c r="B2089" s="122"/>
      <c r="C2089" s="122"/>
      <c r="D2089" s="122"/>
      <c r="E2089" s="122"/>
      <c r="F2089" s="122"/>
      <c r="G2089" s="122"/>
      <c r="H2089" s="122"/>
      <c r="I2089" s="275"/>
      <c r="J2089" s="130"/>
      <c r="K2089" s="130"/>
      <c r="L2089" s="130"/>
      <c r="M2089" s="130"/>
      <c r="N2089" s="291"/>
      <c r="O2089" s="291"/>
      <c r="P2089" s="122"/>
      <c r="Q2089" s="122"/>
      <c r="R2089" s="122"/>
      <c r="S2089" s="122"/>
      <c r="T2089" s="122"/>
      <c r="U2089" s="315"/>
      <c r="V2089" s="260">
        <f t="shared" ca="1" si="40"/>
        <v>0</v>
      </c>
      <c r="W2089" s="348" t="str">
        <f>IF(板块成分!B2091="","",板块成分!B2091)</f>
        <v>300637.SZ</v>
      </c>
      <c r="X2089" s="276" t="str">
        <f>[1]!S_Info_Name(W2089)</f>
        <v>扬帆新材</v>
      </c>
      <c r="Y2089" s="276" t="str">
        <f ca="1">IF($Y$3="申万一级行业",[1]!s_info_industry_sw_2021(W2089,公司分析!D$5,1),IF($Y$3="申万二级行业",[1]!s_info_industry_sw_2021(W2089,公司分析!D$5,2),IF($Y$3="申万三级行业",[1]!s_info_industry_sw_2021(W2089,公司分析!D$5,3),IF($Y$3="wind一级行业",[1]!s_info_industry_gics(W2089,1),IF($Y$3="wind二级行业",[1]!s_info_industry_gics(W2089,2),IF($Y$3="wind三级行业",[1]!s_info_industry_gics(W2089,3),IF($Y$3="wind四级行业",[1]!s_info_industry_gics(W2089,4),IF($Y$3="证监会门类行业",[1]!s_info_industry_csrc12_n(W2089,公司分析!D$5,1),""))))))))</f>
        <v>化学制品</v>
      </c>
      <c r="Z2089" s="302" t="str">
        <f ca="1">IF(Y2089=行业比较!$E$6,ROW(),"")</f>
        <v/>
      </c>
      <c r="AA2089" s="122"/>
      <c r="AB2089" s="122"/>
      <c r="AC2089" s="122"/>
      <c r="AD2089" s="122"/>
      <c r="AE2089" s="122"/>
      <c r="AF2089" s="122"/>
      <c r="AG2089" s="122"/>
      <c r="AH2089" s="122"/>
      <c r="AI2089" s="122"/>
      <c r="AJ2089" s="122"/>
      <c r="AK2089" s="122"/>
      <c r="AL2089" s="122"/>
      <c r="AM2089" s="122"/>
      <c r="AN2089" s="122"/>
      <c r="AO2089" s="122"/>
      <c r="AP2089" s="122"/>
    </row>
    <row r="2090" spans="2:42">
      <c r="B2090" s="122"/>
      <c r="C2090" s="122"/>
      <c r="D2090" s="122"/>
      <c r="E2090" s="122"/>
      <c r="F2090" s="122"/>
      <c r="G2090" s="122"/>
      <c r="H2090" s="122"/>
      <c r="I2090" s="275"/>
      <c r="J2090" s="130"/>
      <c r="K2090" s="130"/>
      <c r="L2090" s="130"/>
      <c r="M2090" s="130"/>
      <c r="N2090" s="291"/>
      <c r="O2090" s="291"/>
      <c r="P2090" s="122"/>
      <c r="Q2090" s="122"/>
      <c r="R2090" s="122"/>
      <c r="S2090" s="122"/>
      <c r="T2090" s="122"/>
      <c r="U2090" s="315"/>
      <c r="V2090" s="260">
        <f t="shared" ca="1" si="40"/>
        <v>0</v>
      </c>
      <c r="W2090" s="348" t="str">
        <f>IF(板块成分!B2092="","",板块成分!B2092)</f>
        <v>300638.SZ</v>
      </c>
      <c r="X2090" s="276" t="str">
        <f>[1]!S_Info_Name(W2090)</f>
        <v>广和通</v>
      </c>
      <c r="Y2090" s="276" t="str">
        <f ca="1">IF($Y$3="申万一级行业",[1]!s_info_industry_sw_2021(W2090,公司分析!D$5,1),IF($Y$3="申万二级行业",[1]!s_info_industry_sw_2021(W2090,公司分析!D$5,2),IF($Y$3="申万三级行业",[1]!s_info_industry_sw_2021(W2090,公司分析!D$5,3),IF($Y$3="wind一级行业",[1]!s_info_industry_gics(W2090,1),IF($Y$3="wind二级行业",[1]!s_info_industry_gics(W2090,2),IF($Y$3="wind三级行业",[1]!s_info_industry_gics(W2090,3),IF($Y$3="wind四级行业",[1]!s_info_industry_gics(W2090,4),IF($Y$3="证监会门类行业",[1]!s_info_industry_csrc12_n(W2090,公司分析!D$5,1),""))))))))</f>
        <v>通信设备</v>
      </c>
      <c r="Z2090" s="302" t="str">
        <f ca="1">IF(Y2090=行业比较!$E$6,ROW(),"")</f>
        <v/>
      </c>
      <c r="AA2090" s="122"/>
      <c r="AB2090" s="122"/>
      <c r="AC2090" s="122"/>
      <c r="AD2090" s="122"/>
      <c r="AE2090" s="122"/>
      <c r="AF2090" s="122"/>
      <c r="AG2090" s="122"/>
      <c r="AH2090" s="122"/>
      <c r="AI2090" s="122"/>
      <c r="AJ2090" s="122"/>
      <c r="AK2090" s="122"/>
      <c r="AL2090" s="122"/>
      <c r="AM2090" s="122"/>
      <c r="AN2090" s="122"/>
      <c r="AO2090" s="122"/>
      <c r="AP2090" s="122"/>
    </row>
    <row r="2091" spans="2:42">
      <c r="B2091" s="122"/>
      <c r="C2091" s="122"/>
      <c r="D2091" s="122"/>
      <c r="E2091" s="122"/>
      <c r="F2091" s="122"/>
      <c r="G2091" s="122"/>
      <c r="H2091" s="122"/>
      <c r="I2091" s="275"/>
      <c r="J2091" s="130"/>
      <c r="K2091" s="130"/>
      <c r="L2091" s="130"/>
      <c r="M2091" s="130"/>
      <c r="N2091" s="291"/>
      <c r="O2091" s="291"/>
      <c r="P2091" s="122"/>
      <c r="Q2091" s="122"/>
      <c r="R2091" s="122"/>
      <c r="S2091" s="122"/>
      <c r="T2091" s="122"/>
      <c r="U2091" s="315"/>
      <c r="V2091" s="260">
        <f t="shared" ca="1" si="40"/>
        <v>0</v>
      </c>
      <c r="W2091" s="348" t="str">
        <f>IF(板块成分!B2093="","",板块成分!B2093)</f>
        <v>300639.SZ</v>
      </c>
      <c r="X2091" s="276" t="str">
        <f>[1]!S_Info_Name(W2091)</f>
        <v>凯普生物</v>
      </c>
      <c r="Y2091" s="276" t="str">
        <f ca="1">IF($Y$3="申万一级行业",[1]!s_info_industry_sw_2021(W2091,公司分析!D$5,1),IF($Y$3="申万二级行业",[1]!s_info_industry_sw_2021(W2091,公司分析!D$5,2),IF($Y$3="申万三级行业",[1]!s_info_industry_sw_2021(W2091,公司分析!D$5,3),IF($Y$3="wind一级行业",[1]!s_info_industry_gics(W2091,1),IF($Y$3="wind二级行业",[1]!s_info_industry_gics(W2091,2),IF($Y$3="wind三级行业",[1]!s_info_industry_gics(W2091,3),IF($Y$3="wind四级行业",[1]!s_info_industry_gics(W2091,4),IF($Y$3="证监会门类行业",[1]!s_info_industry_csrc12_n(W2091,公司分析!D$5,1),""))))))))</f>
        <v>医疗器械</v>
      </c>
      <c r="Z2091" s="302" t="str">
        <f ca="1">IF(Y2091=行业比较!$E$6,ROW(),"")</f>
        <v/>
      </c>
      <c r="AA2091" s="122"/>
      <c r="AB2091" s="122"/>
      <c r="AC2091" s="122"/>
      <c r="AD2091" s="122"/>
      <c r="AE2091" s="122"/>
      <c r="AF2091" s="122"/>
      <c r="AG2091" s="122"/>
      <c r="AH2091" s="122"/>
      <c r="AI2091" s="122"/>
      <c r="AJ2091" s="122"/>
      <c r="AK2091" s="122"/>
      <c r="AL2091" s="122"/>
      <c r="AM2091" s="122"/>
      <c r="AN2091" s="122"/>
      <c r="AO2091" s="122"/>
      <c r="AP2091" s="122"/>
    </row>
    <row r="2092" spans="2:42">
      <c r="B2092" s="122"/>
      <c r="C2092" s="122"/>
      <c r="D2092" s="122"/>
      <c r="E2092" s="122"/>
      <c r="F2092" s="122"/>
      <c r="G2092" s="122"/>
      <c r="H2092" s="122"/>
      <c r="I2092" s="275"/>
      <c r="J2092" s="130"/>
      <c r="K2092" s="130"/>
      <c r="L2092" s="130"/>
      <c r="M2092" s="130"/>
      <c r="N2092" s="291"/>
      <c r="O2092" s="291"/>
      <c r="P2092" s="122"/>
      <c r="Q2092" s="122"/>
      <c r="R2092" s="122"/>
      <c r="S2092" s="122"/>
      <c r="T2092" s="122"/>
      <c r="U2092" s="315"/>
      <c r="V2092" s="260">
        <f t="shared" ca="1" si="40"/>
        <v>0</v>
      </c>
      <c r="W2092" s="348" t="str">
        <f>IF(板块成分!B2094="","",板块成分!B2094)</f>
        <v>300640.SZ</v>
      </c>
      <c r="X2092" s="276" t="str">
        <f>[1]!S_Info_Name(W2092)</f>
        <v>德艺文创</v>
      </c>
      <c r="Y2092" s="276" t="str">
        <f ca="1">IF($Y$3="申万一级行业",[1]!s_info_industry_sw_2021(W2092,公司分析!D$5,1),IF($Y$3="申万二级行业",[1]!s_info_industry_sw_2021(W2092,公司分析!D$5,2),IF($Y$3="申万三级行业",[1]!s_info_industry_sw_2021(W2092,公司分析!D$5,3),IF($Y$3="wind一级行业",[1]!s_info_industry_gics(W2092,1),IF($Y$3="wind二级行业",[1]!s_info_industry_gics(W2092,2),IF($Y$3="wind三级行业",[1]!s_info_industry_gics(W2092,3),IF($Y$3="wind四级行业",[1]!s_info_industry_gics(W2092,4),IF($Y$3="证监会门类行业",[1]!s_info_industry_csrc12_n(W2092,公司分析!D$5,1),""))))))))</f>
        <v>家居用品</v>
      </c>
      <c r="Z2092" s="302" t="str">
        <f ca="1">IF(Y2092=行业比较!$E$6,ROW(),"")</f>
        <v/>
      </c>
      <c r="AA2092" s="122"/>
      <c r="AB2092" s="122"/>
      <c r="AC2092" s="122"/>
      <c r="AD2092" s="122"/>
      <c r="AE2092" s="122"/>
      <c r="AF2092" s="122"/>
      <c r="AG2092" s="122"/>
      <c r="AH2092" s="122"/>
      <c r="AI2092" s="122"/>
      <c r="AJ2092" s="122"/>
      <c r="AK2092" s="122"/>
      <c r="AL2092" s="122"/>
      <c r="AM2092" s="122"/>
      <c r="AN2092" s="122"/>
      <c r="AO2092" s="122"/>
      <c r="AP2092" s="122"/>
    </row>
    <row r="2093" spans="2:42">
      <c r="B2093" s="122"/>
      <c r="C2093" s="122"/>
      <c r="D2093" s="122"/>
      <c r="E2093" s="122"/>
      <c r="F2093" s="122"/>
      <c r="G2093" s="122"/>
      <c r="H2093" s="122"/>
      <c r="I2093" s="275"/>
      <c r="J2093" s="130"/>
      <c r="K2093" s="130"/>
      <c r="L2093" s="130"/>
      <c r="M2093" s="130"/>
      <c r="N2093" s="291"/>
      <c r="O2093" s="291"/>
      <c r="P2093" s="122"/>
      <c r="Q2093" s="122"/>
      <c r="R2093" s="122"/>
      <c r="S2093" s="122"/>
      <c r="T2093" s="122"/>
      <c r="U2093" s="315"/>
      <c r="V2093" s="260">
        <f t="shared" ca="1" si="40"/>
        <v>0</v>
      </c>
      <c r="W2093" s="348" t="str">
        <f>IF(板块成分!B2095="","",板块成分!B2095)</f>
        <v>300641.SZ</v>
      </c>
      <c r="X2093" s="276" t="str">
        <f>[1]!S_Info_Name(W2093)</f>
        <v>正丹股份</v>
      </c>
      <c r="Y2093" s="276" t="str">
        <f ca="1">IF($Y$3="申万一级行业",[1]!s_info_industry_sw_2021(W2093,公司分析!D$5,1),IF($Y$3="申万二级行业",[1]!s_info_industry_sw_2021(W2093,公司分析!D$5,2),IF($Y$3="申万三级行业",[1]!s_info_industry_sw_2021(W2093,公司分析!D$5,3),IF($Y$3="wind一级行业",[1]!s_info_industry_gics(W2093,1),IF($Y$3="wind二级行业",[1]!s_info_industry_gics(W2093,2),IF($Y$3="wind三级行业",[1]!s_info_industry_gics(W2093,3),IF($Y$3="wind四级行业",[1]!s_info_industry_gics(W2093,4),IF($Y$3="证监会门类行业",[1]!s_info_industry_csrc12_n(W2093,公司分析!D$5,1),""))))))))</f>
        <v>化学制品</v>
      </c>
      <c r="Z2093" s="302" t="str">
        <f ca="1">IF(Y2093=行业比较!$E$6,ROW(),"")</f>
        <v/>
      </c>
      <c r="AA2093" s="122"/>
      <c r="AB2093" s="122"/>
      <c r="AC2093" s="122"/>
      <c r="AD2093" s="122"/>
      <c r="AE2093" s="122"/>
      <c r="AF2093" s="122"/>
      <c r="AG2093" s="122"/>
      <c r="AH2093" s="122"/>
      <c r="AI2093" s="122"/>
      <c r="AJ2093" s="122"/>
      <c r="AK2093" s="122"/>
      <c r="AL2093" s="122"/>
      <c r="AM2093" s="122"/>
      <c r="AN2093" s="122"/>
      <c r="AO2093" s="122"/>
      <c r="AP2093" s="122"/>
    </row>
    <row r="2094" spans="2:42">
      <c r="B2094" s="122"/>
      <c r="C2094" s="122"/>
      <c r="D2094" s="122"/>
      <c r="E2094" s="122"/>
      <c r="F2094" s="122"/>
      <c r="G2094" s="122"/>
      <c r="H2094" s="122"/>
      <c r="I2094" s="275"/>
      <c r="J2094" s="130"/>
      <c r="K2094" s="130"/>
      <c r="L2094" s="130"/>
      <c r="M2094" s="130"/>
      <c r="N2094" s="291"/>
      <c r="O2094" s="291"/>
      <c r="P2094" s="122"/>
      <c r="Q2094" s="122"/>
      <c r="R2094" s="122"/>
      <c r="S2094" s="122"/>
      <c r="T2094" s="122"/>
      <c r="U2094" s="315"/>
      <c r="V2094" s="260">
        <f t="shared" ca="1" si="40"/>
        <v>0</v>
      </c>
      <c r="W2094" s="348" t="str">
        <f>IF(板块成分!B2096="","",板块成分!B2096)</f>
        <v>300642.SZ</v>
      </c>
      <c r="X2094" s="276" t="str">
        <f>[1]!S_Info_Name(W2094)</f>
        <v>透景生命</v>
      </c>
      <c r="Y2094" s="276" t="str">
        <f ca="1">IF($Y$3="申万一级行业",[1]!s_info_industry_sw_2021(W2094,公司分析!D$5,1),IF($Y$3="申万二级行业",[1]!s_info_industry_sw_2021(W2094,公司分析!D$5,2),IF($Y$3="申万三级行业",[1]!s_info_industry_sw_2021(W2094,公司分析!D$5,3),IF($Y$3="wind一级行业",[1]!s_info_industry_gics(W2094,1),IF($Y$3="wind二级行业",[1]!s_info_industry_gics(W2094,2),IF($Y$3="wind三级行业",[1]!s_info_industry_gics(W2094,3),IF($Y$3="wind四级行业",[1]!s_info_industry_gics(W2094,4),IF($Y$3="证监会门类行业",[1]!s_info_industry_csrc12_n(W2094,公司分析!D$5,1),""))))))))</f>
        <v>医疗器械</v>
      </c>
      <c r="Z2094" s="302" t="str">
        <f ca="1">IF(Y2094=行业比较!$E$6,ROW(),"")</f>
        <v/>
      </c>
      <c r="AA2094" s="122"/>
      <c r="AB2094" s="122"/>
      <c r="AC2094" s="122"/>
      <c r="AD2094" s="122"/>
      <c r="AE2094" s="122"/>
      <c r="AF2094" s="122"/>
      <c r="AG2094" s="122"/>
      <c r="AH2094" s="122"/>
      <c r="AI2094" s="122"/>
      <c r="AJ2094" s="122"/>
      <c r="AK2094" s="122"/>
      <c r="AL2094" s="122"/>
      <c r="AM2094" s="122"/>
      <c r="AN2094" s="122"/>
      <c r="AO2094" s="122"/>
      <c r="AP2094" s="122"/>
    </row>
    <row r="2095" spans="2:42">
      <c r="B2095" s="122"/>
      <c r="C2095" s="122"/>
      <c r="D2095" s="122"/>
      <c r="E2095" s="122"/>
      <c r="F2095" s="122"/>
      <c r="G2095" s="122"/>
      <c r="H2095" s="122"/>
      <c r="I2095" s="275"/>
      <c r="J2095" s="130"/>
      <c r="K2095" s="130"/>
      <c r="L2095" s="130"/>
      <c r="M2095" s="130"/>
      <c r="N2095" s="291"/>
      <c r="O2095" s="291"/>
      <c r="P2095" s="122"/>
      <c r="Q2095" s="122"/>
      <c r="R2095" s="122"/>
      <c r="S2095" s="122"/>
      <c r="T2095" s="122"/>
      <c r="U2095" s="315"/>
      <c r="V2095" s="260">
        <f t="shared" ca="1" si="40"/>
        <v>0</v>
      </c>
      <c r="W2095" s="348" t="str">
        <f>IF(板块成分!B2097="","",板块成分!B2097)</f>
        <v>300643.SZ</v>
      </c>
      <c r="X2095" s="276" t="str">
        <f>[1]!S_Info_Name(W2095)</f>
        <v>万通智控</v>
      </c>
      <c r="Y2095" s="276" t="str">
        <f ca="1">IF($Y$3="申万一级行业",[1]!s_info_industry_sw_2021(W2095,公司分析!D$5,1),IF($Y$3="申万二级行业",[1]!s_info_industry_sw_2021(W2095,公司分析!D$5,2),IF($Y$3="申万三级行业",[1]!s_info_industry_sw_2021(W2095,公司分析!D$5,3),IF($Y$3="wind一级行业",[1]!s_info_industry_gics(W2095,1),IF($Y$3="wind二级行业",[1]!s_info_industry_gics(W2095,2),IF($Y$3="wind三级行业",[1]!s_info_industry_gics(W2095,3),IF($Y$3="wind四级行业",[1]!s_info_industry_gics(W2095,4),IF($Y$3="证监会门类行业",[1]!s_info_industry_csrc12_n(W2095,公司分析!D$5,1),""))))))))</f>
        <v>汽车零部件</v>
      </c>
      <c r="Z2095" s="302" t="str">
        <f ca="1">IF(Y2095=行业比较!$E$6,ROW(),"")</f>
        <v/>
      </c>
      <c r="AA2095" s="122"/>
      <c r="AB2095" s="122"/>
      <c r="AC2095" s="122"/>
      <c r="AD2095" s="122"/>
      <c r="AE2095" s="122"/>
      <c r="AF2095" s="122"/>
      <c r="AG2095" s="122"/>
      <c r="AH2095" s="122"/>
      <c r="AI2095" s="122"/>
      <c r="AJ2095" s="122"/>
      <c r="AK2095" s="122"/>
      <c r="AL2095" s="122"/>
      <c r="AM2095" s="122"/>
      <c r="AN2095" s="122"/>
      <c r="AO2095" s="122"/>
      <c r="AP2095" s="122"/>
    </row>
    <row r="2096" spans="2:42">
      <c r="B2096" s="122"/>
      <c r="C2096" s="122"/>
      <c r="D2096" s="122"/>
      <c r="E2096" s="122"/>
      <c r="F2096" s="122"/>
      <c r="G2096" s="122"/>
      <c r="H2096" s="122"/>
      <c r="I2096" s="275"/>
      <c r="J2096" s="130"/>
      <c r="K2096" s="130"/>
      <c r="L2096" s="130"/>
      <c r="M2096" s="130"/>
      <c r="N2096" s="291"/>
      <c r="O2096" s="291"/>
      <c r="P2096" s="122"/>
      <c r="Q2096" s="122"/>
      <c r="R2096" s="122"/>
      <c r="S2096" s="122"/>
      <c r="T2096" s="122"/>
      <c r="U2096" s="315"/>
      <c r="V2096" s="260">
        <f t="shared" ca="1" si="40"/>
        <v>0</v>
      </c>
      <c r="W2096" s="348" t="str">
        <f>IF(板块成分!B2098="","",板块成分!B2098)</f>
        <v>300644.SZ</v>
      </c>
      <c r="X2096" s="276" t="str">
        <f>[1]!S_Info_Name(W2096)</f>
        <v>南京聚隆</v>
      </c>
      <c r="Y2096" s="276" t="str">
        <f ca="1">IF($Y$3="申万一级行业",[1]!s_info_industry_sw_2021(W2096,公司分析!D$5,1),IF($Y$3="申万二级行业",[1]!s_info_industry_sw_2021(W2096,公司分析!D$5,2),IF($Y$3="申万三级行业",[1]!s_info_industry_sw_2021(W2096,公司分析!D$5,3),IF($Y$3="wind一级行业",[1]!s_info_industry_gics(W2096,1),IF($Y$3="wind二级行业",[1]!s_info_industry_gics(W2096,2),IF($Y$3="wind三级行业",[1]!s_info_industry_gics(W2096,3),IF($Y$3="wind四级行业",[1]!s_info_industry_gics(W2096,4),IF($Y$3="证监会门类行业",[1]!s_info_industry_csrc12_n(W2096,公司分析!D$5,1),""))))))))</f>
        <v>塑料</v>
      </c>
      <c r="Z2096" s="302" t="str">
        <f ca="1">IF(Y2096=行业比较!$E$6,ROW(),"")</f>
        <v/>
      </c>
      <c r="AA2096" s="122"/>
      <c r="AB2096" s="122"/>
      <c r="AC2096" s="122"/>
      <c r="AD2096" s="122"/>
      <c r="AE2096" s="122"/>
      <c r="AF2096" s="122"/>
      <c r="AG2096" s="122"/>
      <c r="AH2096" s="122"/>
      <c r="AI2096" s="122"/>
      <c r="AJ2096" s="122"/>
      <c r="AK2096" s="122"/>
      <c r="AL2096" s="122"/>
      <c r="AM2096" s="122"/>
      <c r="AN2096" s="122"/>
      <c r="AO2096" s="122"/>
      <c r="AP2096" s="122"/>
    </row>
    <row r="2097" spans="2:42">
      <c r="B2097" s="122"/>
      <c r="C2097" s="122"/>
      <c r="D2097" s="122"/>
      <c r="E2097" s="122"/>
      <c r="F2097" s="122"/>
      <c r="G2097" s="122"/>
      <c r="H2097" s="122"/>
      <c r="I2097" s="275"/>
      <c r="J2097" s="130"/>
      <c r="K2097" s="130"/>
      <c r="L2097" s="130"/>
      <c r="M2097" s="130"/>
      <c r="N2097" s="291"/>
      <c r="O2097" s="291"/>
      <c r="P2097" s="122"/>
      <c r="Q2097" s="122"/>
      <c r="R2097" s="122"/>
      <c r="S2097" s="122"/>
      <c r="T2097" s="122"/>
      <c r="U2097" s="315"/>
      <c r="V2097" s="260">
        <f t="shared" ca="1" si="40"/>
        <v>0</v>
      </c>
      <c r="W2097" s="348" t="str">
        <f>IF(板块成分!B2099="","",板块成分!B2099)</f>
        <v>300645.SZ</v>
      </c>
      <c r="X2097" s="276" t="str">
        <f>[1]!S_Info_Name(W2097)</f>
        <v>正元智慧</v>
      </c>
      <c r="Y2097" s="276" t="str">
        <f ca="1">IF($Y$3="申万一级行业",[1]!s_info_industry_sw_2021(W2097,公司分析!D$5,1),IF($Y$3="申万二级行业",[1]!s_info_industry_sw_2021(W2097,公司分析!D$5,2),IF($Y$3="申万三级行业",[1]!s_info_industry_sw_2021(W2097,公司分析!D$5,3),IF($Y$3="wind一级行业",[1]!s_info_industry_gics(W2097,1),IF($Y$3="wind二级行业",[1]!s_info_industry_gics(W2097,2),IF($Y$3="wind三级行业",[1]!s_info_industry_gics(W2097,3),IF($Y$3="wind四级行业",[1]!s_info_industry_gics(W2097,4),IF($Y$3="证监会门类行业",[1]!s_info_industry_csrc12_n(W2097,公司分析!D$5,1),""))))))))</f>
        <v>计算机设备</v>
      </c>
      <c r="Z2097" s="302" t="str">
        <f ca="1">IF(Y2097=行业比较!$E$6,ROW(),"")</f>
        <v/>
      </c>
      <c r="AA2097" s="122"/>
      <c r="AB2097" s="122"/>
      <c r="AC2097" s="122"/>
      <c r="AD2097" s="122"/>
      <c r="AE2097" s="122"/>
      <c r="AF2097" s="122"/>
      <c r="AG2097" s="122"/>
      <c r="AH2097" s="122"/>
      <c r="AI2097" s="122"/>
      <c r="AJ2097" s="122"/>
      <c r="AK2097" s="122"/>
      <c r="AL2097" s="122"/>
      <c r="AM2097" s="122"/>
      <c r="AN2097" s="122"/>
      <c r="AO2097" s="122"/>
      <c r="AP2097" s="122"/>
    </row>
    <row r="2098" spans="2:42">
      <c r="B2098" s="122"/>
      <c r="C2098" s="122"/>
      <c r="D2098" s="122"/>
      <c r="E2098" s="122"/>
      <c r="F2098" s="122"/>
      <c r="G2098" s="122"/>
      <c r="H2098" s="122"/>
      <c r="I2098" s="275"/>
      <c r="J2098" s="130"/>
      <c r="K2098" s="130"/>
      <c r="L2098" s="130"/>
      <c r="M2098" s="130"/>
      <c r="N2098" s="291"/>
      <c r="O2098" s="291"/>
      <c r="P2098" s="122"/>
      <c r="Q2098" s="122"/>
      <c r="R2098" s="122"/>
      <c r="S2098" s="122"/>
      <c r="T2098" s="122"/>
      <c r="U2098" s="315"/>
      <c r="V2098" s="260">
        <f t="shared" ca="1" si="40"/>
        <v>0</v>
      </c>
      <c r="W2098" s="348" t="str">
        <f>IF(板块成分!B2100="","",板块成分!B2100)</f>
        <v>300647.SZ</v>
      </c>
      <c r="X2098" s="276" t="str">
        <f>[1]!S_Info_Name(W2098)</f>
        <v>超频三</v>
      </c>
      <c r="Y2098" s="276" t="str">
        <f ca="1">IF($Y$3="申万一级行业",[1]!s_info_industry_sw_2021(W2098,公司分析!D$5,1),IF($Y$3="申万二级行业",[1]!s_info_industry_sw_2021(W2098,公司分析!D$5,2),IF($Y$3="申万三级行业",[1]!s_info_industry_sw_2021(W2098,公司分析!D$5,3),IF($Y$3="wind一级行业",[1]!s_info_industry_gics(W2098,1),IF($Y$3="wind二级行业",[1]!s_info_industry_gics(W2098,2),IF($Y$3="wind三级行业",[1]!s_info_industry_gics(W2098,3),IF($Y$3="wind四级行业",[1]!s_info_industry_gics(W2098,4),IF($Y$3="证监会门类行业",[1]!s_info_industry_csrc12_n(W2098,公司分析!D$5,1),""))))))))</f>
        <v>消费电子</v>
      </c>
      <c r="Z2098" s="302" t="str">
        <f ca="1">IF(Y2098=行业比较!$E$6,ROW(),"")</f>
        <v/>
      </c>
      <c r="AA2098" s="122"/>
      <c r="AB2098" s="122"/>
      <c r="AC2098" s="122"/>
      <c r="AD2098" s="122"/>
      <c r="AE2098" s="122"/>
      <c r="AF2098" s="122"/>
      <c r="AG2098" s="122"/>
      <c r="AH2098" s="122"/>
      <c r="AI2098" s="122"/>
      <c r="AJ2098" s="122"/>
      <c r="AK2098" s="122"/>
      <c r="AL2098" s="122"/>
      <c r="AM2098" s="122"/>
      <c r="AN2098" s="122"/>
      <c r="AO2098" s="122"/>
      <c r="AP2098" s="122"/>
    </row>
    <row r="2099" spans="2:42">
      <c r="B2099" s="122"/>
      <c r="C2099" s="122"/>
      <c r="D2099" s="122"/>
      <c r="E2099" s="122"/>
      <c r="F2099" s="122"/>
      <c r="G2099" s="122"/>
      <c r="H2099" s="122"/>
      <c r="I2099" s="275"/>
      <c r="J2099" s="130"/>
      <c r="K2099" s="130"/>
      <c r="L2099" s="130"/>
      <c r="M2099" s="130"/>
      <c r="N2099" s="291"/>
      <c r="O2099" s="291"/>
      <c r="P2099" s="122"/>
      <c r="Q2099" s="122"/>
      <c r="R2099" s="122"/>
      <c r="S2099" s="122"/>
      <c r="T2099" s="122"/>
      <c r="U2099" s="315"/>
      <c r="V2099" s="260">
        <f t="shared" ca="1" si="40"/>
        <v>0</v>
      </c>
      <c r="W2099" s="348" t="str">
        <f>IF(板块成分!B2101="","",板块成分!B2101)</f>
        <v>300648.SZ</v>
      </c>
      <c r="X2099" s="276" t="str">
        <f>[1]!S_Info_Name(W2099)</f>
        <v>星云股份</v>
      </c>
      <c r="Y2099" s="276" t="str">
        <f ca="1">IF($Y$3="申万一级行业",[1]!s_info_industry_sw_2021(W2099,公司分析!D$5,1),IF($Y$3="申万二级行业",[1]!s_info_industry_sw_2021(W2099,公司分析!D$5,2),IF($Y$3="申万三级行业",[1]!s_info_industry_sw_2021(W2099,公司分析!D$5,3),IF($Y$3="wind一级行业",[1]!s_info_industry_gics(W2099,1),IF($Y$3="wind二级行业",[1]!s_info_industry_gics(W2099,2),IF($Y$3="wind三级行业",[1]!s_info_industry_gics(W2099,3),IF($Y$3="wind四级行业",[1]!s_info_industry_gics(W2099,4),IF($Y$3="证监会门类行业",[1]!s_info_industry_csrc12_n(W2099,公司分析!D$5,1),""))))))))</f>
        <v>电池</v>
      </c>
      <c r="Z2099" s="302" t="str">
        <f ca="1">IF(Y2099=行业比较!$E$6,ROW(),"")</f>
        <v/>
      </c>
      <c r="AA2099" s="122"/>
      <c r="AB2099" s="122"/>
      <c r="AC2099" s="122"/>
      <c r="AD2099" s="122"/>
      <c r="AE2099" s="122"/>
      <c r="AF2099" s="122"/>
      <c r="AG2099" s="122"/>
      <c r="AH2099" s="122"/>
      <c r="AI2099" s="122"/>
      <c r="AJ2099" s="122"/>
      <c r="AK2099" s="122"/>
      <c r="AL2099" s="122"/>
      <c r="AM2099" s="122"/>
      <c r="AN2099" s="122"/>
      <c r="AO2099" s="122"/>
      <c r="AP2099" s="122"/>
    </row>
    <row r="2100" spans="2:42">
      <c r="B2100" s="122"/>
      <c r="C2100" s="122"/>
      <c r="D2100" s="122"/>
      <c r="E2100" s="122"/>
      <c r="F2100" s="122"/>
      <c r="G2100" s="122"/>
      <c r="H2100" s="122"/>
      <c r="I2100" s="275"/>
      <c r="J2100" s="130"/>
      <c r="K2100" s="130"/>
      <c r="L2100" s="130"/>
      <c r="M2100" s="130"/>
      <c r="N2100" s="291"/>
      <c r="O2100" s="291"/>
      <c r="P2100" s="122"/>
      <c r="Q2100" s="122"/>
      <c r="R2100" s="122"/>
      <c r="S2100" s="122"/>
      <c r="T2100" s="122"/>
      <c r="U2100" s="315"/>
      <c r="V2100" s="260">
        <f t="shared" ca="1" si="40"/>
        <v>0</v>
      </c>
      <c r="W2100" s="348" t="str">
        <f>IF(板块成分!B2102="","",板块成分!B2102)</f>
        <v>300649.SZ</v>
      </c>
      <c r="X2100" s="276" t="str">
        <f>[1]!S_Info_Name(W2100)</f>
        <v>杭州园林</v>
      </c>
      <c r="Y2100" s="276" t="str">
        <f ca="1">IF($Y$3="申万一级行业",[1]!s_info_industry_sw_2021(W2100,公司分析!D$5,1),IF($Y$3="申万二级行业",[1]!s_info_industry_sw_2021(W2100,公司分析!D$5,2),IF($Y$3="申万三级行业",[1]!s_info_industry_sw_2021(W2100,公司分析!D$5,3),IF($Y$3="wind一级行业",[1]!s_info_industry_gics(W2100,1),IF($Y$3="wind二级行业",[1]!s_info_industry_gics(W2100,2),IF($Y$3="wind三级行业",[1]!s_info_industry_gics(W2100,3),IF($Y$3="wind四级行业",[1]!s_info_industry_gics(W2100,4),IF($Y$3="证监会门类行业",[1]!s_info_industry_csrc12_n(W2100,公司分析!D$5,1),""))))))))</f>
        <v>基础建设</v>
      </c>
      <c r="Z2100" s="302" t="str">
        <f ca="1">IF(Y2100=行业比较!$E$6,ROW(),"")</f>
        <v/>
      </c>
      <c r="AA2100" s="122"/>
      <c r="AB2100" s="122"/>
      <c r="AC2100" s="122"/>
      <c r="AD2100" s="122"/>
      <c r="AE2100" s="122"/>
      <c r="AF2100" s="122"/>
      <c r="AG2100" s="122"/>
      <c r="AH2100" s="122"/>
      <c r="AI2100" s="122"/>
      <c r="AJ2100" s="122"/>
      <c r="AK2100" s="122"/>
      <c r="AL2100" s="122"/>
      <c r="AM2100" s="122"/>
      <c r="AN2100" s="122"/>
      <c r="AO2100" s="122"/>
      <c r="AP2100" s="122"/>
    </row>
    <row r="2101" spans="2:42">
      <c r="B2101" s="122"/>
      <c r="C2101" s="122"/>
      <c r="D2101" s="122"/>
      <c r="E2101" s="122"/>
      <c r="F2101" s="122"/>
      <c r="G2101" s="122"/>
      <c r="H2101" s="122"/>
      <c r="I2101" s="275"/>
      <c r="J2101" s="130"/>
      <c r="K2101" s="130"/>
      <c r="L2101" s="130"/>
      <c r="M2101" s="130"/>
      <c r="N2101" s="291"/>
      <c r="O2101" s="291"/>
      <c r="P2101" s="122"/>
      <c r="Q2101" s="122"/>
      <c r="R2101" s="122"/>
      <c r="S2101" s="122"/>
      <c r="T2101" s="122"/>
      <c r="U2101" s="315"/>
      <c r="V2101" s="260">
        <f t="shared" ca="1" si="40"/>
        <v>0</v>
      </c>
      <c r="W2101" s="348" t="str">
        <f>IF(板块成分!B2103="","",板块成分!B2103)</f>
        <v>300650.SZ</v>
      </c>
      <c r="X2101" s="276" t="str">
        <f>[1]!S_Info_Name(W2101)</f>
        <v>太龙股份</v>
      </c>
      <c r="Y2101" s="276" t="str">
        <f ca="1">IF($Y$3="申万一级行业",[1]!s_info_industry_sw_2021(W2101,公司分析!D$5,1),IF($Y$3="申万二级行业",[1]!s_info_industry_sw_2021(W2101,公司分析!D$5,2),IF($Y$3="申万三级行业",[1]!s_info_industry_sw_2021(W2101,公司分析!D$5,3),IF($Y$3="wind一级行业",[1]!s_info_industry_gics(W2101,1),IF($Y$3="wind二级行业",[1]!s_info_industry_gics(W2101,2),IF($Y$3="wind三级行业",[1]!s_info_industry_gics(W2101,3),IF($Y$3="wind四级行业",[1]!s_info_industry_gics(W2101,4),IF($Y$3="证监会门类行业",[1]!s_info_industry_csrc12_n(W2101,公司分析!D$5,1),""))))))))</f>
        <v>其他电子Ⅱ</v>
      </c>
      <c r="Z2101" s="302" t="str">
        <f ca="1">IF(Y2101=行业比较!$E$6,ROW(),"")</f>
        <v/>
      </c>
      <c r="AA2101" s="122"/>
      <c r="AB2101" s="122"/>
      <c r="AC2101" s="122"/>
      <c r="AD2101" s="122"/>
      <c r="AE2101" s="122"/>
      <c r="AF2101" s="122"/>
      <c r="AG2101" s="122"/>
      <c r="AH2101" s="122"/>
      <c r="AI2101" s="122"/>
      <c r="AJ2101" s="122"/>
      <c r="AK2101" s="122"/>
      <c r="AL2101" s="122"/>
      <c r="AM2101" s="122"/>
      <c r="AN2101" s="122"/>
      <c r="AO2101" s="122"/>
      <c r="AP2101" s="122"/>
    </row>
    <row r="2102" spans="2:42">
      <c r="B2102" s="122"/>
      <c r="C2102" s="122"/>
      <c r="D2102" s="122"/>
      <c r="E2102" s="122"/>
      <c r="F2102" s="122"/>
      <c r="G2102" s="122"/>
      <c r="H2102" s="122"/>
      <c r="I2102" s="275"/>
      <c r="J2102" s="130"/>
      <c r="K2102" s="130"/>
      <c r="L2102" s="130"/>
      <c r="M2102" s="130"/>
      <c r="N2102" s="291"/>
      <c r="O2102" s="291"/>
      <c r="P2102" s="122"/>
      <c r="Q2102" s="122"/>
      <c r="R2102" s="122"/>
      <c r="S2102" s="122"/>
      <c r="T2102" s="122"/>
      <c r="U2102" s="315"/>
      <c r="V2102" s="260">
        <f t="shared" ca="1" si="40"/>
        <v>0</v>
      </c>
      <c r="W2102" s="348" t="str">
        <f>IF(板块成分!B2104="","",板块成分!B2104)</f>
        <v>300651.SZ</v>
      </c>
      <c r="X2102" s="276" t="str">
        <f>[1]!S_Info_Name(W2102)</f>
        <v>金陵体育</v>
      </c>
      <c r="Y2102" s="276" t="str">
        <f ca="1">IF($Y$3="申万一级行业",[1]!s_info_industry_sw_2021(W2102,公司分析!D$5,1),IF($Y$3="申万二级行业",[1]!s_info_industry_sw_2021(W2102,公司分析!D$5,2),IF($Y$3="申万三级行业",[1]!s_info_industry_sw_2021(W2102,公司分析!D$5,3),IF($Y$3="wind一级行业",[1]!s_info_industry_gics(W2102,1),IF($Y$3="wind二级行业",[1]!s_info_industry_gics(W2102,2),IF($Y$3="wind三级行业",[1]!s_info_industry_gics(W2102,3),IF($Y$3="wind四级行业",[1]!s_info_industry_gics(W2102,4),IF($Y$3="证监会门类行业",[1]!s_info_industry_csrc12_n(W2102,公司分析!D$5,1),""))))))))</f>
        <v>文娱用品</v>
      </c>
      <c r="Z2102" s="302" t="str">
        <f ca="1">IF(Y2102=行业比较!$E$6,ROW(),"")</f>
        <v/>
      </c>
      <c r="AA2102" s="122"/>
      <c r="AB2102" s="122"/>
      <c r="AC2102" s="122"/>
      <c r="AD2102" s="122"/>
      <c r="AE2102" s="122"/>
      <c r="AF2102" s="122"/>
      <c r="AG2102" s="122"/>
      <c r="AH2102" s="122"/>
      <c r="AI2102" s="122"/>
      <c r="AJ2102" s="122"/>
      <c r="AK2102" s="122"/>
      <c r="AL2102" s="122"/>
      <c r="AM2102" s="122"/>
      <c r="AN2102" s="122"/>
      <c r="AO2102" s="122"/>
      <c r="AP2102" s="122"/>
    </row>
    <row r="2103" spans="2:42">
      <c r="B2103" s="122"/>
      <c r="C2103" s="122"/>
      <c r="D2103" s="122"/>
      <c r="E2103" s="122"/>
      <c r="F2103" s="122"/>
      <c r="G2103" s="122"/>
      <c r="H2103" s="122"/>
      <c r="I2103" s="275"/>
      <c r="J2103" s="130"/>
      <c r="K2103" s="130"/>
      <c r="L2103" s="130"/>
      <c r="M2103" s="130"/>
      <c r="N2103" s="291"/>
      <c r="O2103" s="291"/>
      <c r="P2103" s="122"/>
      <c r="Q2103" s="122"/>
      <c r="R2103" s="122"/>
      <c r="S2103" s="122"/>
      <c r="T2103" s="122"/>
      <c r="U2103" s="315"/>
      <c r="V2103" s="260">
        <f t="shared" ca="1" si="40"/>
        <v>0</v>
      </c>
      <c r="W2103" s="348" t="str">
        <f>IF(板块成分!B2105="","",板块成分!B2105)</f>
        <v>300652.SZ</v>
      </c>
      <c r="X2103" s="276" t="str">
        <f>[1]!S_Info_Name(W2103)</f>
        <v>雷迪克</v>
      </c>
      <c r="Y2103" s="276" t="str">
        <f ca="1">IF($Y$3="申万一级行业",[1]!s_info_industry_sw_2021(W2103,公司分析!D$5,1),IF($Y$3="申万二级行业",[1]!s_info_industry_sw_2021(W2103,公司分析!D$5,2),IF($Y$3="申万三级行业",[1]!s_info_industry_sw_2021(W2103,公司分析!D$5,3),IF($Y$3="wind一级行业",[1]!s_info_industry_gics(W2103,1),IF($Y$3="wind二级行业",[1]!s_info_industry_gics(W2103,2),IF($Y$3="wind三级行业",[1]!s_info_industry_gics(W2103,3),IF($Y$3="wind四级行业",[1]!s_info_industry_gics(W2103,4),IF($Y$3="证监会门类行业",[1]!s_info_industry_csrc12_n(W2103,公司分析!D$5,1),""))))))))</f>
        <v>汽车零部件</v>
      </c>
      <c r="Z2103" s="302" t="str">
        <f ca="1">IF(Y2103=行业比较!$E$6,ROW(),"")</f>
        <v/>
      </c>
      <c r="AA2103" s="122"/>
      <c r="AB2103" s="122"/>
      <c r="AC2103" s="122"/>
      <c r="AD2103" s="122"/>
      <c r="AE2103" s="122"/>
      <c r="AF2103" s="122"/>
      <c r="AG2103" s="122"/>
      <c r="AH2103" s="122"/>
      <c r="AI2103" s="122"/>
      <c r="AJ2103" s="122"/>
      <c r="AK2103" s="122"/>
      <c r="AL2103" s="122"/>
      <c r="AM2103" s="122"/>
      <c r="AN2103" s="122"/>
      <c r="AO2103" s="122"/>
      <c r="AP2103" s="122"/>
    </row>
    <row r="2104" spans="2:42">
      <c r="B2104" s="122"/>
      <c r="C2104" s="122"/>
      <c r="D2104" s="122"/>
      <c r="E2104" s="122"/>
      <c r="F2104" s="122"/>
      <c r="G2104" s="122"/>
      <c r="H2104" s="122"/>
      <c r="I2104" s="275"/>
      <c r="J2104" s="130"/>
      <c r="K2104" s="130"/>
      <c r="L2104" s="130"/>
      <c r="M2104" s="130"/>
      <c r="N2104" s="291"/>
      <c r="O2104" s="291"/>
      <c r="P2104" s="122"/>
      <c r="Q2104" s="122"/>
      <c r="R2104" s="122"/>
      <c r="S2104" s="122"/>
      <c r="T2104" s="122"/>
      <c r="U2104" s="315"/>
      <c r="V2104" s="260">
        <f t="shared" ca="1" si="40"/>
        <v>0</v>
      </c>
      <c r="W2104" s="348" t="str">
        <f>IF(板块成分!B2106="","",板块成分!B2106)</f>
        <v>300653.SZ</v>
      </c>
      <c r="X2104" s="276" t="str">
        <f>[1]!S_Info_Name(W2104)</f>
        <v>正海生物</v>
      </c>
      <c r="Y2104" s="276" t="str">
        <f ca="1">IF($Y$3="申万一级行业",[1]!s_info_industry_sw_2021(W2104,公司分析!D$5,1),IF($Y$3="申万二级行业",[1]!s_info_industry_sw_2021(W2104,公司分析!D$5,2),IF($Y$3="申万三级行业",[1]!s_info_industry_sw_2021(W2104,公司分析!D$5,3),IF($Y$3="wind一级行业",[1]!s_info_industry_gics(W2104,1),IF($Y$3="wind二级行业",[1]!s_info_industry_gics(W2104,2),IF($Y$3="wind三级行业",[1]!s_info_industry_gics(W2104,3),IF($Y$3="wind四级行业",[1]!s_info_industry_gics(W2104,4),IF($Y$3="证监会门类行业",[1]!s_info_industry_csrc12_n(W2104,公司分析!D$5,1),""))))))))</f>
        <v>医疗器械</v>
      </c>
      <c r="Z2104" s="302" t="str">
        <f ca="1">IF(Y2104=行业比较!$E$6,ROW(),"")</f>
        <v/>
      </c>
      <c r="AA2104" s="122"/>
      <c r="AB2104" s="122"/>
      <c r="AC2104" s="122"/>
      <c r="AD2104" s="122"/>
      <c r="AE2104" s="122"/>
      <c r="AF2104" s="122"/>
      <c r="AG2104" s="122"/>
      <c r="AH2104" s="122"/>
      <c r="AI2104" s="122"/>
      <c r="AJ2104" s="122"/>
      <c r="AK2104" s="122"/>
      <c r="AL2104" s="122"/>
      <c r="AM2104" s="122"/>
      <c r="AN2104" s="122"/>
      <c r="AO2104" s="122"/>
      <c r="AP2104" s="122"/>
    </row>
    <row r="2105" spans="2:42">
      <c r="B2105" s="122"/>
      <c r="C2105" s="122"/>
      <c r="D2105" s="122"/>
      <c r="E2105" s="122"/>
      <c r="F2105" s="122"/>
      <c r="G2105" s="122"/>
      <c r="H2105" s="122"/>
      <c r="I2105" s="275"/>
      <c r="J2105" s="130"/>
      <c r="K2105" s="130"/>
      <c r="L2105" s="130"/>
      <c r="M2105" s="130"/>
      <c r="N2105" s="291"/>
      <c r="O2105" s="291"/>
      <c r="P2105" s="122"/>
      <c r="Q2105" s="122"/>
      <c r="R2105" s="122"/>
      <c r="S2105" s="122"/>
      <c r="T2105" s="122"/>
      <c r="U2105" s="315"/>
      <c r="V2105" s="260">
        <f t="shared" ca="1" si="40"/>
        <v>0</v>
      </c>
      <c r="W2105" s="348" t="str">
        <f>IF(板块成分!B2107="","",板块成分!B2107)</f>
        <v>300654.SZ</v>
      </c>
      <c r="X2105" s="276" t="str">
        <f>[1]!S_Info_Name(W2105)</f>
        <v>世纪天鸿</v>
      </c>
      <c r="Y2105" s="276" t="str">
        <f ca="1">IF($Y$3="申万一级行业",[1]!s_info_industry_sw_2021(W2105,公司分析!D$5,1),IF($Y$3="申万二级行业",[1]!s_info_industry_sw_2021(W2105,公司分析!D$5,2),IF($Y$3="申万三级行业",[1]!s_info_industry_sw_2021(W2105,公司分析!D$5,3),IF($Y$3="wind一级行业",[1]!s_info_industry_gics(W2105,1),IF($Y$3="wind二级行业",[1]!s_info_industry_gics(W2105,2),IF($Y$3="wind三级行业",[1]!s_info_industry_gics(W2105,3),IF($Y$3="wind四级行业",[1]!s_info_industry_gics(W2105,4),IF($Y$3="证监会门类行业",[1]!s_info_industry_csrc12_n(W2105,公司分析!D$5,1),""))))))))</f>
        <v>出版</v>
      </c>
      <c r="Z2105" s="302" t="str">
        <f ca="1">IF(Y2105=行业比较!$E$6,ROW(),"")</f>
        <v/>
      </c>
      <c r="AA2105" s="122"/>
      <c r="AB2105" s="122"/>
      <c r="AC2105" s="122"/>
      <c r="AD2105" s="122"/>
      <c r="AE2105" s="122"/>
      <c r="AF2105" s="122"/>
      <c r="AG2105" s="122"/>
      <c r="AH2105" s="122"/>
      <c r="AI2105" s="122"/>
      <c r="AJ2105" s="122"/>
      <c r="AK2105" s="122"/>
      <c r="AL2105" s="122"/>
      <c r="AM2105" s="122"/>
      <c r="AN2105" s="122"/>
      <c r="AO2105" s="122"/>
      <c r="AP2105" s="122"/>
    </row>
    <row r="2106" spans="2:42">
      <c r="B2106" s="122"/>
      <c r="C2106" s="122"/>
      <c r="D2106" s="122"/>
      <c r="E2106" s="122"/>
      <c r="F2106" s="122"/>
      <c r="G2106" s="122"/>
      <c r="H2106" s="122"/>
      <c r="I2106" s="275"/>
      <c r="J2106" s="130"/>
      <c r="K2106" s="130"/>
      <c r="L2106" s="130"/>
      <c r="M2106" s="130"/>
      <c r="N2106" s="291"/>
      <c r="O2106" s="291"/>
      <c r="P2106" s="122"/>
      <c r="Q2106" s="122"/>
      <c r="R2106" s="122"/>
      <c r="S2106" s="122"/>
      <c r="T2106" s="122"/>
      <c r="U2106" s="315"/>
      <c r="V2106" s="260">
        <f t="shared" ca="1" si="40"/>
        <v>0</v>
      </c>
      <c r="W2106" s="348" t="str">
        <f>IF(板块成分!B2108="","",板块成分!B2108)</f>
        <v>300655.SZ</v>
      </c>
      <c r="X2106" s="276" t="str">
        <f>[1]!S_Info_Name(W2106)</f>
        <v>晶瑞电材</v>
      </c>
      <c r="Y2106" s="276" t="str">
        <f ca="1">IF($Y$3="申万一级行业",[1]!s_info_industry_sw_2021(W2106,公司分析!D$5,1),IF($Y$3="申万二级行业",[1]!s_info_industry_sw_2021(W2106,公司分析!D$5,2),IF($Y$3="申万三级行业",[1]!s_info_industry_sw_2021(W2106,公司分析!D$5,3),IF($Y$3="wind一级行业",[1]!s_info_industry_gics(W2106,1),IF($Y$3="wind二级行业",[1]!s_info_industry_gics(W2106,2),IF($Y$3="wind三级行业",[1]!s_info_industry_gics(W2106,3),IF($Y$3="wind四级行业",[1]!s_info_industry_gics(W2106,4),IF($Y$3="证监会门类行业",[1]!s_info_industry_csrc12_n(W2106,公司分析!D$5,1),""))))))))</f>
        <v>电子化学品Ⅱ</v>
      </c>
      <c r="Z2106" s="302" t="str">
        <f ca="1">IF(Y2106=行业比较!$E$6,ROW(),"")</f>
        <v/>
      </c>
      <c r="AA2106" s="122"/>
      <c r="AB2106" s="122"/>
      <c r="AC2106" s="122"/>
      <c r="AD2106" s="122"/>
      <c r="AE2106" s="122"/>
      <c r="AF2106" s="122"/>
      <c r="AG2106" s="122"/>
      <c r="AH2106" s="122"/>
      <c r="AI2106" s="122"/>
      <c r="AJ2106" s="122"/>
      <c r="AK2106" s="122"/>
      <c r="AL2106" s="122"/>
      <c r="AM2106" s="122"/>
      <c r="AN2106" s="122"/>
      <c r="AO2106" s="122"/>
      <c r="AP2106" s="122"/>
    </row>
    <row r="2107" spans="2:42">
      <c r="B2107" s="122"/>
      <c r="C2107" s="122"/>
      <c r="D2107" s="122"/>
      <c r="E2107" s="122"/>
      <c r="F2107" s="122"/>
      <c r="G2107" s="122"/>
      <c r="H2107" s="122"/>
      <c r="I2107" s="275"/>
      <c r="J2107" s="130"/>
      <c r="K2107" s="130"/>
      <c r="L2107" s="130"/>
      <c r="M2107" s="130"/>
      <c r="N2107" s="291"/>
      <c r="O2107" s="291"/>
      <c r="P2107" s="122"/>
      <c r="Q2107" s="122"/>
      <c r="R2107" s="122"/>
      <c r="S2107" s="122"/>
      <c r="T2107" s="122"/>
      <c r="U2107" s="315"/>
      <c r="V2107" s="260">
        <f t="shared" ca="1" si="40"/>
        <v>0</v>
      </c>
      <c r="W2107" s="348" t="str">
        <f>IF(板块成分!B2109="","",板块成分!B2109)</f>
        <v>300656.SZ</v>
      </c>
      <c r="X2107" s="276" t="str">
        <f>[1]!S_Info_Name(W2107)</f>
        <v>民德电子</v>
      </c>
      <c r="Y2107" s="276" t="str">
        <f ca="1">IF($Y$3="申万一级行业",[1]!s_info_industry_sw_2021(W2107,公司分析!D$5,1),IF($Y$3="申万二级行业",[1]!s_info_industry_sw_2021(W2107,公司分析!D$5,2),IF($Y$3="申万三级行业",[1]!s_info_industry_sw_2021(W2107,公司分析!D$5,3),IF($Y$3="wind一级行业",[1]!s_info_industry_gics(W2107,1),IF($Y$3="wind二级行业",[1]!s_info_industry_gics(W2107,2),IF($Y$3="wind三级行业",[1]!s_info_industry_gics(W2107,3),IF($Y$3="wind四级行业",[1]!s_info_industry_gics(W2107,4),IF($Y$3="证监会门类行业",[1]!s_info_industry_csrc12_n(W2107,公司分析!D$5,1),""))))))))</f>
        <v>其他电子Ⅱ</v>
      </c>
      <c r="Z2107" s="302" t="str">
        <f ca="1">IF(Y2107=行业比较!$E$6,ROW(),"")</f>
        <v/>
      </c>
      <c r="AA2107" s="122"/>
      <c r="AB2107" s="122"/>
      <c r="AC2107" s="122"/>
      <c r="AD2107" s="122"/>
      <c r="AE2107" s="122"/>
      <c r="AF2107" s="122"/>
      <c r="AG2107" s="122"/>
      <c r="AH2107" s="122"/>
      <c r="AI2107" s="122"/>
      <c r="AJ2107" s="122"/>
      <c r="AK2107" s="122"/>
      <c r="AL2107" s="122"/>
      <c r="AM2107" s="122"/>
      <c r="AN2107" s="122"/>
      <c r="AO2107" s="122"/>
      <c r="AP2107" s="122"/>
    </row>
    <row r="2108" spans="2:42">
      <c r="B2108" s="122"/>
      <c r="C2108" s="122"/>
      <c r="D2108" s="122"/>
      <c r="E2108" s="122"/>
      <c r="F2108" s="122"/>
      <c r="G2108" s="122"/>
      <c r="H2108" s="122"/>
      <c r="I2108" s="275"/>
      <c r="J2108" s="130"/>
      <c r="K2108" s="130"/>
      <c r="L2108" s="130"/>
      <c r="M2108" s="130"/>
      <c r="N2108" s="291"/>
      <c r="O2108" s="291"/>
      <c r="P2108" s="122"/>
      <c r="Q2108" s="122"/>
      <c r="R2108" s="122"/>
      <c r="S2108" s="122"/>
      <c r="T2108" s="122"/>
      <c r="U2108" s="315"/>
      <c r="V2108" s="260">
        <f t="shared" ca="1" si="40"/>
        <v>0</v>
      </c>
      <c r="W2108" s="348" t="str">
        <f>IF(板块成分!B2110="","",板块成分!B2110)</f>
        <v>300657.SZ</v>
      </c>
      <c r="X2108" s="276" t="str">
        <f>[1]!S_Info_Name(W2108)</f>
        <v>弘信电子</v>
      </c>
      <c r="Y2108" s="276" t="str">
        <f ca="1">IF($Y$3="申万一级行业",[1]!s_info_industry_sw_2021(W2108,公司分析!D$5,1),IF($Y$3="申万二级行业",[1]!s_info_industry_sw_2021(W2108,公司分析!D$5,2),IF($Y$3="申万三级行业",[1]!s_info_industry_sw_2021(W2108,公司分析!D$5,3),IF($Y$3="wind一级行业",[1]!s_info_industry_gics(W2108,1),IF($Y$3="wind二级行业",[1]!s_info_industry_gics(W2108,2),IF($Y$3="wind三级行业",[1]!s_info_industry_gics(W2108,3),IF($Y$3="wind四级行业",[1]!s_info_industry_gics(W2108,4),IF($Y$3="证监会门类行业",[1]!s_info_industry_csrc12_n(W2108,公司分析!D$5,1),""))))))))</f>
        <v>元件</v>
      </c>
      <c r="Z2108" s="302" t="str">
        <f ca="1">IF(Y2108=行业比较!$E$6,ROW(),"")</f>
        <v/>
      </c>
      <c r="AA2108" s="122"/>
      <c r="AB2108" s="122"/>
      <c r="AC2108" s="122"/>
      <c r="AD2108" s="122"/>
      <c r="AE2108" s="122"/>
      <c r="AF2108" s="122"/>
      <c r="AG2108" s="122"/>
      <c r="AH2108" s="122"/>
      <c r="AI2108" s="122"/>
      <c r="AJ2108" s="122"/>
      <c r="AK2108" s="122"/>
      <c r="AL2108" s="122"/>
      <c r="AM2108" s="122"/>
      <c r="AN2108" s="122"/>
      <c r="AO2108" s="122"/>
      <c r="AP2108" s="122"/>
    </row>
    <row r="2109" spans="2:42">
      <c r="B2109" s="122"/>
      <c r="C2109" s="122"/>
      <c r="D2109" s="122"/>
      <c r="E2109" s="122"/>
      <c r="F2109" s="122"/>
      <c r="G2109" s="122"/>
      <c r="H2109" s="122"/>
      <c r="I2109" s="275"/>
      <c r="J2109" s="130"/>
      <c r="K2109" s="130"/>
      <c r="L2109" s="130"/>
      <c r="M2109" s="130"/>
      <c r="N2109" s="291"/>
      <c r="O2109" s="291"/>
      <c r="P2109" s="122"/>
      <c r="Q2109" s="122"/>
      <c r="R2109" s="122"/>
      <c r="S2109" s="122"/>
      <c r="T2109" s="122"/>
      <c r="U2109" s="315"/>
      <c r="V2109" s="260">
        <f t="shared" ca="1" si="40"/>
        <v>0</v>
      </c>
      <c r="W2109" s="348" t="str">
        <f>IF(板块成分!B2111="","",板块成分!B2111)</f>
        <v>300658.SZ</v>
      </c>
      <c r="X2109" s="276" t="str">
        <f>[1]!S_Info_Name(W2109)</f>
        <v>延江股份</v>
      </c>
      <c r="Y2109" s="276" t="str">
        <f ca="1">IF($Y$3="申万一级行业",[1]!s_info_industry_sw_2021(W2109,公司分析!D$5,1),IF($Y$3="申万二级行业",[1]!s_info_industry_sw_2021(W2109,公司分析!D$5,2),IF($Y$3="申万三级行业",[1]!s_info_industry_sw_2021(W2109,公司分析!D$5,3),IF($Y$3="wind一级行业",[1]!s_info_industry_gics(W2109,1),IF($Y$3="wind二级行业",[1]!s_info_industry_gics(W2109,2),IF($Y$3="wind三级行业",[1]!s_info_industry_gics(W2109,3),IF($Y$3="wind四级行业",[1]!s_info_industry_gics(W2109,4),IF($Y$3="证监会门类行业",[1]!s_info_industry_csrc12_n(W2109,公司分析!D$5,1),""))))))))</f>
        <v>个护用品</v>
      </c>
      <c r="Z2109" s="302" t="str">
        <f ca="1">IF(Y2109=行业比较!$E$6,ROW(),"")</f>
        <v/>
      </c>
      <c r="AA2109" s="122"/>
      <c r="AB2109" s="122"/>
      <c r="AC2109" s="122"/>
      <c r="AD2109" s="122"/>
      <c r="AE2109" s="122"/>
      <c r="AF2109" s="122"/>
      <c r="AG2109" s="122"/>
      <c r="AH2109" s="122"/>
      <c r="AI2109" s="122"/>
      <c r="AJ2109" s="122"/>
      <c r="AK2109" s="122"/>
      <c r="AL2109" s="122"/>
      <c r="AM2109" s="122"/>
      <c r="AN2109" s="122"/>
      <c r="AO2109" s="122"/>
      <c r="AP2109" s="122"/>
    </row>
    <row r="2110" spans="2:42">
      <c r="B2110" s="122"/>
      <c r="C2110" s="122"/>
      <c r="D2110" s="122"/>
      <c r="E2110" s="122"/>
      <c r="F2110" s="122"/>
      <c r="G2110" s="122"/>
      <c r="H2110" s="122"/>
      <c r="I2110" s="275"/>
      <c r="J2110" s="130"/>
      <c r="K2110" s="130"/>
      <c r="L2110" s="130"/>
      <c r="M2110" s="130"/>
      <c r="N2110" s="291"/>
      <c r="O2110" s="291"/>
      <c r="P2110" s="122"/>
      <c r="Q2110" s="122"/>
      <c r="R2110" s="122"/>
      <c r="S2110" s="122"/>
      <c r="T2110" s="122"/>
      <c r="U2110" s="315"/>
      <c r="V2110" s="260">
        <f t="shared" ca="1" si="40"/>
        <v>0</v>
      </c>
      <c r="W2110" s="348" t="str">
        <f>IF(板块成分!B2112="","",板块成分!B2112)</f>
        <v>300659.SZ</v>
      </c>
      <c r="X2110" s="276" t="str">
        <f>[1]!S_Info_Name(W2110)</f>
        <v>中孚信息</v>
      </c>
      <c r="Y2110" s="276" t="str">
        <f ca="1">IF($Y$3="申万一级行业",[1]!s_info_industry_sw_2021(W2110,公司分析!D$5,1),IF($Y$3="申万二级行业",[1]!s_info_industry_sw_2021(W2110,公司分析!D$5,2),IF($Y$3="申万三级行业",[1]!s_info_industry_sw_2021(W2110,公司分析!D$5,3),IF($Y$3="wind一级行业",[1]!s_info_industry_gics(W2110,1),IF($Y$3="wind二级行业",[1]!s_info_industry_gics(W2110,2),IF($Y$3="wind三级行业",[1]!s_info_industry_gics(W2110,3),IF($Y$3="wind四级行业",[1]!s_info_industry_gics(W2110,4),IF($Y$3="证监会门类行业",[1]!s_info_industry_csrc12_n(W2110,公司分析!D$5,1),""))))))))</f>
        <v>计算机设备</v>
      </c>
      <c r="Z2110" s="302" t="str">
        <f ca="1">IF(Y2110=行业比较!$E$6,ROW(),"")</f>
        <v/>
      </c>
      <c r="AA2110" s="122"/>
      <c r="AB2110" s="122"/>
      <c r="AC2110" s="122"/>
      <c r="AD2110" s="122"/>
      <c r="AE2110" s="122"/>
      <c r="AF2110" s="122"/>
      <c r="AG2110" s="122"/>
      <c r="AH2110" s="122"/>
      <c r="AI2110" s="122"/>
      <c r="AJ2110" s="122"/>
      <c r="AK2110" s="122"/>
      <c r="AL2110" s="122"/>
      <c r="AM2110" s="122"/>
      <c r="AN2110" s="122"/>
      <c r="AO2110" s="122"/>
      <c r="AP2110" s="122"/>
    </row>
    <row r="2111" spans="2:42">
      <c r="B2111" s="122"/>
      <c r="C2111" s="122"/>
      <c r="D2111" s="122"/>
      <c r="E2111" s="122"/>
      <c r="F2111" s="122"/>
      <c r="G2111" s="122"/>
      <c r="H2111" s="122"/>
      <c r="I2111" s="275"/>
      <c r="J2111" s="130"/>
      <c r="K2111" s="130"/>
      <c r="L2111" s="130"/>
      <c r="M2111" s="130"/>
      <c r="N2111" s="291"/>
      <c r="O2111" s="291"/>
      <c r="P2111" s="122"/>
      <c r="Q2111" s="122"/>
      <c r="R2111" s="122"/>
      <c r="S2111" s="122"/>
      <c r="T2111" s="122"/>
      <c r="U2111" s="315"/>
      <c r="V2111" s="260">
        <f t="shared" ca="1" si="40"/>
        <v>0</v>
      </c>
      <c r="W2111" s="348" t="str">
        <f>IF(板块成分!B2113="","",板块成分!B2113)</f>
        <v>300660.SZ</v>
      </c>
      <c r="X2111" s="276" t="str">
        <f>[1]!S_Info_Name(W2111)</f>
        <v>江苏雷利</v>
      </c>
      <c r="Y2111" s="276" t="str">
        <f ca="1">IF($Y$3="申万一级行业",[1]!s_info_industry_sw_2021(W2111,公司分析!D$5,1),IF($Y$3="申万二级行业",[1]!s_info_industry_sw_2021(W2111,公司分析!D$5,2),IF($Y$3="申万三级行业",[1]!s_info_industry_sw_2021(W2111,公司分析!D$5,3),IF($Y$3="wind一级行业",[1]!s_info_industry_gics(W2111,1),IF($Y$3="wind二级行业",[1]!s_info_industry_gics(W2111,2),IF($Y$3="wind三级行业",[1]!s_info_industry_gics(W2111,3),IF($Y$3="wind四级行业",[1]!s_info_industry_gics(W2111,4),IF($Y$3="证监会门类行业",[1]!s_info_industry_csrc12_n(W2111,公司分析!D$5,1),""))))))))</f>
        <v>电机Ⅱ</v>
      </c>
      <c r="Z2111" s="302" t="str">
        <f ca="1">IF(Y2111=行业比较!$E$6,ROW(),"")</f>
        <v/>
      </c>
      <c r="AA2111" s="122"/>
      <c r="AB2111" s="122"/>
      <c r="AC2111" s="122"/>
      <c r="AD2111" s="122"/>
      <c r="AE2111" s="122"/>
      <c r="AF2111" s="122"/>
      <c r="AG2111" s="122"/>
      <c r="AH2111" s="122"/>
      <c r="AI2111" s="122"/>
      <c r="AJ2111" s="122"/>
      <c r="AK2111" s="122"/>
      <c r="AL2111" s="122"/>
      <c r="AM2111" s="122"/>
      <c r="AN2111" s="122"/>
      <c r="AO2111" s="122"/>
      <c r="AP2111" s="122"/>
    </row>
    <row r="2112" spans="2:42">
      <c r="B2112" s="122"/>
      <c r="C2112" s="122"/>
      <c r="D2112" s="122"/>
      <c r="E2112" s="122"/>
      <c r="F2112" s="122"/>
      <c r="G2112" s="122"/>
      <c r="H2112" s="122"/>
      <c r="I2112" s="275"/>
      <c r="J2112" s="130"/>
      <c r="K2112" s="130"/>
      <c r="L2112" s="130"/>
      <c r="M2112" s="130"/>
      <c r="N2112" s="291"/>
      <c r="O2112" s="291"/>
      <c r="P2112" s="122"/>
      <c r="Q2112" s="122"/>
      <c r="R2112" s="122"/>
      <c r="S2112" s="122"/>
      <c r="T2112" s="122"/>
      <c r="U2112" s="315"/>
      <c r="V2112" s="260">
        <f t="shared" ca="1" si="40"/>
        <v>0</v>
      </c>
      <c r="W2112" s="348" t="str">
        <f>IF(板块成分!B2114="","",板块成分!B2114)</f>
        <v>300661.SZ</v>
      </c>
      <c r="X2112" s="276" t="str">
        <f>[1]!S_Info_Name(W2112)</f>
        <v>圣邦股份</v>
      </c>
      <c r="Y2112" s="276" t="str">
        <f ca="1">IF($Y$3="申万一级行业",[1]!s_info_industry_sw_2021(W2112,公司分析!D$5,1),IF($Y$3="申万二级行业",[1]!s_info_industry_sw_2021(W2112,公司分析!D$5,2),IF($Y$3="申万三级行业",[1]!s_info_industry_sw_2021(W2112,公司分析!D$5,3),IF($Y$3="wind一级行业",[1]!s_info_industry_gics(W2112,1),IF($Y$3="wind二级行业",[1]!s_info_industry_gics(W2112,2),IF($Y$3="wind三级行业",[1]!s_info_industry_gics(W2112,3),IF($Y$3="wind四级行业",[1]!s_info_industry_gics(W2112,4),IF($Y$3="证监会门类行业",[1]!s_info_industry_csrc12_n(W2112,公司分析!D$5,1),""))))))))</f>
        <v>半导体</v>
      </c>
      <c r="Z2112" s="302" t="str">
        <f ca="1">IF(Y2112=行业比较!$E$6,ROW(),"")</f>
        <v/>
      </c>
      <c r="AA2112" s="122"/>
      <c r="AB2112" s="122"/>
      <c r="AC2112" s="122"/>
      <c r="AD2112" s="122"/>
      <c r="AE2112" s="122"/>
      <c r="AF2112" s="122"/>
      <c r="AG2112" s="122"/>
      <c r="AH2112" s="122"/>
      <c r="AI2112" s="122"/>
      <c r="AJ2112" s="122"/>
      <c r="AK2112" s="122"/>
      <c r="AL2112" s="122"/>
      <c r="AM2112" s="122"/>
      <c r="AN2112" s="122"/>
      <c r="AO2112" s="122"/>
      <c r="AP2112" s="122"/>
    </row>
    <row r="2113" spans="2:42">
      <c r="B2113" s="122"/>
      <c r="C2113" s="122"/>
      <c r="D2113" s="122"/>
      <c r="E2113" s="122"/>
      <c r="F2113" s="122"/>
      <c r="G2113" s="122"/>
      <c r="H2113" s="122"/>
      <c r="I2113" s="275"/>
      <c r="J2113" s="130"/>
      <c r="K2113" s="130"/>
      <c r="L2113" s="130"/>
      <c r="M2113" s="130"/>
      <c r="N2113" s="291"/>
      <c r="O2113" s="291"/>
      <c r="P2113" s="122"/>
      <c r="Q2113" s="122"/>
      <c r="R2113" s="122"/>
      <c r="S2113" s="122"/>
      <c r="T2113" s="122"/>
      <c r="U2113" s="315"/>
      <c r="V2113" s="260">
        <f t="shared" ca="1" si="40"/>
        <v>0</v>
      </c>
      <c r="W2113" s="348" t="str">
        <f>IF(板块成分!B2115="","",板块成分!B2115)</f>
        <v>300662.SZ</v>
      </c>
      <c r="X2113" s="276" t="str">
        <f>[1]!S_Info_Name(W2113)</f>
        <v>科锐国际</v>
      </c>
      <c r="Y2113" s="276" t="str">
        <f ca="1">IF($Y$3="申万一级行业",[1]!s_info_industry_sw_2021(W2113,公司分析!D$5,1),IF($Y$3="申万二级行业",[1]!s_info_industry_sw_2021(W2113,公司分析!D$5,2),IF($Y$3="申万三级行业",[1]!s_info_industry_sw_2021(W2113,公司分析!D$5,3),IF($Y$3="wind一级行业",[1]!s_info_industry_gics(W2113,1),IF($Y$3="wind二级行业",[1]!s_info_industry_gics(W2113,2),IF($Y$3="wind三级行业",[1]!s_info_industry_gics(W2113,3),IF($Y$3="wind四级行业",[1]!s_info_industry_gics(W2113,4),IF($Y$3="证监会门类行业",[1]!s_info_industry_csrc12_n(W2113,公司分析!D$5,1),""))))))))</f>
        <v>专业服务</v>
      </c>
      <c r="Z2113" s="302" t="str">
        <f ca="1">IF(Y2113=行业比较!$E$6,ROW(),"")</f>
        <v/>
      </c>
      <c r="AA2113" s="122"/>
      <c r="AB2113" s="122"/>
      <c r="AC2113" s="122"/>
      <c r="AD2113" s="122"/>
      <c r="AE2113" s="122"/>
      <c r="AF2113" s="122"/>
      <c r="AG2113" s="122"/>
      <c r="AH2113" s="122"/>
      <c r="AI2113" s="122"/>
      <c r="AJ2113" s="122"/>
      <c r="AK2113" s="122"/>
      <c r="AL2113" s="122"/>
      <c r="AM2113" s="122"/>
      <c r="AN2113" s="122"/>
      <c r="AO2113" s="122"/>
      <c r="AP2113" s="122"/>
    </row>
    <row r="2114" spans="2:42">
      <c r="B2114" s="122"/>
      <c r="C2114" s="122"/>
      <c r="D2114" s="122"/>
      <c r="E2114" s="122"/>
      <c r="F2114" s="122"/>
      <c r="G2114" s="122"/>
      <c r="H2114" s="122"/>
      <c r="I2114" s="275"/>
      <c r="J2114" s="130"/>
      <c r="K2114" s="130"/>
      <c r="L2114" s="130"/>
      <c r="M2114" s="130"/>
      <c r="N2114" s="291"/>
      <c r="O2114" s="291"/>
      <c r="P2114" s="122"/>
      <c r="Q2114" s="122"/>
      <c r="R2114" s="122"/>
      <c r="S2114" s="122"/>
      <c r="T2114" s="122"/>
      <c r="U2114" s="315"/>
      <c r="V2114" s="260">
        <f t="shared" ca="1" si="40"/>
        <v>0</v>
      </c>
      <c r="W2114" s="348" t="str">
        <f>IF(板块成分!B2116="","",板块成分!B2116)</f>
        <v>300663.SZ</v>
      </c>
      <c r="X2114" s="276" t="str">
        <f>[1]!S_Info_Name(W2114)</f>
        <v>科蓝软件</v>
      </c>
      <c r="Y2114" s="276" t="str">
        <f ca="1">IF($Y$3="申万一级行业",[1]!s_info_industry_sw_2021(W2114,公司分析!D$5,1),IF($Y$3="申万二级行业",[1]!s_info_industry_sw_2021(W2114,公司分析!D$5,2),IF($Y$3="申万三级行业",[1]!s_info_industry_sw_2021(W2114,公司分析!D$5,3),IF($Y$3="wind一级行业",[1]!s_info_industry_gics(W2114,1),IF($Y$3="wind二级行业",[1]!s_info_industry_gics(W2114,2),IF($Y$3="wind三级行业",[1]!s_info_industry_gics(W2114,3),IF($Y$3="wind四级行业",[1]!s_info_industry_gics(W2114,4),IF($Y$3="证监会门类行业",[1]!s_info_industry_csrc12_n(W2114,公司分析!D$5,1),""))))))))</f>
        <v>软件开发</v>
      </c>
      <c r="Z2114" s="302" t="str">
        <f ca="1">IF(Y2114=行业比较!$E$6,ROW(),"")</f>
        <v/>
      </c>
      <c r="AA2114" s="122"/>
      <c r="AB2114" s="122"/>
      <c r="AC2114" s="122"/>
      <c r="AD2114" s="122"/>
      <c r="AE2114" s="122"/>
      <c r="AF2114" s="122"/>
      <c r="AG2114" s="122"/>
      <c r="AH2114" s="122"/>
      <c r="AI2114" s="122"/>
      <c r="AJ2114" s="122"/>
      <c r="AK2114" s="122"/>
      <c r="AL2114" s="122"/>
      <c r="AM2114" s="122"/>
      <c r="AN2114" s="122"/>
      <c r="AO2114" s="122"/>
      <c r="AP2114" s="122"/>
    </row>
    <row r="2115" spans="2:42">
      <c r="B2115" s="122"/>
      <c r="C2115" s="122"/>
      <c r="D2115" s="122"/>
      <c r="E2115" s="122"/>
      <c r="F2115" s="122"/>
      <c r="G2115" s="122"/>
      <c r="H2115" s="122"/>
      <c r="I2115" s="275"/>
      <c r="J2115" s="130"/>
      <c r="K2115" s="130"/>
      <c r="L2115" s="130"/>
      <c r="M2115" s="130"/>
      <c r="N2115" s="291"/>
      <c r="O2115" s="291"/>
      <c r="P2115" s="122"/>
      <c r="Q2115" s="122"/>
      <c r="R2115" s="122"/>
      <c r="S2115" s="122"/>
      <c r="T2115" s="122"/>
      <c r="U2115" s="315"/>
      <c r="V2115" s="260">
        <f t="shared" ca="1" si="40"/>
        <v>0</v>
      </c>
      <c r="W2115" s="348" t="str">
        <f>IF(板块成分!B2117="","",板块成分!B2117)</f>
        <v>300664.SZ</v>
      </c>
      <c r="X2115" s="276" t="str">
        <f>[1]!S_Info_Name(W2115)</f>
        <v>鹏鹞环保</v>
      </c>
      <c r="Y2115" s="276" t="str">
        <f ca="1">IF($Y$3="申万一级行业",[1]!s_info_industry_sw_2021(W2115,公司分析!D$5,1),IF($Y$3="申万二级行业",[1]!s_info_industry_sw_2021(W2115,公司分析!D$5,2),IF($Y$3="申万三级行业",[1]!s_info_industry_sw_2021(W2115,公司分析!D$5,3),IF($Y$3="wind一级行业",[1]!s_info_industry_gics(W2115,1),IF($Y$3="wind二级行业",[1]!s_info_industry_gics(W2115,2),IF($Y$3="wind三级行业",[1]!s_info_industry_gics(W2115,3),IF($Y$3="wind四级行业",[1]!s_info_industry_gics(W2115,4),IF($Y$3="证监会门类行业",[1]!s_info_industry_csrc12_n(W2115,公司分析!D$5,1),""))))))))</f>
        <v>环境治理</v>
      </c>
      <c r="Z2115" s="302" t="str">
        <f ca="1">IF(Y2115=行业比较!$E$6,ROW(),"")</f>
        <v/>
      </c>
      <c r="AA2115" s="122"/>
      <c r="AB2115" s="122"/>
      <c r="AC2115" s="122"/>
      <c r="AD2115" s="122"/>
      <c r="AE2115" s="122"/>
      <c r="AF2115" s="122"/>
      <c r="AG2115" s="122"/>
      <c r="AH2115" s="122"/>
      <c r="AI2115" s="122"/>
      <c r="AJ2115" s="122"/>
      <c r="AK2115" s="122"/>
      <c r="AL2115" s="122"/>
      <c r="AM2115" s="122"/>
      <c r="AN2115" s="122"/>
      <c r="AO2115" s="122"/>
      <c r="AP2115" s="122"/>
    </row>
    <row r="2116" spans="2:42">
      <c r="B2116" s="122"/>
      <c r="C2116" s="122"/>
      <c r="D2116" s="122"/>
      <c r="E2116" s="122"/>
      <c r="F2116" s="122"/>
      <c r="G2116" s="122"/>
      <c r="H2116" s="122"/>
      <c r="I2116" s="275"/>
      <c r="J2116" s="130"/>
      <c r="K2116" s="130"/>
      <c r="L2116" s="130"/>
      <c r="M2116" s="130"/>
      <c r="N2116" s="291"/>
      <c r="O2116" s="291"/>
      <c r="P2116" s="122"/>
      <c r="Q2116" s="122"/>
      <c r="R2116" s="122"/>
      <c r="S2116" s="122"/>
      <c r="T2116" s="122"/>
      <c r="U2116" s="315"/>
      <c r="V2116" s="260">
        <f t="shared" ca="1" si="40"/>
        <v>0</v>
      </c>
      <c r="W2116" s="348" t="str">
        <f>IF(板块成分!B2118="","",板块成分!B2118)</f>
        <v>300665.SZ</v>
      </c>
      <c r="X2116" s="276" t="str">
        <f>[1]!S_Info_Name(W2116)</f>
        <v>飞鹿股份</v>
      </c>
      <c r="Y2116" s="276" t="str">
        <f ca="1">IF($Y$3="申万一级行业",[1]!s_info_industry_sw_2021(W2116,公司分析!D$5,1),IF($Y$3="申万二级行业",[1]!s_info_industry_sw_2021(W2116,公司分析!D$5,2),IF($Y$3="申万三级行业",[1]!s_info_industry_sw_2021(W2116,公司分析!D$5,3),IF($Y$3="wind一级行业",[1]!s_info_industry_gics(W2116,1),IF($Y$3="wind二级行业",[1]!s_info_industry_gics(W2116,2),IF($Y$3="wind三级行业",[1]!s_info_industry_gics(W2116,3),IF($Y$3="wind四级行业",[1]!s_info_industry_gics(W2116,4),IF($Y$3="证监会门类行业",[1]!s_info_industry_csrc12_n(W2116,公司分析!D$5,1),""))))))))</f>
        <v>化学制品</v>
      </c>
      <c r="Z2116" s="302" t="str">
        <f ca="1">IF(Y2116=行业比较!$E$6,ROW(),"")</f>
        <v/>
      </c>
      <c r="AA2116" s="122"/>
      <c r="AB2116" s="122"/>
      <c r="AC2116" s="122"/>
      <c r="AD2116" s="122"/>
      <c r="AE2116" s="122"/>
      <c r="AF2116" s="122"/>
      <c r="AG2116" s="122"/>
      <c r="AH2116" s="122"/>
      <c r="AI2116" s="122"/>
      <c r="AJ2116" s="122"/>
      <c r="AK2116" s="122"/>
      <c r="AL2116" s="122"/>
      <c r="AM2116" s="122"/>
      <c r="AN2116" s="122"/>
      <c r="AO2116" s="122"/>
      <c r="AP2116" s="122"/>
    </row>
    <row r="2117" spans="2:42">
      <c r="B2117" s="122"/>
      <c r="C2117" s="122"/>
      <c r="D2117" s="122"/>
      <c r="E2117" s="122"/>
      <c r="F2117" s="122"/>
      <c r="G2117" s="122"/>
      <c r="H2117" s="122"/>
      <c r="I2117" s="275"/>
      <c r="J2117" s="130"/>
      <c r="K2117" s="130"/>
      <c r="L2117" s="130"/>
      <c r="M2117" s="130"/>
      <c r="N2117" s="291"/>
      <c r="O2117" s="291"/>
      <c r="P2117" s="122"/>
      <c r="Q2117" s="122"/>
      <c r="R2117" s="122"/>
      <c r="S2117" s="122"/>
      <c r="T2117" s="122"/>
      <c r="U2117" s="315"/>
      <c r="V2117" s="260">
        <f t="shared" ref="V2117:V2180" ca="1" si="41">IF(Z2117="",0,RANK(Z2117,Z:Z,1))</f>
        <v>0</v>
      </c>
      <c r="W2117" s="348" t="str">
        <f>IF(板块成分!B2119="","",板块成分!B2119)</f>
        <v>300666.SZ</v>
      </c>
      <c r="X2117" s="276" t="str">
        <f>[1]!S_Info_Name(W2117)</f>
        <v>江丰电子</v>
      </c>
      <c r="Y2117" s="276" t="str">
        <f ca="1">IF($Y$3="申万一级行业",[1]!s_info_industry_sw_2021(W2117,公司分析!D$5,1),IF($Y$3="申万二级行业",[1]!s_info_industry_sw_2021(W2117,公司分析!D$5,2),IF($Y$3="申万三级行业",[1]!s_info_industry_sw_2021(W2117,公司分析!D$5,3),IF($Y$3="wind一级行业",[1]!s_info_industry_gics(W2117,1),IF($Y$3="wind二级行业",[1]!s_info_industry_gics(W2117,2),IF($Y$3="wind三级行业",[1]!s_info_industry_gics(W2117,3),IF($Y$3="wind四级行业",[1]!s_info_industry_gics(W2117,4),IF($Y$3="证监会门类行业",[1]!s_info_industry_csrc12_n(W2117,公司分析!D$5,1),""))))))))</f>
        <v>半导体</v>
      </c>
      <c r="Z2117" s="302" t="str">
        <f ca="1">IF(Y2117=行业比较!$E$6,ROW(),"")</f>
        <v/>
      </c>
      <c r="AA2117" s="122"/>
      <c r="AB2117" s="122"/>
      <c r="AC2117" s="122"/>
      <c r="AD2117" s="122"/>
      <c r="AE2117" s="122"/>
      <c r="AF2117" s="122"/>
      <c r="AG2117" s="122"/>
      <c r="AH2117" s="122"/>
      <c r="AI2117" s="122"/>
      <c r="AJ2117" s="122"/>
      <c r="AK2117" s="122"/>
      <c r="AL2117" s="122"/>
      <c r="AM2117" s="122"/>
      <c r="AN2117" s="122"/>
      <c r="AO2117" s="122"/>
      <c r="AP2117" s="122"/>
    </row>
    <row r="2118" spans="2:42">
      <c r="B2118" s="122"/>
      <c r="C2118" s="122"/>
      <c r="D2118" s="122"/>
      <c r="E2118" s="122"/>
      <c r="F2118" s="122"/>
      <c r="G2118" s="122"/>
      <c r="H2118" s="122"/>
      <c r="I2118" s="275"/>
      <c r="J2118" s="130"/>
      <c r="K2118" s="130"/>
      <c r="L2118" s="130"/>
      <c r="M2118" s="130"/>
      <c r="N2118" s="291"/>
      <c r="O2118" s="291"/>
      <c r="P2118" s="122"/>
      <c r="Q2118" s="122"/>
      <c r="R2118" s="122"/>
      <c r="S2118" s="122"/>
      <c r="T2118" s="122"/>
      <c r="U2118" s="315"/>
      <c r="V2118" s="260">
        <f t="shared" ca="1" si="41"/>
        <v>0</v>
      </c>
      <c r="W2118" s="348" t="str">
        <f>IF(板块成分!B2120="","",板块成分!B2120)</f>
        <v>300667.SZ</v>
      </c>
      <c r="X2118" s="276" t="str">
        <f>[1]!S_Info_Name(W2118)</f>
        <v>必创科技</v>
      </c>
      <c r="Y2118" s="276" t="str">
        <f ca="1">IF($Y$3="申万一级行业",[1]!s_info_industry_sw_2021(W2118,公司分析!D$5,1),IF($Y$3="申万二级行业",[1]!s_info_industry_sw_2021(W2118,公司分析!D$5,2),IF($Y$3="申万三级行业",[1]!s_info_industry_sw_2021(W2118,公司分析!D$5,3),IF($Y$3="wind一级行业",[1]!s_info_industry_gics(W2118,1),IF($Y$3="wind二级行业",[1]!s_info_industry_gics(W2118,2),IF($Y$3="wind三级行业",[1]!s_info_industry_gics(W2118,3),IF($Y$3="wind四级行业",[1]!s_info_industry_gics(W2118,4),IF($Y$3="证监会门类行业",[1]!s_info_industry_csrc12_n(W2118,公司分析!D$5,1),""))))))))</f>
        <v>通用设备</v>
      </c>
      <c r="Z2118" s="302" t="str">
        <f ca="1">IF(Y2118=行业比较!$E$6,ROW(),"")</f>
        <v/>
      </c>
      <c r="AA2118" s="122"/>
      <c r="AB2118" s="122"/>
      <c r="AC2118" s="122"/>
      <c r="AD2118" s="122"/>
      <c r="AE2118" s="122"/>
      <c r="AF2118" s="122"/>
      <c r="AG2118" s="122"/>
      <c r="AH2118" s="122"/>
      <c r="AI2118" s="122"/>
      <c r="AJ2118" s="122"/>
      <c r="AK2118" s="122"/>
      <c r="AL2118" s="122"/>
      <c r="AM2118" s="122"/>
      <c r="AN2118" s="122"/>
      <c r="AO2118" s="122"/>
      <c r="AP2118" s="122"/>
    </row>
    <row r="2119" spans="2:42">
      <c r="B2119" s="122"/>
      <c r="C2119" s="122"/>
      <c r="D2119" s="122"/>
      <c r="E2119" s="122"/>
      <c r="F2119" s="122"/>
      <c r="G2119" s="122"/>
      <c r="H2119" s="122"/>
      <c r="I2119" s="275"/>
      <c r="J2119" s="130"/>
      <c r="K2119" s="130"/>
      <c r="L2119" s="130"/>
      <c r="M2119" s="130"/>
      <c r="N2119" s="291"/>
      <c r="O2119" s="291"/>
      <c r="P2119" s="122"/>
      <c r="Q2119" s="122"/>
      <c r="R2119" s="122"/>
      <c r="S2119" s="122"/>
      <c r="T2119" s="122"/>
      <c r="U2119" s="315"/>
      <c r="V2119" s="260">
        <f t="shared" ca="1" si="41"/>
        <v>0</v>
      </c>
      <c r="W2119" s="348" t="str">
        <f>IF(板块成分!B2121="","",板块成分!B2121)</f>
        <v>300668.SZ</v>
      </c>
      <c r="X2119" s="276" t="str">
        <f>[1]!S_Info_Name(W2119)</f>
        <v>杰恩设计</v>
      </c>
      <c r="Y2119" s="276" t="str">
        <f ca="1">IF($Y$3="申万一级行业",[1]!s_info_industry_sw_2021(W2119,公司分析!D$5,1),IF($Y$3="申万二级行业",[1]!s_info_industry_sw_2021(W2119,公司分析!D$5,2),IF($Y$3="申万三级行业",[1]!s_info_industry_sw_2021(W2119,公司分析!D$5,3),IF($Y$3="wind一级行业",[1]!s_info_industry_gics(W2119,1),IF($Y$3="wind二级行业",[1]!s_info_industry_gics(W2119,2),IF($Y$3="wind三级行业",[1]!s_info_industry_gics(W2119,3),IF($Y$3="wind四级行业",[1]!s_info_industry_gics(W2119,4),IF($Y$3="证监会门类行业",[1]!s_info_industry_csrc12_n(W2119,公司分析!D$5,1),""))))))))</f>
        <v>工程咨询服务Ⅱ</v>
      </c>
      <c r="Z2119" s="302" t="str">
        <f ca="1">IF(Y2119=行业比较!$E$6,ROW(),"")</f>
        <v/>
      </c>
      <c r="AA2119" s="122"/>
      <c r="AB2119" s="122"/>
      <c r="AC2119" s="122"/>
      <c r="AD2119" s="122"/>
      <c r="AE2119" s="122"/>
      <c r="AF2119" s="122"/>
      <c r="AG2119" s="122"/>
      <c r="AH2119" s="122"/>
      <c r="AI2119" s="122"/>
      <c r="AJ2119" s="122"/>
      <c r="AK2119" s="122"/>
      <c r="AL2119" s="122"/>
      <c r="AM2119" s="122"/>
      <c r="AN2119" s="122"/>
      <c r="AO2119" s="122"/>
      <c r="AP2119" s="122"/>
    </row>
    <row r="2120" spans="2:42">
      <c r="B2120" s="122"/>
      <c r="C2120" s="122"/>
      <c r="D2120" s="122"/>
      <c r="E2120" s="122"/>
      <c r="F2120" s="122"/>
      <c r="G2120" s="122"/>
      <c r="H2120" s="122"/>
      <c r="I2120" s="275"/>
      <c r="J2120" s="130"/>
      <c r="K2120" s="130"/>
      <c r="L2120" s="130"/>
      <c r="M2120" s="130"/>
      <c r="N2120" s="291"/>
      <c r="O2120" s="291"/>
      <c r="P2120" s="122"/>
      <c r="Q2120" s="122"/>
      <c r="R2120" s="122"/>
      <c r="S2120" s="122"/>
      <c r="T2120" s="122"/>
      <c r="U2120" s="315"/>
      <c r="V2120" s="260">
        <f t="shared" ca="1" si="41"/>
        <v>0</v>
      </c>
      <c r="W2120" s="348" t="str">
        <f>IF(板块成分!B2122="","",板块成分!B2122)</f>
        <v>300669.SZ</v>
      </c>
      <c r="X2120" s="276" t="str">
        <f>[1]!S_Info_Name(W2120)</f>
        <v>沪宁股份</v>
      </c>
      <c r="Y2120" s="276" t="str">
        <f ca="1">IF($Y$3="申万一级行业",[1]!s_info_industry_sw_2021(W2120,公司分析!D$5,1),IF($Y$3="申万二级行业",[1]!s_info_industry_sw_2021(W2120,公司分析!D$5,2),IF($Y$3="申万三级行业",[1]!s_info_industry_sw_2021(W2120,公司分析!D$5,3),IF($Y$3="wind一级行业",[1]!s_info_industry_gics(W2120,1),IF($Y$3="wind二级行业",[1]!s_info_industry_gics(W2120,2),IF($Y$3="wind三级行业",[1]!s_info_industry_gics(W2120,3),IF($Y$3="wind四级行业",[1]!s_info_industry_gics(W2120,4),IF($Y$3="证监会门类行业",[1]!s_info_industry_csrc12_n(W2120,公司分析!D$5,1),""))))))))</f>
        <v>专用设备</v>
      </c>
      <c r="Z2120" s="302" t="str">
        <f ca="1">IF(Y2120=行业比较!$E$6,ROW(),"")</f>
        <v/>
      </c>
      <c r="AA2120" s="122"/>
      <c r="AB2120" s="122"/>
      <c r="AC2120" s="122"/>
      <c r="AD2120" s="122"/>
      <c r="AE2120" s="122"/>
      <c r="AF2120" s="122"/>
      <c r="AG2120" s="122"/>
      <c r="AH2120" s="122"/>
      <c r="AI2120" s="122"/>
      <c r="AJ2120" s="122"/>
      <c r="AK2120" s="122"/>
      <c r="AL2120" s="122"/>
      <c r="AM2120" s="122"/>
      <c r="AN2120" s="122"/>
      <c r="AO2120" s="122"/>
      <c r="AP2120" s="122"/>
    </row>
    <row r="2121" spans="2:42">
      <c r="B2121" s="122"/>
      <c r="C2121" s="122"/>
      <c r="D2121" s="122"/>
      <c r="E2121" s="122"/>
      <c r="F2121" s="122"/>
      <c r="G2121" s="122"/>
      <c r="H2121" s="122"/>
      <c r="I2121" s="275"/>
      <c r="J2121" s="130"/>
      <c r="K2121" s="130"/>
      <c r="L2121" s="130"/>
      <c r="M2121" s="130"/>
      <c r="N2121" s="291"/>
      <c r="O2121" s="291"/>
      <c r="P2121" s="122"/>
      <c r="Q2121" s="122"/>
      <c r="R2121" s="122"/>
      <c r="S2121" s="122"/>
      <c r="T2121" s="122"/>
      <c r="U2121" s="315"/>
      <c r="V2121" s="260">
        <f t="shared" ca="1" si="41"/>
        <v>0</v>
      </c>
      <c r="W2121" s="348" t="str">
        <f>IF(板块成分!B2123="","",板块成分!B2123)</f>
        <v>300670.SZ</v>
      </c>
      <c r="X2121" s="276" t="str">
        <f>[1]!S_Info_Name(W2121)</f>
        <v>大烨智能</v>
      </c>
      <c r="Y2121" s="276" t="str">
        <f ca="1">IF($Y$3="申万一级行业",[1]!s_info_industry_sw_2021(W2121,公司分析!D$5,1),IF($Y$3="申万二级行业",[1]!s_info_industry_sw_2021(W2121,公司分析!D$5,2),IF($Y$3="申万三级行业",[1]!s_info_industry_sw_2021(W2121,公司分析!D$5,3),IF($Y$3="wind一级行业",[1]!s_info_industry_gics(W2121,1),IF($Y$3="wind二级行业",[1]!s_info_industry_gics(W2121,2),IF($Y$3="wind三级行业",[1]!s_info_industry_gics(W2121,3),IF($Y$3="wind四级行业",[1]!s_info_industry_gics(W2121,4),IF($Y$3="证监会门类行业",[1]!s_info_industry_csrc12_n(W2121,公司分析!D$5,1),""))))))))</f>
        <v>电网设备</v>
      </c>
      <c r="Z2121" s="302" t="str">
        <f ca="1">IF(Y2121=行业比较!$E$6,ROW(),"")</f>
        <v/>
      </c>
      <c r="AA2121" s="122"/>
      <c r="AB2121" s="122"/>
      <c r="AC2121" s="122"/>
      <c r="AD2121" s="122"/>
      <c r="AE2121" s="122"/>
      <c r="AF2121" s="122"/>
      <c r="AG2121" s="122"/>
      <c r="AH2121" s="122"/>
      <c r="AI2121" s="122"/>
      <c r="AJ2121" s="122"/>
      <c r="AK2121" s="122"/>
      <c r="AL2121" s="122"/>
      <c r="AM2121" s="122"/>
      <c r="AN2121" s="122"/>
      <c r="AO2121" s="122"/>
      <c r="AP2121" s="122"/>
    </row>
    <row r="2122" spans="2:42">
      <c r="B2122" s="122"/>
      <c r="C2122" s="122"/>
      <c r="D2122" s="122"/>
      <c r="E2122" s="122"/>
      <c r="F2122" s="122"/>
      <c r="G2122" s="122"/>
      <c r="H2122" s="122"/>
      <c r="I2122" s="275"/>
      <c r="J2122" s="130"/>
      <c r="K2122" s="130"/>
      <c r="L2122" s="130"/>
      <c r="M2122" s="130"/>
      <c r="N2122" s="291"/>
      <c r="O2122" s="291"/>
      <c r="P2122" s="122"/>
      <c r="Q2122" s="122"/>
      <c r="R2122" s="122"/>
      <c r="S2122" s="122"/>
      <c r="T2122" s="122"/>
      <c r="U2122" s="315"/>
      <c r="V2122" s="260">
        <f t="shared" ca="1" si="41"/>
        <v>0</v>
      </c>
      <c r="W2122" s="348" t="str">
        <f>IF(板块成分!B2124="","",板块成分!B2124)</f>
        <v>300671.SZ</v>
      </c>
      <c r="X2122" s="276" t="str">
        <f>[1]!S_Info_Name(W2122)</f>
        <v>富满微</v>
      </c>
      <c r="Y2122" s="276" t="str">
        <f ca="1">IF($Y$3="申万一级行业",[1]!s_info_industry_sw_2021(W2122,公司分析!D$5,1),IF($Y$3="申万二级行业",[1]!s_info_industry_sw_2021(W2122,公司分析!D$5,2),IF($Y$3="申万三级行业",[1]!s_info_industry_sw_2021(W2122,公司分析!D$5,3),IF($Y$3="wind一级行业",[1]!s_info_industry_gics(W2122,1),IF($Y$3="wind二级行业",[1]!s_info_industry_gics(W2122,2),IF($Y$3="wind三级行业",[1]!s_info_industry_gics(W2122,3),IF($Y$3="wind四级行业",[1]!s_info_industry_gics(W2122,4),IF($Y$3="证监会门类行业",[1]!s_info_industry_csrc12_n(W2122,公司分析!D$5,1),""))))))))</f>
        <v>半导体</v>
      </c>
      <c r="Z2122" s="302" t="str">
        <f ca="1">IF(Y2122=行业比较!$E$6,ROW(),"")</f>
        <v/>
      </c>
      <c r="AA2122" s="122"/>
      <c r="AB2122" s="122"/>
      <c r="AC2122" s="122"/>
      <c r="AD2122" s="122"/>
      <c r="AE2122" s="122"/>
      <c r="AF2122" s="122"/>
      <c r="AG2122" s="122"/>
      <c r="AH2122" s="122"/>
      <c r="AI2122" s="122"/>
      <c r="AJ2122" s="122"/>
      <c r="AK2122" s="122"/>
      <c r="AL2122" s="122"/>
      <c r="AM2122" s="122"/>
      <c r="AN2122" s="122"/>
      <c r="AO2122" s="122"/>
      <c r="AP2122" s="122"/>
    </row>
    <row r="2123" spans="2:42">
      <c r="B2123" s="122"/>
      <c r="C2123" s="122"/>
      <c r="D2123" s="122"/>
      <c r="E2123" s="122"/>
      <c r="F2123" s="122"/>
      <c r="G2123" s="122"/>
      <c r="H2123" s="122"/>
      <c r="I2123" s="275"/>
      <c r="J2123" s="130"/>
      <c r="K2123" s="130"/>
      <c r="L2123" s="130"/>
      <c r="M2123" s="130"/>
      <c r="N2123" s="291"/>
      <c r="O2123" s="291"/>
      <c r="P2123" s="122"/>
      <c r="Q2123" s="122"/>
      <c r="R2123" s="122"/>
      <c r="S2123" s="122"/>
      <c r="T2123" s="122"/>
      <c r="U2123" s="315"/>
      <c r="V2123" s="260">
        <f t="shared" ca="1" si="41"/>
        <v>0</v>
      </c>
      <c r="W2123" s="348" t="str">
        <f>IF(板块成分!B2125="","",板块成分!B2125)</f>
        <v>300672.SZ</v>
      </c>
      <c r="X2123" s="276" t="str">
        <f>[1]!S_Info_Name(W2123)</f>
        <v>国科微</v>
      </c>
      <c r="Y2123" s="276" t="str">
        <f ca="1">IF($Y$3="申万一级行业",[1]!s_info_industry_sw_2021(W2123,公司分析!D$5,1),IF($Y$3="申万二级行业",[1]!s_info_industry_sw_2021(W2123,公司分析!D$5,2),IF($Y$3="申万三级行业",[1]!s_info_industry_sw_2021(W2123,公司分析!D$5,3),IF($Y$3="wind一级行业",[1]!s_info_industry_gics(W2123,1),IF($Y$3="wind二级行业",[1]!s_info_industry_gics(W2123,2),IF($Y$3="wind三级行业",[1]!s_info_industry_gics(W2123,3),IF($Y$3="wind四级行业",[1]!s_info_industry_gics(W2123,4),IF($Y$3="证监会门类行业",[1]!s_info_industry_csrc12_n(W2123,公司分析!D$5,1),""))))))))</f>
        <v>半导体</v>
      </c>
      <c r="Z2123" s="302" t="str">
        <f ca="1">IF(Y2123=行业比较!$E$6,ROW(),"")</f>
        <v/>
      </c>
      <c r="AA2123" s="122"/>
      <c r="AB2123" s="122"/>
      <c r="AC2123" s="122"/>
      <c r="AD2123" s="122"/>
      <c r="AE2123" s="122"/>
      <c r="AF2123" s="122"/>
      <c r="AG2123" s="122"/>
      <c r="AH2123" s="122"/>
      <c r="AI2123" s="122"/>
      <c r="AJ2123" s="122"/>
      <c r="AK2123" s="122"/>
      <c r="AL2123" s="122"/>
      <c r="AM2123" s="122"/>
      <c r="AN2123" s="122"/>
      <c r="AO2123" s="122"/>
      <c r="AP2123" s="122"/>
    </row>
    <row r="2124" spans="2:42">
      <c r="B2124" s="122"/>
      <c r="C2124" s="122"/>
      <c r="D2124" s="122"/>
      <c r="E2124" s="122"/>
      <c r="F2124" s="122"/>
      <c r="G2124" s="122"/>
      <c r="H2124" s="122"/>
      <c r="I2124" s="275"/>
      <c r="J2124" s="130"/>
      <c r="K2124" s="130"/>
      <c r="L2124" s="130"/>
      <c r="M2124" s="130"/>
      <c r="N2124" s="291"/>
      <c r="O2124" s="291"/>
      <c r="P2124" s="122"/>
      <c r="Q2124" s="122"/>
      <c r="R2124" s="122"/>
      <c r="S2124" s="122"/>
      <c r="T2124" s="122"/>
      <c r="U2124" s="315"/>
      <c r="V2124" s="260">
        <f t="shared" ca="1" si="41"/>
        <v>0</v>
      </c>
      <c r="W2124" s="348" t="str">
        <f>IF(板块成分!B2126="","",板块成分!B2126)</f>
        <v>300673.SZ</v>
      </c>
      <c r="X2124" s="276" t="str">
        <f>[1]!S_Info_Name(W2124)</f>
        <v>佩蒂股份</v>
      </c>
      <c r="Y2124" s="276" t="str">
        <f ca="1">IF($Y$3="申万一级行业",[1]!s_info_industry_sw_2021(W2124,公司分析!D$5,1),IF($Y$3="申万二级行业",[1]!s_info_industry_sw_2021(W2124,公司分析!D$5,2),IF($Y$3="申万三级行业",[1]!s_info_industry_sw_2021(W2124,公司分析!D$5,3),IF($Y$3="wind一级行业",[1]!s_info_industry_gics(W2124,1),IF($Y$3="wind二级行业",[1]!s_info_industry_gics(W2124,2),IF($Y$3="wind三级行业",[1]!s_info_industry_gics(W2124,3),IF($Y$3="wind四级行业",[1]!s_info_industry_gics(W2124,4),IF($Y$3="证监会门类行业",[1]!s_info_industry_csrc12_n(W2124,公司分析!D$5,1),""))))))))</f>
        <v>饲料</v>
      </c>
      <c r="Z2124" s="302" t="str">
        <f ca="1">IF(Y2124=行业比较!$E$6,ROW(),"")</f>
        <v/>
      </c>
      <c r="AA2124" s="122"/>
      <c r="AB2124" s="122"/>
      <c r="AC2124" s="122"/>
      <c r="AD2124" s="122"/>
      <c r="AE2124" s="122"/>
      <c r="AF2124" s="122"/>
      <c r="AG2124" s="122"/>
      <c r="AH2124" s="122"/>
      <c r="AI2124" s="122"/>
      <c r="AJ2124" s="122"/>
      <c r="AK2124" s="122"/>
      <c r="AL2124" s="122"/>
      <c r="AM2124" s="122"/>
      <c r="AN2124" s="122"/>
      <c r="AO2124" s="122"/>
      <c r="AP2124" s="122"/>
    </row>
    <row r="2125" spans="2:42">
      <c r="B2125" s="122"/>
      <c r="C2125" s="122"/>
      <c r="D2125" s="122"/>
      <c r="E2125" s="122"/>
      <c r="F2125" s="122"/>
      <c r="G2125" s="122"/>
      <c r="H2125" s="122"/>
      <c r="I2125" s="275"/>
      <c r="J2125" s="130"/>
      <c r="K2125" s="130"/>
      <c r="L2125" s="130"/>
      <c r="M2125" s="130"/>
      <c r="N2125" s="291"/>
      <c r="O2125" s="291"/>
      <c r="P2125" s="122"/>
      <c r="Q2125" s="122"/>
      <c r="R2125" s="122"/>
      <c r="S2125" s="122"/>
      <c r="T2125" s="122"/>
      <c r="U2125" s="315"/>
      <c r="V2125" s="260">
        <f t="shared" ca="1" si="41"/>
        <v>0</v>
      </c>
      <c r="W2125" s="348" t="str">
        <f>IF(板块成分!B2127="","",板块成分!B2127)</f>
        <v>300674.SZ</v>
      </c>
      <c r="X2125" s="276" t="str">
        <f>[1]!S_Info_Name(W2125)</f>
        <v>宇信科技</v>
      </c>
      <c r="Y2125" s="276" t="str">
        <f ca="1">IF($Y$3="申万一级行业",[1]!s_info_industry_sw_2021(W2125,公司分析!D$5,1),IF($Y$3="申万二级行业",[1]!s_info_industry_sw_2021(W2125,公司分析!D$5,2),IF($Y$3="申万三级行业",[1]!s_info_industry_sw_2021(W2125,公司分析!D$5,3),IF($Y$3="wind一级行业",[1]!s_info_industry_gics(W2125,1),IF($Y$3="wind二级行业",[1]!s_info_industry_gics(W2125,2),IF($Y$3="wind三级行业",[1]!s_info_industry_gics(W2125,3),IF($Y$3="wind四级行业",[1]!s_info_industry_gics(W2125,4),IF($Y$3="证监会门类行业",[1]!s_info_industry_csrc12_n(W2125,公司分析!D$5,1),""))))))))</f>
        <v>IT服务Ⅱ</v>
      </c>
      <c r="Z2125" s="302" t="str">
        <f ca="1">IF(Y2125=行业比较!$E$6,ROW(),"")</f>
        <v/>
      </c>
      <c r="AA2125" s="122"/>
      <c r="AB2125" s="122"/>
      <c r="AC2125" s="122"/>
      <c r="AD2125" s="122"/>
      <c r="AE2125" s="122"/>
      <c r="AF2125" s="122"/>
      <c r="AG2125" s="122"/>
      <c r="AH2125" s="122"/>
      <c r="AI2125" s="122"/>
      <c r="AJ2125" s="122"/>
      <c r="AK2125" s="122"/>
      <c r="AL2125" s="122"/>
      <c r="AM2125" s="122"/>
      <c r="AN2125" s="122"/>
      <c r="AO2125" s="122"/>
      <c r="AP2125" s="122"/>
    </row>
    <row r="2126" spans="2:42">
      <c r="B2126" s="122"/>
      <c r="C2126" s="122"/>
      <c r="D2126" s="122"/>
      <c r="E2126" s="122"/>
      <c r="F2126" s="122"/>
      <c r="G2126" s="122"/>
      <c r="H2126" s="122"/>
      <c r="I2126" s="275"/>
      <c r="J2126" s="130"/>
      <c r="K2126" s="130"/>
      <c r="L2126" s="130"/>
      <c r="M2126" s="130"/>
      <c r="N2126" s="291"/>
      <c r="O2126" s="291"/>
      <c r="P2126" s="122"/>
      <c r="Q2126" s="122"/>
      <c r="R2126" s="122"/>
      <c r="S2126" s="122"/>
      <c r="T2126" s="122"/>
      <c r="U2126" s="315"/>
      <c r="V2126" s="260">
        <f t="shared" ca="1" si="41"/>
        <v>0</v>
      </c>
      <c r="W2126" s="348" t="str">
        <f>IF(板块成分!B2128="","",板块成分!B2128)</f>
        <v>300675.SZ</v>
      </c>
      <c r="X2126" s="276" t="str">
        <f>[1]!S_Info_Name(W2126)</f>
        <v>建科院</v>
      </c>
      <c r="Y2126" s="276" t="str">
        <f ca="1">IF($Y$3="申万一级行业",[1]!s_info_industry_sw_2021(W2126,公司分析!D$5,1),IF($Y$3="申万二级行业",[1]!s_info_industry_sw_2021(W2126,公司分析!D$5,2),IF($Y$3="申万三级行业",[1]!s_info_industry_sw_2021(W2126,公司分析!D$5,3),IF($Y$3="wind一级行业",[1]!s_info_industry_gics(W2126,1),IF($Y$3="wind二级行业",[1]!s_info_industry_gics(W2126,2),IF($Y$3="wind三级行业",[1]!s_info_industry_gics(W2126,3),IF($Y$3="wind四级行业",[1]!s_info_industry_gics(W2126,4),IF($Y$3="证监会门类行业",[1]!s_info_industry_csrc12_n(W2126,公司分析!D$5,1),""))))))))</f>
        <v>工程咨询服务Ⅱ</v>
      </c>
      <c r="Z2126" s="302" t="str">
        <f ca="1">IF(Y2126=行业比较!$E$6,ROW(),"")</f>
        <v/>
      </c>
      <c r="AA2126" s="122"/>
      <c r="AB2126" s="122"/>
      <c r="AC2126" s="122"/>
      <c r="AD2126" s="122"/>
      <c r="AE2126" s="122"/>
      <c r="AF2126" s="122"/>
      <c r="AG2126" s="122"/>
      <c r="AH2126" s="122"/>
      <c r="AI2126" s="122"/>
      <c r="AJ2126" s="122"/>
      <c r="AK2126" s="122"/>
      <c r="AL2126" s="122"/>
      <c r="AM2126" s="122"/>
      <c r="AN2126" s="122"/>
      <c r="AO2126" s="122"/>
      <c r="AP2126" s="122"/>
    </row>
    <row r="2127" spans="2:42">
      <c r="B2127" s="122"/>
      <c r="C2127" s="122"/>
      <c r="D2127" s="122"/>
      <c r="E2127" s="122"/>
      <c r="F2127" s="122"/>
      <c r="G2127" s="122"/>
      <c r="H2127" s="122"/>
      <c r="I2127" s="275"/>
      <c r="J2127" s="130"/>
      <c r="K2127" s="130"/>
      <c r="L2127" s="130"/>
      <c r="M2127" s="130"/>
      <c r="N2127" s="291"/>
      <c r="O2127" s="291"/>
      <c r="P2127" s="122"/>
      <c r="Q2127" s="122"/>
      <c r="R2127" s="122"/>
      <c r="S2127" s="122"/>
      <c r="T2127" s="122"/>
      <c r="U2127" s="315"/>
      <c r="V2127" s="260">
        <f t="shared" ca="1" si="41"/>
        <v>0</v>
      </c>
      <c r="W2127" s="348" t="str">
        <f>IF(板块成分!B2129="","",板块成分!B2129)</f>
        <v>300676.SZ</v>
      </c>
      <c r="X2127" s="276" t="str">
        <f>[1]!S_Info_Name(W2127)</f>
        <v>华大基因</v>
      </c>
      <c r="Y2127" s="276" t="str">
        <f ca="1">IF($Y$3="申万一级行业",[1]!s_info_industry_sw_2021(W2127,公司分析!D$5,1),IF($Y$3="申万二级行业",[1]!s_info_industry_sw_2021(W2127,公司分析!D$5,2),IF($Y$3="申万三级行业",[1]!s_info_industry_sw_2021(W2127,公司分析!D$5,3),IF($Y$3="wind一级行业",[1]!s_info_industry_gics(W2127,1),IF($Y$3="wind二级行业",[1]!s_info_industry_gics(W2127,2),IF($Y$3="wind三级行业",[1]!s_info_industry_gics(W2127,3),IF($Y$3="wind四级行业",[1]!s_info_industry_gics(W2127,4),IF($Y$3="证监会门类行业",[1]!s_info_industry_csrc12_n(W2127,公司分析!D$5,1),""))))))))</f>
        <v>医疗服务</v>
      </c>
      <c r="Z2127" s="302" t="str">
        <f ca="1">IF(Y2127=行业比较!$E$6,ROW(),"")</f>
        <v/>
      </c>
      <c r="AA2127" s="122"/>
      <c r="AB2127" s="122"/>
      <c r="AC2127" s="122"/>
      <c r="AD2127" s="122"/>
      <c r="AE2127" s="122"/>
      <c r="AF2127" s="122"/>
      <c r="AG2127" s="122"/>
      <c r="AH2127" s="122"/>
      <c r="AI2127" s="122"/>
      <c r="AJ2127" s="122"/>
      <c r="AK2127" s="122"/>
      <c r="AL2127" s="122"/>
      <c r="AM2127" s="122"/>
      <c r="AN2127" s="122"/>
      <c r="AO2127" s="122"/>
      <c r="AP2127" s="122"/>
    </row>
    <row r="2128" spans="2:42">
      <c r="B2128" s="122"/>
      <c r="C2128" s="122"/>
      <c r="D2128" s="122"/>
      <c r="E2128" s="122"/>
      <c r="F2128" s="122"/>
      <c r="G2128" s="122"/>
      <c r="H2128" s="122"/>
      <c r="I2128" s="275"/>
      <c r="J2128" s="130"/>
      <c r="K2128" s="130"/>
      <c r="L2128" s="130"/>
      <c r="M2128" s="130"/>
      <c r="N2128" s="291"/>
      <c r="O2128" s="291"/>
      <c r="P2128" s="122"/>
      <c r="Q2128" s="122"/>
      <c r="R2128" s="122"/>
      <c r="S2128" s="122"/>
      <c r="T2128" s="122"/>
      <c r="U2128" s="315"/>
      <c r="V2128" s="260">
        <f t="shared" ca="1" si="41"/>
        <v>0</v>
      </c>
      <c r="W2128" s="348" t="str">
        <f>IF(板块成分!B2130="","",板块成分!B2130)</f>
        <v>300677.SZ</v>
      </c>
      <c r="X2128" s="276" t="str">
        <f>[1]!S_Info_Name(W2128)</f>
        <v>英科医疗</v>
      </c>
      <c r="Y2128" s="276" t="str">
        <f ca="1">IF($Y$3="申万一级行业",[1]!s_info_industry_sw_2021(W2128,公司分析!D$5,1),IF($Y$3="申万二级行业",[1]!s_info_industry_sw_2021(W2128,公司分析!D$5,2),IF($Y$3="申万三级行业",[1]!s_info_industry_sw_2021(W2128,公司分析!D$5,3),IF($Y$3="wind一级行业",[1]!s_info_industry_gics(W2128,1),IF($Y$3="wind二级行业",[1]!s_info_industry_gics(W2128,2),IF($Y$3="wind三级行业",[1]!s_info_industry_gics(W2128,3),IF($Y$3="wind四级行业",[1]!s_info_industry_gics(W2128,4),IF($Y$3="证监会门类行业",[1]!s_info_industry_csrc12_n(W2128,公司分析!D$5,1),""))))))))</f>
        <v>医疗器械</v>
      </c>
      <c r="Z2128" s="302" t="str">
        <f ca="1">IF(Y2128=行业比较!$E$6,ROW(),"")</f>
        <v/>
      </c>
      <c r="AA2128" s="122"/>
      <c r="AB2128" s="122"/>
      <c r="AC2128" s="122"/>
      <c r="AD2128" s="122"/>
      <c r="AE2128" s="122"/>
      <c r="AF2128" s="122"/>
      <c r="AG2128" s="122"/>
      <c r="AH2128" s="122"/>
      <c r="AI2128" s="122"/>
      <c r="AJ2128" s="122"/>
      <c r="AK2128" s="122"/>
      <c r="AL2128" s="122"/>
      <c r="AM2128" s="122"/>
      <c r="AN2128" s="122"/>
      <c r="AO2128" s="122"/>
      <c r="AP2128" s="122"/>
    </row>
    <row r="2129" spans="2:42">
      <c r="B2129" s="122"/>
      <c r="C2129" s="122"/>
      <c r="D2129" s="122"/>
      <c r="E2129" s="122"/>
      <c r="F2129" s="122"/>
      <c r="G2129" s="122"/>
      <c r="H2129" s="122"/>
      <c r="I2129" s="275"/>
      <c r="J2129" s="130"/>
      <c r="K2129" s="130"/>
      <c r="L2129" s="130"/>
      <c r="M2129" s="130"/>
      <c r="N2129" s="291"/>
      <c r="O2129" s="291"/>
      <c r="P2129" s="122"/>
      <c r="Q2129" s="122"/>
      <c r="R2129" s="122"/>
      <c r="S2129" s="122"/>
      <c r="T2129" s="122"/>
      <c r="U2129" s="315"/>
      <c r="V2129" s="260">
        <f t="shared" ca="1" si="41"/>
        <v>0</v>
      </c>
      <c r="W2129" s="348" t="str">
        <f>IF(板块成分!B2131="","",板块成分!B2131)</f>
        <v>300678.SZ</v>
      </c>
      <c r="X2129" s="276" t="str">
        <f>[1]!S_Info_Name(W2129)</f>
        <v>中科信息</v>
      </c>
      <c r="Y2129" s="276" t="str">
        <f ca="1">IF($Y$3="申万一级行业",[1]!s_info_industry_sw_2021(W2129,公司分析!D$5,1),IF($Y$3="申万二级行业",[1]!s_info_industry_sw_2021(W2129,公司分析!D$5,2),IF($Y$3="申万三级行业",[1]!s_info_industry_sw_2021(W2129,公司分析!D$5,3),IF($Y$3="wind一级行业",[1]!s_info_industry_gics(W2129,1),IF($Y$3="wind二级行业",[1]!s_info_industry_gics(W2129,2),IF($Y$3="wind三级行业",[1]!s_info_industry_gics(W2129,3),IF($Y$3="wind四级行业",[1]!s_info_industry_gics(W2129,4),IF($Y$3="证监会门类行业",[1]!s_info_industry_csrc12_n(W2129,公司分析!D$5,1),""))))))))</f>
        <v>IT服务Ⅱ</v>
      </c>
      <c r="Z2129" s="302" t="str">
        <f ca="1">IF(Y2129=行业比较!$E$6,ROW(),"")</f>
        <v/>
      </c>
      <c r="AA2129" s="122"/>
      <c r="AB2129" s="122"/>
      <c r="AC2129" s="122"/>
      <c r="AD2129" s="122"/>
      <c r="AE2129" s="122"/>
      <c r="AF2129" s="122"/>
      <c r="AG2129" s="122"/>
      <c r="AH2129" s="122"/>
      <c r="AI2129" s="122"/>
      <c r="AJ2129" s="122"/>
      <c r="AK2129" s="122"/>
      <c r="AL2129" s="122"/>
      <c r="AM2129" s="122"/>
      <c r="AN2129" s="122"/>
      <c r="AO2129" s="122"/>
      <c r="AP2129" s="122"/>
    </row>
    <row r="2130" spans="2:42">
      <c r="B2130" s="122"/>
      <c r="C2130" s="122"/>
      <c r="D2130" s="122"/>
      <c r="E2130" s="122"/>
      <c r="F2130" s="122"/>
      <c r="G2130" s="122"/>
      <c r="H2130" s="122"/>
      <c r="I2130" s="275"/>
      <c r="J2130" s="130"/>
      <c r="K2130" s="130"/>
      <c r="L2130" s="130"/>
      <c r="M2130" s="130"/>
      <c r="N2130" s="291"/>
      <c r="O2130" s="291"/>
      <c r="P2130" s="122"/>
      <c r="Q2130" s="122"/>
      <c r="R2130" s="122"/>
      <c r="S2130" s="122"/>
      <c r="T2130" s="122"/>
      <c r="U2130" s="315"/>
      <c r="V2130" s="260">
        <f t="shared" ca="1" si="41"/>
        <v>0</v>
      </c>
      <c r="W2130" s="348" t="str">
        <f>IF(板块成分!B2132="","",板块成分!B2132)</f>
        <v>300679.SZ</v>
      </c>
      <c r="X2130" s="276" t="str">
        <f>[1]!S_Info_Name(W2130)</f>
        <v>电连技术</v>
      </c>
      <c r="Y2130" s="276" t="str">
        <f ca="1">IF($Y$3="申万一级行业",[1]!s_info_industry_sw_2021(W2130,公司分析!D$5,1),IF($Y$3="申万二级行业",[1]!s_info_industry_sw_2021(W2130,公司分析!D$5,2),IF($Y$3="申万三级行业",[1]!s_info_industry_sw_2021(W2130,公司分析!D$5,3),IF($Y$3="wind一级行业",[1]!s_info_industry_gics(W2130,1),IF($Y$3="wind二级行业",[1]!s_info_industry_gics(W2130,2),IF($Y$3="wind三级行业",[1]!s_info_industry_gics(W2130,3),IF($Y$3="wind四级行业",[1]!s_info_industry_gics(W2130,4),IF($Y$3="证监会门类行业",[1]!s_info_industry_csrc12_n(W2130,公司分析!D$5,1),""))))))))</f>
        <v>消费电子</v>
      </c>
      <c r="Z2130" s="302" t="str">
        <f ca="1">IF(Y2130=行业比较!$E$6,ROW(),"")</f>
        <v/>
      </c>
      <c r="AA2130" s="122"/>
      <c r="AB2130" s="122"/>
      <c r="AC2130" s="122"/>
      <c r="AD2130" s="122"/>
      <c r="AE2130" s="122"/>
      <c r="AF2130" s="122"/>
      <c r="AG2130" s="122"/>
      <c r="AH2130" s="122"/>
      <c r="AI2130" s="122"/>
      <c r="AJ2130" s="122"/>
      <c r="AK2130" s="122"/>
      <c r="AL2130" s="122"/>
      <c r="AM2130" s="122"/>
      <c r="AN2130" s="122"/>
      <c r="AO2130" s="122"/>
      <c r="AP2130" s="122"/>
    </row>
    <row r="2131" spans="2:42">
      <c r="B2131" s="122"/>
      <c r="C2131" s="122"/>
      <c r="D2131" s="122"/>
      <c r="E2131" s="122"/>
      <c r="F2131" s="122"/>
      <c r="G2131" s="122"/>
      <c r="H2131" s="122"/>
      <c r="I2131" s="275"/>
      <c r="J2131" s="130"/>
      <c r="K2131" s="130"/>
      <c r="L2131" s="130"/>
      <c r="M2131" s="130"/>
      <c r="N2131" s="291"/>
      <c r="O2131" s="291"/>
      <c r="P2131" s="122"/>
      <c r="Q2131" s="122"/>
      <c r="R2131" s="122"/>
      <c r="S2131" s="122"/>
      <c r="T2131" s="122"/>
      <c r="U2131" s="315"/>
      <c r="V2131" s="260">
        <f t="shared" ca="1" si="41"/>
        <v>0</v>
      </c>
      <c r="W2131" s="348" t="str">
        <f>IF(板块成分!B2133="","",板块成分!B2133)</f>
        <v>300680.SZ</v>
      </c>
      <c r="X2131" s="276" t="str">
        <f>[1]!S_Info_Name(W2131)</f>
        <v>隆盛科技</v>
      </c>
      <c r="Y2131" s="276" t="str">
        <f ca="1">IF($Y$3="申万一级行业",[1]!s_info_industry_sw_2021(W2131,公司分析!D$5,1),IF($Y$3="申万二级行业",[1]!s_info_industry_sw_2021(W2131,公司分析!D$5,2),IF($Y$3="申万三级行业",[1]!s_info_industry_sw_2021(W2131,公司分析!D$5,3),IF($Y$3="wind一级行业",[1]!s_info_industry_gics(W2131,1),IF($Y$3="wind二级行业",[1]!s_info_industry_gics(W2131,2),IF($Y$3="wind三级行业",[1]!s_info_industry_gics(W2131,3),IF($Y$3="wind四级行业",[1]!s_info_industry_gics(W2131,4),IF($Y$3="证监会门类行业",[1]!s_info_industry_csrc12_n(W2131,公司分析!D$5,1),""))))))))</f>
        <v>汽车零部件</v>
      </c>
      <c r="Z2131" s="302" t="str">
        <f ca="1">IF(Y2131=行业比较!$E$6,ROW(),"")</f>
        <v/>
      </c>
      <c r="AA2131" s="122"/>
      <c r="AB2131" s="122"/>
      <c r="AC2131" s="122"/>
      <c r="AD2131" s="122"/>
      <c r="AE2131" s="122"/>
      <c r="AF2131" s="122"/>
      <c r="AG2131" s="122"/>
      <c r="AH2131" s="122"/>
      <c r="AI2131" s="122"/>
      <c r="AJ2131" s="122"/>
      <c r="AK2131" s="122"/>
      <c r="AL2131" s="122"/>
      <c r="AM2131" s="122"/>
      <c r="AN2131" s="122"/>
      <c r="AO2131" s="122"/>
      <c r="AP2131" s="122"/>
    </row>
    <row r="2132" spans="2:42">
      <c r="B2132" s="122"/>
      <c r="C2132" s="122"/>
      <c r="D2132" s="122"/>
      <c r="E2132" s="122"/>
      <c r="F2132" s="122"/>
      <c r="G2132" s="122"/>
      <c r="H2132" s="122"/>
      <c r="I2132" s="275"/>
      <c r="J2132" s="130"/>
      <c r="K2132" s="130"/>
      <c r="L2132" s="130"/>
      <c r="M2132" s="130"/>
      <c r="N2132" s="291"/>
      <c r="O2132" s="291"/>
      <c r="P2132" s="122"/>
      <c r="Q2132" s="122"/>
      <c r="R2132" s="122"/>
      <c r="S2132" s="122"/>
      <c r="T2132" s="122"/>
      <c r="U2132" s="315"/>
      <c r="V2132" s="260">
        <f t="shared" ca="1" si="41"/>
        <v>0</v>
      </c>
      <c r="W2132" s="348" t="str">
        <f>IF(板块成分!B2134="","",板块成分!B2134)</f>
        <v>300681.SZ</v>
      </c>
      <c r="X2132" s="276" t="str">
        <f>[1]!S_Info_Name(W2132)</f>
        <v>英搏尔</v>
      </c>
      <c r="Y2132" s="276" t="str">
        <f ca="1">IF($Y$3="申万一级行业",[1]!s_info_industry_sw_2021(W2132,公司分析!D$5,1),IF($Y$3="申万二级行业",[1]!s_info_industry_sw_2021(W2132,公司分析!D$5,2),IF($Y$3="申万三级行业",[1]!s_info_industry_sw_2021(W2132,公司分析!D$5,3),IF($Y$3="wind一级行业",[1]!s_info_industry_gics(W2132,1),IF($Y$3="wind二级行业",[1]!s_info_industry_gics(W2132,2),IF($Y$3="wind三级行业",[1]!s_info_industry_gics(W2132,3),IF($Y$3="wind四级行业",[1]!s_info_industry_gics(W2132,4),IF($Y$3="证监会门类行业",[1]!s_info_industry_csrc12_n(W2132,公司分析!D$5,1),""))))))))</f>
        <v>汽车零部件</v>
      </c>
      <c r="Z2132" s="302" t="str">
        <f ca="1">IF(Y2132=行业比较!$E$6,ROW(),"")</f>
        <v/>
      </c>
      <c r="AA2132" s="122"/>
      <c r="AB2132" s="122"/>
      <c r="AC2132" s="122"/>
      <c r="AD2132" s="122"/>
      <c r="AE2132" s="122"/>
      <c r="AF2132" s="122"/>
      <c r="AG2132" s="122"/>
      <c r="AH2132" s="122"/>
      <c r="AI2132" s="122"/>
      <c r="AJ2132" s="122"/>
      <c r="AK2132" s="122"/>
      <c r="AL2132" s="122"/>
      <c r="AM2132" s="122"/>
      <c r="AN2132" s="122"/>
      <c r="AO2132" s="122"/>
      <c r="AP2132" s="122"/>
    </row>
    <row r="2133" spans="2:42">
      <c r="B2133" s="122"/>
      <c r="C2133" s="122"/>
      <c r="D2133" s="122"/>
      <c r="E2133" s="122"/>
      <c r="F2133" s="122"/>
      <c r="G2133" s="122"/>
      <c r="H2133" s="122"/>
      <c r="I2133" s="275"/>
      <c r="J2133" s="130"/>
      <c r="K2133" s="130"/>
      <c r="L2133" s="130"/>
      <c r="M2133" s="130"/>
      <c r="N2133" s="291"/>
      <c r="O2133" s="291"/>
      <c r="P2133" s="122"/>
      <c r="Q2133" s="122"/>
      <c r="R2133" s="122"/>
      <c r="S2133" s="122"/>
      <c r="T2133" s="122"/>
      <c r="U2133" s="315"/>
      <c r="V2133" s="260">
        <f t="shared" ca="1" si="41"/>
        <v>0</v>
      </c>
      <c r="W2133" s="348" t="str">
        <f>IF(板块成分!B2135="","",板块成分!B2135)</f>
        <v>300682.SZ</v>
      </c>
      <c r="X2133" s="276" t="str">
        <f>[1]!S_Info_Name(W2133)</f>
        <v>朗新科技</v>
      </c>
      <c r="Y2133" s="276" t="str">
        <f ca="1">IF($Y$3="申万一级行业",[1]!s_info_industry_sw_2021(W2133,公司分析!D$5,1),IF($Y$3="申万二级行业",[1]!s_info_industry_sw_2021(W2133,公司分析!D$5,2),IF($Y$3="申万三级行业",[1]!s_info_industry_sw_2021(W2133,公司分析!D$5,3),IF($Y$3="wind一级行业",[1]!s_info_industry_gics(W2133,1),IF($Y$3="wind二级行业",[1]!s_info_industry_gics(W2133,2),IF($Y$3="wind三级行业",[1]!s_info_industry_gics(W2133,3),IF($Y$3="wind四级行业",[1]!s_info_industry_gics(W2133,4),IF($Y$3="证监会门类行业",[1]!s_info_industry_csrc12_n(W2133,公司分析!D$5,1),""))))))))</f>
        <v>IT服务Ⅱ</v>
      </c>
      <c r="Z2133" s="302" t="str">
        <f ca="1">IF(Y2133=行业比较!$E$6,ROW(),"")</f>
        <v/>
      </c>
      <c r="AA2133" s="122"/>
      <c r="AB2133" s="122"/>
      <c r="AC2133" s="122"/>
      <c r="AD2133" s="122"/>
      <c r="AE2133" s="122"/>
      <c r="AF2133" s="122"/>
      <c r="AG2133" s="122"/>
      <c r="AH2133" s="122"/>
      <c r="AI2133" s="122"/>
      <c r="AJ2133" s="122"/>
      <c r="AK2133" s="122"/>
      <c r="AL2133" s="122"/>
      <c r="AM2133" s="122"/>
      <c r="AN2133" s="122"/>
      <c r="AO2133" s="122"/>
      <c r="AP2133" s="122"/>
    </row>
    <row r="2134" spans="2:42">
      <c r="B2134" s="122"/>
      <c r="C2134" s="122"/>
      <c r="D2134" s="122"/>
      <c r="E2134" s="122"/>
      <c r="F2134" s="122"/>
      <c r="G2134" s="122"/>
      <c r="H2134" s="122"/>
      <c r="I2134" s="275"/>
      <c r="J2134" s="130"/>
      <c r="K2134" s="130"/>
      <c r="L2134" s="130"/>
      <c r="M2134" s="130"/>
      <c r="N2134" s="291"/>
      <c r="O2134" s="291"/>
      <c r="P2134" s="122"/>
      <c r="Q2134" s="122"/>
      <c r="R2134" s="122"/>
      <c r="S2134" s="122"/>
      <c r="T2134" s="122"/>
      <c r="U2134" s="315"/>
      <c r="V2134" s="260">
        <f t="shared" ca="1" si="41"/>
        <v>0</v>
      </c>
      <c r="W2134" s="348" t="str">
        <f>IF(板块成分!B2136="","",板块成分!B2136)</f>
        <v>300683.SZ</v>
      </c>
      <c r="X2134" s="276" t="str">
        <f>[1]!S_Info_Name(W2134)</f>
        <v>海特生物</v>
      </c>
      <c r="Y2134" s="276" t="str">
        <f ca="1">IF($Y$3="申万一级行业",[1]!s_info_industry_sw_2021(W2134,公司分析!D$5,1),IF($Y$3="申万二级行业",[1]!s_info_industry_sw_2021(W2134,公司分析!D$5,2),IF($Y$3="申万三级行业",[1]!s_info_industry_sw_2021(W2134,公司分析!D$5,3),IF($Y$3="wind一级行业",[1]!s_info_industry_gics(W2134,1),IF($Y$3="wind二级行业",[1]!s_info_industry_gics(W2134,2),IF($Y$3="wind三级行业",[1]!s_info_industry_gics(W2134,3),IF($Y$3="wind四级行业",[1]!s_info_industry_gics(W2134,4),IF($Y$3="证监会门类行业",[1]!s_info_industry_csrc12_n(W2134,公司分析!D$5,1),""))))))))</f>
        <v>医疗服务</v>
      </c>
      <c r="Z2134" s="302" t="str">
        <f ca="1">IF(Y2134=行业比较!$E$6,ROW(),"")</f>
        <v/>
      </c>
      <c r="AA2134" s="122"/>
      <c r="AB2134" s="122"/>
      <c r="AC2134" s="122"/>
      <c r="AD2134" s="122"/>
      <c r="AE2134" s="122"/>
      <c r="AF2134" s="122"/>
      <c r="AG2134" s="122"/>
      <c r="AH2134" s="122"/>
      <c r="AI2134" s="122"/>
      <c r="AJ2134" s="122"/>
      <c r="AK2134" s="122"/>
      <c r="AL2134" s="122"/>
      <c r="AM2134" s="122"/>
      <c r="AN2134" s="122"/>
      <c r="AO2134" s="122"/>
      <c r="AP2134" s="122"/>
    </row>
    <row r="2135" spans="2:42">
      <c r="B2135" s="122"/>
      <c r="C2135" s="122"/>
      <c r="D2135" s="122"/>
      <c r="E2135" s="122"/>
      <c r="F2135" s="122"/>
      <c r="G2135" s="122"/>
      <c r="H2135" s="122"/>
      <c r="I2135" s="275"/>
      <c r="J2135" s="130"/>
      <c r="K2135" s="130"/>
      <c r="L2135" s="130"/>
      <c r="M2135" s="130"/>
      <c r="N2135" s="291"/>
      <c r="O2135" s="291"/>
      <c r="P2135" s="122"/>
      <c r="Q2135" s="122"/>
      <c r="R2135" s="122"/>
      <c r="S2135" s="122"/>
      <c r="T2135" s="122"/>
      <c r="U2135" s="315"/>
      <c r="V2135" s="260">
        <f t="shared" ca="1" si="41"/>
        <v>0</v>
      </c>
      <c r="W2135" s="348" t="str">
        <f>IF(板块成分!B2137="","",板块成分!B2137)</f>
        <v>300684.SZ</v>
      </c>
      <c r="X2135" s="276" t="str">
        <f>[1]!S_Info_Name(W2135)</f>
        <v>中石科技</v>
      </c>
      <c r="Y2135" s="276" t="str">
        <f ca="1">IF($Y$3="申万一级行业",[1]!s_info_industry_sw_2021(W2135,公司分析!D$5,1),IF($Y$3="申万二级行业",[1]!s_info_industry_sw_2021(W2135,公司分析!D$5,2),IF($Y$3="申万三级行业",[1]!s_info_industry_sw_2021(W2135,公司分析!D$5,3),IF($Y$3="wind一级行业",[1]!s_info_industry_gics(W2135,1),IF($Y$3="wind二级行业",[1]!s_info_industry_gics(W2135,2),IF($Y$3="wind三级行业",[1]!s_info_industry_gics(W2135,3),IF($Y$3="wind四级行业",[1]!s_info_industry_gics(W2135,4),IF($Y$3="证监会门类行业",[1]!s_info_industry_csrc12_n(W2135,公司分析!D$5,1),""))))))))</f>
        <v>电子化学品Ⅱ</v>
      </c>
      <c r="Z2135" s="302" t="str">
        <f ca="1">IF(Y2135=行业比较!$E$6,ROW(),"")</f>
        <v/>
      </c>
      <c r="AA2135" s="122"/>
      <c r="AB2135" s="122"/>
      <c r="AC2135" s="122"/>
      <c r="AD2135" s="122"/>
      <c r="AE2135" s="122"/>
      <c r="AF2135" s="122"/>
      <c r="AG2135" s="122"/>
      <c r="AH2135" s="122"/>
      <c r="AI2135" s="122"/>
      <c r="AJ2135" s="122"/>
      <c r="AK2135" s="122"/>
      <c r="AL2135" s="122"/>
      <c r="AM2135" s="122"/>
      <c r="AN2135" s="122"/>
      <c r="AO2135" s="122"/>
      <c r="AP2135" s="122"/>
    </row>
    <row r="2136" spans="2:42">
      <c r="B2136" s="122"/>
      <c r="C2136" s="122"/>
      <c r="D2136" s="122"/>
      <c r="E2136" s="122"/>
      <c r="F2136" s="122"/>
      <c r="G2136" s="122"/>
      <c r="H2136" s="122"/>
      <c r="I2136" s="275"/>
      <c r="J2136" s="130"/>
      <c r="K2136" s="130"/>
      <c r="L2136" s="130"/>
      <c r="M2136" s="130"/>
      <c r="N2136" s="291"/>
      <c r="O2136" s="291"/>
      <c r="P2136" s="122"/>
      <c r="Q2136" s="122"/>
      <c r="R2136" s="122"/>
      <c r="S2136" s="122"/>
      <c r="T2136" s="122"/>
      <c r="U2136" s="315"/>
      <c r="V2136" s="260">
        <f t="shared" ca="1" si="41"/>
        <v>0</v>
      </c>
      <c r="W2136" s="348" t="str">
        <f>IF(板块成分!B2138="","",板块成分!B2138)</f>
        <v>300685.SZ</v>
      </c>
      <c r="X2136" s="276" t="str">
        <f>[1]!S_Info_Name(W2136)</f>
        <v>艾德生物</v>
      </c>
      <c r="Y2136" s="276" t="str">
        <f ca="1">IF($Y$3="申万一级行业",[1]!s_info_industry_sw_2021(W2136,公司分析!D$5,1),IF($Y$3="申万二级行业",[1]!s_info_industry_sw_2021(W2136,公司分析!D$5,2),IF($Y$3="申万三级行业",[1]!s_info_industry_sw_2021(W2136,公司分析!D$5,3),IF($Y$3="wind一级行业",[1]!s_info_industry_gics(W2136,1),IF($Y$3="wind二级行业",[1]!s_info_industry_gics(W2136,2),IF($Y$3="wind三级行业",[1]!s_info_industry_gics(W2136,3),IF($Y$3="wind四级行业",[1]!s_info_industry_gics(W2136,4),IF($Y$3="证监会门类行业",[1]!s_info_industry_csrc12_n(W2136,公司分析!D$5,1),""))))))))</f>
        <v>医疗器械</v>
      </c>
      <c r="Z2136" s="302" t="str">
        <f ca="1">IF(Y2136=行业比较!$E$6,ROW(),"")</f>
        <v/>
      </c>
      <c r="AA2136" s="122"/>
      <c r="AB2136" s="122"/>
      <c r="AC2136" s="122"/>
      <c r="AD2136" s="122"/>
      <c r="AE2136" s="122"/>
      <c r="AF2136" s="122"/>
      <c r="AG2136" s="122"/>
      <c r="AH2136" s="122"/>
      <c r="AI2136" s="122"/>
      <c r="AJ2136" s="122"/>
      <c r="AK2136" s="122"/>
      <c r="AL2136" s="122"/>
      <c r="AM2136" s="122"/>
      <c r="AN2136" s="122"/>
      <c r="AO2136" s="122"/>
      <c r="AP2136" s="122"/>
    </row>
    <row r="2137" spans="2:42">
      <c r="B2137" s="122"/>
      <c r="C2137" s="122"/>
      <c r="D2137" s="122"/>
      <c r="E2137" s="122"/>
      <c r="F2137" s="122"/>
      <c r="G2137" s="122"/>
      <c r="H2137" s="122"/>
      <c r="I2137" s="275"/>
      <c r="J2137" s="130"/>
      <c r="K2137" s="130"/>
      <c r="L2137" s="130"/>
      <c r="M2137" s="130"/>
      <c r="N2137" s="291"/>
      <c r="O2137" s="291"/>
      <c r="P2137" s="122"/>
      <c r="Q2137" s="122"/>
      <c r="R2137" s="122"/>
      <c r="S2137" s="122"/>
      <c r="T2137" s="122"/>
      <c r="U2137" s="315"/>
      <c r="V2137" s="260">
        <f t="shared" ca="1" si="41"/>
        <v>0</v>
      </c>
      <c r="W2137" s="348" t="str">
        <f>IF(板块成分!B2139="","",板块成分!B2139)</f>
        <v>300686.SZ</v>
      </c>
      <c r="X2137" s="276" t="str">
        <f>[1]!S_Info_Name(W2137)</f>
        <v>智动力</v>
      </c>
      <c r="Y2137" s="276" t="str">
        <f ca="1">IF($Y$3="申万一级行业",[1]!s_info_industry_sw_2021(W2137,公司分析!D$5,1),IF($Y$3="申万二级行业",[1]!s_info_industry_sw_2021(W2137,公司分析!D$5,2),IF($Y$3="申万三级行业",[1]!s_info_industry_sw_2021(W2137,公司分析!D$5,3),IF($Y$3="wind一级行业",[1]!s_info_industry_gics(W2137,1),IF($Y$3="wind二级行业",[1]!s_info_industry_gics(W2137,2),IF($Y$3="wind三级行业",[1]!s_info_industry_gics(W2137,3),IF($Y$3="wind四级行业",[1]!s_info_industry_gics(W2137,4),IF($Y$3="证监会门类行业",[1]!s_info_industry_csrc12_n(W2137,公司分析!D$5,1),""))))))))</f>
        <v>消费电子</v>
      </c>
      <c r="Z2137" s="302" t="str">
        <f ca="1">IF(Y2137=行业比较!$E$6,ROW(),"")</f>
        <v/>
      </c>
      <c r="AA2137" s="122"/>
      <c r="AB2137" s="122"/>
      <c r="AC2137" s="122"/>
      <c r="AD2137" s="122"/>
      <c r="AE2137" s="122"/>
      <c r="AF2137" s="122"/>
      <c r="AG2137" s="122"/>
      <c r="AH2137" s="122"/>
      <c r="AI2137" s="122"/>
      <c r="AJ2137" s="122"/>
      <c r="AK2137" s="122"/>
      <c r="AL2137" s="122"/>
      <c r="AM2137" s="122"/>
      <c r="AN2137" s="122"/>
      <c r="AO2137" s="122"/>
      <c r="AP2137" s="122"/>
    </row>
    <row r="2138" spans="2:42">
      <c r="B2138" s="122"/>
      <c r="C2138" s="122"/>
      <c r="D2138" s="122"/>
      <c r="E2138" s="122"/>
      <c r="F2138" s="122"/>
      <c r="G2138" s="122"/>
      <c r="H2138" s="122"/>
      <c r="I2138" s="275"/>
      <c r="J2138" s="130"/>
      <c r="K2138" s="130"/>
      <c r="L2138" s="130"/>
      <c r="M2138" s="130"/>
      <c r="N2138" s="291"/>
      <c r="O2138" s="291"/>
      <c r="P2138" s="122"/>
      <c r="Q2138" s="122"/>
      <c r="R2138" s="122"/>
      <c r="S2138" s="122"/>
      <c r="T2138" s="122"/>
      <c r="U2138" s="315"/>
      <c r="V2138" s="260">
        <f t="shared" ca="1" si="41"/>
        <v>0</v>
      </c>
      <c r="W2138" s="348" t="str">
        <f>IF(板块成分!B2140="","",板块成分!B2140)</f>
        <v>300687.SZ</v>
      </c>
      <c r="X2138" s="276" t="str">
        <f>[1]!S_Info_Name(W2138)</f>
        <v>赛意信息</v>
      </c>
      <c r="Y2138" s="276" t="str">
        <f ca="1">IF($Y$3="申万一级行业",[1]!s_info_industry_sw_2021(W2138,公司分析!D$5,1),IF($Y$3="申万二级行业",[1]!s_info_industry_sw_2021(W2138,公司分析!D$5,2),IF($Y$3="申万三级行业",[1]!s_info_industry_sw_2021(W2138,公司分析!D$5,3),IF($Y$3="wind一级行业",[1]!s_info_industry_gics(W2138,1),IF($Y$3="wind二级行业",[1]!s_info_industry_gics(W2138,2),IF($Y$3="wind三级行业",[1]!s_info_industry_gics(W2138,3),IF($Y$3="wind四级行业",[1]!s_info_industry_gics(W2138,4),IF($Y$3="证监会门类行业",[1]!s_info_industry_csrc12_n(W2138,公司分析!D$5,1),""))))))))</f>
        <v>IT服务Ⅱ</v>
      </c>
      <c r="Z2138" s="302" t="str">
        <f ca="1">IF(Y2138=行业比较!$E$6,ROW(),"")</f>
        <v/>
      </c>
      <c r="AA2138" s="122"/>
      <c r="AB2138" s="122"/>
      <c r="AC2138" s="122"/>
      <c r="AD2138" s="122"/>
      <c r="AE2138" s="122"/>
      <c r="AF2138" s="122"/>
      <c r="AG2138" s="122"/>
      <c r="AH2138" s="122"/>
      <c r="AI2138" s="122"/>
      <c r="AJ2138" s="122"/>
      <c r="AK2138" s="122"/>
      <c r="AL2138" s="122"/>
      <c r="AM2138" s="122"/>
      <c r="AN2138" s="122"/>
      <c r="AO2138" s="122"/>
      <c r="AP2138" s="122"/>
    </row>
    <row r="2139" spans="2:42">
      <c r="B2139" s="122"/>
      <c r="C2139" s="122"/>
      <c r="D2139" s="122"/>
      <c r="E2139" s="122"/>
      <c r="F2139" s="122"/>
      <c r="G2139" s="122"/>
      <c r="H2139" s="122"/>
      <c r="I2139" s="275"/>
      <c r="J2139" s="130"/>
      <c r="K2139" s="130"/>
      <c r="L2139" s="130"/>
      <c r="M2139" s="130"/>
      <c r="N2139" s="291"/>
      <c r="O2139" s="291"/>
      <c r="P2139" s="122"/>
      <c r="Q2139" s="122"/>
      <c r="R2139" s="122"/>
      <c r="S2139" s="122"/>
      <c r="T2139" s="122"/>
      <c r="U2139" s="315"/>
      <c r="V2139" s="260">
        <f t="shared" ca="1" si="41"/>
        <v>0</v>
      </c>
      <c r="W2139" s="348" t="str">
        <f>IF(板块成分!B2141="","",板块成分!B2141)</f>
        <v>300688.SZ</v>
      </c>
      <c r="X2139" s="276" t="str">
        <f>[1]!S_Info_Name(W2139)</f>
        <v>创业黑马</v>
      </c>
      <c r="Y2139" s="276" t="str">
        <f ca="1">IF($Y$3="申万一级行业",[1]!s_info_industry_sw_2021(W2139,公司分析!D$5,1),IF($Y$3="申万二级行业",[1]!s_info_industry_sw_2021(W2139,公司分析!D$5,2),IF($Y$3="申万三级行业",[1]!s_info_industry_sw_2021(W2139,公司分析!D$5,3),IF($Y$3="wind一级行业",[1]!s_info_industry_gics(W2139,1),IF($Y$3="wind二级行业",[1]!s_info_industry_gics(W2139,2),IF($Y$3="wind三级行业",[1]!s_info_industry_gics(W2139,3),IF($Y$3="wind四级行业",[1]!s_info_industry_gics(W2139,4),IF($Y$3="证监会门类行业",[1]!s_info_industry_csrc12_n(W2139,公司分析!D$5,1),""))))))))</f>
        <v>教育</v>
      </c>
      <c r="Z2139" s="302" t="str">
        <f ca="1">IF(Y2139=行业比较!$E$6,ROW(),"")</f>
        <v/>
      </c>
      <c r="AA2139" s="122"/>
      <c r="AB2139" s="122"/>
      <c r="AC2139" s="122"/>
      <c r="AD2139" s="122"/>
      <c r="AE2139" s="122"/>
      <c r="AF2139" s="122"/>
      <c r="AG2139" s="122"/>
      <c r="AH2139" s="122"/>
      <c r="AI2139" s="122"/>
      <c r="AJ2139" s="122"/>
      <c r="AK2139" s="122"/>
      <c r="AL2139" s="122"/>
      <c r="AM2139" s="122"/>
      <c r="AN2139" s="122"/>
      <c r="AO2139" s="122"/>
      <c r="AP2139" s="122"/>
    </row>
    <row r="2140" spans="2:42">
      <c r="B2140" s="122"/>
      <c r="C2140" s="122"/>
      <c r="D2140" s="122"/>
      <c r="E2140" s="122"/>
      <c r="F2140" s="122"/>
      <c r="G2140" s="122"/>
      <c r="H2140" s="122"/>
      <c r="I2140" s="275"/>
      <c r="J2140" s="130"/>
      <c r="K2140" s="130"/>
      <c r="L2140" s="130"/>
      <c r="M2140" s="130"/>
      <c r="N2140" s="291"/>
      <c r="O2140" s="291"/>
      <c r="P2140" s="122"/>
      <c r="Q2140" s="122"/>
      <c r="R2140" s="122"/>
      <c r="S2140" s="122"/>
      <c r="T2140" s="122"/>
      <c r="U2140" s="315"/>
      <c r="V2140" s="260">
        <f t="shared" ca="1" si="41"/>
        <v>0</v>
      </c>
      <c r="W2140" s="348" t="str">
        <f>IF(板块成分!B2142="","",板块成分!B2142)</f>
        <v>300689.SZ</v>
      </c>
      <c r="X2140" s="276" t="str">
        <f>[1]!S_Info_Name(W2140)</f>
        <v>澄天伟业</v>
      </c>
      <c r="Y2140" s="276" t="str">
        <f ca="1">IF($Y$3="申万一级行业",[1]!s_info_industry_sw_2021(W2140,公司分析!D$5,1),IF($Y$3="申万二级行业",[1]!s_info_industry_sw_2021(W2140,公司分析!D$5,2),IF($Y$3="申万三级行业",[1]!s_info_industry_sw_2021(W2140,公司分析!D$5,3),IF($Y$3="wind一级行业",[1]!s_info_industry_gics(W2140,1),IF($Y$3="wind二级行业",[1]!s_info_industry_gics(W2140,2),IF($Y$3="wind三级行业",[1]!s_info_industry_gics(W2140,3),IF($Y$3="wind四级行业",[1]!s_info_industry_gics(W2140,4),IF($Y$3="证监会门类行业",[1]!s_info_industry_csrc12_n(W2140,公司分析!D$5,1),""))))))))</f>
        <v>通信设备</v>
      </c>
      <c r="Z2140" s="302" t="str">
        <f ca="1">IF(Y2140=行业比较!$E$6,ROW(),"")</f>
        <v/>
      </c>
      <c r="AA2140" s="122"/>
      <c r="AB2140" s="122"/>
      <c r="AC2140" s="122"/>
      <c r="AD2140" s="122"/>
      <c r="AE2140" s="122"/>
      <c r="AF2140" s="122"/>
      <c r="AG2140" s="122"/>
      <c r="AH2140" s="122"/>
      <c r="AI2140" s="122"/>
      <c r="AJ2140" s="122"/>
      <c r="AK2140" s="122"/>
      <c r="AL2140" s="122"/>
      <c r="AM2140" s="122"/>
      <c r="AN2140" s="122"/>
      <c r="AO2140" s="122"/>
      <c r="AP2140" s="122"/>
    </row>
    <row r="2141" spans="2:42">
      <c r="B2141" s="122"/>
      <c r="C2141" s="122"/>
      <c r="D2141" s="122"/>
      <c r="E2141" s="122"/>
      <c r="F2141" s="122"/>
      <c r="G2141" s="122"/>
      <c r="H2141" s="122"/>
      <c r="I2141" s="275"/>
      <c r="J2141" s="130"/>
      <c r="K2141" s="130"/>
      <c r="L2141" s="130"/>
      <c r="M2141" s="130"/>
      <c r="N2141" s="291"/>
      <c r="O2141" s="291"/>
      <c r="P2141" s="122"/>
      <c r="Q2141" s="122"/>
      <c r="R2141" s="122"/>
      <c r="S2141" s="122"/>
      <c r="T2141" s="122"/>
      <c r="U2141" s="315"/>
      <c r="V2141" s="260">
        <f t="shared" ca="1" si="41"/>
        <v>0</v>
      </c>
      <c r="W2141" s="348" t="str">
        <f>IF(板块成分!B2143="","",板块成分!B2143)</f>
        <v>300690.SZ</v>
      </c>
      <c r="X2141" s="276" t="str">
        <f>[1]!S_Info_Name(W2141)</f>
        <v>双一科技</v>
      </c>
      <c r="Y2141" s="276" t="str">
        <f ca="1">IF($Y$3="申万一级行业",[1]!s_info_industry_sw_2021(W2141,公司分析!D$5,1),IF($Y$3="申万二级行业",[1]!s_info_industry_sw_2021(W2141,公司分析!D$5,2),IF($Y$3="申万三级行业",[1]!s_info_industry_sw_2021(W2141,公司分析!D$5,3),IF($Y$3="wind一级行业",[1]!s_info_industry_gics(W2141,1),IF($Y$3="wind二级行业",[1]!s_info_industry_gics(W2141,2),IF($Y$3="wind三级行业",[1]!s_info_industry_gics(W2141,3),IF($Y$3="wind四级行业",[1]!s_info_industry_gics(W2141,4),IF($Y$3="证监会门类行业",[1]!s_info_industry_csrc12_n(W2141,公司分析!D$5,1),""))))))))</f>
        <v>风电设备</v>
      </c>
      <c r="Z2141" s="302" t="str">
        <f ca="1">IF(Y2141=行业比较!$E$6,ROW(),"")</f>
        <v/>
      </c>
      <c r="AA2141" s="122"/>
      <c r="AB2141" s="122"/>
      <c r="AC2141" s="122"/>
      <c r="AD2141" s="122"/>
      <c r="AE2141" s="122"/>
      <c r="AF2141" s="122"/>
      <c r="AG2141" s="122"/>
      <c r="AH2141" s="122"/>
      <c r="AI2141" s="122"/>
      <c r="AJ2141" s="122"/>
      <c r="AK2141" s="122"/>
      <c r="AL2141" s="122"/>
      <c r="AM2141" s="122"/>
      <c r="AN2141" s="122"/>
      <c r="AO2141" s="122"/>
      <c r="AP2141" s="122"/>
    </row>
    <row r="2142" spans="2:42">
      <c r="B2142" s="122"/>
      <c r="C2142" s="122"/>
      <c r="D2142" s="122"/>
      <c r="E2142" s="122"/>
      <c r="F2142" s="122"/>
      <c r="G2142" s="122"/>
      <c r="H2142" s="122"/>
      <c r="I2142" s="275"/>
      <c r="J2142" s="130"/>
      <c r="K2142" s="130"/>
      <c r="L2142" s="130"/>
      <c r="M2142" s="130"/>
      <c r="N2142" s="291"/>
      <c r="O2142" s="291"/>
      <c r="P2142" s="122"/>
      <c r="Q2142" s="122"/>
      <c r="R2142" s="122"/>
      <c r="S2142" s="122"/>
      <c r="T2142" s="122"/>
      <c r="U2142" s="315"/>
      <c r="V2142" s="260">
        <f t="shared" ca="1" si="41"/>
        <v>0</v>
      </c>
      <c r="W2142" s="348" t="str">
        <f>IF(板块成分!B2144="","",板块成分!B2144)</f>
        <v>300691.SZ</v>
      </c>
      <c r="X2142" s="276" t="str">
        <f>[1]!S_Info_Name(W2142)</f>
        <v>联合光电</v>
      </c>
      <c r="Y2142" s="276" t="str">
        <f ca="1">IF($Y$3="申万一级行业",[1]!s_info_industry_sw_2021(W2142,公司分析!D$5,1),IF($Y$3="申万二级行业",[1]!s_info_industry_sw_2021(W2142,公司分析!D$5,2),IF($Y$3="申万三级行业",[1]!s_info_industry_sw_2021(W2142,公司分析!D$5,3),IF($Y$3="wind一级行业",[1]!s_info_industry_gics(W2142,1),IF($Y$3="wind二级行业",[1]!s_info_industry_gics(W2142,2),IF($Y$3="wind三级行业",[1]!s_info_industry_gics(W2142,3),IF($Y$3="wind四级行业",[1]!s_info_industry_gics(W2142,4),IF($Y$3="证监会门类行业",[1]!s_info_industry_csrc12_n(W2142,公司分析!D$5,1),""))))))))</f>
        <v>计算机设备</v>
      </c>
      <c r="Z2142" s="302" t="str">
        <f ca="1">IF(Y2142=行业比较!$E$6,ROW(),"")</f>
        <v/>
      </c>
      <c r="AA2142" s="122"/>
      <c r="AB2142" s="122"/>
      <c r="AC2142" s="122"/>
      <c r="AD2142" s="122"/>
      <c r="AE2142" s="122"/>
      <c r="AF2142" s="122"/>
      <c r="AG2142" s="122"/>
      <c r="AH2142" s="122"/>
      <c r="AI2142" s="122"/>
      <c r="AJ2142" s="122"/>
      <c r="AK2142" s="122"/>
      <c r="AL2142" s="122"/>
      <c r="AM2142" s="122"/>
      <c r="AN2142" s="122"/>
      <c r="AO2142" s="122"/>
      <c r="AP2142" s="122"/>
    </row>
    <row r="2143" spans="2:42">
      <c r="B2143" s="122"/>
      <c r="C2143" s="122"/>
      <c r="D2143" s="122"/>
      <c r="E2143" s="122"/>
      <c r="F2143" s="122"/>
      <c r="G2143" s="122"/>
      <c r="H2143" s="122"/>
      <c r="I2143" s="275"/>
      <c r="J2143" s="130"/>
      <c r="K2143" s="130"/>
      <c r="L2143" s="130"/>
      <c r="M2143" s="130"/>
      <c r="N2143" s="291"/>
      <c r="O2143" s="291"/>
      <c r="P2143" s="122"/>
      <c r="Q2143" s="122"/>
      <c r="R2143" s="122"/>
      <c r="S2143" s="122"/>
      <c r="T2143" s="122"/>
      <c r="U2143" s="315"/>
      <c r="V2143" s="260">
        <f t="shared" ca="1" si="41"/>
        <v>0</v>
      </c>
      <c r="W2143" s="348" t="str">
        <f>IF(板块成分!B2145="","",板块成分!B2145)</f>
        <v>300692.SZ</v>
      </c>
      <c r="X2143" s="276" t="str">
        <f>[1]!S_Info_Name(W2143)</f>
        <v>中赋科技</v>
      </c>
      <c r="Y2143" s="276" t="str">
        <f ca="1">IF($Y$3="申万一级行业",[1]!s_info_industry_sw_2021(W2143,公司分析!D$5,1),IF($Y$3="申万二级行业",[1]!s_info_industry_sw_2021(W2143,公司分析!D$5,2),IF($Y$3="申万三级行业",[1]!s_info_industry_sw_2021(W2143,公司分析!D$5,3),IF($Y$3="wind一级行业",[1]!s_info_industry_gics(W2143,1),IF($Y$3="wind二级行业",[1]!s_info_industry_gics(W2143,2),IF($Y$3="wind三级行业",[1]!s_info_industry_gics(W2143,3),IF($Y$3="wind四级行业",[1]!s_info_industry_gics(W2143,4),IF($Y$3="证监会门类行业",[1]!s_info_industry_csrc12_n(W2143,公司分析!D$5,1),""))))))))</f>
        <v>环境治理</v>
      </c>
      <c r="Z2143" s="302" t="str">
        <f ca="1">IF(Y2143=行业比较!$E$6,ROW(),"")</f>
        <v/>
      </c>
      <c r="AA2143" s="122"/>
      <c r="AB2143" s="122"/>
      <c r="AC2143" s="122"/>
      <c r="AD2143" s="122"/>
      <c r="AE2143" s="122"/>
      <c r="AF2143" s="122"/>
      <c r="AG2143" s="122"/>
      <c r="AH2143" s="122"/>
      <c r="AI2143" s="122"/>
      <c r="AJ2143" s="122"/>
      <c r="AK2143" s="122"/>
      <c r="AL2143" s="122"/>
      <c r="AM2143" s="122"/>
      <c r="AN2143" s="122"/>
      <c r="AO2143" s="122"/>
      <c r="AP2143" s="122"/>
    </row>
    <row r="2144" spans="2:42">
      <c r="B2144" s="122"/>
      <c r="C2144" s="122"/>
      <c r="D2144" s="122"/>
      <c r="E2144" s="122"/>
      <c r="F2144" s="122"/>
      <c r="G2144" s="122"/>
      <c r="H2144" s="122"/>
      <c r="I2144" s="275"/>
      <c r="J2144" s="130"/>
      <c r="K2144" s="130"/>
      <c r="L2144" s="130"/>
      <c r="M2144" s="130"/>
      <c r="N2144" s="291"/>
      <c r="O2144" s="291"/>
      <c r="P2144" s="122"/>
      <c r="Q2144" s="122"/>
      <c r="R2144" s="122"/>
      <c r="S2144" s="122"/>
      <c r="T2144" s="122"/>
      <c r="U2144" s="315"/>
      <c r="V2144" s="260">
        <f t="shared" ca="1" si="41"/>
        <v>0</v>
      </c>
      <c r="W2144" s="348" t="str">
        <f>IF(板块成分!B2146="","",板块成分!B2146)</f>
        <v>300693.SZ</v>
      </c>
      <c r="X2144" s="276" t="str">
        <f>[1]!S_Info_Name(W2144)</f>
        <v>盛弘股份</v>
      </c>
      <c r="Y2144" s="276" t="str">
        <f ca="1">IF($Y$3="申万一级行业",[1]!s_info_industry_sw_2021(W2144,公司分析!D$5,1),IF($Y$3="申万二级行业",[1]!s_info_industry_sw_2021(W2144,公司分析!D$5,2),IF($Y$3="申万三级行业",[1]!s_info_industry_sw_2021(W2144,公司分析!D$5,3),IF($Y$3="wind一级行业",[1]!s_info_industry_gics(W2144,1),IF($Y$3="wind二级行业",[1]!s_info_industry_gics(W2144,2),IF($Y$3="wind三级行业",[1]!s_info_industry_gics(W2144,3),IF($Y$3="wind四级行业",[1]!s_info_industry_gics(W2144,4),IF($Y$3="证监会门类行业",[1]!s_info_industry_csrc12_n(W2144,公司分析!D$5,1),""))))))))</f>
        <v>其他电源设备Ⅱ</v>
      </c>
      <c r="Z2144" s="302" t="str">
        <f ca="1">IF(Y2144=行业比较!$E$6,ROW(),"")</f>
        <v/>
      </c>
      <c r="AA2144" s="122"/>
      <c r="AB2144" s="122"/>
      <c r="AC2144" s="122"/>
      <c r="AD2144" s="122"/>
      <c r="AE2144" s="122"/>
      <c r="AF2144" s="122"/>
      <c r="AG2144" s="122"/>
      <c r="AH2144" s="122"/>
      <c r="AI2144" s="122"/>
      <c r="AJ2144" s="122"/>
      <c r="AK2144" s="122"/>
      <c r="AL2144" s="122"/>
      <c r="AM2144" s="122"/>
      <c r="AN2144" s="122"/>
      <c r="AO2144" s="122"/>
      <c r="AP2144" s="122"/>
    </row>
    <row r="2145" spans="2:42">
      <c r="B2145" s="122"/>
      <c r="C2145" s="122"/>
      <c r="D2145" s="122"/>
      <c r="E2145" s="122"/>
      <c r="F2145" s="122"/>
      <c r="G2145" s="122"/>
      <c r="H2145" s="122"/>
      <c r="I2145" s="275"/>
      <c r="J2145" s="130"/>
      <c r="K2145" s="130"/>
      <c r="L2145" s="130"/>
      <c r="M2145" s="130"/>
      <c r="N2145" s="291"/>
      <c r="O2145" s="291"/>
      <c r="P2145" s="122"/>
      <c r="Q2145" s="122"/>
      <c r="R2145" s="122"/>
      <c r="S2145" s="122"/>
      <c r="T2145" s="122"/>
      <c r="U2145" s="315"/>
      <c r="V2145" s="260">
        <f t="shared" ca="1" si="41"/>
        <v>0</v>
      </c>
      <c r="W2145" s="348" t="str">
        <f>IF(板块成分!B2147="","",板块成分!B2147)</f>
        <v>300694.SZ</v>
      </c>
      <c r="X2145" s="276" t="str">
        <f>[1]!S_Info_Name(W2145)</f>
        <v>蠡湖股份</v>
      </c>
      <c r="Y2145" s="276" t="str">
        <f ca="1">IF($Y$3="申万一级行业",[1]!s_info_industry_sw_2021(W2145,公司分析!D$5,1),IF($Y$3="申万二级行业",[1]!s_info_industry_sw_2021(W2145,公司分析!D$5,2),IF($Y$3="申万三级行业",[1]!s_info_industry_sw_2021(W2145,公司分析!D$5,3),IF($Y$3="wind一级行业",[1]!s_info_industry_gics(W2145,1),IF($Y$3="wind二级行业",[1]!s_info_industry_gics(W2145,2),IF($Y$3="wind三级行业",[1]!s_info_industry_gics(W2145,3),IF($Y$3="wind四级行业",[1]!s_info_industry_gics(W2145,4),IF($Y$3="证监会门类行业",[1]!s_info_industry_csrc12_n(W2145,公司分析!D$5,1),""))))))))</f>
        <v>汽车零部件</v>
      </c>
      <c r="Z2145" s="302" t="str">
        <f ca="1">IF(Y2145=行业比较!$E$6,ROW(),"")</f>
        <v/>
      </c>
      <c r="AA2145" s="122"/>
      <c r="AB2145" s="122"/>
      <c r="AC2145" s="122"/>
      <c r="AD2145" s="122"/>
      <c r="AE2145" s="122"/>
      <c r="AF2145" s="122"/>
      <c r="AG2145" s="122"/>
      <c r="AH2145" s="122"/>
      <c r="AI2145" s="122"/>
      <c r="AJ2145" s="122"/>
      <c r="AK2145" s="122"/>
      <c r="AL2145" s="122"/>
      <c r="AM2145" s="122"/>
      <c r="AN2145" s="122"/>
      <c r="AO2145" s="122"/>
      <c r="AP2145" s="122"/>
    </row>
    <row r="2146" spans="2:42">
      <c r="B2146" s="122"/>
      <c r="C2146" s="122"/>
      <c r="D2146" s="122"/>
      <c r="E2146" s="122"/>
      <c r="F2146" s="122"/>
      <c r="G2146" s="122"/>
      <c r="H2146" s="122"/>
      <c r="I2146" s="275"/>
      <c r="J2146" s="130"/>
      <c r="K2146" s="130"/>
      <c r="L2146" s="130"/>
      <c r="M2146" s="130"/>
      <c r="N2146" s="291"/>
      <c r="O2146" s="291"/>
      <c r="P2146" s="122"/>
      <c r="Q2146" s="122"/>
      <c r="R2146" s="122"/>
      <c r="S2146" s="122"/>
      <c r="T2146" s="122"/>
      <c r="U2146" s="315"/>
      <c r="V2146" s="260">
        <f t="shared" ca="1" si="41"/>
        <v>0</v>
      </c>
      <c r="W2146" s="348" t="str">
        <f>IF(板块成分!B2148="","",板块成分!B2148)</f>
        <v>300695.SZ</v>
      </c>
      <c r="X2146" s="276" t="str">
        <f>[1]!S_Info_Name(W2146)</f>
        <v>兆丰股份</v>
      </c>
      <c r="Y2146" s="276" t="str">
        <f ca="1">IF($Y$3="申万一级行业",[1]!s_info_industry_sw_2021(W2146,公司分析!D$5,1),IF($Y$3="申万二级行业",[1]!s_info_industry_sw_2021(W2146,公司分析!D$5,2),IF($Y$3="申万三级行业",[1]!s_info_industry_sw_2021(W2146,公司分析!D$5,3),IF($Y$3="wind一级行业",[1]!s_info_industry_gics(W2146,1),IF($Y$3="wind二级行业",[1]!s_info_industry_gics(W2146,2),IF($Y$3="wind三级行业",[1]!s_info_industry_gics(W2146,3),IF($Y$3="wind四级行业",[1]!s_info_industry_gics(W2146,4),IF($Y$3="证监会门类行业",[1]!s_info_industry_csrc12_n(W2146,公司分析!D$5,1),""))))))))</f>
        <v>汽车零部件</v>
      </c>
      <c r="Z2146" s="302" t="str">
        <f ca="1">IF(Y2146=行业比较!$E$6,ROW(),"")</f>
        <v/>
      </c>
      <c r="AA2146" s="122"/>
      <c r="AB2146" s="122"/>
      <c r="AC2146" s="122"/>
      <c r="AD2146" s="122"/>
      <c r="AE2146" s="122"/>
      <c r="AF2146" s="122"/>
      <c r="AG2146" s="122"/>
      <c r="AH2146" s="122"/>
      <c r="AI2146" s="122"/>
      <c r="AJ2146" s="122"/>
      <c r="AK2146" s="122"/>
      <c r="AL2146" s="122"/>
      <c r="AM2146" s="122"/>
      <c r="AN2146" s="122"/>
      <c r="AO2146" s="122"/>
      <c r="AP2146" s="122"/>
    </row>
    <row r="2147" spans="2:42">
      <c r="B2147" s="122"/>
      <c r="C2147" s="122"/>
      <c r="D2147" s="122"/>
      <c r="E2147" s="122"/>
      <c r="F2147" s="122"/>
      <c r="G2147" s="122"/>
      <c r="H2147" s="122"/>
      <c r="I2147" s="275"/>
      <c r="J2147" s="130"/>
      <c r="K2147" s="130"/>
      <c r="L2147" s="130"/>
      <c r="M2147" s="130"/>
      <c r="N2147" s="291"/>
      <c r="O2147" s="291"/>
      <c r="P2147" s="122"/>
      <c r="Q2147" s="122"/>
      <c r="R2147" s="122"/>
      <c r="S2147" s="122"/>
      <c r="T2147" s="122"/>
      <c r="U2147" s="315"/>
      <c r="V2147" s="260">
        <f t="shared" ca="1" si="41"/>
        <v>0</v>
      </c>
      <c r="W2147" s="348" t="str">
        <f>IF(板块成分!B2149="","",板块成分!B2149)</f>
        <v>300696.SZ</v>
      </c>
      <c r="X2147" s="276" t="str">
        <f>[1]!S_Info_Name(W2147)</f>
        <v>爱乐达</v>
      </c>
      <c r="Y2147" s="276" t="str">
        <f ca="1">IF($Y$3="申万一级行业",[1]!s_info_industry_sw_2021(W2147,公司分析!D$5,1),IF($Y$3="申万二级行业",[1]!s_info_industry_sw_2021(W2147,公司分析!D$5,2),IF($Y$3="申万三级行业",[1]!s_info_industry_sw_2021(W2147,公司分析!D$5,3),IF($Y$3="wind一级行业",[1]!s_info_industry_gics(W2147,1),IF($Y$3="wind二级行业",[1]!s_info_industry_gics(W2147,2),IF($Y$3="wind三级行业",[1]!s_info_industry_gics(W2147,3),IF($Y$3="wind四级行业",[1]!s_info_industry_gics(W2147,4),IF($Y$3="证监会门类行业",[1]!s_info_industry_csrc12_n(W2147,公司分析!D$5,1),""))))))))</f>
        <v>航空装备Ⅱ</v>
      </c>
      <c r="Z2147" s="302" t="str">
        <f ca="1">IF(Y2147=行业比较!$E$6,ROW(),"")</f>
        <v/>
      </c>
      <c r="AA2147" s="122"/>
      <c r="AB2147" s="122"/>
      <c r="AC2147" s="122"/>
      <c r="AD2147" s="122"/>
      <c r="AE2147" s="122"/>
      <c r="AF2147" s="122"/>
      <c r="AG2147" s="122"/>
      <c r="AH2147" s="122"/>
      <c r="AI2147" s="122"/>
      <c r="AJ2147" s="122"/>
      <c r="AK2147" s="122"/>
      <c r="AL2147" s="122"/>
      <c r="AM2147" s="122"/>
      <c r="AN2147" s="122"/>
      <c r="AO2147" s="122"/>
      <c r="AP2147" s="122"/>
    </row>
    <row r="2148" spans="2:42">
      <c r="B2148" s="122"/>
      <c r="C2148" s="122"/>
      <c r="D2148" s="122"/>
      <c r="E2148" s="122"/>
      <c r="F2148" s="122"/>
      <c r="G2148" s="122"/>
      <c r="H2148" s="122"/>
      <c r="I2148" s="275"/>
      <c r="J2148" s="130"/>
      <c r="K2148" s="130"/>
      <c r="L2148" s="130"/>
      <c r="M2148" s="130"/>
      <c r="N2148" s="291"/>
      <c r="O2148" s="291"/>
      <c r="P2148" s="122"/>
      <c r="Q2148" s="122"/>
      <c r="R2148" s="122"/>
      <c r="S2148" s="122"/>
      <c r="T2148" s="122"/>
      <c r="U2148" s="315"/>
      <c r="V2148" s="260">
        <f t="shared" ca="1" si="41"/>
        <v>30</v>
      </c>
      <c r="W2148" s="348" t="str">
        <f>IF(板块成分!B2150="","",板块成分!B2150)</f>
        <v>300697.SZ</v>
      </c>
      <c r="X2148" s="276" t="str">
        <f>[1]!S_Info_Name(W2148)</f>
        <v>电工合金</v>
      </c>
      <c r="Y2148" s="276" t="str">
        <f ca="1">IF($Y$3="申万一级行业",[1]!s_info_industry_sw_2021(W2148,公司分析!D$5,1),IF($Y$3="申万二级行业",[1]!s_info_industry_sw_2021(W2148,公司分析!D$5,2),IF($Y$3="申万三级行业",[1]!s_info_industry_sw_2021(W2148,公司分析!D$5,3),IF($Y$3="wind一级行业",[1]!s_info_industry_gics(W2148,1),IF($Y$3="wind二级行业",[1]!s_info_industry_gics(W2148,2),IF($Y$3="wind三级行业",[1]!s_info_industry_gics(W2148,3),IF($Y$3="wind四级行业",[1]!s_info_industry_gics(W2148,4),IF($Y$3="证监会门类行业",[1]!s_info_industry_csrc12_n(W2148,公司分析!D$5,1),""))))))))</f>
        <v>工业金属</v>
      </c>
      <c r="Z2148" s="302">
        <f ca="1">IF(Y2148=行业比较!$E$6,ROW(),"")</f>
        <v>2148</v>
      </c>
      <c r="AA2148" s="122"/>
      <c r="AB2148" s="122"/>
      <c r="AC2148" s="122"/>
      <c r="AD2148" s="122"/>
      <c r="AE2148" s="122"/>
      <c r="AF2148" s="122"/>
      <c r="AG2148" s="122"/>
      <c r="AH2148" s="122"/>
      <c r="AI2148" s="122"/>
      <c r="AJ2148" s="122"/>
      <c r="AK2148" s="122"/>
      <c r="AL2148" s="122"/>
      <c r="AM2148" s="122"/>
      <c r="AN2148" s="122"/>
      <c r="AO2148" s="122"/>
      <c r="AP2148" s="122"/>
    </row>
    <row r="2149" spans="2:42">
      <c r="B2149" s="122"/>
      <c r="C2149" s="122"/>
      <c r="D2149" s="122"/>
      <c r="E2149" s="122"/>
      <c r="F2149" s="122"/>
      <c r="G2149" s="122"/>
      <c r="H2149" s="122"/>
      <c r="I2149" s="275"/>
      <c r="J2149" s="130"/>
      <c r="K2149" s="130"/>
      <c r="L2149" s="130"/>
      <c r="M2149" s="130"/>
      <c r="N2149" s="291"/>
      <c r="O2149" s="291"/>
      <c r="P2149" s="122"/>
      <c r="Q2149" s="122"/>
      <c r="R2149" s="122"/>
      <c r="S2149" s="122"/>
      <c r="T2149" s="122"/>
      <c r="U2149" s="315"/>
      <c r="V2149" s="260">
        <f t="shared" ca="1" si="41"/>
        <v>0</v>
      </c>
      <c r="W2149" s="348" t="str">
        <f>IF(板块成分!B2151="","",板块成分!B2151)</f>
        <v>300698.SZ</v>
      </c>
      <c r="X2149" s="276" t="str">
        <f>[1]!S_Info_Name(W2149)</f>
        <v>万马科技</v>
      </c>
      <c r="Y2149" s="276" t="str">
        <f ca="1">IF($Y$3="申万一级行业",[1]!s_info_industry_sw_2021(W2149,公司分析!D$5,1),IF($Y$3="申万二级行业",[1]!s_info_industry_sw_2021(W2149,公司分析!D$5,2),IF($Y$3="申万三级行业",[1]!s_info_industry_sw_2021(W2149,公司分析!D$5,3),IF($Y$3="wind一级行业",[1]!s_info_industry_gics(W2149,1),IF($Y$3="wind二级行业",[1]!s_info_industry_gics(W2149,2),IF($Y$3="wind三级行业",[1]!s_info_industry_gics(W2149,3),IF($Y$3="wind四级行业",[1]!s_info_industry_gics(W2149,4),IF($Y$3="证监会门类行业",[1]!s_info_industry_csrc12_n(W2149,公司分析!D$5,1),""))))))))</f>
        <v>通信设备</v>
      </c>
      <c r="Z2149" s="302" t="str">
        <f ca="1">IF(Y2149=行业比较!$E$6,ROW(),"")</f>
        <v/>
      </c>
      <c r="AA2149" s="122"/>
      <c r="AB2149" s="122"/>
      <c r="AC2149" s="122"/>
      <c r="AD2149" s="122"/>
      <c r="AE2149" s="122"/>
      <c r="AF2149" s="122"/>
      <c r="AG2149" s="122"/>
      <c r="AH2149" s="122"/>
      <c r="AI2149" s="122"/>
      <c r="AJ2149" s="122"/>
      <c r="AK2149" s="122"/>
      <c r="AL2149" s="122"/>
      <c r="AM2149" s="122"/>
      <c r="AN2149" s="122"/>
      <c r="AO2149" s="122"/>
      <c r="AP2149" s="122"/>
    </row>
    <row r="2150" spans="2:42">
      <c r="B2150" s="122"/>
      <c r="C2150" s="122"/>
      <c r="D2150" s="122"/>
      <c r="E2150" s="122"/>
      <c r="F2150" s="122"/>
      <c r="G2150" s="122"/>
      <c r="H2150" s="122"/>
      <c r="I2150" s="275"/>
      <c r="J2150" s="130"/>
      <c r="K2150" s="130"/>
      <c r="L2150" s="130"/>
      <c r="M2150" s="130"/>
      <c r="N2150" s="291"/>
      <c r="O2150" s="291"/>
      <c r="P2150" s="122"/>
      <c r="Q2150" s="122"/>
      <c r="R2150" s="122"/>
      <c r="S2150" s="122"/>
      <c r="T2150" s="122"/>
      <c r="U2150" s="315"/>
      <c r="V2150" s="260">
        <f t="shared" ca="1" si="41"/>
        <v>0</v>
      </c>
      <c r="W2150" s="348" t="str">
        <f>IF(板块成分!B2152="","",板块成分!B2152)</f>
        <v>300699.SZ</v>
      </c>
      <c r="X2150" s="276" t="str">
        <f>[1]!S_Info_Name(W2150)</f>
        <v>光威复材</v>
      </c>
      <c r="Y2150" s="276" t="str">
        <f ca="1">IF($Y$3="申万一级行业",[1]!s_info_industry_sw_2021(W2150,公司分析!D$5,1),IF($Y$3="申万二级行业",[1]!s_info_industry_sw_2021(W2150,公司分析!D$5,2),IF($Y$3="申万三级行业",[1]!s_info_industry_sw_2021(W2150,公司分析!D$5,3),IF($Y$3="wind一级行业",[1]!s_info_industry_gics(W2150,1),IF($Y$3="wind二级行业",[1]!s_info_industry_gics(W2150,2),IF($Y$3="wind三级行业",[1]!s_info_industry_gics(W2150,3),IF($Y$3="wind四级行业",[1]!s_info_industry_gics(W2150,4),IF($Y$3="证监会门类行业",[1]!s_info_industry_csrc12_n(W2150,公司分析!D$5,1),""))))))))</f>
        <v>航空装备Ⅱ</v>
      </c>
      <c r="Z2150" s="302" t="str">
        <f ca="1">IF(Y2150=行业比较!$E$6,ROW(),"")</f>
        <v/>
      </c>
      <c r="AA2150" s="122"/>
      <c r="AB2150" s="122"/>
      <c r="AC2150" s="122"/>
      <c r="AD2150" s="122"/>
      <c r="AE2150" s="122"/>
      <c r="AF2150" s="122"/>
      <c r="AG2150" s="122"/>
      <c r="AH2150" s="122"/>
      <c r="AI2150" s="122"/>
      <c r="AJ2150" s="122"/>
      <c r="AK2150" s="122"/>
      <c r="AL2150" s="122"/>
      <c r="AM2150" s="122"/>
      <c r="AN2150" s="122"/>
      <c r="AO2150" s="122"/>
      <c r="AP2150" s="122"/>
    </row>
    <row r="2151" spans="2:42">
      <c r="B2151" s="122"/>
      <c r="C2151" s="122"/>
      <c r="D2151" s="122"/>
      <c r="E2151" s="122"/>
      <c r="F2151" s="122"/>
      <c r="G2151" s="122"/>
      <c r="H2151" s="122"/>
      <c r="I2151" s="275"/>
      <c r="J2151" s="130"/>
      <c r="K2151" s="130"/>
      <c r="L2151" s="130"/>
      <c r="M2151" s="130"/>
      <c r="N2151" s="291"/>
      <c r="O2151" s="291"/>
      <c r="P2151" s="122"/>
      <c r="Q2151" s="122"/>
      <c r="R2151" s="122"/>
      <c r="S2151" s="122"/>
      <c r="T2151" s="122"/>
      <c r="U2151" s="315"/>
      <c r="V2151" s="260">
        <f t="shared" ca="1" si="41"/>
        <v>0</v>
      </c>
      <c r="W2151" s="348" t="str">
        <f>IF(板块成分!B2153="","",板块成分!B2153)</f>
        <v>300700.SZ</v>
      </c>
      <c r="X2151" s="276" t="str">
        <f>[1]!S_Info_Name(W2151)</f>
        <v>岱勒新材</v>
      </c>
      <c r="Y2151" s="276" t="str">
        <f ca="1">IF($Y$3="申万一级行业",[1]!s_info_industry_sw_2021(W2151,公司分析!D$5,1),IF($Y$3="申万二级行业",[1]!s_info_industry_sw_2021(W2151,公司分析!D$5,2),IF($Y$3="申万三级行业",[1]!s_info_industry_sw_2021(W2151,公司分析!D$5,3),IF($Y$3="wind一级行业",[1]!s_info_industry_gics(W2151,1),IF($Y$3="wind二级行业",[1]!s_info_industry_gics(W2151,2),IF($Y$3="wind三级行业",[1]!s_info_industry_gics(W2151,3),IF($Y$3="wind四级行业",[1]!s_info_industry_gics(W2151,4),IF($Y$3="证监会门类行业",[1]!s_info_industry_csrc12_n(W2151,公司分析!D$5,1),""))))))))</f>
        <v>通用设备</v>
      </c>
      <c r="Z2151" s="302" t="str">
        <f ca="1">IF(Y2151=行业比较!$E$6,ROW(),"")</f>
        <v/>
      </c>
      <c r="AA2151" s="122"/>
      <c r="AB2151" s="122"/>
      <c r="AC2151" s="122"/>
      <c r="AD2151" s="122"/>
      <c r="AE2151" s="122"/>
      <c r="AF2151" s="122"/>
      <c r="AG2151" s="122"/>
      <c r="AH2151" s="122"/>
      <c r="AI2151" s="122"/>
      <c r="AJ2151" s="122"/>
      <c r="AK2151" s="122"/>
      <c r="AL2151" s="122"/>
      <c r="AM2151" s="122"/>
      <c r="AN2151" s="122"/>
      <c r="AO2151" s="122"/>
      <c r="AP2151" s="122"/>
    </row>
    <row r="2152" spans="2:42">
      <c r="B2152" s="122"/>
      <c r="C2152" s="122"/>
      <c r="D2152" s="122"/>
      <c r="E2152" s="122"/>
      <c r="F2152" s="122"/>
      <c r="G2152" s="122"/>
      <c r="H2152" s="122"/>
      <c r="I2152" s="275"/>
      <c r="J2152" s="130"/>
      <c r="K2152" s="130"/>
      <c r="L2152" s="130"/>
      <c r="M2152" s="130"/>
      <c r="N2152" s="291"/>
      <c r="O2152" s="291"/>
      <c r="P2152" s="122"/>
      <c r="Q2152" s="122"/>
      <c r="R2152" s="122"/>
      <c r="S2152" s="122"/>
      <c r="T2152" s="122"/>
      <c r="U2152" s="315"/>
      <c r="V2152" s="260">
        <f t="shared" ca="1" si="41"/>
        <v>0</v>
      </c>
      <c r="W2152" s="348" t="str">
        <f>IF(板块成分!B2154="","",板块成分!B2154)</f>
        <v>300701.SZ</v>
      </c>
      <c r="X2152" s="276" t="str">
        <f>[1]!S_Info_Name(W2152)</f>
        <v>森霸传感</v>
      </c>
      <c r="Y2152" s="276" t="str">
        <f ca="1">IF($Y$3="申万一级行业",[1]!s_info_industry_sw_2021(W2152,公司分析!D$5,1),IF($Y$3="申万二级行业",[1]!s_info_industry_sw_2021(W2152,公司分析!D$5,2),IF($Y$3="申万三级行业",[1]!s_info_industry_sw_2021(W2152,公司分析!D$5,3),IF($Y$3="wind一级行业",[1]!s_info_industry_gics(W2152,1),IF($Y$3="wind二级行业",[1]!s_info_industry_gics(W2152,2),IF($Y$3="wind三级行业",[1]!s_info_industry_gics(W2152,3),IF($Y$3="wind四级行业",[1]!s_info_industry_gics(W2152,4),IF($Y$3="证监会门类行业",[1]!s_info_industry_csrc12_n(W2152,公司分析!D$5,1),""))))))))</f>
        <v>光学光电子</v>
      </c>
      <c r="Z2152" s="302" t="str">
        <f ca="1">IF(Y2152=行业比较!$E$6,ROW(),"")</f>
        <v/>
      </c>
      <c r="AA2152" s="122"/>
      <c r="AB2152" s="122"/>
      <c r="AC2152" s="122"/>
      <c r="AD2152" s="122"/>
      <c r="AE2152" s="122"/>
      <c r="AF2152" s="122"/>
      <c r="AG2152" s="122"/>
      <c r="AH2152" s="122"/>
      <c r="AI2152" s="122"/>
      <c r="AJ2152" s="122"/>
      <c r="AK2152" s="122"/>
      <c r="AL2152" s="122"/>
      <c r="AM2152" s="122"/>
      <c r="AN2152" s="122"/>
      <c r="AO2152" s="122"/>
      <c r="AP2152" s="122"/>
    </row>
    <row r="2153" spans="2:42">
      <c r="B2153" s="122"/>
      <c r="C2153" s="122"/>
      <c r="D2153" s="122"/>
      <c r="E2153" s="122"/>
      <c r="F2153" s="122"/>
      <c r="G2153" s="122"/>
      <c r="H2153" s="122"/>
      <c r="I2153" s="275"/>
      <c r="J2153" s="130"/>
      <c r="K2153" s="130"/>
      <c r="L2153" s="130"/>
      <c r="M2153" s="130"/>
      <c r="N2153" s="291"/>
      <c r="O2153" s="291"/>
      <c r="P2153" s="122"/>
      <c r="Q2153" s="122"/>
      <c r="R2153" s="122"/>
      <c r="S2153" s="122"/>
      <c r="T2153" s="122"/>
      <c r="U2153" s="315"/>
      <c r="V2153" s="260">
        <f t="shared" ca="1" si="41"/>
        <v>0</v>
      </c>
      <c r="W2153" s="348" t="str">
        <f>IF(板块成分!B2155="","",板块成分!B2155)</f>
        <v>300702.SZ</v>
      </c>
      <c r="X2153" s="276" t="str">
        <f>[1]!S_Info_Name(W2153)</f>
        <v>天宇股份</v>
      </c>
      <c r="Y2153" s="276" t="str">
        <f ca="1">IF($Y$3="申万一级行业",[1]!s_info_industry_sw_2021(W2153,公司分析!D$5,1),IF($Y$3="申万二级行业",[1]!s_info_industry_sw_2021(W2153,公司分析!D$5,2),IF($Y$3="申万三级行业",[1]!s_info_industry_sw_2021(W2153,公司分析!D$5,3),IF($Y$3="wind一级行业",[1]!s_info_industry_gics(W2153,1),IF($Y$3="wind二级行业",[1]!s_info_industry_gics(W2153,2),IF($Y$3="wind三级行业",[1]!s_info_industry_gics(W2153,3),IF($Y$3="wind四级行业",[1]!s_info_industry_gics(W2153,4),IF($Y$3="证监会门类行业",[1]!s_info_industry_csrc12_n(W2153,公司分析!D$5,1),""))))))))</f>
        <v>化学制药</v>
      </c>
      <c r="Z2153" s="302" t="str">
        <f ca="1">IF(Y2153=行业比较!$E$6,ROW(),"")</f>
        <v/>
      </c>
      <c r="AA2153" s="122"/>
      <c r="AB2153" s="122"/>
      <c r="AC2153" s="122"/>
      <c r="AD2153" s="122"/>
      <c r="AE2153" s="122"/>
      <c r="AF2153" s="122"/>
      <c r="AG2153" s="122"/>
      <c r="AH2153" s="122"/>
      <c r="AI2153" s="122"/>
      <c r="AJ2153" s="122"/>
      <c r="AK2153" s="122"/>
      <c r="AL2153" s="122"/>
      <c r="AM2153" s="122"/>
      <c r="AN2153" s="122"/>
      <c r="AO2153" s="122"/>
      <c r="AP2153" s="122"/>
    </row>
    <row r="2154" spans="2:42">
      <c r="B2154" s="122"/>
      <c r="C2154" s="122"/>
      <c r="D2154" s="122"/>
      <c r="E2154" s="122"/>
      <c r="F2154" s="122"/>
      <c r="G2154" s="122"/>
      <c r="H2154" s="122"/>
      <c r="I2154" s="275"/>
      <c r="J2154" s="130"/>
      <c r="K2154" s="130"/>
      <c r="L2154" s="130"/>
      <c r="M2154" s="130"/>
      <c r="N2154" s="291"/>
      <c r="O2154" s="291"/>
      <c r="P2154" s="122"/>
      <c r="Q2154" s="122"/>
      <c r="R2154" s="122"/>
      <c r="S2154" s="122"/>
      <c r="T2154" s="122"/>
      <c r="U2154" s="315"/>
      <c r="V2154" s="260">
        <f t="shared" ca="1" si="41"/>
        <v>0</v>
      </c>
      <c r="W2154" s="348" t="str">
        <f>IF(板块成分!B2156="","",板块成分!B2156)</f>
        <v>300703.SZ</v>
      </c>
      <c r="X2154" s="276" t="str">
        <f>[1]!S_Info_Name(W2154)</f>
        <v>创源股份</v>
      </c>
      <c r="Y2154" s="276" t="str">
        <f ca="1">IF($Y$3="申万一级行业",[1]!s_info_industry_sw_2021(W2154,公司分析!D$5,1),IF($Y$3="申万二级行业",[1]!s_info_industry_sw_2021(W2154,公司分析!D$5,2),IF($Y$3="申万三级行业",[1]!s_info_industry_sw_2021(W2154,公司分析!D$5,3),IF($Y$3="wind一级行业",[1]!s_info_industry_gics(W2154,1),IF($Y$3="wind二级行业",[1]!s_info_industry_gics(W2154,2),IF($Y$3="wind三级行业",[1]!s_info_industry_gics(W2154,3),IF($Y$3="wind四级行业",[1]!s_info_industry_gics(W2154,4),IF($Y$3="证监会门类行业",[1]!s_info_industry_csrc12_n(W2154,公司分析!D$5,1),""))))))))</f>
        <v>文娱用品</v>
      </c>
      <c r="Z2154" s="302" t="str">
        <f ca="1">IF(Y2154=行业比较!$E$6,ROW(),"")</f>
        <v/>
      </c>
      <c r="AA2154" s="122"/>
      <c r="AB2154" s="122"/>
      <c r="AC2154" s="122"/>
      <c r="AD2154" s="122"/>
      <c r="AE2154" s="122"/>
      <c r="AF2154" s="122"/>
      <c r="AG2154" s="122"/>
      <c r="AH2154" s="122"/>
      <c r="AI2154" s="122"/>
      <c r="AJ2154" s="122"/>
      <c r="AK2154" s="122"/>
      <c r="AL2154" s="122"/>
      <c r="AM2154" s="122"/>
      <c r="AN2154" s="122"/>
      <c r="AO2154" s="122"/>
      <c r="AP2154" s="122"/>
    </row>
    <row r="2155" spans="2:42">
      <c r="B2155" s="122"/>
      <c r="C2155" s="122"/>
      <c r="D2155" s="122"/>
      <c r="E2155" s="122"/>
      <c r="F2155" s="122"/>
      <c r="G2155" s="122"/>
      <c r="H2155" s="122"/>
      <c r="I2155" s="275"/>
      <c r="J2155" s="130"/>
      <c r="K2155" s="130"/>
      <c r="L2155" s="130"/>
      <c r="M2155" s="130"/>
      <c r="N2155" s="291"/>
      <c r="O2155" s="291"/>
      <c r="P2155" s="122"/>
      <c r="Q2155" s="122"/>
      <c r="R2155" s="122"/>
      <c r="S2155" s="122"/>
      <c r="T2155" s="122"/>
      <c r="U2155" s="315"/>
      <c r="V2155" s="260">
        <f t="shared" ca="1" si="41"/>
        <v>0</v>
      </c>
      <c r="W2155" s="348" t="str">
        <f>IF(板块成分!B2157="","",板块成分!B2157)</f>
        <v>300705.SZ</v>
      </c>
      <c r="X2155" s="276" t="str">
        <f>[1]!S_Info_Name(W2155)</f>
        <v>九典制药</v>
      </c>
      <c r="Y2155" s="276" t="str">
        <f ca="1">IF($Y$3="申万一级行业",[1]!s_info_industry_sw_2021(W2155,公司分析!D$5,1),IF($Y$3="申万二级行业",[1]!s_info_industry_sw_2021(W2155,公司分析!D$5,2),IF($Y$3="申万三级行业",[1]!s_info_industry_sw_2021(W2155,公司分析!D$5,3),IF($Y$3="wind一级行业",[1]!s_info_industry_gics(W2155,1),IF($Y$3="wind二级行业",[1]!s_info_industry_gics(W2155,2),IF($Y$3="wind三级行业",[1]!s_info_industry_gics(W2155,3),IF($Y$3="wind四级行业",[1]!s_info_industry_gics(W2155,4),IF($Y$3="证监会门类行业",[1]!s_info_industry_csrc12_n(W2155,公司分析!D$5,1),""))))))))</f>
        <v>化学制药</v>
      </c>
      <c r="Z2155" s="302" t="str">
        <f ca="1">IF(Y2155=行业比较!$E$6,ROW(),"")</f>
        <v/>
      </c>
      <c r="AA2155" s="122"/>
      <c r="AB2155" s="122"/>
      <c r="AC2155" s="122"/>
      <c r="AD2155" s="122"/>
      <c r="AE2155" s="122"/>
      <c r="AF2155" s="122"/>
      <c r="AG2155" s="122"/>
      <c r="AH2155" s="122"/>
      <c r="AI2155" s="122"/>
      <c r="AJ2155" s="122"/>
      <c r="AK2155" s="122"/>
      <c r="AL2155" s="122"/>
      <c r="AM2155" s="122"/>
      <c r="AN2155" s="122"/>
      <c r="AO2155" s="122"/>
      <c r="AP2155" s="122"/>
    </row>
    <row r="2156" spans="2:42">
      <c r="B2156" s="122"/>
      <c r="C2156" s="122"/>
      <c r="D2156" s="122"/>
      <c r="E2156" s="122"/>
      <c r="F2156" s="122"/>
      <c r="G2156" s="122"/>
      <c r="H2156" s="122"/>
      <c r="I2156" s="275"/>
      <c r="J2156" s="130"/>
      <c r="K2156" s="130"/>
      <c r="L2156" s="130"/>
      <c r="M2156" s="130"/>
      <c r="N2156" s="291"/>
      <c r="O2156" s="291"/>
      <c r="P2156" s="122"/>
      <c r="Q2156" s="122"/>
      <c r="R2156" s="122"/>
      <c r="S2156" s="122"/>
      <c r="T2156" s="122"/>
      <c r="U2156" s="315"/>
      <c r="V2156" s="260">
        <f t="shared" ca="1" si="41"/>
        <v>0</v>
      </c>
      <c r="W2156" s="348" t="str">
        <f>IF(板块成分!B2158="","",板块成分!B2158)</f>
        <v>300706.SZ</v>
      </c>
      <c r="X2156" s="276" t="str">
        <f>[1]!S_Info_Name(W2156)</f>
        <v>阿石创</v>
      </c>
      <c r="Y2156" s="276" t="str">
        <f ca="1">IF($Y$3="申万一级行业",[1]!s_info_industry_sw_2021(W2156,公司分析!D$5,1),IF($Y$3="申万二级行业",[1]!s_info_industry_sw_2021(W2156,公司分析!D$5,2),IF($Y$3="申万三级行业",[1]!s_info_industry_sw_2021(W2156,公司分析!D$5,3),IF($Y$3="wind一级行业",[1]!s_info_industry_gics(W2156,1),IF($Y$3="wind二级行业",[1]!s_info_industry_gics(W2156,2),IF($Y$3="wind三级行业",[1]!s_info_industry_gics(W2156,3),IF($Y$3="wind四级行业",[1]!s_info_industry_gics(W2156,4),IF($Y$3="证监会门类行业",[1]!s_info_industry_csrc12_n(W2156,公司分析!D$5,1),""))))))))</f>
        <v>半导体</v>
      </c>
      <c r="Z2156" s="302" t="str">
        <f ca="1">IF(Y2156=行业比较!$E$6,ROW(),"")</f>
        <v/>
      </c>
      <c r="AA2156" s="122"/>
      <c r="AB2156" s="122"/>
      <c r="AC2156" s="122"/>
      <c r="AD2156" s="122"/>
      <c r="AE2156" s="122"/>
      <c r="AF2156" s="122"/>
      <c r="AG2156" s="122"/>
      <c r="AH2156" s="122"/>
      <c r="AI2156" s="122"/>
      <c r="AJ2156" s="122"/>
      <c r="AK2156" s="122"/>
      <c r="AL2156" s="122"/>
      <c r="AM2156" s="122"/>
      <c r="AN2156" s="122"/>
      <c r="AO2156" s="122"/>
      <c r="AP2156" s="122"/>
    </row>
    <row r="2157" spans="2:42">
      <c r="B2157" s="122"/>
      <c r="C2157" s="122"/>
      <c r="D2157" s="122"/>
      <c r="E2157" s="122"/>
      <c r="F2157" s="122"/>
      <c r="G2157" s="122"/>
      <c r="H2157" s="122"/>
      <c r="I2157" s="275"/>
      <c r="J2157" s="130"/>
      <c r="K2157" s="130"/>
      <c r="L2157" s="130"/>
      <c r="M2157" s="130"/>
      <c r="N2157" s="291"/>
      <c r="O2157" s="291"/>
      <c r="P2157" s="122"/>
      <c r="Q2157" s="122"/>
      <c r="R2157" s="122"/>
      <c r="S2157" s="122"/>
      <c r="T2157" s="122"/>
      <c r="U2157" s="315"/>
      <c r="V2157" s="260">
        <f t="shared" ca="1" si="41"/>
        <v>0</v>
      </c>
      <c r="W2157" s="348" t="str">
        <f>IF(板块成分!B2159="","",板块成分!B2159)</f>
        <v>300707.SZ</v>
      </c>
      <c r="X2157" s="276" t="str">
        <f>[1]!S_Info_Name(W2157)</f>
        <v>威唐工业</v>
      </c>
      <c r="Y2157" s="276" t="str">
        <f ca="1">IF($Y$3="申万一级行业",[1]!s_info_industry_sw_2021(W2157,公司分析!D$5,1),IF($Y$3="申万二级行业",[1]!s_info_industry_sw_2021(W2157,公司分析!D$5,2),IF($Y$3="申万三级行业",[1]!s_info_industry_sw_2021(W2157,公司分析!D$5,3),IF($Y$3="wind一级行业",[1]!s_info_industry_gics(W2157,1),IF($Y$3="wind二级行业",[1]!s_info_industry_gics(W2157,2),IF($Y$3="wind三级行业",[1]!s_info_industry_gics(W2157,3),IF($Y$3="wind四级行业",[1]!s_info_industry_gics(W2157,4),IF($Y$3="证监会门类行业",[1]!s_info_industry_csrc12_n(W2157,公司分析!D$5,1),""))))))))</f>
        <v>汽车零部件</v>
      </c>
      <c r="Z2157" s="302" t="str">
        <f ca="1">IF(Y2157=行业比较!$E$6,ROW(),"")</f>
        <v/>
      </c>
      <c r="AA2157" s="122"/>
      <c r="AB2157" s="122"/>
      <c r="AC2157" s="122"/>
      <c r="AD2157" s="122"/>
      <c r="AE2157" s="122"/>
      <c r="AF2157" s="122"/>
      <c r="AG2157" s="122"/>
      <c r="AH2157" s="122"/>
      <c r="AI2157" s="122"/>
      <c r="AJ2157" s="122"/>
      <c r="AK2157" s="122"/>
      <c r="AL2157" s="122"/>
      <c r="AM2157" s="122"/>
      <c r="AN2157" s="122"/>
      <c r="AO2157" s="122"/>
      <c r="AP2157" s="122"/>
    </row>
    <row r="2158" spans="2:42">
      <c r="B2158" s="122"/>
      <c r="C2158" s="122"/>
      <c r="D2158" s="122"/>
      <c r="E2158" s="122"/>
      <c r="F2158" s="122"/>
      <c r="G2158" s="122"/>
      <c r="H2158" s="122"/>
      <c r="I2158" s="275"/>
      <c r="J2158" s="130"/>
      <c r="K2158" s="130"/>
      <c r="L2158" s="130"/>
      <c r="M2158" s="130"/>
      <c r="N2158" s="291"/>
      <c r="O2158" s="291"/>
      <c r="P2158" s="122"/>
      <c r="Q2158" s="122"/>
      <c r="R2158" s="122"/>
      <c r="S2158" s="122"/>
      <c r="T2158" s="122"/>
      <c r="U2158" s="315"/>
      <c r="V2158" s="260">
        <f t="shared" ca="1" si="41"/>
        <v>0</v>
      </c>
      <c r="W2158" s="348" t="str">
        <f>IF(板块成分!B2160="","",板块成分!B2160)</f>
        <v>300708.SZ</v>
      </c>
      <c r="X2158" s="276" t="str">
        <f>[1]!S_Info_Name(W2158)</f>
        <v>聚灿光电</v>
      </c>
      <c r="Y2158" s="276" t="str">
        <f ca="1">IF($Y$3="申万一级行业",[1]!s_info_industry_sw_2021(W2158,公司分析!D$5,1),IF($Y$3="申万二级行业",[1]!s_info_industry_sw_2021(W2158,公司分析!D$5,2),IF($Y$3="申万三级行业",[1]!s_info_industry_sw_2021(W2158,公司分析!D$5,3),IF($Y$3="wind一级行业",[1]!s_info_industry_gics(W2158,1),IF($Y$3="wind二级行业",[1]!s_info_industry_gics(W2158,2),IF($Y$3="wind三级行业",[1]!s_info_industry_gics(W2158,3),IF($Y$3="wind四级行业",[1]!s_info_industry_gics(W2158,4),IF($Y$3="证监会门类行业",[1]!s_info_industry_csrc12_n(W2158,公司分析!D$5,1),""))))))))</f>
        <v>光学光电子</v>
      </c>
      <c r="Z2158" s="302" t="str">
        <f ca="1">IF(Y2158=行业比较!$E$6,ROW(),"")</f>
        <v/>
      </c>
      <c r="AA2158" s="122"/>
      <c r="AB2158" s="122"/>
      <c r="AC2158" s="122"/>
      <c r="AD2158" s="122"/>
      <c r="AE2158" s="122"/>
      <c r="AF2158" s="122"/>
      <c r="AG2158" s="122"/>
      <c r="AH2158" s="122"/>
      <c r="AI2158" s="122"/>
      <c r="AJ2158" s="122"/>
      <c r="AK2158" s="122"/>
      <c r="AL2158" s="122"/>
      <c r="AM2158" s="122"/>
      <c r="AN2158" s="122"/>
      <c r="AO2158" s="122"/>
      <c r="AP2158" s="122"/>
    </row>
    <row r="2159" spans="2:42">
      <c r="B2159" s="122"/>
      <c r="C2159" s="122"/>
      <c r="D2159" s="122"/>
      <c r="E2159" s="122"/>
      <c r="F2159" s="122"/>
      <c r="G2159" s="122"/>
      <c r="H2159" s="122"/>
      <c r="I2159" s="275"/>
      <c r="J2159" s="130"/>
      <c r="K2159" s="130"/>
      <c r="L2159" s="130"/>
      <c r="M2159" s="130"/>
      <c r="N2159" s="291"/>
      <c r="O2159" s="291"/>
      <c r="P2159" s="122"/>
      <c r="Q2159" s="122"/>
      <c r="R2159" s="122"/>
      <c r="S2159" s="122"/>
      <c r="T2159" s="122"/>
      <c r="U2159" s="315"/>
      <c r="V2159" s="260">
        <f t="shared" ca="1" si="41"/>
        <v>0</v>
      </c>
      <c r="W2159" s="348" t="str">
        <f>IF(板块成分!B2161="","",板块成分!B2161)</f>
        <v>300709.SZ</v>
      </c>
      <c r="X2159" s="276" t="str">
        <f>[1]!S_Info_Name(W2159)</f>
        <v>精研科技</v>
      </c>
      <c r="Y2159" s="276" t="str">
        <f ca="1">IF($Y$3="申万一级行业",[1]!s_info_industry_sw_2021(W2159,公司分析!D$5,1),IF($Y$3="申万二级行业",[1]!s_info_industry_sw_2021(W2159,公司分析!D$5,2),IF($Y$3="申万三级行业",[1]!s_info_industry_sw_2021(W2159,公司分析!D$5,3),IF($Y$3="wind一级行业",[1]!s_info_industry_gics(W2159,1),IF($Y$3="wind二级行业",[1]!s_info_industry_gics(W2159,2),IF($Y$3="wind三级行业",[1]!s_info_industry_gics(W2159,3),IF($Y$3="wind四级行业",[1]!s_info_industry_gics(W2159,4),IF($Y$3="证监会门类行业",[1]!s_info_industry_csrc12_n(W2159,公司分析!D$5,1),""))))))))</f>
        <v>消费电子</v>
      </c>
      <c r="Z2159" s="302" t="str">
        <f ca="1">IF(Y2159=行业比较!$E$6,ROW(),"")</f>
        <v/>
      </c>
      <c r="AA2159" s="122"/>
      <c r="AB2159" s="122"/>
      <c r="AC2159" s="122"/>
      <c r="AD2159" s="122"/>
      <c r="AE2159" s="122"/>
      <c r="AF2159" s="122"/>
      <c r="AG2159" s="122"/>
      <c r="AH2159" s="122"/>
      <c r="AI2159" s="122"/>
      <c r="AJ2159" s="122"/>
      <c r="AK2159" s="122"/>
      <c r="AL2159" s="122"/>
      <c r="AM2159" s="122"/>
      <c r="AN2159" s="122"/>
      <c r="AO2159" s="122"/>
      <c r="AP2159" s="122"/>
    </row>
    <row r="2160" spans="2:42">
      <c r="B2160" s="122"/>
      <c r="C2160" s="122"/>
      <c r="D2160" s="122"/>
      <c r="E2160" s="122"/>
      <c r="F2160" s="122"/>
      <c r="G2160" s="122"/>
      <c r="H2160" s="122"/>
      <c r="I2160" s="275"/>
      <c r="J2160" s="130"/>
      <c r="K2160" s="130"/>
      <c r="L2160" s="130"/>
      <c r="M2160" s="130"/>
      <c r="N2160" s="291"/>
      <c r="O2160" s="291"/>
      <c r="P2160" s="122"/>
      <c r="Q2160" s="122"/>
      <c r="R2160" s="122"/>
      <c r="S2160" s="122"/>
      <c r="T2160" s="122"/>
      <c r="U2160" s="315"/>
      <c r="V2160" s="260">
        <f t="shared" ca="1" si="41"/>
        <v>0</v>
      </c>
      <c r="W2160" s="348" t="str">
        <f>IF(板块成分!B2162="","",板块成分!B2162)</f>
        <v>300710.SZ</v>
      </c>
      <c r="X2160" s="276" t="str">
        <f>[1]!S_Info_Name(W2160)</f>
        <v>万隆光电</v>
      </c>
      <c r="Y2160" s="276" t="str">
        <f ca="1">IF($Y$3="申万一级行业",[1]!s_info_industry_sw_2021(W2160,公司分析!D$5,1),IF($Y$3="申万二级行业",[1]!s_info_industry_sw_2021(W2160,公司分析!D$5,2),IF($Y$3="申万三级行业",[1]!s_info_industry_sw_2021(W2160,公司分析!D$5,3),IF($Y$3="wind一级行业",[1]!s_info_industry_gics(W2160,1),IF($Y$3="wind二级行业",[1]!s_info_industry_gics(W2160,2),IF($Y$3="wind三级行业",[1]!s_info_industry_gics(W2160,3),IF($Y$3="wind四级行业",[1]!s_info_industry_gics(W2160,4),IF($Y$3="证监会门类行业",[1]!s_info_industry_csrc12_n(W2160,公司分析!D$5,1),""))))))))</f>
        <v>通信设备</v>
      </c>
      <c r="Z2160" s="302" t="str">
        <f ca="1">IF(Y2160=行业比较!$E$6,ROW(),"")</f>
        <v/>
      </c>
      <c r="AA2160" s="122"/>
      <c r="AB2160" s="122"/>
      <c r="AC2160" s="122"/>
      <c r="AD2160" s="122"/>
      <c r="AE2160" s="122"/>
      <c r="AF2160" s="122"/>
      <c r="AG2160" s="122"/>
      <c r="AH2160" s="122"/>
      <c r="AI2160" s="122"/>
      <c r="AJ2160" s="122"/>
      <c r="AK2160" s="122"/>
      <c r="AL2160" s="122"/>
      <c r="AM2160" s="122"/>
      <c r="AN2160" s="122"/>
      <c r="AO2160" s="122"/>
      <c r="AP2160" s="122"/>
    </row>
    <row r="2161" spans="2:42">
      <c r="B2161" s="122"/>
      <c r="C2161" s="122"/>
      <c r="D2161" s="122"/>
      <c r="E2161" s="122"/>
      <c r="F2161" s="122"/>
      <c r="G2161" s="122"/>
      <c r="H2161" s="122"/>
      <c r="I2161" s="275"/>
      <c r="J2161" s="130"/>
      <c r="K2161" s="130"/>
      <c r="L2161" s="130"/>
      <c r="M2161" s="130"/>
      <c r="N2161" s="291"/>
      <c r="O2161" s="291"/>
      <c r="P2161" s="122"/>
      <c r="Q2161" s="122"/>
      <c r="R2161" s="122"/>
      <c r="S2161" s="122"/>
      <c r="T2161" s="122"/>
      <c r="U2161" s="315"/>
      <c r="V2161" s="260">
        <f t="shared" ca="1" si="41"/>
        <v>0</v>
      </c>
      <c r="W2161" s="348" t="str">
        <f>IF(板块成分!B2163="","",板块成分!B2163)</f>
        <v>300711.SZ</v>
      </c>
      <c r="X2161" s="276" t="str">
        <f>[1]!S_Info_Name(W2161)</f>
        <v>广哈通信</v>
      </c>
      <c r="Y2161" s="276" t="str">
        <f ca="1">IF($Y$3="申万一级行业",[1]!s_info_industry_sw_2021(W2161,公司分析!D$5,1),IF($Y$3="申万二级行业",[1]!s_info_industry_sw_2021(W2161,公司分析!D$5,2),IF($Y$3="申万三级行业",[1]!s_info_industry_sw_2021(W2161,公司分析!D$5,3),IF($Y$3="wind一级行业",[1]!s_info_industry_gics(W2161,1),IF($Y$3="wind二级行业",[1]!s_info_industry_gics(W2161,2),IF($Y$3="wind三级行业",[1]!s_info_industry_gics(W2161,3),IF($Y$3="wind四级行业",[1]!s_info_industry_gics(W2161,4),IF($Y$3="证监会门类行业",[1]!s_info_industry_csrc12_n(W2161,公司分析!D$5,1),""))))))))</f>
        <v>通信设备</v>
      </c>
      <c r="Z2161" s="302" t="str">
        <f ca="1">IF(Y2161=行业比较!$E$6,ROW(),"")</f>
        <v/>
      </c>
      <c r="AA2161" s="122"/>
      <c r="AB2161" s="122"/>
      <c r="AC2161" s="122"/>
      <c r="AD2161" s="122"/>
      <c r="AE2161" s="122"/>
      <c r="AF2161" s="122"/>
      <c r="AG2161" s="122"/>
      <c r="AH2161" s="122"/>
      <c r="AI2161" s="122"/>
      <c r="AJ2161" s="122"/>
      <c r="AK2161" s="122"/>
      <c r="AL2161" s="122"/>
      <c r="AM2161" s="122"/>
      <c r="AN2161" s="122"/>
      <c r="AO2161" s="122"/>
      <c r="AP2161" s="122"/>
    </row>
    <row r="2162" spans="2:42">
      <c r="B2162" s="122"/>
      <c r="C2162" s="122"/>
      <c r="D2162" s="122"/>
      <c r="E2162" s="122"/>
      <c r="F2162" s="122"/>
      <c r="G2162" s="122"/>
      <c r="H2162" s="122"/>
      <c r="I2162" s="275"/>
      <c r="J2162" s="130"/>
      <c r="K2162" s="130"/>
      <c r="L2162" s="130"/>
      <c r="M2162" s="130"/>
      <c r="N2162" s="291"/>
      <c r="O2162" s="291"/>
      <c r="P2162" s="122"/>
      <c r="Q2162" s="122"/>
      <c r="R2162" s="122"/>
      <c r="S2162" s="122"/>
      <c r="T2162" s="122"/>
      <c r="U2162" s="315"/>
      <c r="V2162" s="260">
        <f t="shared" ca="1" si="41"/>
        <v>0</v>
      </c>
      <c r="W2162" s="348" t="str">
        <f>IF(板块成分!B2164="","",板块成分!B2164)</f>
        <v>300712.SZ</v>
      </c>
      <c r="X2162" s="276" t="str">
        <f>[1]!S_Info_Name(W2162)</f>
        <v>永福股份</v>
      </c>
      <c r="Y2162" s="276" t="str">
        <f ca="1">IF($Y$3="申万一级行业",[1]!s_info_industry_sw_2021(W2162,公司分析!D$5,1),IF($Y$3="申万二级行业",[1]!s_info_industry_sw_2021(W2162,公司分析!D$5,2),IF($Y$3="申万三级行业",[1]!s_info_industry_sw_2021(W2162,公司分析!D$5,3),IF($Y$3="wind一级行业",[1]!s_info_industry_gics(W2162,1),IF($Y$3="wind二级行业",[1]!s_info_industry_gics(W2162,2),IF($Y$3="wind三级行业",[1]!s_info_industry_gics(W2162,3),IF($Y$3="wind四级行业",[1]!s_info_industry_gics(W2162,4),IF($Y$3="证监会门类行业",[1]!s_info_industry_csrc12_n(W2162,公司分析!D$5,1),""))))))))</f>
        <v>专业工程</v>
      </c>
      <c r="Z2162" s="302" t="str">
        <f ca="1">IF(Y2162=行业比较!$E$6,ROW(),"")</f>
        <v/>
      </c>
      <c r="AA2162" s="122"/>
      <c r="AB2162" s="122"/>
      <c r="AC2162" s="122"/>
      <c r="AD2162" s="122"/>
      <c r="AE2162" s="122"/>
      <c r="AF2162" s="122"/>
      <c r="AG2162" s="122"/>
      <c r="AH2162" s="122"/>
      <c r="AI2162" s="122"/>
      <c r="AJ2162" s="122"/>
      <c r="AK2162" s="122"/>
      <c r="AL2162" s="122"/>
      <c r="AM2162" s="122"/>
      <c r="AN2162" s="122"/>
      <c r="AO2162" s="122"/>
      <c r="AP2162" s="122"/>
    </row>
    <row r="2163" spans="2:42">
      <c r="B2163" s="122"/>
      <c r="C2163" s="122"/>
      <c r="D2163" s="122"/>
      <c r="E2163" s="122"/>
      <c r="F2163" s="122"/>
      <c r="G2163" s="122"/>
      <c r="H2163" s="122"/>
      <c r="I2163" s="275"/>
      <c r="J2163" s="130"/>
      <c r="K2163" s="130"/>
      <c r="L2163" s="130"/>
      <c r="M2163" s="130"/>
      <c r="N2163" s="291"/>
      <c r="O2163" s="291"/>
      <c r="P2163" s="122"/>
      <c r="Q2163" s="122"/>
      <c r="R2163" s="122"/>
      <c r="S2163" s="122"/>
      <c r="T2163" s="122"/>
      <c r="U2163" s="315"/>
      <c r="V2163" s="260">
        <f t="shared" ca="1" si="41"/>
        <v>0</v>
      </c>
      <c r="W2163" s="348" t="str">
        <f>IF(板块成分!B2165="","",板块成分!B2165)</f>
        <v>300713.SZ</v>
      </c>
      <c r="X2163" s="276" t="str">
        <f>[1]!S_Info_Name(W2163)</f>
        <v>英可瑞</v>
      </c>
      <c r="Y2163" s="276" t="str">
        <f ca="1">IF($Y$3="申万一级行业",[1]!s_info_industry_sw_2021(W2163,公司分析!D$5,1),IF($Y$3="申万二级行业",[1]!s_info_industry_sw_2021(W2163,公司分析!D$5,2),IF($Y$3="申万三级行业",[1]!s_info_industry_sw_2021(W2163,公司分析!D$5,3),IF($Y$3="wind一级行业",[1]!s_info_industry_gics(W2163,1),IF($Y$3="wind二级行业",[1]!s_info_industry_gics(W2163,2),IF($Y$3="wind三级行业",[1]!s_info_industry_gics(W2163,3),IF($Y$3="wind四级行业",[1]!s_info_industry_gics(W2163,4),IF($Y$3="证监会门类行业",[1]!s_info_industry_csrc12_n(W2163,公司分析!D$5,1),""))))))))</f>
        <v>其他电源设备Ⅱ</v>
      </c>
      <c r="Z2163" s="302" t="str">
        <f ca="1">IF(Y2163=行业比较!$E$6,ROW(),"")</f>
        <v/>
      </c>
      <c r="AA2163" s="122"/>
      <c r="AB2163" s="122"/>
      <c r="AC2163" s="122"/>
      <c r="AD2163" s="122"/>
      <c r="AE2163" s="122"/>
      <c r="AF2163" s="122"/>
      <c r="AG2163" s="122"/>
      <c r="AH2163" s="122"/>
      <c r="AI2163" s="122"/>
      <c r="AJ2163" s="122"/>
      <c r="AK2163" s="122"/>
      <c r="AL2163" s="122"/>
      <c r="AM2163" s="122"/>
      <c r="AN2163" s="122"/>
      <c r="AO2163" s="122"/>
      <c r="AP2163" s="122"/>
    </row>
    <row r="2164" spans="2:42">
      <c r="B2164" s="122"/>
      <c r="C2164" s="122"/>
      <c r="D2164" s="122"/>
      <c r="E2164" s="122"/>
      <c r="F2164" s="122"/>
      <c r="G2164" s="122"/>
      <c r="H2164" s="122"/>
      <c r="I2164" s="275"/>
      <c r="J2164" s="130"/>
      <c r="K2164" s="130"/>
      <c r="L2164" s="130"/>
      <c r="M2164" s="130"/>
      <c r="N2164" s="291"/>
      <c r="O2164" s="291"/>
      <c r="P2164" s="122"/>
      <c r="Q2164" s="122"/>
      <c r="R2164" s="122"/>
      <c r="S2164" s="122"/>
      <c r="T2164" s="122"/>
      <c r="U2164" s="315"/>
      <c r="V2164" s="260">
        <f t="shared" ca="1" si="41"/>
        <v>0</v>
      </c>
      <c r="W2164" s="348" t="str">
        <f>IF(板块成分!B2166="","",板块成分!B2166)</f>
        <v>300715.SZ</v>
      </c>
      <c r="X2164" s="276" t="str">
        <f>[1]!S_Info_Name(W2164)</f>
        <v>凯伦股份</v>
      </c>
      <c r="Y2164" s="276" t="str">
        <f ca="1">IF($Y$3="申万一级行业",[1]!s_info_industry_sw_2021(W2164,公司分析!D$5,1),IF($Y$3="申万二级行业",[1]!s_info_industry_sw_2021(W2164,公司分析!D$5,2),IF($Y$3="申万三级行业",[1]!s_info_industry_sw_2021(W2164,公司分析!D$5,3),IF($Y$3="wind一级行业",[1]!s_info_industry_gics(W2164,1),IF($Y$3="wind二级行业",[1]!s_info_industry_gics(W2164,2),IF($Y$3="wind三级行业",[1]!s_info_industry_gics(W2164,3),IF($Y$3="wind四级行业",[1]!s_info_industry_gics(W2164,4),IF($Y$3="证监会门类行业",[1]!s_info_industry_csrc12_n(W2164,公司分析!D$5,1),""))))))))</f>
        <v>装修建材</v>
      </c>
      <c r="Z2164" s="302" t="str">
        <f ca="1">IF(Y2164=行业比较!$E$6,ROW(),"")</f>
        <v/>
      </c>
      <c r="AA2164" s="122"/>
      <c r="AB2164" s="122"/>
      <c r="AC2164" s="122"/>
      <c r="AD2164" s="122"/>
      <c r="AE2164" s="122"/>
      <c r="AF2164" s="122"/>
      <c r="AG2164" s="122"/>
      <c r="AH2164" s="122"/>
      <c r="AI2164" s="122"/>
      <c r="AJ2164" s="122"/>
      <c r="AK2164" s="122"/>
      <c r="AL2164" s="122"/>
      <c r="AM2164" s="122"/>
      <c r="AN2164" s="122"/>
      <c r="AO2164" s="122"/>
      <c r="AP2164" s="122"/>
    </row>
    <row r="2165" spans="2:42">
      <c r="B2165" s="122"/>
      <c r="C2165" s="122"/>
      <c r="D2165" s="122"/>
      <c r="E2165" s="122"/>
      <c r="F2165" s="122"/>
      <c r="G2165" s="122"/>
      <c r="H2165" s="122"/>
      <c r="I2165" s="275"/>
      <c r="J2165" s="130"/>
      <c r="K2165" s="130"/>
      <c r="L2165" s="130"/>
      <c r="M2165" s="130"/>
      <c r="N2165" s="291"/>
      <c r="O2165" s="291"/>
      <c r="P2165" s="122"/>
      <c r="Q2165" s="122"/>
      <c r="R2165" s="122"/>
      <c r="S2165" s="122"/>
      <c r="T2165" s="122"/>
      <c r="U2165" s="315"/>
      <c r="V2165" s="260">
        <f t="shared" ca="1" si="41"/>
        <v>0</v>
      </c>
      <c r="W2165" s="348" t="str">
        <f>IF(板块成分!B2167="","",板块成分!B2167)</f>
        <v>300716.SZ</v>
      </c>
      <c r="X2165" s="276" t="str">
        <f>[1]!S_Info_Name(W2165)</f>
        <v>ST泉为</v>
      </c>
      <c r="Y2165" s="276" t="str">
        <f ca="1">IF($Y$3="申万一级行业",[1]!s_info_industry_sw_2021(W2165,公司分析!D$5,1),IF($Y$3="申万二级行业",[1]!s_info_industry_sw_2021(W2165,公司分析!D$5,2),IF($Y$3="申万三级行业",[1]!s_info_industry_sw_2021(W2165,公司分析!D$5,3),IF($Y$3="wind一级行业",[1]!s_info_industry_gics(W2165,1),IF($Y$3="wind二级行业",[1]!s_info_industry_gics(W2165,2),IF($Y$3="wind三级行业",[1]!s_info_industry_gics(W2165,3),IF($Y$3="wind四级行业",[1]!s_info_industry_gics(W2165,4),IF($Y$3="证监会门类行业",[1]!s_info_industry_csrc12_n(W2165,公司分析!D$5,1),""))))))))</f>
        <v>光伏设备</v>
      </c>
      <c r="Z2165" s="302" t="str">
        <f ca="1">IF(Y2165=行业比较!$E$6,ROW(),"")</f>
        <v/>
      </c>
      <c r="AA2165" s="122"/>
      <c r="AB2165" s="122"/>
      <c r="AC2165" s="122"/>
      <c r="AD2165" s="122"/>
      <c r="AE2165" s="122"/>
      <c r="AF2165" s="122"/>
      <c r="AG2165" s="122"/>
      <c r="AH2165" s="122"/>
      <c r="AI2165" s="122"/>
      <c r="AJ2165" s="122"/>
      <c r="AK2165" s="122"/>
      <c r="AL2165" s="122"/>
      <c r="AM2165" s="122"/>
      <c r="AN2165" s="122"/>
      <c r="AO2165" s="122"/>
      <c r="AP2165" s="122"/>
    </row>
    <row r="2166" spans="2:42">
      <c r="B2166" s="122"/>
      <c r="C2166" s="122"/>
      <c r="D2166" s="122"/>
      <c r="E2166" s="122"/>
      <c r="F2166" s="122"/>
      <c r="G2166" s="122"/>
      <c r="H2166" s="122"/>
      <c r="I2166" s="275"/>
      <c r="J2166" s="130"/>
      <c r="K2166" s="130"/>
      <c r="L2166" s="130"/>
      <c r="M2166" s="130"/>
      <c r="N2166" s="291"/>
      <c r="O2166" s="291"/>
      <c r="P2166" s="122"/>
      <c r="Q2166" s="122"/>
      <c r="R2166" s="122"/>
      <c r="S2166" s="122"/>
      <c r="T2166" s="122"/>
      <c r="U2166" s="315"/>
      <c r="V2166" s="260">
        <f t="shared" ca="1" si="41"/>
        <v>0</v>
      </c>
      <c r="W2166" s="348" t="str">
        <f>IF(板块成分!B2168="","",板块成分!B2168)</f>
        <v>300717.SZ</v>
      </c>
      <c r="X2166" s="276" t="str">
        <f>[1]!S_Info_Name(W2166)</f>
        <v>华信新材</v>
      </c>
      <c r="Y2166" s="276" t="str">
        <f ca="1">IF($Y$3="申万一级行业",[1]!s_info_industry_sw_2021(W2166,公司分析!D$5,1),IF($Y$3="申万二级行业",[1]!s_info_industry_sw_2021(W2166,公司分析!D$5,2),IF($Y$3="申万三级行业",[1]!s_info_industry_sw_2021(W2166,公司分析!D$5,3),IF($Y$3="wind一级行业",[1]!s_info_industry_gics(W2166,1),IF($Y$3="wind二级行业",[1]!s_info_industry_gics(W2166,2),IF($Y$3="wind三级行业",[1]!s_info_industry_gics(W2166,3),IF($Y$3="wind四级行业",[1]!s_info_industry_gics(W2166,4),IF($Y$3="证监会门类行业",[1]!s_info_industry_csrc12_n(W2166,公司分析!D$5,1),""))))))))</f>
        <v>塑料</v>
      </c>
      <c r="Z2166" s="302" t="str">
        <f ca="1">IF(Y2166=行业比较!$E$6,ROW(),"")</f>
        <v/>
      </c>
      <c r="AA2166" s="122"/>
      <c r="AB2166" s="122"/>
      <c r="AC2166" s="122"/>
      <c r="AD2166" s="122"/>
      <c r="AE2166" s="122"/>
      <c r="AF2166" s="122"/>
      <c r="AG2166" s="122"/>
      <c r="AH2166" s="122"/>
      <c r="AI2166" s="122"/>
      <c r="AJ2166" s="122"/>
      <c r="AK2166" s="122"/>
      <c r="AL2166" s="122"/>
      <c r="AM2166" s="122"/>
      <c r="AN2166" s="122"/>
      <c r="AO2166" s="122"/>
      <c r="AP2166" s="122"/>
    </row>
    <row r="2167" spans="2:42">
      <c r="B2167" s="122"/>
      <c r="C2167" s="122"/>
      <c r="D2167" s="122"/>
      <c r="E2167" s="122"/>
      <c r="F2167" s="122"/>
      <c r="G2167" s="122"/>
      <c r="H2167" s="122"/>
      <c r="I2167" s="275"/>
      <c r="J2167" s="130"/>
      <c r="K2167" s="130"/>
      <c r="L2167" s="130"/>
      <c r="M2167" s="130"/>
      <c r="N2167" s="291"/>
      <c r="O2167" s="291"/>
      <c r="P2167" s="122"/>
      <c r="Q2167" s="122"/>
      <c r="R2167" s="122"/>
      <c r="S2167" s="122"/>
      <c r="T2167" s="122"/>
      <c r="U2167" s="315"/>
      <c r="V2167" s="260">
        <f t="shared" ca="1" si="41"/>
        <v>0</v>
      </c>
      <c r="W2167" s="348" t="str">
        <f>IF(板块成分!B2169="","",板块成分!B2169)</f>
        <v>300718.SZ</v>
      </c>
      <c r="X2167" s="276" t="str">
        <f>[1]!S_Info_Name(W2167)</f>
        <v>长盛轴承</v>
      </c>
      <c r="Y2167" s="276" t="str">
        <f ca="1">IF($Y$3="申万一级行业",[1]!s_info_industry_sw_2021(W2167,公司分析!D$5,1),IF($Y$3="申万二级行业",[1]!s_info_industry_sw_2021(W2167,公司分析!D$5,2),IF($Y$3="申万三级行业",[1]!s_info_industry_sw_2021(W2167,公司分析!D$5,3),IF($Y$3="wind一级行业",[1]!s_info_industry_gics(W2167,1),IF($Y$3="wind二级行业",[1]!s_info_industry_gics(W2167,2),IF($Y$3="wind三级行业",[1]!s_info_industry_gics(W2167,3),IF($Y$3="wind四级行业",[1]!s_info_industry_gics(W2167,4),IF($Y$3="证监会门类行业",[1]!s_info_industry_csrc12_n(W2167,公司分析!D$5,1),""))))))))</f>
        <v>通用设备</v>
      </c>
      <c r="Z2167" s="302" t="str">
        <f ca="1">IF(Y2167=行业比较!$E$6,ROW(),"")</f>
        <v/>
      </c>
      <c r="AA2167" s="122"/>
      <c r="AB2167" s="122"/>
      <c r="AC2167" s="122"/>
      <c r="AD2167" s="122"/>
      <c r="AE2167" s="122"/>
      <c r="AF2167" s="122"/>
      <c r="AG2167" s="122"/>
      <c r="AH2167" s="122"/>
      <c r="AI2167" s="122"/>
      <c r="AJ2167" s="122"/>
      <c r="AK2167" s="122"/>
      <c r="AL2167" s="122"/>
      <c r="AM2167" s="122"/>
      <c r="AN2167" s="122"/>
      <c r="AO2167" s="122"/>
      <c r="AP2167" s="122"/>
    </row>
    <row r="2168" spans="2:42">
      <c r="B2168" s="122"/>
      <c r="C2168" s="122"/>
      <c r="D2168" s="122"/>
      <c r="E2168" s="122"/>
      <c r="F2168" s="122"/>
      <c r="G2168" s="122"/>
      <c r="H2168" s="122"/>
      <c r="I2168" s="275"/>
      <c r="J2168" s="130"/>
      <c r="K2168" s="130"/>
      <c r="L2168" s="130"/>
      <c r="M2168" s="130"/>
      <c r="N2168" s="291"/>
      <c r="O2168" s="291"/>
      <c r="P2168" s="122"/>
      <c r="Q2168" s="122"/>
      <c r="R2168" s="122"/>
      <c r="S2168" s="122"/>
      <c r="T2168" s="122"/>
      <c r="U2168" s="315"/>
      <c r="V2168" s="260">
        <f t="shared" ca="1" si="41"/>
        <v>0</v>
      </c>
      <c r="W2168" s="348" t="str">
        <f>IF(板块成分!B2170="","",板块成分!B2170)</f>
        <v>300719.SZ</v>
      </c>
      <c r="X2168" s="276" t="str">
        <f>[1]!S_Info_Name(W2168)</f>
        <v>安达维尔</v>
      </c>
      <c r="Y2168" s="276" t="str">
        <f ca="1">IF($Y$3="申万一级行业",[1]!s_info_industry_sw_2021(W2168,公司分析!D$5,1),IF($Y$3="申万二级行业",[1]!s_info_industry_sw_2021(W2168,公司分析!D$5,2),IF($Y$3="申万三级行业",[1]!s_info_industry_sw_2021(W2168,公司分析!D$5,3),IF($Y$3="wind一级行业",[1]!s_info_industry_gics(W2168,1),IF($Y$3="wind二级行业",[1]!s_info_industry_gics(W2168,2),IF($Y$3="wind三级行业",[1]!s_info_industry_gics(W2168,3),IF($Y$3="wind四级行业",[1]!s_info_industry_gics(W2168,4),IF($Y$3="证监会门类行业",[1]!s_info_industry_csrc12_n(W2168,公司分析!D$5,1),""))))))))</f>
        <v>航空装备Ⅱ</v>
      </c>
      <c r="Z2168" s="302" t="str">
        <f ca="1">IF(Y2168=行业比较!$E$6,ROW(),"")</f>
        <v/>
      </c>
      <c r="AA2168" s="122"/>
      <c r="AB2168" s="122"/>
      <c r="AC2168" s="122"/>
      <c r="AD2168" s="122"/>
      <c r="AE2168" s="122"/>
      <c r="AF2168" s="122"/>
      <c r="AG2168" s="122"/>
      <c r="AH2168" s="122"/>
      <c r="AI2168" s="122"/>
      <c r="AJ2168" s="122"/>
      <c r="AK2168" s="122"/>
      <c r="AL2168" s="122"/>
      <c r="AM2168" s="122"/>
      <c r="AN2168" s="122"/>
      <c r="AO2168" s="122"/>
      <c r="AP2168" s="122"/>
    </row>
    <row r="2169" spans="2:42">
      <c r="B2169" s="122"/>
      <c r="C2169" s="122"/>
      <c r="D2169" s="122"/>
      <c r="E2169" s="122"/>
      <c r="F2169" s="122"/>
      <c r="G2169" s="122"/>
      <c r="H2169" s="122"/>
      <c r="I2169" s="275"/>
      <c r="J2169" s="130"/>
      <c r="K2169" s="130"/>
      <c r="L2169" s="130"/>
      <c r="M2169" s="130"/>
      <c r="N2169" s="291"/>
      <c r="O2169" s="291"/>
      <c r="P2169" s="122"/>
      <c r="Q2169" s="122"/>
      <c r="R2169" s="122"/>
      <c r="S2169" s="122"/>
      <c r="T2169" s="122"/>
      <c r="U2169" s="315"/>
      <c r="V2169" s="260">
        <f t="shared" ca="1" si="41"/>
        <v>0</v>
      </c>
      <c r="W2169" s="348" t="str">
        <f>IF(板块成分!B2171="","",板块成分!B2171)</f>
        <v>300720.SZ</v>
      </c>
      <c r="X2169" s="276" t="str">
        <f>[1]!S_Info_Name(W2169)</f>
        <v>海川智能</v>
      </c>
      <c r="Y2169" s="276" t="str">
        <f ca="1">IF($Y$3="申万一级行业",[1]!s_info_industry_sw_2021(W2169,公司分析!D$5,1),IF($Y$3="申万二级行业",[1]!s_info_industry_sw_2021(W2169,公司分析!D$5,2),IF($Y$3="申万三级行业",[1]!s_info_industry_sw_2021(W2169,公司分析!D$5,3),IF($Y$3="wind一级行业",[1]!s_info_industry_gics(W2169,1),IF($Y$3="wind二级行业",[1]!s_info_industry_gics(W2169,2),IF($Y$3="wind三级行业",[1]!s_info_industry_gics(W2169,3),IF($Y$3="wind四级行业",[1]!s_info_industry_gics(W2169,4),IF($Y$3="证监会门类行业",[1]!s_info_industry_csrc12_n(W2169,公司分析!D$5,1),""))))))))</f>
        <v>通用设备</v>
      </c>
      <c r="Z2169" s="302" t="str">
        <f ca="1">IF(Y2169=行业比较!$E$6,ROW(),"")</f>
        <v/>
      </c>
      <c r="AA2169" s="122"/>
      <c r="AB2169" s="122"/>
      <c r="AC2169" s="122"/>
      <c r="AD2169" s="122"/>
      <c r="AE2169" s="122"/>
      <c r="AF2169" s="122"/>
      <c r="AG2169" s="122"/>
      <c r="AH2169" s="122"/>
      <c r="AI2169" s="122"/>
      <c r="AJ2169" s="122"/>
      <c r="AK2169" s="122"/>
      <c r="AL2169" s="122"/>
      <c r="AM2169" s="122"/>
      <c r="AN2169" s="122"/>
      <c r="AO2169" s="122"/>
      <c r="AP2169" s="122"/>
    </row>
    <row r="2170" spans="2:42">
      <c r="B2170" s="122"/>
      <c r="C2170" s="122"/>
      <c r="D2170" s="122"/>
      <c r="E2170" s="122"/>
      <c r="F2170" s="122"/>
      <c r="G2170" s="122"/>
      <c r="H2170" s="122"/>
      <c r="I2170" s="275"/>
      <c r="J2170" s="130"/>
      <c r="K2170" s="130"/>
      <c r="L2170" s="130"/>
      <c r="M2170" s="130"/>
      <c r="N2170" s="291"/>
      <c r="O2170" s="291"/>
      <c r="P2170" s="122"/>
      <c r="Q2170" s="122"/>
      <c r="R2170" s="122"/>
      <c r="S2170" s="122"/>
      <c r="T2170" s="122"/>
      <c r="U2170" s="315"/>
      <c r="V2170" s="260">
        <f t="shared" ca="1" si="41"/>
        <v>0</v>
      </c>
      <c r="W2170" s="348" t="str">
        <f>IF(板块成分!B2172="","",板块成分!B2172)</f>
        <v>300721.SZ</v>
      </c>
      <c r="X2170" s="276" t="str">
        <f>[1]!S_Info_Name(W2170)</f>
        <v>怡达股份</v>
      </c>
      <c r="Y2170" s="276" t="str">
        <f ca="1">IF($Y$3="申万一级行业",[1]!s_info_industry_sw_2021(W2170,公司分析!D$5,1),IF($Y$3="申万二级行业",[1]!s_info_industry_sw_2021(W2170,公司分析!D$5,2),IF($Y$3="申万三级行业",[1]!s_info_industry_sw_2021(W2170,公司分析!D$5,3),IF($Y$3="wind一级行业",[1]!s_info_industry_gics(W2170,1),IF($Y$3="wind二级行业",[1]!s_info_industry_gics(W2170,2),IF($Y$3="wind三级行业",[1]!s_info_industry_gics(W2170,3),IF($Y$3="wind四级行业",[1]!s_info_industry_gics(W2170,4),IF($Y$3="证监会门类行业",[1]!s_info_industry_csrc12_n(W2170,公司分析!D$5,1),""))))))))</f>
        <v>化学制品</v>
      </c>
      <c r="Z2170" s="302" t="str">
        <f ca="1">IF(Y2170=行业比较!$E$6,ROW(),"")</f>
        <v/>
      </c>
      <c r="AA2170" s="122"/>
      <c r="AB2170" s="122"/>
      <c r="AC2170" s="122"/>
      <c r="AD2170" s="122"/>
      <c r="AE2170" s="122"/>
      <c r="AF2170" s="122"/>
      <c r="AG2170" s="122"/>
      <c r="AH2170" s="122"/>
      <c r="AI2170" s="122"/>
      <c r="AJ2170" s="122"/>
      <c r="AK2170" s="122"/>
      <c r="AL2170" s="122"/>
      <c r="AM2170" s="122"/>
      <c r="AN2170" s="122"/>
      <c r="AO2170" s="122"/>
      <c r="AP2170" s="122"/>
    </row>
    <row r="2171" spans="2:42">
      <c r="B2171" s="122"/>
      <c r="C2171" s="122"/>
      <c r="D2171" s="122"/>
      <c r="E2171" s="122"/>
      <c r="F2171" s="122"/>
      <c r="G2171" s="122"/>
      <c r="H2171" s="122"/>
      <c r="I2171" s="275"/>
      <c r="J2171" s="130"/>
      <c r="K2171" s="130"/>
      <c r="L2171" s="130"/>
      <c r="M2171" s="130"/>
      <c r="N2171" s="291"/>
      <c r="O2171" s="291"/>
      <c r="P2171" s="122"/>
      <c r="Q2171" s="122"/>
      <c r="R2171" s="122"/>
      <c r="S2171" s="122"/>
      <c r="T2171" s="122"/>
      <c r="U2171" s="315"/>
      <c r="V2171" s="260">
        <f t="shared" ca="1" si="41"/>
        <v>0</v>
      </c>
      <c r="W2171" s="348" t="str">
        <f>IF(板块成分!B2173="","",板块成分!B2173)</f>
        <v>300722.SZ</v>
      </c>
      <c r="X2171" s="276" t="str">
        <f>[1]!S_Info_Name(W2171)</f>
        <v>新余国科</v>
      </c>
      <c r="Y2171" s="276" t="str">
        <f ca="1">IF($Y$3="申万一级行业",[1]!s_info_industry_sw_2021(W2171,公司分析!D$5,1),IF($Y$3="申万二级行业",[1]!s_info_industry_sw_2021(W2171,公司分析!D$5,2),IF($Y$3="申万三级行业",[1]!s_info_industry_sw_2021(W2171,公司分析!D$5,3),IF($Y$3="wind一级行业",[1]!s_info_industry_gics(W2171,1),IF($Y$3="wind二级行业",[1]!s_info_industry_gics(W2171,2),IF($Y$3="wind三级行业",[1]!s_info_industry_gics(W2171,3),IF($Y$3="wind四级行业",[1]!s_info_industry_gics(W2171,4),IF($Y$3="证监会门类行业",[1]!s_info_industry_csrc12_n(W2171,公司分析!D$5,1),""))))))))</f>
        <v>航天装备Ⅱ</v>
      </c>
      <c r="Z2171" s="302" t="str">
        <f ca="1">IF(Y2171=行业比较!$E$6,ROW(),"")</f>
        <v/>
      </c>
      <c r="AA2171" s="122"/>
      <c r="AB2171" s="122"/>
      <c r="AC2171" s="122"/>
      <c r="AD2171" s="122"/>
      <c r="AE2171" s="122"/>
      <c r="AF2171" s="122"/>
      <c r="AG2171" s="122"/>
      <c r="AH2171" s="122"/>
      <c r="AI2171" s="122"/>
      <c r="AJ2171" s="122"/>
      <c r="AK2171" s="122"/>
      <c r="AL2171" s="122"/>
      <c r="AM2171" s="122"/>
      <c r="AN2171" s="122"/>
      <c r="AO2171" s="122"/>
      <c r="AP2171" s="122"/>
    </row>
    <row r="2172" spans="2:42">
      <c r="B2172" s="122"/>
      <c r="C2172" s="122"/>
      <c r="D2172" s="122"/>
      <c r="E2172" s="122"/>
      <c r="F2172" s="122"/>
      <c r="G2172" s="122"/>
      <c r="H2172" s="122"/>
      <c r="I2172" s="275"/>
      <c r="J2172" s="130"/>
      <c r="K2172" s="130"/>
      <c r="L2172" s="130"/>
      <c r="M2172" s="130"/>
      <c r="N2172" s="291"/>
      <c r="O2172" s="291"/>
      <c r="P2172" s="122"/>
      <c r="Q2172" s="122"/>
      <c r="R2172" s="122"/>
      <c r="S2172" s="122"/>
      <c r="T2172" s="122"/>
      <c r="U2172" s="315"/>
      <c r="V2172" s="260">
        <f t="shared" ca="1" si="41"/>
        <v>0</v>
      </c>
      <c r="W2172" s="348" t="str">
        <f>IF(板块成分!B2174="","",板块成分!B2174)</f>
        <v>300723.SZ</v>
      </c>
      <c r="X2172" s="276" t="str">
        <f>[1]!S_Info_Name(W2172)</f>
        <v>一品红</v>
      </c>
      <c r="Y2172" s="276" t="str">
        <f ca="1">IF($Y$3="申万一级行业",[1]!s_info_industry_sw_2021(W2172,公司分析!D$5,1),IF($Y$3="申万二级行业",[1]!s_info_industry_sw_2021(W2172,公司分析!D$5,2),IF($Y$3="申万三级行业",[1]!s_info_industry_sw_2021(W2172,公司分析!D$5,3),IF($Y$3="wind一级行业",[1]!s_info_industry_gics(W2172,1),IF($Y$3="wind二级行业",[1]!s_info_industry_gics(W2172,2),IF($Y$3="wind三级行业",[1]!s_info_industry_gics(W2172,3),IF($Y$3="wind四级行业",[1]!s_info_industry_gics(W2172,4),IF($Y$3="证监会门类行业",[1]!s_info_industry_csrc12_n(W2172,公司分析!D$5,1),""))))))))</f>
        <v>化学制药</v>
      </c>
      <c r="Z2172" s="302" t="str">
        <f ca="1">IF(Y2172=行业比较!$E$6,ROW(),"")</f>
        <v/>
      </c>
      <c r="AA2172" s="122"/>
      <c r="AB2172" s="122"/>
      <c r="AC2172" s="122"/>
      <c r="AD2172" s="122"/>
      <c r="AE2172" s="122"/>
      <c r="AF2172" s="122"/>
      <c r="AG2172" s="122"/>
      <c r="AH2172" s="122"/>
      <c r="AI2172" s="122"/>
      <c r="AJ2172" s="122"/>
      <c r="AK2172" s="122"/>
      <c r="AL2172" s="122"/>
      <c r="AM2172" s="122"/>
      <c r="AN2172" s="122"/>
      <c r="AO2172" s="122"/>
      <c r="AP2172" s="122"/>
    </row>
    <row r="2173" spans="2:42">
      <c r="B2173" s="122"/>
      <c r="C2173" s="122"/>
      <c r="D2173" s="122"/>
      <c r="E2173" s="122"/>
      <c r="F2173" s="122"/>
      <c r="G2173" s="122"/>
      <c r="H2173" s="122"/>
      <c r="I2173" s="275"/>
      <c r="J2173" s="130"/>
      <c r="K2173" s="130"/>
      <c r="L2173" s="130"/>
      <c r="M2173" s="130"/>
      <c r="N2173" s="291"/>
      <c r="O2173" s="291"/>
      <c r="P2173" s="122"/>
      <c r="Q2173" s="122"/>
      <c r="R2173" s="122"/>
      <c r="S2173" s="122"/>
      <c r="T2173" s="122"/>
      <c r="U2173" s="315"/>
      <c r="V2173" s="260">
        <f t="shared" ca="1" si="41"/>
        <v>0</v>
      </c>
      <c r="W2173" s="348" t="str">
        <f>IF(板块成分!B2175="","",板块成分!B2175)</f>
        <v>300724.SZ</v>
      </c>
      <c r="X2173" s="276" t="str">
        <f>[1]!S_Info_Name(W2173)</f>
        <v>捷佳伟创</v>
      </c>
      <c r="Y2173" s="276" t="str">
        <f ca="1">IF($Y$3="申万一级行业",[1]!s_info_industry_sw_2021(W2173,公司分析!D$5,1),IF($Y$3="申万二级行业",[1]!s_info_industry_sw_2021(W2173,公司分析!D$5,2),IF($Y$3="申万三级行业",[1]!s_info_industry_sw_2021(W2173,公司分析!D$5,3),IF($Y$3="wind一级行业",[1]!s_info_industry_gics(W2173,1),IF($Y$3="wind二级行业",[1]!s_info_industry_gics(W2173,2),IF($Y$3="wind三级行业",[1]!s_info_industry_gics(W2173,3),IF($Y$3="wind四级行业",[1]!s_info_industry_gics(W2173,4),IF($Y$3="证监会门类行业",[1]!s_info_industry_csrc12_n(W2173,公司分析!D$5,1),""))))))))</f>
        <v>光伏设备</v>
      </c>
      <c r="Z2173" s="302" t="str">
        <f ca="1">IF(Y2173=行业比较!$E$6,ROW(),"")</f>
        <v/>
      </c>
      <c r="AA2173" s="122"/>
      <c r="AB2173" s="122"/>
      <c r="AC2173" s="122"/>
      <c r="AD2173" s="122"/>
      <c r="AE2173" s="122"/>
      <c r="AF2173" s="122"/>
      <c r="AG2173" s="122"/>
      <c r="AH2173" s="122"/>
      <c r="AI2173" s="122"/>
      <c r="AJ2173" s="122"/>
      <c r="AK2173" s="122"/>
      <c r="AL2173" s="122"/>
      <c r="AM2173" s="122"/>
      <c r="AN2173" s="122"/>
      <c r="AO2173" s="122"/>
      <c r="AP2173" s="122"/>
    </row>
    <row r="2174" spans="2:42">
      <c r="B2174" s="122"/>
      <c r="C2174" s="122"/>
      <c r="D2174" s="122"/>
      <c r="E2174" s="122"/>
      <c r="F2174" s="122"/>
      <c r="G2174" s="122"/>
      <c r="H2174" s="122"/>
      <c r="I2174" s="275"/>
      <c r="J2174" s="130"/>
      <c r="K2174" s="130"/>
      <c r="L2174" s="130"/>
      <c r="M2174" s="130"/>
      <c r="N2174" s="291"/>
      <c r="O2174" s="291"/>
      <c r="P2174" s="122"/>
      <c r="Q2174" s="122"/>
      <c r="R2174" s="122"/>
      <c r="S2174" s="122"/>
      <c r="T2174" s="122"/>
      <c r="U2174" s="315"/>
      <c r="V2174" s="260">
        <f t="shared" ca="1" si="41"/>
        <v>0</v>
      </c>
      <c r="W2174" s="348" t="str">
        <f>IF(板块成分!B2176="","",板块成分!B2176)</f>
        <v>300725.SZ</v>
      </c>
      <c r="X2174" s="276" t="str">
        <f>[1]!S_Info_Name(W2174)</f>
        <v>药石科技</v>
      </c>
      <c r="Y2174" s="276" t="str">
        <f ca="1">IF($Y$3="申万一级行业",[1]!s_info_industry_sw_2021(W2174,公司分析!D$5,1),IF($Y$3="申万二级行业",[1]!s_info_industry_sw_2021(W2174,公司分析!D$5,2),IF($Y$3="申万三级行业",[1]!s_info_industry_sw_2021(W2174,公司分析!D$5,3),IF($Y$3="wind一级行业",[1]!s_info_industry_gics(W2174,1),IF($Y$3="wind二级行业",[1]!s_info_industry_gics(W2174,2),IF($Y$3="wind三级行业",[1]!s_info_industry_gics(W2174,3),IF($Y$3="wind四级行业",[1]!s_info_industry_gics(W2174,4),IF($Y$3="证监会门类行业",[1]!s_info_industry_csrc12_n(W2174,公司分析!D$5,1),""))))))))</f>
        <v>医疗服务</v>
      </c>
      <c r="Z2174" s="302" t="str">
        <f ca="1">IF(Y2174=行业比较!$E$6,ROW(),"")</f>
        <v/>
      </c>
      <c r="AA2174" s="122"/>
      <c r="AB2174" s="122"/>
      <c r="AC2174" s="122"/>
      <c r="AD2174" s="122"/>
      <c r="AE2174" s="122"/>
      <c r="AF2174" s="122"/>
      <c r="AG2174" s="122"/>
      <c r="AH2174" s="122"/>
      <c r="AI2174" s="122"/>
      <c r="AJ2174" s="122"/>
      <c r="AK2174" s="122"/>
      <c r="AL2174" s="122"/>
      <c r="AM2174" s="122"/>
      <c r="AN2174" s="122"/>
      <c r="AO2174" s="122"/>
      <c r="AP2174" s="122"/>
    </row>
    <row r="2175" spans="2:42">
      <c r="B2175" s="122"/>
      <c r="C2175" s="122"/>
      <c r="D2175" s="122"/>
      <c r="E2175" s="122"/>
      <c r="F2175" s="122"/>
      <c r="G2175" s="122"/>
      <c r="H2175" s="122"/>
      <c r="I2175" s="275"/>
      <c r="J2175" s="130"/>
      <c r="K2175" s="130"/>
      <c r="L2175" s="130"/>
      <c r="M2175" s="130"/>
      <c r="N2175" s="291"/>
      <c r="O2175" s="291"/>
      <c r="P2175" s="122"/>
      <c r="Q2175" s="122"/>
      <c r="R2175" s="122"/>
      <c r="S2175" s="122"/>
      <c r="T2175" s="122"/>
      <c r="U2175" s="315"/>
      <c r="V2175" s="260">
        <f t="shared" ca="1" si="41"/>
        <v>0</v>
      </c>
      <c r="W2175" s="348" t="str">
        <f>IF(板块成分!B2177="","",板块成分!B2177)</f>
        <v>300726.SZ</v>
      </c>
      <c r="X2175" s="276" t="str">
        <f>[1]!S_Info_Name(W2175)</f>
        <v>宏达电子</v>
      </c>
      <c r="Y2175" s="276" t="str">
        <f ca="1">IF($Y$3="申万一级行业",[1]!s_info_industry_sw_2021(W2175,公司分析!D$5,1),IF($Y$3="申万二级行业",[1]!s_info_industry_sw_2021(W2175,公司分析!D$5,2),IF($Y$3="申万三级行业",[1]!s_info_industry_sw_2021(W2175,公司分析!D$5,3),IF($Y$3="wind一级行业",[1]!s_info_industry_gics(W2175,1),IF($Y$3="wind二级行业",[1]!s_info_industry_gics(W2175,2),IF($Y$3="wind三级行业",[1]!s_info_industry_gics(W2175,3),IF($Y$3="wind四级行业",[1]!s_info_industry_gics(W2175,4),IF($Y$3="证监会门类行业",[1]!s_info_industry_csrc12_n(W2175,公司分析!D$5,1),""))))))))</f>
        <v>军工电子Ⅱ</v>
      </c>
      <c r="Z2175" s="302" t="str">
        <f ca="1">IF(Y2175=行业比较!$E$6,ROW(),"")</f>
        <v/>
      </c>
      <c r="AA2175" s="122"/>
      <c r="AB2175" s="122"/>
      <c r="AC2175" s="122"/>
      <c r="AD2175" s="122"/>
      <c r="AE2175" s="122"/>
      <c r="AF2175" s="122"/>
      <c r="AG2175" s="122"/>
      <c r="AH2175" s="122"/>
      <c r="AI2175" s="122"/>
      <c r="AJ2175" s="122"/>
      <c r="AK2175" s="122"/>
      <c r="AL2175" s="122"/>
      <c r="AM2175" s="122"/>
      <c r="AN2175" s="122"/>
      <c r="AO2175" s="122"/>
      <c r="AP2175" s="122"/>
    </row>
    <row r="2176" spans="2:42">
      <c r="B2176" s="122"/>
      <c r="C2176" s="122"/>
      <c r="D2176" s="122"/>
      <c r="E2176" s="122"/>
      <c r="F2176" s="122"/>
      <c r="G2176" s="122"/>
      <c r="H2176" s="122"/>
      <c r="I2176" s="275"/>
      <c r="J2176" s="130"/>
      <c r="K2176" s="130"/>
      <c r="L2176" s="130"/>
      <c r="M2176" s="130"/>
      <c r="N2176" s="291"/>
      <c r="O2176" s="291"/>
      <c r="P2176" s="122"/>
      <c r="Q2176" s="122"/>
      <c r="R2176" s="122"/>
      <c r="S2176" s="122"/>
      <c r="T2176" s="122"/>
      <c r="U2176" s="315"/>
      <c r="V2176" s="260">
        <f t="shared" ca="1" si="41"/>
        <v>0</v>
      </c>
      <c r="W2176" s="348" t="str">
        <f>IF(板块成分!B2178="","",板块成分!B2178)</f>
        <v>300727.SZ</v>
      </c>
      <c r="X2176" s="276" t="str">
        <f>[1]!S_Info_Name(W2176)</f>
        <v>润禾材料</v>
      </c>
      <c r="Y2176" s="276" t="str">
        <f ca="1">IF($Y$3="申万一级行业",[1]!s_info_industry_sw_2021(W2176,公司分析!D$5,1),IF($Y$3="申万二级行业",[1]!s_info_industry_sw_2021(W2176,公司分析!D$5,2),IF($Y$3="申万三级行业",[1]!s_info_industry_sw_2021(W2176,公司分析!D$5,3),IF($Y$3="wind一级行业",[1]!s_info_industry_gics(W2176,1),IF($Y$3="wind二级行业",[1]!s_info_industry_gics(W2176,2),IF($Y$3="wind三级行业",[1]!s_info_industry_gics(W2176,3),IF($Y$3="wind四级行业",[1]!s_info_industry_gics(W2176,4),IF($Y$3="证监会门类行业",[1]!s_info_industry_csrc12_n(W2176,公司分析!D$5,1),""))))))))</f>
        <v>化学制品</v>
      </c>
      <c r="Z2176" s="302" t="str">
        <f ca="1">IF(Y2176=行业比较!$E$6,ROW(),"")</f>
        <v/>
      </c>
      <c r="AA2176" s="122"/>
      <c r="AB2176" s="122"/>
      <c r="AC2176" s="122"/>
      <c r="AD2176" s="122"/>
      <c r="AE2176" s="122"/>
      <c r="AF2176" s="122"/>
      <c r="AG2176" s="122"/>
      <c r="AH2176" s="122"/>
      <c r="AI2176" s="122"/>
      <c r="AJ2176" s="122"/>
      <c r="AK2176" s="122"/>
      <c r="AL2176" s="122"/>
      <c r="AM2176" s="122"/>
      <c r="AN2176" s="122"/>
      <c r="AO2176" s="122"/>
      <c r="AP2176" s="122"/>
    </row>
    <row r="2177" spans="2:42">
      <c r="B2177" s="122"/>
      <c r="C2177" s="122"/>
      <c r="D2177" s="122"/>
      <c r="E2177" s="122"/>
      <c r="F2177" s="122"/>
      <c r="G2177" s="122"/>
      <c r="H2177" s="122"/>
      <c r="I2177" s="275"/>
      <c r="J2177" s="130"/>
      <c r="K2177" s="130"/>
      <c r="L2177" s="130"/>
      <c r="M2177" s="130"/>
      <c r="N2177" s="291"/>
      <c r="O2177" s="291"/>
      <c r="P2177" s="122"/>
      <c r="Q2177" s="122"/>
      <c r="R2177" s="122"/>
      <c r="S2177" s="122"/>
      <c r="T2177" s="122"/>
      <c r="U2177" s="315"/>
      <c r="V2177" s="260">
        <f t="shared" ca="1" si="41"/>
        <v>0</v>
      </c>
      <c r="W2177" s="348" t="str">
        <f>IF(板块成分!B2179="","",板块成分!B2179)</f>
        <v>300729.SZ</v>
      </c>
      <c r="X2177" s="276" t="str">
        <f>[1]!S_Info_Name(W2177)</f>
        <v>乐歌股份</v>
      </c>
      <c r="Y2177" s="276" t="str">
        <f ca="1">IF($Y$3="申万一级行业",[1]!s_info_industry_sw_2021(W2177,公司分析!D$5,1),IF($Y$3="申万二级行业",[1]!s_info_industry_sw_2021(W2177,公司分析!D$5,2),IF($Y$3="申万三级行业",[1]!s_info_industry_sw_2021(W2177,公司分析!D$5,3),IF($Y$3="wind一级行业",[1]!s_info_industry_gics(W2177,1),IF($Y$3="wind二级行业",[1]!s_info_industry_gics(W2177,2),IF($Y$3="wind三级行业",[1]!s_info_industry_gics(W2177,3),IF($Y$3="wind四级行业",[1]!s_info_industry_gics(W2177,4),IF($Y$3="证监会门类行业",[1]!s_info_industry_csrc12_n(W2177,公司分析!D$5,1),""))))))))</f>
        <v>家居用品</v>
      </c>
      <c r="Z2177" s="302" t="str">
        <f ca="1">IF(Y2177=行业比较!$E$6,ROW(),"")</f>
        <v/>
      </c>
      <c r="AA2177" s="122"/>
      <c r="AB2177" s="122"/>
      <c r="AC2177" s="122"/>
      <c r="AD2177" s="122"/>
      <c r="AE2177" s="122"/>
      <c r="AF2177" s="122"/>
      <c r="AG2177" s="122"/>
      <c r="AH2177" s="122"/>
      <c r="AI2177" s="122"/>
      <c r="AJ2177" s="122"/>
      <c r="AK2177" s="122"/>
      <c r="AL2177" s="122"/>
      <c r="AM2177" s="122"/>
      <c r="AN2177" s="122"/>
      <c r="AO2177" s="122"/>
      <c r="AP2177" s="122"/>
    </row>
    <row r="2178" spans="2:42">
      <c r="B2178" s="122"/>
      <c r="C2178" s="122"/>
      <c r="D2178" s="122"/>
      <c r="E2178" s="122"/>
      <c r="F2178" s="122"/>
      <c r="G2178" s="122"/>
      <c r="H2178" s="122"/>
      <c r="I2178" s="275"/>
      <c r="J2178" s="130"/>
      <c r="K2178" s="130"/>
      <c r="L2178" s="130"/>
      <c r="M2178" s="130"/>
      <c r="N2178" s="291"/>
      <c r="O2178" s="291"/>
      <c r="P2178" s="122"/>
      <c r="Q2178" s="122"/>
      <c r="R2178" s="122"/>
      <c r="S2178" s="122"/>
      <c r="T2178" s="122"/>
      <c r="U2178" s="315"/>
      <c r="V2178" s="260">
        <f t="shared" ca="1" si="41"/>
        <v>0</v>
      </c>
      <c r="W2178" s="348" t="str">
        <f>IF(板块成分!B2180="","",板块成分!B2180)</f>
        <v>300730.SZ</v>
      </c>
      <c r="X2178" s="276" t="str">
        <f>[1]!S_Info_Name(W2178)</f>
        <v>科创信息</v>
      </c>
      <c r="Y2178" s="276" t="str">
        <f ca="1">IF($Y$3="申万一级行业",[1]!s_info_industry_sw_2021(W2178,公司分析!D$5,1),IF($Y$3="申万二级行业",[1]!s_info_industry_sw_2021(W2178,公司分析!D$5,2),IF($Y$3="申万三级行业",[1]!s_info_industry_sw_2021(W2178,公司分析!D$5,3),IF($Y$3="wind一级行业",[1]!s_info_industry_gics(W2178,1),IF($Y$3="wind二级行业",[1]!s_info_industry_gics(W2178,2),IF($Y$3="wind三级行业",[1]!s_info_industry_gics(W2178,3),IF($Y$3="wind四级行业",[1]!s_info_industry_gics(W2178,4),IF($Y$3="证监会门类行业",[1]!s_info_industry_csrc12_n(W2178,公司分析!D$5,1),""))))))))</f>
        <v>软件开发</v>
      </c>
      <c r="Z2178" s="302" t="str">
        <f ca="1">IF(Y2178=行业比较!$E$6,ROW(),"")</f>
        <v/>
      </c>
      <c r="AA2178" s="122"/>
      <c r="AB2178" s="122"/>
      <c r="AC2178" s="122"/>
      <c r="AD2178" s="122"/>
      <c r="AE2178" s="122"/>
      <c r="AF2178" s="122"/>
      <c r="AG2178" s="122"/>
      <c r="AH2178" s="122"/>
      <c r="AI2178" s="122"/>
      <c r="AJ2178" s="122"/>
      <c r="AK2178" s="122"/>
      <c r="AL2178" s="122"/>
      <c r="AM2178" s="122"/>
      <c r="AN2178" s="122"/>
      <c r="AO2178" s="122"/>
      <c r="AP2178" s="122"/>
    </row>
    <row r="2179" spans="2:42">
      <c r="B2179" s="122"/>
      <c r="C2179" s="122"/>
      <c r="D2179" s="122"/>
      <c r="E2179" s="122"/>
      <c r="F2179" s="122"/>
      <c r="G2179" s="122"/>
      <c r="H2179" s="122"/>
      <c r="I2179" s="275"/>
      <c r="J2179" s="130"/>
      <c r="K2179" s="130"/>
      <c r="L2179" s="130"/>
      <c r="M2179" s="130"/>
      <c r="N2179" s="291"/>
      <c r="O2179" s="291"/>
      <c r="P2179" s="122"/>
      <c r="Q2179" s="122"/>
      <c r="R2179" s="122"/>
      <c r="S2179" s="122"/>
      <c r="T2179" s="122"/>
      <c r="U2179" s="315"/>
      <c r="V2179" s="260">
        <f t="shared" ca="1" si="41"/>
        <v>0</v>
      </c>
      <c r="W2179" s="348" t="str">
        <f>IF(板块成分!B2181="","",板块成分!B2181)</f>
        <v>300731.SZ</v>
      </c>
      <c r="X2179" s="276" t="str">
        <f>[1]!S_Info_Name(W2179)</f>
        <v>科创新源</v>
      </c>
      <c r="Y2179" s="276" t="str">
        <f ca="1">IF($Y$3="申万一级行业",[1]!s_info_industry_sw_2021(W2179,公司分析!D$5,1),IF($Y$3="申万二级行业",[1]!s_info_industry_sw_2021(W2179,公司分析!D$5,2),IF($Y$3="申万三级行业",[1]!s_info_industry_sw_2021(W2179,公司分析!D$5,3),IF($Y$3="wind一级行业",[1]!s_info_industry_gics(W2179,1),IF($Y$3="wind二级行业",[1]!s_info_industry_gics(W2179,2),IF($Y$3="wind三级行业",[1]!s_info_industry_gics(W2179,3),IF($Y$3="wind四级行业",[1]!s_info_industry_gics(W2179,4),IF($Y$3="证监会门类行业",[1]!s_info_industry_csrc12_n(W2179,公司分析!D$5,1),""))))))))</f>
        <v>橡胶</v>
      </c>
      <c r="Z2179" s="302" t="str">
        <f ca="1">IF(Y2179=行业比较!$E$6,ROW(),"")</f>
        <v/>
      </c>
      <c r="AA2179" s="122"/>
      <c r="AB2179" s="122"/>
      <c r="AC2179" s="122"/>
      <c r="AD2179" s="122"/>
      <c r="AE2179" s="122"/>
      <c r="AF2179" s="122"/>
      <c r="AG2179" s="122"/>
      <c r="AH2179" s="122"/>
      <c r="AI2179" s="122"/>
      <c r="AJ2179" s="122"/>
      <c r="AK2179" s="122"/>
      <c r="AL2179" s="122"/>
      <c r="AM2179" s="122"/>
      <c r="AN2179" s="122"/>
      <c r="AO2179" s="122"/>
      <c r="AP2179" s="122"/>
    </row>
    <row r="2180" spans="2:42">
      <c r="B2180" s="122"/>
      <c r="C2180" s="122"/>
      <c r="D2180" s="122"/>
      <c r="E2180" s="122"/>
      <c r="F2180" s="122"/>
      <c r="G2180" s="122"/>
      <c r="H2180" s="122"/>
      <c r="I2180" s="275"/>
      <c r="J2180" s="130"/>
      <c r="K2180" s="130"/>
      <c r="L2180" s="130"/>
      <c r="M2180" s="130"/>
      <c r="N2180" s="291"/>
      <c r="O2180" s="291"/>
      <c r="P2180" s="122"/>
      <c r="Q2180" s="122"/>
      <c r="R2180" s="122"/>
      <c r="S2180" s="122"/>
      <c r="T2180" s="122"/>
      <c r="U2180" s="315"/>
      <c r="V2180" s="260">
        <f t="shared" ca="1" si="41"/>
        <v>0</v>
      </c>
      <c r="W2180" s="348" t="str">
        <f>IF(板块成分!B2182="","",板块成分!B2182)</f>
        <v>300732.SZ</v>
      </c>
      <c r="X2180" s="276" t="str">
        <f>[1]!S_Info_Name(W2180)</f>
        <v>设研院</v>
      </c>
      <c r="Y2180" s="276" t="str">
        <f ca="1">IF($Y$3="申万一级行业",[1]!s_info_industry_sw_2021(W2180,公司分析!D$5,1),IF($Y$3="申万二级行业",[1]!s_info_industry_sw_2021(W2180,公司分析!D$5,2),IF($Y$3="申万三级行业",[1]!s_info_industry_sw_2021(W2180,公司分析!D$5,3),IF($Y$3="wind一级行业",[1]!s_info_industry_gics(W2180,1),IF($Y$3="wind二级行业",[1]!s_info_industry_gics(W2180,2),IF($Y$3="wind三级行业",[1]!s_info_industry_gics(W2180,3),IF($Y$3="wind四级行业",[1]!s_info_industry_gics(W2180,4),IF($Y$3="证监会门类行业",[1]!s_info_industry_csrc12_n(W2180,公司分析!D$5,1),""))))))))</f>
        <v>工程咨询服务Ⅱ</v>
      </c>
      <c r="Z2180" s="302" t="str">
        <f ca="1">IF(Y2180=行业比较!$E$6,ROW(),"")</f>
        <v/>
      </c>
      <c r="AA2180" s="122"/>
      <c r="AB2180" s="122"/>
      <c r="AC2180" s="122"/>
      <c r="AD2180" s="122"/>
      <c r="AE2180" s="122"/>
      <c r="AF2180" s="122"/>
      <c r="AG2180" s="122"/>
      <c r="AH2180" s="122"/>
      <c r="AI2180" s="122"/>
      <c r="AJ2180" s="122"/>
      <c r="AK2180" s="122"/>
      <c r="AL2180" s="122"/>
      <c r="AM2180" s="122"/>
      <c r="AN2180" s="122"/>
      <c r="AO2180" s="122"/>
      <c r="AP2180" s="122"/>
    </row>
    <row r="2181" spans="2:42">
      <c r="B2181" s="122"/>
      <c r="C2181" s="122"/>
      <c r="D2181" s="122"/>
      <c r="E2181" s="122"/>
      <c r="F2181" s="122"/>
      <c r="G2181" s="122"/>
      <c r="H2181" s="122"/>
      <c r="I2181" s="275"/>
      <c r="J2181" s="130"/>
      <c r="K2181" s="130"/>
      <c r="L2181" s="130"/>
      <c r="M2181" s="130"/>
      <c r="N2181" s="291"/>
      <c r="O2181" s="291"/>
      <c r="P2181" s="122"/>
      <c r="Q2181" s="122"/>
      <c r="R2181" s="122"/>
      <c r="S2181" s="122"/>
      <c r="T2181" s="122"/>
      <c r="U2181" s="315"/>
      <c r="V2181" s="260">
        <f t="shared" ref="V2181:V2244" ca="1" si="42">IF(Z2181="",0,RANK(Z2181,Z:Z,1))</f>
        <v>0</v>
      </c>
      <c r="W2181" s="348" t="str">
        <f>IF(板块成分!B2183="","",板块成分!B2183)</f>
        <v>300733.SZ</v>
      </c>
      <c r="X2181" s="276" t="str">
        <f>[1]!S_Info_Name(W2181)</f>
        <v>西菱动力</v>
      </c>
      <c r="Y2181" s="276" t="str">
        <f ca="1">IF($Y$3="申万一级行业",[1]!s_info_industry_sw_2021(W2181,公司分析!D$5,1),IF($Y$3="申万二级行业",[1]!s_info_industry_sw_2021(W2181,公司分析!D$5,2),IF($Y$3="申万三级行业",[1]!s_info_industry_sw_2021(W2181,公司分析!D$5,3),IF($Y$3="wind一级行业",[1]!s_info_industry_gics(W2181,1),IF($Y$3="wind二级行业",[1]!s_info_industry_gics(W2181,2),IF($Y$3="wind三级行业",[1]!s_info_industry_gics(W2181,3),IF($Y$3="wind四级行业",[1]!s_info_industry_gics(W2181,4),IF($Y$3="证监会门类行业",[1]!s_info_industry_csrc12_n(W2181,公司分析!D$5,1),""))))))))</f>
        <v>汽车零部件</v>
      </c>
      <c r="Z2181" s="302" t="str">
        <f ca="1">IF(Y2181=行业比较!$E$6,ROW(),"")</f>
        <v/>
      </c>
      <c r="AA2181" s="122"/>
      <c r="AB2181" s="122"/>
      <c r="AC2181" s="122"/>
      <c r="AD2181" s="122"/>
      <c r="AE2181" s="122"/>
      <c r="AF2181" s="122"/>
      <c r="AG2181" s="122"/>
      <c r="AH2181" s="122"/>
      <c r="AI2181" s="122"/>
      <c r="AJ2181" s="122"/>
      <c r="AK2181" s="122"/>
      <c r="AL2181" s="122"/>
      <c r="AM2181" s="122"/>
      <c r="AN2181" s="122"/>
      <c r="AO2181" s="122"/>
      <c r="AP2181" s="122"/>
    </row>
    <row r="2182" spans="2:42">
      <c r="B2182" s="122"/>
      <c r="C2182" s="122"/>
      <c r="D2182" s="122"/>
      <c r="E2182" s="122"/>
      <c r="F2182" s="122"/>
      <c r="G2182" s="122"/>
      <c r="H2182" s="122"/>
      <c r="I2182" s="275"/>
      <c r="J2182" s="130"/>
      <c r="K2182" s="130"/>
      <c r="L2182" s="130"/>
      <c r="M2182" s="130"/>
      <c r="N2182" s="291"/>
      <c r="O2182" s="291"/>
      <c r="P2182" s="122"/>
      <c r="Q2182" s="122"/>
      <c r="R2182" s="122"/>
      <c r="S2182" s="122"/>
      <c r="T2182" s="122"/>
      <c r="U2182" s="315"/>
      <c r="V2182" s="260">
        <f t="shared" ca="1" si="42"/>
        <v>0</v>
      </c>
      <c r="W2182" s="348" t="str">
        <f>IF(板块成分!B2184="","",板块成分!B2184)</f>
        <v>300735.SZ</v>
      </c>
      <c r="X2182" s="276" t="str">
        <f>[1]!S_Info_Name(W2182)</f>
        <v>光弘科技</v>
      </c>
      <c r="Y2182" s="276" t="str">
        <f ca="1">IF($Y$3="申万一级行业",[1]!s_info_industry_sw_2021(W2182,公司分析!D$5,1),IF($Y$3="申万二级行业",[1]!s_info_industry_sw_2021(W2182,公司分析!D$5,2),IF($Y$3="申万三级行业",[1]!s_info_industry_sw_2021(W2182,公司分析!D$5,3),IF($Y$3="wind一级行业",[1]!s_info_industry_gics(W2182,1),IF($Y$3="wind二级行业",[1]!s_info_industry_gics(W2182,2),IF($Y$3="wind三级行业",[1]!s_info_industry_gics(W2182,3),IF($Y$3="wind四级行业",[1]!s_info_industry_gics(W2182,4),IF($Y$3="证监会门类行业",[1]!s_info_industry_csrc12_n(W2182,公司分析!D$5,1),""))))))))</f>
        <v>消费电子</v>
      </c>
      <c r="Z2182" s="302" t="str">
        <f ca="1">IF(Y2182=行业比较!$E$6,ROW(),"")</f>
        <v/>
      </c>
      <c r="AA2182" s="122"/>
      <c r="AB2182" s="122"/>
      <c r="AC2182" s="122"/>
      <c r="AD2182" s="122"/>
      <c r="AE2182" s="122"/>
      <c r="AF2182" s="122"/>
      <c r="AG2182" s="122"/>
      <c r="AH2182" s="122"/>
      <c r="AI2182" s="122"/>
      <c r="AJ2182" s="122"/>
      <c r="AK2182" s="122"/>
      <c r="AL2182" s="122"/>
      <c r="AM2182" s="122"/>
      <c r="AN2182" s="122"/>
      <c r="AO2182" s="122"/>
      <c r="AP2182" s="122"/>
    </row>
    <row r="2183" spans="2:42">
      <c r="B2183" s="122"/>
      <c r="C2183" s="122"/>
      <c r="D2183" s="122"/>
      <c r="E2183" s="122"/>
      <c r="F2183" s="122"/>
      <c r="G2183" s="122"/>
      <c r="H2183" s="122"/>
      <c r="I2183" s="275"/>
      <c r="J2183" s="130"/>
      <c r="K2183" s="130"/>
      <c r="L2183" s="130"/>
      <c r="M2183" s="130"/>
      <c r="N2183" s="291"/>
      <c r="O2183" s="291"/>
      <c r="P2183" s="122"/>
      <c r="Q2183" s="122"/>
      <c r="R2183" s="122"/>
      <c r="S2183" s="122"/>
      <c r="T2183" s="122"/>
      <c r="U2183" s="315"/>
      <c r="V2183" s="260">
        <f t="shared" ca="1" si="42"/>
        <v>0</v>
      </c>
      <c r="W2183" s="348" t="str">
        <f>IF(板块成分!B2185="","",板块成分!B2185)</f>
        <v>300736.SZ</v>
      </c>
      <c r="X2183" s="276" t="str">
        <f>[1]!S_Info_Name(W2183)</f>
        <v>百邦科技</v>
      </c>
      <c r="Y2183" s="276" t="str">
        <f ca="1">IF($Y$3="申万一级行业",[1]!s_info_industry_sw_2021(W2183,公司分析!D$5,1),IF($Y$3="申万二级行业",[1]!s_info_industry_sw_2021(W2183,公司分析!D$5,2),IF($Y$3="申万三级行业",[1]!s_info_industry_sw_2021(W2183,公司分析!D$5,3),IF($Y$3="wind一级行业",[1]!s_info_industry_gics(W2183,1),IF($Y$3="wind二级行业",[1]!s_info_industry_gics(W2183,2),IF($Y$3="wind三级行业",[1]!s_info_industry_gics(W2183,3),IF($Y$3="wind四级行业",[1]!s_info_industry_gics(W2183,4),IF($Y$3="证监会门类行业",[1]!s_info_industry_csrc12_n(W2183,公司分析!D$5,1),""))))))))</f>
        <v>其他电子Ⅱ</v>
      </c>
      <c r="Z2183" s="302" t="str">
        <f ca="1">IF(Y2183=行业比较!$E$6,ROW(),"")</f>
        <v/>
      </c>
      <c r="AA2183" s="122"/>
      <c r="AB2183" s="122"/>
      <c r="AC2183" s="122"/>
      <c r="AD2183" s="122"/>
      <c r="AE2183" s="122"/>
      <c r="AF2183" s="122"/>
      <c r="AG2183" s="122"/>
      <c r="AH2183" s="122"/>
      <c r="AI2183" s="122"/>
      <c r="AJ2183" s="122"/>
      <c r="AK2183" s="122"/>
      <c r="AL2183" s="122"/>
      <c r="AM2183" s="122"/>
      <c r="AN2183" s="122"/>
      <c r="AO2183" s="122"/>
      <c r="AP2183" s="122"/>
    </row>
    <row r="2184" spans="2:42">
      <c r="B2184" s="122"/>
      <c r="C2184" s="122"/>
      <c r="D2184" s="122"/>
      <c r="E2184" s="122"/>
      <c r="F2184" s="122"/>
      <c r="G2184" s="122"/>
      <c r="H2184" s="122"/>
      <c r="I2184" s="275"/>
      <c r="J2184" s="130"/>
      <c r="K2184" s="130"/>
      <c r="L2184" s="130"/>
      <c r="M2184" s="130"/>
      <c r="N2184" s="291"/>
      <c r="O2184" s="291"/>
      <c r="P2184" s="122"/>
      <c r="Q2184" s="122"/>
      <c r="R2184" s="122"/>
      <c r="S2184" s="122"/>
      <c r="T2184" s="122"/>
      <c r="U2184" s="315"/>
      <c r="V2184" s="260">
        <f t="shared" ca="1" si="42"/>
        <v>0</v>
      </c>
      <c r="W2184" s="348" t="str">
        <f>IF(板块成分!B2186="","",板块成分!B2186)</f>
        <v>300737.SZ</v>
      </c>
      <c r="X2184" s="276" t="str">
        <f>[1]!S_Info_Name(W2184)</f>
        <v>科顺股份</v>
      </c>
      <c r="Y2184" s="276" t="str">
        <f ca="1">IF($Y$3="申万一级行业",[1]!s_info_industry_sw_2021(W2184,公司分析!D$5,1),IF($Y$3="申万二级行业",[1]!s_info_industry_sw_2021(W2184,公司分析!D$5,2),IF($Y$3="申万三级行业",[1]!s_info_industry_sw_2021(W2184,公司分析!D$5,3),IF($Y$3="wind一级行业",[1]!s_info_industry_gics(W2184,1),IF($Y$3="wind二级行业",[1]!s_info_industry_gics(W2184,2),IF($Y$3="wind三级行业",[1]!s_info_industry_gics(W2184,3),IF($Y$3="wind四级行业",[1]!s_info_industry_gics(W2184,4),IF($Y$3="证监会门类行业",[1]!s_info_industry_csrc12_n(W2184,公司分析!D$5,1),""))))))))</f>
        <v>装修建材</v>
      </c>
      <c r="Z2184" s="302" t="str">
        <f ca="1">IF(Y2184=行业比较!$E$6,ROW(),"")</f>
        <v/>
      </c>
      <c r="AA2184" s="122"/>
      <c r="AB2184" s="122"/>
      <c r="AC2184" s="122"/>
      <c r="AD2184" s="122"/>
      <c r="AE2184" s="122"/>
      <c r="AF2184" s="122"/>
      <c r="AG2184" s="122"/>
      <c r="AH2184" s="122"/>
      <c r="AI2184" s="122"/>
      <c r="AJ2184" s="122"/>
      <c r="AK2184" s="122"/>
      <c r="AL2184" s="122"/>
      <c r="AM2184" s="122"/>
      <c r="AN2184" s="122"/>
      <c r="AO2184" s="122"/>
      <c r="AP2184" s="122"/>
    </row>
    <row r="2185" spans="2:42">
      <c r="B2185" s="122"/>
      <c r="C2185" s="122"/>
      <c r="D2185" s="122"/>
      <c r="E2185" s="122"/>
      <c r="F2185" s="122"/>
      <c r="G2185" s="122"/>
      <c r="H2185" s="122"/>
      <c r="I2185" s="275"/>
      <c r="J2185" s="130"/>
      <c r="K2185" s="130"/>
      <c r="L2185" s="130"/>
      <c r="M2185" s="130"/>
      <c r="N2185" s="291"/>
      <c r="O2185" s="291"/>
      <c r="P2185" s="122"/>
      <c r="Q2185" s="122"/>
      <c r="R2185" s="122"/>
      <c r="S2185" s="122"/>
      <c r="T2185" s="122"/>
      <c r="U2185" s="315"/>
      <c r="V2185" s="260">
        <f t="shared" ca="1" si="42"/>
        <v>0</v>
      </c>
      <c r="W2185" s="348" t="str">
        <f>IF(板块成分!B2187="","",板块成分!B2187)</f>
        <v>300738.SZ</v>
      </c>
      <c r="X2185" s="276" t="str">
        <f>[1]!S_Info_Name(W2185)</f>
        <v>奥飞数据</v>
      </c>
      <c r="Y2185" s="276" t="str">
        <f ca="1">IF($Y$3="申万一级行业",[1]!s_info_industry_sw_2021(W2185,公司分析!D$5,1),IF($Y$3="申万二级行业",[1]!s_info_industry_sw_2021(W2185,公司分析!D$5,2),IF($Y$3="申万三级行业",[1]!s_info_industry_sw_2021(W2185,公司分析!D$5,3),IF($Y$3="wind一级行业",[1]!s_info_industry_gics(W2185,1),IF($Y$3="wind二级行业",[1]!s_info_industry_gics(W2185,2),IF($Y$3="wind三级行业",[1]!s_info_industry_gics(W2185,3),IF($Y$3="wind四级行业",[1]!s_info_industry_gics(W2185,4),IF($Y$3="证监会门类行业",[1]!s_info_industry_csrc12_n(W2185,公司分析!D$5,1),""))))))))</f>
        <v>通信服务</v>
      </c>
      <c r="Z2185" s="302" t="str">
        <f ca="1">IF(Y2185=行业比较!$E$6,ROW(),"")</f>
        <v/>
      </c>
      <c r="AA2185" s="122"/>
      <c r="AB2185" s="122"/>
      <c r="AC2185" s="122"/>
      <c r="AD2185" s="122"/>
      <c r="AE2185" s="122"/>
      <c r="AF2185" s="122"/>
      <c r="AG2185" s="122"/>
      <c r="AH2185" s="122"/>
      <c r="AI2185" s="122"/>
      <c r="AJ2185" s="122"/>
      <c r="AK2185" s="122"/>
      <c r="AL2185" s="122"/>
      <c r="AM2185" s="122"/>
      <c r="AN2185" s="122"/>
      <c r="AO2185" s="122"/>
      <c r="AP2185" s="122"/>
    </row>
    <row r="2186" spans="2:42">
      <c r="B2186" s="122"/>
      <c r="C2186" s="122"/>
      <c r="D2186" s="122"/>
      <c r="E2186" s="122"/>
      <c r="F2186" s="122"/>
      <c r="G2186" s="122"/>
      <c r="H2186" s="122"/>
      <c r="I2186" s="275"/>
      <c r="J2186" s="130"/>
      <c r="K2186" s="130"/>
      <c r="L2186" s="130"/>
      <c r="M2186" s="130"/>
      <c r="N2186" s="291"/>
      <c r="O2186" s="291"/>
      <c r="P2186" s="122"/>
      <c r="Q2186" s="122"/>
      <c r="R2186" s="122"/>
      <c r="S2186" s="122"/>
      <c r="T2186" s="122"/>
      <c r="U2186" s="315"/>
      <c r="V2186" s="260">
        <f t="shared" ca="1" si="42"/>
        <v>0</v>
      </c>
      <c r="W2186" s="348" t="str">
        <f>IF(板块成分!B2188="","",板块成分!B2188)</f>
        <v>300739.SZ</v>
      </c>
      <c r="X2186" s="276" t="str">
        <f>[1]!S_Info_Name(W2186)</f>
        <v>明阳电路</v>
      </c>
      <c r="Y2186" s="276" t="str">
        <f ca="1">IF($Y$3="申万一级行业",[1]!s_info_industry_sw_2021(W2186,公司分析!D$5,1),IF($Y$3="申万二级行业",[1]!s_info_industry_sw_2021(W2186,公司分析!D$5,2),IF($Y$3="申万三级行业",[1]!s_info_industry_sw_2021(W2186,公司分析!D$5,3),IF($Y$3="wind一级行业",[1]!s_info_industry_gics(W2186,1),IF($Y$3="wind二级行业",[1]!s_info_industry_gics(W2186,2),IF($Y$3="wind三级行业",[1]!s_info_industry_gics(W2186,3),IF($Y$3="wind四级行业",[1]!s_info_industry_gics(W2186,4),IF($Y$3="证监会门类行业",[1]!s_info_industry_csrc12_n(W2186,公司分析!D$5,1),""))))))))</f>
        <v>元件</v>
      </c>
      <c r="Z2186" s="302" t="str">
        <f ca="1">IF(Y2186=行业比较!$E$6,ROW(),"")</f>
        <v/>
      </c>
      <c r="AA2186" s="122"/>
      <c r="AB2186" s="122"/>
      <c r="AC2186" s="122"/>
      <c r="AD2186" s="122"/>
      <c r="AE2186" s="122"/>
      <c r="AF2186" s="122"/>
      <c r="AG2186" s="122"/>
      <c r="AH2186" s="122"/>
      <c r="AI2186" s="122"/>
      <c r="AJ2186" s="122"/>
      <c r="AK2186" s="122"/>
      <c r="AL2186" s="122"/>
      <c r="AM2186" s="122"/>
      <c r="AN2186" s="122"/>
      <c r="AO2186" s="122"/>
      <c r="AP2186" s="122"/>
    </row>
    <row r="2187" spans="2:42">
      <c r="B2187" s="122"/>
      <c r="C2187" s="122"/>
      <c r="D2187" s="122"/>
      <c r="E2187" s="122"/>
      <c r="F2187" s="122"/>
      <c r="G2187" s="122"/>
      <c r="H2187" s="122"/>
      <c r="I2187" s="275"/>
      <c r="J2187" s="130"/>
      <c r="K2187" s="130"/>
      <c r="L2187" s="130"/>
      <c r="M2187" s="130"/>
      <c r="N2187" s="291"/>
      <c r="O2187" s="291"/>
      <c r="P2187" s="122"/>
      <c r="Q2187" s="122"/>
      <c r="R2187" s="122"/>
      <c r="S2187" s="122"/>
      <c r="T2187" s="122"/>
      <c r="U2187" s="315"/>
      <c r="V2187" s="260">
        <f t="shared" ca="1" si="42"/>
        <v>0</v>
      </c>
      <c r="W2187" s="348" t="str">
        <f>IF(板块成分!B2189="","",板块成分!B2189)</f>
        <v>300740.SZ</v>
      </c>
      <c r="X2187" s="276" t="str">
        <f>[1]!S_Info_Name(W2187)</f>
        <v>水羊股份</v>
      </c>
      <c r="Y2187" s="276" t="str">
        <f ca="1">IF($Y$3="申万一级行业",[1]!s_info_industry_sw_2021(W2187,公司分析!D$5,1),IF($Y$3="申万二级行业",[1]!s_info_industry_sw_2021(W2187,公司分析!D$5,2),IF($Y$3="申万三级行业",[1]!s_info_industry_sw_2021(W2187,公司分析!D$5,3),IF($Y$3="wind一级行业",[1]!s_info_industry_gics(W2187,1),IF($Y$3="wind二级行业",[1]!s_info_industry_gics(W2187,2),IF($Y$3="wind三级行业",[1]!s_info_industry_gics(W2187,3),IF($Y$3="wind四级行业",[1]!s_info_industry_gics(W2187,4),IF($Y$3="证监会门类行业",[1]!s_info_industry_csrc12_n(W2187,公司分析!D$5,1),""))))))))</f>
        <v>化妆品</v>
      </c>
      <c r="Z2187" s="302" t="str">
        <f ca="1">IF(Y2187=行业比较!$E$6,ROW(),"")</f>
        <v/>
      </c>
      <c r="AA2187" s="122"/>
      <c r="AB2187" s="122"/>
      <c r="AC2187" s="122"/>
      <c r="AD2187" s="122"/>
      <c r="AE2187" s="122"/>
      <c r="AF2187" s="122"/>
      <c r="AG2187" s="122"/>
      <c r="AH2187" s="122"/>
      <c r="AI2187" s="122"/>
      <c r="AJ2187" s="122"/>
      <c r="AK2187" s="122"/>
      <c r="AL2187" s="122"/>
      <c r="AM2187" s="122"/>
      <c r="AN2187" s="122"/>
      <c r="AO2187" s="122"/>
      <c r="AP2187" s="122"/>
    </row>
    <row r="2188" spans="2:42">
      <c r="B2188" s="122"/>
      <c r="C2188" s="122"/>
      <c r="D2188" s="122"/>
      <c r="E2188" s="122"/>
      <c r="F2188" s="122"/>
      <c r="G2188" s="122"/>
      <c r="H2188" s="122"/>
      <c r="I2188" s="275"/>
      <c r="J2188" s="130"/>
      <c r="K2188" s="130"/>
      <c r="L2188" s="130"/>
      <c r="M2188" s="130"/>
      <c r="N2188" s="291"/>
      <c r="O2188" s="291"/>
      <c r="P2188" s="122"/>
      <c r="Q2188" s="122"/>
      <c r="R2188" s="122"/>
      <c r="S2188" s="122"/>
      <c r="T2188" s="122"/>
      <c r="U2188" s="315"/>
      <c r="V2188" s="260">
        <f t="shared" ca="1" si="42"/>
        <v>0</v>
      </c>
      <c r="W2188" s="348" t="str">
        <f>IF(板块成分!B2190="","",板块成分!B2190)</f>
        <v>300741.SZ</v>
      </c>
      <c r="X2188" s="276" t="str">
        <f>[1]!S_Info_Name(W2188)</f>
        <v>华宝股份</v>
      </c>
      <c r="Y2188" s="276" t="str">
        <f ca="1">IF($Y$3="申万一级行业",[1]!s_info_industry_sw_2021(W2188,公司分析!D$5,1),IF($Y$3="申万二级行业",[1]!s_info_industry_sw_2021(W2188,公司分析!D$5,2),IF($Y$3="申万三级行业",[1]!s_info_industry_sw_2021(W2188,公司分析!D$5,3),IF($Y$3="wind一级行业",[1]!s_info_industry_gics(W2188,1),IF($Y$3="wind二级行业",[1]!s_info_industry_gics(W2188,2),IF($Y$3="wind三级行业",[1]!s_info_industry_gics(W2188,3),IF($Y$3="wind四级行业",[1]!s_info_industry_gics(W2188,4),IF($Y$3="证监会门类行业",[1]!s_info_industry_csrc12_n(W2188,公司分析!D$5,1),""))))))))</f>
        <v>化学制品</v>
      </c>
      <c r="Z2188" s="302" t="str">
        <f ca="1">IF(Y2188=行业比较!$E$6,ROW(),"")</f>
        <v/>
      </c>
      <c r="AA2188" s="122"/>
      <c r="AB2188" s="122"/>
      <c r="AC2188" s="122"/>
      <c r="AD2188" s="122"/>
      <c r="AE2188" s="122"/>
      <c r="AF2188" s="122"/>
      <c r="AG2188" s="122"/>
      <c r="AH2188" s="122"/>
      <c r="AI2188" s="122"/>
      <c r="AJ2188" s="122"/>
      <c r="AK2188" s="122"/>
      <c r="AL2188" s="122"/>
      <c r="AM2188" s="122"/>
      <c r="AN2188" s="122"/>
      <c r="AO2188" s="122"/>
      <c r="AP2188" s="122"/>
    </row>
    <row r="2189" spans="2:42">
      <c r="B2189" s="122"/>
      <c r="C2189" s="122"/>
      <c r="D2189" s="122"/>
      <c r="E2189" s="122"/>
      <c r="F2189" s="122"/>
      <c r="G2189" s="122"/>
      <c r="H2189" s="122"/>
      <c r="I2189" s="275"/>
      <c r="J2189" s="130"/>
      <c r="K2189" s="130"/>
      <c r="L2189" s="130"/>
      <c r="M2189" s="130"/>
      <c r="N2189" s="291"/>
      <c r="O2189" s="291"/>
      <c r="P2189" s="122"/>
      <c r="Q2189" s="122"/>
      <c r="R2189" s="122"/>
      <c r="S2189" s="122"/>
      <c r="T2189" s="122"/>
      <c r="U2189" s="315"/>
      <c r="V2189" s="260">
        <f t="shared" ca="1" si="42"/>
        <v>0</v>
      </c>
      <c r="W2189" s="348" t="str">
        <f>IF(板块成分!B2191="","",板块成分!B2191)</f>
        <v>300743.SZ</v>
      </c>
      <c r="X2189" s="276" t="str">
        <f>[1]!S_Info_Name(W2189)</f>
        <v>天地数码</v>
      </c>
      <c r="Y2189" s="276" t="str">
        <f ca="1">IF($Y$3="申万一级行业",[1]!s_info_industry_sw_2021(W2189,公司分析!D$5,1),IF($Y$3="申万二级行业",[1]!s_info_industry_sw_2021(W2189,公司分析!D$5,2),IF($Y$3="申万三级行业",[1]!s_info_industry_sw_2021(W2189,公司分析!D$5,3),IF($Y$3="wind一级行业",[1]!s_info_industry_gics(W2189,1),IF($Y$3="wind二级行业",[1]!s_info_industry_gics(W2189,2),IF($Y$3="wind三级行业",[1]!s_info_industry_gics(W2189,3),IF($Y$3="wind四级行业",[1]!s_info_industry_gics(W2189,4),IF($Y$3="证监会门类行业",[1]!s_info_industry_csrc12_n(W2189,公司分析!D$5,1),""))))))))</f>
        <v>计算机设备</v>
      </c>
      <c r="Z2189" s="302" t="str">
        <f ca="1">IF(Y2189=行业比较!$E$6,ROW(),"")</f>
        <v/>
      </c>
      <c r="AA2189" s="122"/>
      <c r="AB2189" s="122"/>
      <c r="AC2189" s="122"/>
      <c r="AD2189" s="122"/>
      <c r="AE2189" s="122"/>
      <c r="AF2189" s="122"/>
      <c r="AG2189" s="122"/>
      <c r="AH2189" s="122"/>
      <c r="AI2189" s="122"/>
      <c r="AJ2189" s="122"/>
      <c r="AK2189" s="122"/>
      <c r="AL2189" s="122"/>
      <c r="AM2189" s="122"/>
      <c r="AN2189" s="122"/>
      <c r="AO2189" s="122"/>
      <c r="AP2189" s="122"/>
    </row>
    <row r="2190" spans="2:42">
      <c r="B2190" s="122"/>
      <c r="C2190" s="122"/>
      <c r="D2190" s="122"/>
      <c r="E2190" s="122"/>
      <c r="F2190" s="122"/>
      <c r="G2190" s="122"/>
      <c r="H2190" s="122"/>
      <c r="I2190" s="275"/>
      <c r="J2190" s="130"/>
      <c r="K2190" s="130"/>
      <c r="L2190" s="130"/>
      <c r="M2190" s="130"/>
      <c r="N2190" s="291"/>
      <c r="O2190" s="291"/>
      <c r="P2190" s="122"/>
      <c r="Q2190" s="122"/>
      <c r="R2190" s="122"/>
      <c r="S2190" s="122"/>
      <c r="T2190" s="122"/>
      <c r="U2190" s="315"/>
      <c r="V2190" s="260">
        <f t="shared" ca="1" si="42"/>
        <v>0</v>
      </c>
      <c r="W2190" s="348" t="str">
        <f>IF(板块成分!B2192="","",板块成分!B2192)</f>
        <v>300745.SZ</v>
      </c>
      <c r="X2190" s="276" t="str">
        <f>[1]!S_Info_Name(W2190)</f>
        <v>欣锐科技</v>
      </c>
      <c r="Y2190" s="276" t="str">
        <f ca="1">IF($Y$3="申万一级行业",[1]!s_info_industry_sw_2021(W2190,公司分析!D$5,1),IF($Y$3="申万二级行业",[1]!s_info_industry_sw_2021(W2190,公司分析!D$5,2),IF($Y$3="申万三级行业",[1]!s_info_industry_sw_2021(W2190,公司分析!D$5,3),IF($Y$3="wind一级行业",[1]!s_info_industry_gics(W2190,1),IF($Y$3="wind二级行业",[1]!s_info_industry_gics(W2190,2),IF($Y$3="wind三级行业",[1]!s_info_industry_gics(W2190,3),IF($Y$3="wind四级行业",[1]!s_info_industry_gics(W2190,4),IF($Y$3="证监会门类行业",[1]!s_info_industry_csrc12_n(W2190,公司分析!D$5,1),""))))))))</f>
        <v>汽车零部件</v>
      </c>
      <c r="Z2190" s="302" t="str">
        <f ca="1">IF(Y2190=行业比较!$E$6,ROW(),"")</f>
        <v/>
      </c>
      <c r="AA2190" s="122"/>
      <c r="AB2190" s="122"/>
      <c r="AC2190" s="122"/>
      <c r="AD2190" s="122"/>
      <c r="AE2190" s="122"/>
      <c r="AF2190" s="122"/>
      <c r="AG2190" s="122"/>
      <c r="AH2190" s="122"/>
      <c r="AI2190" s="122"/>
      <c r="AJ2190" s="122"/>
      <c r="AK2190" s="122"/>
      <c r="AL2190" s="122"/>
      <c r="AM2190" s="122"/>
      <c r="AN2190" s="122"/>
      <c r="AO2190" s="122"/>
      <c r="AP2190" s="122"/>
    </row>
    <row r="2191" spans="2:42">
      <c r="B2191" s="122"/>
      <c r="C2191" s="122"/>
      <c r="D2191" s="122"/>
      <c r="E2191" s="122"/>
      <c r="F2191" s="122"/>
      <c r="G2191" s="122"/>
      <c r="H2191" s="122"/>
      <c r="I2191" s="275"/>
      <c r="J2191" s="130"/>
      <c r="K2191" s="130"/>
      <c r="L2191" s="130"/>
      <c r="M2191" s="130"/>
      <c r="N2191" s="291"/>
      <c r="O2191" s="291"/>
      <c r="P2191" s="122"/>
      <c r="Q2191" s="122"/>
      <c r="R2191" s="122"/>
      <c r="S2191" s="122"/>
      <c r="T2191" s="122"/>
      <c r="U2191" s="315"/>
      <c r="V2191" s="260">
        <f t="shared" ca="1" si="42"/>
        <v>0</v>
      </c>
      <c r="W2191" s="348" t="str">
        <f>IF(板块成分!B2193="","",板块成分!B2193)</f>
        <v>300746.SZ</v>
      </c>
      <c r="X2191" s="276" t="str">
        <f>[1]!S_Info_Name(W2191)</f>
        <v>汉嘉数智</v>
      </c>
      <c r="Y2191" s="276" t="str">
        <f ca="1">IF($Y$3="申万一级行业",[1]!s_info_industry_sw_2021(W2191,公司分析!D$5,1),IF($Y$3="申万二级行业",[1]!s_info_industry_sw_2021(W2191,公司分析!D$5,2),IF($Y$3="申万三级行业",[1]!s_info_industry_sw_2021(W2191,公司分析!D$5,3),IF($Y$3="wind一级行业",[1]!s_info_industry_gics(W2191,1),IF($Y$3="wind二级行业",[1]!s_info_industry_gics(W2191,2),IF($Y$3="wind三级行业",[1]!s_info_industry_gics(W2191,3),IF($Y$3="wind四级行业",[1]!s_info_industry_gics(W2191,4),IF($Y$3="证监会门类行业",[1]!s_info_industry_csrc12_n(W2191,公司分析!D$5,1),""))))))))</f>
        <v>工程咨询服务Ⅱ</v>
      </c>
      <c r="Z2191" s="302" t="str">
        <f ca="1">IF(Y2191=行业比较!$E$6,ROW(),"")</f>
        <v/>
      </c>
      <c r="AA2191" s="122"/>
      <c r="AB2191" s="122"/>
      <c r="AC2191" s="122"/>
      <c r="AD2191" s="122"/>
      <c r="AE2191" s="122"/>
      <c r="AF2191" s="122"/>
      <c r="AG2191" s="122"/>
      <c r="AH2191" s="122"/>
      <c r="AI2191" s="122"/>
      <c r="AJ2191" s="122"/>
      <c r="AK2191" s="122"/>
      <c r="AL2191" s="122"/>
      <c r="AM2191" s="122"/>
      <c r="AN2191" s="122"/>
      <c r="AO2191" s="122"/>
      <c r="AP2191" s="122"/>
    </row>
    <row r="2192" spans="2:42">
      <c r="B2192" s="122"/>
      <c r="C2192" s="122"/>
      <c r="D2192" s="122"/>
      <c r="E2192" s="122"/>
      <c r="F2192" s="122"/>
      <c r="G2192" s="122"/>
      <c r="H2192" s="122"/>
      <c r="I2192" s="275"/>
      <c r="J2192" s="130"/>
      <c r="K2192" s="130"/>
      <c r="L2192" s="130"/>
      <c r="M2192" s="130"/>
      <c r="N2192" s="291"/>
      <c r="O2192" s="291"/>
      <c r="P2192" s="122"/>
      <c r="Q2192" s="122"/>
      <c r="R2192" s="122"/>
      <c r="S2192" s="122"/>
      <c r="T2192" s="122"/>
      <c r="U2192" s="315"/>
      <c r="V2192" s="260">
        <f t="shared" ca="1" si="42"/>
        <v>0</v>
      </c>
      <c r="W2192" s="348" t="str">
        <f>IF(板块成分!B2194="","",板块成分!B2194)</f>
        <v>300747.SZ</v>
      </c>
      <c r="X2192" s="276" t="str">
        <f>[1]!S_Info_Name(W2192)</f>
        <v>锐科激光</v>
      </c>
      <c r="Y2192" s="276" t="str">
        <f ca="1">IF($Y$3="申万一级行业",[1]!s_info_industry_sw_2021(W2192,公司分析!D$5,1),IF($Y$3="申万二级行业",[1]!s_info_industry_sw_2021(W2192,公司分析!D$5,2),IF($Y$3="申万三级行业",[1]!s_info_industry_sw_2021(W2192,公司分析!D$5,3),IF($Y$3="wind一级行业",[1]!s_info_industry_gics(W2192,1),IF($Y$3="wind二级行业",[1]!s_info_industry_gics(W2192,2),IF($Y$3="wind三级行业",[1]!s_info_industry_gics(W2192,3),IF($Y$3="wind四级行业",[1]!s_info_industry_gics(W2192,4),IF($Y$3="证监会门类行业",[1]!s_info_industry_csrc12_n(W2192,公司分析!D$5,1),""))))))))</f>
        <v>自动化设备</v>
      </c>
      <c r="Z2192" s="302" t="str">
        <f ca="1">IF(Y2192=行业比较!$E$6,ROW(),"")</f>
        <v/>
      </c>
      <c r="AA2192" s="122"/>
      <c r="AB2192" s="122"/>
      <c r="AC2192" s="122"/>
      <c r="AD2192" s="122"/>
      <c r="AE2192" s="122"/>
      <c r="AF2192" s="122"/>
      <c r="AG2192" s="122"/>
      <c r="AH2192" s="122"/>
      <c r="AI2192" s="122"/>
      <c r="AJ2192" s="122"/>
      <c r="AK2192" s="122"/>
      <c r="AL2192" s="122"/>
      <c r="AM2192" s="122"/>
      <c r="AN2192" s="122"/>
      <c r="AO2192" s="122"/>
      <c r="AP2192" s="122"/>
    </row>
    <row r="2193" spans="2:42">
      <c r="B2193" s="122"/>
      <c r="C2193" s="122"/>
      <c r="D2193" s="122"/>
      <c r="E2193" s="122"/>
      <c r="F2193" s="122"/>
      <c r="G2193" s="122"/>
      <c r="H2193" s="122"/>
      <c r="I2193" s="275"/>
      <c r="J2193" s="130"/>
      <c r="K2193" s="130"/>
      <c r="L2193" s="130"/>
      <c r="M2193" s="130"/>
      <c r="N2193" s="291"/>
      <c r="O2193" s="291"/>
      <c r="P2193" s="122"/>
      <c r="Q2193" s="122"/>
      <c r="R2193" s="122"/>
      <c r="S2193" s="122"/>
      <c r="T2193" s="122"/>
      <c r="U2193" s="315"/>
      <c r="V2193" s="260">
        <f t="shared" ca="1" si="42"/>
        <v>0</v>
      </c>
      <c r="W2193" s="348" t="str">
        <f>IF(板块成分!B2195="","",板块成分!B2195)</f>
        <v>300748.SZ</v>
      </c>
      <c r="X2193" s="276" t="str">
        <f>[1]!S_Info_Name(W2193)</f>
        <v>金力永磁</v>
      </c>
      <c r="Y2193" s="276" t="str">
        <f ca="1">IF($Y$3="申万一级行业",[1]!s_info_industry_sw_2021(W2193,公司分析!D$5,1),IF($Y$3="申万二级行业",[1]!s_info_industry_sw_2021(W2193,公司分析!D$5,2),IF($Y$3="申万三级行业",[1]!s_info_industry_sw_2021(W2193,公司分析!D$5,3),IF($Y$3="wind一级行业",[1]!s_info_industry_gics(W2193,1),IF($Y$3="wind二级行业",[1]!s_info_industry_gics(W2193,2),IF($Y$3="wind三级行业",[1]!s_info_industry_gics(W2193,3),IF($Y$3="wind四级行业",[1]!s_info_industry_gics(W2193,4),IF($Y$3="证监会门类行业",[1]!s_info_industry_csrc12_n(W2193,公司分析!D$5,1),""))))))))</f>
        <v>金属新材料</v>
      </c>
      <c r="Z2193" s="302" t="str">
        <f ca="1">IF(Y2193=行业比较!$E$6,ROW(),"")</f>
        <v/>
      </c>
      <c r="AA2193" s="122"/>
      <c r="AB2193" s="122"/>
      <c r="AC2193" s="122"/>
      <c r="AD2193" s="122"/>
      <c r="AE2193" s="122"/>
      <c r="AF2193" s="122"/>
      <c r="AG2193" s="122"/>
      <c r="AH2193" s="122"/>
      <c r="AI2193" s="122"/>
      <c r="AJ2193" s="122"/>
      <c r="AK2193" s="122"/>
      <c r="AL2193" s="122"/>
      <c r="AM2193" s="122"/>
      <c r="AN2193" s="122"/>
      <c r="AO2193" s="122"/>
      <c r="AP2193" s="122"/>
    </row>
    <row r="2194" spans="2:42">
      <c r="B2194" s="122"/>
      <c r="C2194" s="122"/>
      <c r="D2194" s="122"/>
      <c r="E2194" s="122"/>
      <c r="F2194" s="122"/>
      <c r="G2194" s="122"/>
      <c r="H2194" s="122"/>
      <c r="I2194" s="275"/>
      <c r="J2194" s="130"/>
      <c r="K2194" s="130"/>
      <c r="L2194" s="130"/>
      <c r="M2194" s="130"/>
      <c r="N2194" s="291"/>
      <c r="O2194" s="291"/>
      <c r="P2194" s="122"/>
      <c r="Q2194" s="122"/>
      <c r="R2194" s="122"/>
      <c r="S2194" s="122"/>
      <c r="T2194" s="122"/>
      <c r="U2194" s="315"/>
      <c r="V2194" s="260">
        <f t="shared" ca="1" si="42"/>
        <v>0</v>
      </c>
      <c r="W2194" s="348" t="str">
        <f>IF(板块成分!B2196="","",板块成分!B2196)</f>
        <v>300749.SZ</v>
      </c>
      <c r="X2194" s="276" t="str">
        <f>[1]!S_Info_Name(W2194)</f>
        <v>顶固集创</v>
      </c>
      <c r="Y2194" s="276" t="str">
        <f ca="1">IF($Y$3="申万一级行业",[1]!s_info_industry_sw_2021(W2194,公司分析!D$5,1),IF($Y$3="申万二级行业",[1]!s_info_industry_sw_2021(W2194,公司分析!D$5,2),IF($Y$3="申万三级行业",[1]!s_info_industry_sw_2021(W2194,公司分析!D$5,3),IF($Y$3="wind一级行业",[1]!s_info_industry_gics(W2194,1),IF($Y$3="wind二级行业",[1]!s_info_industry_gics(W2194,2),IF($Y$3="wind三级行业",[1]!s_info_industry_gics(W2194,3),IF($Y$3="wind四级行业",[1]!s_info_industry_gics(W2194,4),IF($Y$3="证监会门类行业",[1]!s_info_industry_csrc12_n(W2194,公司分析!D$5,1),""))))))))</f>
        <v>家居用品</v>
      </c>
      <c r="Z2194" s="302" t="str">
        <f ca="1">IF(Y2194=行业比较!$E$6,ROW(),"")</f>
        <v/>
      </c>
      <c r="AA2194" s="122"/>
      <c r="AB2194" s="122"/>
      <c r="AC2194" s="122"/>
      <c r="AD2194" s="122"/>
      <c r="AE2194" s="122"/>
      <c r="AF2194" s="122"/>
      <c r="AG2194" s="122"/>
      <c r="AH2194" s="122"/>
      <c r="AI2194" s="122"/>
      <c r="AJ2194" s="122"/>
      <c r="AK2194" s="122"/>
      <c r="AL2194" s="122"/>
      <c r="AM2194" s="122"/>
      <c r="AN2194" s="122"/>
      <c r="AO2194" s="122"/>
      <c r="AP2194" s="122"/>
    </row>
    <row r="2195" spans="2:42">
      <c r="B2195" s="122"/>
      <c r="C2195" s="122"/>
      <c r="D2195" s="122"/>
      <c r="E2195" s="122"/>
      <c r="F2195" s="122"/>
      <c r="G2195" s="122"/>
      <c r="H2195" s="122"/>
      <c r="I2195" s="275"/>
      <c r="J2195" s="130"/>
      <c r="K2195" s="130"/>
      <c r="L2195" s="130"/>
      <c r="M2195" s="130"/>
      <c r="N2195" s="291"/>
      <c r="O2195" s="291"/>
      <c r="P2195" s="122"/>
      <c r="Q2195" s="122"/>
      <c r="R2195" s="122"/>
      <c r="S2195" s="122"/>
      <c r="T2195" s="122"/>
      <c r="U2195" s="315"/>
      <c r="V2195" s="260">
        <f t="shared" ca="1" si="42"/>
        <v>0</v>
      </c>
      <c r="W2195" s="348" t="str">
        <f>IF(板块成分!B2197="","",板块成分!B2197)</f>
        <v>300750.SZ</v>
      </c>
      <c r="X2195" s="276" t="str">
        <f>[1]!S_Info_Name(W2195)</f>
        <v>宁德时代</v>
      </c>
      <c r="Y2195" s="276" t="str">
        <f ca="1">IF($Y$3="申万一级行业",[1]!s_info_industry_sw_2021(W2195,公司分析!D$5,1),IF($Y$3="申万二级行业",[1]!s_info_industry_sw_2021(W2195,公司分析!D$5,2),IF($Y$3="申万三级行业",[1]!s_info_industry_sw_2021(W2195,公司分析!D$5,3),IF($Y$3="wind一级行业",[1]!s_info_industry_gics(W2195,1),IF($Y$3="wind二级行业",[1]!s_info_industry_gics(W2195,2),IF($Y$3="wind三级行业",[1]!s_info_industry_gics(W2195,3),IF($Y$3="wind四级行业",[1]!s_info_industry_gics(W2195,4),IF($Y$3="证监会门类行业",[1]!s_info_industry_csrc12_n(W2195,公司分析!D$5,1),""))))))))</f>
        <v>电池</v>
      </c>
      <c r="Z2195" s="302" t="str">
        <f ca="1">IF(Y2195=行业比较!$E$6,ROW(),"")</f>
        <v/>
      </c>
      <c r="AA2195" s="122"/>
      <c r="AB2195" s="122"/>
      <c r="AC2195" s="122"/>
      <c r="AD2195" s="122"/>
      <c r="AE2195" s="122"/>
      <c r="AF2195" s="122"/>
      <c r="AG2195" s="122"/>
      <c r="AH2195" s="122"/>
      <c r="AI2195" s="122"/>
      <c r="AJ2195" s="122"/>
      <c r="AK2195" s="122"/>
      <c r="AL2195" s="122"/>
      <c r="AM2195" s="122"/>
      <c r="AN2195" s="122"/>
      <c r="AO2195" s="122"/>
      <c r="AP2195" s="122"/>
    </row>
    <row r="2196" spans="2:42">
      <c r="B2196" s="122"/>
      <c r="C2196" s="122"/>
      <c r="D2196" s="122"/>
      <c r="E2196" s="122"/>
      <c r="F2196" s="122"/>
      <c r="G2196" s="122"/>
      <c r="H2196" s="122"/>
      <c r="I2196" s="275"/>
      <c r="J2196" s="130"/>
      <c r="K2196" s="130"/>
      <c r="L2196" s="130"/>
      <c r="M2196" s="130"/>
      <c r="N2196" s="291"/>
      <c r="O2196" s="291"/>
      <c r="P2196" s="122"/>
      <c r="Q2196" s="122"/>
      <c r="R2196" s="122"/>
      <c r="S2196" s="122"/>
      <c r="T2196" s="122"/>
      <c r="U2196" s="315"/>
      <c r="V2196" s="260">
        <f t="shared" ca="1" si="42"/>
        <v>0</v>
      </c>
      <c r="W2196" s="348" t="str">
        <f>IF(板块成分!B2198="","",板块成分!B2198)</f>
        <v>300751.SZ</v>
      </c>
      <c r="X2196" s="276" t="str">
        <f>[1]!S_Info_Name(W2196)</f>
        <v>迈为股份</v>
      </c>
      <c r="Y2196" s="276" t="str">
        <f ca="1">IF($Y$3="申万一级行业",[1]!s_info_industry_sw_2021(W2196,公司分析!D$5,1),IF($Y$3="申万二级行业",[1]!s_info_industry_sw_2021(W2196,公司分析!D$5,2),IF($Y$3="申万三级行业",[1]!s_info_industry_sw_2021(W2196,公司分析!D$5,3),IF($Y$3="wind一级行业",[1]!s_info_industry_gics(W2196,1),IF($Y$3="wind二级行业",[1]!s_info_industry_gics(W2196,2),IF($Y$3="wind三级行业",[1]!s_info_industry_gics(W2196,3),IF($Y$3="wind四级行业",[1]!s_info_industry_gics(W2196,4),IF($Y$3="证监会门类行业",[1]!s_info_industry_csrc12_n(W2196,公司分析!D$5,1),""))))))))</f>
        <v>光伏设备</v>
      </c>
      <c r="Z2196" s="302" t="str">
        <f ca="1">IF(Y2196=行业比较!$E$6,ROW(),"")</f>
        <v/>
      </c>
      <c r="AA2196" s="122"/>
      <c r="AB2196" s="122"/>
      <c r="AC2196" s="122"/>
      <c r="AD2196" s="122"/>
      <c r="AE2196" s="122"/>
      <c r="AF2196" s="122"/>
      <c r="AG2196" s="122"/>
      <c r="AH2196" s="122"/>
      <c r="AI2196" s="122"/>
      <c r="AJ2196" s="122"/>
      <c r="AK2196" s="122"/>
      <c r="AL2196" s="122"/>
      <c r="AM2196" s="122"/>
      <c r="AN2196" s="122"/>
      <c r="AO2196" s="122"/>
      <c r="AP2196" s="122"/>
    </row>
    <row r="2197" spans="2:42">
      <c r="B2197" s="122"/>
      <c r="C2197" s="122"/>
      <c r="D2197" s="122"/>
      <c r="E2197" s="122"/>
      <c r="F2197" s="122"/>
      <c r="G2197" s="122"/>
      <c r="H2197" s="122"/>
      <c r="I2197" s="275"/>
      <c r="J2197" s="130"/>
      <c r="K2197" s="130"/>
      <c r="L2197" s="130"/>
      <c r="M2197" s="130"/>
      <c r="N2197" s="291"/>
      <c r="O2197" s="291"/>
      <c r="P2197" s="122"/>
      <c r="Q2197" s="122"/>
      <c r="R2197" s="122"/>
      <c r="S2197" s="122"/>
      <c r="T2197" s="122"/>
      <c r="U2197" s="315"/>
      <c r="V2197" s="260">
        <f t="shared" ca="1" si="42"/>
        <v>0</v>
      </c>
      <c r="W2197" s="348" t="str">
        <f>IF(板块成分!B2199="","",板块成分!B2199)</f>
        <v>300752.SZ</v>
      </c>
      <c r="X2197" s="276" t="str">
        <f>[1]!S_Info_Name(W2197)</f>
        <v>隆利科技</v>
      </c>
      <c r="Y2197" s="276" t="str">
        <f ca="1">IF($Y$3="申万一级行业",[1]!s_info_industry_sw_2021(W2197,公司分析!D$5,1),IF($Y$3="申万二级行业",[1]!s_info_industry_sw_2021(W2197,公司分析!D$5,2),IF($Y$3="申万三级行业",[1]!s_info_industry_sw_2021(W2197,公司分析!D$5,3),IF($Y$3="wind一级行业",[1]!s_info_industry_gics(W2197,1),IF($Y$3="wind二级行业",[1]!s_info_industry_gics(W2197,2),IF($Y$3="wind三级行业",[1]!s_info_industry_gics(W2197,3),IF($Y$3="wind四级行业",[1]!s_info_industry_gics(W2197,4),IF($Y$3="证监会门类行业",[1]!s_info_industry_csrc12_n(W2197,公司分析!D$5,1),""))))))))</f>
        <v>光学光电子</v>
      </c>
      <c r="Z2197" s="302" t="str">
        <f ca="1">IF(Y2197=行业比较!$E$6,ROW(),"")</f>
        <v/>
      </c>
      <c r="AA2197" s="122"/>
      <c r="AB2197" s="122"/>
      <c r="AC2197" s="122"/>
      <c r="AD2197" s="122"/>
      <c r="AE2197" s="122"/>
      <c r="AF2197" s="122"/>
      <c r="AG2197" s="122"/>
      <c r="AH2197" s="122"/>
      <c r="AI2197" s="122"/>
      <c r="AJ2197" s="122"/>
      <c r="AK2197" s="122"/>
      <c r="AL2197" s="122"/>
      <c r="AM2197" s="122"/>
      <c r="AN2197" s="122"/>
      <c r="AO2197" s="122"/>
      <c r="AP2197" s="122"/>
    </row>
    <row r="2198" spans="2:42">
      <c r="B2198" s="122"/>
      <c r="C2198" s="122"/>
      <c r="D2198" s="122"/>
      <c r="E2198" s="122"/>
      <c r="F2198" s="122"/>
      <c r="G2198" s="122"/>
      <c r="H2198" s="122"/>
      <c r="I2198" s="275"/>
      <c r="J2198" s="130"/>
      <c r="K2198" s="130"/>
      <c r="L2198" s="130"/>
      <c r="M2198" s="130"/>
      <c r="N2198" s="291"/>
      <c r="O2198" s="291"/>
      <c r="P2198" s="122"/>
      <c r="Q2198" s="122"/>
      <c r="R2198" s="122"/>
      <c r="S2198" s="122"/>
      <c r="T2198" s="122"/>
      <c r="U2198" s="315"/>
      <c r="V2198" s="260">
        <f t="shared" ca="1" si="42"/>
        <v>0</v>
      </c>
      <c r="W2198" s="348" t="str">
        <f>IF(板块成分!B2200="","",板块成分!B2200)</f>
        <v>300753.SZ</v>
      </c>
      <c r="X2198" s="276" t="str">
        <f>[1]!S_Info_Name(W2198)</f>
        <v>爱朋医疗</v>
      </c>
      <c r="Y2198" s="276" t="str">
        <f ca="1">IF($Y$3="申万一级行业",[1]!s_info_industry_sw_2021(W2198,公司分析!D$5,1),IF($Y$3="申万二级行业",[1]!s_info_industry_sw_2021(W2198,公司分析!D$5,2),IF($Y$3="申万三级行业",[1]!s_info_industry_sw_2021(W2198,公司分析!D$5,3),IF($Y$3="wind一级行业",[1]!s_info_industry_gics(W2198,1),IF($Y$3="wind二级行业",[1]!s_info_industry_gics(W2198,2),IF($Y$3="wind三级行业",[1]!s_info_industry_gics(W2198,3),IF($Y$3="wind四级行业",[1]!s_info_industry_gics(W2198,4),IF($Y$3="证监会门类行业",[1]!s_info_industry_csrc12_n(W2198,公司分析!D$5,1),""))))))))</f>
        <v>医疗器械</v>
      </c>
      <c r="Z2198" s="302" t="str">
        <f ca="1">IF(Y2198=行业比较!$E$6,ROW(),"")</f>
        <v/>
      </c>
      <c r="AA2198" s="122"/>
      <c r="AB2198" s="122"/>
      <c r="AC2198" s="122"/>
      <c r="AD2198" s="122"/>
      <c r="AE2198" s="122"/>
      <c r="AF2198" s="122"/>
      <c r="AG2198" s="122"/>
      <c r="AH2198" s="122"/>
      <c r="AI2198" s="122"/>
      <c r="AJ2198" s="122"/>
      <c r="AK2198" s="122"/>
      <c r="AL2198" s="122"/>
      <c r="AM2198" s="122"/>
      <c r="AN2198" s="122"/>
      <c r="AO2198" s="122"/>
      <c r="AP2198" s="122"/>
    </row>
    <row r="2199" spans="2:42">
      <c r="B2199" s="122"/>
      <c r="C2199" s="122"/>
      <c r="D2199" s="122"/>
      <c r="E2199" s="122"/>
      <c r="F2199" s="122"/>
      <c r="G2199" s="122"/>
      <c r="H2199" s="122"/>
      <c r="I2199" s="275"/>
      <c r="J2199" s="130"/>
      <c r="K2199" s="130"/>
      <c r="L2199" s="130"/>
      <c r="M2199" s="130"/>
      <c r="N2199" s="291"/>
      <c r="O2199" s="291"/>
      <c r="P2199" s="122"/>
      <c r="Q2199" s="122"/>
      <c r="R2199" s="122"/>
      <c r="S2199" s="122"/>
      <c r="T2199" s="122"/>
      <c r="U2199" s="315"/>
      <c r="V2199" s="260">
        <f t="shared" ca="1" si="42"/>
        <v>0</v>
      </c>
      <c r="W2199" s="348" t="str">
        <f>IF(板块成分!B2201="","",板块成分!B2201)</f>
        <v>300755.SZ</v>
      </c>
      <c r="X2199" s="276" t="str">
        <f>[1]!S_Info_Name(W2199)</f>
        <v>华致酒行</v>
      </c>
      <c r="Y2199" s="276" t="str">
        <f ca="1">IF($Y$3="申万一级行业",[1]!s_info_industry_sw_2021(W2199,公司分析!D$5,1),IF($Y$3="申万二级行业",[1]!s_info_industry_sw_2021(W2199,公司分析!D$5,2),IF($Y$3="申万三级行业",[1]!s_info_industry_sw_2021(W2199,公司分析!D$5,3),IF($Y$3="wind一级行业",[1]!s_info_industry_gics(W2199,1),IF($Y$3="wind二级行业",[1]!s_info_industry_gics(W2199,2),IF($Y$3="wind三级行业",[1]!s_info_industry_gics(W2199,3),IF($Y$3="wind四级行业",[1]!s_info_industry_gics(W2199,4),IF($Y$3="证监会门类行业",[1]!s_info_industry_csrc12_n(W2199,公司分析!D$5,1),""))))))))</f>
        <v>专业连锁Ⅱ</v>
      </c>
      <c r="Z2199" s="302" t="str">
        <f ca="1">IF(Y2199=行业比较!$E$6,ROW(),"")</f>
        <v/>
      </c>
      <c r="AA2199" s="122"/>
      <c r="AB2199" s="122"/>
      <c r="AC2199" s="122"/>
      <c r="AD2199" s="122"/>
      <c r="AE2199" s="122"/>
      <c r="AF2199" s="122"/>
      <c r="AG2199" s="122"/>
      <c r="AH2199" s="122"/>
      <c r="AI2199" s="122"/>
      <c r="AJ2199" s="122"/>
      <c r="AK2199" s="122"/>
      <c r="AL2199" s="122"/>
      <c r="AM2199" s="122"/>
      <c r="AN2199" s="122"/>
      <c r="AO2199" s="122"/>
      <c r="AP2199" s="122"/>
    </row>
    <row r="2200" spans="2:42">
      <c r="B2200" s="122"/>
      <c r="C2200" s="122"/>
      <c r="D2200" s="122"/>
      <c r="E2200" s="122"/>
      <c r="F2200" s="122"/>
      <c r="G2200" s="122"/>
      <c r="H2200" s="122"/>
      <c r="I2200" s="275"/>
      <c r="J2200" s="130"/>
      <c r="K2200" s="130"/>
      <c r="L2200" s="130"/>
      <c r="M2200" s="130"/>
      <c r="N2200" s="291"/>
      <c r="O2200" s="291"/>
      <c r="P2200" s="122"/>
      <c r="Q2200" s="122"/>
      <c r="R2200" s="122"/>
      <c r="S2200" s="122"/>
      <c r="T2200" s="122"/>
      <c r="U2200" s="315"/>
      <c r="V2200" s="260">
        <f t="shared" ca="1" si="42"/>
        <v>0</v>
      </c>
      <c r="W2200" s="348" t="str">
        <f>IF(板块成分!B2202="","",板块成分!B2202)</f>
        <v>300756.SZ</v>
      </c>
      <c r="X2200" s="276" t="str">
        <f>[1]!S_Info_Name(W2200)</f>
        <v>金马游乐</v>
      </c>
      <c r="Y2200" s="276" t="str">
        <f ca="1">IF($Y$3="申万一级行业",[1]!s_info_industry_sw_2021(W2200,公司分析!D$5,1),IF($Y$3="申万二级行业",[1]!s_info_industry_sw_2021(W2200,公司分析!D$5,2),IF($Y$3="申万三级行业",[1]!s_info_industry_sw_2021(W2200,公司分析!D$5,3),IF($Y$3="wind一级行业",[1]!s_info_industry_gics(W2200,1),IF($Y$3="wind二级行业",[1]!s_info_industry_gics(W2200,2),IF($Y$3="wind三级行业",[1]!s_info_industry_gics(W2200,3),IF($Y$3="wind四级行业",[1]!s_info_industry_gics(W2200,4),IF($Y$3="证监会门类行业",[1]!s_info_industry_csrc12_n(W2200,公司分析!D$5,1),""))))))))</f>
        <v>专用设备</v>
      </c>
      <c r="Z2200" s="302" t="str">
        <f ca="1">IF(Y2200=行业比较!$E$6,ROW(),"")</f>
        <v/>
      </c>
      <c r="AA2200" s="122"/>
      <c r="AB2200" s="122"/>
      <c r="AC2200" s="122"/>
      <c r="AD2200" s="122"/>
      <c r="AE2200" s="122"/>
      <c r="AF2200" s="122"/>
      <c r="AG2200" s="122"/>
      <c r="AH2200" s="122"/>
      <c r="AI2200" s="122"/>
      <c r="AJ2200" s="122"/>
      <c r="AK2200" s="122"/>
      <c r="AL2200" s="122"/>
      <c r="AM2200" s="122"/>
      <c r="AN2200" s="122"/>
      <c r="AO2200" s="122"/>
      <c r="AP2200" s="122"/>
    </row>
    <row r="2201" spans="2:42">
      <c r="B2201" s="122"/>
      <c r="C2201" s="122"/>
      <c r="D2201" s="122"/>
      <c r="E2201" s="122"/>
      <c r="F2201" s="122"/>
      <c r="G2201" s="122"/>
      <c r="H2201" s="122"/>
      <c r="I2201" s="275"/>
      <c r="J2201" s="130"/>
      <c r="K2201" s="130"/>
      <c r="L2201" s="130"/>
      <c r="M2201" s="130"/>
      <c r="N2201" s="291"/>
      <c r="O2201" s="291"/>
      <c r="P2201" s="122"/>
      <c r="Q2201" s="122"/>
      <c r="R2201" s="122"/>
      <c r="S2201" s="122"/>
      <c r="T2201" s="122"/>
      <c r="U2201" s="315"/>
      <c r="V2201" s="260">
        <f t="shared" ca="1" si="42"/>
        <v>0</v>
      </c>
      <c r="W2201" s="348" t="str">
        <f>IF(板块成分!B2203="","",板块成分!B2203)</f>
        <v>300757.SZ</v>
      </c>
      <c r="X2201" s="276" t="str">
        <f>[1]!S_Info_Name(W2201)</f>
        <v>罗博特科</v>
      </c>
      <c r="Y2201" s="276" t="str">
        <f ca="1">IF($Y$3="申万一级行业",[1]!s_info_industry_sw_2021(W2201,公司分析!D$5,1),IF($Y$3="申万二级行业",[1]!s_info_industry_sw_2021(W2201,公司分析!D$5,2),IF($Y$3="申万三级行业",[1]!s_info_industry_sw_2021(W2201,公司分析!D$5,3),IF($Y$3="wind一级行业",[1]!s_info_industry_gics(W2201,1),IF($Y$3="wind二级行业",[1]!s_info_industry_gics(W2201,2),IF($Y$3="wind三级行业",[1]!s_info_industry_gics(W2201,3),IF($Y$3="wind四级行业",[1]!s_info_industry_gics(W2201,4),IF($Y$3="证监会门类行业",[1]!s_info_industry_csrc12_n(W2201,公司分析!D$5,1),""))))))))</f>
        <v>自动化设备</v>
      </c>
      <c r="Z2201" s="302" t="str">
        <f ca="1">IF(Y2201=行业比较!$E$6,ROW(),"")</f>
        <v/>
      </c>
      <c r="AA2201" s="122"/>
      <c r="AB2201" s="122"/>
      <c r="AC2201" s="122"/>
      <c r="AD2201" s="122"/>
      <c r="AE2201" s="122"/>
      <c r="AF2201" s="122"/>
      <c r="AG2201" s="122"/>
      <c r="AH2201" s="122"/>
      <c r="AI2201" s="122"/>
      <c r="AJ2201" s="122"/>
      <c r="AK2201" s="122"/>
      <c r="AL2201" s="122"/>
      <c r="AM2201" s="122"/>
      <c r="AN2201" s="122"/>
      <c r="AO2201" s="122"/>
      <c r="AP2201" s="122"/>
    </row>
    <row r="2202" spans="2:42">
      <c r="B2202" s="122"/>
      <c r="C2202" s="122"/>
      <c r="D2202" s="122"/>
      <c r="E2202" s="122"/>
      <c r="F2202" s="122"/>
      <c r="G2202" s="122"/>
      <c r="H2202" s="122"/>
      <c r="I2202" s="275"/>
      <c r="J2202" s="130"/>
      <c r="K2202" s="130"/>
      <c r="L2202" s="130"/>
      <c r="M2202" s="130"/>
      <c r="N2202" s="291"/>
      <c r="O2202" s="291"/>
      <c r="P2202" s="122"/>
      <c r="Q2202" s="122"/>
      <c r="R2202" s="122"/>
      <c r="S2202" s="122"/>
      <c r="T2202" s="122"/>
      <c r="U2202" s="315"/>
      <c r="V2202" s="260">
        <f t="shared" ca="1" si="42"/>
        <v>0</v>
      </c>
      <c r="W2202" s="348" t="str">
        <f>IF(板块成分!B2204="","",板块成分!B2204)</f>
        <v>300758.SZ</v>
      </c>
      <c r="X2202" s="276" t="str">
        <f>[1]!S_Info_Name(W2202)</f>
        <v>七彩化学</v>
      </c>
      <c r="Y2202" s="276" t="str">
        <f ca="1">IF($Y$3="申万一级行业",[1]!s_info_industry_sw_2021(W2202,公司分析!D$5,1),IF($Y$3="申万二级行业",[1]!s_info_industry_sw_2021(W2202,公司分析!D$5,2),IF($Y$3="申万三级行业",[1]!s_info_industry_sw_2021(W2202,公司分析!D$5,3),IF($Y$3="wind一级行业",[1]!s_info_industry_gics(W2202,1),IF($Y$3="wind二级行业",[1]!s_info_industry_gics(W2202,2),IF($Y$3="wind三级行业",[1]!s_info_industry_gics(W2202,3),IF($Y$3="wind四级行业",[1]!s_info_industry_gics(W2202,4),IF($Y$3="证监会门类行业",[1]!s_info_industry_csrc12_n(W2202,公司分析!D$5,1),""))))))))</f>
        <v>化学制品</v>
      </c>
      <c r="Z2202" s="302" t="str">
        <f ca="1">IF(Y2202=行业比较!$E$6,ROW(),"")</f>
        <v/>
      </c>
      <c r="AA2202" s="122"/>
      <c r="AB2202" s="122"/>
      <c r="AC2202" s="122"/>
      <c r="AD2202" s="122"/>
      <c r="AE2202" s="122"/>
      <c r="AF2202" s="122"/>
      <c r="AG2202" s="122"/>
      <c r="AH2202" s="122"/>
      <c r="AI2202" s="122"/>
      <c r="AJ2202" s="122"/>
      <c r="AK2202" s="122"/>
      <c r="AL2202" s="122"/>
      <c r="AM2202" s="122"/>
      <c r="AN2202" s="122"/>
      <c r="AO2202" s="122"/>
      <c r="AP2202" s="122"/>
    </row>
    <row r="2203" spans="2:42">
      <c r="B2203" s="122"/>
      <c r="C2203" s="122"/>
      <c r="D2203" s="122"/>
      <c r="E2203" s="122"/>
      <c r="F2203" s="122"/>
      <c r="G2203" s="122"/>
      <c r="H2203" s="122"/>
      <c r="I2203" s="275"/>
      <c r="J2203" s="130"/>
      <c r="K2203" s="130"/>
      <c r="L2203" s="130"/>
      <c r="M2203" s="130"/>
      <c r="N2203" s="291"/>
      <c r="O2203" s="291"/>
      <c r="P2203" s="122"/>
      <c r="Q2203" s="122"/>
      <c r="R2203" s="122"/>
      <c r="S2203" s="122"/>
      <c r="T2203" s="122"/>
      <c r="U2203" s="315"/>
      <c r="V2203" s="260">
        <f t="shared" ca="1" si="42"/>
        <v>0</v>
      </c>
      <c r="W2203" s="348" t="str">
        <f>IF(板块成分!B2205="","",板块成分!B2205)</f>
        <v>300759.SZ</v>
      </c>
      <c r="X2203" s="276" t="str">
        <f>[1]!S_Info_Name(W2203)</f>
        <v>康龙化成</v>
      </c>
      <c r="Y2203" s="276" t="str">
        <f ca="1">IF($Y$3="申万一级行业",[1]!s_info_industry_sw_2021(W2203,公司分析!D$5,1),IF($Y$3="申万二级行业",[1]!s_info_industry_sw_2021(W2203,公司分析!D$5,2),IF($Y$3="申万三级行业",[1]!s_info_industry_sw_2021(W2203,公司分析!D$5,3),IF($Y$3="wind一级行业",[1]!s_info_industry_gics(W2203,1),IF($Y$3="wind二级行业",[1]!s_info_industry_gics(W2203,2),IF($Y$3="wind三级行业",[1]!s_info_industry_gics(W2203,3),IF($Y$3="wind四级行业",[1]!s_info_industry_gics(W2203,4),IF($Y$3="证监会门类行业",[1]!s_info_industry_csrc12_n(W2203,公司分析!D$5,1),""))))))))</f>
        <v>医疗服务</v>
      </c>
      <c r="Z2203" s="302" t="str">
        <f ca="1">IF(Y2203=行业比较!$E$6,ROW(),"")</f>
        <v/>
      </c>
      <c r="AA2203" s="122"/>
      <c r="AB2203" s="122"/>
      <c r="AC2203" s="122"/>
      <c r="AD2203" s="122"/>
      <c r="AE2203" s="122"/>
      <c r="AF2203" s="122"/>
      <c r="AG2203" s="122"/>
      <c r="AH2203" s="122"/>
      <c r="AI2203" s="122"/>
      <c r="AJ2203" s="122"/>
      <c r="AK2203" s="122"/>
      <c r="AL2203" s="122"/>
      <c r="AM2203" s="122"/>
      <c r="AN2203" s="122"/>
      <c r="AO2203" s="122"/>
      <c r="AP2203" s="122"/>
    </row>
    <row r="2204" spans="2:42">
      <c r="B2204" s="122"/>
      <c r="C2204" s="122"/>
      <c r="D2204" s="122"/>
      <c r="E2204" s="122"/>
      <c r="F2204" s="122"/>
      <c r="G2204" s="122"/>
      <c r="H2204" s="122"/>
      <c r="I2204" s="275"/>
      <c r="J2204" s="130"/>
      <c r="K2204" s="130"/>
      <c r="L2204" s="130"/>
      <c r="M2204" s="130"/>
      <c r="N2204" s="291"/>
      <c r="O2204" s="291"/>
      <c r="P2204" s="122"/>
      <c r="Q2204" s="122"/>
      <c r="R2204" s="122"/>
      <c r="S2204" s="122"/>
      <c r="T2204" s="122"/>
      <c r="U2204" s="315"/>
      <c r="V2204" s="260">
        <f t="shared" ca="1" si="42"/>
        <v>0</v>
      </c>
      <c r="W2204" s="348" t="str">
        <f>IF(板块成分!B2206="","",板块成分!B2206)</f>
        <v>300760.SZ</v>
      </c>
      <c r="X2204" s="276" t="str">
        <f>[1]!S_Info_Name(W2204)</f>
        <v>迈瑞医疗</v>
      </c>
      <c r="Y2204" s="276" t="str">
        <f ca="1">IF($Y$3="申万一级行业",[1]!s_info_industry_sw_2021(W2204,公司分析!D$5,1),IF($Y$3="申万二级行业",[1]!s_info_industry_sw_2021(W2204,公司分析!D$5,2),IF($Y$3="申万三级行业",[1]!s_info_industry_sw_2021(W2204,公司分析!D$5,3),IF($Y$3="wind一级行业",[1]!s_info_industry_gics(W2204,1),IF($Y$3="wind二级行业",[1]!s_info_industry_gics(W2204,2),IF($Y$3="wind三级行业",[1]!s_info_industry_gics(W2204,3),IF($Y$3="wind四级行业",[1]!s_info_industry_gics(W2204,4),IF($Y$3="证监会门类行业",[1]!s_info_industry_csrc12_n(W2204,公司分析!D$5,1),""))))))))</f>
        <v>医疗器械</v>
      </c>
      <c r="Z2204" s="302" t="str">
        <f ca="1">IF(Y2204=行业比较!$E$6,ROW(),"")</f>
        <v/>
      </c>
      <c r="AA2204" s="122"/>
      <c r="AB2204" s="122"/>
      <c r="AC2204" s="122"/>
      <c r="AD2204" s="122"/>
      <c r="AE2204" s="122"/>
      <c r="AF2204" s="122"/>
      <c r="AG2204" s="122"/>
      <c r="AH2204" s="122"/>
      <c r="AI2204" s="122"/>
      <c r="AJ2204" s="122"/>
      <c r="AK2204" s="122"/>
      <c r="AL2204" s="122"/>
      <c r="AM2204" s="122"/>
      <c r="AN2204" s="122"/>
      <c r="AO2204" s="122"/>
      <c r="AP2204" s="122"/>
    </row>
    <row r="2205" spans="2:42">
      <c r="B2205" s="122"/>
      <c r="C2205" s="122"/>
      <c r="D2205" s="122"/>
      <c r="E2205" s="122"/>
      <c r="F2205" s="122"/>
      <c r="G2205" s="122"/>
      <c r="H2205" s="122"/>
      <c r="I2205" s="275"/>
      <c r="J2205" s="130"/>
      <c r="K2205" s="130"/>
      <c r="L2205" s="130"/>
      <c r="M2205" s="130"/>
      <c r="N2205" s="291"/>
      <c r="O2205" s="291"/>
      <c r="P2205" s="122"/>
      <c r="Q2205" s="122"/>
      <c r="R2205" s="122"/>
      <c r="S2205" s="122"/>
      <c r="T2205" s="122"/>
      <c r="U2205" s="315"/>
      <c r="V2205" s="260">
        <f t="shared" ca="1" si="42"/>
        <v>0</v>
      </c>
      <c r="W2205" s="348" t="str">
        <f>IF(板块成分!B2207="","",板块成分!B2207)</f>
        <v>300761.SZ</v>
      </c>
      <c r="X2205" s="276" t="str">
        <f>[1]!S_Info_Name(W2205)</f>
        <v>立华股份</v>
      </c>
      <c r="Y2205" s="276" t="str">
        <f ca="1">IF($Y$3="申万一级行业",[1]!s_info_industry_sw_2021(W2205,公司分析!D$5,1),IF($Y$3="申万二级行业",[1]!s_info_industry_sw_2021(W2205,公司分析!D$5,2),IF($Y$3="申万三级行业",[1]!s_info_industry_sw_2021(W2205,公司分析!D$5,3),IF($Y$3="wind一级行业",[1]!s_info_industry_gics(W2205,1),IF($Y$3="wind二级行业",[1]!s_info_industry_gics(W2205,2),IF($Y$3="wind三级行业",[1]!s_info_industry_gics(W2205,3),IF($Y$3="wind四级行业",[1]!s_info_industry_gics(W2205,4),IF($Y$3="证监会门类行业",[1]!s_info_industry_csrc12_n(W2205,公司分析!D$5,1),""))))))))</f>
        <v>养殖业</v>
      </c>
      <c r="Z2205" s="302" t="str">
        <f ca="1">IF(Y2205=行业比较!$E$6,ROW(),"")</f>
        <v/>
      </c>
      <c r="AA2205" s="122"/>
      <c r="AB2205" s="122"/>
      <c r="AC2205" s="122"/>
      <c r="AD2205" s="122"/>
      <c r="AE2205" s="122"/>
      <c r="AF2205" s="122"/>
      <c r="AG2205" s="122"/>
      <c r="AH2205" s="122"/>
      <c r="AI2205" s="122"/>
      <c r="AJ2205" s="122"/>
      <c r="AK2205" s="122"/>
      <c r="AL2205" s="122"/>
      <c r="AM2205" s="122"/>
      <c r="AN2205" s="122"/>
      <c r="AO2205" s="122"/>
      <c r="AP2205" s="122"/>
    </row>
    <row r="2206" spans="2:42">
      <c r="B2206" s="122"/>
      <c r="C2206" s="122"/>
      <c r="D2206" s="122"/>
      <c r="E2206" s="122"/>
      <c r="F2206" s="122"/>
      <c r="G2206" s="122"/>
      <c r="H2206" s="122"/>
      <c r="I2206" s="275"/>
      <c r="J2206" s="130"/>
      <c r="K2206" s="130"/>
      <c r="L2206" s="130"/>
      <c r="M2206" s="130"/>
      <c r="N2206" s="291"/>
      <c r="O2206" s="291"/>
      <c r="P2206" s="122"/>
      <c r="Q2206" s="122"/>
      <c r="R2206" s="122"/>
      <c r="S2206" s="122"/>
      <c r="T2206" s="122"/>
      <c r="U2206" s="315"/>
      <c r="V2206" s="260">
        <f t="shared" ca="1" si="42"/>
        <v>0</v>
      </c>
      <c r="W2206" s="348" t="str">
        <f>IF(板块成分!B2208="","",板块成分!B2208)</f>
        <v>300762.SZ</v>
      </c>
      <c r="X2206" s="276" t="str">
        <f>[1]!S_Info_Name(W2206)</f>
        <v>上海瀚讯</v>
      </c>
      <c r="Y2206" s="276" t="str">
        <f ca="1">IF($Y$3="申万一级行业",[1]!s_info_industry_sw_2021(W2206,公司分析!D$5,1),IF($Y$3="申万二级行业",[1]!s_info_industry_sw_2021(W2206,公司分析!D$5,2),IF($Y$3="申万三级行业",[1]!s_info_industry_sw_2021(W2206,公司分析!D$5,3),IF($Y$3="wind一级行业",[1]!s_info_industry_gics(W2206,1),IF($Y$3="wind二级行业",[1]!s_info_industry_gics(W2206,2),IF($Y$3="wind三级行业",[1]!s_info_industry_gics(W2206,3),IF($Y$3="wind四级行业",[1]!s_info_industry_gics(W2206,4),IF($Y$3="证监会门类行业",[1]!s_info_industry_csrc12_n(W2206,公司分析!D$5,1),""))))))))</f>
        <v>军工电子Ⅱ</v>
      </c>
      <c r="Z2206" s="302" t="str">
        <f ca="1">IF(Y2206=行业比较!$E$6,ROW(),"")</f>
        <v/>
      </c>
      <c r="AA2206" s="122"/>
      <c r="AB2206" s="122"/>
      <c r="AC2206" s="122"/>
      <c r="AD2206" s="122"/>
      <c r="AE2206" s="122"/>
      <c r="AF2206" s="122"/>
      <c r="AG2206" s="122"/>
      <c r="AH2206" s="122"/>
      <c r="AI2206" s="122"/>
      <c r="AJ2206" s="122"/>
      <c r="AK2206" s="122"/>
      <c r="AL2206" s="122"/>
      <c r="AM2206" s="122"/>
      <c r="AN2206" s="122"/>
      <c r="AO2206" s="122"/>
      <c r="AP2206" s="122"/>
    </row>
    <row r="2207" spans="2:42">
      <c r="B2207" s="122"/>
      <c r="C2207" s="122"/>
      <c r="D2207" s="122"/>
      <c r="E2207" s="122"/>
      <c r="F2207" s="122"/>
      <c r="G2207" s="122"/>
      <c r="H2207" s="122"/>
      <c r="I2207" s="275"/>
      <c r="J2207" s="130"/>
      <c r="K2207" s="130"/>
      <c r="L2207" s="130"/>
      <c r="M2207" s="130"/>
      <c r="N2207" s="291"/>
      <c r="O2207" s="291"/>
      <c r="P2207" s="122"/>
      <c r="Q2207" s="122"/>
      <c r="R2207" s="122"/>
      <c r="S2207" s="122"/>
      <c r="T2207" s="122"/>
      <c r="U2207" s="315"/>
      <c r="V2207" s="260">
        <f t="shared" ca="1" si="42"/>
        <v>0</v>
      </c>
      <c r="W2207" s="348" t="str">
        <f>IF(板块成分!B2209="","",板块成分!B2209)</f>
        <v>300763.SZ</v>
      </c>
      <c r="X2207" s="276" t="str">
        <f>[1]!S_Info_Name(W2207)</f>
        <v>锦浪科技</v>
      </c>
      <c r="Y2207" s="276" t="str">
        <f ca="1">IF($Y$3="申万一级行业",[1]!s_info_industry_sw_2021(W2207,公司分析!D$5,1),IF($Y$3="申万二级行业",[1]!s_info_industry_sw_2021(W2207,公司分析!D$5,2),IF($Y$3="申万三级行业",[1]!s_info_industry_sw_2021(W2207,公司分析!D$5,3),IF($Y$3="wind一级行业",[1]!s_info_industry_gics(W2207,1),IF($Y$3="wind二级行业",[1]!s_info_industry_gics(W2207,2),IF($Y$3="wind三级行业",[1]!s_info_industry_gics(W2207,3),IF($Y$3="wind四级行业",[1]!s_info_industry_gics(W2207,4),IF($Y$3="证监会门类行业",[1]!s_info_industry_csrc12_n(W2207,公司分析!D$5,1),""))))))))</f>
        <v>光伏设备</v>
      </c>
      <c r="Z2207" s="302" t="str">
        <f ca="1">IF(Y2207=行业比较!$E$6,ROW(),"")</f>
        <v/>
      </c>
      <c r="AA2207" s="122"/>
      <c r="AB2207" s="122"/>
      <c r="AC2207" s="122"/>
      <c r="AD2207" s="122"/>
      <c r="AE2207" s="122"/>
      <c r="AF2207" s="122"/>
      <c r="AG2207" s="122"/>
      <c r="AH2207" s="122"/>
      <c r="AI2207" s="122"/>
      <c r="AJ2207" s="122"/>
      <c r="AK2207" s="122"/>
      <c r="AL2207" s="122"/>
      <c r="AM2207" s="122"/>
      <c r="AN2207" s="122"/>
      <c r="AO2207" s="122"/>
      <c r="AP2207" s="122"/>
    </row>
    <row r="2208" spans="2:42">
      <c r="B2208" s="122"/>
      <c r="C2208" s="122"/>
      <c r="D2208" s="122"/>
      <c r="E2208" s="122"/>
      <c r="F2208" s="122"/>
      <c r="G2208" s="122"/>
      <c r="H2208" s="122"/>
      <c r="I2208" s="275"/>
      <c r="J2208" s="130"/>
      <c r="K2208" s="130"/>
      <c r="L2208" s="130"/>
      <c r="M2208" s="130"/>
      <c r="N2208" s="291"/>
      <c r="O2208" s="291"/>
      <c r="P2208" s="122"/>
      <c r="Q2208" s="122"/>
      <c r="R2208" s="122"/>
      <c r="S2208" s="122"/>
      <c r="T2208" s="122"/>
      <c r="U2208" s="315"/>
      <c r="V2208" s="260">
        <f t="shared" ca="1" si="42"/>
        <v>0</v>
      </c>
      <c r="W2208" s="348" t="str">
        <f>IF(板块成分!B2210="","",板块成分!B2210)</f>
        <v>300765.SZ</v>
      </c>
      <c r="X2208" s="276" t="str">
        <f>[1]!S_Info_Name(W2208)</f>
        <v>新诺威</v>
      </c>
      <c r="Y2208" s="276" t="str">
        <f ca="1">IF($Y$3="申万一级行业",[1]!s_info_industry_sw_2021(W2208,公司分析!D$5,1),IF($Y$3="申万二级行业",[1]!s_info_industry_sw_2021(W2208,公司分析!D$5,2),IF($Y$3="申万三级行业",[1]!s_info_industry_sw_2021(W2208,公司分析!D$5,3),IF($Y$3="wind一级行业",[1]!s_info_industry_gics(W2208,1),IF($Y$3="wind二级行业",[1]!s_info_industry_gics(W2208,2),IF($Y$3="wind三级行业",[1]!s_info_industry_gics(W2208,3),IF($Y$3="wind四级行业",[1]!s_info_industry_gics(W2208,4),IF($Y$3="证监会门类行业",[1]!s_info_industry_csrc12_n(W2208,公司分析!D$5,1),""))))))))</f>
        <v>化学制药</v>
      </c>
      <c r="Z2208" s="302" t="str">
        <f ca="1">IF(Y2208=行业比较!$E$6,ROW(),"")</f>
        <v/>
      </c>
      <c r="AA2208" s="122"/>
      <c r="AB2208" s="122"/>
      <c r="AC2208" s="122"/>
      <c r="AD2208" s="122"/>
      <c r="AE2208" s="122"/>
      <c r="AF2208" s="122"/>
      <c r="AG2208" s="122"/>
      <c r="AH2208" s="122"/>
      <c r="AI2208" s="122"/>
      <c r="AJ2208" s="122"/>
      <c r="AK2208" s="122"/>
      <c r="AL2208" s="122"/>
      <c r="AM2208" s="122"/>
      <c r="AN2208" s="122"/>
      <c r="AO2208" s="122"/>
      <c r="AP2208" s="122"/>
    </row>
    <row r="2209" spans="2:42">
      <c r="B2209" s="122"/>
      <c r="C2209" s="122"/>
      <c r="D2209" s="122"/>
      <c r="E2209" s="122"/>
      <c r="F2209" s="122"/>
      <c r="G2209" s="122"/>
      <c r="H2209" s="122"/>
      <c r="I2209" s="275"/>
      <c r="J2209" s="130"/>
      <c r="K2209" s="130"/>
      <c r="L2209" s="130"/>
      <c r="M2209" s="130"/>
      <c r="N2209" s="291"/>
      <c r="O2209" s="291"/>
      <c r="P2209" s="122"/>
      <c r="Q2209" s="122"/>
      <c r="R2209" s="122"/>
      <c r="S2209" s="122"/>
      <c r="T2209" s="122"/>
      <c r="U2209" s="315"/>
      <c r="V2209" s="260">
        <f t="shared" ca="1" si="42"/>
        <v>0</v>
      </c>
      <c r="W2209" s="348" t="str">
        <f>IF(板块成分!B2211="","",板块成分!B2211)</f>
        <v>300766.SZ</v>
      </c>
      <c r="X2209" s="276" t="str">
        <f>[1]!S_Info_Name(W2209)</f>
        <v>每日互动</v>
      </c>
      <c r="Y2209" s="276" t="str">
        <f ca="1">IF($Y$3="申万一级行业",[1]!s_info_industry_sw_2021(W2209,公司分析!D$5,1),IF($Y$3="申万二级行业",[1]!s_info_industry_sw_2021(W2209,公司分析!D$5,2),IF($Y$3="申万三级行业",[1]!s_info_industry_sw_2021(W2209,公司分析!D$5,3),IF($Y$3="wind一级行业",[1]!s_info_industry_gics(W2209,1),IF($Y$3="wind二级行业",[1]!s_info_industry_gics(W2209,2),IF($Y$3="wind三级行业",[1]!s_info_industry_gics(W2209,3),IF($Y$3="wind四级行业",[1]!s_info_industry_gics(W2209,4),IF($Y$3="证监会门类行业",[1]!s_info_industry_csrc12_n(W2209,公司分析!D$5,1),""))))))))</f>
        <v>软件开发</v>
      </c>
      <c r="Z2209" s="302" t="str">
        <f ca="1">IF(Y2209=行业比较!$E$6,ROW(),"")</f>
        <v/>
      </c>
      <c r="AA2209" s="122"/>
      <c r="AB2209" s="122"/>
      <c r="AC2209" s="122"/>
      <c r="AD2209" s="122"/>
      <c r="AE2209" s="122"/>
      <c r="AF2209" s="122"/>
      <c r="AG2209" s="122"/>
      <c r="AH2209" s="122"/>
      <c r="AI2209" s="122"/>
      <c r="AJ2209" s="122"/>
      <c r="AK2209" s="122"/>
      <c r="AL2209" s="122"/>
      <c r="AM2209" s="122"/>
      <c r="AN2209" s="122"/>
      <c r="AO2209" s="122"/>
      <c r="AP2209" s="122"/>
    </row>
    <row r="2210" spans="2:42">
      <c r="B2210" s="122"/>
      <c r="C2210" s="122"/>
      <c r="D2210" s="122"/>
      <c r="E2210" s="122"/>
      <c r="F2210" s="122"/>
      <c r="G2210" s="122"/>
      <c r="H2210" s="122"/>
      <c r="I2210" s="275"/>
      <c r="J2210" s="130"/>
      <c r="K2210" s="130"/>
      <c r="L2210" s="130"/>
      <c r="M2210" s="130"/>
      <c r="N2210" s="291"/>
      <c r="O2210" s="291"/>
      <c r="P2210" s="122"/>
      <c r="Q2210" s="122"/>
      <c r="R2210" s="122"/>
      <c r="S2210" s="122"/>
      <c r="T2210" s="122"/>
      <c r="U2210" s="315"/>
      <c r="V2210" s="260">
        <f t="shared" ca="1" si="42"/>
        <v>0</v>
      </c>
      <c r="W2210" s="348" t="str">
        <f>IF(板块成分!B2212="","",板块成分!B2212)</f>
        <v>300767.SZ</v>
      </c>
      <c r="X2210" s="276" t="str">
        <f>[1]!S_Info_Name(W2210)</f>
        <v>震安科技</v>
      </c>
      <c r="Y2210" s="276" t="str">
        <f ca="1">IF($Y$3="申万一级行业",[1]!s_info_industry_sw_2021(W2210,公司分析!D$5,1),IF($Y$3="申万二级行业",[1]!s_info_industry_sw_2021(W2210,公司分析!D$5,2),IF($Y$3="申万三级行业",[1]!s_info_industry_sw_2021(W2210,公司分析!D$5,3),IF($Y$3="wind一级行业",[1]!s_info_industry_gics(W2210,1),IF($Y$3="wind二级行业",[1]!s_info_industry_gics(W2210,2),IF($Y$3="wind三级行业",[1]!s_info_industry_gics(W2210,3),IF($Y$3="wind四级行业",[1]!s_info_industry_gics(W2210,4),IF($Y$3="证监会门类行业",[1]!s_info_industry_csrc12_n(W2210,公司分析!D$5,1),""))))))))</f>
        <v>橡胶</v>
      </c>
      <c r="Z2210" s="302" t="str">
        <f ca="1">IF(Y2210=行业比较!$E$6,ROW(),"")</f>
        <v/>
      </c>
      <c r="AA2210" s="122"/>
      <c r="AB2210" s="122"/>
      <c r="AC2210" s="122"/>
      <c r="AD2210" s="122"/>
      <c r="AE2210" s="122"/>
      <c r="AF2210" s="122"/>
      <c r="AG2210" s="122"/>
      <c r="AH2210" s="122"/>
      <c r="AI2210" s="122"/>
      <c r="AJ2210" s="122"/>
      <c r="AK2210" s="122"/>
      <c r="AL2210" s="122"/>
      <c r="AM2210" s="122"/>
      <c r="AN2210" s="122"/>
      <c r="AO2210" s="122"/>
      <c r="AP2210" s="122"/>
    </row>
    <row r="2211" spans="2:42">
      <c r="B2211" s="122"/>
      <c r="C2211" s="122"/>
      <c r="D2211" s="122"/>
      <c r="E2211" s="122"/>
      <c r="F2211" s="122"/>
      <c r="G2211" s="122"/>
      <c r="H2211" s="122"/>
      <c r="I2211" s="275"/>
      <c r="J2211" s="130"/>
      <c r="K2211" s="130"/>
      <c r="L2211" s="130"/>
      <c r="M2211" s="130"/>
      <c r="N2211" s="291"/>
      <c r="O2211" s="291"/>
      <c r="P2211" s="122"/>
      <c r="Q2211" s="122"/>
      <c r="R2211" s="122"/>
      <c r="S2211" s="122"/>
      <c r="T2211" s="122"/>
      <c r="U2211" s="315"/>
      <c r="V2211" s="260">
        <f t="shared" ca="1" si="42"/>
        <v>0</v>
      </c>
      <c r="W2211" s="348" t="str">
        <f>IF(板块成分!B2213="","",板块成分!B2213)</f>
        <v>300768.SZ</v>
      </c>
      <c r="X2211" s="276" t="str">
        <f>[1]!S_Info_Name(W2211)</f>
        <v>迪普科技</v>
      </c>
      <c r="Y2211" s="276" t="str">
        <f ca="1">IF($Y$3="申万一级行业",[1]!s_info_industry_sw_2021(W2211,公司分析!D$5,1),IF($Y$3="申万二级行业",[1]!s_info_industry_sw_2021(W2211,公司分析!D$5,2),IF($Y$3="申万三级行业",[1]!s_info_industry_sw_2021(W2211,公司分析!D$5,3),IF($Y$3="wind一级行业",[1]!s_info_industry_gics(W2211,1),IF($Y$3="wind二级行业",[1]!s_info_industry_gics(W2211,2),IF($Y$3="wind三级行业",[1]!s_info_industry_gics(W2211,3),IF($Y$3="wind四级行业",[1]!s_info_industry_gics(W2211,4),IF($Y$3="证监会门类行业",[1]!s_info_industry_csrc12_n(W2211,公司分析!D$5,1),""))))))))</f>
        <v>软件开发</v>
      </c>
      <c r="Z2211" s="302" t="str">
        <f ca="1">IF(Y2211=行业比较!$E$6,ROW(),"")</f>
        <v/>
      </c>
      <c r="AA2211" s="122"/>
      <c r="AB2211" s="122"/>
      <c r="AC2211" s="122"/>
      <c r="AD2211" s="122"/>
      <c r="AE2211" s="122"/>
      <c r="AF2211" s="122"/>
      <c r="AG2211" s="122"/>
      <c r="AH2211" s="122"/>
      <c r="AI2211" s="122"/>
      <c r="AJ2211" s="122"/>
      <c r="AK2211" s="122"/>
      <c r="AL2211" s="122"/>
      <c r="AM2211" s="122"/>
      <c r="AN2211" s="122"/>
      <c r="AO2211" s="122"/>
      <c r="AP2211" s="122"/>
    </row>
    <row r="2212" spans="2:42">
      <c r="B2212" s="122"/>
      <c r="C2212" s="122"/>
      <c r="D2212" s="122"/>
      <c r="E2212" s="122"/>
      <c r="F2212" s="122"/>
      <c r="G2212" s="122"/>
      <c r="H2212" s="122"/>
      <c r="I2212" s="275"/>
      <c r="J2212" s="130"/>
      <c r="K2212" s="130"/>
      <c r="L2212" s="130"/>
      <c r="M2212" s="130"/>
      <c r="N2212" s="291"/>
      <c r="O2212" s="291"/>
      <c r="P2212" s="122"/>
      <c r="Q2212" s="122"/>
      <c r="R2212" s="122"/>
      <c r="S2212" s="122"/>
      <c r="T2212" s="122"/>
      <c r="U2212" s="315"/>
      <c r="V2212" s="260">
        <f t="shared" ca="1" si="42"/>
        <v>0</v>
      </c>
      <c r="W2212" s="348" t="str">
        <f>IF(板块成分!B2214="","",板块成分!B2214)</f>
        <v>300769.SZ</v>
      </c>
      <c r="X2212" s="276" t="str">
        <f>[1]!S_Info_Name(W2212)</f>
        <v>德方纳米</v>
      </c>
      <c r="Y2212" s="276" t="str">
        <f ca="1">IF($Y$3="申万一级行业",[1]!s_info_industry_sw_2021(W2212,公司分析!D$5,1),IF($Y$3="申万二级行业",[1]!s_info_industry_sw_2021(W2212,公司分析!D$5,2),IF($Y$3="申万三级行业",[1]!s_info_industry_sw_2021(W2212,公司分析!D$5,3),IF($Y$3="wind一级行业",[1]!s_info_industry_gics(W2212,1),IF($Y$3="wind二级行业",[1]!s_info_industry_gics(W2212,2),IF($Y$3="wind三级行业",[1]!s_info_industry_gics(W2212,3),IF($Y$3="wind四级行业",[1]!s_info_industry_gics(W2212,4),IF($Y$3="证监会门类行业",[1]!s_info_industry_csrc12_n(W2212,公司分析!D$5,1),""))))))))</f>
        <v>电池</v>
      </c>
      <c r="Z2212" s="302" t="str">
        <f ca="1">IF(Y2212=行业比较!$E$6,ROW(),"")</f>
        <v/>
      </c>
      <c r="AA2212" s="122"/>
      <c r="AB2212" s="122"/>
      <c r="AC2212" s="122"/>
      <c r="AD2212" s="122"/>
      <c r="AE2212" s="122"/>
      <c r="AF2212" s="122"/>
      <c r="AG2212" s="122"/>
      <c r="AH2212" s="122"/>
      <c r="AI2212" s="122"/>
      <c r="AJ2212" s="122"/>
      <c r="AK2212" s="122"/>
      <c r="AL2212" s="122"/>
      <c r="AM2212" s="122"/>
      <c r="AN2212" s="122"/>
      <c r="AO2212" s="122"/>
      <c r="AP2212" s="122"/>
    </row>
    <row r="2213" spans="2:42">
      <c r="B2213" s="122"/>
      <c r="C2213" s="122"/>
      <c r="D2213" s="122"/>
      <c r="E2213" s="122"/>
      <c r="F2213" s="122"/>
      <c r="G2213" s="122"/>
      <c r="H2213" s="122"/>
      <c r="I2213" s="275"/>
      <c r="J2213" s="130"/>
      <c r="K2213" s="130"/>
      <c r="L2213" s="130"/>
      <c r="M2213" s="130"/>
      <c r="N2213" s="291"/>
      <c r="O2213" s="291"/>
      <c r="P2213" s="122"/>
      <c r="Q2213" s="122"/>
      <c r="R2213" s="122"/>
      <c r="S2213" s="122"/>
      <c r="T2213" s="122"/>
      <c r="U2213" s="315"/>
      <c r="V2213" s="260">
        <f t="shared" ca="1" si="42"/>
        <v>0</v>
      </c>
      <c r="W2213" s="348" t="str">
        <f>IF(板块成分!B2215="","",板块成分!B2215)</f>
        <v>300770.SZ</v>
      </c>
      <c r="X2213" s="276" t="str">
        <f>[1]!S_Info_Name(W2213)</f>
        <v>新媒股份</v>
      </c>
      <c r="Y2213" s="276" t="str">
        <f ca="1">IF($Y$3="申万一级行业",[1]!s_info_industry_sw_2021(W2213,公司分析!D$5,1),IF($Y$3="申万二级行业",[1]!s_info_industry_sw_2021(W2213,公司分析!D$5,2),IF($Y$3="申万三级行业",[1]!s_info_industry_sw_2021(W2213,公司分析!D$5,3),IF($Y$3="wind一级行业",[1]!s_info_industry_gics(W2213,1),IF($Y$3="wind二级行业",[1]!s_info_industry_gics(W2213,2),IF($Y$3="wind三级行业",[1]!s_info_industry_gics(W2213,3),IF($Y$3="wind四级行业",[1]!s_info_industry_gics(W2213,4),IF($Y$3="证监会门类行业",[1]!s_info_industry_csrc12_n(W2213,公司分析!D$5,1),""))))))))</f>
        <v>电视广播Ⅱ</v>
      </c>
      <c r="Z2213" s="302" t="str">
        <f ca="1">IF(Y2213=行业比较!$E$6,ROW(),"")</f>
        <v/>
      </c>
      <c r="AA2213" s="122"/>
      <c r="AB2213" s="122"/>
      <c r="AC2213" s="122"/>
      <c r="AD2213" s="122"/>
      <c r="AE2213" s="122"/>
      <c r="AF2213" s="122"/>
      <c r="AG2213" s="122"/>
      <c r="AH2213" s="122"/>
      <c r="AI2213" s="122"/>
      <c r="AJ2213" s="122"/>
      <c r="AK2213" s="122"/>
      <c r="AL2213" s="122"/>
      <c r="AM2213" s="122"/>
      <c r="AN2213" s="122"/>
      <c r="AO2213" s="122"/>
      <c r="AP2213" s="122"/>
    </row>
    <row r="2214" spans="2:42">
      <c r="B2214" s="122"/>
      <c r="C2214" s="122"/>
      <c r="D2214" s="122"/>
      <c r="E2214" s="122"/>
      <c r="F2214" s="122"/>
      <c r="G2214" s="122"/>
      <c r="H2214" s="122"/>
      <c r="I2214" s="275"/>
      <c r="J2214" s="130"/>
      <c r="K2214" s="130"/>
      <c r="L2214" s="130"/>
      <c r="M2214" s="130"/>
      <c r="N2214" s="291"/>
      <c r="O2214" s="291"/>
      <c r="P2214" s="122"/>
      <c r="Q2214" s="122"/>
      <c r="R2214" s="122"/>
      <c r="S2214" s="122"/>
      <c r="T2214" s="122"/>
      <c r="U2214" s="315"/>
      <c r="V2214" s="260">
        <f t="shared" ca="1" si="42"/>
        <v>0</v>
      </c>
      <c r="W2214" s="348" t="str">
        <f>IF(板块成分!B2216="","",板块成分!B2216)</f>
        <v>300771.SZ</v>
      </c>
      <c r="X2214" s="276" t="str">
        <f>[1]!S_Info_Name(W2214)</f>
        <v>智莱科技</v>
      </c>
      <c r="Y2214" s="276" t="str">
        <f ca="1">IF($Y$3="申万一级行业",[1]!s_info_industry_sw_2021(W2214,公司分析!D$5,1),IF($Y$3="申万二级行业",[1]!s_info_industry_sw_2021(W2214,公司分析!D$5,2),IF($Y$3="申万三级行业",[1]!s_info_industry_sw_2021(W2214,公司分析!D$5,3),IF($Y$3="wind一级行业",[1]!s_info_industry_gics(W2214,1),IF($Y$3="wind二级行业",[1]!s_info_industry_gics(W2214,2),IF($Y$3="wind三级行业",[1]!s_info_industry_gics(W2214,3),IF($Y$3="wind四级行业",[1]!s_info_industry_gics(W2214,4),IF($Y$3="证监会门类行业",[1]!s_info_industry_csrc12_n(W2214,公司分析!D$5,1),""))))))))</f>
        <v>计算机设备</v>
      </c>
      <c r="Z2214" s="302" t="str">
        <f ca="1">IF(Y2214=行业比较!$E$6,ROW(),"")</f>
        <v/>
      </c>
      <c r="AA2214" s="122"/>
      <c r="AB2214" s="122"/>
      <c r="AC2214" s="122"/>
      <c r="AD2214" s="122"/>
      <c r="AE2214" s="122"/>
      <c r="AF2214" s="122"/>
      <c r="AG2214" s="122"/>
      <c r="AH2214" s="122"/>
      <c r="AI2214" s="122"/>
      <c r="AJ2214" s="122"/>
      <c r="AK2214" s="122"/>
      <c r="AL2214" s="122"/>
      <c r="AM2214" s="122"/>
      <c r="AN2214" s="122"/>
      <c r="AO2214" s="122"/>
      <c r="AP2214" s="122"/>
    </row>
    <row r="2215" spans="2:42">
      <c r="B2215" s="122"/>
      <c r="C2215" s="122"/>
      <c r="D2215" s="122"/>
      <c r="E2215" s="122"/>
      <c r="F2215" s="122"/>
      <c r="G2215" s="122"/>
      <c r="H2215" s="122"/>
      <c r="I2215" s="275"/>
      <c r="J2215" s="130"/>
      <c r="K2215" s="130"/>
      <c r="L2215" s="130"/>
      <c r="M2215" s="130"/>
      <c r="N2215" s="291"/>
      <c r="O2215" s="291"/>
      <c r="P2215" s="122"/>
      <c r="Q2215" s="122"/>
      <c r="R2215" s="122"/>
      <c r="S2215" s="122"/>
      <c r="T2215" s="122"/>
      <c r="U2215" s="315"/>
      <c r="V2215" s="260">
        <f t="shared" ca="1" si="42"/>
        <v>0</v>
      </c>
      <c r="W2215" s="348" t="str">
        <f>IF(板块成分!B2217="","",板块成分!B2217)</f>
        <v>300772.SZ</v>
      </c>
      <c r="X2215" s="276" t="str">
        <f>[1]!S_Info_Name(W2215)</f>
        <v>运达股份</v>
      </c>
      <c r="Y2215" s="276" t="str">
        <f ca="1">IF($Y$3="申万一级行业",[1]!s_info_industry_sw_2021(W2215,公司分析!D$5,1),IF($Y$3="申万二级行业",[1]!s_info_industry_sw_2021(W2215,公司分析!D$5,2),IF($Y$3="申万三级行业",[1]!s_info_industry_sw_2021(W2215,公司分析!D$5,3),IF($Y$3="wind一级行业",[1]!s_info_industry_gics(W2215,1),IF($Y$3="wind二级行业",[1]!s_info_industry_gics(W2215,2),IF($Y$3="wind三级行业",[1]!s_info_industry_gics(W2215,3),IF($Y$3="wind四级行业",[1]!s_info_industry_gics(W2215,4),IF($Y$3="证监会门类行业",[1]!s_info_industry_csrc12_n(W2215,公司分析!D$5,1),""))))))))</f>
        <v>风电设备</v>
      </c>
      <c r="Z2215" s="302" t="str">
        <f ca="1">IF(Y2215=行业比较!$E$6,ROW(),"")</f>
        <v/>
      </c>
      <c r="AA2215" s="122"/>
      <c r="AB2215" s="122"/>
      <c r="AC2215" s="122"/>
      <c r="AD2215" s="122"/>
      <c r="AE2215" s="122"/>
      <c r="AF2215" s="122"/>
      <c r="AG2215" s="122"/>
      <c r="AH2215" s="122"/>
      <c r="AI2215" s="122"/>
      <c r="AJ2215" s="122"/>
      <c r="AK2215" s="122"/>
      <c r="AL2215" s="122"/>
      <c r="AM2215" s="122"/>
      <c r="AN2215" s="122"/>
      <c r="AO2215" s="122"/>
      <c r="AP2215" s="122"/>
    </row>
    <row r="2216" spans="2:42">
      <c r="B2216" s="122"/>
      <c r="C2216" s="122"/>
      <c r="D2216" s="122"/>
      <c r="E2216" s="122"/>
      <c r="F2216" s="122"/>
      <c r="G2216" s="122"/>
      <c r="H2216" s="122"/>
      <c r="I2216" s="275"/>
      <c r="J2216" s="130"/>
      <c r="K2216" s="130"/>
      <c r="L2216" s="130"/>
      <c r="M2216" s="130"/>
      <c r="N2216" s="291"/>
      <c r="O2216" s="291"/>
      <c r="P2216" s="122"/>
      <c r="Q2216" s="122"/>
      <c r="R2216" s="122"/>
      <c r="S2216" s="122"/>
      <c r="T2216" s="122"/>
      <c r="U2216" s="315"/>
      <c r="V2216" s="260">
        <f t="shared" ca="1" si="42"/>
        <v>0</v>
      </c>
      <c r="W2216" s="348" t="str">
        <f>IF(板块成分!B2218="","",板块成分!B2218)</f>
        <v>300773.SZ</v>
      </c>
      <c r="X2216" s="276" t="str">
        <f>[1]!S_Info_Name(W2216)</f>
        <v>拉卡拉</v>
      </c>
      <c r="Y2216" s="276" t="str">
        <f ca="1">IF($Y$3="申万一级行业",[1]!s_info_industry_sw_2021(W2216,公司分析!D$5,1),IF($Y$3="申万二级行业",[1]!s_info_industry_sw_2021(W2216,公司分析!D$5,2),IF($Y$3="申万三级行业",[1]!s_info_industry_sw_2021(W2216,公司分析!D$5,3),IF($Y$3="wind一级行业",[1]!s_info_industry_gics(W2216,1),IF($Y$3="wind二级行业",[1]!s_info_industry_gics(W2216,2),IF($Y$3="wind三级行业",[1]!s_info_industry_gics(W2216,3),IF($Y$3="wind四级行业",[1]!s_info_industry_gics(W2216,4),IF($Y$3="证监会门类行业",[1]!s_info_industry_csrc12_n(W2216,公司分析!D$5,1),""))))))))</f>
        <v>多元金融</v>
      </c>
      <c r="Z2216" s="302" t="str">
        <f ca="1">IF(Y2216=行业比较!$E$6,ROW(),"")</f>
        <v/>
      </c>
      <c r="AA2216" s="122"/>
      <c r="AB2216" s="122"/>
      <c r="AC2216" s="122"/>
      <c r="AD2216" s="122"/>
      <c r="AE2216" s="122"/>
      <c r="AF2216" s="122"/>
      <c r="AG2216" s="122"/>
      <c r="AH2216" s="122"/>
      <c r="AI2216" s="122"/>
      <c r="AJ2216" s="122"/>
      <c r="AK2216" s="122"/>
      <c r="AL2216" s="122"/>
      <c r="AM2216" s="122"/>
      <c r="AN2216" s="122"/>
      <c r="AO2216" s="122"/>
      <c r="AP2216" s="122"/>
    </row>
    <row r="2217" spans="2:42">
      <c r="B2217" s="122"/>
      <c r="C2217" s="122"/>
      <c r="D2217" s="122"/>
      <c r="E2217" s="122"/>
      <c r="F2217" s="122"/>
      <c r="G2217" s="122"/>
      <c r="H2217" s="122"/>
      <c r="I2217" s="275"/>
      <c r="J2217" s="130"/>
      <c r="K2217" s="130"/>
      <c r="L2217" s="130"/>
      <c r="M2217" s="130"/>
      <c r="N2217" s="291"/>
      <c r="O2217" s="291"/>
      <c r="P2217" s="122"/>
      <c r="Q2217" s="122"/>
      <c r="R2217" s="122"/>
      <c r="S2217" s="122"/>
      <c r="T2217" s="122"/>
      <c r="U2217" s="315"/>
      <c r="V2217" s="260">
        <f t="shared" ca="1" si="42"/>
        <v>0</v>
      </c>
      <c r="W2217" s="348" t="str">
        <f>IF(板块成分!B2219="","",板块成分!B2219)</f>
        <v>300774.SZ</v>
      </c>
      <c r="X2217" s="276" t="str">
        <f>[1]!S_Info_Name(W2217)</f>
        <v>倍杰特</v>
      </c>
      <c r="Y2217" s="276" t="str">
        <f ca="1">IF($Y$3="申万一级行业",[1]!s_info_industry_sw_2021(W2217,公司分析!D$5,1),IF($Y$3="申万二级行业",[1]!s_info_industry_sw_2021(W2217,公司分析!D$5,2),IF($Y$3="申万三级行业",[1]!s_info_industry_sw_2021(W2217,公司分析!D$5,3),IF($Y$3="wind一级行业",[1]!s_info_industry_gics(W2217,1),IF($Y$3="wind二级行业",[1]!s_info_industry_gics(W2217,2),IF($Y$3="wind三级行业",[1]!s_info_industry_gics(W2217,3),IF($Y$3="wind四级行业",[1]!s_info_industry_gics(W2217,4),IF($Y$3="证监会门类行业",[1]!s_info_industry_csrc12_n(W2217,公司分析!D$5,1),""))))))))</f>
        <v>环境治理</v>
      </c>
      <c r="Z2217" s="302" t="str">
        <f ca="1">IF(Y2217=行业比较!$E$6,ROW(),"")</f>
        <v/>
      </c>
      <c r="AA2217" s="122"/>
      <c r="AB2217" s="122"/>
      <c r="AC2217" s="122"/>
      <c r="AD2217" s="122"/>
      <c r="AE2217" s="122"/>
      <c r="AF2217" s="122"/>
      <c r="AG2217" s="122"/>
      <c r="AH2217" s="122"/>
      <c r="AI2217" s="122"/>
      <c r="AJ2217" s="122"/>
      <c r="AK2217" s="122"/>
      <c r="AL2217" s="122"/>
      <c r="AM2217" s="122"/>
      <c r="AN2217" s="122"/>
      <c r="AO2217" s="122"/>
      <c r="AP2217" s="122"/>
    </row>
    <row r="2218" spans="2:42">
      <c r="B2218" s="122"/>
      <c r="C2218" s="122"/>
      <c r="D2218" s="122"/>
      <c r="E2218" s="122"/>
      <c r="F2218" s="122"/>
      <c r="G2218" s="122"/>
      <c r="H2218" s="122"/>
      <c r="I2218" s="275"/>
      <c r="J2218" s="130"/>
      <c r="K2218" s="130"/>
      <c r="L2218" s="130"/>
      <c r="M2218" s="130"/>
      <c r="N2218" s="291"/>
      <c r="O2218" s="291"/>
      <c r="P2218" s="122"/>
      <c r="Q2218" s="122"/>
      <c r="R2218" s="122"/>
      <c r="S2218" s="122"/>
      <c r="T2218" s="122"/>
      <c r="U2218" s="315"/>
      <c r="V2218" s="260">
        <f t="shared" ca="1" si="42"/>
        <v>0</v>
      </c>
      <c r="W2218" s="348" t="str">
        <f>IF(板块成分!B2220="","",板块成分!B2220)</f>
        <v>300775.SZ</v>
      </c>
      <c r="X2218" s="276" t="str">
        <f>[1]!S_Info_Name(W2218)</f>
        <v>三角防务</v>
      </c>
      <c r="Y2218" s="276" t="str">
        <f ca="1">IF($Y$3="申万一级行业",[1]!s_info_industry_sw_2021(W2218,公司分析!D$5,1),IF($Y$3="申万二级行业",[1]!s_info_industry_sw_2021(W2218,公司分析!D$5,2),IF($Y$3="申万三级行业",[1]!s_info_industry_sw_2021(W2218,公司分析!D$5,3),IF($Y$3="wind一级行业",[1]!s_info_industry_gics(W2218,1),IF($Y$3="wind二级行业",[1]!s_info_industry_gics(W2218,2),IF($Y$3="wind三级行业",[1]!s_info_industry_gics(W2218,3),IF($Y$3="wind四级行业",[1]!s_info_industry_gics(W2218,4),IF($Y$3="证监会门类行业",[1]!s_info_industry_csrc12_n(W2218,公司分析!D$5,1),""))))))))</f>
        <v>航空装备Ⅱ</v>
      </c>
      <c r="Z2218" s="302" t="str">
        <f ca="1">IF(Y2218=行业比较!$E$6,ROW(),"")</f>
        <v/>
      </c>
      <c r="AA2218" s="122"/>
      <c r="AB2218" s="122"/>
      <c r="AC2218" s="122"/>
      <c r="AD2218" s="122"/>
      <c r="AE2218" s="122"/>
      <c r="AF2218" s="122"/>
      <c r="AG2218" s="122"/>
      <c r="AH2218" s="122"/>
      <c r="AI2218" s="122"/>
      <c r="AJ2218" s="122"/>
      <c r="AK2218" s="122"/>
      <c r="AL2218" s="122"/>
      <c r="AM2218" s="122"/>
      <c r="AN2218" s="122"/>
      <c r="AO2218" s="122"/>
      <c r="AP2218" s="122"/>
    </row>
    <row r="2219" spans="2:42">
      <c r="B2219" s="122"/>
      <c r="C2219" s="122"/>
      <c r="D2219" s="122"/>
      <c r="E2219" s="122"/>
      <c r="F2219" s="122"/>
      <c r="G2219" s="122"/>
      <c r="H2219" s="122"/>
      <c r="I2219" s="275"/>
      <c r="J2219" s="130"/>
      <c r="K2219" s="130"/>
      <c r="L2219" s="130"/>
      <c r="M2219" s="130"/>
      <c r="N2219" s="291"/>
      <c r="O2219" s="291"/>
      <c r="P2219" s="122"/>
      <c r="Q2219" s="122"/>
      <c r="R2219" s="122"/>
      <c r="S2219" s="122"/>
      <c r="T2219" s="122"/>
      <c r="U2219" s="315"/>
      <c r="V2219" s="260">
        <f t="shared" ca="1" si="42"/>
        <v>0</v>
      </c>
      <c r="W2219" s="348" t="str">
        <f>IF(板块成分!B2221="","",板块成分!B2221)</f>
        <v>300776.SZ</v>
      </c>
      <c r="X2219" s="276" t="str">
        <f>[1]!S_Info_Name(W2219)</f>
        <v>帝尔激光</v>
      </c>
      <c r="Y2219" s="276" t="str">
        <f ca="1">IF($Y$3="申万一级行业",[1]!s_info_industry_sw_2021(W2219,公司分析!D$5,1),IF($Y$3="申万二级行业",[1]!s_info_industry_sw_2021(W2219,公司分析!D$5,2),IF($Y$3="申万三级行业",[1]!s_info_industry_sw_2021(W2219,公司分析!D$5,3),IF($Y$3="wind一级行业",[1]!s_info_industry_gics(W2219,1),IF($Y$3="wind二级行业",[1]!s_info_industry_gics(W2219,2),IF($Y$3="wind三级行业",[1]!s_info_industry_gics(W2219,3),IF($Y$3="wind四级行业",[1]!s_info_industry_gics(W2219,4),IF($Y$3="证监会门类行业",[1]!s_info_industry_csrc12_n(W2219,公司分析!D$5,1),""))))))))</f>
        <v>光伏设备</v>
      </c>
      <c r="Z2219" s="302" t="str">
        <f ca="1">IF(Y2219=行业比较!$E$6,ROW(),"")</f>
        <v/>
      </c>
      <c r="AA2219" s="122"/>
      <c r="AB2219" s="122"/>
      <c r="AC2219" s="122"/>
      <c r="AD2219" s="122"/>
      <c r="AE2219" s="122"/>
      <c r="AF2219" s="122"/>
      <c r="AG2219" s="122"/>
      <c r="AH2219" s="122"/>
      <c r="AI2219" s="122"/>
      <c r="AJ2219" s="122"/>
      <c r="AK2219" s="122"/>
      <c r="AL2219" s="122"/>
      <c r="AM2219" s="122"/>
      <c r="AN2219" s="122"/>
      <c r="AO2219" s="122"/>
      <c r="AP2219" s="122"/>
    </row>
    <row r="2220" spans="2:42">
      <c r="B2220" s="122"/>
      <c r="C2220" s="122"/>
      <c r="D2220" s="122"/>
      <c r="E2220" s="122"/>
      <c r="F2220" s="122"/>
      <c r="G2220" s="122"/>
      <c r="H2220" s="122"/>
      <c r="I2220" s="275"/>
      <c r="J2220" s="130"/>
      <c r="K2220" s="130"/>
      <c r="L2220" s="130"/>
      <c r="M2220" s="130"/>
      <c r="N2220" s="291"/>
      <c r="O2220" s="291"/>
      <c r="P2220" s="122"/>
      <c r="Q2220" s="122"/>
      <c r="R2220" s="122"/>
      <c r="S2220" s="122"/>
      <c r="T2220" s="122"/>
      <c r="U2220" s="315"/>
      <c r="V2220" s="260">
        <f t="shared" ca="1" si="42"/>
        <v>0</v>
      </c>
      <c r="W2220" s="348" t="str">
        <f>IF(板块成分!B2222="","",板块成分!B2222)</f>
        <v>300777.SZ</v>
      </c>
      <c r="X2220" s="276" t="str">
        <f>[1]!S_Info_Name(W2220)</f>
        <v>中简科技</v>
      </c>
      <c r="Y2220" s="276" t="str">
        <f ca="1">IF($Y$3="申万一级行业",[1]!s_info_industry_sw_2021(W2220,公司分析!D$5,1),IF($Y$3="申万二级行业",[1]!s_info_industry_sw_2021(W2220,公司分析!D$5,2),IF($Y$3="申万三级行业",[1]!s_info_industry_sw_2021(W2220,公司分析!D$5,3),IF($Y$3="wind一级行业",[1]!s_info_industry_gics(W2220,1),IF($Y$3="wind二级行业",[1]!s_info_industry_gics(W2220,2),IF($Y$3="wind三级行业",[1]!s_info_industry_gics(W2220,3),IF($Y$3="wind四级行业",[1]!s_info_industry_gics(W2220,4),IF($Y$3="证监会门类行业",[1]!s_info_industry_csrc12_n(W2220,公司分析!D$5,1),""))))))))</f>
        <v>航空装备Ⅱ</v>
      </c>
      <c r="Z2220" s="302" t="str">
        <f ca="1">IF(Y2220=行业比较!$E$6,ROW(),"")</f>
        <v/>
      </c>
      <c r="AA2220" s="122"/>
      <c r="AB2220" s="122"/>
      <c r="AC2220" s="122"/>
      <c r="AD2220" s="122"/>
      <c r="AE2220" s="122"/>
      <c r="AF2220" s="122"/>
      <c r="AG2220" s="122"/>
      <c r="AH2220" s="122"/>
      <c r="AI2220" s="122"/>
      <c r="AJ2220" s="122"/>
      <c r="AK2220" s="122"/>
      <c r="AL2220" s="122"/>
      <c r="AM2220" s="122"/>
      <c r="AN2220" s="122"/>
      <c r="AO2220" s="122"/>
      <c r="AP2220" s="122"/>
    </row>
    <row r="2221" spans="2:42">
      <c r="B2221" s="122"/>
      <c r="C2221" s="122"/>
      <c r="D2221" s="122"/>
      <c r="E2221" s="122"/>
      <c r="F2221" s="122"/>
      <c r="G2221" s="122"/>
      <c r="H2221" s="122"/>
      <c r="I2221" s="275"/>
      <c r="J2221" s="130"/>
      <c r="K2221" s="130"/>
      <c r="L2221" s="130"/>
      <c r="M2221" s="130"/>
      <c r="N2221" s="291"/>
      <c r="O2221" s="291"/>
      <c r="P2221" s="122"/>
      <c r="Q2221" s="122"/>
      <c r="R2221" s="122"/>
      <c r="S2221" s="122"/>
      <c r="T2221" s="122"/>
      <c r="U2221" s="315"/>
      <c r="V2221" s="260">
        <f t="shared" ca="1" si="42"/>
        <v>0</v>
      </c>
      <c r="W2221" s="348" t="str">
        <f>IF(板块成分!B2223="","",板块成分!B2223)</f>
        <v>300778.SZ</v>
      </c>
      <c r="X2221" s="276" t="str">
        <f>[1]!S_Info_Name(W2221)</f>
        <v>新城市</v>
      </c>
      <c r="Y2221" s="276" t="str">
        <f ca="1">IF($Y$3="申万一级行业",[1]!s_info_industry_sw_2021(W2221,公司分析!D$5,1),IF($Y$3="申万二级行业",[1]!s_info_industry_sw_2021(W2221,公司分析!D$5,2),IF($Y$3="申万三级行业",[1]!s_info_industry_sw_2021(W2221,公司分析!D$5,3),IF($Y$3="wind一级行业",[1]!s_info_industry_gics(W2221,1),IF($Y$3="wind二级行业",[1]!s_info_industry_gics(W2221,2),IF($Y$3="wind三级行业",[1]!s_info_industry_gics(W2221,3),IF($Y$3="wind四级行业",[1]!s_info_industry_gics(W2221,4),IF($Y$3="证监会门类行业",[1]!s_info_industry_csrc12_n(W2221,公司分析!D$5,1),""))))))))</f>
        <v>工程咨询服务Ⅱ</v>
      </c>
      <c r="Z2221" s="302" t="str">
        <f ca="1">IF(Y2221=行业比较!$E$6,ROW(),"")</f>
        <v/>
      </c>
      <c r="AA2221" s="122"/>
      <c r="AB2221" s="122"/>
      <c r="AC2221" s="122"/>
      <c r="AD2221" s="122"/>
      <c r="AE2221" s="122"/>
      <c r="AF2221" s="122"/>
      <c r="AG2221" s="122"/>
      <c r="AH2221" s="122"/>
      <c r="AI2221" s="122"/>
      <c r="AJ2221" s="122"/>
      <c r="AK2221" s="122"/>
      <c r="AL2221" s="122"/>
      <c r="AM2221" s="122"/>
      <c r="AN2221" s="122"/>
      <c r="AO2221" s="122"/>
      <c r="AP2221" s="122"/>
    </row>
    <row r="2222" spans="2:42">
      <c r="B2222" s="122"/>
      <c r="C2222" s="122"/>
      <c r="D2222" s="122"/>
      <c r="E2222" s="122"/>
      <c r="F2222" s="122"/>
      <c r="G2222" s="122"/>
      <c r="H2222" s="122"/>
      <c r="I2222" s="275"/>
      <c r="J2222" s="130"/>
      <c r="K2222" s="130"/>
      <c r="L2222" s="130"/>
      <c r="M2222" s="130"/>
      <c r="N2222" s="291"/>
      <c r="O2222" s="291"/>
      <c r="P2222" s="122"/>
      <c r="Q2222" s="122"/>
      <c r="R2222" s="122"/>
      <c r="S2222" s="122"/>
      <c r="T2222" s="122"/>
      <c r="U2222" s="315"/>
      <c r="V2222" s="260">
        <f t="shared" ca="1" si="42"/>
        <v>0</v>
      </c>
      <c r="W2222" s="348" t="str">
        <f>IF(板块成分!B2224="","",板块成分!B2224)</f>
        <v>300779.SZ</v>
      </c>
      <c r="X2222" s="276" t="str">
        <f>[1]!S_Info_Name(W2222)</f>
        <v>惠城环保</v>
      </c>
      <c r="Y2222" s="276" t="str">
        <f ca="1">IF($Y$3="申万一级行业",[1]!s_info_industry_sw_2021(W2222,公司分析!D$5,1),IF($Y$3="申万二级行业",[1]!s_info_industry_sw_2021(W2222,公司分析!D$5,2),IF($Y$3="申万三级行业",[1]!s_info_industry_sw_2021(W2222,公司分析!D$5,3),IF($Y$3="wind一级行业",[1]!s_info_industry_gics(W2222,1),IF($Y$3="wind二级行业",[1]!s_info_industry_gics(W2222,2),IF($Y$3="wind三级行业",[1]!s_info_industry_gics(W2222,3),IF($Y$3="wind四级行业",[1]!s_info_industry_gics(W2222,4),IF($Y$3="证监会门类行业",[1]!s_info_industry_csrc12_n(W2222,公司分析!D$5,1),""))))))))</f>
        <v>环境治理</v>
      </c>
      <c r="Z2222" s="302" t="str">
        <f ca="1">IF(Y2222=行业比较!$E$6,ROW(),"")</f>
        <v/>
      </c>
      <c r="AA2222" s="122"/>
      <c r="AB2222" s="122"/>
      <c r="AC2222" s="122"/>
      <c r="AD2222" s="122"/>
      <c r="AE2222" s="122"/>
      <c r="AF2222" s="122"/>
      <c r="AG2222" s="122"/>
      <c r="AH2222" s="122"/>
      <c r="AI2222" s="122"/>
      <c r="AJ2222" s="122"/>
      <c r="AK2222" s="122"/>
      <c r="AL2222" s="122"/>
      <c r="AM2222" s="122"/>
      <c r="AN2222" s="122"/>
      <c r="AO2222" s="122"/>
      <c r="AP2222" s="122"/>
    </row>
    <row r="2223" spans="2:42">
      <c r="B2223" s="122"/>
      <c r="C2223" s="122"/>
      <c r="D2223" s="122"/>
      <c r="E2223" s="122"/>
      <c r="F2223" s="122"/>
      <c r="G2223" s="122"/>
      <c r="H2223" s="122"/>
      <c r="I2223" s="275"/>
      <c r="J2223" s="130"/>
      <c r="K2223" s="130"/>
      <c r="L2223" s="130"/>
      <c r="M2223" s="130"/>
      <c r="N2223" s="291"/>
      <c r="O2223" s="291"/>
      <c r="P2223" s="122"/>
      <c r="Q2223" s="122"/>
      <c r="R2223" s="122"/>
      <c r="S2223" s="122"/>
      <c r="T2223" s="122"/>
      <c r="U2223" s="315"/>
      <c r="V2223" s="260">
        <f t="shared" ca="1" si="42"/>
        <v>0</v>
      </c>
      <c r="W2223" s="348" t="str">
        <f>IF(板块成分!B2225="","",板块成分!B2225)</f>
        <v>300780.SZ</v>
      </c>
      <c r="X2223" s="276" t="str">
        <f>[1]!S_Info_Name(W2223)</f>
        <v>德恩精工</v>
      </c>
      <c r="Y2223" s="276" t="str">
        <f ca="1">IF($Y$3="申万一级行业",[1]!s_info_industry_sw_2021(W2223,公司分析!D$5,1),IF($Y$3="申万二级行业",[1]!s_info_industry_sw_2021(W2223,公司分析!D$5,2),IF($Y$3="申万三级行业",[1]!s_info_industry_sw_2021(W2223,公司分析!D$5,3),IF($Y$3="wind一级行业",[1]!s_info_industry_gics(W2223,1),IF($Y$3="wind二级行业",[1]!s_info_industry_gics(W2223,2),IF($Y$3="wind三级行业",[1]!s_info_industry_gics(W2223,3),IF($Y$3="wind四级行业",[1]!s_info_industry_gics(W2223,4),IF($Y$3="证监会门类行业",[1]!s_info_industry_csrc12_n(W2223,公司分析!D$5,1),""))))))))</f>
        <v>通用设备</v>
      </c>
      <c r="Z2223" s="302" t="str">
        <f ca="1">IF(Y2223=行业比较!$E$6,ROW(),"")</f>
        <v/>
      </c>
      <c r="AA2223" s="122"/>
      <c r="AB2223" s="122"/>
      <c r="AC2223" s="122"/>
      <c r="AD2223" s="122"/>
      <c r="AE2223" s="122"/>
      <c r="AF2223" s="122"/>
      <c r="AG2223" s="122"/>
      <c r="AH2223" s="122"/>
      <c r="AI2223" s="122"/>
      <c r="AJ2223" s="122"/>
      <c r="AK2223" s="122"/>
      <c r="AL2223" s="122"/>
      <c r="AM2223" s="122"/>
      <c r="AN2223" s="122"/>
      <c r="AO2223" s="122"/>
      <c r="AP2223" s="122"/>
    </row>
    <row r="2224" spans="2:42">
      <c r="B2224" s="122"/>
      <c r="C2224" s="122"/>
      <c r="D2224" s="122"/>
      <c r="E2224" s="122"/>
      <c r="F2224" s="122"/>
      <c r="G2224" s="122"/>
      <c r="H2224" s="122"/>
      <c r="I2224" s="275"/>
      <c r="J2224" s="130"/>
      <c r="K2224" s="130"/>
      <c r="L2224" s="130"/>
      <c r="M2224" s="130"/>
      <c r="N2224" s="291"/>
      <c r="O2224" s="291"/>
      <c r="P2224" s="122"/>
      <c r="Q2224" s="122"/>
      <c r="R2224" s="122"/>
      <c r="S2224" s="122"/>
      <c r="T2224" s="122"/>
      <c r="U2224" s="315"/>
      <c r="V2224" s="260">
        <f t="shared" ca="1" si="42"/>
        <v>0</v>
      </c>
      <c r="W2224" s="348" t="str">
        <f>IF(板块成分!B2226="","",板块成分!B2226)</f>
        <v>300781.SZ</v>
      </c>
      <c r="X2224" s="276" t="str">
        <f>[1]!S_Info_Name(W2224)</f>
        <v>因赛集团</v>
      </c>
      <c r="Y2224" s="276" t="str">
        <f ca="1">IF($Y$3="申万一级行业",[1]!s_info_industry_sw_2021(W2224,公司分析!D$5,1),IF($Y$3="申万二级行业",[1]!s_info_industry_sw_2021(W2224,公司分析!D$5,2),IF($Y$3="申万三级行业",[1]!s_info_industry_sw_2021(W2224,公司分析!D$5,3),IF($Y$3="wind一级行业",[1]!s_info_industry_gics(W2224,1),IF($Y$3="wind二级行业",[1]!s_info_industry_gics(W2224,2),IF($Y$3="wind三级行业",[1]!s_info_industry_gics(W2224,3),IF($Y$3="wind四级行业",[1]!s_info_industry_gics(W2224,4),IF($Y$3="证监会门类行业",[1]!s_info_industry_csrc12_n(W2224,公司分析!D$5,1),""))))))))</f>
        <v>广告营销</v>
      </c>
      <c r="Z2224" s="302" t="str">
        <f ca="1">IF(Y2224=行业比较!$E$6,ROW(),"")</f>
        <v/>
      </c>
      <c r="AA2224" s="122"/>
      <c r="AB2224" s="122"/>
      <c r="AC2224" s="122"/>
      <c r="AD2224" s="122"/>
      <c r="AE2224" s="122"/>
      <c r="AF2224" s="122"/>
      <c r="AG2224" s="122"/>
      <c r="AH2224" s="122"/>
      <c r="AI2224" s="122"/>
      <c r="AJ2224" s="122"/>
      <c r="AK2224" s="122"/>
      <c r="AL2224" s="122"/>
      <c r="AM2224" s="122"/>
      <c r="AN2224" s="122"/>
      <c r="AO2224" s="122"/>
      <c r="AP2224" s="122"/>
    </row>
    <row r="2225" spans="2:42">
      <c r="B2225" s="122"/>
      <c r="C2225" s="122"/>
      <c r="D2225" s="122"/>
      <c r="E2225" s="122"/>
      <c r="F2225" s="122"/>
      <c r="G2225" s="122"/>
      <c r="H2225" s="122"/>
      <c r="I2225" s="275"/>
      <c r="J2225" s="130"/>
      <c r="K2225" s="130"/>
      <c r="L2225" s="130"/>
      <c r="M2225" s="130"/>
      <c r="N2225" s="291"/>
      <c r="O2225" s="291"/>
      <c r="P2225" s="122"/>
      <c r="Q2225" s="122"/>
      <c r="R2225" s="122"/>
      <c r="S2225" s="122"/>
      <c r="T2225" s="122"/>
      <c r="U2225" s="315"/>
      <c r="V2225" s="260">
        <f t="shared" ca="1" si="42"/>
        <v>0</v>
      </c>
      <c r="W2225" s="348" t="str">
        <f>IF(板块成分!B2227="","",板块成分!B2227)</f>
        <v>300782.SZ</v>
      </c>
      <c r="X2225" s="276" t="str">
        <f>[1]!S_Info_Name(W2225)</f>
        <v>卓胜微</v>
      </c>
      <c r="Y2225" s="276" t="str">
        <f ca="1">IF($Y$3="申万一级行业",[1]!s_info_industry_sw_2021(W2225,公司分析!D$5,1),IF($Y$3="申万二级行业",[1]!s_info_industry_sw_2021(W2225,公司分析!D$5,2),IF($Y$3="申万三级行业",[1]!s_info_industry_sw_2021(W2225,公司分析!D$5,3),IF($Y$3="wind一级行业",[1]!s_info_industry_gics(W2225,1),IF($Y$3="wind二级行业",[1]!s_info_industry_gics(W2225,2),IF($Y$3="wind三级行业",[1]!s_info_industry_gics(W2225,3),IF($Y$3="wind四级行业",[1]!s_info_industry_gics(W2225,4),IF($Y$3="证监会门类行业",[1]!s_info_industry_csrc12_n(W2225,公司分析!D$5,1),""))))))))</f>
        <v>半导体</v>
      </c>
      <c r="Z2225" s="302" t="str">
        <f ca="1">IF(Y2225=行业比较!$E$6,ROW(),"")</f>
        <v/>
      </c>
      <c r="AA2225" s="122"/>
      <c r="AB2225" s="122"/>
      <c r="AC2225" s="122"/>
      <c r="AD2225" s="122"/>
      <c r="AE2225" s="122"/>
      <c r="AF2225" s="122"/>
      <c r="AG2225" s="122"/>
      <c r="AH2225" s="122"/>
      <c r="AI2225" s="122"/>
      <c r="AJ2225" s="122"/>
      <c r="AK2225" s="122"/>
      <c r="AL2225" s="122"/>
      <c r="AM2225" s="122"/>
      <c r="AN2225" s="122"/>
      <c r="AO2225" s="122"/>
      <c r="AP2225" s="122"/>
    </row>
    <row r="2226" spans="2:42">
      <c r="B2226" s="122"/>
      <c r="C2226" s="122"/>
      <c r="D2226" s="122"/>
      <c r="E2226" s="122"/>
      <c r="F2226" s="122"/>
      <c r="G2226" s="122"/>
      <c r="H2226" s="122"/>
      <c r="I2226" s="275"/>
      <c r="J2226" s="130"/>
      <c r="K2226" s="130"/>
      <c r="L2226" s="130"/>
      <c r="M2226" s="130"/>
      <c r="N2226" s="291"/>
      <c r="O2226" s="291"/>
      <c r="P2226" s="122"/>
      <c r="Q2226" s="122"/>
      <c r="R2226" s="122"/>
      <c r="S2226" s="122"/>
      <c r="T2226" s="122"/>
      <c r="U2226" s="315"/>
      <c r="V2226" s="260">
        <f t="shared" ca="1" si="42"/>
        <v>0</v>
      </c>
      <c r="W2226" s="348" t="str">
        <f>IF(板块成分!B2228="","",板块成分!B2228)</f>
        <v>300783.SZ</v>
      </c>
      <c r="X2226" s="276" t="str">
        <f>[1]!S_Info_Name(W2226)</f>
        <v>三只松鼠</v>
      </c>
      <c r="Y2226" s="276" t="str">
        <f ca="1">IF($Y$3="申万一级行业",[1]!s_info_industry_sw_2021(W2226,公司分析!D$5,1),IF($Y$3="申万二级行业",[1]!s_info_industry_sw_2021(W2226,公司分析!D$5,2),IF($Y$3="申万三级行业",[1]!s_info_industry_sw_2021(W2226,公司分析!D$5,3),IF($Y$3="wind一级行业",[1]!s_info_industry_gics(W2226,1),IF($Y$3="wind二级行业",[1]!s_info_industry_gics(W2226,2),IF($Y$3="wind三级行业",[1]!s_info_industry_gics(W2226,3),IF($Y$3="wind四级行业",[1]!s_info_industry_gics(W2226,4),IF($Y$3="证监会门类行业",[1]!s_info_industry_csrc12_n(W2226,公司分析!D$5,1),""))))))))</f>
        <v>休闲食品</v>
      </c>
      <c r="Z2226" s="302" t="str">
        <f ca="1">IF(Y2226=行业比较!$E$6,ROW(),"")</f>
        <v/>
      </c>
      <c r="AA2226" s="122"/>
      <c r="AB2226" s="122"/>
      <c r="AC2226" s="122"/>
      <c r="AD2226" s="122"/>
      <c r="AE2226" s="122"/>
      <c r="AF2226" s="122"/>
      <c r="AG2226" s="122"/>
      <c r="AH2226" s="122"/>
      <c r="AI2226" s="122"/>
      <c r="AJ2226" s="122"/>
      <c r="AK2226" s="122"/>
      <c r="AL2226" s="122"/>
      <c r="AM2226" s="122"/>
      <c r="AN2226" s="122"/>
      <c r="AO2226" s="122"/>
      <c r="AP2226" s="122"/>
    </row>
    <row r="2227" spans="2:42">
      <c r="B2227" s="122"/>
      <c r="C2227" s="122"/>
      <c r="D2227" s="122"/>
      <c r="E2227" s="122"/>
      <c r="F2227" s="122"/>
      <c r="G2227" s="122"/>
      <c r="H2227" s="122"/>
      <c r="I2227" s="275"/>
      <c r="J2227" s="130"/>
      <c r="K2227" s="130"/>
      <c r="L2227" s="130"/>
      <c r="M2227" s="130"/>
      <c r="N2227" s="291"/>
      <c r="O2227" s="291"/>
      <c r="P2227" s="122"/>
      <c r="Q2227" s="122"/>
      <c r="R2227" s="122"/>
      <c r="S2227" s="122"/>
      <c r="T2227" s="122"/>
      <c r="U2227" s="315"/>
      <c r="V2227" s="260">
        <f t="shared" ca="1" si="42"/>
        <v>0</v>
      </c>
      <c r="W2227" s="348" t="str">
        <f>IF(板块成分!B2229="","",板块成分!B2229)</f>
        <v>300784.SZ</v>
      </c>
      <c r="X2227" s="276" t="str">
        <f>[1]!S_Info_Name(W2227)</f>
        <v>利安科技</v>
      </c>
      <c r="Y2227" s="276" t="str">
        <f ca="1">IF($Y$3="申万一级行业",[1]!s_info_industry_sw_2021(W2227,公司分析!D$5,1),IF($Y$3="申万二级行业",[1]!s_info_industry_sw_2021(W2227,公司分析!D$5,2),IF($Y$3="申万三级行业",[1]!s_info_industry_sw_2021(W2227,公司分析!D$5,3),IF($Y$3="wind一级行业",[1]!s_info_industry_gics(W2227,1),IF($Y$3="wind二级行业",[1]!s_info_industry_gics(W2227,2),IF($Y$3="wind三级行业",[1]!s_info_industry_gics(W2227,3),IF($Y$3="wind四级行业",[1]!s_info_industry_gics(W2227,4),IF($Y$3="证监会门类行业",[1]!s_info_industry_csrc12_n(W2227,公司分析!D$5,1),""))))))))</f>
        <v>消费电子</v>
      </c>
      <c r="Z2227" s="302" t="str">
        <f ca="1">IF(Y2227=行业比较!$E$6,ROW(),"")</f>
        <v/>
      </c>
      <c r="AA2227" s="122"/>
      <c r="AB2227" s="122"/>
      <c r="AC2227" s="122"/>
      <c r="AD2227" s="122"/>
      <c r="AE2227" s="122"/>
      <c r="AF2227" s="122"/>
      <c r="AG2227" s="122"/>
      <c r="AH2227" s="122"/>
      <c r="AI2227" s="122"/>
      <c r="AJ2227" s="122"/>
      <c r="AK2227" s="122"/>
      <c r="AL2227" s="122"/>
      <c r="AM2227" s="122"/>
      <c r="AN2227" s="122"/>
      <c r="AO2227" s="122"/>
      <c r="AP2227" s="122"/>
    </row>
    <row r="2228" spans="2:42">
      <c r="B2228" s="122"/>
      <c r="C2228" s="122"/>
      <c r="D2228" s="122"/>
      <c r="E2228" s="122"/>
      <c r="F2228" s="122"/>
      <c r="G2228" s="122"/>
      <c r="H2228" s="122"/>
      <c r="I2228" s="275"/>
      <c r="J2228" s="130"/>
      <c r="K2228" s="130"/>
      <c r="L2228" s="130"/>
      <c r="M2228" s="130"/>
      <c r="N2228" s="291"/>
      <c r="O2228" s="291"/>
      <c r="P2228" s="122"/>
      <c r="Q2228" s="122"/>
      <c r="R2228" s="122"/>
      <c r="S2228" s="122"/>
      <c r="T2228" s="122"/>
      <c r="U2228" s="315"/>
      <c r="V2228" s="260">
        <f t="shared" ca="1" si="42"/>
        <v>0</v>
      </c>
      <c r="W2228" s="348" t="str">
        <f>IF(板块成分!B2230="","",板块成分!B2230)</f>
        <v>300785.SZ</v>
      </c>
      <c r="X2228" s="276" t="str">
        <f>[1]!S_Info_Name(W2228)</f>
        <v>值得买</v>
      </c>
      <c r="Y2228" s="276" t="str">
        <f ca="1">IF($Y$3="申万一级行业",[1]!s_info_industry_sw_2021(W2228,公司分析!D$5,1),IF($Y$3="申万二级行业",[1]!s_info_industry_sw_2021(W2228,公司分析!D$5,2),IF($Y$3="申万三级行业",[1]!s_info_industry_sw_2021(W2228,公司分析!D$5,3),IF($Y$3="wind一级行业",[1]!s_info_industry_gics(W2228,1),IF($Y$3="wind二级行业",[1]!s_info_industry_gics(W2228,2),IF($Y$3="wind三级行业",[1]!s_info_industry_gics(W2228,3),IF($Y$3="wind四级行业",[1]!s_info_industry_gics(W2228,4),IF($Y$3="证监会门类行业",[1]!s_info_industry_csrc12_n(W2228,公司分析!D$5,1),""))))))))</f>
        <v>数字媒体</v>
      </c>
      <c r="Z2228" s="302" t="str">
        <f ca="1">IF(Y2228=行业比较!$E$6,ROW(),"")</f>
        <v/>
      </c>
      <c r="AA2228" s="122"/>
      <c r="AB2228" s="122"/>
      <c r="AC2228" s="122"/>
      <c r="AD2228" s="122"/>
      <c r="AE2228" s="122"/>
      <c r="AF2228" s="122"/>
      <c r="AG2228" s="122"/>
      <c r="AH2228" s="122"/>
      <c r="AI2228" s="122"/>
      <c r="AJ2228" s="122"/>
      <c r="AK2228" s="122"/>
      <c r="AL2228" s="122"/>
      <c r="AM2228" s="122"/>
      <c r="AN2228" s="122"/>
      <c r="AO2228" s="122"/>
      <c r="AP2228" s="122"/>
    </row>
    <row r="2229" spans="2:42">
      <c r="B2229" s="122"/>
      <c r="C2229" s="122"/>
      <c r="D2229" s="122"/>
      <c r="E2229" s="122"/>
      <c r="F2229" s="122"/>
      <c r="G2229" s="122"/>
      <c r="H2229" s="122"/>
      <c r="I2229" s="275"/>
      <c r="J2229" s="130"/>
      <c r="K2229" s="130"/>
      <c r="L2229" s="130"/>
      <c r="M2229" s="130"/>
      <c r="N2229" s="291"/>
      <c r="O2229" s="291"/>
      <c r="P2229" s="122"/>
      <c r="Q2229" s="122"/>
      <c r="R2229" s="122"/>
      <c r="S2229" s="122"/>
      <c r="T2229" s="122"/>
      <c r="U2229" s="315"/>
      <c r="V2229" s="260">
        <f t="shared" ca="1" si="42"/>
        <v>0</v>
      </c>
      <c r="W2229" s="348" t="str">
        <f>IF(板块成分!B2231="","",板块成分!B2231)</f>
        <v>300786.SZ</v>
      </c>
      <c r="X2229" s="276" t="str">
        <f>[1]!S_Info_Name(W2229)</f>
        <v>国林科技</v>
      </c>
      <c r="Y2229" s="276" t="str">
        <f ca="1">IF($Y$3="申万一级行业",[1]!s_info_industry_sw_2021(W2229,公司分析!D$5,1),IF($Y$3="申万二级行业",[1]!s_info_industry_sw_2021(W2229,公司分析!D$5,2),IF($Y$3="申万三级行业",[1]!s_info_industry_sw_2021(W2229,公司分析!D$5,3),IF($Y$3="wind一级行业",[1]!s_info_industry_gics(W2229,1),IF($Y$3="wind二级行业",[1]!s_info_industry_gics(W2229,2),IF($Y$3="wind三级行业",[1]!s_info_industry_gics(W2229,3),IF($Y$3="wind四级行业",[1]!s_info_industry_gics(W2229,4),IF($Y$3="证监会门类行业",[1]!s_info_industry_csrc12_n(W2229,公司分析!D$5,1),""))))))))</f>
        <v>环保设备Ⅱ</v>
      </c>
      <c r="Z2229" s="302" t="str">
        <f ca="1">IF(Y2229=行业比较!$E$6,ROW(),"")</f>
        <v/>
      </c>
      <c r="AA2229" s="122"/>
      <c r="AB2229" s="122"/>
      <c r="AC2229" s="122"/>
      <c r="AD2229" s="122"/>
      <c r="AE2229" s="122"/>
      <c r="AF2229" s="122"/>
      <c r="AG2229" s="122"/>
      <c r="AH2229" s="122"/>
      <c r="AI2229" s="122"/>
      <c r="AJ2229" s="122"/>
      <c r="AK2229" s="122"/>
      <c r="AL2229" s="122"/>
      <c r="AM2229" s="122"/>
      <c r="AN2229" s="122"/>
      <c r="AO2229" s="122"/>
      <c r="AP2229" s="122"/>
    </row>
    <row r="2230" spans="2:42">
      <c r="B2230" s="122"/>
      <c r="C2230" s="122"/>
      <c r="D2230" s="122"/>
      <c r="E2230" s="122"/>
      <c r="F2230" s="122"/>
      <c r="G2230" s="122"/>
      <c r="H2230" s="122"/>
      <c r="I2230" s="275"/>
      <c r="J2230" s="130"/>
      <c r="K2230" s="130"/>
      <c r="L2230" s="130"/>
      <c r="M2230" s="130"/>
      <c r="N2230" s="291"/>
      <c r="O2230" s="291"/>
      <c r="P2230" s="122"/>
      <c r="Q2230" s="122"/>
      <c r="R2230" s="122"/>
      <c r="S2230" s="122"/>
      <c r="T2230" s="122"/>
      <c r="U2230" s="315"/>
      <c r="V2230" s="260">
        <f t="shared" ca="1" si="42"/>
        <v>0</v>
      </c>
      <c r="W2230" s="348" t="str">
        <f>IF(板块成分!B2232="","",板块成分!B2232)</f>
        <v>300787.SZ</v>
      </c>
      <c r="X2230" s="276" t="str">
        <f>[1]!S_Info_Name(W2230)</f>
        <v>海能实业</v>
      </c>
      <c r="Y2230" s="276" t="str">
        <f ca="1">IF($Y$3="申万一级行业",[1]!s_info_industry_sw_2021(W2230,公司分析!D$5,1),IF($Y$3="申万二级行业",[1]!s_info_industry_sw_2021(W2230,公司分析!D$5,2),IF($Y$3="申万三级行业",[1]!s_info_industry_sw_2021(W2230,公司分析!D$5,3),IF($Y$3="wind一级行业",[1]!s_info_industry_gics(W2230,1),IF($Y$3="wind二级行业",[1]!s_info_industry_gics(W2230,2),IF($Y$3="wind三级行业",[1]!s_info_industry_gics(W2230,3),IF($Y$3="wind四级行业",[1]!s_info_industry_gics(W2230,4),IF($Y$3="证监会门类行业",[1]!s_info_industry_csrc12_n(W2230,公司分析!D$5,1),""))))))))</f>
        <v>消费电子</v>
      </c>
      <c r="Z2230" s="302" t="str">
        <f ca="1">IF(Y2230=行业比较!$E$6,ROW(),"")</f>
        <v/>
      </c>
      <c r="AA2230" s="122"/>
      <c r="AB2230" s="122"/>
      <c r="AC2230" s="122"/>
      <c r="AD2230" s="122"/>
      <c r="AE2230" s="122"/>
      <c r="AF2230" s="122"/>
      <c r="AG2230" s="122"/>
      <c r="AH2230" s="122"/>
      <c r="AI2230" s="122"/>
      <c r="AJ2230" s="122"/>
      <c r="AK2230" s="122"/>
      <c r="AL2230" s="122"/>
      <c r="AM2230" s="122"/>
      <c r="AN2230" s="122"/>
      <c r="AO2230" s="122"/>
      <c r="AP2230" s="122"/>
    </row>
    <row r="2231" spans="2:42">
      <c r="B2231" s="122"/>
      <c r="C2231" s="122"/>
      <c r="D2231" s="122"/>
      <c r="E2231" s="122"/>
      <c r="F2231" s="122"/>
      <c r="G2231" s="122"/>
      <c r="H2231" s="122"/>
      <c r="I2231" s="275"/>
      <c r="J2231" s="130"/>
      <c r="K2231" s="130"/>
      <c r="L2231" s="130"/>
      <c r="M2231" s="130"/>
      <c r="N2231" s="291"/>
      <c r="O2231" s="291"/>
      <c r="P2231" s="122"/>
      <c r="Q2231" s="122"/>
      <c r="R2231" s="122"/>
      <c r="S2231" s="122"/>
      <c r="T2231" s="122"/>
      <c r="U2231" s="315"/>
      <c r="V2231" s="260">
        <f t="shared" ca="1" si="42"/>
        <v>0</v>
      </c>
      <c r="W2231" s="348" t="str">
        <f>IF(板块成分!B2233="","",板块成分!B2233)</f>
        <v>300788.SZ</v>
      </c>
      <c r="X2231" s="276" t="str">
        <f>[1]!S_Info_Name(W2231)</f>
        <v>中信出版</v>
      </c>
      <c r="Y2231" s="276" t="str">
        <f ca="1">IF($Y$3="申万一级行业",[1]!s_info_industry_sw_2021(W2231,公司分析!D$5,1),IF($Y$3="申万二级行业",[1]!s_info_industry_sw_2021(W2231,公司分析!D$5,2),IF($Y$3="申万三级行业",[1]!s_info_industry_sw_2021(W2231,公司分析!D$5,3),IF($Y$3="wind一级行业",[1]!s_info_industry_gics(W2231,1),IF($Y$3="wind二级行业",[1]!s_info_industry_gics(W2231,2),IF($Y$3="wind三级行业",[1]!s_info_industry_gics(W2231,3),IF($Y$3="wind四级行业",[1]!s_info_industry_gics(W2231,4),IF($Y$3="证监会门类行业",[1]!s_info_industry_csrc12_n(W2231,公司分析!D$5,1),""))))))))</f>
        <v>出版</v>
      </c>
      <c r="Z2231" s="302" t="str">
        <f ca="1">IF(Y2231=行业比较!$E$6,ROW(),"")</f>
        <v/>
      </c>
      <c r="AA2231" s="122"/>
      <c r="AB2231" s="122"/>
      <c r="AC2231" s="122"/>
      <c r="AD2231" s="122"/>
      <c r="AE2231" s="122"/>
      <c r="AF2231" s="122"/>
      <c r="AG2231" s="122"/>
      <c r="AH2231" s="122"/>
      <c r="AI2231" s="122"/>
      <c r="AJ2231" s="122"/>
      <c r="AK2231" s="122"/>
      <c r="AL2231" s="122"/>
      <c r="AM2231" s="122"/>
      <c r="AN2231" s="122"/>
      <c r="AO2231" s="122"/>
      <c r="AP2231" s="122"/>
    </row>
    <row r="2232" spans="2:42">
      <c r="B2232" s="122"/>
      <c r="C2232" s="122"/>
      <c r="D2232" s="122"/>
      <c r="E2232" s="122"/>
      <c r="F2232" s="122"/>
      <c r="G2232" s="122"/>
      <c r="H2232" s="122"/>
      <c r="I2232" s="275"/>
      <c r="J2232" s="130"/>
      <c r="K2232" s="130"/>
      <c r="L2232" s="130"/>
      <c r="M2232" s="130"/>
      <c r="N2232" s="291"/>
      <c r="O2232" s="291"/>
      <c r="P2232" s="122"/>
      <c r="Q2232" s="122"/>
      <c r="R2232" s="122"/>
      <c r="S2232" s="122"/>
      <c r="T2232" s="122"/>
      <c r="U2232" s="315"/>
      <c r="V2232" s="260">
        <f t="shared" ca="1" si="42"/>
        <v>0</v>
      </c>
      <c r="W2232" s="348" t="str">
        <f>IF(板块成分!B2234="","",板块成分!B2234)</f>
        <v>300789.SZ</v>
      </c>
      <c r="X2232" s="276" t="str">
        <f>[1]!S_Info_Name(W2232)</f>
        <v>唐源电气</v>
      </c>
      <c r="Y2232" s="276" t="str">
        <f ca="1">IF($Y$3="申万一级行业",[1]!s_info_industry_sw_2021(W2232,公司分析!D$5,1),IF($Y$3="申万二级行业",[1]!s_info_industry_sw_2021(W2232,公司分析!D$5,2),IF($Y$3="申万三级行业",[1]!s_info_industry_sw_2021(W2232,公司分析!D$5,3),IF($Y$3="wind一级行业",[1]!s_info_industry_gics(W2232,1),IF($Y$3="wind二级行业",[1]!s_info_industry_gics(W2232,2),IF($Y$3="wind三级行业",[1]!s_info_industry_gics(W2232,3),IF($Y$3="wind四级行业",[1]!s_info_industry_gics(W2232,4),IF($Y$3="证监会门类行业",[1]!s_info_industry_csrc12_n(W2232,公司分析!D$5,1),""))))))))</f>
        <v>计算机设备</v>
      </c>
      <c r="Z2232" s="302" t="str">
        <f ca="1">IF(Y2232=行业比较!$E$6,ROW(),"")</f>
        <v/>
      </c>
      <c r="AA2232" s="122"/>
      <c r="AB2232" s="122"/>
      <c r="AC2232" s="122"/>
      <c r="AD2232" s="122"/>
      <c r="AE2232" s="122"/>
      <c r="AF2232" s="122"/>
      <c r="AG2232" s="122"/>
      <c r="AH2232" s="122"/>
      <c r="AI2232" s="122"/>
      <c r="AJ2232" s="122"/>
      <c r="AK2232" s="122"/>
      <c r="AL2232" s="122"/>
      <c r="AM2232" s="122"/>
      <c r="AN2232" s="122"/>
      <c r="AO2232" s="122"/>
      <c r="AP2232" s="122"/>
    </row>
    <row r="2233" spans="2:42">
      <c r="B2233" s="122"/>
      <c r="C2233" s="122"/>
      <c r="D2233" s="122"/>
      <c r="E2233" s="122"/>
      <c r="F2233" s="122"/>
      <c r="G2233" s="122"/>
      <c r="H2233" s="122"/>
      <c r="I2233" s="275"/>
      <c r="J2233" s="130"/>
      <c r="K2233" s="130"/>
      <c r="L2233" s="130"/>
      <c r="M2233" s="130"/>
      <c r="N2233" s="291"/>
      <c r="O2233" s="291"/>
      <c r="P2233" s="122"/>
      <c r="Q2233" s="122"/>
      <c r="R2233" s="122"/>
      <c r="S2233" s="122"/>
      <c r="T2233" s="122"/>
      <c r="U2233" s="315"/>
      <c r="V2233" s="260">
        <f t="shared" ca="1" si="42"/>
        <v>0</v>
      </c>
      <c r="W2233" s="348" t="str">
        <f>IF(板块成分!B2235="","",板块成分!B2235)</f>
        <v>300790.SZ</v>
      </c>
      <c r="X2233" s="276" t="str">
        <f>[1]!S_Info_Name(W2233)</f>
        <v>宇瞳光学</v>
      </c>
      <c r="Y2233" s="276" t="str">
        <f ca="1">IF($Y$3="申万一级行业",[1]!s_info_industry_sw_2021(W2233,公司分析!D$5,1),IF($Y$3="申万二级行业",[1]!s_info_industry_sw_2021(W2233,公司分析!D$5,2),IF($Y$3="申万三级行业",[1]!s_info_industry_sw_2021(W2233,公司分析!D$5,3),IF($Y$3="wind一级行业",[1]!s_info_industry_gics(W2233,1),IF($Y$3="wind二级行业",[1]!s_info_industry_gics(W2233,2),IF($Y$3="wind三级行业",[1]!s_info_industry_gics(W2233,3),IF($Y$3="wind四级行业",[1]!s_info_industry_gics(W2233,4),IF($Y$3="证监会门类行业",[1]!s_info_industry_csrc12_n(W2233,公司分析!D$5,1),""))))))))</f>
        <v>计算机设备</v>
      </c>
      <c r="Z2233" s="302" t="str">
        <f ca="1">IF(Y2233=行业比较!$E$6,ROW(),"")</f>
        <v/>
      </c>
      <c r="AA2233" s="122"/>
      <c r="AB2233" s="122"/>
      <c r="AC2233" s="122"/>
      <c r="AD2233" s="122"/>
      <c r="AE2233" s="122"/>
      <c r="AF2233" s="122"/>
      <c r="AG2233" s="122"/>
      <c r="AH2233" s="122"/>
      <c r="AI2233" s="122"/>
      <c r="AJ2233" s="122"/>
      <c r="AK2233" s="122"/>
      <c r="AL2233" s="122"/>
      <c r="AM2233" s="122"/>
      <c r="AN2233" s="122"/>
      <c r="AO2233" s="122"/>
      <c r="AP2233" s="122"/>
    </row>
    <row r="2234" spans="2:42">
      <c r="B2234" s="122"/>
      <c r="C2234" s="122"/>
      <c r="D2234" s="122"/>
      <c r="E2234" s="122"/>
      <c r="F2234" s="122"/>
      <c r="G2234" s="122"/>
      <c r="H2234" s="122"/>
      <c r="I2234" s="275"/>
      <c r="J2234" s="130"/>
      <c r="K2234" s="130"/>
      <c r="L2234" s="130"/>
      <c r="M2234" s="130"/>
      <c r="N2234" s="291"/>
      <c r="O2234" s="291"/>
      <c r="P2234" s="122"/>
      <c r="Q2234" s="122"/>
      <c r="R2234" s="122"/>
      <c r="S2234" s="122"/>
      <c r="T2234" s="122"/>
      <c r="U2234" s="315"/>
      <c r="V2234" s="260">
        <f t="shared" ca="1" si="42"/>
        <v>0</v>
      </c>
      <c r="W2234" s="348" t="str">
        <f>IF(板块成分!B2236="","",板块成分!B2236)</f>
        <v>300791.SZ</v>
      </c>
      <c r="X2234" s="276" t="str">
        <f>[1]!S_Info_Name(W2234)</f>
        <v>仙乐健康</v>
      </c>
      <c r="Y2234" s="276" t="str">
        <f ca="1">IF($Y$3="申万一级行业",[1]!s_info_industry_sw_2021(W2234,公司分析!D$5,1),IF($Y$3="申万二级行业",[1]!s_info_industry_sw_2021(W2234,公司分析!D$5,2),IF($Y$3="申万三级行业",[1]!s_info_industry_sw_2021(W2234,公司分析!D$5,3),IF($Y$3="wind一级行业",[1]!s_info_industry_gics(W2234,1),IF($Y$3="wind二级行业",[1]!s_info_industry_gics(W2234,2),IF($Y$3="wind三级行业",[1]!s_info_industry_gics(W2234,3),IF($Y$3="wind四级行业",[1]!s_info_industry_gics(W2234,4),IF($Y$3="证监会门类行业",[1]!s_info_industry_csrc12_n(W2234,公司分析!D$5,1),""))))))))</f>
        <v>食品加工</v>
      </c>
      <c r="Z2234" s="302" t="str">
        <f ca="1">IF(Y2234=行业比较!$E$6,ROW(),"")</f>
        <v/>
      </c>
      <c r="AA2234" s="122"/>
      <c r="AB2234" s="122"/>
      <c r="AC2234" s="122"/>
      <c r="AD2234" s="122"/>
      <c r="AE2234" s="122"/>
      <c r="AF2234" s="122"/>
      <c r="AG2234" s="122"/>
      <c r="AH2234" s="122"/>
      <c r="AI2234" s="122"/>
      <c r="AJ2234" s="122"/>
      <c r="AK2234" s="122"/>
      <c r="AL2234" s="122"/>
      <c r="AM2234" s="122"/>
      <c r="AN2234" s="122"/>
      <c r="AO2234" s="122"/>
      <c r="AP2234" s="122"/>
    </row>
    <row r="2235" spans="2:42">
      <c r="B2235" s="122"/>
      <c r="C2235" s="122"/>
      <c r="D2235" s="122"/>
      <c r="E2235" s="122"/>
      <c r="F2235" s="122"/>
      <c r="G2235" s="122"/>
      <c r="H2235" s="122"/>
      <c r="I2235" s="275"/>
      <c r="J2235" s="130"/>
      <c r="K2235" s="130"/>
      <c r="L2235" s="130"/>
      <c r="M2235" s="130"/>
      <c r="N2235" s="291"/>
      <c r="O2235" s="291"/>
      <c r="P2235" s="122"/>
      <c r="Q2235" s="122"/>
      <c r="R2235" s="122"/>
      <c r="S2235" s="122"/>
      <c r="T2235" s="122"/>
      <c r="U2235" s="315"/>
      <c r="V2235" s="260">
        <f t="shared" ca="1" si="42"/>
        <v>0</v>
      </c>
      <c r="W2235" s="348" t="str">
        <f>IF(板块成分!B2237="","",板块成分!B2237)</f>
        <v>300792.SZ</v>
      </c>
      <c r="X2235" s="276" t="str">
        <f>[1]!S_Info_Name(W2235)</f>
        <v>壹网壹创</v>
      </c>
      <c r="Y2235" s="276" t="str">
        <f ca="1">IF($Y$3="申万一级行业",[1]!s_info_industry_sw_2021(W2235,公司分析!D$5,1),IF($Y$3="申万二级行业",[1]!s_info_industry_sw_2021(W2235,公司分析!D$5,2),IF($Y$3="申万三级行业",[1]!s_info_industry_sw_2021(W2235,公司分析!D$5,3),IF($Y$3="wind一级行业",[1]!s_info_industry_gics(W2235,1),IF($Y$3="wind二级行业",[1]!s_info_industry_gics(W2235,2),IF($Y$3="wind三级行业",[1]!s_info_industry_gics(W2235,3),IF($Y$3="wind四级行业",[1]!s_info_industry_gics(W2235,4),IF($Y$3="证监会门类行业",[1]!s_info_industry_csrc12_n(W2235,公司分析!D$5,1),""))))))))</f>
        <v>互联网电商</v>
      </c>
      <c r="Z2235" s="302" t="str">
        <f ca="1">IF(Y2235=行业比较!$E$6,ROW(),"")</f>
        <v/>
      </c>
      <c r="AA2235" s="122"/>
      <c r="AB2235" s="122"/>
      <c r="AC2235" s="122"/>
      <c r="AD2235" s="122"/>
      <c r="AE2235" s="122"/>
      <c r="AF2235" s="122"/>
      <c r="AG2235" s="122"/>
      <c r="AH2235" s="122"/>
      <c r="AI2235" s="122"/>
      <c r="AJ2235" s="122"/>
      <c r="AK2235" s="122"/>
      <c r="AL2235" s="122"/>
      <c r="AM2235" s="122"/>
      <c r="AN2235" s="122"/>
      <c r="AO2235" s="122"/>
      <c r="AP2235" s="122"/>
    </row>
    <row r="2236" spans="2:42">
      <c r="B2236" s="122"/>
      <c r="C2236" s="122"/>
      <c r="D2236" s="122"/>
      <c r="E2236" s="122"/>
      <c r="F2236" s="122"/>
      <c r="G2236" s="122"/>
      <c r="H2236" s="122"/>
      <c r="I2236" s="275"/>
      <c r="J2236" s="130"/>
      <c r="K2236" s="130"/>
      <c r="L2236" s="130"/>
      <c r="M2236" s="130"/>
      <c r="N2236" s="291"/>
      <c r="O2236" s="291"/>
      <c r="P2236" s="122"/>
      <c r="Q2236" s="122"/>
      <c r="R2236" s="122"/>
      <c r="S2236" s="122"/>
      <c r="T2236" s="122"/>
      <c r="U2236" s="315"/>
      <c r="V2236" s="260">
        <f t="shared" ca="1" si="42"/>
        <v>0</v>
      </c>
      <c r="W2236" s="348" t="str">
        <f>IF(板块成分!B2238="","",板块成分!B2238)</f>
        <v>300793.SZ</v>
      </c>
      <c r="X2236" s="276" t="str">
        <f>[1]!S_Info_Name(W2236)</f>
        <v>佳禾智能</v>
      </c>
      <c r="Y2236" s="276" t="str">
        <f ca="1">IF($Y$3="申万一级行业",[1]!s_info_industry_sw_2021(W2236,公司分析!D$5,1),IF($Y$3="申万二级行业",[1]!s_info_industry_sw_2021(W2236,公司分析!D$5,2),IF($Y$3="申万三级行业",[1]!s_info_industry_sw_2021(W2236,公司分析!D$5,3),IF($Y$3="wind一级行业",[1]!s_info_industry_gics(W2236,1),IF($Y$3="wind二级行业",[1]!s_info_industry_gics(W2236,2),IF($Y$3="wind三级行业",[1]!s_info_industry_gics(W2236,3),IF($Y$3="wind四级行业",[1]!s_info_industry_gics(W2236,4),IF($Y$3="证监会门类行业",[1]!s_info_industry_csrc12_n(W2236,公司分析!D$5,1),""))))))))</f>
        <v>消费电子</v>
      </c>
      <c r="Z2236" s="302" t="str">
        <f ca="1">IF(Y2236=行业比较!$E$6,ROW(),"")</f>
        <v/>
      </c>
      <c r="AA2236" s="122"/>
      <c r="AB2236" s="122"/>
      <c r="AC2236" s="122"/>
      <c r="AD2236" s="122"/>
      <c r="AE2236" s="122"/>
      <c r="AF2236" s="122"/>
      <c r="AG2236" s="122"/>
      <c r="AH2236" s="122"/>
      <c r="AI2236" s="122"/>
      <c r="AJ2236" s="122"/>
      <c r="AK2236" s="122"/>
      <c r="AL2236" s="122"/>
      <c r="AM2236" s="122"/>
      <c r="AN2236" s="122"/>
      <c r="AO2236" s="122"/>
      <c r="AP2236" s="122"/>
    </row>
    <row r="2237" spans="2:42">
      <c r="B2237" s="122"/>
      <c r="C2237" s="122"/>
      <c r="D2237" s="122"/>
      <c r="E2237" s="122"/>
      <c r="F2237" s="122"/>
      <c r="G2237" s="122"/>
      <c r="H2237" s="122"/>
      <c r="I2237" s="275"/>
      <c r="J2237" s="130"/>
      <c r="K2237" s="130"/>
      <c r="L2237" s="130"/>
      <c r="M2237" s="130"/>
      <c r="N2237" s="291"/>
      <c r="O2237" s="291"/>
      <c r="P2237" s="122"/>
      <c r="Q2237" s="122"/>
      <c r="R2237" s="122"/>
      <c r="S2237" s="122"/>
      <c r="T2237" s="122"/>
      <c r="U2237" s="315"/>
      <c r="V2237" s="260">
        <f t="shared" ca="1" si="42"/>
        <v>0</v>
      </c>
      <c r="W2237" s="348" t="str">
        <f>IF(板块成分!B2239="","",板块成分!B2239)</f>
        <v>300795.SZ</v>
      </c>
      <c r="X2237" s="276" t="str">
        <f>[1]!S_Info_Name(W2237)</f>
        <v>米奥会展</v>
      </c>
      <c r="Y2237" s="276" t="str">
        <f ca="1">IF($Y$3="申万一级行业",[1]!s_info_industry_sw_2021(W2237,公司分析!D$5,1),IF($Y$3="申万二级行业",[1]!s_info_industry_sw_2021(W2237,公司分析!D$5,2),IF($Y$3="申万三级行业",[1]!s_info_industry_sw_2021(W2237,公司分析!D$5,3),IF($Y$3="wind一级行业",[1]!s_info_industry_gics(W2237,1),IF($Y$3="wind二级行业",[1]!s_info_industry_gics(W2237,2),IF($Y$3="wind三级行业",[1]!s_info_industry_gics(W2237,3),IF($Y$3="wind四级行业",[1]!s_info_industry_gics(W2237,4),IF($Y$3="证监会门类行业",[1]!s_info_industry_csrc12_n(W2237,公司分析!D$5,1),""))))))))</f>
        <v>专业服务</v>
      </c>
      <c r="Z2237" s="302" t="str">
        <f ca="1">IF(Y2237=行业比较!$E$6,ROW(),"")</f>
        <v/>
      </c>
      <c r="AA2237" s="122"/>
      <c r="AB2237" s="122"/>
      <c r="AC2237" s="122"/>
      <c r="AD2237" s="122"/>
      <c r="AE2237" s="122"/>
      <c r="AF2237" s="122"/>
      <c r="AG2237" s="122"/>
      <c r="AH2237" s="122"/>
      <c r="AI2237" s="122"/>
      <c r="AJ2237" s="122"/>
      <c r="AK2237" s="122"/>
      <c r="AL2237" s="122"/>
      <c r="AM2237" s="122"/>
      <c r="AN2237" s="122"/>
      <c r="AO2237" s="122"/>
      <c r="AP2237" s="122"/>
    </row>
    <row r="2238" spans="2:42">
      <c r="B2238" s="122"/>
      <c r="C2238" s="122"/>
      <c r="D2238" s="122"/>
      <c r="E2238" s="122"/>
      <c r="F2238" s="122"/>
      <c r="G2238" s="122"/>
      <c r="H2238" s="122"/>
      <c r="I2238" s="275"/>
      <c r="J2238" s="130"/>
      <c r="K2238" s="130"/>
      <c r="L2238" s="130"/>
      <c r="M2238" s="130"/>
      <c r="N2238" s="291"/>
      <c r="O2238" s="291"/>
      <c r="P2238" s="122"/>
      <c r="Q2238" s="122"/>
      <c r="R2238" s="122"/>
      <c r="S2238" s="122"/>
      <c r="T2238" s="122"/>
      <c r="U2238" s="315"/>
      <c r="V2238" s="260">
        <f t="shared" ca="1" si="42"/>
        <v>0</v>
      </c>
      <c r="W2238" s="348" t="str">
        <f>IF(板块成分!B2240="","",板块成分!B2240)</f>
        <v>300796.SZ</v>
      </c>
      <c r="X2238" s="276" t="str">
        <f>[1]!S_Info_Name(W2238)</f>
        <v>贝斯美</v>
      </c>
      <c r="Y2238" s="276" t="str">
        <f ca="1">IF($Y$3="申万一级行业",[1]!s_info_industry_sw_2021(W2238,公司分析!D$5,1),IF($Y$3="申万二级行业",[1]!s_info_industry_sw_2021(W2238,公司分析!D$5,2),IF($Y$3="申万三级行业",[1]!s_info_industry_sw_2021(W2238,公司分析!D$5,3),IF($Y$3="wind一级行业",[1]!s_info_industry_gics(W2238,1),IF($Y$3="wind二级行业",[1]!s_info_industry_gics(W2238,2),IF($Y$3="wind三级行业",[1]!s_info_industry_gics(W2238,3),IF($Y$3="wind四级行业",[1]!s_info_industry_gics(W2238,4),IF($Y$3="证监会门类行业",[1]!s_info_industry_csrc12_n(W2238,公司分析!D$5,1),""))))))))</f>
        <v>农化制品</v>
      </c>
      <c r="Z2238" s="302" t="str">
        <f ca="1">IF(Y2238=行业比较!$E$6,ROW(),"")</f>
        <v/>
      </c>
      <c r="AA2238" s="122"/>
      <c r="AB2238" s="122"/>
      <c r="AC2238" s="122"/>
      <c r="AD2238" s="122"/>
      <c r="AE2238" s="122"/>
      <c r="AF2238" s="122"/>
      <c r="AG2238" s="122"/>
      <c r="AH2238" s="122"/>
      <c r="AI2238" s="122"/>
      <c r="AJ2238" s="122"/>
      <c r="AK2238" s="122"/>
      <c r="AL2238" s="122"/>
      <c r="AM2238" s="122"/>
      <c r="AN2238" s="122"/>
      <c r="AO2238" s="122"/>
      <c r="AP2238" s="122"/>
    </row>
    <row r="2239" spans="2:42">
      <c r="B2239" s="122"/>
      <c r="C2239" s="122"/>
      <c r="D2239" s="122"/>
      <c r="E2239" s="122"/>
      <c r="F2239" s="122"/>
      <c r="G2239" s="122"/>
      <c r="H2239" s="122"/>
      <c r="I2239" s="275"/>
      <c r="J2239" s="130"/>
      <c r="K2239" s="130"/>
      <c r="L2239" s="130"/>
      <c r="M2239" s="130"/>
      <c r="N2239" s="291"/>
      <c r="O2239" s="291"/>
      <c r="P2239" s="122"/>
      <c r="Q2239" s="122"/>
      <c r="R2239" s="122"/>
      <c r="S2239" s="122"/>
      <c r="T2239" s="122"/>
      <c r="U2239" s="315"/>
      <c r="V2239" s="260">
        <f t="shared" ca="1" si="42"/>
        <v>0</v>
      </c>
      <c r="W2239" s="348" t="str">
        <f>IF(板块成分!B2241="","",板块成分!B2241)</f>
        <v>300797.SZ</v>
      </c>
      <c r="X2239" s="276" t="str">
        <f>[1]!S_Info_Name(W2239)</f>
        <v>钢研纳克</v>
      </c>
      <c r="Y2239" s="276" t="str">
        <f ca="1">IF($Y$3="申万一级行业",[1]!s_info_industry_sw_2021(W2239,公司分析!D$5,1),IF($Y$3="申万二级行业",[1]!s_info_industry_sw_2021(W2239,公司分析!D$5,2),IF($Y$3="申万三级行业",[1]!s_info_industry_sw_2021(W2239,公司分析!D$5,3),IF($Y$3="wind一级行业",[1]!s_info_industry_gics(W2239,1),IF($Y$3="wind二级行业",[1]!s_info_industry_gics(W2239,2),IF($Y$3="wind三级行业",[1]!s_info_industry_gics(W2239,3),IF($Y$3="wind四级行业",[1]!s_info_industry_gics(W2239,4),IF($Y$3="证监会门类行业",[1]!s_info_industry_csrc12_n(W2239,公司分析!D$5,1),""))))))))</f>
        <v>专业服务</v>
      </c>
      <c r="Z2239" s="302" t="str">
        <f ca="1">IF(Y2239=行业比较!$E$6,ROW(),"")</f>
        <v/>
      </c>
      <c r="AA2239" s="122"/>
      <c r="AB2239" s="122"/>
      <c r="AC2239" s="122"/>
      <c r="AD2239" s="122"/>
      <c r="AE2239" s="122"/>
      <c r="AF2239" s="122"/>
      <c r="AG2239" s="122"/>
      <c r="AH2239" s="122"/>
      <c r="AI2239" s="122"/>
      <c r="AJ2239" s="122"/>
      <c r="AK2239" s="122"/>
      <c r="AL2239" s="122"/>
      <c r="AM2239" s="122"/>
      <c r="AN2239" s="122"/>
      <c r="AO2239" s="122"/>
      <c r="AP2239" s="122"/>
    </row>
    <row r="2240" spans="2:42">
      <c r="B2240" s="122"/>
      <c r="C2240" s="122"/>
      <c r="D2240" s="122"/>
      <c r="E2240" s="122"/>
      <c r="F2240" s="122"/>
      <c r="G2240" s="122"/>
      <c r="H2240" s="122"/>
      <c r="I2240" s="275"/>
      <c r="J2240" s="130"/>
      <c r="K2240" s="130"/>
      <c r="L2240" s="130"/>
      <c r="M2240" s="130"/>
      <c r="N2240" s="291"/>
      <c r="O2240" s="291"/>
      <c r="P2240" s="122"/>
      <c r="Q2240" s="122"/>
      <c r="R2240" s="122"/>
      <c r="S2240" s="122"/>
      <c r="T2240" s="122"/>
      <c r="U2240" s="315"/>
      <c r="V2240" s="260">
        <f t="shared" ca="1" si="42"/>
        <v>0</v>
      </c>
      <c r="W2240" s="348" t="str">
        <f>IF(板块成分!B2242="","",板块成分!B2242)</f>
        <v>300798.SZ</v>
      </c>
      <c r="X2240" s="276" t="str">
        <f>[1]!S_Info_Name(W2240)</f>
        <v>锦鸡股份</v>
      </c>
      <c r="Y2240" s="276" t="str">
        <f ca="1">IF($Y$3="申万一级行业",[1]!s_info_industry_sw_2021(W2240,公司分析!D$5,1),IF($Y$3="申万二级行业",[1]!s_info_industry_sw_2021(W2240,公司分析!D$5,2),IF($Y$3="申万三级行业",[1]!s_info_industry_sw_2021(W2240,公司分析!D$5,3),IF($Y$3="wind一级行业",[1]!s_info_industry_gics(W2240,1),IF($Y$3="wind二级行业",[1]!s_info_industry_gics(W2240,2),IF($Y$3="wind三级行业",[1]!s_info_industry_gics(W2240,3),IF($Y$3="wind四级行业",[1]!s_info_industry_gics(W2240,4),IF($Y$3="证监会门类行业",[1]!s_info_industry_csrc12_n(W2240,公司分析!D$5,1),""))))))))</f>
        <v>化学制品</v>
      </c>
      <c r="Z2240" s="302" t="str">
        <f ca="1">IF(Y2240=行业比较!$E$6,ROW(),"")</f>
        <v/>
      </c>
      <c r="AA2240" s="122"/>
      <c r="AB2240" s="122"/>
      <c r="AC2240" s="122"/>
      <c r="AD2240" s="122"/>
      <c r="AE2240" s="122"/>
      <c r="AF2240" s="122"/>
      <c r="AG2240" s="122"/>
      <c r="AH2240" s="122"/>
      <c r="AI2240" s="122"/>
      <c r="AJ2240" s="122"/>
      <c r="AK2240" s="122"/>
      <c r="AL2240" s="122"/>
      <c r="AM2240" s="122"/>
      <c r="AN2240" s="122"/>
      <c r="AO2240" s="122"/>
      <c r="AP2240" s="122"/>
    </row>
    <row r="2241" spans="2:42">
      <c r="B2241" s="122"/>
      <c r="C2241" s="122"/>
      <c r="D2241" s="122"/>
      <c r="E2241" s="122"/>
      <c r="F2241" s="122"/>
      <c r="G2241" s="122"/>
      <c r="H2241" s="122"/>
      <c r="I2241" s="275"/>
      <c r="J2241" s="130"/>
      <c r="K2241" s="130"/>
      <c r="L2241" s="130"/>
      <c r="M2241" s="130"/>
      <c r="N2241" s="291"/>
      <c r="O2241" s="291"/>
      <c r="P2241" s="122"/>
      <c r="Q2241" s="122"/>
      <c r="R2241" s="122"/>
      <c r="S2241" s="122"/>
      <c r="T2241" s="122"/>
      <c r="U2241" s="315"/>
      <c r="V2241" s="260">
        <f t="shared" ca="1" si="42"/>
        <v>0</v>
      </c>
      <c r="W2241" s="348" t="str">
        <f>IF(板块成分!B2243="","",板块成分!B2243)</f>
        <v>300800.SZ</v>
      </c>
      <c r="X2241" s="276" t="str">
        <f>[1]!S_Info_Name(W2241)</f>
        <v>力合科技</v>
      </c>
      <c r="Y2241" s="276" t="str">
        <f ca="1">IF($Y$3="申万一级行业",[1]!s_info_industry_sw_2021(W2241,公司分析!D$5,1),IF($Y$3="申万二级行业",[1]!s_info_industry_sw_2021(W2241,公司分析!D$5,2),IF($Y$3="申万三级行业",[1]!s_info_industry_sw_2021(W2241,公司分析!D$5,3),IF($Y$3="wind一级行业",[1]!s_info_industry_gics(W2241,1),IF($Y$3="wind二级行业",[1]!s_info_industry_gics(W2241,2),IF($Y$3="wind三级行业",[1]!s_info_industry_gics(W2241,3),IF($Y$3="wind四级行业",[1]!s_info_industry_gics(W2241,4),IF($Y$3="证监会门类行业",[1]!s_info_industry_csrc12_n(W2241,公司分析!D$5,1),""))))))))</f>
        <v>环保设备Ⅱ</v>
      </c>
      <c r="Z2241" s="302" t="str">
        <f ca="1">IF(Y2241=行业比较!$E$6,ROW(),"")</f>
        <v/>
      </c>
      <c r="AA2241" s="122"/>
      <c r="AB2241" s="122"/>
      <c r="AC2241" s="122"/>
      <c r="AD2241" s="122"/>
      <c r="AE2241" s="122"/>
      <c r="AF2241" s="122"/>
      <c r="AG2241" s="122"/>
      <c r="AH2241" s="122"/>
      <c r="AI2241" s="122"/>
      <c r="AJ2241" s="122"/>
      <c r="AK2241" s="122"/>
      <c r="AL2241" s="122"/>
      <c r="AM2241" s="122"/>
      <c r="AN2241" s="122"/>
      <c r="AO2241" s="122"/>
      <c r="AP2241" s="122"/>
    </row>
    <row r="2242" spans="2:42">
      <c r="B2242" s="122"/>
      <c r="C2242" s="122"/>
      <c r="D2242" s="122"/>
      <c r="E2242" s="122"/>
      <c r="F2242" s="122"/>
      <c r="G2242" s="122"/>
      <c r="H2242" s="122"/>
      <c r="I2242" s="275"/>
      <c r="J2242" s="130"/>
      <c r="K2242" s="130"/>
      <c r="L2242" s="130"/>
      <c r="M2242" s="130"/>
      <c r="N2242" s="291"/>
      <c r="O2242" s="291"/>
      <c r="P2242" s="122"/>
      <c r="Q2242" s="122"/>
      <c r="R2242" s="122"/>
      <c r="S2242" s="122"/>
      <c r="T2242" s="122"/>
      <c r="U2242" s="315"/>
      <c r="V2242" s="260">
        <f t="shared" ca="1" si="42"/>
        <v>0</v>
      </c>
      <c r="W2242" s="348" t="str">
        <f>IF(板块成分!B2244="","",板块成分!B2244)</f>
        <v>300801.SZ</v>
      </c>
      <c r="X2242" s="276" t="str">
        <f>[1]!S_Info_Name(W2242)</f>
        <v>泰和科技</v>
      </c>
      <c r="Y2242" s="276" t="str">
        <f ca="1">IF($Y$3="申万一级行业",[1]!s_info_industry_sw_2021(W2242,公司分析!D$5,1),IF($Y$3="申万二级行业",[1]!s_info_industry_sw_2021(W2242,公司分析!D$5,2),IF($Y$3="申万三级行业",[1]!s_info_industry_sw_2021(W2242,公司分析!D$5,3),IF($Y$3="wind一级行业",[1]!s_info_industry_gics(W2242,1),IF($Y$3="wind二级行业",[1]!s_info_industry_gics(W2242,2),IF($Y$3="wind三级行业",[1]!s_info_industry_gics(W2242,3),IF($Y$3="wind四级行业",[1]!s_info_industry_gics(W2242,4),IF($Y$3="证监会门类行业",[1]!s_info_industry_csrc12_n(W2242,公司分析!D$5,1),""))))))))</f>
        <v>化学制品</v>
      </c>
      <c r="Z2242" s="302" t="str">
        <f ca="1">IF(Y2242=行业比较!$E$6,ROW(),"")</f>
        <v/>
      </c>
      <c r="AA2242" s="122"/>
      <c r="AB2242" s="122"/>
      <c r="AC2242" s="122"/>
      <c r="AD2242" s="122"/>
      <c r="AE2242" s="122"/>
      <c r="AF2242" s="122"/>
      <c r="AG2242" s="122"/>
      <c r="AH2242" s="122"/>
      <c r="AI2242" s="122"/>
      <c r="AJ2242" s="122"/>
      <c r="AK2242" s="122"/>
      <c r="AL2242" s="122"/>
      <c r="AM2242" s="122"/>
      <c r="AN2242" s="122"/>
      <c r="AO2242" s="122"/>
      <c r="AP2242" s="122"/>
    </row>
    <row r="2243" spans="2:42">
      <c r="B2243" s="122"/>
      <c r="C2243" s="122"/>
      <c r="D2243" s="122"/>
      <c r="E2243" s="122"/>
      <c r="F2243" s="122"/>
      <c r="G2243" s="122"/>
      <c r="H2243" s="122"/>
      <c r="I2243" s="275"/>
      <c r="J2243" s="130"/>
      <c r="K2243" s="130"/>
      <c r="L2243" s="130"/>
      <c r="M2243" s="130"/>
      <c r="N2243" s="291"/>
      <c r="O2243" s="291"/>
      <c r="P2243" s="122"/>
      <c r="Q2243" s="122"/>
      <c r="R2243" s="122"/>
      <c r="S2243" s="122"/>
      <c r="T2243" s="122"/>
      <c r="U2243" s="315"/>
      <c r="V2243" s="260">
        <f t="shared" ca="1" si="42"/>
        <v>0</v>
      </c>
      <c r="W2243" s="348" t="str">
        <f>IF(板块成分!B2245="","",板块成分!B2245)</f>
        <v>300802.SZ</v>
      </c>
      <c r="X2243" s="276" t="str">
        <f>[1]!S_Info_Name(W2243)</f>
        <v>矩子科技</v>
      </c>
      <c r="Y2243" s="276" t="str">
        <f ca="1">IF($Y$3="申万一级行业",[1]!s_info_industry_sw_2021(W2243,公司分析!D$5,1),IF($Y$3="申万二级行业",[1]!s_info_industry_sw_2021(W2243,公司分析!D$5,2),IF($Y$3="申万三级行业",[1]!s_info_industry_sw_2021(W2243,公司分析!D$5,3),IF($Y$3="wind一级行业",[1]!s_info_industry_gics(W2243,1),IF($Y$3="wind二级行业",[1]!s_info_industry_gics(W2243,2),IF($Y$3="wind三级行业",[1]!s_info_industry_gics(W2243,3),IF($Y$3="wind四级行业",[1]!s_info_industry_gics(W2243,4),IF($Y$3="证监会门类行业",[1]!s_info_industry_csrc12_n(W2243,公司分析!D$5,1),""))))))))</f>
        <v>自动化设备</v>
      </c>
      <c r="Z2243" s="302" t="str">
        <f ca="1">IF(Y2243=行业比较!$E$6,ROW(),"")</f>
        <v/>
      </c>
      <c r="AA2243" s="122"/>
      <c r="AB2243" s="122"/>
      <c r="AC2243" s="122"/>
      <c r="AD2243" s="122"/>
      <c r="AE2243" s="122"/>
      <c r="AF2243" s="122"/>
      <c r="AG2243" s="122"/>
      <c r="AH2243" s="122"/>
      <c r="AI2243" s="122"/>
      <c r="AJ2243" s="122"/>
      <c r="AK2243" s="122"/>
      <c r="AL2243" s="122"/>
      <c r="AM2243" s="122"/>
      <c r="AN2243" s="122"/>
      <c r="AO2243" s="122"/>
      <c r="AP2243" s="122"/>
    </row>
    <row r="2244" spans="2:42">
      <c r="B2244" s="122"/>
      <c r="C2244" s="122"/>
      <c r="D2244" s="122"/>
      <c r="E2244" s="122"/>
      <c r="F2244" s="122"/>
      <c r="G2244" s="122"/>
      <c r="H2244" s="122"/>
      <c r="I2244" s="275"/>
      <c r="J2244" s="130"/>
      <c r="K2244" s="130"/>
      <c r="L2244" s="130"/>
      <c r="M2244" s="130"/>
      <c r="N2244" s="291"/>
      <c r="O2244" s="291"/>
      <c r="P2244" s="122"/>
      <c r="Q2244" s="122"/>
      <c r="R2244" s="122"/>
      <c r="S2244" s="122"/>
      <c r="T2244" s="122"/>
      <c r="U2244" s="315"/>
      <c r="V2244" s="260">
        <f t="shared" ca="1" si="42"/>
        <v>0</v>
      </c>
      <c r="W2244" s="348" t="str">
        <f>IF(板块成分!B2246="","",板块成分!B2246)</f>
        <v>300803.SZ</v>
      </c>
      <c r="X2244" s="276" t="str">
        <f>[1]!S_Info_Name(W2244)</f>
        <v>指南针</v>
      </c>
      <c r="Y2244" s="276" t="str">
        <f ca="1">IF($Y$3="申万一级行业",[1]!s_info_industry_sw_2021(W2244,公司分析!D$5,1),IF($Y$3="申万二级行业",[1]!s_info_industry_sw_2021(W2244,公司分析!D$5,2),IF($Y$3="申万三级行业",[1]!s_info_industry_sw_2021(W2244,公司分析!D$5,3),IF($Y$3="wind一级行业",[1]!s_info_industry_gics(W2244,1),IF($Y$3="wind二级行业",[1]!s_info_industry_gics(W2244,2),IF($Y$3="wind三级行业",[1]!s_info_industry_gics(W2244,3),IF($Y$3="wind四级行业",[1]!s_info_industry_gics(W2244,4),IF($Y$3="证监会门类行业",[1]!s_info_industry_csrc12_n(W2244,公司分析!D$5,1),""))))))))</f>
        <v>软件开发</v>
      </c>
      <c r="Z2244" s="302" t="str">
        <f ca="1">IF(Y2244=行业比较!$E$6,ROW(),"")</f>
        <v/>
      </c>
      <c r="AA2244" s="122"/>
      <c r="AB2244" s="122"/>
      <c r="AC2244" s="122"/>
      <c r="AD2244" s="122"/>
      <c r="AE2244" s="122"/>
      <c r="AF2244" s="122"/>
      <c r="AG2244" s="122"/>
      <c r="AH2244" s="122"/>
      <c r="AI2244" s="122"/>
      <c r="AJ2244" s="122"/>
      <c r="AK2244" s="122"/>
      <c r="AL2244" s="122"/>
      <c r="AM2244" s="122"/>
      <c r="AN2244" s="122"/>
      <c r="AO2244" s="122"/>
      <c r="AP2244" s="122"/>
    </row>
    <row r="2245" spans="2:42">
      <c r="B2245" s="122"/>
      <c r="C2245" s="122"/>
      <c r="D2245" s="122"/>
      <c r="E2245" s="122"/>
      <c r="F2245" s="122"/>
      <c r="G2245" s="122"/>
      <c r="H2245" s="122"/>
      <c r="I2245" s="275"/>
      <c r="J2245" s="130"/>
      <c r="K2245" s="130"/>
      <c r="L2245" s="130"/>
      <c r="M2245" s="130"/>
      <c r="N2245" s="291"/>
      <c r="O2245" s="291"/>
      <c r="P2245" s="122"/>
      <c r="Q2245" s="122"/>
      <c r="R2245" s="122"/>
      <c r="S2245" s="122"/>
      <c r="T2245" s="122"/>
      <c r="U2245" s="315"/>
      <c r="V2245" s="260">
        <f t="shared" ref="V2245:V2308" ca="1" si="43">IF(Z2245="",0,RANK(Z2245,Z:Z,1))</f>
        <v>0</v>
      </c>
      <c r="W2245" s="348" t="str">
        <f>IF(板块成分!B2247="","",板块成分!B2247)</f>
        <v>300804.SZ</v>
      </c>
      <c r="X2245" s="276" t="str">
        <f>[1]!S_Info_Name(W2245)</f>
        <v>广康生化</v>
      </c>
      <c r="Y2245" s="276" t="str">
        <f ca="1">IF($Y$3="申万一级行业",[1]!s_info_industry_sw_2021(W2245,公司分析!D$5,1),IF($Y$3="申万二级行业",[1]!s_info_industry_sw_2021(W2245,公司分析!D$5,2),IF($Y$3="申万三级行业",[1]!s_info_industry_sw_2021(W2245,公司分析!D$5,3),IF($Y$3="wind一级行业",[1]!s_info_industry_gics(W2245,1),IF($Y$3="wind二级行业",[1]!s_info_industry_gics(W2245,2),IF($Y$3="wind三级行业",[1]!s_info_industry_gics(W2245,3),IF($Y$3="wind四级行业",[1]!s_info_industry_gics(W2245,4),IF($Y$3="证监会门类行业",[1]!s_info_industry_csrc12_n(W2245,公司分析!D$5,1),""))))))))</f>
        <v>农化制品</v>
      </c>
      <c r="Z2245" s="302" t="str">
        <f ca="1">IF(Y2245=行业比较!$E$6,ROW(),"")</f>
        <v/>
      </c>
      <c r="AA2245" s="122"/>
      <c r="AB2245" s="122"/>
      <c r="AC2245" s="122"/>
      <c r="AD2245" s="122"/>
      <c r="AE2245" s="122"/>
      <c r="AF2245" s="122"/>
      <c r="AG2245" s="122"/>
      <c r="AH2245" s="122"/>
      <c r="AI2245" s="122"/>
      <c r="AJ2245" s="122"/>
      <c r="AK2245" s="122"/>
      <c r="AL2245" s="122"/>
      <c r="AM2245" s="122"/>
      <c r="AN2245" s="122"/>
      <c r="AO2245" s="122"/>
      <c r="AP2245" s="122"/>
    </row>
    <row r="2246" spans="2:42">
      <c r="B2246" s="122"/>
      <c r="C2246" s="122"/>
      <c r="D2246" s="122"/>
      <c r="E2246" s="122"/>
      <c r="F2246" s="122"/>
      <c r="G2246" s="122"/>
      <c r="H2246" s="122"/>
      <c r="I2246" s="275"/>
      <c r="J2246" s="130"/>
      <c r="K2246" s="130"/>
      <c r="L2246" s="130"/>
      <c r="M2246" s="130"/>
      <c r="N2246" s="291"/>
      <c r="O2246" s="291"/>
      <c r="P2246" s="122"/>
      <c r="Q2246" s="122"/>
      <c r="R2246" s="122"/>
      <c r="S2246" s="122"/>
      <c r="T2246" s="122"/>
      <c r="U2246" s="315"/>
      <c r="V2246" s="260">
        <f t="shared" ca="1" si="43"/>
        <v>0</v>
      </c>
      <c r="W2246" s="348" t="str">
        <f>IF(板块成分!B2248="","",板块成分!B2248)</f>
        <v>300805.SZ</v>
      </c>
      <c r="X2246" s="276" t="str">
        <f>[1]!S_Info_Name(W2246)</f>
        <v>电声股份</v>
      </c>
      <c r="Y2246" s="276" t="str">
        <f ca="1">IF($Y$3="申万一级行业",[1]!s_info_industry_sw_2021(W2246,公司分析!D$5,1),IF($Y$3="申万二级行业",[1]!s_info_industry_sw_2021(W2246,公司分析!D$5,2),IF($Y$3="申万三级行业",[1]!s_info_industry_sw_2021(W2246,公司分析!D$5,3),IF($Y$3="wind一级行业",[1]!s_info_industry_gics(W2246,1),IF($Y$3="wind二级行业",[1]!s_info_industry_gics(W2246,2),IF($Y$3="wind三级行业",[1]!s_info_industry_gics(W2246,3),IF($Y$3="wind四级行业",[1]!s_info_industry_gics(W2246,4),IF($Y$3="证监会门类行业",[1]!s_info_industry_csrc12_n(W2246,公司分析!D$5,1),""))))))))</f>
        <v>广告营销</v>
      </c>
      <c r="Z2246" s="302" t="str">
        <f ca="1">IF(Y2246=行业比较!$E$6,ROW(),"")</f>
        <v/>
      </c>
      <c r="AA2246" s="122"/>
      <c r="AB2246" s="122"/>
      <c r="AC2246" s="122"/>
      <c r="AD2246" s="122"/>
      <c r="AE2246" s="122"/>
      <c r="AF2246" s="122"/>
      <c r="AG2246" s="122"/>
      <c r="AH2246" s="122"/>
      <c r="AI2246" s="122"/>
      <c r="AJ2246" s="122"/>
      <c r="AK2246" s="122"/>
      <c r="AL2246" s="122"/>
      <c r="AM2246" s="122"/>
      <c r="AN2246" s="122"/>
      <c r="AO2246" s="122"/>
      <c r="AP2246" s="122"/>
    </row>
    <row r="2247" spans="2:42">
      <c r="B2247" s="122"/>
      <c r="C2247" s="122"/>
      <c r="D2247" s="122"/>
      <c r="E2247" s="122"/>
      <c r="F2247" s="122"/>
      <c r="G2247" s="122"/>
      <c r="H2247" s="122"/>
      <c r="I2247" s="275"/>
      <c r="J2247" s="130"/>
      <c r="K2247" s="130"/>
      <c r="L2247" s="130"/>
      <c r="M2247" s="130"/>
      <c r="N2247" s="291"/>
      <c r="O2247" s="291"/>
      <c r="P2247" s="122"/>
      <c r="Q2247" s="122"/>
      <c r="R2247" s="122"/>
      <c r="S2247" s="122"/>
      <c r="T2247" s="122"/>
      <c r="U2247" s="315"/>
      <c r="V2247" s="260">
        <f t="shared" ca="1" si="43"/>
        <v>0</v>
      </c>
      <c r="W2247" s="348" t="str">
        <f>IF(板块成分!B2249="","",板块成分!B2249)</f>
        <v>300806.SZ</v>
      </c>
      <c r="X2247" s="276" t="str">
        <f>[1]!S_Info_Name(W2247)</f>
        <v>斯迪克</v>
      </c>
      <c r="Y2247" s="276" t="str">
        <f ca="1">IF($Y$3="申万一级行业",[1]!s_info_industry_sw_2021(W2247,公司分析!D$5,1),IF($Y$3="申万二级行业",[1]!s_info_industry_sw_2021(W2247,公司分析!D$5,2),IF($Y$3="申万三级行业",[1]!s_info_industry_sw_2021(W2247,公司分析!D$5,3),IF($Y$3="wind一级行业",[1]!s_info_industry_gics(W2247,1),IF($Y$3="wind二级行业",[1]!s_info_industry_gics(W2247,2),IF($Y$3="wind三级行业",[1]!s_info_industry_gics(W2247,3),IF($Y$3="wind四级行业",[1]!s_info_industry_gics(W2247,4),IF($Y$3="证监会门类行业",[1]!s_info_industry_csrc12_n(W2247,公司分析!D$5,1),""))))))))</f>
        <v>塑料</v>
      </c>
      <c r="Z2247" s="302" t="str">
        <f ca="1">IF(Y2247=行业比较!$E$6,ROW(),"")</f>
        <v/>
      </c>
      <c r="AA2247" s="122"/>
      <c r="AB2247" s="122"/>
      <c r="AC2247" s="122"/>
      <c r="AD2247" s="122"/>
      <c r="AE2247" s="122"/>
      <c r="AF2247" s="122"/>
      <c r="AG2247" s="122"/>
      <c r="AH2247" s="122"/>
      <c r="AI2247" s="122"/>
      <c r="AJ2247" s="122"/>
      <c r="AK2247" s="122"/>
      <c r="AL2247" s="122"/>
      <c r="AM2247" s="122"/>
      <c r="AN2247" s="122"/>
      <c r="AO2247" s="122"/>
      <c r="AP2247" s="122"/>
    </row>
    <row r="2248" spans="2:42">
      <c r="B2248" s="122"/>
      <c r="C2248" s="122"/>
      <c r="D2248" s="122"/>
      <c r="E2248" s="122"/>
      <c r="F2248" s="122"/>
      <c r="G2248" s="122"/>
      <c r="H2248" s="122"/>
      <c r="I2248" s="275"/>
      <c r="J2248" s="130"/>
      <c r="K2248" s="130"/>
      <c r="L2248" s="130"/>
      <c r="M2248" s="130"/>
      <c r="N2248" s="291"/>
      <c r="O2248" s="291"/>
      <c r="P2248" s="122"/>
      <c r="Q2248" s="122"/>
      <c r="R2248" s="122"/>
      <c r="S2248" s="122"/>
      <c r="T2248" s="122"/>
      <c r="U2248" s="315"/>
      <c r="V2248" s="260">
        <f t="shared" ca="1" si="43"/>
        <v>0</v>
      </c>
      <c r="W2248" s="348" t="str">
        <f>IF(板块成分!B2250="","",板块成分!B2250)</f>
        <v>300807.SZ</v>
      </c>
      <c r="X2248" s="276" t="str">
        <f>[1]!S_Info_Name(W2248)</f>
        <v>天迈科技</v>
      </c>
      <c r="Y2248" s="276" t="str">
        <f ca="1">IF($Y$3="申万一级行业",[1]!s_info_industry_sw_2021(W2248,公司分析!D$5,1),IF($Y$3="申万二级行业",[1]!s_info_industry_sw_2021(W2248,公司分析!D$5,2),IF($Y$3="申万三级行业",[1]!s_info_industry_sw_2021(W2248,公司分析!D$5,3),IF($Y$3="wind一级行业",[1]!s_info_industry_gics(W2248,1),IF($Y$3="wind二级行业",[1]!s_info_industry_gics(W2248,2),IF($Y$3="wind三级行业",[1]!s_info_industry_gics(W2248,3),IF($Y$3="wind四级行业",[1]!s_info_industry_gics(W2248,4),IF($Y$3="证监会门类行业",[1]!s_info_industry_csrc12_n(W2248,公司分析!D$5,1),""))))))))</f>
        <v>计算机设备</v>
      </c>
      <c r="Z2248" s="302" t="str">
        <f ca="1">IF(Y2248=行业比较!$E$6,ROW(),"")</f>
        <v/>
      </c>
      <c r="AA2248" s="122"/>
      <c r="AB2248" s="122"/>
      <c r="AC2248" s="122"/>
      <c r="AD2248" s="122"/>
      <c r="AE2248" s="122"/>
      <c r="AF2248" s="122"/>
      <c r="AG2248" s="122"/>
      <c r="AH2248" s="122"/>
      <c r="AI2248" s="122"/>
      <c r="AJ2248" s="122"/>
      <c r="AK2248" s="122"/>
      <c r="AL2248" s="122"/>
      <c r="AM2248" s="122"/>
      <c r="AN2248" s="122"/>
      <c r="AO2248" s="122"/>
      <c r="AP2248" s="122"/>
    </row>
    <row r="2249" spans="2:42">
      <c r="B2249" s="122"/>
      <c r="C2249" s="122"/>
      <c r="D2249" s="122"/>
      <c r="E2249" s="122"/>
      <c r="F2249" s="122"/>
      <c r="G2249" s="122"/>
      <c r="H2249" s="122"/>
      <c r="I2249" s="275"/>
      <c r="J2249" s="130"/>
      <c r="K2249" s="130"/>
      <c r="L2249" s="130"/>
      <c r="M2249" s="130"/>
      <c r="N2249" s="291"/>
      <c r="O2249" s="291"/>
      <c r="P2249" s="122"/>
      <c r="Q2249" s="122"/>
      <c r="R2249" s="122"/>
      <c r="S2249" s="122"/>
      <c r="T2249" s="122"/>
      <c r="U2249" s="315"/>
      <c r="V2249" s="260">
        <f t="shared" ca="1" si="43"/>
        <v>0</v>
      </c>
      <c r="W2249" s="348" t="str">
        <f>IF(板块成分!B2251="","",板块成分!B2251)</f>
        <v>300808.SZ</v>
      </c>
      <c r="X2249" s="276" t="str">
        <f>[1]!S_Info_Name(W2249)</f>
        <v>久量股份</v>
      </c>
      <c r="Y2249" s="276" t="str">
        <f ca="1">IF($Y$3="申万一级行业",[1]!s_info_industry_sw_2021(W2249,公司分析!D$5,1),IF($Y$3="申万二级行业",[1]!s_info_industry_sw_2021(W2249,公司分析!D$5,2),IF($Y$3="申万三级行业",[1]!s_info_industry_sw_2021(W2249,公司分析!D$5,3),IF($Y$3="wind一级行业",[1]!s_info_industry_gics(W2249,1),IF($Y$3="wind二级行业",[1]!s_info_industry_gics(W2249,2),IF($Y$3="wind三级行业",[1]!s_info_industry_gics(W2249,3),IF($Y$3="wind四级行业",[1]!s_info_industry_gics(W2249,4),IF($Y$3="证监会门类行业",[1]!s_info_industry_csrc12_n(W2249,公司分析!D$5,1),""))))))))</f>
        <v>光学光电子</v>
      </c>
      <c r="Z2249" s="302" t="str">
        <f ca="1">IF(Y2249=行业比较!$E$6,ROW(),"")</f>
        <v/>
      </c>
      <c r="AA2249" s="122"/>
      <c r="AB2249" s="122"/>
      <c r="AC2249" s="122"/>
      <c r="AD2249" s="122"/>
      <c r="AE2249" s="122"/>
      <c r="AF2249" s="122"/>
      <c r="AG2249" s="122"/>
      <c r="AH2249" s="122"/>
      <c r="AI2249" s="122"/>
      <c r="AJ2249" s="122"/>
      <c r="AK2249" s="122"/>
      <c r="AL2249" s="122"/>
      <c r="AM2249" s="122"/>
      <c r="AN2249" s="122"/>
      <c r="AO2249" s="122"/>
      <c r="AP2249" s="122"/>
    </row>
    <row r="2250" spans="2:42">
      <c r="B2250" s="122"/>
      <c r="C2250" s="122"/>
      <c r="D2250" s="122"/>
      <c r="E2250" s="122"/>
      <c r="F2250" s="122"/>
      <c r="G2250" s="122"/>
      <c r="H2250" s="122"/>
      <c r="I2250" s="275"/>
      <c r="J2250" s="130"/>
      <c r="K2250" s="130"/>
      <c r="L2250" s="130"/>
      <c r="M2250" s="130"/>
      <c r="N2250" s="291"/>
      <c r="O2250" s="291"/>
      <c r="P2250" s="122"/>
      <c r="Q2250" s="122"/>
      <c r="R2250" s="122"/>
      <c r="S2250" s="122"/>
      <c r="T2250" s="122"/>
      <c r="U2250" s="315"/>
      <c r="V2250" s="260">
        <f t="shared" ca="1" si="43"/>
        <v>0</v>
      </c>
      <c r="W2250" s="348" t="str">
        <f>IF(板块成分!B2252="","",板块成分!B2252)</f>
        <v>300809.SZ</v>
      </c>
      <c r="X2250" s="276" t="str">
        <f>[1]!S_Info_Name(W2250)</f>
        <v>华辰装备</v>
      </c>
      <c r="Y2250" s="276" t="str">
        <f ca="1">IF($Y$3="申万一级行业",[1]!s_info_industry_sw_2021(W2250,公司分析!D$5,1),IF($Y$3="申万二级行业",[1]!s_info_industry_sw_2021(W2250,公司分析!D$5,2),IF($Y$3="申万三级行业",[1]!s_info_industry_sw_2021(W2250,公司分析!D$5,3),IF($Y$3="wind一级行业",[1]!s_info_industry_gics(W2250,1),IF($Y$3="wind二级行业",[1]!s_info_industry_gics(W2250,2),IF($Y$3="wind三级行业",[1]!s_info_industry_gics(W2250,3),IF($Y$3="wind四级行业",[1]!s_info_industry_gics(W2250,4),IF($Y$3="证监会门类行业",[1]!s_info_industry_csrc12_n(W2250,公司分析!D$5,1),""))))))))</f>
        <v>通用设备</v>
      </c>
      <c r="Z2250" s="302" t="str">
        <f ca="1">IF(Y2250=行业比较!$E$6,ROW(),"")</f>
        <v/>
      </c>
      <c r="AA2250" s="122"/>
      <c r="AB2250" s="122"/>
      <c r="AC2250" s="122"/>
      <c r="AD2250" s="122"/>
      <c r="AE2250" s="122"/>
      <c r="AF2250" s="122"/>
      <c r="AG2250" s="122"/>
      <c r="AH2250" s="122"/>
      <c r="AI2250" s="122"/>
      <c r="AJ2250" s="122"/>
      <c r="AK2250" s="122"/>
      <c r="AL2250" s="122"/>
      <c r="AM2250" s="122"/>
      <c r="AN2250" s="122"/>
      <c r="AO2250" s="122"/>
      <c r="AP2250" s="122"/>
    </row>
    <row r="2251" spans="2:42">
      <c r="B2251" s="122"/>
      <c r="C2251" s="122"/>
      <c r="D2251" s="122"/>
      <c r="E2251" s="122"/>
      <c r="F2251" s="122"/>
      <c r="G2251" s="122"/>
      <c r="H2251" s="122"/>
      <c r="I2251" s="275"/>
      <c r="J2251" s="130"/>
      <c r="K2251" s="130"/>
      <c r="L2251" s="130"/>
      <c r="M2251" s="130"/>
      <c r="N2251" s="291"/>
      <c r="O2251" s="291"/>
      <c r="P2251" s="122"/>
      <c r="Q2251" s="122"/>
      <c r="R2251" s="122"/>
      <c r="S2251" s="122"/>
      <c r="T2251" s="122"/>
      <c r="U2251" s="315"/>
      <c r="V2251" s="260">
        <f t="shared" ca="1" si="43"/>
        <v>0</v>
      </c>
      <c r="W2251" s="348" t="str">
        <f>IF(板块成分!B2253="","",板块成分!B2253)</f>
        <v>300810.SZ</v>
      </c>
      <c r="X2251" s="276" t="str">
        <f>[1]!S_Info_Name(W2251)</f>
        <v>中科海讯</v>
      </c>
      <c r="Y2251" s="276" t="str">
        <f ca="1">IF($Y$3="申万一级行业",[1]!s_info_industry_sw_2021(W2251,公司分析!D$5,1),IF($Y$3="申万二级行业",[1]!s_info_industry_sw_2021(W2251,公司分析!D$5,2),IF($Y$3="申万三级行业",[1]!s_info_industry_sw_2021(W2251,公司分析!D$5,3),IF($Y$3="wind一级行业",[1]!s_info_industry_gics(W2251,1),IF($Y$3="wind二级行业",[1]!s_info_industry_gics(W2251,2),IF($Y$3="wind三级行业",[1]!s_info_industry_gics(W2251,3),IF($Y$3="wind四级行业",[1]!s_info_industry_gics(W2251,4),IF($Y$3="证监会门类行业",[1]!s_info_industry_csrc12_n(W2251,公司分析!D$5,1),""))))))))</f>
        <v>航海装备Ⅱ</v>
      </c>
      <c r="Z2251" s="302" t="str">
        <f ca="1">IF(Y2251=行业比较!$E$6,ROW(),"")</f>
        <v/>
      </c>
      <c r="AA2251" s="122"/>
      <c r="AB2251" s="122"/>
      <c r="AC2251" s="122"/>
      <c r="AD2251" s="122"/>
      <c r="AE2251" s="122"/>
      <c r="AF2251" s="122"/>
      <c r="AG2251" s="122"/>
      <c r="AH2251" s="122"/>
      <c r="AI2251" s="122"/>
      <c r="AJ2251" s="122"/>
      <c r="AK2251" s="122"/>
      <c r="AL2251" s="122"/>
      <c r="AM2251" s="122"/>
      <c r="AN2251" s="122"/>
      <c r="AO2251" s="122"/>
      <c r="AP2251" s="122"/>
    </row>
    <row r="2252" spans="2:42">
      <c r="B2252" s="122"/>
      <c r="C2252" s="122"/>
      <c r="D2252" s="122"/>
      <c r="E2252" s="122"/>
      <c r="F2252" s="122"/>
      <c r="G2252" s="122"/>
      <c r="H2252" s="122"/>
      <c r="I2252" s="275"/>
      <c r="J2252" s="130"/>
      <c r="K2252" s="130"/>
      <c r="L2252" s="130"/>
      <c r="M2252" s="130"/>
      <c r="N2252" s="291"/>
      <c r="O2252" s="291"/>
      <c r="P2252" s="122"/>
      <c r="Q2252" s="122"/>
      <c r="R2252" s="122"/>
      <c r="S2252" s="122"/>
      <c r="T2252" s="122"/>
      <c r="U2252" s="315"/>
      <c r="V2252" s="260">
        <f t="shared" ca="1" si="43"/>
        <v>0</v>
      </c>
      <c r="W2252" s="348" t="str">
        <f>IF(板块成分!B2254="","",板块成分!B2254)</f>
        <v>300811.SZ</v>
      </c>
      <c r="X2252" s="276" t="str">
        <f>[1]!S_Info_Name(W2252)</f>
        <v>铂科新材</v>
      </c>
      <c r="Y2252" s="276" t="str">
        <f ca="1">IF($Y$3="申万一级行业",[1]!s_info_industry_sw_2021(W2252,公司分析!D$5,1),IF($Y$3="申万二级行业",[1]!s_info_industry_sw_2021(W2252,公司分析!D$5,2),IF($Y$3="申万三级行业",[1]!s_info_industry_sw_2021(W2252,公司分析!D$5,3),IF($Y$3="wind一级行业",[1]!s_info_industry_gics(W2252,1),IF($Y$3="wind二级行业",[1]!s_info_industry_gics(W2252,2),IF($Y$3="wind三级行业",[1]!s_info_industry_gics(W2252,3),IF($Y$3="wind四级行业",[1]!s_info_industry_gics(W2252,4),IF($Y$3="证监会门类行业",[1]!s_info_industry_csrc12_n(W2252,公司分析!D$5,1),""))))))))</f>
        <v>金属新材料</v>
      </c>
      <c r="Z2252" s="302" t="str">
        <f ca="1">IF(Y2252=行业比较!$E$6,ROW(),"")</f>
        <v/>
      </c>
      <c r="AA2252" s="122"/>
      <c r="AB2252" s="122"/>
      <c r="AC2252" s="122"/>
      <c r="AD2252" s="122"/>
      <c r="AE2252" s="122"/>
      <c r="AF2252" s="122"/>
      <c r="AG2252" s="122"/>
      <c r="AH2252" s="122"/>
      <c r="AI2252" s="122"/>
      <c r="AJ2252" s="122"/>
      <c r="AK2252" s="122"/>
      <c r="AL2252" s="122"/>
      <c r="AM2252" s="122"/>
      <c r="AN2252" s="122"/>
      <c r="AO2252" s="122"/>
      <c r="AP2252" s="122"/>
    </row>
    <row r="2253" spans="2:42">
      <c r="B2253" s="122"/>
      <c r="C2253" s="122"/>
      <c r="D2253" s="122"/>
      <c r="E2253" s="122"/>
      <c r="F2253" s="122"/>
      <c r="G2253" s="122"/>
      <c r="H2253" s="122"/>
      <c r="I2253" s="275"/>
      <c r="J2253" s="130"/>
      <c r="K2253" s="130"/>
      <c r="L2253" s="130"/>
      <c r="M2253" s="130"/>
      <c r="N2253" s="291"/>
      <c r="O2253" s="291"/>
      <c r="P2253" s="122"/>
      <c r="Q2253" s="122"/>
      <c r="R2253" s="122"/>
      <c r="S2253" s="122"/>
      <c r="T2253" s="122"/>
      <c r="U2253" s="315"/>
      <c r="V2253" s="260">
        <f t="shared" ca="1" si="43"/>
        <v>0</v>
      </c>
      <c r="W2253" s="348" t="str">
        <f>IF(板块成分!B2255="","",板块成分!B2255)</f>
        <v>300812.SZ</v>
      </c>
      <c r="X2253" s="276" t="str">
        <f>[1]!S_Info_Name(W2253)</f>
        <v>易天股份</v>
      </c>
      <c r="Y2253" s="276" t="str">
        <f ca="1">IF($Y$3="申万一级行业",[1]!s_info_industry_sw_2021(W2253,公司分析!D$5,1),IF($Y$3="申万二级行业",[1]!s_info_industry_sw_2021(W2253,公司分析!D$5,2),IF($Y$3="申万三级行业",[1]!s_info_industry_sw_2021(W2253,公司分析!D$5,3),IF($Y$3="wind一级行业",[1]!s_info_industry_gics(W2253,1),IF($Y$3="wind二级行业",[1]!s_info_industry_gics(W2253,2),IF($Y$3="wind三级行业",[1]!s_info_industry_gics(W2253,3),IF($Y$3="wind四级行业",[1]!s_info_industry_gics(W2253,4),IF($Y$3="证监会门类行业",[1]!s_info_industry_csrc12_n(W2253,公司分析!D$5,1),""))))))))</f>
        <v>消费电子</v>
      </c>
      <c r="Z2253" s="302" t="str">
        <f ca="1">IF(Y2253=行业比较!$E$6,ROW(),"")</f>
        <v/>
      </c>
      <c r="AA2253" s="122"/>
      <c r="AB2253" s="122"/>
      <c r="AC2253" s="122"/>
      <c r="AD2253" s="122"/>
      <c r="AE2253" s="122"/>
      <c r="AF2253" s="122"/>
      <c r="AG2253" s="122"/>
      <c r="AH2253" s="122"/>
      <c r="AI2253" s="122"/>
      <c r="AJ2253" s="122"/>
      <c r="AK2253" s="122"/>
      <c r="AL2253" s="122"/>
      <c r="AM2253" s="122"/>
      <c r="AN2253" s="122"/>
      <c r="AO2253" s="122"/>
      <c r="AP2253" s="122"/>
    </row>
    <row r="2254" spans="2:42">
      <c r="B2254" s="122"/>
      <c r="C2254" s="122"/>
      <c r="D2254" s="122"/>
      <c r="E2254" s="122"/>
      <c r="F2254" s="122"/>
      <c r="G2254" s="122"/>
      <c r="H2254" s="122"/>
      <c r="I2254" s="275"/>
      <c r="J2254" s="130"/>
      <c r="K2254" s="130"/>
      <c r="L2254" s="130"/>
      <c r="M2254" s="130"/>
      <c r="N2254" s="291"/>
      <c r="O2254" s="291"/>
      <c r="P2254" s="122"/>
      <c r="Q2254" s="122"/>
      <c r="R2254" s="122"/>
      <c r="S2254" s="122"/>
      <c r="T2254" s="122"/>
      <c r="U2254" s="315"/>
      <c r="V2254" s="260">
        <f t="shared" ca="1" si="43"/>
        <v>0</v>
      </c>
      <c r="W2254" s="348" t="str">
        <f>IF(板块成分!B2256="","",板块成分!B2256)</f>
        <v>300813.SZ</v>
      </c>
      <c r="X2254" s="276" t="str">
        <f>[1]!S_Info_Name(W2254)</f>
        <v>泰林生物</v>
      </c>
      <c r="Y2254" s="276" t="str">
        <f ca="1">IF($Y$3="申万一级行业",[1]!s_info_industry_sw_2021(W2254,公司分析!D$5,1),IF($Y$3="申万二级行业",[1]!s_info_industry_sw_2021(W2254,公司分析!D$5,2),IF($Y$3="申万三级行业",[1]!s_info_industry_sw_2021(W2254,公司分析!D$5,3),IF($Y$3="wind一级行业",[1]!s_info_industry_gics(W2254,1),IF($Y$3="wind二级行业",[1]!s_info_industry_gics(W2254,2),IF($Y$3="wind三级行业",[1]!s_info_industry_gics(W2254,3),IF($Y$3="wind四级行业",[1]!s_info_industry_gics(W2254,4),IF($Y$3="证监会门类行业",[1]!s_info_industry_csrc12_n(W2254,公司分析!D$5,1),""))))))))</f>
        <v>专用设备</v>
      </c>
      <c r="Z2254" s="302" t="str">
        <f ca="1">IF(Y2254=行业比较!$E$6,ROW(),"")</f>
        <v/>
      </c>
      <c r="AA2254" s="122"/>
      <c r="AB2254" s="122"/>
      <c r="AC2254" s="122"/>
      <c r="AD2254" s="122"/>
      <c r="AE2254" s="122"/>
      <c r="AF2254" s="122"/>
      <c r="AG2254" s="122"/>
      <c r="AH2254" s="122"/>
      <c r="AI2254" s="122"/>
      <c r="AJ2254" s="122"/>
      <c r="AK2254" s="122"/>
      <c r="AL2254" s="122"/>
      <c r="AM2254" s="122"/>
      <c r="AN2254" s="122"/>
      <c r="AO2254" s="122"/>
      <c r="AP2254" s="122"/>
    </row>
    <row r="2255" spans="2:42">
      <c r="B2255" s="122"/>
      <c r="C2255" s="122"/>
      <c r="D2255" s="122"/>
      <c r="E2255" s="122"/>
      <c r="F2255" s="122"/>
      <c r="G2255" s="122"/>
      <c r="H2255" s="122"/>
      <c r="I2255" s="275"/>
      <c r="J2255" s="130"/>
      <c r="K2255" s="130"/>
      <c r="L2255" s="130"/>
      <c r="M2255" s="130"/>
      <c r="N2255" s="291"/>
      <c r="O2255" s="291"/>
      <c r="P2255" s="122"/>
      <c r="Q2255" s="122"/>
      <c r="R2255" s="122"/>
      <c r="S2255" s="122"/>
      <c r="T2255" s="122"/>
      <c r="U2255" s="315"/>
      <c r="V2255" s="260">
        <f t="shared" ca="1" si="43"/>
        <v>0</v>
      </c>
      <c r="W2255" s="348" t="str">
        <f>IF(板块成分!B2257="","",板块成分!B2257)</f>
        <v>300814.SZ</v>
      </c>
      <c r="X2255" s="276" t="str">
        <f>[1]!S_Info_Name(W2255)</f>
        <v>中富电路</v>
      </c>
      <c r="Y2255" s="276" t="str">
        <f ca="1">IF($Y$3="申万一级行业",[1]!s_info_industry_sw_2021(W2255,公司分析!D$5,1),IF($Y$3="申万二级行业",[1]!s_info_industry_sw_2021(W2255,公司分析!D$5,2),IF($Y$3="申万三级行业",[1]!s_info_industry_sw_2021(W2255,公司分析!D$5,3),IF($Y$3="wind一级行业",[1]!s_info_industry_gics(W2255,1),IF($Y$3="wind二级行业",[1]!s_info_industry_gics(W2255,2),IF($Y$3="wind三级行业",[1]!s_info_industry_gics(W2255,3),IF($Y$3="wind四级行业",[1]!s_info_industry_gics(W2255,4),IF($Y$3="证监会门类行业",[1]!s_info_industry_csrc12_n(W2255,公司分析!D$5,1),""))))))))</f>
        <v>元件</v>
      </c>
      <c r="Z2255" s="302" t="str">
        <f ca="1">IF(Y2255=行业比较!$E$6,ROW(),"")</f>
        <v/>
      </c>
      <c r="AA2255" s="122"/>
      <c r="AB2255" s="122"/>
      <c r="AC2255" s="122"/>
      <c r="AD2255" s="122"/>
      <c r="AE2255" s="122"/>
      <c r="AF2255" s="122"/>
      <c r="AG2255" s="122"/>
      <c r="AH2255" s="122"/>
      <c r="AI2255" s="122"/>
      <c r="AJ2255" s="122"/>
      <c r="AK2255" s="122"/>
      <c r="AL2255" s="122"/>
      <c r="AM2255" s="122"/>
      <c r="AN2255" s="122"/>
      <c r="AO2255" s="122"/>
      <c r="AP2255" s="122"/>
    </row>
    <row r="2256" spans="2:42">
      <c r="B2256" s="122"/>
      <c r="C2256" s="122"/>
      <c r="D2256" s="122"/>
      <c r="E2256" s="122"/>
      <c r="F2256" s="122"/>
      <c r="G2256" s="122"/>
      <c r="H2256" s="122"/>
      <c r="I2256" s="275"/>
      <c r="J2256" s="130"/>
      <c r="K2256" s="130"/>
      <c r="L2256" s="130"/>
      <c r="M2256" s="130"/>
      <c r="N2256" s="291"/>
      <c r="O2256" s="291"/>
      <c r="P2256" s="122"/>
      <c r="Q2256" s="122"/>
      <c r="R2256" s="122"/>
      <c r="S2256" s="122"/>
      <c r="T2256" s="122"/>
      <c r="U2256" s="315"/>
      <c r="V2256" s="260">
        <f t="shared" ca="1" si="43"/>
        <v>0</v>
      </c>
      <c r="W2256" s="348" t="str">
        <f>IF(板块成分!B2258="","",板块成分!B2258)</f>
        <v>300815.SZ</v>
      </c>
      <c r="X2256" s="276" t="str">
        <f>[1]!S_Info_Name(W2256)</f>
        <v>玉禾田</v>
      </c>
      <c r="Y2256" s="276" t="str">
        <f ca="1">IF($Y$3="申万一级行业",[1]!s_info_industry_sw_2021(W2256,公司分析!D$5,1),IF($Y$3="申万二级行业",[1]!s_info_industry_sw_2021(W2256,公司分析!D$5,2),IF($Y$3="申万三级行业",[1]!s_info_industry_sw_2021(W2256,公司分析!D$5,3),IF($Y$3="wind一级行业",[1]!s_info_industry_gics(W2256,1),IF($Y$3="wind二级行业",[1]!s_info_industry_gics(W2256,2),IF($Y$3="wind三级行业",[1]!s_info_industry_gics(W2256,3),IF($Y$3="wind四级行业",[1]!s_info_industry_gics(W2256,4),IF($Y$3="证监会门类行业",[1]!s_info_industry_csrc12_n(W2256,公司分析!D$5,1),""))))))))</f>
        <v>环境治理</v>
      </c>
      <c r="Z2256" s="302" t="str">
        <f ca="1">IF(Y2256=行业比较!$E$6,ROW(),"")</f>
        <v/>
      </c>
      <c r="AA2256" s="122"/>
      <c r="AB2256" s="122"/>
      <c r="AC2256" s="122"/>
      <c r="AD2256" s="122"/>
      <c r="AE2256" s="122"/>
      <c r="AF2256" s="122"/>
      <c r="AG2256" s="122"/>
      <c r="AH2256" s="122"/>
      <c r="AI2256" s="122"/>
      <c r="AJ2256" s="122"/>
      <c r="AK2256" s="122"/>
      <c r="AL2256" s="122"/>
      <c r="AM2256" s="122"/>
      <c r="AN2256" s="122"/>
      <c r="AO2256" s="122"/>
      <c r="AP2256" s="122"/>
    </row>
    <row r="2257" spans="2:42">
      <c r="B2257" s="122"/>
      <c r="C2257" s="122"/>
      <c r="D2257" s="122"/>
      <c r="E2257" s="122"/>
      <c r="F2257" s="122"/>
      <c r="G2257" s="122"/>
      <c r="H2257" s="122"/>
      <c r="I2257" s="275"/>
      <c r="J2257" s="130"/>
      <c r="K2257" s="130"/>
      <c r="L2257" s="130"/>
      <c r="M2257" s="130"/>
      <c r="N2257" s="291"/>
      <c r="O2257" s="291"/>
      <c r="P2257" s="122"/>
      <c r="Q2257" s="122"/>
      <c r="R2257" s="122"/>
      <c r="S2257" s="122"/>
      <c r="T2257" s="122"/>
      <c r="U2257" s="315"/>
      <c r="V2257" s="260">
        <f t="shared" ca="1" si="43"/>
        <v>0</v>
      </c>
      <c r="W2257" s="348" t="str">
        <f>IF(板块成分!B2259="","",板块成分!B2259)</f>
        <v>300816.SZ</v>
      </c>
      <c r="X2257" s="276" t="str">
        <f>[1]!S_Info_Name(W2257)</f>
        <v>艾可蓝</v>
      </c>
      <c r="Y2257" s="276" t="str">
        <f ca="1">IF($Y$3="申万一级行业",[1]!s_info_industry_sw_2021(W2257,公司分析!D$5,1),IF($Y$3="申万二级行业",[1]!s_info_industry_sw_2021(W2257,公司分析!D$5,2),IF($Y$3="申万三级行业",[1]!s_info_industry_sw_2021(W2257,公司分析!D$5,3),IF($Y$3="wind一级行业",[1]!s_info_industry_gics(W2257,1),IF($Y$3="wind二级行业",[1]!s_info_industry_gics(W2257,2),IF($Y$3="wind三级行业",[1]!s_info_industry_gics(W2257,3),IF($Y$3="wind四级行业",[1]!s_info_industry_gics(W2257,4),IF($Y$3="证监会门类行业",[1]!s_info_industry_csrc12_n(W2257,公司分析!D$5,1),""))))))))</f>
        <v>汽车零部件</v>
      </c>
      <c r="Z2257" s="302" t="str">
        <f ca="1">IF(Y2257=行业比较!$E$6,ROW(),"")</f>
        <v/>
      </c>
      <c r="AA2257" s="122"/>
      <c r="AB2257" s="122"/>
      <c r="AC2257" s="122"/>
      <c r="AD2257" s="122"/>
      <c r="AE2257" s="122"/>
      <c r="AF2257" s="122"/>
      <c r="AG2257" s="122"/>
      <c r="AH2257" s="122"/>
      <c r="AI2257" s="122"/>
      <c r="AJ2257" s="122"/>
      <c r="AK2257" s="122"/>
      <c r="AL2257" s="122"/>
      <c r="AM2257" s="122"/>
      <c r="AN2257" s="122"/>
      <c r="AO2257" s="122"/>
      <c r="AP2257" s="122"/>
    </row>
    <row r="2258" spans="2:42">
      <c r="B2258" s="122"/>
      <c r="C2258" s="122"/>
      <c r="D2258" s="122"/>
      <c r="E2258" s="122"/>
      <c r="F2258" s="122"/>
      <c r="G2258" s="122"/>
      <c r="H2258" s="122"/>
      <c r="I2258" s="275"/>
      <c r="J2258" s="130"/>
      <c r="K2258" s="130"/>
      <c r="L2258" s="130"/>
      <c r="M2258" s="130"/>
      <c r="N2258" s="291"/>
      <c r="O2258" s="291"/>
      <c r="P2258" s="122"/>
      <c r="Q2258" s="122"/>
      <c r="R2258" s="122"/>
      <c r="S2258" s="122"/>
      <c r="T2258" s="122"/>
      <c r="U2258" s="315"/>
      <c r="V2258" s="260">
        <f t="shared" ca="1" si="43"/>
        <v>0</v>
      </c>
      <c r="W2258" s="348" t="str">
        <f>IF(板块成分!B2260="","",板块成分!B2260)</f>
        <v>300817.SZ</v>
      </c>
      <c r="X2258" s="276" t="str">
        <f>[1]!S_Info_Name(W2258)</f>
        <v>双飞集团</v>
      </c>
      <c r="Y2258" s="276" t="str">
        <f ca="1">IF($Y$3="申万一级行业",[1]!s_info_industry_sw_2021(W2258,公司分析!D$5,1),IF($Y$3="申万二级行业",[1]!s_info_industry_sw_2021(W2258,公司分析!D$5,2),IF($Y$3="申万三级行业",[1]!s_info_industry_sw_2021(W2258,公司分析!D$5,3),IF($Y$3="wind一级行业",[1]!s_info_industry_gics(W2258,1),IF($Y$3="wind二级行业",[1]!s_info_industry_gics(W2258,2),IF($Y$3="wind三级行业",[1]!s_info_industry_gics(W2258,3),IF($Y$3="wind四级行业",[1]!s_info_industry_gics(W2258,4),IF($Y$3="证监会门类行业",[1]!s_info_industry_csrc12_n(W2258,公司分析!D$5,1),""))))))))</f>
        <v>通用设备</v>
      </c>
      <c r="Z2258" s="302" t="str">
        <f ca="1">IF(Y2258=行业比较!$E$6,ROW(),"")</f>
        <v/>
      </c>
      <c r="AA2258" s="122"/>
      <c r="AB2258" s="122"/>
      <c r="AC2258" s="122"/>
      <c r="AD2258" s="122"/>
      <c r="AE2258" s="122"/>
      <c r="AF2258" s="122"/>
      <c r="AG2258" s="122"/>
      <c r="AH2258" s="122"/>
      <c r="AI2258" s="122"/>
      <c r="AJ2258" s="122"/>
      <c r="AK2258" s="122"/>
      <c r="AL2258" s="122"/>
      <c r="AM2258" s="122"/>
      <c r="AN2258" s="122"/>
      <c r="AO2258" s="122"/>
      <c r="AP2258" s="122"/>
    </row>
    <row r="2259" spans="2:42">
      <c r="B2259" s="122"/>
      <c r="C2259" s="122"/>
      <c r="D2259" s="122"/>
      <c r="E2259" s="122"/>
      <c r="F2259" s="122"/>
      <c r="G2259" s="122"/>
      <c r="H2259" s="122"/>
      <c r="I2259" s="275"/>
      <c r="J2259" s="130"/>
      <c r="K2259" s="130"/>
      <c r="L2259" s="130"/>
      <c r="M2259" s="130"/>
      <c r="N2259" s="291"/>
      <c r="O2259" s="291"/>
      <c r="P2259" s="122"/>
      <c r="Q2259" s="122"/>
      <c r="R2259" s="122"/>
      <c r="S2259" s="122"/>
      <c r="T2259" s="122"/>
      <c r="U2259" s="315"/>
      <c r="V2259" s="260">
        <f t="shared" ca="1" si="43"/>
        <v>0</v>
      </c>
      <c r="W2259" s="348" t="str">
        <f>IF(板块成分!B2261="","",板块成分!B2261)</f>
        <v>300818.SZ</v>
      </c>
      <c r="X2259" s="276" t="str">
        <f>[1]!S_Info_Name(W2259)</f>
        <v>耐普矿机</v>
      </c>
      <c r="Y2259" s="276" t="str">
        <f ca="1">IF($Y$3="申万一级行业",[1]!s_info_industry_sw_2021(W2259,公司分析!D$5,1),IF($Y$3="申万二级行业",[1]!s_info_industry_sw_2021(W2259,公司分析!D$5,2),IF($Y$3="申万三级行业",[1]!s_info_industry_sw_2021(W2259,公司分析!D$5,3),IF($Y$3="wind一级行业",[1]!s_info_industry_gics(W2259,1),IF($Y$3="wind二级行业",[1]!s_info_industry_gics(W2259,2),IF($Y$3="wind三级行业",[1]!s_info_industry_gics(W2259,3),IF($Y$3="wind四级行业",[1]!s_info_industry_gics(W2259,4),IF($Y$3="证监会门类行业",[1]!s_info_industry_csrc12_n(W2259,公司分析!D$5,1),""))))))))</f>
        <v>通用设备</v>
      </c>
      <c r="Z2259" s="302" t="str">
        <f ca="1">IF(Y2259=行业比较!$E$6,ROW(),"")</f>
        <v/>
      </c>
      <c r="AA2259" s="122"/>
      <c r="AB2259" s="122"/>
      <c r="AC2259" s="122"/>
      <c r="AD2259" s="122"/>
      <c r="AE2259" s="122"/>
      <c r="AF2259" s="122"/>
      <c r="AG2259" s="122"/>
      <c r="AH2259" s="122"/>
      <c r="AI2259" s="122"/>
      <c r="AJ2259" s="122"/>
      <c r="AK2259" s="122"/>
      <c r="AL2259" s="122"/>
      <c r="AM2259" s="122"/>
      <c r="AN2259" s="122"/>
      <c r="AO2259" s="122"/>
      <c r="AP2259" s="122"/>
    </row>
    <row r="2260" spans="2:42">
      <c r="B2260" s="122"/>
      <c r="C2260" s="122"/>
      <c r="D2260" s="122"/>
      <c r="E2260" s="122"/>
      <c r="F2260" s="122"/>
      <c r="G2260" s="122"/>
      <c r="H2260" s="122"/>
      <c r="I2260" s="275"/>
      <c r="J2260" s="130"/>
      <c r="K2260" s="130"/>
      <c r="L2260" s="130"/>
      <c r="M2260" s="130"/>
      <c r="N2260" s="291"/>
      <c r="O2260" s="291"/>
      <c r="P2260" s="122"/>
      <c r="Q2260" s="122"/>
      <c r="R2260" s="122"/>
      <c r="S2260" s="122"/>
      <c r="T2260" s="122"/>
      <c r="U2260" s="315"/>
      <c r="V2260" s="260">
        <f t="shared" ca="1" si="43"/>
        <v>0</v>
      </c>
      <c r="W2260" s="348" t="str">
        <f>IF(板块成分!B2262="","",板块成分!B2262)</f>
        <v>300819.SZ</v>
      </c>
      <c r="X2260" s="276" t="str">
        <f>[1]!S_Info_Name(W2260)</f>
        <v>聚杰微纤</v>
      </c>
      <c r="Y2260" s="276" t="str">
        <f ca="1">IF($Y$3="申万一级行业",[1]!s_info_industry_sw_2021(W2260,公司分析!D$5,1),IF($Y$3="申万二级行业",[1]!s_info_industry_sw_2021(W2260,公司分析!D$5,2),IF($Y$3="申万三级行业",[1]!s_info_industry_sw_2021(W2260,公司分析!D$5,3),IF($Y$3="wind一级行业",[1]!s_info_industry_gics(W2260,1),IF($Y$3="wind二级行业",[1]!s_info_industry_gics(W2260,2),IF($Y$3="wind三级行业",[1]!s_info_industry_gics(W2260,3),IF($Y$3="wind四级行业",[1]!s_info_industry_gics(W2260,4),IF($Y$3="证监会门类行业",[1]!s_info_industry_csrc12_n(W2260,公司分析!D$5,1),""))))))))</f>
        <v>纺织制造</v>
      </c>
      <c r="Z2260" s="302" t="str">
        <f ca="1">IF(Y2260=行业比较!$E$6,ROW(),"")</f>
        <v/>
      </c>
      <c r="AA2260" s="122"/>
      <c r="AB2260" s="122"/>
      <c r="AC2260" s="122"/>
      <c r="AD2260" s="122"/>
      <c r="AE2260" s="122"/>
      <c r="AF2260" s="122"/>
      <c r="AG2260" s="122"/>
      <c r="AH2260" s="122"/>
      <c r="AI2260" s="122"/>
      <c r="AJ2260" s="122"/>
      <c r="AK2260" s="122"/>
      <c r="AL2260" s="122"/>
      <c r="AM2260" s="122"/>
      <c r="AN2260" s="122"/>
      <c r="AO2260" s="122"/>
      <c r="AP2260" s="122"/>
    </row>
    <row r="2261" spans="2:42">
      <c r="B2261" s="122"/>
      <c r="C2261" s="122"/>
      <c r="D2261" s="122"/>
      <c r="E2261" s="122"/>
      <c r="F2261" s="122"/>
      <c r="G2261" s="122"/>
      <c r="H2261" s="122"/>
      <c r="I2261" s="275"/>
      <c r="J2261" s="130"/>
      <c r="K2261" s="130"/>
      <c r="L2261" s="130"/>
      <c r="M2261" s="130"/>
      <c r="N2261" s="291"/>
      <c r="O2261" s="291"/>
      <c r="P2261" s="122"/>
      <c r="Q2261" s="122"/>
      <c r="R2261" s="122"/>
      <c r="S2261" s="122"/>
      <c r="T2261" s="122"/>
      <c r="U2261" s="315"/>
      <c r="V2261" s="260">
        <f t="shared" ca="1" si="43"/>
        <v>0</v>
      </c>
      <c r="W2261" s="348" t="str">
        <f>IF(板块成分!B2263="","",板块成分!B2263)</f>
        <v>300820.SZ</v>
      </c>
      <c r="X2261" s="276" t="str">
        <f>[1]!S_Info_Name(W2261)</f>
        <v>英杰电气</v>
      </c>
      <c r="Y2261" s="276" t="str">
        <f ca="1">IF($Y$3="申万一级行业",[1]!s_info_industry_sw_2021(W2261,公司分析!D$5,1),IF($Y$3="申万二级行业",[1]!s_info_industry_sw_2021(W2261,公司分析!D$5,2),IF($Y$3="申万三级行业",[1]!s_info_industry_sw_2021(W2261,公司分析!D$5,3),IF($Y$3="wind一级行业",[1]!s_info_industry_gics(W2261,1),IF($Y$3="wind二级行业",[1]!s_info_industry_gics(W2261,2),IF($Y$3="wind三级行业",[1]!s_info_industry_gics(W2261,3),IF($Y$3="wind四级行业",[1]!s_info_industry_gics(W2261,4),IF($Y$3="证监会门类行业",[1]!s_info_industry_csrc12_n(W2261,公司分析!D$5,1),""))))))))</f>
        <v>其他电源设备Ⅱ</v>
      </c>
      <c r="Z2261" s="302" t="str">
        <f ca="1">IF(Y2261=行业比较!$E$6,ROW(),"")</f>
        <v/>
      </c>
      <c r="AA2261" s="122"/>
      <c r="AB2261" s="122"/>
      <c r="AC2261" s="122"/>
      <c r="AD2261" s="122"/>
      <c r="AE2261" s="122"/>
      <c r="AF2261" s="122"/>
      <c r="AG2261" s="122"/>
      <c r="AH2261" s="122"/>
      <c r="AI2261" s="122"/>
      <c r="AJ2261" s="122"/>
      <c r="AK2261" s="122"/>
      <c r="AL2261" s="122"/>
      <c r="AM2261" s="122"/>
      <c r="AN2261" s="122"/>
      <c r="AO2261" s="122"/>
      <c r="AP2261" s="122"/>
    </row>
    <row r="2262" spans="2:42">
      <c r="B2262" s="122"/>
      <c r="C2262" s="122"/>
      <c r="D2262" s="122"/>
      <c r="E2262" s="122"/>
      <c r="F2262" s="122"/>
      <c r="G2262" s="122"/>
      <c r="H2262" s="122"/>
      <c r="I2262" s="275"/>
      <c r="J2262" s="130"/>
      <c r="K2262" s="130"/>
      <c r="L2262" s="130"/>
      <c r="M2262" s="130"/>
      <c r="N2262" s="291"/>
      <c r="O2262" s="291"/>
      <c r="P2262" s="122"/>
      <c r="Q2262" s="122"/>
      <c r="R2262" s="122"/>
      <c r="S2262" s="122"/>
      <c r="T2262" s="122"/>
      <c r="U2262" s="315"/>
      <c r="V2262" s="260">
        <f t="shared" ca="1" si="43"/>
        <v>0</v>
      </c>
      <c r="W2262" s="348" t="str">
        <f>IF(板块成分!B2264="","",板块成分!B2264)</f>
        <v>300821.SZ</v>
      </c>
      <c r="X2262" s="276" t="str">
        <f>[1]!S_Info_Name(W2262)</f>
        <v>东岳硅材</v>
      </c>
      <c r="Y2262" s="276" t="str">
        <f ca="1">IF($Y$3="申万一级行业",[1]!s_info_industry_sw_2021(W2262,公司分析!D$5,1),IF($Y$3="申万二级行业",[1]!s_info_industry_sw_2021(W2262,公司分析!D$5,2),IF($Y$3="申万三级行业",[1]!s_info_industry_sw_2021(W2262,公司分析!D$5,3),IF($Y$3="wind一级行业",[1]!s_info_industry_gics(W2262,1),IF($Y$3="wind二级行业",[1]!s_info_industry_gics(W2262,2),IF($Y$3="wind三级行业",[1]!s_info_industry_gics(W2262,3),IF($Y$3="wind四级行业",[1]!s_info_industry_gics(W2262,4),IF($Y$3="证监会门类行业",[1]!s_info_industry_csrc12_n(W2262,公司分析!D$5,1),""))))))))</f>
        <v>化学制品</v>
      </c>
      <c r="Z2262" s="302" t="str">
        <f ca="1">IF(Y2262=行业比较!$E$6,ROW(),"")</f>
        <v/>
      </c>
      <c r="AA2262" s="122"/>
      <c r="AB2262" s="122"/>
      <c r="AC2262" s="122"/>
      <c r="AD2262" s="122"/>
      <c r="AE2262" s="122"/>
      <c r="AF2262" s="122"/>
      <c r="AG2262" s="122"/>
      <c r="AH2262" s="122"/>
      <c r="AI2262" s="122"/>
      <c r="AJ2262" s="122"/>
      <c r="AK2262" s="122"/>
      <c r="AL2262" s="122"/>
      <c r="AM2262" s="122"/>
      <c r="AN2262" s="122"/>
      <c r="AO2262" s="122"/>
      <c r="AP2262" s="122"/>
    </row>
    <row r="2263" spans="2:42">
      <c r="B2263" s="122"/>
      <c r="C2263" s="122"/>
      <c r="D2263" s="122"/>
      <c r="E2263" s="122"/>
      <c r="F2263" s="122"/>
      <c r="G2263" s="122"/>
      <c r="H2263" s="122"/>
      <c r="I2263" s="275"/>
      <c r="J2263" s="130"/>
      <c r="K2263" s="130"/>
      <c r="L2263" s="130"/>
      <c r="M2263" s="130"/>
      <c r="N2263" s="291"/>
      <c r="O2263" s="291"/>
      <c r="P2263" s="122"/>
      <c r="Q2263" s="122"/>
      <c r="R2263" s="122"/>
      <c r="S2263" s="122"/>
      <c r="T2263" s="122"/>
      <c r="U2263" s="315"/>
      <c r="V2263" s="260">
        <f t="shared" ca="1" si="43"/>
        <v>0</v>
      </c>
      <c r="W2263" s="348" t="str">
        <f>IF(板块成分!B2265="","",板块成分!B2265)</f>
        <v>300822.SZ</v>
      </c>
      <c r="X2263" s="276" t="str">
        <f>[1]!S_Info_Name(W2263)</f>
        <v>贝仕达克</v>
      </c>
      <c r="Y2263" s="276" t="str">
        <f ca="1">IF($Y$3="申万一级行业",[1]!s_info_industry_sw_2021(W2263,公司分析!D$5,1),IF($Y$3="申万二级行业",[1]!s_info_industry_sw_2021(W2263,公司分析!D$5,2),IF($Y$3="申万三级行业",[1]!s_info_industry_sw_2021(W2263,公司分析!D$5,3),IF($Y$3="wind一级行业",[1]!s_info_industry_gics(W2263,1),IF($Y$3="wind二级行业",[1]!s_info_industry_gics(W2263,2),IF($Y$3="wind三级行业",[1]!s_info_industry_gics(W2263,3),IF($Y$3="wind四级行业",[1]!s_info_industry_gics(W2263,4),IF($Y$3="证监会门类行业",[1]!s_info_industry_csrc12_n(W2263,公司分析!D$5,1),""))))))))</f>
        <v>消费电子</v>
      </c>
      <c r="Z2263" s="302" t="str">
        <f ca="1">IF(Y2263=行业比较!$E$6,ROW(),"")</f>
        <v/>
      </c>
      <c r="AA2263" s="122"/>
      <c r="AB2263" s="122"/>
      <c r="AC2263" s="122"/>
      <c r="AD2263" s="122"/>
      <c r="AE2263" s="122"/>
      <c r="AF2263" s="122"/>
      <c r="AG2263" s="122"/>
      <c r="AH2263" s="122"/>
      <c r="AI2263" s="122"/>
      <c r="AJ2263" s="122"/>
      <c r="AK2263" s="122"/>
      <c r="AL2263" s="122"/>
      <c r="AM2263" s="122"/>
      <c r="AN2263" s="122"/>
      <c r="AO2263" s="122"/>
      <c r="AP2263" s="122"/>
    </row>
    <row r="2264" spans="2:42">
      <c r="B2264" s="122"/>
      <c r="C2264" s="122"/>
      <c r="D2264" s="122"/>
      <c r="E2264" s="122"/>
      <c r="F2264" s="122"/>
      <c r="G2264" s="122"/>
      <c r="H2264" s="122"/>
      <c r="I2264" s="275"/>
      <c r="J2264" s="130"/>
      <c r="K2264" s="130"/>
      <c r="L2264" s="130"/>
      <c r="M2264" s="130"/>
      <c r="N2264" s="291"/>
      <c r="O2264" s="291"/>
      <c r="P2264" s="122"/>
      <c r="Q2264" s="122"/>
      <c r="R2264" s="122"/>
      <c r="S2264" s="122"/>
      <c r="T2264" s="122"/>
      <c r="U2264" s="315"/>
      <c r="V2264" s="260">
        <f t="shared" ca="1" si="43"/>
        <v>0</v>
      </c>
      <c r="W2264" s="348" t="str">
        <f>IF(板块成分!B2266="","",板块成分!B2266)</f>
        <v>300823.SZ</v>
      </c>
      <c r="X2264" s="276" t="str">
        <f>[1]!S_Info_Name(W2264)</f>
        <v>建科智能</v>
      </c>
      <c r="Y2264" s="276" t="str">
        <f ca="1">IF($Y$3="申万一级行业",[1]!s_info_industry_sw_2021(W2264,公司分析!D$5,1),IF($Y$3="申万二级行业",[1]!s_info_industry_sw_2021(W2264,公司分析!D$5,2),IF($Y$3="申万三级行业",[1]!s_info_industry_sw_2021(W2264,公司分析!D$5,3),IF($Y$3="wind一级行业",[1]!s_info_industry_gics(W2264,1),IF($Y$3="wind二级行业",[1]!s_info_industry_gics(W2264,2),IF($Y$3="wind三级行业",[1]!s_info_industry_gics(W2264,3),IF($Y$3="wind四级行业",[1]!s_info_industry_gics(W2264,4),IF($Y$3="证监会门类行业",[1]!s_info_industry_csrc12_n(W2264,公司分析!D$5,1),""))))))))</f>
        <v>专用设备</v>
      </c>
      <c r="Z2264" s="302" t="str">
        <f ca="1">IF(Y2264=行业比较!$E$6,ROW(),"")</f>
        <v/>
      </c>
      <c r="AA2264" s="122"/>
      <c r="AB2264" s="122"/>
      <c r="AC2264" s="122"/>
      <c r="AD2264" s="122"/>
      <c r="AE2264" s="122"/>
      <c r="AF2264" s="122"/>
      <c r="AG2264" s="122"/>
      <c r="AH2264" s="122"/>
      <c r="AI2264" s="122"/>
      <c r="AJ2264" s="122"/>
      <c r="AK2264" s="122"/>
      <c r="AL2264" s="122"/>
      <c r="AM2264" s="122"/>
      <c r="AN2264" s="122"/>
      <c r="AO2264" s="122"/>
      <c r="AP2264" s="122"/>
    </row>
    <row r="2265" spans="2:42">
      <c r="B2265" s="122"/>
      <c r="C2265" s="122"/>
      <c r="D2265" s="122"/>
      <c r="E2265" s="122"/>
      <c r="F2265" s="122"/>
      <c r="G2265" s="122"/>
      <c r="H2265" s="122"/>
      <c r="I2265" s="275"/>
      <c r="J2265" s="130"/>
      <c r="K2265" s="130"/>
      <c r="L2265" s="130"/>
      <c r="M2265" s="130"/>
      <c r="N2265" s="291"/>
      <c r="O2265" s="291"/>
      <c r="P2265" s="122"/>
      <c r="Q2265" s="122"/>
      <c r="R2265" s="122"/>
      <c r="S2265" s="122"/>
      <c r="T2265" s="122"/>
      <c r="U2265" s="315"/>
      <c r="V2265" s="260">
        <f t="shared" ca="1" si="43"/>
        <v>0</v>
      </c>
      <c r="W2265" s="348" t="str">
        <f>IF(板块成分!B2267="","",板块成分!B2267)</f>
        <v>300824.SZ</v>
      </c>
      <c r="X2265" s="276" t="str">
        <f>[1]!S_Info_Name(W2265)</f>
        <v>北鼎股份</v>
      </c>
      <c r="Y2265" s="276" t="str">
        <f ca="1">IF($Y$3="申万一级行业",[1]!s_info_industry_sw_2021(W2265,公司分析!D$5,1),IF($Y$3="申万二级行业",[1]!s_info_industry_sw_2021(W2265,公司分析!D$5,2),IF($Y$3="申万三级行业",[1]!s_info_industry_sw_2021(W2265,公司分析!D$5,3),IF($Y$3="wind一级行业",[1]!s_info_industry_gics(W2265,1),IF($Y$3="wind二级行业",[1]!s_info_industry_gics(W2265,2),IF($Y$3="wind三级行业",[1]!s_info_industry_gics(W2265,3),IF($Y$3="wind四级行业",[1]!s_info_industry_gics(W2265,4),IF($Y$3="证监会门类行业",[1]!s_info_industry_csrc12_n(W2265,公司分析!D$5,1),""))))))))</f>
        <v>小家电</v>
      </c>
      <c r="Z2265" s="302" t="str">
        <f ca="1">IF(Y2265=行业比较!$E$6,ROW(),"")</f>
        <v/>
      </c>
      <c r="AA2265" s="122"/>
      <c r="AB2265" s="122"/>
      <c r="AC2265" s="122"/>
      <c r="AD2265" s="122"/>
      <c r="AE2265" s="122"/>
      <c r="AF2265" s="122"/>
      <c r="AG2265" s="122"/>
      <c r="AH2265" s="122"/>
      <c r="AI2265" s="122"/>
      <c r="AJ2265" s="122"/>
      <c r="AK2265" s="122"/>
      <c r="AL2265" s="122"/>
      <c r="AM2265" s="122"/>
      <c r="AN2265" s="122"/>
      <c r="AO2265" s="122"/>
      <c r="AP2265" s="122"/>
    </row>
    <row r="2266" spans="2:42">
      <c r="B2266" s="122"/>
      <c r="C2266" s="122"/>
      <c r="D2266" s="122"/>
      <c r="E2266" s="122"/>
      <c r="F2266" s="122"/>
      <c r="G2266" s="122"/>
      <c r="H2266" s="122"/>
      <c r="I2266" s="275"/>
      <c r="J2266" s="130"/>
      <c r="K2266" s="130"/>
      <c r="L2266" s="130"/>
      <c r="M2266" s="130"/>
      <c r="N2266" s="291"/>
      <c r="O2266" s="291"/>
      <c r="P2266" s="122"/>
      <c r="Q2266" s="122"/>
      <c r="R2266" s="122"/>
      <c r="S2266" s="122"/>
      <c r="T2266" s="122"/>
      <c r="U2266" s="315"/>
      <c r="V2266" s="260">
        <f t="shared" ca="1" si="43"/>
        <v>0</v>
      </c>
      <c r="W2266" s="348" t="str">
        <f>IF(板块成分!B2268="","",板块成分!B2268)</f>
        <v>300825.SZ</v>
      </c>
      <c r="X2266" s="276" t="str">
        <f>[1]!S_Info_Name(W2266)</f>
        <v>阿尔特</v>
      </c>
      <c r="Y2266" s="276" t="str">
        <f ca="1">IF($Y$3="申万一级行业",[1]!s_info_industry_sw_2021(W2266,公司分析!D$5,1),IF($Y$3="申万二级行业",[1]!s_info_industry_sw_2021(W2266,公司分析!D$5,2),IF($Y$3="申万三级行业",[1]!s_info_industry_sw_2021(W2266,公司分析!D$5,3),IF($Y$3="wind一级行业",[1]!s_info_industry_gics(W2266,1),IF($Y$3="wind二级行业",[1]!s_info_industry_gics(W2266,2),IF($Y$3="wind三级行业",[1]!s_info_industry_gics(W2266,3),IF($Y$3="wind四级行业",[1]!s_info_industry_gics(W2266,4),IF($Y$3="证监会门类行业",[1]!s_info_industry_csrc12_n(W2266,公司分析!D$5,1),""))))))))</f>
        <v>汽车服务</v>
      </c>
      <c r="Z2266" s="302" t="str">
        <f ca="1">IF(Y2266=行业比较!$E$6,ROW(),"")</f>
        <v/>
      </c>
      <c r="AA2266" s="122"/>
      <c r="AB2266" s="122"/>
      <c r="AC2266" s="122"/>
      <c r="AD2266" s="122"/>
      <c r="AE2266" s="122"/>
      <c r="AF2266" s="122"/>
      <c r="AG2266" s="122"/>
      <c r="AH2266" s="122"/>
      <c r="AI2266" s="122"/>
      <c r="AJ2266" s="122"/>
      <c r="AK2266" s="122"/>
      <c r="AL2266" s="122"/>
      <c r="AM2266" s="122"/>
      <c r="AN2266" s="122"/>
      <c r="AO2266" s="122"/>
      <c r="AP2266" s="122"/>
    </row>
    <row r="2267" spans="2:42">
      <c r="B2267" s="122"/>
      <c r="C2267" s="122"/>
      <c r="D2267" s="122"/>
      <c r="E2267" s="122"/>
      <c r="F2267" s="122"/>
      <c r="G2267" s="122"/>
      <c r="H2267" s="122"/>
      <c r="I2267" s="275"/>
      <c r="J2267" s="130"/>
      <c r="K2267" s="130"/>
      <c r="L2267" s="130"/>
      <c r="M2267" s="130"/>
      <c r="N2267" s="291"/>
      <c r="O2267" s="291"/>
      <c r="P2267" s="122"/>
      <c r="Q2267" s="122"/>
      <c r="R2267" s="122"/>
      <c r="S2267" s="122"/>
      <c r="T2267" s="122"/>
      <c r="U2267" s="315"/>
      <c r="V2267" s="260">
        <f t="shared" ca="1" si="43"/>
        <v>0</v>
      </c>
      <c r="W2267" s="348" t="str">
        <f>IF(板块成分!B2269="","",板块成分!B2269)</f>
        <v>300826.SZ</v>
      </c>
      <c r="X2267" s="276" t="str">
        <f>[1]!S_Info_Name(W2267)</f>
        <v>测绘股份</v>
      </c>
      <c r="Y2267" s="276" t="str">
        <f ca="1">IF($Y$3="申万一级行业",[1]!s_info_industry_sw_2021(W2267,公司分析!D$5,1),IF($Y$3="申万二级行业",[1]!s_info_industry_sw_2021(W2267,公司分析!D$5,2),IF($Y$3="申万三级行业",[1]!s_info_industry_sw_2021(W2267,公司分析!D$5,3),IF($Y$3="wind一级行业",[1]!s_info_industry_gics(W2267,1),IF($Y$3="wind二级行业",[1]!s_info_industry_gics(W2267,2),IF($Y$3="wind三级行业",[1]!s_info_industry_gics(W2267,3),IF($Y$3="wind四级行业",[1]!s_info_industry_gics(W2267,4),IF($Y$3="证监会门类行业",[1]!s_info_industry_csrc12_n(W2267,公司分析!D$5,1),""))))))))</f>
        <v>工程咨询服务Ⅱ</v>
      </c>
      <c r="Z2267" s="302" t="str">
        <f ca="1">IF(Y2267=行业比较!$E$6,ROW(),"")</f>
        <v/>
      </c>
      <c r="AA2267" s="122"/>
      <c r="AB2267" s="122"/>
      <c r="AC2267" s="122"/>
      <c r="AD2267" s="122"/>
      <c r="AE2267" s="122"/>
      <c r="AF2267" s="122"/>
      <c r="AG2267" s="122"/>
      <c r="AH2267" s="122"/>
      <c r="AI2267" s="122"/>
      <c r="AJ2267" s="122"/>
      <c r="AK2267" s="122"/>
      <c r="AL2267" s="122"/>
      <c r="AM2267" s="122"/>
      <c r="AN2267" s="122"/>
      <c r="AO2267" s="122"/>
      <c r="AP2267" s="122"/>
    </row>
    <row r="2268" spans="2:42">
      <c r="B2268" s="122"/>
      <c r="C2268" s="122"/>
      <c r="D2268" s="122"/>
      <c r="E2268" s="122"/>
      <c r="F2268" s="122"/>
      <c r="G2268" s="122"/>
      <c r="H2268" s="122"/>
      <c r="I2268" s="275"/>
      <c r="J2268" s="130"/>
      <c r="K2268" s="130"/>
      <c r="L2268" s="130"/>
      <c r="M2268" s="130"/>
      <c r="N2268" s="291"/>
      <c r="O2268" s="291"/>
      <c r="P2268" s="122"/>
      <c r="Q2268" s="122"/>
      <c r="R2268" s="122"/>
      <c r="S2268" s="122"/>
      <c r="T2268" s="122"/>
      <c r="U2268" s="315"/>
      <c r="V2268" s="260">
        <f t="shared" ca="1" si="43"/>
        <v>0</v>
      </c>
      <c r="W2268" s="348" t="str">
        <f>IF(板块成分!B2270="","",板块成分!B2270)</f>
        <v>300827.SZ</v>
      </c>
      <c r="X2268" s="276" t="str">
        <f>[1]!S_Info_Name(W2268)</f>
        <v>上能电气</v>
      </c>
      <c r="Y2268" s="276" t="str">
        <f ca="1">IF($Y$3="申万一级行业",[1]!s_info_industry_sw_2021(W2268,公司分析!D$5,1),IF($Y$3="申万二级行业",[1]!s_info_industry_sw_2021(W2268,公司分析!D$5,2),IF($Y$3="申万三级行业",[1]!s_info_industry_sw_2021(W2268,公司分析!D$5,3),IF($Y$3="wind一级行业",[1]!s_info_industry_gics(W2268,1),IF($Y$3="wind二级行业",[1]!s_info_industry_gics(W2268,2),IF($Y$3="wind三级行业",[1]!s_info_industry_gics(W2268,3),IF($Y$3="wind四级行业",[1]!s_info_industry_gics(W2268,4),IF($Y$3="证监会门类行业",[1]!s_info_industry_csrc12_n(W2268,公司分析!D$5,1),""))))))))</f>
        <v>光伏设备</v>
      </c>
      <c r="Z2268" s="302" t="str">
        <f ca="1">IF(Y2268=行业比较!$E$6,ROW(),"")</f>
        <v/>
      </c>
      <c r="AA2268" s="122"/>
      <c r="AB2268" s="122"/>
      <c r="AC2268" s="122"/>
      <c r="AD2268" s="122"/>
      <c r="AE2268" s="122"/>
      <c r="AF2268" s="122"/>
      <c r="AG2268" s="122"/>
      <c r="AH2268" s="122"/>
      <c r="AI2268" s="122"/>
      <c r="AJ2268" s="122"/>
      <c r="AK2268" s="122"/>
      <c r="AL2268" s="122"/>
      <c r="AM2268" s="122"/>
      <c r="AN2268" s="122"/>
      <c r="AO2268" s="122"/>
      <c r="AP2268" s="122"/>
    </row>
    <row r="2269" spans="2:42">
      <c r="B2269" s="122"/>
      <c r="C2269" s="122"/>
      <c r="D2269" s="122"/>
      <c r="E2269" s="122"/>
      <c r="F2269" s="122"/>
      <c r="G2269" s="122"/>
      <c r="H2269" s="122"/>
      <c r="I2269" s="275"/>
      <c r="J2269" s="130"/>
      <c r="K2269" s="130"/>
      <c r="L2269" s="130"/>
      <c r="M2269" s="130"/>
      <c r="N2269" s="291"/>
      <c r="O2269" s="291"/>
      <c r="P2269" s="122"/>
      <c r="Q2269" s="122"/>
      <c r="R2269" s="122"/>
      <c r="S2269" s="122"/>
      <c r="T2269" s="122"/>
      <c r="U2269" s="315"/>
      <c r="V2269" s="260">
        <f t="shared" ca="1" si="43"/>
        <v>0</v>
      </c>
      <c r="W2269" s="348" t="str">
        <f>IF(板块成分!B2271="","",板块成分!B2271)</f>
        <v>300828.SZ</v>
      </c>
      <c r="X2269" s="276" t="str">
        <f>[1]!S_Info_Name(W2269)</f>
        <v>锐新科技</v>
      </c>
      <c r="Y2269" s="276" t="str">
        <f ca="1">IF($Y$3="申万一级行业",[1]!s_info_industry_sw_2021(W2269,公司分析!D$5,1),IF($Y$3="申万二级行业",[1]!s_info_industry_sw_2021(W2269,公司分析!D$5,2),IF($Y$3="申万三级行业",[1]!s_info_industry_sw_2021(W2269,公司分析!D$5,3),IF($Y$3="wind一级行业",[1]!s_info_industry_gics(W2269,1),IF($Y$3="wind二级行业",[1]!s_info_industry_gics(W2269,2),IF($Y$3="wind三级行业",[1]!s_info_industry_gics(W2269,3),IF($Y$3="wind四级行业",[1]!s_info_industry_gics(W2269,4),IF($Y$3="证监会门类行业",[1]!s_info_industry_csrc12_n(W2269,公司分析!D$5,1),""))))))))</f>
        <v>通用设备</v>
      </c>
      <c r="Z2269" s="302" t="str">
        <f ca="1">IF(Y2269=行业比较!$E$6,ROW(),"")</f>
        <v/>
      </c>
      <c r="AA2269" s="122"/>
      <c r="AB2269" s="122"/>
      <c r="AC2269" s="122"/>
      <c r="AD2269" s="122"/>
      <c r="AE2269" s="122"/>
      <c r="AF2269" s="122"/>
      <c r="AG2269" s="122"/>
      <c r="AH2269" s="122"/>
      <c r="AI2269" s="122"/>
      <c r="AJ2269" s="122"/>
      <c r="AK2269" s="122"/>
      <c r="AL2269" s="122"/>
      <c r="AM2269" s="122"/>
      <c r="AN2269" s="122"/>
      <c r="AO2269" s="122"/>
      <c r="AP2269" s="122"/>
    </row>
    <row r="2270" spans="2:42">
      <c r="B2270" s="122"/>
      <c r="C2270" s="122"/>
      <c r="D2270" s="122"/>
      <c r="E2270" s="122"/>
      <c r="F2270" s="122"/>
      <c r="G2270" s="122"/>
      <c r="H2270" s="122"/>
      <c r="I2270" s="275"/>
      <c r="J2270" s="130"/>
      <c r="K2270" s="130"/>
      <c r="L2270" s="130"/>
      <c r="M2270" s="130"/>
      <c r="N2270" s="291"/>
      <c r="O2270" s="291"/>
      <c r="P2270" s="122"/>
      <c r="Q2270" s="122"/>
      <c r="R2270" s="122"/>
      <c r="S2270" s="122"/>
      <c r="T2270" s="122"/>
      <c r="U2270" s="315"/>
      <c r="V2270" s="260">
        <f t="shared" ca="1" si="43"/>
        <v>0</v>
      </c>
      <c r="W2270" s="348" t="str">
        <f>IF(板块成分!B2272="","",板块成分!B2272)</f>
        <v>300829.SZ</v>
      </c>
      <c r="X2270" s="276" t="str">
        <f>[1]!S_Info_Name(W2270)</f>
        <v>金丹科技</v>
      </c>
      <c r="Y2270" s="276" t="str">
        <f ca="1">IF($Y$3="申万一级行业",[1]!s_info_industry_sw_2021(W2270,公司分析!D$5,1),IF($Y$3="申万二级行业",[1]!s_info_industry_sw_2021(W2270,公司分析!D$5,2),IF($Y$3="申万三级行业",[1]!s_info_industry_sw_2021(W2270,公司分析!D$5,3),IF($Y$3="wind一级行业",[1]!s_info_industry_gics(W2270,1),IF($Y$3="wind二级行业",[1]!s_info_industry_gics(W2270,2),IF($Y$3="wind三级行业",[1]!s_info_industry_gics(W2270,3),IF($Y$3="wind四级行业",[1]!s_info_industry_gics(W2270,4),IF($Y$3="证监会门类行业",[1]!s_info_industry_csrc12_n(W2270,公司分析!D$5,1),""))))))))</f>
        <v>化学制品</v>
      </c>
      <c r="Z2270" s="302" t="str">
        <f ca="1">IF(Y2270=行业比较!$E$6,ROW(),"")</f>
        <v/>
      </c>
      <c r="AA2270" s="122"/>
      <c r="AB2270" s="122"/>
      <c r="AC2270" s="122"/>
      <c r="AD2270" s="122"/>
      <c r="AE2270" s="122"/>
      <c r="AF2270" s="122"/>
      <c r="AG2270" s="122"/>
      <c r="AH2270" s="122"/>
      <c r="AI2270" s="122"/>
      <c r="AJ2270" s="122"/>
      <c r="AK2270" s="122"/>
      <c r="AL2270" s="122"/>
      <c r="AM2270" s="122"/>
      <c r="AN2270" s="122"/>
      <c r="AO2270" s="122"/>
      <c r="AP2270" s="122"/>
    </row>
    <row r="2271" spans="2:42">
      <c r="B2271" s="122"/>
      <c r="C2271" s="122"/>
      <c r="D2271" s="122"/>
      <c r="E2271" s="122"/>
      <c r="F2271" s="122"/>
      <c r="G2271" s="122"/>
      <c r="H2271" s="122"/>
      <c r="I2271" s="275"/>
      <c r="J2271" s="130"/>
      <c r="K2271" s="130"/>
      <c r="L2271" s="130"/>
      <c r="M2271" s="130"/>
      <c r="N2271" s="291"/>
      <c r="O2271" s="291"/>
      <c r="P2271" s="122"/>
      <c r="Q2271" s="122"/>
      <c r="R2271" s="122"/>
      <c r="S2271" s="122"/>
      <c r="T2271" s="122"/>
      <c r="U2271" s="315"/>
      <c r="V2271" s="260">
        <f t="shared" ca="1" si="43"/>
        <v>0</v>
      </c>
      <c r="W2271" s="348" t="str">
        <f>IF(板块成分!B2273="","",板块成分!B2273)</f>
        <v>300830.SZ</v>
      </c>
      <c r="X2271" s="276" t="str">
        <f>[1]!S_Info_Name(W2271)</f>
        <v>金现代</v>
      </c>
      <c r="Y2271" s="276" t="str">
        <f ca="1">IF($Y$3="申万一级行业",[1]!s_info_industry_sw_2021(W2271,公司分析!D$5,1),IF($Y$3="申万二级行业",[1]!s_info_industry_sw_2021(W2271,公司分析!D$5,2),IF($Y$3="申万三级行业",[1]!s_info_industry_sw_2021(W2271,公司分析!D$5,3),IF($Y$3="wind一级行业",[1]!s_info_industry_gics(W2271,1),IF($Y$3="wind二级行业",[1]!s_info_industry_gics(W2271,2),IF($Y$3="wind三级行业",[1]!s_info_industry_gics(W2271,3),IF($Y$3="wind四级行业",[1]!s_info_industry_gics(W2271,4),IF($Y$3="证监会门类行业",[1]!s_info_industry_csrc12_n(W2271,公司分析!D$5,1),""))))))))</f>
        <v>软件开发</v>
      </c>
      <c r="Z2271" s="302" t="str">
        <f ca="1">IF(Y2271=行业比较!$E$6,ROW(),"")</f>
        <v/>
      </c>
      <c r="AA2271" s="122"/>
      <c r="AB2271" s="122"/>
      <c r="AC2271" s="122"/>
      <c r="AD2271" s="122"/>
      <c r="AE2271" s="122"/>
      <c r="AF2271" s="122"/>
      <c r="AG2271" s="122"/>
      <c r="AH2271" s="122"/>
      <c r="AI2271" s="122"/>
      <c r="AJ2271" s="122"/>
      <c r="AK2271" s="122"/>
      <c r="AL2271" s="122"/>
      <c r="AM2271" s="122"/>
      <c r="AN2271" s="122"/>
      <c r="AO2271" s="122"/>
      <c r="AP2271" s="122"/>
    </row>
    <row r="2272" spans="2:42">
      <c r="B2272" s="122"/>
      <c r="C2272" s="122"/>
      <c r="D2272" s="122"/>
      <c r="E2272" s="122"/>
      <c r="F2272" s="122"/>
      <c r="G2272" s="122"/>
      <c r="H2272" s="122"/>
      <c r="I2272" s="275"/>
      <c r="J2272" s="130"/>
      <c r="K2272" s="130"/>
      <c r="L2272" s="130"/>
      <c r="M2272" s="130"/>
      <c r="N2272" s="291"/>
      <c r="O2272" s="291"/>
      <c r="P2272" s="122"/>
      <c r="Q2272" s="122"/>
      <c r="R2272" s="122"/>
      <c r="S2272" s="122"/>
      <c r="T2272" s="122"/>
      <c r="U2272" s="315"/>
      <c r="V2272" s="260">
        <f t="shared" ca="1" si="43"/>
        <v>0</v>
      </c>
      <c r="W2272" s="348" t="str">
        <f>IF(板块成分!B2274="","",板块成分!B2274)</f>
        <v>300831.SZ</v>
      </c>
      <c r="X2272" s="276" t="str">
        <f>[1]!S_Info_Name(W2272)</f>
        <v>派瑞股份</v>
      </c>
      <c r="Y2272" s="276" t="str">
        <f ca="1">IF($Y$3="申万一级行业",[1]!s_info_industry_sw_2021(W2272,公司分析!D$5,1),IF($Y$3="申万二级行业",[1]!s_info_industry_sw_2021(W2272,公司分析!D$5,2),IF($Y$3="申万三级行业",[1]!s_info_industry_sw_2021(W2272,公司分析!D$5,3),IF($Y$3="wind一级行业",[1]!s_info_industry_gics(W2272,1),IF($Y$3="wind二级行业",[1]!s_info_industry_gics(W2272,2),IF($Y$3="wind三级行业",[1]!s_info_industry_gics(W2272,3),IF($Y$3="wind四级行业",[1]!s_info_industry_gics(W2272,4),IF($Y$3="证监会门类行业",[1]!s_info_industry_csrc12_n(W2272,公司分析!D$5,1),""))))))))</f>
        <v>半导体</v>
      </c>
      <c r="Z2272" s="302" t="str">
        <f ca="1">IF(Y2272=行业比较!$E$6,ROW(),"")</f>
        <v/>
      </c>
      <c r="AA2272" s="122"/>
      <c r="AB2272" s="122"/>
      <c r="AC2272" s="122"/>
      <c r="AD2272" s="122"/>
      <c r="AE2272" s="122"/>
      <c r="AF2272" s="122"/>
      <c r="AG2272" s="122"/>
      <c r="AH2272" s="122"/>
      <c r="AI2272" s="122"/>
      <c r="AJ2272" s="122"/>
      <c r="AK2272" s="122"/>
      <c r="AL2272" s="122"/>
      <c r="AM2272" s="122"/>
      <c r="AN2272" s="122"/>
      <c r="AO2272" s="122"/>
      <c r="AP2272" s="122"/>
    </row>
    <row r="2273" spans="2:42">
      <c r="B2273" s="122"/>
      <c r="C2273" s="122"/>
      <c r="D2273" s="122"/>
      <c r="E2273" s="122"/>
      <c r="F2273" s="122"/>
      <c r="G2273" s="122"/>
      <c r="H2273" s="122"/>
      <c r="I2273" s="275"/>
      <c r="J2273" s="130"/>
      <c r="K2273" s="130"/>
      <c r="L2273" s="130"/>
      <c r="M2273" s="130"/>
      <c r="N2273" s="291"/>
      <c r="O2273" s="291"/>
      <c r="P2273" s="122"/>
      <c r="Q2273" s="122"/>
      <c r="R2273" s="122"/>
      <c r="S2273" s="122"/>
      <c r="T2273" s="122"/>
      <c r="U2273" s="315"/>
      <c r="V2273" s="260">
        <f t="shared" ca="1" si="43"/>
        <v>0</v>
      </c>
      <c r="W2273" s="348" t="str">
        <f>IF(板块成分!B2275="","",板块成分!B2275)</f>
        <v>300832.SZ</v>
      </c>
      <c r="X2273" s="276" t="str">
        <f>[1]!S_Info_Name(W2273)</f>
        <v>新产业</v>
      </c>
      <c r="Y2273" s="276" t="str">
        <f ca="1">IF($Y$3="申万一级行业",[1]!s_info_industry_sw_2021(W2273,公司分析!D$5,1),IF($Y$3="申万二级行业",[1]!s_info_industry_sw_2021(W2273,公司分析!D$5,2),IF($Y$3="申万三级行业",[1]!s_info_industry_sw_2021(W2273,公司分析!D$5,3),IF($Y$3="wind一级行业",[1]!s_info_industry_gics(W2273,1),IF($Y$3="wind二级行业",[1]!s_info_industry_gics(W2273,2),IF($Y$3="wind三级行业",[1]!s_info_industry_gics(W2273,3),IF($Y$3="wind四级行业",[1]!s_info_industry_gics(W2273,4),IF($Y$3="证监会门类行业",[1]!s_info_industry_csrc12_n(W2273,公司分析!D$5,1),""))))))))</f>
        <v>医疗器械</v>
      </c>
      <c r="Z2273" s="302" t="str">
        <f ca="1">IF(Y2273=行业比较!$E$6,ROW(),"")</f>
        <v/>
      </c>
      <c r="AA2273" s="122"/>
      <c r="AB2273" s="122"/>
      <c r="AC2273" s="122"/>
      <c r="AD2273" s="122"/>
      <c r="AE2273" s="122"/>
      <c r="AF2273" s="122"/>
      <c r="AG2273" s="122"/>
      <c r="AH2273" s="122"/>
      <c r="AI2273" s="122"/>
      <c r="AJ2273" s="122"/>
      <c r="AK2273" s="122"/>
      <c r="AL2273" s="122"/>
      <c r="AM2273" s="122"/>
      <c r="AN2273" s="122"/>
      <c r="AO2273" s="122"/>
      <c r="AP2273" s="122"/>
    </row>
    <row r="2274" spans="2:42">
      <c r="B2274" s="122"/>
      <c r="C2274" s="122"/>
      <c r="D2274" s="122"/>
      <c r="E2274" s="122"/>
      <c r="F2274" s="122"/>
      <c r="G2274" s="122"/>
      <c r="H2274" s="122"/>
      <c r="I2274" s="275"/>
      <c r="J2274" s="130"/>
      <c r="K2274" s="130"/>
      <c r="L2274" s="130"/>
      <c r="M2274" s="130"/>
      <c r="N2274" s="291"/>
      <c r="O2274" s="291"/>
      <c r="P2274" s="122"/>
      <c r="Q2274" s="122"/>
      <c r="R2274" s="122"/>
      <c r="S2274" s="122"/>
      <c r="T2274" s="122"/>
      <c r="U2274" s="315"/>
      <c r="V2274" s="260">
        <f t="shared" ca="1" si="43"/>
        <v>0</v>
      </c>
      <c r="W2274" s="348" t="str">
        <f>IF(板块成分!B2276="","",板块成分!B2276)</f>
        <v>300833.SZ</v>
      </c>
      <c r="X2274" s="276" t="str">
        <f>[1]!S_Info_Name(W2274)</f>
        <v>浩洋股份</v>
      </c>
      <c r="Y2274" s="276" t="str">
        <f ca="1">IF($Y$3="申万一级行业",[1]!s_info_industry_sw_2021(W2274,公司分析!D$5,1),IF($Y$3="申万二级行业",[1]!s_info_industry_sw_2021(W2274,公司分析!D$5,2),IF($Y$3="申万三级行业",[1]!s_info_industry_sw_2021(W2274,公司分析!D$5,3),IF($Y$3="wind一级行业",[1]!s_info_industry_gics(W2274,1),IF($Y$3="wind二级行业",[1]!s_info_industry_gics(W2274,2),IF($Y$3="wind三级行业",[1]!s_info_industry_gics(W2274,3),IF($Y$3="wind四级行业",[1]!s_info_industry_gics(W2274,4),IF($Y$3="证监会门类行业",[1]!s_info_industry_csrc12_n(W2274,公司分析!D$5,1),""))))))))</f>
        <v>专用设备</v>
      </c>
      <c r="Z2274" s="302" t="str">
        <f ca="1">IF(Y2274=行业比较!$E$6,ROW(),"")</f>
        <v/>
      </c>
      <c r="AA2274" s="122"/>
      <c r="AB2274" s="122"/>
      <c r="AC2274" s="122"/>
      <c r="AD2274" s="122"/>
      <c r="AE2274" s="122"/>
      <c r="AF2274" s="122"/>
      <c r="AG2274" s="122"/>
      <c r="AH2274" s="122"/>
      <c r="AI2274" s="122"/>
      <c r="AJ2274" s="122"/>
      <c r="AK2274" s="122"/>
      <c r="AL2274" s="122"/>
      <c r="AM2274" s="122"/>
      <c r="AN2274" s="122"/>
      <c r="AO2274" s="122"/>
      <c r="AP2274" s="122"/>
    </row>
    <row r="2275" spans="2:42">
      <c r="B2275" s="122"/>
      <c r="C2275" s="122"/>
      <c r="D2275" s="122"/>
      <c r="E2275" s="122"/>
      <c r="F2275" s="122"/>
      <c r="G2275" s="122"/>
      <c r="H2275" s="122"/>
      <c r="I2275" s="275"/>
      <c r="J2275" s="130"/>
      <c r="K2275" s="130"/>
      <c r="L2275" s="130"/>
      <c r="M2275" s="130"/>
      <c r="N2275" s="291"/>
      <c r="O2275" s="291"/>
      <c r="P2275" s="122"/>
      <c r="Q2275" s="122"/>
      <c r="R2275" s="122"/>
      <c r="S2275" s="122"/>
      <c r="T2275" s="122"/>
      <c r="U2275" s="315"/>
      <c r="V2275" s="260">
        <f t="shared" ca="1" si="43"/>
        <v>0</v>
      </c>
      <c r="W2275" s="348" t="str">
        <f>IF(板块成分!B2277="","",板块成分!B2277)</f>
        <v>300834.SZ</v>
      </c>
      <c r="X2275" s="276" t="str">
        <f>[1]!S_Info_Name(W2275)</f>
        <v>星辉环材</v>
      </c>
      <c r="Y2275" s="276" t="str">
        <f ca="1">IF($Y$3="申万一级行业",[1]!s_info_industry_sw_2021(W2275,公司分析!D$5,1),IF($Y$3="申万二级行业",[1]!s_info_industry_sw_2021(W2275,公司分析!D$5,2),IF($Y$3="申万三级行业",[1]!s_info_industry_sw_2021(W2275,公司分析!D$5,3),IF($Y$3="wind一级行业",[1]!s_info_industry_gics(W2275,1),IF($Y$3="wind二级行业",[1]!s_info_industry_gics(W2275,2),IF($Y$3="wind三级行业",[1]!s_info_industry_gics(W2275,3),IF($Y$3="wind四级行业",[1]!s_info_industry_gics(W2275,4),IF($Y$3="证监会门类行业",[1]!s_info_industry_csrc12_n(W2275,公司分析!D$5,1),""))))))))</f>
        <v>塑料</v>
      </c>
      <c r="Z2275" s="302" t="str">
        <f ca="1">IF(Y2275=行业比较!$E$6,ROW(),"")</f>
        <v/>
      </c>
      <c r="AA2275" s="122"/>
      <c r="AB2275" s="122"/>
      <c r="AC2275" s="122"/>
      <c r="AD2275" s="122"/>
      <c r="AE2275" s="122"/>
      <c r="AF2275" s="122"/>
      <c r="AG2275" s="122"/>
      <c r="AH2275" s="122"/>
      <c r="AI2275" s="122"/>
      <c r="AJ2275" s="122"/>
      <c r="AK2275" s="122"/>
      <c r="AL2275" s="122"/>
      <c r="AM2275" s="122"/>
      <c r="AN2275" s="122"/>
      <c r="AO2275" s="122"/>
      <c r="AP2275" s="122"/>
    </row>
    <row r="2276" spans="2:42">
      <c r="B2276" s="122"/>
      <c r="C2276" s="122"/>
      <c r="D2276" s="122"/>
      <c r="E2276" s="122"/>
      <c r="F2276" s="122"/>
      <c r="G2276" s="122"/>
      <c r="H2276" s="122"/>
      <c r="I2276" s="275"/>
      <c r="J2276" s="130"/>
      <c r="K2276" s="130"/>
      <c r="L2276" s="130"/>
      <c r="M2276" s="130"/>
      <c r="N2276" s="291"/>
      <c r="O2276" s="291"/>
      <c r="P2276" s="122"/>
      <c r="Q2276" s="122"/>
      <c r="R2276" s="122"/>
      <c r="S2276" s="122"/>
      <c r="T2276" s="122"/>
      <c r="U2276" s="315"/>
      <c r="V2276" s="260">
        <f t="shared" ca="1" si="43"/>
        <v>0</v>
      </c>
      <c r="W2276" s="348" t="str">
        <f>IF(板块成分!B2278="","",板块成分!B2278)</f>
        <v>300835.SZ</v>
      </c>
      <c r="X2276" s="276" t="str">
        <f>[1]!S_Info_Name(W2276)</f>
        <v>龙磁科技</v>
      </c>
      <c r="Y2276" s="276" t="str">
        <f ca="1">IF($Y$3="申万一级行业",[1]!s_info_industry_sw_2021(W2276,公司分析!D$5,1),IF($Y$3="申万二级行业",[1]!s_info_industry_sw_2021(W2276,公司分析!D$5,2),IF($Y$3="申万三级行业",[1]!s_info_industry_sw_2021(W2276,公司分析!D$5,3),IF($Y$3="wind一级行业",[1]!s_info_industry_gics(W2276,1),IF($Y$3="wind二级行业",[1]!s_info_industry_gics(W2276,2),IF($Y$3="wind三级行业",[1]!s_info_industry_gics(W2276,3),IF($Y$3="wind四级行业",[1]!s_info_industry_gics(W2276,4),IF($Y$3="证监会门类行业",[1]!s_info_industry_csrc12_n(W2276,公司分析!D$5,1),""))))))))</f>
        <v>金属新材料</v>
      </c>
      <c r="Z2276" s="302" t="str">
        <f ca="1">IF(Y2276=行业比较!$E$6,ROW(),"")</f>
        <v/>
      </c>
      <c r="AA2276" s="122"/>
      <c r="AB2276" s="122"/>
      <c r="AC2276" s="122"/>
      <c r="AD2276" s="122"/>
      <c r="AE2276" s="122"/>
      <c r="AF2276" s="122"/>
      <c r="AG2276" s="122"/>
      <c r="AH2276" s="122"/>
      <c r="AI2276" s="122"/>
      <c r="AJ2276" s="122"/>
      <c r="AK2276" s="122"/>
      <c r="AL2276" s="122"/>
      <c r="AM2276" s="122"/>
      <c r="AN2276" s="122"/>
      <c r="AO2276" s="122"/>
      <c r="AP2276" s="122"/>
    </row>
    <row r="2277" spans="2:42">
      <c r="B2277" s="122"/>
      <c r="C2277" s="122"/>
      <c r="D2277" s="122"/>
      <c r="E2277" s="122"/>
      <c r="F2277" s="122"/>
      <c r="G2277" s="122"/>
      <c r="H2277" s="122"/>
      <c r="I2277" s="275"/>
      <c r="J2277" s="130"/>
      <c r="K2277" s="130"/>
      <c r="L2277" s="130"/>
      <c r="M2277" s="130"/>
      <c r="N2277" s="291"/>
      <c r="O2277" s="291"/>
      <c r="P2277" s="122"/>
      <c r="Q2277" s="122"/>
      <c r="R2277" s="122"/>
      <c r="S2277" s="122"/>
      <c r="T2277" s="122"/>
      <c r="U2277" s="315"/>
      <c r="V2277" s="260">
        <f t="shared" ca="1" si="43"/>
        <v>0</v>
      </c>
      <c r="W2277" s="348" t="str">
        <f>IF(板块成分!B2279="","",板块成分!B2279)</f>
        <v>300836.SZ</v>
      </c>
      <c r="X2277" s="276" t="str">
        <f>[1]!S_Info_Name(W2277)</f>
        <v>佰奥智能</v>
      </c>
      <c r="Y2277" s="276" t="str">
        <f ca="1">IF($Y$3="申万一级行业",[1]!s_info_industry_sw_2021(W2277,公司分析!D$5,1),IF($Y$3="申万二级行业",[1]!s_info_industry_sw_2021(W2277,公司分析!D$5,2),IF($Y$3="申万三级行业",[1]!s_info_industry_sw_2021(W2277,公司分析!D$5,3),IF($Y$3="wind一级行业",[1]!s_info_industry_gics(W2277,1),IF($Y$3="wind二级行业",[1]!s_info_industry_gics(W2277,2),IF($Y$3="wind三级行业",[1]!s_info_industry_gics(W2277,3),IF($Y$3="wind四级行业",[1]!s_info_industry_gics(W2277,4),IF($Y$3="证监会门类行业",[1]!s_info_industry_csrc12_n(W2277,公司分析!D$5,1),""))))))))</f>
        <v>专用设备</v>
      </c>
      <c r="Z2277" s="302" t="str">
        <f ca="1">IF(Y2277=行业比较!$E$6,ROW(),"")</f>
        <v/>
      </c>
      <c r="AA2277" s="122"/>
      <c r="AB2277" s="122"/>
      <c r="AC2277" s="122"/>
      <c r="AD2277" s="122"/>
      <c r="AE2277" s="122"/>
      <c r="AF2277" s="122"/>
      <c r="AG2277" s="122"/>
      <c r="AH2277" s="122"/>
      <c r="AI2277" s="122"/>
      <c r="AJ2277" s="122"/>
      <c r="AK2277" s="122"/>
      <c r="AL2277" s="122"/>
      <c r="AM2277" s="122"/>
      <c r="AN2277" s="122"/>
      <c r="AO2277" s="122"/>
      <c r="AP2277" s="122"/>
    </row>
    <row r="2278" spans="2:42">
      <c r="B2278" s="122"/>
      <c r="C2278" s="122"/>
      <c r="D2278" s="122"/>
      <c r="E2278" s="122"/>
      <c r="F2278" s="122"/>
      <c r="G2278" s="122"/>
      <c r="H2278" s="122"/>
      <c r="I2278" s="275"/>
      <c r="J2278" s="130"/>
      <c r="K2278" s="130"/>
      <c r="L2278" s="130"/>
      <c r="M2278" s="130"/>
      <c r="N2278" s="291"/>
      <c r="O2278" s="291"/>
      <c r="P2278" s="122"/>
      <c r="Q2278" s="122"/>
      <c r="R2278" s="122"/>
      <c r="S2278" s="122"/>
      <c r="T2278" s="122"/>
      <c r="U2278" s="315"/>
      <c r="V2278" s="260">
        <f t="shared" ca="1" si="43"/>
        <v>0</v>
      </c>
      <c r="W2278" s="348" t="str">
        <f>IF(板块成分!B2280="","",板块成分!B2280)</f>
        <v>300837.SZ</v>
      </c>
      <c r="X2278" s="276" t="str">
        <f>[1]!S_Info_Name(W2278)</f>
        <v>浙矿股份</v>
      </c>
      <c r="Y2278" s="276" t="str">
        <f ca="1">IF($Y$3="申万一级行业",[1]!s_info_industry_sw_2021(W2278,公司分析!D$5,1),IF($Y$3="申万二级行业",[1]!s_info_industry_sw_2021(W2278,公司分析!D$5,2),IF($Y$3="申万三级行业",[1]!s_info_industry_sw_2021(W2278,公司分析!D$5,3),IF($Y$3="wind一级行业",[1]!s_info_industry_gics(W2278,1),IF($Y$3="wind二级行业",[1]!s_info_industry_gics(W2278,2),IF($Y$3="wind三级行业",[1]!s_info_industry_gics(W2278,3),IF($Y$3="wind四级行业",[1]!s_info_industry_gics(W2278,4),IF($Y$3="证监会门类行业",[1]!s_info_industry_csrc12_n(W2278,公司分析!D$5,1),""))))))))</f>
        <v>专用设备</v>
      </c>
      <c r="Z2278" s="302" t="str">
        <f ca="1">IF(Y2278=行业比较!$E$6,ROW(),"")</f>
        <v/>
      </c>
      <c r="AA2278" s="122"/>
      <c r="AB2278" s="122"/>
      <c r="AC2278" s="122"/>
      <c r="AD2278" s="122"/>
      <c r="AE2278" s="122"/>
      <c r="AF2278" s="122"/>
      <c r="AG2278" s="122"/>
      <c r="AH2278" s="122"/>
      <c r="AI2278" s="122"/>
      <c r="AJ2278" s="122"/>
      <c r="AK2278" s="122"/>
      <c r="AL2278" s="122"/>
      <c r="AM2278" s="122"/>
      <c r="AN2278" s="122"/>
      <c r="AO2278" s="122"/>
      <c r="AP2278" s="122"/>
    </row>
    <row r="2279" spans="2:42">
      <c r="B2279" s="122"/>
      <c r="C2279" s="122"/>
      <c r="D2279" s="122"/>
      <c r="E2279" s="122"/>
      <c r="F2279" s="122"/>
      <c r="G2279" s="122"/>
      <c r="H2279" s="122"/>
      <c r="I2279" s="275"/>
      <c r="J2279" s="130"/>
      <c r="K2279" s="130"/>
      <c r="L2279" s="130"/>
      <c r="M2279" s="130"/>
      <c r="N2279" s="291"/>
      <c r="O2279" s="291"/>
      <c r="P2279" s="122"/>
      <c r="Q2279" s="122"/>
      <c r="R2279" s="122"/>
      <c r="S2279" s="122"/>
      <c r="T2279" s="122"/>
      <c r="U2279" s="315"/>
      <c r="V2279" s="260">
        <f t="shared" ca="1" si="43"/>
        <v>0</v>
      </c>
      <c r="W2279" s="348" t="str">
        <f>IF(板块成分!B2281="","",板块成分!B2281)</f>
        <v>300838.SZ</v>
      </c>
      <c r="X2279" s="276" t="str">
        <f>[1]!S_Info_Name(W2279)</f>
        <v>浙江力诺</v>
      </c>
      <c r="Y2279" s="276" t="str">
        <f ca="1">IF($Y$3="申万一级行业",[1]!s_info_industry_sw_2021(W2279,公司分析!D$5,1),IF($Y$3="申万二级行业",[1]!s_info_industry_sw_2021(W2279,公司分析!D$5,2),IF($Y$3="申万三级行业",[1]!s_info_industry_sw_2021(W2279,公司分析!D$5,3),IF($Y$3="wind一级行业",[1]!s_info_industry_gics(W2279,1),IF($Y$3="wind二级行业",[1]!s_info_industry_gics(W2279,2),IF($Y$3="wind三级行业",[1]!s_info_industry_gics(W2279,3),IF($Y$3="wind四级行业",[1]!s_info_industry_gics(W2279,4),IF($Y$3="证监会门类行业",[1]!s_info_industry_csrc12_n(W2279,公司分析!D$5,1),""))))))))</f>
        <v>通用设备</v>
      </c>
      <c r="Z2279" s="302" t="str">
        <f ca="1">IF(Y2279=行业比较!$E$6,ROW(),"")</f>
        <v/>
      </c>
      <c r="AA2279" s="122"/>
      <c r="AB2279" s="122"/>
      <c r="AC2279" s="122"/>
      <c r="AD2279" s="122"/>
      <c r="AE2279" s="122"/>
      <c r="AF2279" s="122"/>
      <c r="AG2279" s="122"/>
      <c r="AH2279" s="122"/>
      <c r="AI2279" s="122"/>
      <c r="AJ2279" s="122"/>
      <c r="AK2279" s="122"/>
      <c r="AL2279" s="122"/>
      <c r="AM2279" s="122"/>
      <c r="AN2279" s="122"/>
      <c r="AO2279" s="122"/>
      <c r="AP2279" s="122"/>
    </row>
    <row r="2280" spans="2:42">
      <c r="B2280" s="122"/>
      <c r="C2280" s="122"/>
      <c r="D2280" s="122"/>
      <c r="E2280" s="122"/>
      <c r="F2280" s="122"/>
      <c r="G2280" s="122"/>
      <c r="H2280" s="122"/>
      <c r="I2280" s="275"/>
      <c r="J2280" s="130"/>
      <c r="K2280" s="130"/>
      <c r="L2280" s="130"/>
      <c r="M2280" s="130"/>
      <c r="N2280" s="291"/>
      <c r="O2280" s="291"/>
      <c r="P2280" s="122"/>
      <c r="Q2280" s="122"/>
      <c r="R2280" s="122"/>
      <c r="S2280" s="122"/>
      <c r="T2280" s="122"/>
      <c r="U2280" s="315"/>
      <c r="V2280" s="260">
        <f t="shared" ca="1" si="43"/>
        <v>0</v>
      </c>
      <c r="W2280" s="348" t="str">
        <f>IF(板块成分!B2282="","",板块成分!B2282)</f>
        <v>300839.SZ</v>
      </c>
      <c r="X2280" s="276" t="str">
        <f>[1]!S_Info_Name(W2280)</f>
        <v>博汇股份</v>
      </c>
      <c r="Y2280" s="276" t="str">
        <f ca="1">IF($Y$3="申万一级行业",[1]!s_info_industry_sw_2021(W2280,公司分析!D$5,1),IF($Y$3="申万二级行业",[1]!s_info_industry_sw_2021(W2280,公司分析!D$5,2),IF($Y$3="申万三级行业",[1]!s_info_industry_sw_2021(W2280,公司分析!D$5,3),IF($Y$3="wind一级行业",[1]!s_info_industry_gics(W2280,1),IF($Y$3="wind二级行业",[1]!s_info_industry_gics(W2280,2),IF($Y$3="wind三级行业",[1]!s_info_industry_gics(W2280,3),IF($Y$3="wind四级行业",[1]!s_info_industry_gics(W2280,4),IF($Y$3="证监会门类行业",[1]!s_info_industry_csrc12_n(W2280,公司分析!D$5,1),""))))))))</f>
        <v>炼化及贸易</v>
      </c>
      <c r="Z2280" s="302" t="str">
        <f ca="1">IF(Y2280=行业比较!$E$6,ROW(),"")</f>
        <v/>
      </c>
      <c r="AA2280" s="122"/>
      <c r="AB2280" s="122"/>
      <c r="AC2280" s="122"/>
      <c r="AD2280" s="122"/>
      <c r="AE2280" s="122"/>
      <c r="AF2280" s="122"/>
      <c r="AG2280" s="122"/>
      <c r="AH2280" s="122"/>
      <c r="AI2280" s="122"/>
      <c r="AJ2280" s="122"/>
      <c r="AK2280" s="122"/>
      <c r="AL2280" s="122"/>
      <c r="AM2280" s="122"/>
      <c r="AN2280" s="122"/>
      <c r="AO2280" s="122"/>
      <c r="AP2280" s="122"/>
    </row>
    <row r="2281" spans="2:42">
      <c r="B2281" s="122"/>
      <c r="C2281" s="122"/>
      <c r="D2281" s="122"/>
      <c r="E2281" s="122"/>
      <c r="F2281" s="122"/>
      <c r="G2281" s="122"/>
      <c r="H2281" s="122"/>
      <c r="I2281" s="275"/>
      <c r="J2281" s="130"/>
      <c r="K2281" s="130"/>
      <c r="L2281" s="130"/>
      <c r="M2281" s="130"/>
      <c r="N2281" s="291"/>
      <c r="O2281" s="291"/>
      <c r="P2281" s="122"/>
      <c r="Q2281" s="122"/>
      <c r="R2281" s="122"/>
      <c r="S2281" s="122"/>
      <c r="T2281" s="122"/>
      <c r="U2281" s="315"/>
      <c r="V2281" s="260">
        <f t="shared" ca="1" si="43"/>
        <v>0</v>
      </c>
      <c r="W2281" s="348" t="str">
        <f>IF(板块成分!B2283="","",板块成分!B2283)</f>
        <v>300840.SZ</v>
      </c>
      <c r="X2281" s="276" t="str">
        <f>[1]!S_Info_Name(W2281)</f>
        <v>酷特智能</v>
      </c>
      <c r="Y2281" s="276" t="str">
        <f ca="1">IF($Y$3="申万一级行业",[1]!s_info_industry_sw_2021(W2281,公司分析!D$5,1),IF($Y$3="申万二级行业",[1]!s_info_industry_sw_2021(W2281,公司分析!D$5,2),IF($Y$3="申万三级行业",[1]!s_info_industry_sw_2021(W2281,公司分析!D$5,3),IF($Y$3="wind一级行业",[1]!s_info_industry_gics(W2281,1),IF($Y$3="wind二级行业",[1]!s_info_industry_gics(W2281,2),IF($Y$3="wind三级行业",[1]!s_info_industry_gics(W2281,3),IF($Y$3="wind四级行业",[1]!s_info_industry_gics(W2281,4),IF($Y$3="证监会门类行业",[1]!s_info_industry_csrc12_n(W2281,公司分析!D$5,1),""))))))))</f>
        <v>服装家纺</v>
      </c>
      <c r="Z2281" s="302" t="str">
        <f ca="1">IF(Y2281=行业比较!$E$6,ROW(),"")</f>
        <v/>
      </c>
      <c r="AA2281" s="122"/>
      <c r="AB2281" s="122"/>
      <c r="AC2281" s="122"/>
      <c r="AD2281" s="122"/>
      <c r="AE2281" s="122"/>
      <c r="AF2281" s="122"/>
      <c r="AG2281" s="122"/>
      <c r="AH2281" s="122"/>
      <c r="AI2281" s="122"/>
      <c r="AJ2281" s="122"/>
      <c r="AK2281" s="122"/>
      <c r="AL2281" s="122"/>
      <c r="AM2281" s="122"/>
      <c r="AN2281" s="122"/>
      <c r="AO2281" s="122"/>
      <c r="AP2281" s="122"/>
    </row>
    <row r="2282" spans="2:42">
      <c r="B2282" s="122"/>
      <c r="C2282" s="122"/>
      <c r="D2282" s="122"/>
      <c r="E2282" s="122"/>
      <c r="F2282" s="122"/>
      <c r="G2282" s="122"/>
      <c r="H2282" s="122"/>
      <c r="I2282" s="275"/>
      <c r="J2282" s="130"/>
      <c r="K2282" s="130"/>
      <c r="L2282" s="130"/>
      <c r="M2282" s="130"/>
      <c r="N2282" s="291"/>
      <c r="O2282" s="291"/>
      <c r="P2282" s="122"/>
      <c r="Q2282" s="122"/>
      <c r="R2282" s="122"/>
      <c r="S2282" s="122"/>
      <c r="T2282" s="122"/>
      <c r="U2282" s="315"/>
      <c r="V2282" s="260">
        <f t="shared" ca="1" si="43"/>
        <v>0</v>
      </c>
      <c r="W2282" s="348" t="str">
        <f>IF(板块成分!B2284="","",板块成分!B2284)</f>
        <v>300841.SZ</v>
      </c>
      <c r="X2282" s="276" t="str">
        <f>[1]!S_Info_Name(W2282)</f>
        <v>康华生物</v>
      </c>
      <c r="Y2282" s="276" t="str">
        <f ca="1">IF($Y$3="申万一级行业",[1]!s_info_industry_sw_2021(W2282,公司分析!D$5,1),IF($Y$3="申万二级行业",[1]!s_info_industry_sw_2021(W2282,公司分析!D$5,2),IF($Y$3="申万三级行业",[1]!s_info_industry_sw_2021(W2282,公司分析!D$5,3),IF($Y$3="wind一级行业",[1]!s_info_industry_gics(W2282,1),IF($Y$3="wind二级行业",[1]!s_info_industry_gics(W2282,2),IF($Y$3="wind三级行业",[1]!s_info_industry_gics(W2282,3),IF($Y$3="wind四级行业",[1]!s_info_industry_gics(W2282,4),IF($Y$3="证监会门类行业",[1]!s_info_industry_csrc12_n(W2282,公司分析!D$5,1),""))))))))</f>
        <v>生物制品</v>
      </c>
      <c r="Z2282" s="302" t="str">
        <f ca="1">IF(Y2282=行业比较!$E$6,ROW(),"")</f>
        <v/>
      </c>
      <c r="AA2282" s="122"/>
      <c r="AB2282" s="122"/>
      <c r="AC2282" s="122"/>
      <c r="AD2282" s="122"/>
      <c r="AE2282" s="122"/>
      <c r="AF2282" s="122"/>
      <c r="AG2282" s="122"/>
      <c r="AH2282" s="122"/>
      <c r="AI2282" s="122"/>
      <c r="AJ2282" s="122"/>
      <c r="AK2282" s="122"/>
      <c r="AL2282" s="122"/>
      <c r="AM2282" s="122"/>
      <c r="AN2282" s="122"/>
      <c r="AO2282" s="122"/>
      <c r="AP2282" s="122"/>
    </row>
    <row r="2283" spans="2:42">
      <c r="B2283" s="122"/>
      <c r="C2283" s="122"/>
      <c r="D2283" s="122"/>
      <c r="E2283" s="122"/>
      <c r="F2283" s="122"/>
      <c r="G2283" s="122"/>
      <c r="H2283" s="122"/>
      <c r="I2283" s="275"/>
      <c r="J2283" s="130"/>
      <c r="K2283" s="130"/>
      <c r="L2283" s="130"/>
      <c r="M2283" s="130"/>
      <c r="N2283" s="291"/>
      <c r="O2283" s="291"/>
      <c r="P2283" s="122"/>
      <c r="Q2283" s="122"/>
      <c r="R2283" s="122"/>
      <c r="S2283" s="122"/>
      <c r="T2283" s="122"/>
      <c r="U2283" s="315"/>
      <c r="V2283" s="260">
        <f t="shared" ca="1" si="43"/>
        <v>0</v>
      </c>
      <c r="W2283" s="348" t="str">
        <f>IF(板块成分!B2285="","",板块成分!B2285)</f>
        <v>300842.SZ</v>
      </c>
      <c r="X2283" s="276" t="str">
        <f>[1]!S_Info_Name(W2283)</f>
        <v>帝科股份</v>
      </c>
      <c r="Y2283" s="276" t="str">
        <f ca="1">IF($Y$3="申万一级行业",[1]!s_info_industry_sw_2021(W2283,公司分析!D$5,1),IF($Y$3="申万二级行业",[1]!s_info_industry_sw_2021(W2283,公司分析!D$5,2),IF($Y$3="申万三级行业",[1]!s_info_industry_sw_2021(W2283,公司分析!D$5,3),IF($Y$3="wind一级行业",[1]!s_info_industry_gics(W2283,1),IF($Y$3="wind二级行业",[1]!s_info_industry_gics(W2283,2),IF($Y$3="wind三级行业",[1]!s_info_industry_gics(W2283,3),IF($Y$3="wind四级行业",[1]!s_info_industry_gics(W2283,4),IF($Y$3="证监会门类行业",[1]!s_info_industry_csrc12_n(W2283,公司分析!D$5,1),""))))))))</f>
        <v>光伏设备</v>
      </c>
      <c r="Z2283" s="302" t="str">
        <f ca="1">IF(Y2283=行业比较!$E$6,ROW(),"")</f>
        <v/>
      </c>
      <c r="AA2283" s="122"/>
      <c r="AB2283" s="122"/>
      <c r="AC2283" s="122"/>
      <c r="AD2283" s="122"/>
      <c r="AE2283" s="122"/>
      <c r="AF2283" s="122"/>
      <c r="AG2283" s="122"/>
      <c r="AH2283" s="122"/>
      <c r="AI2283" s="122"/>
      <c r="AJ2283" s="122"/>
      <c r="AK2283" s="122"/>
      <c r="AL2283" s="122"/>
      <c r="AM2283" s="122"/>
      <c r="AN2283" s="122"/>
      <c r="AO2283" s="122"/>
      <c r="AP2283" s="122"/>
    </row>
    <row r="2284" spans="2:42">
      <c r="B2284" s="122"/>
      <c r="C2284" s="122"/>
      <c r="D2284" s="122"/>
      <c r="E2284" s="122"/>
      <c r="F2284" s="122"/>
      <c r="G2284" s="122"/>
      <c r="H2284" s="122"/>
      <c r="I2284" s="275"/>
      <c r="J2284" s="130"/>
      <c r="K2284" s="130"/>
      <c r="L2284" s="130"/>
      <c r="M2284" s="130"/>
      <c r="N2284" s="291"/>
      <c r="O2284" s="291"/>
      <c r="P2284" s="122"/>
      <c r="Q2284" s="122"/>
      <c r="R2284" s="122"/>
      <c r="S2284" s="122"/>
      <c r="T2284" s="122"/>
      <c r="U2284" s="315"/>
      <c r="V2284" s="260">
        <f t="shared" ca="1" si="43"/>
        <v>0</v>
      </c>
      <c r="W2284" s="348" t="str">
        <f>IF(板块成分!B2286="","",板块成分!B2286)</f>
        <v>300843.SZ</v>
      </c>
      <c r="X2284" s="276" t="str">
        <f>[1]!S_Info_Name(W2284)</f>
        <v>胜蓝股份</v>
      </c>
      <c r="Y2284" s="276" t="str">
        <f ca="1">IF($Y$3="申万一级行业",[1]!s_info_industry_sw_2021(W2284,公司分析!D$5,1),IF($Y$3="申万二级行业",[1]!s_info_industry_sw_2021(W2284,公司分析!D$5,2),IF($Y$3="申万三级行业",[1]!s_info_industry_sw_2021(W2284,公司分析!D$5,3),IF($Y$3="wind一级行业",[1]!s_info_industry_gics(W2284,1),IF($Y$3="wind二级行业",[1]!s_info_industry_gics(W2284,2),IF($Y$3="wind三级行业",[1]!s_info_industry_gics(W2284,3),IF($Y$3="wind四级行业",[1]!s_info_industry_gics(W2284,4),IF($Y$3="证监会门类行业",[1]!s_info_industry_csrc12_n(W2284,公司分析!D$5,1),""))))))))</f>
        <v>消费电子</v>
      </c>
      <c r="Z2284" s="302" t="str">
        <f ca="1">IF(Y2284=行业比较!$E$6,ROW(),"")</f>
        <v/>
      </c>
      <c r="AA2284" s="122"/>
      <c r="AB2284" s="122"/>
      <c r="AC2284" s="122"/>
      <c r="AD2284" s="122"/>
      <c r="AE2284" s="122"/>
      <c r="AF2284" s="122"/>
      <c r="AG2284" s="122"/>
      <c r="AH2284" s="122"/>
      <c r="AI2284" s="122"/>
      <c r="AJ2284" s="122"/>
      <c r="AK2284" s="122"/>
      <c r="AL2284" s="122"/>
      <c r="AM2284" s="122"/>
      <c r="AN2284" s="122"/>
      <c r="AO2284" s="122"/>
      <c r="AP2284" s="122"/>
    </row>
    <row r="2285" spans="2:42">
      <c r="B2285" s="122"/>
      <c r="C2285" s="122"/>
      <c r="D2285" s="122"/>
      <c r="E2285" s="122"/>
      <c r="F2285" s="122"/>
      <c r="G2285" s="122"/>
      <c r="H2285" s="122"/>
      <c r="I2285" s="275"/>
      <c r="J2285" s="130"/>
      <c r="K2285" s="130"/>
      <c r="L2285" s="130"/>
      <c r="M2285" s="130"/>
      <c r="N2285" s="291"/>
      <c r="O2285" s="291"/>
      <c r="P2285" s="122"/>
      <c r="Q2285" s="122"/>
      <c r="R2285" s="122"/>
      <c r="S2285" s="122"/>
      <c r="T2285" s="122"/>
      <c r="U2285" s="315"/>
      <c r="V2285" s="260">
        <f t="shared" ca="1" si="43"/>
        <v>0</v>
      </c>
      <c r="W2285" s="348" t="str">
        <f>IF(板块成分!B2287="","",板块成分!B2287)</f>
        <v>300844.SZ</v>
      </c>
      <c r="X2285" s="276" t="str">
        <f>[1]!S_Info_Name(W2285)</f>
        <v>山水比德</v>
      </c>
      <c r="Y2285" s="276" t="str">
        <f ca="1">IF($Y$3="申万一级行业",[1]!s_info_industry_sw_2021(W2285,公司分析!D$5,1),IF($Y$3="申万二级行业",[1]!s_info_industry_sw_2021(W2285,公司分析!D$5,2),IF($Y$3="申万三级行业",[1]!s_info_industry_sw_2021(W2285,公司分析!D$5,3),IF($Y$3="wind一级行业",[1]!s_info_industry_gics(W2285,1),IF($Y$3="wind二级行业",[1]!s_info_industry_gics(W2285,2),IF($Y$3="wind三级行业",[1]!s_info_industry_gics(W2285,3),IF($Y$3="wind四级行业",[1]!s_info_industry_gics(W2285,4),IF($Y$3="证监会门类行业",[1]!s_info_industry_csrc12_n(W2285,公司分析!D$5,1),""))))))))</f>
        <v>工程咨询服务Ⅱ</v>
      </c>
      <c r="Z2285" s="302" t="str">
        <f ca="1">IF(Y2285=行业比较!$E$6,ROW(),"")</f>
        <v/>
      </c>
      <c r="AA2285" s="122"/>
      <c r="AB2285" s="122"/>
      <c r="AC2285" s="122"/>
      <c r="AD2285" s="122"/>
      <c r="AE2285" s="122"/>
      <c r="AF2285" s="122"/>
      <c r="AG2285" s="122"/>
      <c r="AH2285" s="122"/>
      <c r="AI2285" s="122"/>
      <c r="AJ2285" s="122"/>
      <c r="AK2285" s="122"/>
      <c r="AL2285" s="122"/>
      <c r="AM2285" s="122"/>
      <c r="AN2285" s="122"/>
      <c r="AO2285" s="122"/>
      <c r="AP2285" s="122"/>
    </row>
    <row r="2286" spans="2:42">
      <c r="B2286" s="122"/>
      <c r="C2286" s="122"/>
      <c r="D2286" s="122"/>
      <c r="E2286" s="122"/>
      <c r="F2286" s="122"/>
      <c r="G2286" s="122"/>
      <c r="H2286" s="122"/>
      <c r="I2286" s="275"/>
      <c r="J2286" s="130"/>
      <c r="K2286" s="130"/>
      <c r="L2286" s="130"/>
      <c r="M2286" s="130"/>
      <c r="N2286" s="291"/>
      <c r="O2286" s="291"/>
      <c r="P2286" s="122"/>
      <c r="Q2286" s="122"/>
      <c r="R2286" s="122"/>
      <c r="S2286" s="122"/>
      <c r="T2286" s="122"/>
      <c r="U2286" s="315"/>
      <c r="V2286" s="260">
        <f t="shared" ca="1" si="43"/>
        <v>0</v>
      </c>
      <c r="W2286" s="348" t="str">
        <f>IF(板块成分!B2288="","",板块成分!B2288)</f>
        <v>300845.SZ</v>
      </c>
      <c r="X2286" s="276" t="str">
        <f>[1]!S_Info_Name(W2286)</f>
        <v>捷安高科</v>
      </c>
      <c r="Y2286" s="276" t="str">
        <f ca="1">IF($Y$3="申万一级行业",[1]!s_info_industry_sw_2021(W2286,公司分析!D$5,1),IF($Y$3="申万二级行业",[1]!s_info_industry_sw_2021(W2286,公司分析!D$5,2),IF($Y$3="申万三级行业",[1]!s_info_industry_sw_2021(W2286,公司分析!D$5,3),IF($Y$3="wind一级行业",[1]!s_info_industry_gics(W2286,1),IF($Y$3="wind二级行业",[1]!s_info_industry_gics(W2286,2),IF($Y$3="wind三级行业",[1]!s_info_industry_gics(W2286,3),IF($Y$3="wind四级行业",[1]!s_info_industry_gics(W2286,4),IF($Y$3="证监会门类行业",[1]!s_info_industry_csrc12_n(W2286,公司分析!D$5,1),""))))))))</f>
        <v>计算机设备</v>
      </c>
      <c r="Z2286" s="302" t="str">
        <f ca="1">IF(Y2286=行业比较!$E$6,ROW(),"")</f>
        <v/>
      </c>
      <c r="AA2286" s="122"/>
      <c r="AB2286" s="122"/>
      <c r="AC2286" s="122"/>
      <c r="AD2286" s="122"/>
      <c r="AE2286" s="122"/>
      <c r="AF2286" s="122"/>
      <c r="AG2286" s="122"/>
      <c r="AH2286" s="122"/>
      <c r="AI2286" s="122"/>
      <c r="AJ2286" s="122"/>
      <c r="AK2286" s="122"/>
      <c r="AL2286" s="122"/>
      <c r="AM2286" s="122"/>
      <c r="AN2286" s="122"/>
      <c r="AO2286" s="122"/>
      <c r="AP2286" s="122"/>
    </row>
    <row r="2287" spans="2:42">
      <c r="B2287" s="122"/>
      <c r="C2287" s="122"/>
      <c r="D2287" s="122"/>
      <c r="E2287" s="122"/>
      <c r="F2287" s="122"/>
      <c r="G2287" s="122"/>
      <c r="H2287" s="122"/>
      <c r="I2287" s="275"/>
      <c r="J2287" s="130"/>
      <c r="K2287" s="130"/>
      <c r="L2287" s="130"/>
      <c r="M2287" s="130"/>
      <c r="N2287" s="291"/>
      <c r="O2287" s="291"/>
      <c r="P2287" s="122"/>
      <c r="Q2287" s="122"/>
      <c r="R2287" s="122"/>
      <c r="S2287" s="122"/>
      <c r="T2287" s="122"/>
      <c r="U2287" s="315"/>
      <c r="V2287" s="260">
        <f t="shared" ca="1" si="43"/>
        <v>0</v>
      </c>
      <c r="W2287" s="348" t="str">
        <f>IF(板块成分!B2289="","",板块成分!B2289)</f>
        <v>300846.SZ</v>
      </c>
      <c r="X2287" s="276" t="str">
        <f>[1]!S_Info_Name(W2287)</f>
        <v>首都在线</v>
      </c>
      <c r="Y2287" s="276" t="str">
        <f ca="1">IF($Y$3="申万一级行业",[1]!s_info_industry_sw_2021(W2287,公司分析!D$5,1),IF($Y$3="申万二级行业",[1]!s_info_industry_sw_2021(W2287,公司分析!D$5,2),IF($Y$3="申万三级行业",[1]!s_info_industry_sw_2021(W2287,公司分析!D$5,3),IF($Y$3="wind一级行业",[1]!s_info_industry_gics(W2287,1),IF($Y$3="wind二级行业",[1]!s_info_industry_gics(W2287,2),IF($Y$3="wind三级行业",[1]!s_info_industry_gics(W2287,3),IF($Y$3="wind四级行业",[1]!s_info_industry_gics(W2287,4),IF($Y$3="证监会门类行业",[1]!s_info_industry_csrc12_n(W2287,公司分析!D$5,1),""))))))))</f>
        <v>IT服务Ⅱ</v>
      </c>
      <c r="Z2287" s="302" t="str">
        <f ca="1">IF(Y2287=行业比较!$E$6,ROW(),"")</f>
        <v/>
      </c>
      <c r="AA2287" s="122"/>
      <c r="AB2287" s="122"/>
      <c r="AC2287" s="122"/>
      <c r="AD2287" s="122"/>
      <c r="AE2287" s="122"/>
      <c r="AF2287" s="122"/>
      <c r="AG2287" s="122"/>
      <c r="AH2287" s="122"/>
      <c r="AI2287" s="122"/>
      <c r="AJ2287" s="122"/>
      <c r="AK2287" s="122"/>
      <c r="AL2287" s="122"/>
      <c r="AM2287" s="122"/>
      <c r="AN2287" s="122"/>
      <c r="AO2287" s="122"/>
      <c r="AP2287" s="122"/>
    </row>
    <row r="2288" spans="2:42">
      <c r="B2288" s="122"/>
      <c r="C2288" s="122"/>
      <c r="D2288" s="122"/>
      <c r="E2288" s="122"/>
      <c r="F2288" s="122"/>
      <c r="G2288" s="122"/>
      <c r="H2288" s="122"/>
      <c r="I2288" s="275"/>
      <c r="J2288" s="130"/>
      <c r="K2288" s="130"/>
      <c r="L2288" s="130"/>
      <c r="M2288" s="130"/>
      <c r="N2288" s="291"/>
      <c r="O2288" s="291"/>
      <c r="P2288" s="122"/>
      <c r="Q2288" s="122"/>
      <c r="R2288" s="122"/>
      <c r="S2288" s="122"/>
      <c r="T2288" s="122"/>
      <c r="U2288" s="315"/>
      <c r="V2288" s="260">
        <f t="shared" ca="1" si="43"/>
        <v>0</v>
      </c>
      <c r="W2288" s="348" t="str">
        <f>IF(板块成分!B2290="","",板块成分!B2290)</f>
        <v>300847.SZ</v>
      </c>
      <c r="X2288" s="276" t="str">
        <f>[1]!S_Info_Name(W2288)</f>
        <v>中船汉光</v>
      </c>
      <c r="Y2288" s="276" t="str">
        <f ca="1">IF($Y$3="申万一级行业",[1]!s_info_industry_sw_2021(W2288,公司分析!D$5,1),IF($Y$3="申万二级行业",[1]!s_info_industry_sw_2021(W2288,公司分析!D$5,2),IF($Y$3="申万三级行业",[1]!s_info_industry_sw_2021(W2288,公司分析!D$5,3),IF($Y$3="wind一级行业",[1]!s_info_industry_gics(W2288,1),IF($Y$3="wind二级行业",[1]!s_info_industry_gics(W2288,2),IF($Y$3="wind三级行业",[1]!s_info_industry_gics(W2288,3),IF($Y$3="wind四级行业",[1]!s_info_industry_gics(W2288,4),IF($Y$3="证监会门类行业",[1]!s_info_industry_csrc12_n(W2288,公司分析!D$5,1),""))))))))</f>
        <v>计算机设备</v>
      </c>
      <c r="Z2288" s="302" t="str">
        <f ca="1">IF(Y2288=行业比较!$E$6,ROW(),"")</f>
        <v/>
      </c>
      <c r="AA2288" s="122"/>
      <c r="AB2288" s="122"/>
      <c r="AC2288" s="122"/>
      <c r="AD2288" s="122"/>
      <c r="AE2288" s="122"/>
      <c r="AF2288" s="122"/>
      <c r="AG2288" s="122"/>
      <c r="AH2288" s="122"/>
      <c r="AI2288" s="122"/>
      <c r="AJ2288" s="122"/>
      <c r="AK2288" s="122"/>
      <c r="AL2288" s="122"/>
      <c r="AM2288" s="122"/>
      <c r="AN2288" s="122"/>
      <c r="AO2288" s="122"/>
      <c r="AP2288" s="122"/>
    </row>
    <row r="2289" spans="2:42">
      <c r="B2289" s="122"/>
      <c r="C2289" s="122"/>
      <c r="D2289" s="122"/>
      <c r="E2289" s="122"/>
      <c r="F2289" s="122"/>
      <c r="G2289" s="122"/>
      <c r="H2289" s="122"/>
      <c r="I2289" s="275"/>
      <c r="J2289" s="130"/>
      <c r="K2289" s="130"/>
      <c r="L2289" s="130"/>
      <c r="M2289" s="130"/>
      <c r="N2289" s="291"/>
      <c r="O2289" s="291"/>
      <c r="P2289" s="122"/>
      <c r="Q2289" s="122"/>
      <c r="R2289" s="122"/>
      <c r="S2289" s="122"/>
      <c r="T2289" s="122"/>
      <c r="U2289" s="315"/>
      <c r="V2289" s="260">
        <f t="shared" ca="1" si="43"/>
        <v>0</v>
      </c>
      <c r="W2289" s="348" t="str">
        <f>IF(板块成分!B2291="","",板块成分!B2291)</f>
        <v>300848.SZ</v>
      </c>
      <c r="X2289" s="276" t="str">
        <f>[1]!S_Info_Name(W2289)</f>
        <v>美瑞新材</v>
      </c>
      <c r="Y2289" s="276" t="str">
        <f ca="1">IF($Y$3="申万一级行业",[1]!s_info_industry_sw_2021(W2289,公司分析!D$5,1),IF($Y$3="申万二级行业",[1]!s_info_industry_sw_2021(W2289,公司分析!D$5,2),IF($Y$3="申万三级行业",[1]!s_info_industry_sw_2021(W2289,公司分析!D$5,3),IF($Y$3="wind一级行业",[1]!s_info_industry_gics(W2289,1),IF($Y$3="wind二级行业",[1]!s_info_industry_gics(W2289,2),IF($Y$3="wind三级行业",[1]!s_info_industry_gics(W2289,3),IF($Y$3="wind四级行业",[1]!s_info_industry_gics(W2289,4),IF($Y$3="证监会门类行业",[1]!s_info_industry_csrc12_n(W2289,公司分析!D$5,1),""))))))))</f>
        <v>化学制品</v>
      </c>
      <c r="Z2289" s="302" t="str">
        <f ca="1">IF(Y2289=行业比较!$E$6,ROW(),"")</f>
        <v/>
      </c>
      <c r="AA2289" s="122"/>
      <c r="AB2289" s="122"/>
      <c r="AC2289" s="122"/>
      <c r="AD2289" s="122"/>
      <c r="AE2289" s="122"/>
      <c r="AF2289" s="122"/>
      <c r="AG2289" s="122"/>
      <c r="AH2289" s="122"/>
      <c r="AI2289" s="122"/>
      <c r="AJ2289" s="122"/>
      <c r="AK2289" s="122"/>
      <c r="AL2289" s="122"/>
      <c r="AM2289" s="122"/>
      <c r="AN2289" s="122"/>
      <c r="AO2289" s="122"/>
      <c r="AP2289" s="122"/>
    </row>
    <row r="2290" spans="2:42">
      <c r="B2290" s="122"/>
      <c r="C2290" s="122"/>
      <c r="D2290" s="122"/>
      <c r="E2290" s="122"/>
      <c r="F2290" s="122"/>
      <c r="G2290" s="122"/>
      <c r="H2290" s="122"/>
      <c r="I2290" s="275"/>
      <c r="J2290" s="130"/>
      <c r="K2290" s="130"/>
      <c r="L2290" s="130"/>
      <c r="M2290" s="130"/>
      <c r="N2290" s="291"/>
      <c r="O2290" s="291"/>
      <c r="P2290" s="122"/>
      <c r="Q2290" s="122"/>
      <c r="R2290" s="122"/>
      <c r="S2290" s="122"/>
      <c r="T2290" s="122"/>
      <c r="U2290" s="315"/>
      <c r="V2290" s="260">
        <f t="shared" ca="1" si="43"/>
        <v>0</v>
      </c>
      <c r="W2290" s="348" t="str">
        <f>IF(板块成分!B2292="","",板块成分!B2292)</f>
        <v>300849.SZ</v>
      </c>
      <c r="X2290" s="276" t="str">
        <f>[1]!S_Info_Name(W2290)</f>
        <v>锦盛新材</v>
      </c>
      <c r="Y2290" s="276" t="str">
        <f ca="1">IF($Y$3="申万一级行业",[1]!s_info_industry_sw_2021(W2290,公司分析!D$5,1),IF($Y$3="申万二级行业",[1]!s_info_industry_sw_2021(W2290,公司分析!D$5,2),IF($Y$3="申万三级行业",[1]!s_info_industry_sw_2021(W2290,公司分析!D$5,3),IF($Y$3="wind一级行业",[1]!s_info_industry_gics(W2290,1),IF($Y$3="wind二级行业",[1]!s_info_industry_gics(W2290,2),IF($Y$3="wind三级行业",[1]!s_info_industry_gics(W2290,3),IF($Y$3="wind四级行业",[1]!s_info_industry_gics(W2290,4),IF($Y$3="证监会门类行业",[1]!s_info_industry_csrc12_n(W2290,公司分析!D$5,1),""))))))))</f>
        <v>化妆品</v>
      </c>
      <c r="Z2290" s="302" t="str">
        <f ca="1">IF(Y2290=行业比较!$E$6,ROW(),"")</f>
        <v/>
      </c>
      <c r="AA2290" s="122"/>
      <c r="AB2290" s="122"/>
      <c r="AC2290" s="122"/>
      <c r="AD2290" s="122"/>
      <c r="AE2290" s="122"/>
      <c r="AF2290" s="122"/>
      <c r="AG2290" s="122"/>
      <c r="AH2290" s="122"/>
      <c r="AI2290" s="122"/>
      <c r="AJ2290" s="122"/>
      <c r="AK2290" s="122"/>
      <c r="AL2290" s="122"/>
      <c r="AM2290" s="122"/>
      <c r="AN2290" s="122"/>
      <c r="AO2290" s="122"/>
      <c r="AP2290" s="122"/>
    </row>
    <row r="2291" spans="2:42">
      <c r="B2291" s="122"/>
      <c r="C2291" s="122"/>
      <c r="D2291" s="122"/>
      <c r="E2291" s="122"/>
      <c r="F2291" s="122"/>
      <c r="G2291" s="122"/>
      <c r="H2291" s="122"/>
      <c r="I2291" s="275"/>
      <c r="J2291" s="130"/>
      <c r="K2291" s="130"/>
      <c r="L2291" s="130"/>
      <c r="M2291" s="130"/>
      <c r="N2291" s="291"/>
      <c r="O2291" s="291"/>
      <c r="P2291" s="122"/>
      <c r="Q2291" s="122"/>
      <c r="R2291" s="122"/>
      <c r="S2291" s="122"/>
      <c r="T2291" s="122"/>
      <c r="U2291" s="315"/>
      <c r="V2291" s="260">
        <f t="shared" ca="1" si="43"/>
        <v>0</v>
      </c>
      <c r="W2291" s="348" t="str">
        <f>IF(板块成分!B2293="","",板块成分!B2293)</f>
        <v>300850.SZ</v>
      </c>
      <c r="X2291" s="276" t="str">
        <f>[1]!S_Info_Name(W2291)</f>
        <v>新强联</v>
      </c>
      <c r="Y2291" s="276" t="str">
        <f ca="1">IF($Y$3="申万一级行业",[1]!s_info_industry_sw_2021(W2291,公司分析!D$5,1),IF($Y$3="申万二级行业",[1]!s_info_industry_sw_2021(W2291,公司分析!D$5,2),IF($Y$3="申万三级行业",[1]!s_info_industry_sw_2021(W2291,公司分析!D$5,3),IF($Y$3="wind一级行业",[1]!s_info_industry_gics(W2291,1),IF($Y$3="wind二级行业",[1]!s_info_industry_gics(W2291,2),IF($Y$3="wind三级行业",[1]!s_info_industry_gics(W2291,3),IF($Y$3="wind四级行业",[1]!s_info_industry_gics(W2291,4),IF($Y$3="证监会门类行业",[1]!s_info_industry_csrc12_n(W2291,公司分析!D$5,1),""))))))))</f>
        <v>风电设备</v>
      </c>
      <c r="Z2291" s="302" t="str">
        <f ca="1">IF(Y2291=行业比较!$E$6,ROW(),"")</f>
        <v/>
      </c>
      <c r="AA2291" s="122"/>
      <c r="AB2291" s="122"/>
      <c r="AC2291" s="122"/>
      <c r="AD2291" s="122"/>
      <c r="AE2291" s="122"/>
      <c r="AF2291" s="122"/>
      <c r="AG2291" s="122"/>
      <c r="AH2291" s="122"/>
      <c r="AI2291" s="122"/>
      <c r="AJ2291" s="122"/>
      <c r="AK2291" s="122"/>
      <c r="AL2291" s="122"/>
      <c r="AM2291" s="122"/>
      <c r="AN2291" s="122"/>
      <c r="AO2291" s="122"/>
      <c r="AP2291" s="122"/>
    </row>
    <row r="2292" spans="2:42">
      <c r="B2292" s="122"/>
      <c r="C2292" s="122"/>
      <c r="D2292" s="122"/>
      <c r="E2292" s="122"/>
      <c r="F2292" s="122"/>
      <c r="G2292" s="122"/>
      <c r="H2292" s="122"/>
      <c r="I2292" s="275"/>
      <c r="J2292" s="130"/>
      <c r="K2292" s="130"/>
      <c r="L2292" s="130"/>
      <c r="M2292" s="130"/>
      <c r="N2292" s="291"/>
      <c r="O2292" s="291"/>
      <c r="P2292" s="122"/>
      <c r="Q2292" s="122"/>
      <c r="R2292" s="122"/>
      <c r="S2292" s="122"/>
      <c r="T2292" s="122"/>
      <c r="U2292" s="315"/>
      <c r="V2292" s="260">
        <f t="shared" ca="1" si="43"/>
        <v>0</v>
      </c>
      <c r="W2292" s="348" t="str">
        <f>IF(板块成分!B2294="","",板块成分!B2294)</f>
        <v>300851.SZ</v>
      </c>
      <c r="X2292" s="276" t="str">
        <f>[1]!S_Info_Name(W2292)</f>
        <v>交大思诺</v>
      </c>
      <c r="Y2292" s="276" t="str">
        <f ca="1">IF($Y$3="申万一级行业",[1]!s_info_industry_sw_2021(W2292,公司分析!D$5,1),IF($Y$3="申万二级行业",[1]!s_info_industry_sw_2021(W2292,公司分析!D$5,2),IF($Y$3="申万三级行业",[1]!s_info_industry_sw_2021(W2292,公司分析!D$5,3),IF($Y$3="wind一级行业",[1]!s_info_industry_gics(W2292,1),IF($Y$3="wind二级行业",[1]!s_info_industry_gics(W2292,2),IF($Y$3="wind三级行业",[1]!s_info_industry_gics(W2292,3),IF($Y$3="wind四级行业",[1]!s_info_industry_gics(W2292,4),IF($Y$3="证监会门类行业",[1]!s_info_industry_csrc12_n(W2292,公司分析!D$5,1),""))))))))</f>
        <v>轨交设备Ⅱ</v>
      </c>
      <c r="Z2292" s="302" t="str">
        <f ca="1">IF(Y2292=行业比较!$E$6,ROW(),"")</f>
        <v/>
      </c>
      <c r="AA2292" s="122"/>
      <c r="AB2292" s="122"/>
      <c r="AC2292" s="122"/>
      <c r="AD2292" s="122"/>
      <c r="AE2292" s="122"/>
      <c r="AF2292" s="122"/>
      <c r="AG2292" s="122"/>
      <c r="AH2292" s="122"/>
      <c r="AI2292" s="122"/>
      <c r="AJ2292" s="122"/>
      <c r="AK2292" s="122"/>
      <c r="AL2292" s="122"/>
      <c r="AM2292" s="122"/>
      <c r="AN2292" s="122"/>
      <c r="AO2292" s="122"/>
      <c r="AP2292" s="122"/>
    </row>
    <row r="2293" spans="2:42">
      <c r="B2293" s="122"/>
      <c r="C2293" s="122"/>
      <c r="D2293" s="122"/>
      <c r="E2293" s="122"/>
      <c r="F2293" s="122"/>
      <c r="G2293" s="122"/>
      <c r="H2293" s="122"/>
      <c r="I2293" s="275"/>
      <c r="J2293" s="130"/>
      <c r="K2293" s="130"/>
      <c r="L2293" s="130"/>
      <c r="M2293" s="130"/>
      <c r="N2293" s="291"/>
      <c r="O2293" s="291"/>
      <c r="P2293" s="122"/>
      <c r="Q2293" s="122"/>
      <c r="R2293" s="122"/>
      <c r="S2293" s="122"/>
      <c r="T2293" s="122"/>
      <c r="U2293" s="315"/>
      <c r="V2293" s="260">
        <f t="shared" ca="1" si="43"/>
        <v>0</v>
      </c>
      <c r="W2293" s="348" t="str">
        <f>IF(板块成分!B2295="","",板块成分!B2295)</f>
        <v>300852.SZ</v>
      </c>
      <c r="X2293" s="276" t="str">
        <f>[1]!S_Info_Name(W2293)</f>
        <v>四会富仕</v>
      </c>
      <c r="Y2293" s="276" t="str">
        <f ca="1">IF($Y$3="申万一级行业",[1]!s_info_industry_sw_2021(W2293,公司分析!D$5,1),IF($Y$3="申万二级行业",[1]!s_info_industry_sw_2021(W2293,公司分析!D$5,2),IF($Y$3="申万三级行业",[1]!s_info_industry_sw_2021(W2293,公司分析!D$5,3),IF($Y$3="wind一级行业",[1]!s_info_industry_gics(W2293,1),IF($Y$3="wind二级行业",[1]!s_info_industry_gics(W2293,2),IF($Y$3="wind三级行业",[1]!s_info_industry_gics(W2293,3),IF($Y$3="wind四级行业",[1]!s_info_industry_gics(W2293,4),IF($Y$3="证监会门类行业",[1]!s_info_industry_csrc12_n(W2293,公司分析!D$5,1),""))))))))</f>
        <v>元件</v>
      </c>
      <c r="Z2293" s="302" t="str">
        <f ca="1">IF(Y2293=行业比较!$E$6,ROW(),"")</f>
        <v/>
      </c>
      <c r="AA2293" s="122"/>
      <c r="AB2293" s="122"/>
      <c r="AC2293" s="122"/>
      <c r="AD2293" s="122"/>
      <c r="AE2293" s="122"/>
      <c r="AF2293" s="122"/>
      <c r="AG2293" s="122"/>
      <c r="AH2293" s="122"/>
      <c r="AI2293" s="122"/>
      <c r="AJ2293" s="122"/>
      <c r="AK2293" s="122"/>
      <c r="AL2293" s="122"/>
      <c r="AM2293" s="122"/>
      <c r="AN2293" s="122"/>
      <c r="AO2293" s="122"/>
      <c r="AP2293" s="122"/>
    </row>
    <row r="2294" spans="2:42">
      <c r="B2294" s="122"/>
      <c r="C2294" s="122"/>
      <c r="D2294" s="122"/>
      <c r="E2294" s="122"/>
      <c r="F2294" s="122"/>
      <c r="G2294" s="122"/>
      <c r="H2294" s="122"/>
      <c r="I2294" s="275"/>
      <c r="J2294" s="130"/>
      <c r="K2294" s="130"/>
      <c r="L2294" s="130"/>
      <c r="M2294" s="130"/>
      <c r="N2294" s="291"/>
      <c r="O2294" s="291"/>
      <c r="P2294" s="122"/>
      <c r="Q2294" s="122"/>
      <c r="R2294" s="122"/>
      <c r="S2294" s="122"/>
      <c r="T2294" s="122"/>
      <c r="U2294" s="315"/>
      <c r="V2294" s="260">
        <f t="shared" ca="1" si="43"/>
        <v>0</v>
      </c>
      <c r="W2294" s="348" t="str">
        <f>IF(板块成分!B2296="","",板块成分!B2296)</f>
        <v>300853.SZ</v>
      </c>
      <c r="X2294" s="276" t="str">
        <f>[1]!S_Info_Name(W2294)</f>
        <v>申昊科技</v>
      </c>
      <c r="Y2294" s="276" t="str">
        <f ca="1">IF($Y$3="申万一级行业",[1]!s_info_industry_sw_2021(W2294,公司分析!D$5,1),IF($Y$3="申万二级行业",[1]!s_info_industry_sw_2021(W2294,公司分析!D$5,2),IF($Y$3="申万三级行业",[1]!s_info_industry_sw_2021(W2294,公司分析!D$5,3),IF($Y$3="wind一级行业",[1]!s_info_industry_gics(W2294,1),IF($Y$3="wind二级行业",[1]!s_info_industry_gics(W2294,2),IF($Y$3="wind三级行业",[1]!s_info_industry_gics(W2294,3),IF($Y$3="wind四级行业",[1]!s_info_industry_gics(W2294,4),IF($Y$3="证监会门类行业",[1]!s_info_industry_csrc12_n(W2294,公司分析!D$5,1),""))))))))</f>
        <v>电网设备</v>
      </c>
      <c r="Z2294" s="302" t="str">
        <f ca="1">IF(Y2294=行业比较!$E$6,ROW(),"")</f>
        <v/>
      </c>
      <c r="AA2294" s="122"/>
      <c r="AB2294" s="122"/>
      <c r="AC2294" s="122"/>
      <c r="AD2294" s="122"/>
      <c r="AE2294" s="122"/>
      <c r="AF2294" s="122"/>
      <c r="AG2294" s="122"/>
      <c r="AH2294" s="122"/>
      <c r="AI2294" s="122"/>
      <c r="AJ2294" s="122"/>
      <c r="AK2294" s="122"/>
      <c r="AL2294" s="122"/>
      <c r="AM2294" s="122"/>
      <c r="AN2294" s="122"/>
      <c r="AO2294" s="122"/>
      <c r="AP2294" s="122"/>
    </row>
    <row r="2295" spans="2:42">
      <c r="B2295" s="122"/>
      <c r="C2295" s="122"/>
      <c r="D2295" s="122"/>
      <c r="E2295" s="122"/>
      <c r="F2295" s="122"/>
      <c r="G2295" s="122"/>
      <c r="H2295" s="122"/>
      <c r="I2295" s="275"/>
      <c r="J2295" s="130"/>
      <c r="K2295" s="130"/>
      <c r="L2295" s="130"/>
      <c r="M2295" s="130"/>
      <c r="N2295" s="291"/>
      <c r="O2295" s="291"/>
      <c r="P2295" s="122"/>
      <c r="Q2295" s="122"/>
      <c r="R2295" s="122"/>
      <c r="S2295" s="122"/>
      <c r="T2295" s="122"/>
      <c r="U2295" s="315"/>
      <c r="V2295" s="260">
        <f t="shared" ca="1" si="43"/>
        <v>0</v>
      </c>
      <c r="W2295" s="348" t="str">
        <f>IF(板块成分!B2297="","",板块成分!B2297)</f>
        <v>300854.SZ</v>
      </c>
      <c r="X2295" s="276" t="str">
        <f>[1]!S_Info_Name(W2295)</f>
        <v>中兰环保</v>
      </c>
      <c r="Y2295" s="276" t="str">
        <f ca="1">IF($Y$3="申万一级行业",[1]!s_info_industry_sw_2021(W2295,公司分析!D$5,1),IF($Y$3="申万二级行业",[1]!s_info_industry_sw_2021(W2295,公司分析!D$5,2),IF($Y$3="申万三级行业",[1]!s_info_industry_sw_2021(W2295,公司分析!D$5,3),IF($Y$3="wind一级行业",[1]!s_info_industry_gics(W2295,1),IF($Y$3="wind二级行业",[1]!s_info_industry_gics(W2295,2),IF($Y$3="wind三级行业",[1]!s_info_industry_gics(W2295,3),IF($Y$3="wind四级行业",[1]!s_info_industry_gics(W2295,4),IF($Y$3="证监会门类行业",[1]!s_info_industry_csrc12_n(W2295,公司分析!D$5,1),""))))))))</f>
        <v>环境治理</v>
      </c>
      <c r="Z2295" s="302" t="str">
        <f ca="1">IF(Y2295=行业比较!$E$6,ROW(),"")</f>
        <v/>
      </c>
      <c r="AA2295" s="122"/>
      <c r="AB2295" s="122"/>
      <c r="AC2295" s="122"/>
      <c r="AD2295" s="122"/>
      <c r="AE2295" s="122"/>
      <c r="AF2295" s="122"/>
      <c r="AG2295" s="122"/>
      <c r="AH2295" s="122"/>
      <c r="AI2295" s="122"/>
      <c r="AJ2295" s="122"/>
      <c r="AK2295" s="122"/>
      <c r="AL2295" s="122"/>
      <c r="AM2295" s="122"/>
      <c r="AN2295" s="122"/>
      <c r="AO2295" s="122"/>
      <c r="AP2295" s="122"/>
    </row>
    <row r="2296" spans="2:42">
      <c r="B2296" s="122"/>
      <c r="C2296" s="122"/>
      <c r="D2296" s="122"/>
      <c r="E2296" s="122"/>
      <c r="F2296" s="122"/>
      <c r="G2296" s="122"/>
      <c r="H2296" s="122"/>
      <c r="I2296" s="275"/>
      <c r="J2296" s="130"/>
      <c r="K2296" s="130"/>
      <c r="L2296" s="130"/>
      <c r="M2296" s="130"/>
      <c r="N2296" s="291"/>
      <c r="O2296" s="291"/>
      <c r="P2296" s="122"/>
      <c r="Q2296" s="122"/>
      <c r="R2296" s="122"/>
      <c r="S2296" s="122"/>
      <c r="T2296" s="122"/>
      <c r="U2296" s="315"/>
      <c r="V2296" s="260">
        <f t="shared" ca="1" si="43"/>
        <v>0</v>
      </c>
      <c r="W2296" s="348" t="str">
        <f>IF(板块成分!B2298="","",板块成分!B2298)</f>
        <v>300855.SZ</v>
      </c>
      <c r="X2296" s="276" t="str">
        <f>[1]!S_Info_Name(W2296)</f>
        <v>图南股份</v>
      </c>
      <c r="Y2296" s="276" t="str">
        <f ca="1">IF($Y$3="申万一级行业",[1]!s_info_industry_sw_2021(W2296,公司分析!D$5,1),IF($Y$3="申万二级行业",[1]!s_info_industry_sw_2021(W2296,公司分析!D$5,2),IF($Y$3="申万三级行业",[1]!s_info_industry_sw_2021(W2296,公司分析!D$5,3),IF($Y$3="wind一级行业",[1]!s_info_industry_gics(W2296,1),IF($Y$3="wind二级行业",[1]!s_info_industry_gics(W2296,2),IF($Y$3="wind三级行业",[1]!s_info_industry_gics(W2296,3),IF($Y$3="wind四级行业",[1]!s_info_industry_gics(W2296,4),IF($Y$3="证监会门类行业",[1]!s_info_industry_csrc12_n(W2296,公司分析!D$5,1),""))))))))</f>
        <v>金属新材料</v>
      </c>
      <c r="Z2296" s="302" t="str">
        <f ca="1">IF(Y2296=行业比较!$E$6,ROW(),"")</f>
        <v/>
      </c>
      <c r="AA2296" s="122"/>
      <c r="AB2296" s="122"/>
      <c r="AC2296" s="122"/>
      <c r="AD2296" s="122"/>
      <c r="AE2296" s="122"/>
      <c r="AF2296" s="122"/>
      <c r="AG2296" s="122"/>
      <c r="AH2296" s="122"/>
      <c r="AI2296" s="122"/>
      <c r="AJ2296" s="122"/>
      <c r="AK2296" s="122"/>
      <c r="AL2296" s="122"/>
      <c r="AM2296" s="122"/>
      <c r="AN2296" s="122"/>
      <c r="AO2296" s="122"/>
      <c r="AP2296" s="122"/>
    </row>
    <row r="2297" spans="2:42">
      <c r="B2297" s="122"/>
      <c r="C2297" s="122"/>
      <c r="D2297" s="122"/>
      <c r="E2297" s="122"/>
      <c r="F2297" s="122"/>
      <c r="G2297" s="122"/>
      <c r="H2297" s="122"/>
      <c r="I2297" s="275"/>
      <c r="J2297" s="130"/>
      <c r="K2297" s="130"/>
      <c r="L2297" s="130"/>
      <c r="M2297" s="130"/>
      <c r="N2297" s="291"/>
      <c r="O2297" s="291"/>
      <c r="P2297" s="122"/>
      <c r="Q2297" s="122"/>
      <c r="R2297" s="122"/>
      <c r="S2297" s="122"/>
      <c r="T2297" s="122"/>
      <c r="U2297" s="315"/>
      <c r="V2297" s="260">
        <f t="shared" ca="1" si="43"/>
        <v>0</v>
      </c>
      <c r="W2297" s="348" t="str">
        <f>IF(板块成分!B2299="","",板块成分!B2299)</f>
        <v>300856.SZ</v>
      </c>
      <c r="X2297" s="276" t="str">
        <f>[1]!S_Info_Name(W2297)</f>
        <v>科思股份</v>
      </c>
      <c r="Y2297" s="276" t="str">
        <f ca="1">IF($Y$3="申万一级行业",[1]!s_info_industry_sw_2021(W2297,公司分析!D$5,1),IF($Y$3="申万二级行业",[1]!s_info_industry_sw_2021(W2297,公司分析!D$5,2),IF($Y$3="申万三级行业",[1]!s_info_industry_sw_2021(W2297,公司分析!D$5,3),IF($Y$3="wind一级行业",[1]!s_info_industry_gics(W2297,1),IF($Y$3="wind二级行业",[1]!s_info_industry_gics(W2297,2),IF($Y$3="wind三级行业",[1]!s_info_industry_gics(W2297,3),IF($Y$3="wind四级行业",[1]!s_info_industry_gics(W2297,4),IF($Y$3="证监会门类行业",[1]!s_info_industry_csrc12_n(W2297,公司分析!D$5,1),""))))))))</f>
        <v>化妆品</v>
      </c>
      <c r="Z2297" s="302" t="str">
        <f ca="1">IF(Y2297=行业比较!$E$6,ROW(),"")</f>
        <v/>
      </c>
      <c r="AA2297" s="122"/>
      <c r="AB2297" s="122"/>
      <c r="AC2297" s="122"/>
      <c r="AD2297" s="122"/>
      <c r="AE2297" s="122"/>
      <c r="AF2297" s="122"/>
      <c r="AG2297" s="122"/>
      <c r="AH2297" s="122"/>
      <c r="AI2297" s="122"/>
      <c r="AJ2297" s="122"/>
      <c r="AK2297" s="122"/>
      <c r="AL2297" s="122"/>
      <c r="AM2297" s="122"/>
      <c r="AN2297" s="122"/>
      <c r="AO2297" s="122"/>
      <c r="AP2297" s="122"/>
    </row>
    <row r="2298" spans="2:42">
      <c r="B2298" s="122"/>
      <c r="C2298" s="122"/>
      <c r="D2298" s="122"/>
      <c r="E2298" s="122"/>
      <c r="F2298" s="122"/>
      <c r="G2298" s="122"/>
      <c r="H2298" s="122"/>
      <c r="I2298" s="275"/>
      <c r="J2298" s="130"/>
      <c r="K2298" s="130"/>
      <c r="L2298" s="130"/>
      <c r="M2298" s="130"/>
      <c r="N2298" s="291"/>
      <c r="O2298" s="291"/>
      <c r="P2298" s="122"/>
      <c r="Q2298" s="122"/>
      <c r="R2298" s="122"/>
      <c r="S2298" s="122"/>
      <c r="T2298" s="122"/>
      <c r="U2298" s="315"/>
      <c r="V2298" s="260">
        <f t="shared" ca="1" si="43"/>
        <v>0</v>
      </c>
      <c r="W2298" s="348" t="str">
        <f>IF(板块成分!B2300="","",板块成分!B2300)</f>
        <v>300857.SZ</v>
      </c>
      <c r="X2298" s="276" t="str">
        <f>[1]!S_Info_Name(W2298)</f>
        <v>协创数据</v>
      </c>
      <c r="Y2298" s="276" t="str">
        <f ca="1">IF($Y$3="申万一级行业",[1]!s_info_industry_sw_2021(W2298,公司分析!D$5,1),IF($Y$3="申万二级行业",[1]!s_info_industry_sw_2021(W2298,公司分析!D$5,2),IF($Y$3="申万三级行业",[1]!s_info_industry_sw_2021(W2298,公司分析!D$5,3),IF($Y$3="wind一级行业",[1]!s_info_industry_gics(W2298,1),IF($Y$3="wind二级行业",[1]!s_info_industry_gics(W2298,2),IF($Y$3="wind三级行业",[1]!s_info_industry_gics(W2298,3),IF($Y$3="wind四级行业",[1]!s_info_industry_gics(W2298,4),IF($Y$3="证监会门类行业",[1]!s_info_industry_csrc12_n(W2298,公司分析!D$5,1),""))))))))</f>
        <v>消费电子</v>
      </c>
      <c r="Z2298" s="302" t="str">
        <f ca="1">IF(Y2298=行业比较!$E$6,ROW(),"")</f>
        <v/>
      </c>
      <c r="AA2298" s="122"/>
      <c r="AB2298" s="122"/>
      <c r="AC2298" s="122"/>
      <c r="AD2298" s="122"/>
      <c r="AE2298" s="122"/>
      <c r="AF2298" s="122"/>
      <c r="AG2298" s="122"/>
      <c r="AH2298" s="122"/>
      <c r="AI2298" s="122"/>
      <c r="AJ2298" s="122"/>
      <c r="AK2298" s="122"/>
      <c r="AL2298" s="122"/>
      <c r="AM2298" s="122"/>
      <c r="AN2298" s="122"/>
      <c r="AO2298" s="122"/>
      <c r="AP2298" s="122"/>
    </row>
    <row r="2299" spans="2:42">
      <c r="B2299" s="122"/>
      <c r="C2299" s="122"/>
      <c r="D2299" s="122"/>
      <c r="E2299" s="122"/>
      <c r="F2299" s="122"/>
      <c r="G2299" s="122"/>
      <c r="H2299" s="122"/>
      <c r="I2299" s="275"/>
      <c r="J2299" s="130"/>
      <c r="K2299" s="130"/>
      <c r="L2299" s="130"/>
      <c r="M2299" s="130"/>
      <c r="N2299" s="291"/>
      <c r="O2299" s="291"/>
      <c r="P2299" s="122"/>
      <c r="Q2299" s="122"/>
      <c r="R2299" s="122"/>
      <c r="S2299" s="122"/>
      <c r="T2299" s="122"/>
      <c r="U2299" s="315"/>
      <c r="V2299" s="260">
        <f t="shared" ca="1" si="43"/>
        <v>0</v>
      </c>
      <c r="W2299" s="348" t="str">
        <f>IF(板块成分!B2301="","",板块成分!B2301)</f>
        <v>300858.SZ</v>
      </c>
      <c r="X2299" s="276" t="str">
        <f>[1]!S_Info_Name(W2299)</f>
        <v>科拓生物</v>
      </c>
      <c r="Y2299" s="276" t="str">
        <f ca="1">IF($Y$3="申万一级行业",[1]!s_info_industry_sw_2021(W2299,公司分析!D$5,1),IF($Y$3="申万二级行业",[1]!s_info_industry_sw_2021(W2299,公司分析!D$5,2),IF($Y$3="申万三级行业",[1]!s_info_industry_sw_2021(W2299,公司分析!D$5,3),IF($Y$3="wind一级行业",[1]!s_info_industry_gics(W2299,1),IF($Y$3="wind二级行业",[1]!s_info_industry_gics(W2299,2),IF($Y$3="wind三级行业",[1]!s_info_industry_gics(W2299,3),IF($Y$3="wind四级行业",[1]!s_info_industry_gics(W2299,4),IF($Y$3="证监会门类行业",[1]!s_info_industry_csrc12_n(W2299,公司分析!D$5,1),""))))))))</f>
        <v>化学制品</v>
      </c>
      <c r="Z2299" s="302" t="str">
        <f ca="1">IF(Y2299=行业比较!$E$6,ROW(),"")</f>
        <v/>
      </c>
      <c r="AA2299" s="122"/>
      <c r="AB2299" s="122"/>
      <c r="AC2299" s="122"/>
      <c r="AD2299" s="122"/>
      <c r="AE2299" s="122"/>
      <c r="AF2299" s="122"/>
      <c r="AG2299" s="122"/>
      <c r="AH2299" s="122"/>
      <c r="AI2299" s="122"/>
      <c r="AJ2299" s="122"/>
      <c r="AK2299" s="122"/>
      <c r="AL2299" s="122"/>
      <c r="AM2299" s="122"/>
      <c r="AN2299" s="122"/>
      <c r="AO2299" s="122"/>
      <c r="AP2299" s="122"/>
    </row>
    <row r="2300" spans="2:42">
      <c r="B2300" s="122"/>
      <c r="C2300" s="122"/>
      <c r="D2300" s="122"/>
      <c r="E2300" s="122"/>
      <c r="F2300" s="122"/>
      <c r="G2300" s="122"/>
      <c r="H2300" s="122"/>
      <c r="I2300" s="275"/>
      <c r="J2300" s="130"/>
      <c r="K2300" s="130"/>
      <c r="L2300" s="130"/>
      <c r="M2300" s="130"/>
      <c r="N2300" s="291"/>
      <c r="O2300" s="291"/>
      <c r="P2300" s="122"/>
      <c r="Q2300" s="122"/>
      <c r="R2300" s="122"/>
      <c r="S2300" s="122"/>
      <c r="T2300" s="122"/>
      <c r="U2300" s="315"/>
      <c r="V2300" s="260">
        <f t="shared" ca="1" si="43"/>
        <v>0</v>
      </c>
      <c r="W2300" s="348" t="str">
        <f>IF(板块成分!B2302="","",板块成分!B2302)</f>
        <v>300859.SZ</v>
      </c>
      <c r="X2300" s="276" t="str">
        <f>[1]!S_Info_Name(W2300)</f>
        <v>西域旅游</v>
      </c>
      <c r="Y2300" s="276" t="str">
        <f ca="1">IF($Y$3="申万一级行业",[1]!s_info_industry_sw_2021(W2300,公司分析!D$5,1),IF($Y$3="申万二级行业",[1]!s_info_industry_sw_2021(W2300,公司分析!D$5,2),IF($Y$3="申万三级行业",[1]!s_info_industry_sw_2021(W2300,公司分析!D$5,3),IF($Y$3="wind一级行业",[1]!s_info_industry_gics(W2300,1),IF($Y$3="wind二级行业",[1]!s_info_industry_gics(W2300,2),IF($Y$3="wind三级行业",[1]!s_info_industry_gics(W2300,3),IF($Y$3="wind四级行业",[1]!s_info_industry_gics(W2300,4),IF($Y$3="证监会门类行业",[1]!s_info_industry_csrc12_n(W2300,公司分析!D$5,1),""))))))))</f>
        <v>旅游及景区</v>
      </c>
      <c r="Z2300" s="302" t="str">
        <f ca="1">IF(Y2300=行业比较!$E$6,ROW(),"")</f>
        <v/>
      </c>
      <c r="AA2300" s="122"/>
      <c r="AB2300" s="122"/>
      <c r="AC2300" s="122"/>
      <c r="AD2300" s="122"/>
      <c r="AE2300" s="122"/>
      <c r="AF2300" s="122"/>
      <c r="AG2300" s="122"/>
      <c r="AH2300" s="122"/>
      <c r="AI2300" s="122"/>
      <c r="AJ2300" s="122"/>
      <c r="AK2300" s="122"/>
      <c r="AL2300" s="122"/>
      <c r="AM2300" s="122"/>
      <c r="AN2300" s="122"/>
      <c r="AO2300" s="122"/>
      <c r="AP2300" s="122"/>
    </row>
    <row r="2301" spans="2:42">
      <c r="B2301" s="122"/>
      <c r="C2301" s="122"/>
      <c r="D2301" s="122"/>
      <c r="E2301" s="122"/>
      <c r="F2301" s="122"/>
      <c r="G2301" s="122"/>
      <c r="H2301" s="122"/>
      <c r="I2301" s="275"/>
      <c r="J2301" s="130"/>
      <c r="K2301" s="130"/>
      <c r="L2301" s="130"/>
      <c r="M2301" s="130"/>
      <c r="N2301" s="291"/>
      <c r="O2301" s="291"/>
      <c r="P2301" s="122"/>
      <c r="Q2301" s="122"/>
      <c r="R2301" s="122"/>
      <c r="S2301" s="122"/>
      <c r="T2301" s="122"/>
      <c r="U2301" s="315"/>
      <c r="V2301" s="260">
        <f t="shared" ca="1" si="43"/>
        <v>0</v>
      </c>
      <c r="W2301" s="348" t="str">
        <f>IF(板块成分!B2303="","",板块成分!B2303)</f>
        <v>300860.SZ</v>
      </c>
      <c r="X2301" s="276" t="str">
        <f>[1]!S_Info_Name(W2301)</f>
        <v>锋尚文化</v>
      </c>
      <c r="Y2301" s="276" t="str">
        <f ca="1">IF($Y$3="申万一级行业",[1]!s_info_industry_sw_2021(W2301,公司分析!D$5,1),IF($Y$3="申万二级行业",[1]!s_info_industry_sw_2021(W2301,公司分析!D$5,2),IF($Y$3="申万三级行业",[1]!s_info_industry_sw_2021(W2301,公司分析!D$5,3),IF($Y$3="wind一级行业",[1]!s_info_industry_gics(W2301,1),IF($Y$3="wind二级行业",[1]!s_info_industry_gics(W2301,2),IF($Y$3="wind三级行业",[1]!s_info_industry_gics(W2301,3),IF($Y$3="wind四级行业",[1]!s_info_industry_gics(W2301,4),IF($Y$3="证监会门类行业",[1]!s_info_industry_csrc12_n(W2301,公司分析!D$5,1),""))))))))</f>
        <v>专业服务</v>
      </c>
      <c r="Z2301" s="302" t="str">
        <f ca="1">IF(Y2301=行业比较!$E$6,ROW(),"")</f>
        <v/>
      </c>
      <c r="AA2301" s="122"/>
      <c r="AB2301" s="122"/>
      <c r="AC2301" s="122"/>
      <c r="AD2301" s="122"/>
      <c r="AE2301" s="122"/>
      <c r="AF2301" s="122"/>
      <c r="AG2301" s="122"/>
      <c r="AH2301" s="122"/>
      <c r="AI2301" s="122"/>
      <c r="AJ2301" s="122"/>
      <c r="AK2301" s="122"/>
      <c r="AL2301" s="122"/>
      <c r="AM2301" s="122"/>
      <c r="AN2301" s="122"/>
      <c r="AO2301" s="122"/>
      <c r="AP2301" s="122"/>
    </row>
    <row r="2302" spans="2:42">
      <c r="B2302" s="122"/>
      <c r="C2302" s="122"/>
      <c r="D2302" s="122"/>
      <c r="E2302" s="122"/>
      <c r="F2302" s="122"/>
      <c r="G2302" s="122"/>
      <c r="H2302" s="122"/>
      <c r="I2302" s="275"/>
      <c r="J2302" s="130"/>
      <c r="K2302" s="130"/>
      <c r="L2302" s="130"/>
      <c r="M2302" s="130"/>
      <c r="N2302" s="291"/>
      <c r="O2302" s="291"/>
      <c r="P2302" s="122"/>
      <c r="Q2302" s="122"/>
      <c r="R2302" s="122"/>
      <c r="S2302" s="122"/>
      <c r="T2302" s="122"/>
      <c r="U2302" s="315"/>
      <c r="V2302" s="260">
        <f t="shared" ca="1" si="43"/>
        <v>0</v>
      </c>
      <c r="W2302" s="348" t="str">
        <f>IF(板块成分!B2304="","",板块成分!B2304)</f>
        <v>300861.SZ</v>
      </c>
      <c r="X2302" s="276" t="str">
        <f>[1]!S_Info_Name(W2302)</f>
        <v>美畅股份</v>
      </c>
      <c r="Y2302" s="276" t="str">
        <f ca="1">IF($Y$3="申万一级行业",[1]!s_info_industry_sw_2021(W2302,公司分析!D$5,1),IF($Y$3="申万二级行业",[1]!s_info_industry_sw_2021(W2302,公司分析!D$5,2),IF($Y$3="申万三级行业",[1]!s_info_industry_sw_2021(W2302,公司分析!D$5,3),IF($Y$3="wind一级行业",[1]!s_info_industry_gics(W2302,1),IF($Y$3="wind二级行业",[1]!s_info_industry_gics(W2302,2),IF($Y$3="wind三级行业",[1]!s_info_industry_gics(W2302,3),IF($Y$3="wind四级行业",[1]!s_info_industry_gics(W2302,4),IF($Y$3="证监会门类行业",[1]!s_info_industry_csrc12_n(W2302,公司分析!D$5,1),""))))))))</f>
        <v>通用设备</v>
      </c>
      <c r="Z2302" s="302" t="str">
        <f ca="1">IF(Y2302=行业比较!$E$6,ROW(),"")</f>
        <v/>
      </c>
      <c r="AA2302" s="122"/>
      <c r="AB2302" s="122"/>
      <c r="AC2302" s="122"/>
      <c r="AD2302" s="122"/>
      <c r="AE2302" s="122"/>
      <c r="AF2302" s="122"/>
      <c r="AG2302" s="122"/>
      <c r="AH2302" s="122"/>
      <c r="AI2302" s="122"/>
      <c r="AJ2302" s="122"/>
      <c r="AK2302" s="122"/>
      <c r="AL2302" s="122"/>
      <c r="AM2302" s="122"/>
      <c r="AN2302" s="122"/>
      <c r="AO2302" s="122"/>
      <c r="AP2302" s="122"/>
    </row>
    <row r="2303" spans="2:42">
      <c r="B2303" s="122"/>
      <c r="C2303" s="122"/>
      <c r="D2303" s="122"/>
      <c r="E2303" s="122"/>
      <c r="F2303" s="122"/>
      <c r="G2303" s="122"/>
      <c r="H2303" s="122"/>
      <c r="I2303" s="275"/>
      <c r="J2303" s="130"/>
      <c r="K2303" s="130"/>
      <c r="L2303" s="130"/>
      <c r="M2303" s="130"/>
      <c r="N2303" s="291"/>
      <c r="O2303" s="291"/>
      <c r="P2303" s="122"/>
      <c r="Q2303" s="122"/>
      <c r="R2303" s="122"/>
      <c r="S2303" s="122"/>
      <c r="T2303" s="122"/>
      <c r="U2303" s="315"/>
      <c r="V2303" s="260">
        <f t="shared" ca="1" si="43"/>
        <v>0</v>
      </c>
      <c r="W2303" s="348" t="str">
        <f>IF(板块成分!B2305="","",板块成分!B2305)</f>
        <v>300862.SZ</v>
      </c>
      <c r="X2303" s="276" t="str">
        <f>[1]!S_Info_Name(W2303)</f>
        <v>蓝盾光电</v>
      </c>
      <c r="Y2303" s="276" t="str">
        <f ca="1">IF($Y$3="申万一级行业",[1]!s_info_industry_sw_2021(W2303,公司分析!D$5,1),IF($Y$3="申万二级行业",[1]!s_info_industry_sw_2021(W2303,公司分析!D$5,2),IF($Y$3="申万三级行业",[1]!s_info_industry_sw_2021(W2303,公司分析!D$5,3),IF($Y$3="wind一级行业",[1]!s_info_industry_gics(W2303,1),IF($Y$3="wind二级行业",[1]!s_info_industry_gics(W2303,2),IF($Y$3="wind三级行业",[1]!s_info_industry_gics(W2303,3),IF($Y$3="wind四级行业",[1]!s_info_industry_gics(W2303,4),IF($Y$3="证监会门类行业",[1]!s_info_industry_csrc12_n(W2303,公司分析!D$5,1),""))))))))</f>
        <v>通用设备</v>
      </c>
      <c r="Z2303" s="302" t="str">
        <f ca="1">IF(Y2303=行业比较!$E$6,ROW(),"")</f>
        <v/>
      </c>
      <c r="AA2303" s="122"/>
      <c r="AB2303" s="122"/>
      <c r="AC2303" s="122"/>
      <c r="AD2303" s="122"/>
      <c r="AE2303" s="122"/>
      <c r="AF2303" s="122"/>
      <c r="AG2303" s="122"/>
      <c r="AH2303" s="122"/>
      <c r="AI2303" s="122"/>
      <c r="AJ2303" s="122"/>
      <c r="AK2303" s="122"/>
      <c r="AL2303" s="122"/>
      <c r="AM2303" s="122"/>
      <c r="AN2303" s="122"/>
      <c r="AO2303" s="122"/>
      <c r="AP2303" s="122"/>
    </row>
    <row r="2304" spans="2:42">
      <c r="B2304" s="122"/>
      <c r="C2304" s="122"/>
      <c r="D2304" s="122"/>
      <c r="E2304" s="122"/>
      <c r="F2304" s="122"/>
      <c r="G2304" s="122"/>
      <c r="H2304" s="122"/>
      <c r="I2304" s="275"/>
      <c r="J2304" s="130"/>
      <c r="K2304" s="130"/>
      <c r="L2304" s="130"/>
      <c r="M2304" s="130"/>
      <c r="N2304" s="291"/>
      <c r="O2304" s="291"/>
      <c r="P2304" s="122"/>
      <c r="Q2304" s="122"/>
      <c r="R2304" s="122"/>
      <c r="S2304" s="122"/>
      <c r="T2304" s="122"/>
      <c r="U2304" s="315"/>
      <c r="V2304" s="260">
        <f t="shared" ca="1" si="43"/>
        <v>0</v>
      </c>
      <c r="W2304" s="348" t="str">
        <f>IF(板块成分!B2306="","",板块成分!B2306)</f>
        <v>300863.SZ</v>
      </c>
      <c r="X2304" s="276" t="str">
        <f>[1]!S_Info_Name(W2304)</f>
        <v>卡倍亿</v>
      </c>
      <c r="Y2304" s="276" t="str">
        <f ca="1">IF($Y$3="申万一级行业",[1]!s_info_industry_sw_2021(W2304,公司分析!D$5,1),IF($Y$3="申万二级行业",[1]!s_info_industry_sw_2021(W2304,公司分析!D$5,2),IF($Y$3="申万三级行业",[1]!s_info_industry_sw_2021(W2304,公司分析!D$5,3),IF($Y$3="wind一级行业",[1]!s_info_industry_gics(W2304,1),IF($Y$3="wind二级行业",[1]!s_info_industry_gics(W2304,2),IF($Y$3="wind三级行业",[1]!s_info_industry_gics(W2304,3),IF($Y$3="wind四级行业",[1]!s_info_industry_gics(W2304,4),IF($Y$3="证监会门类行业",[1]!s_info_industry_csrc12_n(W2304,公司分析!D$5,1),""))))))))</f>
        <v>汽车零部件</v>
      </c>
      <c r="Z2304" s="302" t="str">
        <f ca="1">IF(Y2304=行业比较!$E$6,ROW(),"")</f>
        <v/>
      </c>
      <c r="AA2304" s="122"/>
      <c r="AB2304" s="122"/>
      <c r="AC2304" s="122"/>
      <c r="AD2304" s="122"/>
      <c r="AE2304" s="122"/>
      <c r="AF2304" s="122"/>
      <c r="AG2304" s="122"/>
      <c r="AH2304" s="122"/>
      <c r="AI2304" s="122"/>
      <c r="AJ2304" s="122"/>
      <c r="AK2304" s="122"/>
      <c r="AL2304" s="122"/>
      <c r="AM2304" s="122"/>
      <c r="AN2304" s="122"/>
      <c r="AO2304" s="122"/>
      <c r="AP2304" s="122"/>
    </row>
    <row r="2305" spans="2:42">
      <c r="B2305" s="122"/>
      <c r="C2305" s="122"/>
      <c r="D2305" s="122"/>
      <c r="E2305" s="122"/>
      <c r="F2305" s="122"/>
      <c r="G2305" s="122"/>
      <c r="H2305" s="122"/>
      <c r="I2305" s="275"/>
      <c r="J2305" s="130"/>
      <c r="K2305" s="130"/>
      <c r="L2305" s="130"/>
      <c r="M2305" s="130"/>
      <c r="N2305" s="291"/>
      <c r="O2305" s="291"/>
      <c r="P2305" s="122"/>
      <c r="Q2305" s="122"/>
      <c r="R2305" s="122"/>
      <c r="S2305" s="122"/>
      <c r="T2305" s="122"/>
      <c r="U2305" s="315"/>
      <c r="V2305" s="260">
        <f t="shared" ca="1" si="43"/>
        <v>0</v>
      </c>
      <c r="W2305" s="348" t="str">
        <f>IF(板块成分!B2307="","",板块成分!B2307)</f>
        <v>300864.SZ</v>
      </c>
      <c r="X2305" s="276" t="str">
        <f>[1]!S_Info_Name(W2305)</f>
        <v>南大环境</v>
      </c>
      <c r="Y2305" s="276" t="str">
        <f ca="1">IF($Y$3="申万一级行业",[1]!s_info_industry_sw_2021(W2305,公司分析!D$5,1),IF($Y$3="申万二级行业",[1]!s_info_industry_sw_2021(W2305,公司分析!D$5,2),IF($Y$3="申万三级行业",[1]!s_info_industry_sw_2021(W2305,公司分析!D$5,3),IF($Y$3="wind一级行业",[1]!s_info_industry_gics(W2305,1),IF($Y$3="wind二级行业",[1]!s_info_industry_gics(W2305,2),IF($Y$3="wind三级行业",[1]!s_info_industry_gics(W2305,3),IF($Y$3="wind四级行业",[1]!s_info_industry_gics(W2305,4),IF($Y$3="证监会门类行业",[1]!s_info_industry_csrc12_n(W2305,公司分析!D$5,1),""))))))))</f>
        <v>环境治理</v>
      </c>
      <c r="Z2305" s="302" t="str">
        <f ca="1">IF(Y2305=行业比较!$E$6,ROW(),"")</f>
        <v/>
      </c>
      <c r="AA2305" s="122"/>
      <c r="AB2305" s="122"/>
      <c r="AC2305" s="122"/>
      <c r="AD2305" s="122"/>
      <c r="AE2305" s="122"/>
      <c r="AF2305" s="122"/>
      <c r="AG2305" s="122"/>
      <c r="AH2305" s="122"/>
      <c r="AI2305" s="122"/>
      <c r="AJ2305" s="122"/>
      <c r="AK2305" s="122"/>
      <c r="AL2305" s="122"/>
      <c r="AM2305" s="122"/>
      <c r="AN2305" s="122"/>
      <c r="AO2305" s="122"/>
      <c r="AP2305" s="122"/>
    </row>
    <row r="2306" spans="2:42">
      <c r="B2306" s="122"/>
      <c r="C2306" s="122"/>
      <c r="D2306" s="122"/>
      <c r="E2306" s="122"/>
      <c r="F2306" s="122"/>
      <c r="G2306" s="122"/>
      <c r="H2306" s="122"/>
      <c r="I2306" s="275"/>
      <c r="J2306" s="130"/>
      <c r="K2306" s="130"/>
      <c r="L2306" s="130"/>
      <c r="M2306" s="130"/>
      <c r="N2306" s="291"/>
      <c r="O2306" s="291"/>
      <c r="P2306" s="122"/>
      <c r="Q2306" s="122"/>
      <c r="R2306" s="122"/>
      <c r="S2306" s="122"/>
      <c r="T2306" s="122"/>
      <c r="U2306" s="315"/>
      <c r="V2306" s="260">
        <f t="shared" ca="1" si="43"/>
        <v>0</v>
      </c>
      <c r="W2306" s="348" t="str">
        <f>IF(板块成分!B2308="","",板块成分!B2308)</f>
        <v>300865.SZ</v>
      </c>
      <c r="X2306" s="276" t="str">
        <f>[1]!S_Info_Name(W2306)</f>
        <v>大宏立</v>
      </c>
      <c r="Y2306" s="276" t="str">
        <f ca="1">IF($Y$3="申万一级行业",[1]!s_info_industry_sw_2021(W2306,公司分析!D$5,1),IF($Y$3="申万二级行业",[1]!s_info_industry_sw_2021(W2306,公司分析!D$5,2),IF($Y$3="申万三级行业",[1]!s_info_industry_sw_2021(W2306,公司分析!D$5,3),IF($Y$3="wind一级行业",[1]!s_info_industry_gics(W2306,1),IF($Y$3="wind二级行业",[1]!s_info_industry_gics(W2306,2),IF($Y$3="wind三级行业",[1]!s_info_industry_gics(W2306,3),IF($Y$3="wind四级行业",[1]!s_info_industry_gics(W2306,4),IF($Y$3="证监会门类行业",[1]!s_info_industry_csrc12_n(W2306,公司分析!D$5,1),""))))))))</f>
        <v>专用设备</v>
      </c>
      <c r="Z2306" s="302" t="str">
        <f ca="1">IF(Y2306=行业比较!$E$6,ROW(),"")</f>
        <v/>
      </c>
      <c r="AA2306" s="122"/>
      <c r="AB2306" s="122"/>
      <c r="AC2306" s="122"/>
      <c r="AD2306" s="122"/>
      <c r="AE2306" s="122"/>
      <c r="AF2306" s="122"/>
      <c r="AG2306" s="122"/>
      <c r="AH2306" s="122"/>
      <c r="AI2306" s="122"/>
      <c r="AJ2306" s="122"/>
      <c r="AK2306" s="122"/>
      <c r="AL2306" s="122"/>
      <c r="AM2306" s="122"/>
      <c r="AN2306" s="122"/>
      <c r="AO2306" s="122"/>
      <c r="AP2306" s="122"/>
    </row>
    <row r="2307" spans="2:42">
      <c r="B2307" s="122"/>
      <c r="C2307" s="122"/>
      <c r="D2307" s="122"/>
      <c r="E2307" s="122"/>
      <c r="F2307" s="122"/>
      <c r="G2307" s="122"/>
      <c r="H2307" s="122"/>
      <c r="I2307" s="275"/>
      <c r="J2307" s="130"/>
      <c r="K2307" s="130"/>
      <c r="L2307" s="130"/>
      <c r="M2307" s="130"/>
      <c r="N2307" s="291"/>
      <c r="O2307" s="291"/>
      <c r="P2307" s="122"/>
      <c r="Q2307" s="122"/>
      <c r="R2307" s="122"/>
      <c r="S2307" s="122"/>
      <c r="T2307" s="122"/>
      <c r="U2307" s="315"/>
      <c r="V2307" s="260">
        <f t="shared" ca="1" si="43"/>
        <v>0</v>
      </c>
      <c r="W2307" s="348" t="str">
        <f>IF(板块成分!B2309="","",板块成分!B2309)</f>
        <v>300866.SZ</v>
      </c>
      <c r="X2307" s="276" t="str">
        <f>[1]!S_Info_Name(W2307)</f>
        <v>安克创新</v>
      </c>
      <c r="Y2307" s="276" t="str">
        <f ca="1">IF($Y$3="申万一级行业",[1]!s_info_industry_sw_2021(W2307,公司分析!D$5,1),IF($Y$3="申万二级行业",[1]!s_info_industry_sw_2021(W2307,公司分析!D$5,2),IF($Y$3="申万三级行业",[1]!s_info_industry_sw_2021(W2307,公司分析!D$5,3),IF($Y$3="wind一级行业",[1]!s_info_industry_gics(W2307,1),IF($Y$3="wind二级行业",[1]!s_info_industry_gics(W2307,2),IF($Y$3="wind三级行业",[1]!s_info_industry_gics(W2307,3),IF($Y$3="wind四级行业",[1]!s_info_industry_gics(W2307,4),IF($Y$3="证监会门类行业",[1]!s_info_industry_csrc12_n(W2307,公司分析!D$5,1),""))))))))</f>
        <v>消费电子</v>
      </c>
      <c r="Z2307" s="302" t="str">
        <f ca="1">IF(Y2307=行业比较!$E$6,ROW(),"")</f>
        <v/>
      </c>
      <c r="AA2307" s="122"/>
      <c r="AB2307" s="122"/>
      <c r="AC2307" s="122"/>
      <c r="AD2307" s="122"/>
      <c r="AE2307" s="122"/>
      <c r="AF2307" s="122"/>
      <c r="AG2307" s="122"/>
      <c r="AH2307" s="122"/>
      <c r="AI2307" s="122"/>
      <c r="AJ2307" s="122"/>
      <c r="AK2307" s="122"/>
      <c r="AL2307" s="122"/>
      <c r="AM2307" s="122"/>
      <c r="AN2307" s="122"/>
      <c r="AO2307" s="122"/>
      <c r="AP2307" s="122"/>
    </row>
    <row r="2308" spans="2:42">
      <c r="B2308" s="122"/>
      <c r="C2308" s="122"/>
      <c r="D2308" s="122"/>
      <c r="E2308" s="122"/>
      <c r="F2308" s="122"/>
      <c r="G2308" s="122"/>
      <c r="H2308" s="122"/>
      <c r="I2308" s="275"/>
      <c r="J2308" s="130"/>
      <c r="K2308" s="130"/>
      <c r="L2308" s="130"/>
      <c r="M2308" s="130"/>
      <c r="N2308" s="291"/>
      <c r="O2308" s="291"/>
      <c r="P2308" s="122"/>
      <c r="Q2308" s="122"/>
      <c r="R2308" s="122"/>
      <c r="S2308" s="122"/>
      <c r="T2308" s="122"/>
      <c r="U2308" s="315"/>
      <c r="V2308" s="260">
        <f t="shared" ca="1" si="43"/>
        <v>0</v>
      </c>
      <c r="W2308" s="348" t="str">
        <f>IF(板块成分!B2310="","",板块成分!B2310)</f>
        <v>300867.SZ</v>
      </c>
      <c r="X2308" s="276" t="str">
        <f>[1]!S_Info_Name(W2308)</f>
        <v>圣元环保</v>
      </c>
      <c r="Y2308" s="276" t="str">
        <f ca="1">IF($Y$3="申万一级行业",[1]!s_info_industry_sw_2021(W2308,公司分析!D$5,1),IF($Y$3="申万二级行业",[1]!s_info_industry_sw_2021(W2308,公司分析!D$5,2),IF($Y$3="申万三级行业",[1]!s_info_industry_sw_2021(W2308,公司分析!D$5,3),IF($Y$3="wind一级行业",[1]!s_info_industry_gics(W2308,1),IF($Y$3="wind二级行业",[1]!s_info_industry_gics(W2308,2),IF($Y$3="wind三级行业",[1]!s_info_industry_gics(W2308,3),IF($Y$3="wind四级行业",[1]!s_info_industry_gics(W2308,4),IF($Y$3="证监会门类行业",[1]!s_info_industry_csrc12_n(W2308,公司分析!D$5,1),""))))))))</f>
        <v>环境治理</v>
      </c>
      <c r="Z2308" s="302" t="str">
        <f ca="1">IF(Y2308=行业比较!$E$6,ROW(),"")</f>
        <v/>
      </c>
      <c r="AA2308" s="122"/>
      <c r="AB2308" s="122"/>
      <c r="AC2308" s="122"/>
      <c r="AD2308" s="122"/>
      <c r="AE2308" s="122"/>
      <c r="AF2308" s="122"/>
      <c r="AG2308" s="122"/>
      <c r="AH2308" s="122"/>
      <c r="AI2308" s="122"/>
      <c r="AJ2308" s="122"/>
      <c r="AK2308" s="122"/>
      <c r="AL2308" s="122"/>
      <c r="AM2308" s="122"/>
      <c r="AN2308" s="122"/>
      <c r="AO2308" s="122"/>
      <c r="AP2308" s="122"/>
    </row>
    <row r="2309" spans="2:42">
      <c r="B2309" s="122"/>
      <c r="C2309" s="122"/>
      <c r="D2309" s="122"/>
      <c r="E2309" s="122"/>
      <c r="F2309" s="122"/>
      <c r="G2309" s="122"/>
      <c r="H2309" s="122"/>
      <c r="I2309" s="275"/>
      <c r="J2309" s="130"/>
      <c r="K2309" s="130"/>
      <c r="L2309" s="130"/>
      <c r="M2309" s="130"/>
      <c r="N2309" s="291"/>
      <c r="O2309" s="291"/>
      <c r="P2309" s="122"/>
      <c r="Q2309" s="122"/>
      <c r="R2309" s="122"/>
      <c r="S2309" s="122"/>
      <c r="T2309" s="122"/>
      <c r="U2309" s="315"/>
      <c r="V2309" s="260">
        <f t="shared" ref="V2309:V2372" ca="1" si="44">IF(Z2309="",0,RANK(Z2309,Z:Z,1))</f>
        <v>0</v>
      </c>
      <c r="W2309" s="348" t="str">
        <f>IF(板块成分!B2311="","",板块成分!B2311)</f>
        <v>300868.SZ</v>
      </c>
      <c r="X2309" s="276" t="str">
        <f>[1]!S_Info_Name(W2309)</f>
        <v>杰美特</v>
      </c>
      <c r="Y2309" s="276" t="str">
        <f ca="1">IF($Y$3="申万一级行业",[1]!s_info_industry_sw_2021(W2309,公司分析!D$5,1),IF($Y$3="申万二级行业",[1]!s_info_industry_sw_2021(W2309,公司分析!D$5,2),IF($Y$3="申万三级行业",[1]!s_info_industry_sw_2021(W2309,公司分析!D$5,3),IF($Y$3="wind一级行业",[1]!s_info_industry_gics(W2309,1),IF($Y$3="wind二级行业",[1]!s_info_industry_gics(W2309,2),IF($Y$3="wind三级行业",[1]!s_info_industry_gics(W2309,3),IF($Y$3="wind四级行业",[1]!s_info_industry_gics(W2309,4),IF($Y$3="证监会门类行业",[1]!s_info_industry_csrc12_n(W2309,公司分析!D$5,1),""))))))))</f>
        <v>消费电子</v>
      </c>
      <c r="Z2309" s="302" t="str">
        <f ca="1">IF(Y2309=行业比较!$E$6,ROW(),"")</f>
        <v/>
      </c>
      <c r="AA2309" s="122"/>
      <c r="AB2309" s="122"/>
      <c r="AC2309" s="122"/>
      <c r="AD2309" s="122"/>
      <c r="AE2309" s="122"/>
      <c r="AF2309" s="122"/>
      <c r="AG2309" s="122"/>
      <c r="AH2309" s="122"/>
      <c r="AI2309" s="122"/>
      <c r="AJ2309" s="122"/>
      <c r="AK2309" s="122"/>
      <c r="AL2309" s="122"/>
      <c r="AM2309" s="122"/>
      <c r="AN2309" s="122"/>
      <c r="AO2309" s="122"/>
      <c r="AP2309" s="122"/>
    </row>
    <row r="2310" spans="2:42">
      <c r="B2310" s="122"/>
      <c r="C2310" s="122"/>
      <c r="D2310" s="122"/>
      <c r="E2310" s="122"/>
      <c r="F2310" s="122"/>
      <c r="G2310" s="122"/>
      <c r="H2310" s="122"/>
      <c r="I2310" s="275"/>
      <c r="J2310" s="130"/>
      <c r="K2310" s="130"/>
      <c r="L2310" s="130"/>
      <c r="M2310" s="130"/>
      <c r="N2310" s="291"/>
      <c r="O2310" s="291"/>
      <c r="P2310" s="122"/>
      <c r="Q2310" s="122"/>
      <c r="R2310" s="122"/>
      <c r="S2310" s="122"/>
      <c r="T2310" s="122"/>
      <c r="U2310" s="315"/>
      <c r="V2310" s="260">
        <f t="shared" ca="1" si="44"/>
        <v>0</v>
      </c>
      <c r="W2310" s="348" t="str">
        <f>IF(板块成分!B2312="","",板块成分!B2312)</f>
        <v>300869.SZ</v>
      </c>
      <c r="X2310" s="276" t="str">
        <f>[1]!S_Info_Name(W2310)</f>
        <v>康泰医学</v>
      </c>
      <c r="Y2310" s="276" t="str">
        <f ca="1">IF($Y$3="申万一级行业",[1]!s_info_industry_sw_2021(W2310,公司分析!D$5,1),IF($Y$3="申万二级行业",[1]!s_info_industry_sw_2021(W2310,公司分析!D$5,2),IF($Y$3="申万三级行业",[1]!s_info_industry_sw_2021(W2310,公司分析!D$5,3),IF($Y$3="wind一级行业",[1]!s_info_industry_gics(W2310,1),IF($Y$3="wind二级行业",[1]!s_info_industry_gics(W2310,2),IF($Y$3="wind三级行业",[1]!s_info_industry_gics(W2310,3),IF($Y$3="wind四级行业",[1]!s_info_industry_gics(W2310,4),IF($Y$3="证监会门类行业",[1]!s_info_industry_csrc12_n(W2310,公司分析!D$5,1),""))))))))</f>
        <v>医疗器械</v>
      </c>
      <c r="Z2310" s="302" t="str">
        <f ca="1">IF(Y2310=行业比较!$E$6,ROW(),"")</f>
        <v/>
      </c>
      <c r="AA2310" s="122"/>
      <c r="AB2310" s="122"/>
      <c r="AC2310" s="122"/>
      <c r="AD2310" s="122"/>
      <c r="AE2310" s="122"/>
      <c r="AF2310" s="122"/>
      <c r="AG2310" s="122"/>
      <c r="AH2310" s="122"/>
      <c r="AI2310" s="122"/>
      <c r="AJ2310" s="122"/>
      <c r="AK2310" s="122"/>
      <c r="AL2310" s="122"/>
      <c r="AM2310" s="122"/>
      <c r="AN2310" s="122"/>
      <c r="AO2310" s="122"/>
      <c r="AP2310" s="122"/>
    </row>
    <row r="2311" spans="2:42">
      <c r="B2311" s="122"/>
      <c r="C2311" s="122"/>
      <c r="D2311" s="122"/>
      <c r="E2311" s="122"/>
      <c r="F2311" s="122"/>
      <c r="G2311" s="122"/>
      <c r="H2311" s="122"/>
      <c r="I2311" s="275"/>
      <c r="J2311" s="130"/>
      <c r="K2311" s="130"/>
      <c r="L2311" s="130"/>
      <c r="M2311" s="130"/>
      <c r="N2311" s="291"/>
      <c r="O2311" s="291"/>
      <c r="P2311" s="122"/>
      <c r="Q2311" s="122"/>
      <c r="R2311" s="122"/>
      <c r="S2311" s="122"/>
      <c r="T2311" s="122"/>
      <c r="U2311" s="315"/>
      <c r="V2311" s="260">
        <f t="shared" ca="1" si="44"/>
        <v>0</v>
      </c>
      <c r="W2311" s="348" t="str">
        <f>IF(板块成分!B2313="","",板块成分!B2313)</f>
        <v>300870.SZ</v>
      </c>
      <c r="X2311" s="276" t="str">
        <f>[1]!S_Info_Name(W2311)</f>
        <v>欧陆通</v>
      </c>
      <c r="Y2311" s="276" t="str">
        <f ca="1">IF($Y$3="申万一级行业",[1]!s_info_industry_sw_2021(W2311,公司分析!D$5,1),IF($Y$3="申万二级行业",[1]!s_info_industry_sw_2021(W2311,公司分析!D$5,2),IF($Y$3="申万三级行业",[1]!s_info_industry_sw_2021(W2311,公司分析!D$5,3),IF($Y$3="wind一级行业",[1]!s_info_industry_gics(W2311,1),IF($Y$3="wind二级行业",[1]!s_info_industry_gics(W2311,2),IF($Y$3="wind三级行业",[1]!s_info_industry_gics(W2311,3),IF($Y$3="wind四级行业",[1]!s_info_industry_gics(W2311,4),IF($Y$3="证监会门类行业",[1]!s_info_industry_csrc12_n(W2311,公司分析!D$5,1),""))))))))</f>
        <v>其他电源设备Ⅱ</v>
      </c>
      <c r="Z2311" s="302" t="str">
        <f ca="1">IF(Y2311=行业比较!$E$6,ROW(),"")</f>
        <v/>
      </c>
      <c r="AA2311" s="122"/>
      <c r="AB2311" s="122"/>
      <c r="AC2311" s="122"/>
      <c r="AD2311" s="122"/>
      <c r="AE2311" s="122"/>
      <c r="AF2311" s="122"/>
      <c r="AG2311" s="122"/>
      <c r="AH2311" s="122"/>
      <c r="AI2311" s="122"/>
      <c r="AJ2311" s="122"/>
      <c r="AK2311" s="122"/>
      <c r="AL2311" s="122"/>
      <c r="AM2311" s="122"/>
      <c r="AN2311" s="122"/>
      <c r="AO2311" s="122"/>
      <c r="AP2311" s="122"/>
    </row>
    <row r="2312" spans="2:42">
      <c r="B2312" s="122"/>
      <c r="C2312" s="122"/>
      <c r="D2312" s="122"/>
      <c r="E2312" s="122"/>
      <c r="F2312" s="122"/>
      <c r="G2312" s="122"/>
      <c r="H2312" s="122"/>
      <c r="I2312" s="275"/>
      <c r="J2312" s="130"/>
      <c r="K2312" s="130"/>
      <c r="L2312" s="130"/>
      <c r="M2312" s="130"/>
      <c r="N2312" s="291"/>
      <c r="O2312" s="291"/>
      <c r="P2312" s="122"/>
      <c r="Q2312" s="122"/>
      <c r="R2312" s="122"/>
      <c r="S2312" s="122"/>
      <c r="T2312" s="122"/>
      <c r="U2312" s="315"/>
      <c r="V2312" s="260">
        <f t="shared" ca="1" si="44"/>
        <v>0</v>
      </c>
      <c r="W2312" s="348" t="str">
        <f>IF(板块成分!B2314="","",板块成分!B2314)</f>
        <v>300871.SZ</v>
      </c>
      <c r="X2312" s="276" t="str">
        <f>[1]!S_Info_Name(W2312)</f>
        <v>回盛生物</v>
      </c>
      <c r="Y2312" s="276" t="str">
        <f ca="1">IF($Y$3="申万一级行业",[1]!s_info_industry_sw_2021(W2312,公司分析!D$5,1),IF($Y$3="申万二级行业",[1]!s_info_industry_sw_2021(W2312,公司分析!D$5,2),IF($Y$3="申万三级行业",[1]!s_info_industry_sw_2021(W2312,公司分析!D$5,3),IF($Y$3="wind一级行业",[1]!s_info_industry_gics(W2312,1),IF($Y$3="wind二级行业",[1]!s_info_industry_gics(W2312,2),IF($Y$3="wind三级行业",[1]!s_info_industry_gics(W2312,3),IF($Y$3="wind四级行业",[1]!s_info_industry_gics(W2312,4),IF($Y$3="证监会门类行业",[1]!s_info_industry_csrc12_n(W2312,公司分析!D$5,1),""))))))))</f>
        <v>动物保健Ⅱ</v>
      </c>
      <c r="Z2312" s="302" t="str">
        <f ca="1">IF(Y2312=行业比较!$E$6,ROW(),"")</f>
        <v/>
      </c>
      <c r="AA2312" s="122"/>
      <c r="AB2312" s="122"/>
      <c r="AC2312" s="122"/>
      <c r="AD2312" s="122"/>
      <c r="AE2312" s="122"/>
      <c r="AF2312" s="122"/>
      <c r="AG2312" s="122"/>
      <c r="AH2312" s="122"/>
      <c r="AI2312" s="122"/>
      <c r="AJ2312" s="122"/>
      <c r="AK2312" s="122"/>
      <c r="AL2312" s="122"/>
      <c r="AM2312" s="122"/>
      <c r="AN2312" s="122"/>
      <c r="AO2312" s="122"/>
      <c r="AP2312" s="122"/>
    </row>
    <row r="2313" spans="2:42">
      <c r="B2313" s="122"/>
      <c r="C2313" s="122"/>
      <c r="D2313" s="122"/>
      <c r="E2313" s="122"/>
      <c r="F2313" s="122"/>
      <c r="G2313" s="122"/>
      <c r="H2313" s="122"/>
      <c r="I2313" s="275"/>
      <c r="J2313" s="130"/>
      <c r="K2313" s="130"/>
      <c r="L2313" s="130"/>
      <c r="M2313" s="130"/>
      <c r="N2313" s="291"/>
      <c r="O2313" s="291"/>
      <c r="P2313" s="122"/>
      <c r="Q2313" s="122"/>
      <c r="R2313" s="122"/>
      <c r="S2313" s="122"/>
      <c r="T2313" s="122"/>
      <c r="U2313" s="315"/>
      <c r="V2313" s="260">
        <f t="shared" ca="1" si="44"/>
        <v>0</v>
      </c>
      <c r="W2313" s="348" t="str">
        <f>IF(板块成分!B2315="","",板块成分!B2315)</f>
        <v>300872.SZ</v>
      </c>
      <c r="X2313" s="276" t="str">
        <f>[1]!S_Info_Name(W2313)</f>
        <v>天阳科技</v>
      </c>
      <c r="Y2313" s="276" t="str">
        <f ca="1">IF($Y$3="申万一级行业",[1]!s_info_industry_sw_2021(W2313,公司分析!D$5,1),IF($Y$3="申万二级行业",[1]!s_info_industry_sw_2021(W2313,公司分析!D$5,2),IF($Y$3="申万三级行业",[1]!s_info_industry_sw_2021(W2313,公司分析!D$5,3),IF($Y$3="wind一级行业",[1]!s_info_industry_gics(W2313,1),IF($Y$3="wind二级行业",[1]!s_info_industry_gics(W2313,2),IF($Y$3="wind三级行业",[1]!s_info_industry_gics(W2313,3),IF($Y$3="wind四级行业",[1]!s_info_industry_gics(W2313,4),IF($Y$3="证监会门类行业",[1]!s_info_industry_csrc12_n(W2313,公司分析!D$5,1),""))))))))</f>
        <v>IT服务Ⅱ</v>
      </c>
      <c r="Z2313" s="302" t="str">
        <f ca="1">IF(Y2313=行业比较!$E$6,ROW(),"")</f>
        <v/>
      </c>
      <c r="AA2313" s="122"/>
      <c r="AB2313" s="122"/>
      <c r="AC2313" s="122"/>
      <c r="AD2313" s="122"/>
      <c r="AE2313" s="122"/>
      <c r="AF2313" s="122"/>
      <c r="AG2313" s="122"/>
      <c r="AH2313" s="122"/>
      <c r="AI2313" s="122"/>
      <c r="AJ2313" s="122"/>
      <c r="AK2313" s="122"/>
      <c r="AL2313" s="122"/>
      <c r="AM2313" s="122"/>
      <c r="AN2313" s="122"/>
      <c r="AO2313" s="122"/>
      <c r="AP2313" s="122"/>
    </row>
    <row r="2314" spans="2:42">
      <c r="B2314" s="122"/>
      <c r="C2314" s="122"/>
      <c r="D2314" s="122"/>
      <c r="E2314" s="122"/>
      <c r="F2314" s="122"/>
      <c r="G2314" s="122"/>
      <c r="H2314" s="122"/>
      <c r="I2314" s="275"/>
      <c r="J2314" s="130"/>
      <c r="K2314" s="130"/>
      <c r="L2314" s="130"/>
      <c r="M2314" s="130"/>
      <c r="N2314" s="291"/>
      <c r="O2314" s="291"/>
      <c r="P2314" s="122"/>
      <c r="Q2314" s="122"/>
      <c r="R2314" s="122"/>
      <c r="S2314" s="122"/>
      <c r="T2314" s="122"/>
      <c r="U2314" s="315"/>
      <c r="V2314" s="260">
        <f t="shared" ca="1" si="44"/>
        <v>0</v>
      </c>
      <c r="W2314" s="348" t="str">
        <f>IF(板块成分!B2316="","",板块成分!B2316)</f>
        <v>300873.SZ</v>
      </c>
      <c r="X2314" s="276" t="str">
        <f>[1]!S_Info_Name(W2314)</f>
        <v>海晨股份</v>
      </c>
      <c r="Y2314" s="276" t="str">
        <f ca="1">IF($Y$3="申万一级行业",[1]!s_info_industry_sw_2021(W2314,公司分析!D$5,1),IF($Y$3="申万二级行业",[1]!s_info_industry_sw_2021(W2314,公司分析!D$5,2),IF($Y$3="申万三级行业",[1]!s_info_industry_sw_2021(W2314,公司分析!D$5,3),IF($Y$3="wind一级行业",[1]!s_info_industry_gics(W2314,1),IF($Y$3="wind二级行业",[1]!s_info_industry_gics(W2314,2),IF($Y$3="wind三级行业",[1]!s_info_industry_gics(W2314,3),IF($Y$3="wind四级行业",[1]!s_info_industry_gics(W2314,4),IF($Y$3="证监会门类行业",[1]!s_info_industry_csrc12_n(W2314,公司分析!D$5,1),""))))))))</f>
        <v>物流</v>
      </c>
      <c r="Z2314" s="302" t="str">
        <f ca="1">IF(Y2314=行业比较!$E$6,ROW(),"")</f>
        <v/>
      </c>
      <c r="AA2314" s="122"/>
      <c r="AB2314" s="122"/>
      <c r="AC2314" s="122"/>
      <c r="AD2314" s="122"/>
      <c r="AE2314" s="122"/>
      <c r="AF2314" s="122"/>
      <c r="AG2314" s="122"/>
      <c r="AH2314" s="122"/>
      <c r="AI2314" s="122"/>
      <c r="AJ2314" s="122"/>
      <c r="AK2314" s="122"/>
      <c r="AL2314" s="122"/>
      <c r="AM2314" s="122"/>
      <c r="AN2314" s="122"/>
      <c r="AO2314" s="122"/>
      <c r="AP2314" s="122"/>
    </row>
    <row r="2315" spans="2:42">
      <c r="B2315" s="122"/>
      <c r="C2315" s="122"/>
      <c r="D2315" s="122"/>
      <c r="E2315" s="122"/>
      <c r="F2315" s="122"/>
      <c r="G2315" s="122"/>
      <c r="H2315" s="122"/>
      <c r="I2315" s="275"/>
      <c r="J2315" s="130"/>
      <c r="K2315" s="130"/>
      <c r="L2315" s="130"/>
      <c r="M2315" s="130"/>
      <c r="N2315" s="291"/>
      <c r="O2315" s="291"/>
      <c r="P2315" s="122"/>
      <c r="Q2315" s="122"/>
      <c r="R2315" s="122"/>
      <c r="S2315" s="122"/>
      <c r="T2315" s="122"/>
      <c r="U2315" s="315"/>
      <c r="V2315" s="260">
        <f t="shared" ca="1" si="44"/>
        <v>0</v>
      </c>
      <c r="W2315" s="348" t="str">
        <f>IF(板块成分!B2317="","",板块成分!B2317)</f>
        <v>300875.SZ</v>
      </c>
      <c r="X2315" s="276" t="str">
        <f>[1]!S_Info_Name(W2315)</f>
        <v>捷强装备</v>
      </c>
      <c r="Y2315" s="276" t="str">
        <f ca="1">IF($Y$3="申万一级行业",[1]!s_info_industry_sw_2021(W2315,公司分析!D$5,1),IF($Y$3="申万二级行业",[1]!s_info_industry_sw_2021(W2315,公司分析!D$5,2),IF($Y$3="申万三级行业",[1]!s_info_industry_sw_2021(W2315,公司分析!D$5,3),IF($Y$3="wind一级行业",[1]!s_info_industry_gics(W2315,1),IF($Y$3="wind二级行业",[1]!s_info_industry_gics(W2315,2),IF($Y$3="wind三级行业",[1]!s_info_industry_gics(W2315,3),IF($Y$3="wind四级行业",[1]!s_info_industry_gics(W2315,4),IF($Y$3="证监会门类行业",[1]!s_info_industry_csrc12_n(W2315,公司分析!D$5,1),""))))))))</f>
        <v>地面兵装Ⅱ</v>
      </c>
      <c r="Z2315" s="302" t="str">
        <f ca="1">IF(Y2315=行业比较!$E$6,ROW(),"")</f>
        <v/>
      </c>
      <c r="AA2315" s="122"/>
      <c r="AB2315" s="122"/>
      <c r="AC2315" s="122"/>
      <c r="AD2315" s="122"/>
      <c r="AE2315" s="122"/>
      <c r="AF2315" s="122"/>
      <c r="AG2315" s="122"/>
      <c r="AH2315" s="122"/>
      <c r="AI2315" s="122"/>
      <c r="AJ2315" s="122"/>
      <c r="AK2315" s="122"/>
      <c r="AL2315" s="122"/>
      <c r="AM2315" s="122"/>
      <c r="AN2315" s="122"/>
      <c r="AO2315" s="122"/>
      <c r="AP2315" s="122"/>
    </row>
    <row r="2316" spans="2:42">
      <c r="B2316" s="122"/>
      <c r="C2316" s="122"/>
      <c r="D2316" s="122"/>
      <c r="E2316" s="122"/>
      <c r="F2316" s="122"/>
      <c r="G2316" s="122"/>
      <c r="H2316" s="122"/>
      <c r="I2316" s="275"/>
      <c r="J2316" s="130"/>
      <c r="K2316" s="130"/>
      <c r="L2316" s="130"/>
      <c r="M2316" s="130"/>
      <c r="N2316" s="291"/>
      <c r="O2316" s="291"/>
      <c r="P2316" s="122"/>
      <c r="Q2316" s="122"/>
      <c r="R2316" s="122"/>
      <c r="S2316" s="122"/>
      <c r="T2316" s="122"/>
      <c r="U2316" s="315"/>
      <c r="V2316" s="260">
        <f t="shared" ca="1" si="44"/>
        <v>0</v>
      </c>
      <c r="W2316" s="348" t="str">
        <f>IF(板块成分!B2318="","",板块成分!B2318)</f>
        <v>300876.SZ</v>
      </c>
      <c r="X2316" s="276" t="str">
        <f>[1]!S_Info_Name(W2316)</f>
        <v>蒙泰高新</v>
      </c>
      <c r="Y2316" s="276" t="str">
        <f ca="1">IF($Y$3="申万一级行业",[1]!s_info_industry_sw_2021(W2316,公司分析!D$5,1),IF($Y$3="申万二级行业",[1]!s_info_industry_sw_2021(W2316,公司分析!D$5,2),IF($Y$3="申万三级行业",[1]!s_info_industry_sw_2021(W2316,公司分析!D$5,3),IF($Y$3="wind一级行业",[1]!s_info_industry_gics(W2316,1),IF($Y$3="wind二级行业",[1]!s_info_industry_gics(W2316,2),IF($Y$3="wind三级行业",[1]!s_info_industry_gics(W2316,3),IF($Y$3="wind四级行业",[1]!s_info_industry_gics(W2316,4),IF($Y$3="证监会门类行业",[1]!s_info_industry_csrc12_n(W2316,公司分析!D$5,1),""))))))))</f>
        <v>化学纤维</v>
      </c>
      <c r="Z2316" s="302" t="str">
        <f ca="1">IF(Y2316=行业比较!$E$6,ROW(),"")</f>
        <v/>
      </c>
      <c r="AA2316" s="122"/>
      <c r="AB2316" s="122"/>
      <c r="AC2316" s="122"/>
      <c r="AD2316" s="122"/>
      <c r="AE2316" s="122"/>
      <c r="AF2316" s="122"/>
      <c r="AG2316" s="122"/>
      <c r="AH2316" s="122"/>
      <c r="AI2316" s="122"/>
      <c r="AJ2316" s="122"/>
      <c r="AK2316" s="122"/>
      <c r="AL2316" s="122"/>
      <c r="AM2316" s="122"/>
      <c r="AN2316" s="122"/>
      <c r="AO2316" s="122"/>
      <c r="AP2316" s="122"/>
    </row>
    <row r="2317" spans="2:42">
      <c r="B2317" s="122"/>
      <c r="C2317" s="122"/>
      <c r="D2317" s="122"/>
      <c r="E2317" s="122"/>
      <c r="F2317" s="122"/>
      <c r="G2317" s="122"/>
      <c r="H2317" s="122"/>
      <c r="I2317" s="275"/>
      <c r="J2317" s="130"/>
      <c r="K2317" s="130"/>
      <c r="L2317" s="130"/>
      <c r="M2317" s="130"/>
      <c r="N2317" s="291"/>
      <c r="O2317" s="291"/>
      <c r="P2317" s="122"/>
      <c r="Q2317" s="122"/>
      <c r="R2317" s="122"/>
      <c r="S2317" s="122"/>
      <c r="T2317" s="122"/>
      <c r="U2317" s="315"/>
      <c r="V2317" s="260">
        <f t="shared" ca="1" si="44"/>
        <v>0</v>
      </c>
      <c r="W2317" s="348" t="str">
        <f>IF(板块成分!B2319="","",板块成分!B2319)</f>
        <v>300877.SZ</v>
      </c>
      <c r="X2317" s="276" t="str">
        <f>[1]!S_Info_Name(W2317)</f>
        <v>金春股份</v>
      </c>
      <c r="Y2317" s="276" t="str">
        <f ca="1">IF($Y$3="申万一级行业",[1]!s_info_industry_sw_2021(W2317,公司分析!D$5,1),IF($Y$3="申万二级行业",[1]!s_info_industry_sw_2021(W2317,公司分析!D$5,2),IF($Y$3="申万三级行业",[1]!s_info_industry_sw_2021(W2317,公司分析!D$5,3),IF($Y$3="wind一级行业",[1]!s_info_industry_gics(W2317,1),IF($Y$3="wind二级行业",[1]!s_info_industry_gics(W2317,2),IF($Y$3="wind三级行业",[1]!s_info_industry_gics(W2317,3),IF($Y$3="wind四级行业",[1]!s_info_industry_gics(W2317,4),IF($Y$3="证监会门类行业",[1]!s_info_industry_csrc12_n(W2317,公司分析!D$5,1),""))))))))</f>
        <v>纺织制造</v>
      </c>
      <c r="Z2317" s="302" t="str">
        <f ca="1">IF(Y2317=行业比较!$E$6,ROW(),"")</f>
        <v/>
      </c>
      <c r="AA2317" s="122"/>
      <c r="AB2317" s="122"/>
      <c r="AC2317" s="122"/>
      <c r="AD2317" s="122"/>
      <c r="AE2317" s="122"/>
      <c r="AF2317" s="122"/>
      <c r="AG2317" s="122"/>
      <c r="AH2317" s="122"/>
      <c r="AI2317" s="122"/>
      <c r="AJ2317" s="122"/>
      <c r="AK2317" s="122"/>
      <c r="AL2317" s="122"/>
      <c r="AM2317" s="122"/>
      <c r="AN2317" s="122"/>
      <c r="AO2317" s="122"/>
      <c r="AP2317" s="122"/>
    </row>
    <row r="2318" spans="2:42">
      <c r="B2318" s="122"/>
      <c r="C2318" s="122"/>
      <c r="D2318" s="122"/>
      <c r="E2318" s="122"/>
      <c r="F2318" s="122"/>
      <c r="G2318" s="122"/>
      <c r="H2318" s="122"/>
      <c r="I2318" s="275"/>
      <c r="J2318" s="130"/>
      <c r="K2318" s="130"/>
      <c r="L2318" s="130"/>
      <c r="M2318" s="130"/>
      <c r="N2318" s="291"/>
      <c r="O2318" s="291"/>
      <c r="P2318" s="122"/>
      <c r="Q2318" s="122"/>
      <c r="R2318" s="122"/>
      <c r="S2318" s="122"/>
      <c r="T2318" s="122"/>
      <c r="U2318" s="315"/>
      <c r="V2318" s="260">
        <f t="shared" ca="1" si="44"/>
        <v>0</v>
      </c>
      <c r="W2318" s="348" t="str">
        <f>IF(板块成分!B2320="","",板块成分!B2320)</f>
        <v>300878.SZ</v>
      </c>
      <c r="X2318" s="276" t="str">
        <f>[1]!S_Info_Name(W2318)</f>
        <v>维康药业</v>
      </c>
      <c r="Y2318" s="276" t="str">
        <f ca="1">IF($Y$3="申万一级行业",[1]!s_info_industry_sw_2021(W2318,公司分析!D$5,1),IF($Y$3="申万二级行业",[1]!s_info_industry_sw_2021(W2318,公司分析!D$5,2),IF($Y$3="申万三级行业",[1]!s_info_industry_sw_2021(W2318,公司分析!D$5,3),IF($Y$3="wind一级行业",[1]!s_info_industry_gics(W2318,1),IF($Y$3="wind二级行业",[1]!s_info_industry_gics(W2318,2),IF($Y$3="wind三级行业",[1]!s_info_industry_gics(W2318,3),IF($Y$3="wind四级行业",[1]!s_info_industry_gics(W2318,4),IF($Y$3="证监会门类行业",[1]!s_info_industry_csrc12_n(W2318,公司分析!D$5,1),""))))))))</f>
        <v>中药Ⅱ</v>
      </c>
      <c r="Z2318" s="302" t="str">
        <f ca="1">IF(Y2318=行业比较!$E$6,ROW(),"")</f>
        <v/>
      </c>
      <c r="AA2318" s="122"/>
      <c r="AB2318" s="122"/>
      <c r="AC2318" s="122"/>
      <c r="AD2318" s="122"/>
      <c r="AE2318" s="122"/>
      <c r="AF2318" s="122"/>
      <c r="AG2318" s="122"/>
      <c r="AH2318" s="122"/>
      <c r="AI2318" s="122"/>
      <c r="AJ2318" s="122"/>
      <c r="AK2318" s="122"/>
      <c r="AL2318" s="122"/>
      <c r="AM2318" s="122"/>
      <c r="AN2318" s="122"/>
      <c r="AO2318" s="122"/>
      <c r="AP2318" s="122"/>
    </row>
    <row r="2319" spans="2:42">
      <c r="B2319" s="122"/>
      <c r="C2319" s="122"/>
      <c r="D2319" s="122"/>
      <c r="E2319" s="122"/>
      <c r="F2319" s="122"/>
      <c r="G2319" s="122"/>
      <c r="H2319" s="122"/>
      <c r="I2319" s="275"/>
      <c r="J2319" s="130"/>
      <c r="K2319" s="130"/>
      <c r="L2319" s="130"/>
      <c r="M2319" s="130"/>
      <c r="N2319" s="291"/>
      <c r="O2319" s="291"/>
      <c r="P2319" s="122"/>
      <c r="Q2319" s="122"/>
      <c r="R2319" s="122"/>
      <c r="S2319" s="122"/>
      <c r="T2319" s="122"/>
      <c r="U2319" s="315"/>
      <c r="V2319" s="260">
        <f t="shared" ca="1" si="44"/>
        <v>0</v>
      </c>
      <c r="W2319" s="348" t="str">
        <f>IF(板块成分!B2321="","",板块成分!B2321)</f>
        <v>300879.SZ</v>
      </c>
      <c r="X2319" s="276" t="str">
        <f>[1]!S_Info_Name(W2319)</f>
        <v>大叶股份</v>
      </c>
      <c r="Y2319" s="276" t="str">
        <f ca="1">IF($Y$3="申万一级行业",[1]!s_info_industry_sw_2021(W2319,公司分析!D$5,1),IF($Y$3="申万二级行业",[1]!s_info_industry_sw_2021(W2319,公司分析!D$5,2),IF($Y$3="申万三级行业",[1]!s_info_industry_sw_2021(W2319,公司分析!D$5,3),IF($Y$3="wind一级行业",[1]!s_info_industry_gics(W2319,1),IF($Y$3="wind二级行业",[1]!s_info_industry_gics(W2319,2),IF($Y$3="wind三级行业",[1]!s_info_industry_gics(W2319,3),IF($Y$3="wind四级行业",[1]!s_info_industry_gics(W2319,4),IF($Y$3="证监会门类行业",[1]!s_info_industry_csrc12_n(W2319,公司分析!D$5,1),""))))))))</f>
        <v>专用设备</v>
      </c>
      <c r="Z2319" s="302" t="str">
        <f ca="1">IF(Y2319=行业比较!$E$6,ROW(),"")</f>
        <v/>
      </c>
      <c r="AA2319" s="122"/>
      <c r="AB2319" s="122"/>
      <c r="AC2319" s="122"/>
      <c r="AD2319" s="122"/>
      <c r="AE2319" s="122"/>
      <c r="AF2319" s="122"/>
      <c r="AG2319" s="122"/>
      <c r="AH2319" s="122"/>
      <c r="AI2319" s="122"/>
      <c r="AJ2319" s="122"/>
      <c r="AK2319" s="122"/>
      <c r="AL2319" s="122"/>
      <c r="AM2319" s="122"/>
      <c r="AN2319" s="122"/>
      <c r="AO2319" s="122"/>
      <c r="AP2319" s="122"/>
    </row>
    <row r="2320" spans="2:42">
      <c r="B2320" s="122"/>
      <c r="C2320" s="122"/>
      <c r="D2320" s="122"/>
      <c r="E2320" s="122"/>
      <c r="F2320" s="122"/>
      <c r="G2320" s="122"/>
      <c r="H2320" s="122"/>
      <c r="I2320" s="275"/>
      <c r="J2320" s="130"/>
      <c r="K2320" s="130"/>
      <c r="L2320" s="130"/>
      <c r="M2320" s="130"/>
      <c r="N2320" s="291"/>
      <c r="O2320" s="291"/>
      <c r="P2320" s="122"/>
      <c r="Q2320" s="122"/>
      <c r="R2320" s="122"/>
      <c r="S2320" s="122"/>
      <c r="T2320" s="122"/>
      <c r="U2320" s="315"/>
      <c r="V2320" s="260">
        <f t="shared" ca="1" si="44"/>
        <v>0</v>
      </c>
      <c r="W2320" s="348" t="str">
        <f>IF(板块成分!B2322="","",板块成分!B2322)</f>
        <v>300880.SZ</v>
      </c>
      <c r="X2320" s="276" t="str">
        <f>[1]!S_Info_Name(W2320)</f>
        <v>迦南智能</v>
      </c>
      <c r="Y2320" s="276" t="str">
        <f ca="1">IF($Y$3="申万一级行业",[1]!s_info_industry_sw_2021(W2320,公司分析!D$5,1),IF($Y$3="申万二级行业",[1]!s_info_industry_sw_2021(W2320,公司分析!D$5,2),IF($Y$3="申万三级行业",[1]!s_info_industry_sw_2021(W2320,公司分析!D$5,3),IF($Y$3="wind一级行业",[1]!s_info_industry_gics(W2320,1),IF($Y$3="wind二级行业",[1]!s_info_industry_gics(W2320,2),IF($Y$3="wind三级行业",[1]!s_info_industry_gics(W2320,3),IF($Y$3="wind四级行业",[1]!s_info_industry_gics(W2320,4),IF($Y$3="证监会门类行业",[1]!s_info_industry_csrc12_n(W2320,公司分析!D$5,1),""))))))))</f>
        <v>电网设备</v>
      </c>
      <c r="Z2320" s="302" t="str">
        <f ca="1">IF(Y2320=行业比较!$E$6,ROW(),"")</f>
        <v/>
      </c>
      <c r="AA2320" s="122"/>
      <c r="AB2320" s="122"/>
      <c r="AC2320" s="122"/>
      <c r="AD2320" s="122"/>
      <c r="AE2320" s="122"/>
      <c r="AF2320" s="122"/>
      <c r="AG2320" s="122"/>
      <c r="AH2320" s="122"/>
      <c r="AI2320" s="122"/>
      <c r="AJ2320" s="122"/>
      <c r="AK2320" s="122"/>
      <c r="AL2320" s="122"/>
      <c r="AM2320" s="122"/>
      <c r="AN2320" s="122"/>
      <c r="AO2320" s="122"/>
      <c r="AP2320" s="122"/>
    </row>
    <row r="2321" spans="2:42">
      <c r="B2321" s="122"/>
      <c r="C2321" s="122"/>
      <c r="D2321" s="122"/>
      <c r="E2321" s="122"/>
      <c r="F2321" s="122"/>
      <c r="G2321" s="122"/>
      <c r="H2321" s="122"/>
      <c r="I2321" s="275"/>
      <c r="J2321" s="130"/>
      <c r="K2321" s="130"/>
      <c r="L2321" s="130"/>
      <c r="M2321" s="130"/>
      <c r="N2321" s="291"/>
      <c r="O2321" s="291"/>
      <c r="P2321" s="122"/>
      <c r="Q2321" s="122"/>
      <c r="R2321" s="122"/>
      <c r="S2321" s="122"/>
      <c r="T2321" s="122"/>
      <c r="U2321" s="315"/>
      <c r="V2321" s="260">
        <f t="shared" ca="1" si="44"/>
        <v>0</v>
      </c>
      <c r="W2321" s="348" t="str">
        <f>IF(板块成分!B2323="","",板块成分!B2323)</f>
        <v>300881.SZ</v>
      </c>
      <c r="X2321" s="276" t="str">
        <f>[1]!S_Info_Name(W2321)</f>
        <v>盛德鑫泰</v>
      </c>
      <c r="Y2321" s="276" t="str">
        <f ca="1">IF($Y$3="申万一级行业",[1]!s_info_industry_sw_2021(W2321,公司分析!D$5,1),IF($Y$3="申万二级行业",[1]!s_info_industry_sw_2021(W2321,公司分析!D$5,2),IF($Y$3="申万三级行业",[1]!s_info_industry_sw_2021(W2321,公司分析!D$5,3),IF($Y$3="wind一级行业",[1]!s_info_industry_gics(W2321,1),IF($Y$3="wind二级行业",[1]!s_info_industry_gics(W2321,2),IF($Y$3="wind三级行业",[1]!s_info_industry_gics(W2321,3),IF($Y$3="wind四级行业",[1]!s_info_industry_gics(W2321,4),IF($Y$3="证监会门类行业",[1]!s_info_industry_csrc12_n(W2321,公司分析!D$5,1),""))))))))</f>
        <v>特钢Ⅱ</v>
      </c>
      <c r="Z2321" s="302" t="str">
        <f ca="1">IF(Y2321=行业比较!$E$6,ROW(),"")</f>
        <v/>
      </c>
      <c r="AA2321" s="122"/>
      <c r="AB2321" s="122"/>
      <c r="AC2321" s="122"/>
      <c r="AD2321" s="122"/>
      <c r="AE2321" s="122"/>
      <c r="AF2321" s="122"/>
      <c r="AG2321" s="122"/>
      <c r="AH2321" s="122"/>
      <c r="AI2321" s="122"/>
      <c r="AJ2321" s="122"/>
      <c r="AK2321" s="122"/>
      <c r="AL2321" s="122"/>
      <c r="AM2321" s="122"/>
      <c r="AN2321" s="122"/>
      <c r="AO2321" s="122"/>
      <c r="AP2321" s="122"/>
    </row>
    <row r="2322" spans="2:42">
      <c r="B2322" s="122"/>
      <c r="C2322" s="122"/>
      <c r="D2322" s="122"/>
      <c r="E2322" s="122"/>
      <c r="F2322" s="122"/>
      <c r="G2322" s="122"/>
      <c r="H2322" s="122"/>
      <c r="I2322" s="275"/>
      <c r="J2322" s="130"/>
      <c r="K2322" s="130"/>
      <c r="L2322" s="130"/>
      <c r="M2322" s="130"/>
      <c r="N2322" s="291"/>
      <c r="O2322" s="291"/>
      <c r="P2322" s="122"/>
      <c r="Q2322" s="122"/>
      <c r="R2322" s="122"/>
      <c r="S2322" s="122"/>
      <c r="T2322" s="122"/>
      <c r="U2322" s="315"/>
      <c r="V2322" s="260">
        <f t="shared" ca="1" si="44"/>
        <v>0</v>
      </c>
      <c r="W2322" s="348" t="str">
        <f>IF(板块成分!B2324="","",板块成分!B2324)</f>
        <v>300882.SZ</v>
      </c>
      <c r="X2322" s="276" t="str">
        <f>[1]!S_Info_Name(W2322)</f>
        <v>万胜智能</v>
      </c>
      <c r="Y2322" s="276" t="str">
        <f ca="1">IF($Y$3="申万一级行业",[1]!s_info_industry_sw_2021(W2322,公司分析!D$5,1),IF($Y$3="申万二级行业",[1]!s_info_industry_sw_2021(W2322,公司分析!D$5,2),IF($Y$3="申万三级行业",[1]!s_info_industry_sw_2021(W2322,公司分析!D$5,3),IF($Y$3="wind一级行业",[1]!s_info_industry_gics(W2322,1),IF($Y$3="wind二级行业",[1]!s_info_industry_gics(W2322,2),IF($Y$3="wind三级行业",[1]!s_info_industry_gics(W2322,3),IF($Y$3="wind四级行业",[1]!s_info_industry_gics(W2322,4),IF($Y$3="证监会门类行业",[1]!s_info_industry_csrc12_n(W2322,公司分析!D$5,1),""))))))))</f>
        <v>电网设备</v>
      </c>
      <c r="Z2322" s="302" t="str">
        <f ca="1">IF(Y2322=行业比较!$E$6,ROW(),"")</f>
        <v/>
      </c>
      <c r="AA2322" s="122"/>
      <c r="AB2322" s="122"/>
      <c r="AC2322" s="122"/>
      <c r="AD2322" s="122"/>
      <c r="AE2322" s="122"/>
      <c r="AF2322" s="122"/>
      <c r="AG2322" s="122"/>
      <c r="AH2322" s="122"/>
      <c r="AI2322" s="122"/>
      <c r="AJ2322" s="122"/>
      <c r="AK2322" s="122"/>
      <c r="AL2322" s="122"/>
      <c r="AM2322" s="122"/>
      <c r="AN2322" s="122"/>
      <c r="AO2322" s="122"/>
      <c r="AP2322" s="122"/>
    </row>
    <row r="2323" spans="2:42">
      <c r="B2323" s="122"/>
      <c r="C2323" s="122"/>
      <c r="D2323" s="122"/>
      <c r="E2323" s="122"/>
      <c r="F2323" s="122"/>
      <c r="G2323" s="122"/>
      <c r="H2323" s="122"/>
      <c r="I2323" s="275"/>
      <c r="J2323" s="130"/>
      <c r="K2323" s="130"/>
      <c r="L2323" s="130"/>
      <c r="M2323" s="130"/>
      <c r="N2323" s="291"/>
      <c r="O2323" s="291"/>
      <c r="P2323" s="122"/>
      <c r="Q2323" s="122"/>
      <c r="R2323" s="122"/>
      <c r="S2323" s="122"/>
      <c r="T2323" s="122"/>
      <c r="U2323" s="315"/>
      <c r="V2323" s="260">
        <f t="shared" ca="1" si="44"/>
        <v>0</v>
      </c>
      <c r="W2323" s="348" t="str">
        <f>IF(板块成分!B2325="","",板块成分!B2325)</f>
        <v>300883.SZ</v>
      </c>
      <c r="X2323" s="276" t="str">
        <f>[1]!S_Info_Name(W2323)</f>
        <v>龙利得</v>
      </c>
      <c r="Y2323" s="276" t="str">
        <f ca="1">IF($Y$3="申万一级行业",[1]!s_info_industry_sw_2021(W2323,公司分析!D$5,1),IF($Y$3="申万二级行业",[1]!s_info_industry_sw_2021(W2323,公司分析!D$5,2),IF($Y$3="申万三级行业",[1]!s_info_industry_sw_2021(W2323,公司分析!D$5,3),IF($Y$3="wind一级行业",[1]!s_info_industry_gics(W2323,1),IF($Y$3="wind二级行业",[1]!s_info_industry_gics(W2323,2),IF($Y$3="wind三级行业",[1]!s_info_industry_gics(W2323,3),IF($Y$3="wind四级行业",[1]!s_info_industry_gics(W2323,4),IF($Y$3="证监会门类行业",[1]!s_info_industry_csrc12_n(W2323,公司分析!D$5,1),""))))))))</f>
        <v>包装印刷</v>
      </c>
      <c r="Z2323" s="302" t="str">
        <f ca="1">IF(Y2323=行业比较!$E$6,ROW(),"")</f>
        <v/>
      </c>
      <c r="AA2323" s="122"/>
      <c r="AB2323" s="122"/>
      <c r="AC2323" s="122"/>
      <c r="AD2323" s="122"/>
      <c r="AE2323" s="122"/>
      <c r="AF2323" s="122"/>
      <c r="AG2323" s="122"/>
      <c r="AH2323" s="122"/>
      <c r="AI2323" s="122"/>
      <c r="AJ2323" s="122"/>
      <c r="AK2323" s="122"/>
      <c r="AL2323" s="122"/>
      <c r="AM2323" s="122"/>
      <c r="AN2323" s="122"/>
      <c r="AO2323" s="122"/>
      <c r="AP2323" s="122"/>
    </row>
    <row r="2324" spans="2:42">
      <c r="B2324" s="122"/>
      <c r="C2324" s="122"/>
      <c r="D2324" s="122"/>
      <c r="E2324" s="122"/>
      <c r="F2324" s="122"/>
      <c r="G2324" s="122"/>
      <c r="H2324" s="122"/>
      <c r="I2324" s="275"/>
      <c r="J2324" s="130"/>
      <c r="K2324" s="130"/>
      <c r="L2324" s="130"/>
      <c r="M2324" s="130"/>
      <c r="N2324" s="291"/>
      <c r="O2324" s="291"/>
      <c r="P2324" s="122"/>
      <c r="Q2324" s="122"/>
      <c r="R2324" s="122"/>
      <c r="S2324" s="122"/>
      <c r="T2324" s="122"/>
      <c r="U2324" s="315"/>
      <c r="V2324" s="260">
        <f t="shared" ca="1" si="44"/>
        <v>0</v>
      </c>
      <c r="W2324" s="348" t="str">
        <f>IF(板块成分!B2326="","",板块成分!B2326)</f>
        <v>300884.SZ</v>
      </c>
      <c r="X2324" s="276" t="str">
        <f>[1]!S_Info_Name(W2324)</f>
        <v>狄耐克</v>
      </c>
      <c r="Y2324" s="276" t="str">
        <f ca="1">IF($Y$3="申万一级行业",[1]!s_info_industry_sw_2021(W2324,公司分析!D$5,1),IF($Y$3="申万二级行业",[1]!s_info_industry_sw_2021(W2324,公司分析!D$5,2),IF($Y$3="申万三级行业",[1]!s_info_industry_sw_2021(W2324,公司分析!D$5,3),IF($Y$3="wind一级行业",[1]!s_info_industry_gics(W2324,1),IF($Y$3="wind二级行业",[1]!s_info_industry_gics(W2324,2),IF($Y$3="wind三级行业",[1]!s_info_industry_gics(W2324,3),IF($Y$3="wind四级行业",[1]!s_info_industry_gics(W2324,4),IF($Y$3="证监会门类行业",[1]!s_info_industry_csrc12_n(W2324,公司分析!D$5,1),""))))))))</f>
        <v>计算机设备</v>
      </c>
      <c r="Z2324" s="302" t="str">
        <f ca="1">IF(Y2324=行业比较!$E$6,ROW(),"")</f>
        <v/>
      </c>
      <c r="AA2324" s="122"/>
      <c r="AB2324" s="122"/>
      <c r="AC2324" s="122"/>
      <c r="AD2324" s="122"/>
      <c r="AE2324" s="122"/>
      <c r="AF2324" s="122"/>
      <c r="AG2324" s="122"/>
      <c r="AH2324" s="122"/>
      <c r="AI2324" s="122"/>
      <c r="AJ2324" s="122"/>
      <c r="AK2324" s="122"/>
      <c r="AL2324" s="122"/>
      <c r="AM2324" s="122"/>
      <c r="AN2324" s="122"/>
      <c r="AO2324" s="122"/>
      <c r="AP2324" s="122"/>
    </row>
    <row r="2325" spans="2:42">
      <c r="B2325" s="122"/>
      <c r="C2325" s="122"/>
      <c r="D2325" s="122"/>
      <c r="E2325" s="122"/>
      <c r="F2325" s="122"/>
      <c r="G2325" s="122"/>
      <c r="H2325" s="122"/>
      <c r="I2325" s="275"/>
      <c r="J2325" s="130"/>
      <c r="K2325" s="130"/>
      <c r="L2325" s="130"/>
      <c r="M2325" s="130"/>
      <c r="N2325" s="291"/>
      <c r="O2325" s="291"/>
      <c r="P2325" s="122"/>
      <c r="Q2325" s="122"/>
      <c r="R2325" s="122"/>
      <c r="S2325" s="122"/>
      <c r="T2325" s="122"/>
      <c r="U2325" s="315"/>
      <c r="V2325" s="260">
        <f t="shared" ca="1" si="44"/>
        <v>0</v>
      </c>
      <c r="W2325" s="348" t="str">
        <f>IF(板块成分!B2327="","",板块成分!B2327)</f>
        <v>300885.SZ</v>
      </c>
      <c r="X2325" s="276" t="str">
        <f>[1]!S_Info_Name(W2325)</f>
        <v>海昌新材</v>
      </c>
      <c r="Y2325" s="276" t="str">
        <f ca="1">IF($Y$3="申万一级行业",[1]!s_info_industry_sw_2021(W2325,公司分析!D$5,1),IF($Y$3="申万二级行业",[1]!s_info_industry_sw_2021(W2325,公司分析!D$5,2),IF($Y$3="申万三级行业",[1]!s_info_industry_sw_2021(W2325,公司分析!D$5,3),IF($Y$3="wind一级行业",[1]!s_info_industry_gics(W2325,1),IF($Y$3="wind二级行业",[1]!s_info_industry_gics(W2325,2),IF($Y$3="wind三级行业",[1]!s_info_industry_gics(W2325,3),IF($Y$3="wind四级行业",[1]!s_info_industry_gics(W2325,4),IF($Y$3="证监会门类行业",[1]!s_info_industry_csrc12_n(W2325,公司分析!D$5,1),""))))))))</f>
        <v>通用设备</v>
      </c>
      <c r="Z2325" s="302" t="str">
        <f ca="1">IF(Y2325=行业比较!$E$6,ROW(),"")</f>
        <v/>
      </c>
      <c r="AA2325" s="122"/>
      <c r="AB2325" s="122"/>
      <c r="AC2325" s="122"/>
      <c r="AD2325" s="122"/>
      <c r="AE2325" s="122"/>
      <c r="AF2325" s="122"/>
      <c r="AG2325" s="122"/>
      <c r="AH2325" s="122"/>
      <c r="AI2325" s="122"/>
      <c r="AJ2325" s="122"/>
      <c r="AK2325" s="122"/>
      <c r="AL2325" s="122"/>
      <c r="AM2325" s="122"/>
      <c r="AN2325" s="122"/>
      <c r="AO2325" s="122"/>
      <c r="AP2325" s="122"/>
    </row>
    <row r="2326" spans="2:42">
      <c r="B2326" s="122"/>
      <c r="C2326" s="122"/>
      <c r="D2326" s="122"/>
      <c r="E2326" s="122"/>
      <c r="F2326" s="122"/>
      <c r="G2326" s="122"/>
      <c r="H2326" s="122"/>
      <c r="I2326" s="275"/>
      <c r="J2326" s="130"/>
      <c r="K2326" s="130"/>
      <c r="L2326" s="130"/>
      <c r="M2326" s="130"/>
      <c r="N2326" s="291"/>
      <c r="O2326" s="291"/>
      <c r="P2326" s="122"/>
      <c r="Q2326" s="122"/>
      <c r="R2326" s="122"/>
      <c r="S2326" s="122"/>
      <c r="T2326" s="122"/>
      <c r="U2326" s="315"/>
      <c r="V2326" s="260">
        <f t="shared" ca="1" si="44"/>
        <v>0</v>
      </c>
      <c r="W2326" s="348" t="str">
        <f>IF(板块成分!B2328="","",板块成分!B2328)</f>
        <v>300886.SZ</v>
      </c>
      <c r="X2326" s="276" t="str">
        <f>[1]!S_Info_Name(W2326)</f>
        <v>华业香料</v>
      </c>
      <c r="Y2326" s="276" t="str">
        <f ca="1">IF($Y$3="申万一级行业",[1]!s_info_industry_sw_2021(W2326,公司分析!D$5,1),IF($Y$3="申万二级行业",[1]!s_info_industry_sw_2021(W2326,公司分析!D$5,2),IF($Y$3="申万三级行业",[1]!s_info_industry_sw_2021(W2326,公司分析!D$5,3),IF($Y$3="wind一级行业",[1]!s_info_industry_gics(W2326,1),IF($Y$3="wind二级行业",[1]!s_info_industry_gics(W2326,2),IF($Y$3="wind三级行业",[1]!s_info_industry_gics(W2326,3),IF($Y$3="wind四级行业",[1]!s_info_industry_gics(W2326,4),IF($Y$3="证监会门类行业",[1]!s_info_industry_csrc12_n(W2326,公司分析!D$5,1),""))))))))</f>
        <v>化妆品</v>
      </c>
      <c r="Z2326" s="302" t="str">
        <f ca="1">IF(Y2326=行业比较!$E$6,ROW(),"")</f>
        <v/>
      </c>
      <c r="AA2326" s="122"/>
      <c r="AB2326" s="122"/>
      <c r="AC2326" s="122"/>
      <c r="AD2326" s="122"/>
      <c r="AE2326" s="122"/>
      <c r="AF2326" s="122"/>
      <c r="AG2326" s="122"/>
      <c r="AH2326" s="122"/>
      <c r="AI2326" s="122"/>
      <c r="AJ2326" s="122"/>
      <c r="AK2326" s="122"/>
      <c r="AL2326" s="122"/>
      <c r="AM2326" s="122"/>
      <c r="AN2326" s="122"/>
      <c r="AO2326" s="122"/>
      <c r="AP2326" s="122"/>
    </row>
    <row r="2327" spans="2:42">
      <c r="B2327" s="122"/>
      <c r="C2327" s="122"/>
      <c r="D2327" s="122"/>
      <c r="E2327" s="122"/>
      <c r="F2327" s="122"/>
      <c r="G2327" s="122"/>
      <c r="H2327" s="122"/>
      <c r="I2327" s="275"/>
      <c r="J2327" s="130"/>
      <c r="K2327" s="130"/>
      <c r="L2327" s="130"/>
      <c r="M2327" s="130"/>
      <c r="N2327" s="291"/>
      <c r="O2327" s="291"/>
      <c r="P2327" s="122"/>
      <c r="Q2327" s="122"/>
      <c r="R2327" s="122"/>
      <c r="S2327" s="122"/>
      <c r="T2327" s="122"/>
      <c r="U2327" s="315"/>
      <c r="V2327" s="260">
        <f t="shared" ca="1" si="44"/>
        <v>0</v>
      </c>
      <c r="W2327" s="348" t="str">
        <f>IF(板块成分!B2329="","",板块成分!B2329)</f>
        <v>300887.SZ</v>
      </c>
      <c r="X2327" s="276" t="str">
        <f>[1]!S_Info_Name(W2327)</f>
        <v>谱尼测试</v>
      </c>
      <c r="Y2327" s="276" t="str">
        <f ca="1">IF($Y$3="申万一级行业",[1]!s_info_industry_sw_2021(W2327,公司分析!D$5,1),IF($Y$3="申万二级行业",[1]!s_info_industry_sw_2021(W2327,公司分析!D$5,2),IF($Y$3="申万三级行业",[1]!s_info_industry_sw_2021(W2327,公司分析!D$5,3),IF($Y$3="wind一级行业",[1]!s_info_industry_gics(W2327,1),IF($Y$3="wind二级行业",[1]!s_info_industry_gics(W2327,2),IF($Y$3="wind三级行业",[1]!s_info_industry_gics(W2327,3),IF($Y$3="wind四级行业",[1]!s_info_industry_gics(W2327,4),IF($Y$3="证监会门类行业",[1]!s_info_industry_csrc12_n(W2327,公司分析!D$5,1),""))))))))</f>
        <v>专业服务</v>
      </c>
      <c r="Z2327" s="302" t="str">
        <f ca="1">IF(Y2327=行业比较!$E$6,ROW(),"")</f>
        <v/>
      </c>
      <c r="AA2327" s="122"/>
      <c r="AB2327" s="122"/>
      <c r="AC2327" s="122"/>
      <c r="AD2327" s="122"/>
      <c r="AE2327" s="122"/>
      <c r="AF2327" s="122"/>
      <c r="AG2327" s="122"/>
      <c r="AH2327" s="122"/>
      <c r="AI2327" s="122"/>
      <c r="AJ2327" s="122"/>
      <c r="AK2327" s="122"/>
      <c r="AL2327" s="122"/>
      <c r="AM2327" s="122"/>
      <c r="AN2327" s="122"/>
      <c r="AO2327" s="122"/>
      <c r="AP2327" s="122"/>
    </row>
    <row r="2328" spans="2:42">
      <c r="B2328" s="122"/>
      <c r="C2328" s="122"/>
      <c r="D2328" s="122"/>
      <c r="E2328" s="122"/>
      <c r="F2328" s="122"/>
      <c r="G2328" s="122"/>
      <c r="H2328" s="122"/>
      <c r="I2328" s="275"/>
      <c r="J2328" s="130"/>
      <c r="K2328" s="130"/>
      <c r="L2328" s="130"/>
      <c r="M2328" s="130"/>
      <c r="N2328" s="291"/>
      <c r="O2328" s="291"/>
      <c r="P2328" s="122"/>
      <c r="Q2328" s="122"/>
      <c r="R2328" s="122"/>
      <c r="S2328" s="122"/>
      <c r="T2328" s="122"/>
      <c r="U2328" s="315"/>
      <c r="V2328" s="260">
        <f t="shared" ca="1" si="44"/>
        <v>0</v>
      </c>
      <c r="W2328" s="348" t="str">
        <f>IF(板块成分!B2330="","",板块成分!B2330)</f>
        <v>300888.SZ</v>
      </c>
      <c r="X2328" s="276" t="str">
        <f>[1]!S_Info_Name(W2328)</f>
        <v>稳健医疗</v>
      </c>
      <c r="Y2328" s="276" t="str">
        <f ca="1">IF($Y$3="申万一级行业",[1]!s_info_industry_sw_2021(W2328,公司分析!D$5,1),IF($Y$3="申万二级行业",[1]!s_info_industry_sw_2021(W2328,公司分析!D$5,2),IF($Y$3="申万三级行业",[1]!s_info_industry_sw_2021(W2328,公司分析!D$5,3),IF($Y$3="wind一级行业",[1]!s_info_industry_gics(W2328,1),IF($Y$3="wind二级行业",[1]!s_info_industry_gics(W2328,2),IF($Y$3="wind三级行业",[1]!s_info_industry_gics(W2328,3),IF($Y$3="wind四级行业",[1]!s_info_industry_gics(W2328,4),IF($Y$3="证监会门类行业",[1]!s_info_industry_csrc12_n(W2328,公司分析!D$5,1),""))))))))</f>
        <v>个护用品</v>
      </c>
      <c r="Z2328" s="302" t="str">
        <f ca="1">IF(Y2328=行业比较!$E$6,ROW(),"")</f>
        <v/>
      </c>
      <c r="AA2328" s="122"/>
      <c r="AB2328" s="122"/>
      <c r="AC2328" s="122"/>
      <c r="AD2328" s="122"/>
      <c r="AE2328" s="122"/>
      <c r="AF2328" s="122"/>
      <c r="AG2328" s="122"/>
      <c r="AH2328" s="122"/>
      <c r="AI2328" s="122"/>
      <c r="AJ2328" s="122"/>
      <c r="AK2328" s="122"/>
      <c r="AL2328" s="122"/>
      <c r="AM2328" s="122"/>
      <c r="AN2328" s="122"/>
      <c r="AO2328" s="122"/>
      <c r="AP2328" s="122"/>
    </row>
    <row r="2329" spans="2:42">
      <c r="B2329" s="122"/>
      <c r="C2329" s="122"/>
      <c r="D2329" s="122"/>
      <c r="E2329" s="122"/>
      <c r="F2329" s="122"/>
      <c r="G2329" s="122"/>
      <c r="H2329" s="122"/>
      <c r="I2329" s="275"/>
      <c r="J2329" s="130"/>
      <c r="K2329" s="130"/>
      <c r="L2329" s="130"/>
      <c r="M2329" s="130"/>
      <c r="N2329" s="291"/>
      <c r="O2329" s="291"/>
      <c r="P2329" s="122"/>
      <c r="Q2329" s="122"/>
      <c r="R2329" s="122"/>
      <c r="S2329" s="122"/>
      <c r="T2329" s="122"/>
      <c r="U2329" s="315"/>
      <c r="V2329" s="260">
        <f t="shared" ca="1" si="44"/>
        <v>0</v>
      </c>
      <c r="W2329" s="348" t="str">
        <f>IF(板块成分!B2331="","",板块成分!B2331)</f>
        <v>300889.SZ</v>
      </c>
      <c r="X2329" s="276" t="str">
        <f>[1]!S_Info_Name(W2329)</f>
        <v>爱克股份</v>
      </c>
      <c r="Y2329" s="276" t="str">
        <f ca="1">IF($Y$3="申万一级行业",[1]!s_info_industry_sw_2021(W2329,公司分析!D$5,1),IF($Y$3="申万二级行业",[1]!s_info_industry_sw_2021(W2329,公司分析!D$5,2),IF($Y$3="申万三级行业",[1]!s_info_industry_sw_2021(W2329,公司分析!D$5,3),IF($Y$3="wind一级行业",[1]!s_info_industry_gics(W2329,1),IF($Y$3="wind二级行业",[1]!s_info_industry_gics(W2329,2),IF($Y$3="wind三级行业",[1]!s_info_industry_gics(W2329,3),IF($Y$3="wind四级行业",[1]!s_info_industry_gics(W2329,4),IF($Y$3="证监会门类行业",[1]!s_info_industry_csrc12_n(W2329,公司分析!D$5,1),""))))))))</f>
        <v>光学光电子</v>
      </c>
      <c r="Z2329" s="302" t="str">
        <f ca="1">IF(Y2329=行业比较!$E$6,ROW(),"")</f>
        <v/>
      </c>
      <c r="AA2329" s="122"/>
      <c r="AB2329" s="122"/>
      <c r="AC2329" s="122"/>
      <c r="AD2329" s="122"/>
      <c r="AE2329" s="122"/>
      <c r="AF2329" s="122"/>
      <c r="AG2329" s="122"/>
      <c r="AH2329" s="122"/>
      <c r="AI2329" s="122"/>
      <c r="AJ2329" s="122"/>
      <c r="AK2329" s="122"/>
      <c r="AL2329" s="122"/>
      <c r="AM2329" s="122"/>
      <c r="AN2329" s="122"/>
      <c r="AO2329" s="122"/>
      <c r="AP2329" s="122"/>
    </row>
    <row r="2330" spans="2:42">
      <c r="B2330" s="122"/>
      <c r="C2330" s="122"/>
      <c r="D2330" s="122"/>
      <c r="E2330" s="122"/>
      <c r="F2330" s="122"/>
      <c r="G2330" s="122"/>
      <c r="H2330" s="122"/>
      <c r="I2330" s="275"/>
      <c r="J2330" s="130"/>
      <c r="K2330" s="130"/>
      <c r="L2330" s="130"/>
      <c r="M2330" s="130"/>
      <c r="N2330" s="291"/>
      <c r="O2330" s="291"/>
      <c r="P2330" s="122"/>
      <c r="Q2330" s="122"/>
      <c r="R2330" s="122"/>
      <c r="S2330" s="122"/>
      <c r="T2330" s="122"/>
      <c r="U2330" s="315"/>
      <c r="V2330" s="260">
        <f t="shared" ca="1" si="44"/>
        <v>0</v>
      </c>
      <c r="W2330" s="348" t="str">
        <f>IF(板块成分!B2332="","",板块成分!B2332)</f>
        <v>300890.SZ</v>
      </c>
      <c r="X2330" s="276" t="str">
        <f>[1]!S_Info_Name(W2330)</f>
        <v>翔丰华</v>
      </c>
      <c r="Y2330" s="276" t="str">
        <f ca="1">IF($Y$3="申万一级行业",[1]!s_info_industry_sw_2021(W2330,公司分析!D$5,1),IF($Y$3="申万二级行业",[1]!s_info_industry_sw_2021(W2330,公司分析!D$5,2),IF($Y$3="申万三级行业",[1]!s_info_industry_sw_2021(W2330,公司分析!D$5,3),IF($Y$3="wind一级行业",[1]!s_info_industry_gics(W2330,1),IF($Y$3="wind二级行业",[1]!s_info_industry_gics(W2330,2),IF($Y$3="wind三级行业",[1]!s_info_industry_gics(W2330,3),IF($Y$3="wind四级行业",[1]!s_info_industry_gics(W2330,4),IF($Y$3="证监会门类行业",[1]!s_info_industry_csrc12_n(W2330,公司分析!D$5,1),""))))))))</f>
        <v>电池</v>
      </c>
      <c r="Z2330" s="302" t="str">
        <f ca="1">IF(Y2330=行业比较!$E$6,ROW(),"")</f>
        <v/>
      </c>
      <c r="AA2330" s="122"/>
      <c r="AB2330" s="122"/>
      <c r="AC2330" s="122"/>
      <c r="AD2330" s="122"/>
      <c r="AE2330" s="122"/>
      <c r="AF2330" s="122"/>
      <c r="AG2330" s="122"/>
      <c r="AH2330" s="122"/>
      <c r="AI2330" s="122"/>
      <c r="AJ2330" s="122"/>
      <c r="AK2330" s="122"/>
      <c r="AL2330" s="122"/>
      <c r="AM2330" s="122"/>
      <c r="AN2330" s="122"/>
      <c r="AO2330" s="122"/>
      <c r="AP2330" s="122"/>
    </row>
    <row r="2331" spans="2:42">
      <c r="B2331" s="122"/>
      <c r="C2331" s="122"/>
      <c r="D2331" s="122"/>
      <c r="E2331" s="122"/>
      <c r="F2331" s="122"/>
      <c r="G2331" s="122"/>
      <c r="H2331" s="122"/>
      <c r="I2331" s="275"/>
      <c r="J2331" s="130"/>
      <c r="K2331" s="130"/>
      <c r="L2331" s="130"/>
      <c r="M2331" s="130"/>
      <c r="N2331" s="291"/>
      <c r="O2331" s="291"/>
      <c r="P2331" s="122"/>
      <c r="Q2331" s="122"/>
      <c r="R2331" s="122"/>
      <c r="S2331" s="122"/>
      <c r="T2331" s="122"/>
      <c r="U2331" s="315"/>
      <c r="V2331" s="260">
        <f t="shared" ca="1" si="44"/>
        <v>0</v>
      </c>
      <c r="W2331" s="348" t="str">
        <f>IF(板块成分!B2333="","",板块成分!B2333)</f>
        <v>300891.SZ</v>
      </c>
      <c r="X2331" s="276" t="str">
        <f>[1]!S_Info_Name(W2331)</f>
        <v>惠云钛业</v>
      </c>
      <c r="Y2331" s="276" t="str">
        <f ca="1">IF($Y$3="申万一级行业",[1]!s_info_industry_sw_2021(W2331,公司分析!D$5,1),IF($Y$3="申万二级行业",[1]!s_info_industry_sw_2021(W2331,公司分析!D$5,2),IF($Y$3="申万三级行业",[1]!s_info_industry_sw_2021(W2331,公司分析!D$5,3),IF($Y$3="wind一级行业",[1]!s_info_industry_gics(W2331,1),IF($Y$3="wind二级行业",[1]!s_info_industry_gics(W2331,2),IF($Y$3="wind三级行业",[1]!s_info_industry_gics(W2331,3),IF($Y$3="wind四级行业",[1]!s_info_industry_gics(W2331,4),IF($Y$3="证监会门类行业",[1]!s_info_industry_csrc12_n(W2331,公司分析!D$5,1),""))))))))</f>
        <v>化学原料</v>
      </c>
      <c r="Z2331" s="302" t="str">
        <f ca="1">IF(Y2331=行业比较!$E$6,ROW(),"")</f>
        <v/>
      </c>
      <c r="AA2331" s="122"/>
      <c r="AB2331" s="122"/>
      <c r="AC2331" s="122"/>
      <c r="AD2331" s="122"/>
      <c r="AE2331" s="122"/>
      <c r="AF2331" s="122"/>
      <c r="AG2331" s="122"/>
      <c r="AH2331" s="122"/>
      <c r="AI2331" s="122"/>
      <c r="AJ2331" s="122"/>
      <c r="AK2331" s="122"/>
      <c r="AL2331" s="122"/>
      <c r="AM2331" s="122"/>
      <c r="AN2331" s="122"/>
      <c r="AO2331" s="122"/>
      <c r="AP2331" s="122"/>
    </row>
    <row r="2332" spans="2:42">
      <c r="B2332" s="122"/>
      <c r="C2332" s="122"/>
      <c r="D2332" s="122"/>
      <c r="E2332" s="122"/>
      <c r="F2332" s="122"/>
      <c r="G2332" s="122"/>
      <c r="H2332" s="122"/>
      <c r="I2332" s="275"/>
      <c r="J2332" s="130"/>
      <c r="K2332" s="130"/>
      <c r="L2332" s="130"/>
      <c r="M2332" s="130"/>
      <c r="N2332" s="291"/>
      <c r="O2332" s="291"/>
      <c r="P2332" s="122"/>
      <c r="Q2332" s="122"/>
      <c r="R2332" s="122"/>
      <c r="S2332" s="122"/>
      <c r="T2332" s="122"/>
      <c r="U2332" s="315"/>
      <c r="V2332" s="260">
        <f t="shared" ca="1" si="44"/>
        <v>0</v>
      </c>
      <c r="W2332" s="348" t="str">
        <f>IF(板块成分!B2334="","",板块成分!B2334)</f>
        <v>300892.SZ</v>
      </c>
      <c r="X2332" s="276" t="str">
        <f>[1]!S_Info_Name(W2332)</f>
        <v>品渥食品</v>
      </c>
      <c r="Y2332" s="276" t="str">
        <f ca="1">IF($Y$3="申万一级行业",[1]!s_info_industry_sw_2021(W2332,公司分析!D$5,1),IF($Y$3="申万二级行业",[1]!s_info_industry_sw_2021(W2332,公司分析!D$5,2),IF($Y$3="申万三级行业",[1]!s_info_industry_sw_2021(W2332,公司分析!D$5,3),IF($Y$3="wind一级行业",[1]!s_info_industry_gics(W2332,1),IF($Y$3="wind二级行业",[1]!s_info_industry_gics(W2332,2),IF($Y$3="wind三级行业",[1]!s_info_industry_gics(W2332,3),IF($Y$3="wind四级行业",[1]!s_info_industry_gics(W2332,4),IF($Y$3="证监会门类行业",[1]!s_info_industry_csrc12_n(W2332,公司分析!D$5,1),""))))))))</f>
        <v>饮料乳品</v>
      </c>
      <c r="Z2332" s="302" t="str">
        <f ca="1">IF(Y2332=行业比较!$E$6,ROW(),"")</f>
        <v/>
      </c>
      <c r="AA2332" s="122"/>
      <c r="AB2332" s="122"/>
      <c r="AC2332" s="122"/>
      <c r="AD2332" s="122"/>
      <c r="AE2332" s="122"/>
      <c r="AF2332" s="122"/>
      <c r="AG2332" s="122"/>
      <c r="AH2332" s="122"/>
      <c r="AI2332" s="122"/>
      <c r="AJ2332" s="122"/>
      <c r="AK2332" s="122"/>
      <c r="AL2332" s="122"/>
      <c r="AM2332" s="122"/>
      <c r="AN2332" s="122"/>
      <c r="AO2332" s="122"/>
      <c r="AP2332" s="122"/>
    </row>
    <row r="2333" spans="2:42">
      <c r="B2333" s="122"/>
      <c r="C2333" s="122"/>
      <c r="D2333" s="122"/>
      <c r="E2333" s="122"/>
      <c r="F2333" s="122"/>
      <c r="G2333" s="122"/>
      <c r="H2333" s="122"/>
      <c r="I2333" s="275"/>
      <c r="J2333" s="130"/>
      <c r="K2333" s="130"/>
      <c r="L2333" s="130"/>
      <c r="M2333" s="130"/>
      <c r="N2333" s="291"/>
      <c r="O2333" s="291"/>
      <c r="P2333" s="122"/>
      <c r="Q2333" s="122"/>
      <c r="R2333" s="122"/>
      <c r="S2333" s="122"/>
      <c r="T2333" s="122"/>
      <c r="U2333" s="315"/>
      <c r="V2333" s="260">
        <f t="shared" ca="1" si="44"/>
        <v>0</v>
      </c>
      <c r="W2333" s="348" t="str">
        <f>IF(板块成分!B2335="","",板块成分!B2335)</f>
        <v>300893.SZ</v>
      </c>
      <c r="X2333" s="276" t="str">
        <f>[1]!S_Info_Name(W2333)</f>
        <v>松原安全</v>
      </c>
      <c r="Y2333" s="276" t="str">
        <f ca="1">IF($Y$3="申万一级行业",[1]!s_info_industry_sw_2021(W2333,公司分析!D$5,1),IF($Y$3="申万二级行业",[1]!s_info_industry_sw_2021(W2333,公司分析!D$5,2),IF($Y$3="申万三级行业",[1]!s_info_industry_sw_2021(W2333,公司分析!D$5,3),IF($Y$3="wind一级行业",[1]!s_info_industry_gics(W2333,1),IF($Y$3="wind二级行业",[1]!s_info_industry_gics(W2333,2),IF($Y$3="wind三级行业",[1]!s_info_industry_gics(W2333,3),IF($Y$3="wind四级行业",[1]!s_info_industry_gics(W2333,4),IF($Y$3="证监会门类行业",[1]!s_info_industry_csrc12_n(W2333,公司分析!D$5,1),""))))))))</f>
        <v>汽车零部件</v>
      </c>
      <c r="Z2333" s="302" t="str">
        <f ca="1">IF(Y2333=行业比较!$E$6,ROW(),"")</f>
        <v/>
      </c>
      <c r="AA2333" s="122"/>
      <c r="AB2333" s="122"/>
      <c r="AC2333" s="122"/>
      <c r="AD2333" s="122"/>
      <c r="AE2333" s="122"/>
      <c r="AF2333" s="122"/>
      <c r="AG2333" s="122"/>
      <c r="AH2333" s="122"/>
      <c r="AI2333" s="122"/>
      <c r="AJ2333" s="122"/>
      <c r="AK2333" s="122"/>
      <c r="AL2333" s="122"/>
      <c r="AM2333" s="122"/>
      <c r="AN2333" s="122"/>
      <c r="AO2333" s="122"/>
      <c r="AP2333" s="122"/>
    </row>
    <row r="2334" spans="2:42">
      <c r="B2334" s="122"/>
      <c r="C2334" s="122"/>
      <c r="D2334" s="122"/>
      <c r="E2334" s="122"/>
      <c r="F2334" s="122"/>
      <c r="G2334" s="122"/>
      <c r="H2334" s="122"/>
      <c r="I2334" s="275"/>
      <c r="J2334" s="130"/>
      <c r="K2334" s="130"/>
      <c r="L2334" s="130"/>
      <c r="M2334" s="130"/>
      <c r="N2334" s="291"/>
      <c r="O2334" s="291"/>
      <c r="P2334" s="122"/>
      <c r="Q2334" s="122"/>
      <c r="R2334" s="122"/>
      <c r="S2334" s="122"/>
      <c r="T2334" s="122"/>
      <c r="U2334" s="315"/>
      <c r="V2334" s="260">
        <f t="shared" ca="1" si="44"/>
        <v>0</v>
      </c>
      <c r="W2334" s="348" t="str">
        <f>IF(板块成分!B2336="","",板块成分!B2336)</f>
        <v>300894.SZ</v>
      </c>
      <c r="X2334" s="276" t="str">
        <f>[1]!S_Info_Name(W2334)</f>
        <v>火星人</v>
      </c>
      <c r="Y2334" s="276" t="str">
        <f ca="1">IF($Y$3="申万一级行业",[1]!s_info_industry_sw_2021(W2334,公司分析!D$5,1),IF($Y$3="申万二级行业",[1]!s_info_industry_sw_2021(W2334,公司分析!D$5,2),IF($Y$3="申万三级行业",[1]!s_info_industry_sw_2021(W2334,公司分析!D$5,3),IF($Y$3="wind一级行业",[1]!s_info_industry_gics(W2334,1),IF($Y$3="wind二级行业",[1]!s_info_industry_gics(W2334,2),IF($Y$3="wind三级行业",[1]!s_info_industry_gics(W2334,3),IF($Y$3="wind四级行业",[1]!s_info_industry_gics(W2334,4),IF($Y$3="证监会门类行业",[1]!s_info_industry_csrc12_n(W2334,公司分析!D$5,1),""))))))))</f>
        <v>厨卫电器</v>
      </c>
      <c r="Z2334" s="302" t="str">
        <f ca="1">IF(Y2334=行业比较!$E$6,ROW(),"")</f>
        <v/>
      </c>
      <c r="AA2334" s="122"/>
      <c r="AB2334" s="122"/>
      <c r="AC2334" s="122"/>
      <c r="AD2334" s="122"/>
      <c r="AE2334" s="122"/>
      <c r="AF2334" s="122"/>
      <c r="AG2334" s="122"/>
      <c r="AH2334" s="122"/>
      <c r="AI2334" s="122"/>
      <c r="AJ2334" s="122"/>
      <c r="AK2334" s="122"/>
      <c r="AL2334" s="122"/>
      <c r="AM2334" s="122"/>
      <c r="AN2334" s="122"/>
      <c r="AO2334" s="122"/>
      <c r="AP2334" s="122"/>
    </row>
    <row r="2335" spans="2:42">
      <c r="B2335" s="122"/>
      <c r="C2335" s="122"/>
      <c r="D2335" s="122"/>
      <c r="E2335" s="122"/>
      <c r="F2335" s="122"/>
      <c r="G2335" s="122"/>
      <c r="H2335" s="122"/>
      <c r="I2335" s="275"/>
      <c r="J2335" s="130"/>
      <c r="K2335" s="130"/>
      <c r="L2335" s="130"/>
      <c r="M2335" s="130"/>
      <c r="N2335" s="291"/>
      <c r="O2335" s="291"/>
      <c r="P2335" s="122"/>
      <c r="Q2335" s="122"/>
      <c r="R2335" s="122"/>
      <c r="S2335" s="122"/>
      <c r="T2335" s="122"/>
      <c r="U2335" s="315"/>
      <c r="V2335" s="260">
        <f t="shared" ca="1" si="44"/>
        <v>0</v>
      </c>
      <c r="W2335" s="348" t="str">
        <f>IF(板块成分!B2337="","",板块成分!B2337)</f>
        <v>300895.SZ</v>
      </c>
      <c r="X2335" s="276" t="str">
        <f>[1]!S_Info_Name(W2335)</f>
        <v>铜牛信息</v>
      </c>
      <c r="Y2335" s="276" t="str">
        <f ca="1">IF($Y$3="申万一级行业",[1]!s_info_industry_sw_2021(W2335,公司分析!D$5,1),IF($Y$3="申万二级行业",[1]!s_info_industry_sw_2021(W2335,公司分析!D$5,2),IF($Y$3="申万三级行业",[1]!s_info_industry_sw_2021(W2335,公司分析!D$5,3),IF($Y$3="wind一级行业",[1]!s_info_industry_gics(W2335,1),IF($Y$3="wind二级行业",[1]!s_info_industry_gics(W2335,2),IF($Y$3="wind三级行业",[1]!s_info_industry_gics(W2335,3),IF($Y$3="wind四级行业",[1]!s_info_industry_gics(W2335,4),IF($Y$3="证监会门类行业",[1]!s_info_industry_csrc12_n(W2335,公司分析!D$5,1),""))))))))</f>
        <v>IT服务Ⅱ</v>
      </c>
      <c r="Z2335" s="302" t="str">
        <f ca="1">IF(Y2335=行业比较!$E$6,ROW(),"")</f>
        <v/>
      </c>
      <c r="AA2335" s="122"/>
      <c r="AB2335" s="122"/>
      <c r="AC2335" s="122"/>
      <c r="AD2335" s="122"/>
      <c r="AE2335" s="122"/>
      <c r="AF2335" s="122"/>
      <c r="AG2335" s="122"/>
      <c r="AH2335" s="122"/>
      <c r="AI2335" s="122"/>
      <c r="AJ2335" s="122"/>
      <c r="AK2335" s="122"/>
      <c r="AL2335" s="122"/>
      <c r="AM2335" s="122"/>
      <c r="AN2335" s="122"/>
      <c r="AO2335" s="122"/>
      <c r="AP2335" s="122"/>
    </row>
    <row r="2336" spans="2:42">
      <c r="B2336" s="122"/>
      <c r="C2336" s="122"/>
      <c r="D2336" s="122"/>
      <c r="E2336" s="122"/>
      <c r="F2336" s="122"/>
      <c r="G2336" s="122"/>
      <c r="H2336" s="122"/>
      <c r="I2336" s="275"/>
      <c r="J2336" s="130"/>
      <c r="K2336" s="130"/>
      <c r="L2336" s="130"/>
      <c r="M2336" s="130"/>
      <c r="N2336" s="291"/>
      <c r="O2336" s="291"/>
      <c r="P2336" s="122"/>
      <c r="Q2336" s="122"/>
      <c r="R2336" s="122"/>
      <c r="S2336" s="122"/>
      <c r="T2336" s="122"/>
      <c r="U2336" s="315"/>
      <c r="V2336" s="260">
        <f t="shared" ca="1" si="44"/>
        <v>0</v>
      </c>
      <c r="W2336" s="348" t="str">
        <f>IF(板块成分!B2338="","",板块成分!B2338)</f>
        <v>300896.SZ</v>
      </c>
      <c r="X2336" s="276" t="str">
        <f>[1]!S_Info_Name(W2336)</f>
        <v>爱美客</v>
      </c>
      <c r="Y2336" s="276" t="str">
        <f ca="1">IF($Y$3="申万一级行业",[1]!s_info_industry_sw_2021(W2336,公司分析!D$5,1),IF($Y$3="申万二级行业",[1]!s_info_industry_sw_2021(W2336,公司分析!D$5,2),IF($Y$3="申万三级行业",[1]!s_info_industry_sw_2021(W2336,公司分析!D$5,3),IF($Y$3="wind一级行业",[1]!s_info_industry_gics(W2336,1),IF($Y$3="wind二级行业",[1]!s_info_industry_gics(W2336,2),IF($Y$3="wind三级行业",[1]!s_info_industry_gics(W2336,3),IF($Y$3="wind四级行业",[1]!s_info_industry_gics(W2336,4),IF($Y$3="证监会门类行业",[1]!s_info_industry_csrc12_n(W2336,公司分析!D$5,1),""))))))))</f>
        <v>医疗美容</v>
      </c>
      <c r="Z2336" s="302" t="str">
        <f ca="1">IF(Y2336=行业比较!$E$6,ROW(),"")</f>
        <v/>
      </c>
      <c r="AA2336" s="122"/>
      <c r="AB2336" s="122"/>
      <c r="AC2336" s="122"/>
      <c r="AD2336" s="122"/>
      <c r="AE2336" s="122"/>
      <c r="AF2336" s="122"/>
      <c r="AG2336" s="122"/>
      <c r="AH2336" s="122"/>
      <c r="AI2336" s="122"/>
      <c r="AJ2336" s="122"/>
      <c r="AK2336" s="122"/>
      <c r="AL2336" s="122"/>
      <c r="AM2336" s="122"/>
      <c r="AN2336" s="122"/>
      <c r="AO2336" s="122"/>
      <c r="AP2336" s="122"/>
    </row>
    <row r="2337" spans="2:42">
      <c r="B2337" s="122"/>
      <c r="C2337" s="122"/>
      <c r="D2337" s="122"/>
      <c r="E2337" s="122"/>
      <c r="F2337" s="122"/>
      <c r="G2337" s="122"/>
      <c r="H2337" s="122"/>
      <c r="I2337" s="275"/>
      <c r="J2337" s="130"/>
      <c r="K2337" s="130"/>
      <c r="L2337" s="130"/>
      <c r="M2337" s="130"/>
      <c r="N2337" s="291"/>
      <c r="O2337" s="291"/>
      <c r="P2337" s="122"/>
      <c r="Q2337" s="122"/>
      <c r="R2337" s="122"/>
      <c r="S2337" s="122"/>
      <c r="T2337" s="122"/>
      <c r="U2337" s="315"/>
      <c r="V2337" s="260">
        <f t="shared" ca="1" si="44"/>
        <v>0</v>
      </c>
      <c r="W2337" s="348" t="str">
        <f>IF(板块成分!B2339="","",板块成分!B2339)</f>
        <v>300897.SZ</v>
      </c>
      <c r="X2337" s="276" t="str">
        <f>[1]!S_Info_Name(W2337)</f>
        <v>山科智能</v>
      </c>
      <c r="Y2337" s="276" t="str">
        <f ca="1">IF($Y$3="申万一级行业",[1]!s_info_industry_sw_2021(W2337,公司分析!D$5,1),IF($Y$3="申万二级行业",[1]!s_info_industry_sw_2021(W2337,公司分析!D$5,2),IF($Y$3="申万三级行业",[1]!s_info_industry_sw_2021(W2337,公司分析!D$5,3),IF($Y$3="wind一级行业",[1]!s_info_industry_gics(W2337,1),IF($Y$3="wind二级行业",[1]!s_info_industry_gics(W2337,2),IF($Y$3="wind三级行业",[1]!s_info_industry_gics(W2337,3),IF($Y$3="wind四级行业",[1]!s_info_industry_gics(W2337,4),IF($Y$3="证监会门类行业",[1]!s_info_industry_csrc12_n(W2337,公司分析!D$5,1),""))))))))</f>
        <v>通用设备</v>
      </c>
      <c r="Z2337" s="302" t="str">
        <f ca="1">IF(Y2337=行业比较!$E$6,ROW(),"")</f>
        <v/>
      </c>
      <c r="AA2337" s="122"/>
      <c r="AB2337" s="122"/>
      <c r="AC2337" s="122"/>
      <c r="AD2337" s="122"/>
      <c r="AE2337" s="122"/>
      <c r="AF2337" s="122"/>
      <c r="AG2337" s="122"/>
      <c r="AH2337" s="122"/>
      <c r="AI2337" s="122"/>
      <c r="AJ2337" s="122"/>
      <c r="AK2337" s="122"/>
      <c r="AL2337" s="122"/>
      <c r="AM2337" s="122"/>
      <c r="AN2337" s="122"/>
      <c r="AO2337" s="122"/>
      <c r="AP2337" s="122"/>
    </row>
    <row r="2338" spans="2:42">
      <c r="B2338" s="122"/>
      <c r="C2338" s="122"/>
      <c r="D2338" s="122"/>
      <c r="E2338" s="122"/>
      <c r="F2338" s="122"/>
      <c r="G2338" s="122"/>
      <c r="H2338" s="122"/>
      <c r="I2338" s="275"/>
      <c r="J2338" s="130"/>
      <c r="K2338" s="130"/>
      <c r="L2338" s="130"/>
      <c r="M2338" s="130"/>
      <c r="N2338" s="291"/>
      <c r="O2338" s="291"/>
      <c r="P2338" s="122"/>
      <c r="Q2338" s="122"/>
      <c r="R2338" s="122"/>
      <c r="S2338" s="122"/>
      <c r="T2338" s="122"/>
      <c r="U2338" s="315"/>
      <c r="V2338" s="260">
        <f t="shared" ca="1" si="44"/>
        <v>0</v>
      </c>
      <c r="W2338" s="348" t="str">
        <f>IF(板块成分!B2340="","",板块成分!B2340)</f>
        <v>300898.SZ</v>
      </c>
      <c r="X2338" s="276" t="str">
        <f>[1]!S_Info_Name(W2338)</f>
        <v>熊猫乳品</v>
      </c>
      <c r="Y2338" s="276" t="str">
        <f ca="1">IF($Y$3="申万一级行业",[1]!s_info_industry_sw_2021(W2338,公司分析!D$5,1),IF($Y$3="申万二级行业",[1]!s_info_industry_sw_2021(W2338,公司分析!D$5,2),IF($Y$3="申万三级行业",[1]!s_info_industry_sw_2021(W2338,公司分析!D$5,3),IF($Y$3="wind一级行业",[1]!s_info_industry_gics(W2338,1),IF($Y$3="wind二级行业",[1]!s_info_industry_gics(W2338,2),IF($Y$3="wind三级行业",[1]!s_info_industry_gics(W2338,3),IF($Y$3="wind四级行业",[1]!s_info_industry_gics(W2338,4),IF($Y$3="证监会门类行业",[1]!s_info_industry_csrc12_n(W2338,公司分析!D$5,1),""))))))))</f>
        <v>饮料乳品</v>
      </c>
      <c r="Z2338" s="302" t="str">
        <f ca="1">IF(Y2338=行业比较!$E$6,ROW(),"")</f>
        <v/>
      </c>
      <c r="AA2338" s="122"/>
      <c r="AB2338" s="122"/>
      <c r="AC2338" s="122"/>
      <c r="AD2338" s="122"/>
      <c r="AE2338" s="122"/>
      <c r="AF2338" s="122"/>
      <c r="AG2338" s="122"/>
      <c r="AH2338" s="122"/>
      <c r="AI2338" s="122"/>
      <c r="AJ2338" s="122"/>
      <c r="AK2338" s="122"/>
      <c r="AL2338" s="122"/>
      <c r="AM2338" s="122"/>
      <c r="AN2338" s="122"/>
      <c r="AO2338" s="122"/>
      <c r="AP2338" s="122"/>
    </row>
    <row r="2339" spans="2:42">
      <c r="B2339" s="122"/>
      <c r="C2339" s="122"/>
      <c r="D2339" s="122"/>
      <c r="E2339" s="122"/>
      <c r="F2339" s="122"/>
      <c r="G2339" s="122"/>
      <c r="H2339" s="122"/>
      <c r="I2339" s="275"/>
      <c r="J2339" s="130"/>
      <c r="K2339" s="130"/>
      <c r="L2339" s="130"/>
      <c r="M2339" s="130"/>
      <c r="N2339" s="291"/>
      <c r="O2339" s="291"/>
      <c r="P2339" s="122"/>
      <c r="Q2339" s="122"/>
      <c r="R2339" s="122"/>
      <c r="S2339" s="122"/>
      <c r="T2339" s="122"/>
      <c r="U2339" s="315"/>
      <c r="V2339" s="260">
        <f t="shared" ca="1" si="44"/>
        <v>0</v>
      </c>
      <c r="W2339" s="348" t="str">
        <f>IF(板块成分!B2341="","",板块成分!B2341)</f>
        <v>300899.SZ</v>
      </c>
      <c r="X2339" s="276" t="str">
        <f>[1]!S_Info_Name(W2339)</f>
        <v>*ST凯鑫</v>
      </c>
      <c r="Y2339" s="276" t="str">
        <f ca="1">IF($Y$3="申万一级行业",[1]!s_info_industry_sw_2021(W2339,公司分析!D$5,1),IF($Y$3="申万二级行业",[1]!s_info_industry_sw_2021(W2339,公司分析!D$5,2),IF($Y$3="申万三级行业",[1]!s_info_industry_sw_2021(W2339,公司分析!D$5,3),IF($Y$3="wind一级行业",[1]!s_info_industry_gics(W2339,1),IF($Y$3="wind二级行业",[1]!s_info_industry_gics(W2339,2),IF($Y$3="wind三级行业",[1]!s_info_industry_gics(W2339,3),IF($Y$3="wind四级行业",[1]!s_info_industry_gics(W2339,4),IF($Y$3="证监会门类行业",[1]!s_info_industry_csrc12_n(W2339,公司分析!D$5,1),""))))))))</f>
        <v>环境治理</v>
      </c>
      <c r="Z2339" s="302" t="str">
        <f ca="1">IF(Y2339=行业比较!$E$6,ROW(),"")</f>
        <v/>
      </c>
      <c r="AA2339" s="122"/>
      <c r="AB2339" s="122"/>
      <c r="AC2339" s="122"/>
      <c r="AD2339" s="122"/>
      <c r="AE2339" s="122"/>
      <c r="AF2339" s="122"/>
      <c r="AG2339" s="122"/>
      <c r="AH2339" s="122"/>
      <c r="AI2339" s="122"/>
      <c r="AJ2339" s="122"/>
      <c r="AK2339" s="122"/>
      <c r="AL2339" s="122"/>
      <c r="AM2339" s="122"/>
      <c r="AN2339" s="122"/>
      <c r="AO2339" s="122"/>
      <c r="AP2339" s="122"/>
    </row>
    <row r="2340" spans="2:42">
      <c r="B2340" s="122"/>
      <c r="C2340" s="122"/>
      <c r="D2340" s="122"/>
      <c r="E2340" s="122"/>
      <c r="F2340" s="122"/>
      <c r="G2340" s="122"/>
      <c r="H2340" s="122"/>
      <c r="I2340" s="275"/>
      <c r="J2340" s="130"/>
      <c r="K2340" s="130"/>
      <c r="L2340" s="130"/>
      <c r="M2340" s="130"/>
      <c r="N2340" s="291"/>
      <c r="O2340" s="291"/>
      <c r="P2340" s="122"/>
      <c r="Q2340" s="122"/>
      <c r="R2340" s="122"/>
      <c r="S2340" s="122"/>
      <c r="T2340" s="122"/>
      <c r="U2340" s="315"/>
      <c r="V2340" s="260">
        <f t="shared" ca="1" si="44"/>
        <v>0</v>
      </c>
      <c r="W2340" s="348" t="str">
        <f>IF(板块成分!B2342="","",板块成分!B2342)</f>
        <v>300900.SZ</v>
      </c>
      <c r="X2340" s="276" t="str">
        <f>[1]!S_Info_Name(W2340)</f>
        <v>广联航空</v>
      </c>
      <c r="Y2340" s="276" t="str">
        <f ca="1">IF($Y$3="申万一级行业",[1]!s_info_industry_sw_2021(W2340,公司分析!D$5,1),IF($Y$3="申万二级行业",[1]!s_info_industry_sw_2021(W2340,公司分析!D$5,2),IF($Y$3="申万三级行业",[1]!s_info_industry_sw_2021(W2340,公司分析!D$5,3),IF($Y$3="wind一级行业",[1]!s_info_industry_gics(W2340,1),IF($Y$3="wind二级行业",[1]!s_info_industry_gics(W2340,2),IF($Y$3="wind三级行业",[1]!s_info_industry_gics(W2340,3),IF($Y$3="wind四级行业",[1]!s_info_industry_gics(W2340,4),IF($Y$3="证监会门类行业",[1]!s_info_industry_csrc12_n(W2340,公司分析!D$5,1),""))))))))</f>
        <v>航空装备Ⅱ</v>
      </c>
      <c r="Z2340" s="302" t="str">
        <f ca="1">IF(Y2340=行业比较!$E$6,ROW(),"")</f>
        <v/>
      </c>
      <c r="AA2340" s="122"/>
      <c r="AB2340" s="122"/>
      <c r="AC2340" s="122"/>
      <c r="AD2340" s="122"/>
      <c r="AE2340" s="122"/>
      <c r="AF2340" s="122"/>
      <c r="AG2340" s="122"/>
      <c r="AH2340" s="122"/>
      <c r="AI2340" s="122"/>
      <c r="AJ2340" s="122"/>
      <c r="AK2340" s="122"/>
      <c r="AL2340" s="122"/>
      <c r="AM2340" s="122"/>
      <c r="AN2340" s="122"/>
      <c r="AO2340" s="122"/>
      <c r="AP2340" s="122"/>
    </row>
    <row r="2341" spans="2:42">
      <c r="B2341" s="122"/>
      <c r="C2341" s="122"/>
      <c r="D2341" s="122"/>
      <c r="E2341" s="122"/>
      <c r="F2341" s="122"/>
      <c r="G2341" s="122"/>
      <c r="H2341" s="122"/>
      <c r="I2341" s="275"/>
      <c r="J2341" s="130"/>
      <c r="K2341" s="130"/>
      <c r="L2341" s="130"/>
      <c r="M2341" s="130"/>
      <c r="N2341" s="291"/>
      <c r="O2341" s="291"/>
      <c r="P2341" s="122"/>
      <c r="Q2341" s="122"/>
      <c r="R2341" s="122"/>
      <c r="S2341" s="122"/>
      <c r="T2341" s="122"/>
      <c r="U2341" s="315"/>
      <c r="V2341" s="260">
        <f t="shared" ca="1" si="44"/>
        <v>0</v>
      </c>
      <c r="W2341" s="348" t="str">
        <f>IF(板块成分!B2343="","",板块成分!B2343)</f>
        <v>300901.SZ</v>
      </c>
      <c r="X2341" s="276" t="str">
        <f>[1]!S_Info_Name(W2341)</f>
        <v>中胤时尚</v>
      </c>
      <c r="Y2341" s="276" t="str">
        <f ca="1">IF($Y$3="申万一级行业",[1]!s_info_industry_sw_2021(W2341,公司分析!D$5,1),IF($Y$3="申万二级行业",[1]!s_info_industry_sw_2021(W2341,公司分析!D$5,2),IF($Y$3="申万三级行业",[1]!s_info_industry_sw_2021(W2341,公司分析!D$5,3),IF($Y$3="wind一级行业",[1]!s_info_industry_gics(W2341,1),IF($Y$3="wind二级行业",[1]!s_info_industry_gics(W2341,2),IF($Y$3="wind三级行业",[1]!s_info_industry_gics(W2341,3),IF($Y$3="wind四级行业",[1]!s_info_industry_gics(W2341,4),IF($Y$3="证监会门类行业",[1]!s_info_industry_csrc12_n(W2341,公司分析!D$5,1),""))))))))</f>
        <v>服装家纺</v>
      </c>
      <c r="Z2341" s="302" t="str">
        <f ca="1">IF(Y2341=行业比较!$E$6,ROW(),"")</f>
        <v/>
      </c>
      <c r="AA2341" s="122"/>
      <c r="AB2341" s="122"/>
      <c r="AC2341" s="122"/>
      <c r="AD2341" s="122"/>
      <c r="AE2341" s="122"/>
      <c r="AF2341" s="122"/>
      <c r="AG2341" s="122"/>
      <c r="AH2341" s="122"/>
      <c r="AI2341" s="122"/>
      <c r="AJ2341" s="122"/>
      <c r="AK2341" s="122"/>
      <c r="AL2341" s="122"/>
      <c r="AM2341" s="122"/>
      <c r="AN2341" s="122"/>
      <c r="AO2341" s="122"/>
      <c r="AP2341" s="122"/>
    </row>
    <row r="2342" spans="2:42">
      <c r="B2342" s="122"/>
      <c r="C2342" s="122"/>
      <c r="D2342" s="122"/>
      <c r="E2342" s="122"/>
      <c r="F2342" s="122"/>
      <c r="G2342" s="122"/>
      <c r="H2342" s="122"/>
      <c r="I2342" s="275"/>
      <c r="J2342" s="130"/>
      <c r="K2342" s="130"/>
      <c r="L2342" s="130"/>
      <c r="M2342" s="130"/>
      <c r="N2342" s="291"/>
      <c r="O2342" s="291"/>
      <c r="P2342" s="122"/>
      <c r="Q2342" s="122"/>
      <c r="R2342" s="122"/>
      <c r="S2342" s="122"/>
      <c r="T2342" s="122"/>
      <c r="U2342" s="315"/>
      <c r="V2342" s="260">
        <f t="shared" ca="1" si="44"/>
        <v>0</v>
      </c>
      <c r="W2342" s="348" t="str">
        <f>IF(板块成分!B2344="","",板块成分!B2344)</f>
        <v>300902.SZ</v>
      </c>
      <c r="X2342" s="276" t="str">
        <f>[1]!S_Info_Name(W2342)</f>
        <v>国安达</v>
      </c>
      <c r="Y2342" s="276" t="str">
        <f ca="1">IF($Y$3="申万一级行业",[1]!s_info_industry_sw_2021(W2342,公司分析!D$5,1),IF($Y$3="申万二级行业",[1]!s_info_industry_sw_2021(W2342,公司分析!D$5,2),IF($Y$3="申万三级行业",[1]!s_info_industry_sw_2021(W2342,公司分析!D$5,3),IF($Y$3="wind一级行业",[1]!s_info_industry_gics(W2342,1),IF($Y$3="wind二级行业",[1]!s_info_industry_gics(W2342,2),IF($Y$3="wind三级行业",[1]!s_info_industry_gics(W2342,3),IF($Y$3="wind四级行业",[1]!s_info_industry_gics(W2342,4),IF($Y$3="证监会门类行业",[1]!s_info_industry_csrc12_n(W2342,公司分析!D$5,1),""))))))))</f>
        <v>专用设备</v>
      </c>
      <c r="Z2342" s="302" t="str">
        <f ca="1">IF(Y2342=行业比较!$E$6,ROW(),"")</f>
        <v/>
      </c>
      <c r="AA2342" s="122"/>
      <c r="AB2342" s="122"/>
      <c r="AC2342" s="122"/>
      <c r="AD2342" s="122"/>
      <c r="AE2342" s="122"/>
      <c r="AF2342" s="122"/>
      <c r="AG2342" s="122"/>
      <c r="AH2342" s="122"/>
      <c r="AI2342" s="122"/>
      <c r="AJ2342" s="122"/>
      <c r="AK2342" s="122"/>
      <c r="AL2342" s="122"/>
      <c r="AM2342" s="122"/>
      <c r="AN2342" s="122"/>
      <c r="AO2342" s="122"/>
      <c r="AP2342" s="122"/>
    </row>
    <row r="2343" spans="2:42">
      <c r="B2343" s="122"/>
      <c r="C2343" s="122"/>
      <c r="D2343" s="122"/>
      <c r="E2343" s="122"/>
      <c r="F2343" s="122"/>
      <c r="G2343" s="122"/>
      <c r="H2343" s="122"/>
      <c r="I2343" s="275"/>
      <c r="J2343" s="130"/>
      <c r="K2343" s="130"/>
      <c r="L2343" s="130"/>
      <c r="M2343" s="130"/>
      <c r="N2343" s="291"/>
      <c r="O2343" s="291"/>
      <c r="P2343" s="122"/>
      <c r="Q2343" s="122"/>
      <c r="R2343" s="122"/>
      <c r="S2343" s="122"/>
      <c r="T2343" s="122"/>
      <c r="U2343" s="315"/>
      <c r="V2343" s="260">
        <f t="shared" ca="1" si="44"/>
        <v>0</v>
      </c>
      <c r="W2343" s="348" t="str">
        <f>IF(板块成分!B2345="","",板块成分!B2345)</f>
        <v>300903.SZ</v>
      </c>
      <c r="X2343" s="276" t="str">
        <f>[1]!S_Info_Name(W2343)</f>
        <v>科翔股份</v>
      </c>
      <c r="Y2343" s="276" t="str">
        <f ca="1">IF($Y$3="申万一级行业",[1]!s_info_industry_sw_2021(W2343,公司分析!D$5,1),IF($Y$3="申万二级行业",[1]!s_info_industry_sw_2021(W2343,公司分析!D$5,2),IF($Y$3="申万三级行业",[1]!s_info_industry_sw_2021(W2343,公司分析!D$5,3),IF($Y$3="wind一级行业",[1]!s_info_industry_gics(W2343,1),IF($Y$3="wind二级行业",[1]!s_info_industry_gics(W2343,2),IF($Y$3="wind三级行业",[1]!s_info_industry_gics(W2343,3),IF($Y$3="wind四级行业",[1]!s_info_industry_gics(W2343,4),IF($Y$3="证监会门类行业",[1]!s_info_industry_csrc12_n(W2343,公司分析!D$5,1),""))))))))</f>
        <v>元件</v>
      </c>
      <c r="Z2343" s="302" t="str">
        <f ca="1">IF(Y2343=行业比较!$E$6,ROW(),"")</f>
        <v/>
      </c>
      <c r="AA2343" s="122"/>
      <c r="AB2343" s="122"/>
      <c r="AC2343" s="122"/>
      <c r="AD2343" s="122"/>
      <c r="AE2343" s="122"/>
      <c r="AF2343" s="122"/>
      <c r="AG2343" s="122"/>
      <c r="AH2343" s="122"/>
      <c r="AI2343" s="122"/>
      <c r="AJ2343" s="122"/>
      <c r="AK2343" s="122"/>
      <c r="AL2343" s="122"/>
      <c r="AM2343" s="122"/>
      <c r="AN2343" s="122"/>
      <c r="AO2343" s="122"/>
      <c r="AP2343" s="122"/>
    </row>
    <row r="2344" spans="2:42">
      <c r="B2344" s="122"/>
      <c r="C2344" s="122"/>
      <c r="D2344" s="122"/>
      <c r="E2344" s="122"/>
      <c r="F2344" s="122"/>
      <c r="G2344" s="122"/>
      <c r="H2344" s="122"/>
      <c r="I2344" s="275"/>
      <c r="J2344" s="130"/>
      <c r="K2344" s="130"/>
      <c r="L2344" s="130"/>
      <c r="M2344" s="130"/>
      <c r="N2344" s="291"/>
      <c r="O2344" s="291"/>
      <c r="P2344" s="122"/>
      <c r="Q2344" s="122"/>
      <c r="R2344" s="122"/>
      <c r="S2344" s="122"/>
      <c r="T2344" s="122"/>
      <c r="U2344" s="315"/>
      <c r="V2344" s="260">
        <f t="shared" ca="1" si="44"/>
        <v>0</v>
      </c>
      <c r="W2344" s="348" t="str">
        <f>IF(板块成分!B2346="","",板块成分!B2346)</f>
        <v>300904.SZ</v>
      </c>
      <c r="X2344" s="276" t="str">
        <f>[1]!S_Info_Name(W2344)</f>
        <v>威力传动</v>
      </c>
      <c r="Y2344" s="276" t="str">
        <f ca="1">IF($Y$3="申万一级行业",[1]!s_info_industry_sw_2021(W2344,公司分析!D$5,1),IF($Y$3="申万二级行业",[1]!s_info_industry_sw_2021(W2344,公司分析!D$5,2),IF($Y$3="申万三级行业",[1]!s_info_industry_sw_2021(W2344,公司分析!D$5,3),IF($Y$3="wind一级行业",[1]!s_info_industry_gics(W2344,1),IF($Y$3="wind二级行业",[1]!s_info_industry_gics(W2344,2),IF($Y$3="wind三级行业",[1]!s_info_industry_gics(W2344,3),IF($Y$3="wind四级行业",[1]!s_info_industry_gics(W2344,4),IF($Y$3="证监会门类行业",[1]!s_info_industry_csrc12_n(W2344,公司分析!D$5,1),""))))))))</f>
        <v>风电设备</v>
      </c>
      <c r="Z2344" s="302" t="str">
        <f ca="1">IF(Y2344=行业比较!$E$6,ROW(),"")</f>
        <v/>
      </c>
      <c r="AA2344" s="122"/>
      <c r="AB2344" s="122"/>
      <c r="AC2344" s="122"/>
      <c r="AD2344" s="122"/>
      <c r="AE2344" s="122"/>
      <c r="AF2344" s="122"/>
      <c r="AG2344" s="122"/>
      <c r="AH2344" s="122"/>
      <c r="AI2344" s="122"/>
      <c r="AJ2344" s="122"/>
      <c r="AK2344" s="122"/>
      <c r="AL2344" s="122"/>
      <c r="AM2344" s="122"/>
      <c r="AN2344" s="122"/>
      <c r="AO2344" s="122"/>
      <c r="AP2344" s="122"/>
    </row>
    <row r="2345" spans="2:42">
      <c r="B2345" s="122"/>
      <c r="C2345" s="122"/>
      <c r="D2345" s="122"/>
      <c r="E2345" s="122"/>
      <c r="F2345" s="122"/>
      <c r="G2345" s="122"/>
      <c r="H2345" s="122"/>
      <c r="I2345" s="275"/>
      <c r="J2345" s="130"/>
      <c r="K2345" s="130"/>
      <c r="L2345" s="130"/>
      <c r="M2345" s="130"/>
      <c r="N2345" s="291"/>
      <c r="O2345" s="291"/>
      <c r="P2345" s="122"/>
      <c r="Q2345" s="122"/>
      <c r="R2345" s="122"/>
      <c r="S2345" s="122"/>
      <c r="T2345" s="122"/>
      <c r="U2345" s="315"/>
      <c r="V2345" s="260">
        <f t="shared" ca="1" si="44"/>
        <v>0</v>
      </c>
      <c r="W2345" s="348" t="str">
        <f>IF(板块成分!B2347="","",板块成分!B2347)</f>
        <v>300905.SZ</v>
      </c>
      <c r="X2345" s="276" t="str">
        <f>[1]!S_Info_Name(W2345)</f>
        <v>宝丽迪</v>
      </c>
      <c r="Y2345" s="276" t="str">
        <f ca="1">IF($Y$3="申万一级行业",[1]!s_info_industry_sw_2021(W2345,公司分析!D$5,1),IF($Y$3="申万二级行业",[1]!s_info_industry_sw_2021(W2345,公司分析!D$5,2),IF($Y$3="申万三级行业",[1]!s_info_industry_sw_2021(W2345,公司分析!D$5,3),IF($Y$3="wind一级行业",[1]!s_info_industry_gics(W2345,1),IF($Y$3="wind二级行业",[1]!s_info_industry_gics(W2345,2),IF($Y$3="wind三级行业",[1]!s_info_industry_gics(W2345,3),IF($Y$3="wind四级行业",[1]!s_info_industry_gics(W2345,4),IF($Y$3="证监会门类行业",[1]!s_info_industry_csrc12_n(W2345,公司分析!D$5,1),""))))))))</f>
        <v>化学纤维</v>
      </c>
      <c r="Z2345" s="302" t="str">
        <f ca="1">IF(Y2345=行业比较!$E$6,ROW(),"")</f>
        <v/>
      </c>
      <c r="AA2345" s="122"/>
      <c r="AB2345" s="122"/>
      <c r="AC2345" s="122"/>
      <c r="AD2345" s="122"/>
      <c r="AE2345" s="122"/>
      <c r="AF2345" s="122"/>
      <c r="AG2345" s="122"/>
      <c r="AH2345" s="122"/>
      <c r="AI2345" s="122"/>
      <c r="AJ2345" s="122"/>
      <c r="AK2345" s="122"/>
      <c r="AL2345" s="122"/>
      <c r="AM2345" s="122"/>
      <c r="AN2345" s="122"/>
      <c r="AO2345" s="122"/>
      <c r="AP2345" s="122"/>
    </row>
    <row r="2346" spans="2:42">
      <c r="B2346" s="122"/>
      <c r="C2346" s="122"/>
      <c r="D2346" s="122"/>
      <c r="E2346" s="122"/>
      <c r="F2346" s="122"/>
      <c r="G2346" s="122"/>
      <c r="H2346" s="122"/>
      <c r="I2346" s="275"/>
      <c r="J2346" s="130"/>
      <c r="K2346" s="130"/>
      <c r="L2346" s="130"/>
      <c r="M2346" s="130"/>
      <c r="N2346" s="291"/>
      <c r="O2346" s="291"/>
      <c r="P2346" s="122"/>
      <c r="Q2346" s="122"/>
      <c r="R2346" s="122"/>
      <c r="S2346" s="122"/>
      <c r="T2346" s="122"/>
      <c r="U2346" s="315"/>
      <c r="V2346" s="260">
        <f t="shared" ca="1" si="44"/>
        <v>0</v>
      </c>
      <c r="W2346" s="348" t="str">
        <f>IF(板块成分!B2348="","",板块成分!B2348)</f>
        <v>300906.SZ</v>
      </c>
      <c r="X2346" s="276" t="str">
        <f>[1]!S_Info_Name(W2346)</f>
        <v>日月明</v>
      </c>
      <c r="Y2346" s="276" t="str">
        <f ca="1">IF($Y$3="申万一级行业",[1]!s_info_industry_sw_2021(W2346,公司分析!D$5,1),IF($Y$3="申万二级行业",[1]!s_info_industry_sw_2021(W2346,公司分析!D$5,2),IF($Y$3="申万三级行业",[1]!s_info_industry_sw_2021(W2346,公司分析!D$5,3),IF($Y$3="wind一级行业",[1]!s_info_industry_gics(W2346,1),IF($Y$3="wind二级行业",[1]!s_info_industry_gics(W2346,2),IF($Y$3="wind三级行业",[1]!s_info_industry_gics(W2346,3),IF($Y$3="wind四级行业",[1]!s_info_industry_gics(W2346,4),IF($Y$3="证监会门类行业",[1]!s_info_industry_csrc12_n(W2346,公司分析!D$5,1),""))))))))</f>
        <v>通用设备</v>
      </c>
      <c r="Z2346" s="302" t="str">
        <f ca="1">IF(Y2346=行业比较!$E$6,ROW(),"")</f>
        <v/>
      </c>
      <c r="AA2346" s="122"/>
      <c r="AB2346" s="122"/>
      <c r="AC2346" s="122"/>
      <c r="AD2346" s="122"/>
      <c r="AE2346" s="122"/>
      <c r="AF2346" s="122"/>
      <c r="AG2346" s="122"/>
      <c r="AH2346" s="122"/>
      <c r="AI2346" s="122"/>
      <c r="AJ2346" s="122"/>
      <c r="AK2346" s="122"/>
      <c r="AL2346" s="122"/>
      <c r="AM2346" s="122"/>
      <c r="AN2346" s="122"/>
      <c r="AO2346" s="122"/>
      <c r="AP2346" s="122"/>
    </row>
    <row r="2347" spans="2:42">
      <c r="B2347" s="122"/>
      <c r="C2347" s="122"/>
      <c r="D2347" s="122"/>
      <c r="E2347" s="122"/>
      <c r="F2347" s="122"/>
      <c r="G2347" s="122"/>
      <c r="H2347" s="122"/>
      <c r="I2347" s="275"/>
      <c r="J2347" s="130"/>
      <c r="K2347" s="130"/>
      <c r="L2347" s="130"/>
      <c r="M2347" s="130"/>
      <c r="N2347" s="291"/>
      <c r="O2347" s="291"/>
      <c r="P2347" s="122"/>
      <c r="Q2347" s="122"/>
      <c r="R2347" s="122"/>
      <c r="S2347" s="122"/>
      <c r="T2347" s="122"/>
      <c r="U2347" s="315"/>
      <c r="V2347" s="260">
        <f t="shared" ca="1" si="44"/>
        <v>0</v>
      </c>
      <c r="W2347" s="348" t="str">
        <f>IF(板块成分!B2349="","",板块成分!B2349)</f>
        <v>300907.SZ</v>
      </c>
      <c r="X2347" s="276" t="str">
        <f>[1]!S_Info_Name(W2347)</f>
        <v>康平科技</v>
      </c>
      <c r="Y2347" s="276" t="str">
        <f ca="1">IF($Y$3="申万一级行业",[1]!s_info_industry_sw_2021(W2347,公司分析!D$5,1),IF($Y$3="申万二级行业",[1]!s_info_industry_sw_2021(W2347,公司分析!D$5,2),IF($Y$3="申万三级行业",[1]!s_info_industry_sw_2021(W2347,公司分析!D$5,3),IF($Y$3="wind一级行业",[1]!s_info_industry_gics(W2347,1),IF($Y$3="wind二级行业",[1]!s_info_industry_gics(W2347,2),IF($Y$3="wind三级行业",[1]!s_info_industry_gics(W2347,3),IF($Y$3="wind四级行业",[1]!s_info_industry_gics(W2347,4),IF($Y$3="证监会门类行业",[1]!s_info_industry_csrc12_n(W2347,公司分析!D$5,1),""))))))))</f>
        <v>电机Ⅱ</v>
      </c>
      <c r="Z2347" s="302" t="str">
        <f ca="1">IF(Y2347=行业比较!$E$6,ROW(),"")</f>
        <v/>
      </c>
      <c r="AA2347" s="122"/>
      <c r="AB2347" s="122"/>
      <c r="AC2347" s="122"/>
      <c r="AD2347" s="122"/>
      <c r="AE2347" s="122"/>
      <c r="AF2347" s="122"/>
      <c r="AG2347" s="122"/>
      <c r="AH2347" s="122"/>
      <c r="AI2347" s="122"/>
      <c r="AJ2347" s="122"/>
      <c r="AK2347" s="122"/>
      <c r="AL2347" s="122"/>
      <c r="AM2347" s="122"/>
      <c r="AN2347" s="122"/>
      <c r="AO2347" s="122"/>
      <c r="AP2347" s="122"/>
    </row>
    <row r="2348" spans="2:42">
      <c r="B2348" s="122"/>
      <c r="C2348" s="122"/>
      <c r="D2348" s="122"/>
      <c r="E2348" s="122"/>
      <c r="F2348" s="122"/>
      <c r="G2348" s="122"/>
      <c r="H2348" s="122"/>
      <c r="I2348" s="275"/>
      <c r="J2348" s="130"/>
      <c r="K2348" s="130"/>
      <c r="L2348" s="130"/>
      <c r="M2348" s="130"/>
      <c r="N2348" s="291"/>
      <c r="O2348" s="291"/>
      <c r="P2348" s="122"/>
      <c r="Q2348" s="122"/>
      <c r="R2348" s="122"/>
      <c r="S2348" s="122"/>
      <c r="T2348" s="122"/>
      <c r="U2348" s="315"/>
      <c r="V2348" s="260">
        <f t="shared" ca="1" si="44"/>
        <v>0</v>
      </c>
      <c r="W2348" s="348" t="str">
        <f>IF(板块成分!B2350="","",板块成分!B2350)</f>
        <v>300908.SZ</v>
      </c>
      <c r="X2348" s="276" t="str">
        <f>[1]!S_Info_Name(W2348)</f>
        <v>仲景食品</v>
      </c>
      <c r="Y2348" s="276" t="str">
        <f ca="1">IF($Y$3="申万一级行业",[1]!s_info_industry_sw_2021(W2348,公司分析!D$5,1),IF($Y$3="申万二级行业",[1]!s_info_industry_sw_2021(W2348,公司分析!D$5,2),IF($Y$3="申万三级行业",[1]!s_info_industry_sw_2021(W2348,公司分析!D$5,3),IF($Y$3="wind一级行业",[1]!s_info_industry_gics(W2348,1),IF($Y$3="wind二级行业",[1]!s_info_industry_gics(W2348,2),IF($Y$3="wind三级行业",[1]!s_info_industry_gics(W2348,3),IF($Y$3="wind四级行业",[1]!s_info_industry_gics(W2348,4),IF($Y$3="证监会门类行业",[1]!s_info_industry_csrc12_n(W2348,公司分析!D$5,1),""))))))))</f>
        <v>调味发酵品Ⅱ</v>
      </c>
      <c r="Z2348" s="302" t="str">
        <f ca="1">IF(Y2348=行业比较!$E$6,ROW(),"")</f>
        <v/>
      </c>
      <c r="AA2348" s="122"/>
      <c r="AB2348" s="122"/>
      <c r="AC2348" s="122"/>
      <c r="AD2348" s="122"/>
      <c r="AE2348" s="122"/>
      <c r="AF2348" s="122"/>
      <c r="AG2348" s="122"/>
      <c r="AH2348" s="122"/>
      <c r="AI2348" s="122"/>
      <c r="AJ2348" s="122"/>
      <c r="AK2348" s="122"/>
      <c r="AL2348" s="122"/>
      <c r="AM2348" s="122"/>
      <c r="AN2348" s="122"/>
      <c r="AO2348" s="122"/>
      <c r="AP2348" s="122"/>
    </row>
    <row r="2349" spans="2:42">
      <c r="B2349" s="122"/>
      <c r="C2349" s="122"/>
      <c r="D2349" s="122"/>
      <c r="E2349" s="122"/>
      <c r="F2349" s="122"/>
      <c r="G2349" s="122"/>
      <c r="H2349" s="122"/>
      <c r="I2349" s="275"/>
      <c r="J2349" s="130"/>
      <c r="K2349" s="130"/>
      <c r="L2349" s="130"/>
      <c r="M2349" s="130"/>
      <c r="N2349" s="291"/>
      <c r="O2349" s="291"/>
      <c r="P2349" s="122"/>
      <c r="Q2349" s="122"/>
      <c r="R2349" s="122"/>
      <c r="S2349" s="122"/>
      <c r="T2349" s="122"/>
      <c r="U2349" s="315"/>
      <c r="V2349" s="260">
        <f t="shared" ca="1" si="44"/>
        <v>0</v>
      </c>
      <c r="W2349" s="348" t="str">
        <f>IF(板块成分!B2351="","",板块成分!B2351)</f>
        <v>300909.SZ</v>
      </c>
      <c r="X2349" s="276" t="str">
        <f>[1]!S_Info_Name(W2349)</f>
        <v>汇创达</v>
      </c>
      <c r="Y2349" s="276" t="str">
        <f ca="1">IF($Y$3="申万一级行业",[1]!s_info_industry_sw_2021(W2349,公司分析!D$5,1),IF($Y$3="申万二级行业",[1]!s_info_industry_sw_2021(W2349,公司分析!D$5,2),IF($Y$3="申万三级行业",[1]!s_info_industry_sw_2021(W2349,公司分析!D$5,3),IF($Y$3="wind一级行业",[1]!s_info_industry_gics(W2349,1),IF($Y$3="wind二级行业",[1]!s_info_industry_gics(W2349,2),IF($Y$3="wind三级行业",[1]!s_info_industry_gics(W2349,3),IF($Y$3="wind四级行业",[1]!s_info_industry_gics(W2349,4),IF($Y$3="证监会门类行业",[1]!s_info_industry_csrc12_n(W2349,公司分析!D$5,1),""))))))))</f>
        <v>光学光电子</v>
      </c>
      <c r="Z2349" s="302" t="str">
        <f ca="1">IF(Y2349=行业比较!$E$6,ROW(),"")</f>
        <v/>
      </c>
      <c r="AA2349" s="122"/>
      <c r="AB2349" s="122"/>
      <c r="AC2349" s="122"/>
      <c r="AD2349" s="122"/>
      <c r="AE2349" s="122"/>
      <c r="AF2349" s="122"/>
      <c r="AG2349" s="122"/>
      <c r="AH2349" s="122"/>
      <c r="AI2349" s="122"/>
      <c r="AJ2349" s="122"/>
      <c r="AK2349" s="122"/>
      <c r="AL2349" s="122"/>
      <c r="AM2349" s="122"/>
      <c r="AN2349" s="122"/>
      <c r="AO2349" s="122"/>
      <c r="AP2349" s="122"/>
    </row>
    <row r="2350" spans="2:42">
      <c r="B2350" s="122"/>
      <c r="C2350" s="122"/>
      <c r="D2350" s="122"/>
      <c r="E2350" s="122"/>
      <c r="F2350" s="122"/>
      <c r="G2350" s="122"/>
      <c r="H2350" s="122"/>
      <c r="I2350" s="275"/>
      <c r="J2350" s="130"/>
      <c r="K2350" s="130"/>
      <c r="L2350" s="130"/>
      <c r="M2350" s="130"/>
      <c r="N2350" s="291"/>
      <c r="O2350" s="291"/>
      <c r="P2350" s="122"/>
      <c r="Q2350" s="122"/>
      <c r="R2350" s="122"/>
      <c r="S2350" s="122"/>
      <c r="T2350" s="122"/>
      <c r="U2350" s="315"/>
      <c r="V2350" s="260">
        <f t="shared" ca="1" si="44"/>
        <v>0</v>
      </c>
      <c r="W2350" s="348" t="str">
        <f>IF(板块成分!B2352="","",板块成分!B2352)</f>
        <v>300910.SZ</v>
      </c>
      <c r="X2350" s="276" t="str">
        <f>[1]!S_Info_Name(W2350)</f>
        <v>瑞丰新材</v>
      </c>
      <c r="Y2350" s="276" t="str">
        <f ca="1">IF($Y$3="申万一级行业",[1]!s_info_industry_sw_2021(W2350,公司分析!D$5,1),IF($Y$3="申万二级行业",[1]!s_info_industry_sw_2021(W2350,公司分析!D$5,2),IF($Y$3="申万三级行业",[1]!s_info_industry_sw_2021(W2350,公司分析!D$5,3),IF($Y$3="wind一级行业",[1]!s_info_industry_gics(W2350,1),IF($Y$3="wind二级行业",[1]!s_info_industry_gics(W2350,2),IF($Y$3="wind三级行业",[1]!s_info_industry_gics(W2350,3),IF($Y$3="wind四级行业",[1]!s_info_industry_gics(W2350,4),IF($Y$3="证监会门类行业",[1]!s_info_industry_csrc12_n(W2350,公司分析!D$5,1),""))))))))</f>
        <v>化学制品</v>
      </c>
      <c r="Z2350" s="302" t="str">
        <f ca="1">IF(Y2350=行业比较!$E$6,ROW(),"")</f>
        <v/>
      </c>
      <c r="AA2350" s="122"/>
      <c r="AB2350" s="122"/>
      <c r="AC2350" s="122"/>
      <c r="AD2350" s="122"/>
      <c r="AE2350" s="122"/>
      <c r="AF2350" s="122"/>
      <c r="AG2350" s="122"/>
      <c r="AH2350" s="122"/>
      <c r="AI2350" s="122"/>
      <c r="AJ2350" s="122"/>
      <c r="AK2350" s="122"/>
      <c r="AL2350" s="122"/>
      <c r="AM2350" s="122"/>
      <c r="AN2350" s="122"/>
      <c r="AO2350" s="122"/>
      <c r="AP2350" s="122"/>
    </row>
    <row r="2351" spans="2:42">
      <c r="B2351" s="122"/>
      <c r="C2351" s="122"/>
      <c r="D2351" s="122"/>
      <c r="E2351" s="122"/>
      <c r="F2351" s="122"/>
      <c r="G2351" s="122"/>
      <c r="H2351" s="122"/>
      <c r="I2351" s="275"/>
      <c r="J2351" s="130"/>
      <c r="K2351" s="130"/>
      <c r="L2351" s="130"/>
      <c r="M2351" s="130"/>
      <c r="N2351" s="291"/>
      <c r="O2351" s="291"/>
      <c r="P2351" s="122"/>
      <c r="Q2351" s="122"/>
      <c r="R2351" s="122"/>
      <c r="S2351" s="122"/>
      <c r="T2351" s="122"/>
      <c r="U2351" s="315"/>
      <c r="V2351" s="260">
        <f t="shared" ca="1" si="44"/>
        <v>0</v>
      </c>
      <c r="W2351" s="348" t="str">
        <f>IF(板块成分!B2353="","",板块成分!B2353)</f>
        <v>300911.SZ</v>
      </c>
      <c r="X2351" s="276" t="str">
        <f>[1]!S_Info_Name(W2351)</f>
        <v>亿田智能</v>
      </c>
      <c r="Y2351" s="276" t="str">
        <f ca="1">IF($Y$3="申万一级行业",[1]!s_info_industry_sw_2021(W2351,公司分析!D$5,1),IF($Y$3="申万二级行业",[1]!s_info_industry_sw_2021(W2351,公司分析!D$5,2),IF($Y$3="申万三级行业",[1]!s_info_industry_sw_2021(W2351,公司分析!D$5,3),IF($Y$3="wind一级行业",[1]!s_info_industry_gics(W2351,1),IF($Y$3="wind二级行业",[1]!s_info_industry_gics(W2351,2),IF($Y$3="wind三级行业",[1]!s_info_industry_gics(W2351,3),IF($Y$3="wind四级行业",[1]!s_info_industry_gics(W2351,4),IF($Y$3="证监会门类行业",[1]!s_info_industry_csrc12_n(W2351,公司分析!D$5,1),""))))))))</f>
        <v>厨卫电器</v>
      </c>
      <c r="Z2351" s="302" t="str">
        <f ca="1">IF(Y2351=行业比较!$E$6,ROW(),"")</f>
        <v/>
      </c>
      <c r="AA2351" s="122"/>
      <c r="AB2351" s="122"/>
      <c r="AC2351" s="122"/>
      <c r="AD2351" s="122"/>
      <c r="AE2351" s="122"/>
      <c r="AF2351" s="122"/>
      <c r="AG2351" s="122"/>
      <c r="AH2351" s="122"/>
      <c r="AI2351" s="122"/>
      <c r="AJ2351" s="122"/>
      <c r="AK2351" s="122"/>
      <c r="AL2351" s="122"/>
      <c r="AM2351" s="122"/>
      <c r="AN2351" s="122"/>
      <c r="AO2351" s="122"/>
      <c r="AP2351" s="122"/>
    </row>
    <row r="2352" spans="2:42">
      <c r="B2352" s="122"/>
      <c r="C2352" s="122"/>
      <c r="D2352" s="122"/>
      <c r="E2352" s="122"/>
      <c r="F2352" s="122"/>
      <c r="G2352" s="122"/>
      <c r="H2352" s="122"/>
      <c r="I2352" s="275"/>
      <c r="J2352" s="130"/>
      <c r="K2352" s="130"/>
      <c r="L2352" s="130"/>
      <c r="M2352" s="130"/>
      <c r="N2352" s="291"/>
      <c r="O2352" s="291"/>
      <c r="P2352" s="122"/>
      <c r="Q2352" s="122"/>
      <c r="R2352" s="122"/>
      <c r="S2352" s="122"/>
      <c r="T2352" s="122"/>
      <c r="U2352" s="315"/>
      <c r="V2352" s="260">
        <f t="shared" ca="1" si="44"/>
        <v>0</v>
      </c>
      <c r="W2352" s="348" t="str">
        <f>IF(板块成分!B2354="","",板块成分!B2354)</f>
        <v>300912.SZ</v>
      </c>
      <c r="X2352" s="276" t="str">
        <f>[1]!S_Info_Name(W2352)</f>
        <v>凯龙高科</v>
      </c>
      <c r="Y2352" s="276" t="str">
        <f ca="1">IF($Y$3="申万一级行业",[1]!s_info_industry_sw_2021(W2352,公司分析!D$5,1),IF($Y$3="申万二级行业",[1]!s_info_industry_sw_2021(W2352,公司分析!D$5,2),IF($Y$3="申万三级行业",[1]!s_info_industry_sw_2021(W2352,公司分析!D$5,3),IF($Y$3="wind一级行业",[1]!s_info_industry_gics(W2352,1),IF($Y$3="wind二级行业",[1]!s_info_industry_gics(W2352,2),IF($Y$3="wind三级行业",[1]!s_info_industry_gics(W2352,3),IF($Y$3="wind四级行业",[1]!s_info_industry_gics(W2352,4),IF($Y$3="证监会门类行业",[1]!s_info_industry_csrc12_n(W2352,公司分析!D$5,1),""))))))))</f>
        <v>汽车零部件</v>
      </c>
      <c r="Z2352" s="302" t="str">
        <f ca="1">IF(Y2352=行业比较!$E$6,ROW(),"")</f>
        <v/>
      </c>
      <c r="AA2352" s="122"/>
      <c r="AB2352" s="122"/>
      <c r="AC2352" s="122"/>
      <c r="AD2352" s="122"/>
      <c r="AE2352" s="122"/>
      <c r="AF2352" s="122"/>
      <c r="AG2352" s="122"/>
      <c r="AH2352" s="122"/>
      <c r="AI2352" s="122"/>
      <c r="AJ2352" s="122"/>
      <c r="AK2352" s="122"/>
      <c r="AL2352" s="122"/>
      <c r="AM2352" s="122"/>
      <c r="AN2352" s="122"/>
      <c r="AO2352" s="122"/>
      <c r="AP2352" s="122"/>
    </row>
    <row r="2353" spans="2:42">
      <c r="B2353" s="122"/>
      <c r="C2353" s="122"/>
      <c r="D2353" s="122"/>
      <c r="E2353" s="122"/>
      <c r="F2353" s="122"/>
      <c r="G2353" s="122"/>
      <c r="H2353" s="122"/>
      <c r="I2353" s="275"/>
      <c r="J2353" s="130"/>
      <c r="K2353" s="130"/>
      <c r="L2353" s="130"/>
      <c r="M2353" s="130"/>
      <c r="N2353" s="291"/>
      <c r="O2353" s="291"/>
      <c r="P2353" s="122"/>
      <c r="Q2353" s="122"/>
      <c r="R2353" s="122"/>
      <c r="S2353" s="122"/>
      <c r="T2353" s="122"/>
      <c r="U2353" s="315"/>
      <c r="V2353" s="260">
        <f t="shared" ca="1" si="44"/>
        <v>0</v>
      </c>
      <c r="W2353" s="348" t="str">
        <f>IF(板块成分!B2355="","",板块成分!B2355)</f>
        <v>300913.SZ</v>
      </c>
      <c r="X2353" s="276" t="str">
        <f>[1]!S_Info_Name(W2353)</f>
        <v>兆龙互连</v>
      </c>
      <c r="Y2353" s="276" t="str">
        <f ca="1">IF($Y$3="申万一级行业",[1]!s_info_industry_sw_2021(W2353,公司分析!D$5,1),IF($Y$3="申万二级行业",[1]!s_info_industry_sw_2021(W2353,公司分析!D$5,2),IF($Y$3="申万三级行业",[1]!s_info_industry_sw_2021(W2353,公司分析!D$5,3),IF($Y$3="wind一级行业",[1]!s_info_industry_gics(W2353,1),IF($Y$3="wind二级行业",[1]!s_info_industry_gics(W2353,2),IF($Y$3="wind三级行业",[1]!s_info_industry_gics(W2353,3),IF($Y$3="wind四级行业",[1]!s_info_industry_gics(W2353,4),IF($Y$3="证监会门类行业",[1]!s_info_industry_csrc12_n(W2353,公司分析!D$5,1),""))))))))</f>
        <v>通信设备</v>
      </c>
      <c r="Z2353" s="302" t="str">
        <f ca="1">IF(Y2353=行业比较!$E$6,ROW(),"")</f>
        <v/>
      </c>
      <c r="AA2353" s="122"/>
      <c r="AB2353" s="122"/>
      <c r="AC2353" s="122"/>
      <c r="AD2353" s="122"/>
      <c r="AE2353" s="122"/>
      <c r="AF2353" s="122"/>
      <c r="AG2353" s="122"/>
      <c r="AH2353" s="122"/>
      <c r="AI2353" s="122"/>
      <c r="AJ2353" s="122"/>
      <c r="AK2353" s="122"/>
      <c r="AL2353" s="122"/>
      <c r="AM2353" s="122"/>
      <c r="AN2353" s="122"/>
      <c r="AO2353" s="122"/>
      <c r="AP2353" s="122"/>
    </row>
    <row r="2354" spans="2:42">
      <c r="B2354" s="122"/>
      <c r="C2354" s="122"/>
      <c r="D2354" s="122"/>
      <c r="E2354" s="122"/>
      <c r="F2354" s="122"/>
      <c r="G2354" s="122"/>
      <c r="H2354" s="122"/>
      <c r="I2354" s="275"/>
      <c r="J2354" s="130"/>
      <c r="K2354" s="130"/>
      <c r="L2354" s="130"/>
      <c r="M2354" s="130"/>
      <c r="N2354" s="291"/>
      <c r="O2354" s="291"/>
      <c r="P2354" s="122"/>
      <c r="Q2354" s="122"/>
      <c r="R2354" s="122"/>
      <c r="S2354" s="122"/>
      <c r="T2354" s="122"/>
      <c r="U2354" s="315"/>
      <c r="V2354" s="260">
        <f t="shared" ca="1" si="44"/>
        <v>0</v>
      </c>
      <c r="W2354" s="348" t="str">
        <f>IF(板块成分!B2356="","",板块成分!B2356)</f>
        <v>300915.SZ</v>
      </c>
      <c r="X2354" s="276" t="str">
        <f>[1]!S_Info_Name(W2354)</f>
        <v>海融科技</v>
      </c>
      <c r="Y2354" s="276" t="str">
        <f ca="1">IF($Y$3="申万一级行业",[1]!s_info_industry_sw_2021(W2354,公司分析!D$5,1),IF($Y$3="申万二级行业",[1]!s_info_industry_sw_2021(W2354,公司分析!D$5,2),IF($Y$3="申万三级行业",[1]!s_info_industry_sw_2021(W2354,公司分析!D$5,3),IF($Y$3="wind一级行业",[1]!s_info_industry_gics(W2354,1),IF($Y$3="wind二级行业",[1]!s_info_industry_gics(W2354,2),IF($Y$3="wind三级行业",[1]!s_info_industry_gics(W2354,3),IF($Y$3="wind四级行业",[1]!s_info_industry_gics(W2354,4),IF($Y$3="证监会门类行业",[1]!s_info_industry_csrc12_n(W2354,公司分析!D$5,1),""))))))))</f>
        <v>饮料乳品</v>
      </c>
      <c r="Z2354" s="302" t="str">
        <f ca="1">IF(Y2354=行业比较!$E$6,ROW(),"")</f>
        <v/>
      </c>
      <c r="AA2354" s="122"/>
      <c r="AB2354" s="122"/>
      <c r="AC2354" s="122"/>
      <c r="AD2354" s="122"/>
      <c r="AE2354" s="122"/>
      <c r="AF2354" s="122"/>
      <c r="AG2354" s="122"/>
      <c r="AH2354" s="122"/>
      <c r="AI2354" s="122"/>
      <c r="AJ2354" s="122"/>
      <c r="AK2354" s="122"/>
      <c r="AL2354" s="122"/>
      <c r="AM2354" s="122"/>
      <c r="AN2354" s="122"/>
      <c r="AO2354" s="122"/>
      <c r="AP2354" s="122"/>
    </row>
    <row r="2355" spans="2:42">
      <c r="B2355" s="122"/>
      <c r="C2355" s="122"/>
      <c r="D2355" s="122"/>
      <c r="E2355" s="122"/>
      <c r="F2355" s="122"/>
      <c r="G2355" s="122"/>
      <c r="H2355" s="122"/>
      <c r="I2355" s="275"/>
      <c r="J2355" s="130"/>
      <c r="K2355" s="130"/>
      <c r="L2355" s="130"/>
      <c r="M2355" s="130"/>
      <c r="N2355" s="291"/>
      <c r="O2355" s="291"/>
      <c r="P2355" s="122"/>
      <c r="Q2355" s="122"/>
      <c r="R2355" s="122"/>
      <c r="S2355" s="122"/>
      <c r="T2355" s="122"/>
      <c r="U2355" s="315"/>
      <c r="V2355" s="260">
        <f t="shared" ca="1" si="44"/>
        <v>0</v>
      </c>
      <c r="W2355" s="348" t="str">
        <f>IF(板块成分!B2357="","",板块成分!B2357)</f>
        <v>300916.SZ</v>
      </c>
      <c r="X2355" s="276" t="str">
        <f>[1]!S_Info_Name(W2355)</f>
        <v>朗特智能</v>
      </c>
      <c r="Y2355" s="276" t="str">
        <f ca="1">IF($Y$3="申万一级行业",[1]!s_info_industry_sw_2021(W2355,公司分析!D$5,1),IF($Y$3="申万二级行业",[1]!s_info_industry_sw_2021(W2355,公司分析!D$5,2),IF($Y$3="申万三级行业",[1]!s_info_industry_sw_2021(W2355,公司分析!D$5,3),IF($Y$3="wind一级行业",[1]!s_info_industry_gics(W2355,1),IF($Y$3="wind二级行业",[1]!s_info_industry_gics(W2355,2),IF($Y$3="wind三级行业",[1]!s_info_industry_gics(W2355,3),IF($Y$3="wind四级行业",[1]!s_info_industry_gics(W2355,4),IF($Y$3="证监会门类行业",[1]!s_info_industry_csrc12_n(W2355,公司分析!D$5,1),""))))))))</f>
        <v>消费电子</v>
      </c>
      <c r="Z2355" s="302" t="str">
        <f ca="1">IF(Y2355=行业比较!$E$6,ROW(),"")</f>
        <v/>
      </c>
      <c r="AA2355" s="122"/>
      <c r="AB2355" s="122"/>
      <c r="AC2355" s="122"/>
      <c r="AD2355" s="122"/>
      <c r="AE2355" s="122"/>
      <c r="AF2355" s="122"/>
      <c r="AG2355" s="122"/>
      <c r="AH2355" s="122"/>
      <c r="AI2355" s="122"/>
      <c r="AJ2355" s="122"/>
      <c r="AK2355" s="122"/>
      <c r="AL2355" s="122"/>
      <c r="AM2355" s="122"/>
      <c r="AN2355" s="122"/>
      <c r="AO2355" s="122"/>
      <c r="AP2355" s="122"/>
    </row>
    <row r="2356" spans="2:42">
      <c r="B2356" s="122"/>
      <c r="C2356" s="122"/>
      <c r="D2356" s="122"/>
      <c r="E2356" s="122"/>
      <c r="F2356" s="122"/>
      <c r="G2356" s="122"/>
      <c r="H2356" s="122"/>
      <c r="I2356" s="275"/>
      <c r="J2356" s="130"/>
      <c r="K2356" s="130"/>
      <c r="L2356" s="130"/>
      <c r="M2356" s="130"/>
      <c r="N2356" s="291"/>
      <c r="O2356" s="291"/>
      <c r="P2356" s="122"/>
      <c r="Q2356" s="122"/>
      <c r="R2356" s="122"/>
      <c r="S2356" s="122"/>
      <c r="T2356" s="122"/>
      <c r="U2356" s="315"/>
      <c r="V2356" s="260">
        <f t="shared" ca="1" si="44"/>
        <v>0</v>
      </c>
      <c r="W2356" s="348" t="str">
        <f>IF(板块成分!B2358="","",板块成分!B2358)</f>
        <v>300917.SZ</v>
      </c>
      <c r="X2356" s="276" t="str">
        <f>[1]!S_Info_Name(W2356)</f>
        <v>特发服务</v>
      </c>
      <c r="Y2356" s="276" t="str">
        <f ca="1">IF($Y$3="申万一级行业",[1]!s_info_industry_sw_2021(W2356,公司分析!D$5,1),IF($Y$3="申万二级行业",[1]!s_info_industry_sw_2021(W2356,公司分析!D$5,2),IF($Y$3="申万三级行业",[1]!s_info_industry_sw_2021(W2356,公司分析!D$5,3),IF($Y$3="wind一级行业",[1]!s_info_industry_gics(W2356,1),IF($Y$3="wind二级行业",[1]!s_info_industry_gics(W2356,2),IF($Y$3="wind三级行业",[1]!s_info_industry_gics(W2356,3),IF($Y$3="wind四级行业",[1]!s_info_industry_gics(W2356,4),IF($Y$3="证监会门类行业",[1]!s_info_industry_csrc12_n(W2356,公司分析!D$5,1),""))))))))</f>
        <v>房地产服务</v>
      </c>
      <c r="Z2356" s="302" t="str">
        <f ca="1">IF(Y2356=行业比较!$E$6,ROW(),"")</f>
        <v/>
      </c>
      <c r="AA2356" s="122"/>
      <c r="AB2356" s="122"/>
      <c r="AC2356" s="122"/>
      <c r="AD2356" s="122"/>
      <c r="AE2356" s="122"/>
      <c r="AF2356" s="122"/>
      <c r="AG2356" s="122"/>
      <c r="AH2356" s="122"/>
      <c r="AI2356" s="122"/>
      <c r="AJ2356" s="122"/>
      <c r="AK2356" s="122"/>
      <c r="AL2356" s="122"/>
      <c r="AM2356" s="122"/>
      <c r="AN2356" s="122"/>
      <c r="AO2356" s="122"/>
      <c r="AP2356" s="122"/>
    </row>
    <row r="2357" spans="2:42">
      <c r="B2357" s="122"/>
      <c r="C2357" s="122"/>
      <c r="D2357" s="122"/>
      <c r="E2357" s="122"/>
      <c r="F2357" s="122"/>
      <c r="G2357" s="122"/>
      <c r="H2357" s="122"/>
      <c r="I2357" s="275"/>
      <c r="J2357" s="130"/>
      <c r="K2357" s="130"/>
      <c r="L2357" s="130"/>
      <c r="M2357" s="130"/>
      <c r="N2357" s="291"/>
      <c r="O2357" s="291"/>
      <c r="P2357" s="122"/>
      <c r="Q2357" s="122"/>
      <c r="R2357" s="122"/>
      <c r="S2357" s="122"/>
      <c r="T2357" s="122"/>
      <c r="U2357" s="315"/>
      <c r="V2357" s="260">
        <f t="shared" ca="1" si="44"/>
        <v>0</v>
      </c>
      <c r="W2357" s="348" t="str">
        <f>IF(板块成分!B2359="","",板块成分!B2359)</f>
        <v>300918.SZ</v>
      </c>
      <c r="X2357" s="276" t="str">
        <f>[1]!S_Info_Name(W2357)</f>
        <v>南山智尚</v>
      </c>
      <c r="Y2357" s="276" t="str">
        <f ca="1">IF($Y$3="申万一级行业",[1]!s_info_industry_sw_2021(W2357,公司分析!D$5,1),IF($Y$3="申万二级行业",[1]!s_info_industry_sw_2021(W2357,公司分析!D$5,2),IF($Y$3="申万三级行业",[1]!s_info_industry_sw_2021(W2357,公司分析!D$5,3),IF($Y$3="wind一级行业",[1]!s_info_industry_gics(W2357,1),IF($Y$3="wind二级行业",[1]!s_info_industry_gics(W2357,2),IF($Y$3="wind三级行业",[1]!s_info_industry_gics(W2357,3),IF($Y$3="wind四级行业",[1]!s_info_industry_gics(W2357,4),IF($Y$3="证监会门类行业",[1]!s_info_industry_csrc12_n(W2357,公司分析!D$5,1),""))))))))</f>
        <v>纺织制造</v>
      </c>
      <c r="Z2357" s="302" t="str">
        <f ca="1">IF(Y2357=行业比较!$E$6,ROW(),"")</f>
        <v/>
      </c>
      <c r="AA2357" s="122"/>
      <c r="AB2357" s="122"/>
      <c r="AC2357" s="122"/>
      <c r="AD2357" s="122"/>
      <c r="AE2357" s="122"/>
      <c r="AF2357" s="122"/>
      <c r="AG2357" s="122"/>
      <c r="AH2357" s="122"/>
      <c r="AI2357" s="122"/>
      <c r="AJ2357" s="122"/>
      <c r="AK2357" s="122"/>
      <c r="AL2357" s="122"/>
      <c r="AM2357" s="122"/>
      <c r="AN2357" s="122"/>
      <c r="AO2357" s="122"/>
      <c r="AP2357" s="122"/>
    </row>
    <row r="2358" spans="2:42">
      <c r="B2358" s="122"/>
      <c r="C2358" s="122"/>
      <c r="D2358" s="122"/>
      <c r="E2358" s="122"/>
      <c r="F2358" s="122"/>
      <c r="G2358" s="122"/>
      <c r="H2358" s="122"/>
      <c r="I2358" s="275"/>
      <c r="J2358" s="130"/>
      <c r="K2358" s="130"/>
      <c r="L2358" s="130"/>
      <c r="M2358" s="130"/>
      <c r="N2358" s="291"/>
      <c r="O2358" s="291"/>
      <c r="P2358" s="122"/>
      <c r="Q2358" s="122"/>
      <c r="R2358" s="122"/>
      <c r="S2358" s="122"/>
      <c r="T2358" s="122"/>
      <c r="U2358" s="315"/>
      <c r="V2358" s="260">
        <f t="shared" ca="1" si="44"/>
        <v>0</v>
      </c>
      <c r="W2358" s="348" t="str">
        <f>IF(板块成分!B2360="","",板块成分!B2360)</f>
        <v>300919.SZ</v>
      </c>
      <c r="X2358" s="276" t="str">
        <f>[1]!S_Info_Name(W2358)</f>
        <v>中伟新材</v>
      </c>
      <c r="Y2358" s="276" t="str">
        <f ca="1">IF($Y$3="申万一级行业",[1]!s_info_industry_sw_2021(W2358,公司分析!D$5,1),IF($Y$3="申万二级行业",[1]!s_info_industry_sw_2021(W2358,公司分析!D$5,2),IF($Y$3="申万三级行业",[1]!s_info_industry_sw_2021(W2358,公司分析!D$5,3),IF($Y$3="wind一级行业",[1]!s_info_industry_gics(W2358,1),IF($Y$3="wind二级行业",[1]!s_info_industry_gics(W2358,2),IF($Y$3="wind三级行业",[1]!s_info_industry_gics(W2358,3),IF($Y$3="wind四级行业",[1]!s_info_industry_gics(W2358,4),IF($Y$3="证监会门类行业",[1]!s_info_industry_csrc12_n(W2358,公司分析!D$5,1),""))))))))</f>
        <v>电池</v>
      </c>
      <c r="Z2358" s="302" t="str">
        <f ca="1">IF(Y2358=行业比较!$E$6,ROW(),"")</f>
        <v/>
      </c>
      <c r="AA2358" s="122"/>
      <c r="AB2358" s="122"/>
      <c r="AC2358" s="122"/>
      <c r="AD2358" s="122"/>
      <c r="AE2358" s="122"/>
      <c r="AF2358" s="122"/>
      <c r="AG2358" s="122"/>
      <c r="AH2358" s="122"/>
      <c r="AI2358" s="122"/>
      <c r="AJ2358" s="122"/>
      <c r="AK2358" s="122"/>
      <c r="AL2358" s="122"/>
      <c r="AM2358" s="122"/>
      <c r="AN2358" s="122"/>
      <c r="AO2358" s="122"/>
      <c r="AP2358" s="122"/>
    </row>
    <row r="2359" spans="2:42">
      <c r="B2359" s="122"/>
      <c r="C2359" s="122"/>
      <c r="D2359" s="122"/>
      <c r="E2359" s="122"/>
      <c r="F2359" s="122"/>
      <c r="G2359" s="122"/>
      <c r="H2359" s="122"/>
      <c r="I2359" s="275"/>
      <c r="J2359" s="130"/>
      <c r="K2359" s="130"/>
      <c r="L2359" s="130"/>
      <c r="M2359" s="130"/>
      <c r="N2359" s="291"/>
      <c r="O2359" s="291"/>
      <c r="P2359" s="122"/>
      <c r="Q2359" s="122"/>
      <c r="R2359" s="122"/>
      <c r="S2359" s="122"/>
      <c r="T2359" s="122"/>
      <c r="U2359" s="315"/>
      <c r="V2359" s="260">
        <f t="shared" ca="1" si="44"/>
        <v>0</v>
      </c>
      <c r="W2359" s="348" t="str">
        <f>IF(板块成分!B2361="","",板块成分!B2361)</f>
        <v>300920.SZ</v>
      </c>
      <c r="X2359" s="276" t="str">
        <f>[1]!S_Info_Name(W2359)</f>
        <v>润阳科技</v>
      </c>
      <c r="Y2359" s="276" t="str">
        <f ca="1">IF($Y$3="申万一级行业",[1]!s_info_industry_sw_2021(W2359,公司分析!D$5,1),IF($Y$3="申万二级行业",[1]!s_info_industry_sw_2021(W2359,公司分析!D$5,2),IF($Y$3="申万三级行业",[1]!s_info_industry_sw_2021(W2359,公司分析!D$5,3),IF($Y$3="wind一级行业",[1]!s_info_industry_gics(W2359,1),IF($Y$3="wind二级行业",[1]!s_info_industry_gics(W2359,2),IF($Y$3="wind三级行业",[1]!s_info_industry_gics(W2359,3),IF($Y$3="wind四级行业",[1]!s_info_industry_gics(W2359,4),IF($Y$3="证监会门类行业",[1]!s_info_industry_csrc12_n(W2359,公司分析!D$5,1),""))))))))</f>
        <v>塑料</v>
      </c>
      <c r="Z2359" s="302" t="str">
        <f ca="1">IF(Y2359=行业比较!$E$6,ROW(),"")</f>
        <v/>
      </c>
      <c r="AA2359" s="122"/>
      <c r="AB2359" s="122"/>
      <c r="AC2359" s="122"/>
      <c r="AD2359" s="122"/>
      <c r="AE2359" s="122"/>
      <c r="AF2359" s="122"/>
      <c r="AG2359" s="122"/>
      <c r="AH2359" s="122"/>
      <c r="AI2359" s="122"/>
      <c r="AJ2359" s="122"/>
      <c r="AK2359" s="122"/>
      <c r="AL2359" s="122"/>
      <c r="AM2359" s="122"/>
      <c r="AN2359" s="122"/>
      <c r="AO2359" s="122"/>
      <c r="AP2359" s="122"/>
    </row>
    <row r="2360" spans="2:42">
      <c r="B2360" s="122"/>
      <c r="C2360" s="122"/>
      <c r="D2360" s="122"/>
      <c r="E2360" s="122"/>
      <c r="F2360" s="122"/>
      <c r="G2360" s="122"/>
      <c r="H2360" s="122"/>
      <c r="I2360" s="275"/>
      <c r="J2360" s="130"/>
      <c r="K2360" s="130"/>
      <c r="L2360" s="130"/>
      <c r="M2360" s="130"/>
      <c r="N2360" s="291"/>
      <c r="O2360" s="291"/>
      <c r="P2360" s="122"/>
      <c r="Q2360" s="122"/>
      <c r="R2360" s="122"/>
      <c r="S2360" s="122"/>
      <c r="T2360" s="122"/>
      <c r="U2360" s="315"/>
      <c r="V2360" s="260">
        <f t="shared" ca="1" si="44"/>
        <v>0</v>
      </c>
      <c r="W2360" s="348" t="str">
        <f>IF(板块成分!B2362="","",板块成分!B2362)</f>
        <v>300921.SZ</v>
      </c>
      <c r="X2360" s="276" t="str">
        <f>[1]!S_Info_Name(W2360)</f>
        <v>南凌科技</v>
      </c>
      <c r="Y2360" s="276" t="str">
        <f ca="1">IF($Y$3="申万一级行业",[1]!s_info_industry_sw_2021(W2360,公司分析!D$5,1),IF($Y$3="申万二级行业",[1]!s_info_industry_sw_2021(W2360,公司分析!D$5,2),IF($Y$3="申万三级行业",[1]!s_info_industry_sw_2021(W2360,公司分析!D$5,3),IF($Y$3="wind一级行业",[1]!s_info_industry_gics(W2360,1),IF($Y$3="wind二级行业",[1]!s_info_industry_gics(W2360,2),IF($Y$3="wind三级行业",[1]!s_info_industry_gics(W2360,3),IF($Y$3="wind四级行业",[1]!s_info_industry_gics(W2360,4),IF($Y$3="证监会门类行业",[1]!s_info_industry_csrc12_n(W2360,公司分析!D$5,1),""))))))))</f>
        <v>通信服务</v>
      </c>
      <c r="Z2360" s="302" t="str">
        <f ca="1">IF(Y2360=行业比较!$E$6,ROW(),"")</f>
        <v/>
      </c>
      <c r="AA2360" s="122"/>
      <c r="AB2360" s="122"/>
      <c r="AC2360" s="122"/>
      <c r="AD2360" s="122"/>
      <c r="AE2360" s="122"/>
      <c r="AF2360" s="122"/>
      <c r="AG2360" s="122"/>
      <c r="AH2360" s="122"/>
      <c r="AI2360" s="122"/>
      <c r="AJ2360" s="122"/>
      <c r="AK2360" s="122"/>
      <c r="AL2360" s="122"/>
      <c r="AM2360" s="122"/>
      <c r="AN2360" s="122"/>
      <c r="AO2360" s="122"/>
      <c r="AP2360" s="122"/>
    </row>
    <row r="2361" spans="2:42">
      <c r="B2361" s="122"/>
      <c r="C2361" s="122"/>
      <c r="D2361" s="122"/>
      <c r="E2361" s="122"/>
      <c r="F2361" s="122"/>
      <c r="G2361" s="122"/>
      <c r="H2361" s="122"/>
      <c r="I2361" s="275"/>
      <c r="J2361" s="130"/>
      <c r="K2361" s="130"/>
      <c r="L2361" s="130"/>
      <c r="M2361" s="130"/>
      <c r="N2361" s="291"/>
      <c r="O2361" s="291"/>
      <c r="P2361" s="122"/>
      <c r="Q2361" s="122"/>
      <c r="R2361" s="122"/>
      <c r="S2361" s="122"/>
      <c r="T2361" s="122"/>
      <c r="U2361" s="315"/>
      <c r="V2361" s="260">
        <f t="shared" ca="1" si="44"/>
        <v>0</v>
      </c>
      <c r="W2361" s="348" t="str">
        <f>IF(板块成分!B2363="","",板块成分!B2363)</f>
        <v>300922.SZ</v>
      </c>
      <c r="X2361" s="276" t="str">
        <f>[1]!S_Info_Name(W2361)</f>
        <v>天秦装备</v>
      </c>
      <c r="Y2361" s="276" t="str">
        <f ca="1">IF($Y$3="申万一级行业",[1]!s_info_industry_sw_2021(W2361,公司分析!D$5,1),IF($Y$3="申万二级行业",[1]!s_info_industry_sw_2021(W2361,公司分析!D$5,2),IF($Y$3="申万三级行业",[1]!s_info_industry_sw_2021(W2361,公司分析!D$5,3),IF($Y$3="wind一级行业",[1]!s_info_industry_gics(W2361,1),IF($Y$3="wind二级行业",[1]!s_info_industry_gics(W2361,2),IF($Y$3="wind三级行业",[1]!s_info_industry_gics(W2361,3),IF($Y$3="wind四级行业",[1]!s_info_industry_gics(W2361,4),IF($Y$3="证监会门类行业",[1]!s_info_industry_csrc12_n(W2361,公司分析!D$5,1),""))))))))</f>
        <v>地面兵装Ⅱ</v>
      </c>
      <c r="Z2361" s="302" t="str">
        <f ca="1">IF(Y2361=行业比较!$E$6,ROW(),"")</f>
        <v/>
      </c>
      <c r="AA2361" s="122"/>
      <c r="AB2361" s="122"/>
      <c r="AC2361" s="122"/>
      <c r="AD2361" s="122"/>
      <c r="AE2361" s="122"/>
      <c r="AF2361" s="122"/>
      <c r="AG2361" s="122"/>
      <c r="AH2361" s="122"/>
      <c r="AI2361" s="122"/>
      <c r="AJ2361" s="122"/>
      <c r="AK2361" s="122"/>
      <c r="AL2361" s="122"/>
      <c r="AM2361" s="122"/>
      <c r="AN2361" s="122"/>
      <c r="AO2361" s="122"/>
      <c r="AP2361" s="122"/>
    </row>
    <row r="2362" spans="2:42">
      <c r="B2362" s="122"/>
      <c r="C2362" s="122"/>
      <c r="D2362" s="122"/>
      <c r="E2362" s="122"/>
      <c r="F2362" s="122"/>
      <c r="G2362" s="122"/>
      <c r="H2362" s="122"/>
      <c r="I2362" s="275"/>
      <c r="J2362" s="130"/>
      <c r="K2362" s="130"/>
      <c r="L2362" s="130"/>
      <c r="M2362" s="130"/>
      <c r="N2362" s="291"/>
      <c r="O2362" s="291"/>
      <c r="P2362" s="122"/>
      <c r="Q2362" s="122"/>
      <c r="R2362" s="122"/>
      <c r="S2362" s="122"/>
      <c r="T2362" s="122"/>
      <c r="U2362" s="315"/>
      <c r="V2362" s="260">
        <f t="shared" ca="1" si="44"/>
        <v>0</v>
      </c>
      <c r="W2362" s="348" t="str">
        <f>IF(板块成分!B2364="","",板块成分!B2364)</f>
        <v>300923.SZ</v>
      </c>
      <c r="X2362" s="276" t="str">
        <f>[1]!S_Info_Name(W2362)</f>
        <v>研奥股份</v>
      </c>
      <c r="Y2362" s="276" t="str">
        <f ca="1">IF($Y$3="申万一级行业",[1]!s_info_industry_sw_2021(W2362,公司分析!D$5,1),IF($Y$3="申万二级行业",[1]!s_info_industry_sw_2021(W2362,公司分析!D$5,2),IF($Y$3="申万三级行业",[1]!s_info_industry_sw_2021(W2362,公司分析!D$5,3),IF($Y$3="wind一级行业",[1]!s_info_industry_gics(W2362,1),IF($Y$3="wind二级行业",[1]!s_info_industry_gics(W2362,2),IF($Y$3="wind三级行业",[1]!s_info_industry_gics(W2362,3),IF($Y$3="wind四级行业",[1]!s_info_industry_gics(W2362,4),IF($Y$3="证监会门类行业",[1]!s_info_industry_csrc12_n(W2362,公司分析!D$5,1),""))))))))</f>
        <v>轨交设备Ⅱ</v>
      </c>
      <c r="Z2362" s="302" t="str">
        <f ca="1">IF(Y2362=行业比较!$E$6,ROW(),"")</f>
        <v/>
      </c>
      <c r="AA2362" s="122"/>
      <c r="AB2362" s="122"/>
      <c r="AC2362" s="122"/>
      <c r="AD2362" s="122"/>
      <c r="AE2362" s="122"/>
      <c r="AF2362" s="122"/>
      <c r="AG2362" s="122"/>
      <c r="AH2362" s="122"/>
      <c r="AI2362" s="122"/>
      <c r="AJ2362" s="122"/>
      <c r="AK2362" s="122"/>
      <c r="AL2362" s="122"/>
      <c r="AM2362" s="122"/>
      <c r="AN2362" s="122"/>
      <c r="AO2362" s="122"/>
      <c r="AP2362" s="122"/>
    </row>
    <row r="2363" spans="2:42">
      <c r="B2363" s="122"/>
      <c r="C2363" s="122"/>
      <c r="D2363" s="122"/>
      <c r="E2363" s="122"/>
      <c r="F2363" s="122"/>
      <c r="G2363" s="122"/>
      <c r="H2363" s="122"/>
      <c r="I2363" s="275"/>
      <c r="J2363" s="130"/>
      <c r="K2363" s="130"/>
      <c r="L2363" s="130"/>
      <c r="M2363" s="130"/>
      <c r="N2363" s="291"/>
      <c r="O2363" s="291"/>
      <c r="P2363" s="122"/>
      <c r="Q2363" s="122"/>
      <c r="R2363" s="122"/>
      <c r="S2363" s="122"/>
      <c r="T2363" s="122"/>
      <c r="U2363" s="315"/>
      <c r="V2363" s="260">
        <f t="shared" ca="1" si="44"/>
        <v>0</v>
      </c>
      <c r="W2363" s="348" t="str">
        <f>IF(板块成分!B2365="","",板块成分!B2365)</f>
        <v>300925.SZ</v>
      </c>
      <c r="X2363" s="276" t="str">
        <f>[1]!S_Info_Name(W2363)</f>
        <v>法本信息</v>
      </c>
      <c r="Y2363" s="276" t="str">
        <f ca="1">IF($Y$3="申万一级行业",[1]!s_info_industry_sw_2021(W2363,公司分析!D$5,1),IF($Y$3="申万二级行业",[1]!s_info_industry_sw_2021(W2363,公司分析!D$5,2),IF($Y$3="申万三级行业",[1]!s_info_industry_sw_2021(W2363,公司分析!D$5,3),IF($Y$3="wind一级行业",[1]!s_info_industry_gics(W2363,1),IF($Y$3="wind二级行业",[1]!s_info_industry_gics(W2363,2),IF($Y$3="wind三级行业",[1]!s_info_industry_gics(W2363,3),IF($Y$3="wind四级行业",[1]!s_info_industry_gics(W2363,4),IF($Y$3="证监会门类行业",[1]!s_info_industry_csrc12_n(W2363,公司分析!D$5,1),""))))))))</f>
        <v>软件开发</v>
      </c>
      <c r="Z2363" s="302" t="str">
        <f ca="1">IF(Y2363=行业比较!$E$6,ROW(),"")</f>
        <v/>
      </c>
      <c r="AA2363" s="122"/>
      <c r="AB2363" s="122"/>
      <c r="AC2363" s="122"/>
      <c r="AD2363" s="122"/>
      <c r="AE2363" s="122"/>
      <c r="AF2363" s="122"/>
      <c r="AG2363" s="122"/>
      <c r="AH2363" s="122"/>
      <c r="AI2363" s="122"/>
      <c r="AJ2363" s="122"/>
      <c r="AK2363" s="122"/>
      <c r="AL2363" s="122"/>
      <c r="AM2363" s="122"/>
      <c r="AN2363" s="122"/>
      <c r="AO2363" s="122"/>
      <c r="AP2363" s="122"/>
    </row>
    <row r="2364" spans="2:42">
      <c r="B2364" s="122"/>
      <c r="C2364" s="122"/>
      <c r="D2364" s="122"/>
      <c r="E2364" s="122"/>
      <c r="F2364" s="122"/>
      <c r="G2364" s="122"/>
      <c r="H2364" s="122"/>
      <c r="I2364" s="275"/>
      <c r="J2364" s="130"/>
      <c r="K2364" s="130"/>
      <c r="L2364" s="130"/>
      <c r="M2364" s="130"/>
      <c r="N2364" s="291"/>
      <c r="O2364" s="291"/>
      <c r="P2364" s="122"/>
      <c r="Q2364" s="122"/>
      <c r="R2364" s="122"/>
      <c r="S2364" s="122"/>
      <c r="T2364" s="122"/>
      <c r="U2364" s="315"/>
      <c r="V2364" s="260">
        <f t="shared" ca="1" si="44"/>
        <v>0</v>
      </c>
      <c r="W2364" s="348" t="str">
        <f>IF(板块成分!B2366="","",板块成分!B2366)</f>
        <v>300926.SZ</v>
      </c>
      <c r="X2364" s="276" t="str">
        <f>[1]!S_Info_Name(W2364)</f>
        <v>博俊科技</v>
      </c>
      <c r="Y2364" s="276" t="str">
        <f ca="1">IF($Y$3="申万一级行业",[1]!s_info_industry_sw_2021(W2364,公司分析!D$5,1),IF($Y$3="申万二级行业",[1]!s_info_industry_sw_2021(W2364,公司分析!D$5,2),IF($Y$3="申万三级行业",[1]!s_info_industry_sw_2021(W2364,公司分析!D$5,3),IF($Y$3="wind一级行业",[1]!s_info_industry_gics(W2364,1),IF($Y$3="wind二级行业",[1]!s_info_industry_gics(W2364,2),IF($Y$3="wind三级行业",[1]!s_info_industry_gics(W2364,3),IF($Y$3="wind四级行业",[1]!s_info_industry_gics(W2364,4),IF($Y$3="证监会门类行业",[1]!s_info_industry_csrc12_n(W2364,公司分析!D$5,1),""))))))))</f>
        <v>汽车零部件</v>
      </c>
      <c r="Z2364" s="302" t="str">
        <f ca="1">IF(Y2364=行业比较!$E$6,ROW(),"")</f>
        <v/>
      </c>
      <c r="AA2364" s="122"/>
      <c r="AB2364" s="122"/>
      <c r="AC2364" s="122"/>
      <c r="AD2364" s="122"/>
      <c r="AE2364" s="122"/>
      <c r="AF2364" s="122"/>
      <c r="AG2364" s="122"/>
      <c r="AH2364" s="122"/>
      <c r="AI2364" s="122"/>
      <c r="AJ2364" s="122"/>
      <c r="AK2364" s="122"/>
      <c r="AL2364" s="122"/>
      <c r="AM2364" s="122"/>
      <c r="AN2364" s="122"/>
      <c r="AO2364" s="122"/>
      <c r="AP2364" s="122"/>
    </row>
    <row r="2365" spans="2:42">
      <c r="B2365" s="122"/>
      <c r="C2365" s="122"/>
      <c r="D2365" s="122"/>
      <c r="E2365" s="122"/>
      <c r="F2365" s="122"/>
      <c r="G2365" s="122"/>
      <c r="H2365" s="122"/>
      <c r="I2365" s="275"/>
      <c r="J2365" s="130"/>
      <c r="K2365" s="130"/>
      <c r="L2365" s="130"/>
      <c r="M2365" s="130"/>
      <c r="N2365" s="291"/>
      <c r="O2365" s="291"/>
      <c r="P2365" s="122"/>
      <c r="Q2365" s="122"/>
      <c r="R2365" s="122"/>
      <c r="S2365" s="122"/>
      <c r="T2365" s="122"/>
      <c r="U2365" s="315"/>
      <c r="V2365" s="260">
        <f t="shared" ca="1" si="44"/>
        <v>0</v>
      </c>
      <c r="W2365" s="348" t="str">
        <f>IF(板块成分!B2367="","",板块成分!B2367)</f>
        <v>300927.SZ</v>
      </c>
      <c r="X2365" s="276" t="str">
        <f>[1]!S_Info_Name(W2365)</f>
        <v>江天化学</v>
      </c>
      <c r="Y2365" s="276" t="str">
        <f ca="1">IF($Y$3="申万一级行业",[1]!s_info_industry_sw_2021(W2365,公司分析!D$5,1),IF($Y$3="申万二级行业",[1]!s_info_industry_sw_2021(W2365,公司分析!D$5,2),IF($Y$3="申万三级行业",[1]!s_info_industry_sw_2021(W2365,公司分析!D$5,3),IF($Y$3="wind一级行业",[1]!s_info_industry_gics(W2365,1),IF($Y$3="wind二级行业",[1]!s_info_industry_gics(W2365,2),IF($Y$3="wind三级行业",[1]!s_info_industry_gics(W2365,3),IF($Y$3="wind四级行业",[1]!s_info_industry_gics(W2365,4),IF($Y$3="证监会门类行业",[1]!s_info_industry_csrc12_n(W2365,公司分析!D$5,1),""))))))))</f>
        <v>化学原料</v>
      </c>
      <c r="Z2365" s="302" t="str">
        <f ca="1">IF(Y2365=行业比较!$E$6,ROW(),"")</f>
        <v/>
      </c>
      <c r="AA2365" s="122"/>
      <c r="AB2365" s="122"/>
      <c r="AC2365" s="122"/>
      <c r="AD2365" s="122"/>
      <c r="AE2365" s="122"/>
      <c r="AF2365" s="122"/>
      <c r="AG2365" s="122"/>
      <c r="AH2365" s="122"/>
      <c r="AI2365" s="122"/>
      <c r="AJ2365" s="122"/>
      <c r="AK2365" s="122"/>
      <c r="AL2365" s="122"/>
      <c r="AM2365" s="122"/>
      <c r="AN2365" s="122"/>
      <c r="AO2365" s="122"/>
      <c r="AP2365" s="122"/>
    </row>
    <row r="2366" spans="2:42">
      <c r="B2366" s="122"/>
      <c r="C2366" s="122"/>
      <c r="D2366" s="122"/>
      <c r="E2366" s="122"/>
      <c r="F2366" s="122"/>
      <c r="G2366" s="122"/>
      <c r="H2366" s="122"/>
      <c r="I2366" s="275"/>
      <c r="J2366" s="130"/>
      <c r="K2366" s="130"/>
      <c r="L2366" s="130"/>
      <c r="M2366" s="130"/>
      <c r="N2366" s="291"/>
      <c r="O2366" s="291"/>
      <c r="P2366" s="122"/>
      <c r="Q2366" s="122"/>
      <c r="R2366" s="122"/>
      <c r="S2366" s="122"/>
      <c r="T2366" s="122"/>
      <c r="U2366" s="315"/>
      <c r="V2366" s="260">
        <f t="shared" ca="1" si="44"/>
        <v>0</v>
      </c>
      <c r="W2366" s="348" t="str">
        <f>IF(板块成分!B2368="","",板块成分!B2368)</f>
        <v>300928.SZ</v>
      </c>
      <c r="X2366" s="276" t="str">
        <f>[1]!S_Info_Name(W2366)</f>
        <v>华安鑫创</v>
      </c>
      <c r="Y2366" s="276" t="str">
        <f ca="1">IF($Y$3="申万一级行业",[1]!s_info_industry_sw_2021(W2366,公司分析!D$5,1),IF($Y$3="申万二级行业",[1]!s_info_industry_sw_2021(W2366,公司分析!D$5,2),IF($Y$3="申万三级行业",[1]!s_info_industry_sw_2021(W2366,公司分析!D$5,3),IF($Y$3="wind一级行业",[1]!s_info_industry_gics(W2366,1),IF($Y$3="wind二级行业",[1]!s_info_industry_gics(W2366,2),IF($Y$3="wind三级行业",[1]!s_info_industry_gics(W2366,3),IF($Y$3="wind四级行业",[1]!s_info_industry_gics(W2366,4),IF($Y$3="证监会门类行业",[1]!s_info_industry_csrc12_n(W2366,公司分析!D$5,1),""))))))))</f>
        <v>汽车零部件</v>
      </c>
      <c r="Z2366" s="302" t="str">
        <f ca="1">IF(Y2366=行业比较!$E$6,ROW(),"")</f>
        <v/>
      </c>
      <c r="AA2366" s="122"/>
      <c r="AB2366" s="122"/>
      <c r="AC2366" s="122"/>
      <c r="AD2366" s="122"/>
      <c r="AE2366" s="122"/>
      <c r="AF2366" s="122"/>
      <c r="AG2366" s="122"/>
      <c r="AH2366" s="122"/>
      <c r="AI2366" s="122"/>
      <c r="AJ2366" s="122"/>
      <c r="AK2366" s="122"/>
      <c r="AL2366" s="122"/>
      <c r="AM2366" s="122"/>
      <c r="AN2366" s="122"/>
      <c r="AO2366" s="122"/>
      <c r="AP2366" s="122"/>
    </row>
    <row r="2367" spans="2:42">
      <c r="B2367" s="122"/>
      <c r="C2367" s="122"/>
      <c r="D2367" s="122"/>
      <c r="E2367" s="122"/>
      <c r="F2367" s="122"/>
      <c r="G2367" s="122"/>
      <c r="H2367" s="122"/>
      <c r="I2367" s="275"/>
      <c r="J2367" s="130"/>
      <c r="K2367" s="130"/>
      <c r="L2367" s="130"/>
      <c r="M2367" s="130"/>
      <c r="N2367" s="291"/>
      <c r="O2367" s="291"/>
      <c r="P2367" s="122"/>
      <c r="Q2367" s="122"/>
      <c r="R2367" s="122"/>
      <c r="S2367" s="122"/>
      <c r="T2367" s="122"/>
      <c r="U2367" s="315"/>
      <c r="V2367" s="260">
        <f t="shared" ca="1" si="44"/>
        <v>0</v>
      </c>
      <c r="W2367" s="348" t="str">
        <f>IF(板块成分!B2369="","",板块成分!B2369)</f>
        <v>300929.SZ</v>
      </c>
      <c r="X2367" s="276" t="str">
        <f>[1]!S_Info_Name(W2367)</f>
        <v>华骐环保</v>
      </c>
      <c r="Y2367" s="276" t="str">
        <f ca="1">IF($Y$3="申万一级行业",[1]!s_info_industry_sw_2021(W2367,公司分析!D$5,1),IF($Y$3="申万二级行业",[1]!s_info_industry_sw_2021(W2367,公司分析!D$5,2),IF($Y$3="申万三级行业",[1]!s_info_industry_sw_2021(W2367,公司分析!D$5,3),IF($Y$3="wind一级行业",[1]!s_info_industry_gics(W2367,1),IF($Y$3="wind二级行业",[1]!s_info_industry_gics(W2367,2),IF($Y$3="wind三级行业",[1]!s_info_industry_gics(W2367,3),IF($Y$3="wind四级行业",[1]!s_info_industry_gics(W2367,4),IF($Y$3="证监会门类行业",[1]!s_info_industry_csrc12_n(W2367,公司分析!D$5,1),""))))))))</f>
        <v>环境治理</v>
      </c>
      <c r="Z2367" s="302" t="str">
        <f ca="1">IF(Y2367=行业比较!$E$6,ROW(),"")</f>
        <v/>
      </c>
      <c r="AA2367" s="122"/>
      <c r="AB2367" s="122"/>
      <c r="AC2367" s="122"/>
      <c r="AD2367" s="122"/>
      <c r="AE2367" s="122"/>
      <c r="AF2367" s="122"/>
      <c r="AG2367" s="122"/>
      <c r="AH2367" s="122"/>
      <c r="AI2367" s="122"/>
      <c r="AJ2367" s="122"/>
      <c r="AK2367" s="122"/>
      <c r="AL2367" s="122"/>
      <c r="AM2367" s="122"/>
      <c r="AN2367" s="122"/>
      <c r="AO2367" s="122"/>
      <c r="AP2367" s="122"/>
    </row>
    <row r="2368" spans="2:42">
      <c r="B2368" s="122"/>
      <c r="C2368" s="122"/>
      <c r="D2368" s="122"/>
      <c r="E2368" s="122"/>
      <c r="F2368" s="122"/>
      <c r="G2368" s="122"/>
      <c r="H2368" s="122"/>
      <c r="I2368" s="275"/>
      <c r="J2368" s="130"/>
      <c r="K2368" s="130"/>
      <c r="L2368" s="130"/>
      <c r="M2368" s="130"/>
      <c r="N2368" s="291"/>
      <c r="O2368" s="291"/>
      <c r="P2368" s="122"/>
      <c r="Q2368" s="122"/>
      <c r="R2368" s="122"/>
      <c r="S2368" s="122"/>
      <c r="T2368" s="122"/>
      <c r="U2368" s="315"/>
      <c r="V2368" s="260">
        <f t="shared" ca="1" si="44"/>
        <v>0</v>
      </c>
      <c r="W2368" s="348" t="str">
        <f>IF(板块成分!B2370="","",板块成分!B2370)</f>
        <v>300930.SZ</v>
      </c>
      <c r="X2368" s="276" t="str">
        <f>[1]!S_Info_Name(W2368)</f>
        <v>屹通新材</v>
      </c>
      <c r="Y2368" s="276" t="str">
        <f ca="1">IF($Y$3="申万一级行业",[1]!s_info_industry_sw_2021(W2368,公司分析!D$5,1),IF($Y$3="申万二级行业",[1]!s_info_industry_sw_2021(W2368,公司分析!D$5,2),IF($Y$3="申万三级行业",[1]!s_info_industry_sw_2021(W2368,公司分析!D$5,3),IF($Y$3="wind一级行业",[1]!s_info_industry_gics(W2368,1),IF($Y$3="wind二级行业",[1]!s_info_industry_gics(W2368,2),IF($Y$3="wind三级行业",[1]!s_info_industry_gics(W2368,3),IF($Y$3="wind四级行业",[1]!s_info_industry_gics(W2368,4),IF($Y$3="证监会门类行业",[1]!s_info_industry_csrc12_n(W2368,公司分析!D$5,1),""))))))))</f>
        <v>金属新材料</v>
      </c>
      <c r="Z2368" s="302" t="str">
        <f ca="1">IF(Y2368=行业比较!$E$6,ROW(),"")</f>
        <v/>
      </c>
      <c r="AA2368" s="122"/>
      <c r="AB2368" s="122"/>
      <c r="AC2368" s="122"/>
      <c r="AD2368" s="122"/>
      <c r="AE2368" s="122"/>
      <c r="AF2368" s="122"/>
      <c r="AG2368" s="122"/>
      <c r="AH2368" s="122"/>
      <c r="AI2368" s="122"/>
      <c r="AJ2368" s="122"/>
      <c r="AK2368" s="122"/>
      <c r="AL2368" s="122"/>
      <c r="AM2368" s="122"/>
      <c r="AN2368" s="122"/>
      <c r="AO2368" s="122"/>
      <c r="AP2368" s="122"/>
    </row>
    <row r="2369" spans="2:42">
      <c r="B2369" s="122"/>
      <c r="C2369" s="122"/>
      <c r="D2369" s="122"/>
      <c r="E2369" s="122"/>
      <c r="F2369" s="122"/>
      <c r="G2369" s="122"/>
      <c r="H2369" s="122"/>
      <c r="I2369" s="275"/>
      <c r="J2369" s="130"/>
      <c r="K2369" s="130"/>
      <c r="L2369" s="130"/>
      <c r="M2369" s="130"/>
      <c r="N2369" s="291"/>
      <c r="O2369" s="291"/>
      <c r="P2369" s="122"/>
      <c r="Q2369" s="122"/>
      <c r="R2369" s="122"/>
      <c r="S2369" s="122"/>
      <c r="T2369" s="122"/>
      <c r="U2369" s="315"/>
      <c r="V2369" s="260">
        <f t="shared" ca="1" si="44"/>
        <v>0</v>
      </c>
      <c r="W2369" s="348" t="str">
        <f>IF(板块成分!B2371="","",板块成分!B2371)</f>
        <v>300931.SZ</v>
      </c>
      <c r="X2369" s="276" t="str">
        <f>[1]!S_Info_Name(W2369)</f>
        <v>通用电梯</v>
      </c>
      <c r="Y2369" s="276" t="str">
        <f ca="1">IF($Y$3="申万一级行业",[1]!s_info_industry_sw_2021(W2369,公司分析!D$5,1),IF($Y$3="申万二级行业",[1]!s_info_industry_sw_2021(W2369,公司分析!D$5,2),IF($Y$3="申万三级行业",[1]!s_info_industry_sw_2021(W2369,公司分析!D$5,3),IF($Y$3="wind一级行业",[1]!s_info_industry_gics(W2369,1),IF($Y$3="wind二级行业",[1]!s_info_industry_gics(W2369,2),IF($Y$3="wind三级行业",[1]!s_info_industry_gics(W2369,3),IF($Y$3="wind四级行业",[1]!s_info_industry_gics(W2369,4),IF($Y$3="证监会门类行业",[1]!s_info_industry_csrc12_n(W2369,公司分析!D$5,1),""))))))))</f>
        <v>专用设备</v>
      </c>
      <c r="Z2369" s="302" t="str">
        <f ca="1">IF(Y2369=行业比较!$E$6,ROW(),"")</f>
        <v/>
      </c>
      <c r="AA2369" s="122"/>
      <c r="AB2369" s="122"/>
      <c r="AC2369" s="122"/>
      <c r="AD2369" s="122"/>
      <c r="AE2369" s="122"/>
      <c r="AF2369" s="122"/>
      <c r="AG2369" s="122"/>
      <c r="AH2369" s="122"/>
      <c r="AI2369" s="122"/>
      <c r="AJ2369" s="122"/>
      <c r="AK2369" s="122"/>
      <c r="AL2369" s="122"/>
      <c r="AM2369" s="122"/>
      <c r="AN2369" s="122"/>
      <c r="AO2369" s="122"/>
      <c r="AP2369" s="122"/>
    </row>
    <row r="2370" spans="2:42">
      <c r="B2370" s="122"/>
      <c r="C2370" s="122"/>
      <c r="D2370" s="122"/>
      <c r="E2370" s="122"/>
      <c r="F2370" s="122"/>
      <c r="G2370" s="122"/>
      <c r="H2370" s="122"/>
      <c r="I2370" s="275"/>
      <c r="J2370" s="130"/>
      <c r="K2370" s="130"/>
      <c r="L2370" s="130"/>
      <c r="M2370" s="130"/>
      <c r="N2370" s="291"/>
      <c r="O2370" s="291"/>
      <c r="P2370" s="122"/>
      <c r="Q2370" s="122"/>
      <c r="R2370" s="122"/>
      <c r="S2370" s="122"/>
      <c r="T2370" s="122"/>
      <c r="U2370" s="315"/>
      <c r="V2370" s="260">
        <f t="shared" ca="1" si="44"/>
        <v>0</v>
      </c>
      <c r="W2370" s="348" t="str">
        <f>IF(板块成分!B2372="","",板块成分!B2372)</f>
        <v>300932.SZ</v>
      </c>
      <c r="X2370" s="276" t="str">
        <f>[1]!S_Info_Name(W2370)</f>
        <v>三友联众</v>
      </c>
      <c r="Y2370" s="276" t="str">
        <f ca="1">IF($Y$3="申万一级行业",[1]!s_info_industry_sw_2021(W2370,公司分析!D$5,1),IF($Y$3="申万二级行业",[1]!s_info_industry_sw_2021(W2370,公司分析!D$5,2),IF($Y$3="申万三级行业",[1]!s_info_industry_sw_2021(W2370,公司分析!D$5,3),IF($Y$3="wind一级行业",[1]!s_info_industry_gics(W2370,1),IF($Y$3="wind二级行业",[1]!s_info_industry_gics(W2370,2),IF($Y$3="wind三级行业",[1]!s_info_industry_gics(W2370,3),IF($Y$3="wind四级行业",[1]!s_info_industry_gics(W2370,4),IF($Y$3="证监会门类行业",[1]!s_info_industry_csrc12_n(W2370,公司分析!D$5,1),""))))))))</f>
        <v>电网设备</v>
      </c>
      <c r="Z2370" s="302" t="str">
        <f ca="1">IF(Y2370=行业比较!$E$6,ROW(),"")</f>
        <v/>
      </c>
      <c r="AA2370" s="122"/>
      <c r="AB2370" s="122"/>
      <c r="AC2370" s="122"/>
      <c r="AD2370" s="122"/>
      <c r="AE2370" s="122"/>
      <c r="AF2370" s="122"/>
      <c r="AG2370" s="122"/>
      <c r="AH2370" s="122"/>
      <c r="AI2370" s="122"/>
      <c r="AJ2370" s="122"/>
      <c r="AK2370" s="122"/>
      <c r="AL2370" s="122"/>
      <c r="AM2370" s="122"/>
      <c r="AN2370" s="122"/>
      <c r="AO2370" s="122"/>
      <c r="AP2370" s="122"/>
    </row>
    <row r="2371" spans="2:42">
      <c r="B2371" s="122"/>
      <c r="C2371" s="122"/>
      <c r="D2371" s="122"/>
      <c r="E2371" s="122"/>
      <c r="F2371" s="122"/>
      <c r="G2371" s="122"/>
      <c r="H2371" s="122"/>
      <c r="I2371" s="275"/>
      <c r="J2371" s="130"/>
      <c r="K2371" s="130"/>
      <c r="L2371" s="130"/>
      <c r="M2371" s="130"/>
      <c r="N2371" s="291"/>
      <c r="O2371" s="291"/>
      <c r="P2371" s="122"/>
      <c r="Q2371" s="122"/>
      <c r="R2371" s="122"/>
      <c r="S2371" s="122"/>
      <c r="T2371" s="122"/>
      <c r="U2371" s="315"/>
      <c r="V2371" s="260">
        <f t="shared" ca="1" si="44"/>
        <v>0</v>
      </c>
      <c r="W2371" s="348" t="str">
        <f>IF(板块成分!B2373="","",板块成分!B2373)</f>
        <v>300933.SZ</v>
      </c>
      <c r="X2371" s="276" t="str">
        <f>[1]!S_Info_Name(W2371)</f>
        <v>中辰股份</v>
      </c>
      <c r="Y2371" s="276" t="str">
        <f ca="1">IF($Y$3="申万一级行业",[1]!s_info_industry_sw_2021(W2371,公司分析!D$5,1),IF($Y$3="申万二级行业",[1]!s_info_industry_sw_2021(W2371,公司分析!D$5,2),IF($Y$3="申万三级行业",[1]!s_info_industry_sw_2021(W2371,公司分析!D$5,3),IF($Y$3="wind一级行业",[1]!s_info_industry_gics(W2371,1),IF($Y$3="wind二级行业",[1]!s_info_industry_gics(W2371,2),IF($Y$3="wind三级行业",[1]!s_info_industry_gics(W2371,3),IF($Y$3="wind四级行业",[1]!s_info_industry_gics(W2371,4),IF($Y$3="证监会门类行业",[1]!s_info_industry_csrc12_n(W2371,公司分析!D$5,1),""))))))))</f>
        <v>电网设备</v>
      </c>
      <c r="Z2371" s="302" t="str">
        <f ca="1">IF(Y2371=行业比较!$E$6,ROW(),"")</f>
        <v/>
      </c>
      <c r="AA2371" s="122"/>
      <c r="AB2371" s="122"/>
      <c r="AC2371" s="122"/>
      <c r="AD2371" s="122"/>
      <c r="AE2371" s="122"/>
      <c r="AF2371" s="122"/>
      <c r="AG2371" s="122"/>
      <c r="AH2371" s="122"/>
      <c r="AI2371" s="122"/>
      <c r="AJ2371" s="122"/>
      <c r="AK2371" s="122"/>
      <c r="AL2371" s="122"/>
      <c r="AM2371" s="122"/>
      <c r="AN2371" s="122"/>
      <c r="AO2371" s="122"/>
      <c r="AP2371" s="122"/>
    </row>
    <row r="2372" spans="2:42">
      <c r="B2372" s="122"/>
      <c r="C2372" s="122"/>
      <c r="D2372" s="122"/>
      <c r="E2372" s="122"/>
      <c r="F2372" s="122"/>
      <c r="G2372" s="122"/>
      <c r="H2372" s="122"/>
      <c r="I2372" s="275"/>
      <c r="J2372" s="130"/>
      <c r="K2372" s="130"/>
      <c r="L2372" s="130"/>
      <c r="M2372" s="130"/>
      <c r="N2372" s="291"/>
      <c r="O2372" s="291"/>
      <c r="P2372" s="122"/>
      <c r="Q2372" s="122"/>
      <c r="R2372" s="122"/>
      <c r="S2372" s="122"/>
      <c r="T2372" s="122"/>
      <c r="U2372" s="315"/>
      <c r="V2372" s="260">
        <f t="shared" ca="1" si="44"/>
        <v>0</v>
      </c>
      <c r="W2372" s="348" t="str">
        <f>IF(板块成分!B2374="","",板块成分!B2374)</f>
        <v>300935.SZ</v>
      </c>
      <c r="X2372" s="276" t="str">
        <f>[1]!S_Info_Name(W2372)</f>
        <v>盈建科</v>
      </c>
      <c r="Y2372" s="276" t="str">
        <f ca="1">IF($Y$3="申万一级行业",[1]!s_info_industry_sw_2021(W2372,公司分析!D$5,1),IF($Y$3="申万二级行业",[1]!s_info_industry_sw_2021(W2372,公司分析!D$5,2),IF($Y$3="申万三级行业",[1]!s_info_industry_sw_2021(W2372,公司分析!D$5,3),IF($Y$3="wind一级行业",[1]!s_info_industry_gics(W2372,1),IF($Y$3="wind二级行业",[1]!s_info_industry_gics(W2372,2),IF($Y$3="wind三级行业",[1]!s_info_industry_gics(W2372,3),IF($Y$3="wind四级行业",[1]!s_info_industry_gics(W2372,4),IF($Y$3="证监会门类行业",[1]!s_info_industry_csrc12_n(W2372,公司分析!D$5,1),""))))))))</f>
        <v>软件开发</v>
      </c>
      <c r="Z2372" s="302" t="str">
        <f ca="1">IF(Y2372=行业比较!$E$6,ROW(),"")</f>
        <v/>
      </c>
      <c r="AA2372" s="122"/>
      <c r="AB2372" s="122"/>
      <c r="AC2372" s="122"/>
      <c r="AD2372" s="122"/>
      <c r="AE2372" s="122"/>
      <c r="AF2372" s="122"/>
      <c r="AG2372" s="122"/>
      <c r="AH2372" s="122"/>
      <c r="AI2372" s="122"/>
      <c r="AJ2372" s="122"/>
      <c r="AK2372" s="122"/>
      <c r="AL2372" s="122"/>
      <c r="AM2372" s="122"/>
      <c r="AN2372" s="122"/>
      <c r="AO2372" s="122"/>
      <c r="AP2372" s="122"/>
    </row>
    <row r="2373" spans="2:42">
      <c r="B2373" s="122"/>
      <c r="C2373" s="122"/>
      <c r="D2373" s="122"/>
      <c r="E2373" s="122"/>
      <c r="F2373" s="122"/>
      <c r="G2373" s="122"/>
      <c r="H2373" s="122"/>
      <c r="I2373" s="275"/>
      <c r="J2373" s="130"/>
      <c r="K2373" s="130"/>
      <c r="L2373" s="130"/>
      <c r="M2373" s="130"/>
      <c r="N2373" s="291"/>
      <c r="O2373" s="291"/>
      <c r="P2373" s="122"/>
      <c r="Q2373" s="122"/>
      <c r="R2373" s="122"/>
      <c r="S2373" s="122"/>
      <c r="T2373" s="122"/>
      <c r="U2373" s="315"/>
      <c r="V2373" s="260">
        <f t="shared" ref="V2373:V2436" ca="1" si="45">IF(Z2373="",0,RANK(Z2373,Z:Z,1))</f>
        <v>0</v>
      </c>
      <c r="W2373" s="348" t="str">
        <f>IF(板块成分!B2375="","",板块成分!B2375)</f>
        <v>300936.SZ</v>
      </c>
      <c r="X2373" s="276" t="str">
        <f>[1]!S_Info_Name(W2373)</f>
        <v>中英科技</v>
      </c>
      <c r="Y2373" s="276" t="str">
        <f ca="1">IF($Y$3="申万一级行业",[1]!s_info_industry_sw_2021(W2373,公司分析!D$5,1),IF($Y$3="申万二级行业",[1]!s_info_industry_sw_2021(W2373,公司分析!D$5,2),IF($Y$3="申万三级行业",[1]!s_info_industry_sw_2021(W2373,公司分析!D$5,3),IF($Y$3="wind一级行业",[1]!s_info_industry_gics(W2373,1),IF($Y$3="wind二级行业",[1]!s_info_industry_gics(W2373,2),IF($Y$3="wind三级行业",[1]!s_info_industry_gics(W2373,3),IF($Y$3="wind四级行业",[1]!s_info_industry_gics(W2373,4),IF($Y$3="证监会门类行业",[1]!s_info_industry_csrc12_n(W2373,公司分析!D$5,1),""))))))))</f>
        <v>元件</v>
      </c>
      <c r="Z2373" s="302" t="str">
        <f ca="1">IF(Y2373=行业比较!$E$6,ROW(),"")</f>
        <v/>
      </c>
      <c r="AA2373" s="122"/>
      <c r="AB2373" s="122"/>
      <c r="AC2373" s="122"/>
      <c r="AD2373" s="122"/>
      <c r="AE2373" s="122"/>
      <c r="AF2373" s="122"/>
      <c r="AG2373" s="122"/>
      <c r="AH2373" s="122"/>
      <c r="AI2373" s="122"/>
      <c r="AJ2373" s="122"/>
      <c r="AK2373" s="122"/>
      <c r="AL2373" s="122"/>
      <c r="AM2373" s="122"/>
      <c r="AN2373" s="122"/>
      <c r="AO2373" s="122"/>
      <c r="AP2373" s="122"/>
    </row>
    <row r="2374" spans="2:42">
      <c r="B2374" s="122"/>
      <c r="C2374" s="122"/>
      <c r="D2374" s="122"/>
      <c r="E2374" s="122"/>
      <c r="F2374" s="122"/>
      <c r="G2374" s="122"/>
      <c r="H2374" s="122"/>
      <c r="I2374" s="275"/>
      <c r="J2374" s="130"/>
      <c r="K2374" s="130"/>
      <c r="L2374" s="130"/>
      <c r="M2374" s="130"/>
      <c r="N2374" s="291"/>
      <c r="O2374" s="291"/>
      <c r="P2374" s="122"/>
      <c r="Q2374" s="122"/>
      <c r="R2374" s="122"/>
      <c r="S2374" s="122"/>
      <c r="T2374" s="122"/>
      <c r="U2374" s="315"/>
      <c r="V2374" s="260">
        <f t="shared" ca="1" si="45"/>
        <v>0</v>
      </c>
      <c r="W2374" s="348" t="str">
        <f>IF(板块成分!B2376="","",板块成分!B2376)</f>
        <v>300937.SZ</v>
      </c>
      <c r="X2374" s="276" t="str">
        <f>[1]!S_Info_Name(W2374)</f>
        <v>药易购</v>
      </c>
      <c r="Y2374" s="276" t="str">
        <f ca="1">IF($Y$3="申万一级行业",[1]!s_info_industry_sw_2021(W2374,公司分析!D$5,1),IF($Y$3="申万二级行业",[1]!s_info_industry_sw_2021(W2374,公司分析!D$5,2),IF($Y$3="申万三级行业",[1]!s_info_industry_sw_2021(W2374,公司分析!D$5,3),IF($Y$3="wind一级行业",[1]!s_info_industry_gics(W2374,1),IF($Y$3="wind二级行业",[1]!s_info_industry_gics(W2374,2),IF($Y$3="wind三级行业",[1]!s_info_industry_gics(W2374,3),IF($Y$3="wind四级行业",[1]!s_info_industry_gics(W2374,4),IF($Y$3="证监会门类行业",[1]!s_info_industry_csrc12_n(W2374,公司分析!D$5,1),""))))))))</f>
        <v>医药商业</v>
      </c>
      <c r="Z2374" s="302" t="str">
        <f ca="1">IF(Y2374=行业比较!$E$6,ROW(),"")</f>
        <v/>
      </c>
      <c r="AA2374" s="122"/>
      <c r="AB2374" s="122"/>
      <c r="AC2374" s="122"/>
      <c r="AD2374" s="122"/>
      <c r="AE2374" s="122"/>
      <c r="AF2374" s="122"/>
      <c r="AG2374" s="122"/>
      <c r="AH2374" s="122"/>
      <c r="AI2374" s="122"/>
      <c r="AJ2374" s="122"/>
      <c r="AK2374" s="122"/>
      <c r="AL2374" s="122"/>
      <c r="AM2374" s="122"/>
      <c r="AN2374" s="122"/>
      <c r="AO2374" s="122"/>
      <c r="AP2374" s="122"/>
    </row>
    <row r="2375" spans="2:42">
      <c r="B2375" s="122"/>
      <c r="C2375" s="122"/>
      <c r="D2375" s="122"/>
      <c r="E2375" s="122"/>
      <c r="F2375" s="122"/>
      <c r="G2375" s="122"/>
      <c r="H2375" s="122"/>
      <c r="I2375" s="275"/>
      <c r="J2375" s="130"/>
      <c r="K2375" s="130"/>
      <c r="L2375" s="130"/>
      <c r="M2375" s="130"/>
      <c r="N2375" s="291"/>
      <c r="O2375" s="291"/>
      <c r="P2375" s="122"/>
      <c r="Q2375" s="122"/>
      <c r="R2375" s="122"/>
      <c r="S2375" s="122"/>
      <c r="T2375" s="122"/>
      <c r="U2375" s="315"/>
      <c r="V2375" s="260">
        <f t="shared" ca="1" si="45"/>
        <v>0</v>
      </c>
      <c r="W2375" s="348" t="str">
        <f>IF(板块成分!B2377="","",板块成分!B2377)</f>
        <v>300938.SZ</v>
      </c>
      <c r="X2375" s="276" t="str">
        <f>[1]!S_Info_Name(W2375)</f>
        <v>信测标准</v>
      </c>
      <c r="Y2375" s="276" t="str">
        <f ca="1">IF($Y$3="申万一级行业",[1]!s_info_industry_sw_2021(W2375,公司分析!D$5,1),IF($Y$3="申万二级行业",[1]!s_info_industry_sw_2021(W2375,公司分析!D$5,2),IF($Y$3="申万三级行业",[1]!s_info_industry_sw_2021(W2375,公司分析!D$5,3),IF($Y$3="wind一级行业",[1]!s_info_industry_gics(W2375,1),IF($Y$3="wind二级行业",[1]!s_info_industry_gics(W2375,2),IF($Y$3="wind三级行业",[1]!s_info_industry_gics(W2375,3),IF($Y$3="wind四级行业",[1]!s_info_industry_gics(W2375,4),IF($Y$3="证监会门类行业",[1]!s_info_industry_csrc12_n(W2375,公司分析!D$5,1),""))))))))</f>
        <v>专业服务</v>
      </c>
      <c r="Z2375" s="302" t="str">
        <f ca="1">IF(Y2375=行业比较!$E$6,ROW(),"")</f>
        <v/>
      </c>
      <c r="AA2375" s="122"/>
      <c r="AB2375" s="122"/>
      <c r="AC2375" s="122"/>
      <c r="AD2375" s="122"/>
      <c r="AE2375" s="122"/>
      <c r="AF2375" s="122"/>
      <c r="AG2375" s="122"/>
      <c r="AH2375" s="122"/>
      <c r="AI2375" s="122"/>
      <c r="AJ2375" s="122"/>
      <c r="AK2375" s="122"/>
      <c r="AL2375" s="122"/>
      <c r="AM2375" s="122"/>
      <c r="AN2375" s="122"/>
      <c r="AO2375" s="122"/>
      <c r="AP2375" s="122"/>
    </row>
    <row r="2376" spans="2:42">
      <c r="B2376" s="122"/>
      <c r="C2376" s="122"/>
      <c r="D2376" s="122"/>
      <c r="E2376" s="122"/>
      <c r="F2376" s="122"/>
      <c r="G2376" s="122"/>
      <c r="H2376" s="122"/>
      <c r="I2376" s="275"/>
      <c r="J2376" s="130"/>
      <c r="K2376" s="130"/>
      <c r="L2376" s="130"/>
      <c r="M2376" s="130"/>
      <c r="N2376" s="291"/>
      <c r="O2376" s="291"/>
      <c r="P2376" s="122"/>
      <c r="Q2376" s="122"/>
      <c r="R2376" s="122"/>
      <c r="S2376" s="122"/>
      <c r="T2376" s="122"/>
      <c r="U2376" s="315"/>
      <c r="V2376" s="260">
        <f t="shared" ca="1" si="45"/>
        <v>0</v>
      </c>
      <c r="W2376" s="348" t="str">
        <f>IF(板块成分!B2378="","",板块成分!B2378)</f>
        <v>300939.SZ</v>
      </c>
      <c r="X2376" s="276" t="str">
        <f>[1]!S_Info_Name(W2376)</f>
        <v>秋田微</v>
      </c>
      <c r="Y2376" s="276" t="str">
        <f ca="1">IF($Y$3="申万一级行业",[1]!s_info_industry_sw_2021(W2376,公司分析!D$5,1),IF($Y$3="申万二级行业",[1]!s_info_industry_sw_2021(W2376,公司分析!D$5,2),IF($Y$3="申万三级行业",[1]!s_info_industry_sw_2021(W2376,公司分析!D$5,3),IF($Y$3="wind一级行业",[1]!s_info_industry_gics(W2376,1),IF($Y$3="wind二级行业",[1]!s_info_industry_gics(W2376,2),IF($Y$3="wind三级行业",[1]!s_info_industry_gics(W2376,3),IF($Y$3="wind四级行业",[1]!s_info_industry_gics(W2376,4),IF($Y$3="证监会门类行业",[1]!s_info_industry_csrc12_n(W2376,公司分析!D$5,1),""))))))))</f>
        <v>光学光电子</v>
      </c>
      <c r="Z2376" s="302" t="str">
        <f ca="1">IF(Y2376=行业比较!$E$6,ROW(),"")</f>
        <v/>
      </c>
      <c r="AA2376" s="122"/>
      <c r="AB2376" s="122"/>
      <c r="AC2376" s="122"/>
      <c r="AD2376" s="122"/>
      <c r="AE2376" s="122"/>
      <c r="AF2376" s="122"/>
      <c r="AG2376" s="122"/>
      <c r="AH2376" s="122"/>
      <c r="AI2376" s="122"/>
      <c r="AJ2376" s="122"/>
      <c r="AK2376" s="122"/>
      <c r="AL2376" s="122"/>
      <c r="AM2376" s="122"/>
      <c r="AN2376" s="122"/>
      <c r="AO2376" s="122"/>
      <c r="AP2376" s="122"/>
    </row>
    <row r="2377" spans="2:42">
      <c r="B2377" s="122"/>
      <c r="C2377" s="122"/>
      <c r="D2377" s="122"/>
      <c r="E2377" s="122"/>
      <c r="F2377" s="122"/>
      <c r="G2377" s="122"/>
      <c r="H2377" s="122"/>
      <c r="I2377" s="275"/>
      <c r="J2377" s="130"/>
      <c r="K2377" s="130"/>
      <c r="L2377" s="130"/>
      <c r="M2377" s="130"/>
      <c r="N2377" s="291"/>
      <c r="O2377" s="291"/>
      <c r="P2377" s="122"/>
      <c r="Q2377" s="122"/>
      <c r="R2377" s="122"/>
      <c r="S2377" s="122"/>
      <c r="T2377" s="122"/>
      <c r="U2377" s="315"/>
      <c r="V2377" s="260">
        <f t="shared" ca="1" si="45"/>
        <v>0</v>
      </c>
      <c r="W2377" s="348" t="str">
        <f>IF(板块成分!B2379="","",板块成分!B2379)</f>
        <v>300940.SZ</v>
      </c>
      <c r="X2377" s="276" t="str">
        <f>[1]!S_Info_Name(W2377)</f>
        <v>南极光</v>
      </c>
      <c r="Y2377" s="276" t="str">
        <f ca="1">IF($Y$3="申万一级行业",[1]!s_info_industry_sw_2021(W2377,公司分析!D$5,1),IF($Y$3="申万二级行业",[1]!s_info_industry_sw_2021(W2377,公司分析!D$5,2),IF($Y$3="申万三级行业",[1]!s_info_industry_sw_2021(W2377,公司分析!D$5,3),IF($Y$3="wind一级行业",[1]!s_info_industry_gics(W2377,1),IF($Y$3="wind二级行业",[1]!s_info_industry_gics(W2377,2),IF($Y$3="wind三级行业",[1]!s_info_industry_gics(W2377,3),IF($Y$3="wind四级行业",[1]!s_info_industry_gics(W2377,4),IF($Y$3="证监会门类行业",[1]!s_info_industry_csrc12_n(W2377,公司分析!D$5,1),""))))))))</f>
        <v>光学光电子</v>
      </c>
      <c r="Z2377" s="302" t="str">
        <f ca="1">IF(Y2377=行业比较!$E$6,ROW(),"")</f>
        <v/>
      </c>
      <c r="AA2377" s="122"/>
      <c r="AB2377" s="122"/>
      <c r="AC2377" s="122"/>
      <c r="AD2377" s="122"/>
      <c r="AE2377" s="122"/>
      <c r="AF2377" s="122"/>
      <c r="AG2377" s="122"/>
      <c r="AH2377" s="122"/>
      <c r="AI2377" s="122"/>
      <c r="AJ2377" s="122"/>
      <c r="AK2377" s="122"/>
      <c r="AL2377" s="122"/>
      <c r="AM2377" s="122"/>
      <c r="AN2377" s="122"/>
      <c r="AO2377" s="122"/>
      <c r="AP2377" s="122"/>
    </row>
    <row r="2378" spans="2:42">
      <c r="B2378" s="122"/>
      <c r="C2378" s="122"/>
      <c r="D2378" s="122"/>
      <c r="E2378" s="122"/>
      <c r="F2378" s="122"/>
      <c r="G2378" s="122"/>
      <c r="H2378" s="122"/>
      <c r="I2378" s="275"/>
      <c r="J2378" s="130"/>
      <c r="K2378" s="130"/>
      <c r="L2378" s="130"/>
      <c r="M2378" s="130"/>
      <c r="N2378" s="291"/>
      <c r="O2378" s="291"/>
      <c r="P2378" s="122"/>
      <c r="Q2378" s="122"/>
      <c r="R2378" s="122"/>
      <c r="S2378" s="122"/>
      <c r="T2378" s="122"/>
      <c r="U2378" s="315"/>
      <c r="V2378" s="260">
        <f t="shared" ca="1" si="45"/>
        <v>0</v>
      </c>
      <c r="W2378" s="348" t="str">
        <f>IF(板块成分!B2380="","",板块成分!B2380)</f>
        <v>300941.SZ</v>
      </c>
      <c r="X2378" s="276" t="str">
        <f>[1]!S_Info_Name(W2378)</f>
        <v>创识科技</v>
      </c>
      <c r="Y2378" s="276" t="str">
        <f ca="1">IF($Y$3="申万一级行业",[1]!s_info_industry_sw_2021(W2378,公司分析!D$5,1),IF($Y$3="申万二级行业",[1]!s_info_industry_sw_2021(W2378,公司分析!D$5,2),IF($Y$3="申万三级行业",[1]!s_info_industry_sw_2021(W2378,公司分析!D$5,3),IF($Y$3="wind一级行业",[1]!s_info_industry_gics(W2378,1),IF($Y$3="wind二级行业",[1]!s_info_industry_gics(W2378,2),IF($Y$3="wind三级行业",[1]!s_info_industry_gics(W2378,3),IF($Y$3="wind四级行业",[1]!s_info_industry_gics(W2378,4),IF($Y$3="证监会门类行业",[1]!s_info_industry_csrc12_n(W2378,公司分析!D$5,1),""))))))))</f>
        <v>计算机设备</v>
      </c>
      <c r="Z2378" s="302" t="str">
        <f ca="1">IF(Y2378=行业比较!$E$6,ROW(),"")</f>
        <v/>
      </c>
      <c r="AA2378" s="122"/>
      <c r="AB2378" s="122"/>
      <c r="AC2378" s="122"/>
      <c r="AD2378" s="122"/>
      <c r="AE2378" s="122"/>
      <c r="AF2378" s="122"/>
      <c r="AG2378" s="122"/>
      <c r="AH2378" s="122"/>
      <c r="AI2378" s="122"/>
      <c r="AJ2378" s="122"/>
      <c r="AK2378" s="122"/>
      <c r="AL2378" s="122"/>
      <c r="AM2378" s="122"/>
      <c r="AN2378" s="122"/>
      <c r="AO2378" s="122"/>
      <c r="AP2378" s="122"/>
    </row>
    <row r="2379" spans="2:42">
      <c r="B2379" s="122"/>
      <c r="C2379" s="122"/>
      <c r="D2379" s="122"/>
      <c r="E2379" s="122"/>
      <c r="F2379" s="122"/>
      <c r="G2379" s="122"/>
      <c r="H2379" s="122"/>
      <c r="I2379" s="275"/>
      <c r="J2379" s="130"/>
      <c r="K2379" s="130"/>
      <c r="L2379" s="130"/>
      <c r="M2379" s="130"/>
      <c r="N2379" s="291"/>
      <c r="O2379" s="291"/>
      <c r="P2379" s="122"/>
      <c r="Q2379" s="122"/>
      <c r="R2379" s="122"/>
      <c r="S2379" s="122"/>
      <c r="T2379" s="122"/>
      <c r="U2379" s="315"/>
      <c r="V2379" s="260">
        <f t="shared" ca="1" si="45"/>
        <v>0</v>
      </c>
      <c r="W2379" s="348" t="str">
        <f>IF(板块成分!B2381="","",板块成分!B2381)</f>
        <v>300942.SZ</v>
      </c>
      <c r="X2379" s="276" t="str">
        <f>[1]!S_Info_Name(W2379)</f>
        <v>易瑞生物</v>
      </c>
      <c r="Y2379" s="276" t="str">
        <f ca="1">IF($Y$3="申万一级行业",[1]!s_info_industry_sw_2021(W2379,公司分析!D$5,1),IF($Y$3="申万二级行业",[1]!s_info_industry_sw_2021(W2379,公司分析!D$5,2),IF($Y$3="申万三级行业",[1]!s_info_industry_sw_2021(W2379,公司分析!D$5,3),IF($Y$3="wind一级行业",[1]!s_info_industry_gics(W2379,1),IF($Y$3="wind二级行业",[1]!s_info_industry_gics(W2379,2),IF($Y$3="wind三级行业",[1]!s_info_industry_gics(W2379,3),IF($Y$3="wind四级行业",[1]!s_info_industry_gics(W2379,4),IF($Y$3="证监会门类行业",[1]!s_info_industry_csrc12_n(W2379,公司分析!D$5,1),""))))))))</f>
        <v>医疗器械</v>
      </c>
      <c r="Z2379" s="302" t="str">
        <f ca="1">IF(Y2379=行业比较!$E$6,ROW(),"")</f>
        <v/>
      </c>
      <c r="AA2379" s="122"/>
      <c r="AB2379" s="122"/>
      <c r="AC2379" s="122"/>
      <c r="AD2379" s="122"/>
      <c r="AE2379" s="122"/>
      <c r="AF2379" s="122"/>
      <c r="AG2379" s="122"/>
      <c r="AH2379" s="122"/>
      <c r="AI2379" s="122"/>
      <c r="AJ2379" s="122"/>
      <c r="AK2379" s="122"/>
      <c r="AL2379" s="122"/>
      <c r="AM2379" s="122"/>
      <c r="AN2379" s="122"/>
      <c r="AO2379" s="122"/>
      <c r="AP2379" s="122"/>
    </row>
    <row r="2380" spans="2:42">
      <c r="B2380" s="122"/>
      <c r="C2380" s="122"/>
      <c r="D2380" s="122"/>
      <c r="E2380" s="122"/>
      <c r="F2380" s="122"/>
      <c r="G2380" s="122"/>
      <c r="H2380" s="122"/>
      <c r="I2380" s="275"/>
      <c r="J2380" s="130"/>
      <c r="K2380" s="130"/>
      <c r="L2380" s="130"/>
      <c r="M2380" s="130"/>
      <c r="N2380" s="291"/>
      <c r="O2380" s="291"/>
      <c r="P2380" s="122"/>
      <c r="Q2380" s="122"/>
      <c r="R2380" s="122"/>
      <c r="S2380" s="122"/>
      <c r="T2380" s="122"/>
      <c r="U2380" s="315"/>
      <c r="V2380" s="260">
        <f t="shared" ca="1" si="45"/>
        <v>0</v>
      </c>
      <c r="W2380" s="348" t="str">
        <f>IF(板块成分!B2382="","",板块成分!B2382)</f>
        <v>300943.SZ</v>
      </c>
      <c r="X2380" s="276" t="str">
        <f>[1]!S_Info_Name(W2380)</f>
        <v>春晖智控</v>
      </c>
      <c r="Y2380" s="276" t="str">
        <f ca="1">IF($Y$3="申万一级行业",[1]!s_info_industry_sw_2021(W2380,公司分析!D$5,1),IF($Y$3="申万二级行业",[1]!s_info_industry_sw_2021(W2380,公司分析!D$5,2),IF($Y$3="申万三级行业",[1]!s_info_industry_sw_2021(W2380,公司分析!D$5,3),IF($Y$3="wind一级行业",[1]!s_info_industry_gics(W2380,1),IF($Y$3="wind二级行业",[1]!s_info_industry_gics(W2380,2),IF($Y$3="wind三级行业",[1]!s_info_industry_gics(W2380,3),IF($Y$3="wind四级行业",[1]!s_info_industry_gics(W2380,4),IF($Y$3="证监会门类行业",[1]!s_info_industry_csrc12_n(W2380,公司分析!D$5,1),""))))))))</f>
        <v>通用设备</v>
      </c>
      <c r="Z2380" s="302" t="str">
        <f ca="1">IF(Y2380=行业比较!$E$6,ROW(),"")</f>
        <v/>
      </c>
      <c r="AA2380" s="122"/>
      <c r="AB2380" s="122"/>
      <c r="AC2380" s="122"/>
      <c r="AD2380" s="122"/>
      <c r="AE2380" s="122"/>
      <c r="AF2380" s="122"/>
      <c r="AG2380" s="122"/>
      <c r="AH2380" s="122"/>
      <c r="AI2380" s="122"/>
      <c r="AJ2380" s="122"/>
      <c r="AK2380" s="122"/>
      <c r="AL2380" s="122"/>
      <c r="AM2380" s="122"/>
      <c r="AN2380" s="122"/>
      <c r="AO2380" s="122"/>
      <c r="AP2380" s="122"/>
    </row>
    <row r="2381" spans="2:42">
      <c r="B2381" s="122"/>
      <c r="C2381" s="122"/>
      <c r="D2381" s="122"/>
      <c r="E2381" s="122"/>
      <c r="F2381" s="122"/>
      <c r="G2381" s="122"/>
      <c r="H2381" s="122"/>
      <c r="I2381" s="275"/>
      <c r="J2381" s="130"/>
      <c r="K2381" s="130"/>
      <c r="L2381" s="130"/>
      <c r="M2381" s="130"/>
      <c r="N2381" s="291"/>
      <c r="O2381" s="291"/>
      <c r="P2381" s="122"/>
      <c r="Q2381" s="122"/>
      <c r="R2381" s="122"/>
      <c r="S2381" s="122"/>
      <c r="T2381" s="122"/>
      <c r="U2381" s="315"/>
      <c r="V2381" s="260">
        <f t="shared" ca="1" si="45"/>
        <v>0</v>
      </c>
      <c r="W2381" s="348" t="str">
        <f>IF(板块成分!B2383="","",板块成分!B2383)</f>
        <v>300945.SZ</v>
      </c>
      <c r="X2381" s="276" t="str">
        <f>[1]!S_Info_Name(W2381)</f>
        <v>曼卡龙</v>
      </c>
      <c r="Y2381" s="276" t="str">
        <f ca="1">IF($Y$3="申万一级行业",[1]!s_info_industry_sw_2021(W2381,公司分析!D$5,1),IF($Y$3="申万二级行业",[1]!s_info_industry_sw_2021(W2381,公司分析!D$5,2),IF($Y$3="申万三级行业",[1]!s_info_industry_sw_2021(W2381,公司分析!D$5,3),IF($Y$3="wind一级行业",[1]!s_info_industry_gics(W2381,1),IF($Y$3="wind二级行业",[1]!s_info_industry_gics(W2381,2),IF($Y$3="wind三级行业",[1]!s_info_industry_gics(W2381,3),IF($Y$3="wind四级行业",[1]!s_info_industry_gics(W2381,4),IF($Y$3="证监会门类行业",[1]!s_info_industry_csrc12_n(W2381,公司分析!D$5,1),""))))))))</f>
        <v>饰品</v>
      </c>
      <c r="Z2381" s="302" t="str">
        <f ca="1">IF(Y2381=行业比较!$E$6,ROW(),"")</f>
        <v/>
      </c>
      <c r="AA2381" s="122"/>
      <c r="AB2381" s="122"/>
      <c r="AC2381" s="122"/>
      <c r="AD2381" s="122"/>
      <c r="AE2381" s="122"/>
      <c r="AF2381" s="122"/>
      <c r="AG2381" s="122"/>
      <c r="AH2381" s="122"/>
      <c r="AI2381" s="122"/>
      <c r="AJ2381" s="122"/>
      <c r="AK2381" s="122"/>
      <c r="AL2381" s="122"/>
      <c r="AM2381" s="122"/>
      <c r="AN2381" s="122"/>
      <c r="AO2381" s="122"/>
      <c r="AP2381" s="122"/>
    </row>
    <row r="2382" spans="2:42">
      <c r="B2382" s="122"/>
      <c r="C2382" s="122"/>
      <c r="D2382" s="122"/>
      <c r="E2382" s="122"/>
      <c r="F2382" s="122"/>
      <c r="G2382" s="122"/>
      <c r="H2382" s="122"/>
      <c r="I2382" s="275"/>
      <c r="J2382" s="130"/>
      <c r="K2382" s="130"/>
      <c r="L2382" s="130"/>
      <c r="M2382" s="130"/>
      <c r="N2382" s="291"/>
      <c r="O2382" s="291"/>
      <c r="P2382" s="122"/>
      <c r="Q2382" s="122"/>
      <c r="R2382" s="122"/>
      <c r="S2382" s="122"/>
      <c r="T2382" s="122"/>
      <c r="U2382" s="315"/>
      <c r="V2382" s="260">
        <f t="shared" ca="1" si="45"/>
        <v>0</v>
      </c>
      <c r="W2382" s="348" t="str">
        <f>IF(板块成分!B2384="","",板块成分!B2384)</f>
        <v>300946.SZ</v>
      </c>
      <c r="X2382" s="276" t="str">
        <f>[1]!S_Info_Name(W2382)</f>
        <v>恒而达</v>
      </c>
      <c r="Y2382" s="276" t="str">
        <f ca="1">IF($Y$3="申万一级行业",[1]!s_info_industry_sw_2021(W2382,公司分析!D$5,1),IF($Y$3="申万二级行业",[1]!s_info_industry_sw_2021(W2382,公司分析!D$5,2),IF($Y$3="申万三级行业",[1]!s_info_industry_sw_2021(W2382,公司分析!D$5,3),IF($Y$3="wind一级行业",[1]!s_info_industry_gics(W2382,1),IF($Y$3="wind二级行业",[1]!s_info_industry_gics(W2382,2),IF($Y$3="wind三级行业",[1]!s_info_industry_gics(W2382,3),IF($Y$3="wind四级行业",[1]!s_info_industry_gics(W2382,4),IF($Y$3="证监会门类行业",[1]!s_info_industry_csrc12_n(W2382,公司分析!D$5,1),""))))))))</f>
        <v>通用设备</v>
      </c>
      <c r="Z2382" s="302" t="str">
        <f ca="1">IF(Y2382=行业比较!$E$6,ROW(),"")</f>
        <v/>
      </c>
      <c r="AA2382" s="122"/>
      <c r="AB2382" s="122"/>
      <c r="AC2382" s="122"/>
      <c r="AD2382" s="122"/>
      <c r="AE2382" s="122"/>
      <c r="AF2382" s="122"/>
      <c r="AG2382" s="122"/>
      <c r="AH2382" s="122"/>
      <c r="AI2382" s="122"/>
      <c r="AJ2382" s="122"/>
      <c r="AK2382" s="122"/>
      <c r="AL2382" s="122"/>
      <c r="AM2382" s="122"/>
      <c r="AN2382" s="122"/>
      <c r="AO2382" s="122"/>
      <c r="AP2382" s="122"/>
    </row>
    <row r="2383" spans="2:42">
      <c r="B2383" s="122"/>
      <c r="C2383" s="122"/>
      <c r="D2383" s="122"/>
      <c r="E2383" s="122"/>
      <c r="F2383" s="122"/>
      <c r="G2383" s="122"/>
      <c r="H2383" s="122"/>
      <c r="I2383" s="275"/>
      <c r="J2383" s="130"/>
      <c r="K2383" s="130"/>
      <c r="L2383" s="130"/>
      <c r="M2383" s="130"/>
      <c r="N2383" s="291"/>
      <c r="O2383" s="291"/>
      <c r="P2383" s="122"/>
      <c r="Q2383" s="122"/>
      <c r="R2383" s="122"/>
      <c r="S2383" s="122"/>
      <c r="T2383" s="122"/>
      <c r="U2383" s="315"/>
      <c r="V2383" s="260">
        <f t="shared" ca="1" si="45"/>
        <v>0</v>
      </c>
      <c r="W2383" s="348" t="str">
        <f>IF(板块成分!B2385="","",板块成分!B2385)</f>
        <v>300947.SZ</v>
      </c>
      <c r="X2383" s="276" t="str">
        <f>[1]!S_Info_Name(W2383)</f>
        <v>德必集团</v>
      </c>
      <c r="Y2383" s="276" t="str">
        <f ca="1">IF($Y$3="申万一级行业",[1]!s_info_industry_sw_2021(W2383,公司分析!D$5,1),IF($Y$3="申万二级行业",[1]!s_info_industry_sw_2021(W2383,公司分析!D$5,2),IF($Y$3="申万三级行业",[1]!s_info_industry_sw_2021(W2383,公司分析!D$5,3),IF($Y$3="wind一级行业",[1]!s_info_industry_gics(W2383,1),IF($Y$3="wind二级行业",[1]!s_info_industry_gics(W2383,2),IF($Y$3="wind三级行业",[1]!s_info_industry_gics(W2383,3),IF($Y$3="wind四级行业",[1]!s_info_industry_gics(W2383,4),IF($Y$3="证监会门类行业",[1]!s_info_industry_csrc12_n(W2383,公司分析!D$5,1),""))))))))</f>
        <v>一般零售</v>
      </c>
      <c r="Z2383" s="302" t="str">
        <f ca="1">IF(Y2383=行业比较!$E$6,ROW(),"")</f>
        <v/>
      </c>
      <c r="AA2383" s="122"/>
      <c r="AB2383" s="122"/>
      <c r="AC2383" s="122"/>
      <c r="AD2383" s="122"/>
      <c r="AE2383" s="122"/>
      <c r="AF2383" s="122"/>
      <c r="AG2383" s="122"/>
      <c r="AH2383" s="122"/>
      <c r="AI2383" s="122"/>
      <c r="AJ2383" s="122"/>
      <c r="AK2383" s="122"/>
      <c r="AL2383" s="122"/>
      <c r="AM2383" s="122"/>
      <c r="AN2383" s="122"/>
      <c r="AO2383" s="122"/>
      <c r="AP2383" s="122"/>
    </row>
    <row r="2384" spans="2:42">
      <c r="B2384" s="122"/>
      <c r="C2384" s="122"/>
      <c r="D2384" s="122"/>
      <c r="E2384" s="122"/>
      <c r="F2384" s="122"/>
      <c r="G2384" s="122"/>
      <c r="H2384" s="122"/>
      <c r="I2384" s="275"/>
      <c r="J2384" s="130"/>
      <c r="K2384" s="130"/>
      <c r="L2384" s="130"/>
      <c r="M2384" s="130"/>
      <c r="N2384" s="291"/>
      <c r="O2384" s="291"/>
      <c r="P2384" s="122"/>
      <c r="Q2384" s="122"/>
      <c r="R2384" s="122"/>
      <c r="S2384" s="122"/>
      <c r="T2384" s="122"/>
      <c r="U2384" s="315"/>
      <c r="V2384" s="260">
        <f t="shared" ca="1" si="45"/>
        <v>0</v>
      </c>
      <c r="W2384" s="348" t="str">
        <f>IF(板块成分!B2386="","",板块成分!B2386)</f>
        <v>300948.SZ</v>
      </c>
      <c r="X2384" s="276" t="str">
        <f>[1]!S_Info_Name(W2384)</f>
        <v>冠中生态</v>
      </c>
      <c r="Y2384" s="276" t="str">
        <f ca="1">IF($Y$3="申万一级行业",[1]!s_info_industry_sw_2021(W2384,公司分析!D$5,1),IF($Y$3="申万二级行业",[1]!s_info_industry_sw_2021(W2384,公司分析!D$5,2),IF($Y$3="申万三级行业",[1]!s_info_industry_sw_2021(W2384,公司分析!D$5,3),IF($Y$3="wind一级行业",[1]!s_info_industry_gics(W2384,1),IF($Y$3="wind二级行业",[1]!s_info_industry_gics(W2384,2),IF($Y$3="wind三级行业",[1]!s_info_industry_gics(W2384,3),IF($Y$3="wind四级行业",[1]!s_info_industry_gics(W2384,4),IF($Y$3="证监会门类行业",[1]!s_info_industry_csrc12_n(W2384,公司分析!D$5,1),""))))))))</f>
        <v>基础建设</v>
      </c>
      <c r="Z2384" s="302" t="str">
        <f ca="1">IF(Y2384=行业比较!$E$6,ROW(),"")</f>
        <v/>
      </c>
      <c r="AA2384" s="122"/>
      <c r="AB2384" s="122"/>
      <c r="AC2384" s="122"/>
      <c r="AD2384" s="122"/>
      <c r="AE2384" s="122"/>
      <c r="AF2384" s="122"/>
      <c r="AG2384" s="122"/>
      <c r="AH2384" s="122"/>
      <c r="AI2384" s="122"/>
      <c r="AJ2384" s="122"/>
      <c r="AK2384" s="122"/>
      <c r="AL2384" s="122"/>
      <c r="AM2384" s="122"/>
      <c r="AN2384" s="122"/>
      <c r="AO2384" s="122"/>
      <c r="AP2384" s="122"/>
    </row>
    <row r="2385" spans="2:42">
      <c r="B2385" s="122"/>
      <c r="C2385" s="122"/>
      <c r="D2385" s="122"/>
      <c r="E2385" s="122"/>
      <c r="F2385" s="122"/>
      <c r="G2385" s="122"/>
      <c r="H2385" s="122"/>
      <c r="I2385" s="275"/>
      <c r="J2385" s="130"/>
      <c r="K2385" s="130"/>
      <c r="L2385" s="130"/>
      <c r="M2385" s="130"/>
      <c r="N2385" s="291"/>
      <c r="O2385" s="291"/>
      <c r="P2385" s="122"/>
      <c r="Q2385" s="122"/>
      <c r="R2385" s="122"/>
      <c r="S2385" s="122"/>
      <c r="T2385" s="122"/>
      <c r="U2385" s="315"/>
      <c r="V2385" s="260">
        <f t="shared" ca="1" si="45"/>
        <v>0</v>
      </c>
      <c r="W2385" s="348" t="str">
        <f>IF(板块成分!B2387="","",板块成分!B2387)</f>
        <v>300949.SZ</v>
      </c>
      <c r="X2385" s="276" t="str">
        <f>[1]!S_Info_Name(W2385)</f>
        <v>奥雅股份</v>
      </c>
      <c r="Y2385" s="276" t="str">
        <f ca="1">IF($Y$3="申万一级行业",[1]!s_info_industry_sw_2021(W2385,公司分析!D$5,1),IF($Y$3="申万二级行业",[1]!s_info_industry_sw_2021(W2385,公司分析!D$5,2),IF($Y$3="申万三级行业",[1]!s_info_industry_sw_2021(W2385,公司分析!D$5,3),IF($Y$3="wind一级行业",[1]!s_info_industry_gics(W2385,1),IF($Y$3="wind二级行业",[1]!s_info_industry_gics(W2385,2),IF($Y$3="wind三级行业",[1]!s_info_industry_gics(W2385,3),IF($Y$3="wind四级行业",[1]!s_info_industry_gics(W2385,4),IF($Y$3="证监会门类行业",[1]!s_info_industry_csrc12_n(W2385,公司分析!D$5,1),""))))))))</f>
        <v>基础建设</v>
      </c>
      <c r="Z2385" s="302" t="str">
        <f ca="1">IF(Y2385=行业比较!$E$6,ROW(),"")</f>
        <v/>
      </c>
      <c r="AA2385" s="122"/>
      <c r="AB2385" s="122"/>
      <c r="AC2385" s="122"/>
      <c r="AD2385" s="122"/>
      <c r="AE2385" s="122"/>
      <c r="AF2385" s="122"/>
      <c r="AG2385" s="122"/>
      <c r="AH2385" s="122"/>
      <c r="AI2385" s="122"/>
      <c r="AJ2385" s="122"/>
      <c r="AK2385" s="122"/>
      <c r="AL2385" s="122"/>
      <c r="AM2385" s="122"/>
      <c r="AN2385" s="122"/>
      <c r="AO2385" s="122"/>
      <c r="AP2385" s="122"/>
    </row>
    <row r="2386" spans="2:42">
      <c r="B2386" s="122"/>
      <c r="C2386" s="122"/>
      <c r="D2386" s="122"/>
      <c r="E2386" s="122"/>
      <c r="F2386" s="122"/>
      <c r="G2386" s="122"/>
      <c r="H2386" s="122"/>
      <c r="I2386" s="275"/>
      <c r="J2386" s="130"/>
      <c r="K2386" s="130"/>
      <c r="L2386" s="130"/>
      <c r="M2386" s="130"/>
      <c r="N2386" s="291"/>
      <c r="O2386" s="291"/>
      <c r="P2386" s="122"/>
      <c r="Q2386" s="122"/>
      <c r="R2386" s="122"/>
      <c r="S2386" s="122"/>
      <c r="T2386" s="122"/>
      <c r="U2386" s="315"/>
      <c r="V2386" s="260">
        <f t="shared" ca="1" si="45"/>
        <v>0</v>
      </c>
      <c r="W2386" s="348" t="str">
        <f>IF(板块成分!B2388="","",板块成分!B2388)</f>
        <v>300950.SZ</v>
      </c>
      <c r="X2386" s="276" t="str">
        <f>[1]!S_Info_Name(W2386)</f>
        <v>德固特</v>
      </c>
      <c r="Y2386" s="276" t="str">
        <f ca="1">IF($Y$3="申万一级行业",[1]!s_info_industry_sw_2021(W2386,公司分析!D$5,1),IF($Y$3="申万二级行业",[1]!s_info_industry_sw_2021(W2386,公司分析!D$5,2),IF($Y$3="申万三级行业",[1]!s_info_industry_sw_2021(W2386,公司分析!D$5,3),IF($Y$3="wind一级行业",[1]!s_info_industry_gics(W2386,1),IF($Y$3="wind二级行业",[1]!s_info_industry_gics(W2386,2),IF($Y$3="wind三级行业",[1]!s_info_industry_gics(W2386,3),IF($Y$3="wind四级行业",[1]!s_info_industry_gics(W2386,4),IF($Y$3="证监会门类行业",[1]!s_info_industry_csrc12_n(W2386,公司分析!D$5,1),""))))))))</f>
        <v>专用设备</v>
      </c>
      <c r="Z2386" s="302" t="str">
        <f ca="1">IF(Y2386=行业比较!$E$6,ROW(),"")</f>
        <v/>
      </c>
      <c r="AA2386" s="122"/>
      <c r="AB2386" s="122"/>
      <c r="AC2386" s="122"/>
      <c r="AD2386" s="122"/>
      <c r="AE2386" s="122"/>
      <c r="AF2386" s="122"/>
      <c r="AG2386" s="122"/>
      <c r="AH2386" s="122"/>
      <c r="AI2386" s="122"/>
      <c r="AJ2386" s="122"/>
      <c r="AK2386" s="122"/>
      <c r="AL2386" s="122"/>
      <c r="AM2386" s="122"/>
      <c r="AN2386" s="122"/>
      <c r="AO2386" s="122"/>
      <c r="AP2386" s="122"/>
    </row>
    <row r="2387" spans="2:42">
      <c r="B2387" s="122"/>
      <c r="C2387" s="122"/>
      <c r="D2387" s="122"/>
      <c r="E2387" s="122"/>
      <c r="F2387" s="122"/>
      <c r="G2387" s="122"/>
      <c r="H2387" s="122"/>
      <c r="I2387" s="275"/>
      <c r="J2387" s="130"/>
      <c r="K2387" s="130"/>
      <c r="L2387" s="130"/>
      <c r="M2387" s="130"/>
      <c r="N2387" s="291"/>
      <c r="O2387" s="291"/>
      <c r="P2387" s="122"/>
      <c r="Q2387" s="122"/>
      <c r="R2387" s="122"/>
      <c r="S2387" s="122"/>
      <c r="T2387" s="122"/>
      <c r="U2387" s="315"/>
      <c r="V2387" s="260">
        <f t="shared" ca="1" si="45"/>
        <v>0</v>
      </c>
      <c r="W2387" s="348" t="str">
        <f>IF(板块成分!B2389="","",板块成分!B2389)</f>
        <v>300951.SZ</v>
      </c>
      <c r="X2387" s="276" t="str">
        <f>[1]!S_Info_Name(W2387)</f>
        <v>博硕科技</v>
      </c>
      <c r="Y2387" s="276" t="str">
        <f ca="1">IF($Y$3="申万一级行业",[1]!s_info_industry_sw_2021(W2387,公司分析!D$5,1),IF($Y$3="申万二级行业",[1]!s_info_industry_sw_2021(W2387,公司分析!D$5,2),IF($Y$3="申万三级行业",[1]!s_info_industry_sw_2021(W2387,公司分析!D$5,3),IF($Y$3="wind一级行业",[1]!s_info_industry_gics(W2387,1),IF($Y$3="wind二级行业",[1]!s_info_industry_gics(W2387,2),IF($Y$3="wind三级行业",[1]!s_info_industry_gics(W2387,3),IF($Y$3="wind四级行业",[1]!s_info_industry_gics(W2387,4),IF($Y$3="证监会门类行业",[1]!s_info_industry_csrc12_n(W2387,公司分析!D$5,1),""))))))))</f>
        <v>消费电子</v>
      </c>
      <c r="Z2387" s="302" t="str">
        <f ca="1">IF(Y2387=行业比较!$E$6,ROW(),"")</f>
        <v/>
      </c>
      <c r="AA2387" s="122"/>
      <c r="AB2387" s="122"/>
      <c r="AC2387" s="122"/>
      <c r="AD2387" s="122"/>
      <c r="AE2387" s="122"/>
      <c r="AF2387" s="122"/>
      <c r="AG2387" s="122"/>
      <c r="AH2387" s="122"/>
      <c r="AI2387" s="122"/>
      <c r="AJ2387" s="122"/>
      <c r="AK2387" s="122"/>
      <c r="AL2387" s="122"/>
      <c r="AM2387" s="122"/>
      <c r="AN2387" s="122"/>
      <c r="AO2387" s="122"/>
      <c r="AP2387" s="122"/>
    </row>
    <row r="2388" spans="2:42">
      <c r="B2388" s="122"/>
      <c r="C2388" s="122"/>
      <c r="D2388" s="122"/>
      <c r="E2388" s="122"/>
      <c r="F2388" s="122"/>
      <c r="G2388" s="122"/>
      <c r="H2388" s="122"/>
      <c r="I2388" s="275"/>
      <c r="J2388" s="130"/>
      <c r="K2388" s="130"/>
      <c r="L2388" s="130"/>
      <c r="M2388" s="130"/>
      <c r="N2388" s="291"/>
      <c r="O2388" s="291"/>
      <c r="P2388" s="122"/>
      <c r="Q2388" s="122"/>
      <c r="R2388" s="122"/>
      <c r="S2388" s="122"/>
      <c r="T2388" s="122"/>
      <c r="U2388" s="315"/>
      <c r="V2388" s="260">
        <f t="shared" ca="1" si="45"/>
        <v>0</v>
      </c>
      <c r="W2388" s="348" t="str">
        <f>IF(板块成分!B2390="","",板块成分!B2390)</f>
        <v>300952.SZ</v>
      </c>
      <c r="X2388" s="276" t="str">
        <f>[1]!S_Info_Name(W2388)</f>
        <v>恒辉安防</v>
      </c>
      <c r="Y2388" s="276" t="str">
        <f ca="1">IF($Y$3="申万一级行业",[1]!s_info_industry_sw_2021(W2388,公司分析!D$5,1),IF($Y$3="申万二级行业",[1]!s_info_industry_sw_2021(W2388,公司分析!D$5,2),IF($Y$3="申万三级行业",[1]!s_info_industry_sw_2021(W2388,公司分析!D$5,3),IF($Y$3="wind一级行业",[1]!s_info_industry_gics(W2388,1),IF($Y$3="wind二级行业",[1]!s_info_industry_gics(W2388,2),IF($Y$3="wind三级行业",[1]!s_info_industry_gics(W2388,3),IF($Y$3="wind四级行业",[1]!s_info_industry_gics(W2388,4),IF($Y$3="证监会门类行业",[1]!s_info_industry_csrc12_n(W2388,公司分析!D$5,1),""))))))))</f>
        <v>服装家纺</v>
      </c>
      <c r="Z2388" s="302" t="str">
        <f ca="1">IF(Y2388=行业比较!$E$6,ROW(),"")</f>
        <v/>
      </c>
      <c r="AA2388" s="122"/>
      <c r="AB2388" s="122"/>
      <c r="AC2388" s="122"/>
      <c r="AD2388" s="122"/>
      <c r="AE2388" s="122"/>
      <c r="AF2388" s="122"/>
      <c r="AG2388" s="122"/>
      <c r="AH2388" s="122"/>
      <c r="AI2388" s="122"/>
      <c r="AJ2388" s="122"/>
      <c r="AK2388" s="122"/>
      <c r="AL2388" s="122"/>
      <c r="AM2388" s="122"/>
      <c r="AN2388" s="122"/>
      <c r="AO2388" s="122"/>
      <c r="AP2388" s="122"/>
    </row>
    <row r="2389" spans="2:42">
      <c r="B2389" s="122"/>
      <c r="C2389" s="122"/>
      <c r="D2389" s="122"/>
      <c r="E2389" s="122"/>
      <c r="F2389" s="122"/>
      <c r="G2389" s="122"/>
      <c r="H2389" s="122"/>
      <c r="I2389" s="275"/>
      <c r="J2389" s="130"/>
      <c r="K2389" s="130"/>
      <c r="L2389" s="130"/>
      <c r="M2389" s="130"/>
      <c r="N2389" s="291"/>
      <c r="O2389" s="291"/>
      <c r="P2389" s="122"/>
      <c r="Q2389" s="122"/>
      <c r="R2389" s="122"/>
      <c r="S2389" s="122"/>
      <c r="T2389" s="122"/>
      <c r="U2389" s="315"/>
      <c r="V2389" s="260">
        <f t="shared" ca="1" si="45"/>
        <v>0</v>
      </c>
      <c r="W2389" s="348" t="str">
        <f>IF(板块成分!B2391="","",板块成分!B2391)</f>
        <v>300953.SZ</v>
      </c>
      <c r="X2389" s="276" t="str">
        <f>[1]!S_Info_Name(W2389)</f>
        <v>震裕科技</v>
      </c>
      <c r="Y2389" s="276" t="str">
        <f ca="1">IF($Y$3="申万一级行业",[1]!s_info_industry_sw_2021(W2389,公司分析!D$5,1),IF($Y$3="申万二级行业",[1]!s_info_industry_sw_2021(W2389,公司分析!D$5,2),IF($Y$3="申万三级行业",[1]!s_info_industry_sw_2021(W2389,公司分析!D$5,3),IF($Y$3="wind一级行业",[1]!s_info_industry_gics(W2389,1),IF($Y$3="wind二级行业",[1]!s_info_industry_gics(W2389,2),IF($Y$3="wind三级行业",[1]!s_info_industry_gics(W2389,3),IF($Y$3="wind四级行业",[1]!s_info_industry_gics(W2389,4),IF($Y$3="证监会门类行业",[1]!s_info_industry_csrc12_n(W2389,公司分析!D$5,1),""))))))))</f>
        <v>电池</v>
      </c>
      <c r="Z2389" s="302" t="str">
        <f ca="1">IF(Y2389=行业比较!$E$6,ROW(),"")</f>
        <v/>
      </c>
      <c r="AA2389" s="122"/>
      <c r="AB2389" s="122"/>
      <c r="AC2389" s="122"/>
      <c r="AD2389" s="122"/>
      <c r="AE2389" s="122"/>
      <c r="AF2389" s="122"/>
      <c r="AG2389" s="122"/>
      <c r="AH2389" s="122"/>
      <c r="AI2389" s="122"/>
      <c r="AJ2389" s="122"/>
      <c r="AK2389" s="122"/>
      <c r="AL2389" s="122"/>
      <c r="AM2389" s="122"/>
      <c r="AN2389" s="122"/>
      <c r="AO2389" s="122"/>
      <c r="AP2389" s="122"/>
    </row>
    <row r="2390" spans="2:42">
      <c r="B2390" s="122"/>
      <c r="C2390" s="122"/>
      <c r="D2390" s="122"/>
      <c r="E2390" s="122"/>
      <c r="F2390" s="122"/>
      <c r="G2390" s="122"/>
      <c r="H2390" s="122"/>
      <c r="I2390" s="275"/>
      <c r="J2390" s="130"/>
      <c r="K2390" s="130"/>
      <c r="L2390" s="130"/>
      <c r="M2390" s="130"/>
      <c r="N2390" s="291"/>
      <c r="O2390" s="291"/>
      <c r="P2390" s="122"/>
      <c r="Q2390" s="122"/>
      <c r="R2390" s="122"/>
      <c r="S2390" s="122"/>
      <c r="T2390" s="122"/>
      <c r="U2390" s="315"/>
      <c r="V2390" s="260">
        <f t="shared" ca="1" si="45"/>
        <v>0</v>
      </c>
      <c r="W2390" s="348" t="str">
        <f>IF(板块成分!B2392="","",板块成分!B2392)</f>
        <v>300955.SZ</v>
      </c>
      <c r="X2390" s="276" t="str">
        <f>[1]!S_Info_Name(W2390)</f>
        <v>嘉亨家化</v>
      </c>
      <c r="Y2390" s="276" t="str">
        <f ca="1">IF($Y$3="申万一级行业",[1]!s_info_industry_sw_2021(W2390,公司分析!D$5,1),IF($Y$3="申万二级行业",[1]!s_info_industry_sw_2021(W2390,公司分析!D$5,2),IF($Y$3="申万三级行业",[1]!s_info_industry_sw_2021(W2390,公司分析!D$5,3),IF($Y$3="wind一级行业",[1]!s_info_industry_gics(W2390,1),IF($Y$3="wind二级行业",[1]!s_info_industry_gics(W2390,2),IF($Y$3="wind三级行业",[1]!s_info_industry_gics(W2390,3),IF($Y$3="wind四级行业",[1]!s_info_industry_gics(W2390,4),IF($Y$3="证监会门类行业",[1]!s_info_industry_csrc12_n(W2390,公司分析!D$5,1),""))))))))</f>
        <v>化妆品</v>
      </c>
      <c r="Z2390" s="302" t="str">
        <f ca="1">IF(Y2390=行业比较!$E$6,ROW(),"")</f>
        <v/>
      </c>
      <c r="AA2390" s="122"/>
      <c r="AB2390" s="122"/>
      <c r="AC2390" s="122"/>
      <c r="AD2390" s="122"/>
      <c r="AE2390" s="122"/>
      <c r="AF2390" s="122"/>
      <c r="AG2390" s="122"/>
      <c r="AH2390" s="122"/>
      <c r="AI2390" s="122"/>
      <c r="AJ2390" s="122"/>
      <c r="AK2390" s="122"/>
      <c r="AL2390" s="122"/>
      <c r="AM2390" s="122"/>
      <c r="AN2390" s="122"/>
      <c r="AO2390" s="122"/>
      <c r="AP2390" s="122"/>
    </row>
    <row r="2391" spans="2:42">
      <c r="B2391" s="122"/>
      <c r="C2391" s="122"/>
      <c r="D2391" s="122"/>
      <c r="E2391" s="122"/>
      <c r="F2391" s="122"/>
      <c r="G2391" s="122"/>
      <c r="H2391" s="122"/>
      <c r="I2391" s="275"/>
      <c r="J2391" s="130"/>
      <c r="K2391" s="130"/>
      <c r="L2391" s="130"/>
      <c r="M2391" s="130"/>
      <c r="N2391" s="291"/>
      <c r="O2391" s="291"/>
      <c r="P2391" s="122"/>
      <c r="Q2391" s="122"/>
      <c r="R2391" s="122"/>
      <c r="S2391" s="122"/>
      <c r="T2391" s="122"/>
      <c r="U2391" s="315"/>
      <c r="V2391" s="260">
        <f t="shared" ca="1" si="45"/>
        <v>0</v>
      </c>
      <c r="W2391" s="348" t="str">
        <f>IF(板块成分!B2393="","",板块成分!B2393)</f>
        <v>300956.SZ</v>
      </c>
      <c r="X2391" s="276" t="str">
        <f>[1]!S_Info_Name(W2391)</f>
        <v>英力股份</v>
      </c>
      <c r="Y2391" s="276" t="str">
        <f ca="1">IF($Y$3="申万一级行业",[1]!s_info_industry_sw_2021(W2391,公司分析!D$5,1),IF($Y$3="申万二级行业",[1]!s_info_industry_sw_2021(W2391,公司分析!D$5,2),IF($Y$3="申万三级行业",[1]!s_info_industry_sw_2021(W2391,公司分析!D$5,3),IF($Y$3="wind一级行业",[1]!s_info_industry_gics(W2391,1),IF($Y$3="wind二级行业",[1]!s_info_industry_gics(W2391,2),IF($Y$3="wind三级行业",[1]!s_info_industry_gics(W2391,3),IF($Y$3="wind四级行业",[1]!s_info_industry_gics(W2391,4),IF($Y$3="证监会门类行业",[1]!s_info_industry_csrc12_n(W2391,公司分析!D$5,1),""))))))))</f>
        <v>消费电子</v>
      </c>
      <c r="Z2391" s="302" t="str">
        <f ca="1">IF(Y2391=行业比较!$E$6,ROW(),"")</f>
        <v/>
      </c>
      <c r="AA2391" s="122"/>
      <c r="AB2391" s="122"/>
      <c r="AC2391" s="122"/>
      <c r="AD2391" s="122"/>
      <c r="AE2391" s="122"/>
      <c r="AF2391" s="122"/>
      <c r="AG2391" s="122"/>
      <c r="AH2391" s="122"/>
      <c r="AI2391" s="122"/>
      <c r="AJ2391" s="122"/>
      <c r="AK2391" s="122"/>
      <c r="AL2391" s="122"/>
      <c r="AM2391" s="122"/>
      <c r="AN2391" s="122"/>
      <c r="AO2391" s="122"/>
      <c r="AP2391" s="122"/>
    </row>
    <row r="2392" spans="2:42">
      <c r="B2392" s="122"/>
      <c r="C2392" s="122"/>
      <c r="D2392" s="122"/>
      <c r="E2392" s="122"/>
      <c r="F2392" s="122"/>
      <c r="G2392" s="122"/>
      <c r="H2392" s="122"/>
      <c r="I2392" s="275"/>
      <c r="J2392" s="130"/>
      <c r="K2392" s="130"/>
      <c r="L2392" s="130"/>
      <c r="M2392" s="130"/>
      <c r="N2392" s="291"/>
      <c r="O2392" s="291"/>
      <c r="P2392" s="122"/>
      <c r="Q2392" s="122"/>
      <c r="R2392" s="122"/>
      <c r="S2392" s="122"/>
      <c r="T2392" s="122"/>
      <c r="U2392" s="315"/>
      <c r="V2392" s="260">
        <f t="shared" ca="1" si="45"/>
        <v>0</v>
      </c>
      <c r="W2392" s="348" t="str">
        <f>IF(板块成分!B2394="","",板块成分!B2394)</f>
        <v>300957.SZ</v>
      </c>
      <c r="X2392" s="276" t="str">
        <f>[1]!S_Info_Name(W2392)</f>
        <v>贝泰妮</v>
      </c>
      <c r="Y2392" s="276" t="str">
        <f ca="1">IF($Y$3="申万一级行业",[1]!s_info_industry_sw_2021(W2392,公司分析!D$5,1),IF($Y$3="申万二级行业",[1]!s_info_industry_sw_2021(W2392,公司分析!D$5,2),IF($Y$3="申万三级行业",[1]!s_info_industry_sw_2021(W2392,公司分析!D$5,3),IF($Y$3="wind一级行业",[1]!s_info_industry_gics(W2392,1),IF($Y$3="wind二级行业",[1]!s_info_industry_gics(W2392,2),IF($Y$3="wind三级行业",[1]!s_info_industry_gics(W2392,3),IF($Y$3="wind四级行业",[1]!s_info_industry_gics(W2392,4),IF($Y$3="证监会门类行业",[1]!s_info_industry_csrc12_n(W2392,公司分析!D$5,1),""))))))))</f>
        <v>化妆品</v>
      </c>
      <c r="Z2392" s="302" t="str">
        <f ca="1">IF(Y2392=行业比较!$E$6,ROW(),"")</f>
        <v/>
      </c>
      <c r="AA2392" s="122"/>
      <c r="AB2392" s="122"/>
      <c r="AC2392" s="122"/>
      <c r="AD2392" s="122"/>
      <c r="AE2392" s="122"/>
      <c r="AF2392" s="122"/>
      <c r="AG2392" s="122"/>
      <c r="AH2392" s="122"/>
      <c r="AI2392" s="122"/>
      <c r="AJ2392" s="122"/>
      <c r="AK2392" s="122"/>
      <c r="AL2392" s="122"/>
      <c r="AM2392" s="122"/>
      <c r="AN2392" s="122"/>
      <c r="AO2392" s="122"/>
      <c r="AP2392" s="122"/>
    </row>
    <row r="2393" spans="2:42">
      <c r="B2393" s="122"/>
      <c r="C2393" s="122"/>
      <c r="D2393" s="122"/>
      <c r="E2393" s="122"/>
      <c r="F2393" s="122"/>
      <c r="G2393" s="122"/>
      <c r="H2393" s="122"/>
      <c r="I2393" s="275"/>
      <c r="J2393" s="130"/>
      <c r="K2393" s="130"/>
      <c r="L2393" s="130"/>
      <c r="M2393" s="130"/>
      <c r="N2393" s="291"/>
      <c r="O2393" s="291"/>
      <c r="P2393" s="122"/>
      <c r="Q2393" s="122"/>
      <c r="R2393" s="122"/>
      <c r="S2393" s="122"/>
      <c r="T2393" s="122"/>
      <c r="U2393" s="315"/>
      <c r="V2393" s="260">
        <f t="shared" ca="1" si="45"/>
        <v>0</v>
      </c>
      <c r="W2393" s="348" t="str">
        <f>IF(板块成分!B2395="","",板块成分!B2395)</f>
        <v>300958.SZ</v>
      </c>
      <c r="X2393" s="276" t="str">
        <f>[1]!S_Info_Name(W2393)</f>
        <v>建工修复</v>
      </c>
      <c r="Y2393" s="276" t="str">
        <f ca="1">IF($Y$3="申万一级行业",[1]!s_info_industry_sw_2021(W2393,公司分析!D$5,1),IF($Y$3="申万二级行业",[1]!s_info_industry_sw_2021(W2393,公司分析!D$5,2),IF($Y$3="申万三级行业",[1]!s_info_industry_sw_2021(W2393,公司分析!D$5,3),IF($Y$3="wind一级行业",[1]!s_info_industry_gics(W2393,1),IF($Y$3="wind二级行业",[1]!s_info_industry_gics(W2393,2),IF($Y$3="wind三级行业",[1]!s_info_industry_gics(W2393,3),IF($Y$3="wind四级行业",[1]!s_info_industry_gics(W2393,4),IF($Y$3="证监会门类行业",[1]!s_info_industry_csrc12_n(W2393,公司分析!D$5,1),""))))))))</f>
        <v>环境治理</v>
      </c>
      <c r="Z2393" s="302" t="str">
        <f ca="1">IF(Y2393=行业比较!$E$6,ROW(),"")</f>
        <v/>
      </c>
      <c r="AA2393" s="122"/>
      <c r="AB2393" s="122"/>
      <c r="AC2393" s="122"/>
      <c r="AD2393" s="122"/>
      <c r="AE2393" s="122"/>
      <c r="AF2393" s="122"/>
      <c r="AG2393" s="122"/>
      <c r="AH2393" s="122"/>
      <c r="AI2393" s="122"/>
      <c r="AJ2393" s="122"/>
      <c r="AK2393" s="122"/>
      <c r="AL2393" s="122"/>
      <c r="AM2393" s="122"/>
      <c r="AN2393" s="122"/>
      <c r="AO2393" s="122"/>
      <c r="AP2393" s="122"/>
    </row>
    <row r="2394" spans="2:42">
      <c r="B2394" s="122"/>
      <c r="C2394" s="122"/>
      <c r="D2394" s="122"/>
      <c r="E2394" s="122"/>
      <c r="F2394" s="122"/>
      <c r="G2394" s="122"/>
      <c r="H2394" s="122"/>
      <c r="I2394" s="275"/>
      <c r="J2394" s="130"/>
      <c r="K2394" s="130"/>
      <c r="L2394" s="130"/>
      <c r="M2394" s="130"/>
      <c r="N2394" s="291"/>
      <c r="O2394" s="291"/>
      <c r="P2394" s="122"/>
      <c r="Q2394" s="122"/>
      <c r="R2394" s="122"/>
      <c r="S2394" s="122"/>
      <c r="T2394" s="122"/>
      <c r="U2394" s="315"/>
      <c r="V2394" s="260">
        <f t="shared" ca="1" si="45"/>
        <v>0</v>
      </c>
      <c r="W2394" s="348" t="str">
        <f>IF(板块成分!B2396="","",板块成分!B2396)</f>
        <v>300959.SZ</v>
      </c>
      <c r="X2394" s="276" t="str">
        <f>[1]!S_Info_Name(W2394)</f>
        <v>线上线下</v>
      </c>
      <c r="Y2394" s="276" t="str">
        <f ca="1">IF($Y$3="申万一级行业",[1]!s_info_industry_sw_2021(W2394,公司分析!D$5,1),IF($Y$3="申万二级行业",[1]!s_info_industry_sw_2021(W2394,公司分析!D$5,2),IF($Y$3="申万三级行业",[1]!s_info_industry_sw_2021(W2394,公司分析!D$5,3),IF($Y$3="wind一级行业",[1]!s_info_industry_gics(W2394,1),IF($Y$3="wind二级行业",[1]!s_info_industry_gics(W2394,2),IF($Y$3="wind三级行业",[1]!s_info_industry_gics(W2394,3),IF($Y$3="wind四级行业",[1]!s_info_industry_gics(W2394,4),IF($Y$3="证监会门类行业",[1]!s_info_industry_csrc12_n(W2394,公司分析!D$5,1),""))))))))</f>
        <v>通信服务</v>
      </c>
      <c r="Z2394" s="302" t="str">
        <f ca="1">IF(Y2394=行业比较!$E$6,ROW(),"")</f>
        <v/>
      </c>
      <c r="AA2394" s="122"/>
      <c r="AB2394" s="122"/>
      <c r="AC2394" s="122"/>
      <c r="AD2394" s="122"/>
      <c r="AE2394" s="122"/>
      <c r="AF2394" s="122"/>
      <c r="AG2394" s="122"/>
      <c r="AH2394" s="122"/>
      <c r="AI2394" s="122"/>
      <c r="AJ2394" s="122"/>
      <c r="AK2394" s="122"/>
      <c r="AL2394" s="122"/>
      <c r="AM2394" s="122"/>
      <c r="AN2394" s="122"/>
      <c r="AO2394" s="122"/>
      <c r="AP2394" s="122"/>
    </row>
    <row r="2395" spans="2:42">
      <c r="B2395" s="122"/>
      <c r="C2395" s="122"/>
      <c r="D2395" s="122"/>
      <c r="E2395" s="122"/>
      <c r="F2395" s="122"/>
      <c r="G2395" s="122"/>
      <c r="H2395" s="122"/>
      <c r="I2395" s="275"/>
      <c r="J2395" s="130"/>
      <c r="K2395" s="130"/>
      <c r="L2395" s="130"/>
      <c r="M2395" s="130"/>
      <c r="N2395" s="291"/>
      <c r="O2395" s="291"/>
      <c r="P2395" s="122"/>
      <c r="Q2395" s="122"/>
      <c r="R2395" s="122"/>
      <c r="S2395" s="122"/>
      <c r="T2395" s="122"/>
      <c r="U2395" s="315"/>
      <c r="V2395" s="260">
        <f t="shared" ca="1" si="45"/>
        <v>0</v>
      </c>
      <c r="W2395" s="348" t="str">
        <f>IF(板块成分!B2397="","",板块成分!B2397)</f>
        <v>300960.SZ</v>
      </c>
      <c r="X2395" s="276" t="str">
        <f>[1]!S_Info_Name(W2395)</f>
        <v>通业科技</v>
      </c>
      <c r="Y2395" s="276" t="str">
        <f ca="1">IF($Y$3="申万一级行业",[1]!s_info_industry_sw_2021(W2395,公司分析!D$5,1),IF($Y$3="申万二级行业",[1]!s_info_industry_sw_2021(W2395,公司分析!D$5,2),IF($Y$3="申万三级行业",[1]!s_info_industry_sw_2021(W2395,公司分析!D$5,3),IF($Y$3="wind一级行业",[1]!s_info_industry_gics(W2395,1),IF($Y$3="wind二级行业",[1]!s_info_industry_gics(W2395,2),IF($Y$3="wind三级行业",[1]!s_info_industry_gics(W2395,3),IF($Y$3="wind四级行业",[1]!s_info_industry_gics(W2395,4),IF($Y$3="证监会门类行业",[1]!s_info_industry_csrc12_n(W2395,公司分析!D$5,1),""))))))))</f>
        <v>轨交设备Ⅱ</v>
      </c>
      <c r="Z2395" s="302" t="str">
        <f ca="1">IF(Y2395=行业比较!$E$6,ROW(),"")</f>
        <v/>
      </c>
      <c r="AA2395" s="122"/>
      <c r="AB2395" s="122"/>
      <c r="AC2395" s="122"/>
      <c r="AD2395" s="122"/>
      <c r="AE2395" s="122"/>
      <c r="AF2395" s="122"/>
      <c r="AG2395" s="122"/>
      <c r="AH2395" s="122"/>
      <c r="AI2395" s="122"/>
      <c r="AJ2395" s="122"/>
      <c r="AK2395" s="122"/>
      <c r="AL2395" s="122"/>
      <c r="AM2395" s="122"/>
      <c r="AN2395" s="122"/>
      <c r="AO2395" s="122"/>
      <c r="AP2395" s="122"/>
    </row>
    <row r="2396" spans="2:42">
      <c r="B2396" s="122"/>
      <c r="C2396" s="122"/>
      <c r="D2396" s="122"/>
      <c r="E2396" s="122"/>
      <c r="F2396" s="122"/>
      <c r="G2396" s="122"/>
      <c r="H2396" s="122"/>
      <c r="I2396" s="275"/>
      <c r="J2396" s="130"/>
      <c r="K2396" s="130"/>
      <c r="L2396" s="130"/>
      <c r="M2396" s="130"/>
      <c r="N2396" s="291"/>
      <c r="O2396" s="291"/>
      <c r="P2396" s="122"/>
      <c r="Q2396" s="122"/>
      <c r="R2396" s="122"/>
      <c r="S2396" s="122"/>
      <c r="T2396" s="122"/>
      <c r="U2396" s="315"/>
      <c r="V2396" s="260">
        <f t="shared" ca="1" si="45"/>
        <v>0</v>
      </c>
      <c r="W2396" s="348" t="str">
        <f>IF(板块成分!B2398="","",板块成分!B2398)</f>
        <v>300961.SZ</v>
      </c>
      <c r="X2396" s="276" t="str">
        <f>[1]!S_Info_Name(W2396)</f>
        <v>深水海纳</v>
      </c>
      <c r="Y2396" s="276" t="str">
        <f ca="1">IF($Y$3="申万一级行业",[1]!s_info_industry_sw_2021(W2396,公司分析!D$5,1),IF($Y$3="申万二级行业",[1]!s_info_industry_sw_2021(W2396,公司分析!D$5,2),IF($Y$3="申万三级行业",[1]!s_info_industry_sw_2021(W2396,公司分析!D$5,3),IF($Y$3="wind一级行业",[1]!s_info_industry_gics(W2396,1),IF($Y$3="wind二级行业",[1]!s_info_industry_gics(W2396,2),IF($Y$3="wind三级行业",[1]!s_info_industry_gics(W2396,3),IF($Y$3="wind四级行业",[1]!s_info_industry_gics(W2396,4),IF($Y$3="证监会门类行业",[1]!s_info_industry_csrc12_n(W2396,公司分析!D$5,1),""))))))))</f>
        <v>环境治理</v>
      </c>
      <c r="Z2396" s="302" t="str">
        <f ca="1">IF(Y2396=行业比较!$E$6,ROW(),"")</f>
        <v/>
      </c>
      <c r="AA2396" s="122"/>
      <c r="AB2396" s="122"/>
      <c r="AC2396" s="122"/>
      <c r="AD2396" s="122"/>
      <c r="AE2396" s="122"/>
      <c r="AF2396" s="122"/>
      <c r="AG2396" s="122"/>
      <c r="AH2396" s="122"/>
      <c r="AI2396" s="122"/>
      <c r="AJ2396" s="122"/>
      <c r="AK2396" s="122"/>
      <c r="AL2396" s="122"/>
      <c r="AM2396" s="122"/>
      <c r="AN2396" s="122"/>
      <c r="AO2396" s="122"/>
      <c r="AP2396" s="122"/>
    </row>
    <row r="2397" spans="2:42">
      <c r="B2397" s="122"/>
      <c r="C2397" s="122"/>
      <c r="D2397" s="122"/>
      <c r="E2397" s="122"/>
      <c r="F2397" s="122"/>
      <c r="G2397" s="122"/>
      <c r="H2397" s="122"/>
      <c r="I2397" s="275"/>
      <c r="J2397" s="130"/>
      <c r="K2397" s="130"/>
      <c r="L2397" s="130"/>
      <c r="M2397" s="130"/>
      <c r="N2397" s="291"/>
      <c r="O2397" s="291"/>
      <c r="P2397" s="122"/>
      <c r="Q2397" s="122"/>
      <c r="R2397" s="122"/>
      <c r="S2397" s="122"/>
      <c r="T2397" s="122"/>
      <c r="U2397" s="315"/>
      <c r="V2397" s="260">
        <f t="shared" ca="1" si="45"/>
        <v>0</v>
      </c>
      <c r="W2397" s="348" t="str">
        <f>IF(板块成分!B2399="","",板块成分!B2399)</f>
        <v>300962.SZ</v>
      </c>
      <c r="X2397" s="276" t="str">
        <f>[1]!S_Info_Name(W2397)</f>
        <v>中金辐照</v>
      </c>
      <c r="Y2397" s="276" t="str">
        <f ca="1">IF($Y$3="申万一级行业",[1]!s_info_industry_sw_2021(W2397,公司分析!D$5,1),IF($Y$3="申万二级行业",[1]!s_info_industry_sw_2021(W2397,公司分析!D$5,2),IF($Y$3="申万三级行业",[1]!s_info_industry_sw_2021(W2397,公司分析!D$5,3),IF($Y$3="wind一级行业",[1]!s_info_industry_gics(W2397,1),IF($Y$3="wind二级行业",[1]!s_info_industry_gics(W2397,2),IF($Y$3="wind三级行业",[1]!s_info_industry_gics(W2397,3),IF($Y$3="wind四级行业",[1]!s_info_industry_gics(W2397,4),IF($Y$3="证监会门类行业",[1]!s_info_industry_csrc12_n(W2397,公司分析!D$5,1),""))))))))</f>
        <v>专业服务</v>
      </c>
      <c r="Z2397" s="302" t="str">
        <f ca="1">IF(Y2397=行业比较!$E$6,ROW(),"")</f>
        <v/>
      </c>
      <c r="AA2397" s="122"/>
      <c r="AB2397" s="122"/>
      <c r="AC2397" s="122"/>
      <c r="AD2397" s="122"/>
      <c r="AE2397" s="122"/>
      <c r="AF2397" s="122"/>
      <c r="AG2397" s="122"/>
      <c r="AH2397" s="122"/>
      <c r="AI2397" s="122"/>
      <c r="AJ2397" s="122"/>
      <c r="AK2397" s="122"/>
      <c r="AL2397" s="122"/>
      <c r="AM2397" s="122"/>
      <c r="AN2397" s="122"/>
      <c r="AO2397" s="122"/>
      <c r="AP2397" s="122"/>
    </row>
    <row r="2398" spans="2:42">
      <c r="B2398" s="122"/>
      <c r="C2398" s="122"/>
      <c r="D2398" s="122"/>
      <c r="E2398" s="122"/>
      <c r="F2398" s="122"/>
      <c r="G2398" s="122"/>
      <c r="H2398" s="122"/>
      <c r="I2398" s="275"/>
      <c r="J2398" s="130"/>
      <c r="K2398" s="130"/>
      <c r="L2398" s="130"/>
      <c r="M2398" s="130"/>
      <c r="N2398" s="291"/>
      <c r="O2398" s="291"/>
      <c r="P2398" s="122"/>
      <c r="Q2398" s="122"/>
      <c r="R2398" s="122"/>
      <c r="S2398" s="122"/>
      <c r="T2398" s="122"/>
      <c r="U2398" s="315"/>
      <c r="V2398" s="260">
        <f t="shared" ca="1" si="45"/>
        <v>0</v>
      </c>
      <c r="W2398" s="348" t="str">
        <f>IF(板块成分!B2400="","",板块成分!B2400)</f>
        <v>300963.SZ</v>
      </c>
      <c r="X2398" s="276" t="str">
        <f>[1]!S_Info_Name(W2398)</f>
        <v>中洲特材</v>
      </c>
      <c r="Y2398" s="276" t="str">
        <f ca="1">IF($Y$3="申万一级行业",[1]!s_info_industry_sw_2021(W2398,公司分析!D$5,1),IF($Y$3="申万二级行业",[1]!s_info_industry_sw_2021(W2398,公司分析!D$5,2),IF($Y$3="申万三级行业",[1]!s_info_industry_sw_2021(W2398,公司分析!D$5,3),IF($Y$3="wind一级行业",[1]!s_info_industry_gics(W2398,1),IF($Y$3="wind二级行业",[1]!s_info_industry_gics(W2398,2),IF($Y$3="wind三级行业",[1]!s_info_industry_gics(W2398,3),IF($Y$3="wind四级行业",[1]!s_info_industry_gics(W2398,4),IF($Y$3="证监会门类行业",[1]!s_info_industry_csrc12_n(W2398,公司分析!D$5,1),""))))))))</f>
        <v>金属新材料</v>
      </c>
      <c r="Z2398" s="302" t="str">
        <f ca="1">IF(Y2398=行业比较!$E$6,ROW(),"")</f>
        <v/>
      </c>
      <c r="AA2398" s="122"/>
      <c r="AB2398" s="122"/>
      <c r="AC2398" s="122"/>
      <c r="AD2398" s="122"/>
      <c r="AE2398" s="122"/>
      <c r="AF2398" s="122"/>
      <c r="AG2398" s="122"/>
      <c r="AH2398" s="122"/>
      <c r="AI2398" s="122"/>
      <c r="AJ2398" s="122"/>
      <c r="AK2398" s="122"/>
      <c r="AL2398" s="122"/>
      <c r="AM2398" s="122"/>
      <c r="AN2398" s="122"/>
      <c r="AO2398" s="122"/>
      <c r="AP2398" s="122"/>
    </row>
    <row r="2399" spans="2:42">
      <c r="B2399" s="122"/>
      <c r="C2399" s="122"/>
      <c r="D2399" s="122"/>
      <c r="E2399" s="122"/>
      <c r="F2399" s="122"/>
      <c r="G2399" s="122"/>
      <c r="H2399" s="122"/>
      <c r="I2399" s="275"/>
      <c r="J2399" s="130"/>
      <c r="K2399" s="130"/>
      <c r="L2399" s="130"/>
      <c r="M2399" s="130"/>
      <c r="N2399" s="291"/>
      <c r="O2399" s="291"/>
      <c r="P2399" s="122"/>
      <c r="Q2399" s="122"/>
      <c r="R2399" s="122"/>
      <c r="S2399" s="122"/>
      <c r="T2399" s="122"/>
      <c r="U2399" s="315"/>
      <c r="V2399" s="260">
        <f t="shared" ca="1" si="45"/>
        <v>0</v>
      </c>
      <c r="W2399" s="348" t="str">
        <f>IF(板块成分!B2401="","",板块成分!B2401)</f>
        <v>300964.SZ</v>
      </c>
      <c r="X2399" s="276" t="str">
        <f>[1]!S_Info_Name(W2399)</f>
        <v>本川智能</v>
      </c>
      <c r="Y2399" s="276" t="str">
        <f ca="1">IF($Y$3="申万一级行业",[1]!s_info_industry_sw_2021(W2399,公司分析!D$5,1),IF($Y$3="申万二级行业",[1]!s_info_industry_sw_2021(W2399,公司分析!D$5,2),IF($Y$3="申万三级行业",[1]!s_info_industry_sw_2021(W2399,公司分析!D$5,3),IF($Y$3="wind一级行业",[1]!s_info_industry_gics(W2399,1),IF($Y$3="wind二级行业",[1]!s_info_industry_gics(W2399,2),IF($Y$3="wind三级行业",[1]!s_info_industry_gics(W2399,3),IF($Y$3="wind四级行业",[1]!s_info_industry_gics(W2399,4),IF($Y$3="证监会门类行业",[1]!s_info_industry_csrc12_n(W2399,公司分析!D$5,1),""))))))))</f>
        <v>元件</v>
      </c>
      <c r="Z2399" s="302" t="str">
        <f ca="1">IF(Y2399=行业比较!$E$6,ROW(),"")</f>
        <v/>
      </c>
      <c r="AA2399" s="122"/>
      <c r="AB2399" s="122"/>
      <c r="AC2399" s="122"/>
      <c r="AD2399" s="122"/>
      <c r="AE2399" s="122"/>
      <c r="AF2399" s="122"/>
      <c r="AG2399" s="122"/>
      <c r="AH2399" s="122"/>
      <c r="AI2399" s="122"/>
      <c r="AJ2399" s="122"/>
      <c r="AK2399" s="122"/>
      <c r="AL2399" s="122"/>
      <c r="AM2399" s="122"/>
      <c r="AN2399" s="122"/>
      <c r="AO2399" s="122"/>
      <c r="AP2399" s="122"/>
    </row>
    <row r="2400" spans="2:42">
      <c r="B2400" s="122"/>
      <c r="C2400" s="122"/>
      <c r="D2400" s="122"/>
      <c r="E2400" s="122"/>
      <c r="F2400" s="122"/>
      <c r="G2400" s="122"/>
      <c r="H2400" s="122"/>
      <c r="I2400" s="275"/>
      <c r="J2400" s="130"/>
      <c r="K2400" s="130"/>
      <c r="L2400" s="130"/>
      <c r="M2400" s="130"/>
      <c r="N2400" s="291"/>
      <c r="O2400" s="291"/>
      <c r="P2400" s="122"/>
      <c r="Q2400" s="122"/>
      <c r="R2400" s="122"/>
      <c r="S2400" s="122"/>
      <c r="T2400" s="122"/>
      <c r="U2400" s="315"/>
      <c r="V2400" s="260">
        <f t="shared" ca="1" si="45"/>
        <v>0</v>
      </c>
      <c r="W2400" s="348" t="str">
        <f>IF(板块成分!B2402="","",板块成分!B2402)</f>
        <v>300965.SZ</v>
      </c>
      <c r="X2400" s="276" t="str">
        <f>[1]!S_Info_Name(W2400)</f>
        <v>恒宇信通</v>
      </c>
      <c r="Y2400" s="276" t="str">
        <f ca="1">IF($Y$3="申万一级行业",[1]!s_info_industry_sw_2021(W2400,公司分析!D$5,1),IF($Y$3="申万二级行业",[1]!s_info_industry_sw_2021(W2400,公司分析!D$5,2),IF($Y$3="申万三级行业",[1]!s_info_industry_sw_2021(W2400,公司分析!D$5,3),IF($Y$3="wind一级行业",[1]!s_info_industry_gics(W2400,1),IF($Y$3="wind二级行业",[1]!s_info_industry_gics(W2400,2),IF($Y$3="wind三级行业",[1]!s_info_industry_gics(W2400,3),IF($Y$3="wind四级行业",[1]!s_info_industry_gics(W2400,4),IF($Y$3="证监会门类行业",[1]!s_info_industry_csrc12_n(W2400,公司分析!D$5,1),""))))))))</f>
        <v>航空装备Ⅱ</v>
      </c>
      <c r="Z2400" s="302" t="str">
        <f ca="1">IF(Y2400=行业比较!$E$6,ROW(),"")</f>
        <v/>
      </c>
      <c r="AA2400" s="122"/>
      <c r="AB2400" s="122"/>
      <c r="AC2400" s="122"/>
      <c r="AD2400" s="122"/>
      <c r="AE2400" s="122"/>
      <c r="AF2400" s="122"/>
      <c r="AG2400" s="122"/>
      <c r="AH2400" s="122"/>
      <c r="AI2400" s="122"/>
      <c r="AJ2400" s="122"/>
      <c r="AK2400" s="122"/>
      <c r="AL2400" s="122"/>
      <c r="AM2400" s="122"/>
      <c r="AN2400" s="122"/>
      <c r="AO2400" s="122"/>
      <c r="AP2400" s="122"/>
    </row>
    <row r="2401" spans="2:42">
      <c r="B2401" s="122"/>
      <c r="C2401" s="122"/>
      <c r="D2401" s="122"/>
      <c r="E2401" s="122"/>
      <c r="F2401" s="122"/>
      <c r="G2401" s="122"/>
      <c r="H2401" s="122"/>
      <c r="I2401" s="275"/>
      <c r="J2401" s="130"/>
      <c r="K2401" s="130"/>
      <c r="L2401" s="130"/>
      <c r="M2401" s="130"/>
      <c r="N2401" s="291"/>
      <c r="O2401" s="291"/>
      <c r="P2401" s="122"/>
      <c r="Q2401" s="122"/>
      <c r="R2401" s="122"/>
      <c r="S2401" s="122"/>
      <c r="T2401" s="122"/>
      <c r="U2401" s="315"/>
      <c r="V2401" s="260">
        <f t="shared" ca="1" si="45"/>
        <v>0</v>
      </c>
      <c r="W2401" s="348" t="str">
        <f>IF(板块成分!B2403="","",板块成分!B2403)</f>
        <v>300966.SZ</v>
      </c>
      <c r="X2401" s="276" t="str">
        <f>[1]!S_Info_Name(W2401)</f>
        <v>共同药业</v>
      </c>
      <c r="Y2401" s="276" t="str">
        <f ca="1">IF($Y$3="申万一级行业",[1]!s_info_industry_sw_2021(W2401,公司分析!D$5,1),IF($Y$3="申万二级行业",[1]!s_info_industry_sw_2021(W2401,公司分析!D$5,2),IF($Y$3="申万三级行业",[1]!s_info_industry_sw_2021(W2401,公司分析!D$5,3),IF($Y$3="wind一级行业",[1]!s_info_industry_gics(W2401,1),IF($Y$3="wind二级行业",[1]!s_info_industry_gics(W2401,2),IF($Y$3="wind三级行业",[1]!s_info_industry_gics(W2401,3),IF($Y$3="wind四级行业",[1]!s_info_industry_gics(W2401,4),IF($Y$3="证监会门类行业",[1]!s_info_industry_csrc12_n(W2401,公司分析!D$5,1),""))))))))</f>
        <v>化学制药</v>
      </c>
      <c r="Z2401" s="302" t="str">
        <f ca="1">IF(Y2401=行业比较!$E$6,ROW(),"")</f>
        <v/>
      </c>
      <c r="AA2401" s="122"/>
      <c r="AB2401" s="122"/>
      <c r="AC2401" s="122"/>
      <c r="AD2401" s="122"/>
      <c r="AE2401" s="122"/>
      <c r="AF2401" s="122"/>
      <c r="AG2401" s="122"/>
      <c r="AH2401" s="122"/>
      <c r="AI2401" s="122"/>
      <c r="AJ2401" s="122"/>
      <c r="AK2401" s="122"/>
      <c r="AL2401" s="122"/>
      <c r="AM2401" s="122"/>
      <c r="AN2401" s="122"/>
      <c r="AO2401" s="122"/>
      <c r="AP2401" s="122"/>
    </row>
    <row r="2402" spans="2:42">
      <c r="B2402" s="122"/>
      <c r="C2402" s="122"/>
      <c r="D2402" s="122"/>
      <c r="E2402" s="122"/>
      <c r="F2402" s="122"/>
      <c r="G2402" s="122"/>
      <c r="H2402" s="122"/>
      <c r="I2402" s="275"/>
      <c r="J2402" s="130"/>
      <c r="K2402" s="130"/>
      <c r="L2402" s="130"/>
      <c r="M2402" s="130"/>
      <c r="N2402" s="291"/>
      <c r="O2402" s="291"/>
      <c r="P2402" s="122"/>
      <c r="Q2402" s="122"/>
      <c r="R2402" s="122"/>
      <c r="S2402" s="122"/>
      <c r="T2402" s="122"/>
      <c r="U2402" s="315"/>
      <c r="V2402" s="260">
        <f t="shared" ca="1" si="45"/>
        <v>0</v>
      </c>
      <c r="W2402" s="348" t="str">
        <f>IF(板块成分!B2404="","",板块成分!B2404)</f>
        <v>300967.SZ</v>
      </c>
      <c r="X2402" s="276" t="str">
        <f>[1]!S_Info_Name(W2402)</f>
        <v>晓鸣股份</v>
      </c>
      <c r="Y2402" s="276" t="str">
        <f ca="1">IF($Y$3="申万一级行业",[1]!s_info_industry_sw_2021(W2402,公司分析!D$5,1),IF($Y$3="申万二级行业",[1]!s_info_industry_sw_2021(W2402,公司分析!D$5,2),IF($Y$3="申万三级行业",[1]!s_info_industry_sw_2021(W2402,公司分析!D$5,3),IF($Y$3="wind一级行业",[1]!s_info_industry_gics(W2402,1),IF($Y$3="wind二级行业",[1]!s_info_industry_gics(W2402,2),IF($Y$3="wind三级行业",[1]!s_info_industry_gics(W2402,3),IF($Y$3="wind四级行业",[1]!s_info_industry_gics(W2402,4),IF($Y$3="证监会门类行业",[1]!s_info_industry_csrc12_n(W2402,公司分析!D$5,1),""))))))))</f>
        <v>养殖业</v>
      </c>
      <c r="Z2402" s="302" t="str">
        <f ca="1">IF(Y2402=行业比较!$E$6,ROW(),"")</f>
        <v/>
      </c>
      <c r="AA2402" s="122"/>
      <c r="AB2402" s="122"/>
      <c r="AC2402" s="122"/>
      <c r="AD2402" s="122"/>
      <c r="AE2402" s="122"/>
      <c r="AF2402" s="122"/>
      <c r="AG2402" s="122"/>
      <c r="AH2402" s="122"/>
      <c r="AI2402" s="122"/>
      <c r="AJ2402" s="122"/>
      <c r="AK2402" s="122"/>
      <c r="AL2402" s="122"/>
      <c r="AM2402" s="122"/>
      <c r="AN2402" s="122"/>
      <c r="AO2402" s="122"/>
      <c r="AP2402" s="122"/>
    </row>
    <row r="2403" spans="2:42">
      <c r="B2403" s="122"/>
      <c r="C2403" s="122"/>
      <c r="D2403" s="122"/>
      <c r="E2403" s="122"/>
      <c r="F2403" s="122"/>
      <c r="G2403" s="122"/>
      <c r="H2403" s="122"/>
      <c r="I2403" s="275"/>
      <c r="J2403" s="130"/>
      <c r="K2403" s="130"/>
      <c r="L2403" s="130"/>
      <c r="M2403" s="130"/>
      <c r="N2403" s="291"/>
      <c r="O2403" s="291"/>
      <c r="P2403" s="122"/>
      <c r="Q2403" s="122"/>
      <c r="R2403" s="122"/>
      <c r="S2403" s="122"/>
      <c r="T2403" s="122"/>
      <c r="U2403" s="315"/>
      <c r="V2403" s="260">
        <f t="shared" ca="1" si="45"/>
        <v>0</v>
      </c>
      <c r="W2403" s="348" t="str">
        <f>IF(板块成分!B2405="","",板块成分!B2405)</f>
        <v>300968.SZ</v>
      </c>
      <c r="X2403" s="276" t="str">
        <f>[1]!S_Info_Name(W2403)</f>
        <v>格林精密</v>
      </c>
      <c r="Y2403" s="276" t="str">
        <f ca="1">IF($Y$3="申万一级行业",[1]!s_info_industry_sw_2021(W2403,公司分析!D$5,1),IF($Y$3="申万二级行业",[1]!s_info_industry_sw_2021(W2403,公司分析!D$5,2),IF($Y$3="申万三级行业",[1]!s_info_industry_sw_2021(W2403,公司分析!D$5,3),IF($Y$3="wind一级行业",[1]!s_info_industry_gics(W2403,1),IF($Y$3="wind二级行业",[1]!s_info_industry_gics(W2403,2),IF($Y$3="wind三级行业",[1]!s_info_industry_gics(W2403,3),IF($Y$3="wind四级行业",[1]!s_info_industry_gics(W2403,4),IF($Y$3="证监会门类行业",[1]!s_info_industry_csrc12_n(W2403,公司分析!D$5,1),""))))))))</f>
        <v>消费电子</v>
      </c>
      <c r="Z2403" s="302" t="str">
        <f ca="1">IF(Y2403=行业比较!$E$6,ROW(),"")</f>
        <v/>
      </c>
      <c r="AA2403" s="122"/>
      <c r="AB2403" s="122"/>
      <c r="AC2403" s="122"/>
      <c r="AD2403" s="122"/>
      <c r="AE2403" s="122"/>
      <c r="AF2403" s="122"/>
      <c r="AG2403" s="122"/>
      <c r="AH2403" s="122"/>
      <c r="AI2403" s="122"/>
      <c r="AJ2403" s="122"/>
      <c r="AK2403" s="122"/>
      <c r="AL2403" s="122"/>
      <c r="AM2403" s="122"/>
      <c r="AN2403" s="122"/>
      <c r="AO2403" s="122"/>
      <c r="AP2403" s="122"/>
    </row>
    <row r="2404" spans="2:42">
      <c r="B2404" s="122"/>
      <c r="C2404" s="122"/>
      <c r="D2404" s="122"/>
      <c r="E2404" s="122"/>
      <c r="F2404" s="122"/>
      <c r="G2404" s="122"/>
      <c r="H2404" s="122"/>
      <c r="I2404" s="275"/>
      <c r="J2404" s="130"/>
      <c r="K2404" s="130"/>
      <c r="L2404" s="130"/>
      <c r="M2404" s="130"/>
      <c r="N2404" s="291"/>
      <c r="O2404" s="291"/>
      <c r="P2404" s="122"/>
      <c r="Q2404" s="122"/>
      <c r="R2404" s="122"/>
      <c r="S2404" s="122"/>
      <c r="T2404" s="122"/>
      <c r="U2404" s="315"/>
      <c r="V2404" s="260">
        <f t="shared" ca="1" si="45"/>
        <v>0</v>
      </c>
      <c r="W2404" s="348" t="str">
        <f>IF(板块成分!B2406="","",板块成分!B2406)</f>
        <v>300969.SZ</v>
      </c>
      <c r="X2404" s="276" t="str">
        <f>[1]!S_Info_Name(W2404)</f>
        <v>恒帅股份</v>
      </c>
      <c r="Y2404" s="276" t="str">
        <f ca="1">IF($Y$3="申万一级行业",[1]!s_info_industry_sw_2021(W2404,公司分析!D$5,1),IF($Y$3="申万二级行业",[1]!s_info_industry_sw_2021(W2404,公司分析!D$5,2),IF($Y$3="申万三级行业",[1]!s_info_industry_sw_2021(W2404,公司分析!D$5,3),IF($Y$3="wind一级行业",[1]!s_info_industry_gics(W2404,1),IF($Y$3="wind二级行业",[1]!s_info_industry_gics(W2404,2),IF($Y$3="wind三级行业",[1]!s_info_industry_gics(W2404,3),IF($Y$3="wind四级行业",[1]!s_info_industry_gics(W2404,4),IF($Y$3="证监会门类行业",[1]!s_info_industry_csrc12_n(W2404,公司分析!D$5,1),""))))))))</f>
        <v>汽车零部件</v>
      </c>
      <c r="Z2404" s="302" t="str">
        <f ca="1">IF(Y2404=行业比较!$E$6,ROW(),"")</f>
        <v/>
      </c>
      <c r="AA2404" s="122"/>
      <c r="AB2404" s="122"/>
      <c r="AC2404" s="122"/>
      <c r="AD2404" s="122"/>
      <c r="AE2404" s="122"/>
      <c r="AF2404" s="122"/>
      <c r="AG2404" s="122"/>
      <c r="AH2404" s="122"/>
      <c r="AI2404" s="122"/>
      <c r="AJ2404" s="122"/>
      <c r="AK2404" s="122"/>
      <c r="AL2404" s="122"/>
      <c r="AM2404" s="122"/>
      <c r="AN2404" s="122"/>
      <c r="AO2404" s="122"/>
      <c r="AP2404" s="122"/>
    </row>
    <row r="2405" spans="2:42">
      <c r="B2405" s="122"/>
      <c r="C2405" s="122"/>
      <c r="D2405" s="122"/>
      <c r="E2405" s="122"/>
      <c r="F2405" s="122"/>
      <c r="G2405" s="122"/>
      <c r="H2405" s="122"/>
      <c r="I2405" s="275"/>
      <c r="J2405" s="130"/>
      <c r="K2405" s="130"/>
      <c r="L2405" s="130"/>
      <c r="M2405" s="130"/>
      <c r="N2405" s="291"/>
      <c r="O2405" s="291"/>
      <c r="P2405" s="122"/>
      <c r="Q2405" s="122"/>
      <c r="R2405" s="122"/>
      <c r="S2405" s="122"/>
      <c r="T2405" s="122"/>
      <c r="U2405" s="315"/>
      <c r="V2405" s="260">
        <f t="shared" ca="1" si="45"/>
        <v>0</v>
      </c>
      <c r="W2405" s="348" t="str">
        <f>IF(板块成分!B2407="","",板块成分!B2407)</f>
        <v>300970.SZ</v>
      </c>
      <c r="X2405" s="276" t="str">
        <f>[1]!S_Info_Name(W2405)</f>
        <v>华绿生物</v>
      </c>
      <c r="Y2405" s="276" t="str">
        <f ca="1">IF($Y$3="申万一级行业",[1]!s_info_industry_sw_2021(W2405,公司分析!D$5,1),IF($Y$3="申万二级行业",[1]!s_info_industry_sw_2021(W2405,公司分析!D$5,2),IF($Y$3="申万三级行业",[1]!s_info_industry_sw_2021(W2405,公司分析!D$5,3),IF($Y$3="wind一级行业",[1]!s_info_industry_gics(W2405,1),IF($Y$3="wind二级行业",[1]!s_info_industry_gics(W2405,2),IF($Y$3="wind三级行业",[1]!s_info_industry_gics(W2405,3),IF($Y$3="wind四级行业",[1]!s_info_industry_gics(W2405,4),IF($Y$3="证监会门类行业",[1]!s_info_industry_csrc12_n(W2405,公司分析!D$5,1),""))))))))</f>
        <v>种植业</v>
      </c>
      <c r="Z2405" s="302" t="str">
        <f ca="1">IF(Y2405=行业比较!$E$6,ROW(),"")</f>
        <v/>
      </c>
      <c r="AA2405" s="122"/>
      <c r="AB2405" s="122"/>
      <c r="AC2405" s="122"/>
      <c r="AD2405" s="122"/>
      <c r="AE2405" s="122"/>
      <c r="AF2405" s="122"/>
      <c r="AG2405" s="122"/>
      <c r="AH2405" s="122"/>
      <c r="AI2405" s="122"/>
      <c r="AJ2405" s="122"/>
      <c r="AK2405" s="122"/>
      <c r="AL2405" s="122"/>
      <c r="AM2405" s="122"/>
      <c r="AN2405" s="122"/>
      <c r="AO2405" s="122"/>
      <c r="AP2405" s="122"/>
    </row>
    <row r="2406" spans="2:42">
      <c r="B2406" s="122"/>
      <c r="C2406" s="122"/>
      <c r="D2406" s="122"/>
      <c r="E2406" s="122"/>
      <c r="F2406" s="122"/>
      <c r="G2406" s="122"/>
      <c r="H2406" s="122"/>
      <c r="I2406" s="275"/>
      <c r="J2406" s="130"/>
      <c r="K2406" s="130"/>
      <c r="L2406" s="130"/>
      <c r="M2406" s="130"/>
      <c r="N2406" s="291"/>
      <c r="O2406" s="291"/>
      <c r="P2406" s="122"/>
      <c r="Q2406" s="122"/>
      <c r="R2406" s="122"/>
      <c r="S2406" s="122"/>
      <c r="T2406" s="122"/>
      <c r="U2406" s="315"/>
      <c r="V2406" s="260">
        <f t="shared" ca="1" si="45"/>
        <v>0</v>
      </c>
      <c r="W2406" s="348" t="str">
        <f>IF(板块成分!B2408="","",板块成分!B2408)</f>
        <v>300971.SZ</v>
      </c>
      <c r="X2406" s="276" t="str">
        <f>[1]!S_Info_Name(W2406)</f>
        <v>博亚精工</v>
      </c>
      <c r="Y2406" s="276" t="str">
        <f ca="1">IF($Y$3="申万一级行业",[1]!s_info_industry_sw_2021(W2406,公司分析!D$5,1),IF($Y$3="申万二级行业",[1]!s_info_industry_sw_2021(W2406,公司分析!D$5,2),IF($Y$3="申万三级行业",[1]!s_info_industry_sw_2021(W2406,公司分析!D$5,3),IF($Y$3="wind一级行业",[1]!s_info_industry_gics(W2406,1),IF($Y$3="wind二级行业",[1]!s_info_industry_gics(W2406,2),IF($Y$3="wind三级行业",[1]!s_info_industry_gics(W2406,3),IF($Y$3="wind四级行业",[1]!s_info_industry_gics(W2406,4),IF($Y$3="证监会门类行业",[1]!s_info_industry_csrc12_n(W2406,公司分析!D$5,1),""))))))))</f>
        <v>专用设备</v>
      </c>
      <c r="Z2406" s="302" t="str">
        <f ca="1">IF(Y2406=行业比较!$E$6,ROW(),"")</f>
        <v/>
      </c>
      <c r="AA2406" s="122"/>
      <c r="AB2406" s="122"/>
      <c r="AC2406" s="122"/>
      <c r="AD2406" s="122"/>
      <c r="AE2406" s="122"/>
      <c r="AF2406" s="122"/>
      <c r="AG2406" s="122"/>
      <c r="AH2406" s="122"/>
      <c r="AI2406" s="122"/>
      <c r="AJ2406" s="122"/>
      <c r="AK2406" s="122"/>
      <c r="AL2406" s="122"/>
      <c r="AM2406" s="122"/>
      <c r="AN2406" s="122"/>
      <c r="AO2406" s="122"/>
      <c r="AP2406" s="122"/>
    </row>
    <row r="2407" spans="2:42">
      <c r="B2407" s="122"/>
      <c r="C2407" s="122"/>
      <c r="D2407" s="122"/>
      <c r="E2407" s="122"/>
      <c r="F2407" s="122"/>
      <c r="G2407" s="122"/>
      <c r="H2407" s="122"/>
      <c r="I2407" s="275"/>
      <c r="J2407" s="130"/>
      <c r="K2407" s="130"/>
      <c r="L2407" s="130"/>
      <c r="M2407" s="130"/>
      <c r="N2407" s="291"/>
      <c r="O2407" s="291"/>
      <c r="P2407" s="122"/>
      <c r="Q2407" s="122"/>
      <c r="R2407" s="122"/>
      <c r="S2407" s="122"/>
      <c r="T2407" s="122"/>
      <c r="U2407" s="315"/>
      <c r="V2407" s="260">
        <f t="shared" ca="1" si="45"/>
        <v>0</v>
      </c>
      <c r="W2407" s="348" t="str">
        <f>IF(板块成分!B2409="","",板块成分!B2409)</f>
        <v>300972.SZ</v>
      </c>
      <c r="X2407" s="276" t="str">
        <f>[1]!S_Info_Name(W2407)</f>
        <v>万辰集团</v>
      </c>
      <c r="Y2407" s="276" t="str">
        <f ca="1">IF($Y$3="申万一级行业",[1]!s_info_industry_sw_2021(W2407,公司分析!D$5,1),IF($Y$3="申万二级行业",[1]!s_info_industry_sw_2021(W2407,公司分析!D$5,2),IF($Y$3="申万三级行业",[1]!s_info_industry_sw_2021(W2407,公司分析!D$5,3),IF($Y$3="wind一级行业",[1]!s_info_industry_gics(W2407,1),IF($Y$3="wind二级行业",[1]!s_info_industry_gics(W2407,2),IF($Y$3="wind三级行业",[1]!s_info_industry_gics(W2407,3),IF($Y$3="wind四级行业",[1]!s_info_industry_gics(W2407,4),IF($Y$3="证监会门类行业",[1]!s_info_industry_csrc12_n(W2407,公司分析!D$5,1),""))))))))</f>
        <v>一般零售</v>
      </c>
      <c r="Z2407" s="302" t="str">
        <f ca="1">IF(Y2407=行业比较!$E$6,ROW(),"")</f>
        <v/>
      </c>
      <c r="AA2407" s="122"/>
      <c r="AB2407" s="122"/>
      <c r="AC2407" s="122"/>
      <c r="AD2407" s="122"/>
      <c r="AE2407" s="122"/>
      <c r="AF2407" s="122"/>
      <c r="AG2407" s="122"/>
      <c r="AH2407" s="122"/>
      <c r="AI2407" s="122"/>
      <c r="AJ2407" s="122"/>
      <c r="AK2407" s="122"/>
      <c r="AL2407" s="122"/>
      <c r="AM2407" s="122"/>
      <c r="AN2407" s="122"/>
      <c r="AO2407" s="122"/>
      <c r="AP2407" s="122"/>
    </row>
    <row r="2408" spans="2:42">
      <c r="B2408" s="122"/>
      <c r="C2408" s="122"/>
      <c r="D2408" s="122"/>
      <c r="E2408" s="122"/>
      <c r="F2408" s="122"/>
      <c r="G2408" s="122"/>
      <c r="H2408" s="122"/>
      <c r="I2408" s="275"/>
      <c r="J2408" s="130"/>
      <c r="K2408" s="130"/>
      <c r="L2408" s="130"/>
      <c r="M2408" s="130"/>
      <c r="N2408" s="291"/>
      <c r="O2408" s="291"/>
      <c r="P2408" s="122"/>
      <c r="Q2408" s="122"/>
      <c r="R2408" s="122"/>
      <c r="S2408" s="122"/>
      <c r="T2408" s="122"/>
      <c r="U2408" s="315"/>
      <c r="V2408" s="260">
        <f t="shared" ca="1" si="45"/>
        <v>0</v>
      </c>
      <c r="W2408" s="348" t="str">
        <f>IF(板块成分!B2410="","",板块成分!B2410)</f>
        <v>300973.SZ</v>
      </c>
      <c r="X2408" s="276" t="str">
        <f>[1]!S_Info_Name(W2408)</f>
        <v>立高食品</v>
      </c>
      <c r="Y2408" s="276" t="str">
        <f ca="1">IF($Y$3="申万一级行业",[1]!s_info_industry_sw_2021(W2408,公司分析!D$5,1),IF($Y$3="申万二级行业",[1]!s_info_industry_sw_2021(W2408,公司分析!D$5,2),IF($Y$3="申万三级行业",[1]!s_info_industry_sw_2021(W2408,公司分析!D$5,3),IF($Y$3="wind一级行业",[1]!s_info_industry_gics(W2408,1),IF($Y$3="wind二级行业",[1]!s_info_industry_gics(W2408,2),IF($Y$3="wind三级行业",[1]!s_info_industry_gics(W2408,3),IF($Y$3="wind四级行业",[1]!s_info_industry_gics(W2408,4),IF($Y$3="证监会门类行业",[1]!s_info_industry_csrc12_n(W2408,公司分析!D$5,1),""))))))))</f>
        <v>休闲食品</v>
      </c>
      <c r="Z2408" s="302" t="str">
        <f ca="1">IF(Y2408=行业比较!$E$6,ROW(),"")</f>
        <v/>
      </c>
      <c r="AA2408" s="122"/>
      <c r="AB2408" s="122"/>
      <c r="AC2408" s="122"/>
      <c r="AD2408" s="122"/>
      <c r="AE2408" s="122"/>
      <c r="AF2408" s="122"/>
      <c r="AG2408" s="122"/>
      <c r="AH2408" s="122"/>
      <c r="AI2408" s="122"/>
      <c r="AJ2408" s="122"/>
      <c r="AK2408" s="122"/>
      <c r="AL2408" s="122"/>
      <c r="AM2408" s="122"/>
      <c r="AN2408" s="122"/>
      <c r="AO2408" s="122"/>
      <c r="AP2408" s="122"/>
    </row>
    <row r="2409" spans="2:42">
      <c r="B2409" s="122"/>
      <c r="C2409" s="122"/>
      <c r="D2409" s="122"/>
      <c r="E2409" s="122"/>
      <c r="F2409" s="122"/>
      <c r="G2409" s="122"/>
      <c r="H2409" s="122"/>
      <c r="I2409" s="275"/>
      <c r="J2409" s="130"/>
      <c r="K2409" s="130"/>
      <c r="L2409" s="130"/>
      <c r="M2409" s="130"/>
      <c r="N2409" s="291"/>
      <c r="O2409" s="291"/>
      <c r="P2409" s="122"/>
      <c r="Q2409" s="122"/>
      <c r="R2409" s="122"/>
      <c r="S2409" s="122"/>
      <c r="T2409" s="122"/>
      <c r="U2409" s="315"/>
      <c r="V2409" s="260">
        <f t="shared" ca="1" si="45"/>
        <v>0</v>
      </c>
      <c r="W2409" s="348" t="str">
        <f>IF(板块成分!B2411="","",板块成分!B2411)</f>
        <v>300975.SZ</v>
      </c>
      <c r="X2409" s="276" t="str">
        <f>[1]!S_Info_Name(W2409)</f>
        <v>商络电子</v>
      </c>
      <c r="Y2409" s="276" t="str">
        <f ca="1">IF($Y$3="申万一级行业",[1]!s_info_industry_sw_2021(W2409,公司分析!D$5,1),IF($Y$3="申万二级行业",[1]!s_info_industry_sw_2021(W2409,公司分析!D$5,2),IF($Y$3="申万三级行业",[1]!s_info_industry_sw_2021(W2409,公司分析!D$5,3),IF($Y$3="wind一级行业",[1]!s_info_industry_gics(W2409,1),IF($Y$3="wind二级行业",[1]!s_info_industry_gics(W2409,2),IF($Y$3="wind三级行业",[1]!s_info_industry_gics(W2409,3),IF($Y$3="wind四级行业",[1]!s_info_industry_gics(W2409,4),IF($Y$3="证监会门类行业",[1]!s_info_industry_csrc12_n(W2409,公司分析!D$5,1),""))))))))</f>
        <v>元件</v>
      </c>
      <c r="Z2409" s="302" t="str">
        <f ca="1">IF(Y2409=行业比较!$E$6,ROW(),"")</f>
        <v/>
      </c>
      <c r="AA2409" s="122"/>
      <c r="AB2409" s="122"/>
      <c r="AC2409" s="122"/>
      <c r="AD2409" s="122"/>
      <c r="AE2409" s="122"/>
      <c r="AF2409" s="122"/>
      <c r="AG2409" s="122"/>
      <c r="AH2409" s="122"/>
      <c r="AI2409" s="122"/>
      <c r="AJ2409" s="122"/>
      <c r="AK2409" s="122"/>
      <c r="AL2409" s="122"/>
      <c r="AM2409" s="122"/>
      <c r="AN2409" s="122"/>
      <c r="AO2409" s="122"/>
      <c r="AP2409" s="122"/>
    </row>
    <row r="2410" spans="2:42">
      <c r="B2410" s="122"/>
      <c r="C2410" s="122"/>
      <c r="D2410" s="122"/>
      <c r="E2410" s="122"/>
      <c r="F2410" s="122"/>
      <c r="G2410" s="122"/>
      <c r="H2410" s="122"/>
      <c r="I2410" s="275"/>
      <c r="J2410" s="130"/>
      <c r="K2410" s="130"/>
      <c r="L2410" s="130"/>
      <c r="M2410" s="130"/>
      <c r="N2410" s="291"/>
      <c r="O2410" s="291"/>
      <c r="P2410" s="122"/>
      <c r="Q2410" s="122"/>
      <c r="R2410" s="122"/>
      <c r="S2410" s="122"/>
      <c r="T2410" s="122"/>
      <c r="U2410" s="315"/>
      <c r="V2410" s="260">
        <f t="shared" ca="1" si="45"/>
        <v>0</v>
      </c>
      <c r="W2410" s="348" t="str">
        <f>IF(板块成分!B2412="","",板块成分!B2412)</f>
        <v>300976.SZ</v>
      </c>
      <c r="X2410" s="276" t="str">
        <f>[1]!S_Info_Name(W2410)</f>
        <v>达瑞电子</v>
      </c>
      <c r="Y2410" s="276" t="str">
        <f ca="1">IF($Y$3="申万一级行业",[1]!s_info_industry_sw_2021(W2410,公司分析!D$5,1),IF($Y$3="申万二级行业",[1]!s_info_industry_sw_2021(W2410,公司分析!D$5,2),IF($Y$3="申万三级行业",[1]!s_info_industry_sw_2021(W2410,公司分析!D$5,3),IF($Y$3="wind一级行业",[1]!s_info_industry_gics(W2410,1),IF($Y$3="wind二级行业",[1]!s_info_industry_gics(W2410,2),IF($Y$3="wind三级行业",[1]!s_info_industry_gics(W2410,3),IF($Y$3="wind四级行业",[1]!s_info_industry_gics(W2410,4),IF($Y$3="证监会门类行业",[1]!s_info_industry_csrc12_n(W2410,公司分析!D$5,1),""))))))))</f>
        <v>消费电子</v>
      </c>
      <c r="Z2410" s="302" t="str">
        <f ca="1">IF(Y2410=行业比较!$E$6,ROW(),"")</f>
        <v/>
      </c>
      <c r="AA2410" s="122"/>
      <c r="AB2410" s="122"/>
      <c r="AC2410" s="122"/>
      <c r="AD2410" s="122"/>
      <c r="AE2410" s="122"/>
      <c r="AF2410" s="122"/>
      <c r="AG2410" s="122"/>
      <c r="AH2410" s="122"/>
      <c r="AI2410" s="122"/>
      <c r="AJ2410" s="122"/>
      <c r="AK2410" s="122"/>
      <c r="AL2410" s="122"/>
      <c r="AM2410" s="122"/>
      <c r="AN2410" s="122"/>
      <c r="AO2410" s="122"/>
      <c r="AP2410" s="122"/>
    </row>
    <row r="2411" spans="2:42">
      <c r="B2411" s="122"/>
      <c r="C2411" s="122"/>
      <c r="D2411" s="122"/>
      <c r="E2411" s="122"/>
      <c r="F2411" s="122"/>
      <c r="G2411" s="122"/>
      <c r="H2411" s="122"/>
      <c r="I2411" s="275"/>
      <c r="J2411" s="130"/>
      <c r="K2411" s="130"/>
      <c r="L2411" s="130"/>
      <c r="M2411" s="130"/>
      <c r="N2411" s="291"/>
      <c r="O2411" s="291"/>
      <c r="P2411" s="122"/>
      <c r="Q2411" s="122"/>
      <c r="R2411" s="122"/>
      <c r="S2411" s="122"/>
      <c r="T2411" s="122"/>
      <c r="U2411" s="315"/>
      <c r="V2411" s="260">
        <f t="shared" ca="1" si="45"/>
        <v>0</v>
      </c>
      <c r="W2411" s="348" t="str">
        <f>IF(板块成分!B2413="","",板块成分!B2413)</f>
        <v>300977.SZ</v>
      </c>
      <c r="X2411" s="276" t="str">
        <f>[1]!S_Info_Name(W2411)</f>
        <v>深圳瑞捷</v>
      </c>
      <c r="Y2411" s="276" t="str">
        <f ca="1">IF($Y$3="申万一级行业",[1]!s_info_industry_sw_2021(W2411,公司分析!D$5,1),IF($Y$3="申万二级行业",[1]!s_info_industry_sw_2021(W2411,公司分析!D$5,2),IF($Y$3="申万三级行业",[1]!s_info_industry_sw_2021(W2411,公司分析!D$5,3),IF($Y$3="wind一级行业",[1]!s_info_industry_gics(W2411,1),IF($Y$3="wind二级行业",[1]!s_info_industry_gics(W2411,2),IF($Y$3="wind三级行业",[1]!s_info_industry_gics(W2411,3),IF($Y$3="wind四级行业",[1]!s_info_industry_gics(W2411,4),IF($Y$3="证监会门类行业",[1]!s_info_industry_csrc12_n(W2411,公司分析!D$5,1),""))))))))</f>
        <v>工程咨询服务Ⅱ</v>
      </c>
      <c r="Z2411" s="302" t="str">
        <f ca="1">IF(Y2411=行业比较!$E$6,ROW(),"")</f>
        <v/>
      </c>
      <c r="AA2411" s="122"/>
      <c r="AB2411" s="122"/>
      <c r="AC2411" s="122"/>
      <c r="AD2411" s="122"/>
      <c r="AE2411" s="122"/>
      <c r="AF2411" s="122"/>
      <c r="AG2411" s="122"/>
      <c r="AH2411" s="122"/>
      <c r="AI2411" s="122"/>
      <c r="AJ2411" s="122"/>
      <c r="AK2411" s="122"/>
      <c r="AL2411" s="122"/>
      <c r="AM2411" s="122"/>
      <c r="AN2411" s="122"/>
      <c r="AO2411" s="122"/>
      <c r="AP2411" s="122"/>
    </row>
    <row r="2412" spans="2:42">
      <c r="B2412" s="122"/>
      <c r="C2412" s="122"/>
      <c r="D2412" s="122"/>
      <c r="E2412" s="122"/>
      <c r="F2412" s="122"/>
      <c r="G2412" s="122"/>
      <c r="H2412" s="122"/>
      <c r="I2412" s="275"/>
      <c r="J2412" s="130"/>
      <c r="K2412" s="130"/>
      <c r="L2412" s="130"/>
      <c r="M2412" s="130"/>
      <c r="N2412" s="291"/>
      <c r="O2412" s="291"/>
      <c r="P2412" s="122"/>
      <c r="Q2412" s="122"/>
      <c r="R2412" s="122"/>
      <c r="S2412" s="122"/>
      <c r="T2412" s="122"/>
      <c r="U2412" s="315"/>
      <c r="V2412" s="260">
        <f t="shared" ca="1" si="45"/>
        <v>0</v>
      </c>
      <c r="W2412" s="348" t="str">
        <f>IF(板块成分!B2414="","",板块成分!B2414)</f>
        <v>300978.SZ</v>
      </c>
      <c r="X2412" s="276" t="str">
        <f>[1]!S_Info_Name(W2412)</f>
        <v>东箭科技</v>
      </c>
      <c r="Y2412" s="276" t="str">
        <f ca="1">IF($Y$3="申万一级行业",[1]!s_info_industry_sw_2021(W2412,公司分析!D$5,1),IF($Y$3="申万二级行业",[1]!s_info_industry_sw_2021(W2412,公司分析!D$5,2),IF($Y$3="申万三级行业",[1]!s_info_industry_sw_2021(W2412,公司分析!D$5,3),IF($Y$3="wind一级行业",[1]!s_info_industry_gics(W2412,1),IF($Y$3="wind二级行业",[1]!s_info_industry_gics(W2412,2),IF($Y$3="wind三级行业",[1]!s_info_industry_gics(W2412,3),IF($Y$3="wind四级行业",[1]!s_info_industry_gics(W2412,4),IF($Y$3="证监会门类行业",[1]!s_info_industry_csrc12_n(W2412,公司分析!D$5,1),""))))))))</f>
        <v>汽车零部件</v>
      </c>
      <c r="Z2412" s="302" t="str">
        <f ca="1">IF(Y2412=行业比较!$E$6,ROW(),"")</f>
        <v/>
      </c>
      <c r="AA2412" s="122"/>
      <c r="AB2412" s="122"/>
      <c r="AC2412" s="122"/>
      <c r="AD2412" s="122"/>
      <c r="AE2412" s="122"/>
      <c r="AF2412" s="122"/>
      <c r="AG2412" s="122"/>
      <c r="AH2412" s="122"/>
      <c r="AI2412" s="122"/>
      <c r="AJ2412" s="122"/>
      <c r="AK2412" s="122"/>
      <c r="AL2412" s="122"/>
      <c r="AM2412" s="122"/>
      <c r="AN2412" s="122"/>
      <c r="AO2412" s="122"/>
      <c r="AP2412" s="122"/>
    </row>
    <row r="2413" spans="2:42">
      <c r="B2413" s="122"/>
      <c r="C2413" s="122"/>
      <c r="D2413" s="122"/>
      <c r="E2413" s="122"/>
      <c r="F2413" s="122"/>
      <c r="G2413" s="122"/>
      <c r="H2413" s="122"/>
      <c r="I2413" s="275"/>
      <c r="J2413" s="130"/>
      <c r="K2413" s="130"/>
      <c r="L2413" s="130"/>
      <c r="M2413" s="130"/>
      <c r="N2413" s="291"/>
      <c r="O2413" s="291"/>
      <c r="P2413" s="122"/>
      <c r="Q2413" s="122"/>
      <c r="R2413" s="122"/>
      <c r="S2413" s="122"/>
      <c r="T2413" s="122"/>
      <c r="U2413" s="315"/>
      <c r="V2413" s="260">
        <f t="shared" ca="1" si="45"/>
        <v>0</v>
      </c>
      <c r="W2413" s="348" t="str">
        <f>IF(板块成分!B2415="","",板块成分!B2415)</f>
        <v>300979.SZ</v>
      </c>
      <c r="X2413" s="276" t="str">
        <f>[1]!S_Info_Name(W2413)</f>
        <v>华利集团</v>
      </c>
      <c r="Y2413" s="276" t="str">
        <f ca="1">IF($Y$3="申万一级行业",[1]!s_info_industry_sw_2021(W2413,公司分析!D$5,1),IF($Y$3="申万二级行业",[1]!s_info_industry_sw_2021(W2413,公司分析!D$5,2),IF($Y$3="申万三级行业",[1]!s_info_industry_sw_2021(W2413,公司分析!D$5,3),IF($Y$3="wind一级行业",[1]!s_info_industry_gics(W2413,1),IF($Y$3="wind二级行业",[1]!s_info_industry_gics(W2413,2),IF($Y$3="wind三级行业",[1]!s_info_industry_gics(W2413,3),IF($Y$3="wind四级行业",[1]!s_info_industry_gics(W2413,4),IF($Y$3="证监会门类行业",[1]!s_info_industry_csrc12_n(W2413,公司分析!D$5,1),""))))))))</f>
        <v>纺织制造</v>
      </c>
      <c r="Z2413" s="302" t="str">
        <f ca="1">IF(Y2413=行业比较!$E$6,ROW(),"")</f>
        <v/>
      </c>
      <c r="AA2413" s="122"/>
      <c r="AB2413" s="122"/>
      <c r="AC2413" s="122"/>
      <c r="AD2413" s="122"/>
      <c r="AE2413" s="122"/>
      <c r="AF2413" s="122"/>
      <c r="AG2413" s="122"/>
      <c r="AH2413" s="122"/>
      <c r="AI2413" s="122"/>
      <c r="AJ2413" s="122"/>
      <c r="AK2413" s="122"/>
      <c r="AL2413" s="122"/>
      <c r="AM2413" s="122"/>
      <c r="AN2413" s="122"/>
      <c r="AO2413" s="122"/>
      <c r="AP2413" s="122"/>
    </row>
    <row r="2414" spans="2:42">
      <c r="B2414" s="122"/>
      <c r="C2414" s="122"/>
      <c r="D2414" s="122"/>
      <c r="E2414" s="122"/>
      <c r="F2414" s="122"/>
      <c r="G2414" s="122"/>
      <c r="H2414" s="122"/>
      <c r="I2414" s="275"/>
      <c r="J2414" s="130"/>
      <c r="K2414" s="130"/>
      <c r="L2414" s="130"/>
      <c r="M2414" s="130"/>
      <c r="N2414" s="291"/>
      <c r="O2414" s="291"/>
      <c r="P2414" s="122"/>
      <c r="Q2414" s="122"/>
      <c r="R2414" s="122"/>
      <c r="S2414" s="122"/>
      <c r="T2414" s="122"/>
      <c r="U2414" s="315"/>
      <c r="V2414" s="260">
        <f t="shared" ca="1" si="45"/>
        <v>0</v>
      </c>
      <c r="W2414" s="348" t="str">
        <f>IF(板块成分!B2416="","",板块成分!B2416)</f>
        <v>300980.SZ</v>
      </c>
      <c r="X2414" s="276" t="str">
        <f>[1]!S_Info_Name(W2414)</f>
        <v>祥源新材</v>
      </c>
      <c r="Y2414" s="276" t="str">
        <f ca="1">IF($Y$3="申万一级行业",[1]!s_info_industry_sw_2021(W2414,公司分析!D$5,1),IF($Y$3="申万二级行业",[1]!s_info_industry_sw_2021(W2414,公司分析!D$5,2),IF($Y$3="申万三级行业",[1]!s_info_industry_sw_2021(W2414,公司分析!D$5,3),IF($Y$3="wind一级行业",[1]!s_info_industry_gics(W2414,1),IF($Y$3="wind二级行业",[1]!s_info_industry_gics(W2414,2),IF($Y$3="wind三级行业",[1]!s_info_industry_gics(W2414,3),IF($Y$3="wind四级行业",[1]!s_info_industry_gics(W2414,4),IF($Y$3="证监会门类行业",[1]!s_info_industry_csrc12_n(W2414,公司分析!D$5,1),""))))))))</f>
        <v>塑料</v>
      </c>
      <c r="Z2414" s="302" t="str">
        <f ca="1">IF(Y2414=行业比较!$E$6,ROW(),"")</f>
        <v/>
      </c>
      <c r="AA2414" s="122"/>
      <c r="AB2414" s="122"/>
      <c r="AC2414" s="122"/>
      <c r="AD2414" s="122"/>
      <c r="AE2414" s="122"/>
      <c r="AF2414" s="122"/>
      <c r="AG2414" s="122"/>
      <c r="AH2414" s="122"/>
      <c r="AI2414" s="122"/>
      <c r="AJ2414" s="122"/>
      <c r="AK2414" s="122"/>
      <c r="AL2414" s="122"/>
      <c r="AM2414" s="122"/>
      <c r="AN2414" s="122"/>
      <c r="AO2414" s="122"/>
      <c r="AP2414" s="122"/>
    </row>
    <row r="2415" spans="2:42">
      <c r="B2415" s="122"/>
      <c r="C2415" s="122"/>
      <c r="D2415" s="122"/>
      <c r="E2415" s="122"/>
      <c r="F2415" s="122"/>
      <c r="G2415" s="122"/>
      <c r="H2415" s="122"/>
      <c r="I2415" s="275"/>
      <c r="J2415" s="130"/>
      <c r="K2415" s="130"/>
      <c r="L2415" s="130"/>
      <c r="M2415" s="130"/>
      <c r="N2415" s="291"/>
      <c r="O2415" s="291"/>
      <c r="P2415" s="122"/>
      <c r="Q2415" s="122"/>
      <c r="R2415" s="122"/>
      <c r="S2415" s="122"/>
      <c r="T2415" s="122"/>
      <c r="U2415" s="315"/>
      <c r="V2415" s="260">
        <f t="shared" ca="1" si="45"/>
        <v>0</v>
      </c>
      <c r="W2415" s="348" t="str">
        <f>IF(板块成分!B2417="","",板块成分!B2417)</f>
        <v>300981.SZ</v>
      </c>
      <c r="X2415" s="276" t="str">
        <f>[1]!S_Info_Name(W2415)</f>
        <v>中红医疗</v>
      </c>
      <c r="Y2415" s="276" t="str">
        <f ca="1">IF($Y$3="申万一级行业",[1]!s_info_industry_sw_2021(W2415,公司分析!D$5,1),IF($Y$3="申万二级行业",[1]!s_info_industry_sw_2021(W2415,公司分析!D$5,2),IF($Y$3="申万三级行业",[1]!s_info_industry_sw_2021(W2415,公司分析!D$5,3),IF($Y$3="wind一级行业",[1]!s_info_industry_gics(W2415,1),IF($Y$3="wind二级行业",[1]!s_info_industry_gics(W2415,2),IF($Y$3="wind三级行业",[1]!s_info_industry_gics(W2415,3),IF($Y$3="wind四级行业",[1]!s_info_industry_gics(W2415,4),IF($Y$3="证监会门类行业",[1]!s_info_industry_csrc12_n(W2415,公司分析!D$5,1),""))))))))</f>
        <v>医疗器械</v>
      </c>
      <c r="Z2415" s="302" t="str">
        <f ca="1">IF(Y2415=行业比较!$E$6,ROW(),"")</f>
        <v/>
      </c>
      <c r="AA2415" s="122"/>
      <c r="AB2415" s="122"/>
      <c r="AC2415" s="122"/>
      <c r="AD2415" s="122"/>
      <c r="AE2415" s="122"/>
      <c r="AF2415" s="122"/>
      <c r="AG2415" s="122"/>
      <c r="AH2415" s="122"/>
      <c r="AI2415" s="122"/>
      <c r="AJ2415" s="122"/>
      <c r="AK2415" s="122"/>
      <c r="AL2415" s="122"/>
      <c r="AM2415" s="122"/>
      <c r="AN2415" s="122"/>
      <c r="AO2415" s="122"/>
      <c r="AP2415" s="122"/>
    </row>
    <row r="2416" spans="2:42">
      <c r="B2416" s="122"/>
      <c r="C2416" s="122"/>
      <c r="D2416" s="122"/>
      <c r="E2416" s="122"/>
      <c r="F2416" s="122"/>
      <c r="G2416" s="122"/>
      <c r="H2416" s="122"/>
      <c r="I2416" s="275"/>
      <c r="J2416" s="130"/>
      <c r="K2416" s="130"/>
      <c r="L2416" s="130"/>
      <c r="M2416" s="130"/>
      <c r="N2416" s="291"/>
      <c r="O2416" s="291"/>
      <c r="P2416" s="122"/>
      <c r="Q2416" s="122"/>
      <c r="R2416" s="122"/>
      <c r="S2416" s="122"/>
      <c r="T2416" s="122"/>
      <c r="U2416" s="315"/>
      <c r="V2416" s="260">
        <f t="shared" ca="1" si="45"/>
        <v>0</v>
      </c>
      <c r="W2416" s="348" t="str">
        <f>IF(板块成分!B2418="","",板块成分!B2418)</f>
        <v>300982.SZ</v>
      </c>
      <c r="X2416" s="276" t="str">
        <f>[1]!S_Info_Name(W2416)</f>
        <v>苏文电能</v>
      </c>
      <c r="Y2416" s="276" t="str">
        <f ca="1">IF($Y$3="申万一级行业",[1]!s_info_industry_sw_2021(W2416,公司分析!D$5,1),IF($Y$3="申万二级行业",[1]!s_info_industry_sw_2021(W2416,公司分析!D$5,2),IF($Y$3="申万三级行业",[1]!s_info_industry_sw_2021(W2416,公司分析!D$5,3),IF($Y$3="wind一级行业",[1]!s_info_industry_gics(W2416,1),IF($Y$3="wind二级行业",[1]!s_info_industry_gics(W2416,2),IF($Y$3="wind三级行业",[1]!s_info_industry_gics(W2416,3),IF($Y$3="wind四级行业",[1]!s_info_industry_gics(W2416,4),IF($Y$3="证监会门类行业",[1]!s_info_industry_csrc12_n(W2416,公司分析!D$5,1),""))))))))</f>
        <v>基础建设</v>
      </c>
      <c r="Z2416" s="302" t="str">
        <f ca="1">IF(Y2416=行业比较!$E$6,ROW(),"")</f>
        <v/>
      </c>
      <c r="AA2416" s="122"/>
      <c r="AB2416" s="122"/>
      <c r="AC2416" s="122"/>
      <c r="AD2416" s="122"/>
      <c r="AE2416" s="122"/>
      <c r="AF2416" s="122"/>
      <c r="AG2416" s="122"/>
      <c r="AH2416" s="122"/>
      <c r="AI2416" s="122"/>
      <c r="AJ2416" s="122"/>
      <c r="AK2416" s="122"/>
      <c r="AL2416" s="122"/>
      <c r="AM2416" s="122"/>
      <c r="AN2416" s="122"/>
      <c r="AO2416" s="122"/>
      <c r="AP2416" s="122"/>
    </row>
    <row r="2417" spans="2:42">
      <c r="B2417" s="122"/>
      <c r="C2417" s="122"/>
      <c r="D2417" s="122"/>
      <c r="E2417" s="122"/>
      <c r="F2417" s="122"/>
      <c r="G2417" s="122"/>
      <c r="H2417" s="122"/>
      <c r="I2417" s="275"/>
      <c r="J2417" s="130"/>
      <c r="K2417" s="130"/>
      <c r="L2417" s="130"/>
      <c r="M2417" s="130"/>
      <c r="N2417" s="291"/>
      <c r="O2417" s="291"/>
      <c r="P2417" s="122"/>
      <c r="Q2417" s="122"/>
      <c r="R2417" s="122"/>
      <c r="S2417" s="122"/>
      <c r="T2417" s="122"/>
      <c r="U2417" s="315"/>
      <c r="V2417" s="260">
        <f t="shared" ca="1" si="45"/>
        <v>0</v>
      </c>
      <c r="W2417" s="348" t="str">
        <f>IF(板块成分!B2419="","",板块成分!B2419)</f>
        <v>300983.SZ</v>
      </c>
      <c r="X2417" s="276" t="str">
        <f>[1]!S_Info_Name(W2417)</f>
        <v>尤安设计</v>
      </c>
      <c r="Y2417" s="276" t="str">
        <f ca="1">IF($Y$3="申万一级行业",[1]!s_info_industry_sw_2021(W2417,公司分析!D$5,1),IF($Y$3="申万二级行业",[1]!s_info_industry_sw_2021(W2417,公司分析!D$5,2),IF($Y$3="申万三级行业",[1]!s_info_industry_sw_2021(W2417,公司分析!D$5,3),IF($Y$3="wind一级行业",[1]!s_info_industry_gics(W2417,1),IF($Y$3="wind二级行业",[1]!s_info_industry_gics(W2417,2),IF($Y$3="wind三级行业",[1]!s_info_industry_gics(W2417,3),IF($Y$3="wind四级行业",[1]!s_info_industry_gics(W2417,4),IF($Y$3="证监会门类行业",[1]!s_info_industry_csrc12_n(W2417,公司分析!D$5,1),""))))))))</f>
        <v>工程咨询服务Ⅱ</v>
      </c>
      <c r="Z2417" s="302" t="str">
        <f ca="1">IF(Y2417=行业比较!$E$6,ROW(),"")</f>
        <v/>
      </c>
      <c r="AA2417" s="122"/>
      <c r="AB2417" s="122"/>
      <c r="AC2417" s="122"/>
      <c r="AD2417" s="122"/>
      <c r="AE2417" s="122"/>
      <c r="AF2417" s="122"/>
      <c r="AG2417" s="122"/>
      <c r="AH2417" s="122"/>
      <c r="AI2417" s="122"/>
      <c r="AJ2417" s="122"/>
      <c r="AK2417" s="122"/>
      <c r="AL2417" s="122"/>
      <c r="AM2417" s="122"/>
      <c r="AN2417" s="122"/>
      <c r="AO2417" s="122"/>
      <c r="AP2417" s="122"/>
    </row>
    <row r="2418" spans="2:42">
      <c r="B2418" s="122"/>
      <c r="C2418" s="122"/>
      <c r="D2418" s="122"/>
      <c r="E2418" s="122"/>
      <c r="F2418" s="122"/>
      <c r="G2418" s="122"/>
      <c r="H2418" s="122"/>
      <c r="I2418" s="275"/>
      <c r="J2418" s="130"/>
      <c r="K2418" s="130"/>
      <c r="L2418" s="130"/>
      <c r="M2418" s="130"/>
      <c r="N2418" s="291"/>
      <c r="O2418" s="291"/>
      <c r="P2418" s="122"/>
      <c r="Q2418" s="122"/>
      <c r="R2418" s="122"/>
      <c r="S2418" s="122"/>
      <c r="T2418" s="122"/>
      <c r="U2418" s="315"/>
      <c r="V2418" s="260">
        <f t="shared" ca="1" si="45"/>
        <v>0</v>
      </c>
      <c r="W2418" s="348" t="str">
        <f>IF(板块成分!B2420="","",板块成分!B2420)</f>
        <v>300984.SZ</v>
      </c>
      <c r="X2418" s="276" t="str">
        <f>[1]!S_Info_Name(W2418)</f>
        <v>金沃股份</v>
      </c>
      <c r="Y2418" s="276" t="str">
        <f ca="1">IF($Y$3="申万一级行业",[1]!s_info_industry_sw_2021(W2418,公司分析!D$5,1),IF($Y$3="申万二级行业",[1]!s_info_industry_sw_2021(W2418,公司分析!D$5,2),IF($Y$3="申万三级行业",[1]!s_info_industry_sw_2021(W2418,公司分析!D$5,3),IF($Y$3="wind一级行业",[1]!s_info_industry_gics(W2418,1),IF($Y$3="wind二级行业",[1]!s_info_industry_gics(W2418,2),IF($Y$3="wind三级行业",[1]!s_info_industry_gics(W2418,3),IF($Y$3="wind四级行业",[1]!s_info_industry_gics(W2418,4),IF($Y$3="证监会门类行业",[1]!s_info_industry_csrc12_n(W2418,公司分析!D$5,1),""))))))))</f>
        <v>通用设备</v>
      </c>
      <c r="Z2418" s="302" t="str">
        <f ca="1">IF(Y2418=行业比较!$E$6,ROW(),"")</f>
        <v/>
      </c>
      <c r="AA2418" s="122"/>
      <c r="AB2418" s="122"/>
      <c r="AC2418" s="122"/>
      <c r="AD2418" s="122"/>
      <c r="AE2418" s="122"/>
      <c r="AF2418" s="122"/>
      <c r="AG2418" s="122"/>
      <c r="AH2418" s="122"/>
      <c r="AI2418" s="122"/>
      <c r="AJ2418" s="122"/>
      <c r="AK2418" s="122"/>
      <c r="AL2418" s="122"/>
      <c r="AM2418" s="122"/>
      <c r="AN2418" s="122"/>
      <c r="AO2418" s="122"/>
      <c r="AP2418" s="122"/>
    </row>
    <row r="2419" spans="2:42">
      <c r="B2419" s="122"/>
      <c r="C2419" s="122"/>
      <c r="D2419" s="122"/>
      <c r="E2419" s="122"/>
      <c r="F2419" s="122"/>
      <c r="G2419" s="122"/>
      <c r="H2419" s="122"/>
      <c r="I2419" s="275"/>
      <c r="J2419" s="130"/>
      <c r="K2419" s="130"/>
      <c r="L2419" s="130"/>
      <c r="M2419" s="130"/>
      <c r="N2419" s="291"/>
      <c r="O2419" s="291"/>
      <c r="P2419" s="122"/>
      <c r="Q2419" s="122"/>
      <c r="R2419" s="122"/>
      <c r="S2419" s="122"/>
      <c r="T2419" s="122"/>
      <c r="U2419" s="315"/>
      <c r="V2419" s="260">
        <f t="shared" ca="1" si="45"/>
        <v>0</v>
      </c>
      <c r="W2419" s="348" t="str">
        <f>IF(板块成分!B2421="","",板块成分!B2421)</f>
        <v>300985.SZ</v>
      </c>
      <c r="X2419" s="276" t="str">
        <f>[1]!S_Info_Name(W2419)</f>
        <v>致远新能</v>
      </c>
      <c r="Y2419" s="276" t="str">
        <f ca="1">IF($Y$3="申万一级行业",[1]!s_info_industry_sw_2021(W2419,公司分析!D$5,1),IF($Y$3="申万二级行业",[1]!s_info_industry_sw_2021(W2419,公司分析!D$5,2),IF($Y$3="申万三级行业",[1]!s_info_industry_sw_2021(W2419,公司分析!D$5,3),IF($Y$3="wind一级行业",[1]!s_info_industry_gics(W2419,1),IF($Y$3="wind二级行业",[1]!s_info_industry_gics(W2419,2),IF($Y$3="wind三级行业",[1]!s_info_industry_gics(W2419,3),IF($Y$3="wind四级行业",[1]!s_info_industry_gics(W2419,4),IF($Y$3="证监会门类行业",[1]!s_info_industry_csrc12_n(W2419,公司分析!D$5,1),""))))))))</f>
        <v>通用设备</v>
      </c>
      <c r="Z2419" s="302" t="str">
        <f ca="1">IF(Y2419=行业比较!$E$6,ROW(),"")</f>
        <v/>
      </c>
      <c r="AA2419" s="122"/>
      <c r="AB2419" s="122"/>
      <c r="AC2419" s="122"/>
      <c r="AD2419" s="122"/>
      <c r="AE2419" s="122"/>
      <c r="AF2419" s="122"/>
      <c r="AG2419" s="122"/>
      <c r="AH2419" s="122"/>
      <c r="AI2419" s="122"/>
      <c r="AJ2419" s="122"/>
      <c r="AK2419" s="122"/>
      <c r="AL2419" s="122"/>
      <c r="AM2419" s="122"/>
      <c r="AN2419" s="122"/>
      <c r="AO2419" s="122"/>
      <c r="AP2419" s="122"/>
    </row>
    <row r="2420" spans="2:42">
      <c r="B2420" s="122"/>
      <c r="C2420" s="122"/>
      <c r="D2420" s="122"/>
      <c r="E2420" s="122"/>
      <c r="F2420" s="122"/>
      <c r="G2420" s="122"/>
      <c r="H2420" s="122"/>
      <c r="I2420" s="275"/>
      <c r="J2420" s="130"/>
      <c r="K2420" s="130"/>
      <c r="L2420" s="130"/>
      <c r="M2420" s="130"/>
      <c r="N2420" s="291"/>
      <c r="O2420" s="291"/>
      <c r="P2420" s="122"/>
      <c r="Q2420" s="122"/>
      <c r="R2420" s="122"/>
      <c r="S2420" s="122"/>
      <c r="T2420" s="122"/>
      <c r="U2420" s="315"/>
      <c r="V2420" s="260">
        <f t="shared" ca="1" si="45"/>
        <v>0</v>
      </c>
      <c r="W2420" s="348" t="str">
        <f>IF(板块成分!B2422="","",板块成分!B2422)</f>
        <v>300986.SZ</v>
      </c>
      <c r="X2420" s="276" t="str">
        <f>[1]!S_Info_Name(W2420)</f>
        <v>志特新材</v>
      </c>
      <c r="Y2420" s="276" t="str">
        <f ca="1">IF($Y$3="申万一级行业",[1]!s_info_industry_sw_2021(W2420,公司分析!D$5,1),IF($Y$3="申万二级行业",[1]!s_info_industry_sw_2021(W2420,公司分析!D$5,2),IF($Y$3="申万三级行业",[1]!s_info_industry_sw_2021(W2420,公司分析!D$5,3),IF($Y$3="wind一级行业",[1]!s_info_industry_gics(W2420,1),IF($Y$3="wind二级行业",[1]!s_info_industry_gics(W2420,2),IF($Y$3="wind三级行业",[1]!s_info_industry_gics(W2420,3),IF($Y$3="wind四级行业",[1]!s_info_industry_gics(W2420,4),IF($Y$3="证监会门类行业",[1]!s_info_industry_csrc12_n(W2420,公司分析!D$5,1),""))))))))</f>
        <v>专业工程</v>
      </c>
      <c r="Z2420" s="302" t="str">
        <f ca="1">IF(Y2420=行业比较!$E$6,ROW(),"")</f>
        <v/>
      </c>
      <c r="AA2420" s="122"/>
      <c r="AB2420" s="122"/>
      <c r="AC2420" s="122"/>
      <c r="AD2420" s="122"/>
      <c r="AE2420" s="122"/>
      <c r="AF2420" s="122"/>
      <c r="AG2420" s="122"/>
      <c r="AH2420" s="122"/>
      <c r="AI2420" s="122"/>
      <c r="AJ2420" s="122"/>
      <c r="AK2420" s="122"/>
      <c r="AL2420" s="122"/>
      <c r="AM2420" s="122"/>
      <c r="AN2420" s="122"/>
      <c r="AO2420" s="122"/>
      <c r="AP2420" s="122"/>
    </row>
    <row r="2421" spans="2:42">
      <c r="B2421" s="122"/>
      <c r="C2421" s="122"/>
      <c r="D2421" s="122"/>
      <c r="E2421" s="122"/>
      <c r="F2421" s="122"/>
      <c r="G2421" s="122"/>
      <c r="H2421" s="122"/>
      <c r="I2421" s="275"/>
      <c r="J2421" s="130"/>
      <c r="K2421" s="130"/>
      <c r="L2421" s="130"/>
      <c r="M2421" s="130"/>
      <c r="N2421" s="291"/>
      <c r="O2421" s="291"/>
      <c r="P2421" s="122"/>
      <c r="Q2421" s="122"/>
      <c r="R2421" s="122"/>
      <c r="S2421" s="122"/>
      <c r="T2421" s="122"/>
      <c r="U2421" s="315"/>
      <c r="V2421" s="260">
        <f t="shared" ca="1" si="45"/>
        <v>0</v>
      </c>
      <c r="W2421" s="348" t="str">
        <f>IF(板块成分!B2423="","",板块成分!B2423)</f>
        <v>300987.SZ</v>
      </c>
      <c r="X2421" s="276" t="str">
        <f>[1]!S_Info_Name(W2421)</f>
        <v>川网传媒</v>
      </c>
      <c r="Y2421" s="276" t="str">
        <f ca="1">IF($Y$3="申万一级行业",[1]!s_info_industry_sw_2021(W2421,公司分析!D$5,1),IF($Y$3="申万二级行业",[1]!s_info_industry_sw_2021(W2421,公司分析!D$5,2),IF($Y$3="申万三级行业",[1]!s_info_industry_sw_2021(W2421,公司分析!D$5,3),IF($Y$3="wind一级行业",[1]!s_info_industry_gics(W2421,1),IF($Y$3="wind二级行业",[1]!s_info_industry_gics(W2421,2),IF($Y$3="wind三级行业",[1]!s_info_industry_gics(W2421,3),IF($Y$3="wind四级行业",[1]!s_info_industry_gics(W2421,4),IF($Y$3="证监会门类行业",[1]!s_info_industry_csrc12_n(W2421,公司分析!D$5,1),""))))))))</f>
        <v>数字媒体</v>
      </c>
      <c r="Z2421" s="302" t="str">
        <f ca="1">IF(Y2421=行业比较!$E$6,ROW(),"")</f>
        <v/>
      </c>
      <c r="AA2421" s="122"/>
      <c r="AB2421" s="122"/>
      <c r="AC2421" s="122"/>
      <c r="AD2421" s="122"/>
      <c r="AE2421" s="122"/>
      <c r="AF2421" s="122"/>
      <c r="AG2421" s="122"/>
      <c r="AH2421" s="122"/>
      <c r="AI2421" s="122"/>
      <c r="AJ2421" s="122"/>
      <c r="AK2421" s="122"/>
      <c r="AL2421" s="122"/>
      <c r="AM2421" s="122"/>
      <c r="AN2421" s="122"/>
      <c r="AO2421" s="122"/>
      <c r="AP2421" s="122"/>
    </row>
    <row r="2422" spans="2:42">
      <c r="B2422" s="122"/>
      <c r="C2422" s="122"/>
      <c r="D2422" s="122"/>
      <c r="E2422" s="122"/>
      <c r="F2422" s="122"/>
      <c r="G2422" s="122"/>
      <c r="H2422" s="122"/>
      <c r="I2422" s="275"/>
      <c r="J2422" s="130"/>
      <c r="K2422" s="130"/>
      <c r="L2422" s="130"/>
      <c r="M2422" s="130"/>
      <c r="N2422" s="291"/>
      <c r="O2422" s="291"/>
      <c r="P2422" s="122"/>
      <c r="Q2422" s="122"/>
      <c r="R2422" s="122"/>
      <c r="S2422" s="122"/>
      <c r="T2422" s="122"/>
      <c r="U2422" s="315"/>
      <c r="V2422" s="260">
        <f t="shared" ca="1" si="45"/>
        <v>0</v>
      </c>
      <c r="W2422" s="348" t="str">
        <f>IF(板块成分!B2424="","",板块成分!B2424)</f>
        <v>300988.SZ</v>
      </c>
      <c r="X2422" s="276" t="str">
        <f>[1]!S_Info_Name(W2422)</f>
        <v>津荣天宇</v>
      </c>
      <c r="Y2422" s="276" t="str">
        <f ca="1">IF($Y$3="申万一级行业",[1]!s_info_industry_sw_2021(W2422,公司分析!D$5,1),IF($Y$3="申万二级行业",[1]!s_info_industry_sw_2021(W2422,公司分析!D$5,2),IF($Y$3="申万三级行业",[1]!s_info_industry_sw_2021(W2422,公司分析!D$5,3),IF($Y$3="wind一级行业",[1]!s_info_industry_gics(W2422,1),IF($Y$3="wind二级行业",[1]!s_info_industry_gics(W2422,2),IF($Y$3="wind三级行业",[1]!s_info_industry_gics(W2422,3),IF($Y$3="wind四级行业",[1]!s_info_industry_gics(W2422,4),IF($Y$3="证监会门类行业",[1]!s_info_industry_csrc12_n(W2422,公司分析!D$5,1),""))))))))</f>
        <v>专用设备</v>
      </c>
      <c r="Z2422" s="302" t="str">
        <f ca="1">IF(Y2422=行业比较!$E$6,ROW(),"")</f>
        <v/>
      </c>
      <c r="AA2422" s="122"/>
      <c r="AB2422" s="122"/>
      <c r="AC2422" s="122"/>
      <c r="AD2422" s="122"/>
      <c r="AE2422" s="122"/>
      <c r="AF2422" s="122"/>
      <c r="AG2422" s="122"/>
      <c r="AH2422" s="122"/>
      <c r="AI2422" s="122"/>
      <c r="AJ2422" s="122"/>
      <c r="AK2422" s="122"/>
      <c r="AL2422" s="122"/>
      <c r="AM2422" s="122"/>
      <c r="AN2422" s="122"/>
      <c r="AO2422" s="122"/>
      <c r="AP2422" s="122"/>
    </row>
    <row r="2423" spans="2:42">
      <c r="B2423" s="122"/>
      <c r="C2423" s="122"/>
      <c r="D2423" s="122"/>
      <c r="E2423" s="122"/>
      <c r="F2423" s="122"/>
      <c r="G2423" s="122"/>
      <c r="H2423" s="122"/>
      <c r="I2423" s="275"/>
      <c r="J2423" s="130"/>
      <c r="K2423" s="130"/>
      <c r="L2423" s="130"/>
      <c r="M2423" s="130"/>
      <c r="N2423" s="291"/>
      <c r="O2423" s="291"/>
      <c r="P2423" s="122"/>
      <c r="Q2423" s="122"/>
      <c r="R2423" s="122"/>
      <c r="S2423" s="122"/>
      <c r="T2423" s="122"/>
      <c r="U2423" s="315"/>
      <c r="V2423" s="260">
        <f t="shared" ca="1" si="45"/>
        <v>0</v>
      </c>
      <c r="W2423" s="348" t="str">
        <f>IF(板块成分!B2425="","",板块成分!B2425)</f>
        <v>300989.SZ</v>
      </c>
      <c r="X2423" s="276" t="str">
        <f>[1]!S_Info_Name(W2423)</f>
        <v>蕾奥规划</v>
      </c>
      <c r="Y2423" s="276" t="str">
        <f ca="1">IF($Y$3="申万一级行业",[1]!s_info_industry_sw_2021(W2423,公司分析!D$5,1),IF($Y$3="申万二级行业",[1]!s_info_industry_sw_2021(W2423,公司分析!D$5,2),IF($Y$3="申万三级行业",[1]!s_info_industry_sw_2021(W2423,公司分析!D$5,3),IF($Y$3="wind一级行业",[1]!s_info_industry_gics(W2423,1),IF($Y$3="wind二级行业",[1]!s_info_industry_gics(W2423,2),IF($Y$3="wind三级行业",[1]!s_info_industry_gics(W2423,3),IF($Y$3="wind四级行业",[1]!s_info_industry_gics(W2423,4),IF($Y$3="证监会门类行业",[1]!s_info_industry_csrc12_n(W2423,公司分析!D$5,1),""))))))))</f>
        <v>工程咨询服务Ⅱ</v>
      </c>
      <c r="Z2423" s="302" t="str">
        <f ca="1">IF(Y2423=行业比较!$E$6,ROW(),"")</f>
        <v/>
      </c>
      <c r="AA2423" s="122"/>
      <c r="AB2423" s="122"/>
      <c r="AC2423" s="122"/>
      <c r="AD2423" s="122"/>
      <c r="AE2423" s="122"/>
      <c r="AF2423" s="122"/>
      <c r="AG2423" s="122"/>
      <c r="AH2423" s="122"/>
      <c r="AI2423" s="122"/>
      <c r="AJ2423" s="122"/>
      <c r="AK2423" s="122"/>
      <c r="AL2423" s="122"/>
      <c r="AM2423" s="122"/>
      <c r="AN2423" s="122"/>
      <c r="AO2423" s="122"/>
      <c r="AP2423" s="122"/>
    </row>
    <row r="2424" spans="2:42">
      <c r="B2424" s="122"/>
      <c r="C2424" s="122"/>
      <c r="D2424" s="122"/>
      <c r="E2424" s="122"/>
      <c r="F2424" s="122"/>
      <c r="G2424" s="122"/>
      <c r="H2424" s="122"/>
      <c r="I2424" s="275"/>
      <c r="J2424" s="130"/>
      <c r="K2424" s="130"/>
      <c r="L2424" s="130"/>
      <c r="M2424" s="130"/>
      <c r="N2424" s="291"/>
      <c r="O2424" s="291"/>
      <c r="P2424" s="122"/>
      <c r="Q2424" s="122"/>
      <c r="R2424" s="122"/>
      <c r="S2424" s="122"/>
      <c r="T2424" s="122"/>
      <c r="U2424" s="315"/>
      <c r="V2424" s="260">
        <f t="shared" ca="1" si="45"/>
        <v>0</v>
      </c>
      <c r="W2424" s="348" t="str">
        <f>IF(板块成分!B2426="","",板块成分!B2426)</f>
        <v>300990.SZ</v>
      </c>
      <c r="X2424" s="276" t="str">
        <f>[1]!S_Info_Name(W2424)</f>
        <v>同飞股份</v>
      </c>
      <c r="Y2424" s="276" t="str">
        <f ca="1">IF($Y$3="申万一级行业",[1]!s_info_industry_sw_2021(W2424,公司分析!D$5,1),IF($Y$3="申万二级行业",[1]!s_info_industry_sw_2021(W2424,公司分析!D$5,2),IF($Y$3="申万三级行业",[1]!s_info_industry_sw_2021(W2424,公司分析!D$5,3),IF($Y$3="wind一级行业",[1]!s_info_industry_gics(W2424,1),IF($Y$3="wind二级行业",[1]!s_info_industry_gics(W2424,2),IF($Y$3="wind三级行业",[1]!s_info_industry_gics(W2424,3),IF($Y$3="wind四级行业",[1]!s_info_industry_gics(W2424,4),IF($Y$3="证监会门类行业",[1]!s_info_industry_csrc12_n(W2424,公司分析!D$5,1),""))))))))</f>
        <v>通用设备</v>
      </c>
      <c r="Z2424" s="302" t="str">
        <f ca="1">IF(Y2424=行业比较!$E$6,ROW(),"")</f>
        <v/>
      </c>
      <c r="AA2424" s="122"/>
      <c r="AB2424" s="122"/>
      <c r="AC2424" s="122"/>
      <c r="AD2424" s="122"/>
      <c r="AE2424" s="122"/>
      <c r="AF2424" s="122"/>
      <c r="AG2424" s="122"/>
      <c r="AH2424" s="122"/>
      <c r="AI2424" s="122"/>
      <c r="AJ2424" s="122"/>
      <c r="AK2424" s="122"/>
      <c r="AL2424" s="122"/>
      <c r="AM2424" s="122"/>
      <c r="AN2424" s="122"/>
      <c r="AO2424" s="122"/>
      <c r="AP2424" s="122"/>
    </row>
    <row r="2425" spans="2:42">
      <c r="B2425" s="122"/>
      <c r="C2425" s="122"/>
      <c r="D2425" s="122"/>
      <c r="E2425" s="122"/>
      <c r="F2425" s="122"/>
      <c r="G2425" s="122"/>
      <c r="H2425" s="122"/>
      <c r="I2425" s="275"/>
      <c r="J2425" s="130"/>
      <c r="K2425" s="130"/>
      <c r="L2425" s="130"/>
      <c r="M2425" s="130"/>
      <c r="N2425" s="291"/>
      <c r="O2425" s="291"/>
      <c r="P2425" s="122"/>
      <c r="Q2425" s="122"/>
      <c r="R2425" s="122"/>
      <c r="S2425" s="122"/>
      <c r="T2425" s="122"/>
      <c r="U2425" s="315"/>
      <c r="V2425" s="260">
        <f t="shared" ca="1" si="45"/>
        <v>0</v>
      </c>
      <c r="W2425" s="348" t="str">
        <f>IF(板块成分!B2427="","",板块成分!B2427)</f>
        <v>300991.SZ</v>
      </c>
      <c r="X2425" s="276" t="str">
        <f>[1]!S_Info_Name(W2425)</f>
        <v>创益通</v>
      </c>
      <c r="Y2425" s="276" t="str">
        <f ca="1">IF($Y$3="申万一级行业",[1]!s_info_industry_sw_2021(W2425,公司分析!D$5,1),IF($Y$3="申万二级行业",[1]!s_info_industry_sw_2021(W2425,公司分析!D$5,2),IF($Y$3="申万三级行业",[1]!s_info_industry_sw_2021(W2425,公司分析!D$5,3),IF($Y$3="wind一级行业",[1]!s_info_industry_gics(W2425,1),IF($Y$3="wind二级行业",[1]!s_info_industry_gics(W2425,2),IF($Y$3="wind三级行业",[1]!s_info_industry_gics(W2425,3),IF($Y$3="wind四级行业",[1]!s_info_industry_gics(W2425,4),IF($Y$3="证监会门类行业",[1]!s_info_industry_csrc12_n(W2425,公司分析!D$5,1),""))))))))</f>
        <v>其他电子Ⅱ</v>
      </c>
      <c r="Z2425" s="302" t="str">
        <f ca="1">IF(Y2425=行业比较!$E$6,ROW(),"")</f>
        <v/>
      </c>
      <c r="AA2425" s="122"/>
      <c r="AB2425" s="122"/>
      <c r="AC2425" s="122"/>
      <c r="AD2425" s="122"/>
      <c r="AE2425" s="122"/>
      <c r="AF2425" s="122"/>
      <c r="AG2425" s="122"/>
      <c r="AH2425" s="122"/>
      <c r="AI2425" s="122"/>
      <c r="AJ2425" s="122"/>
      <c r="AK2425" s="122"/>
      <c r="AL2425" s="122"/>
      <c r="AM2425" s="122"/>
      <c r="AN2425" s="122"/>
      <c r="AO2425" s="122"/>
      <c r="AP2425" s="122"/>
    </row>
    <row r="2426" spans="2:42">
      <c r="B2426" s="122"/>
      <c r="C2426" s="122"/>
      <c r="D2426" s="122"/>
      <c r="E2426" s="122"/>
      <c r="F2426" s="122"/>
      <c r="G2426" s="122"/>
      <c r="H2426" s="122"/>
      <c r="I2426" s="275"/>
      <c r="J2426" s="130"/>
      <c r="K2426" s="130"/>
      <c r="L2426" s="130"/>
      <c r="M2426" s="130"/>
      <c r="N2426" s="291"/>
      <c r="O2426" s="291"/>
      <c r="P2426" s="122"/>
      <c r="Q2426" s="122"/>
      <c r="R2426" s="122"/>
      <c r="S2426" s="122"/>
      <c r="T2426" s="122"/>
      <c r="U2426" s="315"/>
      <c r="V2426" s="260">
        <f t="shared" ca="1" si="45"/>
        <v>0</v>
      </c>
      <c r="W2426" s="348" t="str">
        <f>IF(板块成分!B2428="","",板块成分!B2428)</f>
        <v>300992.SZ</v>
      </c>
      <c r="X2426" s="276" t="str">
        <f>[1]!S_Info_Name(W2426)</f>
        <v>泰福泵业</v>
      </c>
      <c r="Y2426" s="276" t="str">
        <f ca="1">IF($Y$3="申万一级行业",[1]!s_info_industry_sw_2021(W2426,公司分析!D$5,1),IF($Y$3="申万二级行业",[1]!s_info_industry_sw_2021(W2426,公司分析!D$5,2),IF($Y$3="申万三级行业",[1]!s_info_industry_sw_2021(W2426,公司分析!D$5,3),IF($Y$3="wind一级行业",[1]!s_info_industry_gics(W2426,1),IF($Y$3="wind二级行业",[1]!s_info_industry_gics(W2426,2),IF($Y$3="wind三级行业",[1]!s_info_industry_gics(W2426,3),IF($Y$3="wind四级行业",[1]!s_info_industry_gics(W2426,4),IF($Y$3="证监会门类行业",[1]!s_info_industry_csrc12_n(W2426,公司分析!D$5,1),""))))))))</f>
        <v>通用设备</v>
      </c>
      <c r="Z2426" s="302" t="str">
        <f ca="1">IF(Y2426=行业比较!$E$6,ROW(),"")</f>
        <v/>
      </c>
      <c r="AA2426" s="122"/>
      <c r="AB2426" s="122"/>
      <c r="AC2426" s="122"/>
      <c r="AD2426" s="122"/>
      <c r="AE2426" s="122"/>
      <c r="AF2426" s="122"/>
      <c r="AG2426" s="122"/>
      <c r="AH2426" s="122"/>
      <c r="AI2426" s="122"/>
      <c r="AJ2426" s="122"/>
      <c r="AK2426" s="122"/>
      <c r="AL2426" s="122"/>
      <c r="AM2426" s="122"/>
      <c r="AN2426" s="122"/>
      <c r="AO2426" s="122"/>
      <c r="AP2426" s="122"/>
    </row>
    <row r="2427" spans="2:42">
      <c r="B2427" s="122"/>
      <c r="C2427" s="122"/>
      <c r="D2427" s="122"/>
      <c r="E2427" s="122"/>
      <c r="F2427" s="122"/>
      <c r="G2427" s="122"/>
      <c r="H2427" s="122"/>
      <c r="I2427" s="275"/>
      <c r="J2427" s="130"/>
      <c r="K2427" s="130"/>
      <c r="L2427" s="130"/>
      <c r="M2427" s="130"/>
      <c r="N2427" s="291"/>
      <c r="O2427" s="291"/>
      <c r="P2427" s="122"/>
      <c r="Q2427" s="122"/>
      <c r="R2427" s="122"/>
      <c r="S2427" s="122"/>
      <c r="T2427" s="122"/>
      <c r="U2427" s="315"/>
      <c r="V2427" s="260">
        <f t="shared" ca="1" si="45"/>
        <v>0</v>
      </c>
      <c r="W2427" s="348" t="str">
        <f>IF(板块成分!B2429="","",板块成分!B2429)</f>
        <v>300993.SZ</v>
      </c>
      <c r="X2427" s="276" t="str">
        <f>[1]!S_Info_Name(W2427)</f>
        <v>玉马科技</v>
      </c>
      <c r="Y2427" s="276" t="str">
        <f ca="1">IF($Y$3="申万一级行业",[1]!s_info_industry_sw_2021(W2427,公司分析!D$5,1),IF($Y$3="申万二级行业",[1]!s_info_industry_sw_2021(W2427,公司分析!D$5,2),IF($Y$3="申万三级行业",[1]!s_info_industry_sw_2021(W2427,公司分析!D$5,3),IF($Y$3="wind一级行业",[1]!s_info_industry_gics(W2427,1),IF($Y$3="wind二级行业",[1]!s_info_industry_gics(W2427,2),IF($Y$3="wind三级行业",[1]!s_info_industry_gics(W2427,3),IF($Y$3="wind四级行业",[1]!s_info_industry_gics(W2427,4),IF($Y$3="证监会门类行业",[1]!s_info_industry_csrc12_n(W2427,公司分析!D$5,1),""))))))))</f>
        <v>家居用品</v>
      </c>
      <c r="Z2427" s="302" t="str">
        <f ca="1">IF(Y2427=行业比较!$E$6,ROW(),"")</f>
        <v/>
      </c>
      <c r="AA2427" s="122"/>
      <c r="AB2427" s="122"/>
      <c r="AC2427" s="122"/>
      <c r="AD2427" s="122"/>
      <c r="AE2427" s="122"/>
      <c r="AF2427" s="122"/>
      <c r="AG2427" s="122"/>
      <c r="AH2427" s="122"/>
      <c r="AI2427" s="122"/>
      <c r="AJ2427" s="122"/>
      <c r="AK2427" s="122"/>
      <c r="AL2427" s="122"/>
      <c r="AM2427" s="122"/>
      <c r="AN2427" s="122"/>
      <c r="AO2427" s="122"/>
      <c r="AP2427" s="122"/>
    </row>
    <row r="2428" spans="2:42">
      <c r="B2428" s="122"/>
      <c r="C2428" s="122"/>
      <c r="D2428" s="122"/>
      <c r="E2428" s="122"/>
      <c r="F2428" s="122"/>
      <c r="G2428" s="122"/>
      <c r="H2428" s="122"/>
      <c r="I2428" s="275"/>
      <c r="J2428" s="130"/>
      <c r="K2428" s="130"/>
      <c r="L2428" s="130"/>
      <c r="M2428" s="130"/>
      <c r="N2428" s="291"/>
      <c r="O2428" s="291"/>
      <c r="P2428" s="122"/>
      <c r="Q2428" s="122"/>
      <c r="R2428" s="122"/>
      <c r="S2428" s="122"/>
      <c r="T2428" s="122"/>
      <c r="U2428" s="315"/>
      <c r="V2428" s="260">
        <f t="shared" ca="1" si="45"/>
        <v>0</v>
      </c>
      <c r="W2428" s="348" t="str">
        <f>IF(板块成分!B2430="","",板块成分!B2430)</f>
        <v>300994.SZ</v>
      </c>
      <c r="X2428" s="276" t="str">
        <f>[1]!S_Info_Name(W2428)</f>
        <v>久祺股份</v>
      </c>
      <c r="Y2428" s="276" t="str">
        <f ca="1">IF($Y$3="申万一级行业",[1]!s_info_industry_sw_2021(W2428,公司分析!D$5,1),IF($Y$3="申万二级行业",[1]!s_info_industry_sw_2021(W2428,公司分析!D$5,2),IF($Y$3="申万三级行业",[1]!s_info_industry_sw_2021(W2428,公司分析!D$5,3),IF($Y$3="wind一级行业",[1]!s_info_industry_gics(W2428,1),IF($Y$3="wind二级行业",[1]!s_info_industry_gics(W2428,2),IF($Y$3="wind三级行业",[1]!s_info_industry_gics(W2428,3),IF($Y$3="wind四级行业",[1]!s_info_industry_gics(W2428,4),IF($Y$3="证监会门类行业",[1]!s_info_industry_csrc12_n(W2428,公司分析!D$5,1),""))))))))</f>
        <v>摩托车及其他</v>
      </c>
      <c r="Z2428" s="302" t="str">
        <f ca="1">IF(Y2428=行业比较!$E$6,ROW(),"")</f>
        <v/>
      </c>
      <c r="AA2428" s="122"/>
      <c r="AB2428" s="122"/>
      <c r="AC2428" s="122"/>
      <c r="AD2428" s="122"/>
      <c r="AE2428" s="122"/>
      <c r="AF2428" s="122"/>
      <c r="AG2428" s="122"/>
      <c r="AH2428" s="122"/>
      <c r="AI2428" s="122"/>
      <c r="AJ2428" s="122"/>
      <c r="AK2428" s="122"/>
      <c r="AL2428" s="122"/>
      <c r="AM2428" s="122"/>
      <c r="AN2428" s="122"/>
      <c r="AO2428" s="122"/>
      <c r="AP2428" s="122"/>
    </row>
    <row r="2429" spans="2:42">
      <c r="B2429" s="122"/>
      <c r="C2429" s="122"/>
      <c r="D2429" s="122"/>
      <c r="E2429" s="122"/>
      <c r="F2429" s="122"/>
      <c r="G2429" s="122"/>
      <c r="H2429" s="122"/>
      <c r="I2429" s="275"/>
      <c r="J2429" s="130"/>
      <c r="K2429" s="130"/>
      <c r="L2429" s="130"/>
      <c r="M2429" s="130"/>
      <c r="N2429" s="291"/>
      <c r="O2429" s="291"/>
      <c r="P2429" s="122"/>
      <c r="Q2429" s="122"/>
      <c r="R2429" s="122"/>
      <c r="S2429" s="122"/>
      <c r="T2429" s="122"/>
      <c r="U2429" s="315"/>
      <c r="V2429" s="260">
        <f t="shared" ca="1" si="45"/>
        <v>0</v>
      </c>
      <c r="W2429" s="348" t="str">
        <f>IF(板块成分!B2431="","",板块成分!B2431)</f>
        <v>300995.SZ</v>
      </c>
      <c r="X2429" s="276" t="str">
        <f>[1]!S_Info_Name(W2429)</f>
        <v>奇德新材</v>
      </c>
      <c r="Y2429" s="276" t="str">
        <f ca="1">IF($Y$3="申万一级行业",[1]!s_info_industry_sw_2021(W2429,公司分析!D$5,1),IF($Y$3="申万二级行业",[1]!s_info_industry_sw_2021(W2429,公司分析!D$5,2),IF($Y$3="申万三级行业",[1]!s_info_industry_sw_2021(W2429,公司分析!D$5,3),IF($Y$3="wind一级行业",[1]!s_info_industry_gics(W2429,1),IF($Y$3="wind二级行业",[1]!s_info_industry_gics(W2429,2),IF($Y$3="wind三级行业",[1]!s_info_industry_gics(W2429,3),IF($Y$3="wind四级行业",[1]!s_info_industry_gics(W2429,4),IF($Y$3="证监会门类行业",[1]!s_info_industry_csrc12_n(W2429,公司分析!D$5,1),""))))))))</f>
        <v>塑料</v>
      </c>
      <c r="Z2429" s="302" t="str">
        <f ca="1">IF(Y2429=行业比较!$E$6,ROW(),"")</f>
        <v/>
      </c>
      <c r="AA2429" s="122"/>
      <c r="AB2429" s="122"/>
      <c r="AC2429" s="122"/>
      <c r="AD2429" s="122"/>
      <c r="AE2429" s="122"/>
      <c r="AF2429" s="122"/>
      <c r="AG2429" s="122"/>
      <c r="AH2429" s="122"/>
      <c r="AI2429" s="122"/>
      <c r="AJ2429" s="122"/>
      <c r="AK2429" s="122"/>
      <c r="AL2429" s="122"/>
      <c r="AM2429" s="122"/>
      <c r="AN2429" s="122"/>
      <c r="AO2429" s="122"/>
      <c r="AP2429" s="122"/>
    </row>
    <row r="2430" spans="2:42">
      <c r="B2430" s="122"/>
      <c r="C2430" s="122"/>
      <c r="D2430" s="122"/>
      <c r="E2430" s="122"/>
      <c r="F2430" s="122"/>
      <c r="G2430" s="122"/>
      <c r="H2430" s="122"/>
      <c r="I2430" s="275"/>
      <c r="J2430" s="130"/>
      <c r="K2430" s="130"/>
      <c r="L2430" s="130"/>
      <c r="M2430" s="130"/>
      <c r="N2430" s="291"/>
      <c r="O2430" s="291"/>
      <c r="P2430" s="122"/>
      <c r="Q2430" s="122"/>
      <c r="R2430" s="122"/>
      <c r="S2430" s="122"/>
      <c r="T2430" s="122"/>
      <c r="U2430" s="315"/>
      <c r="V2430" s="260">
        <f t="shared" ca="1" si="45"/>
        <v>0</v>
      </c>
      <c r="W2430" s="348" t="str">
        <f>IF(板块成分!B2432="","",板块成分!B2432)</f>
        <v>300996.SZ</v>
      </c>
      <c r="X2430" s="276" t="str">
        <f>[1]!S_Info_Name(W2430)</f>
        <v>普联软件</v>
      </c>
      <c r="Y2430" s="276" t="str">
        <f ca="1">IF($Y$3="申万一级行业",[1]!s_info_industry_sw_2021(W2430,公司分析!D$5,1),IF($Y$3="申万二级行业",[1]!s_info_industry_sw_2021(W2430,公司分析!D$5,2),IF($Y$3="申万三级行业",[1]!s_info_industry_sw_2021(W2430,公司分析!D$5,3),IF($Y$3="wind一级行业",[1]!s_info_industry_gics(W2430,1),IF($Y$3="wind二级行业",[1]!s_info_industry_gics(W2430,2),IF($Y$3="wind三级行业",[1]!s_info_industry_gics(W2430,3),IF($Y$3="wind四级行业",[1]!s_info_industry_gics(W2430,4),IF($Y$3="证监会门类行业",[1]!s_info_industry_csrc12_n(W2430,公司分析!D$5,1),""))))))))</f>
        <v>软件开发</v>
      </c>
      <c r="Z2430" s="302" t="str">
        <f ca="1">IF(Y2430=行业比较!$E$6,ROW(),"")</f>
        <v/>
      </c>
      <c r="AA2430" s="122"/>
      <c r="AB2430" s="122"/>
      <c r="AC2430" s="122"/>
      <c r="AD2430" s="122"/>
      <c r="AE2430" s="122"/>
      <c r="AF2430" s="122"/>
      <c r="AG2430" s="122"/>
      <c r="AH2430" s="122"/>
      <c r="AI2430" s="122"/>
      <c r="AJ2430" s="122"/>
      <c r="AK2430" s="122"/>
      <c r="AL2430" s="122"/>
      <c r="AM2430" s="122"/>
      <c r="AN2430" s="122"/>
      <c r="AO2430" s="122"/>
      <c r="AP2430" s="122"/>
    </row>
    <row r="2431" spans="2:42">
      <c r="B2431" s="122"/>
      <c r="C2431" s="122"/>
      <c r="D2431" s="122"/>
      <c r="E2431" s="122"/>
      <c r="F2431" s="122"/>
      <c r="G2431" s="122"/>
      <c r="H2431" s="122"/>
      <c r="I2431" s="275"/>
      <c r="J2431" s="130"/>
      <c r="K2431" s="130"/>
      <c r="L2431" s="130"/>
      <c r="M2431" s="130"/>
      <c r="N2431" s="291"/>
      <c r="O2431" s="291"/>
      <c r="P2431" s="122"/>
      <c r="Q2431" s="122"/>
      <c r="R2431" s="122"/>
      <c r="S2431" s="122"/>
      <c r="T2431" s="122"/>
      <c r="U2431" s="315"/>
      <c r="V2431" s="260">
        <f t="shared" ca="1" si="45"/>
        <v>0</v>
      </c>
      <c r="W2431" s="348" t="str">
        <f>IF(板块成分!B2433="","",板块成分!B2433)</f>
        <v>300997.SZ</v>
      </c>
      <c r="X2431" s="276" t="str">
        <f>[1]!S_Info_Name(W2431)</f>
        <v>欢乐家</v>
      </c>
      <c r="Y2431" s="276" t="str">
        <f ca="1">IF($Y$3="申万一级行业",[1]!s_info_industry_sw_2021(W2431,公司分析!D$5,1),IF($Y$3="申万二级行业",[1]!s_info_industry_sw_2021(W2431,公司分析!D$5,2),IF($Y$3="申万三级行业",[1]!s_info_industry_sw_2021(W2431,公司分析!D$5,3),IF($Y$3="wind一级行业",[1]!s_info_industry_gics(W2431,1),IF($Y$3="wind二级行业",[1]!s_info_industry_gics(W2431,2),IF($Y$3="wind三级行业",[1]!s_info_industry_gics(W2431,3),IF($Y$3="wind四级行业",[1]!s_info_industry_gics(W2431,4),IF($Y$3="证监会门类行业",[1]!s_info_industry_csrc12_n(W2431,公司分析!D$5,1),""))))))))</f>
        <v>饮料乳品</v>
      </c>
      <c r="Z2431" s="302" t="str">
        <f ca="1">IF(Y2431=行业比较!$E$6,ROW(),"")</f>
        <v/>
      </c>
      <c r="AA2431" s="122"/>
      <c r="AB2431" s="122"/>
      <c r="AC2431" s="122"/>
      <c r="AD2431" s="122"/>
      <c r="AE2431" s="122"/>
      <c r="AF2431" s="122"/>
      <c r="AG2431" s="122"/>
      <c r="AH2431" s="122"/>
      <c r="AI2431" s="122"/>
      <c r="AJ2431" s="122"/>
      <c r="AK2431" s="122"/>
      <c r="AL2431" s="122"/>
      <c r="AM2431" s="122"/>
      <c r="AN2431" s="122"/>
      <c r="AO2431" s="122"/>
      <c r="AP2431" s="122"/>
    </row>
    <row r="2432" spans="2:42">
      <c r="B2432" s="122"/>
      <c r="C2432" s="122"/>
      <c r="D2432" s="122"/>
      <c r="E2432" s="122"/>
      <c r="F2432" s="122"/>
      <c r="G2432" s="122"/>
      <c r="H2432" s="122"/>
      <c r="I2432" s="275"/>
      <c r="J2432" s="130"/>
      <c r="K2432" s="130"/>
      <c r="L2432" s="130"/>
      <c r="M2432" s="130"/>
      <c r="N2432" s="291"/>
      <c r="O2432" s="291"/>
      <c r="P2432" s="122"/>
      <c r="Q2432" s="122"/>
      <c r="R2432" s="122"/>
      <c r="S2432" s="122"/>
      <c r="T2432" s="122"/>
      <c r="U2432" s="315"/>
      <c r="V2432" s="260">
        <f t="shared" ca="1" si="45"/>
        <v>0</v>
      </c>
      <c r="W2432" s="348" t="str">
        <f>IF(板块成分!B2434="","",板块成分!B2434)</f>
        <v>300998.SZ</v>
      </c>
      <c r="X2432" s="276" t="str">
        <f>[1]!S_Info_Name(W2432)</f>
        <v>宁波方正</v>
      </c>
      <c r="Y2432" s="276" t="str">
        <f ca="1">IF($Y$3="申万一级行业",[1]!s_info_industry_sw_2021(W2432,公司分析!D$5,1),IF($Y$3="申万二级行业",[1]!s_info_industry_sw_2021(W2432,公司分析!D$5,2),IF($Y$3="申万三级行业",[1]!s_info_industry_sw_2021(W2432,公司分析!D$5,3),IF($Y$3="wind一级行业",[1]!s_info_industry_gics(W2432,1),IF($Y$3="wind二级行业",[1]!s_info_industry_gics(W2432,2),IF($Y$3="wind三级行业",[1]!s_info_industry_gics(W2432,3),IF($Y$3="wind四级行业",[1]!s_info_industry_gics(W2432,4),IF($Y$3="证监会门类行业",[1]!s_info_industry_csrc12_n(W2432,公司分析!D$5,1),""))))))))</f>
        <v>汽车零部件</v>
      </c>
      <c r="Z2432" s="302" t="str">
        <f ca="1">IF(Y2432=行业比较!$E$6,ROW(),"")</f>
        <v/>
      </c>
      <c r="AA2432" s="122"/>
      <c r="AB2432" s="122"/>
      <c r="AC2432" s="122"/>
      <c r="AD2432" s="122"/>
      <c r="AE2432" s="122"/>
      <c r="AF2432" s="122"/>
      <c r="AG2432" s="122"/>
      <c r="AH2432" s="122"/>
      <c r="AI2432" s="122"/>
      <c r="AJ2432" s="122"/>
      <c r="AK2432" s="122"/>
      <c r="AL2432" s="122"/>
      <c r="AM2432" s="122"/>
      <c r="AN2432" s="122"/>
      <c r="AO2432" s="122"/>
      <c r="AP2432" s="122"/>
    </row>
    <row r="2433" spans="2:42">
      <c r="B2433" s="122"/>
      <c r="C2433" s="122"/>
      <c r="D2433" s="122"/>
      <c r="E2433" s="122"/>
      <c r="F2433" s="122"/>
      <c r="G2433" s="122"/>
      <c r="H2433" s="122"/>
      <c r="I2433" s="275"/>
      <c r="J2433" s="130"/>
      <c r="K2433" s="130"/>
      <c r="L2433" s="130"/>
      <c r="M2433" s="130"/>
      <c r="N2433" s="291"/>
      <c r="O2433" s="291"/>
      <c r="P2433" s="122"/>
      <c r="Q2433" s="122"/>
      <c r="R2433" s="122"/>
      <c r="S2433" s="122"/>
      <c r="T2433" s="122"/>
      <c r="U2433" s="315"/>
      <c r="V2433" s="260">
        <f t="shared" ca="1" si="45"/>
        <v>0</v>
      </c>
      <c r="W2433" s="348" t="str">
        <f>IF(板块成分!B2435="","",板块成分!B2435)</f>
        <v>300999.SZ</v>
      </c>
      <c r="X2433" s="276" t="str">
        <f>[1]!S_Info_Name(W2433)</f>
        <v>金龙鱼</v>
      </c>
      <c r="Y2433" s="276" t="str">
        <f ca="1">IF($Y$3="申万一级行业",[1]!s_info_industry_sw_2021(W2433,公司分析!D$5,1),IF($Y$3="申万二级行业",[1]!s_info_industry_sw_2021(W2433,公司分析!D$5,2),IF($Y$3="申万三级行业",[1]!s_info_industry_sw_2021(W2433,公司分析!D$5,3),IF($Y$3="wind一级行业",[1]!s_info_industry_gics(W2433,1),IF($Y$3="wind二级行业",[1]!s_info_industry_gics(W2433,2),IF($Y$3="wind三级行业",[1]!s_info_industry_gics(W2433,3),IF($Y$3="wind四级行业",[1]!s_info_industry_gics(W2433,4),IF($Y$3="证监会门类行业",[1]!s_info_industry_csrc12_n(W2433,公司分析!D$5,1),""))))))))</f>
        <v>农产品加工</v>
      </c>
      <c r="Z2433" s="302" t="str">
        <f ca="1">IF(Y2433=行业比较!$E$6,ROW(),"")</f>
        <v/>
      </c>
      <c r="AA2433" s="122"/>
      <c r="AB2433" s="122"/>
      <c r="AC2433" s="122"/>
      <c r="AD2433" s="122"/>
      <c r="AE2433" s="122"/>
      <c r="AF2433" s="122"/>
      <c r="AG2433" s="122"/>
      <c r="AH2433" s="122"/>
      <c r="AI2433" s="122"/>
      <c r="AJ2433" s="122"/>
      <c r="AK2433" s="122"/>
      <c r="AL2433" s="122"/>
      <c r="AM2433" s="122"/>
      <c r="AN2433" s="122"/>
      <c r="AO2433" s="122"/>
      <c r="AP2433" s="122"/>
    </row>
    <row r="2434" spans="2:42">
      <c r="B2434" s="122"/>
      <c r="C2434" s="122"/>
      <c r="D2434" s="122"/>
      <c r="E2434" s="122"/>
      <c r="F2434" s="122"/>
      <c r="G2434" s="122"/>
      <c r="H2434" s="122"/>
      <c r="I2434" s="275"/>
      <c r="J2434" s="130"/>
      <c r="K2434" s="130"/>
      <c r="L2434" s="130"/>
      <c r="M2434" s="130"/>
      <c r="N2434" s="291"/>
      <c r="O2434" s="291"/>
      <c r="P2434" s="122"/>
      <c r="Q2434" s="122"/>
      <c r="R2434" s="122"/>
      <c r="S2434" s="122"/>
      <c r="T2434" s="122"/>
      <c r="U2434" s="315"/>
      <c r="V2434" s="260">
        <f t="shared" ca="1" si="45"/>
        <v>0</v>
      </c>
      <c r="W2434" s="348" t="str">
        <f>IF(板块成分!B2436="","",板块成分!B2436)</f>
        <v>301000.SZ</v>
      </c>
      <c r="X2434" s="276" t="str">
        <f>[1]!S_Info_Name(W2434)</f>
        <v>肇民科技</v>
      </c>
      <c r="Y2434" s="276" t="str">
        <f ca="1">IF($Y$3="申万一级行业",[1]!s_info_industry_sw_2021(W2434,公司分析!D$5,1),IF($Y$3="申万二级行业",[1]!s_info_industry_sw_2021(W2434,公司分析!D$5,2),IF($Y$3="申万三级行业",[1]!s_info_industry_sw_2021(W2434,公司分析!D$5,3),IF($Y$3="wind一级行业",[1]!s_info_industry_gics(W2434,1),IF($Y$3="wind二级行业",[1]!s_info_industry_gics(W2434,2),IF($Y$3="wind三级行业",[1]!s_info_industry_gics(W2434,3),IF($Y$3="wind四级行业",[1]!s_info_industry_gics(W2434,4),IF($Y$3="证监会门类行业",[1]!s_info_industry_csrc12_n(W2434,公司分析!D$5,1),""))))))))</f>
        <v>汽车零部件</v>
      </c>
      <c r="Z2434" s="302" t="str">
        <f ca="1">IF(Y2434=行业比较!$E$6,ROW(),"")</f>
        <v/>
      </c>
      <c r="AA2434" s="122"/>
      <c r="AB2434" s="122"/>
      <c r="AC2434" s="122"/>
      <c r="AD2434" s="122"/>
      <c r="AE2434" s="122"/>
      <c r="AF2434" s="122"/>
      <c r="AG2434" s="122"/>
      <c r="AH2434" s="122"/>
      <c r="AI2434" s="122"/>
      <c r="AJ2434" s="122"/>
      <c r="AK2434" s="122"/>
      <c r="AL2434" s="122"/>
      <c r="AM2434" s="122"/>
      <c r="AN2434" s="122"/>
      <c r="AO2434" s="122"/>
      <c r="AP2434" s="122"/>
    </row>
    <row r="2435" spans="2:42">
      <c r="B2435" s="122"/>
      <c r="C2435" s="122"/>
      <c r="D2435" s="122"/>
      <c r="E2435" s="122"/>
      <c r="F2435" s="122"/>
      <c r="G2435" s="122"/>
      <c r="H2435" s="122"/>
      <c r="I2435" s="275"/>
      <c r="J2435" s="130"/>
      <c r="K2435" s="130"/>
      <c r="L2435" s="130"/>
      <c r="M2435" s="130"/>
      <c r="N2435" s="291"/>
      <c r="O2435" s="291"/>
      <c r="P2435" s="122"/>
      <c r="Q2435" s="122"/>
      <c r="R2435" s="122"/>
      <c r="S2435" s="122"/>
      <c r="T2435" s="122"/>
      <c r="U2435" s="315"/>
      <c r="V2435" s="260">
        <f t="shared" ca="1" si="45"/>
        <v>0</v>
      </c>
      <c r="W2435" s="348" t="str">
        <f>IF(板块成分!B2437="","",板块成分!B2437)</f>
        <v>301001.SZ</v>
      </c>
      <c r="X2435" s="276" t="str">
        <f>[1]!S_Info_Name(W2435)</f>
        <v>凯淳股份</v>
      </c>
      <c r="Y2435" s="276" t="str">
        <f ca="1">IF($Y$3="申万一级行业",[1]!s_info_industry_sw_2021(W2435,公司分析!D$5,1),IF($Y$3="申万二级行业",[1]!s_info_industry_sw_2021(W2435,公司分析!D$5,2),IF($Y$3="申万三级行业",[1]!s_info_industry_sw_2021(W2435,公司分析!D$5,3),IF($Y$3="wind一级行业",[1]!s_info_industry_gics(W2435,1),IF($Y$3="wind二级行业",[1]!s_info_industry_gics(W2435,2),IF($Y$3="wind三级行业",[1]!s_info_industry_gics(W2435,3),IF($Y$3="wind四级行业",[1]!s_info_industry_gics(W2435,4),IF($Y$3="证监会门类行业",[1]!s_info_industry_csrc12_n(W2435,公司分析!D$5,1),""))))))))</f>
        <v>互联网电商</v>
      </c>
      <c r="Z2435" s="302" t="str">
        <f ca="1">IF(Y2435=行业比较!$E$6,ROW(),"")</f>
        <v/>
      </c>
      <c r="AA2435" s="122"/>
      <c r="AB2435" s="122"/>
      <c r="AC2435" s="122"/>
      <c r="AD2435" s="122"/>
      <c r="AE2435" s="122"/>
      <c r="AF2435" s="122"/>
      <c r="AG2435" s="122"/>
      <c r="AH2435" s="122"/>
      <c r="AI2435" s="122"/>
      <c r="AJ2435" s="122"/>
      <c r="AK2435" s="122"/>
      <c r="AL2435" s="122"/>
      <c r="AM2435" s="122"/>
      <c r="AN2435" s="122"/>
      <c r="AO2435" s="122"/>
      <c r="AP2435" s="122"/>
    </row>
    <row r="2436" spans="2:42">
      <c r="B2436" s="122"/>
      <c r="C2436" s="122"/>
      <c r="D2436" s="122"/>
      <c r="E2436" s="122"/>
      <c r="F2436" s="122"/>
      <c r="G2436" s="122"/>
      <c r="H2436" s="122"/>
      <c r="I2436" s="275"/>
      <c r="J2436" s="130"/>
      <c r="K2436" s="130"/>
      <c r="L2436" s="130"/>
      <c r="M2436" s="130"/>
      <c r="N2436" s="291"/>
      <c r="O2436" s="291"/>
      <c r="P2436" s="122"/>
      <c r="Q2436" s="122"/>
      <c r="R2436" s="122"/>
      <c r="S2436" s="122"/>
      <c r="T2436" s="122"/>
      <c r="U2436" s="315"/>
      <c r="V2436" s="260">
        <f t="shared" ca="1" si="45"/>
        <v>0</v>
      </c>
      <c r="W2436" s="348" t="str">
        <f>IF(板块成分!B2438="","",板块成分!B2438)</f>
        <v>301002.SZ</v>
      </c>
      <c r="X2436" s="276" t="str">
        <f>[1]!S_Info_Name(W2436)</f>
        <v>崧盛股份</v>
      </c>
      <c r="Y2436" s="276" t="str">
        <f ca="1">IF($Y$3="申万一级行业",[1]!s_info_industry_sw_2021(W2436,公司分析!D$5,1),IF($Y$3="申万二级行业",[1]!s_info_industry_sw_2021(W2436,公司分析!D$5,2),IF($Y$3="申万三级行业",[1]!s_info_industry_sw_2021(W2436,公司分析!D$5,3),IF($Y$3="wind一级行业",[1]!s_info_industry_gics(W2436,1),IF($Y$3="wind二级行业",[1]!s_info_industry_gics(W2436,2),IF($Y$3="wind三级行业",[1]!s_info_industry_gics(W2436,3),IF($Y$3="wind四级行业",[1]!s_info_industry_gics(W2436,4),IF($Y$3="证监会门类行业",[1]!s_info_industry_csrc12_n(W2436,公司分析!D$5,1),""))))))))</f>
        <v>电网设备</v>
      </c>
      <c r="Z2436" s="302" t="str">
        <f ca="1">IF(Y2436=行业比较!$E$6,ROW(),"")</f>
        <v/>
      </c>
      <c r="AA2436" s="122"/>
      <c r="AB2436" s="122"/>
      <c r="AC2436" s="122"/>
      <c r="AD2436" s="122"/>
      <c r="AE2436" s="122"/>
      <c r="AF2436" s="122"/>
      <c r="AG2436" s="122"/>
      <c r="AH2436" s="122"/>
      <c r="AI2436" s="122"/>
      <c r="AJ2436" s="122"/>
      <c r="AK2436" s="122"/>
      <c r="AL2436" s="122"/>
      <c r="AM2436" s="122"/>
      <c r="AN2436" s="122"/>
      <c r="AO2436" s="122"/>
      <c r="AP2436" s="122"/>
    </row>
    <row r="2437" spans="2:42">
      <c r="B2437" s="122"/>
      <c r="C2437" s="122"/>
      <c r="D2437" s="122"/>
      <c r="E2437" s="122"/>
      <c r="F2437" s="122"/>
      <c r="G2437" s="122"/>
      <c r="H2437" s="122"/>
      <c r="I2437" s="275"/>
      <c r="J2437" s="130"/>
      <c r="K2437" s="130"/>
      <c r="L2437" s="130"/>
      <c r="M2437" s="130"/>
      <c r="N2437" s="291"/>
      <c r="O2437" s="291"/>
      <c r="P2437" s="122"/>
      <c r="Q2437" s="122"/>
      <c r="R2437" s="122"/>
      <c r="S2437" s="122"/>
      <c r="T2437" s="122"/>
      <c r="U2437" s="315"/>
      <c r="V2437" s="260">
        <f t="shared" ref="V2437:V2500" ca="1" si="46">IF(Z2437="",0,RANK(Z2437,Z:Z,1))</f>
        <v>0</v>
      </c>
      <c r="W2437" s="348" t="str">
        <f>IF(板块成分!B2439="","",板块成分!B2439)</f>
        <v>301003.SZ</v>
      </c>
      <c r="X2437" s="276" t="str">
        <f>[1]!S_Info_Name(W2437)</f>
        <v>江苏博云</v>
      </c>
      <c r="Y2437" s="276" t="str">
        <f ca="1">IF($Y$3="申万一级行业",[1]!s_info_industry_sw_2021(W2437,公司分析!D$5,1),IF($Y$3="申万二级行业",[1]!s_info_industry_sw_2021(W2437,公司分析!D$5,2),IF($Y$3="申万三级行业",[1]!s_info_industry_sw_2021(W2437,公司分析!D$5,3),IF($Y$3="wind一级行业",[1]!s_info_industry_gics(W2437,1),IF($Y$3="wind二级行业",[1]!s_info_industry_gics(W2437,2),IF($Y$3="wind三级行业",[1]!s_info_industry_gics(W2437,3),IF($Y$3="wind四级行业",[1]!s_info_industry_gics(W2437,4),IF($Y$3="证监会门类行业",[1]!s_info_industry_csrc12_n(W2437,公司分析!D$5,1),""))))))))</f>
        <v>塑料</v>
      </c>
      <c r="Z2437" s="302" t="str">
        <f ca="1">IF(Y2437=行业比较!$E$6,ROW(),"")</f>
        <v/>
      </c>
      <c r="AA2437" s="122"/>
      <c r="AB2437" s="122"/>
      <c r="AC2437" s="122"/>
      <c r="AD2437" s="122"/>
      <c r="AE2437" s="122"/>
      <c r="AF2437" s="122"/>
      <c r="AG2437" s="122"/>
      <c r="AH2437" s="122"/>
      <c r="AI2437" s="122"/>
      <c r="AJ2437" s="122"/>
      <c r="AK2437" s="122"/>
      <c r="AL2437" s="122"/>
      <c r="AM2437" s="122"/>
      <c r="AN2437" s="122"/>
      <c r="AO2437" s="122"/>
      <c r="AP2437" s="122"/>
    </row>
    <row r="2438" spans="2:42">
      <c r="B2438" s="122"/>
      <c r="C2438" s="122"/>
      <c r="D2438" s="122"/>
      <c r="E2438" s="122"/>
      <c r="F2438" s="122"/>
      <c r="G2438" s="122"/>
      <c r="H2438" s="122"/>
      <c r="I2438" s="275"/>
      <c r="J2438" s="130"/>
      <c r="K2438" s="130"/>
      <c r="L2438" s="130"/>
      <c r="M2438" s="130"/>
      <c r="N2438" s="291"/>
      <c r="O2438" s="291"/>
      <c r="P2438" s="122"/>
      <c r="Q2438" s="122"/>
      <c r="R2438" s="122"/>
      <c r="S2438" s="122"/>
      <c r="T2438" s="122"/>
      <c r="U2438" s="315"/>
      <c r="V2438" s="260">
        <f t="shared" ca="1" si="46"/>
        <v>0</v>
      </c>
      <c r="W2438" s="348" t="str">
        <f>IF(板块成分!B2440="","",板块成分!B2440)</f>
        <v>301004.SZ</v>
      </c>
      <c r="X2438" s="276" t="str">
        <f>[1]!S_Info_Name(W2438)</f>
        <v>嘉益股份</v>
      </c>
      <c r="Y2438" s="276" t="str">
        <f ca="1">IF($Y$3="申万一级行业",[1]!s_info_industry_sw_2021(W2438,公司分析!D$5,1),IF($Y$3="申万二级行业",[1]!s_info_industry_sw_2021(W2438,公司分析!D$5,2),IF($Y$3="申万三级行业",[1]!s_info_industry_sw_2021(W2438,公司分析!D$5,3),IF($Y$3="wind一级行业",[1]!s_info_industry_gics(W2438,1),IF($Y$3="wind二级行业",[1]!s_info_industry_gics(W2438,2),IF($Y$3="wind三级行业",[1]!s_info_industry_gics(W2438,3),IF($Y$3="wind四级行业",[1]!s_info_industry_gics(W2438,4),IF($Y$3="证监会门类行业",[1]!s_info_industry_csrc12_n(W2438,公司分析!D$5,1),""))))))))</f>
        <v>家居用品</v>
      </c>
      <c r="Z2438" s="302" t="str">
        <f ca="1">IF(Y2438=行业比较!$E$6,ROW(),"")</f>
        <v/>
      </c>
      <c r="AA2438" s="122"/>
      <c r="AB2438" s="122"/>
      <c r="AC2438" s="122"/>
      <c r="AD2438" s="122"/>
      <c r="AE2438" s="122"/>
      <c r="AF2438" s="122"/>
      <c r="AG2438" s="122"/>
      <c r="AH2438" s="122"/>
      <c r="AI2438" s="122"/>
      <c r="AJ2438" s="122"/>
      <c r="AK2438" s="122"/>
      <c r="AL2438" s="122"/>
      <c r="AM2438" s="122"/>
      <c r="AN2438" s="122"/>
      <c r="AO2438" s="122"/>
      <c r="AP2438" s="122"/>
    </row>
    <row r="2439" spans="2:42">
      <c r="B2439" s="122"/>
      <c r="C2439" s="122"/>
      <c r="D2439" s="122"/>
      <c r="E2439" s="122"/>
      <c r="F2439" s="122"/>
      <c r="G2439" s="122"/>
      <c r="H2439" s="122"/>
      <c r="I2439" s="275"/>
      <c r="J2439" s="130"/>
      <c r="K2439" s="130"/>
      <c r="L2439" s="130"/>
      <c r="M2439" s="130"/>
      <c r="N2439" s="291"/>
      <c r="O2439" s="291"/>
      <c r="P2439" s="122"/>
      <c r="Q2439" s="122"/>
      <c r="R2439" s="122"/>
      <c r="S2439" s="122"/>
      <c r="T2439" s="122"/>
      <c r="U2439" s="315"/>
      <c r="V2439" s="260">
        <f t="shared" ca="1" si="46"/>
        <v>0</v>
      </c>
      <c r="W2439" s="348" t="str">
        <f>IF(板块成分!B2441="","",板块成分!B2441)</f>
        <v>301005.SZ</v>
      </c>
      <c r="X2439" s="276" t="str">
        <f>[1]!S_Info_Name(W2439)</f>
        <v>超捷股份</v>
      </c>
      <c r="Y2439" s="276" t="str">
        <f ca="1">IF($Y$3="申万一级行业",[1]!s_info_industry_sw_2021(W2439,公司分析!D$5,1),IF($Y$3="申万二级行业",[1]!s_info_industry_sw_2021(W2439,公司分析!D$5,2),IF($Y$3="申万三级行业",[1]!s_info_industry_sw_2021(W2439,公司分析!D$5,3),IF($Y$3="wind一级行业",[1]!s_info_industry_gics(W2439,1),IF($Y$3="wind二级行业",[1]!s_info_industry_gics(W2439,2),IF($Y$3="wind三级行业",[1]!s_info_industry_gics(W2439,3),IF($Y$3="wind四级行业",[1]!s_info_industry_gics(W2439,4),IF($Y$3="证监会门类行业",[1]!s_info_industry_csrc12_n(W2439,公司分析!D$5,1),""))))))))</f>
        <v>汽车零部件</v>
      </c>
      <c r="Z2439" s="302" t="str">
        <f ca="1">IF(Y2439=行业比较!$E$6,ROW(),"")</f>
        <v/>
      </c>
      <c r="AA2439" s="122"/>
      <c r="AB2439" s="122"/>
      <c r="AC2439" s="122"/>
      <c r="AD2439" s="122"/>
      <c r="AE2439" s="122"/>
      <c r="AF2439" s="122"/>
      <c r="AG2439" s="122"/>
      <c r="AH2439" s="122"/>
      <c r="AI2439" s="122"/>
      <c r="AJ2439" s="122"/>
      <c r="AK2439" s="122"/>
      <c r="AL2439" s="122"/>
      <c r="AM2439" s="122"/>
      <c r="AN2439" s="122"/>
      <c r="AO2439" s="122"/>
      <c r="AP2439" s="122"/>
    </row>
    <row r="2440" spans="2:42">
      <c r="B2440" s="122"/>
      <c r="C2440" s="122"/>
      <c r="D2440" s="122"/>
      <c r="E2440" s="122"/>
      <c r="F2440" s="122"/>
      <c r="G2440" s="122"/>
      <c r="H2440" s="122"/>
      <c r="I2440" s="275"/>
      <c r="J2440" s="130"/>
      <c r="K2440" s="130"/>
      <c r="L2440" s="130"/>
      <c r="M2440" s="130"/>
      <c r="N2440" s="291"/>
      <c r="O2440" s="291"/>
      <c r="P2440" s="122"/>
      <c r="Q2440" s="122"/>
      <c r="R2440" s="122"/>
      <c r="S2440" s="122"/>
      <c r="T2440" s="122"/>
      <c r="U2440" s="315"/>
      <c r="V2440" s="260">
        <f t="shared" ca="1" si="46"/>
        <v>0</v>
      </c>
      <c r="W2440" s="348" t="str">
        <f>IF(板块成分!B2442="","",板块成分!B2442)</f>
        <v>301006.SZ</v>
      </c>
      <c r="X2440" s="276" t="str">
        <f>[1]!S_Info_Name(W2440)</f>
        <v>迈拓股份</v>
      </c>
      <c r="Y2440" s="276" t="str">
        <f ca="1">IF($Y$3="申万一级行业",[1]!s_info_industry_sw_2021(W2440,公司分析!D$5,1),IF($Y$3="申万二级行业",[1]!s_info_industry_sw_2021(W2440,公司分析!D$5,2),IF($Y$3="申万三级行业",[1]!s_info_industry_sw_2021(W2440,公司分析!D$5,3),IF($Y$3="wind一级行业",[1]!s_info_industry_gics(W2440,1),IF($Y$3="wind二级行业",[1]!s_info_industry_gics(W2440,2),IF($Y$3="wind三级行业",[1]!s_info_industry_gics(W2440,3),IF($Y$3="wind四级行业",[1]!s_info_industry_gics(W2440,4),IF($Y$3="证监会门类行业",[1]!s_info_industry_csrc12_n(W2440,公司分析!D$5,1),""))))))))</f>
        <v>通用设备</v>
      </c>
      <c r="Z2440" s="302" t="str">
        <f ca="1">IF(Y2440=行业比较!$E$6,ROW(),"")</f>
        <v/>
      </c>
      <c r="AA2440" s="122"/>
      <c r="AB2440" s="122"/>
      <c r="AC2440" s="122"/>
      <c r="AD2440" s="122"/>
      <c r="AE2440" s="122"/>
      <c r="AF2440" s="122"/>
      <c r="AG2440" s="122"/>
      <c r="AH2440" s="122"/>
      <c r="AI2440" s="122"/>
      <c r="AJ2440" s="122"/>
      <c r="AK2440" s="122"/>
      <c r="AL2440" s="122"/>
      <c r="AM2440" s="122"/>
      <c r="AN2440" s="122"/>
      <c r="AO2440" s="122"/>
      <c r="AP2440" s="122"/>
    </row>
    <row r="2441" spans="2:42">
      <c r="B2441" s="122"/>
      <c r="C2441" s="122"/>
      <c r="D2441" s="122"/>
      <c r="E2441" s="122"/>
      <c r="F2441" s="122"/>
      <c r="G2441" s="122"/>
      <c r="H2441" s="122"/>
      <c r="I2441" s="275"/>
      <c r="J2441" s="130"/>
      <c r="K2441" s="130"/>
      <c r="L2441" s="130"/>
      <c r="M2441" s="130"/>
      <c r="N2441" s="291"/>
      <c r="O2441" s="291"/>
      <c r="P2441" s="122"/>
      <c r="Q2441" s="122"/>
      <c r="R2441" s="122"/>
      <c r="S2441" s="122"/>
      <c r="T2441" s="122"/>
      <c r="U2441" s="315"/>
      <c r="V2441" s="260">
        <f t="shared" ca="1" si="46"/>
        <v>0</v>
      </c>
      <c r="W2441" s="348" t="str">
        <f>IF(板块成分!B2443="","",板块成分!B2443)</f>
        <v>301007.SZ</v>
      </c>
      <c r="X2441" s="276" t="str">
        <f>[1]!S_Info_Name(W2441)</f>
        <v>德迈仕</v>
      </c>
      <c r="Y2441" s="276" t="str">
        <f ca="1">IF($Y$3="申万一级行业",[1]!s_info_industry_sw_2021(W2441,公司分析!D$5,1),IF($Y$3="申万二级行业",[1]!s_info_industry_sw_2021(W2441,公司分析!D$5,2),IF($Y$3="申万三级行业",[1]!s_info_industry_sw_2021(W2441,公司分析!D$5,3),IF($Y$3="wind一级行业",[1]!s_info_industry_gics(W2441,1),IF($Y$3="wind二级行业",[1]!s_info_industry_gics(W2441,2),IF($Y$3="wind三级行业",[1]!s_info_industry_gics(W2441,3),IF($Y$3="wind四级行业",[1]!s_info_industry_gics(W2441,4),IF($Y$3="证监会门类行业",[1]!s_info_industry_csrc12_n(W2441,公司分析!D$5,1),""))))))))</f>
        <v>汽车零部件</v>
      </c>
      <c r="Z2441" s="302" t="str">
        <f ca="1">IF(Y2441=行业比较!$E$6,ROW(),"")</f>
        <v/>
      </c>
      <c r="AA2441" s="122"/>
      <c r="AB2441" s="122"/>
      <c r="AC2441" s="122"/>
      <c r="AD2441" s="122"/>
      <c r="AE2441" s="122"/>
      <c r="AF2441" s="122"/>
      <c r="AG2441" s="122"/>
      <c r="AH2441" s="122"/>
      <c r="AI2441" s="122"/>
      <c r="AJ2441" s="122"/>
      <c r="AK2441" s="122"/>
      <c r="AL2441" s="122"/>
      <c r="AM2441" s="122"/>
      <c r="AN2441" s="122"/>
      <c r="AO2441" s="122"/>
      <c r="AP2441" s="122"/>
    </row>
    <row r="2442" spans="2:42">
      <c r="B2442" s="122"/>
      <c r="C2442" s="122"/>
      <c r="D2442" s="122"/>
      <c r="E2442" s="122"/>
      <c r="F2442" s="122"/>
      <c r="G2442" s="122"/>
      <c r="H2442" s="122"/>
      <c r="I2442" s="275"/>
      <c r="J2442" s="130"/>
      <c r="K2442" s="130"/>
      <c r="L2442" s="130"/>
      <c r="M2442" s="130"/>
      <c r="N2442" s="291"/>
      <c r="O2442" s="291"/>
      <c r="P2442" s="122"/>
      <c r="Q2442" s="122"/>
      <c r="R2442" s="122"/>
      <c r="S2442" s="122"/>
      <c r="T2442" s="122"/>
      <c r="U2442" s="315"/>
      <c r="V2442" s="260">
        <f t="shared" ca="1" si="46"/>
        <v>0</v>
      </c>
      <c r="W2442" s="348" t="str">
        <f>IF(板块成分!B2444="","",板块成分!B2444)</f>
        <v>301008.SZ</v>
      </c>
      <c r="X2442" s="276" t="str">
        <f>[1]!S_Info_Name(W2442)</f>
        <v>宏昌科技</v>
      </c>
      <c r="Y2442" s="276" t="str">
        <f ca="1">IF($Y$3="申万一级行业",[1]!s_info_industry_sw_2021(W2442,公司分析!D$5,1),IF($Y$3="申万二级行业",[1]!s_info_industry_sw_2021(W2442,公司分析!D$5,2),IF($Y$3="申万三级行业",[1]!s_info_industry_sw_2021(W2442,公司分析!D$5,3),IF($Y$3="wind一级行业",[1]!s_info_industry_gics(W2442,1),IF($Y$3="wind二级行业",[1]!s_info_industry_gics(W2442,2),IF($Y$3="wind三级行业",[1]!s_info_industry_gics(W2442,3),IF($Y$3="wind四级行业",[1]!s_info_industry_gics(W2442,4),IF($Y$3="证监会门类行业",[1]!s_info_industry_csrc12_n(W2442,公司分析!D$5,1),""))))))))</f>
        <v>家电零部件Ⅱ</v>
      </c>
      <c r="Z2442" s="302" t="str">
        <f ca="1">IF(Y2442=行业比较!$E$6,ROW(),"")</f>
        <v/>
      </c>
      <c r="AA2442" s="122"/>
      <c r="AB2442" s="122"/>
      <c r="AC2442" s="122"/>
      <c r="AD2442" s="122"/>
      <c r="AE2442" s="122"/>
      <c r="AF2442" s="122"/>
      <c r="AG2442" s="122"/>
      <c r="AH2442" s="122"/>
      <c r="AI2442" s="122"/>
      <c r="AJ2442" s="122"/>
      <c r="AK2442" s="122"/>
      <c r="AL2442" s="122"/>
      <c r="AM2442" s="122"/>
      <c r="AN2442" s="122"/>
      <c r="AO2442" s="122"/>
      <c r="AP2442" s="122"/>
    </row>
    <row r="2443" spans="2:42">
      <c r="B2443" s="122"/>
      <c r="C2443" s="122"/>
      <c r="D2443" s="122"/>
      <c r="E2443" s="122"/>
      <c r="F2443" s="122"/>
      <c r="G2443" s="122"/>
      <c r="H2443" s="122"/>
      <c r="I2443" s="275"/>
      <c r="J2443" s="130"/>
      <c r="K2443" s="130"/>
      <c r="L2443" s="130"/>
      <c r="M2443" s="130"/>
      <c r="N2443" s="291"/>
      <c r="O2443" s="291"/>
      <c r="P2443" s="122"/>
      <c r="Q2443" s="122"/>
      <c r="R2443" s="122"/>
      <c r="S2443" s="122"/>
      <c r="T2443" s="122"/>
      <c r="U2443" s="315"/>
      <c r="V2443" s="260">
        <f t="shared" ca="1" si="46"/>
        <v>0</v>
      </c>
      <c r="W2443" s="348" t="str">
        <f>IF(板块成分!B2445="","",板块成分!B2445)</f>
        <v>301009.SZ</v>
      </c>
      <c r="X2443" s="276" t="str">
        <f>[1]!S_Info_Name(W2443)</f>
        <v>可靠股份</v>
      </c>
      <c r="Y2443" s="276" t="str">
        <f ca="1">IF($Y$3="申万一级行业",[1]!s_info_industry_sw_2021(W2443,公司分析!D$5,1),IF($Y$3="申万二级行业",[1]!s_info_industry_sw_2021(W2443,公司分析!D$5,2),IF($Y$3="申万三级行业",[1]!s_info_industry_sw_2021(W2443,公司分析!D$5,3),IF($Y$3="wind一级行业",[1]!s_info_industry_gics(W2443,1),IF($Y$3="wind二级行业",[1]!s_info_industry_gics(W2443,2),IF($Y$3="wind三级行业",[1]!s_info_industry_gics(W2443,3),IF($Y$3="wind四级行业",[1]!s_info_industry_gics(W2443,4),IF($Y$3="证监会门类行业",[1]!s_info_industry_csrc12_n(W2443,公司分析!D$5,1),""))))))))</f>
        <v>个护用品</v>
      </c>
      <c r="Z2443" s="302" t="str">
        <f ca="1">IF(Y2443=行业比较!$E$6,ROW(),"")</f>
        <v/>
      </c>
      <c r="AA2443" s="122"/>
      <c r="AB2443" s="122"/>
      <c r="AC2443" s="122"/>
      <c r="AD2443" s="122"/>
      <c r="AE2443" s="122"/>
      <c r="AF2443" s="122"/>
      <c r="AG2443" s="122"/>
      <c r="AH2443" s="122"/>
      <c r="AI2443" s="122"/>
      <c r="AJ2443" s="122"/>
      <c r="AK2443" s="122"/>
      <c r="AL2443" s="122"/>
      <c r="AM2443" s="122"/>
      <c r="AN2443" s="122"/>
      <c r="AO2443" s="122"/>
      <c r="AP2443" s="122"/>
    </row>
    <row r="2444" spans="2:42">
      <c r="B2444" s="122"/>
      <c r="C2444" s="122"/>
      <c r="D2444" s="122"/>
      <c r="E2444" s="122"/>
      <c r="F2444" s="122"/>
      <c r="G2444" s="122"/>
      <c r="H2444" s="122"/>
      <c r="I2444" s="275"/>
      <c r="J2444" s="130"/>
      <c r="K2444" s="130"/>
      <c r="L2444" s="130"/>
      <c r="M2444" s="130"/>
      <c r="N2444" s="291"/>
      <c r="O2444" s="291"/>
      <c r="P2444" s="122"/>
      <c r="Q2444" s="122"/>
      <c r="R2444" s="122"/>
      <c r="S2444" s="122"/>
      <c r="T2444" s="122"/>
      <c r="U2444" s="315"/>
      <c r="V2444" s="260">
        <f t="shared" ca="1" si="46"/>
        <v>0</v>
      </c>
      <c r="W2444" s="348" t="str">
        <f>IF(板块成分!B2446="","",板块成分!B2446)</f>
        <v>301010.SZ</v>
      </c>
      <c r="X2444" s="276" t="str">
        <f>[1]!S_Info_Name(W2444)</f>
        <v>晶雪节能</v>
      </c>
      <c r="Y2444" s="276" t="str">
        <f ca="1">IF($Y$3="申万一级行业",[1]!s_info_industry_sw_2021(W2444,公司分析!D$5,1),IF($Y$3="申万二级行业",[1]!s_info_industry_sw_2021(W2444,公司分析!D$5,2),IF($Y$3="申万三级行业",[1]!s_info_industry_sw_2021(W2444,公司分析!D$5,3),IF($Y$3="wind一级行业",[1]!s_info_industry_gics(W2444,1),IF($Y$3="wind二级行业",[1]!s_info_industry_gics(W2444,2),IF($Y$3="wind三级行业",[1]!s_info_industry_gics(W2444,3),IF($Y$3="wind四级行业",[1]!s_info_industry_gics(W2444,4),IF($Y$3="证监会门类行业",[1]!s_info_industry_csrc12_n(W2444,公司分析!D$5,1),""))))))))</f>
        <v>装修建材</v>
      </c>
      <c r="Z2444" s="302" t="str">
        <f ca="1">IF(Y2444=行业比较!$E$6,ROW(),"")</f>
        <v/>
      </c>
      <c r="AA2444" s="122"/>
      <c r="AB2444" s="122"/>
      <c r="AC2444" s="122"/>
      <c r="AD2444" s="122"/>
      <c r="AE2444" s="122"/>
      <c r="AF2444" s="122"/>
      <c r="AG2444" s="122"/>
      <c r="AH2444" s="122"/>
      <c r="AI2444" s="122"/>
      <c r="AJ2444" s="122"/>
      <c r="AK2444" s="122"/>
      <c r="AL2444" s="122"/>
      <c r="AM2444" s="122"/>
      <c r="AN2444" s="122"/>
      <c r="AO2444" s="122"/>
      <c r="AP2444" s="122"/>
    </row>
    <row r="2445" spans="2:42">
      <c r="B2445" s="122"/>
      <c r="C2445" s="122"/>
      <c r="D2445" s="122"/>
      <c r="E2445" s="122"/>
      <c r="F2445" s="122"/>
      <c r="G2445" s="122"/>
      <c r="H2445" s="122"/>
      <c r="I2445" s="275"/>
      <c r="J2445" s="130"/>
      <c r="K2445" s="130"/>
      <c r="L2445" s="130"/>
      <c r="M2445" s="130"/>
      <c r="N2445" s="291"/>
      <c r="O2445" s="291"/>
      <c r="P2445" s="122"/>
      <c r="Q2445" s="122"/>
      <c r="R2445" s="122"/>
      <c r="S2445" s="122"/>
      <c r="T2445" s="122"/>
      <c r="U2445" s="315"/>
      <c r="V2445" s="260">
        <f t="shared" ca="1" si="46"/>
        <v>0</v>
      </c>
      <c r="W2445" s="348" t="str">
        <f>IF(板块成分!B2447="","",板块成分!B2447)</f>
        <v>301011.SZ</v>
      </c>
      <c r="X2445" s="276" t="str">
        <f>[1]!S_Info_Name(W2445)</f>
        <v>华立科技</v>
      </c>
      <c r="Y2445" s="276" t="str">
        <f ca="1">IF($Y$3="申万一级行业",[1]!s_info_industry_sw_2021(W2445,公司分析!D$5,1),IF($Y$3="申万二级行业",[1]!s_info_industry_sw_2021(W2445,公司分析!D$5,2),IF($Y$3="申万三级行业",[1]!s_info_industry_sw_2021(W2445,公司分析!D$5,3),IF($Y$3="wind一级行业",[1]!s_info_industry_gics(W2445,1),IF($Y$3="wind二级行业",[1]!s_info_industry_gics(W2445,2),IF($Y$3="wind三级行业",[1]!s_info_industry_gics(W2445,3),IF($Y$3="wind四级行业",[1]!s_info_industry_gics(W2445,4),IF($Y$3="证监会门类行业",[1]!s_info_industry_csrc12_n(W2445,公司分析!D$5,1),""))))))))</f>
        <v>文娱用品</v>
      </c>
      <c r="Z2445" s="302" t="str">
        <f ca="1">IF(Y2445=行业比较!$E$6,ROW(),"")</f>
        <v/>
      </c>
      <c r="AA2445" s="122"/>
      <c r="AB2445" s="122"/>
      <c r="AC2445" s="122"/>
      <c r="AD2445" s="122"/>
      <c r="AE2445" s="122"/>
      <c r="AF2445" s="122"/>
      <c r="AG2445" s="122"/>
      <c r="AH2445" s="122"/>
      <c r="AI2445" s="122"/>
      <c r="AJ2445" s="122"/>
      <c r="AK2445" s="122"/>
      <c r="AL2445" s="122"/>
      <c r="AM2445" s="122"/>
      <c r="AN2445" s="122"/>
      <c r="AO2445" s="122"/>
      <c r="AP2445" s="122"/>
    </row>
    <row r="2446" spans="2:42">
      <c r="B2446" s="122"/>
      <c r="C2446" s="122"/>
      <c r="D2446" s="122"/>
      <c r="E2446" s="122"/>
      <c r="F2446" s="122"/>
      <c r="G2446" s="122"/>
      <c r="H2446" s="122"/>
      <c r="I2446" s="275"/>
      <c r="J2446" s="130"/>
      <c r="K2446" s="130"/>
      <c r="L2446" s="130"/>
      <c r="M2446" s="130"/>
      <c r="N2446" s="291"/>
      <c r="O2446" s="291"/>
      <c r="P2446" s="122"/>
      <c r="Q2446" s="122"/>
      <c r="R2446" s="122"/>
      <c r="S2446" s="122"/>
      <c r="T2446" s="122"/>
      <c r="U2446" s="315"/>
      <c r="V2446" s="260">
        <f t="shared" ca="1" si="46"/>
        <v>0</v>
      </c>
      <c r="W2446" s="348" t="str">
        <f>IF(板块成分!B2448="","",板块成分!B2448)</f>
        <v>301012.SZ</v>
      </c>
      <c r="X2446" s="276" t="str">
        <f>[1]!S_Info_Name(W2446)</f>
        <v>扬电科技</v>
      </c>
      <c r="Y2446" s="276" t="str">
        <f ca="1">IF($Y$3="申万一级行业",[1]!s_info_industry_sw_2021(W2446,公司分析!D$5,1),IF($Y$3="申万二级行业",[1]!s_info_industry_sw_2021(W2446,公司分析!D$5,2),IF($Y$3="申万三级行业",[1]!s_info_industry_sw_2021(W2446,公司分析!D$5,3),IF($Y$3="wind一级行业",[1]!s_info_industry_gics(W2446,1),IF($Y$3="wind二级行业",[1]!s_info_industry_gics(W2446,2),IF($Y$3="wind三级行业",[1]!s_info_industry_gics(W2446,3),IF($Y$3="wind四级行业",[1]!s_info_industry_gics(W2446,4),IF($Y$3="证监会门类行业",[1]!s_info_industry_csrc12_n(W2446,公司分析!D$5,1),""))))))))</f>
        <v>电网设备</v>
      </c>
      <c r="Z2446" s="302" t="str">
        <f ca="1">IF(Y2446=行业比较!$E$6,ROW(),"")</f>
        <v/>
      </c>
      <c r="AA2446" s="122"/>
      <c r="AB2446" s="122"/>
      <c r="AC2446" s="122"/>
      <c r="AD2446" s="122"/>
      <c r="AE2446" s="122"/>
      <c r="AF2446" s="122"/>
      <c r="AG2446" s="122"/>
      <c r="AH2446" s="122"/>
      <c r="AI2446" s="122"/>
      <c r="AJ2446" s="122"/>
      <c r="AK2446" s="122"/>
      <c r="AL2446" s="122"/>
      <c r="AM2446" s="122"/>
      <c r="AN2446" s="122"/>
      <c r="AO2446" s="122"/>
      <c r="AP2446" s="122"/>
    </row>
    <row r="2447" spans="2:42">
      <c r="B2447" s="122"/>
      <c r="C2447" s="122"/>
      <c r="D2447" s="122"/>
      <c r="E2447" s="122"/>
      <c r="F2447" s="122"/>
      <c r="G2447" s="122"/>
      <c r="H2447" s="122"/>
      <c r="I2447" s="275"/>
      <c r="J2447" s="130"/>
      <c r="K2447" s="130"/>
      <c r="L2447" s="130"/>
      <c r="M2447" s="130"/>
      <c r="N2447" s="291"/>
      <c r="O2447" s="291"/>
      <c r="P2447" s="122"/>
      <c r="Q2447" s="122"/>
      <c r="R2447" s="122"/>
      <c r="S2447" s="122"/>
      <c r="T2447" s="122"/>
      <c r="U2447" s="315"/>
      <c r="V2447" s="260">
        <f t="shared" ca="1" si="46"/>
        <v>0</v>
      </c>
      <c r="W2447" s="348" t="str">
        <f>IF(板块成分!B2449="","",板块成分!B2449)</f>
        <v>301013.SZ</v>
      </c>
      <c r="X2447" s="276" t="str">
        <f>[1]!S_Info_Name(W2447)</f>
        <v>利和兴</v>
      </c>
      <c r="Y2447" s="276" t="str">
        <f ca="1">IF($Y$3="申万一级行业",[1]!s_info_industry_sw_2021(W2447,公司分析!D$5,1),IF($Y$3="申万二级行业",[1]!s_info_industry_sw_2021(W2447,公司分析!D$5,2),IF($Y$3="申万三级行业",[1]!s_info_industry_sw_2021(W2447,公司分析!D$5,3),IF($Y$3="wind一级行业",[1]!s_info_industry_gics(W2447,1),IF($Y$3="wind二级行业",[1]!s_info_industry_gics(W2447,2),IF($Y$3="wind三级行业",[1]!s_info_industry_gics(W2447,3),IF($Y$3="wind四级行业",[1]!s_info_industry_gics(W2447,4),IF($Y$3="证监会门类行业",[1]!s_info_industry_csrc12_n(W2447,公司分析!D$5,1),""))))))))</f>
        <v>专用设备</v>
      </c>
      <c r="Z2447" s="302" t="str">
        <f ca="1">IF(Y2447=行业比较!$E$6,ROW(),"")</f>
        <v/>
      </c>
      <c r="AA2447" s="122"/>
      <c r="AB2447" s="122"/>
      <c r="AC2447" s="122"/>
      <c r="AD2447" s="122"/>
      <c r="AE2447" s="122"/>
      <c r="AF2447" s="122"/>
      <c r="AG2447" s="122"/>
      <c r="AH2447" s="122"/>
      <c r="AI2447" s="122"/>
      <c r="AJ2447" s="122"/>
      <c r="AK2447" s="122"/>
      <c r="AL2447" s="122"/>
      <c r="AM2447" s="122"/>
      <c r="AN2447" s="122"/>
      <c r="AO2447" s="122"/>
      <c r="AP2447" s="122"/>
    </row>
    <row r="2448" spans="2:42">
      <c r="B2448" s="122"/>
      <c r="C2448" s="122"/>
      <c r="D2448" s="122"/>
      <c r="E2448" s="122"/>
      <c r="F2448" s="122"/>
      <c r="G2448" s="122"/>
      <c r="H2448" s="122"/>
      <c r="I2448" s="275"/>
      <c r="J2448" s="130"/>
      <c r="K2448" s="130"/>
      <c r="L2448" s="130"/>
      <c r="M2448" s="130"/>
      <c r="N2448" s="291"/>
      <c r="O2448" s="291"/>
      <c r="P2448" s="122"/>
      <c r="Q2448" s="122"/>
      <c r="R2448" s="122"/>
      <c r="S2448" s="122"/>
      <c r="T2448" s="122"/>
      <c r="U2448" s="315"/>
      <c r="V2448" s="260">
        <f t="shared" ca="1" si="46"/>
        <v>0</v>
      </c>
      <c r="W2448" s="348" t="str">
        <f>IF(板块成分!B2450="","",板块成分!B2450)</f>
        <v>301015.SZ</v>
      </c>
      <c r="X2448" s="276" t="str">
        <f>[1]!S_Info_Name(W2448)</f>
        <v>百洋医药</v>
      </c>
      <c r="Y2448" s="276" t="str">
        <f ca="1">IF($Y$3="申万一级行业",[1]!s_info_industry_sw_2021(W2448,公司分析!D$5,1),IF($Y$3="申万二级行业",[1]!s_info_industry_sw_2021(W2448,公司分析!D$5,2),IF($Y$3="申万三级行业",[1]!s_info_industry_sw_2021(W2448,公司分析!D$5,3),IF($Y$3="wind一级行业",[1]!s_info_industry_gics(W2448,1),IF($Y$3="wind二级行业",[1]!s_info_industry_gics(W2448,2),IF($Y$3="wind三级行业",[1]!s_info_industry_gics(W2448,3),IF($Y$3="wind四级行业",[1]!s_info_industry_gics(W2448,4),IF($Y$3="证监会门类行业",[1]!s_info_industry_csrc12_n(W2448,公司分析!D$5,1),""))))))))</f>
        <v>医药商业</v>
      </c>
      <c r="Z2448" s="302" t="str">
        <f ca="1">IF(Y2448=行业比较!$E$6,ROW(),"")</f>
        <v/>
      </c>
      <c r="AA2448" s="122"/>
      <c r="AB2448" s="122"/>
      <c r="AC2448" s="122"/>
      <c r="AD2448" s="122"/>
      <c r="AE2448" s="122"/>
      <c r="AF2448" s="122"/>
      <c r="AG2448" s="122"/>
      <c r="AH2448" s="122"/>
      <c r="AI2448" s="122"/>
      <c r="AJ2448" s="122"/>
      <c r="AK2448" s="122"/>
      <c r="AL2448" s="122"/>
      <c r="AM2448" s="122"/>
      <c r="AN2448" s="122"/>
      <c r="AO2448" s="122"/>
      <c r="AP2448" s="122"/>
    </row>
    <row r="2449" spans="2:42">
      <c r="B2449" s="122"/>
      <c r="C2449" s="122"/>
      <c r="D2449" s="122"/>
      <c r="E2449" s="122"/>
      <c r="F2449" s="122"/>
      <c r="G2449" s="122"/>
      <c r="H2449" s="122"/>
      <c r="I2449" s="275"/>
      <c r="J2449" s="130"/>
      <c r="K2449" s="130"/>
      <c r="L2449" s="130"/>
      <c r="M2449" s="130"/>
      <c r="N2449" s="291"/>
      <c r="O2449" s="291"/>
      <c r="P2449" s="122"/>
      <c r="Q2449" s="122"/>
      <c r="R2449" s="122"/>
      <c r="S2449" s="122"/>
      <c r="T2449" s="122"/>
      <c r="U2449" s="315"/>
      <c r="V2449" s="260">
        <f t="shared" ca="1" si="46"/>
        <v>0</v>
      </c>
      <c r="W2449" s="348" t="str">
        <f>IF(板块成分!B2451="","",板块成分!B2451)</f>
        <v>301016.SZ</v>
      </c>
      <c r="X2449" s="276" t="str">
        <f>[1]!S_Info_Name(W2449)</f>
        <v>雷尔伟</v>
      </c>
      <c r="Y2449" s="276" t="str">
        <f ca="1">IF($Y$3="申万一级行业",[1]!s_info_industry_sw_2021(W2449,公司分析!D$5,1),IF($Y$3="申万二级行业",[1]!s_info_industry_sw_2021(W2449,公司分析!D$5,2),IF($Y$3="申万三级行业",[1]!s_info_industry_sw_2021(W2449,公司分析!D$5,3),IF($Y$3="wind一级行业",[1]!s_info_industry_gics(W2449,1),IF($Y$3="wind二级行业",[1]!s_info_industry_gics(W2449,2),IF($Y$3="wind三级行业",[1]!s_info_industry_gics(W2449,3),IF($Y$3="wind四级行业",[1]!s_info_industry_gics(W2449,4),IF($Y$3="证监会门类行业",[1]!s_info_industry_csrc12_n(W2449,公司分析!D$5,1),""))))))))</f>
        <v>轨交设备Ⅱ</v>
      </c>
      <c r="Z2449" s="302" t="str">
        <f ca="1">IF(Y2449=行业比较!$E$6,ROW(),"")</f>
        <v/>
      </c>
      <c r="AA2449" s="122"/>
      <c r="AB2449" s="122"/>
      <c r="AC2449" s="122"/>
      <c r="AD2449" s="122"/>
      <c r="AE2449" s="122"/>
      <c r="AF2449" s="122"/>
      <c r="AG2449" s="122"/>
      <c r="AH2449" s="122"/>
      <c r="AI2449" s="122"/>
      <c r="AJ2449" s="122"/>
      <c r="AK2449" s="122"/>
      <c r="AL2449" s="122"/>
      <c r="AM2449" s="122"/>
      <c r="AN2449" s="122"/>
      <c r="AO2449" s="122"/>
      <c r="AP2449" s="122"/>
    </row>
    <row r="2450" spans="2:42">
      <c r="B2450" s="122"/>
      <c r="C2450" s="122"/>
      <c r="D2450" s="122"/>
      <c r="E2450" s="122"/>
      <c r="F2450" s="122"/>
      <c r="G2450" s="122"/>
      <c r="H2450" s="122"/>
      <c r="I2450" s="275"/>
      <c r="J2450" s="130"/>
      <c r="K2450" s="130"/>
      <c r="L2450" s="130"/>
      <c r="M2450" s="130"/>
      <c r="N2450" s="291"/>
      <c r="O2450" s="291"/>
      <c r="P2450" s="122"/>
      <c r="Q2450" s="122"/>
      <c r="R2450" s="122"/>
      <c r="S2450" s="122"/>
      <c r="T2450" s="122"/>
      <c r="U2450" s="315"/>
      <c r="V2450" s="260">
        <f t="shared" ca="1" si="46"/>
        <v>0</v>
      </c>
      <c r="W2450" s="348" t="str">
        <f>IF(板块成分!B2452="","",板块成分!B2452)</f>
        <v>301017.SZ</v>
      </c>
      <c r="X2450" s="276" t="str">
        <f>[1]!S_Info_Name(W2450)</f>
        <v>漱玉平民</v>
      </c>
      <c r="Y2450" s="276" t="str">
        <f ca="1">IF($Y$3="申万一级行业",[1]!s_info_industry_sw_2021(W2450,公司分析!D$5,1),IF($Y$3="申万二级行业",[1]!s_info_industry_sw_2021(W2450,公司分析!D$5,2),IF($Y$3="申万三级行业",[1]!s_info_industry_sw_2021(W2450,公司分析!D$5,3),IF($Y$3="wind一级行业",[1]!s_info_industry_gics(W2450,1),IF($Y$3="wind二级行业",[1]!s_info_industry_gics(W2450,2),IF($Y$3="wind三级行业",[1]!s_info_industry_gics(W2450,3),IF($Y$3="wind四级行业",[1]!s_info_industry_gics(W2450,4),IF($Y$3="证监会门类行业",[1]!s_info_industry_csrc12_n(W2450,公司分析!D$5,1),""))))))))</f>
        <v>医药商业</v>
      </c>
      <c r="Z2450" s="302" t="str">
        <f ca="1">IF(Y2450=行业比较!$E$6,ROW(),"")</f>
        <v/>
      </c>
      <c r="AA2450" s="122"/>
      <c r="AB2450" s="122"/>
      <c r="AC2450" s="122"/>
      <c r="AD2450" s="122"/>
      <c r="AE2450" s="122"/>
      <c r="AF2450" s="122"/>
      <c r="AG2450" s="122"/>
      <c r="AH2450" s="122"/>
      <c r="AI2450" s="122"/>
      <c r="AJ2450" s="122"/>
      <c r="AK2450" s="122"/>
      <c r="AL2450" s="122"/>
      <c r="AM2450" s="122"/>
      <c r="AN2450" s="122"/>
      <c r="AO2450" s="122"/>
      <c r="AP2450" s="122"/>
    </row>
    <row r="2451" spans="2:42">
      <c r="B2451" s="122"/>
      <c r="C2451" s="122"/>
      <c r="D2451" s="122"/>
      <c r="E2451" s="122"/>
      <c r="F2451" s="122"/>
      <c r="G2451" s="122"/>
      <c r="H2451" s="122"/>
      <c r="I2451" s="275"/>
      <c r="J2451" s="130"/>
      <c r="K2451" s="130"/>
      <c r="L2451" s="130"/>
      <c r="M2451" s="130"/>
      <c r="N2451" s="291"/>
      <c r="O2451" s="291"/>
      <c r="P2451" s="122"/>
      <c r="Q2451" s="122"/>
      <c r="R2451" s="122"/>
      <c r="S2451" s="122"/>
      <c r="T2451" s="122"/>
      <c r="U2451" s="315"/>
      <c r="V2451" s="260">
        <f t="shared" ca="1" si="46"/>
        <v>0</v>
      </c>
      <c r="W2451" s="348" t="str">
        <f>IF(板块成分!B2453="","",板块成分!B2453)</f>
        <v>301018.SZ</v>
      </c>
      <c r="X2451" s="276" t="str">
        <f>[1]!S_Info_Name(W2451)</f>
        <v>申菱环境</v>
      </c>
      <c r="Y2451" s="276" t="str">
        <f ca="1">IF($Y$3="申万一级行业",[1]!s_info_industry_sw_2021(W2451,公司分析!D$5,1),IF($Y$3="申万二级行业",[1]!s_info_industry_sw_2021(W2451,公司分析!D$5,2),IF($Y$3="申万三级行业",[1]!s_info_industry_sw_2021(W2451,公司分析!D$5,3),IF($Y$3="wind一级行业",[1]!s_info_industry_gics(W2451,1),IF($Y$3="wind二级行业",[1]!s_info_industry_gics(W2451,2),IF($Y$3="wind三级行业",[1]!s_info_industry_gics(W2451,3),IF($Y$3="wind四级行业",[1]!s_info_industry_gics(W2451,4),IF($Y$3="证监会门类行业",[1]!s_info_industry_csrc12_n(W2451,公司分析!D$5,1),""))))))))</f>
        <v>通用设备</v>
      </c>
      <c r="Z2451" s="302" t="str">
        <f ca="1">IF(Y2451=行业比较!$E$6,ROW(),"")</f>
        <v/>
      </c>
      <c r="AA2451" s="122"/>
      <c r="AB2451" s="122"/>
      <c r="AC2451" s="122"/>
      <c r="AD2451" s="122"/>
      <c r="AE2451" s="122"/>
      <c r="AF2451" s="122"/>
      <c r="AG2451" s="122"/>
      <c r="AH2451" s="122"/>
      <c r="AI2451" s="122"/>
      <c r="AJ2451" s="122"/>
      <c r="AK2451" s="122"/>
      <c r="AL2451" s="122"/>
      <c r="AM2451" s="122"/>
      <c r="AN2451" s="122"/>
      <c r="AO2451" s="122"/>
      <c r="AP2451" s="122"/>
    </row>
    <row r="2452" spans="2:42">
      <c r="B2452" s="122"/>
      <c r="C2452" s="122"/>
      <c r="D2452" s="122"/>
      <c r="E2452" s="122"/>
      <c r="F2452" s="122"/>
      <c r="G2452" s="122"/>
      <c r="H2452" s="122"/>
      <c r="I2452" s="275"/>
      <c r="J2452" s="130"/>
      <c r="K2452" s="130"/>
      <c r="L2452" s="130"/>
      <c r="M2452" s="130"/>
      <c r="N2452" s="291"/>
      <c r="O2452" s="291"/>
      <c r="P2452" s="122"/>
      <c r="Q2452" s="122"/>
      <c r="R2452" s="122"/>
      <c r="S2452" s="122"/>
      <c r="T2452" s="122"/>
      <c r="U2452" s="315"/>
      <c r="V2452" s="260">
        <f t="shared" ca="1" si="46"/>
        <v>0</v>
      </c>
      <c r="W2452" s="348" t="str">
        <f>IF(板块成分!B2454="","",板块成分!B2454)</f>
        <v>301019.SZ</v>
      </c>
      <c r="X2452" s="276" t="str">
        <f>[1]!S_Info_Name(W2452)</f>
        <v>宁波色母</v>
      </c>
      <c r="Y2452" s="276" t="str">
        <f ca="1">IF($Y$3="申万一级行业",[1]!s_info_industry_sw_2021(W2452,公司分析!D$5,1),IF($Y$3="申万二级行业",[1]!s_info_industry_sw_2021(W2452,公司分析!D$5,2),IF($Y$3="申万三级行业",[1]!s_info_industry_sw_2021(W2452,公司分析!D$5,3),IF($Y$3="wind一级行业",[1]!s_info_industry_gics(W2452,1),IF($Y$3="wind二级行业",[1]!s_info_industry_gics(W2452,2),IF($Y$3="wind三级行业",[1]!s_info_industry_gics(W2452,3),IF($Y$3="wind四级行业",[1]!s_info_industry_gics(W2452,4),IF($Y$3="证监会门类行业",[1]!s_info_industry_csrc12_n(W2452,公司分析!D$5,1),""))))))))</f>
        <v>塑料</v>
      </c>
      <c r="Z2452" s="302" t="str">
        <f ca="1">IF(Y2452=行业比较!$E$6,ROW(),"")</f>
        <v/>
      </c>
      <c r="AA2452" s="122"/>
      <c r="AB2452" s="122"/>
      <c r="AC2452" s="122"/>
      <c r="AD2452" s="122"/>
      <c r="AE2452" s="122"/>
      <c r="AF2452" s="122"/>
      <c r="AG2452" s="122"/>
      <c r="AH2452" s="122"/>
      <c r="AI2452" s="122"/>
      <c r="AJ2452" s="122"/>
      <c r="AK2452" s="122"/>
      <c r="AL2452" s="122"/>
      <c r="AM2452" s="122"/>
      <c r="AN2452" s="122"/>
      <c r="AO2452" s="122"/>
      <c r="AP2452" s="122"/>
    </row>
    <row r="2453" spans="2:42">
      <c r="B2453" s="122"/>
      <c r="C2453" s="122"/>
      <c r="D2453" s="122"/>
      <c r="E2453" s="122"/>
      <c r="F2453" s="122"/>
      <c r="G2453" s="122"/>
      <c r="H2453" s="122"/>
      <c r="I2453" s="275"/>
      <c r="J2453" s="130"/>
      <c r="K2453" s="130"/>
      <c r="L2453" s="130"/>
      <c r="M2453" s="130"/>
      <c r="N2453" s="291"/>
      <c r="O2453" s="291"/>
      <c r="P2453" s="122"/>
      <c r="Q2453" s="122"/>
      <c r="R2453" s="122"/>
      <c r="S2453" s="122"/>
      <c r="T2453" s="122"/>
      <c r="U2453" s="315"/>
      <c r="V2453" s="260">
        <f t="shared" ca="1" si="46"/>
        <v>0</v>
      </c>
      <c r="W2453" s="348" t="str">
        <f>IF(板块成分!B2455="","",板块成分!B2455)</f>
        <v>301020.SZ</v>
      </c>
      <c r="X2453" s="276" t="str">
        <f>[1]!S_Info_Name(W2453)</f>
        <v>密封科技</v>
      </c>
      <c r="Y2453" s="276" t="str">
        <f ca="1">IF($Y$3="申万一级行业",[1]!s_info_industry_sw_2021(W2453,公司分析!D$5,1),IF($Y$3="申万二级行业",[1]!s_info_industry_sw_2021(W2453,公司分析!D$5,2),IF($Y$3="申万三级行业",[1]!s_info_industry_sw_2021(W2453,公司分析!D$5,3),IF($Y$3="wind一级行业",[1]!s_info_industry_gics(W2453,1),IF($Y$3="wind二级行业",[1]!s_info_industry_gics(W2453,2),IF($Y$3="wind三级行业",[1]!s_info_industry_gics(W2453,3),IF($Y$3="wind四级行业",[1]!s_info_industry_gics(W2453,4),IF($Y$3="证监会门类行业",[1]!s_info_industry_csrc12_n(W2453,公司分析!D$5,1),""))))))))</f>
        <v>汽车零部件</v>
      </c>
      <c r="Z2453" s="302" t="str">
        <f ca="1">IF(Y2453=行业比较!$E$6,ROW(),"")</f>
        <v/>
      </c>
      <c r="AA2453" s="122"/>
      <c r="AB2453" s="122"/>
      <c r="AC2453" s="122"/>
      <c r="AD2453" s="122"/>
      <c r="AE2453" s="122"/>
      <c r="AF2453" s="122"/>
      <c r="AG2453" s="122"/>
      <c r="AH2453" s="122"/>
      <c r="AI2453" s="122"/>
      <c r="AJ2453" s="122"/>
      <c r="AK2453" s="122"/>
      <c r="AL2453" s="122"/>
      <c r="AM2453" s="122"/>
      <c r="AN2453" s="122"/>
      <c r="AO2453" s="122"/>
      <c r="AP2453" s="122"/>
    </row>
    <row r="2454" spans="2:42">
      <c r="B2454" s="122"/>
      <c r="C2454" s="122"/>
      <c r="D2454" s="122"/>
      <c r="E2454" s="122"/>
      <c r="F2454" s="122"/>
      <c r="G2454" s="122"/>
      <c r="H2454" s="122"/>
      <c r="I2454" s="275"/>
      <c r="J2454" s="130"/>
      <c r="K2454" s="130"/>
      <c r="L2454" s="130"/>
      <c r="M2454" s="130"/>
      <c r="N2454" s="291"/>
      <c r="O2454" s="291"/>
      <c r="P2454" s="122"/>
      <c r="Q2454" s="122"/>
      <c r="R2454" s="122"/>
      <c r="S2454" s="122"/>
      <c r="T2454" s="122"/>
      <c r="U2454" s="315"/>
      <c r="V2454" s="260">
        <f t="shared" ca="1" si="46"/>
        <v>0</v>
      </c>
      <c r="W2454" s="348" t="str">
        <f>IF(板块成分!B2456="","",板块成分!B2456)</f>
        <v>301021.SZ</v>
      </c>
      <c r="X2454" s="276" t="str">
        <f>[1]!S_Info_Name(W2454)</f>
        <v>英诺激光</v>
      </c>
      <c r="Y2454" s="276" t="str">
        <f ca="1">IF($Y$3="申万一级行业",[1]!s_info_industry_sw_2021(W2454,公司分析!D$5,1),IF($Y$3="申万二级行业",[1]!s_info_industry_sw_2021(W2454,公司分析!D$5,2),IF($Y$3="申万三级行业",[1]!s_info_industry_sw_2021(W2454,公司分析!D$5,3),IF($Y$3="wind一级行业",[1]!s_info_industry_gics(W2454,1),IF($Y$3="wind二级行业",[1]!s_info_industry_gics(W2454,2),IF($Y$3="wind三级行业",[1]!s_info_industry_gics(W2454,3),IF($Y$3="wind四级行业",[1]!s_info_industry_gics(W2454,4),IF($Y$3="证监会门类行业",[1]!s_info_industry_csrc12_n(W2454,公司分析!D$5,1),""))))))))</f>
        <v>自动化设备</v>
      </c>
      <c r="Z2454" s="302" t="str">
        <f ca="1">IF(Y2454=行业比较!$E$6,ROW(),"")</f>
        <v/>
      </c>
      <c r="AA2454" s="122"/>
      <c r="AB2454" s="122"/>
      <c r="AC2454" s="122"/>
      <c r="AD2454" s="122"/>
      <c r="AE2454" s="122"/>
      <c r="AF2454" s="122"/>
      <c r="AG2454" s="122"/>
      <c r="AH2454" s="122"/>
      <c r="AI2454" s="122"/>
      <c r="AJ2454" s="122"/>
      <c r="AK2454" s="122"/>
      <c r="AL2454" s="122"/>
      <c r="AM2454" s="122"/>
      <c r="AN2454" s="122"/>
      <c r="AO2454" s="122"/>
      <c r="AP2454" s="122"/>
    </row>
    <row r="2455" spans="2:42">
      <c r="B2455" s="122"/>
      <c r="C2455" s="122"/>
      <c r="D2455" s="122"/>
      <c r="E2455" s="122"/>
      <c r="F2455" s="122"/>
      <c r="G2455" s="122"/>
      <c r="H2455" s="122"/>
      <c r="I2455" s="275"/>
      <c r="J2455" s="130"/>
      <c r="K2455" s="130"/>
      <c r="L2455" s="130"/>
      <c r="M2455" s="130"/>
      <c r="N2455" s="291"/>
      <c r="O2455" s="291"/>
      <c r="P2455" s="122"/>
      <c r="Q2455" s="122"/>
      <c r="R2455" s="122"/>
      <c r="S2455" s="122"/>
      <c r="T2455" s="122"/>
      <c r="U2455" s="315"/>
      <c r="V2455" s="260">
        <f t="shared" ca="1" si="46"/>
        <v>0</v>
      </c>
      <c r="W2455" s="348" t="str">
        <f>IF(板块成分!B2457="","",板块成分!B2457)</f>
        <v>301022.SZ</v>
      </c>
      <c r="X2455" s="276" t="str">
        <f>[1]!S_Info_Name(W2455)</f>
        <v>海泰科</v>
      </c>
      <c r="Y2455" s="276" t="str">
        <f ca="1">IF($Y$3="申万一级行业",[1]!s_info_industry_sw_2021(W2455,公司分析!D$5,1),IF($Y$3="申万二级行业",[1]!s_info_industry_sw_2021(W2455,公司分析!D$5,2),IF($Y$3="申万三级行业",[1]!s_info_industry_sw_2021(W2455,公司分析!D$5,3),IF($Y$3="wind一级行业",[1]!s_info_industry_gics(W2455,1),IF($Y$3="wind二级行业",[1]!s_info_industry_gics(W2455,2),IF($Y$3="wind三级行业",[1]!s_info_industry_gics(W2455,3),IF($Y$3="wind四级行业",[1]!s_info_industry_gics(W2455,4),IF($Y$3="证监会门类行业",[1]!s_info_industry_csrc12_n(W2455,公司分析!D$5,1),""))))))))</f>
        <v>汽车零部件</v>
      </c>
      <c r="Z2455" s="302" t="str">
        <f ca="1">IF(Y2455=行业比较!$E$6,ROW(),"")</f>
        <v/>
      </c>
      <c r="AA2455" s="122"/>
      <c r="AB2455" s="122"/>
      <c r="AC2455" s="122"/>
      <c r="AD2455" s="122"/>
      <c r="AE2455" s="122"/>
      <c r="AF2455" s="122"/>
      <c r="AG2455" s="122"/>
      <c r="AH2455" s="122"/>
      <c r="AI2455" s="122"/>
      <c r="AJ2455" s="122"/>
      <c r="AK2455" s="122"/>
      <c r="AL2455" s="122"/>
      <c r="AM2455" s="122"/>
      <c r="AN2455" s="122"/>
      <c r="AO2455" s="122"/>
      <c r="AP2455" s="122"/>
    </row>
    <row r="2456" spans="2:42">
      <c r="B2456" s="122"/>
      <c r="C2456" s="122"/>
      <c r="D2456" s="122"/>
      <c r="E2456" s="122"/>
      <c r="F2456" s="122"/>
      <c r="G2456" s="122"/>
      <c r="H2456" s="122"/>
      <c r="I2456" s="275"/>
      <c r="J2456" s="130"/>
      <c r="K2456" s="130"/>
      <c r="L2456" s="130"/>
      <c r="M2456" s="130"/>
      <c r="N2456" s="291"/>
      <c r="O2456" s="291"/>
      <c r="P2456" s="122"/>
      <c r="Q2456" s="122"/>
      <c r="R2456" s="122"/>
      <c r="S2456" s="122"/>
      <c r="T2456" s="122"/>
      <c r="U2456" s="315"/>
      <c r="V2456" s="260">
        <f t="shared" ca="1" si="46"/>
        <v>0</v>
      </c>
      <c r="W2456" s="348" t="str">
        <f>IF(板块成分!B2458="","",板块成分!B2458)</f>
        <v>301023.SZ</v>
      </c>
      <c r="X2456" s="276" t="str">
        <f>[1]!S_Info_Name(W2456)</f>
        <v>奕帆传动</v>
      </c>
      <c r="Y2456" s="276" t="str">
        <f ca="1">IF($Y$3="申万一级行业",[1]!s_info_industry_sw_2021(W2456,公司分析!D$5,1),IF($Y$3="申万二级行业",[1]!s_info_industry_sw_2021(W2456,公司分析!D$5,2),IF($Y$3="申万三级行业",[1]!s_info_industry_sw_2021(W2456,公司分析!D$5,3),IF($Y$3="wind一级行业",[1]!s_info_industry_gics(W2456,1),IF($Y$3="wind二级行业",[1]!s_info_industry_gics(W2456,2),IF($Y$3="wind三级行业",[1]!s_info_industry_gics(W2456,3),IF($Y$3="wind四级行业",[1]!s_info_industry_gics(W2456,4),IF($Y$3="证监会门类行业",[1]!s_info_industry_csrc12_n(W2456,公司分析!D$5,1),""))))))))</f>
        <v>电机Ⅱ</v>
      </c>
      <c r="Z2456" s="302" t="str">
        <f ca="1">IF(Y2456=行业比较!$E$6,ROW(),"")</f>
        <v/>
      </c>
      <c r="AA2456" s="122"/>
      <c r="AB2456" s="122"/>
      <c r="AC2456" s="122"/>
      <c r="AD2456" s="122"/>
      <c r="AE2456" s="122"/>
      <c r="AF2456" s="122"/>
      <c r="AG2456" s="122"/>
      <c r="AH2456" s="122"/>
      <c r="AI2456" s="122"/>
      <c r="AJ2456" s="122"/>
      <c r="AK2456" s="122"/>
      <c r="AL2456" s="122"/>
      <c r="AM2456" s="122"/>
      <c r="AN2456" s="122"/>
      <c r="AO2456" s="122"/>
      <c r="AP2456" s="122"/>
    </row>
    <row r="2457" spans="2:42">
      <c r="B2457" s="122"/>
      <c r="C2457" s="122"/>
      <c r="D2457" s="122"/>
      <c r="E2457" s="122"/>
      <c r="F2457" s="122"/>
      <c r="G2457" s="122"/>
      <c r="H2457" s="122"/>
      <c r="I2457" s="275"/>
      <c r="J2457" s="130"/>
      <c r="K2457" s="130"/>
      <c r="L2457" s="130"/>
      <c r="M2457" s="130"/>
      <c r="N2457" s="291"/>
      <c r="O2457" s="291"/>
      <c r="P2457" s="122"/>
      <c r="Q2457" s="122"/>
      <c r="R2457" s="122"/>
      <c r="S2457" s="122"/>
      <c r="T2457" s="122"/>
      <c r="U2457" s="315"/>
      <c r="V2457" s="260">
        <f t="shared" ca="1" si="46"/>
        <v>0</v>
      </c>
      <c r="W2457" s="348" t="str">
        <f>IF(板块成分!B2459="","",板块成分!B2459)</f>
        <v>301024.SZ</v>
      </c>
      <c r="X2457" s="276" t="str">
        <f>[1]!S_Info_Name(W2457)</f>
        <v>霍普股份</v>
      </c>
      <c r="Y2457" s="276" t="str">
        <f ca="1">IF($Y$3="申万一级行业",[1]!s_info_industry_sw_2021(W2457,公司分析!D$5,1),IF($Y$3="申万二级行业",[1]!s_info_industry_sw_2021(W2457,公司分析!D$5,2),IF($Y$3="申万三级行业",[1]!s_info_industry_sw_2021(W2457,公司分析!D$5,3),IF($Y$3="wind一级行业",[1]!s_info_industry_gics(W2457,1),IF($Y$3="wind二级行业",[1]!s_info_industry_gics(W2457,2),IF($Y$3="wind三级行业",[1]!s_info_industry_gics(W2457,3),IF($Y$3="wind四级行业",[1]!s_info_industry_gics(W2457,4),IF($Y$3="证监会门类行业",[1]!s_info_industry_csrc12_n(W2457,公司分析!D$5,1),""))))))))</f>
        <v>工程咨询服务Ⅱ</v>
      </c>
      <c r="Z2457" s="302" t="str">
        <f ca="1">IF(Y2457=行业比较!$E$6,ROW(),"")</f>
        <v/>
      </c>
      <c r="AA2457" s="122"/>
      <c r="AB2457" s="122"/>
      <c r="AC2457" s="122"/>
      <c r="AD2457" s="122"/>
      <c r="AE2457" s="122"/>
      <c r="AF2457" s="122"/>
      <c r="AG2457" s="122"/>
      <c r="AH2457" s="122"/>
      <c r="AI2457" s="122"/>
      <c r="AJ2457" s="122"/>
      <c r="AK2457" s="122"/>
      <c r="AL2457" s="122"/>
      <c r="AM2457" s="122"/>
      <c r="AN2457" s="122"/>
      <c r="AO2457" s="122"/>
      <c r="AP2457" s="122"/>
    </row>
    <row r="2458" spans="2:42">
      <c r="B2458" s="122"/>
      <c r="C2458" s="122"/>
      <c r="D2458" s="122"/>
      <c r="E2458" s="122"/>
      <c r="F2458" s="122"/>
      <c r="G2458" s="122"/>
      <c r="H2458" s="122"/>
      <c r="I2458" s="275"/>
      <c r="J2458" s="130"/>
      <c r="K2458" s="130"/>
      <c r="L2458" s="130"/>
      <c r="M2458" s="130"/>
      <c r="N2458" s="291"/>
      <c r="O2458" s="291"/>
      <c r="P2458" s="122"/>
      <c r="Q2458" s="122"/>
      <c r="R2458" s="122"/>
      <c r="S2458" s="122"/>
      <c r="T2458" s="122"/>
      <c r="U2458" s="315"/>
      <c r="V2458" s="260">
        <f t="shared" ca="1" si="46"/>
        <v>0</v>
      </c>
      <c r="W2458" s="348" t="str">
        <f>IF(板块成分!B2460="","",板块成分!B2460)</f>
        <v>301025.SZ</v>
      </c>
      <c r="X2458" s="276" t="str">
        <f>[1]!S_Info_Name(W2458)</f>
        <v>读客文化</v>
      </c>
      <c r="Y2458" s="276" t="str">
        <f ca="1">IF($Y$3="申万一级行业",[1]!s_info_industry_sw_2021(W2458,公司分析!D$5,1),IF($Y$3="申万二级行业",[1]!s_info_industry_sw_2021(W2458,公司分析!D$5,2),IF($Y$3="申万三级行业",[1]!s_info_industry_sw_2021(W2458,公司分析!D$5,3),IF($Y$3="wind一级行业",[1]!s_info_industry_gics(W2458,1),IF($Y$3="wind二级行业",[1]!s_info_industry_gics(W2458,2),IF($Y$3="wind三级行业",[1]!s_info_industry_gics(W2458,3),IF($Y$3="wind四级行业",[1]!s_info_industry_gics(W2458,4),IF($Y$3="证监会门类行业",[1]!s_info_industry_csrc12_n(W2458,公司分析!D$5,1),""))))))))</f>
        <v>出版</v>
      </c>
      <c r="Z2458" s="302" t="str">
        <f ca="1">IF(Y2458=行业比较!$E$6,ROW(),"")</f>
        <v/>
      </c>
      <c r="AA2458" s="122"/>
      <c r="AB2458" s="122"/>
      <c r="AC2458" s="122"/>
      <c r="AD2458" s="122"/>
      <c r="AE2458" s="122"/>
      <c r="AF2458" s="122"/>
      <c r="AG2458" s="122"/>
      <c r="AH2458" s="122"/>
      <c r="AI2458" s="122"/>
      <c r="AJ2458" s="122"/>
      <c r="AK2458" s="122"/>
      <c r="AL2458" s="122"/>
      <c r="AM2458" s="122"/>
      <c r="AN2458" s="122"/>
      <c r="AO2458" s="122"/>
      <c r="AP2458" s="122"/>
    </row>
    <row r="2459" spans="2:42">
      <c r="B2459" s="122"/>
      <c r="C2459" s="122"/>
      <c r="D2459" s="122"/>
      <c r="E2459" s="122"/>
      <c r="F2459" s="122"/>
      <c r="G2459" s="122"/>
      <c r="H2459" s="122"/>
      <c r="I2459" s="275"/>
      <c r="J2459" s="130"/>
      <c r="K2459" s="130"/>
      <c r="L2459" s="130"/>
      <c r="M2459" s="130"/>
      <c r="N2459" s="291"/>
      <c r="O2459" s="291"/>
      <c r="P2459" s="122"/>
      <c r="Q2459" s="122"/>
      <c r="R2459" s="122"/>
      <c r="S2459" s="122"/>
      <c r="T2459" s="122"/>
      <c r="U2459" s="315"/>
      <c r="V2459" s="260">
        <f t="shared" ca="1" si="46"/>
        <v>0</v>
      </c>
      <c r="W2459" s="348" t="str">
        <f>IF(板块成分!B2461="","",板块成分!B2461)</f>
        <v>301026.SZ</v>
      </c>
      <c r="X2459" s="276" t="str">
        <f>[1]!S_Info_Name(W2459)</f>
        <v>浩通科技</v>
      </c>
      <c r="Y2459" s="276" t="str">
        <f ca="1">IF($Y$3="申万一级行业",[1]!s_info_industry_sw_2021(W2459,公司分析!D$5,1),IF($Y$3="申万二级行业",[1]!s_info_industry_sw_2021(W2459,公司分析!D$5,2),IF($Y$3="申万三级行业",[1]!s_info_industry_sw_2021(W2459,公司分析!D$5,3),IF($Y$3="wind一级行业",[1]!s_info_industry_gics(W2459,1),IF($Y$3="wind二级行业",[1]!s_info_industry_gics(W2459,2),IF($Y$3="wind三级行业",[1]!s_info_industry_gics(W2459,3),IF($Y$3="wind四级行业",[1]!s_info_industry_gics(W2459,4),IF($Y$3="证监会门类行业",[1]!s_info_industry_csrc12_n(W2459,公司分析!D$5,1),""))))))))</f>
        <v>小金属</v>
      </c>
      <c r="Z2459" s="302" t="str">
        <f ca="1">IF(Y2459=行业比较!$E$6,ROW(),"")</f>
        <v/>
      </c>
      <c r="AA2459" s="122"/>
      <c r="AB2459" s="122"/>
      <c r="AC2459" s="122"/>
      <c r="AD2459" s="122"/>
      <c r="AE2459" s="122"/>
      <c r="AF2459" s="122"/>
      <c r="AG2459" s="122"/>
      <c r="AH2459" s="122"/>
      <c r="AI2459" s="122"/>
      <c r="AJ2459" s="122"/>
      <c r="AK2459" s="122"/>
      <c r="AL2459" s="122"/>
      <c r="AM2459" s="122"/>
      <c r="AN2459" s="122"/>
      <c r="AO2459" s="122"/>
      <c r="AP2459" s="122"/>
    </row>
    <row r="2460" spans="2:42">
      <c r="B2460" s="122"/>
      <c r="C2460" s="122"/>
      <c r="D2460" s="122"/>
      <c r="E2460" s="122"/>
      <c r="F2460" s="122"/>
      <c r="G2460" s="122"/>
      <c r="H2460" s="122"/>
      <c r="I2460" s="275"/>
      <c r="J2460" s="130"/>
      <c r="K2460" s="130"/>
      <c r="L2460" s="130"/>
      <c r="M2460" s="130"/>
      <c r="N2460" s="291"/>
      <c r="O2460" s="291"/>
      <c r="P2460" s="122"/>
      <c r="Q2460" s="122"/>
      <c r="R2460" s="122"/>
      <c r="S2460" s="122"/>
      <c r="T2460" s="122"/>
      <c r="U2460" s="315"/>
      <c r="V2460" s="260">
        <f t="shared" ca="1" si="46"/>
        <v>0</v>
      </c>
      <c r="W2460" s="348" t="str">
        <f>IF(板块成分!B2462="","",板块成分!B2462)</f>
        <v>301027.SZ</v>
      </c>
      <c r="X2460" s="276" t="str">
        <f>[1]!S_Info_Name(W2460)</f>
        <v>华蓝集团</v>
      </c>
      <c r="Y2460" s="276" t="str">
        <f ca="1">IF($Y$3="申万一级行业",[1]!s_info_industry_sw_2021(W2460,公司分析!D$5,1),IF($Y$3="申万二级行业",[1]!s_info_industry_sw_2021(W2460,公司分析!D$5,2),IF($Y$3="申万三级行业",[1]!s_info_industry_sw_2021(W2460,公司分析!D$5,3),IF($Y$3="wind一级行业",[1]!s_info_industry_gics(W2460,1),IF($Y$3="wind二级行业",[1]!s_info_industry_gics(W2460,2),IF($Y$3="wind三级行业",[1]!s_info_industry_gics(W2460,3),IF($Y$3="wind四级行业",[1]!s_info_industry_gics(W2460,4),IF($Y$3="证监会门类行业",[1]!s_info_industry_csrc12_n(W2460,公司分析!D$5,1),""))))))))</f>
        <v>工程咨询服务Ⅱ</v>
      </c>
      <c r="Z2460" s="302" t="str">
        <f ca="1">IF(Y2460=行业比较!$E$6,ROW(),"")</f>
        <v/>
      </c>
      <c r="AA2460" s="122"/>
      <c r="AB2460" s="122"/>
      <c r="AC2460" s="122"/>
      <c r="AD2460" s="122"/>
      <c r="AE2460" s="122"/>
      <c r="AF2460" s="122"/>
      <c r="AG2460" s="122"/>
      <c r="AH2460" s="122"/>
      <c r="AI2460" s="122"/>
      <c r="AJ2460" s="122"/>
      <c r="AK2460" s="122"/>
      <c r="AL2460" s="122"/>
      <c r="AM2460" s="122"/>
      <c r="AN2460" s="122"/>
      <c r="AO2460" s="122"/>
      <c r="AP2460" s="122"/>
    </row>
    <row r="2461" spans="2:42">
      <c r="B2461" s="122"/>
      <c r="C2461" s="122"/>
      <c r="D2461" s="122"/>
      <c r="E2461" s="122"/>
      <c r="F2461" s="122"/>
      <c r="G2461" s="122"/>
      <c r="H2461" s="122"/>
      <c r="I2461" s="275"/>
      <c r="J2461" s="130"/>
      <c r="K2461" s="130"/>
      <c r="L2461" s="130"/>
      <c r="M2461" s="130"/>
      <c r="N2461" s="291"/>
      <c r="O2461" s="291"/>
      <c r="P2461" s="122"/>
      <c r="Q2461" s="122"/>
      <c r="R2461" s="122"/>
      <c r="S2461" s="122"/>
      <c r="T2461" s="122"/>
      <c r="U2461" s="315"/>
      <c r="V2461" s="260">
        <f t="shared" ca="1" si="46"/>
        <v>0</v>
      </c>
      <c r="W2461" s="348" t="str">
        <f>IF(板块成分!B2463="","",板块成分!B2463)</f>
        <v>301028.SZ</v>
      </c>
      <c r="X2461" s="276" t="str">
        <f>[1]!S_Info_Name(W2461)</f>
        <v>鼎熔岩</v>
      </c>
      <c r="Y2461" s="276" t="str">
        <f ca="1">IF($Y$3="申万一级行业",[1]!s_info_industry_sw_2021(W2461,公司分析!D$5,1),IF($Y$3="申万二级行业",[1]!s_info_industry_sw_2021(W2461,公司分析!D$5,2),IF($Y$3="申万三级行业",[1]!s_info_industry_sw_2021(W2461,公司分析!D$5,3),IF($Y$3="wind一级行业",[1]!s_info_industry_gics(W2461,1),IF($Y$3="wind二级行业",[1]!s_info_industry_gics(W2461,2),IF($Y$3="wind三级行业",[1]!s_info_industry_gics(W2461,3),IF($Y$3="wind四级行业",[1]!s_info_industry_gics(W2461,4),IF($Y$3="证监会门类行业",[1]!s_info_industry_csrc12_n(W2461,公司分析!D$5,1),""))))))))</f>
        <v>通用设备</v>
      </c>
      <c r="Z2461" s="302" t="str">
        <f ca="1">IF(Y2461=行业比较!$E$6,ROW(),"")</f>
        <v/>
      </c>
      <c r="AA2461" s="122"/>
      <c r="AB2461" s="122"/>
      <c r="AC2461" s="122"/>
      <c r="AD2461" s="122"/>
      <c r="AE2461" s="122"/>
      <c r="AF2461" s="122"/>
      <c r="AG2461" s="122"/>
      <c r="AH2461" s="122"/>
      <c r="AI2461" s="122"/>
      <c r="AJ2461" s="122"/>
      <c r="AK2461" s="122"/>
      <c r="AL2461" s="122"/>
      <c r="AM2461" s="122"/>
      <c r="AN2461" s="122"/>
      <c r="AO2461" s="122"/>
      <c r="AP2461" s="122"/>
    </row>
    <row r="2462" spans="2:42">
      <c r="B2462" s="122"/>
      <c r="C2462" s="122"/>
      <c r="D2462" s="122"/>
      <c r="E2462" s="122"/>
      <c r="F2462" s="122"/>
      <c r="G2462" s="122"/>
      <c r="H2462" s="122"/>
      <c r="I2462" s="275"/>
      <c r="J2462" s="130"/>
      <c r="K2462" s="130"/>
      <c r="L2462" s="130"/>
      <c r="M2462" s="130"/>
      <c r="N2462" s="291"/>
      <c r="O2462" s="291"/>
      <c r="P2462" s="122"/>
      <c r="Q2462" s="122"/>
      <c r="R2462" s="122"/>
      <c r="S2462" s="122"/>
      <c r="T2462" s="122"/>
      <c r="U2462" s="315"/>
      <c r="V2462" s="260">
        <f t="shared" ca="1" si="46"/>
        <v>0</v>
      </c>
      <c r="W2462" s="348" t="str">
        <f>IF(板块成分!B2464="","",板块成分!B2464)</f>
        <v>301029.SZ</v>
      </c>
      <c r="X2462" s="276" t="str">
        <f>[1]!S_Info_Name(W2462)</f>
        <v>怡合达</v>
      </c>
      <c r="Y2462" s="276" t="str">
        <f ca="1">IF($Y$3="申万一级行业",[1]!s_info_industry_sw_2021(W2462,公司分析!D$5,1),IF($Y$3="申万二级行业",[1]!s_info_industry_sw_2021(W2462,公司分析!D$5,2),IF($Y$3="申万三级行业",[1]!s_info_industry_sw_2021(W2462,公司分析!D$5,3),IF($Y$3="wind一级行业",[1]!s_info_industry_gics(W2462,1),IF($Y$3="wind二级行业",[1]!s_info_industry_gics(W2462,2),IF($Y$3="wind三级行业",[1]!s_info_industry_gics(W2462,3),IF($Y$3="wind四级行业",[1]!s_info_industry_gics(W2462,4),IF($Y$3="证监会门类行业",[1]!s_info_industry_csrc12_n(W2462,公司分析!D$5,1),""))))))))</f>
        <v>自动化设备</v>
      </c>
      <c r="Z2462" s="302" t="str">
        <f ca="1">IF(Y2462=行业比较!$E$6,ROW(),"")</f>
        <v/>
      </c>
      <c r="AA2462" s="122"/>
      <c r="AB2462" s="122"/>
      <c r="AC2462" s="122"/>
      <c r="AD2462" s="122"/>
      <c r="AE2462" s="122"/>
      <c r="AF2462" s="122"/>
      <c r="AG2462" s="122"/>
      <c r="AH2462" s="122"/>
      <c r="AI2462" s="122"/>
      <c r="AJ2462" s="122"/>
      <c r="AK2462" s="122"/>
      <c r="AL2462" s="122"/>
      <c r="AM2462" s="122"/>
      <c r="AN2462" s="122"/>
      <c r="AO2462" s="122"/>
      <c r="AP2462" s="122"/>
    </row>
    <row r="2463" spans="2:42">
      <c r="B2463" s="122"/>
      <c r="C2463" s="122"/>
      <c r="D2463" s="122"/>
      <c r="E2463" s="122"/>
      <c r="F2463" s="122"/>
      <c r="G2463" s="122"/>
      <c r="H2463" s="122"/>
      <c r="I2463" s="275"/>
      <c r="J2463" s="130"/>
      <c r="K2463" s="130"/>
      <c r="L2463" s="130"/>
      <c r="M2463" s="130"/>
      <c r="N2463" s="291"/>
      <c r="O2463" s="291"/>
      <c r="P2463" s="122"/>
      <c r="Q2463" s="122"/>
      <c r="R2463" s="122"/>
      <c r="S2463" s="122"/>
      <c r="T2463" s="122"/>
      <c r="U2463" s="315"/>
      <c r="V2463" s="260">
        <f t="shared" ca="1" si="46"/>
        <v>0</v>
      </c>
      <c r="W2463" s="348" t="str">
        <f>IF(板块成分!B2465="","",板块成分!B2465)</f>
        <v>301030.SZ</v>
      </c>
      <c r="X2463" s="276" t="str">
        <f>[1]!S_Info_Name(W2463)</f>
        <v>仕净科技</v>
      </c>
      <c r="Y2463" s="276" t="str">
        <f ca="1">IF($Y$3="申万一级行业",[1]!s_info_industry_sw_2021(W2463,公司分析!D$5,1),IF($Y$3="申万二级行业",[1]!s_info_industry_sw_2021(W2463,公司分析!D$5,2),IF($Y$3="申万三级行业",[1]!s_info_industry_sw_2021(W2463,公司分析!D$5,3),IF($Y$3="wind一级行业",[1]!s_info_industry_gics(W2463,1),IF($Y$3="wind二级行业",[1]!s_info_industry_gics(W2463,2),IF($Y$3="wind三级行业",[1]!s_info_industry_gics(W2463,3),IF($Y$3="wind四级行业",[1]!s_info_industry_gics(W2463,4),IF($Y$3="证监会门类行业",[1]!s_info_industry_csrc12_n(W2463,公司分析!D$5,1),""))))))))</f>
        <v>环保设备Ⅱ</v>
      </c>
      <c r="Z2463" s="302" t="str">
        <f ca="1">IF(Y2463=行业比较!$E$6,ROW(),"")</f>
        <v/>
      </c>
      <c r="AA2463" s="122"/>
      <c r="AB2463" s="122"/>
      <c r="AC2463" s="122"/>
      <c r="AD2463" s="122"/>
      <c r="AE2463" s="122"/>
      <c r="AF2463" s="122"/>
      <c r="AG2463" s="122"/>
      <c r="AH2463" s="122"/>
      <c r="AI2463" s="122"/>
      <c r="AJ2463" s="122"/>
      <c r="AK2463" s="122"/>
      <c r="AL2463" s="122"/>
      <c r="AM2463" s="122"/>
      <c r="AN2463" s="122"/>
      <c r="AO2463" s="122"/>
      <c r="AP2463" s="122"/>
    </row>
    <row r="2464" spans="2:42">
      <c r="B2464" s="122"/>
      <c r="C2464" s="122"/>
      <c r="D2464" s="122"/>
      <c r="E2464" s="122"/>
      <c r="F2464" s="122"/>
      <c r="G2464" s="122"/>
      <c r="H2464" s="122"/>
      <c r="I2464" s="275"/>
      <c r="J2464" s="130"/>
      <c r="K2464" s="130"/>
      <c r="L2464" s="130"/>
      <c r="M2464" s="130"/>
      <c r="N2464" s="291"/>
      <c r="O2464" s="291"/>
      <c r="P2464" s="122"/>
      <c r="Q2464" s="122"/>
      <c r="R2464" s="122"/>
      <c r="S2464" s="122"/>
      <c r="T2464" s="122"/>
      <c r="U2464" s="315"/>
      <c r="V2464" s="260">
        <f t="shared" ca="1" si="46"/>
        <v>0</v>
      </c>
      <c r="W2464" s="348" t="str">
        <f>IF(板块成分!B2466="","",板块成分!B2466)</f>
        <v>301031.SZ</v>
      </c>
      <c r="X2464" s="276" t="str">
        <f>[1]!S_Info_Name(W2464)</f>
        <v>中熔电气</v>
      </c>
      <c r="Y2464" s="276" t="str">
        <f ca="1">IF($Y$3="申万一级行业",[1]!s_info_industry_sw_2021(W2464,公司分析!D$5,1),IF($Y$3="申万二级行业",[1]!s_info_industry_sw_2021(W2464,公司分析!D$5,2),IF($Y$3="申万三级行业",[1]!s_info_industry_sw_2021(W2464,公司分析!D$5,3),IF($Y$3="wind一级行业",[1]!s_info_industry_gics(W2464,1),IF($Y$3="wind二级行业",[1]!s_info_industry_gics(W2464,2),IF($Y$3="wind三级行业",[1]!s_info_industry_gics(W2464,3),IF($Y$3="wind四级行业",[1]!s_info_industry_gics(W2464,4),IF($Y$3="证监会门类行业",[1]!s_info_industry_csrc12_n(W2464,公司分析!D$5,1),""))))))))</f>
        <v>其他电子Ⅱ</v>
      </c>
      <c r="Z2464" s="302" t="str">
        <f ca="1">IF(Y2464=行业比较!$E$6,ROW(),"")</f>
        <v/>
      </c>
      <c r="AA2464" s="122"/>
      <c r="AB2464" s="122"/>
      <c r="AC2464" s="122"/>
      <c r="AD2464" s="122"/>
      <c r="AE2464" s="122"/>
      <c r="AF2464" s="122"/>
      <c r="AG2464" s="122"/>
      <c r="AH2464" s="122"/>
      <c r="AI2464" s="122"/>
      <c r="AJ2464" s="122"/>
      <c r="AK2464" s="122"/>
      <c r="AL2464" s="122"/>
      <c r="AM2464" s="122"/>
      <c r="AN2464" s="122"/>
      <c r="AO2464" s="122"/>
      <c r="AP2464" s="122"/>
    </row>
    <row r="2465" spans="2:42">
      <c r="B2465" s="122"/>
      <c r="C2465" s="122"/>
      <c r="D2465" s="122"/>
      <c r="E2465" s="122"/>
      <c r="F2465" s="122"/>
      <c r="G2465" s="122"/>
      <c r="H2465" s="122"/>
      <c r="I2465" s="275"/>
      <c r="J2465" s="130"/>
      <c r="K2465" s="130"/>
      <c r="L2465" s="130"/>
      <c r="M2465" s="130"/>
      <c r="N2465" s="291"/>
      <c r="O2465" s="291"/>
      <c r="P2465" s="122"/>
      <c r="Q2465" s="122"/>
      <c r="R2465" s="122"/>
      <c r="S2465" s="122"/>
      <c r="T2465" s="122"/>
      <c r="U2465" s="315"/>
      <c r="V2465" s="260">
        <f t="shared" ca="1" si="46"/>
        <v>0</v>
      </c>
      <c r="W2465" s="348" t="str">
        <f>IF(板块成分!B2467="","",板块成分!B2467)</f>
        <v>301032.SZ</v>
      </c>
      <c r="X2465" s="276" t="str">
        <f>[1]!S_Info_Name(W2465)</f>
        <v>新柴股份</v>
      </c>
      <c r="Y2465" s="276" t="str">
        <f ca="1">IF($Y$3="申万一级行业",[1]!s_info_industry_sw_2021(W2465,公司分析!D$5,1),IF($Y$3="申万二级行业",[1]!s_info_industry_sw_2021(W2465,公司分析!D$5,2),IF($Y$3="申万三级行业",[1]!s_info_industry_sw_2021(W2465,公司分析!D$5,3),IF($Y$3="wind一级行业",[1]!s_info_industry_gics(W2465,1),IF($Y$3="wind二级行业",[1]!s_info_industry_gics(W2465,2),IF($Y$3="wind三级行业",[1]!s_info_industry_gics(W2465,3),IF($Y$3="wind四级行业",[1]!s_info_industry_gics(W2465,4),IF($Y$3="证监会门类行业",[1]!s_info_industry_csrc12_n(W2465,公司分析!D$5,1),""))))))))</f>
        <v>通用设备</v>
      </c>
      <c r="Z2465" s="302" t="str">
        <f ca="1">IF(Y2465=行业比较!$E$6,ROW(),"")</f>
        <v/>
      </c>
      <c r="AA2465" s="122"/>
      <c r="AB2465" s="122"/>
      <c r="AC2465" s="122"/>
      <c r="AD2465" s="122"/>
      <c r="AE2465" s="122"/>
      <c r="AF2465" s="122"/>
      <c r="AG2465" s="122"/>
      <c r="AH2465" s="122"/>
      <c r="AI2465" s="122"/>
      <c r="AJ2465" s="122"/>
      <c r="AK2465" s="122"/>
      <c r="AL2465" s="122"/>
      <c r="AM2465" s="122"/>
      <c r="AN2465" s="122"/>
      <c r="AO2465" s="122"/>
      <c r="AP2465" s="122"/>
    </row>
    <row r="2466" spans="2:42">
      <c r="B2466" s="122"/>
      <c r="C2466" s="122"/>
      <c r="D2466" s="122"/>
      <c r="E2466" s="122"/>
      <c r="F2466" s="122"/>
      <c r="G2466" s="122"/>
      <c r="H2466" s="122"/>
      <c r="I2466" s="275"/>
      <c r="J2466" s="130"/>
      <c r="K2466" s="130"/>
      <c r="L2466" s="130"/>
      <c r="M2466" s="130"/>
      <c r="N2466" s="291"/>
      <c r="O2466" s="291"/>
      <c r="P2466" s="122"/>
      <c r="Q2466" s="122"/>
      <c r="R2466" s="122"/>
      <c r="S2466" s="122"/>
      <c r="T2466" s="122"/>
      <c r="U2466" s="315"/>
      <c r="V2466" s="260">
        <f t="shared" ca="1" si="46"/>
        <v>0</v>
      </c>
      <c r="W2466" s="348" t="str">
        <f>IF(板块成分!B2468="","",板块成分!B2468)</f>
        <v>301033.SZ</v>
      </c>
      <c r="X2466" s="276" t="str">
        <f>[1]!S_Info_Name(W2466)</f>
        <v>迈普医学</v>
      </c>
      <c r="Y2466" s="276" t="str">
        <f ca="1">IF($Y$3="申万一级行业",[1]!s_info_industry_sw_2021(W2466,公司分析!D$5,1),IF($Y$3="申万二级行业",[1]!s_info_industry_sw_2021(W2466,公司分析!D$5,2),IF($Y$3="申万三级行业",[1]!s_info_industry_sw_2021(W2466,公司分析!D$5,3),IF($Y$3="wind一级行业",[1]!s_info_industry_gics(W2466,1),IF($Y$3="wind二级行业",[1]!s_info_industry_gics(W2466,2),IF($Y$3="wind三级行业",[1]!s_info_industry_gics(W2466,3),IF($Y$3="wind四级行业",[1]!s_info_industry_gics(W2466,4),IF($Y$3="证监会门类行业",[1]!s_info_industry_csrc12_n(W2466,公司分析!D$5,1),""))))))))</f>
        <v>医疗器械</v>
      </c>
      <c r="Z2466" s="302" t="str">
        <f ca="1">IF(Y2466=行业比较!$E$6,ROW(),"")</f>
        <v/>
      </c>
      <c r="AA2466" s="122"/>
      <c r="AB2466" s="122"/>
      <c r="AC2466" s="122"/>
      <c r="AD2466" s="122"/>
      <c r="AE2466" s="122"/>
      <c r="AF2466" s="122"/>
      <c r="AG2466" s="122"/>
      <c r="AH2466" s="122"/>
      <c r="AI2466" s="122"/>
      <c r="AJ2466" s="122"/>
      <c r="AK2466" s="122"/>
      <c r="AL2466" s="122"/>
      <c r="AM2466" s="122"/>
      <c r="AN2466" s="122"/>
      <c r="AO2466" s="122"/>
      <c r="AP2466" s="122"/>
    </row>
    <row r="2467" spans="2:42">
      <c r="B2467" s="122"/>
      <c r="C2467" s="122"/>
      <c r="D2467" s="122"/>
      <c r="E2467" s="122"/>
      <c r="F2467" s="122"/>
      <c r="G2467" s="122"/>
      <c r="H2467" s="122"/>
      <c r="I2467" s="275"/>
      <c r="J2467" s="130"/>
      <c r="K2467" s="130"/>
      <c r="L2467" s="130"/>
      <c r="M2467" s="130"/>
      <c r="N2467" s="291"/>
      <c r="O2467" s="291"/>
      <c r="P2467" s="122"/>
      <c r="Q2467" s="122"/>
      <c r="R2467" s="122"/>
      <c r="S2467" s="122"/>
      <c r="T2467" s="122"/>
      <c r="U2467" s="315"/>
      <c r="V2467" s="260">
        <f t="shared" ca="1" si="46"/>
        <v>0</v>
      </c>
      <c r="W2467" s="348" t="str">
        <f>IF(板块成分!B2469="","",板块成分!B2469)</f>
        <v>301035.SZ</v>
      </c>
      <c r="X2467" s="276" t="str">
        <f>[1]!S_Info_Name(W2467)</f>
        <v>润丰股份</v>
      </c>
      <c r="Y2467" s="276" t="str">
        <f ca="1">IF($Y$3="申万一级行业",[1]!s_info_industry_sw_2021(W2467,公司分析!D$5,1),IF($Y$3="申万二级行业",[1]!s_info_industry_sw_2021(W2467,公司分析!D$5,2),IF($Y$3="申万三级行业",[1]!s_info_industry_sw_2021(W2467,公司分析!D$5,3),IF($Y$3="wind一级行业",[1]!s_info_industry_gics(W2467,1),IF($Y$3="wind二级行业",[1]!s_info_industry_gics(W2467,2),IF($Y$3="wind三级行业",[1]!s_info_industry_gics(W2467,3),IF($Y$3="wind四级行业",[1]!s_info_industry_gics(W2467,4),IF($Y$3="证监会门类行业",[1]!s_info_industry_csrc12_n(W2467,公司分析!D$5,1),""))))))))</f>
        <v>农化制品</v>
      </c>
      <c r="Z2467" s="302" t="str">
        <f ca="1">IF(Y2467=行业比较!$E$6,ROW(),"")</f>
        <v/>
      </c>
      <c r="AA2467" s="122"/>
      <c r="AB2467" s="122"/>
      <c r="AC2467" s="122"/>
      <c r="AD2467" s="122"/>
      <c r="AE2467" s="122"/>
      <c r="AF2467" s="122"/>
      <c r="AG2467" s="122"/>
      <c r="AH2467" s="122"/>
      <c r="AI2467" s="122"/>
      <c r="AJ2467" s="122"/>
      <c r="AK2467" s="122"/>
      <c r="AL2467" s="122"/>
      <c r="AM2467" s="122"/>
      <c r="AN2467" s="122"/>
      <c r="AO2467" s="122"/>
      <c r="AP2467" s="122"/>
    </row>
    <row r="2468" spans="2:42">
      <c r="B2468" s="122"/>
      <c r="C2468" s="122"/>
      <c r="D2468" s="122"/>
      <c r="E2468" s="122"/>
      <c r="F2468" s="122"/>
      <c r="G2468" s="122"/>
      <c r="H2468" s="122"/>
      <c r="I2468" s="275"/>
      <c r="J2468" s="130"/>
      <c r="K2468" s="130"/>
      <c r="L2468" s="130"/>
      <c r="M2468" s="130"/>
      <c r="N2468" s="291"/>
      <c r="O2468" s="291"/>
      <c r="P2468" s="122"/>
      <c r="Q2468" s="122"/>
      <c r="R2468" s="122"/>
      <c r="S2468" s="122"/>
      <c r="T2468" s="122"/>
      <c r="U2468" s="315"/>
      <c r="V2468" s="260">
        <f t="shared" ca="1" si="46"/>
        <v>0</v>
      </c>
      <c r="W2468" s="348" t="str">
        <f>IF(板块成分!B2470="","",板块成分!B2470)</f>
        <v>301036.SZ</v>
      </c>
      <c r="X2468" s="276" t="str">
        <f>[1]!S_Info_Name(W2468)</f>
        <v>双乐股份</v>
      </c>
      <c r="Y2468" s="276" t="str">
        <f ca="1">IF($Y$3="申万一级行业",[1]!s_info_industry_sw_2021(W2468,公司分析!D$5,1),IF($Y$3="申万二级行业",[1]!s_info_industry_sw_2021(W2468,公司分析!D$5,2),IF($Y$3="申万三级行业",[1]!s_info_industry_sw_2021(W2468,公司分析!D$5,3),IF($Y$3="wind一级行业",[1]!s_info_industry_gics(W2468,1),IF($Y$3="wind二级行业",[1]!s_info_industry_gics(W2468,2),IF($Y$3="wind三级行业",[1]!s_info_industry_gics(W2468,3),IF($Y$3="wind四级行业",[1]!s_info_industry_gics(W2468,4),IF($Y$3="证监会门类行业",[1]!s_info_industry_csrc12_n(W2468,公司分析!D$5,1),""))))))))</f>
        <v>化学制品</v>
      </c>
      <c r="Z2468" s="302" t="str">
        <f ca="1">IF(Y2468=行业比较!$E$6,ROW(),"")</f>
        <v/>
      </c>
      <c r="AA2468" s="122"/>
      <c r="AB2468" s="122"/>
      <c r="AC2468" s="122"/>
      <c r="AD2468" s="122"/>
      <c r="AE2468" s="122"/>
      <c r="AF2468" s="122"/>
      <c r="AG2468" s="122"/>
      <c r="AH2468" s="122"/>
      <c r="AI2468" s="122"/>
      <c r="AJ2468" s="122"/>
      <c r="AK2468" s="122"/>
      <c r="AL2468" s="122"/>
      <c r="AM2468" s="122"/>
      <c r="AN2468" s="122"/>
      <c r="AO2468" s="122"/>
      <c r="AP2468" s="122"/>
    </row>
    <row r="2469" spans="2:42">
      <c r="B2469" s="122"/>
      <c r="C2469" s="122"/>
      <c r="D2469" s="122"/>
      <c r="E2469" s="122"/>
      <c r="F2469" s="122"/>
      <c r="G2469" s="122"/>
      <c r="H2469" s="122"/>
      <c r="I2469" s="275"/>
      <c r="J2469" s="130"/>
      <c r="K2469" s="130"/>
      <c r="L2469" s="130"/>
      <c r="M2469" s="130"/>
      <c r="N2469" s="291"/>
      <c r="O2469" s="291"/>
      <c r="P2469" s="122"/>
      <c r="Q2469" s="122"/>
      <c r="R2469" s="122"/>
      <c r="S2469" s="122"/>
      <c r="T2469" s="122"/>
      <c r="U2469" s="315"/>
      <c r="V2469" s="260">
        <f t="shared" ca="1" si="46"/>
        <v>0</v>
      </c>
      <c r="W2469" s="348" t="str">
        <f>IF(板块成分!B2471="","",板块成分!B2471)</f>
        <v>301037.SZ</v>
      </c>
      <c r="X2469" s="276" t="str">
        <f>[1]!S_Info_Name(W2469)</f>
        <v>保立佳</v>
      </c>
      <c r="Y2469" s="276" t="str">
        <f ca="1">IF($Y$3="申万一级行业",[1]!s_info_industry_sw_2021(W2469,公司分析!D$5,1),IF($Y$3="申万二级行业",[1]!s_info_industry_sw_2021(W2469,公司分析!D$5,2),IF($Y$3="申万三级行业",[1]!s_info_industry_sw_2021(W2469,公司分析!D$5,3),IF($Y$3="wind一级行业",[1]!s_info_industry_gics(W2469,1),IF($Y$3="wind二级行业",[1]!s_info_industry_gics(W2469,2),IF($Y$3="wind三级行业",[1]!s_info_industry_gics(W2469,3),IF($Y$3="wind四级行业",[1]!s_info_industry_gics(W2469,4),IF($Y$3="证监会门类行业",[1]!s_info_industry_csrc12_n(W2469,公司分析!D$5,1),""))))))))</f>
        <v>化学制品</v>
      </c>
      <c r="Z2469" s="302" t="str">
        <f ca="1">IF(Y2469=行业比较!$E$6,ROW(),"")</f>
        <v/>
      </c>
      <c r="AA2469" s="122"/>
      <c r="AB2469" s="122"/>
      <c r="AC2469" s="122"/>
      <c r="AD2469" s="122"/>
      <c r="AE2469" s="122"/>
      <c r="AF2469" s="122"/>
      <c r="AG2469" s="122"/>
      <c r="AH2469" s="122"/>
      <c r="AI2469" s="122"/>
      <c r="AJ2469" s="122"/>
      <c r="AK2469" s="122"/>
      <c r="AL2469" s="122"/>
      <c r="AM2469" s="122"/>
      <c r="AN2469" s="122"/>
      <c r="AO2469" s="122"/>
      <c r="AP2469" s="122"/>
    </row>
    <row r="2470" spans="2:42">
      <c r="B2470" s="122"/>
      <c r="C2470" s="122"/>
      <c r="D2470" s="122"/>
      <c r="E2470" s="122"/>
      <c r="F2470" s="122"/>
      <c r="G2470" s="122"/>
      <c r="H2470" s="122"/>
      <c r="I2470" s="275"/>
      <c r="J2470" s="130"/>
      <c r="K2470" s="130"/>
      <c r="L2470" s="130"/>
      <c r="M2470" s="130"/>
      <c r="N2470" s="291"/>
      <c r="O2470" s="291"/>
      <c r="P2470" s="122"/>
      <c r="Q2470" s="122"/>
      <c r="R2470" s="122"/>
      <c r="S2470" s="122"/>
      <c r="T2470" s="122"/>
      <c r="U2470" s="315"/>
      <c r="V2470" s="260">
        <f t="shared" ca="1" si="46"/>
        <v>0</v>
      </c>
      <c r="W2470" s="348" t="str">
        <f>IF(板块成分!B2472="","",板块成分!B2472)</f>
        <v>301038.SZ</v>
      </c>
      <c r="X2470" s="276" t="str">
        <f>[1]!S_Info_Name(W2470)</f>
        <v>深水规院</v>
      </c>
      <c r="Y2470" s="276" t="str">
        <f ca="1">IF($Y$3="申万一级行业",[1]!s_info_industry_sw_2021(W2470,公司分析!D$5,1),IF($Y$3="申万二级行业",[1]!s_info_industry_sw_2021(W2470,公司分析!D$5,2),IF($Y$3="申万三级行业",[1]!s_info_industry_sw_2021(W2470,公司分析!D$5,3),IF($Y$3="wind一级行业",[1]!s_info_industry_gics(W2470,1),IF($Y$3="wind二级行业",[1]!s_info_industry_gics(W2470,2),IF($Y$3="wind三级行业",[1]!s_info_industry_gics(W2470,3),IF($Y$3="wind四级行业",[1]!s_info_industry_gics(W2470,4),IF($Y$3="证监会门类行业",[1]!s_info_industry_csrc12_n(W2470,公司分析!D$5,1),""))))))))</f>
        <v>工程咨询服务Ⅱ</v>
      </c>
      <c r="Z2470" s="302" t="str">
        <f ca="1">IF(Y2470=行业比较!$E$6,ROW(),"")</f>
        <v/>
      </c>
      <c r="AA2470" s="122"/>
      <c r="AB2470" s="122"/>
      <c r="AC2470" s="122"/>
      <c r="AD2470" s="122"/>
      <c r="AE2470" s="122"/>
      <c r="AF2470" s="122"/>
      <c r="AG2470" s="122"/>
      <c r="AH2470" s="122"/>
      <c r="AI2470" s="122"/>
      <c r="AJ2470" s="122"/>
      <c r="AK2470" s="122"/>
      <c r="AL2470" s="122"/>
      <c r="AM2470" s="122"/>
      <c r="AN2470" s="122"/>
      <c r="AO2470" s="122"/>
      <c r="AP2470" s="122"/>
    </row>
    <row r="2471" spans="2:42">
      <c r="B2471" s="122"/>
      <c r="C2471" s="122"/>
      <c r="D2471" s="122"/>
      <c r="E2471" s="122"/>
      <c r="F2471" s="122"/>
      <c r="G2471" s="122"/>
      <c r="H2471" s="122"/>
      <c r="I2471" s="275"/>
      <c r="J2471" s="130"/>
      <c r="K2471" s="130"/>
      <c r="L2471" s="130"/>
      <c r="M2471" s="130"/>
      <c r="N2471" s="291"/>
      <c r="O2471" s="291"/>
      <c r="P2471" s="122"/>
      <c r="Q2471" s="122"/>
      <c r="R2471" s="122"/>
      <c r="S2471" s="122"/>
      <c r="T2471" s="122"/>
      <c r="U2471" s="315"/>
      <c r="V2471" s="260">
        <f t="shared" ca="1" si="46"/>
        <v>0</v>
      </c>
      <c r="W2471" s="348" t="str">
        <f>IF(板块成分!B2473="","",板块成分!B2473)</f>
        <v>301039.SZ</v>
      </c>
      <c r="X2471" s="276" t="str">
        <f>[1]!S_Info_Name(W2471)</f>
        <v>中集车辆</v>
      </c>
      <c r="Y2471" s="276" t="str">
        <f ca="1">IF($Y$3="申万一级行业",[1]!s_info_industry_sw_2021(W2471,公司分析!D$5,1),IF($Y$3="申万二级行业",[1]!s_info_industry_sw_2021(W2471,公司分析!D$5,2),IF($Y$3="申万三级行业",[1]!s_info_industry_sw_2021(W2471,公司分析!D$5,3),IF($Y$3="wind一级行业",[1]!s_info_industry_gics(W2471,1),IF($Y$3="wind二级行业",[1]!s_info_industry_gics(W2471,2),IF($Y$3="wind三级行业",[1]!s_info_industry_gics(W2471,3),IF($Y$3="wind四级行业",[1]!s_info_industry_gics(W2471,4),IF($Y$3="证监会门类行业",[1]!s_info_industry_csrc12_n(W2471,公司分析!D$5,1),""))))))))</f>
        <v>商用车</v>
      </c>
      <c r="Z2471" s="302" t="str">
        <f ca="1">IF(Y2471=行业比较!$E$6,ROW(),"")</f>
        <v/>
      </c>
      <c r="AA2471" s="122"/>
      <c r="AB2471" s="122"/>
      <c r="AC2471" s="122"/>
      <c r="AD2471" s="122"/>
      <c r="AE2471" s="122"/>
      <c r="AF2471" s="122"/>
      <c r="AG2471" s="122"/>
      <c r="AH2471" s="122"/>
      <c r="AI2471" s="122"/>
      <c r="AJ2471" s="122"/>
      <c r="AK2471" s="122"/>
      <c r="AL2471" s="122"/>
      <c r="AM2471" s="122"/>
      <c r="AN2471" s="122"/>
      <c r="AO2471" s="122"/>
      <c r="AP2471" s="122"/>
    </row>
    <row r="2472" spans="2:42">
      <c r="B2472" s="122"/>
      <c r="C2472" s="122"/>
      <c r="D2472" s="122"/>
      <c r="E2472" s="122"/>
      <c r="F2472" s="122"/>
      <c r="G2472" s="122"/>
      <c r="H2472" s="122"/>
      <c r="I2472" s="275"/>
      <c r="J2472" s="130"/>
      <c r="K2472" s="130"/>
      <c r="L2472" s="130"/>
      <c r="M2472" s="130"/>
      <c r="N2472" s="291"/>
      <c r="O2472" s="291"/>
      <c r="P2472" s="122"/>
      <c r="Q2472" s="122"/>
      <c r="R2472" s="122"/>
      <c r="S2472" s="122"/>
      <c r="T2472" s="122"/>
      <c r="U2472" s="315"/>
      <c r="V2472" s="260">
        <f t="shared" ca="1" si="46"/>
        <v>0</v>
      </c>
      <c r="W2472" s="348" t="str">
        <f>IF(板块成分!B2474="","",板块成分!B2474)</f>
        <v>301040.SZ</v>
      </c>
      <c r="X2472" s="276" t="str">
        <f>[1]!S_Info_Name(W2472)</f>
        <v>中环海陆</v>
      </c>
      <c r="Y2472" s="276" t="str">
        <f ca="1">IF($Y$3="申万一级行业",[1]!s_info_industry_sw_2021(W2472,公司分析!D$5,1),IF($Y$3="申万二级行业",[1]!s_info_industry_sw_2021(W2472,公司分析!D$5,2),IF($Y$3="申万三级行业",[1]!s_info_industry_sw_2021(W2472,公司分析!D$5,3),IF($Y$3="wind一级行业",[1]!s_info_industry_gics(W2472,1),IF($Y$3="wind二级行业",[1]!s_info_industry_gics(W2472,2),IF($Y$3="wind三级行业",[1]!s_info_industry_gics(W2472,3),IF($Y$3="wind四级行业",[1]!s_info_industry_gics(W2472,4),IF($Y$3="证监会门类行业",[1]!s_info_industry_csrc12_n(W2472,公司分析!D$5,1),""))))))))</f>
        <v>风电设备</v>
      </c>
      <c r="Z2472" s="302" t="str">
        <f ca="1">IF(Y2472=行业比较!$E$6,ROW(),"")</f>
        <v/>
      </c>
      <c r="AA2472" s="122"/>
      <c r="AB2472" s="122"/>
      <c r="AC2472" s="122"/>
      <c r="AD2472" s="122"/>
      <c r="AE2472" s="122"/>
      <c r="AF2472" s="122"/>
      <c r="AG2472" s="122"/>
      <c r="AH2472" s="122"/>
      <c r="AI2472" s="122"/>
      <c r="AJ2472" s="122"/>
      <c r="AK2472" s="122"/>
      <c r="AL2472" s="122"/>
      <c r="AM2472" s="122"/>
      <c r="AN2472" s="122"/>
      <c r="AO2472" s="122"/>
      <c r="AP2472" s="122"/>
    </row>
    <row r="2473" spans="2:42">
      <c r="B2473" s="122"/>
      <c r="C2473" s="122"/>
      <c r="D2473" s="122"/>
      <c r="E2473" s="122"/>
      <c r="F2473" s="122"/>
      <c r="G2473" s="122"/>
      <c r="H2473" s="122"/>
      <c r="I2473" s="275"/>
      <c r="J2473" s="130"/>
      <c r="K2473" s="130"/>
      <c r="L2473" s="130"/>
      <c r="M2473" s="130"/>
      <c r="N2473" s="291"/>
      <c r="O2473" s="291"/>
      <c r="P2473" s="122"/>
      <c r="Q2473" s="122"/>
      <c r="R2473" s="122"/>
      <c r="S2473" s="122"/>
      <c r="T2473" s="122"/>
      <c r="U2473" s="315"/>
      <c r="V2473" s="260">
        <f t="shared" ca="1" si="46"/>
        <v>0</v>
      </c>
      <c r="W2473" s="348" t="str">
        <f>IF(板块成分!B2475="","",板块成分!B2475)</f>
        <v>301041.SZ</v>
      </c>
      <c r="X2473" s="276" t="str">
        <f>[1]!S_Info_Name(W2473)</f>
        <v>金百泽</v>
      </c>
      <c r="Y2473" s="276" t="str">
        <f ca="1">IF($Y$3="申万一级行业",[1]!s_info_industry_sw_2021(W2473,公司分析!D$5,1),IF($Y$3="申万二级行业",[1]!s_info_industry_sw_2021(W2473,公司分析!D$5,2),IF($Y$3="申万三级行业",[1]!s_info_industry_sw_2021(W2473,公司分析!D$5,3),IF($Y$3="wind一级行业",[1]!s_info_industry_gics(W2473,1),IF($Y$3="wind二级行业",[1]!s_info_industry_gics(W2473,2),IF($Y$3="wind三级行业",[1]!s_info_industry_gics(W2473,3),IF($Y$3="wind四级行业",[1]!s_info_industry_gics(W2473,4),IF($Y$3="证监会门类行业",[1]!s_info_industry_csrc12_n(W2473,公司分析!D$5,1),""))))))))</f>
        <v>元件</v>
      </c>
      <c r="Z2473" s="302" t="str">
        <f ca="1">IF(Y2473=行业比较!$E$6,ROW(),"")</f>
        <v/>
      </c>
      <c r="AA2473" s="122"/>
      <c r="AB2473" s="122"/>
      <c r="AC2473" s="122"/>
      <c r="AD2473" s="122"/>
      <c r="AE2473" s="122"/>
      <c r="AF2473" s="122"/>
      <c r="AG2473" s="122"/>
      <c r="AH2473" s="122"/>
      <c r="AI2473" s="122"/>
      <c r="AJ2473" s="122"/>
      <c r="AK2473" s="122"/>
      <c r="AL2473" s="122"/>
      <c r="AM2473" s="122"/>
      <c r="AN2473" s="122"/>
      <c r="AO2473" s="122"/>
      <c r="AP2473" s="122"/>
    </row>
    <row r="2474" spans="2:42">
      <c r="B2474" s="122"/>
      <c r="C2474" s="122"/>
      <c r="D2474" s="122"/>
      <c r="E2474" s="122"/>
      <c r="F2474" s="122"/>
      <c r="G2474" s="122"/>
      <c r="H2474" s="122"/>
      <c r="I2474" s="275"/>
      <c r="J2474" s="130"/>
      <c r="K2474" s="130"/>
      <c r="L2474" s="130"/>
      <c r="M2474" s="130"/>
      <c r="N2474" s="291"/>
      <c r="O2474" s="291"/>
      <c r="P2474" s="122"/>
      <c r="Q2474" s="122"/>
      <c r="R2474" s="122"/>
      <c r="S2474" s="122"/>
      <c r="T2474" s="122"/>
      <c r="U2474" s="315"/>
      <c r="V2474" s="260">
        <f t="shared" ca="1" si="46"/>
        <v>0</v>
      </c>
      <c r="W2474" s="348" t="str">
        <f>IF(板块成分!B2476="","",板块成分!B2476)</f>
        <v>301042.SZ</v>
      </c>
      <c r="X2474" s="276" t="str">
        <f>[1]!S_Info_Name(W2474)</f>
        <v>安联锐视</v>
      </c>
      <c r="Y2474" s="276" t="str">
        <f ca="1">IF($Y$3="申万一级行业",[1]!s_info_industry_sw_2021(W2474,公司分析!D$5,1),IF($Y$3="申万二级行业",[1]!s_info_industry_sw_2021(W2474,公司分析!D$5,2),IF($Y$3="申万三级行业",[1]!s_info_industry_sw_2021(W2474,公司分析!D$5,3),IF($Y$3="wind一级行业",[1]!s_info_industry_gics(W2474,1),IF($Y$3="wind二级行业",[1]!s_info_industry_gics(W2474,2),IF($Y$3="wind三级行业",[1]!s_info_industry_gics(W2474,3),IF($Y$3="wind四级行业",[1]!s_info_industry_gics(W2474,4),IF($Y$3="证监会门类行业",[1]!s_info_industry_csrc12_n(W2474,公司分析!D$5,1),""))))))))</f>
        <v>计算机设备</v>
      </c>
      <c r="Z2474" s="302" t="str">
        <f ca="1">IF(Y2474=行业比较!$E$6,ROW(),"")</f>
        <v/>
      </c>
      <c r="AA2474" s="122"/>
      <c r="AB2474" s="122"/>
      <c r="AC2474" s="122"/>
      <c r="AD2474" s="122"/>
      <c r="AE2474" s="122"/>
      <c r="AF2474" s="122"/>
      <c r="AG2474" s="122"/>
      <c r="AH2474" s="122"/>
      <c r="AI2474" s="122"/>
      <c r="AJ2474" s="122"/>
      <c r="AK2474" s="122"/>
      <c r="AL2474" s="122"/>
      <c r="AM2474" s="122"/>
      <c r="AN2474" s="122"/>
      <c r="AO2474" s="122"/>
      <c r="AP2474" s="122"/>
    </row>
    <row r="2475" spans="2:42">
      <c r="B2475" s="122"/>
      <c r="C2475" s="122"/>
      <c r="D2475" s="122"/>
      <c r="E2475" s="122"/>
      <c r="F2475" s="122"/>
      <c r="G2475" s="122"/>
      <c r="H2475" s="122"/>
      <c r="I2475" s="275"/>
      <c r="J2475" s="130"/>
      <c r="K2475" s="130"/>
      <c r="L2475" s="130"/>
      <c r="M2475" s="130"/>
      <c r="N2475" s="291"/>
      <c r="O2475" s="291"/>
      <c r="P2475" s="122"/>
      <c r="Q2475" s="122"/>
      <c r="R2475" s="122"/>
      <c r="S2475" s="122"/>
      <c r="T2475" s="122"/>
      <c r="U2475" s="315"/>
      <c r="V2475" s="260">
        <f t="shared" ca="1" si="46"/>
        <v>0</v>
      </c>
      <c r="W2475" s="348" t="str">
        <f>IF(板块成分!B2477="","",板块成分!B2477)</f>
        <v>301043.SZ</v>
      </c>
      <c r="X2475" s="276" t="str">
        <f>[1]!S_Info_Name(W2475)</f>
        <v>绿岛风</v>
      </c>
      <c r="Y2475" s="276" t="str">
        <f ca="1">IF($Y$3="申万一级行业",[1]!s_info_industry_sw_2021(W2475,公司分析!D$5,1),IF($Y$3="申万二级行业",[1]!s_info_industry_sw_2021(W2475,公司分析!D$5,2),IF($Y$3="申万三级行业",[1]!s_info_industry_sw_2021(W2475,公司分析!D$5,3),IF($Y$3="wind一级行业",[1]!s_info_industry_gics(W2475,1),IF($Y$3="wind二级行业",[1]!s_info_industry_gics(W2475,2),IF($Y$3="wind三级行业",[1]!s_info_industry_gics(W2475,3),IF($Y$3="wind四级行业",[1]!s_info_industry_gics(W2475,4),IF($Y$3="证监会门类行业",[1]!s_info_industry_csrc12_n(W2475,公司分析!D$5,1),""))))))))</f>
        <v>通用设备</v>
      </c>
      <c r="Z2475" s="302" t="str">
        <f ca="1">IF(Y2475=行业比较!$E$6,ROW(),"")</f>
        <v/>
      </c>
      <c r="AA2475" s="122"/>
      <c r="AB2475" s="122"/>
      <c r="AC2475" s="122"/>
      <c r="AD2475" s="122"/>
      <c r="AE2475" s="122"/>
      <c r="AF2475" s="122"/>
      <c r="AG2475" s="122"/>
      <c r="AH2475" s="122"/>
      <c r="AI2475" s="122"/>
      <c r="AJ2475" s="122"/>
      <c r="AK2475" s="122"/>
      <c r="AL2475" s="122"/>
      <c r="AM2475" s="122"/>
      <c r="AN2475" s="122"/>
      <c r="AO2475" s="122"/>
      <c r="AP2475" s="122"/>
    </row>
    <row r="2476" spans="2:42">
      <c r="B2476" s="122"/>
      <c r="C2476" s="122"/>
      <c r="D2476" s="122"/>
      <c r="E2476" s="122"/>
      <c r="F2476" s="122"/>
      <c r="G2476" s="122"/>
      <c r="H2476" s="122"/>
      <c r="I2476" s="275"/>
      <c r="J2476" s="130"/>
      <c r="K2476" s="130"/>
      <c r="L2476" s="130"/>
      <c r="M2476" s="130"/>
      <c r="N2476" s="291"/>
      <c r="O2476" s="291"/>
      <c r="P2476" s="122"/>
      <c r="Q2476" s="122"/>
      <c r="R2476" s="122"/>
      <c r="S2476" s="122"/>
      <c r="T2476" s="122"/>
      <c r="U2476" s="315"/>
      <c r="V2476" s="260">
        <f t="shared" ca="1" si="46"/>
        <v>0</v>
      </c>
      <c r="W2476" s="348" t="str">
        <f>IF(板块成分!B2478="","",板块成分!B2478)</f>
        <v>301045.SZ</v>
      </c>
      <c r="X2476" s="276" t="str">
        <f>[1]!S_Info_Name(W2476)</f>
        <v>天禄科技</v>
      </c>
      <c r="Y2476" s="276" t="str">
        <f ca="1">IF($Y$3="申万一级行业",[1]!s_info_industry_sw_2021(W2476,公司分析!D$5,1),IF($Y$3="申万二级行业",[1]!s_info_industry_sw_2021(W2476,公司分析!D$5,2),IF($Y$3="申万三级行业",[1]!s_info_industry_sw_2021(W2476,公司分析!D$5,3),IF($Y$3="wind一级行业",[1]!s_info_industry_gics(W2476,1),IF($Y$3="wind二级行业",[1]!s_info_industry_gics(W2476,2),IF($Y$3="wind三级行业",[1]!s_info_industry_gics(W2476,3),IF($Y$3="wind四级行业",[1]!s_info_industry_gics(W2476,4),IF($Y$3="证监会门类行业",[1]!s_info_industry_csrc12_n(W2476,公司分析!D$5,1),""))))))))</f>
        <v>光学光电子</v>
      </c>
      <c r="Z2476" s="302" t="str">
        <f ca="1">IF(Y2476=行业比较!$E$6,ROW(),"")</f>
        <v/>
      </c>
      <c r="AA2476" s="122"/>
      <c r="AB2476" s="122"/>
      <c r="AC2476" s="122"/>
      <c r="AD2476" s="122"/>
      <c r="AE2476" s="122"/>
      <c r="AF2476" s="122"/>
      <c r="AG2476" s="122"/>
      <c r="AH2476" s="122"/>
      <c r="AI2476" s="122"/>
      <c r="AJ2476" s="122"/>
      <c r="AK2476" s="122"/>
      <c r="AL2476" s="122"/>
      <c r="AM2476" s="122"/>
      <c r="AN2476" s="122"/>
      <c r="AO2476" s="122"/>
      <c r="AP2476" s="122"/>
    </row>
    <row r="2477" spans="2:42">
      <c r="B2477" s="122"/>
      <c r="C2477" s="122"/>
      <c r="D2477" s="122"/>
      <c r="E2477" s="122"/>
      <c r="F2477" s="122"/>
      <c r="G2477" s="122"/>
      <c r="H2477" s="122"/>
      <c r="I2477" s="275"/>
      <c r="J2477" s="130"/>
      <c r="K2477" s="130"/>
      <c r="L2477" s="130"/>
      <c r="M2477" s="130"/>
      <c r="N2477" s="291"/>
      <c r="O2477" s="291"/>
      <c r="P2477" s="122"/>
      <c r="Q2477" s="122"/>
      <c r="R2477" s="122"/>
      <c r="S2477" s="122"/>
      <c r="T2477" s="122"/>
      <c r="U2477" s="315"/>
      <c r="V2477" s="260">
        <f t="shared" ca="1" si="46"/>
        <v>0</v>
      </c>
      <c r="W2477" s="348" t="str">
        <f>IF(板块成分!B2479="","",板块成分!B2479)</f>
        <v>301046.SZ</v>
      </c>
      <c r="X2477" s="276" t="str">
        <f>[1]!S_Info_Name(W2477)</f>
        <v>能辉科技</v>
      </c>
      <c r="Y2477" s="276" t="str">
        <f ca="1">IF($Y$3="申万一级行业",[1]!s_info_industry_sw_2021(W2477,公司分析!D$5,1),IF($Y$3="申万二级行业",[1]!s_info_industry_sw_2021(W2477,公司分析!D$5,2),IF($Y$3="申万三级行业",[1]!s_info_industry_sw_2021(W2477,公司分析!D$5,3),IF($Y$3="wind一级行业",[1]!s_info_industry_gics(W2477,1),IF($Y$3="wind二级行业",[1]!s_info_industry_gics(W2477,2),IF($Y$3="wind三级行业",[1]!s_info_industry_gics(W2477,3),IF($Y$3="wind四级行业",[1]!s_info_industry_gics(W2477,4),IF($Y$3="证监会门类行业",[1]!s_info_industry_csrc12_n(W2477,公司分析!D$5,1),""))))))))</f>
        <v>专业工程</v>
      </c>
      <c r="Z2477" s="302" t="str">
        <f ca="1">IF(Y2477=行业比较!$E$6,ROW(),"")</f>
        <v/>
      </c>
      <c r="AA2477" s="122"/>
      <c r="AB2477" s="122"/>
      <c r="AC2477" s="122"/>
      <c r="AD2477" s="122"/>
      <c r="AE2477" s="122"/>
      <c r="AF2477" s="122"/>
      <c r="AG2477" s="122"/>
      <c r="AH2477" s="122"/>
      <c r="AI2477" s="122"/>
      <c r="AJ2477" s="122"/>
      <c r="AK2477" s="122"/>
      <c r="AL2477" s="122"/>
      <c r="AM2477" s="122"/>
      <c r="AN2477" s="122"/>
      <c r="AO2477" s="122"/>
      <c r="AP2477" s="122"/>
    </row>
    <row r="2478" spans="2:42">
      <c r="B2478" s="122"/>
      <c r="C2478" s="122"/>
      <c r="D2478" s="122"/>
      <c r="E2478" s="122"/>
      <c r="F2478" s="122"/>
      <c r="G2478" s="122"/>
      <c r="H2478" s="122"/>
      <c r="I2478" s="275"/>
      <c r="J2478" s="130"/>
      <c r="K2478" s="130"/>
      <c r="L2478" s="130"/>
      <c r="M2478" s="130"/>
      <c r="N2478" s="291"/>
      <c r="O2478" s="291"/>
      <c r="P2478" s="122"/>
      <c r="Q2478" s="122"/>
      <c r="R2478" s="122"/>
      <c r="S2478" s="122"/>
      <c r="T2478" s="122"/>
      <c r="U2478" s="315"/>
      <c r="V2478" s="260">
        <f t="shared" ca="1" si="46"/>
        <v>0</v>
      </c>
      <c r="W2478" s="348" t="str">
        <f>IF(板块成分!B2480="","",板块成分!B2480)</f>
        <v>301047.SZ</v>
      </c>
      <c r="X2478" s="276" t="str">
        <f>[1]!S_Info_Name(W2478)</f>
        <v>义翘神州</v>
      </c>
      <c r="Y2478" s="276" t="str">
        <f ca="1">IF($Y$3="申万一级行业",[1]!s_info_industry_sw_2021(W2478,公司分析!D$5,1),IF($Y$3="申万二级行业",[1]!s_info_industry_sw_2021(W2478,公司分析!D$5,2),IF($Y$3="申万三级行业",[1]!s_info_industry_sw_2021(W2478,公司分析!D$5,3),IF($Y$3="wind一级行业",[1]!s_info_industry_gics(W2478,1),IF($Y$3="wind二级行业",[1]!s_info_industry_gics(W2478,2),IF($Y$3="wind三级行业",[1]!s_info_industry_gics(W2478,3),IF($Y$3="wind四级行业",[1]!s_info_industry_gics(W2478,4),IF($Y$3="证监会门类行业",[1]!s_info_industry_csrc12_n(W2478,公司分析!D$5,1),""))))))))</f>
        <v>生物制品</v>
      </c>
      <c r="Z2478" s="302" t="str">
        <f ca="1">IF(Y2478=行业比较!$E$6,ROW(),"")</f>
        <v/>
      </c>
      <c r="AA2478" s="122"/>
      <c r="AB2478" s="122"/>
      <c r="AC2478" s="122"/>
      <c r="AD2478" s="122"/>
      <c r="AE2478" s="122"/>
      <c r="AF2478" s="122"/>
      <c r="AG2478" s="122"/>
      <c r="AH2478" s="122"/>
      <c r="AI2478" s="122"/>
      <c r="AJ2478" s="122"/>
      <c r="AK2478" s="122"/>
      <c r="AL2478" s="122"/>
      <c r="AM2478" s="122"/>
      <c r="AN2478" s="122"/>
      <c r="AO2478" s="122"/>
      <c r="AP2478" s="122"/>
    </row>
    <row r="2479" spans="2:42">
      <c r="B2479" s="122"/>
      <c r="C2479" s="122"/>
      <c r="D2479" s="122"/>
      <c r="E2479" s="122"/>
      <c r="F2479" s="122"/>
      <c r="G2479" s="122"/>
      <c r="H2479" s="122"/>
      <c r="I2479" s="275"/>
      <c r="J2479" s="130"/>
      <c r="K2479" s="130"/>
      <c r="L2479" s="130"/>
      <c r="M2479" s="130"/>
      <c r="N2479" s="291"/>
      <c r="O2479" s="291"/>
      <c r="P2479" s="122"/>
      <c r="Q2479" s="122"/>
      <c r="R2479" s="122"/>
      <c r="S2479" s="122"/>
      <c r="T2479" s="122"/>
      <c r="U2479" s="315"/>
      <c r="V2479" s="260">
        <f t="shared" ca="1" si="46"/>
        <v>0</v>
      </c>
      <c r="W2479" s="348" t="str">
        <f>IF(板块成分!B2481="","",板块成分!B2481)</f>
        <v>301048.SZ</v>
      </c>
      <c r="X2479" s="276" t="str">
        <f>[1]!S_Info_Name(W2479)</f>
        <v>金鹰重工</v>
      </c>
      <c r="Y2479" s="276" t="str">
        <f ca="1">IF($Y$3="申万一级行业",[1]!s_info_industry_sw_2021(W2479,公司分析!D$5,1),IF($Y$3="申万二级行业",[1]!s_info_industry_sw_2021(W2479,公司分析!D$5,2),IF($Y$3="申万三级行业",[1]!s_info_industry_sw_2021(W2479,公司分析!D$5,3),IF($Y$3="wind一级行业",[1]!s_info_industry_gics(W2479,1),IF($Y$3="wind二级行业",[1]!s_info_industry_gics(W2479,2),IF($Y$3="wind三级行业",[1]!s_info_industry_gics(W2479,3),IF($Y$3="wind四级行业",[1]!s_info_industry_gics(W2479,4),IF($Y$3="证监会门类行业",[1]!s_info_industry_csrc12_n(W2479,公司分析!D$5,1),""))))))))</f>
        <v>轨交设备Ⅱ</v>
      </c>
      <c r="Z2479" s="302" t="str">
        <f ca="1">IF(Y2479=行业比较!$E$6,ROW(),"")</f>
        <v/>
      </c>
      <c r="AA2479" s="122"/>
      <c r="AB2479" s="122"/>
      <c r="AC2479" s="122"/>
      <c r="AD2479" s="122"/>
      <c r="AE2479" s="122"/>
      <c r="AF2479" s="122"/>
      <c r="AG2479" s="122"/>
      <c r="AH2479" s="122"/>
      <c r="AI2479" s="122"/>
      <c r="AJ2479" s="122"/>
      <c r="AK2479" s="122"/>
      <c r="AL2479" s="122"/>
      <c r="AM2479" s="122"/>
      <c r="AN2479" s="122"/>
      <c r="AO2479" s="122"/>
      <c r="AP2479" s="122"/>
    </row>
    <row r="2480" spans="2:42">
      <c r="B2480" s="122"/>
      <c r="C2480" s="122"/>
      <c r="D2480" s="122"/>
      <c r="E2480" s="122"/>
      <c r="F2480" s="122"/>
      <c r="G2480" s="122"/>
      <c r="H2480" s="122"/>
      <c r="I2480" s="275"/>
      <c r="J2480" s="130"/>
      <c r="K2480" s="130"/>
      <c r="L2480" s="130"/>
      <c r="M2480" s="130"/>
      <c r="N2480" s="291"/>
      <c r="O2480" s="291"/>
      <c r="P2480" s="122"/>
      <c r="Q2480" s="122"/>
      <c r="R2480" s="122"/>
      <c r="S2480" s="122"/>
      <c r="T2480" s="122"/>
      <c r="U2480" s="315"/>
      <c r="V2480" s="260">
        <f t="shared" ca="1" si="46"/>
        <v>0</v>
      </c>
      <c r="W2480" s="348" t="str">
        <f>IF(板块成分!B2482="","",板块成分!B2482)</f>
        <v>301049.SZ</v>
      </c>
      <c r="X2480" s="276" t="str">
        <f>[1]!S_Info_Name(W2480)</f>
        <v>超越科技</v>
      </c>
      <c r="Y2480" s="276" t="str">
        <f ca="1">IF($Y$3="申万一级行业",[1]!s_info_industry_sw_2021(W2480,公司分析!D$5,1),IF($Y$3="申万二级行业",[1]!s_info_industry_sw_2021(W2480,公司分析!D$5,2),IF($Y$3="申万三级行业",[1]!s_info_industry_sw_2021(W2480,公司分析!D$5,3),IF($Y$3="wind一级行业",[1]!s_info_industry_gics(W2480,1),IF($Y$3="wind二级行业",[1]!s_info_industry_gics(W2480,2),IF($Y$3="wind三级行业",[1]!s_info_industry_gics(W2480,3),IF($Y$3="wind四级行业",[1]!s_info_industry_gics(W2480,4),IF($Y$3="证监会门类行业",[1]!s_info_industry_csrc12_n(W2480,公司分析!D$5,1),""))))))))</f>
        <v>环境治理</v>
      </c>
      <c r="Z2480" s="302" t="str">
        <f ca="1">IF(Y2480=行业比较!$E$6,ROW(),"")</f>
        <v/>
      </c>
      <c r="AA2480" s="122"/>
      <c r="AB2480" s="122"/>
      <c r="AC2480" s="122"/>
      <c r="AD2480" s="122"/>
      <c r="AE2480" s="122"/>
      <c r="AF2480" s="122"/>
      <c r="AG2480" s="122"/>
      <c r="AH2480" s="122"/>
      <c r="AI2480" s="122"/>
      <c r="AJ2480" s="122"/>
      <c r="AK2480" s="122"/>
      <c r="AL2480" s="122"/>
      <c r="AM2480" s="122"/>
      <c r="AN2480" s="122"/>
      <c r="AO2480" s="122"/>
      <c r="AP2480" s="122"/>
    </row>
    <row r="2481" spans="2:42">
      <c r="B2481" s="122"/>
      <c r="C2481" s="122"/>
      <c r="D2481" s="122"/>
      <c r="E2481" s="122"/>
      <c r="F2481" s="122"/>
      <c r="G2481" s="122"/>
      <c r="H2481" s="122"/>
      <c r="I2481" s="275"/>
      <c r="J2481" s="130"/>
      <c r="K2481" s="130"/>
      <c r="L2481" s="130"/>
      <c r="M2481" s="130"/>
      <c r="N2481" s="291"/>
      <c r="O2481" s="291"/>
      <c r="P2481" s="122"/>
      <c r="Q2481" s="122"/>
      <c r="R2481" s="122"/>
      <c r="S2481" s="122"/>
      <c r="T2481" s="122"/>
      <c r="U2481" s="315"/>
      <c r="V2481" s="260">
        <f t="shared" ca="1" si="46"/>
        <v>0</v>
      </c>
      <c r="W2481" s="348" t="str">
        <f>IF(板块成分!B2483="","",板块成分!B2483)</f>
        <v>301050.SZ</v>
      </c>
      <c r="X2481" s="276" t="str">
        <f>[1]!S_Info_Name(W2481)</f>
        <v>雷电微力</v>
      </c>
      <c r="Y2481" s="276" t="str">
        <f ca="1">IF($Y$3="申万一级行业",[1]!s_info_industry_sw_2021(W2481,公司分析!D$5,1),IF($Y$3="申万二级行业",[1]!s_info_industry_sw_2021(W2481,公司分析!D$5,2),IF($Y$3="申万三级行业",[1]!s_info_industry_sw_2021(W2481,公司分析!D$5,3),IF($Y$3="wind一级行业",[1]!s_info_industry_gics(W2481,1),IF($Y$3="wind二级行业",[1]!s_info_industry_gics(W2481,2),IF($Y$3="wind三级行业",[1]!s_info_industry_gics(W2481,3),IF($Y$3="wind四级行业",[1]!s_info_industry_gics(W2481,4),IF($Y$3="证监会门类行业",[1]!s_info_industry_csrc12_n(W2481,公司分析!D$5,1),""))))))))</f>
        <v>军工电子Ⅱ</v>
      </c>
      <c r="Z2481" s="302" t="str">
        <f ca="1">IF(Y2481=行业比较!$E$6,ROW(),"")</f>
        <v/>
      </c>
      <c r="AA2481" s="122"/>
      <c r="AB2481" s="122"/>
      <c r="AC2481" s="122"/>
      <c r="AD2481" s="122"/>
      <c r="AE2481" s="122"/>
      <c r="AF2481" s="122"/>
      <c r="AG2481" s="122"/>
      <c r="AH2481" s="122"/>
      <c r="AI2481" s="122"/>
      <c r="AJ2481" s="122"/>
      <c r="AK2481" s="122"/>
      <c r="AL2481" s="122"/>
      <c r="AM2481" s="122"/>
      <c r="AN2481" s="122"/>
      <c r="AO2481" s="122"/>
      <c r="AP2481" s="122"/>
    </row>
    <row r="2482" spans="2:42">
      <c r="B2482" s="122"/>
      <c r="C2482" s="122"/>
      <c r="D2482" s="122"/>
      <c r="E2482" s="122"/>
      <c r="F2482" s="122"/>
      <c r="G2482" s="122"/>
      <c r="H2482" s="122"/>
      <c r="I2482" s="275"/>
      <c r="J2482" s="130"/>
      <c r="K2482" s="130"/>
      <c r="L2482" s="130"/>
      <c r="M2482" s="130"/>
      <c r="N2482" s="291"/>
      <c r="O2482" s="291"/>
      <c r="P2482" s="122"/>
      <c r="Q2482" s="122"/>
      <c r="R2482" s="122"/>
      <c r="S2482" s="122"/>
      <c r="T2482" s="122"/>
      <c r="U2482" s="315"/>
      <c r="V2482" s="260">
        <f t="shared" ca="1" si="46"/>
        <v>0</v>
      </c>
      <c r="W2482" s="348" t="str">
        <f>IF(板块成分!B2484="","",板块成分!B2484)</f>
        <v>301051.SZ</v>
      </c>
      <c r="X2482" s="276" t="str">
        <f>[1]!S_Info_Name(W2482)</f>
        <v>信濠光电</v>
      </c>
      <c r="Y2482" s="276" t="str">
        <f ca="1">IF($Y$3="申万一级行业",[1]!s_info_industry_sw_2021(W2482,公司分析!D$5,1),IF($Y$3="申万二级行业",[1]!s_info_industry_sw_2021(W2482,公司分析!D$5,2),IF($Y$3="申万三级行业",[1]!s_info_industry_sw_2021(W2482,公司分析!D$5,3),IF($Y$3="wind一级行业",[1]!s_info_industry_gics(W2482,1),IF($Y$3="wind二级行业",[1]!s_info_industry_gics(W2482,2),IF($Y$3="wind三级行业",[1]!s_info_industry_gics(W2482,3),IF($Y$3="wind四级行业",[1]!s_info_industry_gics(W2482,4),IF($Y$3="证监会门类行业",[1]!s_info_industry_csrc12_n(W2482,公司分析!D$5,1),""))))))))</f>
        <v>消费电子</v>
      </c>
      <c r="Z2482" s="302" t="str">
        <f ca="1">IF(Y2482=行业比较!$E$6,ROW(),"")</f>
        <v/>
      </c>
      <c r="AA2482" s="122"/>
      <c r="AB2482" s="122"/>
      <c r="AC2482" s="122"/>
      <c r="AD2482" s="122"/>
      <c r="AE2482" s="122"/>
      <c r="AF2482" s="122"/>
      <c r="AG2482" s="122"/>
      <c r="AH2482" s="122"/>
      <c r="AI2482" s="122"/>
      <c r="AJ2482" s="122"/>
      <c r="AK2482" s="122"/>
      <c r="AL2482" s="122"/>
      <c r="AM2482" s="122"/>
      <c r="AN2482" s="122"/>
      <c r="AO2482" s="122"/>
      <c r="AP2482" s="122"/>
    </row>
    <row r="2483" spans="2:42">
      <c r="B2483" s="122"/>
      <c r="C2483" s="122"/>
      <c r="D2483" s="122"/>
      <c r="E2483" s="122"/>
      <c r="F2483" s="122"/>
      <c r="G2483" s="122"/>
      <c r="H2483" s="122"/>
      <c r="I2483" s="275"/>
      <c r="J2483" s="130"/>
      <c r="K2483" s="130"/>
      <c r="L2483" s="130"/>
      <c r="M2483" s="130"/>
      <c r="N2483" s="291"/>
      <c r="O2483" s="291"/>
      <c r="P2483" s="122"/>
      <c r="Q2483" s="122"/>
      <c r="R2483" s="122"/>
      <c r="S2483" s="122"/>
      <c r="T2483" s="122"/>
      <c r="U2483" s="315"/>
      <c r="V2483" s="260">
        <f t="shared" ca="1" si="46"/>
        <v>0</v>
      </c>
      <c r="W2483" s="348" t="str">
        <f>IF(板块成分!B2485="","",板块成分!B2485)</f>
        <v>301052.SZ</v>
      </c>
      <c r="X2483" s="276" t="str">
        <f>[1]!S_Info_Name(W2483)</f>
        <v>果麦文化</v>
      </c>
      <c r="Y2483" s="276" t="str">
        <f ca="1">IF($Y$3="申万一级行业",[1]!s_info_industry_sw_2021(W2483,公司分析!D$5,1),IF($Y$3="申万二级行业",[1]!s_info_industry_sw_2021(W2483,公司分析!D$5,2),IF($Y$3="申万三级行业",[1]!s_info_industry_sw_2021(W2483,公司分析!D$5,3),IF($Y$3="wind一级行业",[1]!s_info_industry_gics(W2483,1),IF($Y$3="wind二级行业",[1]!s_info_industry_gics(W2483,2),IF($Y$3="wind三级行业",[1]!s_info_industry_gics(W2483,3),IF($Y$3="wind四级行业",[1]!s_info_industry_gics(W2483,4),IF($Y$3="证监会门类行业",[1]!s_info_industry_csrc12_n(W2483,公司分析!D$5,1),""))))))))</f>
        <v>出版</v>
      </c>
      <c r="Z2483" s="302" t="str">
        <f ca="1">IF(Y2483=行业比较!$E$6,ROW(),"")</f>
        <v/>
      </c>
      <c r="AA2483" s="122"/>
      <c r="AB2483" s="122"/>
      <c r="AC2483" s="122"/>
      <c r="AD2483" s="122"/>
      <c r="AE2483" s="122"/>
      <c r="AF2483" s="122"/>
      <c r="AG2483" s="122"/>
      <c r="AH2483" s="122"/>
      <c r="AI2483" s="122"/>
      <c r="AJ2483" s="122"/>
      <c r="AK2483" s="122"/>
      <c r="AL2483" s="122"/>
      <c r="AM2483" s="122"/>
      <c r="AN2483" s="122"/>
      <c r="AO2483" s="122"/>
      <c r="AP2483" s="122"/>
    </row>
    <row r="2484" spans="2:42">
      <c r="B2484" s="122"/>
      <c r="C2484" s="122"/>
      <c r="D2484" s="122"/>
      <c r="E2484" s="122"/>
      <c r="F2484" s="122"/>
      <c r="G2484" s="122"/>
      <c r="H2484" s="122"/>
      <c r="I2484" s="275"/>
      <c r="J2484" s="130"/>
      <c r="K2484" s="130"/>
      <c r="L2484" s="130"/>
      <c r="M2484" s="130"/>
      <c r="N2484" s="291"/>
      <c r="O2484" s="291"/>
      <c r="P2484" s="122"/>
      <c r="Q2484" s="122"/>
      <c r="R2484" s="122"/>
      <c r="S2484" s="122"/>
      <c r="T2484" s="122"/>
      <c r="U2484" s="315"/>
      <c r="V2484" s="260">
        <f t="shared" ca="1" si="46"/>
        <v>0</v>
      </c>
      <c r="W2484" s="348" t="str">
        <f>IF(板块成分!B2486="","",板块成分!B2486)</f>
        <v>301053.SZ</v>
      </c>
      <c r="X2484" s="276" t="str">
        <f>[1]!S_Info_Name(W2484)</f>
        <v>远信工业</v>
      </c>
      <c r="Y2484" s="276" t="str">
        <f ca="1">IF($Y$3="申万一级行业",[1]!s_info_industry_sw_2021(W2484,公司分析!D$5,1),IF($Y$3="申万二级行业",[1]!s_info_industry_sw_2021(W2484,公司分析!D$5,2),IF($Y$3="申万三级行业",[1]!s_info_industry_sw_2021(W2484,公司分析!D$5,3),IF($Y$3="wind一级行业",[1]!s_info_industry_gics(W2484,1),IF($Y$3="wind二级行业",[1]!s_info_industry_gics(W2484,2),IF($Y$3="wind三级行业",[1]!s_info_industry_gics(W2484,3),IF($Y$3="wind四级行业",[1]!s_info_industry_gics(W2484,4),IF($Y$3="证监会门类行业",[1]!s_info_industry_csrc12_n(W2484,公司分析!D$5,1),""))))))))</f>
        <v>专用设备</v>
      </c>
      <c r="Z2484" s="302" t="str">
        <f ca="1">IF(Y2484=行业比较!$E$6,ROW(),"")</f>
        <v/>
      </c>
      <c r="AA2484" s="122"/>
      <c r="AB2484" s="122"/>
      <c r="AC2484" s="122"/>
      <c r="AD2484" s="122"/>
      <c r="AE2484" s="122"/>
      <c r="AF2484" s="122"/>
      <c r="AG2484" s="122"/>
      <c r="AH2484" s="122"/>
      <c r="AI2484" s="122"/>
      <c r="AJ2484" s="122"/>
      <c r="AK2484" s="122"/>
      <c r="AL2484" s="122"/>
      <c r="AM2484" s="122"/>
      <c r="AN2484" s="122"/>
      <c r="AO2484" s="122"/>
      <c r="AP2484" s="122"/>
    </row>
    <row r="2485" spans="2:42">
      <c r="B2485" s="122"/>
      <c r="C2485" s="122"/>
      <c r="D2485" s="122"/>
      <c r="E2485" s="122"/>
      <c r="F2485" s="122"/>
      <c r="G2485" s="122"/>
      <c r="H2485" s="122"/>
      <c r="I2485" s="275"/>
      <c r="J2485" s="130"/>
      <c r="K2485" s="130"/>
      <c r="L2485" s="130"/>
      <c r="M2485" s="130"/>
      <c r="N2485" s="291"/>
      <c r="O2485" s="291"/>
      <c r="P2485" s="122"/>
      <c r="Q2485" s="122"/>
      <c r="R2485" s="122"/>
      <c r="S2485" s="122"/>
      <c r="T2485" s="122"/>
      <c r="U2485" s="315"/>
      <c r="V2485" s="260">
        <f t="shared" ca="1" si="46"/>
        <v>0</v>
      </c>
      <c r="W2485" s="348" t="str">
        <f>IF(板块成分!B2487="","",板块成分!B2487)</f>
        <v>301055.SZ</v>
      </c>
      <c r="X2485" s="276" t="str">
        <f>[1]!S_Info_Name(W2485)</f>
        <v>张小泉</v>
      </c>
      <c r="Y2485" s="276" t="str">
        <f ca="1">IF($Y$3="申万一级行业",[1]!s_info_industry_sw_2021(W2485,公司分析!D$5,1),IF($Y$3="申万二级行业",[1]!s_info_industry_sw_2021(W2485,公司分析!D$5,2),IF($Y$3="申万三级行业",[1]!s_info_industry_sw_2021(W2485,公司分析!D$5,3),IF($Y$3="wind一级行业",[1]!s_info_industry_gics(W2485,1),IF($Y$3="wind二级行业",[1]!s_info_industry_gics(W2485,2),IF($Y$3="wind三级行业",[1]!s_info_industry_gics(W2485,3),IF($Y$3="wind四级行业",[1]!s_info_industry_gics(W2485,4),IF($Y$3="证监会门类行业",[1]!s_info_industry_csrc12_n(W2485,公司分析!D$5,1),""))))))))</f>
        <v>家居用品</v>
      </c>
      <c r="Z2485" s="302" t="str">
        <f ca="1">IF(Y2485=行业比较!$E$6,ROW(),"")</f>
        <v/>
      </c>
      <c r="AA2485" s="122"/>
      <c r="AB2485" s="122"/>
      <c r="AC2485" s="122"/>
      <c r="AD2485" s="122"/>
      <c r="AE2485" s="122"/>
      <c r="AF2485" s="122"/>
      <c r="AG2485" s="122"/>
      <c r="AH2485" s="122"/>
      <c r="AI2485" s="122"/>
      <c r="AJ2485" s="122"/>
      <c r="AK2485" s="122"/>
      <c r="AL2485" s="122"/>
      <c r="AM2485" s="122"/>
      <c r="AN2485" s="122"/>
      <c r="AO2485" s="122"/>
      <c r="AP2485" s="122"/>
    </row>
    <row r="2486" spans="2:42">
      <c r="B2486" s="122"/>
      <c r="C2486" s="122"/>
      <c r="D2486" s="122"/>
      <c r="E2486" s="122"/>
      <c r="F2486" s="122"/>
      <c r="G2486" s="122"/>
      <c r="H2486" s="122"/>
      <c r="I2486" s="275"/>
      <c r="J2486" s="130"/>
      <c r="K2486" s="130"/>
      <c r="L2486" s="130"/>
      <c r="M2486" s="130"/>
      <c r="N2486" s="291"/>
      <c r="O2486" s="291"/>
      <c r="P2486" s="122"/>
      <c r="Q2486" s="122"/>
      <c r="R2486" s="122"/>
      <c r="S2486" s="122"/>
      <c r="T2486" s="122"/>
      <c r="U2486" s="315"/>
      <c r="V2486" s="260">
        <f t="shared" ca="1" si="46"/>
        <v>0</v>
      </c>
      <c r="W2486" s="348" t="str">
        <f>IF(板块成分!B2488="","",板块成分!B2488)</f>
        <v>301056.SZ</v>
      </c>
      <c r="X2486" s="276" t="str">
        <f>[1]!S_Info_Name(W2486)</f>
        <v>森赫股份</v>
      </c>
      <c r="Y2486" s="276" t="str">
        <f ca="1">IF($Y$3="申万一级行业",[1]!s_info_industry_sw_2021(W2486,公司分析!D$5,1),IF($Y$3="申万二级行业",[1]!s_info_industry_sw_2021(W2486,公司分析!D$5,2),IF($Y$3="申万三级行业",[1]!s_info_industry_sw_2021(W2486,公司分析!D$5,3),IF($Y$3="wind一级行业",[1]!s_info_industry_gics(W2486,1),IF($Y$3="wind二级行业",[1]!s_info_industry_gics(W2486,2),IF($Y$3="wind三级行业",[1]!s_info_industry_gics(W2486,3),IF($Y$3="wind四级行业",[1]!s_info_industry_gics(W2486,4),IF($Y$3="证监会门类行业",[1]!s_info_industry_csrc12_n(W2486,公司分析!D$5,1),""))))))))</f>
        <v>专用设备</v>
      </c>
      <c r="Z2486" s="302" t="str">
        <f ca="1">IF(Y2486=行业比较!$E$6,ROW(),"")</f>
        <v/>
      </c>
      <c r="AA2486" s="122"/>
      <c r="AB2486" s="122"/>
      <c r="AC2486" s="122"/>
      <c r="AD2486" s="122"/>
      <c r="AE2486" s="122"/>
      <c r="AF2486" s="122"/>
      <c r="AG2486" s="122"/>
      <c r="AH2486" s="122"/>
      <c r="AI2486" s="122"/>
      <c r="AJ2486" s="122"/>
      <c r="AK2486" s="122"/>
      <c r="AL2486" s="122"/>
      <c r="AM2486" s="122"/>
      <c r="AN2486" s="122"/>
      <c r="AO2486" s="122"/>
      <c r="AP2486" s="122"/>
    </row>
    <row r="2487" spans="2:42">
      <c r="B2487" s="122"/>
      <c r="C2487" s="122"/>
      <c r="D2487" s="122"/>
      <c r="E2487" s="122"/>
      <c r="F2487" s="122"/>
      <c r="G2487" s="122"/>
      <c r="H2487" s="122"/>
      <c r="I2487" s="275"/>
      <c r="J2487" s="130"/>
      <c r="K2487" s="130"/>
      <c r="L2487" s="130"/>
      <c r="M2487" s="130"/>
      <c r="N2487" s="291"/>
      <c r="O2487" s="291"/>
      <c r="P2487" s="122"/>
      <c r="Q2487" s="122"/>
      <c r="R2487" s="122"/>
      <c r="S2487" s="122"/>
      <c r="T2487" s="122"/>
      <c r="U2487" s="315"/>
      <c r="V2487" s="260">
        <f t="shared" ca="1" si="46"/>
        <v>0</v>
      </c>
      <c r="W2487" s="348" t="str">
        <f>IF(板块成分!B2489="","",板块成分!B2489)</f>
        <v>301057.SZ</v>
      </c>
      <c r="X2487" s="276" t="str">
        <f>[1]!S_Info_Name(W2487)</f>
        <v>汇隆新材</v>
      </c>
      <c r="Y2487" s="276" t="str">
        <f ca="1">IF($Y$3="申万一级行业",[1]!s_info_industry_sw_2021(W2487,公司分析!D$5,1),IF($Y$3="申万二级行业",[1]!s_info_industry_sw_2021(W2487,公司分析!D$5,2),IF($Y$3="申万三级行业",[1]!s_info_industry_sw_2021(W2487,公司分析!D$5,3),IF($Y$3="wind一级行业",[1]!s_info_industry_gics(W2487,1),IF($Y$3="wind二级行业",[1]!s_info_industry_gics(W2487,2),IF($Y$3="wind三级行业",[1]!s_info_industry_gics(W2487,3),IF($Y$3="wind四级行业",[1]!s_info_industry_gics(W2487,4),IF($Y$3="证监会门类行业",[1]!s_info_industry_csrc12_n(W2487,公司分析!D$5,1),""))))))))</f>
        <v>化学纤维</v>
      </c>
      <c r="Z2487" s="302" t="str">
        <f ca="1">IF(Y2487=行业比较!$E$6,ROW(),"")</f>
        <v/>
      </c>
      <c r="AA2487" s="122"/>
      <c r="AB2487" s="122"/>
      <c r="AC2487" s="122"/>
      <c r="AD2487" s="122"/>
      <c r="AE2487" s="122"/>
      <c r="AF2487" s="122"/>
      <c r="AG2487" s="122"/>
      <c r="AH2487" s="122"/>
      <c r="AI2487" s="122"/>
      <c r="AJ2487" s="122"/>
      <c r="AK2487" s="122"/>
      <c r="AL2487" s="122"/>
      <c r="AM2487" s="122"/>
      <c r="AN2487" s="122"/>
      <c r="AO2487" s="122"/>
      <c r="AP2487" s="122"/>
    </row>
    <row r="2488" spans="2:42">
      <c r="B2488" s="122"/>
      <c r="C2488" s="122"/>
      <c r="D2488" s="122"/>
      <c r="E2488" s="122"/>
      <c r="F2488" s="122"/>
      <c r="G2488" s="122"/>
      <c r="H2488" s="122"/>
      <c r="I2488" s="275"/>
      <c r="J2488" s="130"/>
      <c r="K2488" s="130"/>
      <c r="L2488" s="130"/>
      <c r="M2488" s="130"/>
      <c r="N2488" s="291"/>
      <c r="O2488" s="291"/>
      <c r="P2488" s="122"/>
      <c r="Q2488" s="122"/>
      <c r="R2488" s="122"/>
      <c r="S2488" s="122"/>
      <c r="T2488" s="122"/>
      <c r="U2488" s="315"/>
      <c r="V2488" s="260">
        <f t="shared" ca="1" si="46"/>
        <v>0</v>
      </c>
      <c r="W2488" s="348" t="str">
        <f>IF(板块成分!B2490="","",板块成分!B2490)</f>
        <v>301058.SZ</v>
      </c>
      <c r="X2488" s="276" t="str">
        <f>[1]!S_Info_Name(W2488)</f>
        <v>中粮科工</v>
      </c>
      <c r="Y2488" s="276" t="str">
        <f ca="1">IF($Y$3="申万一级行业",[1]!s_info_industry_sw_2021(W2488,公司分析!D$5,1),IF($Y$3="申万二级行业",[1]!s_info_industry_sw_2021(W2488,公司分析!D$5,2),IF($Y$3="申万三级行业",[1]!s_info_industry_sw_2021(W2488,公司分析!D$5,3),IF($Y$3="wind一级行业",[1]!s_info_industry_gics(W2488,1),IF($Y$3="wind二级行业",[1]!s_info_industry_gics(W2488,2),IF($Y$3="wind三级行业",[1]!s_info_industry_gics(W2488,3),IF($Y$3="wind四级行业",[1]!s_info_industry_gics(W2488,4),IF($Y$3="证监会门类行业",[1]!s_info_industry_csrc12_n(W2488,公司分析!D$5,1),""))))))))</f>
        <v>工程咨询服务Ⅱ</v>
      </c>
      <c r="Z2488" s="302" t="str">
        <f ca="1">IF(Y2488=行业比较!$E$6,ROW(),"")</f>
        <v/>
      </c>
      <c r="AA2488" s="122"/>
      <c r="AB2488" s="122"/>
      <c r="AC2488" s="122"/>
      <c r="AD2488" s="122"/>
      <c r="AE2488" s="122"/>
      <c r="AF2488" s="122"/>
      <c r="AG2488" s="122"/>
      <c r="AH2488" s="122"/>
      <c r="AI2488" s="122"/>
      <c r="AJ2488" s="122"/>
      <c r="AK2488" s="122"/>
      <c r="AL2488" s="122"/>
      <c r="AM2488" s="122"/>
      <c r="AN2488" s="122"/>
      <c r="AO2488" s="122"/>
      <c r="AP2488" s="122"/>
    </row>
    <row r="2489" spans="2:42">
      <c r="B2489" s="122"/>
      <c r="C2489" s="122"/>
      <c r="D2489" s="122"/>
      <c r="E2489" s="122"/>
      <c r="F2489" s="122"/>
      <c r="G2489" s="122"/>
      <c r="H2489" s="122"/>
      <c r="I2489" s="275"/>
      <c r="J2489" s="130"/>
      <c r="K2489" s="130"/>
      <c r="L2489" s="130"/>
      <c r="M2489" s="130"/>
      <c r="N2489" s="291"/>
      <c r="O2489" s="291"/>
      <c r="P2489" s="122"/>
      <c r="Q2489" s="122"/>
      <c r="R2489" s="122"/>
      <c r="S2489" s="122"/>
      <c r="T2489" s="122"/>
      <c r="U2489" s="315"/>
      <c r="V2489" s="260">
        <f t="shared" ca="1" si="46"/>
        <v>0</v>
      </c>
      <c r="W2489" s="348" t="str">
        <f>IF(板块成分!B2491="","",板块成分!B2491)</f>
        <v>301059.SZ</v>
      </c>
      <c r="X2489" s="276" t="str">
        <f>[1]!S_Info_Name(W2489)</f>
        <v>金三江</v>
      </c>
      <c r="Y2489" s="276" t="str">
        <f ca="1">IF($Y$3="申万一级行业",[1]!s_info_industry_sw_2021(W2489,公司分析!D$5,1),IF($Y$3="申万二级行业",[1]!s_info_industry_sw_2021(W2489,公司分析!D$5,2),IF($Y$3="申万三级行业",[1]!s_info_industry_sw_2021(W2489,公司分析!D$5,3),IF($Y$3="wind一级行业",[1]!s_info_industry_gics(W2489,1),IF($Y$3="wind二级行业",[1]!s_info_industry_gics(W2489,2),IF($Y$3="wind三级行业",[1]!s_info_industry_gics(W2489,3),IF($Y$3="wind四级行业",[1]!s_info_industry_gics(W2489,4),IF($Y$3="证监会门类行业",[1]!s_info_industry_csrc12_n(W2489,公司分析!D$5,1),""))))))))</f>
        <v>化学制品</v>
      </c>
      <c r="Z2489" s="302" t="str">
        <f ca="1">IF(Y2489=行业比较!$E$6,ROW(),"")</f>
        <v/>
      </c>
      <c r="AA2489" s="122"/>
      <c r="AB2489" s="122"/>
      <c r="AC2489" s="122"/>
      <c r="AD2489" s="122"/>
      <c r="AE2489" s="122"/>
      <c r="AF2489" s="122"/>
      <c r="AG2489" s="122"/>
      <c r="AH2489" s="122"/>
      <c r="AI2489" s="122"/>
      <c r="AJ2489" s="122"/>
      <c r="AK2489" s="122"/>
      <c r="AL2489" s="122"/>
      <c r="AM2489" s="122"/>
      <c r="AN2489" s="122"/>
      <c r="AO2489" s="122"/>
      <c r="AP2489" s="122"/>
    </row>
    <row r="2490" spans="2:42">
      <c r="B2490" s="122"/>
      <c r="C2490" s="122"/>
      <c r="D2490" s="122"/>
      <c r="E2490" s="122"/>
      <c r="F2490" s="122"/>
      <c r="G2490" s="122"/>
      <c r="H2490" s="122"/>
      <c r="I2490" s="275"/>
      <c r="J2490" s="130"/>
      <c r="K2490" s="130"/>
      <c r="L2490" s="130"/>
      <c r="M2490" s="130"/>
      <c r="N2490" s="291"/>
      <c r="O2490" s="291"/>
      <c r="P2490" s="122"/>
      <c r="Q2490" s="122"/>
      <c r="R2490" s="122"/>
      <c r="S2490" s="122"/>
      <c r="T2490" s="122"/>
      <c r="U2490" s="315"/>
      <c r="V2490" s="260">
        <f t="shared" ca="1" si="46"/>
        <v>0</v>
      </c>
      <c r="W2490" s="348" t="str">
        <f>IF(板块成分!B2492="","",板块成分!B2492)</f>
        <v>301060.SZ</v>
      </c>
      <c r="X2490" s="276" t="str">
        <f>[1]!S_Info_Name(W2490)</f>
        <v>兰卫医学</v>
      </c>
      <c r="Y2490" s="276" t="str">
        <f ca="1">IF($Y$3="申万一级行业",[1]!s_info_industry_sw_2021(W2490,公司分析!D$5,1),IF($Y$3="申万二级行业",[1]!s_info_industry_sw_2021(W2490,公司分析!D$5,2),IF($Y$3="申万三级行业",[1]!s_info_industry_sw_2021(W2490,公司分析!D$5,3),IF($Y$3="wind一级行业",[1]!s_info_industry_gics(W2490,1),IF($Y$3="wind二级行业",[1]!s_info_industry_gics(W2490,2),IF($Y$3="wind三级行业",[1]!s_info_industry_gics(W2490,3),IF($Y$3="wind四级行业",[1]!s_info_industry_gics(W2490,4),IF($Y$3="证监会门类行业",[1]!s_info_industry_csrc12_n(W2490,公司分析!D$5,1),""))))))))</f>
        <v>医疗服务</v>
      </c>
      <c r="Z2490" s="302" t="str">
        <f ca="1">IF(Y2490=行业比较!$E$6,ROW(),"")</f>
        <v/>
      </c>
      <c r="AA2490" s="122"/>
      <c r="AB2490" s="122"/>
      <c r="AC2490" s="122"/>
      <c r="AD2490" s="122"/>
      <c r="AE2490" s="122"/>
      <c r="AF2490" s="122"/>
      <c r="AG2490" s="122"/>
      <c r="AH2490" s="122"/>
      <c r="AI2490" s="122"/>
      <c r="AJ2490" s="122"/>
      <c r="AK2490" s="122"/>
      <c r="AL2490" s="122"/>
      <c r="AM2490" s="122"/>
      <c r="AN2490" s="122"/>
      <c r="AO2490" s="122"/>
      <c r="AP2490" s="122"/>
    </row>
    <row r="2491" spans="2:42">
      <c r="B2491" s="122"/>
      <c r="C2491" s="122"/>
      <c r="D2491" s="122"/>
      <c r="E2491" s="122"/>
      <c r="F2491" s="122"/>
      <c r="G2491" s="122"/>
      <c r="H2491" s="122"/>
      <c r="I2491" s="275"/>
      <c r="J2491" s="130"/>
      <c r="K2491" s="130"/>
      <c r="L2491" s="130"/>
      <c r="M2491" s="130"/>
      <c r="N2491" s="291"/>
      <c r="O2491" s="291"/>
      <c r="P2491" s="122"/>
      <c r="Q2491" s="122"/>
      <c r="R2491" s="122"/>
      <c r="S2491" s="122"/>
      <c r="T2491" s="122"/>
      <c r="U2491" s="315"/>
      <c r="V2491" s="260">
        <f t="shared" ca="1" si="46"/>
        <v>0</v>
      </c>
      <c r="W2491" s="348" t="str">
        <f>IF(板块成分!B2493="","",板块成分!B2493)</f>
        <v>301061.SZ</v>
      </c>
      <c r="X2491" s="276" t="str">
        <f>[1]!S_Info_Name(W2491)</f>
        <v>匠心家居</v>
      </c>
      <c r="Y2491" s="276" t="str">
        <f ca="1">IF($Y$3="申万一级行业",[1]!s_info_industry_sw_2021(W2491,公司分析!D$5,1),IF($Y$3="申万二级行业",[1]!s_info_industry_sw_2021(W2491,公司分析!D$5,2),IF($Y$3="申万三级行业",[1]!s_info_industry_sw_2021(W2491,公司分析!D$5,3),IF($Y$3="wind一级行业",[1]!s_info_industry_gics(W2491,1),IF($Y$3="wind二级行业",[1]!s_info_industry_gics(W2491,2),IF($Y$3="wind三级行业",[1]!s_info_industry_gics(W2491,3),IF($Y$3="wind四级行业",[1]!s_info_industry_gics(W2491,4),IF($Y$3="证监会门类行业",[1]!s_info_industry_csrc12_n(W2491,公司分析!D$5,1),""))))))))</f>
        <v>家居用品</v>
      </c>
      <c r="Z2491" s="302" t="str">
        <f ca="1">IF(Y2491=行业比较!$E$6,ROW(),"")</f>
        <v/>
      </c>
      <c r="AA2491" s="122"/>
      <c r="AB2491" s="122"/>
      <c r="AC2491" s="122"/>
      <c r="AD2491" s="122"/>
      <c r="AE2491" s="122"/>
      <c r="AF2491" s="122"/>
      <c r="AG2491" s="122"/>
      <c r="AH2491" s="122"/>
      <c r="AI2491" s="122"/>
      <c r="AJ2491" s="122"/>
      <c r="AK2491" s="122"/>
      <c r="AL2491" s="122"/>
      <c r="AM2491" s="122"/>
      <c r="AN2491" s="122"/>
      <c r="AO2491" s="122"/>
      <c r="AP2491" s="122"/>
    </row>
    <row r="2492" spans="2:42">
      <c r="B2492" s="122"/>
      <c r="C2492" s="122"/>
      <c r="D2492" s="122"/>
      <c r="E2492" s="122"/>
      <c r="F2492" s="122"/>
      <c r="G2492" s="122"/>
      <c r="H2492" s="122"/>
      <c r="I2492" s="275"/>
      <c r="J2492" s="130"/>
      <c r="K2492" s="130"/>
      <c r="L2492" s="130"/>
      <c r="M2492" s="130"/>
      <c r="N2492" s="291"/>
      <c r="O2492" s="291"/>
      <c r="P2492" s="122"/>
      <c r="Q2492" s="122"/>
      <c r="R2492" s="122"/>
      <c r="S2492" s="122"/>
      <c r="T2492" s="122"/>
      <c r="U2492" s="315"/>
      <c r="V2492" s="260">
        <f t="shared" ca="1" si="46"/>
        <v>0</v>
      </c>
      <c r="W2492" s="348" t="str">
        <f>IF(板块成分!B2494="","",板块成分!B2494)</f>
        <v>301062.SZ</v>
      </c>
      <c r="X2492" s="276" t="str">
        <f>[1]!S_Info_Name(W2492)</f>
        <v>上海艾录</v>
      </c>
      <c r="Y2492" s="276" t="str">
        <f ca="1">IF($Y$3="申万一级行业",[1]!s_info_industry_sw_2021(W2492,公司分析!D$5,1),IF($Y$3="申万二级行业",[1]!s_info_industry_sw_2021(W2492,公司分析!D$5,2),IF($Y$3="申万三级行业",[1]!s_info_industry_sw_2021(W2492,公司分析!D$5,3),IF($Y$3="wind一级行业",[1]!s_info_industry_gics(W2492,1),IF($Y$3="wind二级行业",[1]!s_info_industry_gics(W2492,2),IF($Y$3="wind三级行业",[1]!s_info_industry_gics(W2492,3),IF($Y$3="wind四级行业",[1]!s_info_industry_gics(W2492,4),IF($Y$3="证监会门类行业",[1]!s_info_industry_csrc12_n(W2492,公司分析!D$5,1),""))))))))</f>
        <v>包装印刷</v>
      </c>
      <c r="Z2492" s="302" t="str">
        <f ca="1">IF(Y2492=行业比较!$E$6,ROW(),"")</f>
        <v/>
      </c>
      <c r="AA2492" s="122"/>
      <c r="AB2492" s="122"/>
      <c r="AC2492" s="122"/>
      <c r="AD2492" s="122"/>
      <c r="AE2492" s="122"/>
      <c r="AF2492" s="122"/>
      <c r="AG2492" s="122"/>
      <c r="AH2492" s="122"/>
      <c r="AI2492" s="122"/>
      <c r="AJ2492" s="122"/>
      <c r="AK2492" s="122"/>
      <c r="AL2492" s="122"/>
      <c r="AM2492" s="122"/>
      <c r="AN2492" s="122"/>
      <c r="AO2492" s="122"/>
      <c r="AP2492" s="122"/>
    </row>
    <row r="2493" spans="2:42">
      <c r="B2493" s="122"/>
      <c r="C2493" s="122"/>
      <c r="D2493" s="122"/>
      <c r="E2493" s="122"/>
      <c r="F2493" s="122"/>
      <c r="G2493" s="122"/>
      <c r="H2493" s="122"/>
      <c r="I2493" s="275"/>
      <c r="J2493" s="130"/>
      <c r="K2493" s="130"/>
      <c r="L2493" s="130"/>
      <c r="M2493" s="130"/>
      <c r="N2493" s="291"/>
      <c r="O2493" s="291"/>
      <c r="P2493" s="122"/>
      <c r="Q2493" s="122"/>
      <c r="R2493" s="122"/>
      <c r="S2493" s="122"/>
      <c r="T2493" s="122"/>
      <c r="U2493" s="315"/>
      <c r="V2493" s="260">
        <f t="shared" ca="1" si="46"/>
        <v>0</v>
      </c>
      <c r="W2493" s="348" t="str">
        <f>IF(板块成分!B2495="","",板块成分!B2495)</f>
        <v>301063.SZ</v>
      </c>
      <c r="X2493" s="276" t="str">
        <f>[1]!S_Info_Name(W2493)</f>
        <v>海锅股份</v>
      </c>
      <c r="Y2493" s="276" t="str">
        <f ca="1">IF($Y$3="申万一级行业",[1]!s_info_industry_sw_2021(W2493,公司分析!D$5,1),IF($Y$3="申万二级行业",[1]!s_info_industry_sw_2021(W2493,公司分析!D$5,2),IF($Y$3="申万三级行业",[1]!s_info_industry_sw_2021(W2493,公司分析!D$5,3),IF($Y$3="wind一级行业",[1]!s_info_industry_gics(W2493,1),IF($Y$3="wind二级行业",[1]!s_info_industry_gics(W2493,2),IF($Y$3="wind三级行业",[1]!s_info_industry_gics(W2493,3),IF($Y$3="wind四级行业",[1]!s_info_industry_gics(W2493,4),IF($Y$3="证监会门类行业",[1]!s_info_industry_csrc12_n(W2493,公司分析!D$5,1),""))))))))</f>
        <v>专用设备</v>
      </c>
      <c r="Z2493" s="302" t="str">
        <f ca="1">IF(Y2493=行业比较!$E$6,ROW(),"")</f>
        <v/>
      </c>
      <c r="AA2493" s="122"/>
      <c r="AB2493" s="122"/>
      <c r="AC2493" s="122"/>
      <c r="AD2493" s="122"/>
      <c r="AE2493" s="122"/>
      <c r="AF2493" s="122"/>
      <c r="AG2493" s="122"/>
      <c r="AH2493" s="122"/>
      <c r="AI2493" s="122"/>
      <c r="AJ2493" s="122"/>
      <c r="AK2493" s="122"/>
      <c r="AL2493" s="122"/>
      <c r="AM2493" s="122"/>
      <c r="AN2493" s="122"/>
      <c r="AO2493" s="122"/>
      <c r="AP2493" s="122"/>
    </row>
    <row r="2494" spans="2:42">
      <c r="B2494" s="122"/>
      <c r="C2494" s="122"/>
      <c r="D2494" s="122"/>
      <c r="E2494" s="122"/>
      <c r="F2494" s="122"/>
      <c r="G2494" s="122"/>
      <c r="H2494" s="122"/>
      <c r="I2494" s="275"/>
      <c r="J2494" s="130"/>
      <c r="K2494" s="130"/>
      <c r="L2494" s="130"/>
      <c r="M2494" s="130"/>
      <c r="N2494" s="291"/>
      <c r="O2494" s="291"/>
      <c r="P2494" s="122"/>
      <c r="Q2494" s="122"/>
      <c r="R2494" s="122"/>
      <c r="S2494" s="122"/>
      <c r="T2494" s="122"/>
      <c r="U2494" s="315"/>
      <c r="V2494" s="260">
        <f t="shared" ca="1" si="46"/>
        <v>0</v>
      </c>
      <c r="W2494" s="348" t="str">
        <f>IF(板块成分!B2496="","",板块成分!B2496)</f>
        <v>301065.SZ</v>
      </c>
      <c r="X2494" s="276" t="str">
        <f>[1]!S_Info_Name(W2494)</f>
        <v>本立科技</v>
      </c>
      <c r="Y2494" s="276" t="str">
        <f ca="1">IF($Y$3="申万一级行业",[1]!s_info_industry_sw_2021(W2494,公司分析!D$5,1),IF($Y$3="申万二级行业",[1]!s_info_industry_sw_2021(W2494,公司分析!D$5,2),IF($Y$3="申万三级行业",[1]!s_info_industry_sw_2021(W2494,公司分析!D$5,3),IF($Y$3="wind一级行业",[1]!s_info_industry_gics(W2494,1),IF($Y$3="wind二级行业",[1]!s_info_industry_gics(W2494,2),IF($Y$3="wind三级行业",[1]!s_info_industry_gics(W2494,3),IF($Y$3="wind四级行业",[1]!s_info_industry_gics(W2494,4),IF($Y$3="证监会门类行业",[1]!s_info_industry_csrc12_n(W2494,公司分析!D$5,1),""))))))))</f>
        <v>化学制药</v>
      </c>
      <c r="Z2494" s="302" t="str">
        <f ca="1">IF(Y2494=行业比较!$E$6,ROW(),"")</f>
        <v/>
      </c>
      <c r="AA2494" s="122"/>
      <c r="AB2494" s="122"/>
      <c r="AC2494" s="122"/>
      <c r="AD2494" s="122"/>
      <c r="AE2494" s="122"/>
      <c r="AF2494" s="122"/>
      <c r="AG2494" s="122"/>
      <c r="AH2494" s="122"/>
      <c r="AI2494" s="122"/>
      <c r="AJ2494" s="122"/>
      <c r="AK2494" s="122"/>
      <c r="AL2494" s="122"/>
      <c r="AM2494" s="122"/>
      <c r="AN2494" s="122"/>
      <c r="AO2494" s="122"/>
      <c r="AP2494" s="122"/>
    </row>
    <row r="2495" spans="2:42">
      <c r="B2495" s="122"/>
      <c r="C2495" s="122"/>
      <c r="D2495" s="122"/>
      <c r="E2495" s="122"/>
      <c r="F2495" s="122"/>
      <c r="G2495" s="122"/>
      <c r="H2495" s="122"/>
      <c r="I2495" s="275"/>
      <c r="J2495" s="130"/>
      <c r="K2495" s="130"/>
      <c r="L2495" s="130"/>
      <c r="M2495" s="130"/>
      <c r="N2495" s="291"/>
      <c r="O2495" s="291"/>
      <c r="P2495" s="122"/>
      <c r="Q2495" s="122"/>
      <c r="R2495" s="122"/>
      <c r="S2495" s="122"/>
      <c r="T2495" s="122"/>
      <c r="U2495" s="315"/>
      <c r="V2495" s="260">
        <f t="shared" ca="1" si="46"/>
        <v>0</v>
      </c>
      <c r="W2495" s="348" t="str">
        <f>IF(板块成分!B2497="","",板块成分!B2497)</f>
        <v>301066.SZ</v>
      </c>
      <c r="X2495" s="276" t="str">
        <f>[1]!S_Info_Name(W2495)</f>
        <v>万事利</v>
      </c>
      <c r="Y2495" s="276" t="str">
        <f ca="1">IF($Y$3="申万一级行业",[1]!s_info_industry_sw_2021(W2495,公司分析!D$5,1),IF($Y$3="申万二级行业",[1]!s_info_industry_sw_2021(W2495,公司分析!D$5,2),IF($Y$3="申万三级行业",[1]!s_info_industry_sw_2021(W2495,公司分析!D$5,3),IF($Y$3="wind一级行业",[1]!s_info_industry_gics(W2495,1),IF($Y$3="wind二级行业",[1]!s_info_industry_gics(W2495,2),IF($Y$3="wind三级行业",[1]!s_info_industry_gics(W2495,3),IF($Y$3="wind四级行业",[1]!s_info_industry_gics(W2495,4),IF($Y$3="证监会门类行业",[1]!s_info_industry_csrc12_n(W2495,公司分析!D$5,1),""))))))))</f>
        <v>纺织制造</v>
      </c>
      <c r="Z2495" s="302" t="str">
        <f ca="1">IF(Y2495=行业比较!$E$6,ROW(),"")</f>
        <v/>
      </c>
      <c r="AA2495" s="122"/>
      <c r="AB2495" s="122"/>
      <c r="AC2495" s="122"/>
      <c r="AD2495" s="122"/>
      <c r="AE2495" s="122"/>
      <c r="AF2495" s="122"/>
      <c r="AG2495" s="122"/>
      <c r="AH2495" s="122"/>
      <c r="AI2495" s="122"/>
      <c r="AJ2495" s="122"/>
      <c r="AK2495" s="122"/>
      <c r="AL2495" s="122"/>
      <c r="AM2495" s="122"/>
      <c r="AN2495" s="122"/>
      <c r="AO2495" s="122"/>
      <c r="AP2495" s="122"/>
    </row>
    <row r="2496" spans="2:42">
      <c r="B2496" s="122"/>
      <c r="C2496" s="122"/>
      <c r="D2496" s="122"/>
      <c r="E2496" s="122"/>
      <c r="F2496" s="122"/>
      <c r="G2496" s="122"/>
      <c r="H2496" s="122"/>
      <c r="I2496" s="275"/>
      <c r="J2496" s="130"/>
      <c r="K2496" s="130"/>
      <c r="L2496" s="130"/>
      <c r="M2496" s="130"/>
      <c r="N2496" s="291"/>
      <c r="O2496" s="291"/>
      <c r="P2496" s="122"/>
      <c r="Q2496" s="122"/>
      <c r="R2496" s="122"/>
      <c r="S2496" s="122"/>
      <c r="T2496" s="122"/>
      <c r="U2496" s="315"/>
      <c r="V2496" s="260">
        <f t="shared" ca="1" si="46"/>
        <v>0</v>
      </c>
      <c r="W2496" s="348" t="str">
        <f>IF(板块成分!B2498="","",板块成分!B2498)</f>
        <v>301067.SZ</v>
      </c>
      <c r="X2496" s="276" t="str">
        <f>[1]!S_Info_Name(W2496)</f>
        <v>显盈科技</v>
      </c>
      <c r="Y2496" s="276" t="str">
        <f ca="1">IF($Y$3="申万一级行业",[1]!s_info_industry_sw_2021(W2496,公司分析!D$5,1),IF($Y$3="申万二级行业",[1]!s_info_industry_sw_2021(W2496,公司分析!D$5,2),IF($Y$3="申万三级行业",[1]!s_info_industry_sw_2021(W2496,公司分析!D$5,3),IF($Y$3="wind一级行业",[1]!s_info_industry_gics(W2496,1),IF($Y$3="wind二级行业",[1]!s_info_industry_gics(W2496,2),IF($Y$3="wind三级行业",[1]!s_info_industry_gics(W2496,3),IF($Y$3="wind四级行业",[1]!s_info_industry_gics(W2496,4),IF($Y$3="证监会门类行业",[1]!s_info_industry_csrc12_n(W2496,公司分析!D$5,1),""))))))))</f>
        <v>消费电子</v>
      </c>
      <c r="Z2496" s="302" t="str">
        <f ca="1">IF(Y2496=行业比较!$E$6,ROW(),"")</f>
        <v/>
      </c>
      <c r="AA2496" s="122"/>
      <c r="AB2496" s="122"/>
      <c r="AC2496" s="122"/>
      <c r="AD2496" s="122"/>
      <c r="AE2496" s="122"/>
      <c r="AF2496" s="122"/>
      <c r="AG2496" s="122"/>
      <c r="AH2496" s="122"/>
      <c r="AI2496" s="122"/>
      <c r="AJ2496" s="122"/>
      <c r="AK2496" s="122"/>
      <c r="AL2496" s="122"/>
      <c r="AM2496" s="122"/>
      <c r="AN2496" s="122"/>
      <c r="AO2496" s="122"/>
      <c r="AP2496" s="122"/>
    </row>
    <row r="2497" spans="2:42">
      <c r="B2497" s="122"/>
      <c r="C2497" s="122"/>
      <c r="D2497" s="122"/>
      <c r="E2497" s="122"/>
      <c r="F2497" s="122"/>
      <c r="G2497" s="122"/>
      <c r="H2497" s="122"/>
      <c r="I2497" s="275"/>
      <c r="J2497" s="130"/>
      <c r="K2497" s="130"/>
      <c r="L2497" s="130"/>
      <c r="M2497" s="130"/>
      <c r="N2497" s="291"/>
      <c r="O2497" s="291"/>
      <c r="P2497" s="122"/>
      <c r="Q2497" s="122"/>
      <c r="R2497" s="122"/>
      <c r="S2497" s="122"/>
      <c r="T2497" s="122"/>
      <c r="U2497" s="315"/>
      <c r="V2497" s="260">
        <f t="shared" ca="1" si="46"/>
        <v>0</v>
      </c>
      <c r="W2497" s="348" t="str">
        <f>IF(板块成分!B2499="","",板块成分!B2499)</f>
        <v>301068.SZ</v>
      </c>
      <c r="X2497" s="276" t="str">
        <f>[1]!S_Info_Name(W2497)</f>
        <v>大地海洋</v>
      </c>
      <c r="Y2497" s="276" t="str">
        <f ca="1">IF($Y$3="申万一级行业",[1]!s_info_industry_sw_2021(W2497,公司分析!D$5,1),IF($Y$3="申万二级行业",[1]!s_info_industry_sw_2021(W2497,公司分析!D$5,2),IF($Y$3="申万三级行业",[1]!s_info_industry_sw_2021(W2497,公司分析!D$5,3),IF($Y$3="wind一级行业",[1]!s_info_industry_gics(W2497,1),IF($Y$3="wind二级行业",[1]!s_info_industry_gics(W2497,2),IF($Y$3="wind三级行业",[1]!s_info_industry_gics(W2497,3),IF($Y$3="wind四级行业",[1]!s_info_industry_gics(W2497,4),IF($Y$3="证监会门类行业",[1]!s_info_industry_csrc12_n(W2497,公司分析!D$5,1),""))))))))</f>
        <v>环境治理</v>
      </c>
      <c r="Z2497" s="302" t="str">
        <f ca="1">IF(Y2497=行业比较!$E$6,ROW(),"")</f>
        <v/>
      </c>
      <c r="AA2497" s="122"/>
      <c r="AB2497" s="122"/>
      <c r="AC2497" s="122"/>
      <c r="AD2497" s="122"/>
      <c r="AE2497" s="122"/>
      <c r="AF2497" s="122"/>
      <c r="AG2497" s="122"/>
      <c r="AH2497" s="122"/>
      <c r="AI2497" s="122"/>
      <c r="AJ2497" s="122"/>
      <c r="AK2497" s="122"/>
      <c r="AL2497" s="122"/>
      <c r="AM2497" s="122"/>
      <c r="AN2497" s="122"/>
      <c r="AO2497" s="122"/>
      <c r="AP2497" s="122"/>
    </row>
    <row r="2498" spans="2:42">
      <c r="B2498" s="122"/>
      <c r="C2498" s="122"/>
      <c r="D2498" s="122"/>
      <c r="E2498" s="122"/>
      <c r="F2498" s="122"/>
      <c r="G2498" s="122"/>
      <c r="H2498" s="122"/>
      <c r="I2498" s="275"/>
      <c r="J2498" s="130"/>
      <c r="K2498" s="130"/>
      <c r="L2498" s="130"/>
      <c r="M2498" s="130"/>
      <c r="N2498" s="291"/>
      <c r="O2498" s="291"/>
      <c r="P2498" s="122"/>
      <c r="Q2498" s="122"/>
      <c r="R2498" s="122"/>
      <c r="S2498" s="122"/>
      <c r="T2498" s="122"/>
      <c r="U2498" s="315"/>
      <c r="V2498" s="260">
        <f t="shared" ca="1" si="46"/>
        <v>0</v>
      </c>
      <c r="W2498" s="348" t="str">
        <f>IF(板块成分!B2500="","",板块成分!B2500)</f>
        <v>301069.SZ</v>
      </c>
      <c r="X2498" s="276" t="str">
        <f>[1]!S_Info_Name(W2498)</f>
        <v>凯盛新材</v>
      </c>
      <c r="Y2498" s="276" t="str">
        <f ca="1">IF($Y$3="申万一级行业",[1]!s_info_industry_sw_2021(W2498,公司分析!D$5,1),IF($Y$3="申万二级行业",[1]!s_info_industry_sw_2021(W2498,公司分析!D$5,2),IF($Y$3="申万三级行业",[1]!s_info_industry_sw_2021(W2498,公司分析!D$5,3),IF($Y$3="wind一级行业",[1]!s_info_industry_gics(W2498,1),IF($Y$3="wind二级行业",[1]!s_info_industry_gics(W2498,2),IF($Y$3="wind三级行业",[1]!s_info_industry_gics(W2498,3),IF($Y$3="wind四级行业",[1]!s_info_industry_gics(W2498,4),IF($Y$3="证监会门类行业",[1]!s_info_industry_csrc12_n(W2498,公司分析!D$5,1),""))))))))</f>
        <v>化学原料</v>
      </c>
      <c r="Z2498" s="302" t="str">
        <f ca="1">IF(Y2498=行业比较!$E$6,ROW(),"")</f>
        <v/>
      </c>
      <c r="AA2498" s="122"/>
      <c r="AB2498" s="122"/>
      <c r="AC2498" s="122"/>
      <c r="AD2498" s="122"/>
      <c r="AE2498" s="122"/>
      <c r="AF2498" s="122"/>
      <c r="AG2498" s="122"/>
      <c r="AH2498" s="122"/>
      <c r="AI2498" s="122"/>
      <c r="AJ2498" s="122"/>
      <c r="AK2498" s="122"/>
      <c r="AL2498" s="122"/>
      <c r="AM2498" s="122"/>
      <c r="AN2498" s="122"/>
      <c r="AO2498" s="122"/>
      <c r="AP2498" s="122"/>
    </row>
    <row r="2499" spans="2:42">
      <c r="B2499" s="122"/>
      <c r="C2499" s="122"/>
      <c r="D2499" s="122"/>
      <c r="E2499" s="122"/>
      <c r="F2499" s="122"/>
      <c r="G2499" s="122"/>
      <c r="H2499" s="122"/>
      <c r="I2499" s="275"/>
      <c r="J2499" s="130"/>
      <c r="K2499" s="130"/>
      <c r="L2499" s="130"/>
      <c r="M2499" s="130"/>
      <c r="N2499" s="291"/>
      <c r="O2499" s="291"/>
      <c r="P2499" s="122"/>
      <c r="Q2499" s="122"/>
      <c r="R2499" s="122"/>
      <c r="S2499" s="122"/>
      <c r="T2499" s="122"/>
      <c r="U2499" s="315"/>
      <c r="V2499" s="260">
        <f t="shared" ca="1" si="46"/>
        <v>0</v>
      </c>
      <c r="W2499" s="348" t="str">
        <f>IF(板块成分!B2501="","",板块成分!B2501)</f>
        <v>301070.SZ</v>
      </c>
      <c r="X2499" s="276" t="str">
        <f>[1]!S_Info_Name(W2499)</f>
        <v>开勒股份</v>
      </c>
      <c r="Y2499" s="276" t="str">
        <f ca="1">IF($Y$3="申万一级行业",[1]!s_info_industry_sw_2021(W2499,公司分析!D$5,1),IF($Y$3="申万二级行业",[1]!s_info_industry_sw_2021(W2499,公司分析!D$5,2),IF($Y$3="申万三级行业",[1]!s_info_industry_sw_2021(W2499,公司分析!D$5,3),IF($Y$3="wind一级行业",[1]!s_info_industry_gics(W2499,1),IF($Y$3="wind二级行业",[1]!s_info_industry_gics(W2499,2),IF($Y$3="wind三级行业",[1]!s_info_industry_gics(W2499,3),IF($Y$3="wind四级行业",[1]!s_info_industry_gics(W2499,4),IF($Y$3="证监会门类行业",[1]!s_info_industry_csrc12_n(W2499,公司分析!D$5,1),""))))))))</f>
        <v>通用设备</v>
      </c>
      <c r="Z2499" s="302" t="str">
        <f ca="1">IF(Y2499=行业比较!$E$6,ROW(),"")</f>
        <v/>
      </c>
      <c r="AA2499" s="122"/>
      <c r="AB2499" s="122"/>
      <c r="AC2499" s="122"/>
      <c r="AD2499" s="122"/>
      <c r="AE2499" s="122"/>
      <c r="AF2499" s="122"/>
      <c r="AG2499" s="122"/>
      <c r="AH2499" s="122"/>
      <c r="AI2499" s="122"/>
      <c r="AJ2499" s="122"/>
      <c r="AK2499" s="122"/>
      <c r="AL2499" s="122"/>
      <c r="AM2499" s="122"/>
      <c r="AN2499" s="122"/>
      <c r="AO2499" s="122"/>
      <c r="AP2499" s="122"/>
    </row>
    <row r="2500" spans="2:42">
      <c r="B2500" s="122"/>
      <c r="C2500" s="122"/>
      <c r="D2500" s="122"/>
      <c r="E2500" s="122"/>
      <c r="F2500" s="122"/>
      <c r="G2500" s="122"/>
      <c r="H2500" s="122"/>
      <c r="I2500" s="275"/>
      <c r="J2500" s="130"/>
      <c r="K2500" s="130"/>
      <c r="L2500" s="130"/>
      <c r="M2500" s="130"/>
      <c r="N2500" s="291"/>
      <c r="O2500" s="291"/>
      <c r="P2500" s="122"/>
      <c r="Q2500" s="122"/>
      <c r="R2500" s="122"/>
      <c r="S2500" s="122"/>
      <c r="T2500" s="122"/>
      <c r="U2500" s="315"/>
      <c r="V2500" s="260">
        <f t="shared" ca="1" si="46"/>
        <v>0</v>
      </c>
      <c r="W2500" s="348" t="str">
        <f>IF(板块成分!B2502="","",板块成分!B2502)</f>
        <v>301071.SZ</v>
      </c>
      <c r="X2500" s="276" t="str">
        <f>[1]!S_Info_Name(W2500)</f>
        <v>力量钻石</v>
      </c>
      <c r="Y2500" s="276" t="str">
        <f ca="1">IF($Y$3="申万一级行业",[1]!s_info_industry_sw_2021(W2500,公司分析!D$5,1),IF($Y$3="申万二级行业",[1]!s_info_industry_sw_2021(W2500,公司分析!D$5,2),IF($Y$3="申万三级行业",[1]!s_info_industry_sw_2021(W2500,公司分析!D$5,3),IF($Y$3="wind一级行业",[1]!s_info_industry_gics(W2500,1),IF($Y$3="wind二级行业",[1]!s_info_industry_gics(W2500,2),IF($Y$3="wind三级行业",[1]!s_info_industry_gics(W2500,3),IF($Y$3="wind四级行业",[1]!s_info_industry_gics(W2500,4),IF($Y$3="证监会门类行业",[1]!s_info_industry_csrc12_n(W2500,公司分析!D$5,1),""))))))))</f>
        <v>非金属材料Ⅱ</v>
      </c>
      <c r="Z2500" s="302" t="str">
        <f ca="1">IF(Y2500=行业比较!$E$6,ROW(),"")</f>
        <v/>
      </c>
      <c r="AA2500" s="122"/>
      <c r="AB2500" s="122"/>
      <c r="AC2500" s="122"/>
      <c r="AD2500" s="122"/>
      <c r="AE2500" s="122"/>
      <c r="AF2500" s="122"/>
      <c r="AG2500" s="122"/>
      <c r="AH2500" s="122"/>
      <c r="AI2500" s="122"/>
      <c r="AJ2500" s="122"/>
      <c r="AK2500" s="122"/>
      <c r="AL2500" s="122"/>
      <c r="AM2500" s="122"/>
      <c r="AN2500" s="122"/>
      <c r="AO2500" s="122"/>
      <c r="AP2500" s="122"/>
    </row>
    <row r="2501" spans="2:42">
      <c r="B2501" s="122"/>
      <c r="C2501" s="122"/>
      <c r="D2501" s="122"/>
      <c r="E2501" s="122"/>
      <c r="F2501" s="122"/>
      <c r="G2501" s="122"/>
      <c r="H2501" s="122"/>
      <c r="I2501" s="275"/>
      <c r="J2501" s="130"/>
      <c r="K2501" s="130"/>
      <c r="L2501" s="130"/>
      <c r="M2501" s="130"/>
      <c r="N2501" s="291"/>
      <c r="O2501" s="291"/>
      <c r="P2501" s="122"/>
      <c r="Q2501" s="122"/>
      <c r="R2501" s="122"/>
      <c r="S2501" s="122"/>
      <c r="T2501" s="122"/>
      <c r="U2501" s="315"/>
      <c r="V2501" s="260">
        <f t="shared" ref="V2501:V2564" ca="1" si="47">IF(Z2501="",0,RANK(Z2501,Z:Z,1))</f>
        <v>0</v>
      </c>
      <c r="W2501" s="348" t="str">
        <f>IF(板块成分!B2503="","",板块成分!B2503)</f>
        <v>301072.SZ</v>
      </c>
      <c r="X2501" s="276" t="str">
        <f>[1]!S_Info_Name(W2501)</f>
        <v>中捷精工</v>
      </c>
      <c r="Y2501" s="276" t="str">
        <f ca="1">IF($Y$3="申万一级行业",[1]!s_info_industry_sw_2021(W2501,公司分析!D$5,1),IF($Y$3="申万二级行业",[1]!s_info_industry_sw_2021(W2501,公司分析!D$5,2),IF($Y$3="申万三级行业",[1]!s_info_industry_sw_2021(W2501,公司分析!D$5,3),IF($Y$3="wind一级行业",[1]!s_info_industry_gics(W2501,1),IF($Y$3="wind二级行业",[1]!s_info_industry_gics(W2501,2),IF($Y$3="wind三级行业",[1]!s_info_industry_gics(W2501,3),IF($Y$3="wind四级行业",[1]!s_info_industry_gics(W2501,4),IF($Y$3="证监会门类行业",[1]!s_info_industry_csrc12_n(W2501,公司分析!D$5,1),""))))))))</f>
        <v>汽车零部件</v>
      </c>
      <c r="Z2501" s="302" t="str">
        <f ca="1">IF(Y2501=行业比较!$E$6,ROW(),"")</f>
        <v/>
      </c>
      <c r="AA2501" s="122"/>
      <c r="AB2501" s="122"/>
      <c r="AC2501" s="122"/>
      <c r="AD2501" s="122"/>
      <c r="AE2501" s="122"/>
      <c r="AF2501" s="122"/>
      <c r="AG2501" s="122"/>
      <c r="AH2501" s="122"/>
      <c r="AI2501" s="122"/>
      <c r="AJ2501" s="122"/>
      <c r="AK2501" s="122"/>
      <c r="AL2501" s="122"/>
      <c r="AM2501" s="122"/>
      <c r="AN2501" s="122"/>
      <c r="AO2501" s="122"/>
      <c r="AP2501" s="122"/>
    </row>
    <row r="2502" spans="2:42">
      <c r="B2502" s="122"/>
      <c r="C2502" s="122"/>
      <c r="D2502" s="122"/>
      <c r="E2502" s="122"/>
      <c r="F2502" s="122"/>
      <c r="G2502" s="122"/>
      <c r="H2502" s="122"/>
      <c r="I2502" s="275"/>
      <c r="J2502" s="130"/>
      <c r="K2502" s="130"/>
      <c r="L2502" s="130"/>
      <c r="M2502" s="130"/>
      <c r="N2502" s="291"/>
      <c r="O2502" s="291"/>
      <c r="P2502" s="122"/>
      <c r="Q2502" s="122"/>
      <c r="R2502" s="122"/>
      <c r="S2502" s="122"/>
      <c r="T2502" s="122"/>
      <c r="U2502" s="315"/>
      <c r="V2502" s="260">
        <f t="shared" ca="1" si="47"/>
        <v>0</v>
      </c>
      <c r="W2502" s="348" t="str">
        <f>IF(板块成分!B2504="","",板块成分!B2504)</f>
        <v>301073.SZ</v>
      </c>
      <c r="X2502" s="276" t="str">
        <f>[1]!S_Info_Name(W2502)</f>
        <v>君亭酒店</v>
      </c>
      <c r="Y2502" s="276" t="str">
        <f ca="1">IF($Y$3="申万一级行业",[1]!s_info_industry_sw_2021(W2502,公司分析!D$5,1),IF($Y$3="申万二级行业",[1]!s_info_industry_sw_2021(W2502,公司分析!D$5,2),IF($Y$3="申万三级行业",[1]!s_info_industry_sw_2021(W2502,公司分析!D$5,3),IF($Y$3="wind一级行业",[1]!s_info_industry_gics(W2502,1),IF($Y$3="wind二级行业",[1]!s_info_industry_gics(W2502,2),IF($Y$3="wind三级行业",[1]!s_info_industry_gics(W2502,3),IF($Y$3="wind四级行业",[1]!s_info_industry_gics(W2502,4),IF($Y$3="证监会门类行业",[1]!s_info_industry_csrc12_n(W2502,公司分析!D$5,1),""))))))))</f>
        <v>酒店餐饮</v>
      </c>
      <c r="Z2502" s="302" t="str">
        <f ca="1">IF(Y2502=行业比较!$E$6,ROW(),"")</f>
        <v/>
      </c>
      <c r="AA2502" s="122"/>
      <c r="AB2502" s="122"/>
      <c r="AC2502" s="122"/>
      <c r="AD2502" s="122"/>
      <c r="AE2502" s="122"/>
      <c r="AF2502" s="122"/>
      <c r="AG2502" s="122"/>
      <c r="AH2502" s="122"/>
      <c r="AI2502" s="122"/>
      <c r="AJ2502" s="122"/>
      <c r="AK2502" s="122"/>
      <c r="AL2502" s="122"/>
      <c r="AM2502" s="122"/>
      <c r="AN2502" s="122"/>
      <c r="AO2502" s="122"/>
      <c r="AP2502" s="122"/>
    </row>
    <row r="2503" spans="2:42">
      <c r="B2503" s="122"/>
      <c r="C2503" s="122"/>
      <c r="D2503" s="122"/>
      <c r="E2503" s="122"/>
      <c r="F2503" s="122"/>
      <c r="G2503" s="122"/>
      <c r="H2503" s="122"/>
      <c r="I2503" s="275"/>
      <c r="J2503" s="130"/>
      <c r="K2503" s="130"/>
      <c r="L2503" s="130"/>
      <c r="M2503" s="130"/>
      <c r="N2503" s="291"/>
      <c r="O2503" s="291"/>
      <c r="P2503" s="122"/>
      <c r="Q2503" s="122"/>
      <c r="R2503" s="122"/>
      <c r="S2503" s="122"/>
      <c r="T2503" s="122"/>
      <c r="U2503" s="315"/>
      <c r="V2503" s="260">
        <f t="shared" ca="1" si="47"/>
        <v>0</v>
      </c>
      <c r="W2503" s="348" t="str">
        <f>IF(板块成分!B2505="","",板块成分!B2505)</f>
        <v>301075.SZ</v>
      </c>
      <c r="X2503" s="276" t="str">
        <f>[1]!S_Info_Name(W2503)</f>
        <v>多瑞医药</v>
      </c>
      <c r="Y2503" s="276" t="str">
        <f ca="1">IF($Y$3="申万一级行业",[1]!s_info_industry_sw_2021(W2503,公司分析!D$5,1),IF($Y$3="申万二级行业",[1]!s_info_industry_sw_2021(W2503,公司分析!D$5,2),IF($Y$3="申万三级行业",[1]!s_info_industry_sw_2021(W2503,公司分析!D$5,3),IF($Y$3="wind一级行业",[1]!s_info_industry_gics(W2503,1),IF($Y$3="wind二级行业",[1]!s_info_industry_gics(W2503,2),IF($Y$3="wind三级行业",[1]!s_info_industry_gics(W2503,3),IF($Y$3="wind四级行业",[1]!s_info_industry_gics(W2503,4),IF($Y$3="证监会门类行业",[1]!s_info_industry_csrc12_n(W2503,公司分析!D$5,1),""))))))))</f>
        <v>化学制药</v>
      </c>
      <c r="Z2503" s="302" t="str">
        <f ca="1">IF(Y2503=行业比较!$E$6,ROW(),"")</f>
        <v/>
      </c>
      <c r="AA2503" s="122"/>
      <c r="AB2503" s="122"/>
      <c r="AC2503" s="122"/>
      <c r="AD2503" s="122"/>
      <c r="AE2503" s="122"/>
      <c r="AF2503" s="122"/>
      <c r="AG2503" s="122"/>
      <c r="AH2503" s="122"/>
      <c r="AI2503" s="122"/>
      <c r="AJ2503" s="122"/>
      <c r="AK2503" s="122"/>
      <c r="AL2503" s="122"/>
      <c r="AM2503" s="122"/>
      <c r="AN2503" s="122"/>
      <c r="AO2503" s="122"/>
      <c r="AP2503" s="122"/>
    </row>
    <row r="2504" spans="2:42">
      <c r="B2504" s="122"/>
      <c r="C2504" s="122"/>
      <c r="D2504" s="122"/>
      <c r="E2504" s="122"/>
      <c r="F2504" s="122"/>
      <c r="G2504" s="122"/>
      <c r="H2504" s="122"/>
      <c r="I2504" s="275"/>
      <c r="J2504" s="130"/>
      <c r="K2504" s="130"/>
      <c r="L2504" s="130"/>
      <c r="M2504" s="130"/>
      <c r="N2504" s="291"/>
      <c r="O2504" s="291"/>
      <c r="P2504" s="122"/>
      <c r="Q2504" s="122"/>
      <c r="R2504" s="122"/>
      <c r="S2504" s="122"/>
      <c r="T2504" s="122"/>
      <c r="U2504" s="315"/>
      <c r="V2504" s="260">
        <f t="shared" ca="1" si="47"/>
        <v>0</v>
      </c>
      <c r="W2504" s="348" t="str">
        <f>IF(板块成分!B2506="","",板块成分!B2506)</f>
        <v>301076.SZ</v>
      </c>
      <c r="X2504" s="276" t="str">
        <f>[1]!S_Info_Name(W2504)</f>
        <v>新瀚新材</v>
      </c>
      <c r="Y2504" s="276" t="str">
        <f ca="1">IF($Y$3="申万一级行业",[1]!s_info_industry_sw_2021(W2504,公司分析!D$5,1),IF($Y$3="申万二级行业",[1]!s_info_industry_sw_2021(W2504,公司分析!D$5,2),IF($Y$3="申万三级行业",[1]!s_info_industry_sw_2021(W2504,公司分析!D$5,3),IF($Y$3="wind一级行业",[1]!s_info_industry_gics(W2504,1),IF($Y$3="wind二级行业",[1]!s_info_industry_gics(W2504,2),IF($Y$3="wind三级行业",[1]!s_info_industry_gics(W2504,3),IF($Y$3="wind四级行业",[1]!s_info_industry_gics(W2504,4),IF($Y$3="证监会门类行业",[1]!s_info_industry_csrc12_n(W2504,公司分析!D$5,1),""))))))))</f>
        <v>化学制品</v>
      </c>
      <c r="Z2504" s="302" t="str">
        <f ca="1">IF(Y2504=行业比较!$E$6,ROW(),"")</f>
        <v/>
      </c>
      <c r="AA2504" s="122"/>
      <c r="AB2504" s="122"/>
      <c r="AC2504" s="122"/>
      <c r="AD2504" s="122"/>
      <c r="AE2504" s="122"/>
      <c r="AF2504" s="122"/>
      <c r="AG2504" s="122"/>
      <c r="AH2504" s="122"/>
      <c r="AI2504" s="122"/>
      <c r="AJ2504" s="122"/>
      <c r="AK2504" s="122"/>
      <c r="AL2504" s="122"/>
      <c r="AM2504" s="122"/>
      <c r="AN2504" s="122"/>
      <c r="AO2504" s="122"/>
      <c r="AP2504" s="122"/>
    </row>
    <row r="2505" spans="2:42">
      <c r="B2505" s="122"/>
      <c r="C2505" s="122"/>
      <c r="D2505" s="122"/>
      <c r="E2505" s="122"/>
      <c r="F2505" s="122"/>
      <c r="G2505" s="122"/>
      <c r="H2505" s="122"/>
      <c r="I2505" s="275"/>
      <c r="J2505" s="130"/>
      <c r="K2505" s="130"/>
      <c r="L2505" s="130"/>
      <c r="M2505" s="130"/>
      <c r="N2505" s="291"/>
      <c r="O2505" s="291"/>
      <c r="P2505" s="122"/>
      <c r="Q2505" s="122"/>
      <c r="R2505" s="122"/>
      <c r="S2505" s="122"/>
      <c r="T2505" s="122"/>
      <c r="U2505" s="315"/>
      <c r="V2505" s="260">
        <f t="shared" ca="1" si="47"/>
        <v>0</v>
      </c>
      <c r="W2505" s="348" t="str">
        <f>IF(板块成分!B2507="","",板块成分!B2507)</f>
        <v>301077.SZ</v>
      </c>
      <c r="X2505" s="276" t="str">
        <f>[1]!S_Info_Name(W2505)</f>
        <v>星华新材</v>
      </c>
      <c r="Y2505" s="276" t="str">
        <f ca="1">IF($Y$3="申万一级行业",[1]!s_info_industry_sw_2021(W2505,公司分析!D$5,1),IF($Y$3="申万二级行业",[1]!s_info_industry_sw_2021(W2505,公司分析!D$5,2),IF($Y$3="申万三级行业",[1]!s_info_industry_sw_2021(W2505,公司分析!D$5,3),IF($Y$3="wind一级行业",[1]!s_info_industry_gics(W2505,1),IF($Y$3="wind二级行业",[1]!s_info_industry_gics(W2505,2),IF($Y$3="wind三级行业",[1]!s_info_industry_gics(W2505,3),IF($Y$3="wind四级行业",[1]!s_info_industry_gics(W2505,4),IF($Y$3="证监会门类行业",[1]!s_info_industry_csrc12_n(W2505,公司分析!D$5,1),""))))))))</f>
        <v>化学制品</v>
      </c>
      <c r="Z2505" s="302" t="str">
        <f ca="1">IF(Y2505=行业比较!$E$6,ROW(),"")</f>
        <v/>
      </c>
      <c r="AA2505" s="122"/>
      <c r="AB2505" s="122"/>
      <c r="AC2505" s="122"/>
      <c r="AD2505" s="122"/>
      <c r="AE2505" s="122"/>
      <c r="AF2505" s="122"/>
      <c r="AG2505" s="122"/>
      <c r="AH2505" s="122"/>
      <c r="AI2505" s="122"/>
      <c r="AJ2505" s="122"/>
      <c r="AK2505" s="122"/>
      <c r="AL2505" s="122"/>
      <c r="AM2505" s="122"/>
      <c r="AN2505" s="122"/>
      <c r="AO2505" s="122"/>
      <c r="AP2505" s="122"/>
    </row>
    <row r="2506" spans="2:42">
      <c r="B2506" s="122"/>
      <c r="C2506" s="122"/>
      <c r="D2506" s="122"/>
      <c r="E2506" s="122"/>
      <c r="F2506" s="122"/>
      <c r="G2506" s="122"/>
      <c r="H2506" s="122"/>
      <c r="I2506" s="275"/>
      <c r="J2506" s="130"/>
      <c r="K2506" s="130"/>
      <c r="L2506" s="130"/>
      <c r="M2506" s="130"/>
      <c r="N2506" s="291"/>
      <c r="O2506" s="291"/>
      <c r="P2506" s="122"/>
      <c r="Q2506" s="122"/>
      <c r="R2506" s="122"/>
      <c r="S2506" s="122"/>
      <c r="T2506" s="122"/>
      <c r="U2506" s="315"/>
      <c r="V2506" s="260">
        <f t="shared" ca="1" si="47"/>
        <v>0</v>
      </c>
      <c r="W2506" s="348" t="str">
        <f>IF(板块成分!B2508="","",板块成分!B2508)</f>
        <v>301078.SZ</v>
      </c>
      <c r="X2506" s="276" t="str">
        <f>[1]!S_Info_Name(W2506)</f>
        <v>孩子王</v>
      </c>
      <c r="Y2506" s="276" t="str">
        <f ca="1">IF($Y$3="申万一级行业",[1]!s_info_industry_sw_2021(W2506,公司分析!D$5,1),IF($Y$3="申万二级行业",[1]!s_info_industry_sw_2021(W2506,公司分析!D$5,2),IF($Y$3="申万三级行业",[1]!s_info_industry_sw_2021(W2506,公司分析!D$5,3),IF($Y$3="wind一级行业",[1]!s_info_industry_gics(W2506,1),IF($Y$3="wind二级行业",[1]!s_info_industry_gics(W2506,2),IF($Y$3="wind三级行业",[1]!s_info_industry_gics(W2506,3),IF($Y$3="wind四级行业",[1]!s_info_industry_gics(W2506,4),IF($Y$3="证监会门类行业",[1]!s_info_industry_csrc12_n(W2506,公司分析!D$5,1),""))))))))</f>
        <v>专业连锁Ⅱ</v>
      </c>
      <c r="Z2506" s="302" t="str">
        <f ca="1">IF(Y2506=行业比较!$E$6,ROW(),"")</f>
        <v/>
      </c>
      <c r="AA2506" s="122"/>
      <c r="AB2506" s="122"/>
      <c r="AC2506" s="122"/>
      <c r="AD2506" s="122"/>
      <c r="AE2506" s="122"/>
      <c r="AF2506" s="122"/>
      <c r="AG2506" s="122"/>
      <c r="AH2506" s="122"/>
      <c r="AI2506" s="122"/>
      <c r="AJ2506" s="122"/>
      <c r="AK2506" s="122"/>
      <c r="AL2506" s="122"/>
      <c r="AM2506" s="122"/>
      <c r="AN2506" s="122"/>
      <c r="AO2506" s="122"/>
      <c r="AP2506" s="122"/>
    </row>
    <row r="2507" spans="2:42">
      <c r="B2507" s="122"/>
      <c r="C2507" s="122"/>
      <c r="D2507" s="122"/>
      <c r="E2507" s="122"/>
      <c r="F2507" s="122"/>
      <c r="G2507" s="122"/>
      <c r="H2507" s="122"/>
      <c r="I2507" s="275"/>
      <c r="J2507" s="130"/>
      <c r="K2507" s="130"/>
      <c r="L2507" s="130"/>
      <c r="M2507" s="130"/>
      <c r="N2507" s="291"/>
      <c r="O2507" s="291"/>
      <c r="P2507" s="122"/>
      <c r="Q2507" s="122"/>
      <c r="R2507" s="122"/>
      <c r="S2507" s="122"/>
      <c r="T2507" s="122"/>
      <c r="U2507" s="315"/>
      <c r="V2507" s="260">
        <f t="shared" ca="1" si="47"/>
        <v>0</v>
      </c>
      <c r="W2507" s="348" t="str">
        <f>IF(板块成分!B2509="","",板块成分!B2509)</f>
        <v>301079.SZ</v>
      </c>
      <c r="X2507" s="276" t="str">
        <f>[1]!S_Info_Name(W2507)</f>
        <v>邵阳液压</v>
      </c>
      <c r="Y2507" s="276" t="str">
        <f ca="1">IF($Y$3="申万一级行业",[1]!s_info_industry_sw_2021(W2507,公司分析!D$5,1),IF($Y$3="申万二级行业",[1]!s_info_industry_sw_2021(W2507,公司分析!D$5,2),IF($Y$3="申万三级行业",[1]!s_info_industry_sw_2021(W2507,公司分析!D$5,3),IF($Y$3="wind一级行业",[1]!s_info_industry_gics(W2507,1),IF($Y$3="wind二级行业",[1]!s_info_industry_gics(W2507,2),IF($Y$3="wind三级行业",[1]!s_info_industry_gics(W2507,3),IF($Y$3="wind四级行业",[1]!s_info_industry_gics(W2507,4),IF($Y$3="证监会门类行业",[1]!s_info_industry_csrc12_n(W2507,公司分析!D$5,1),""))))))))</f>
        <v>工程机械</v>
      </c>
      <c r="Z2507" s="302" t="str">
        <f ca="1">IF(Y2507=行业比较!$E$6,ROW(),"")</f>
        <v/>
      </c>
      <c r="AA2507" s="122"/>
      <c r="AB2507" s="122"/>
      <c r="AC2507" s="122"/>
      <c r="AD2507" s="122"/>
      <c r="AE2507" s="122"/>
      <c r="AF2507" s="122"/>
      <c r="AG2507" s="122"/>
      <c r="AH2507" s="122"/>
      <c r="AI2507" s="122"/>
      <c r="AJ2507" s="122"/>
      <c r="AK2507" s="122"/>
      <c r="AL2507" s="122"/>
      <c r="AM2507" s="122"/>
      <c r="AN2507" s="122"/>
      <c r="AO2507" s="122"/>
      <c r="AP2507" s="122"/>
    </row>
    <row r="2508" spans="2:42" ht="17.25" thickBot="1">
      <c r="B2508" s="122"/>
      <c r="C2508" s="122"/>
      <c r="D2508" s="122"/>
      <c r="E2508" s="122"/>
      <c r="F2508" s="122"/>
      <c r="G2508" s="122"/>
      <c r="H2508" s="122"/>
      <c r="I2508" s="275"/>
      <c r="J2508" s="130"/>
      <c r="K2508" s="130"/>
      <c r="L2508" s="130"/>
      <c r="M2508" s="130"/>
      <c r="N2508" s="291"/>
      <c r="O2508" s="291"/>
      <c r="P2508" s="122"/>
      <c r="Q2508" s="122"/>
      <c r="R2508" s="122"/>
      <c r="S2508" s="122"/>
      <c r="T2508" s="122"/>
      <c r="U2508" s="316"/>
      <c r="V2508" s="260">
        <f t="shared" ca="1" si="47"/>
        <v>0</v>
      </c>
      <c r="W2508" s="348" t="str">
        <f>IF(板块成分!B2510="","",板块成分!B2510)</f>
        <v>301080.SZ</v>
      </c>
      <c r="X2508" s="276" t="str">
        <f>[1]!S_Info_Name(W2508)</f>
        <v>百普赛斯</v>
      </c>
      <c r="Y2508" s="276" t="str">
        <f ca="1">IF($Y$3="申万一级行业",[1]!s_info_industry_sw_2021(W2508,公司分析!D$5,1),IF($Y$3="申万二级行业",[1]!s_info_industry_sw_2021(W2508,公司分析!D$5,2),IF($Y$3="申万三级行业",[1]!s_info_industry_sw_2021(W2508,公司分析!D$5,3),IF($Y$3="wind一级行业",[1]!s_info_industry_gics(W2508,1),IF($Y$3="wind二级行业",[1]!s_info_industry_gics(W2508,2),IF($Y$3="wind三级行业",[1]!s_info_industry_gics(W2508,3),IF($Y$3="wind四级行业",[1]!s_info_industry_gics(W2508,4),IF($Y$3="证监会门类行业",[1]!s_info_industry_csrc12_n(W2508,公司分析!D$5,1),""))))))))</f>
        <v>生物制品</v>
      </c>
      <c r="Z2508" s="302" t="str">
        <f ca="1">IF(Y2508=行业比较!$E$6,ROW(),"")</f>
        <v/>
      </c>
      <c r="AA2508" s="122"/>
      <c r="AB2508" s="122"/>
      <c r="AC2508" s="122"/>
      <c r="AD2508" s="122"/>
      <c r="AE2508" s="122"/>
      <c r="AF2508" s="122"/>
      <c r="AG2508" s="122"/>
      <c r="AH2508" s="122"/>
      <c r="AI2508" s="122"/>
      <c r="AJ2508" s="122"/>
      <c r="AK2508" s="122"/>
      <c r="AL2508" s="122"/>
      <c r="AM2508" s="122"/>
      <c r="AN2508" s="122"/>
      <c r="AO2508" s="122"/>
      <c r="AP2508" s="122"/>
    </row>
    <row r="2509" spans="2:42">
      <c r="B2509" s="122"/>
      <c r="C2509" s="122"/>
      <c r="D2509" s="122"/>
      <c r="E2509" s="122"/>
      <c r="F2509" s="122"/>
      <c r="G2509" s="122"/>
      <c r="H2509" s="122"/>
      <c r="I2509" s="275"/>
      <c r="J2509" s="130"/>
      <c r="K2509" s="130"/>
      <c r="L2509" s="130"/>
      <c r="M2509" s="130"/>
      <c r="N2509" s="291"/>
      <c r="O2509" s="291"/>
      <c r="P2509" s="122"/>
      <c r="Q2509" s="122"/>
      <c r="R2509" s="122"/>
      <c r="S2509" s="122"/>
      <c r="T2509" s="122"/>
      <c r="U2509" s="122"/>
      <c r="V2509" s="260">
        <f t="shared" ca="1" si="47"/>
        <v>0</v>
      </c>
      <c r="W2509" s="348" t="str">
        <f>IF(板块成分!B2511="","",板块成分!B2511)</f>
        <v>301081.SZ</v>
      </c>
      <c r="X2509" s="276" t="str">
        <f>[1]!S_Info_Name(W2509)</f>
        <v>严牌股份</v>
      </c>
      <c r="Y2509" s="276" t="str">
        <f ca="1">IF($Y$3="申万一级行业",[1]!s_info_industry_sw_2021(W2509,公司分析!D$5,1),IF($Y$3="申万二级行业",[1]!s_info_industry_sw_2021(W2509,公司分析!D$5,2),IF($Y$3="申万三级行业",[1]!s_info_industry_sw_2021(W2509,公司分析!D$5,3),IF($Y$3="wind一级行业",[1]!s_info_industry_gics(W2509,1),IF($Y$3="wind二级行业",[1]!s_info_industry_gics(W2509,2),IF($Y$3="wind三级行业",[1]!s_info_industry_gics(W2509,3),IF($Y$3="wind四级行业",[1]!s_info_industry_gics(W2509,4),IF($Y$3="证监会门类行业",[1]!s_info_industry_csrc12_n(W2509,公司分析!D$5,1),""))))))))</f>
        <v>环保设备Ⅱ</v>
      </c>
      <c r="Z2509" s="302" t="str">
        <f ca="1">IF(Y2509=行业比较!$E$6,ROW(),"")</f>
        <v/>
      </c>
      <c r="AA2509" s="122"/>
      <c r="AB2509" s="122"/>
      <c r="AC2509" s="122"/>
      <c r="AD2509" s="122"/>
      <c r="AE2509" s="122"/>
      <c r="AF2509" s="122"/>
      <c r="AG2509" s="122"/>
      <c r="AH2509" s="122"/>
      <c r="AI2509" s="122"/>
      <c r="AJ2509" s="122"/>
      <c r="AK2509" s="122"/>
      <c r="AL2509" s="122"/>
      <c r="AM2509" s="122"/>
      <c r="AN2509" s="122"/>
      <c r="AO2509" s="122"/>
      <c r="AP2509" s="122"/>
    </row>
    <row r="2510" spans="2:42">
      <c r="V2510" s="260">
        <f t="shared" ca="1" si="47"/>
        <v>0</v>
      </c>
      <c r="W2510" s="348" t="str">
        <f>IF(板块成分!B2512="","",板块成分!B2512)</f>
        <v>301082.SZ</v>
      </c>
      <c r="X2510" s="276" t="str">
        <f>[1]!S_Info_Name(W2510)</f>
        <v>久盛电气</v>
      </c>
      <c r="Y2510" s="276" t="str">
        <f ca="1">IF($Y$3="申万一级行业",[1]!s_info_industry_sw_2021(W2510,公司分析!D$5,1),IF($Y$3="申万二级行业",[1]!s_info_industry_sw_2021(W2510,公司分析!D$5,2),IF($Y$3="申万三级行业",[1]!s_info_industry_sw_2021(W2510,公司分析!D$5,3),IF($Y$3="wind一级行业",[1]!s_info_industry_gics(W2510,1),IF($Y$3="wind二级行业",[1]!s_info_industry_gics(W2510,2),IF($Y$3="wind三级行业",[1]!s_info_industry_gics(W2510,3),IF($Y$3="wind四级行业",[1]!s_info_industry_gics(W2510,4),IF($Y$3="证监会门类行业",[1]!s_info_industry_csrc12_n(W2510,公司分析!D$5,1),""))))))))</f>
        <v>电网设备</v>
      </c>
      <c r="Z2510" s="302" t="str">
        <f ca="1">IF(Y2510=行业比较!$E$6,ROW(),"")</f>
        <v/>
      </c>
    </row>
    <row r="2511" spans="2:42">
      <c r="V2511" s="260">
        <f t="shared" ca="1" si="47"/>
        <v>0</v>
      </c>
      <c r="W2511" s="348" t="str">
        <f>IF(板块成分!B2513="","",板块成分!B2513)</f>
        <v>301083.SZ</v>
      </c>
      <c r="X2511" s="276" t="str">
        <f>[1]!S_Info_Name(W2511)</f>
        <v>百胜智能</v>
      </c>
      <c r="Y2511" s="276" t="str">
        <f ca="1">IF($Y$3="申万一级行业",[1]!s_info_industry_sw_2021(W2511,公司分析!D$5,1),IF($Y$3="申万二级行业",[1]!s_info_industry_sw_2021(W2511,公司分析!D$5,2),IF($Y$3="申万三级行业",[1]!s_info_industry_sw_2021(W2511,公司分析!D$5,3),IF($Y$3="wind一级行业",[1]!s_info_industry_gics(W2511,1),IF($Y$3="wind二级行业",[1]!s_info_industry_gics(W2511,2),IF($Y$3="wind三级行业",[1]!s_info_industry_gics(W2511,3),IF($Y$3="wind四级行业",[1]!s_info_industry_gics(W2511,4),IF($Y$3="证监会门类行业",[1]!s_info_industry_csrc12_n(W2511,公司分析!D$5,1),""))))))))</f>
        <v>专用设备</v>
      </c>
      <c r="Z2511" s="302" t="str">
        <f ca="1">IF(Y2511=行业比较!$E$6,ROW(),"")</f>
        <v/>
      </c>
    </row>
    <row r="2512" spans="2:42">
      <c r="V2512" s="260">
        <f t="shared" ca="1" si="47"/>
        <v>0</v>
      </c>
      <c r="W2512" s="348" t="str">
        <f>IF(板块成分!B2514="","",板块成分!B2514)</f>
        <v>301085.SZ</v>
      </c>
      <c r="X2512" s="276" t="str">
        <f>[1]!S_Info_Name(W2512)</f>
        <v>亚康股份</v>
      </c>
      <c r="Y2512" s="276" t="str">
        <f ca="1">IF($Y$3="申万一级行业",[1]!s_info_industry_sw_2021(W2512,公司分析!D$5,1),IF($Y$3="申万二级行业",[1]!s_info_industry_sw_2021(W2512,公司分析!D$5,2),IF($Y$3="申万三级行业",[1]!s_info_industry_sw_2021(W2512,公司分析!D$5,3),IF($Y$3="wind一级行业",[1]!s_info_industry_gics(W2512,1),IF($Y$3="wind二级行业",[1]!s_info_industry_gics(W2512,2),IF($Y$3="wind三级行业",[1]!s_info_industry_gics(W2512,3),IF($Y$3="wind四级行业",[1]!s_info_industry_gics(W2512,4),IF($Y$3="证监会门类行业",[1]!s_info_industry_csrc12_n(W2512,公司分析!D$5,1),""))))))))</f>
        <v>IT服务Ⅱ</v>
      </c>
      <c r="Z2512" s="302" t="str">
        <f ca="1">IF(Y2512=行业比较!$E$6,ROW(),"")</f>
        <v/>
      </c>
    </row>
    <row r="2513" spans="22:26">
      <c r="V2513" s="260">
        <f t="shared" ca="1" si="47"/>
        <v>0</v>
      </c>
      <c r="W2513" s="348" t="str">
        <f>IF(板块成分!B2515="","",板块成分!B2515)</f>
        <v>301086.SZ</v>
      </c>
      <c r="X2513" s="276" t="str">
        <f>[1]!S_Info_Name(W2513)</f>
        <v>鸿富瀚</v>
      </c>
      <c r="Y2513" s="276" t="str">
        <f ca="1">IF($Y$3="申万一级行业",[1]!s_info_industry_sw_2021(W2513,公司分析!D$5,1),IF($Y$3="申万二级行业",[1]!s_info_industry_sw_2021(W2513,公司分析!D$5,2),IF($Y$3="申万三级行业",[1]!s_info_industry_sw_2021(W2513,公司分析!D$5,3),IF($Y$3="wind一级行业",[1]!s_info_industry_gics(W2513,1),IF($Y$3="wind二级行业",[1]!s_info_industry_gics(W2513,2),IF($Y$3="wind三级行业",[1]!s_info_industry_gics(W2513,3),IF($Y$3="wind四级行业",[1]!s_info_industry_gics(W2513,4),IF($Y$3="证监会门类行业",[1]!s_info_industry_csrc12_n(W2513,公司分析!D$5,1),""))))))))</f>
        <v>消费电子</v>
      </c>
      <c r="Z2513" s="302" t="str">
        <f ca="1">IF(Y2513=行业比较!$E$6,ROW(),"")</f>
        <v/>
      </c>
    </row>
    <row r="2514" spans="22:26">
      <c r="V2514" s="260">
        <f t="shared" ca="1" si="47"/>
        <v>0</v>
      </c>
      <c r="W2514" s="348" t="str">
        <f>IF(板块成分!B2516="","",板块成分!B2516)</f>
        <v>301087.SZ</v>
      </c>
      <c r="X2514" s="276" t="str">
        <f>[1]!S_Info_Name(W2514)</f>
        <v>可孚医疗</v>
      </c>
      <c r="Y2514" s="276" t="str">
        <f ca="1">IF($Y$3="申万一级行业",[1]!s_info_industry_sw_2021(W2514,公司分析!D$5,1),IF($Y$3="申万二级行业",[1]!s_info_industry_sw_2021(W2514,公司分析!D$5,2),IF($Y$3="申万三级行业",[1]!s_info_industry_sw_2021(W2514,公司分析!D$5,3),IF($Y$3="wind一级行业",[1]!s_info_industry_gics(W2514,1),IF($Y$3="wind二级行业",[1]!s_info_industry_gics(W2514,2),IF($Y$3="wind三级行业",[1]!s_info_industry_gics(W2514,3),IF($Y$3="wind四级行业",[1]!s_info_industry_gics(W2514,4),IF($Y$3="证监会门类行业",[1]!s_info_industry_csrc12_n(W2514,公司分析!D$5,1),""))))))))</f>
        <v>医疗器械</v>
      </c>
      <c r="Z2514" s="302" t="str">
        <f ca="1">IF(Y2514=行业比较!$E$6,ROW(),"")</f>
        <v/>
      </c>
    </row>
    <row r="2515" spans="22:26">
      <c r="V2515" s="260">
        <f t="shared" ca="1" si="47"/>
        <v>0</v>
      </c>
      <c r="W2515" s="348" t="str">
        <f>IF(板块成分!B2517="","",板块成分!B2517)</f>
        <v>301088.SZ</v>
      </c>
      <c r="X2515" s="276" t="str">
        <f>[1]!S_Info_Name(W2515)</f>
        <v>戎美股份</v>
      </c>
      <c r="Y2515" s="276" t="str">
        <f ca="1">IF($Y$3="申万一级行业",[1]!s_info_industry_sw_2021(W2515,公司分析!D$5,1),IF($Y$3="申万二级行业",[1]!s_info_industry_sw_2021(W2515,公司分析!D$5,2),IF($Y$3="申万三级行业",[1]!s_info_industry_sw_2021(W2515,公司分析!D$5,3),IF($Y$3="wind一级行业",[1]!s_info_industry_gics(W2515,1),IF($Y$3="wind二级行业",[1]!s_info_industry_gics(W2515,2),IF($Y$3="wind三级行业",[1]!s_info_industry_gics(W2515,3),IF($Y$3="wind四级行业",[1]!s_info_industry_gics(W2515,4),IF($Y$3="证监会门类行业",[1]!s_info_industry_csrc12_n(W2515,公司分析!D$5,1),""))))))))</f>
        <v>服装家纺</v>
      </c>
      <c r="Z2515" s="302" t="str">
        <f ca="1">IF(Y2515=行业比较!$E$6,ROW(),"")</f>
        <v/>
      </c>
    </row>
    <row r="2516" spans="22:26">
      <c r="V2516" s="260">
        <f t="shared" ca="1" si="47"/>
        <v>0</v>
      </c>
      <c r="W2516" s="348" t="str">
        <f>IF(板块成分!B2518="","",板块成分!B2518)</f>
        <v>301089.SZ</v>
      </c>
      <c r="X2516" s="276" t="str">
        <f>[1]!S_Info_Name(W2516)</f>
        <v>拓新药业</v>
      </c>
      <c r="Y2516" s="276" t="str">
        <f ca="1">IF($Y$3="申万一级行业",[1]!s_info_industry_sw_2021(W2516,公司分析!D$5,1),IF($Y$3="申万二级行业",[1]!s_info_industry_sw_2021(W2516,公司分析!D$5,2),IF($Y$3="申万三级行业",[1]!s_info_industry_sw_2021(W2516,公司分析!D$5,3),IF($Y$3="wind一级行业",[1]!s_info_industry_gics(W2516,1),IF($Y$3="wind二级行业",[1]!s_info_industry_gics(W2516,2),IF($Y$3="wind三级行业",[1]!s_info_industry_gics(W2516,3),IF($Y$3="wind四级行业",[1]!s_info_industry_gics(W2516,4),IF($Y$3="证监会门类行业",[1]!s_info_industry_csrc12_n(W2516,公司分析!D$5,1),""))))))))</f>
        <v>化学制药</v>
      </c>
      <c r="Z2516" s="302" t="str">
        <f ca="1">IF(Y2516=行业比较!$E$6,ROW(),"")</f>
        <v/>
      </c>
    </row>
    <row r="2517" spans="22:26">
      <c r="V2517" s="260">
        <f t="shared" ca="1" si="47"/>
        <v>0</v>
      </c>
      <c r="W2517" s="348" t="str">
        <f>IF(板块成分!B2519="","",板块成分!B2519)</f>
        <v>301090.SZ</v>
      </c>
      <c r="X2517" s="276" t="str">
        <f>[1]!S_Info_Name(W2517)</f>
        <v>华润材料</v>
      </c>
      <c r="Y2517" s="276" t="str">
        <f ca="1">IF($Y$3="申万一级行业",[1]!s_info_industry_sw_2021(W2517,公司分析!D$5,1),IF($Y$3="申万二级行业",[1]!s_info_industry_sw_2021(W2517,公司分析!D$5,2),IF($Y$3="申万三级行业",[1]!s_info_industry_sw_2021(W2517,公司分析!D$5,3),IF($Y$3="wind一级行业",[1]!s_info_industry_gics(W2517,1),IF($Y$3="wind二级行业",[1]!s_info_industry_gics(W2517,2),IF($Y$3="wind三级行业",[1]!s_info_industry_gics(W2517,3),IF($Y$3="wind四级行业",[1]!s_info_industry_gics(W2517,4),IF($Y$3="证监会门类行业",[1]!s_info_industry_csrc12_n(W2517,公司分析!D$5,1),""))))))))</f>
        <v>塑料</v>
      </c>
      <c r="Z2517" s="302" t="str">
        <f ca="1">IF(Y2517=行业比较!$E$6,ROW(),"")</f>
        <v/>
      </c>
    </row>
    <row r="2518" spans="22:26">
      <c r="V2518" s="260">
        <f t="shared" ca="1" si="47"/>
        <v>0</v>
      </c>
      <c r="W2518" s="348" t="str">
        <f>IF(板块成分!B2520="","",板块成分!B2520)</f>
        <v>301091.SZ</v>
      </c>
      <c r="X2518" s="276" t="str">
        <f>[1]!S_Info_Name(W2518)</f>
        <v>深城交</v>
      </c>
      <c r="Y2518" s="276" t="str">
        <f ca="1">IF($Y$3="申万一级行业",[1]!s_info_industry_sw_2021(W2518,公司分析!D$5,1),IF($Y$3="申万二级行业",[1]!s_info_industry_sw_2021(W2518,公司分析!D$5,2),IF($Y$3="申万三级行业",[1]!s_info_industry_sw_2021(W2518,公司分析!D$5,3),IF($Y$3="wind一级行业",[1]!s_info_industry_gics(W2518,1),IF($Y$3="wind二级行业",[1]!s_info_industry_gics(W2518,2),IF($Y$3="wind三级行业",[1]!s_info_industry_gics(W2518,3),IF($Y$3="wind四级行业",[1]!s_info_industry_gics(W2518,4),IF($Y$3="证监会门类行业",[1]!s_info_industry_csrc12_n(W2518,公司分析!D$5,1),""))))))))</f>
        <v>工程咨询服务Ⅱ</v>
      </c>
      <c r="Z2518" s="302" t="str">
        <f ca="1">IF(Y2518=行业比较!$E$6,ROW(),"")</f>
        <v/>
      </c>
    </row>
    <row r="2519" spans="22:26">
      <c r="V2519" s="260">
        <f t="shared" ca="1" si="47"/>
        <v>0</v>
      </c>
      <c r="W2519" s="348" t="str">
        <f>IF(板块成分!B2521="","",板块成分!B2521)</f>
        <v>301092.SZ</v>
      </c>
      <c r="X2519" s="276" t="str">
        <f>[1]!S_Info_Name(W2519)</f>
        <v>争光股份</v>
      </c>
      <c r="Y2519" s="276" t="str">
        <f ca="1">IF($Y$3="申万一级行业",[1]!s_info_industry_sw_2021(W2519,公司分析!D$5,1),IF($Y$3="申万二级行业",[1]!s_info_industry_sw_2021(W2519,公司分析!D$5,2),IF($Y$3="申万三级行业",[1]!s_info_industry_sw_2021(W2519,公司分析!D$5,3),IF($Y$3="wind一级行业",[1]!s_info_industry_gics(W2519,1),IF($Y$3="wind二级行业",[1]!s_info_industry_gics(W2519,2),IF($Y$3="wind三级行业",[1]!s_info_industry_gics(W2519,3),IF($Y$3="wind四级行业",[1]!s_info_industry_gics(W2519,4),IF($Y$3="证监会门类行业",[1]!s_info_industry_csrc12_n(W2519,公司分析!D$5,1),""))))))))</f>
        <v>塑料</v>
      </c>
      <c r="Z2519" s="302" t="str">
        <f ca="1">IF(Y2519=行业比较!$E$6,ROW(),"")</f>
        <v/>
      </c>
    </row>
    <row r="2520" spans="22:26">
      <c r="V2520" s="260">
        <f t="shared" ca="1" si="47"/>
        <v>0</v>
      </c>
      <c r="W2520" s="348" t="str">
        <f>IF(板块成分!B2522="","",板块成分!B2522)</f>
        <v>301093.SZ</v>
      </c>
      <c r="X2520" s="276" t="str">
        <f>[1]!S_Info_Name(W2520)</f>
        <v>华兰股份</v>
      </c>
      <c r="Y2520" s="276" t="str">
        <f ca="1">IF($Y$3="申万一级行业",[1]!s_info_industry_sw_2021(W2520,公司分析!D$5,1),IF($Y$3="申万二级行业",[1]!s_info_industry_sw_2021(W2520,公司分析!D$5,2),IF($Y$3="申万三级行业",[1]!s_info_industry_sw_2021(W2520,公司分析!D$5,3),IF($Y$3="wind一级行业",[1]!s_info_industry_gics(W2520,1),IF($Y$3="wind二级行业",[1]!s_info_industry_gics(W2520,2),IF($Y$3="wind三级行业",[1]!s_info_industry_gics(W2520,3),IF($Y$3="wind四级行业",[1]!s_info_industry_gics(W2520,4),IF($Y$3="证监会门类行业",[1]!s_info_industry_csrc12_n(W2520,公司分析!D$5,1),""))))))))</f>
        <v>医疗器械</v>
      </c>
      <c r="Z2520" s="302" t="str">
        <f ca="1">IF(Y2520=行业比较!$E$6,ROW(),"")</f>
        <v/>
      </c>
    </row>
    <row r="2521" spans="22:26">
      <c r="V2521" s="260">
        <f t="shared" ca="1" si="47"/>
        <v>0</v>
      </c>
      <c r="W2521" s="348" t="str">
        <f>IF(板块成分!B2523="","",板块成分!B2523)</f>
        <v>301095.SZ</v>
      </c>
      <c r="X2521" s="276" t="str">
        <f>[1]!S_Info_Name(W2521)</f>
        <v>广立微</v>
      </c>
      <c r="Y2521" s="276" t="str">
        <f ca="1">IF($Y$3="申万一级行业",[1]!s_info_industry_sw_2021(W2521,公司分析!D$5,1),IF($Y$3="申万二级行业",[1]!s_info_industry_sw_2021(W2521,公司分析!D$5,2),IF($Y$3="申万三级行业",[1]!s_info_industry_sw_2021(W2521,公司分析!D$5,3),IF($Y$3="wind一级行业",[1]!s_info_industry_gics(W2521,1),IF($Y$3="wind二级行业",[1]!s_info_industry_gics(W2521,2),IF($Y$3="wind三级行业",[1]!s_info_industry_gics(W2521,3),IF($Y$3="wind四级行业",[1]!s_info_industry_gics(W2521,4),IF($Y$3="证监会门类行业",[1]!s_info_industry_csrc12_n(W2521,公司分析!D$5,1),""))))))))</f>
        <v>软件开发</v>
      </c>
      <c r="Z2521" s="302" t="str">
        <f ca="1">IF(Y2521=行业比较!$E$6,ROW(),"")</f>
        <v/>
      </c>
    </row>
    <row r="2522" spans="22:26">
      <c r="V2522" s="260">
        <f t="shared" ca="1" si="47"/>
        <v>0</v>
      </c>
      <c r="W2522" s="348" t="str">
        <f>IF(板块成分!B2524="","",板块成分!B2524)</f>
        <v>301096.SZ</v>
      </c>
      <c r="X2522" s="276" t="str">
        <f>[1]!S_Info_Name(W2522)</f>
        <v>百诚医药</v>
      </c>
      <c r="Y2522" s="276" t="str">
        <f ca="1">IF($Y$3="申万一级行业",[1]!s_info_industry_sw_2021(W2522,公司分析!D$5,1),IF($Y$3="申万二级行业",[1]!s_info_industry_sw_2021(W2522,公司分析!D$5,2),IF($Y$3="申万三级行业",[1]!s_info_industry_sw_2021(W2522,公司分析!D$5,3),IF($Y$3="wind一级行业",[1]!s_info_industry_gics(W2522,1),IF($Y$3="wind二级行业",[1]!s_info_industry_gics(W2522,2),IF($Y$3="wind三级行业",[1]!s_info_industry_gics(W2522,3),IF($Y$3="wind四级行业",[1]!s_info_industry_gics(W2522,4),IF($Y$3="证监会门类行业",[1]!s_info_industry_csrc12_n(W2522,公司分析!D$5,1),""))))))))</f>
        <v>医疗服务</v>
      </c>
      <c r="Z2522" s="302" t="str">
        <f ca="1">IF(Y2522=行业比较!$E$6,ROW(),"")</f>
        <v/>
      </c>
    </row>
    <row r="2523" spans="22:26">
      <c r="V2523" s="260">
        <f t="shared" ca="1" si="47"/>
        <v>0</v>
      </c>
      <c r="W2523" s="348" t="str">
        <f>IF(板块成分!B2525="","",板块成分!B2525)</f>
        <v>301097.SZ</v>
      </c>
      <c r="X2523" s="276" t="str">
        <f>[1]!S_Info_Name(W2523)</f>
        <v>天益医疗</v>
      </c>
      <c r="Y2523" s="276" t="str">
        <f ca="1">IF($Y$3="申万一级行业",[1]!s_info_industry_sw_2021(W2523,公司分析!D$5,1),IF($Y$3="申万二级行业",[1]!s_info_industry_sw_2021(W2523,公司分析!D$5,2),IF($Y$3="申万三级行业",[1]!s_info_industry_sw_2021(W2523,公司分析!D$5,3),IF($Y$3="wind一级行业",[1]!s_info_industry_gics(W2523,1),IF($Y$3="wind二级行业",[1]!s_info_industry_gics(W2523,2),IF($Y$3="wind三级行业",[1]!s_info_industry_gics(W2523,3),IF($Y$3="wind四级行业",[1]!s_info_industry_gics(W2523,4),IF($Y$3="证监会门类行业",[1]!s_info_industry_csrc12_n(W2523,公司分析!D$5,1),""))))))))</f>
        <v>医疗器械</v>
      </c>
      <c r="Z2523" s="302" t="str">
        <f ca="1">IF(Y2523=行业比较!$E$6,ROW(),"")</f>
        <v/>
      </c>
    </row>
    <row r="2524" spans="22:26">
      <c r="V2524" s="260">
        <f t="shared" ca="1" si="47"/>
        <v>0</v>
      </c>
      <c r="W2524" s="348" t="str">
        <f>IF(板块成分!B2526="","",板块成分!B2526)</f>
        <v>301098.SZ</v>
      </c>
      <c r="X2524" s="276" t="str">
        <f>[1]!S_Info_Name(W2524)</f>
        <v>金埔园林</v>
      </c>
      <c r="Y2524" s="276" t="str">
        <f ca="1">IF($Y$3="申万一级行业",[1]!s_info_industry_sw_2021(W2524,公司分析!D$5,1),IF($Y$3="申万二级行业",[1]!s_info_industry_sw_2021(W2524,公司分析!D$5,2),IF($Y$3="申万三级行业",[1]!s_info_industry_sw_2021(W2524,公司分析!D$5,3),IF($Y$3="wind一级行业",[1]!s_info_industry_gics(W2524,1),IF($Y$3="wind二级行业",[1]!s_info_industry_gics(W2524,2),IF($Y$3="wind三级行业",[1]!s_info_industry_gics(W2524,3),IF($Y$3="wind四级行业",[1]!s_info_industry_gics(W2524,4),IF($Y$3="证监会门类行业",[1]!s_info_industry_csrc12_n(W2524,公司分析!D$5,1),""))))))))</f>
        <v>基础建设</v>
      </c>
      <c r="Z2524" s="302" t="str">
        <f ca="1">IF(Y2524=行业比较!$E$6,ROW(),"")</f>
        <v/>
      </c>
    </row>
    <row r="2525" spans="22:26">
      <c r="V2525" s="260">
        <f t="shared" ca="1" si="47"/>
        <v>0</v>
      </c>
      <c r="W2525" s="348" t="str">
        <f>IF(板块成分!B2527="","",板块成分!B2527)</f>
        <v>301099.SZ</v>
      </c>
      <c r="X2525" s="276" t="str">
        <f>[1]!S_Info_Name(W2525)</f>
        <v>雅创电子</v>
      </c>
      <c r="Y2525" s="276" t="str">
        <f ca="1">IF($Y$3="申万一级行业",[1]!s_info_industry_sw_2021(W2525,公司分析!D$5,1),IF($Y$3="申万二级行业",[1]!s_info_industry_sw_2021(W2525,公司分析!D$5,2),IF($Y$3="申万三级行业",[1]!s_info_industry_sw_2021(W2525,公司分析!D$5,3),IF($Y$3="wind一级行业",[1]!s_info_industry_gics(W2525,1),IF($Y$3="wind二级行业",[1]!s_info_industry_gics(W2525,2),IF($Y$3="wind三级行业",[1]!s_info_industry_gics(W2525,3),IF($Y$3="wind四级行业",[1]!s_info_industry_gics(W2525,4),IF($Y$3="证监会门类行业",[1]!s_info_industry_csrc12_n(W2525,公司分析!D$5,1),""))))))))</f>
        <v>其他电子Ⅱ</v>
      </c>
      <c r="Z2525" s="302" t="str">
        <f ca="1">IF(Y2525=行业比较!$E$6,ROW(),"")</f>
        <v/>
      </c>
    </row>
    <row r="2526" spans="22:26">
      <c r="V2526" s="260">
        <f t="shared" ca="1" si="47"/>
        <v>0</v>
      </c>
      <c r="W2526" s="348" t="str">
        <f>IF(板块成分!B2528="","",板块成分!B2528)</f>
        <v>301100.SZ</v>
      </c>
      <c r="X2526" s="276" t="str">
        <f>[1]!S_Info_Name(W2526)</f>
        <v>风光股份</v>
      </c>
      <c r="Y2526" s="276" t="str">
        <f ca="1">IF($Y$3="申万一级行业",[1]!s_info_industry_sw_2021(W2526,公司分析!D$5,1),IF($Y$3="申万二级行业",[1]!s_info_industry_sw_2021(W2526,公司分析!D$5,2),IF($Y$3="申万三级行业",[1]!s_info_industry_sw_2021(W2526,公司分析!D$5,3),IF($Y$3="wind一级行业",[1]!s_info_industry_gics(W2526,1),IF($Y$3="wind二级行业",[1]!s_info_industry_gics(W2526,2),IF($Y$3="wind三级行业",[1]!s_info_industry_gics(W2526,3),IF($Y$3="wind四级行业",[1]!s_info_industry_gics(W2526,4),IF($Y$3="证监会门类行业",[1]!s_info_industry_csrc12_n(W2526,公司分析!D$5,1),""))))))))</f>
        <v>化学制品</v>
      </c>
      <c r="Z2526" s="302" t="str">
        <f ca="1">IF(Y2526=行业比较!$E$6,ROW(),"")</f>
        <v/>
      </c>
    </row>
    <row r="2527" spans="22:26">
      <c r="V2527" s="260">
        <f t="shared" ca="1" si="47"/>
        <v>0</v>
      </c>
      <c r="W2527" s="348" t="str">
        <f>IF(板块成分!B2529="","",板块成分!B2529)</f>
        <v>301101.SZ</v>
      </c>
      <c r="X2527" s="276" t="str">
        <f>[1]!S_Info_Name(W2527)</f>
        <v>明月镜片</v>
      </c>
      <c r="Y2527" s="276" t="str">
        <f ca="1">IF($Y$3="申万一级行业",[1]!s_info_industry_sw_2021(W2527,公司分析!D$5,1),IF($Y$3="申万二级行业",[1]!s_info_industry_sw_2021(W2527,公司分析!D$5,2),IF($Y$3="申万三级行业",[1]!s_info_industry_sw_2021(W2527,公司分析!D$5,3),IF($Y$3="wind一级行业",[1]!s_info_industry_gics(W2527,1),IF($Y$3="wind二级行业",[1]!s_info_industry_gics(W2527,2),IF($Y$3="wind三级行业",[1]!s_info_industry_gics(W2527,3),IF($Y$3="wind四级行业",[1]!s_info_industry_gics(W2527,4),IF($Y$3="证监会门类行业",[1]!s_info_industry_csrc12_n(W2527,公司分析!D$5,1),""))))))))</f>
        <v>文娱用品</v>
      </c>
      <c r="Z2527" s="302" t="str">
        <f ca="1">IF(Y2527=行业比较!$E$6,ROW(),"")</f>
        <v/>
      </c>
    </row>
    <row r="2528" spans="22:26">
      <c r="V2528" s="260">
        <f t="shared" ca="1" si="47"/>
        <v>0</v>
      </c>
      <c r="W2528" s="348" t="str">
        <f>IF(板块成分!B2530="","",板块成分!B2530)</f>
        <v>301102.SZ</v>
      </c>
      <c r="X2528" s="276" t="str">
        <f>[1]!S_Info_Name(W2528)</f>
        <v>兆讯传媒</v>
      </c>
      <c r="Y2528" s="276" t="str">
        <f ca="1">IF($Y$3="申万一级行业",[1]!s_info_industry_sw_2021(W2528,公司分析!D$5,1),IF($Y$3="申万二级行业",[1]!s_info_industry_sw_2021(W2528,公司分析!D$5,2),IF($Y$3="申万三级行业",[1]!s_info_industry_sw_2021(W2528,公司分析!D$5,3),IF($Y$3="wind一级行业",[1]!s_info_industry_gics(W2528,1),IF($Y$3="wind二级行业",[1]!s_info_industry_gics(W2528,2),IF($Y$3="wind三级行业",[1]!s_info_industry_gics(W2528,3),IF($Y$3="wind四级行业",[1]!s_info_industry_gics(W2528,4),IF($Y$3="证监会门类行业",[1]!s_info_industry_csrc12_n(W2528,公司分析!D$5,1),""))))))))</f>
        <v>广告营销</v>
      </c>
      <c r="Z2528" s="302" t="str">
        <f ca="1">IF(Y2528=行业比较!$E$6,ROW(),"")</f>
        <v/>
      </c>
    </row>
    <row r="2529" spans="22:26">
      <c r="V2529" s="260">
        <f t="shared" ca="1" si="47"/>
        <v>0</v>
      </c>
      <c r="W2529" s="348" t="str">
        <f>IF(板块成分!B2531="","",板块成分!B2531)</f>
        <v>301103.SZ</v>
      </c>
      <c r="X2529" s="276" t="str">
        <f>[1]!S_Info_Name(W2529)</f>
        <v>何氏眼科</v>
      </c>
      <c r="Y2529" s="276" t="str">
        <f ca="1">IF($Y$3="申万一级行业",[1]!s_info_industry_sw_2021(W2529,公司分析!D$5,1),IF($Y$3="申万二级行业",[1]!s_info_industry_sw_2021(W2529,公司分析!D$5,2),IF($Y$3="申万三级行业",[1]!s_info_industry_sw_2021(W2529,公司分析!D$5,3),IF($Y$3="wind一级行业",[1]!s_info_industry_gics(W2529,1),IF($Y$3="wind二级行业",[1]!s_info_industry_gics(W2529,2),IF($Y$3="wind三级行业",[1]!s_info_industry_gics(W2529,3),IF($Y$3="wind四级行业",[1]!s_info_industry_gics(W2529,4),IF($Y$3="证监会门类行业",[1]!s_info_industry_csrc12_n(W2529,公司分析!D$5,1),""))))))))</f>
        <v>医疗服务</v>
      </c>
      <c r="Z2529" s="302" t="str">
        <f ca="1">IF(Y2529=行业比较!$E$6,ROW(),"")</f>
        <v/>
      </c>
    </row>
    <row r="2530" spans="22:26">
      <c r="V2530" s="260">
        <f t="shared" ca="1" si="47"/>
        <v>0</v>
      </c>
      <c r="W2530" s="348" t="str">
        <f>IF(板块成分!B2532="","",板块成分!B2532)</f>
        <v>301105.SZ</v>
      </c>
      <c r="X2530" s="276" t="str">
        <f>[1]!S_Info_Name(W2530)</f>
        <v>鸿铭股份</v>
      </c>
      <c r="Y2530" s="276" t="str">
        <f ca="1">IF($Y$3="申万一级行业",[1]!s_info_industry_sw_2021(W2530,公司分析!D$5,1),IF($Y$3="申万二级行业",[1]!s_info_industry_sw_2021(W2530,公司分析!D$5,2),IF($Y$3="申万三级行业",[1]!s_info_industry_sw_2021(W2530,公司分析!D$5,3),IF($Y$3="wind一级行业",[1]!s_info_industry_gics(W2530,1),IF($Y$3="wind二级行业",[1]!s_info_industry_gics(W2530,2),IF($Y$3="wind三级行业",[1]!s_info_industry_gics(W2530,3),IF($Y$3="wind四级行业",[1]!s_info_industry_gics(W2530,4),IF($Y$3="证监会门类行业",[1]!s_info_industry_csrc12_n(W2530,公司分析!D$5,1),""))))))))</f>
        <v>专用设备</v>
      </c>
      <c r="Z2530" s="302" t="str">
        <f ca="1">IF(Y2530=行业比较!$E$6,ROW(),"")</f>
        <v/>
      </c>
    </row>
    <row r="2531" spans="22:26">
      <c r="V2531" s="260">
        <f t="shared" ca="1" si="47"/>
        <v>0</v>
      </c>
      <c r="W2531" s="348" t="str">
        <f>IF(板块成分!B2533="","",板块成分!B2533)</f>
        <v>301106.SZ</v>
      </c>
      <c r="X2531" s="276" t="str">
        <f>[1]!S_Info_Name(W2531)</f>
        <v>骏成科技</v>
      </c>
      <c r="Y2531" s="276" t="str">
        <f ca="1">IF($Y$3="申万一级行业",[1]!s_info_industry_sw_2021(W2531,公司分析!D$5,1),IF($Y$3="申万二级行业",[1]!s_info_industry_sw_2021(W2531,公司分析!D$5,2),IF($Y$3="申万三级行业",[1]!s_info_industry_sw_2021(W2531,公司分析!D$5,3),IF($Y$3="wind一级行业",[1]!s_info_industry_gics(W2531,1),IF($Y$3="wind二级行业",[1]!s_info_industry_gics(W2531,2),IF($Y$3="wind三级行业",[1]!s_info_industry_gics(W2531,3),IF($Y$3="wind四级行业",[1]!s_info_industry_gics(W2531,4),IF($Y$3="证监会门类行业",[1]!s_info_industry_csrc12_n(W2531,公司分析!D$5,1),""))))))))</f>
        <v>光学光电子</v>
      </c>
      <c r="Z2531" s="302" t="str">
        <f ca="1">IF(Y2531=行业比较!$E$6,ROW(),"")</f>
        <v/>
      </c>
    </row>
    <row r="2532" spans="22:26">
      <c r="V2532" s="260">
        <f t="shared" ca="1" si="47"/>
        <v>0</v>
      </c>
      <c r="W2532" s="348" t="str">
        <f>IF(板块成分!B2534="","",板块成分!B2534)</f>
        <v>301107.SZ</v>
      </c>
      <c r="X2532" s="276" t="str">
        <f>[1]!S_Info_Name(W2532)</f>
        <v>瑜欣电子</v>
      </c>
      <c r="Y2532" s="276" t="str">
        <f ca="1">IF($Y$3="申万一级行业",[1]!s_info_industry_sw_2021(W2532,公司分析!D$5,1),IF($Y$3="申万二级行业",[1]!s_info_industry_sw_2021(W2532,公司分析!D$5,2),IF($Y$3="申万三级行业",[1]!s_info_industry_sw_2021(W2532,公司分析!D$5,3),IF($Y$3="wind一级行业",[1]!s_info_industry_gics(W2532,1),IF($Y$3="wind二级行业",[1]!s_info_industry_gics(W2532,2),IF($Y$3="wind三级行业",[1]!s_info_industry_gics(W2532,3),IF($Y$3="wind四级行业",[1]!s_info_industry_gics(W2532,4),IF($Y$3="证监会门类行业",[1]!s_info_industry_csrc12_n(W2532,公司分析!D$5,1),""))))))))</f>
        <v>通用设备</v>
      </c>
      <c r="Z2532" s="302" t="str">
        <f ca="1">IF(Y2532=行业比较!$E$6,ROW(),"")</f>
        <v/>
      </c>
    </row>
    <row r="2533" spans="22:26">
      <c r="V2533" s="260">
        <f t="shared" ca="1" si="47"/>
        <v>0</v>
      </c>
      <c r="W2533" s="348" t="str">
        <f>IF(板块成分!B2535="","",板块成分!B2535)</f>
        <v>301108.SZ</v>
      </c>
      <c r="X2533" s="276" t="str">
        <f>[1]!S_Info_Name(W2533)</f>
        <v>洁雅股份</v>
      </c>
      <c r="Y2533" s="276" t="str">
        <f ca="1">IF($Y$3="申万一级行业",[1]!s_info_industry_sw_2021(W2533,公司分析!D$5,1),IF($Y$3="申万二级行业",[1]!s_info_industry_sw_2021(W2533,公司分析!D$5,2),IF($Y$3="申万三级行业",[1]!s_info_industry_sw_2021(W2533,公司分析!D$5,3),IF($Y$3="wind一级行业",[1]!s_info_industry_gics(W2533,1),IF($Y$3="wind二级行业",[1]!s_info_industry_gics(W2533,2),IF($Y$3="wind三级行业",[1]!s_info_industry_gics(W2533,3),IF($Y$3="wind四级行业",[1]!s_info_industry_gics(W2533,4),IF($Y$3="证监会门类行业",[1]!s_info_industry_csrc12_n(W2533,公司分析!D$5,1),""))))))))</f>
        <v>个护用品</v>
      </c>
      <c r="Z2533" s="302" t="str">
        <f ca="1">IF(Y2533=行业比较!$E$6,ROW(),"")</f>
        <v/>
      </c>
    </row>
    <row r="2534" spans="22:26">
      <c r="V2534" s="260">
        <f t="shared" ca="1" si="47"/>
        <v>0</v>
      </c>
      <c r="W2534" s="348" t="str">
        <f>IF(板块成分!B2536="","",板块成分!B2536)</f>
        <v>301109.SZ</v>
      </c>
      <c r="X2534" s="276" t="str">
        <f>[1]!S_Info_Name(W2534)</f>
        <v>军信股份</v>
      </c>
      <c r="Y2534" s="276" t="str">
        <f ca="1">IF($Y$3="申万一级行业",[1]!s_info_industry_sw_2021(W2534,公司分析!D$5,1),IF($Y$3="申万二级行业",[1]!s_info_industry_sw_2021(W2534,公司分析!D$5,2),IF($Y$3="申万三级行业",[1]!s_info_industry_sw_2021(W2534,公司分析!D$5,3),IF($Y$3="wind一级行业",[1]!s_info_industry_gics(W2534,1),IF($Y$3="wind二级行业",[1]!s_info_industry_gics(W2534,2),IF($Y$3="wind三级行业",[1]!s_info_industry_gics(W2534,3),IF($Y$3="wind四级行业",[1]!s_info_industry_gics(W2534,4),IF($Y$3="证监会门类行业",[1]!s_info_industry_csrc12_n(W2534,公司分析!D$5,1),""))))))))</f>
        <v>环境治理</v>
      </c>
      <c r="Z2534" s="302" t="str">
        <f ca="1">IF(Y2534=行业比较!$E$6,ROW(),"")</f>
        <v/>
      </c>
    </row>
    <row r="2535" spans="22:26">
      <c r="V2535" s="260">
        <f t="shared" ca="1" si="47"/>
        <v>0</v>
      </c>
      <c r="W2535" s="348" t="str">
        <f>IF(板块成分!B2537="","",板块成分!B2537)</f>
        <v>301110.SZ</v>
      </c>
      <c r="X2535" s="276" t="str">
        <f>[1]!S_Info_Name(W2535)</f>
        <v>青木科技</v>
      </c>
      <c r="Y2535" s="276" t="str">
        <f ca="1">IF($Y$3="申万一级行业",[1]!s_info_industry_sw_2021(W2535,公司分析!D$5,1),IF($Y$3="申万二级行业",[1]!s_info_industry_sw_2021(W2535,公司分析!D$5,2),IF($Y$3="申万三级行业",[1]!s_info_industry_sw_2021(W2535,公司分析!D$5,3),IF($Y$3="wind一级行业",[1]!s_info_industry_gics(W2535,1),IF($Y$3="wind二级行业",[1]!s_info_industry_gics(W2535,2),IF($Y$3="wind三级行业",[1]!s_info_industry_gics(W2535,3),IF($Y$3="wind四级行业",[1]!s_info_industry_gics(W2535,4),IF($Y$3="证监会门类行业",[1]!s_info_industry_csrc12_n(W2535,公司分析!D$5,1),""))))))))</f>
        <v>互联网电商</v>
      </c>
      <c r="Z2535" s="302" t="str">
        <f ca="1">IF(Y2535=行业比较!$E$6,ROW(),"")</f>
        <v/>
      </c>
    </row>
    <row r="2536" spans="22:26">
      <c r="V2536" s="260">
        <f t="shared" ca="1" si="47"/>
        <v>0</v>
      </c>
      <c r="W2536" s="348" t="str">
        <f>IF(板块成分!B2538="","",板块成分!B2538)</f>
        <v>301111.SZ</v>
      </c>
      <c r="X2536" s="276" t="str">
        <f>[1]!S_Info_Name(W2536)</f>
        <v>粤万年青</v>
      </c>
      <c r="Y2536" s="276" t="str">
        <f ca="1">IF($Y$3="申万一级行业",[1]!s_info_industry_sw_2021(W2536,公司分析!D$5,1),IF($Y$3="申万二级行业",[1]!s_info_industry_sw_2021(W2536,公司分析!D$5,2),IF($Y$3="申万三级行业",[1]!s_info_industry_sw_2021(W2536,公司分析!D$5,3),IF($Y$3="wind一级行业",[1]!s_info_industry_gics(W2536,1),IF($Y$3="wind二级行业",[1]!s_info_industry_gics(W2536,2),IF($Y$3="wind三级行业",[1]!s_info_industry_gics(W2536,3),IF($Y$3="wind四级行业",[1]!s_info_industry_gics(W2536,4),IF($Y$3="证监会门类行业",[1]!s_info_industry_csrc12_n(W2536,公司分析!D$5,1),""))))))))</f>
        <v>中药Ⅱ</v>
      </c>
      <c r="Z2536" s="302" t="str">
        <f ca="1">IF(Y2536=行业比较!$E$6,ROW(),"")</f>
        <v/>
      </c>
    </row>
    <row r="2537" spans="22:26">
      <c r="V2537" s="260">
        <f t="shared" ca="1" si="47"/>
        <v>0</v>
      </c>
      <c r="W2537" s="348" t="str">
        <f>IF(板块成分!B2539="","",板块成分!B2539)</f>
        <v>301112.SZ</v>
      </c>
      <c r="X2537" s="276" t="str">
        <f>[1]!S_Info_Name(W2537)</f>
        <v>信邦智能</v>
      </c>
      <c r="Y2537" s="276" t="str">
        <f ca="1">IF($Y$3="申万一级行业",[1]!s_info_industry_sw_2021(W2537,公司分析!D$5,1),IF($Y$3="申万二级行业",[1]!s_info_industry_sw_2021(W2537,公司分析!D$5,2),IF($Y$3="申万三级行业",[1]!s_info_industry_sw_2021(W2537,公司分析!D$5,3),IF($Y$3="wind一级行业",[1]!s_info_industry_gics(W2537,1),IF($Y$3="wind二级行业",[1]!s_info_industry_gics(W2537,2),IF($Y$3="wind三级行业",[1]!s_info_industry_gics(W2537,3),IF($Y$3="wind四级行业",[1]!s_info_industry_gics(W2537,4),IF($Y$3="证监会门类行业",[1]!s_info_industry_csrc12_n(W2537,公司分析!D$5,1),""))))))))</f>
        <v>自动化设备</v>
      </c>
      <c r="Z2537" s="302" t="str">
        <f ca="1">IF(Y2537=行业比较!$E$6,ROW(),"")</f>
        <v/>
      </c>
    </row>
    <row r="2538" spans="22:26">
      <c r="V2538" s="260">
        <f t="shared" ca="1" si="47"/>
        <v>0</v>
      </c>
      <c r="W2538" s="348" t="str">
        <f>IF(板块成分!B2540="","",板块成分!B2540)</f>
        <v>301113.SZ</v>
      </c>
      <c r="X2538" s="276" t="str">
        <f>[1]!S_Info_Name(W2538)</f>
        <v>雅艺科技</v>
      </c>
      <c r="Y2538" s="276" t="str">
        <f ca="1">IF($Y$3="申万一级行业",[1]!s_info_industry_sw_2021(W2538,公司分析!D$5,1),IF($Y$3="申万二级行业",[1]!s_info_industry_sw_2021(W2538,公司分析!D$5,2),IF($Y$3="申万三级行业",[1]!s_info_industry_sw_2021(W2538,公司分析!D$5,3),IF($Y$3="wind一级行业",[1]!s_info_industry_gics(W2538,1),IF($Y$3="wind二级行业",[1]!s_info_industry_gics(W2538,2),IF($Y$3="wind三级行业",[1]!s_info_industry_gics(W2538,3),IF($Y$3="wind四级行业",[1]!s_info_industry_gics(W2538,4),IF($Y$3="证监会门类行业",[1]!s_info_industry_csrc12_n(W2538,公司分析!D$5,1),""))))))))</f>
        <v>家居用品</v>
      </c>
      <c r="Z2538" s="302" t="str">
        <f ca="1">IF(Y2538=行业比较!$E$6,ROW(),"")</f>
        <v/>
      </c>
    </row>
    <row r="2539" spans="22:26">
      <c r="V2539" s="260">
        <f t="shared" ca="1" si="47"/>
        <v>0</v>
      </c>
      <c r="W2539" s="348" t="str">
        <f>IF(板块成分!B2541="","",板块成分!B2541)</f>
        <v>301115.SZ</v>
      </c>
      <c r="X2539" s="276" t="str">
        <f>[1]!S_Info_Name(W2539)</f>
        <v>联检科技</v>
      </c>
      <c r="Y2539" s="276" t="str">
        <f ca="1">IF($Y$3="申万一级行业",[1]!s_info_industry_sw_2021(W2539,公司分析!D$5,1),IF($Y$3="申万二级行业",[1]!s_info_industry_sw_2021(W2539,公司分析!D$5,2),IF($Y$3="申万三级行业",[1]!s_info_industry_sw_2021(W2539,公司分析!D$5,3),IF($Y$3="wind一级行业",[1]!s_info_industry_gics(W2539,1),IF($Y$3="wind二级行业",[1]!s_info_industry_gics(W2539,2),IF($Y$3="wind三级行业",[1]!s_info_industry_gics(W2539,3),IF($Y$3="wind四级行业",[1]!s_info_industry_gics(W2539,4),IF($Y$3="证监会门类行业",[1]!s_info_industry_csrc12_n(W2539,公司分析!D$5,1),""))))))))</f>
        <v>专业服务</v>
      </c>
      <c r="Z2539" s="302" t="str">
        <f ca="1">IF(Y2539=行业比较!$E$6,ROW(),"")</f>
        <v/>
      </c>
    </row>
    <row r="2540" spans="22:26">
      <c r="V2540" s="260">
        <f t="shared" ca="1" si="47"/>
        <v>0</v>
      </c>
      <c r="W2540" s="348" t="str">
        <f>IF(板块成分!B2542="","",板块成分!B2542)</f>
        <v>301116.SZ</v>
      </c>
      <c r="X2540" s="276" t="str">
        <f>[1]!S_Info_Name(W2540)</f>
        <v>益客食品</v>
      </c>
      <c r="Y2540" s="276" t="str">
        <f ca="1">IF($Y$3="申万一级行业",[1]!s_info_industry_sw_2021(W2540,公司分析!D$5,1),IF($Y$3="申万二级行业",[1]!s_info_industry_sw_2021(W2540,公司分析!D$5,2),IF($Y$3="申万三级行业",[1]!s_info_industry_sw_2021(W2540,公司分析!D$5,3),IF($Y$3="wind一级行业",[1]!s_info_industry_gics(W2540,1),IF($Y$3="wind二级行业",[1]!s_info_industry_gics(W2540,2),IF($Y$3="wind三级行业",[1]!s_info_industry_gics(W2540,3),IF($Y$3="wind四级行业",[1]!s_info_industry_gics(W2540,4),IF($Y$3="证监会门类行业",[1]!s_info_industry_csrc12_n(W2540,公司分析!D$5,1),""))))))))</f>
        <v>养殖业</v>
      </c>
      <c r="Z2540" s="302" t="str">
        <f ca="1">IF(Y2540=行业比较!$E$6,ROW(),"")</f>
        <v/>
      </c>
    </row>
    <row r="2541" spans="22:26">
      <c r="V2541" s="260">
        <f t="shared" ca="1" si="47"/>
        <v>0</v>
      </c>
      <c r="W2541" s="348" t="str">
        <f>IF(板块成分!B2543="","",板块成分!B2543)</f>
        <v>301117.SZ</v>
      </c>
      <c r="X2541" s="276" t="str">
        <f>[1]!S_Info_Name(W2541)</f>
        <v>佳缘科技</v>
      </c>
      <c r="Y2541" s="276" t="str">
        <f ca="1">IF($Y$3="申万一级行业",[1]!s_info_industry_sw_2021(W2541,公司分析!D$5,1),IF($Y$3="申万二级行业",[1]!s_info_industry_sw_2021(W2541,公司分析!D$5,2),IF($Y$3="申万三级行业",[1]!s_info_industry_sw_2021(W2541,公司分析!D$5,3),IF($Y$3="wind一级行业",[1]!s_info_industry_gics(W2541,1),IF($Y$3="wind二级行业",[1]!s_info_industry_gics(W2541,2),IF($Y$3="wind三级行业",[1]!s_info_industry_gics(W2541,3),IF($Y$3="wind四级行业",[1]!s_info_industry_gics(W2541,4),IF($Y$3="证监会门类行业",[1]!s_info_industry_csrc12_n(W2541,公司分析!D$5,1),""))))))))</f>
        <v>计算机设备</v>
      </c>
      <c r="Z2541" s="302" t="str">
        <f ca="1">IF(Y2541=行业比较!$E$6,ROW(),"")</f>
        <v/>
      </c>
    </row>
    <row r="2542" spans="22:26">
      <c r="V2542" s="260">
        <f t="shared" ca="1" si="47"/>
        <v>0</v>
      </c>
      <c r="W2542" s="348" t="str">
        <f>IF(板块成分!B2544="","",板块成分!B2544)</f>
        <v>301118.SZ</v>
      </c>
      <c r="X2542" s="276" t="str">
        <f>[1]!S_Info_Name(W2542)</f>
        <v>恒光股份</v>
      </c>
      <c r="Y2542" s="276" t="str">
        <f ca="1">IF($Y$3="申万一级行业",[1]!s_info_industry_sw_2021(W2542,公司分析!D$5,1),IF($Y$3="申万二级行业",[1]!s_info_industry_sw_2021(W2542,公司分析!D$5,2),IF($Y$3="申万三级行业",[1]!s_info_industry_sw_2021(W2542,公司分析!D$5,3),IF($Y$3="wind一级行业",[1]!s_info_industry_gics(W2542,1),IF($Y$3="wind二级行业",[1]!s_info_industry_gics(W2542,2),IF($Y$3="wind三级行业",[1]!s_info_industry_gics(W2542,3),IF($Y$3="wind四级行业",[1]!s_info_industry_gics(W2542,4),IF($Y$3="证监会门类行业",[1]!s_info_industry_csrc12_n(W2542,公司分析!D$5,1),""))))))))</f>
        <v>化学原料</v>
      </c>
      <c r="Z2542" s="302" t="str">
        <f ca="1">IF(Y2542=行业比较!$E$6,ROW(),"")</f>
        <v/>
      </c>
    </row>
    <row r="2543" spans="22:26">
      <c r="V2543" s="260">
        <f t="shared" ca="1" si="47"/>
        <v>0</v>
      </c>
      <c r="W2543" s="348" t="str">
        <f>IF(板块成分!B2545="","",板块成分!B2545)</f>
        <v>301119.SZ</v>
      </c>
      <c r="X2543" s="276" t="str">
        <f>[1]!S_Info_Name(W2543)</f>
        <v>正强股份</v>
      </c>
      <c r="Y2543" s="276" t="str">
        <f ca="1">IF($Y$3="申万一级行业",[1]!s_info_industry_sw_2021(W2543,公司分析!D$5,1),IF($Y$3="申万二级行业",[1]!s_info_industry_sw_2021(W2543,公司分析!D$5,2),IF($Y$3="申万三级行业",[1]!s_info_industry_sw_2021(W2543,公司分析!D$5,3),IF($Y$3="wind一级行业",[1]!s_info_industry_gics(W2543,1),IF($Y$3="wind二级行业",[1]!s_info_industry_gics(W2543,2),IF($Y$3="wind三级行业",[1]!s_info_industry_gics(W2543,3),IF($Y$3="wind四级行业",[1]!s_info_industry_gics(W2543,4),IF($Y$3="证监会门类行业",[1]!s_info_industry_csrc12_n(W2543,公司分析!D$5,1),""))))))))</f>
        <v>汽车零部件</v>
      </c>
      <c r="Z2543" s="302" t="str">
        <f ca="1">IF(Y2543=行业比较!$E$6,ROW(),"")</f>
        <v/>
      </c>
    </row>
    <row r="2544" spans="22:26">
      <c r="V2544" s="260">
        <f t="shared" ca="1" si="47"/>
        <v>0</v>
      </c>
      <c r="W2544" s="348" t="str">
        <f>IF(板块成分!B2546="","",板块成分!B2546)</f>
        <v>301120.SZ</v>
      </c>
      <c r="X2544" s="276" t="str">
        <f>[1]!S_Info_Name(W2544)</f>
        <v>新特电气</v>
      </c>
      <c r="Y2544" s="276" t="str">
        <f ca="1">IF($Y$3="申万一级行业",[1]!s_info_industry_sw_2021(W2544,公司分析!D$5,1),IF($Y$3="申万二级行业",[1]!s_info_industry_sw_2021(W2544,公司分析!D$5,2),IF($Y$3="申万三级行业",[1]!s_info_industry_sw_2021(W2544,公司分析!D$5,3),IF($Y$3="wind一级行业",[1]!s_info_industry_gics(W2544,1),IF($Y$3="wind二级行业",[1]!s_info_industry_gics(W2544,2),IF($Y$3="wind三级行业",[1]!s_info_industry_gics(W2544,3),IF($Y$3="wind四级行业",[1]!s_info_industry_gics(W2544,4),IF($Y$3="证监会门类行业",[1]!s_info_industry_csrc12_n(W2544,公司分析!D$5,1),""))))))))</f>
        <v>电网设备</v>
      </c>
      <c r="Z2544" s="302" t="str">
        <f ca="1">IF(Y2544=行业比较!$E$6,ROW(),"")</f>
        <v/>
      </c>
    </row>
    <row r="2545" spans="22:26">
      <c r="V2545" s="260">
        <f t="shared" ca="1" si="47"/>
        <v>0</v>
      </c>
      <c r="W2545" s="348" t="str">
        <f>IF(板块成分!B2547="","",板块成分!B2547)</f>
        <v>301121.SZ</v>
      </c>
      <c r="X2545" s="276" t="str">
        <f>[1]!S_Info_Name(W2545)</f>
        <v>紫建电子</v>
      </c>
      <c r="Y2545" s="276" t="str">
        <f ca="1">IF($Y$3="申万一级行业",[1]!s_info_industry_sw_2021(W2545,公司分析!D$5,1),IF($Y$3="申万二级行业",[1]!s_info_industry_sw_2021(W2545,公司分析!D$5,2),IF($Y$3="申万三级行业",[1]!s_info_industry_sw_2021(W2545,公司分析!D$5,3),IF($Y$3="wind一级行业",[1]!s_info_industry_gics(W2545,1),IF($Y$3="wind二级行业",[1]!s_info_industry_gics(W2545,2),IF($Y$3="wind三级行业",[1]!s_info_industry_gics(W2545,3),IF($Y$3="wind四级行业",[1]!s_info_industry_gics(W2545,4),IF($Y$3="证监会门类行业",[1]!s_info_industry_csrc12_n(W2545,公司分析!D$5,1),""))))))))</f>
        <v>电池</v>
      </c>
      <c r="Z2545" s="302" t="str">
        <f ca="1">IF(Y2545=行业比较!$E$6,ROW(),"")</f>
        <v/>
      </c>
    </row>
    <row r="2546" spans="22:26">
      <c r="V2546" s="260">
        <f t="shared" ca="1" si="47"/>
        <v>0</v>
      </c>
      <c r="W2546" s="348" t="str">
        <f>IF(板块成分!B2548="","",板块成分!B2548)</f>
        <v>301122.SZ</v>
      </c>
      <c r="X2546" s="276" t="str">
        <f>[1]!S_Info_Name(W2546)</f>
        <v>采纳股份</v>
      </c>
      <c r="Y2546" s="276" t="str">
        <f ca="1">IF($Y$3="申万一级行业",[1]!s_info_industry_sw_2021(W2546,公司分析!D$5,1),IF($Y$3="申万二级行业",[1]!s_info_industry_sw_2021(W2546,公司分析!D$5,2),IF($Y$3="申万三级行业",[1]!s_info_industry_sw_2021(W2546,公司分析!D$5,3),IF($Y$3="wind一级行业",[1]!s_info_industry_gics(W2546,1),IF($Y$3="wind二级行业",[1]!s_info_industry_gics(W2546,2),IF($Y$3="wind三级行业",[1]!s_info_industry_gics(W2546,3),IF($Y$3="wind四级行业",[1]!s_info_industry_gics(W2546,4),IF($Y$3="证监会门类行业",[1]!s_info_industry_csrc12_n(W2546,公司分析!D$5,1),""))))))))</f>
        <v>医疗器械</v>
      </c>
      <c r="Z2546" s="302" t="str">
        <f ca="1">IF(Y2546=行业比较!$E$6,ROW(),"")</f>
        <v/>
      </c>
    </row>
    <row r="2547" spans="22:26">
      <c r="V2547" s="260">
        <f t="shared" ca="1" si="47"/>
        <v>0</v>
      </c>
      <c r="W2547" s="348" t="str">
        <f>IF(板块成分!B2549="","",板块成分!B2549)</f>
        <v>301123.SZ</v>
      </c>
      <c r="X2547" s="276" t="str">
        <f>[1]!S_Info_Name(W2547)</f>
        <v>奕东电子</v>
      </c>
      <c r="Y2547" s="276" t="str">
        <f ca="1">IF($Y$3="申万一级行业",[1]!s_info_industry_sw_2021(W2547,公司分析!D$5,1),IF($Y$3="申万二级行业",[1]!s_info_industry_sw_2021(W2547,公司分析!D$5,2),IF($Y$3="申万三级行业",[1]!s_info_industry_sw_2021(W2547,公司分析!D$5,3),IF($Y$3="wind一级行业",[1]!s_info_industry_gics(W2547,1),IF($Y$3="wind二级行业",[1]!s_info_industry_gics(W2547,2),IF($Y$3="wind三级行业",[1]!s_info_industry_gics(W2547,3),IF($Y$3="wind四级行业",[1]!s_info_industry_gics(W2547,4),IF($Y$3="证监会门类行业",[1]!s_info_industry_csrc12_n(W2547,公司分析!D$5,1),""))))))))</f>
        <v>消费电子</v>
      </c>
      <c r="Z2547" s="302" t="str">
        <f ca="1">IF(Y2547=行业比较!$E$6,ROW(),"")</f>
        <v/>
      </c>
    </row>
    <row r="2548" spans="22:26">
      <c r="V2548" s="260">
        <f t="shared" ca="1" si="47"/>
        <v>0</v>
      </c>
      <c r="W2548" s="348" t="str">
        <f>IF(板块成分!B2550="","",板块成分!B2550)</f>
        <v>301125.SZ</v>
      </c>
      <c r="X2548" s="276" t="str">
        <f>[1]!S_Info_Name(W2548)</f>
        <v>腾亚精工</v>
      </c>
      <c r="Y2548" s="276" t="str">
        <f ca="1">IF($Y$3="申万一级行业",[1]!s_info_industry_sw_2021(W2548,公司分析!D$5,1),IF($Y$3="申万二级行业",[1]!s_info_industry_sw_2021(W2548,公司分析!D$5,2),IF($Y$3="申万三级行业",[1]!s_info_industry_sw_2021(W2548,公司分析!D$5,3),IF($Y$3="wind一级行业",[1]!s_info_industry_gics(W2548,1),IF($Y$3="wind二级行业",[1]!s_info_industry_gics(W2548,2),IF($Y$3="wind三级行业",[1]!s_info_industry_gics(W2548,3),IF($Y$3="wind四级行业",[1]!s_info_industry_gics(W2548,4),IF($Y$3="证监会门类行业",[1]!s_info_industry_csrc12_n(W2548,公司分析!D$5,1),""))))))))</f>
        <v>通用设备</v>
      </c>
      <c r="Z2548" s="302" t="str">
        <f ca="1">IF(Y2548=行业比较!$E$6,ROW(),"")</f>
        <v/>
      </c>
    </row>
    <row r="2549" spans="22:26">
      <c r="V2549" s="260">
        <f t="shared" ca="1" si="47"/>
        <v>0</v>
      </c>
      <c r="W2549" s="348" t="str">
        <f>IF(板块成分!B2551="","",板块成分!B2551)</f>
        <v>301126.SZ</v>
      </c>
      <c r="X2549" s="276" t="str">
        <f>[1]!S_Info_Name(W2549)</f>
        <v>达嘉维康</v>
      </c>
      <c r="Y2549" s="276" t="str">
        <f ca="1">IF($Y$3="申万一级行业",[1]!s_info_industry_sw_2021(W2549,公司分析!D$5,1),IF($Y$3="申万二级行业",[1]!s_info_industry_sw_2021(W2549,公司分析!D$5,2),IF($Y$3="申万三级行业",[1]!s_info_industry_sw_2021(W2549,公司分析!D$5,3),IF($Y$3="wind一级行业",[1]!s_info_industry_gics(W2549,1),IF($Y$3="wind二级行业",[1]!s_info_industry_gics(W2549,2),IF($Y$3="wind三级行业",[1]!s_info_industry_gics(W2549,3),IF($Y$3="wind四级行业",[1]!s_info_industry_gics(W2549,4),IF($Y$3="证监会门类行业",[1]!s_info_industry_csrc12_n(W2549,公司分析!D$5,1),""))))))))</f>
        <v>医药商业</v>
      </c>
      <c r="Z2549" s="302" t="str">
        <f ca="1">IF(Y2549=行业比较!$E$6,ROW(),"")</f>
        <v/>
      </c>
    </row>
    <row r="2550" spans="22:26">
      <c r="V2550" s="260">
        <f t="shared" ca="1" si="47"/>
        <v>0</v>
      </c>
      <c r="W2550" s="348" t="str">
        <f>IF(板块成分!B2552="","",板块成分!B2552)</f>
        <v>301127.SZ</v>
      </c>
      <c r="X2550" s="276" t="str">
        <f>[1]!S_Info_Name(W2550)</f>
        <v>武汉天源</v>
      </c>
      <c r="Y2550" s="276" t="str">
        <f ca="1">IF($Y$3="申万一级行业",[1]!s_info_industry_sw_2021(W2550,公司分析!D$5,1),IF($Y$3="申万二级行业",[1]!s_info_industry_sw_2021(W2550,公司分析!D$5,2),IF($Y$3="申万三级行业",[1]!s_info_industry_sw_2021(W2550,公司分析!D$5,3),IF($Y$3="wind一级行业",[1]!s_info_industry_gics(W2550,1),IF($Y$3="wind二级行业",[1]!s_info_industry_gics(W2550,2),IF($Y$3="wind三级行业",[1]!s_info_industry_gics(W2550,3),IF($Y$3="wind四级行业",[1]!s_info_industry_gics(W2550,4),IF($Y$3="证监会门类行业",[1]!s_info_industry_csrc12_n(W2550,公司分析!D$5,1),""))))))))</f>
        <v>环境治理</v>
      </c>
      <c r="Z2550" s="302" t="str">
        <f ca="1">IF(Y2550=行业比较!$E$6,ROW(),"")</f>
        <v/>
      </c>
    </row>
    <row r="2551" spans="22:26">
      <c r="V2551" s="260">
        <f t="shared" ca="1" si="47"/>
        <v>0</v>
      </c>
      <c r="W2551" s="348" t="str">
        <f>IF(板块成分!B2553="","",板块成分!B2553)</f>
        <v>301128.SZ</v>
      </c>
      <c r="X2551" s="276" t="str">
        <f>[1]!S_Info_Name(W2551)</f>
        <v>强瑞技术</v>
      </c>
      <c r="Y2551" s="276" t="str">
        <f ca="1">IF($Y$3="申万一级行业",[1]!s_info_industry_sw_2021(W2551,公司分析!D$5,1),IF($Y$3="申万二级行业",[1]!s_info_industry_sw_2021(W2551,公司分析!D$5,2),IF($Y$3="申万三级行业",[1]!s_info_industry_sw_2021(W2551,公司分析!D$5,3),IF($Y$3="wind一级行业",[1]!s_info_industry_gics(W2551,1),IF($Y$3="wind二级行业",[1]!s_info_industry_gics(W2551,2),IF($Y$3="wind三级行业",[1]!s_info_industry_gics(W2551,3),IF($Y$3="wind四级行业",[1]!s_info_industry_gics(W2551,4),IF($Y$3="证监会门类行业",[1]!s_info_industry_csrc12_n(W2551,公司分析!D$5,1),""))))))))</f>
        <v>专用设备</v>
      </c>
      <c r="Z2551" s="302" t="str">
        <f ca="1">IF(Y2551=行业比较!$E$6,ROW(),"")</f>
        <v/>
      </c>
    </row>
    <row r="2552" spans="22:26">
      <c r="V2552" s="260">
        <f t="shared" ca="1" si="47"/>
        <v>0</v>
      </c>
      <c r="W2552" s="348" t="str">
        <f>IF(板块成分!B2554="","",板块成分!B2554)</f>
        <v>301129.SZ</v>
      </c>
      <c r="X2552" s="276" t="str">
        <f>[1]!S_Info_Name(W2552)</f>
        <v>瑞纳智能</v>
      </c>
      <c r="Y2552" s="276" t="str">
        <f ca="1">IF($Y$3="申万一级行业",[1]!s_info_industry_sw_2021(W2552,公司分析!D$5,1),IF($Y$3="申万二级行业",[1]!s_info_industry_sw_2021(W2552,公司分析!D$5,2),IF($Y$3="申万三级行业",[1]!s_info_industry_sw_2021(W2552,公司分析!D$5,3),IF($Y$3="wind一级行业",[1]!s_info_industry_gics(W2552,1),IF($Y$3="wind二级行业",[1]!s_info_industry_gics(W2552,2),IF($Y$3="wind三级行业",[1]!s_info_industry_gics(W2552,3),IF($Y$3="wind四级行业",[1]!s_info_industry_gics(W2552,4),IF($Y$3="证监会门类行业",[1]!s_info_industry_csrc12_n(W2552,公司分析!D$5,1),""))))))))</f>
        <v>通用设备</v>
      </c>
      <c r="Z2552" s="302" t="str">
        <f ca="1">IF(Y2552=行业比较!$E$6,ROW(),"")</f>
        <v/>
      </c>
    </row>
    <row r="2553" spans="22:26">
      <c r="V2553" s="260">
        <f t="shared" ca="1" si="47"/>
        <v>0</v>
      </c>
      <c r="W2553" s="348" t="str">
        <f>IF(板块成分!B2555="","",板块成分!B2555)</f>
        <v>301130.SZ</v>
      </c>
      <c r="X2553" s="276" t="str">
        <f>[1]!S_Info_Name(W2553)</f>
        <v>西点药业</v>
      </c>
      <c r="Y2553" s="276" t="str">
        <f ca="1">IF($Y$3="申万一级行业",[1]!s_info_industry_sw_2021(W2553,公司分析!D$5,1),IF($Y$3="申万二级行业",[1]!s_info_industry_sw_2021(W2553,公司分析!D$5,2),IF($Y$3="申万三级行业",[1]!s_info_industry_sw_2021(W2553,公司分析!D$5,3),IF($Y$3="wind一级行业",[1]!s_info_industry_gics(W2553,1),IF($Y$3="wind二级行业",[1]!s_info_industry_gics(W2553,2),IF($Y$3="wind三级行业",[1]!s_info_industry_gics(W2553,3),IF($Y$3="wind四级行业",[1]!s_info_industry_gics(W2553,4),IF($Y$3="证监会门类行业",[1]!s_info_industry_csrc12_n(W2553,公司分析!D$5,1),""))))))))</f>
        <v>化学制药</v>
      </c>
      <c r="Z2553" s="302" t="str">
        <f ca="1">IF(Y2553=行业比较!$E$6,ROW(),"")</f>
        <v/>
      </c>
    </row>
    <row r="2554" spans="22:26">
      <c r="V2554" s="260">
        <f t="shared" ca="1" si="47"/>
        <v>0</v>
      </c>
      <c r="W2554" s="348" t="str">
        <f>IF(板块成分!B2556="","",板块成分!B2556)</f>
        <v>301131.SZ</v>
      </c>
      <c r="X2554" s="276" t="str">
        <f>[1]!S_Info_Name(W2554)</f>
        <v>聚赛龙</v>
      </c>
      <c r="Y2554" s="276" t="str">
        <f ca="1">IF($Y$3="申万一级行业",[1]!s_info_industry_sw_2021(W2554,公司分析!D$5,1),IF($Y$3="申万二级行业",[1]!s_info_industry_sw_2021(W2554,公司分析!D$5,2),IF($Y$3="申万三级行业",[1]!s_info_industry_sw_2021(W2554,公司分析!D$5,3),IF($Y$3="wind一级行业",[1]!s_info_industry_gics(W2554,1),IF($Y$3="wind二级行业",[1]!s_info_industry_gics(W2554,2),IF($Y$3="wind三级行业",[1]!s_info_industry_gics(W2554,3),IF($Y$3="wind四级行业",[1]!s_info_industry_gics(W2554,4),IF($Y$3="证监会门类行业",[1]!s_info_industry_csrc12_n(W2554,公司分析!D$5,1),""))))))))</f>
        <v>塑料</v>
      </c>
      <c r="Z2554" s="302" t="str">
        <f ca="1">IF(Y2554=行业比较!$E$6,ROW(),"")</f>
        <v/>
      </c>
    </row>
    <row r="2555" spans="22:26">
      <c r="V2555" s="260">
        <f t="shared" ca="1" si="47"/>
        <v>0</v>
      </c>
      <c r="W2555" s="348" t="str">
        <f>IF(板块成分!B2557="","",板块成分!B2557)</f>
        <v>301132.SZ</v>
      </c>
      <c r="X2555" s="276" t="str">
        <f>[1]!S_Info_Name(W2555)</f>
        <v>满坤科技</v>
      </c>
      <c r="Y2555" s="276" t="str">
        <f ca="1">IF($Y$3="申万一级行业",[1]!s_info_industry_sw_2021(W2555,公司分析!D$5,1),IF($Y$3="申万二级行业",[1]!s_info_industry_sw_2021(W2555,公司分析!D$5,2),IF($Y$3="申万三级行业",[1]!s_info_industry_sw_2021(W2555,公司分析!D$5,3),IF($Y$3="wind一级行业",[1]!s_info_industry_gics(W2555,1),IF($Y$3="wind二级行业",[1]!s_info_industry_gics(W2555,2),IF($Y$3="wind三级行业",[1]!s_info_industry_gics(W2555,3),IF($Y$3="wind四级行业",[1]!s_info_industry_gics(W2555,4),IF($Y$3="证监会门类行业",[1]!s_info_industry_csrc12_n(W2555,公司分析!D$5,1),""))))))))</f>
        <v>元件</v>
      </c>
      <c r="Z2555" s="302" t="str">
        <f ca="1">IF(Y2555=行业比较!$E$6,ROW(),"")</f>
        <v/>
      </c>
    </row>
    <row r="2556" spans="22:26">
      <c r="V2556" s="260">
        <f t="shared" ca="1" si="47"/>
        <v>0</v>
      </c>
      <c r="W2556" s="348" t="str">
        <f>IF(板块成分!B2558="","",板块成分!B2558)</f>
        <v>301133.SZ</v>
      </c>
      <c r="X2556" s="276" t="str">
        <f>[1]!S_Info_Name(W2556)</f>
        <v>金钟股份</v>
      </c>
      <c r="Y2556" s="276" t="str">
        <f ca="1">IF($Y$3="申万一级行业",[1]!s_info_industry_sw_2021(W2556,公司分析!D$5,1),IF($Y$3="申万二级行业",[1]!s_info_industry_sw_2021(W2556,公司分析!D$5,2),IF($Y$3="申万三级行业",[1]!s_info_industry_sw_2021(W2556,公司分析!D$5,3),IF($Y$3="wind一级行业",[1]!s_info_industry_gics(W2556,1),IF($Y$3="wind二级行业",[1]!s_info_industry_gics(W2556,2),IF($Y$3="wind三级行业",[1]!s_info_industry_gics(W2556,3),IF($Y$3="wind四级行业",[1]!s_info_industry_gics(W2556,4),IF($Y$3="证监会门类行业",[1]!s_info_industry_csrc12_n(W2556,公司分析!D$5,1),""))))))))</f>
        <v>汽车零部件</v>
      </c>
      <c r="Z2556" s="302" t="str">
        <f ca="1">IF(Y2556=行业比较!$E$6,ROW(),"")</f>
        <v/>
      </c>
    </row>
    <row r="2557" spans="22:26">
      <c r="V2557" s="260">
        <f t="shared" ca="1" si="47"/>
        <v>0</v>
      </c>
      <c r="W2557" s="348" t="str">
        <f>IF(板块成分!B2559="","",板块成分!B2559)</f>
        <v>301135.SZ</v>
      </c>
      <c r="X2557" s="276" t="str">
        <f>[1]!S_Info_Name(W2557)</f>
        <v>瑞德智能</v>
      </c>
      <c r="Y2557" s="276" t="str">
        <f ca="1">IF($Y$3="申万一级行业",[1]!s_info_industry_sw_2021(W2557,公司分析!D$5,1),IF($Y$3="申万二级行业",[1]!s_info_industry_sw_2021(W2557,公司分析!D$5,2),IF($Y$3="申万三级行业",[1]!s_info_industry_sw_2021(W2557,公司分析!D$5,3),IF($Y$3="wind一级行业",[1]!s_info_industry_gics(W2557,1),IF($Y$3="wind二级行业",[1]!s_info_industry_gics(W2557,2),IF($Y$3="wind三级行业",[1]!s_info_industry_gics(W2557,3),IF($Y$3="wind四级行业",[1]!s_info_industry_gics(W2557,4),IF($Y$3="证监会门类行业",[1]!s_info_industry_csrc12_n(W2557,公司分析!D$5,1),""))))))))</f>
        <v>家电零部件Ⅱ</v>
      </c>
      <c r="Z2557" s="302" t="str">
        <f ca="1">IF(Y2557=行业比较!$E$6,ROW(),"")</f>
        <v/>
      </c>
    </row>
    <row r="2558" spans="22:26">
      <c r="V2558" s="260">
        <f t="shared" ca="1" si="47"/>
        <v>0</v>
      </c>
      <c r="W2558" s="348" t="str">
        <f>IF(板块成分!B2560="","",板块成分!B2560)</f>
        <v>301136.SZ</v>
      </c>
      <c r="X2558" s="276" t="str">
        <f>[1]!S_Info_Name(W2558)</f>
        <v>招标股份</v>
      </c>
      <c r="Y2558" s="276" t="str">
        <f ca="1">IF($Y$3="申万一级行业",[1]!s_info_industry_sw_2021(W2558,公司分析!D$5,1),IF($Y$3="申万二级行业",[1]!s_info_industry_sw_2021(W2558,公司分析!D$5,2),IF($Y$3="申万三级行业",[1]!s_info_industry_sw_2021(W2558,公司分析!D$5,3),IF($Y$3="wind一级行业",[1]!s_info_industry_gics(W2558,1),IF($Y$3="wind二级行业",[1]!s_info_industry_gics(W2558,2),IF($Y$3="wind三级行业",[1]!s_info_industry_gics(W2558,3),IF($Y$3="wind四级行业",[1]!s_info_industry_gics(W2558,4),IF($Y$3="证监会门类行业",[1]!s_info_industry_csrc12_n(W2558,公司分析!D$5,1),""))))))))</f>
        <v>工程咨询服务Ⅱ</v>
      </c>
      <c r="Z2558" s="302" t="str">
        <f ca="1">IF(Y2558=行业比较!$E$6,ROW(),"")</f>
        <v/>
      </c>
    </row>
    <row r="2559" spans="22:26">
      <c r="V2559" s="260">
        <f t="shared" ca="1" si="47"/>
        <v>0</v>
      </c>
      <c r="W2559" s="348" t="str">
        <f>IF(板块成分!B2561="","",板块成分!B2561)</f>
        <v>301137.SZ</v>
      </c>
      <c r="X2559" s="276" t="str">
        <f>[1]!S_Info_Name(W2559)</f>
        <v>哈焊华通</v>
      </c>
      <c r="Y2559" s="276" t="str">
        <f ca="1">IF($Y$3="申万一级行业",[1]!s_info_industry_sw_2021(W2559,公司分析!D$5,1),IF($Y$3="申万二级行业",[1]!s_info_industry_sw_2021(W2559,公司分析!D$5,2),IF($Y$3="申万三级行业",[1]!s_info_industry_sw_2021(W2559,公司分析!D$5,3),IF($Y$3="wind一级行业",[1]!s_info_industry_gics(W2559,1),IF($Y$3="wind二级行业",[1]!s_info_industry_gics(W2559,2),IF($Y$3="wind三级行业",[1]!s_info_industry_gics(W2559,3),IF($Y$3="wind四级行业",[1]!s_info_industry_gics(W2559,4),IF($Y$3="证监会门类行业",[1]!s_info_industry_csrc12_n(W2559,公司分析!D$5,1),""))))))))</f>
        <v>通用设备</v>
      </c>
      <c r="Z2559" s="302" t="str">
        <f ca="1">IF(Y2559=行业比较!$E$6,ROW(),"")</f>
        <v/>
      </c>
    </row>
    <row r="2560" spans="22:26">
      <c r="V2560" s="260">
        <f t="shared" ca="1" si="47"/>
        <v>0</v>
      </c>
      <c r="W2560" s="348" t="str">
        <f>IF(板块成分!B2562="","",板块成分!B2562)</f>
        <v>301138.SZ</v>
      </c>
      <c r="X2560" s="276" t="str">
        <f>[1]!S_Info_Name(W2560)</f>
        <v>华研精机</v>
      </c>
      <c r="Y2560" s="276" t="str">
        <f ca="1">IF($Y$3="申万一级行业",[1]!s_info_industry_sw_2021(W2560,公司分析!D$5,1),IF($Y$3="申万二级行业",[1]!s_info_industry_sw_2021(W2560,公司分析!D$5,2),IF($Y$3="申万三级行业",[1]!s_info_industry_sw_2021(W2560,公司分析!D$5,3),IF($Y$3="wind一级行业",[1]!s_info_industry_gics(W2560,1),IF($Y$3="wind二级行业",[1]!s_info_industry_gics(W2560,2),IF($Y$3="wind三级行业",[1]!s_info_industry_gics(W2560,3),IF($Y$3="wind四级行业",[1]!s_info_industry_gics(W2560,4),IF($Y$3="证监会门类行业",[1]!s_info_industry_csrc12_n(W2560,公司分析!D$5,1),""))))))))</f>
        <v>专用设备</v>
      </c>
      <c r="Z2560" s="302" t="str">
        <f ca="1">IF(Y2560=行业比较!$E$6,ROW(),"")</f>
        <v/>
      </c>
    </row>
    <row r="2561" spans="22:26">
      <c r="V2561" s="260">
        <f t="shared" ca="1" si="47"/>
        <v>0</v>
      </c>
      <c r="W2561" s="348" t="str">
        <f>IF(板块成分!B2563="","",板块成分!B2563)</f>
        <v>301139.SZ</v>
      </c>
      <c r="X2561" s="276" t="str">
        <f>[1]!S_Info_Name(W2561)</f>
        <v>元道通信</v>
      </c>
      <c r="Y2561" s="276" t="str">
        <f ca="1">IF($Y$3="申万一级行业",[1]!s_info_industry_sw_2021(W2561,公司分析!D$5,1),IF($Y$3="申万二级行业",[1]!s_info_industry_sw_2021(W2561,公司分析!D$5,2),IF($Y$3="申万三级行业",[1]!s_info_industry_sw_2021(W2561,公司分析!D$5,3),IF($Y$3="wind一级行业",[1]!s_info_industry_gics(W2561,1),IF($Y$3="wind二级行业",[1]!s_info_industry_gics(W2561,2),IF($Y$3="wind三级行业",[1]!s_info_industry_gics(W2561,3),IF($Y$3="wind四级行业",[1]!s_info_industry_gics(W2561,4),IF($Y$3="证监会门类行业",[1]!s_info_industry_csrc12_n(W2561,公司分析!D$5,1),""))))))))</f>
        <v>通信服务</v>
      </c>
      <c r="Z2561" s="302" t="str">
        <f ca="1">IF(Y2561=行业比较!$E$6,ROW(),"")</f>
        <v/>
      </c>
    </row>
    <row r="2562" spans="22:26">
      <c r="V2562" s="260">
        <f t="shared" ca="1" si="47"/>
        <v>0</v>
      </c>
      <c r="W2562" s="348" t="str">
        <f>IF(板块成分!B2564="","",板块成分!B2564)</f>
        <v>301141.SZ</v>
      </c>
      <c r="X2562" s="276" t="str">
        <f>[1]!S_Info_Name(W2562)</f>
        <v>中科磁业</v>
      </c>
      <c r="Y2562" s="276" t="str">
        <f ca="1">IF($Y$3="申万一级行业",[1]!s_info_industry_sw_2021(W2562,公司分析!D$5,1),IF($Y$3="申万二级行业",[1]!s_info_industry_sw_2021(W2562,公司分析!D$5,2),IF($Y$3="申万三级行业",[1]!s_info_industry_sw_2021(W2562,公司分析!D$5,3),IF($Y$3="wind一级行业",[1]!s_info_industry_gics(W2562,1),IF($Y$3="wind二级行业",[1]!s_info_industry_gics(W2562,2),IF($Y$3="wind三级行业",[1]!s_info_industry_gics(W2562,3),IF($Y$3="wind四级行业",[1]!s_info_industry_gics(W2562,4),IF($Y$3="证监会门类行业",[1]!s_info_industry_csrc12_n(W2562,公司分析!D$5,1),""))))))))</f>
        <v>金属新材料</v>
      </c>
      <c r="Z2562" s="302" t="str">
        <f ca="1">IF(Y2562=行业比较!$E$6,ROW(),"")</f>
        <v/>
      </c>
    </row>
    <row r="2563" spans="22:26">
      <c r="V2563" s="260">
        <f t="shared" ca="1" si="47"/>
        <v>0</v>
      </c>
      <c r="W2563" s="348" t="str">
        <f>IF(板块成分!B2565="","",板块成分!B2565)</f>
        <v>301148.SZ</v>
      </c>
      <c r="X2563" s="276" t="str">
        <f>[1]!S_Info_Name(W2563)</f>
        <v>嘉戎技术</v>
      </c>
      <c r="Y2563" s="276" t="str">
        <f ca="1">IF($Y$3="申万一级行业",[1]!s_info_industry_sw_2021(W2563,公司分析!D$5,1),IF($Y$3="申万二级行业",[1]!s_info_industry_sw_2021(W2563,公司分析!D$5,2),IF($Y$3="申万三级行业",[1]!s_info_industry_sw_2021(W2563,公司分析!D$5,3),IF($Y$3="wind一级行业",[1]!s_info_industry_gics(W2563,1),IF($Y$3="wind二级行业",[1]!s_info_industry_gics(W2563,2),IF($Y$3="wind三级行业",[1]!s_info_industry_gics(W2563,3),IF($Y$3="wind四级行业",[1]!s_info_industry_gics(W2563,4),IF($Y$3="证监会门类行业",[1]!s_info_industry_csrc12_n(W2563,公司分析!D$5,1),""))))))))</f>
        <v>环境治理</v>
      </c>
      <c r="Z2563" s="302" t="str">
        <f ca="1">IF(Y2563=行业比较!$E$6,ROW(),"")</f>
        <v/>
      </c>
    </row>
    <row r="2564" spans="22:26">
      <c r="V2564" s="260">
        <f t="shared" ca="1" si="47"/>
        <v>0</v>
      </c>
      <c r="W2564" s="348" t="str">
        <f>IF(板块成分!B2566="","",板块成分!B2566)</f>
        <v>301149.SZ</v>
      </c>
      <c r="X2564" s="276" t="str">
        <f>[1]!S_Info_Name(W2564)</f>
        <v>隆华新材</v>
      </c>
      <c r="Y2564" s="276" t="str">
        <f ca="1">IF($Y$3="申万一级行业",[1]!s_info_industry_sw_2021(W2564,公司分析!D$5,1),IF($Y$3="申万二级行业",[1]!s_info_industry_sw_2021(W2564,公司分析!D$5,2),IF($Y$3="申万三级行业",[1]!s_info_industry_sw_2021(W2564,公司分析!D$5,3),IF($Y$3="wind一级行业",[1]!s_info_industry_gics(W2564,1),IF($Y$3="wind二级行业",[1]!s_info_industry_gics(W2564,2),IF($Y$3="wind三级行业",[1]!s_info_industry_gics(W2564,3),IF($Y$3="wind四级行业",[1]!s_info_industry_gics(W2564,4),IF($Y$3="证监会门类行业",[1]!s_info_industry_csrc12_n(W2564,公司分析!D$5,1),""))))))))</f>
        <v>化学制品</v>
      </c>
      <c r="Z2564" s="302" t="str">
        <f ca="1">IF(Y2564=行业比较!$E$6,ROW(),"")</f>
        <v/>
      </c>
    </row>
    <row r="2565" spans="22:26">
      <c r="V2565" s="260">
        <f t="shared" ref="V2565:V2628" ca="1" si="48">IF(Z2565="",0,RANK(Z2565,Z:Z,1))</f>
        <v>0</v>
      </c>
      <c r="W2565" s="348" t="str">
        <f>IF(板块成分!B2567="","",板块成分!B2567)</f>
        <v>301150.SZ</v>
      </c>
      <c r="X2565" s="276" t="str">
        <f>[1]!S_Info_Name(W2565)</f>
        <v>中一科技</v>
      </c>
      <c r="Y2565" s="276" t="str">
        <f ca="1">IF($Y$3="申万一级行业",[1]!s_info_industry_sw_2021(W2565,公司分析!D$5,1),IF($Y$3="申万二级行业",[1]!s_info_industry_sw_2021(W2565,公司分析!D$5,2),IF($Y$3="申万三级行业",[1]!s_info_industry_sw_2021(W2565,公司分析!D$5,3),IF($Y$3="wind一级行业",[1]!s_info_industry_gics(W2565,1),IF($Y$3="wind二级行业",[1]!s_info_industry_gics(W2565,2),IF($Y$3="wind三级行业",[1]!s_info_industry_gics(W2565,3),IF($Y$3="wind四级行业",[1]!s_info_industry_gics(W2565,4),IF($Y$3="证监会门类行业",[1]!s_info_industry_csrc12_n(W2565,公司分析!D$5,1),""))))))))</f>
        <v>电池</v>
      </c>
      <c r="Z2565" s="302" t="str">
        <f ca="1">IF(Y2565=行业比较!$E$6,ROW(),"")</f>
        <v/>
      </c>
    </row>
    <row r="2566" spans="22:26">
      <c r="V2566" s="260">
        <f t="shared" ca="1" si="48"/>
        <v>0</v>
      </c>
      <c r="W2566" s="348" t="str">
        <f>IF(板块成分!B2568="","",板块成分!B2568)</f>
        <v>301151.SZ</v>
      </c>
      <c r="X2566" s="276" t="str">
        <f>[1]!S_Info_Name(W2566)</f>
        <v>冠龙节能</v>
      </c>
      <c r="Y2566" s="276" t="str">
        <f ca="1">IF($Y$3="申万一级行业",[1]!s_info_industry_sw_2021(W2566,公司分析!D$5,1),IF($Y$3="申万二级行业",[1]!s_info_industry_sw_2021(W2566,公司分析!D$5,2),IF($Y$3="申万三级行业",[1]!s_info_industry_sw_2021(W2566,公司分析!D$5,3),IF($Y$3="wind一级行业",[1]!s_info_industry_gics(W2566,1),IF($Y$3="wind二级行业",[1]!s_info_industry_gics(W2566,2),IF($Y$3="wind三级行业",[1]!s_info_industry_gics(W2566,3),IF($Y$3="wind四级行业",[1]!s_info_industry_gics(W2566,4),IF($Y$3="证监会门类行业",[1]!s_info_industry_csrc12_n(W2566,公司分析!D$5,1),""))))))))</f>
        <v>通用设备</v>
      </c>
      <c r="Z2566" s="302" t="str">
        <f ca="1">IF(Y2566=行业比较!$E$6,ROW(),"")</f>
        <v/>
      </c>
    </row>
    <row r="2567" spans="22:26">
      <c r="V2567" s="260">
        <f t="shared" ca="1" si="48"/>
        <v>0</v>
      </c>
      <c r="W2567" s="348" t="str">
        <f>IF(板块成分!B2569="","",板块成分!B2569)</f>
        <v>301152.SZ</v>
      </c>
      <c r="X2567" s="276" t="str">
        <f>[1]!S_Info_Name(W2567)</f>
        <v>天力锂能</v>
      </c>
      <c r="Y2567" s="276" t="str">
        <f ca="1">IF($Y$3="申万一级行业",[1]!s_info_industry_sw_2021(W2567,公司分析!D$5,1),IF($Y$3="申万二级行业",[1]!s_info_industry_sw_2021(W2567,公司分析!D$5,2),IF($Y$3="申万三级行业",[1]!s_info_industry_sw_2021(W2567,公司分析!D$5,3),IF($Y$3="wind一级行业",[1]!s_info_industry_gics(W2567,1),IF($Y$3="wind二级行业",[1]!s_info_industry_gics(W2567,2),IF($Y$3="wind三级行业",[1]!s_info_industry_gics(W2567,3),IF($Y$3="wind四级行业",[1]!s_info_industry_gics(W2567,4),IF($Y$3="证监会门类行业",[1]!s_info_industry_csrc12_n(W2567,公司分析!D$5,1),""))))))))</f>
        <v>电池</v>
      </c>
      <c r="Z2567" s="302" t="str">
        <f ca="1">IF(Y2567=行业比较!$E$6,ROW(),"")</f>
        <v/>
      </c>
    </row>
    <row r="2568" spans="22:26">
      <c r="V2568" s="260">
        <f t="shared" ca="1" si="48"/>
        <v>0</v>
      </c>
      <c r="W2568" s="348" t="str">
        <f>IF(板块成分!B2570="","",板块成分!B2570)</f>
        <v>301153.SZ</v>
      </c>
      <c r="X2568" s="276" t="str">
        <f>[1]!S_Info_Name(W2568)</f>
        <v>中科江南</v>
      </c>
      <c r="Y2568" s="276" t="str">
        <f ca="1">IF($Y$3="申万一级行业",[1]!s_info_industry_sw_2021(W2568,公司分析!D$5,1),IF($Y$3="申万二级行业",[1]!s_info_industry_sw_2021(W2568,公司分析!D$5,2),IF($Y$3="申万三级行业",[1]!s_info_industry_sw_2021(W2568,公司分析!D$5,3),IF($Y$3="wind一级行业",[1]!s_info_industry_gics(W2568,1),IF($Y$3="wind二级行业",[1]!s_info_industry_gics(W2568,2),IF($Y$3="wind三级行业",[1]!s_info_industry_gics(W2568,3),IF($Y$3="wind四级行业",[1]!s_info_industry_gics(W2568,4),IF($Y$3="证监会门类行业",[1]!s_info_industry_csrc12_n(W2568,公司分析!D$5,1),""))))))))</f>
        <v>软件开发</v>
      </c>
      <c r="Z2568" s="302" t="str">
        <f ca="1">IF(Y2568=行业比较!$E$6,ROW(),"")</f>
        <v/>
      </c>
    </row>
    <row r="2569" spans="22:26">
      <c r="V2569" s="260">
        <f t="shared" ca="1" si="48"/>
        <v>0</v>
      </c>
      <c r="W2569" s="348" t="str">
        <f>IF(板块成分!B2571="","",板块成分!B2571)</f>
        <v>301155.SZ</v>
      </c>
      <c r="X2569" s="276" t="str">
        <f>[1]!S_Info_Name(W2569)</f>
        <v>海力风电</v>
      </c>
      <c r="Y2569" s="276" t="str">
        <f ca="1">IF($Y$3="申万一级行业",[1]!s_info_industry_sw_2021(W2569,公司分析!D$5,1),IF($Y$3="申万二级行业",[1]!s_info_industry_sw_2021(W2569,公司分析!D$5,2),IF($Y$3="申万三级行业",[1]!s_info_industry_sw_2021(W2569,公司分析!D$5,3),IF($Y$3="wind一级行业",[1]!s_info_industry_gics(W2569,1),IF($Y$3="wind二级行业",[1]!s_info_industry_gics(W2569,2),IF($Y$3="wind三级行业",[1]!s_info_industry_gics(W2569,3),IF($Y$3="wind四级行业",[1]!s_info_industry_gics(W2569,4),IF($Y$3="证监会门类行业",[1]!s_info_industry_csrc12_n(W2569,公司分析!D$5,1),""))))))))</f>
        <v>风电设备</v>
      </c>
      <c r="Z2569" s="302" t="str">
        <f ca="1">IF(Y2569=行业比较!$E$6,ROW(),"")</f>
        <v/>
      </c>
    </row>
    <row r="2570" spans="22:26">
      <c r="V2570" s="260">
        <f t="shared" ca="1" si="48"/>
        <v>0</v>
      </c>
      <c r="W2570" s="348" t="str">
        <f>IF(板块成分!B2572="","",板块成分!B2572)</f>
        <v>301156.SZ</v>
      </c>
      <c r="X2570" s="276" t="str">
        <f>[1]!S_Info_Name(W2570)</f>
        <v>美农生物</v>
      </c>
      <c r="Y2570" s="276" t="str">
        <f ca="1">IF($Y$3="申万一级行业",[1]!s_info_industry_sw_2021(W2570,公司分析!D$5,1),IF($Y$3="申万二级行业",[1]!s_info_industry_sw_2021(W2570,公司分析!D$5,2),IF($Y$3="申万三级行业",[1]!s_info_industry_sw_2021(W2570,公司分析!D$5,3),IF($Y$3="wind一级行业",[1]!s_info_industry_gics(W2570,1),IF($Y$3="wind二级行业",[1]!s_info_industry_gics(W2570,2),IF($Y$3="wind三级行业",[1]!s_info_industry_gics(W2570,3),IF($Y$3="wind四级行业",[1]!s_info_industry_gics(W2570,4),IF($Y$3="证监会门类行业",[1]!s_info_industry_csrc12_n(W2570,公司分析!D$5,1),""))))))))</f>
        <v>化学制品</v>
      </c>
      <c r="Z2570" s="302" t="str">
        <f ca="1">IF(Y2570=行业比较!$E$6,ROW(),"")</f>
        <v/>
      </c>
    </row>
    <row r="2571" spans="22:26">
      <c r="V2571" s="260">
        <f t="shared" ca="1" si="48"/>
        <v>0</v>
      </c>
      <c r="W2571" s="348" t="str">
        <f>IF(板块成分!B2573="","",板块成分!B2573)</f>
        <v>301157.SZ</v>
      </c>
      <c r="X2571" s="276" t="str">
        <f>[1]!S_Info_Name(W2571)</f>
        <v>华塑科技</v>
      </c>
      <c r="Y2571" s="276" t="str">
        <f ca="1">IF($Y$3="申万一级行业",[1]!s_info_industry_sw_2021(W2571,公司分析!D$5,1),IF($Y$3="申万二级行业",[1]!s_info_industry_sw_2021(W2571,公司分析!D$5,2),IF($Y$3="申万三级行业",[1]!s_info_industry_sw_2021(W2571,公司分析!D$5,3),IF($Y$3="wind一级行业",[1]!s_info_industry_gics(W2571,1),IF($Y$3="wind二级行业",[1]!s_info_industry_gics(W2571,2),IF($Y$3="wind三级行业",[1]!s_info_industry_gics(W2571,3),IF($Y$3="wind四级行业",[1]!s_info_industry_gics(W2571,4),IF($Y$3="证监会门类行业",[1]!s_info_industry_csrc12_n(W2571,公司分析!D$5,1),""))))))))</f>
        <v>其他电源设备Ⅱ</v>
      </c>
      <c r="Z2571" s="302" t="str">
        <f ca="1">IF(Y2571=行业比较!$E$6,ROW(),"")</f>
        <v/>
      </c>
    </row>
    <row r="2572" spans="22:26">
      <c r="V2572" s="260">
        <f t="shared" ca="1" si="48"/>
        <v>0</v>
      </c>
      <c r="W2572" s="348" t="str">
        <f>IF(板块成分!B2574="","",板块成分!B2574)</f>
        <v>301158.SZ</v>
      </c>
      <c r="X2572" s="276" t="str">
        <f>[1]!S_Info_Name(W2572)</f>
        <v>德石股份</v>
      </c>
      <c r="Y2572" s="276" t="str">
        <f ca="1">IF($Y$3="申万一级行业",[1]!s_info_industry_sw_2021(W2572,公司分析!D$5,1),IF($Y$3="申万二级行业",[1]!s_info_industry_sw_2021(W2572,公司分析!D$5,2),IF($Y$3="申万三级行业",[1]!s_info_industry_sw_2021(W2572,公司分析!D$5,3),IF($Y$3="wind一级行业",[1]!s_info_industry_gics(W2572,1),IF($Y$3="wind二级行业",[1]!s_info_industry_gics(W2572,2),IF($Y$3="wind三级行业",[1]!s_info_industry_gics(W2572,3),IF($Y$3="wind四级行业",[1]!s_info_industry_gics(W2572,4),IF($Y$3="证监会门类行业",[1]!s_info_industry_csrc12_n(W2572,公司分析!D$5,1),""))))))))</f>
        <v>专用设备</v>
      </c>
      <c r="Z2572" s="302" t="str">
        <f ca="1">IF(Y2572=行业比较!$E$6,ROW(),"")</f>
        <v/>
      </c>
    </row>
    <row r="2573" spans="22:26">
      <c r="V2573" s="260">
        <f t="shared" ca="1" si="48"/>
        <v>0</v>
      </c>
      <c r="W2573" s="348" t="str">
        <f>IF(板块成分!B2575="","",板块成分!B2575)</f>
        <v>301159.SZ</v>
      </c>
      <c r="X2573" s="276" t="str">
        <f>[1]!S_Info_Name(W2573)</f>
        <v>三维天地</v>
      </c>
      <c r="Y2573" s="276" t="str">
        <f ca="1">IF($Y$3="申万一级行业",[1]!s_info_industry_sw_2021(W2573,公司分析!D$5,1),IF($Y$3="申万二级行业",[1]!s_info_industry_sw_2021(W2573,公司分析!D$5,2),IF($Y$3="申万三级行业",[1]!s_info_industry_sw_2021(W2573,公司分析!D$5,3),IF($Y$3="wind一级行业",[1]!s_info_industry_gics(W2573,1),IF($Y$3="wind二级行业",[1]!s_info_industry_gics(W2573,2),IF($Y$3="wind三级行业",[1]!s_info_industry_gics(W2573,3),IF($Y$3="wind四级行业",[1]!s_info_industry_gics(W2573,4),IF($Y$3="证监会门类行业",[1]!s_info_industry_csrc12_n(W2573,公司分析!D$5,1),""))))))))</f>
        <v>软件开发</v>
      </c>
      <c r="Z2573" s="302" t="str">
        <f ca="1">IF(Y2573=行业比较!$E$6,ROW(),"")</f>
        <v/>
      </c>
    </row>
    <row r="2574" spans="22:26">
      <c r="V2574" s="260">
        <f t="shared" ca="1" si="48"/>
        <v>0</v>
      </c>
      <c r="W2574" s="348" t="str">
        <f>IF(板块成分!B2576="","",板块成分!B2576)</f>
        <v>301160.SZ</v>
      </c>
      <c r="X2574" s="276" t="str">
        <f>[1]!S_Info_Name(W2574)</f>
        <v>翔楼新材</v>
      </c>
      <c r="Y2574" s="276" t="str">
        <f ca="1">IF($Y$3="申万一级行业",[1]!s_info_industry_sw_2021(W2574,公司分析!D$5,1),IF($Y$3="申万二级行业",[1]!s_info_industry_sw_2021(W2574,公司分析!D$5,2),IF($Y$3="申万三级行业",[1]!s_info_industry_sw_2021(W2574,公司分析!D$5,3),IF($Y$3="wind一级行业",[1]!s_info_industry_gics(W2574,1),IF($Y$3="wind二级行业",[1]!s_info_industry_gics(W2574,2),IF($Y$3="wind三级行业",[1]!s_info_industry_gics(W2574,3),IF($Y$3="wind四级行业",[1]!s_info_industry_gics(W2574,4),IF($Y$3="证监会门类行业",[1]!s_info_industry_csrc12_n(W2574,公司分析!D$5,1),""))))))))</f>
        <v>特钢Ⅱ</v>
      </c>
      <c r="Z2574" s="302" t="str">
        <f ca="1">IF(Y2574=行业比较!$E$6,ROW(),"")</f>
        <v/>
      </c>
    </row>
    <row r="2575" spans="22:26">
      <c r="V2575" s="260">
        <f t="shared" ca="1" si="48"/>
        <v>0</v>
      </c>
      <c r="W2575" s="348" t="str">
        <f>IF(板块成分!B2577="","",板块成分!B2577)</f>
        <v>301161.SZ</v>
      </c>
      <c r="X2575" s="276" t="str">
        <f>[1]!S_Info_Name(W2575)</f>
        <v>唯万密封</v>
      </c>
      <c r="Y2575" s="276" t="str">
        <f ca="1">IF($Y$3="申万一级行业",[1]!s_info_industry_sw_2021(W2575,公司分析!D$5,1),IF($Y$3="申万二级行业",[1]!s_info_industry_sw_2021(W2575,公司分析!D$5,2),IF($Y$3="申万三级行业",[1]!s_info_industry_sw_2021(W2575,公司分析!D$5,3),IF($Y$3="wind一级行业",[1]!s_info_industry_gics(W2575,1),IF($Y$3="wind二级行业",[1]!s_info_industry_gics(W2575,2),IF($Y$3="wind三级行业",[1]!s_info_industry_gics(W2575,3),IF($Y$3="wind四级行业",[1]!s_info_industry_gics(W2575,4),IF($Y$3="证监会门类行业",[1]!s_info_industry_csrc12_n(W2575,公司分析!D$5,1),""))))))))</f>
        <v>工程机械</v>
      </c>
      <c r="Z2575" s="302" t="str">
        <f ca="1">IF(Y2575=行业比较!$E$6,ROW(),"")</f>
        <v/>
      </c>
    </row>
    <row r="2576" spans="22:26">
      <c r="V2576" s="260">
        <f t="shared" ca="1" si="48"/>
        <v>0</v>
      </c>
      <c r="W2576" s="348" t="str">
        <f>IF(板块成分!B2578="","",板块成分!B2578)</f>
        <v>301162.SZ</v>
      </c>
      <c r="X2576" s="276" t="str">
        <f>[1]!S_Info_Name(W2576)</f>
        <v>国能日新</v>
      </c>
      <c r="Y2576" s="276" t="str">
        <f ca="1">IF($Y$3="申万一级行业",[1]!s_info_industry_sw_2021(W2576,公司分析!D$5,1),IF($Y$3="申万二级行业",[1]!s_info_industry_sw_2021(W2576,公司分析!D$5,2),IF($Y$3="申万三级行业",[1]!s_info_industry_sw_2021(W2576,公司分析!D$5,3),IF($Y$3="wind一级行业",[1]!s_info_industry_gics(W2576,1),IF($Y$3="wind二级行业",[1]!s_info_industry_gics(W2576,2),IF($Y$3="wind三级行业",[1]!s_info_industry_gics(W2576,3),IF($Y$3="wind四级行业",[1]!s_info_industry_gics(W2576,4),IF($Y$3="证监会门类行业",[1]!s_info_industry_csrc12_n(W2576,公司分析!D$5,1),""))))))))</f>
        <v>软件开发</v>
      </c>
      <c r="Z2576" s="302" t="str">
        <f ca="1">IF(Y2576=行业比较!$E$6,ROW(),"")</f>
        <v/>
      </c>
    </row>
    <row r="2577" spans="22:26">
      <c r="V2577" s="260">
        <f t="shared" ca="1" si="48"/>
        <v>0</v>
      </c>
      <c r="W2577" s="348" t="str">
        <f>IF(板块成分!B2579="","",板块成分!B2579)</f>
        <v>301163.SZ</v>
      </c>
      <c r="X2577" s="276" t="str">
        <f>[1]!S_Info_Name(W2577)</f>
        <v>宏德股份</v>
      </c>
      <c r="Y2577" s="276" t="str">
        <f ca="1">IF($Y$3="申万一级行业",[1]!s_info_industry_sw_2021(W2577,公司分析!D$5,1),IF($Y$3="申万二级行业",[1]!s_info_industry_sw_2021(W2577,公司分析!D$5,2),IF($Y$3="申万三级行业",[1]!s_info_industry_sw_2021(W2577,公司分析!D$5,3),IF($Y$3="wind一级行业",[1]!s_info_industry_gics(W2577,1),IF($Y$3="wind二级行业",[1]!s_info_industry_gics(W2577,2),IF($Y$3="wind三级行业",[1]!s_info_industry_gics(W2577,3),IF($Y$3="wind四级行业",[1]!s_info_industry_gics(W2577,4),IF($Y$3="证监会门类行业",[1]!s_info_industry_csrc12_n(W2577,公司分析!D$5,1),""))))))))</f>
        <v>风电设备</v>
      </c>
      <c r="Z2577" s="302" t="str">
        <f ca="1">IF(Y2577=行业比较!$E$6,ROW(),"")</f>
        <v/>
      </c>
    </row>
    <row r="2578" spans="22:26">
      <c r="V2578" s="260">
        <f t="shared" ca="1" si="48"/>
        <v>0</v>
      </c>
      <c r="W2578" s="348" t="str">
        <f>IF(板块成分!B2580="","",板块成分!B2580)</f>
        <v>301165.SZ</v>
      </c>
      <c r="X2578" s="276" t="str">
        <f>[1]!S_Info_Name(W2578)</f>
        <v>锐捷网络</v>
      </c>
      <c r="Y2578" s="276" t="str">
        <f ca="1">IF($Y$3="申万一级行业",[1]!s_info_industry_sw_2021(W2578,公司分析!D$5,1),IF($Y$3="申万二级行业",[1]!s_info_industry_sw_2021(W2578,公司分析!D$5,2),IF($Y$3="申万三级行业",[1]!s_info_industry_sw_2021(W2578,公司分析!D$5,3),IF($Y$3="wind一级行业",[1]!s_info_industry_gics(W2578,1),IF($Y$3="wind二级行业",[1]!s_info_industry_gics(W2578,2),IF($Y$3="wind三级行业",[1]!s_info_industry_gics(W2578,3),IF($Y$3="wind四级行业",[1]!s_info_industry_gics(W2578,4),IF($Y$3="证监会门类行业",[1]!s_info_industry_csrc12_n(W2578,公司分析!D$5,1),""))))))))</f>
        <v>通信设备</v>
      </c>
      <c r="Z2578" s="302" t="str">
        <f ca="1">IF(Y2578=行业比较!$E$6,ROW(),"")</f>
        <v/>
      </c>
    </row>
    <row r="2579" spans="22:26">
      <c r="V2579" s="260">
        <f t="shared" ca="1" si="48"/>
        <v>0</v>
      </c>
      <c r="W2579" s="348" t="str">
        <f>IF(板块成分!B2581="","",板块成分!B2581)</f>
        <v>301166.SZ</v>
      </c>
      <c r="X2579" s="276" t="str">
        <f>[1]!S_Info_Name(W2579)</f>
        <v>优宁维</v>
      </c>
      <c r="Y2579" s="276" t="str">
        <f ca="1">IF($Y$3="申万一级行业",[1]!s_info_industry_sw_2021(W2579,公司分析!D$5,1),IF($Y$3="申万二级行业",[1]!s_info_industry_sw_2021(W2579,公司分析!D$5,2),IF($Y$3="申万三级行业",[1]!s_info_industry_sw_2021(W2579,公司分析!D$5,3),IF($Y$3="wind一级行业",[1]!s_info_industry_gics(W2579,1),IF($Y$3="wind二级行业",[1]!s_info_industry_gics(W2579,2),IF($Y$3="wind三级行业",[1]!s_info_industry_gics(W2579,3),IF($Y$3="wind四级行业",[1]!s_info_industry_gics(W2579,4),IF($Y$3="证监会门类行业",[1]!s_info_industry_csrc12_n(W2579,公司分析!D$5,1),""))))))))</f>
        <v>生物制品</v>
      </c>
      <c r="Z2579" s="302" t="str">
        <f ca="1">IF(Y2579=行业比较!$E$6,ROW(),"")</f>
        <v/>
      </c>
    </row>
    <row r="2580" spans="22:26">
      <c r="V2580" s="260">
        <f t="shared" ca="1" si="48"/>
        <v>0</v>
      </c>
      <c r="W2580" s="348" t="str">
        <f>IF(板块成分!B2582="","",板块成分!B2582)</f>
        <v>301167.SZ</v>
      </c>
      <c r="X2580" s="276" t="str">
        <f>[1]!S_Info_Name(W2580)</f>
        <v>建研设计</v>
      </c>
      <c r="Y2580" s="276" t="str">
        <f ca="1">IF($Y$3="申万一级行业",[1]!s_info_industry_sw_2021(W2580,公司分析!D$5,1),IF($Y$3="申万二级行业",[1]!s_info_industry_sw_2021(W2580,公司分析!D$5,2),IF($Y$3="申万三级行业",[1]!s_info_industry_sw_2021(W2580,公司分析!D$5,3),IF($Y$3="wind一级行业",[1]!s_info_industry_gics(W2580,1),IF($Y$3="wind二级行业",[1]!s_info_industry_gics(W2580,2),IF($Y$3="wind三级行业",[1]!s_info_industry_gics(W2580,3),IF($Y$3="wind四级行业",[1]!s_info_industry_gics(W2580,4),IF($Y$3="证监会门类行业",[1]!s_info_industry_csrc12_n(W2580,公司分析!D$5,1),""))))))))</f>
        <v>工程咨询服务Ⅱ</v>
      </c>
      <c r="Z2580" s="302" t="str">
        <f ca="1">IF(Y2580=行业比较!$E$6,ROW(),"")</f>
        <v/>
      </c>
    </row>
    <row r="2581" spans="22:26">
      <c r="V2581" s="260">
        <f t="shared" ca="1" si="48"/>
        <v>0</v>
      </c>
      <c r="W2581" s="348" t="str">
        <f>IF(板块成分!B2583="","",板块成分!B2583)</f>
        <v>301168.SZ</v>
      </c>
      <c r="X2581" s="276" t="str">
        <f>[1]!S_Info_Name(W2581)</f>
        <v>通灵股份</v>
      </c>
      <c r="Y2581" s="276" t="str">
        <f ca="1">IF($Y$3="申万一级行业",[1]!s_info_industry_sw_2021(W2581,公司分析!D$5,1),IF($Y$3="申万二级行业",[1]!s_info_industry_sw_2021(W2581,公司分析!D$5,2),IF($Y$3="申万三级行业",[1]!s_info_industry_sw_2021(W2581,公司分析!D$5,3),IF($Y$3="wind一级行业",[1]!s_info_industry_gics(W2581,1),IF($Y$3="wind二级行业",[1]!s_info_industry_gics(W2581,2),IF($Y$3="wind三级行业",[1]!s_info_industry_gics(W2581,3),IF($Y$3="wind四级行业",[1]!s_info_industry_gics(W2581,4),IF($Y$3="证监会门类行业",[1]!s_info_industry_csrc12_n(W2581,公司分析!D$5,1),""))))))))</f>
        <v>光伏设备</v>
      </c>
      <c r="Z2581" s="302" t="str">
        <f ca="1">IF(Y2581=行业比较!$E$6,ROW(),"")</f>
        <v/>
      </c>
    </row>
    <row r="2582" spans="22:26">
      <c r="V2582" s="260">
        <f t="shared" ca="1" si="48"/>
        <v>0</v>
      </c>
      <c r="W2582" s="348" t="str">
        <f>IF(板块成分!B2584="","",板块成分!B2584)</f>
        <v>301169.SZ</v>
      </c>
      <c r="X2582" s="276" t="str">
        <f>[1]!S_Info_Name(W2582)</f>
        <v>零点有数</v>
      </c>
      <c r="Y2582" s="276" t="str">
        <f ca="1">IF($Y$3="申万一级行业",[1]!s_info_industry_sw_2021(W2582,公司分析!D$5,1),IF($Y$3="申万二级行业",[1]!s_info_industry_sw_2021(W2582,公司分析!D$5,2),IF($Y$3="申万三级行业",[1]!s_info_industry_sw_2021(W2582,公司分析!D$5,3),IF($Y$3="wind一级行业",[1]!s_info_industry_gics(W2582,1),IF($Y$3="wind二级行业",[1]!s_info_industry_gics(W2582,2),IF($Y$3="wind三级行业",[1]!s_info_industry_gics(W2582,3),IF($Y$3="wind四级行业",[1]!s_info_industry_gics(W2582,4),IF($Y$3="证监会门类行业",[1]!s_info_industry_csrc12_n(W2582,公司分析!D$5,1),""))))))))</f>
        <v>专业服务</v>
      </c>
      <c r="Z2582" s="302" t="str">
        <f ca="1">IF(Y2582=行业比较!$E$6,ROW(),"")</f>
        <v/>
      </c>
    </row>
    <row r="2583" spans="22:26">
      <c r="V2583" s="260">
        <f t="shared" ca="1" si="48"/>
        <v>0</v>
      </c>
      <c r="W2583" s="348" t="str">
        <f>IF(板块成分!B2585="","",板块成分!B2585)</f>
        <v>301170.SZ</v>
      </c>
      <c r="X2583" s="276" t="str">
        <f>[1]!S_Info_Name(W2583)</f>
        <v>锡南科技</v>
      </c>
      <c r="Y2583" s="276" t="str">
        <f ca="1">IF($Y$3="申万一级行业",[1]!s_info_industry_sw_2021(W2583,公司分析!D$5,1),IF($Y$3="申万二级行业",[1]!s_info_industry_sw_2021(W2583,公司分析!D$5,2),IF($Y$3="申万三级行业",[1]!s_info_industry_sw_2021(W2583,公司分析!D$5,3),IF($Y$3="wind一级行业",[1]!s_info_industry_gics(W2583,1),IF($Y$3="wind二级行业",[1]!s_info_industry_gics(W2583,2),IF($Y$3="wind三级行业",[1]!s_info_industry_gics(W2583,3),IF($Y$3="wind四级行业",[1]!s_info_industry_gics(W2583,4),IF($Y$3="证监会门类行业",[1]!s_info_industry_csrc12_n(W2583,公司分析!D$5,1),""))))))))</f>
        <v>汽车零部件</v>
      </c>
      <c r="Z2583" s="302" t="str">
        <f ca="1">IF(Y2583=行业比较!$E$6,ROW(),"")</f>
        <v/>
      </c>
    </row>
    <row r="2584" spans="22:26">
      <c r="V2584" s="260">
        <f t="shared" ca="1" si="48"/>
        <v>0</v>
      </c>
      <c r="W2584" s="348" t="str">
        <f>IF(板块成分!B2586="","",板块成分!B2586)</f>
        <v>301171.SZ</v>
      </c>
      <c r="X2584" s="276" t="str">
        <f>[1]!S_Info_Name(W2584)</f>
        <v>易点天下</v>
      </c>
      <c r="Y2584" s="276" t="str">
        <f ca="1">IF($Y$3="申万一级行业",[1]!s_info_industry_sw_2021(W2584,公司分析!D$5,1),IF($Y$3="申万二级行业",[1]!s_info_industry_sw_2021(W2584,公司分析!D$5,2),IF($Y$3="申万三级行业",[1]!s_info_industry_sw_2021(W2584,公司分析!D$5,3),IF($Y$3="wind一级行业",[1]!s_info_industry_gics(W2584,1),IF($Y$3="wind二级行业",[1]!s_info_industry_gics(W2584,2),IF($Y$3="wind三级行业",[1]!s_info_industry_gics(W2584,3),IF($Y$3="wind四级行业",[1]!s_info_industry_gics(W2584,4),IF($Y$3="证监会门类行业",[1]!s_info_industry_csrc12_n(W2584,公司分析!D$5,1),""))))))))</f>
        <v>广告营销</v>
      </c>
      <c r="Z2584" s="302" t="str">
        <f ca="1">IF(Y2584=行业比较!$E$6,ROW(),"")</f>
        <v/>
      </c>
    </row>
    <row r="2585" spans="22:26">
      <c r="V2585" s="260">
        <f t="shared" ca="1" si="48"/>
        <v>0</v>
      </c>
      <c r="W2585" s="348" t="str">
        <f>IF(板块成分!B2587="","",板块成分!B2587)</f>
        <v>301172.SZ</v>
      </c>
      <c r="X2585" s="276" t="str">
        <f>[1]!S_Info_Name(W2585)</f>
        <v>君逸数码</v>
      </c>
      <c r="Y2585" s="276" t="str">
        <f ca="1">IF($Y$3="申万一级行业",[1]!s_info_industry_sw_2021(W2585,公司分析!D$5,1),IF($Y$3="申万二级行业",[1]!s_info_industry_sw_2021(W2585,公司分析!D$5,2),IF($Y$3="申万三级行业",[1]!s_info_industry_sw_2021(W2585,公司分析!D$5,3),IF($Y$3="wind一级行业",[1]!s_info_industry_gics(W2585,1),IF($Y$3="wind二级行业",[1]!s_info_industry_gics(W2585,2),IF($Y$3="wind三级行业",[1]!s_info_industry_gics(W2585,3),IF($Y$3="wind四级行业",[1]!s_info_industry_gics(W2585,4),IF($Y$3="证监会门类行业",[1]!s_info_industry_csrc12_n(W2585,公司分析!D$5,1),""))))))))</f>
        <v>IT服务Ⅱ</v>
      </c>
      <c r="Z2585" s="302" t="str">
        <f ca="1">IF(Y2585=行业比较!$E$6,ROW(),"")</f>
        <v/>
      </c>
    </row>
    <row r="2586" spans="22:26">
      <c r="V2586" s="260">
        <f t="shared" ca="1" si="48"/>
        <v>0</v>
      </c>
      <c r="W2586" s="348" t="str">
        <f>IF(板块成分!B2588="","",板块成分!B2588)</f>
        <v>301173.SZ</v>
      </c>
      <c r="X2586" s="276" t="str">
        <f>[1]!S_Info_Name(W2586)</f>
        <v>毓恬冠佳</v>
      </c>
      <c r="Y2586" s="276" t="str">
        <f ca="1">IF($Y$3="申万一级行业",[1]!s_info_industry_sw_2021(W2586,公司分析!D$5,1),IF($Y$3="申万二级行业",[1]!s_info_industry_sw_2021(W2586,公司分析!D$5,2),IF($Y$3="申万三级行业",[1]!s_info_industry_sw_2021(W2586,公司分析!D$5,3),IF($Y$3="wind一级行业",[1]!s_info_industry_gics(W2586,1),IF($Y$3="wind二级行业",[1]!s_info_industry_gics(W2586,2),IF($Y$3="wind三级行业",[1]!s_info_industry_gics(W2586,3),IF($Y$3="wind四级行业",[1]!s_info_industry_gics(W2586,4),IF($Y$3="证监会门类行业",[1]!s_info_industry_csrc12_n(W2586,公司分析!D$5,1),""))))))))</f>
        <v>汽车零部件</v>
      </c>
      <c r="Z2586" s="302" t="str">
        <f ca="1">IF(Y2586=行业比较!$E$6,ROW(),"")</f>
        <v/>
      </c>
    </row>
    <row r="2587" spans="22:26">
      <c r="V2587" s="260">
        <f t="shared" ca="1" si="48"/>
        <v>0</v>
      </c>
      <c r="W2587" s="348" t="str">
        <f>IF(板块成分!B2589="","",板块成分!B2589)</f>
        <v>301175.SZ</v>
      </c>
      <c r="X2587" s="276" t="str">
        <f>[1]!S_Info_Name(W2587)</f>
        <v>中科环保</v>
      </c>
      <c r="Y2587" s="276" t="str">
        <f ca="1">IF($Y$3="申万一级行业",[1]!s_info_industry_sw_2021(W2587,公司分析!D$5,1),IF($Y$3="申万二级行业",[1]!s_info_industry_sw_2021(W2587,公司分析!D$5,2),IF($Y$3="申万三级行业",[1]!s_info_industry_sw_2021(W2587,公司分析!D$5,3),IF($Y$3="wind一级行业",[1]!s_info_industry_gics(W2587,1),IF($Y$3="wind二级行业",[1]!s_info_industry_gics(W2587,2),IF($Y$3="wind三级行业",[1]!s_info_industry_gics(W2587,3),IF($Y$3="wind四级行业",[1]!s_info_industry_gics(W2587,4),IF($Y$3="证监会门类行业",[1]!s_info_industry_csrc12_n(W2587,公司分析!D$5,1),""))))))))</f>
        <v>环境治理</v>
      </c>
      <c r="Z2587" s="302" t="str">
        <f ca="1">IF(Y2587=行业比较!$E$6,ROW(),"")</f>
        <v/>
      </c>
    </row>
    <row r="2588" spans="22:26">
      <c r="V2588" s="260">
        <f t="shared" ca="1" si="48"/>
        <v>0</v>
      </c>
      <c r="W2588" s="348" t="str">
        <f>IF(板块成分!B2590="","",板块成分!B2590)</f>
        <v>301176.SZ</v>
      </c>
      <c r="X2588" s="276" t="str">
        <f>[1]!S_Info_Name(W2588)</f>
        <v>逸豪新材</v>
      </c>
      <c r="Y2588" s="276" t="str">
        <f ca="1">IF($Y$3="申万一级行业",[1]!s_info_industry_sw_2021(W2588,公司分析!D$5,1),IF($Y$3="申万二级行业",[1]!s_info_industry_sw_2021(W2588,公司分析!D$5,2),IF($Y$3="申万三级行业",[1]!s_info_industry_sw_2021(W2588,公司分析!D$5,3),IF($Y$3="wind一级行业",[1]!s_info_industry_gics(W2588,1),IF($Y$3="wind二级行业",[1]!s_info_industry_gics(W2588,2),IF($Y$3="wind三级行业",[1]!s_info_industry_gics(W2588,3),IF($Y$3="wind四级行业",[1]!s_info_industry_gics(W2588,4),IF($Y$3="证监会门类行业",[1]!s_info_industry_csrc12_n(W2588,公司分析!D$5,1),""))))))))</f>
        <v>元件</v>
      </c>
      <c r="Z2588" s="302" t="str">
        <f ca="1">IF(Y2588=行业比较!$E$6,ROW(),"")</f>
        <v/>
      </c>
    </row>
    <row r="2589" spans="22:26">
      <c r="V2589" s="260">
        <f t="shared" ca="1" si="48"/>
        <v>0</v>
      </c>
      <c r="W2589" s="348" t="str">
        <f>IF(板块成分!B2591="","",板块成分!B2591)</f>
        <v>301177.SZ</v>
      </c>
      <c r="X2589" s="276" t="str">
        <f>[1]!S_Info_Name(W2589)</f>
        <v>迪阿股份</v>
      </c>
      <c r="Y2589" s="276" t="str">
        <f ca="1">IF($Y$3="申万一级行业",[1]!s_info_industry_sw_2021(W2589,公司分析!D$5,1),IF($Y$3="申万二级行业",[1]!s_info_industry_sw_2021(W2589,公司分析!D$5,2),IF($Y$3="申万三级行业",[1]!s_info_industry_sw_2021(W2589,公司分析!D$5,3),IF($Y$3="wind一级行业",[1]!s_info_industry_gics(W2589,1),IF($Y$3="wind二级行业",[1]!s_info_industry_gics(W2589,2),IF($Y$3="wind三级行业",[1]!s_info_industry_gics(W2589,3),IF($Y$3="wind四级行业",[1]!s_info_industry_gics(W2589,4),IF($Y$3="证监会门类行业",[1]!s_info_industry_csrc12_n(W2589,公司分析!D$5,1),""))))))))</f>
        <v>饰品</v>
      </c>
      <c r="Z2589" s="302" t="str">
        <f ca="1">IF(Y2589=行业比较!$E$6,ROW(),"")</f>
        <v/>
      </c>
    </row>
    <row r="2590" spans="22:26">
      <c r="V2590" s="260">
        <f t="shared" ca="1" si="48"/>
        <v>0</v>
      </c>
      <c r="W2590" s="348" t="str">
        <f>IF(板块成分!B2592="","",板块成分!B2592)</f>
        <v>301178.SZ</v>
      </c>
      <c r="X2590" s="276" t="str">
        <f>[1]!S_Info_Name(W2590)</f>
        <v>天亿马</v>
      </c>
      <c r="Y2590" s="276" t="str">
        <f ca="1">IF($Y$3="申万一级行业",[1]!s_info_industry_sw_2021(W2590,公司分析!D$5,1),IF($Y$3="申万二级行业",[1]!s_info_industry_sw_2021(W2590,公司分析!D$5,2),IF($Y$3="申万三级行业",[1]!s_info_industry_sw_2021(W2590,公司分析!D$5,3),IF($Y$3="wind一级行业",[1]!s_info_industry_gics(W2590,1),IF($Y$3="wind二级行业",[1]!s_info_industry_gics(W2590,2),IF($Y$3="wind三级行业",[1]!s_info_industry_gics(W2590,3),IF($Y$3="wind四级行业",[1]!s_info_industry_gics(W2590,4),IF($Y$3="证监会门类行业",[1]!s_info_industry_csrc12_n(W2590,公司分析!D$5,1),""))))))))</f>
        <v>IT服务Ⅱ</v>
      </c>
      <c r="Z2590" s="302" t="str">
        <f ca="1">IF(Y2590=行业比较!$E$6,ROW(),"")</f>
        <v/>
      </c>
    </row>
    <row r="2591" spans="22:26">
      <c r="V2591" s="260">
        <f t="shared" ca="1" si="48"/>
        <v>0</v>
      </c>
      <c r="W2591" s="348" t="str">
        <f>IF(板块成分!B2593="","",板块成分!B2593)</f>
        <v>301179.SZ</v>
      </c>
      <c r="X2591" s="276" t="str">
        <f>[1]!S_Info_Name(W2591)</f>
        <v>泽宇智能</v>
      </c>
      <c r="Y2591" s="276" t="str">
        <f ca="1">IF($Y$3="申万一级行业",[1]!s_info_industry_sw_2021(W2591,公司分析!D$5,1),IF($Y$3="申万二级行业",[1]!s_info_industry_sw_2021(W2591,公司分析!D$5,2),IF($Y$3="申万三级行业",[1]!s_info_industry_sw_2021(W2591,公司分析!D$5,3),IF($Y$3="wind一级行业",[1]!s_info_industry_gics(W2591,1),IF($Y$3="wind二级行业",[1]!s_info_industry_gics(W2591,2),IF($Y$3="wind三级行业",[1]!s_info_industry_gics(W2591,3),IF($Y$3="wind四级行业",[1]!s_info_industry_gics(W2591,4),IF($Y$3="证监会门类行业",[1]!s_info_industry_csrc12_n(W2591,公司分析!D$5,1),""))))))))</f>
        <v>电网设备</v>
      </c>
      <c r="Z2591" s="302" t="str">
        <f ca="1">IF(Y2591=行业比较!$E$6,ROW(),"")</f>
        <v/>
      </c>
    </row>
    <row r="2592" spans="22:26">
      <c r="V2592" s="260">
        <f t="shared" ca="1" si="48"/>
        <v>0</v>
      </c>
      <c r="W2592" s="348" t="str">
        <f>IF(板块成分!B2594="","",板块成分!B2594)</f>
        <v>301180.SZ</v>
      </c>
      <c r="X2592" s="276" t="str">
        <f>[1]!S_Info_Name(W2592)</f>
        <v>万祥科技</v>
      </c>
      <c r="Y2592" s="276" t="str">
        <f ca="1">IF($Y$3="申万一级行业",[1]!s_info_industry_sw_2021(W2592,公司分析!D$5,1),IF($Y$3="申万二级行业",[1]!s_info_industry_sw_2021(W2592,公司分析!D$5,2),IF($Y$3="申万三级行业",[1]!s_info_industry_sw_2021(W2592,公司分析!D$5,3),IF($Y$3="wind一级行业",[1]!s_info_industry_gics(W2592,1),IF($Y$3="wind二级行业",[1]!s_info_industry_gics(W2592,2),IF($Y$3="wind三级行业",[1]!s_info_industry_gics(W2592,3),IF($Y$3="wind四级行业",[1]!s_info_industry_gics(W2592,4),IF($Y$3="证监会门类行业",[1]!s_info_industry_csrc12_n(W2592,公司分析!D$5,1),""))))))))</f>
        <v>消费电子</v>
      </c>
      <c r="Z2592" s="302" t="str">
        <f ca="1">IF(Y2592=行业比较!$E$6,ROW(),"")</f>
        <v/>
      </c>
    </row>
    <row r="2593" spans="22:26">
      <c r="V2593" s="260">
        <f t="shared" ca="1" si="48"/>
        <v>0</v>
      </c>
      <c r="W2593" s="348" t="str">
        <f>IF(板块成分!B2595="","",板块成分!B2595)</f>
        <v>301181.SZ</v>
      </c>
      <c r="X2593" s="276" t="str">
        <f>[1]!S_Info_Name(W2593)</f>
        <v>标榜股份</v>
      </c>
      <c r="Y2593" s="276" t="str">
        <f ca="1">IF($Y$3="申万一级行业",[1]!s_info_industry_sw_2021(W2593,公司分析!D$5,1),IF($Y$3="申万二级行业",[1]!s_info_industry_sw_2021(W2593,公司分析!D$5,2),IF($Y$3="申万三级行业",[1]!s_info_industry_sw_2021(W2593,公司分析!D$5,3),IF($Y$3="wind一级行业",[1]!s_info_industry_gics(W2593,1),IF($Y$3="wind二级行业",[1]!s_info_industry_gics(W2593,2),IF($Y$3="wind三级行业",[1]!s_info_industry_gics(W2593,3),IF($Y$3="wind四级行业",[1]!s_info_industry_gics(W2593,4),IF($Y$3="证监会门类行业",[1]!s_info_industry_csrc12_n(W2593,公司分析!D$5,1),""))))))))</f>
        <v>汽车零部件</v>
      </c>
      <c r="Z2593" s="302" t="str">
        <f ca="1">IF(Y2593=行业比较!$E$6,ROW(),"")</f>
        <v/>
      </c>
    </row>
    <row r="2594" spans="22:26">
      <c r="V2594" s="260">
        <f t="shared" ca="1" si="48"/>
        <v>0</v>
      </c>
      <c r="W2594" s="348" t="str">
        <f>IF(板块成分!B2596="","",板块成分!B2596)</f>
        <v>301182.SZ</v>
      </c>
      <c r="X2594" s="276" t="str">
        <f>[1]!S_Info_Name(W2594)</f>
        <v>凯旺科技</v>
      </c>
      <c r="Y2594" s="276" t="str">
        <f ca="1">IF($Y$3="申万一级行业",[1]!s_info_industry_sw_2021(W2594,公司分析!D$5,1),IF($Y$3="申万二级行业",[1]!s_info_industry_sw_2021(W2594,公司分析!D$5,2),IF($Y$3="申万三级行业",[1]!s_info_industry_sw_2021(W2594,公司分析!D$5,3),IF($Y$3="wind一级行业",[1]!s_info_industry_gics(W2594,1),IF($Y$3="wind二级行业",[1]!s_info_industry_gics(W2594,2),IF($Y$3="wind三级行业",[1]!s_info_industry_gics(W2594,3),IF($Y$3="wind四级行业",[1]!s_info_industry_gics(W2594,4),IF($Y$3="证监会门类行业",[1]!s_info_industry_csrc12_n(W2594,公司分析!D$5,1),""))))))))</f>
        <v>计算机设备</v>
      </c>
      <c r="Z2594" s="302" t="str">
        <f ca="1">IF(Y2594=行业比较!$E$6,ROW(),"")</f>
        <v/>
      </c>
    </row>
    <row r="2595" spans="22:26">
      <c r="V2595" s="260">
        <f t="shared" ca="1" si="48"/>
        <v>0</v>
      </c>
      <c r="W2595" s="348" t="str">
        <f>IF(板块成分!B2597="","",板块成分!B2597)</f>
        <v>301183.SZ</v>
      </c>
      <c r="X2595" s="276" t="str">
        <f>[1]!S_Info_Name(W2595)</f>
        <v>东田微</v>
      </c>
      <c r="Y2595" s="276" t="str">
        <f ca="1">IF($Y$3="申万一级行业",[1]!s_info_industry_sw_2021(W2595,公司分析!D$5,1),IF($Y$3="申万二级行业",[1]!s_info_industry_sw_2021(W2595,公司分析!D$5,2),IF($Y$3="申万三级行业",[1]!s_info_industry_sw_2021(W2595,公司分析!D$5,3),IF($Y$3="wind一级行业",[1]!s_info_industry_gics(W2595,1),IF($Y$3="wind二级行业",[1]!s_info_industry_gics(W2595,2),IF($Y$3="wind三级行业",[1]!s_info_industry_gics(W2595,3),IF($Y$3="wind四级行业",[1]!s_info_industry_gics(W2595,4),IF($Y$3="证监会门类行业",[1]!s_info_industry_csrc12_n(W2595,公司分析!D$5,1),""))))))))</f>
        <v>光学光电子</v>
      </c>
      <c r="Z2595" s="302" t="str">
        <f ca="1">IF(Y2595=行业比较!$E$6,ROW(),"")</f>
        <v/>
      </c>
    </row>
    <row r="2596" spans="22:26">
      <c r="V2596" s="260">
        <f t="shared" ca="1" si="48"/>
        <v>0</v>
      </c>
      <c r="W2596" s="348" t="str">
        <f>IF(板块成分!B2598="","",板块成分!B2598)</f>
        <v>301185.SZ</v>
      </c>
      <c r="X2596" s="276" t="str">
        <f>[1]!S_Info_Name(W2596)</f>
        <v>鸥玛软件</v>
      </c>
      <c r="Y2596" s="276" t="str">
        <f ca="1">IF($Y$3="申万一级行业",[1]!s_info_industry_sw_2021(W2596,公司分析!D$5,1),IF($Y$3="申万二级行业",[1]!s_info_industry_sw_2021(W2596,公司分析!D$5,2),IF($Y$3="申万三级行业",[1]!s_info_industry_sw_2021(W2596,公司分析!D$5,3),IF($Y$3="wind一级行业",[1]!s_info_industry_gics(W2596,1),IF($Y$3="wind二级行业",[1]!s_info_industry_gics(W2596,2),IF($Y$3="wind三级行业",[1]!s_info_industry_gics(W2596,3),IF($Y$3="wind四级行业",[1]!s_info_industry_gics(W2596,4),IF($Y$3="证监会门类行业",[1]!s_info_industry_csrc12_n(W2596,公司分析!D$5,1),""))))))))</f>
        <v>IT服务Ⅱ</v>
      </c>
      <c r="Z2596" s="302" t="str">
        <f ca="1">IF(Y2596=行业比较!$E$6,ROW(),"")</f>
        <v/>
      </c>
    </row>
    <row r="2597" spans="22:26">
      <c r="V2597" s="260">
        <f t="shared" ca="1" si="48"/>
        <v>0</v>
      </c>
      <c r="W2597" s="348" t="str">
        <f>IF(板块成分!B2599="","",板块成分!B2599)</f>
        <v>301186.SZ</v>
      </c>
      <c r="X2597" s="276" t="str">
        <f>[1]!S_Info_Name(W2597)</f>
        <v>超达装备</v>
      </c>
      <c r="Y2597" s="276" t="str">
        <f ca="1">IF($Y$3="申万一级行业",[1]!s_info_industry_sw_2021(W2597,公司分析!D$5,1),IF($Y$3="申万二级行业",[1]!s_info_industry_sw_2021(W2597,公司分析!D$5,2),IF($Y$3="申万三级行业",[1]!s_info_industry_sw_2021(W2597,公司分析!D$5,3),IF($Y$3="wind一级行业",[1]!s_info_industry_gics(W2597,1),IF($Y$3="wind二级行业",[1]!s_info_industry_gics(W2597,2),IF($Y$3="wind三级行业",[1]!s_info_industry_gics(W2597,3),IF($Y$3="wind四级行业",[1]!s_info_industry_gics(W2597,4),IF($Y$3="证监会门类行业",[1]!s_info_industry_csrc12_n(W2597,公司分析!D$5,1),""))))))))</f>
        <v>汽车零部件</v>
      </c>
      <c r="Z2597" s="302" t="str">
        <f ca="1">IF(Y2597=行业比较!$E$6,ROW(),"")</f>
        <v/>
      </c>
    </row>
    <row r="2598" spans="22:26">
      <c r="V2598" s="260">
        <f t="shared" ca="1" si="48"/>
        <v>0</v>
      </c>
      <c r="W2598" s="348" t="str">
        <f>IF(板块成分!B2600="","",板块成分!B2600)</f>
        <v>301187.SZ</v>
      </c>
      <c r="X2598" s="276" t="str">
        <f>[1]!S_Info_Name(W2598)</f>
        <v>欧圣电气</v>
      </c>
      <c r="Y2598" s="276" t="str">
        <f ca="1">IF($Y$3="申万一级行业",[1]!s_info_industry_sw_2021(W2598,公司分析!D$5,1),IF($Y$3="申万二级行业",[1]!s_info_industry_sw_2021(W2598,公司分析!D$5,2),IF($Y$3="申万三级行业",[1]!s_info_industry_sw_2021(W2598,公司分析!D$5,3),IF($Y$3="wind一级行业",[1]!s_info_industry_gics(W2598,1),IF($Y$3="wind二级行业",[1]!s_info_industry_gics(W2598,2),IF($Y$3="wind三级行业",[1]!s_info_industry_gics(W2598,3),IF($Y$3="wind四级行业",[1]!s_info_industry_gics(W2598,4),IF($Y$3="证监会门类行业",[1]!s_info_industry_csrc12_n(W2598,公司分析!D$5,1),""))))))))</f>
        <v>小家电</v>
      </c>
      <c r="Z2598" s="302" t="str">
        <f ca="1">IF(Y2598=行业比较!$E$6,ROW(),"")</f>
        <v/>
      </c>
    </row>
    <row r="2599" spans="22:26">
      <c r="V2599" s="260">
        <f t="shared" ca="1" si="48"/>
        <v>0</v>
      </c>
      <c r="W2599" s="348" t="str">
        <f>IF(板块成分!B2601="","",板块成分!B2601)</f>
        <v>301188.SZ</v>
      </c>
      <c r="X2599" s="276" t="str">
        <f>[1]!S_Info_Name(W2599)</f>
        <v>力诺药包</v>
      </c>
      <c r="Y2599" s="276" t="str">
        <f ca="1">IF($Y$3="申万一级行业",[1]!s_info_industry_sw_2021(W2599,公司分析!D$5,1),IF($Y$3="申万二级行业",[1]!s_info_industry_sw_2021(W2599,公司分析!D$5,2),IF($Y$3="申万三级行业",[1]!s_info_industry_sw_2021(W2599,公司分析!D$5,3),IF($Y$3="wind一级行业",[1]!s_info_industry_gics(W2599,1),IF($Y$3="wind二级行业",[1]!s_info_industry_gics(W2599,2),IF($Y$3="wind三级行业",[1]!s_info_industry_gics(W2599,3),IF($Y$3="wind四级行业",[1]!s_info_industry_gics(W2599,4),IF($Y$3="证监会门类行业",[1]!s_info_industry_csrc12_n(W2599,公司分析!D$5,1),""))))))))</f>
        <v>医疗器械</v>
      </c>
      <c r="Z2599" s="302" t="str">
        <f ca="1">IF(Y2599=行业比较!$E$6,ROW(),"")</f>
        <v/>
      </c>
    </row>
    <row r="2600" spans="22:26">
      <c r="V2600" s="260">
        <f t="shared" ca="1" si="48"/>
        <v>0</v>
      </c>
      <c r="W2600" s="348" t="str">
        <f>IF(板块成分!B2602="","",板块成分!B2602)</f>
        <v>301189.SZ</v>
      </c>
      <c r="X2600" s="276" t="str">
        <f>[1]!S_Info_Name(W2600)</f>
        <v>奥尼电子</v>
      </c>
      <c r="Y2600" s="276" t="str">
        <f ca="1">IF($Y$3="申万一级行业",[1]!s_info_industry_sw_2021(W2600,公司分析!D$5,1),IF($Y$3="申万二级行业",[1]!s_info_industry_sw_2021(W2600,公司分析!D$5,2),IF($Y$3="申万三级行业",[1]!s_info_industry_sw_2021(W2600,公司分析!D$5,3),IF($Y$3="wind一级行业",[1]!s_info_industry_gics(W2600,1),IF($Y$3="wind二级行业",[1]!s_info_industry_gics(W2600,2),IF($Y$3="wind三级行业",[1]!s_info_industry_gics(W2600,3),IF($Y$3="wind四级行业",[1]!s_info_industry_gics(W2600,4),IF($Y$3="证监会门类行业",[1]!s_info_industry_csrc12_n(W2600,公司分析!D$5,1),""))))))))</f>
        <v>消费电子</v>
      </c>
      <c r="Z2600" s="302" t="str">
        <f ca="1">IF(Y2600=行业比较!$E$6,ROW(),"")</f>
        <v/>
      </c>
    </row>
    <row r="2601" spans="22:26">
      <c r="V2601" s="260">
        <f t="shared" ca="1" si="48"/>
        <v>0</v>
      </c>
      <c r="W2601" s="348" t="str">
        <f>IF(板块成分!B2603="","",板块成分!B2603)</f>
        <v>301190.SZ</v>
      </c>
      <c r="X2601" s="276" t="str">
        <f>[1]!S_Info_Name(W2601)</f>
        <v>善水科技</v>
      </c>
      <c r="Y2601" s="276" t="str">
        <f ca="1">IF($Y$3="申万一级行业",[1]!s_info_industry_sw_2021(W2601,公司分析!D$5,1),IF($Y$3="申万二级行业",[1]!s_info_industry_sw_2021(W2601,公司分析!D$5,2),IF($Y$3="申万三级行业",[1]!s_info_industry_sw_2021(W2601,公司分析!D$5,3),IF($Y$3="wind一级行业",[1]!s_info_industry_gics(W2601,1),IF($Y$3="wind二级行业",[1]!s_info_industry_gics(W2601,2),IF($Y$3="wind三级行业",[1]!s_info_industry_gics(W2601,3),IF($Y$3="wind四级行业",[1]!s_info_industry_gics(W2601,4),IF($Y$3="证监会门类行业",[1]!s_info_industry_csrc12_n(W2601,公司分析!D$5,1),""))))))))</f>
        <v>化学原料</v>
      </c>
      <c r="Z2601" s="302" t="str">
        <f ca="1">IF(Y2601=行业比较!$E$6,ROW(),"")</f>
        <v/>
      </c>
    </row>
    <row r="2602" spans="22:26">
      <c r="V2602" s="260">
        <f t="shared" ca="1" si="48"/>
        <v>0</v>
      </c>
      <c r="W2602" s="348" t="str">
        <f>IF(板块成分!B2604="","",板块成分!B2604)</f>
        <v>301191.SZ</v>
      </c>
      <c r="X2602" s="276" t="str">
        <f>[1]!S_Info_Name(W2602)</f>
        <v>菲菱科思</v>
      </c>
      <c r="Y2602" s="276" t="str">
        <f ca="1">IF($Y$3="申万一级行业",[1]!s_info_industry_sw_2021(W2602,公司分析!D$5,1),IF($Y$3="申万二级行业",[1]!s_info_industry_sw_2021(W2602,公司分析!D$5,2),IF($Y$3="申万三级行业",[1]!s_info_industry_sw_2021(W2602,公司分析!D$5,3),IF($Y$3="wind一级行业",[1]!s_info_industry_gics(W2602,1),IF($Y$3="wind二级行业",[1]!s_info_industry_gics(W2602,2),IF($Y$3="wind三级行业",[1]!s_info_industry_gics(W2602,3),IF($Y$3="wind四级行业",[1]!s_info_industry_gics(W2602,4),IF($Y$3="证监会门类行业",[1]!s_info_industry_csrc12_n(W2602,公司分析!D$5,1),""))))))))</f>
        <v>通信设备</v>
      </c>
      <c r="Z2602" s="302" t="str">
        <f ca="1">IF(Y2602=行业比较!$E$6,ROW(),"")</f>
        <v/>
      </c>
    </row>
    <row r="2603" spans="22:26">
      <c r="V2603" s="260">
        <f t="shared" ca="1" si="48"/>
        <v>0</v>
      </c>
      <c r="W2603" s="348" t="str">
        <f>IF(板块成分!B2605="","",板块成分!B2605)</f>
        <v>301192.SZ</v>
      </c>
      <c r="X2603" s="276" t="str">
        <f>[1]!S_Info_Name(W2603)</f>
        <v>泰祥股份</v>
      </c>
      <c r="Y2603" s="276" t="str">
        <f ca="1">IF($Y$3="申万一级行业",[1]!s_info_industry_sw_2021(W2603,公司分析!D$5,1),IF($Y$3="申万二级行业",[1]!s_info_industry_sw_2021(W2603,公司分析!D$5,2),IF($Y$3="申万三级行业",[1]!s_info_industry_sw_2021(W2603,公司分析!D$5,3),IF($Y$3="wind一级行业",[1]!s_info_industry_gics(W2603,1),IF($Y$3="wind二级行业",[1]!s_info_industry_gics(W2603,2),IF($Y$3="wind三级行业",[1]!s_info_industry_gics(W2603,3),IF($Y$3="wind四级行业",[1]!s_info_industry_gics(W2603,4),IF($Y$3="证监会门类行业",[1]!s_info_industry_csrc12_n(W2603,公司分析!D$5,1),""))))))))</f>
        <v>汽车零部件</v>
      </c>
      <c r="Z2603" s="302" t="str">
        <f ca="1">IF(Y2603=行业比较!$E$6,ROW(),"")</f>
        <v/>
      </c>
    </row>
    <row r="2604" spans="22:26">
      <c r="V2604" s="260">
        <f t="shared" ca="1" si="48"/>
        <v>0</v>
      </c>
      <c r="W2604" s="348" t="str">
        <f>IF(板块成分!B2606="","",板块成分!B2606)</f>
        <v>301193.SZ</v>
      </c>
      <c r="X2604" s="276" t="str">
        <f>[1]!S_Info_Name(W2604)</f>
        <v>家联科技</v>
      </c>
      <c r="Y2604" s="276" t="str">
        <f ca="1">IF($Y$3="申万一级行业",[1]!s_info_industry_sw_2021(W2604,公司分析!D$5,1),IF($Y$3="申万二级行业",[1]!s_info_industry_sw_2021(W2604,公司分析!D$5,2),IF($Y$3="申万三级行业",[1]!s_info_industry_sw_2021(W2604,公司分析!D$5,3),IF($Y$3="wind一级行业",[1]!s_info_industry_gics(W2604,1),IF($Y$3="wind二级行业",[1]!s_info_industry_gics(W2604,2),IF($Y$3="wind三级行业",[1]!s_info_industry_gics(W2604,3),IF($Y$3="wind四级行业",[1]!s_info_industry_gics(W2604,4),IF($Y$3="证监会门类行业",[1]!s_info_industry_csrc12_n(W2604,公司分析!D$5,1),""))))))))</f>
        <v>家居用品</v>
      </c>
      <c r="Z2604" s="302" t="str">
        <f ca="1">IF(Y2604=行业比较!$E$6,ROW(),"")</f>
        <v/>
      </c>
    </row>
    <row r="2605" spans="22:26">
      <c r="V2605" s="260">
        <f t="shared" ca="1" si="48"/>
        <v>0</v>
      </c>
      <c r="W2605" s="348" t="str">
        <f>IF(板块成分!B2607="","",板块成分!B2607)</f>
        <v>301195.SZ</v>
      </c>
      <c r="X2605" s="276" t="str">
        <f>[1]!S_Info_Name(W2605)</f>
        <v>北路智控</v>
      </c>
      <c r="Y2605" s="276" t="str">
        <f ca="1">IF($Y$3="申万一级行业",[1]!s_info_industry_sw_2021(W2605,公司分析!D$5,1),IF($Y$3="申万二级行业",[1]!s_info_industry_sw_2021(W2605,公司分析!D$5,2),IF($Y$3="申万三级行业",[1]!s_info_industry_sw_2021(W2605,公司分析!D$5,3),IF($Y$3="wind一级行业",[1]!s_info_industry_gics(W2605,1),IF($Y$3="wind二级行业",[1]!s_info_industry_gics(W2605,2),IF($Y$3="wind三级行业",[1]!s_info_industry_gics(W2605,3),IF($Y$3="wind四级行业",[1]!s_info_industry_gics(W2605,4),IF($Y$3="证监会门类行业",[1]!s_info_industry_csrc12_n(W2605,公司分析!D$5,1),""))))))))</f>
        <v>软件开发</v>
      </c>
      <c r="Z2605" s="302" t="str">
        <f ca="1">IF(Y2605=行业比较!$E$6,ROW(),"")</f>
        <v/>
      </c>
    </row>
    <row r="2606" spans="22:26">
      <c r="V2606" s="260">
        <f t="shared" ca="1" si="48"/>
        <v>0</v>
      </c>
      <c r="W2606" s="348" t="str">
        <f>IF(板块成分!B2608="","",板块成分!B2608)</f>
        <v>301196.SZ</v>
      </c>
      <c r="X2606" s="276" t="str">
        <f>[1]!S_Info_Name(W2606)</f>
        <v>唯科科技</v>
      </c>
      <c r="Y2606" s="276" t="str">
        <f ca="1">IF($Y$3="申万一级行业",[1]!s_info_industry_sw_2021(W2606,公司分析!D$5,1),IF($Y$3="申万二级行业",[1]!s_info_industry_sw_2021(W2606,公司分析!D$5,2),IF($Y$3="申万三级行业",[1]!s_info_industry_sw_2021(W2606,公司分析!D$5,3),IF($Y$3="wind一级行业",[1]!s_info_industry_gics(W2606,1),IF($Y$3="wind二级行业",[1]!s_info_industry_gics(W2606,2),IF($Y$3="wind三级行业",[1]!s_info_industry_gics(W2606,3),IF($Y$3="wind四级行业",[1]!s_info_industry_gics(W2606,4),IF($Y$3="证监会门类行业",[1]!s_info_industry_csrc12_n(W2606,公司分析!D$5,1),""))))))))</f>
        <v>塑料</v>
      </c>
      <c r="Z2606" s="302" t="str">
        <f ca="1">IF(Y2606=行业比较!$E$6,ROW(),"")</f>
        <v/>
      </c>
    </row>
    <row r="2607" spans="22:26">
      <c r="V2607" s="260">
        <f t="shared" ca="1" si="48"/>
        <v>0</v>
      </c>
      <c r="W2607" s="348" t="str">
        <f>IF(板块成分!B2609="","",板块成分!B2609)</f>
        <v>301197.SZ</v>
      </c>
      <c r="X2607" s="276" t="str">
        <f>[1]!S_Info_Name(W2607)</f>
        <v>工大科雅</v>
      </c>
      <c r="Y2607" s="276" t="str">
        <f ca="1">IF($Y$3="申万一级行业",[1]!s_info_industry_sw_2021(W2607,公司分析!D$5,1),IF($Y$3="申万二级行业",[1]!s_info_industry_sw_2021(W2607,公司分析!D$5,2),IF($Y$3="申万三级行业",[1]!s_info_industry_sw_2021(W2607,公司分析!D$5,3),IF($Y$3="wind一级行业",[1]!s_info_industry_gics(W2607,1),IF($Y$3="wind二级行业",[1]!s_info_industry_gics(W2607,2),IF($Y$3="wind三级行业",[1]!s_info_industry_gics(W2607,3),IF($Y$3="wind四级行业",[1]!s_info_industry_gics(W2607,4),IF($Y$3="证监会门类行业",[1]!s_info_industry_csrc12_n(W2607,公司分析!D$5,1),""))))))))</f>
        <v>通用设备</v>
      </c>
      <c r="Z2607" s="302" t="str">
        <f ca="1">IF(Y2607=行业比较!$E$6,ROW(),"")</f>
        <v/>
      </c>
    </row>
    <row r="2608" spans="22:26">
      <c r="V2608" s="260">
        <f t="shared" ca="1" si="48"/>
        <v>0</v>
      </c>
      <c r="W2608" s="348" t="str">
        <f>IF(板块成分!B2610="","",板块成分!B2610)</f>
        <v>301198.SZ</v>
      </c>
      <c r="X2608" s="276" t="str">
        <f>[1]!S_Info_Name(W2608)</f>
        <v>喜悦智行</v>
      </c>
      <c r="Y2608" s="276" t="str">
        <f ca="1">IF($Y$3="申万一级行业",[1]!s_info_industry_sw_2021(W2608,公司分析!D$5,1),IF($Y$3="申万二级行业",[1]!s_info_industry_sw_2021(W2608,公司分析!D$5,2),IF($Y$3="申万三级行业",[1]!s_info_industry_sw_2021(W2608,公司分析!D$5,3),IF($Y$3="wind一级行业",[1]!s_info_industry_gics(W2608,1),IF($Y$3="wind二级行业",[1]!s_info_industry_gics(W2608,2),IF($Y$3="wind三级行业",[1]!s_info_industry_gics(W2608,3),IF($Y$3="wind四级行业",[1]!s_info_industry_gics(W2608,4),IF($Y$3="证监会门类行业",[1]!s_info_industry_csrc12_n(W2608,公司分析!D$5,1),""))))))))</f>
        <v>包装印刷</v>
      </c>
      <c r="Z2608" s="302" t="str">
        <f ca="1">IF(Y2608=行业比较!$E$6,ROW(),"")</f>
        <v/>
      </c>
    </row>
    <row r="2609" spans="22:26">
      <c r="V2609" s="260">
        <f t="shared" ca="1" si="48"/>
        <v>0</v>
      </c>
      <c r="W2609" s="348" t="str">
        <f>IF(板块成分!B2611="","",板块成分!B2611)</f>
        <v>301199.SZ</v>
      </c>
      <c r="X2609" s="276" t="str">
        <f>[1]!S_Info_Name(W2609)</f>
        <v>迈赫股份</v>
      </c>
      <c r="Y2609" s="276" t="str">
        <f ca="1">IF($Y$3="申万一级行业",[1]!s_info_industry_sw_2021(W2609,公司分析!D$5,1),IF($Y$3="申万二级行业",[1]!s_info_industry_sw_2021(W2609,公司分析!D$5,2),IF($Y$3="申万三级行业",[1]!s_info_industry_sw_2021(W2609,公司分析!D$5,3),IF($Y$3="wind一级行业",[1]!s_info_industry_gics(W2609,1),IF($Y$3="wind二级行业",[1]!s_info_industry_gics(W2609,2),IF($Y$3="wind三级行业",[1]!s_info_industry_gics(W2609,3),IF($Y$3="wind四级行业",[1]!s_info_industry_gics(W2609,4),IF($Y$3="证监会门类行业",[1]!s_info_industry_csrc12_n(W2609,公司分析!D$5,1),""))))))))</f>
        <v>自动化设备</v>
      </c>
      <c r="Z2609" s="302" t="str">
        <f ca="1">IF(Y2609=行业比较!$E$6,ROW(),"")</f>
        <v/>
      </c>
    </row>
    <row r="2610" spans="22:26">
      <c r="V2610" s="260">
        <f t="shared" ca="1" si="48"/>
        <v>0</v>
      </c>
      <c r="W2610" s="348" t="str">
        <f>IF(板块成分!B2612="","",板块成分!B2612)</f>
        <v>301200.SZ</v>
      </c>
      <c r="X2610" s="276" t="str">
        <f>[1]!S_Info_Name(W2610)</f>
        <v>大族数控</v>
      </c>
      <c r="Y2610" s="276" t="str">
        <f ca="1">IF($Y$3="申万一级行业",[1]!s_info_industry_sw_2021(W2610,公司分析!D$5,1),IF($Y$3="申万二级行业",[1]!s_info_industry_sw_2021(W2610,公司分析!D$5,2),IF($Y$3="申万三级行业",[1]!s_info_industry_sw_2021(W2610,公司分析!D$5,3),IF($Y$3="wind一级行业",[1]!s_info_industry_gics(W2610,1),IF($Y$3="wind二级行业",[1]!s_info_industry_gics(W2610,2),IF($Y$3="wind三级行业",[1]!s_info_industry_gics(W2610,3),IF($Y$3="wind四级行业",[1]!s_info_industry_gics(W2610,4),IF($Y$3="证监会门类行业",[1]!s_info_industry_csrc12_n(W2610,公司分析!D$5,1),""))))))))</f>
        <v>专用设备</v>
      </c>
      <c r="Z2610" s="302" t="str">
        <f ca="1">IF(Y2610=行业比较!$E$6,ROW(),"")</f>
        <v/>
      </c>
    </row>
    <row r="2611" spans="22:26">
      <c r="V2611" s="260">
        <f t="shared" ca="1" si="48"/>
        <v>0</v>
      </c>
      <c r="W2611" s="348" t="str">
        <f>IF(板块成分!B2613="","",板块成分!B2613)</f>
        <v>301201.SZ</v>
      </c>
      <c r="X2611" s="276" t="str">
        <f>[1]!S_Info_Name(W2611)</f>
        <v>诚达药业</v>
      </c>
      <c r="Y2611" s="276" t="str">
        <f ca="1">IF($Y$3="申万一级行业",[1]!s_info_industry_sw_2021(W2611,公司分析!D$5,1),IF($Y$3="申万二级行业",[1]!s_info_industry_sw_2021(W2611,公司分析!D$5,2),IF($Y$3="申万三级行业",[1]!s_info_industry_sw_2021(W2611,公司分析!D$5,3),IF($Y$3="wind一级行业",[1]!s_info_industry_gics(W2611,1),IF($Y$3="wind二级行业",[1]!s_info_industry_gics(W2611,2),IF($Y$3="wind三级行业",[1]!s_info_industry_gics(W2611,3),IF($Y$3="wind四级行业",[1]!s_info_industry_gics(W2611,4),IF($Y$3="证监会门类行业",[1]!s_info_industry_csrc12_n(W2611,公司分析!D$5,1),""))))))))</f>
        <v>医疗服务</v>
      </c>
      <c r="Z2611" s="302" t="str">
        <f ca="1">IF(Y2611=行业比较!$E$6,ROW(),"")</f>
        <v/>
      </c>
    </row>
    <row r="2612" spans="22:26">
      <c r="V2612" s="260">
        <f t="shared" ca="1" si="48"/>
        <v>0</v>
      </c>
      <c r="W2612" s="348" t="str">
        <f>IF(板块成分!B2614="","",板块成分!B2614)</f>
        <v>301202.SZ</v>
      </c>
      <c r="X2612" s="276" t="str">
        <f>[1]!S_Info_Name(W2612)</f>
        <v>朗威股份</v>
      </c>
      <c r="Y2612" s="276" t="str">
        <f ca="1">IF($Y$3="申万一级行业",[1]!s_info_industry_sw_2021(W2612,公司分析!D$5,1),IF($Y$3="申万二级行业",[1]!s_info_industry_sw_2021(W2612,公司分析!D$5,2),IF($Y$3="申万三级行业",[1]!s_info_industry_sw_2021(W2612,公司分析!D$5,3),IF($Y$3="wind一级行业",[1]!s_info_industry_gics(W2612,1),IF($Y$3="wind二级行业",[1]!s_info_industry_gics(W2612,2),IF($Y$3="wind三级行业",[1]!s_info_industry_gics(W2612,3),IF($Y$3="wind四级行业",[1]!s_info_industry_gics(W2612,4),IF($Y$3="证监会门类行业",[1]!s_info_industry_csrc12_n(W2612,公司分析!D$5,1),""))))))))</f>
        <v>通信设备</v>
      </c>
      <c r="Z2612" s="302" t="str">
        <f ca="1">IF(Y2612=行业比较!$E$6,ROW(),"")</f>
        <v/>
      </c>
    </row>
    <row r="2613" spans="22:26">
      <c r="V2613" s="260">
        <f t="shared" ca="1" si="48"/>
        <v>0</v>
      </c>
      <c r="W2613" s="348" t="str">
        <f>IF(板块成分!B2615="","",板块成分!B2615)</f>
        <v>301203.SZ</v>
      </c>
      <c r="X2613" s="276" t="str">
        <f>[1]!S_Info_Name(W2613)</f>
        <v>国泰环保</v>
      </c>
      <c r="Y2613" s="276" t="str">
        <f ca="1">IF($Y$3="申万一级行业",[1]!s_info_industry_sw_2021(W2613,公司分析!D$5,1),IF($Y$3="申万二级行业",[1]!s_info_industry_sw_2021(W2613,公司分析!D$5,2),IF($Y$3="申万三级行业",[1]!s_info_industry_sw_2021(W2613,公司分析!D$5,3),IF($Y$3="wind一级行业",[1]!s_info_industry_gics(W2613,1),IF($Y$3="wind二级行业",[1]!s_info_industry_gics(W2613,2),IF($Y$3="wind三级行业",[1]!s_info_industry_gics(W2613,3),IF($Y$3="wind四级行业",[1]!s_info_industry_gics(W2613,4),IF($Y$3="证监会门类行业",[1]!s_info_industry_csrc12_n(W2613,公司分析!D$5,1),""))))))))</f>
        <v>环境治理</v>
      </c>
      <c r="Z2613" s="302" t="str">
        <f ca="1">IF(Y2613=行业比较!$E$6,ROW(),"")</f>
        <v/>
      </c>
    </row>
    <row r="2614" spans="22:26">
      <c r="V2614" s="260">
        <f t="shared" ca="1" si="48"/>
        <v>0</v>
      </c>
      <c r="W2614" s="348" t="str">
        <f>IF(板块成分!B2616="","",板块成分!B2616)</f>
        <v>301205.SZ</v>
      </c>
      <c r="X2614" s="276" t="str">
        <f>[1]!S_Info_Name(W2614)</f>
        <v>联特科技</v>
      </c>
      <c r="Y2614" s="276" t="str">
        <f ca="1">IF($Y$3="申万一级行业",[1]!s_info_industry_sw_2021(W2614,公司分析!D$5,1),IF($Y$3="申万二级行业",[1]!s_info_industry_sw_2021(W2614,公司分析!D$5,2),IF($Y$3="申万三级行业",[1]!s_info_industry_sw_2021(W2614,公司分析!D$5,3),IF($Y$3="wind一级行业",[1]!s_info_industry_gics(W2614,1),IF($Y$3="wind二级行业",[1]!s_info_industry_gics(W2614,2),IF($Y$3="wind三级行业",[1]!s_info_industry_gics(W2614,3),IF($Y$3="wind四级行业",[1]!s_info_industry_gics(W2614,4),IF($Y$3="证监会门类行业",[1]!s_info_industry_csrc12_n(W2614,公司分析!D$5,1),""))))))))</f>
        <v>通信设备</v>
      </c>
      <c r="Z2614" s="302" t="str">
        <f ca="1">IF(Y2614=行业比较!$E$6,ROW(),"")</f>
        <v/>
      </c>
    </row>
    <row r="2615" spans="22:26">
      <c r="V2615" s="260">
        <f t="shared" ca="1" si="48"/>
        <v>0</v>
      </c>
      <c r="W2615" s="348" t="str">
        <f>IF(板块成分!B2617="","",板块成分!B2617)</f>
        <v>301206.SZ</v>
      </c>
      <c r="X2615" s="276" t="str">
        <f>[1]!S_Info_Name(W2615)</f>
        <v>三元生物</v>
      </c>
      <c r="Y2615" s="276" t="str">
        <f ca="1">IF($Y$3="申万一级行业",[1]!s_info_industry_sw_2021(W2615,公司分析!D$5,1),IF($Y$3="申万二级行业",[1]!s_info_industry_sw_2021(W2615,公司分析!D$5,2),IF($Y$3="申万三级行业",[1]!s_info_industry_sw_2021(W2615,公司分析!D$5,3),IF($Y$3="wind一级行业",[1]!s_info_industry_gics(W2615,1),IF($Y$3="wind二级行业",[1]!s_info_industry_gics(W2615,2),IF($Y$3="wind三级行业",[1]!s_info_industry_gics(W2615,3),IF($Y$3="wind四级行业",[1]!s_info_industry_gics(W2615,4),IF($Y$3="证监会门类行业",[1]!s_info_industry_csrc12_n(W2615,公司分析!D$5,1),""))))))))</f>
        <v>化学制品</v>
      </c>
      <c r="Z2615" s="302" t="str">
        <f ca="1">IF(Y2615=行业比较!$E$6,ROW(),"")</f>
        <v/>
      </c>
    </row>
    <row r="2616" spans="22:26">
      <c r="V2616" s="260">
        <f t="shared" ca="1" si="48"/>
        <v>0</v>
      </c>
      <c r="W2616" s="348" t="str">
        <f>IF(板块成分!B2618="","",板块成分!B2618)</f>
        <v>301207.SZ</v>
      </c>
      <c r="X2616" s="276" t="str">
        <f>[1]!S_Info_Name(W2616)</f>
        <v>华兰疫苗</v>
      </c>
      <c r="Y2616" s="276" t="str">
        <f ca="1">IF($Y$3="申万一级行业",[1]!s_info_industry_sw_2021(W2616,公司分析!D$5,1),IF($Y$3="申万二级行业",[1]!s_info_industry_sw_2021(W2616,公司分析!D$5,2),IF($Y$3="申万三级行业",[1]!s_info_industry_sw_2021(W2616,公司分析!D$5,3),IF($Y$3="wind一级行业",[1]!s_info_industry_gics(W2616,1),IF($Y$3="wind二级行业",[1]!s_info_industry_gics(W2616,2),IF($Y$3="wind三级行业",[1]!s_info_industry_gics(W2616,3),IF($Y$3="wind四级行业",[1]!s_info_industry_gics(W2616,4),IF($Y$3="证监会门类行业",[1]!s_info_industry_csrc12_n(W2616,公司分析!D$5,1),""))))))))</f>
        <v>生物制品</v>
      </c>
      <c r="Z2616" s="302" t="str">
        <f ca="1">IF(Y2616=行业比较!$E$6,ROW(),"")</f>
        <v/>
      </c>
    </row>
    <row r="2617" spans="22:26">
      <c r="V2617" s="260">
        <f t="shared" ca="1" si="48"/>
        <v>0</v>
      </c>
      <c r="W2617" s="348" t="str">
        <f>IF(板块成分!B2619="","",板块成分!B2619)</f>
        <v>301208.SZ</v>
      </c>
      <c r="X2617" s="276" t="str">
        <f>[1]!S_Info_Name(W2617)</f>
        <v>中亦科技</v>
      </c>
      <c r="Y2617" s="276" t="str">
        <f ca="1">IF($Y$3="申万一级行业",[1]!s_info_industry_sw_2021(W2617,公司分析!D$5,1),IF($Y$3="申万二级行业",[1]!s_info_industry_sw_2021(W2617,公司分析!D$5,2),IF($Y$3="申万三级行业",[1]!s_info_industry_sw_2021(W2617,公司分析!D$5,3),IF($Y$3="wind一级行业",[1]!s_info_industry_gics(W2617,1),IF($Y$3="wind二级行业",[1]!s_info_industry_gics(W2617,2),IF($Y$3="wind三级行业",[1]!s_info_industry_gics(W2617,3),IF($Y$3="wind四级行业",[1]!s_info_industry_gics(W2617,4),IF($Y$3="证监会门类行业",[1]!s_info_industry_csrc12_n(W2617,公司分析!D$5,1),""))))))))</f>
        <v>IT服务Ⅱ</v>
      </c>
      <c r="Z2617" s="302" t="str">
        <f ca="1">IF(Y2617=行业比较!$E$6,ROW(),"")</f>
        <v/>
      </c>
    </row>
    <row r="2618" spans="22:26">
      <c r="V2618" s="260">
        <f t="shared" ca="1" si="48"/>
        <v>0</v>
      </c>
      <c r="W2618" s="348" t="str">
        <f>IF(板块成分!B2620="","",板块成分!B2620)</f>
        <v>301209.SZ</v>
      </c>
      <c r="X2618" s="276" t="str">
        <f>[1]!S_Info_Name(W2618)</f>
        <v>联合化学</v>
      </c>
      <c r="Y2618" s="276" t="str">
        <f ca="1">IF($Y$3="申万一级行业",[1]!s_info_industry_sw_2021(W2618,公司分析!D$5,1),IF($Y$3="申万二级行业",[1]!s_info_industry_sw_2021(W2618,公司分析!D$5,2),IF($Y$3="申万三级行业",[1]!s_info_industry_sw_2021(W2618,公司分析!D$5,3),IF($Y$3="wind一级行业",[1]!s_info_industry_gics(W2618,1),IF($Y$3="wind二级行业",[1]!s_info_industry_gics(W2618,2),IF($Y$3="wind三级行业",[1]!s_info_industry_gics(W2618,3),IF($Y$3="wind四级行业",[1]!s_info_industry_gics(W2618,4),IF($Y$3="证监会门类行业",[1]!s_info_industry_csrc12_n(W2618,公司分析!D$5,1),""))))))))</f>
        <v>化学制品</v>
      </c>
      <c r="Z2618" s="302" t="str">
        <f ca="1">IF(Y2618=行业比较!$E$6,ROW(),"")</f>
        <v/>
      </c>
    </row>
    <row r="2619" spans="22:26">
      <c r="V2619" s="260">
        <f t="shared" ca="1" si="48"/>
        <v>0</v>
      </c>
      <c r="W2619" s="348" t="str">
        <f>IF(板块成分!B2621="","",板块成分!B2621)</f>
        <v>301210.SZ</v>
      </c>
      <c r="X2619" s="276" t="str">
        <f>[1]!S_Info_Name(W2619)</f>
        <v>金杨精密</v>
      </c>
      <c r="Y2619" s="276" t="str">
        <f ca="1">IF($Y$3="申万一级行业",[1]!s_info_industry_sw_2021(W2619,公司分析!D$5,1),IF($Y$3="申万二级行业",[1]!s_info_industry_sw_2021(W2619,公司分析!D$5,2),IF($Y$3="申万三级行业",[1]!s_info_industry_sw_2021(W2619,公司分析!D$5,3),IF($Y$3="wind一级行业",[1]!s_info_industry_gics(W2619,1),IF($Y$3="wind二级行业",[1]!s_info_industry_gics(W2619,2),IF($Y$3="wind三级行业",[1]!s_info_industry_gics(W2619,3),IF($Y$3="wind四级行业",[1]!s_info_industry_gics(W2619,4),IF($Y$3="证监会门类行业",[1]!s_info_industry_csrc12_n(W2619,公司分析!D$5,1),""))))))))</f>
        <v>电池</v>
      </c>
      <c r="Z2619" s="302" t="str">
        <f ca="1">IF(Y2619=行业比较!$E$6,ROW(),"")</f>
        <v/>
      </c>
    </row>
    <row r="2620" spans="22:26">
      <c r="V2620" s="260">
        <f t="shared" ca="1" si="48"/>
        <v>0</v>
      </c>
      <c r="W2620" s="348" t="str">
        <f>IF(板块成分!B2622="","",板块成分!B2622)</f>
        <v>301211.SZ</v>
      </c>
      <c r="X2620" s="276" t="str">
        <f>[1]!S_Info_Name(W2620)</f>
        <v>亨迪药业</v>
      </c>
      <c r="Y2620" s="276" t="str">
        <f ca="1">IF($Y$3="申万一级行业",[1]!s_info_industry_sw_2021(W2620,公司分析!D$5,1),IF($Y$3="申万二级行业",[1]!s_info_industry_sw_2021(W2620,公司分析!D$5,2),IF($Y$3="申万三级行业",[1]!s_info_industry_sw_2021(W2620,公司分析!D$5,3),IF($Y$3="wind一级行业",[1]!s_info_industry_gics(W2620,1),IF($Y$3="wind二级行业",[1]!s_info_industry_gics(W2620,2),IF($Y$3="wind三级行业",[1]!s_info_industry_gics(W2620,3),IF($Y$3="wind四级行业",[1]!s_info_industry_gics(W2620,4),IF($Y$3="证监会门类行业",[1]!s_info_industry_csrc12_n(W2620,公司分析!D$5,1),""))))))))</f>
        <v>化学制药</v>
      </c>
      <c r="Z2620" s="302" t="str">
        <f ca="1">IF(Y2620=行业比较!$E$6,ROW(),"")</f>
        <v/>
      </c>
    </row>
    <row r="2621" spans="22:26">
      <c r="V2621" s="260">
        <f t="shared" ca="1" si="48"/>
        <v>0</v>
      </c>
      <c r="W2621" s="348" t="str">
        <f>IF(板块成分!B2623="","",板块成分!B2623)</f>
        <v>301212.SZ</v>
      </c>
      <c r="X2621" s="276" t="str">
        <f>[1]!S_Info_Name(W2621)</f>
        <v>联盛化学</v>
      </c>
      <c r="Y2621" s="276" t="str">
        <f ca="1">IF($Y$3="申万一级行业",[1]!s_info_industry_sw_2021(W2621,公司分析!D$5,1),IF($Y$3="申万二级行业",[1]!s_info_industry_sw_2021(W2621,公司分析!D$5,2),IF($Y$3="申万三级行业",[1]!s_info_industry_sw_2021(W2621,公司分析!D$5,3),IF($Y$3="wind一级行业",[1]!s_info_industry_gics(W2621,1),IF($Y$3="wind二级行业",[1]!s_info_industry_gics(W2621,2),IF($Y$3="wind三级行业",[1]!s_info_industry_gics(W2621,3),IF($Y$3="wind四级行业",[1]!s_info_industry_gics(W2621,4),IF($Y$3="证监会门类行业",[1]!s_info_industry_csrc12_n(W2621,公司分析!D$5,1),""))))))))</f>
        <v>化学制品</v>
      </c>
      <c r="Z2621" s="302" t="str">
        <f ca="1">IF(Y2621=行业比较!$E$6,ROW(),"")</f>
        <v/>
      </c>
    </row>
    <row r="2622" spans="22:26">
      <c r="V2622" s="260">
        <f t="shared" ca="1" si="48"/>
        <v>0</v>
      </c>
      <c r="W2622" s="348" t="str">
        <f>IF(板块成分!B2624="","",板块成分!B2624)</f>
        <v>301213.SZ</v>
      </c>
      <c r="X2622" s="276" t="str">
        <f>[1]!S_Info_Name(W2622)</f>
        <v>观想科技</v>
      </c>
      <c r="Y2622" s="276" t="str">
        <f ca="1">IF($Y$3="申万一级行业",[1]!s_info_industry_sw_2021(W2622,公司分析!D$5,1),IF($Y$3="申万二级行业",[1]!s_info_industry_sw_2021(W2622,公司分析!D$5,2),IF($Y$3="申万三级行业",[1]!s_info_industry_sw_2021(W2622,公司分析!D$5,3),IF($Y$3="wind一级行业",[1]!s_info_industry_gics(W2622,1),IF($Y$3="wind二级行业",[1]!s_info_industry_gics(W2622,2),IF($Y$3="wind三级行业",[1]!s_info_industry_gics(W2622,3),IF($Y$3="wind四级行业",[1]!s_info_industry_gics(W2622,4),IF($Y$3="证监会门类行业",[1]!s_info_industry_csrc12_n(W2622,公司分析!D$5,1),""))))))))</f>
        <v>军工电子Ⅱ</v>
      </c>
      <c r="Z2622" s="302" t="str">
        <f ca="1">IF(Y2622=行业比较!$E$6,ROW(),"")</f>
        <v/>
      </c>
    </row>
    <row r="2623" spans="22:26">
      <c r="V2623" s="260">
        <f t="shared" ca="1" si="48"/>
        <v>0</v>
      </c>
      <c r="W2623" s="348" t="str">
        <f>IF(板块成分!B2625="","",板块成分!B2625)</f>
        <v>301215.SZ</v>
      </c>
      <c r="X2623" s="276" t="str">
        <f>[1]!S_Info_Name(W2623)</f>
        <v>中汽股份</v>
      </c>
      <c r="Y2623" s="276" t="str">
        <f ca="1">IF($Y$3="申万一级行业",[1]!s_info_industry_sw_2021(W2623,公司分析!D$5,1),IF($Y$3="申万二级行业",[1]!s_info_industry_sw_2021(W2623,公司分析!D$5,2),IF($Y$3="申万三级行业",[1]!s_info_industry_sw_2021(W2623,公司分析!D$5,3),IF($Y$3="wind一级行业",[1]!s_info_industry_gics(W2623,1),IF($Y$3="wind二级行业",[1]!s_info_industry_gics(W2623,2),IF($Y$3="wind三级行业",[1]!s_info_industry_gics(W2623,3),IF($Y$3="wind四级行业",[1]!s_info_industry_gics(W2623,4),IF($Y$3="证监会门类行业",[1]!s_info_industry_csrc12_n(W2623,公司分析!D$5,1),""))))))))</f>
        <v>汽车服务</v>
      </c>
      <c r="Z2623" s="302" t="str">
        <f ca="1">IF(Y2623=行业比较!$E$6,ROW(),"")</f>
        <v/>
      </c>
    </row>
    <row r="2624" spans="22:26">
      <c r="V2624" s="260">
        <f t="shared" ca="1" si="48"/>
        <v>0</v>
      </c>
      <c r="W2624" s="348" t="str">
        <f>IF(板块成分!B2626="","",板块成分!B2626)</f>
        <v>301216.SZ</v>
      </c>
      <c r="X2624" s="276" t="str">
        <f>[1]!S_Info_Name(W2624)</f>
        <v>万凯新材</v>
      </c>
      <c r="Y2624" s="276" t="str">
        <f ca="1">IF($Y$3="申万一级行业",[1]!s_info_industry_sw_2021(W2624,公司分析!D$5,1),IF($Y$3="申万二级行业",[1]!s_info_industry_sw_2021(W2624,公司分析!D$5,2),IF($Y$3="申万三级行业",[1]!s_info_industry_sw_2021(W2624,公司分析!D$5,3),IF($Y$3="wind一级行业",[1]!s_info_industry_gics(W2624,1),IF($Y$3="wind二级行业",[1]!s_info_industry_gics(W2624,2),IF($Y$3="wind三级行业",[1]!s_info_industry_gics(W2624,3),IF($Y$3="wind四级行业",[1]!s_info_industry_gics(W2624,4),IF($Y$3="证监会门类行业",[1]!s_info_industry_csrc12_n(W2624,公司分析!D$5,1),""))))))))</f>
        <v>塑料</v>
      </c>
      <c r="Z2624" s="302" t="str">
        <f ca="1">IF(Y2624=行业比较!$E$6,ROW(),"")</f>
        <v/>
      </c>
    </row>
    <row r="2625" spans="22:26">
      <c r="V2625" s="260">
        <f t="shared" ca="1" si="48"/>
        <v>0</v>
      </c>
      <c r="W2625" s="348" t="str">
        <f>IF(板块成分!B2627="","",板块成分!B2627)</f>
        <v>301217.SZ</v>
      </c>
      <c r="X2625" s="276" t="str">
        <f>[1]!S_Info_Name(W2625)</f>
        <v>铜冠铜箔</v>
      </c>
      <c r="Y2625" s="276" t="str">
        <f ca="1">IF($Y$3="申万一级行业",[1]!s_info_industry_sw_2021(W2625,公司分析!D$5,1),IF($Y$3="申万二级行业",[1]!s_info_industry_sw_2021(W2625,公司分析!D$5,2),IF($Y$3="申万三级行业",[1]!s_info_industry_sw_2021(W2625,公司分析!D$5,3),IF($Y$3="wind一级行业",[1]!s_info_industry_gics(W2625,1),IF($Y$3="wind二级行业",[1]!s_info_industry_gics(W2625,2),IF($Y$3="wind三级行业",[1]!s_info_industry_gics(W2625,3),IF($Y$3="wind四级行业",[1]!s_info_industry_gics(W2625,4),IF($Y$3="证监会门类行业",[1]!s_info_industry_csrc12_n(W2625,公司分析!D$5,1),""))))))))</f>
        <v>电池</v>
      </c>
      <c r="Z2625" s="302" t="str">
        <f ca="1">IF(Y2625=行业比较!$E$6,ROW(),"")</f>
        <v/>
      </c>
    </row>
    <row r="2626" spans="22:26">
      <c r="V2626" s="260">
        <f t="shared" ca="1" si="48"/>
        <v>0</v>
      </c>
      <c r="W2626" s="348" t="str">
        <f>IF(板块成分!B2628="","",板块成分!B2628)</f>
        <v>301218.SZ</v>
      </c>
      <c r="X2626" s="276" t="str">
        <f>[1]!S_Info_Name(W2626)</f>
        <v>华是科技</v>
      </c>
      <c r="Y2626" s="276" t="str">
        <f ca="1">IF($Y$3="申万一级行业",[1]!s_info_industry_sw_2021(W2626,公司分析!D$5,1),IF($Y$3="申万二级行业",[1]!s_info_industry_sw_2021(W2626,公司分析!D$5,2),IF($Y$3="申万三级行业",[1]!s_info_industry_sw_2021(W2626,公司分析!D$5,3),IF($Y$3="wind一级行业",[1]!s_info_industry_gics(W2626,1),IF($Y$3="wind二级行业",[1]!s_info_industry_gics(W2626,2),IF($Y$3="wind三级行业",[1]!s_info_industry_gics(W2626,3),IF($Y$3="wind四级行业",[1]!s_info_industry_gics(W2626,4),IF($Y$3="证监会门类行业",[1]!s_info_industry_csrc12_n(W2626,公司分析!D$5,1),""))))))))</f>
        <v>IT服务Ⅱ</v>
      </c>
      <c r="Z2626" s="302" t="str">
        <f ca="1">IF(Y2626=行业比较!$E$6,ROW(),"")</f>
        <v/>
      </c>
    </row>
    <row r="2627" spans="22:26">
      <c r="V2627" s="260">
        <f t="shared" ca="1" si="48"/>
        <v>0</v>
      </c>
      <c r="W2627" s="348" t="str">
        <f>IF(板块成分!B2629="","",板块成分!B2629)</f>
        <v>301219.SZ</v>
      </c>
      <c r="X2627" s="276" t="str">
        <f>[1]!S_Info_Name(W2627)</f>
        <v>腾远钴业</v>
      </c>
      <c r="Y2627" s="276" t="str">
        <f ca="1">IF($Y$3="申万一级行业",[1]!s_info_industry_sw_2021(W2627,公司分析!D$5,1),IF($Y$3="申万二级行业",[1]!s_info_industry_sw_2021(W2627,公司分析!D$5,2),IF($Y$3="申万三级行业",[1]!s_info_industry_sw_2021(W2627,公司分析!D$5,3),IF($Y$3="wind一级行业",[1]!s_info_industry_gics(W2627,1),IF($Y$3="wind二级行业",[1]!s_info_industry_gics(W2627,2),IF($Y$3="wind三级行业",[1]!s_info_industry_gics(W2627,3),IF($Y$3="wind四级行业",[1]!s_info_industry_gics(W2627,4),IF($Y$3="证监会门类行业",[1]!s_info_industry_csrc12_n(W2627,公司分析!D$5,1),""))))))))</f>
        <v>能源金属</v>
      </c>
      <c r="Z2627" s="302" t="str">
        <f ca="1">IF(Y2627=行业比较!$E$6,ROW(),"")</f>
        <v/>
      </c>
    </row>
    <row r="2628" spans="22:26">
      <c r="V2628" s="260">
        <f t="shared" ca="1" si="48"/>
        <v>0</v>
      </c>
      <c r="W2628" s="348" t="str">
        <f>IF(板块成分!B2630="","",板块成分!B2630)</f>
        <v>301220.SZ</v>
      </c>
      <c r="X2628" s="276" t="str">
        <f>[1]!S_Info_Name(W2628)</f>
        <v>亚香股份</v>
      </c>
      <c r="Y2628" s="276" t="str">
        <f ca="1">IF($Y$3="申万一级行业",[1]!s_info_industry_sw_2021(W2628,公司分析!D$5,1),IF($Y$3="申万二级行业",[1]!s_info_industry_sw_2021(W2628,公司分析!D$5,2),IF($Y$3="申万三级行业",[1]!s_info_industry_sw_2021(W2628,公司分析!D$5,3),IF($Y$3="wind一级行业",[1]!s_info_industry_gics(W2628,1),IF($Y$3="wind二级行业",[1]!s_info_industry_gics(W2628,2),IF($Y$3="wind三级行业",[1]!s_info_industry_gics(W2628,3),IF($Y$3="wind四级行业",[1]!s_info_industry_gics(W2628,4),IF($Y$3="证监会门类行业",[1]!s_info_industry_csrc12_n(W2628,公司分析!D$5,1),""))))))))</f>
        <v>化学制品</v>
      </c>
      <c r="Z2628" s="302" t="str">
        <f ca="1">IF(Y2628=行业比较!$E$6,ROW(),"")</f>
        <v/>
      </c>
    </row>
    <row r="2629" spans="22:26">
      <c r="V2629" s="260">
        <f t="shared" ref="V2629:V2692" ca="1" si="49">IF(Z2629="",0,RANK(Z2629,Z:Z,1))</f>
        <v>0</v>
      </c>
      <c r="W2629" s="348" t="str">
        <f>IF(板块成分!B2631="","",板块成分!B2631)</f>
        <v>301221.SZ</v>
      </c>
      <c r="X2629" s="276" t="str">
        <f>[1]!S_Info_Name(W2629)</f>
        <v>光庭信息</v>
      </c>
      <c r="Y2629" s="276" t="str">
        <f ca="1">IF($Y$3="申万一级行业",[1]!s_info_industry_sw_2021(W2629,公司分析!D$5,1),IF($Y$3="申万二级行业",[1]!s_info_industry_sw_2021(W2629,公司分析!D$5,2),IF($Y$3="申万三级行业",[1]!s_info_industry_sw_2021(W2629,公司分析!D$5,3),IF($Y$3="wind一级行业",[1]!s_info_industry_gics(W2629,1),IF($Y$3="wind二级行业",[1]!s_info_industry_gics(W2629,2),IF($Y$3="wind三级行业",[1]!s_info_industry_gics(W2629,3),IF($Y$3="wind四级行业",[1]!s_info_industry_gics(W2629,4),IF($Y$3="证监会门类行业",[1]!s_info_industry_csrc12_n(W2629,公司分析!D$5,1),""))))))))</f>
        <v>汽车零部件</v>
      </c>
      <c r="Z2629" s="302" t="str">
        <f ca="1">IF(Y2629=行业比较!$E$6,ROW(),"")</f>
        <v/>
      </c>
    </row>
    <row r="2630" spans="22:26">
      <c r="V2630" s="260">
        <f t="shared" ca="1" si="49"/>
        <v>0</v>
      </c>
      <c r="W2630" s="348" t="str">
        <f>IF(板块成分!B2632="","",板块成分!B2632)</f>
        <v>301222.SZ</v>
      </c>
      <c r="X2630" s="276" t="str">
        <f>[1]!S_Info_Name(W2630)</f>
        <v>浙江恒威</v>
      </c>
      <c r="Y2630" s="276" t="str">
        <f ca="1">IF($Y$3="申万一级行业",[1]!s_info_industry_sw_2021(W2630,公司分析!D$5,1),IF($Y$3="申万二级行业",[1]!s_info_industry_sw_2021(W2630,公司分析!D$5,2),IF($Y$3="申万三级行业",[1]!s_info_industry_sw_2021(W2630,公司分析!D$5,3),IF($Y$3="wind一级行业",[1]!s_info_industry_gics(W2630,1),IF($Y$3="wind二级行业",[1]!s_info_industry_gics(W2630,2),IF($Y$3="wind三级行业",[1]!s_info_industry_gics(W2630,3),IF($Y$3="wind四级行业",[1]!s_info_industry_gics(W2630,4),IF($Y$3="证监会门类行业",[1]!s_info_industry_csrc12_n(W2630,公司分析!D$5,1),""))))))))</f>
        <v>电池</v>
      </c>
      <c r="Z2630" s="302" t="str">
        <f ca="1">IF(Y2630=行业比较!$E$6,ROW(),"")</f>
        <v/>
      </c>
    </row>
    <row r="2631" spans="22:26">
      <c r="V2631" s="260">
        <f t="shared" ca="1" si="49"/>
        <v>0</v>
      </c>
      <c r="W2631" s="348" t="str">
        <f>IF(板块成分!B2633="","",板块成分!B2633)</f>
        <v>301223.SZ</v>
      </c>
      <c r="X2631" s="276" t="str">
        <f>[1]!S_Info_Name(W2631)</f>
        <v>中荣股份</v>
      </c>
      <c r="Y2631" s="276" t="str">
        <f ca="1">IF($Y$3="申万一级行业",[1]!s_info_industry_sw_2021(W2631,公司分析!D$5,1),IF($Y$3="申万二级行业",[1]!s_info_industry_sw_2021(W2631,公司分析!D$5,2),IF($Y$3="申万三级行业",[1]!s_info_industry_sw_2021(W2631,公司分析!D$5,3),IF($Y$3="wind一级行业",[1]!s_info_industry_gics(W2631,1),IF($Y$3="wind二级行业",[1]!s_info_industry_gics(W2631,2),IF($Y$3="wind三级行业",[1]!s_info_industry_gics(W2631,3),IF($Y$3="wind四级行业",[1]!s_info_industry_gics(W2631,4),IF($Y$3="证监会门类行业",[1]!s_info_industry_csrc12_n(W2631,公司分析!D$5,1),""))))))))</f>
        <v>包装印刷</v>
      </c>
      <c r="Z2631" s="302" t="str">
        <f ca="1">IF(Y2631=行业比较!$E$6,ROW(),"")</f>
        <v/>
      </c>
    </row>
    <row r="2632" spans="22:26">
      <c r="V2632" s="260">
        <f t="shared" ca="1" si="49"/>
        <v>0</v>
      </c>
      <c r="W2632" s="348" t="str">
        <f>IF(板块成分!B2634="","",板块成分!B2634)</f>
        <v>301225.SZ</v>
      </c>
      <c r="X2632" s="276" t="str">
        <f>[1]!S_Info_Name(W2632)</f>
        <v>恒勃股份</v>
      </c>
      <c r="Y2632" s="276" t="str">
        <f ca="1">IF($Y$3="申万一级行业",[1]!s_info_industry_sw_2021(W2632,公司分析!D$5,1),IF($Y$3="申万二级行业",[1]!s_info_industry_sw_2021(W2632,公司分析!D$5,2),IF($Y$3="申万三级行业",[1]!s_info_industry_sw_2021(W2632,公司分析!D$5,3),IF($Y$3="wind一级行业",[1]!s_info_industry_gics(W2632,1),IF($Y$3="wind二级行业",[1]!s_info_industry_gics(W2632,2),IF($Y$3="wind三级行业",[1]!s_info_industry_gics(W2632,3),IF($Y$3="wind四级行业",[1]!s_info_industry_gics(W2632,4),IF($Y$3="证监会门类行业",[1]!s_info_industry_csrc12_n(W2632,公司分析!D$5,1),""))))))))</f>
        <v>汽车零部件</v>
      </c>
      <c r="Z2632" s="302" t="str">
        <f ca="1">IF(Y2632=行业比较!$E$6,ROW(),"")</f>
        <v/>
      </c>
    </row>
    <row r="2633" spans="22:26">
      <c r="V2633" s="260">
        <f t="shared" ca="1" si="49"/>
        <v>0</v>
      </c>
      <c r="W2633" s="348" t="str">
        <f>IF(板块成分!B2635="","",板块成分!B2635)</f>
        <v>301226.SZ</v>
      </c>
      <c r="X2633" s="276" t="str">
        <f>[1]!S_Info_Name(W2633)</f>
        <v>祥明智能</v>
      </c>
      <c r="Y2633" s="276" t="str">
        <f ca="1">IF($Y$3="申万一级行业",[1]!s_info_industry_sw_2021(W2633,公司分析!D$5,1),IF($Y$3="申万二级行业",[1]!s_info_industry_sw_2021(W2633,公司分析!D$5,2),IF($Y$3="申万三级行业",[1]!s_info_industry_sw_2021(W2633,公司分析!D$5,3),IF($Y$3="wind一级行业",[1]!s_info_industry_gics(W2633,1),IF($Y$3="wind二级行业",[1]!s_info_industry_gics(W2633,2),IF($Y$3="wind三级行业",[1]!s_info_industry_gics(W2633,3),IF($Y$3="wind四级行业",[1]!s_info_industry_gics(W2633,4),IF($Y$3="证监会门类行业",[1]!s_info_industry_csrc12_n(W2633,公司分析!D$5,1),""))))))))</f>
        <v>电机Ⅱ</v>
      </c>
      <c r="Z2633" s="302" t="str">
        <f ca="1">IF(Y2633=行业比较!$E$6,ROW(),"")</f>
        <v/>
      </c>
    </row>
    <row r="2634" spans="22:26">
      <c r="V2634" s="260">
        <f t="shared" ca="1" si="49"/>
        <v>0</v>
      </c>
      <c r="W2634" s="348" t="str">
        <f>IF(板块成分!B2636="","",板块成分!B2636)</f>
        <v>301227.SZ</v>
      </c>
      <c r="X2634" s="276" t="str">
        <f>[1]!S_Info_Name(W2634)</f>
        <v>森鹰窗业</v>
      </c>
      <c r="Y2634" s="276" t="str">
        <f ca="1">IF($Y$3="申万一级行业",[1]!s_info_industry_sw_2021(W2634,公司分析!D$5,1),IF($Y$3="申万二级行业",[1]!s_info_industry_sw_2021(W2634,公司分析!D$5,2),IF($Y$3="申万三级行业",[1]!s_info_industry_sw_2021(W2634,公司分析!D$5,3),IF($Y$3="wind一级行业",[1]!s_info_industry_gics(W2634,1),IF($Y$3="wind二级行业",[1]!s_info_industry_gics(W2634,2),IF($Y$3="wind三级行业",[1]!s_info_industry_gics(W2634,3),IF($Y$3="wind四级行业",[1]!s_info_industry_gics(W2634,4),IF($Y$3="证监会门类行业",[1]!s_info_industry_csrc12_n(W2634,公司分析!D$5,1),""))))))))</f>
        <v>家居用品</v>
      </c>
      <c r="Z2634" s="302" t="str">
        <f ca="1">IF(Y2634=行业比较!$E$6,ROW(),"")</f>
        <v/>
      </c>
    </row>
    <row r="2635" spans="22:26">
      <c r="V2635" s="260">
        <f t="shared" ca="1" si="49"/>
        <v>0</v>
      </c>
      <c r="W2635" s="348" t="str">
        <f>IF(板块成分!B2637="","",板块成分!B2637)</f>
        <v>301228.SZ</v>
      </c>
      <c r="X2635" s="276" t="str">
        <f>[1]!S_Info_Name(W2635)</f>
        <v>实朴检测</v>
      </c>
      <c r="Y2635" s="276" t="str">
        <f ca="1">IF($Y$3="申万一级行业",[1]!s_info_industry_sw_2021(W2635,公司分析!D$5,1),IF($Y$3="申万二级行业",[1]!s_info_industry_sw_2021(W2635,公司分析!D$5,2),IF($Y$3="申万三级行业",[1]!s_info_industry_sw_2021(W2635,公司分析!D$5,3),IF($Y$3="wind一级行业",[1]!s_info_industry_gics(W2635,1),IF($Y$3="wind二级行业",[1]!s_info_industry_gics(W2635,2),IF($Y$3="wind三级行业",[1]!s_info_industry_gics(W2635,3),IF($Y$3="wind四级行业",[1]!s_info_industry_gics(W2635,4),IF($Y$3="证监会门类行业",[1]!s_info_industry_csrc12_n(W2635,公司分析!D$5,1),""))))))))</f>
        <v>专业服务</v>
      </c>
      <c r="Z2635" s="302" t="str">
        <f ca="1">IF(Y2635=行业比较!$E$6,ROW(),"")</f>
        <v/>
      </c>
    </row>
    <row r="2636" spans="22:26">
      <c r="V2636" s="260">
        <f t="shared" ca="1" si="49"/>
        <v>0</v>
      </c>
      <c r="W2636" s="348" t="str">
        <f>IF(板块成分!B2638="","",板块成分!B2638)</f>
        <v>301229.SZ</v>
      </c>
      <c r="X2636" s="276" t="str">
        <f>[1]!S_Info_Name(W2636)</f>
        <v>纽泰格</v>
      </c>
      <c r="Y2636" s="276" t="str">
        <f ca="1">IF($Y$3="申万一级行业",[1]!s_info_industry_sw_2021(W2636,公司分析!D$5,1),IF($Y$3="申万二级行业",[1]!s_info_industry_sw_2021(W2636,公司分析!D$5,2),IF($Y$3="申万三级行业",[1]!s_info_industry_sw_2021(W2636,公司分析!D$5,3),IF($Y$3="wind一级行业",[1]!s_info_industry_gics(W2636,1),IF($Y$3="wind二级行业",[1]!s_info_industry_gics(W2636,2),IF($Y$3="wind三级行业",[1]!s_info_industry_gics(W2636,3),IF($Y$3="wind四级行业",[1]!s_info_industry_gics(W2636,4),IF($Y$3="证监会门类行业",[1]!s_info_industry_csrc12_n(W2636,公司分析!D$5,1),""))))))))</f>
        <v>汽车零部件</v>
      </c>
      <c r="Z2636" s="302" t="str">
        <f ca="1">IF(Y2636=行业比较!$E$6,ROW(),"")</f>
        <v/>
      </c>
    </row>
    <row r="2637" spans="22:26">
      <c r="V2637" s="260">
        <f t="shared" ca="1" si="49"/>
        <v>0</v>
      </c>
      <c r="W2637" s="348" t="str">
        <f>IF(板块成分!B2639="","",板块成分!B2639)</f>
        <v>301230.SZ</v>
      </c>
      <c r="X2637" s="276" t="str">
        <f>[1]!S_Info_Name(W2637)</f>
        <v>泓博医药</v>
      </c>
      <c r="Y2637" s="276" t="str">
        <f ca="1">IF($Y$3="申万一级行业",[1]!s_info_industry_sw_2021(W2637,公司分析!D$5,1),IF($Y$3="申万二级行业",[1]!s_info_industry_sw_2021(W2637,公司分析!D$5,2),IF($Y$3="申万三级行业",[1]!s_info_industry_sw_2021(W2637,公司分析!D$5,3),IF($Y$3="wind一级行业",[1]!s_info_industry_gics(W2637,1),IF($Y$3="wind二级行业",[1]!s_info_industry_gics(W2637,2),IF($Y$3="wind三级行业",[1]!s_info_industry_gics(W2637,3),IF($Y$3="wind四级行业",[1]!s_info_industry_gics(W2637,4),IF($Y$3="证监会门类行业",[1]!s_info_industry_csrc12_n(W2637,公司分析!D$5,1),""))))))))</f>
        <v>医疗服务</v>
      </c>
      <c r="Z2637" s="302" t="str">
        <f ca="1">IF(Y2637=行业比较!$E$6,ROW(),"")</f>
        <v/>
      </c>
    </row>
    <row r="2638" spans="22:26">
      <c r="V2638" s="260">
        <f t="shared" ca="1" si="49"/>
        <v>0</v>
      </c>
      <c r="W2638" s="348" t="str">
        <f>IF(板块成分!B2640="","",板块成分!B2640)</f>
        <v>301231.SZ</v>
      </c>
      <c r="X2638" s="276" t="str">
        <f>[1]!S_Info_Name(W2638)</f>
        <v>荣信文化</v>
      </c>
      <c r="Y2638" s="276" t="str">
        <f ca="1">IF($Y$3="申万一级行业",[1]!s_info_industry_sw_2021(W2638,公司分析!D$5,1),IF($Y$3="申万二级行业",[1]!s_info_industry_sw_2021(W2638,公司分析!D$5,2),IF($Y$3="申万三级行业",[1]!s_info_industry_sw_2021(W2638,公司分析!D$5,3),IF($Y$3="wind一级行业",[1]!s_info_industry_gics(W2638,1),IF($Y$3="wind二级行业",[1]!s_info_industry_gics(W2638,2),IF($Y$3="wind三级行业",[1]!s_info_industry_gics(W2638,3),IF($Y$3="wind四级行业",[1]!s_info_industry_gics(W2638,4),IF($Y$3="证监会门类行业",[1]!s_info_industry_csrc12_n(W2638,公司分析!D$5,1),""))))))))</f>
        <v>出版</v>
      </c>
      <c r="Z2638" s="302" t="str">
        <f ca="1">IF(Y2638=行业比较!$E$6,ROW(),"")</f>
        <v/>
      </c>
    </row>
    <row r="2639" spans="22:26">
      <c r="V2639" s="260">
        <f t="shared" ca="1" si="49"/>
        <v>0</v>
      </c>
      <c r="W2639" s="348" t="str">
        <f>IF(板块成分!B2641="","",板块成分!B2641)</f>
        <v>301232.SZ</v>
      </c>
      <c r="X2639" s="276" t="str">
        <f>[1]!S_Info_Name(W2639)</f>
        <v>飞沃科技</v>
      </c>
      <c r="Y2639" s="276" t="str">
        <f ca="1">IF($Y$3="申万一级行业",[1]!s_info_industry_sw_2021(W2639,公司分析!D$5,1),IF($Y$3="申万二级行业",[1]!s_info_industry_sw_2021(W2639,公司分析!D$5,2),IF($Y$3="申万三级行业",[1]!s_info_industry_sw_2021(W2639,公司分析!D$5,3),IF($Y$3="wind一级行业",[1]!s_info_industry_gics(W2639,1),IF($Y$3="wind二级行业",[1]!s_info_industry_gics(W2639,2),IF($Y$3="wind三级行业",[1]!s_info_industry_gics(W2639,3),IF($Y$3="wind四级行业",[1]!s_info_industry_gics(W2639,4),IF($Y$3="证监会门类行业",[1]!s_info_industry_csrc12_n(W2639,公司分析!D$5,1),""))))))))</f>
        <v>风电设备</v>
      </c>
      <c r="Z2639" s="302" t="str">
        <f ca="1">IF(Y2639=行业比较!$E$6,ROW(),"")</f>
        <v/>
      </c>
    </row>
    <row r="2640" spans="22:26">
      <c r="V2640" s="260">
        <f t="shared" ca="1" si="49"/>
        <v>0</v>
      </c>
      <c r="W2640" s="348" t="str">
        <f>IF(板块成分!B2642="","",板块成分!B2642)</f>
        <v>301233.SZ</v>
      </c>
      <c r="X2640" s="276" t="str">
        <f>[1]!S_Info_Name(W2640)</f>
        <v>盛帮股份</v>
      </c>
      <c r="Y2640" s="276" t="str">
        <f ca="1">IF($Y$3="申万一级行业",[1]!s_info_industry_sw_2021(W2640,公司分析!D$5,1),IF($Y$3="申万二级行业",[1]!s_info_industry_sw_2021(W2640,公司分析!D$5,2),IF($Y$3="申万三级行业",[1]!s_info_industry_sw_2021(W2640,公司分析!D$5,3),IF($Y$3="wind一级行业",[1]!s_info_industry_gics(W2640,1),IF($Y$3="wind二级行业",[1]!s_info_industry_gics(W2640,2),IF($Y$3="wind三级行业",[1]!s_info_industry_gics(W2640,3),IF($Y$3="wind四级行业",[1]!s_info_industry_gics(W2640,4),IF($Y$3="证监会门类行业",[1]!s_info_industry_csrc12_n(W2640,公司分析!D$5,1),""))))))))</f>
        <v>汽车零部件</v>
      </c>
      <c r="Z2640" s="302" t="str">
        <f ca="1">IF(Y2640=行业比较!$E$6,ROW(),"")</f>
        <v/>
      </c>
    </row>
    <row r="2641" spans="22:26">
      <c r="V2641" s="260">
        <f t="shared" ca="1" si="49"/>
        <v>0</v>
      </c>
      <c r="W2641" s="348" t="str">
        <f>IF(板块成分!B2643="","",板块成分!B2643)</f>
        <v>301234.SZ</v>
      </c>
      <c r="X2641" s="276" t="str">
        <f>[1]!S_Info_Name(W2641)</f>
        <v>五洲医疗</v>
      </c>
      <c r="Y2641" s="276" t="str">
        <f ca="1">IF($Y$3="申万一级行业",[1]!s_info_industry_sw_2021(W2641,公司分析!D$5,1),IF($Y$3="申万二级行业",[1]!s_info_industry_sw_2021(W2641,公司分析!D$5,2),IF($Y$3="申万三级行业",[1]!s_info_industry_sw_2021(W2641,公司分析!D$5,3),IF($Y$3="wind一级行业",[1]!s_info_industry_gics(W2641,1),IF($Y$3="wind二级行业",[1]!s_info_industry_gics(W2641,2),IF($Y$3="wind三级行业",[1]!s_info_industry_gics(W2641,3),IF($Y$3="wind四级行业",[1]!s_info_industry_gics(W2641,4),IF($Y$3="证监会门类行业",[1]!s_info_industry_csrc12_n(W2641,公司分析!D$5,1),""))))))))</f>
        <v>医疗器械</v>
      </c>
      <c r="Z2641" s="302" t="str">
        <f ca="1">IF(Y2641=行业比较!$E$6,ROW(),"")</f>
        <v/>
      </c>
    </row>
    <row r="2642" spans="22:26">
      <c r="V2642" s="260">
        <f t="shared" ca="1" si="49"/>
        <v>0</v>
      </c>
      <c r="W2642" s="348" t="str">
        <f>IF(板块成分!B2644="","",板块成分!B2644)</f>
        <v>301235.SZ</v>
      </c>
      <c r="X2642" s="276" t="str">
        <f>[1]!S_Info_Name(W2642)</f>
        <v>华康洁净</v>
      </c>
      <c r="Y2642" s="276" t="str">
        <f ca="1">IF($Y$3="申万一级行业",[1]!s_info_industry_sw_2021(W2642,公司分析!D$5,1),IF($Y$3="申万二级行业",[1]!s_info_industry_sw_2021(W2642,公司分析!D$5,2),IF($Y$3="申万三级行业",[1]!s_info_industry_sw_2021(W2642,公司分析!D$5,3),IF($Y$3="wind一级行业",[1]!s_info_industry_gics(W2642,1),IF($Y$3="wind二级行业",[1]!s_info_industry_gics(W2642,2),IF($Y$3="wind三级行业",[1]!s_info_industry_gics(W2642,3),IF($Y$3="wind四级行业",[1]!s_info_industry_gics(W2642,4),IF($Y$3="证监会门类行业",[1]!s_info_industry_csrc12_n(W2642,公司分析!D$5,1),""))))))))</f>
        <v>医疗器械</v>
      </c>
      <c r="Z2642" s="302" t="str">
        <f ca="1">IF(Y2642=行业比较!$E$6,ROW(),"")</f>
        <v/>
      </c>
    </row>
    <row r="2643" spans="22:26">
      <c r="V2643" s="260">
        <f t="shared" ca="1" si="49"/>
        <v>0</v>
      </c>
      <c r="W2643" s="348" t="str">
        <f>IF(板块成分!B2645="","",板块成分!B2645)</f>
        <v>301236.SZ</v>
      </c>
      <c r="X2643" s="276" t="str">
        <f>[1]!S_Info_Name(W2643)</f>
        <v>软通动力</v>
      </c>
      <c r="Y2643" s="276" t="str">
        <f ca="1">IF($Y$3="申万一级行业",[1]!s_info_industry_sw_2021(W2643,公司分析!D$5,1),IF($Y$3="申万二级行业",[1]!s_info_industry_sw_2021(W2643,公司分析!D$5,2),IF($Y$3="申万三级行业",[1]!s_info_industry_sw_2021(W2643,公司分析!D$5,3),IF($Y$3="wind一级行业",[1]!s_info_industry_gics(W2643,1),IF($Y$3="wind二级行业",[1]!s_info_industry_gics(W2643,2),IF($Y$3="wind三级行业",[1]!s_info_industry_gics(W2643,3),IF($Y$3="wind四级行业",[1]!s_info_industry_gics(W2643,4),IF($Y$3="证监会门类行业",[1]!s_info_industry_csrc12_n(W2643,公司分析!D$5,1),""))))))))</f>
        <v>IT服务Ⅱ</v>
      </c>
      <c r="Z2643" s="302" t="str">
        <f ca="1">IF(Y2643=行业比较!$E$6,ROW(),"")</f>
        <v/>
      </c>
    </row>
    <row r="2644" spans="22:26">
      <c r="V2644" s="260">
        <f t="shared" ca="1" si="49"/>
        <v>0</v>
      </c>
      <c r="W2644" s="348" t="str">
        <f>IF(板块成分!B2646="","",板块成分!B2646)</f>
        <v>301237.SZ</v>
      </c>
      <c r="X2644" s="276" t="str">
        <f>[1]!S_Info_Name(W2644)</f>
        <v>和顺科技</v>
      </c>
      <c r="Y2644" s="276" t="str">
        <f ca="1">IF($Y$3="申万一级行业",[1]!s_info_industry_sw_2021(W2644,公司分析!D$5,1),IF($Y$3="申万二级行业",[1]!s_info_industry_sw_2021(W2644,公司分析!D$5,2),IF($Y$3="申万三级行业",[1]!s_info_industry_sw_2021(W2644,公司分析!D$5,3),IF($Y$3="wind一级行业",[1]!s_info_industry_gics(W2644,1),IF($Y$3="wind二级行业",[1]!s_info_industry_gics(W2644,2),IF($Y$3="wind三级行业",[1]!s_info_industry_gics(W2644,3),IF($Y$3="wind四级行业",[1]!s_info_industry_gics(W2644,4),IF($Y$3="证监会门类行业",[1]!s_info_industry_csrc12_n(W2644,公司分析!D$5,1),""))))))))</f>
        <v>塑料</v>
      </c>
      <c r="Z2644" s="302" t="str">
        <f ca="1">IF(Y2644=行业比较!$E$6,ROW(),"")</f>
        <v/>
      </c>
    </row>
    <row r="2645" spans="22:26">
      <c r="V2645" s="260">
        <f t="shared" ca="1" si="49"/>
        <v>0</v>
      </c>
      <c r="W2645" s="348" t="str">
        <f>IF(板块成分!B2647="","",板块成分!B2647)</f>
        <v>301238.SZ</v>
      </c>
      <c r="X2645" s="276" t="str">
        <f>[1]!S_Info_Name(W2645)</f>
        <v>瑞泰新材</v>
      </c>
      <c r="Y2645" s="276" t="str">
        <f ca="1">IF($Y$3="申万一级行业",[1]!s_info_industry_sw_2021(W2645,公司分析!D$5,1),IF($Y$3="申万二级行业",[1]!s_info_industry_sw_2021(W2645,公司分析!D$5,2),IF($Y$3="申万三级行业",[1]!s_info_industry_sw_2021(W2645,公司分析!D$5,3),IF($Y$3="wind一级行业",[1]!s_info_industry_gics(W2645,1),IF($Y$3="wind二级行业",[1]!s_info_industry_gics(W2645,2),IF($Y$3="wind三级行业",[1]!s_info_industry_gics(W2645,3),IF($Y$3="wind四级行业",[1]!s_info_industry_gics(W2645,4),IF($Y$3="证监会门类行业",[1]!s_info_industry_csrc12_n(W2645,公司分析!D$5,1),""))))))))</f>
        <v>电池</v>
      </c>
      <c r="Z2645" s="302" t="str">
        <f ca="1">IF(Y2645=行业比较!$E$6,ROW(),"")</f>
        <v/>
      </c>
    </row>
    <row r="2646" spans="22:26">
      <c r="V2646" s="260">
        <f t="shared" ca="1" si="49"/>
        <v>0</v>
      </c>
      <c r="W2646" s="348" t="str">
        <f>IF(板块成分!B2648="","",板块成分!B2648)</f>
        <v>301239.SZ</v>
      </c>
      <c r="X2646" s="276" t="str">
        <f>[1]!S_Info_Name(W2646)</f>
        <v>普瑞眼科</v>
      </c>
      <c r="Y2646" s="276" t="str">
        <f ca="1">IF($Y$3="申万一级行业",[1]!s_info_industry_sw_2021(W2646,公司分析!D$5,1),IF($Y$3="申万二级行业",[1]!s_info_industry_sw_2021(W2646,公司分析!D$5,2),IF($Y$3="申万三级行业",[1]!s_info_industry_sw_2021(W2646,公司分析!D$5,3),IF($Y$3="wind一级行业",[1]!s_info_industry_gics(W2646,1),IF($Y$3="wind二级行业",[1]!s_info_industry_gics(W2646,2),IF($Y$3="wind三级行业",[1]!s_info_industry_gics(W2646,3),IF($Y$3="wind四级行业",[1]!s_info_industry_gics(W2646,4),IF($Y$3="证监会门类行业",[1]!s_info_industry_csrc12_n(W2646,公司分析!D$5,1),""))))))))</f>
        <v>医疗服务</v>
      </c>
      <c r="Z2646" s="302" t="str">
        <f ca="1">IF(Y2646=行业比较!$E$6,ROW(),"")</f>
        <v/>
      </c>
    </row>
    <row r="2647" spans="22:26">
      <c r="V2647" s="260">
        <f t="shared" ca="1" si="49"/>
        <v>0</v>
      </c>
      <c r="W2647" s="348" t="str">
        <f>IF(板块成分!B2649="","",板块成分!B2649)</f>
        <v>301246.SZ</v>
      </c>
      <c r="X2647" s="276" t="str">
        <f>[1]!S_Info_Name(W2647)</f>
        <v>宏源药业</v>
      </c>
      <c r="Y2647" s="276" t="str">
        <f ca="1">IF($Y$3="申万一级行业",[1]!s_info_industry_sw_2021(W2647,公司分析!D$5,1),IF($Y$3="申万二级行业",[1]!s_info_industry_sw_2021(W2647,公司分析!D$5,2),IF($Y$3="申万三级行业",[1]!s_info_industry_sw_2021(W2647,公司分析!D$5,3),IF($Y$3="wind一级行业",[1]!s_info_industry_gics(W2647,1),IF($Y$3="wind二级行业",[1]!s_info_industry_gics(W2647,2),IF($Y$3="wind三级行业",[1]!s_info_industry_gics(W2647,3),IF($Y$3="wind四级行业",[1]!s_info_industry_gics(W2647,4),IF($Y$3="证监会门类行业",[1]!s_info_industry_csrc12_n(W2647,公司分析!D$5,1),""))))))))</f>
        <v>化学制药</v>
      </c>
      <c r="Z2647" s="302" t="str">
        <f ca="1">IF(Y2647=行业比较!$E$6,ROW(),"")</f>
        <v/>
      </c>
    </row>
    <row r="2648" spans="22:26">
      <c r="V2648" s="260">
        <f t="shared" ca="1" si="49"/>
        <v>0</v>
      </c>
      <c r="W2648" s="348" t="str">
        <f>IF(板块成分!B2650="","",板块成分!B2650)</f>
        <v>301248.SZ</v>
      </c>
      <c r="X2648" s="276" t="str">
        <f>[1]!S_Info_Name(W2648)</f>
        <v>杰创智能</v>
      </c>
      <c r="Y2648" s="276" t="str">
        <f ca="1">IF($Y$3="申万一级行业",[1]!s_info_industry_sw_2021(W2648,公司分析!D$5,1),IF($Y$3="申万二级行业",[1]!s_info_industry_sw_2021(W2648,公司分析!D$5,2),IF($Y$3="申万三级行业",[1]!s_info_industry_sw_2021(W2648,公司分析!D$5,3),IF($Y$3="wind一级行业",[1]!s_info_industry_gics(W2648,1),IF($Y$3="wind二级行业",[1]!s_info_industry_gics(W2648,2),IF($Y$3="wind三级行业",[1]!s_info_industry_gics(W2648,3),IF($Y$3="wind四级行业",[1]!s_info_industry_gics(W2648,4),IF($Y$3="证监会门类行业",[1]!s_info_industry_csrc12_n(W2648,公司分析!D$5,1),""))))))))</f>
        <v>IT服务Ⅱ</v>
      </c>
      <c r="Z2648" s="302" t="str">
        <f ca="1">IF(Y2648=行业比较!$E$6,ROW(),"")</f>
        <v/>
      </c>
    </row>
    <row r="2649" spans="22:26">
      <c r="V2649" s="260">
        <f t="shared" ca="1" si="49"/>
        <v>0</v>
      </c>
      <c r="W2649" s="348" t="str">
        <f>IF(板块成分!B2651="","",板块成分!B2651)</f>
        <v>301251.SZ</v>
      </c>
      <c r="X2649" s="276" t="str">
        <f>[1]!S_Info_Name(W2649)</f>
        <v>威尔高</v>
      </c>
      <c r="Y2649" s="276" t="str">
        <f ca="1">IF($Y$3="申万一级行业",[1]!s_info_industry_sw_2021(W2649,公司分析!D$5,1),IF($Y$3="申万二级行业",[1]!s_info_industry_sw_2021(W2649,公司分析!D$5,2),IF($Y$3="申万三级行业",[1]!s_info_industry_sw_2021(W2649,公司分析!D$5,3),IF($Y$3="wind一级行业",[1]!s_info_industry_gics(W2649,1),IF($Y$3="wind二级行业",[1]!s_info_industry_gics(W2649,2),IF($Y$3="wind三级行业",[1]!s_info_industry_gics(W2649,3),IF($Y$3="wind四级行业",[1]!s_info_industry_gics(W2649,4),IF($Y$3="证监会门类行业",[1]!s_info_industry_csrc12_n(W2649,公司分析!D$5,1),""))))))))</f>
        <v>元件</v>
      </c>
      <c r="Z2649" s="302" t="str">
        <f ca="1">IF(Y2649=行业比较!$E$6,ROW(),"")</f>
        <v/>
      </c>
    </row>
    <row r="2650" spans="22:26">
      <c r="V2650" s="260">
        <f t="shared" ca="1" si="49"/>
        <v>0</v>
      </c>
      <c r="W2650" s="348" t="str">
        <f>IF(板块成分!B2652="","",板块成分!B2652)</f>
        <v>301252.SZ</v>
      </c>
      <c r="X2650" s="276" t="str">
        <f>[1]!S_Info_Name(W2650)</f>
        <v>同星科技</v>
      </c>
      <c r="Y2650" s="276" t="str">
        <f ca="1">IF($Y$3="申万一级行业",[1]!s_info_industry_sw_2021(W2650,公司分析!D$5,1),IF($Y$3="申万二级行业",[1]!s_info_industry_sw_2021(W2650,公司分析!D$5,2),IF($Y$3="申万三级行业",[1]!s_info_industry_sw_2021(W2650,公司分析!D$5,3),IF($Y$3="wind一级行业",[1]!s_info_industry_gics(W2650,1),IF($Y$3="wind二级行业",[1]!s_info_industry_gics(W2650,2),IF($Y$3="wind三级行业",[1]!s_info_industry_gics(W2650,3),IF($Y$3="wind四级行业",[1]!s_info_industry_gics(W2650,4),IF($Y$3="证监会门类行业",[1]!s_info_industry_csrc12_n(W2650,公司分析!D$5,1),""))))))))</f>
        <v>家电零部件Ⅱ</v>
      </c>
      <c r="Z2650" s="302" t="str">
        <f ca="1">IF(Y2650=行业比较!$E$6,ROW(),"")</f>
        <v/>
      </c>
    </row>
    <row r="2651" spans="22:26">
      <c r="V2651" s="260">
        <f t="shared" ca="1" si="49"/>
        <v>0</v>
      </c>
      <c r="W2651" s="348" t="str">
        <f>IF(板块成分!B2653="","",板块成分!B2653)</f>
        <v>301255.SZ</v>
      </c>
      <c r="X2651" s="276" t="str">
        <f>[1]!S_Info_Name(W2651)</f>
        <v>通力科技</v>
      </c>
      <c r="Y2651" s="276" t="str">
        <f ca="1">IF($Y$3="申万一级行业",[1]!s_info_industry_sw_2021(W2651,公司分析!D$5,1),IF($Y$3="申万二级行业",[1]!s_info_industry_sw_2021(W2651,公司分析!D$5,2),IF($Y$3="申万三级行业",[1]!s_info_industry_sw_2021(W2651,公司分析!D$5,3),IF($Y$3="wind一级行业",[1]!s_info_industry_gics(W2651,1),IF($Y$3="wind二级行业",[1]!s_info_industry_gics(W2651,2),IF($Y$3="wind三级行业",[1]!s_info_industry_gics(W2651,3),IF($Y$3="wind四级行业",[1]!s_info_industry_gics(W2651,4),IF($Y$3="证监会门类行业",[1]!s_info_industry_csrc12_n(W2651,公司分析!D$5,1),""))))))))</f>
        <v>通用设备</v>
      </c>
      <c r="Z2651" s="302" t="str">
        <f ca="1">IF(Y2651=行业比较!$E$6,ROW(),"")</f>
        <v/>
      </c>
    </row>
    <row r="2652" spans="22:26">
      <c r="V2652" s="260">
        <f t="shared" ca="1" si="49"/>
        <v>0</v>
      </c>
      <c r="W2652" s="348" t="str">
        <f>IF(板块成分!B2654="","",板块成分!B2654)</f>
        <v>301256.SZ</v>
      </c>
      <c r="X2652" s="276" t="str">
        <f>[1]!S_Info_Name(W2652)</f>
        <v>华融化学</v>
      </c>
      <c r="Y2652" s="276" t="str">
        <f ca="1">IF($Y$3="申万一级行业",[1]!s_info_industry_sw_2021(W2652,公司分析!D$5,1),IF($Y$3="申万二级行业",[1]!s_info_industry_sw_2021(W2652,公司分析!D$5,2),IF($Y$3="申万三级行业",[1]!s_info_industry_sw_2021(W2652,公司分析!D$5,3),IF($Y$3="wind一级行业",[1]!s_info_industry_gics(W2652,1),IF($Y$3="wind二级行业",[1]!s_info_industry_gics(W2652,2),IF($Y$3="wind三级行业",[1]!s_info_industry_gics(W2652,3),IF($Y$3="wind四级行业",[1]!s_info_industry_gics(W2652,4),IF($Y$3="证监会门类行业",[1]!s_info_industry_csrc12_n(W2652,公司分析!D$5,1),""))))))))</f>
        <v>化学原料</v>
      </c>
      <c r="Z2652" s="302" t="str">
        <f ca="1">IF(Y2652=行业比较!$E$6,ROW(),"")</f>
        <v/>
      </c>
    </row>
    <row r="2653" spans="22:26">
      <c r="V2653" s="260">
        <f t="shared" ca="1" si="49"/>
        <v>0</v>
      </c>
      <c r="W2653" s="348" t="str">
        <f>IF(板块成分!B2655="","",板块成分!B2655)</f>
        <v>301257.SZ</v>
      </c>
      <c r="X2653" s="276" t="str">
        <f>[1]!S_Info_Name(W2653)</f>
        <v>普蕊斯</v>
      </c>
      <c r="Y2653" s="276" t="str">
        <f ca="1">IF($Y$3="申万一级行业",[1]!s_info_industry_sw_2021(W2653,公司分析!D$5,1),IF($Y$3="申万二级行业",[1]!s_info_industry_sw_2021(W2653,公司分析!D$5,2),IF($Y$3="申万三级行业",[1]!s_info_industry_sw_2021(W2653,公司分析!D$5,3),IF($Y$3="wind一级行业",[1]!s_info_industry_gics(W2653,1),IF($Y$3="wind二级行业",[1]!s_info_industry_gics(W2653,2),IF($Y$3="wind三级行业",[1]!s_info_industry_gics(W2653,3),IF($Y$3="wind四级行业",[1]!s_info_industry_gics(W2653,4),IF($Y$3="证监会门类行业",[1]!s_info_industry_csrc12_n(W2653,公司分析!D$5,1),""))))))))</f>
        <v>医疗服务</v>
      </c>
      <c r="Z2653" s="302" t="str">
        <f ca="1">IF(Y2653=行业比较!$E$6,ROW(),"")</f>
        <v/>
      </c>
    </row>
    <row r="2654" spans="22:26">
      <c r="V2654" s="260">
        <f t="shared" ca="1" si="49"/>
        <v>0</v>
      </c>
      <c r="W2654" s="348" t="str">
        <f>IF(板块成分!B2656="","",板块成分!B2656)</f>
        <v>301258.SZ</v>
      </c>
      <c r="X2654" s="276" t="str">
        <f>[1]!S_Info_Name(W2654)</f>
        <v>富士莱</v>
      </c>
      <c r="Y2654" s="276" t="str">
        <f ca="1">IF($Y$3="申万一级行业",[1]!s_info_industry_sw_2021(W2654,公司分析!D$5,1),IF($Y$3="申万二级行业",[1]!s_info_industry_sw_2021(W2654,公司分析!D$5,2),IF($Y$3="申万三级行业",[1]!s_info_industry_sw_2021(W2654,公司分析!D$5,3),IF($Y$3="wind一级行业",[1]!s_info_industry_gics(W2654,1),IF($Y$3="wind二级行业",[1]!s_info_industry_gics(W2654,2),IF($Y$3="wind三级行业",[1]!s_info_industry_gics(W2654,3),IF($Y$3="wind四级行业",[1]!s_info_industry_gics(W2654,4),IF($Y$3="证监会门类行业",[1]!s_info_industry_csrc12_n(W2654,公司分析!D$5,1),""))))))))</f>
        <v>化学制药</v>
      </c>
      <c r="Z2654" s="302" t="str">
        <f ca="1">IF(Y2654=行业比较!$E$6,ROW(),"")</f>
        <v/>
      </c>
    </row>
    <row r="2655" spans="22:26">
      <c r="V2655" s="260">
        <f t="shared" ca="1" si="49"/>
        <v>0</v>
      </c>
      <c r="W2655" s="348" t="str">
        <f>IF(板块成分!B2657="","",板块成分!B2657)</f>
        <v>301259.SZ</v>
      </c>
      <c r="X2655" s="276" t="str">
        <f>[1]!S_Info_Name(W2655)</f>
        <v>艾布鲁</v>
      </c>
      <c r="Y2655" s="276" t="str">
        <f ca="1">IF($Y$3="申万一级行业",[1]!s_info_industry_sw_2021(W2655,公司分析!D$5,1),IF($Y$3="申万二级行业",[1]!s_info_industry_sw_2021(W2655,公司分析!D$5,2),IF($Y$3="申万三级行业",[1]!s_info_industry_sw_2021(W2655,公司分析!D$5,3),IF($Y$3="wind一级行业",[1]!s_info_industry_gics(W2655,1),IF($Y$3="wind二级行业",[1]!s_info_industry_gics(W2655,2),IF($Y$3="wind三级行业",[1]!s_info_industry_gics(W2655,3),IF($Y$3="wind四级行业",[1]!s_info_industry_gics(W2655,4),IF($Y$3="证监会门类行业",[1]!s_info_industry_csrc12_n(W2655,公司分析!D$5,1),""))))))))</f>
        <v>环境治理</v>
      </c>
      <c r="Z2655" s="302" t="str">
        <f ca="1">IF(Y2655=行业比较!$E$6,ROW(),"")</f>
        <v/>
      </c>
    </row>
    <row r="2656" spans="22:26">
      <c r="V2656" s="260">
        <f t="shared" ca="1" si="49"/>
        <v>0</v>
      </c>
      <c r="W2656" s="348" t="str">
        <f>IF(板块成分!B2658="","",板块成分!B2658)</f>
        <v>301260.SZ</v>
      </c>
      <c r="X2656" s="276" t="str">
        <f>[1]!S_Info_Name(W2656)</f>
        <v>格力博</v>
      </c>
      <c r="Y2656" s="276" t="str">
        <f ca="1">IF($Y$3="申万一级行业",[1]!s_info_industry_sw_2021(W2656,公司分析!D$5,1),IF($Y$3="申万二级行业",[1]!s_info_industry_sw_2021(W2656,公司分析!D$5,2),IF($Y$3="申万三级行业",[1]!s_info_industry_sw_2021(W2656,公司分析!D$5,3),IF($Y$3="wind一级行业",[1]!s_info_industry_gics(W2656,1),IF($Y$3="wind二级行业",[1]!s_info_industry_gics(W2656,2),IF($Y$3="wind三级行业",[1]!s_info_industry_gics(W2656,3),IF($Y$3="wind四级行业",[1]!s_info_industry_gics(W2656,4),IF($Y$3="证监会门类行业",[1]!s_info_industry_csrc12_n(W2656,公司分析!D$5,1),""))))))))</f>
        <v>专用设备</v>
      </c>
      <c r="Z2656" s="302" t="str">
        <f ca="1">IF(Y2656=行业比较!$E$6,ROW(),"")</f>
        <v/>
      </c>
    </row>
    <row r="2657" spans="22:26">
      <c r="V2657" s="260">
        <f t="shared" ca="1" si="49"/>
        <v>0</v>
      </c>
      <c r="W2657" s="348" t="str">
        <f>IF(板块成分!B2659="","",板块成分!B2659)</f>
        <v>301261.SZ</v>
      </c>
      <c r="X2657" s="276" t="str">
        <f>[1]!S_Info_Name(W2657)</f>
        <v>恒工精密</v>
      </c>
      <c r="Y2657" s="276" t="str">
        <f ca="1">IF($Y$3="申万一级行业",[1]!s_info_industry_sw_2021(W2657,公司分析!D$5,1),IF($Y$3="申万二级行业",[1]!s_info_industry_sw_2021(W2657,公司分析!D$5,2),IF($Y$3="申万三级行业",[1]!s_info_industry_sw_2021(W2657,公司分析!D$5,3),IF($Y$3="wind一级行业",[1]!s_info_industry_gics(W2657,1),IF($Y$3="wind二级行业",[1]!s_info_industry_gics(W2657,2),IF($Y$3="wind三级行业",[1]!s_info_industry_gics(W2657,3),IF($Y$3="wind四级行业",[1]!s_info_industry_gics(W2657,4),IF($Y$3="证监会门类行业",[1]!s_info_industry_csrc12_n(W2657,公司分析!D$5,1),""))))))))</f>
        <v>通用设备</v>
      </c>
      <c r="Z2657" s="302" t="str">
        <f ca="1">IF(Y2657=行业比较!$E$6,ROW(),"")</f>
        <v/>
      </c>
    </row>
    <row r="2658" spans="22:26">
      <c r="V2658" s="260">
        <f t="shared" ca="1" si="49"/>
        <v>0</v>
      </c>
      <c r="W2658" s="348" t="str">
        <f>IF(板块成分!B2660="","",板块成分!B2660)</f>
        <v>301262.SZ</v>
      </c>
      <c r="X2658" s="276" t="str">
        <f>[1]!S_Info_Name(W2658)</f>
        <v>海看股份</v>
      </c>
      <c r="Y2658" s="276" t="str">
        <f ca="1">IF($Y$3="申万一级行业",[1]!s_info_industry_sw_2021(W2658,公司分析!D$5,1),IF($Y$3="申万二级行业",[1]!s_info_industry_sw_2021(W2658,公司分析!D$5,2),IF($Y$3="申万三级行业",[1]!s_info_industry_sw_2021(W2658,公司分析!D$5,3),IF($Y$3="wind一级行业",[1]!s_info_industry_gics(W2658,1),IF($Y$3="wind二级行业",[1]!s_info_industry_gics(W2658,2),IF($Y$3="wind三级行业",[1]!s_info_industry_gics(W2658,3),IF($Y$3="wind四级行业",[1]!s_info_industry_gics(W2658,4),IF($Y$3="证监会门类行业",[1]!s_info_industry_csrc12_n(W2658,公司分析!D$5,1),""))))))))</f>
        <v>电视广播Ⅱ</v>
      </c>
      <c r="Z2658" s="302" t="str">
        <f ca="1">IF(Y2658=行业比较!$E$6,ROW(),"")</f>
        <v/>
      </c>
    </row>
    <row r="2659" spans="22:26">
      <c r="V2659" s="260">
        <f t="shared" ca="1" si="49"/>
        <v>0</v>
      </c>
      <c r="W2659" s="348" t="str">
        <f>IF(板块成分!B2661="","",板块成分!B2661)</f>
        <v>301263.SZ</v>
      </c>
      <c r="X2659" s="276" t="str">
        <f>[1]!S_Info_Name(W2659)</f>
        <v>泰恩康</v>
      </c>
      <c r="Y2659" s="276" t="str">
        <f ca="1">IF($Y$3="申万一级行业",[1]!s_info_industry_sw_2021(W2659,公司分析!D$5,1),IF($Y$3="申万二级行业",[1]!s_info_industry_sw_2021(W2659,公司分析!D$5,2),IF($Y$3="申万三级行业",[1]!s_info_industry_sw_2021(W2659,公司分析!D$5,3),IF($Y$3="wind一级行业",[1]!s_info_industry_gics(W2659,1),IF($Y$3="wind二级行业",[1]!s_info_industry_gics(W2659,2),IF($Y$3="wind三级行业",[1]!s_info_industry_gics(W2659,3),IF($Y$3="wind四级行业",[1]!s_info_industry_gics(W2659,4),IF($Y$3="证监会门类行业",[1]!s_info_industry_csrc12_n(W2659,公司分析!D$5,1),""))))))))</f>
        <v>化学制药</v>
      </c>
      <c r="Z2659" s="302" t="str">
        <f ca="1">IF(Y2659=行业比较!$E$6,ROW(),"")</f>
        <v/>
      </c>
    </row>
    <row r="2660" spans="22:26">
      <c r="V2660" s="260">
        <f t="shared" ca="1" si="49"/>
        <v>0</v>
      </c>
      <c r="W2660" s="348" t="str">
        <f>IF(板块成分!B2662="","",板块成分!B2662)</f>
        <v>301265.SZ</v>
      </c>
      <c r="X2660" s="276" t="str">
        <f>[1]!S_Info_Name(W2660)</f>
        <v>华新环保</v>
      </c>
      <c r="Y2660" s="276" t="str">
        <f ca="1">IF($Y$3="申万一级行业",[1]!s_info_industry_sw_2021(W2660,公司分析!D$5,1),IF($Y$3="申万二级行业",[1]!s_info_industry_sw_2021(W2660,公司分析!D$5,2),IF($Y$3="申万三级行业",[1]!s_info_industry_sw_2021(W2660,公司分析!D$5,3),IF($Y$3="wind一级行业",[1]!s_info_industry_gics(W2660,1),IF($Y$3="wind二级行业",[1]!s_info_industry_gics(W2660,2),IF($Y$3="wind三级行业",[1]!s_info_industry_gics(W2660,3),IF($Y$3="wind四级行业",[1]!s_info_industry_gics(W2660,4),IF($Y$3="证监会门类行业",[1]!s_info_industry_csrc12_n(W2660,公司分析!D$5,1),""))))))))</f>
        <v>环境治理</v>
      </c>
      <c r="Z2660" s="302" t="str">
        <f ca="1">IF(Y2660=行业比较!$E$6,ROW(),"")</f>
        <v/>
      </c>
    </row>
    <row r="2661" spans="22:26">
      <c r="V2661" s="260">
        <f t="shared" ca="1" si="49"/>
        <v>0</v>
      </c>
      <c r="W2661" s="348" t="str">
        <f>IF(板块成分!B2663="","",板块成分!B2663)</f>
        <v>301266.SZ</v>
      </c>
      <c r="X2661" s="276" t="str">
        <f>[1]!S_Info_Name(W2661)</f>
        <v>宇邦新材</v>
      </c>
      <c r="Y2661" s="276" t="str">
        <f ca="1">IF($Y$3="申万一级行业",[1]!s_info_industry_sw_2021(W2661,公司分析!D$5,1),IF($Y$3="申万二级行业",[1]!s_info_industry_sw_2021(W2661,公司分析!D$5,2),IF($Y$3="申万三级行业",[1]!s_info_industry_sw_2021(W2661,公司分析!D$5,3),IF($Y$3="wind一级行业",[1]!s_info_industry_gics(W2661,1),IF($Y$3="wind二级行业",[1]!s_info_industry_gics(W2661,2),IF($Y$3="wind三级行业",[1]!s_info_industry_gics(W2661,3),IF($Y$3="wind四级行业",[1]!s_info_industry_gics(W2661,4),IF($Y$3="证监会门类行业",[1]!s_info_industry_csrc12_n(W2661,公司分析!D$5,1),""))))))))</f>
        <v>光伏设备</v>
      </c>
      <c r="Z2661" s="302" t="str">
        <f ca="1">IF(Y2661=行业比较!$E$6,ROW(),"")</f>
        <v/>
      </c>
    </row>
    <row r="2662" spans="22:26">
      <c r="V2662" s="260">
        <f t="shared" ca="1" si="49"/>
        <v>0</v>
      </c>
      <c r="W2662" s="348" t="str">
        <f>IF(板块成分!B2664="","",板块成分!B2664)</f>
        <v>301267.SZ</v>
      </c>
      <c r="X2662" s="276" t="str">
        <f>[1]!S_Info_Name(W2662)</f>
        <v>华厦眼科</v>
      </c>
      <c r="Y2662" s="276" t="str">
        <f ca="1">IF($Y$3="申万一级行业",[1]!s_info_industry_sw_2021(W2662,公司分析!D$5,1),IF($Y$3="申万二级行业",[1]!s_info_industry_sw_2021(W2662,公司分析!D$5,2),IF($Y$3="申万三级行业",[1]!s_info_industry_sw_2021(W2662,公司分析!D$5,3),IF($Y$3="wind一级行业",[1]!s_info_industry_gics(W2662,1),IF($Y$3="wind二级行业",[1]!s_info_industry_gics(W2662,2),IF($Y$3="wind三级行业",[1]!s_info_industry_gics(W2662,3),IF($Y$3="wind四级行业",[1]!s_info_industry_gics(W2662,4),IF($Y$3="证监会门类行业",[1]!s_info_industry_csrc12_n(W2662,公司分析!D$5,1),""))))))))</f>
        <v>医疗服务</v>
      </c>
      <c r="Z2662" s="302" t="str">
        <f ca="1">IF(Y2662=行业比较!$E$6,ROW(),"")</f>
        <v/>
      </c>
    </row>
    <row r="2663" spans="22:26">
      <c r="V2663" s="260">
        <f t="shared" ca="1" si="49"/>
        <v>0</v>
      </c>
      <c r="W2663" s="348" t="str">
        <f>IF(板块成分!B2665="","",板块成分!B2665)</f>
        <v>301268.SZ</v>
      </c>
      <c r="X2663" s="276" t="str">
        <f>[1]!S_Info_Name(W2663)</f>
        <v>铭利达</v>
      </c>
      <c r="Y2663" s="276" t="str">
        <f ca="1">IF($Y$3="申万一级行业",[1]!s_info_industry_sw_2021(W2663,公司分析!D$5,1),IF($Y$3="申万二级行业",[1]!s_info_industry_sw_2021(W2663,公司分析!D$5,2),IF($Y$3="申万三级行业",[1]!s_info_industry_sw_2021(W2663,公司分析!D$5,3),IF($Y$3="wind一级行业",[1]!s_info_industry_gics(W2663,1),IF($Y$3="wind二级行业",[1]!s_info_industry_gics(W2663,2),IF($Y$3="wind三级行业",[1]!s_info_industry_gics(W2663,3),IF($Y$3="wind四级行业",[1]!s_info_industry_gics(W2663,4),IF($Y$3="证监会门类行业",[1]!s_info_industry_csrc12_n(W2663,公司分析!D$5,1),""))))))))</f>
        <v>通用设备</v>
      </c>
      <c r="Z2663" s="302" t="str">
        <f ca="1">IF(Y2663=行业比较!$E$6,ROW(),"")</f>
        <v/>
      </c>
    </row>
    <row r="2664" spans="22:26">
      <c r="V2664" s="260">
        <f t="shared" ca="1" si="49"/>
        <v>0</v>
      </c>
      <c r="W2664" s="348" t="str">
        <f>IF(板块成分!B2666="","",板块成分!B2666)</f>
        <v>301269.SZ</v>
      </c>
      <c r="X2664" s="276" t="str">
        <f>[1]!S_Info_Name(W2664)</f>
        <v>华大九天</v>
      </c>
      <c r="Y2664" s="276" t="str">
        <f ca="1">IF($Y$3="申万一级行业",[1]!s_info_industry_sw_2021(W2664,公司分析!D$5,1),IF($Y$3="申万二级行业",[1]!s_info_industry_sw_2021(W2664,公司分析!D$5,2),IF($Y$3="申万三级行业",[1]!s_info_industry_sw_2021(W2664,公司分析!D$5,3),IF($Y$3="wind一级行业",[1]!s_info_industry_gics(W2664,1),IF($Y$3="wind二级行业",[1]!s_info_industry_gics(W2664,2),IF($Y$3="wind三级行业",[1]!s_info_industry_gics(W2664,3),IF($Y$3="wind四级行业",[1]!s_info_industry_gics(W2664,4),IF($Y$3="证监会门类行业",[1]!s_info_industry_csrc12_n(W2664,公司分析!D$5,1),""))))))))</f>
        <v>软件开发</v>
      </c>
      <c r="Z2664" s="302" t="str">
        <f ca="1">IF(Y2664=行业比较!$E$6,ROW(),"")</f>
        <v/>
      </c>
    </row>
    <row r="2665" spans="22:26">
      <c r="V2665" s="260">
        <f t="shared" ca="1" si="49"/>
        <v>0</v>
      </c>
      <c r="W2665" s="348" t="str">
        <f>IF(板块成分!B2667="","",板块成分!B2667)</f>
        <v>301270.SZ</v>
      </c>
      <c r="X2665" s="276" t="str">
        <f>[1]!S_Info_Name(W2665)</f>
        <v>汉仪股份</v>
      </c>
      <c r="Y2665" s="276" t="str">
        <f ca="1">IF($Y$3="申万一级行业",[1]!s_info_industry_sw_2021(W2665,公司分析!D$5,1),IF($Y$3="申万二级行业",[1]!s_info_industry_sw_2021(W2665,公司分析!D$5,2),IF($Y$3="申万三级行业",[1]!s_info_industry_sw_2021(W2665,公司分析!D$5,3),IF($Y$3="wind一级行业",[1]!s_info_industry_gics(W2665,1),IF($Y$3="wind二级行业",[1]!s_info_industry_gics(W2665,2),IF($Y$3="wind三级行业",[1]!s_info_industry_gics(W2665,3),IF($Y$3="wind四级行业",[1]!s_info_industry_gics(W2665,4),IF($Y$3="证监会门类行业",[1]!s_info_industry_csrc12_n(W2665,公司分析!D$5,1),""))))))))</f>
        <v>软件开发</v>
      </c>
      <c r="Z2665" s="302" t="str">
        <f ca="1">IF(Y2665=行业比较!$E$6,ROW(),"")</f>
        <v/>
      </c>
    </row>
    <row r="2666" spans="22:26">
      <c r="V2666" s="260">
        <f t="shared" ca="1" si="49"/>
        <v>0</v>
      </c>
      <c r="W2666" s="348" t="str">
        <f>IF(板块成分!B2668="","",板块成分!B2668)</f>
        <v>301272.SZ</v>
      </c>
      <c r="X2666" s="276" t="str">
        <f>[1]!S_Info_Name(W2666)</f>
        <v>英华特</v>
      </c>
      <c r="Y2666" s="276" t="str">
        <f ca="1">IF($Y$3="申万一级行业",[1]!s_info_industry_sw_2021(W2666,公司分析!D$5,1),IF($Y$3="申万二级行业",[1]!s_info_industry_sw_2021(W2666,公司分析!D$5,2),IF($Y$3="申万三级行业",[1]!s_info_industry_sw_2021(W2666,公司分析!D$5,3),IF($Y$3="wind一级行业",[1]!s_info_industry_gics(W2666,1),IF($Y$3="wind二级行业",[1]!s_info_industry_gics(W2666,2),IF($Y$3="wind三级行业",[1]!s_info_industry_gics(W2666,3),IF($Y$3="wind四级行业",[1]!s_info_industry_gics(W2666,4),IF($Y$3="证监会门类行业",[1]!s_info_industry_csrc12_n(W2666,公司分析!D$5,1),""))))))))</f>
        <v>通用设备</v>
      </c>
      <c r="Z2666" s="302" t="str">
        <f ca="1">IF(Y2666=行业比较!$E$6,ROW(),"")</f>
        <v/>
      </c>
    </row>
    <row r="2667" spans="22:26">
      <c r="V2667" s="260">
        <f t="shared" ca="1" si="49"/>
        <v>0</v>
      </c>
      <c r="W2667" s="348" t="str">
        <f>IF(板块成分!B2669="","",板块成分!B2669)</f>
        <v>301273.SZ</v>
      </c>
      <c r="X2667" s="276" t="str">
        <f>[1]!S_Info_Name(W2667)</f>
        <v>瑞晨环保</v>
      </c>
      <c r="Y2667" s="276" t="str">
        <f ca="1">IF($Y$3="申万一级行业",[1]!s_info_industry_sw_2021(W2667,公司分析!D$5,1),IF($Y$3="申万二级行业",[1]!s_info_industry_sw_2021(W2667,公司分析!D$5,2),IF($Y$3="申万三级行业",[1]!s_info_industry_sw_2021(W2667,公司分析!D$5,3),IF($Y$3="wind一级行业",[1]!s_info_industry_gics(W2667,1),IF($Y$3="wind二级行业",[1]!s_info_industry_gics(W2667,2),IF($Y$3="wind三级行业",[1]!s_info_industry_gics(W2667,3),IF($Y$3="wind四级行业",[1]!s_info_industry_gics(W2667,4),IF($Y$3="证监会门类行业",[1]!s_info_industry_csrc12_n(W2667,公司分析!D$5,1),""))))))))</f>
        <v>通用设备</v>
      </c>
      <c r="Z2667" s="302" t="str">
        <f ca="1">IF(Y2667=行业比较!$E$6,ROW(),"")</f>
        <v/>
      </c>
    </row>
    <row r="2668" spans="22:26">
      <c r="V2668" s="260">
        <f t="shared" ca="1" si="49"/>
        <v>0</v>
      </c>
      <c r="W2668" s="348" t="str">
        <f>IF(板块成分!B2670="","",板块成分!B2670)</f>
        <v>301275.SZ</v>
      </c>
      <c r="X2668" s="276" t="str">
        <f>[1]!S_Info_Name(W2668)</f>
        <v>汉朔科技</v>
      </c>
      <c r="Y2668" s="276" t="str">
        <f ca="1">IF($Y$3="申万一级行业",[1]!s_info_industry_sw_2021(W2668,公司分析!D$5,1),IF($Y$3="申万二级行业",[1]!s_info_industry_sw_2021(W2668,公司分析!D$5,2),IF($Y$3="申万三级行业",[1]!s_info_industry_sw_2021(W2668,公司分析!D$5,3),IF($Y$3="wind一级行业",[1]!s_info_industry_gics(W2668,1),IF($Y$3="wind二级行业",[1]!s_info_industry_gics(W2668,2),IF($Y$3="wind三级行业",[1]!s_info_industry_gics(W2668,3),IF($Y$3="wind四级行业",[1]!s_info_industry_gics(W2668,4),IF($Y$3="证监会门类行业",[1]!s_info_industry_csrc12_n(W2668,公司分析!D$5,1),""))))))))</f>
        <v>其他电子Ⅱ</v>
      </c>
      <c r="Z2668" s="302" t="str">
        <f ca="1">IF(Y2668=行业比较!$E$6,ROW(),"")</f>
        <v/>
      </c>
    </row>
    <row r="2669" spans="22:26">
      <c r="V2669" s="260">
        <f t="shared" ca="1" si="49"/>
        <v>0</v>
      </c>
      <c r="W2669" s="348" t="str">
        <f>IF(板块成分!B2671="","",板块成分!B2671)</f>
        <v>301276.SZ</v>
      </c>
      <c r="X2669" s="276" t="str">
        <f>[1]!S_Info_Name(W2669)</f>
        <v>嘉曼服饰</v>
      </c>
      <c r="Y2669" s="276" t="str">
        <f ca="1">IF($Y$3="申万一级行业",[1]!s_info_industry_sw_2021(W2669,公司分析!D$5,1),IF($Y$3="申万二级行业",[1]!s_info_industry_sw_2021(W2669,公司分析!D$5,2),IF($Y$3="申万三级行业",[1]!s_info_industry_sw_2021(W2669,公司分析!D$5,3),IF($Y$3="wind一级行业",[1]!s_info_industry_gics(W2669,1),IF($Y$3="wind二级行业",[1]!s_info_industry_gics(W2669,2),IF($Y$3="wind三级行业",[1]!s_info_industry_gics(W2669,3),IF($Y$3="wind四级行业",[1]!s_info_industry_gics(W2669,4),IF($Y$3="证监会门类行业",[1]!s_info_industry_csrc12_n(W2669,公司分析!D$5,1),""))))))))</f>
        <v>服装家纺</v>
      </c>
      <c r="Z2669" s="302" t="str">
        <f ca="1">IF(Y2669=行业比较!$E$6,ROW(),"")</f>
        <v/>
      </c>
    </row>
    <row r="2670" spans="22:26">
      <c r="V2670" s="260">
        <f t="shared" ca="1" si="49"/>
        <v>0</v>
      </c>
      <c r="W2670" s="348" t="str">
        <f>IF(板块成分!B2672="","",板块成分!B2672)</f>
        <v>301277.SZ</v>
      </c>
      <c r="X2670" s="276" t="str">
        <f>[1]!S_Info_Name(W2670)</f>
        <v>新天地</v>
      </c>
      <c r="Y2670" s="276" t="str">
        <f ca="1">IF($Y$3="申万一级行业",[1]!s_info_industry_sw_2021(W2670,公司分析!D$5,1),IF($Y$3="申万二级行业",[1]!s_info_industry_sw_2021(W2670,公司分析!D$5,2),IF($Y$3="申万三级行业",[1]!s_info_industry_sw_2021(W2670,公司分析!D$5,3),IF($Y$3="wind一级行业",[1]!s_info_industry_gics(W2670,1),IF($Y$3="wind二级行业",[1]!s_info_industry_gics(W2670,2),IF($Y$3="wind三级行业",[1]!s_info_industry_gics(W2670,3),IF($Y$3="wind四级行业",[1]!s_info_industry_gics(W2670,4),IF($Y$3="证监会门类行业",[1]!s_info_industry_csrc12_n(W2670,公司分析!D$5,1),""))))))))</f>
        <v>化学制药</v>
      </c>
      <c r="Z2670" s="302" t="str">
        <f ca="1">IF(Y2670=行业比较!$E$6,ROW(),"")</f>
        <v/>
      </c>
    </row>
    <row r="2671" spans="22:26">
      <c r="V2671" s="260">
        <f t="shared" ca="1" si="49"/>
        <v>0</v>
      </c>
      <c r="W2671" s="348" t="str">
        <f>IF(板块成分!B2673="","",板块成分!B2673)</f>
        <v>301278.SZ</v>
      </c>
      <c r="X2671" s="276" t="str">
        <f>[1]!S_Info_Name(W2671)</f>
        <v>快可电子</v>
      </c>
      <c r="Y2671" s="276" t="str">
        <f ca="1">IF($Y$3="申万一级行业",[1]!s_info_industry_sw_2021(W2671,公司分析!D$5,1),IF($Y$3="申万二级行业",[1]!s_info_industry_sw_2021(W2671,公司分析!D$5,2),IF($Y$3="申万三级行业",[1]!s_info_industry_sw_2021(W2671,公司分析!D$5,3),IF($Y$3="wind一级行业",[1]!s_info_industry_gics(W2671,1),IF($Y$3="wind二级行业",[1]!s_info_industry_gics(W2671,2),IF($Y$3="wind三级行业",[1]!s_info_industry_gics(W2671,3),IF($Y$3="wind四级行业",[1]!s_info_industry_gics(W2671,4),IF($Y$3="证监会门类行业",[1]!s_info_industry_csrc12_n(W2671,公司分析!D$5,1),""))))))))</f>
        <v>光伏设备</v>
      </c>
      <c r="Z2671" s="302" t="str">
        <f ca="1">IF(Y2671=行业比较!$E$6,ROW(),"")</f>
        <v/>
      </c>
    </row>
    <row r="2672" spans="22:26">
      <c r="V2672" s="260">
        <f t="shared" ca="1" si="49"/>
        <v>0</v>
      </c>
      <c r="W2672" s="348" t="str">
        <f>IF(板块成分!B2674="","",板块成分!B2674)</f>
        <v>301279.SZ</v>
      </c>
      <c r="X2672" s="276" t="str">
        <f>[1]!S_Info_Name(W2672)</f>
        <v>金道科技</v>
      </c>
      <c r="Y2672" s="276" t="str">
        <f ca="1">IF($Y$3="申万一级行业",[1]!s_info_industry_sw_2021(W2672,公司分析!D$5,1),IF($Y$3="申万二级行业",[1]!s_info_industry_sw_2021(W2672,公司分析!D$5,2),IF($Y$3="申万三级行业",[1]!s_info_industry_sw_2021(W2672,公司分析!D$5,3),IF($Y$3="wind一级行业",[1]!s_info_industry_gics(W2672,1),IF($Y$3="wind二级行业",[1]!s_info_industry_gics(W2672,2),IF($Y$3="wind三级行业",[1]!s_info_industry_gics(W2672,3),IF($Y$3="wind四级行业",[1]!s_info_industry_gics(W2672,4),IF($Y$3="证监会门类行业",[1]!s_info_industry_csrc12_n(W2672,公司分析!D$5,1),""))))))))</f>
        <v>工程机械</v>
      </c>
      <c r="Z2672" s="302" t="str">
        <f ca="1">IF(Y2672=行业比较!$E$6,ROW(),"")</f>
        <v/>
      </c>
    </row>
    <row r="2673" spans="22:26">
      <c r="V2673" s="260">
        <f t="shared" ca="1" si="49"/>
        <v>0</v>
      </c>
      <c r="W2673" s="348" t="str">
        <f>IF(板块成分!B2675="","",板块成分!B2675)</f>
        <v>301280.SZ</v>
      </c>
      <c r="X2673" s="276" t="str">
        <f>[1]!S_Info_Name(W2673)</f>
        <v>珠城科技</v>
      </c>
      <c r="Y2673" s="276" t="str">
        <f ca="1">IF($Y$3="申万一级行业",[1]!s_info_industry_sw_2021(W2673,公司分析!D$5,1),IF($Y$3="申万二级行业",[1]!s_info_industry_sw_2021(W2673,公司分析!D$5,2),IF($Y$3="申万三级行业",[1]!s_info_industry_sw_2021(W2673,公司分析!D$5,3),IF($Y$3="wind一级行业",[1]!s_info_industry_gics(W2673,1),IF($Y$3="wind二级行业",[1]!s_info_industry_gics(W2673,2),IF($Y$3="wind三级行业",[1]!s_info_industry_gics(W2673,3),IF($Y$3="wind四级行业",[1]!s_info_industry_gics(W2673,4),IF($Y$3="证监会门类行业",[1]!s_info_industry_csrc12_n(W2673,公司分析!D$5,1),""))))))))</f>
        <v>家电零部件Ⅱ</v>
      </c>
      <c r="Z2673" s="302" t="str">
        <f ca="1">IF(Y2673=行业比较!$E$6,ROW(),"")</f>
        <v/>
      </c>
    </row>
    <row r="2674" spans="22:26">
      <c r="V2674" s="260">
        <f t="shared" ca="1" si="49"/>
        <v>0</v>
      </c>
      <c r="W2674" s="348" t="str">
        <f>IF(板块成分!B2676="","",板块成分!B2676)</f>
        <v>301281.SZ</v>
      </c>
      <c r="X2674" s="276" t="str">
        <f>[1]!S_Info_Name(W2674)</f>
        <v>科源制药</v>
      </c>
      <c r="Y2674" s="276" t="str">
        <f ca="1">IF($Y$3="申万一级行业",[1]!s_info_industry_sw_2021(W2674,公司分析!D$5,1),IF($Y$3="申万二级行业",[1]!s_info_industry_sw_2021(W2674,公司分析!D$5,2),IF($Y$3="申万三级行业",[1]!s_info_industry_sw_2021(W2674,公司分析!D$5,3),IF($Y$3="wind一级行业",[1]!s_info_industry_gics(W2674,1),IF($Y$3="wind二级行业",[1]!s_info_industry_gics(W2674,2),IF($Y$3="wind三级行业",[1]!s_info_industry_gics(W2674,3),IF($Y$3="wind四级行业",[1]!s_info_industry_gics(W2674,4),IF($Y$3="证监会门类行业",[1]!s_info_industry_csrc12_n(W2674,公司分析!D$5,1),""))))))))</f>
        <v>化学制药</v>
      </c>
      <c r="Z2674" s="302" t="str">
        <f ca="1">IF(Y2674=行业比较!$E$6,ROW(),"")</f>
        <v/>
      </c>
    </row>
    <row r="2675" spans="22:26">
      <c r="V2675" s="260">
        <f t="shared" ca="1" si="49"/>
        <v>0</v>
      </c>
      <c r="W2675" s="348" t="str">
        <f>IF(板块成分!B2677="","",板块成分!B2677)</f>
        <v>301282.SZ</v>
      </c>
      <c r="X2675" s="276" t="str">
        <f>[1]!S_Info_Name(W2675)</f>
        <v>金禄电子</v>
      </c>
      <c r="Y2675" s="276" t="str">
        <f ca="1">IF($Y$3="申万一级行业",[1]!s_info_industry_sw_2021(W2675,公司分析!D$5,1),IF($Y$3="申万二级行业",[1]!s_info_industry_sw_2021(W2675,公司分析!D$5,2),IF($Y$3="申万三级行业",[1]!s_info_industry_sw_2021(W2675,公司分析!D$5,3),IF($Y$3="wind一级行业",[1]!s_info_industry_gics(W2675,1),IF($Y$3="wind二级行业",[1]!s_info_industry_gics(W2675,2),IF($Y$3="wind三级行业",[1]!s_info_industry_gics(W2675,3),IF($Y$3="wind四级行业",[1]!s_info_industry_gics(W2675,4),IF($Y$3="证监会门类行业",[1]!s_info_industry_csrc12_n(W2675,公司分析!D$5,1),""))))))))</f>
        <v>元件</v>
      </c>
      <c r="Z2675" s="302" t="str">
        <f ca="1">IF(Y2675=行业比较!$E$6,ROW(),"")</f>
        <v/>
      </c>
    </row>
    <row r="2676" spans="22:26">
      <c r="V2676" s="260">
        <f t="shared" ca="1" si="49"/>
        <v>0</v>
      </c>
      <c r="W2676" s="348" t="str">
        <f>IF(板块成分!B2678="","",板块成分!B2678)</f>
        <v>301283.SZ</v>
      </c>
      <c r="X2676" s="276" t="str">
        <f>[1]!S_Info_Name(W2676)</f>
        <v>聚胶股份</v>
      </c>
      <c r="Y2676" s="276" t="str">
        <f ca="1">IF($Y$3="申万一级行业",[1]!s_info_industry_sw_2021(W2676,公司分析!D$5,1),IF($Y$3="申万二级行业",[1]!s_info_industry_sw_2021(W2676,公司分析!D$5,2),IF($Y$3="申万三级行业",[1]!s_info_industry_sw_2021(W2676,公司分析!D$5,3),IF($Y$3="wind一级行业",[1]!s_info_industry_gics(W2676,1),IF($Y$3="wind二级行业",[1]!s_info_industry_gics(W2676,2),IF($Y$3="wind三级行业",[1]!s_info_industry_gics(W2676,3),IF($Y$3="wind四级行业",[1]!s_info_industry_gics(W2676,4),IF($Y$3="证监会门类行业",[1]!s_info_industry_csrc12_n(W2676,公司分析!D$5,1),""))))))))</f>
        <v>化学制品</v>
      </c>
      <c r="Z2676" s="302" t="str">
        <f ca="1">IF(Y2676=行业比较!$E$6,ROW(),"")</f>
        <v/>
      </c>
    </row>
    <row r="2677" spans="22:26">
      <c r="V2677" s="260">
        <f t="shared" ca="1" si="49"/>
        <v>0</v>
      </c>
      <c r="W2677" s="348" t="str">
        <f>IF(板块成分!B2679="","",板块成分!B2679)</f>
        <v>301285.SZ</v>
      </c>
      <c r="X2677" s="276" t="str">
        <f>[1]!S_Info_Name(W2677)</f>
        <v>鸿日达</v>
      </c>
      <c r="Y2677" s="276" t="str">
        <f ca="1">IF($Y$3="申万一级行业",[1]!s_info_industry_sw_2021(W2677,公司分析!D$5,1),IF($Y$3="申万二级行业",[1]!s_info_industry_sw_2021(W2677,公司分析!D$5,2),IF($Y$3="申万三级行业",[1]!s_info_industry_sw_2021(W2677,公司分析!D$5,3),IF($Y$3="wind一级行业",[1]!s_info_industry_gics(W2677,1),IF($Y$3="wind二级行业",[1]!s_info_industry_gics(W2677,2),IF($Y$3="wind三级行业",[1]!s_info_industry_gics(W2677,3),IF($Y$3="wind四级行业",[1]!s_info_industry_gics(W2677,4),IF($Y$3="证监会门类行业",[1]!s_info_industry_csrc12_n(W2677,公司分析!D$5,1),""))))))))</f>
        <v>消费电子</v>
      </c>
      <c r="Z2677" s="302" t="str">
        <f ca="1">IF(Y2677=行业比较!$E$6,ROW(),"")</f>
        <v/>
      </c>
    </row>
    <row r="2678" spans="22:26">
      <c r="V2678" s="260">
        <f t="shared" ca="1" si="49"/>
        <v>0</v>
      </c>
      <c r="W2678" s="348" t="str">
        <f>IF(板块成分!B2680="","",板块成分!B2680)</f>
        <v>301286.SZ</v>
      </c>
      <c r="X2678" s="276" t="str">
        <f>[1]!S_Info_Name(W2678)</f>
        <v>侨源股份</v>
      </c>
      <c r="Y2678" s="276" t="str">
        <f ca="1">IF($Y$3="申万一级行业",[1]!s_info_industry_sw_2021(W2678,公司分析!D$5,1),IF($Y$3="申万二级行业",[1]!s_info_industry_sw_2021(W2678,公司分析!D$5,2),IF($Y$3="申万三级行业",[1]!s_info_industry_sw_2021(W2678,公司分析!D$5,3),IF($Y$3="wind一级行业",[1]!s_info_industry_gics(W2678,1),IF($Y$3="wind二级行业",[1]!s_info_industry_gics(W2678,2),IF($Y$3="wind三级行业",[1]!s_info_industry_gics(W2678,3),IF($Y$3="wind四级行业",[1]!s_info_industry_gics(W2678,4),IF($Y$3="证监会门类行业",[1]!s_info_industry_csrc12_n(W2678,公司分析!D$5,1),""))))))))</f>
        <v>化学制品</v>
      </c>
      <c r="Z2678" s="302" t="str">
        <f ca="1">IF(Y2678=行业比较!$E$6,ROW(),"")</f>
        <v/>
      </c>
    </row>
    <row r="2679" spans="22:26">
      <c r="V2679" s="260">
        <f t="shared" ca="1" si="49"/>
        <v>0</v>
      </c>
      <c r="W2679" s="348" t="str">
        <f>IF(板块成分!B2681="","",板块成分!B2681)</f>
        <v>301287.SZ</v>
      </c>
      <c r="X2679" s="276" t="str">
        <f>[1]!S_Info_Name(W2679)</f>
        <v>康力源</v>
      </c>
      <c r="Y2679" s="276" t="str">
        <f ca="1">IF($Y$3="申万一级行业",[1]!s_info_industry_sw_2021(W2679,公司分析!D$5,1),IF($Y$3="申万二级行业",[1]!s_info_industry_sw_2021(W2679,公司分析!D$5,2),IF($Y$3="申万三级行业",[1]!s_info_industry_sw_2021(W2679,公司分析!D$5,3),IF($Y$3="wind一级行业",[1]!s_info_industry_gics(W2679,1),IF($Y$3="wind二级行业",[1]!s_info_industry_gics(W2679,2),IF($Y$3="wind三级行业",[1]!s_info_industry_gics(W2679,3),IF($Y$3="wind四级行业",[1]!s_info_industry_gics(W2679,4),IF($Y$3="证监会门类行业",[1]!s_info_industry_csrc12_n(W2679,公司分析!D$5,1),""))))))))</f>
        <v>文娱用品</v>
      </c>
      <c r="Z2679" s="302" t="str">
        <f ca="1">IF(Y2679=行业比较!$E$6,ROW(),"")</f>
        <v/>
      </c>
    </row>
    <row r="2680" spans="22:26">
      <c r="V2680" s="260">
        <f t="shared" ca="1" si="49"/>
        <v>0</v>
      </c>
      <c r="W2680" s="348" t="str">
        <f>IF(板块成分!B2682="","",板块成分!B2682)</f>
        <v>301288.SZ</v>
      </c>
      <c r="X2680" s="276" t="str">
        <f>[1]!S_Info_Name(W2680)</f>
        <v>*ST清研</v>
      </c>
      <c r="Y2680" s="276" t="str">
        <f ca="1">IF($Y$3="申万一级行业",[1]!s_info_industry_sw_2021(W2680,公司分析!D$5,1),IF($Y$3="申万二级行业",[1]!s_info_industry_sw_2021(W2680,公司分析!D$5,2),IF($Y$3="申万三级行业",[1]!s_info_industry_sw_2021(W2680,公司分析!D$5,3),IF($Y$3="wind一级行业",[1]!s_info_industry_gics(W2680,1),IF($Y$3="wind二级行业",[1]!s_info_industry_gics(W2680,2),IF($Y$3="wind三级行业",[1]!s_info_industry_gics(W2680,3),IF($Y$3="wind四级行业",[1]!s_info_industry_gics(W2680,4),IF($Y$3="证监会门类行业",[1]!s_info_industry_csrc12_n(W2680,公司分析!D$5,1),""))))))))</f>
        <v>环保设备Ⅱ</v>
      </c>
      <c r="Z2680" s="302" t="str">
        <f ca="1">IF(Y2680=行业比较!$E$6,ROW(),"")</f>
        <v/>
      </c>
    </row>
    <row r="2681" spans="22:26">
      <c r="V2681" s="260">
        <f t="shared" ca="1" si="49"/>
        <v>0</v>
      </c>
      <c r="W2681" s="348" t="str">
        <f>IF(板块成分!B2683="","",板块成分!B2683)</f>
        <v>301289.SZ</v>
      </c>
      <c r="X2681" s="276" t="str">
        <f>[1]!S_Info_Name(W2681)</f>
        <v>国缆检测</v>
      </c>
      <c r="Y2681" s="276" t="str">
        <f ca="1">IF($Y$3="申万一级行业",[1]!s_info_industry_sw_2021(W2681,公司分析!D$5,1),IF($Y$3="申万二级行业",[1]!s_info_industry_sw_2021(W2681,公司分析!D$5,2),IF($Y$3="申万三级行业",[1]!s_info_industry_sw_2021(W2681,公司分析!D$5,3),IF($Y$3="wind一级行业",[1]!s_info_industry_gics(W2681,1),IF($Y$3="wind二级行业",[1]!s_info_industry_gics(W2681,2),IF($Y$3="wind三级行业",[1]!s_info_industry_gics(W2681,3),IF($Y$3="wind四级行业",[1]!s_info_industry_gics(W2681,4),IF($Y$3="证监会门类行业",[1]!s_info_industry_csrc12_n(W2681,公司分析!D$5,1),""))))))))</f>
        <v>专业服务</v>
      </c>
      <c r="Z2681" s="302" t="str">
        <f ca="1">IF(Y2681=行业比较!$E$6,ROW(),"")</f>
        <v/>
      </c>
    </row>
    <row r="2682" spans="22:26">
      <c r="V2682" s="260">
        <f t="shared" ca="1" si="49"/>
        <v>0</v>
      </c>
      <c r="W2682" s="348" t="str">
        <f>IF(板块成分!B2684="","",板块成分!B2684)</f>
        <v>301290.SZ</v>
      </c>
      <c r="X2682" s="276" t="str">
        <f>[1]!S_Info_Name(W2682)</f>
        <v>东星医疗</v>
      </c>
      <c r="Y2682" s="276" t="str">
        <f ca="1">IF($Y$3="申万一级行业",[1]!s_info_industry_sw_2021(W2682,公司分析!D$5,1),IF($Y$3="申万二级行业",[1]!s_info_industry_sw_2021(W2682,公司分析!D$5,2),IF($Y$3="申万三级行业",[1]!s_info_industry_sw_2021(W2682,公司分析!D$5,3),IF($Y$3="wind一级行业",[1]!s_info_industry_gics(W2682,1),IF($Y$3="wind二级行业",[1]!s_info_industry_gics(W2682,2),IF($Y$3="wind三级行业",[1]!s_info_industry_gics(W2682,3),IF($Y$3="wind四级行业",[1]!s_info_industry_gics(W2682,4),IF($Y$3="证监会门类行业",[1]!s_info_industry_csrc12_n(W2682,公司分析!D$5,1),""))))))))</f>
        <v>医疗器械</v>
      </c>
      <c r="Z2682" s="302" t="str">
        <f ca="1">IF(Y2682=行业比较!$E$6,ROW(),"")</f>
        <v/>
      </c>
    </row>
    <row r="2683" spans="22:26">
      <c r="V2683" s="260">
        <f t="shared" ca="1" si="49"/>
        <v>0</v>
      </c>
      <c r="W2683" s="348" t="str">
        <f>IF(板块成分!B2685="","",板块成分!B2685)</f>
        <v>301291.SZ</v>
      </c>
      <c r="X2683" s="276" t="str">
        <f>[1]!S_Info_Name(W2683)</f>
        <v>明阳电气</v>
      </c>
      <c r="Y2683" s="276" t="str">
        <f ca="1">IF($Y$3="申万一级行业",[1]!s_info_industry_sw_2021(W2683,公司分析!D$5,1),IF($Y$3="申万二级行业",[1]!s_info_industry_sw_2021(W2683,公司分析!D$5,2),IF($Y$3="申万三级行业",[1]!s_info_industry_sw_2021(W2683,公司分析!D$5,3),IF($Y$3="wind一级行业",[1]!s_info_industry_gics(W2683,1),IF($Y$3="wind二级行业",[1]!s_info_industry_gics(W2683,2),IF($Y$3="wind三级行业",[1]!s_info_industry_gics(W2683,3),IF($Y$3="wind四级行业",[1]!s_info_industry_gics(W2683,4),IF($Y$3="证监会门类行业",[1]!s_info_industry_csrc12_n(W2683,公司分析!D$5,1),""))))))))</f>
        <v>电网设备</v>
      </c>
      <c r="Z2683" s="302" t="str">
        <f ca="1">IF(Y2683=行业比较!$E$6,ROW(),"")</f>
        <v/>
      </c>
    </row>
    <row r="2684" spans="22:26">
      <c r="V2684" s="260">
        <f t="shared" ca="1" si="49"/>
        <v>0</v>
      </c>
      <c r="W2684" s="348" t="str">
        <f>IF(板块成分!B2686="","",板块成分!B2686)</f>
        <v>301292.SZ</v>
      </c>
      <c r="X2684" s="276" t="str">
        <f>[1]!S_Info_Name(W2684)</f>
        <v>海科新源</v>
      </c>
      <c r="Y2684" s="276" t="str">
        <f ca="1">IF($Y$3="申万一级行业",[1]!s_info_industry_sw_2021(W2684,公司分析!D$5,1),IF($Y$3="申万二级行业",[1]!s_info_industry_sw_2021(W2684,公司分析!D$5,2),IF($Y$3="申万三级行业",[1]!s_info_industry_sw_2021(W2684,公司分析!D$5,3),IF($Y$3="wind一级行业",[1]!s_info_industry_gics(W2684,1),IF($Y$3="wind二级行业",[1]!s_info_industry_gics(W2684,2),IF($Y$3="wind三级行业",[1]!s_info_industry_gics(W2684,3),IF($Y$3="wind四级行业",[1]!s_info_industry_gics(W2684,4),IF($Y$3="证监会门类行业",[1]!s_info_industry_csrc12_n(W2684,公司分析!D$5,1),""))))))))</f>
        <v>电池</v>
      </c>
      <c r="Z2684" s="302" t="str">
        <f ca="1">IF(Y2684=行业比较!$E$6,ROW(),"")</f>
        <v/>
      </c>
    </row>
    <row r="2685" spans="22:26">
      <c r="V2685" s="260">
        <f t="shared" ca="1" si="49"/>
        <v>0</v>
      </c>
      <c r="W2685" s="348" t="str">
        <f>IF(板块成分!B2687="","",板块成分!B2687)</f>
        <v>301293.SZ</v>
      </c>
      <c r="X2685" s="276" t="str">
        <f>[1]!S_Info_Name(W2685)</f>
        <v>三博脑科</v>
      </c>
      <c r="Y2685" s="276" t="str">
        <f ca="1">IF($Y$3="申万一级行业",[1]!s_info_industry_sw_2021(W2685,公司分析!D$5,1),IF($Y$3="申万二级行业",[1]!s_info_industry_sw_2021(W2685,公司分析!D$5,2),IF($Y$3="申万三级行业",[1]!s_info_industry_sw_2021(W2685,公司分析!D$5,3),IF($Y$3="wind一级行业",[1]!s_info_industry_gics(W2685,1),IF($Y$3="wind二级行业",[1]!s_info_industry_gics(W2685,2),IF($Y$3="wind三级行业",[1]!s_info_industry_gics(W2685,3),IF($Y$3="wind四级行业",[1]!s_info_industry_gics(W2685,4),IF($Y$3="证监会门类行业",[1]!s_info_industry_csrc12_n(W2685,公司分析!D$5,1),""))))))))</f>
        <v>医疗服务</v>
      </c>
      <c r="Z2685" s="302" t="str">
        <f ca="1">IF(Y2685=行业比较!$E$6,ROW(),"")</f>
        <v/>
      </c>
    </row>
    <row r="2686" spans="22:26">
      <c r="V2686" s="260">
        <f t="shared" ca="1" si="49"/>
        <v>0</v>
      </c>
      <c r="W2686" s="348" t="str">
        <f>IF(板块成分!B2688="","",板块成分!B2688)</f>
        <v>301295.SZ</v>
      </c>
      <c r="X2686" s="276" t="str">
        <f>[1]!S_Info_Name(W2686)</f>
        <v>美硕科技</v>
      </c>
      <c r="Y2686" s="276" t="str">
        <f ca="1">IF($Y$3="申万一级行业",[1]!s_info_industry_sw_2021(W2686,公司分析!D$5,1),IF($Y$3="申万二级行业",[1]!s_info_industry_sw_2021(W2686,公司分析!D$5,2),IF($Y$3="申万三级行业",[1]!s_info_industry_sw_2021(W2686,公司分析!D$5,3),IF($Y$3="wind一级行业",[1]!s_info_industry_gics(W2686,1),IF($Y$3="wind二级行业",[1]!s_info_industry_gics(W2686,2),IF($Y$3="wind三级行业",[1]!s_info_industry_gics(W2686,3),IF($Y$3="wind四级行业",[1]!s_info_industry_gics(W2686,4),IF($Y$3="证监会门类行业",[1]!s_info_industry_csrc12_n(W2686,公司分析!D$5,1),""))))))))</f>
        <v>电网设备</v>
      </c>
      <c r="Z2686" s="302" t="str">
        <f ca="1">IF(Y2686=行业比较!$E$6,ROW(),"")</f>
        <v/>
      </c>
    </row>
    <row r="2687" spans="22:26">
      <c r="V2687" s="260">
        <f t="shared" ca="1" si="49"/>
        <v>0</v>
      </c>
      <c r="W2687" s="348" t="str">
        <f>IF(板块成分!B2689="","",板块成分!B2689)</f>
        <v>301296.SZ</v>
      </c>
      <c r="X2687" s="276" t="str">
        <f>[1]!S_Info_Name(W2687)</f>
        <v>新巨丰</v>
      </c>
      <c r="Y2687" s="276" t="str">
        <f ca="1">IF($Y$3="申万一级行业",[1]!s_info_industry_sw_2021(W2687,公司分析!D$5,1),IF($Y$3="申万二级行业",[1]!s_info_industry_sw_2021(W2687,公司分析!D$5,2),IF($Y$3="申万三级行业",[1]!s_info_industry_sw_2021(W2687,公司分析!D$5,3),IF($Y$3="wind一级行业",[1]!s_info_industry_gics(W2687,1),IF($Y$3="wind二级行业",[1]!s_info_industry_gics(W2687,2),IF($Y$3="wind三级行业",[1]!s_info_industry_gics(W2687,3),IF($Y$3="wind四级行业",[1]!s_info_industry_gics(W2687,4),IF($Y$3="证监会门类行业",[1]!s_info_industry_csrc12_n(W2687,公司分析!D$5,1),""))))))))</f>
        <v>包装印刷</v>
      </c>
      <c r="Z2687" s="302" t="str">
        <f ca="1">IF(Y2687=行业比较!$E$6,ROW(),"")</f>
        <v/>
      </c>
    </row>
    <row r="2688" spans="22:26">
      <c r="V2688" s="260">
        <f t="shared" ca="1" si="49"/>
        <v>0</v>
      </c>
      <c r="W2688" s="348" t="str">
        <f>IF(板块成分!B2690="","",板块成分!B2690)</f>
        <v>301297.SZ</v>
      </c>
      <c r="X2688" s="276" t="str">
        <f>[1]!S_Info_Name(W2688)</f>
        <v>富乐德</v>
      </c>
      <c r="Y2688" s="276" t="str">
        <f ca="1">IF($Y$3="申万一级行业",[1]!s_info_industry_sw_2021(W2688,公司分析!D$5,1),IF($Y$3="申万二级行业",[1]!s_info_industry_sw_2021(W2688,公司分析!D$5,2),IF($Y$3="申万三级行业",[1]!s_info_industry_sw_2021(W2688,公司分析!D$5,3),IF($Y$3="wind一级行业",[1]!s_info_industry_gics(W2688,1),IF($Y$3="wind二级行业",[1]!s_info_industry_gics(W2688,2),IF($Y$3="wind三级行业",[1]!s_info_industry_gics(W2688,3),IF($Y$3="wind四级行业",[1]!s_info_industry_gics(W2688,4),IF($Y$3="证监会门类行业",[1]!s_info_industry_csrc12_n(W2688,公司分析!D$5,1),""))))))))</f>
        <v>半导体</v>
      </c>
      <c r="Z2688" s="302" t="str">
        <f ca="1">IF(Y2688=行业比较!$E$6,ROW(),"")</f>
        <v/>
      </c>
    </row>
    <row r="2689" spans="22:26">
      <c r="V2689" s="260">
        <f t="shared" ca="1" si="49"/>
        <v>0</v>
      </c>
      <c r="W2689" s="348" t="str">
        <f>IF(板块成分!B2691="","",板块成分!B2691)</f>
        <v>301298.SZ</v>
      </c>
      <c r="X2689" s="276" t="str">
        <f>[1]!S_Info_Name(W2689)</f>
        <v>东利机械</v>
      </c>
      <c r="Y2689" s="276" t="str">
        <f ca="1">IF($Y$3="申万一级行业",[1]!s_info_industry_sw_2021(W2689,公司分析!D$5,1),IF($Y$3="申万二级行业",[1]!s_info_industry_sw_2021(W2689,公司分析!D$5,2),IF($Y$3="申万三级行业",[1]!s_info_industry_sw_2021(W2689,公司分析!D$5,3),IF($Y$3="wind一级行业",[1]!s_info_industry_gics(W2689,1),IF($Y$3="wind二级行业",[1]!s_info_industry_gics(W2689,2),IF($Y$3="wind三级行业",[1]!s_info_industry_gics(W2689,3),IF($Y$3="wind四级行业",[1]!s_info_industry_gics(W2689,4),IF($Y$3="证监会门类行业",[1]!s_info_industry_csrc12_n(W2689,公司分析!D$5,1),""))))))))</f>
        <v>汽车零部件</v>
      </c>
      <c r="Z2689" s="302" t="str">
        <f ca="1">IF(Y2689=行业比较!$E$6,ROW(),"")</f>
        <v/>
      </c>
    </row>
    <row r="2690" spans="22:26">
      <c r="V2690" s="260">
        <f t="shared" ca="1" si="49"/>
        <v>0</v>
      </c>
      <c r="W2690" s="348" t="str">
        <f>IF(板块成分!B2692="","",板块成分!B2692)</f>
        <v>301299.SZ</v>
      </c>
      <c r="X2690" s="276" t="str">
        <f>[1]!S_Info_Name(W2690)</f>
        <v>卓创资讯</v>
      </c>
      <c r="Y2690" s="276" t="str">
        <f ca="1">IF($Y$3="申万一级行业",[1]!s_info_industry_sw_2021(W2690,公司分析!D$5,1),IF($Y$3="申万二级行业",[1]!s_info_industry_sw_2021(W2690,公司分析!D$5,2),IF($Y$3="申万三级行业",[1]!s_info_industry_sw_2021(W2690,公司分析!D$5,3),IF($Y$3="wind一级行业",[1]!s_info_industry_gics(W2690,1),IF($Y$3="wind二级行业",[1]!s_info_industry_gics(W2690,2),IF($Y$3="wind三级行业",[1]!s_info_industry_gics(W2690,3),IF($Y$3="wind四级行业",[1]!s_info_industry_gics(W2690,4),IF($Y$3="证监会门类行业",[1]!s_info_industry_csrc12_n(W2690,公司分析!D$5,1),""))))))))</f>
        <v>数字媒体</v>
      </c>
      <c r="Z2690" s="302" t="str">
        <f ca="1">IF(Y2690=行业比较!$E$6,ROW(),"")</f>
        <v/>
      </c>
    </row>
    <row r="2691" spans="22:26">
      <c r="V2691" s="260">
        <f t="shared" ca="1" si="49"/>
        <v>0</v>
      </c>
      <c r="W2691" s="348" t="str">
        <f>IF(板块成分!B2693="","",板块成分!B2693)</f>
        <v>301300.SZ</v>
      </c>
      <c r="X2691" s="276" t="str">
        <f>[1]!S_Info_Name(W2691)</f>
        <v>远翔新材</v>
      </c>
      <c r="Y2691" s="276" t="str">
        <f ca="1">IF($Y$3="申万一级行业",[1]!s_info_industry_sw_2021(W2691,公司分析!D$5,1),IF($Y$3="申万二级行业",[1]!s_info_industry_sw_2021(W2691,公司分析!D$5,2),IF($Y$3="申万三级行业",[1]!s_info_industry_sw_2021(W2691,公司分析!D$5,3),IF($Y$3="wind一级行业",[1]!s_info_industry_gics(W2691,1),IF($Y$3="wind二级行业",[1]!s_info_industry_gics(W2691,2),IF($Y$3="wind三级行业",[1]!s_info_industry_gics(W2691,3),IF($Y$3="wind四级行业",[1]!s_info_industry_gics(W2691,4),IF($Y$3="证监会门类行业",[1]!s_info_industry_csrc12_n(W2691,公司分析!D$5,1),""))))))))</f>
        <v>橡胶</v>
      </c>
      <c r="Z2691" s="302" t="str">
        <f ca="1">IF(Y2691=行业比较!$E$6,ROW(),"")</f>
        <v/>
      </c>
    </row>
    <row r="2692" spans="22:26">
      <c r="V2692" s="260">
        <f t="shared" ca="1" si="49"/>
        <v>0</v>
      </c>
      <c r="W2692" s="348" t="str">
        <f>IF(板块成分!B2694="","",板块成分!B2694)</f>
        <v>301301.SZ</v>
      </c>
      <c r="X2692" s="276" t="str">
        <f>[1]!S_Info_Name(W2692)</f>
        <v>川宁生物</v>
      </c>
      <c r="Y2692" s="276" t="str">
        <f ca="1">IF($Y$3="申万一级行业",[1]!s_info_industry_sw_2021(W2692,公司分析!D$5,1),IF($Y$3="申万二级行业",[1]!s_info_industry_sw_2021(W2692,公司分析!D$5,2),IF($Y$3="申万三级行业",[1]!s_info_industry_sw_2021(W2692,公司分析!D$5,3),IF($Y$3="wind一级行业",[1]!s_info_industry_gics(W2692,1),IF($Y$3="wind二级行业",[1]!s_info_industry_gics(W2692,2),IF($Y$3="wind三级行业",[1]!s_info_industry_gics(W2692,3),IF($Y$3="wind四级行业",[1]!s_info_industry_gics(W2692,4),IF($Y$3="证监会门类行业",[1]!s_info_industry_csrc12_n(W2692,公司分析!D$5,1),""))))))))</f>
        <v>化学制药</v>
      </c>
      <c r="Z2692" s="302" t="str">
        <f ca="1">IF(Y2692=行业比较!$E$6,ROW(),"")</f>
        <v/>
      </c>
    </row>
    <row r="2693" spans="22:26">
      <c r="V2693" s="260">
        <f t="shared" ref="V2693:V2756" ca="1" si="50">IF(Z2693="",0,RANK(Z2693,Z:Z,1))</f>
        <v>0</v>
      </c>
      <c r="W2693" s="348" t="str">
        <f>IF(板块成分!B2695="","",板块成分!B2695)</f>
        <v>301302.SZ</v>
      </c>
      <c r="X2693" s="276" t="str">
        <f>[1]!S_Info_Name(W2693)</f>
        <v>华如科技</v>
      </c>
      <c r="Y2693" s="276" t="str">
        <f ca="1">IF($Y$3="申万一级行业",[1]!s_info_industry_sw_2021(W2693,公司分析!D$5,1),IF($Y$3="申万二级行业",[1]!s_info_industry_sw_2021(W2693,公司分析!D$5,2),IF($Y$3="申万三级行业",[1]!s_info_industry_sw_2021(W2693,公司分析!D$5,3),IF($Y$3="wind一级行业",[1]!s_info_industry_gics(W2693,1),IF($Y$3="wind二级行业",[1]!s_info_industry_gics(W2693,2),IF($Y$3="wind三级行业",[1]!s_info_industry_gics(W2693,3),IF($Y$3="wind四级行业",[1]!s_info_industry_gics(W2693,4),IF($Y$3="证监会门类行业",[1]!s_info_industry_csrc12_n(W2693,公司分析!D$5,1),""))))))))</f>
        <v>军工电子Ⅱ</v>
      </c>
      <c r="Z2693" s="302" t="str">
        <f ca="1">IF(Y2693=行业比较!$E$6,ROW(),"")</f>
        <v/>
      </c>
    </row>
    <row r="2694" spans="22:26">
      <c r="V2694" s="260">
        <f t="shared" ca="1" si="50"/>
        <v>0</v>
      </c>
      <c r="W2694" s="348" t="str">
        <f>IF(板块成分!B2696="","",板块成分!B2696)</f>
        <v>301303.SZ</v>
      </c>
      <c r="X2694" s="276" t="str">
        <f>[1]!S_Info_Name(W2694)</f>
        <v>真兰仪表</v>
      </c>
      <c r="Y2694" s="276" t="str">
        <f ca="1">IF($Y$3="申万一级行业",[1]!s_info_industry_sw_2021(W2694,公司分析!D$5,1),IF($Y$3="申万二级行业",[1]!s_info_industry_sw_2021(W2694,公司分析!D$5,2),IF($Y$3="申万三级行业",[1]!s_info_industry_sw_2021(W2694,公司分析!D$5,3),IF($Y$3="wind一级行业",[1]!s_info_industry_gics(W2694,1),IF($Y$3="wind二级行业",[1]!s_info_industry_gics(W2694,2),IF($Y$3="wind三级行业",[1]!s_info_industry_gics(W2694,3),IF($Y$3="wind四级行业",[1]!s_info_industry_gics(W2694,4),IF($Y$3="证监会门类行业",[1]!s_info_industry_csrc12_n(W2694,公司分析!D$5,1),""))))))))</f>
        <v>通用设备</v>
      </c>
      <c r="Z2694" s="302" t="str">
        <f ca="1">IF(Y2694=行业比较!$E$6,ROW(),"")</f>
        <v/>
      </c>
    </row>
    <row r="2695" spans="22:26">
      <c r="V2695" s="260">
        <f t="shared" ca="1" si="50"/>
        <v>0</v>
      </c>
      <c r="W2695" s="348" t="str">
        <f>IF(板块成分!B2697="","",板块成分!B2697)</f>
        <v>301305.SZ</v>
      </c>
      <c r="X2695" s="276" t="str">
        <f>[1]!S_Info_Name(W2695)</f>
        <v>朗坤科技</v>
      </c>
      <c r="Y2695" s="276" t="str">
        <f ca="1">IF($Y$3="申万一级行业",[1]!s_info_industry_sw_2021(W2695,公司分析!D$5,1),IF($Y$3="申万二级行业",[1]!s_info_industry_sw_2021(W2695,公司分析!D$5,2),IF($Y$3="申万三级行业",[1]!s_info_industry_sw_2021(W2695,公司分析!D$5,3),IF($Y$3="wind一级行业",[1]!s_info_industry_gics(W2695,1),IF($Y$3="wind二级行业",[1]!s_info_industry_gics(W2695,2),IF($Y$3="wind三级行业",[1]!s_info_industry_gics(W2695,3),IF($Y$3="wind四级行业",[1]!s_info_industry_gics(W2695,4),IF($Y$3="证监会门类行业",[1]!s_info_industry_csrc12_n(W2695,公司分析!D$5,1),""))))))))</f>
        <v>环境治理</v>
      </c>
      <c r="Z2695" s="302" t="str">
        <f ca="1">IF(Y2695=行业比较!$E$6,ROW(),"")</f>
        <v/>
      </c>
    </row>
    <row r="2696" spans="22:26">
      <c r="V2696" s="260">
        <f t="shared" ca="1" si="50"/>
        <v>0</v>
      </c>
      <c r="W2696" s="348" t="str">
        <f>IF(板块成分!B2698="","",板块成分!B2698)</f>
        <v>301306.SZ</v>
      </c>
      <c r="X2696" s="276" t="str">
        <f>[1]!S_Info_Name(W2696)</f>
        <v>西测测试</v>
      </c>
      <c r="Y2696" s="276" t="str">
        <f ca="1">IF($Y$3="申万一级行业",[1]!s_info_industry_sw_2021(W2696,公司分析!D$5,1),IF($Y$3="申万二级行业",[1]!s_info_industry_sw_2021(W2696,公司分析!D$5,2),IF($Y$3="申万三级行业",[1]!s_info_industry_sw_2021(W2696,公司分析!D$5,3),IF($Y$3="wind一级行业",[1]!s_info_industry_gics(W2696,1),IF($Y$3="wind二级行业",[1]!s_info_industry_gics(W2696,2),IF($Y$3="wind三级行业",[1]!s_info_industry_gics(W2696,3),IF($Y$3="wind四级行业",[1]!s_info_industry_gics(W2696,4),IF($Y$3="证监会门类行业",[1]!s_info_industry_csrc12_n(W2696,公司分析!D$5,1),""))))))))</f>
        <v>军工电子Ⅱ</v>
      </c>
      <c r="Z2696" s="302" t="str">
        <f ca="1">IF(Y2696=行业比较!$E$6,ROW(),"")</f>
        <v/>
      </c>
    </row>
    <row r="2697" spans="22:26">
      <c r="V2697" s="260">
        <f t="shared" ca="1" si="50"/>
        <v>0</v>
      </c>
      <c r="W2697" s="348" t="str">
        <f>IF(板块成分!B2699="","",板块成分!B2699)</f>
        <v>301307.SZ</v>
      </c>
      <c r="X2697" s="276" t="str">
        <f>[1]!S_Info_Name(W2697)</f>
        <v>美利信</v>
      </c>
      <c r="Y2697" s="276" t="str">
        <f ca="1">IF($Y$3="申万一级行业",[1]!s_info_industry_sw_2021(W2697,公司分析!D$5,1),IF($Y$3="申万二级行业",[1]!s_info_industry_sw_2021(W2697,公司分析!D$5,2),IF($Y$3="申万三级行业",[1]!s_info_industry_sw_2021(W2697,公司分析!D$5,3),IF($Y$3="wind一级行业",[1]!s_info_industry_gics(W2697,1),IF($Y$3="wind二级行业",[1]!s_info_industry_gics(W2697,2),IF($Y$3="wind三级行业",[1]!s_info_industry_gics(W2697,3),IF($Y$3="wind四级行业",[1]!s_info_industry_gics(W2697,4),IF($Y$3="证监会门类行业",[1]!s_info_industry_csrc12_n(W2697,公司分析!D$5,1),""))))))))</f>
        <v>通信设备</v>
      </c>
      <c r="Z2697" s="302" t="str">
        <f ca="1">IF(Y2697=行业比较!$E$6,ROW(),"")</f>
        <v/>
      </c>
    </row>
    <row r="2698" spans="22:26">
      <c r="V2698" s="260">
        <f t="shared" ca="1" si="50"/>
        <v>0</v>
      </c>
      <c r="W2698" s="348" t="str">
        <f>IF(板块成分!B2700="","",板块成分!B2700)</f>
        <v>301308.SZ</v>
      </c>
      <c r="X2698" s="276" t="str">
        <f>[1]!S_Info_Name(W2698)</f>
        <v>江波龙</v>
      </c>
      <c r="Y2698" s="276" t="str">
        <f ca="1">IF($Y$3="申万一级行业",[1]!s_info_industry_sw_2021(W2698,公司分析!D$5,1),IF($Y$3="申万二级行业",[1]!s_info_industry_sw_2021(W2698,公司分析!D$5,2),IF($Y$3="申万三级行业",[1]!s_info_industry_sw_2021(W2698,公司分析!D$5,3),IF($Y$3="wind一级行业",[1]!s_info_industry_gics(W2698,1),IF($Y$3="wind二级行业",[1]!s_info_industry_gics(W2698,2),IF($Y$3="wind三级行业",[1]!s_info_industry_gics(W2698,3),IF($Y$3="wind四级行业",[1]!s_info_industry_gics(W2698,4),IF($Y$3="证监会门类行业",[1]!s_info_industry_csrc12_n(W2698,公司分析!D$5,1),""))))))))</f>
        <v>半导体</v>
      </c>
      <c r="Z2698" s="302" t="str">
        <f ca="1">IF(Y2698=行业比较!$E$6,ROW(),"")</f>
        <v/>
      </c>
    </row>
    <row r="2699" spans="22:26">
      <c r="V2699" s="260">
        <f t="shared" ca="1" si="50"/>
        <v>0</v>
      </c>
      <c r="W2699" s="348" t="str">
        <f>IF(板块成分!B2701="","",板块成分!B2701)</f>
        <v>301309.SZ</v>
      </c>
      <c r="X2699" s="276" t="str">
        <f>[1]!S_Info_Name(W2699)</f>
        <v>万得凯</v>
      </c>
      <c r="Y2699" s="276" t="str">
        <f ca="1">IF($Y$3="申万一级行业",[1]!s_info_industry_sw_2021(W2699,公司分析!D$5,1),IF($Y$3="申万二级行业",[1]!s_info_industry_sw_2021(W2699,公司分析!D$5,2),IF($Y$3="申万三级行业",[1]!s_info_industry_sw_2021(W2699,公司分析!D$5,3),IF($Y$3="wind一级行业",[1]!s_info_industry_gics(W2699,1),IF($Y$3="wind二级行业",[1]!s_info_industry_gics(W2699,2),IF($Y$3="wind三级行业",[1]!s_info_industry_gics(W2699,3),IF($Y$3="wind四级行业",[1]!s_info_industry_gics(W2699,4),IF($Y$3="证监会门类行业",[1]!s_info_industry_csrc12_n(W2699,公司分析!D$5,1),""))))))))</f>
        <v>通用设备</v>
      </c>
      <c r="Z2699" s="302" t="str">
        <f ca="1">IF(Y2699=行业比较!$E$6,ROW(),"")</f>
        <v/>
      </c>
    </row>
    <row r="2700" spans="22:26">
      <c r="V2700" s="260">
        <f t="shared" ca="1" si="50"/>
        <v>0</v>
      </c>
      <c r="W2700" s="348" t="str">
        <f>IF(板块成分!B2702="","",板块成分!B2702)</f>
        <v>301310.SZ</v>
      </c>
      <c r="X2700" s="276" t="str">
        <f>[1]!S_Info_Name(W2700)</f>
        <v>鑫宏业</v>
      </c>
      <c r="Y2700" s="276" t="str">
        <f ca="1">IF($Y$3="申万一级行业",[1]!s_info_industry_sw_2021(W2700,公司分析!D$5,1),IF($Y$3="申万二级行业",[1]!s_info_industry_sw_2021(W2700,公司分析!D$5,2),IF($Y$3="申万三级行业",[1]!s_info_industry_sw_2021(W2700,公司分析!D$5,3),IF($Y$3="wind一级行业",[1]!s_info_industry_gics(W2700,1),IF($Y$3="wind二级行业",[1]!s_info_industry_gics(W2700,2),IF($Y$3="wind三级行业",[1]!s_info_industry_gics(W2700,3),IF($Y$3="wind四级行业",[1]!s_info_industry_gics(W2700,4),IF($Y$3="证监会门类行业",[1]!s_info_industry_csrc12_n(W2700,公司分析!D$5,1),""))))))))</f>
        <v>汽车零部件</v>
      </c>
      <c r="Z2700" s="302" t="str">
        <f ca="1">IF(Y2700=行业比较!$E$6,ROW(),"")</f>
        <v/>
      </c>
    </row>
    <row r="2701" spans="22:26">
      <c r="V2701" s="260">
        <f t="shared" ca="1" si="50"/>
        <v>0</v>
      </c>
      <c r="W2701" s="348" t="str">
        <f>IF(板块成分!B2703="","",板块成分!B2703)</f>
        <v>301311.SZ</v>
      </c>
      <c r="X2701" s="276" t="str">
        <f>[1]!S_Info_Name(W2701)</f>
        <v>昆船智能</v>
      </c>
      <c r="Y2701" s="276" t="str">
        <f ca="1">IF($Y$3="申万一级行业",[1]!s_info_industry_sw_2021(W2701,公司分析!D$5,1),IF($Y$3="申万二级行业",[1]!s_info_industry_sw_2021(W2701,公司分析!D$5,2),IF($Y$3="申万三级行业",[1]!s_info_industry_sw_2021(W2701,公司分析!D$5,3),IF($Y$3="wind一级行业",[1]!s_info_industry_gics(W2701,1),IF($Y$3="wind二级行业",[1]!s_info_industry_gics(W2701,2),IF($Y$3="wind三级行业",[1]!s_info_industry_gics(W2701,3),IF($Y$3="wind四级行业",[1]!s_info_industry_gics(W2701,4),IF($Y$3="证监会门类行业",[1]!s_info_industry_csrc12_n(W2701,公司分析!D$5,1),""))))))))</f>
        <v>通用设备</v>
      </c>
      <c r="Z2701" s="302" t="str">
        <f ca="1">IF(Y2701=行业比较!$E$6,ROW(),"")</f>
        <v/>
      </c>
    </row>
    <row r="2702" spans="22:26">
      <c r="V2702" s="260">
        <f t="shared" ca="1" si="50"/>
        <v>0</v>
      </c>
      <c r="W2702" s="348" t="str">
        <f>IF(板块成分!B2704="","",板块成分!B2704)</f>
        <v>301312.SZ</v>
      </c>
      <c r="X2702" s="276" t="str">
        <f>[1]!S_Info_Name(W2702)</f>
        <v>智立方</v>
      </c>
      <c r="Y2702" s="276" t="str">
        <f ca="1">IF($Y$3="申万一级行业",[1]!s_info_industry_sw_2021(W2702,公司分析!D$5,1),IF($Y$3="申万二级行业",[1]!s_info_industry_sw_2021(W2702,公司分析!D$5,2),IF($Y$3="申万三级行业",[1]!s_info_industry_sw_2021(W2702,公司分析!D$5,3),IF($Y$3="wind一级行业",[1]!s_info_industry_gics(W2702,1),IF($Y$3="wind二级行业",[1]!s_info_industry_gics(W2702,2),IF($Y$3="wind三级行业",[1]!s_info_industry_gics(W2702,3),IF($Y$3="wind四级行业",[1]!s_info_industry_gics(W2702,4),IF($Y$3="证监会门类行业",[1]!s_info_industry_csrc12_n(W2702,公司分析!D$5,1),""))))))))</f>
        <v>自动化设备</v>
      </c>
      <c r="Z2702" s="302" t="str">
        <f ca="1">IF(Y2702=行业比较!$E$6,ROW(),"")</f>
        <v/>
      </c>
    </row>
    <row r="2703" spans="22:26">
      <c r="V2703" s="260">
        <f t="shared" ca="1" si="50"/>
        <v>0</v>
      </c>
      <c r="W2703" s="348" t="str">
        <f>IF(板块成分!B2705="","",板块成分!B2705)</f>
        <v>301313.SZ</v>
      </c>
      <c r="X2703" s="276" t="str">
        <f>[1]!S_Info_Name(W2703)</f>
        <v>凡拓数创</v>
      </c>
      <c r="Y2703" s="276" t="str">
        <f ca="1">IF($Y$3="申万一级行业",[1]!s_info_industry_sw_2021(W2703,公司分析!D$5,1),IF($Y$3="申万二级行业",[1]!s_info_industry_sw_2021(W2703,公司分析!D$5,2),IF($Y$3="申万三级行业",[1]!s_info_industry_sw_2021(W2703,公司分析!D$5,3),IF($Y$3="wind一级行业",[1]!s_info_industry_gics(W2703,1),IF($Y$3="wind二级行业",[1]!s_info_industry_gics(W2703,2),IF($Y$3="wind三级行业",[1]!s_info_industry_gics(W2703,3),IF($Y$3="wind四级行业",[1]!s_info_industry_gics(W2703,4),IF($Y$3="证监会门类行业",[1]!s_info_industry_csrc12_n(W2703,公司分析!D$5,1),""))))))))</f>
        <v>数字媒体</v>
      </c>
      <c r="Z2703" s="302" t="str">
        <f ca="1">IF(Y2703=行业比较!$E$6,ROW(),"")</f>
        <v/>
      </c>
    </row>
    <row r="2704" spans="22:26">
      <c r="V2704" s="260">
        <f t="shared" ca="1" si="50"/>
        <v>0</v>
      </c>
      <c r="W2704" s="348" t="str">
        <f>IF(板块成分!B2706="","",板块成分!B2706)</f>
        <v>301314.SZ</v>
      </c>
      <c r="X2704" s="276" t="str">
        <f>[1]!S_Info_Name(W2704)</f>
        <v>科瑞思</v>
      </c>
      <c r="Y2704" s="276" t="str">
        <f ca="1">IF($Y$3="申万一级行业",[1]!s_info_industry_sw_2021(W2704,公司分析!D$5,1),IF($Y$3="申万二级行业",[1]!s_info_industry_sw_2021(W2704,公司分析!D$5,2),IF($Y$3="申万三级行业",[1]!s_info_industry_sw_2021(W2704,公司分析!D$5,3),IF($Y$3="wind一级行业",[1]!s_info_industry_gics(W2704,1),IF($Y$3="wind二级行业",[1]!s_info_industry_gics(W2704,2),IF($Y$3="wind三级行业",[1]!s_info_industry_gics(W2704,3),IF($Y$3="wind四级行业",[1]!s_info_industry_gics(W2704,4),IF($Y$3="证监会门类行业",[1]!s_info_industry_csrc12_n(W2704,公司分析!D$5,1),""))))))))</f>
        <v>通信设备</v>
      </c>
      <c r="Z2704" s="302" t="str">
        <f ca="1">IF(Y2704=行业比较!$E$6,ROW(),"")</f>
        <v/>
      </c>
    </row>
    <row r="2705" spans="22:26">
      <c r="V2705" s="260">
        <f t="shared" ca="1" si="50"/>
        <v>0</v>
      </c>
      <c r="W2705" s="348" t="str">
        <f>IF(板块成分!B2707="","",板块成分!B2707)</f>
        <v>301315.SZ</v>
      </c>
      <c r="X2705" s="276" t="str">
        <f>[1]!S_Info_Name(W2705)</f>
        <v>威士顿</v>
      </c>
      <c r="Y2705" s="276" t="str">
        <f ca="1">IF($Y$3="申万一级行业",[1]!s_info_industry_sw_2021(W2705,公司分析!D$5,1),IF($Y$3="申万二级行业",[1]!s_info_industry_sw_2021(W2705,公司分析!D$5,2),IF($Y$3="申万三级行业",[1]!s_info_industry_sw_2021(W2705,公司分析!D$5,3),IF($Y$3="wind一级行业",[1]!s_info_industry_gics(W2705,1),IF($Y$3="wind二级行业",[1]!s_info_industry_gics(W2705,2),IF($Y$3="wind三级行业",[1]!s_info_industry_gics(W2705,3),IF($Y$3="wind四级行业",[1]!s_info_industry_gics(W2705,4),IF($Y$3="证监会门类行业",[1]!s_info_industry_csrc12_n(W2705,公司分析!D$5,1),""))))))))</f>
        <v>软件开发</v>
      </c>
      <c r="Z2705" s="302" t="str">
        <f ca="1">IF(Y2705=行业比较!$E$6,ROW(),"")</f>
        <v/>
      </c>
    </row>
    <row r="2706" spans="22:26">
      <c r="V2706" s="260">
        <f t="shared" ca="1" si="50"/>
        <v>0</v>
      </c>
      <c r="W2706" s="348" t="str">
        <f>IF(板块成分!B2708="","",板块成分!B2708)</f>
        <v>301316.SZ</v>
      </c>
      <c r="X2706" s="276" t="str">
        <f>[1]!S_Info_Name(W2706)</f>
        <v>慧博云通</v>
      </c>
      <c r="Y2706" s="276" t="str">
        <f ca="1">IF($Y$3="申万一级行业",[1]!s_info_industry_sw_2021(W2706,公司分析!D$5,1),IF($Y$3="申万二级行业",[1]!s_info_industry_sw_2021(W2706,公司分析!D$5,2),IF($Y$3="申万三级行业",[1]!s_info_industry_sw_2021(W2706,公司分析!D$5,3),IF($Y$3="wind一级行业",[1]!s_info_industry_gics(W2706,1),IF($Y$3="wind二级行业",[1]!s_info_industry_gics(W2706,2),IF($Y$3="wind三级行业",[1]!s_info_industry_gics(W2706,3),IF($Y$3="wind四级行业",[1]!s_info_industry_gics(W2706,4),IF($Y$3="证监会门类行业",[1]!s_info_industry_csrc12_n(W2706,公司分析!D$5,1),""))))))))</f>
        <v>IT服务Ⅱ</v>
      </c>
      <c r="Z2706" s="302" t="str">
        <f ca="1">IF(Y2706=行业比较!$E$6,ROW(),"")</f>
        <v/>
      </c>
    </row>
    <row r="2707" spans="22:26">
      <c r="V2707" s="260">
        <f t="shared" ca="1" si="50"/>
        <v>0</v>
      </c>
      <c r="W2707" s="348" t="str">
        <f>IF(板块成分!B2709="","",板块成分!B2709)</f>
        <v>301317.SZ</v>
      </c>
      <c r="X2707" s="276" t="str">
        <f>[1]!S_Info_Name(W2707)</f>
        <v>鑫磊股份</v>
      </c>
      <c r="Y2707" s="276" t="str">
        <f ca="1">IF($Y$3="申万一级行业",[1]!s_info_industry_sw_2021(W2707,公司分析!D$5,1),IF($Y$3="申万二级行业",[1]!s_info_industry_sw_2021(W2707,公司分析!D$5,2),IF($Y$3="申万三级行业",[1]!s_info_industry_sw_2021(W2707,公司分析!D$5,3),IF($Y$3="wind一级行业",[1]!s_info_industry_gics(W2707,1),IF($Y$3="wind二级行业",[1]!s_info_industry_gics(W2707,2),IF($Y$3="wind三级行业",[1]!s_info_industry_gics(W2707,3),IF($Y$3="wind四级行业",[1]!s_info_industry_gics(W2707,4),IF($Y$3="证监会门类行业",[1]!s_info_industry_csrc12_n(W2707,公司分析!D$5,1),""))))))))</f>
        <v>通用设备</v>
      </c>
      <c r="Z2707" s="302" t="str">
        <f ca="1">IF(Y2707=行业比较!$E$6,ROW(),"")</f>
        <v/>
      </c>
    </row>
    <row r="2708" spans="22:26">
      <c r="V2708" s="260">
        <f t="shared" ca="1" si="50"/>
        <v>0</v>
      </c>
      <c r="W2708" s="348" t="str">
        <f>IF(板块成分!B2710="","",板块成分!B2710)</f>
        <v>301318.SZ</v>
      </c>
      <c r="X2708" s="276" t="str">
        <f>[1]!S_Info_Name(W2708)</f>
        <v>维海德</v>
      </c>
      <c r="Y2708" s="276" t="str">
        <f ca="1">IF($Y$3="申万一级行业",[1]!s_info_industry_sw_2021(W2708,公司分析!D$5,1),IF($Y$3="申万二级行业",[1]!s_info_industry_sw_2021(W2708,公司分析!D$5,2),IF($Y$3="申万三级行业",[1]!s_info_industry_sw_2021(W2708,公司分析!D$5,3),IF($Y$3="wind一级行业",[1]!s_info_industry_gics(W2708,1),IF($Y$3="wind二级行业",[1]!s_info_industry_gics(W2708,2),IF($Y$3="wind三级行业",[1]!s_info_industry_gics(W2708,3),IF($Y$3="wind四级行业",[1]!s_info_industry_gics(W2708,4),IF($Y$3="证监会门类行业",[1]!s_info_industry_csrc12_n(W2708,公司分析!D$5,1),""))))))))</f>
        <v>计算机设备</v>
      </c>
      <c r="Z2708" s="302" t="str">
        <f ca="1">IF(Y2708=行业比较!$E$6,ROW(),"")</f>
        <v/>
      </c>
    </row>
    <row r="2709" spans="22:26">
      <c r="V2709" s="260">
        <f t="shared" ca="1" si="50"/>
        <v>0</v>
      </c>
      <c r="W2709" s="348" t="str">
        <f>IF(板块成分!B2711="","",板块成分!B2711)</f>
        <v>301319.SZ</v>
      </c>
      <c r="X2709" s="276" t="str">
        <f>[1]!S_Info_Name(W2709)</f>
        <v>唯特偶</v>
      </c>
      <c r="Y2709" s="276" t="str">
        <f ca="1">IF($Y$3="申万一级行业",[1]!s_info_industry_sw_2021(W2709,公司分析!D$5,1),IF($Y$3="申万二级行业",[1]!s_info_industry_sw_2021(W2709,公司分析!D$5,2),IF($Y$3="申万三级行业",[1]!s_info_industry_sw_2021(W2709,公司分析!D$5,3),IF($Y$3="wind一级行业",[1]!s_info_industry_gics(W2709,1),IF($Y$3="wind二级行业",[1]!s_info_industry_gics(W2709,2),IF($Y$3="wind三级行业",[1]!s_info_industry_gics(W2709,3),IF($Y$3="wind四级行业",[1]!s_info_industry_gics(W2709,4),IF($Y$3="证监会门类行业",[1]!s_info_industry_csrc12_n(W2709,公司分析!D$5,1),""))))))))</f>
        <v>电子化学品Ⅱ</v>
      </c>
      <c r="Z2709" s="302" t="str">
        <f ca="1">IF(Y2709=行业比较!$E$6,ROW(),"")</f>
        <v/>
      </c>
    </row>
    <row r="2710" spans="22:26">
      <c r="V2710" s="260">
        <f t="shared" ca="1" si="50"/>
        <v>0</v>
      </c>
      <c r="W2710" s="348" t="str">
        <f>IF(板块成分!B2712="","",板块成分!B2712)</f>
        <v>301320.SZ</v>
      </c>
      <c r="X2710" s="276" t="str">
        <f>[1]!S_Info_Name(W2710)</f>
        <v>豪江智能</v>
      </c>
      <c r="Y2710" s="276" t="str">
        <f ca="1">IF($Y$3="申万一级行业",[1]!s_info_industry_sw_2021(W2710,公司分析!D$5,1),IF($Y$3="申万二级行业",[1]!s_info_industry_sw_2021(W2710,公司分析!D$5,2),IF($Y$3="申万三级行业",[1]!s_info_industry_sw_2021(W2710,公司分析!D$5,3),IF($Y$3="wind一级行业",[1]!s_info_industry_gics(W2710,1),IF($Y$3="wind二级行业",[1]!s_info_industry_gics(W2710,2),IF($Y$3="wind三级行业",[1]!s_info_industry_gics(W2710,3),IF($Y$3="wind四级行业",[1]!s_info_industry_gics(W2710,4),IF($Y$3="证监会门类行业",[1]!s_info_industry_csrc12_n(W2710,公司分析!D$5,1),""))))))))</f>
        <v>自动化设备</v>
      </c>
      <c r="Z2710" s="302" t="str">
        <f ca="1">IF(Y2710=行业比较!$E$6,ROW(),"")</f>
        <v/>
      </c>
    </row>
    <row r="2711" spans="22:26">
      <c r="V2711" s="260">
        <f t="shared" ca="1" si="50"/>
        <v>0</v>
      </c>
      <c r="W2711" s="348" t="str">
        <f>IF(板块成分!B2713="","",板块成分!B2713)</f>
        <v>301321.SZ</v>
      </c>
      <c r="X2711" s="276" t="str">
        <f>[1]!S_Info_Name(W2711)</f>
        <v>翰博高新</v>
      </c>
      <c r="Y2711" s="276" t="str">
        <f ca="1">IF($Y$3="申万一级行业",[1]!s_info_industry_sw_2021(W2711,公司分析!D$5,1),IF($Y$3="申万二级行业",[1]!s_info_industry_sw_2021(W2711,公司分析!D$5,2),IF($Y$3="申万三级行业",[1]!s_info_industry_sw_2021(W2711,公司分析!D$5,3),IF($Y$3="wind一级行业",[1]!s_info_industry_gics(W2711,1),IF($Y$3="wind二级行业",[1]!s_info_industry_gics(W2711,2),IF($Y$3="wind三级行业",[1]!s_info_industry_gics(W2711,3),IF($Y$3="wind四级行业",[1]!s_info_industry_gics(W2711,4),IF($Y$3="证监会门类行业",[1]!s_info_industry_csrc12_n(W2711,公司分析!D$5,1),""))))))))</f>
        <v>光学光电子</v>
      </c>
      <c r="Z2711" s="302" t="str">
        <f ca="1">IF(Y2711=行业比较!$E$6,ROW(),"")</f>
        <v/>
      </c>
    </row>
    <row r="2712" spans="22:26">
      <c r="V2712" s="260">
        <f t="shared" ca="1" si="50"/>
        <v>0</v>
      </c>
      <c r="W2712" s="348" t="str">
        <f>IF(板块成分!B2714="","",板块成分!B2714)</f>
        <v>301322.SZ</v>
      </c>
      <c r="X2712" s="276" t="str">
        <f>[1]!S_Info_Name(W2712)</f>
        <v>绿通科技</v>
      </c>
      <c r="Y2712" s="276" t="str">
        <f ca="1">IF($Y$3="申万一级行业",[1]!s_info_industry_sw_2021(W2712,公司分析!D$5,1),IF($Y$3="申万二级行业",[1]!s_info_industry_sw_2021(W2712,公司分析!D$5,2),IF($Y$3="申万三级行业",[1]!s_info_industry_sw_2021(W2712,公司分析!D$5,3),IF($Y$3="wind一级行业",[1]!s_info_industry_gics(W2712,1),IF($Y$3="wind二级行业",[1]!s_info_industry_gics(W2712,2),IF($Y$3="wind三级行业",[1]!s_info_industry_gics(W2712,3),IF($Y$3="wind四级行业",[1]!s_info_industry_gics(W2712,4),IF($Y$3="证监会门类行业",[1]!s_info_industry_csrc12_n(W2712,公司分析!D$5,1),""))))))))</f>
        <v>摩托车及其他</v>
      </c>
      <c r="Z2712" s="302" t="str">
        <f ca="1">IF(Y2712=行业比较!$E$6,ROW(),"")</f>
        <v/>
      </c>
    </row>
    <row r="2713" spans="22:26">
      <c r="V2713" s="260">
        <f t="shared" ca="1" si="50"/>
        <v>0</v>
      </c>
      <c r="W2713" s="348" t="str">
        <f>IF(板块成分!B2715="","",板块成分!B2715)</f>
        <v>301323.SZ</v>
      </c>
      <c r="X2713" s="276" t="str">
        <f>[1]!S_Info_Name(W2713)</f>
        <v>新莱福</v>
      </c>
      <c r="Y2713" s="276" t="str">
        <f ca="1">IF($Y$3="申万一级行业",[1]!s_info_industry_sw_2021(W2713,公司分析!D$5,1),IF($Y$3="申万二级行业",[1]!s_info_industry_sw_2021(W2713,公司分析!D$5,2),IF($Y$3="申万三级行业",[1]!s_info_industry_sw_2021(W2713,公司分析!D$5,3),IF($Y$3="wind一级行业",[1]!s_info_industry_gics(W2713,1),IF($Y$3="wind二级行业",[1]!s_info_industry_gics(W2713,2),IF($Y$3="wind三级行业",[1]!s_info_industry_gics(W2713,3),IF($Y$3="wind四级行业",[1]!s_info_industry_gics(W2713,4),IF($Y$3="证监会门类行业",[1]!s_info_industry_csrc12_n(W2713,公司分析!D$5,1),""))))))))</f>
        <v>金属新材料</v>
      </c>
      <c r="Z2713" s="302" t="str">
        <f ca="1">IF(Y2713=行业比较!$E$6,ROW(),"")</f>
        <v/>
      </c>
    </row>
    <row r="2714" spans="22:26">
      <c r="V2714" s="260">
        <f t="shared" ca="1" si="50"/>
        <v>0</v>
      </c>
      <c r="W2714" s="348" t="str">
        <f>IF(板块成分!B2716="","",板块成分!B2716)</f>
        <v>301325.SZ</v>
      </c>
      <c r="X2714" s="276" t="str">
        <f>[1]!S_Info_Name(W2714)</f>
        <v>曼恩斯特</v>
      </c>
      <c r="Y2714" s="276" t="str">
        <f ca="1">IF($Y$3="申万一级行业",[1]!s_info_industry_sw_2021(W2714,公司分析!D$5,1),IF($Y$3="申万二级行业",[1]!s_info_industry_sw_2021(W2714,公司分析!D$5,2),IF($Y$3="申万三级行业",[1]!s_info_industry_sw_2021(W2714,公司分析!D$5,3),IF($Y$3="wind一级行业",[1]!s_info_industry_gics(W2714,1),IF($Y$3="wind二级行业",[1]!s_info_industry_gics(W2714,2),IF($Y$3="wind三级行业",[1]!s_info_industry_gics(W2714,3),IF($Y$3="wind四级行业",[1]!s_info_industry_gics(W2714,4),IF($Y$3="证监会门类行业",[1]!s_info_industry_csrc12_n(W2714,公司分析!D$5,1),""))))))))</f>
        <v>电池</v>
      </c>
      <c r="Z2714" s="302" t="str">
        <f ca="1">IF(Y2714=行业比较!$E$6,ROW(),"")</f>
        <v/>
      </c>
    </row>
    <row r="2715" spans="22:26">
      <c r="V2715" s="260">
        <f t="shared" ca="1" si="50"/>
        <v>0</v>
      </c>
      <c r="W2715" s="348" t="str">
        <f>IF(板块成分!B2717="","",板块成分!B2717)</f>
        <v>301326.SZ</v>
      </c>
      <c r="X2715" s="276" t="str">
        <f>[1]!S_Info_Name(W2715)</f>
        <v>捷邦科技</v>
      </c>
      <c r="Y2715" s="276" t="str">
        <f ca="1">IF($Y$3="申万一级行业",[1]!s_info_industry_sw_2021(W2715,公司分析!D$5,1),IF($Y$3="申万二级行业",[1]!s_info_industry_sw_2021(W2715,公司分析!D$5,2),IF($Y$3="申万三级行业",[1]!s_info_industry_sw_2021(W2715,公司分析!D$5,3),IF($Y$3="wind一级行业",[1]!s_info_industry_gics(W2715,1),IF($Y$3="wind二级行业",[1]!s_info_industry_gics(W2715,2),IF($Y$3="wind三级行业",[1]!s_info_industry_gics(W2715,3),IF($Y$3="wind四级行业",[1]!s_info_industry_gics(W2715,4),IF($Y$3="证监会门类行业",[1]!s_info_industry_csrc12_n(W2715,公司分析!D$5,1),""))))))))</f>
        <v>消费电子</v>
      </c>
      <c r="Z2715" s="302" t="str">
        <f ca="1">IF(Y2715=行业比较!$E$6,ROW(),"")</f>
        <v/>
      </c>
    </row>
    <row r="2716" spans="22:26">
      <c r="V2716" s="260">
        <f t="shared" ca="1" si="50"/>
        <v>0</v>
      </c>
      <c r="W2716" s="348" t="str">
        <f>IF(板块成分!B2718="","",板块成分!B2718)</f>
        <v>301327.SZ</v>
      </c>
      <c r="X2716" s="276" t="str">
        <f>[1]!S_Info_Name(W2716)</f>
        <v>华宝新能</v>
      </c>
      <c r="Y2716" s="276" t="str">
        <f ca="1">IF($Y$3="申万一级行业",[1]!s_info_industry_sw_2021(W2716,公司分析!D$5,1),IF($Y$3="申万二级行业",[1]!s_info_industry_sw_2021(W2716,公司分析!D$5,2),IF($Y$3="申万三级行业",[1]!s_info_industry_sw_2021(W2716,公司分析!D$5,3),IF($Y$3="wind一级行业",[1]!s_info_industry_gics(W2716,1),IF($Y$3="wind二级行业",[1]!s_info_industry_gics(W2716,2),IF($Y$3="wind三级行业",[1]!s_info_industry_gics(W2716,3),IF($Y$3="wind四级行业",[1]!s_info_industry_gics(W2716,4),IF($Y$3="证监会门类行业",[1]!s_info_industry_csrc12_n(W2716,公司分析!D$5,1),""))))))))</f>
        <v>电池</v>
      </c>
      <c r="Z2716" s="302" t="str">
        <f ca="1">IF(Y2716=行业比较!$E$6,ROW(),"")</f>
        <v/>
      </c>
    </row>
    <row r="2717" spans="22:26">
      <c r="V2717" s="260">
        <f t="shared" ca="1" si="50"/>
        <v>0</v>
      </c>
      <c r="W2717" s="348" t="str">
        <f>IF(板块成分!B2719="","",板块成分!B2719)</f>
        <v>301328.SZ</v>
      </c>
      <c r="X2717" s="276" t="str">
        <f>[1]!S_Info_Name(W2717)</f>
        <v>维峰电子</v>
      </c>
      <c r="Y2717" s="276" t="str">
        <f ca="1">IF($Y$3="申万一级行业",[1]!s_info_industry_sw_2021(W2717,公司分析!D$5,1),IF($Y$3="申万二级行业",[1]!s_info_industry_sw_2021(W2717,公司分析!D$5,2),IF($Y$3="申万三级行业",[1]!s_info_industry_sw_2021(W2717,公司分析!D$5,3),IF($Y$3="wind一级行业",[1]!s_info_industry_gics(W2717,1),IF($Y$3="wind二级行业",[1]!s_info_industry_gics(W2717,2),IF($Y$3="wind三级行业",[1]!s_info_industry_gics(W2717,3),IF($Y$3="wind四级行业",[1]!s_info_industry_gics(W2717,4),IF($Y$3="证监会门类行业",[1]!s_info_industry_csrc12_n(W2717,公司分析!D$5,1),""))))))))</f>
        <v>其他电子Ⅱ</v>
      </c>
      <c r="Z2717" s="302" t="str">
        <f ca="1">IF(Y2717=行业比较!$E$6,ROW(),"")</f>
        <v/>
      </c>
    </row>
    <row r="2718" spans="22:26">
      <c r="V2718" s="260">
        <f t="shared" ca="1" si="50"/>
        <v>0</v>
      </c>
      <c r="W2718" s="348" t="str">
        <f>IF(板块成分!B2720="","",板块成分!B2720)</f>
        <v>301329.SZ</v>
      </c>
      <c r="X2718" s="276" t="str">
        <f>[1]!S_Info_Name(W2718)</f>
        <v>信音电子</v>
      </c>
      <c r="Y2718" s="276" t="str">
        <f ca="1">IF($Y$3="申万一级行业",[1]!s_info_industry_sw_2021(W2718,公司分析!D$5,1),IF($Y$3="申万二级行业",[1]!s_info_industry_sw_2021(W2718,公司分析!D$5,2),IF($Y$3="申万三级行业",[1]!s_info_industry_sw_2021(W2718,公司分析!D$5,3),IF($Y$3="wind一级行业",[1]!s_info_industry_gics(W2718,1),IF($Y$3="wind二级行业",[1]!s_info_industry_gics(W2718,2),IF($Y$3="wind三级行业",[1]!s_info_industry_gics(W2718,3),IF($Y$3="wind四级行业",[1]!s_info_industry_gics(W2718,4),IF($Y$3="证监会门类行业",[1]!s_info_industry_csrc12_n(W2718,公司分析!D$5,1),""))))))))</f>
        <v>消费电子</v>
      </c>
      <c r="Z2718" s="302" t="str">
        <f ca="1">IF(Y2718=行业比较!$E$6,ROW(),"")</f>
        <v/>
      </c>
    </row>
    <row r="2719" spans="22:26">
      <c r="V2719" s="260">
        <f t="shared" ca="1" si="50"/>
        <v>0</v>
      </c>
      <c r="W2719" s="348" t="str">
        <f>IF(板块成分!B2721="","",板块成分!B2721)</f>
        <v>301330.SZ</v>
      </c>
      <c r="X2719" s="276" t="str">
        <f>[1]!S_Info_Name(W2719)</f>
        <v>熵基科技</v>
      </c>
      <c r="Y2719" s="276" t="str">
        <f ca="1">IF($Y$3="申万一级行业",[1]!s_info_industry_sw_2021(W2719,公司分析!D$5,1),IF($Y$3="申万二级行业",[1]!s_info_industry_sw_2021(W2719,公司分析!D$5,2),IF($Y$3="申万三级行业",[1]!s_info_industry_sw_2021(W2719,公司分析!D$5,3),IF($Y$3="wind一级行业",[1]!s_info_industry_gics(W2719,1),IF($Y$3="wind二级行业",[1]!s_info_industry_gics(W2719,2),IF($Y$3="wind三级行业",[1]!s_info_industry_gics(W2719,3),IF($Y$3="wind四级行业",[1]!s_info_industry_gics(W2719,4),IF($Y$3="证监会门类行业",[1]!s_info_industry_csrc12_n(W2719,公司分析!D$5,1),""))))))))</f>
        <v>计算机设备</v>
      </c>
      <c r="Z2719" s="302" t="str">
        <f ca="1">IF(Y2719=行业比较!$E$6,ROW(),"")</f>
        <v/>
      </c>
    </row>
    <row r="2720" spans="22:26">
      <c r="V2720" s="260">
        <f t="shared" ca="1" si="50"/>
        <v>0</v>
      </c>
      <c r="W2720" s="348" t="str">
        <f>IF(板块成分!B2722="","",板块成分!B2722)</f>
        <v>301331.SZ</v>
      </c>
      <c r="X2720" s="276" t="str">
        <f>[1]!S_Info_Name(W2720)</f>
        <v>恩威医药</v>
      </c>
      <c r="Y2720" s="276" t="str">
        <f ca="1">IF($Y$3="申万一级行业",[1]!s_info_industry_sw_2021(W2720,公司分析!D$5,1),IF($Y$3="申万二级行业",[1]!s_info_industry_sw_2021(W2720,公司分析!D$5,2),IF($Y$3="申万三级行业",[1]!s_info_industry_sw_2021(W2720,公司分析!D$5,3),IF($Y$3="wind一级行业",[1]!s_info_industry_gics(W2720,1),IF($Y$3="wind二级行业",[1]!s_info_industry_gics(W2720,2),IF($Y$3="wind三级行业",[1]!s_info_industry_gics(W2720,3),IF($Y$3="wind四级行业",[1]!s_info_industry_gics(W2720,4),IF($Y$3="证监会门类行业",[1]!s_info_industry_csrc12_n(W2720,公司分析!D$5,1),""))))))))</f>
        <v>中药Ⅱ</v>
      </c>
      <c r="Z2720" s="302" t="str">
        <f ca="1">IF(Y2720=行业比较!$E$6,ROW(),"")</f>
        <v/>
      </c>
    </row>
    <row r="2721" spans="22:26">
      <c r="V2721" s="260">
        <f t="shared" ca="1" si="50"/>
        <v>0</v>
      </c>
      <c r="W2721" s="348" t="str">
        <f>IF(板块成分!B2723="","",板块成分!B2723)</f>
        <v>301332.SZ</v>
      </c>
      <c r="X2721" s="276" t="str">
        <f>[1]!S_Info_Name(W2721)</f>
        <v>德尔玛</v>
      </c>
      <c r="Y2721" s="276" t="str">
        <f ca="1">IF($Y$3="申万一级行业",[1]!s_info_industry_sw_2021(W2721,公司分析!D$5,1),IF($Y$3="申万二级行业",[1]!s_info_industry_sw_2021(W2721,公司分析!D$5,2),IF($Y$3="申万三级行业",[1]!s_info_industry_sw_2021(W2721,公司分析!D$5,3),IF($Y$3="wind一级行业",[1]!s_info_industry_gics(W2721,1),IF($Y$3="wind二级行业",[1]!s_info_industry_gics(W2721,2),IF($Y$3="wind三级行业",[1]!s_info_industry_gics(W2721,3),IF($Y$3="wind四级行业",[1]!s_info_industry_gics(W2721,4),IF($Y$3="证监会门类行业",[1]!s_info_industry_csrc12_n(W2721,公司分析!D$5,1),""))))))))</f>
        <v>小家电</v>
      </c>
      <c r="Z2721" s="302" t="str">
        <f ca="1">IF(Y2721=行业比较!$E$6,ROW(),"")</f>
        <v/>
      </c>
    </row>
    <row r="2722" spans="22:26">
      <c r="V2722" s="260">
        <f t="shared" ca="1" si="50"/>
        <v>0</v>
      </c>
      <c r="W2722" s="348" t="str">
        <f>IF(板块成分!B2724="","",板块成分!B2724)</f>
        <v>301333.SZ</v>
      </c>
      <c r="X2722" s="276" t="str">
        <f>[1]!S_Info_Name(W2722)</f>
        <v>诺思格</v>
      </c>
      <c r="Y2722" s="276" t="str">
        <f ca="1">IF($Y$3="申万一级行业",[1]!s_info_industry_sw_2021(W2722,公司分析!D$5,1),IF($Y$3="申万二级行业",[1]!s_info_industry_sw_2021(W2722,公司分析!D$5,2),IF($Y$3="申万三级行业",[1]!s_info_industry_sw_2021(W2722,公司分析!D$5,3),IF($Y$3="wind一级行业",[1]!s_info_industry_gics(W2722,1),IF($Y$3="wind二级行业",[1]!s_info_industry_gics(W2722,2),IF($Y$3="wind三级行业",[1]!s_info_industry_gics(W2722,3),IF($Y$3="wind四级行业",[1]!s_info_industry_gics(W2722,4),IF($Y$3="证监会门类行业",[1]!s_info_industry_csrc12_n(W2722,公司分析!D$5,1),""))))))))</f>
        <v>医疗服务</v>
      </c>
      <c r="Z2722" s="302" t="str">
        <f ca="1">IF(Y2722=行业比较!$E$6,ROW(),"")</f>
        <v/>
      </c>
    </row>
    <row r="2723" spans="22:26">
      <c r="V2723" s="260">
        <f t="shared" ca="1" si="50"/>
        <v>0</v>
      </c>
      <c r="W2723" s="348" t="str">
        <f>IF(板块成分!B2725="","",板块成分!B2725)</f>
        <v>301335.SZ</v>
      </c>
      <c r="X2723" s="276" t="str">
        <f>[1]!S_Info_Name(W2723)</f>
        <v>天元宠物</v>
      </c>
      <c r="Y2723" s="276" t="str">
        <f ca="1">IF($Y$3="申万一级行业",[1]!s_info_industry_sw_2021(W2723,公司分析!D$5,1),IF($Y$3="申万二级行业",[1]!s_info_industry_sw_2021(W2723,公司分析!D$5,2),IF($Y$3="申万三级行业",[1]!s_info_industry_sw_2021(W2723,公司分析!D$5,3),IF($Y$3="wind一级行业",[1]!s_info_industry_gics(W2723,1),IF($Y$3="wind二级行业",[1]!s_info_industry_gics(W2723,2),IF($Y$3="wind三级行业",[1]!s_info_industry_gics(W2723,3),IF($Y$3="wind四级行业",[1]!s_info_industry_gics(W2723,4),IF($Y$3="证监会门类行业",[1]!s_info_industry_csrc12_n(W2723,公司分析!D$5,1),""))))))))</f>
        <v>文娱用品</v>
      </c>
      <c r="Z2723" s="302" t="str">
        <f ca="1">IF(Y2723=行业比较!$E$6,ROW(),"")</f>
        <v/>
      </c>
    </row>
    <row r="2724" spans="22:26">
      <c r="V2724" s="260">
        <f t="shared" ca="1" si="50"/>
        <v>0</v>
      </c>
      <c r="W2724" s="348" t="str">
        <f>IF(板块成分!B2726="","",板块成分!B2726)</f>
        <v>301336.SZ</v>
      </c>
      <c r="X2724" s="276" t="str">
        <f>[1]!S_Info_Name(W2724)</f>
        <v>趣睡科技</v>
      </c>
      <c r="Y2724" s="276" t="str">
        <f ca="1">IF($Y$3="申万一级行业",[1]!s_info_industry_sw_2021(W2724,公司分析!D$5,1),IF($Y$3="申万二级行业",[1]!s_info_industry_sw_2021(W2724,公司分析!D$5,2),IF($Y$3="申万三级行业",[1]!s_info_industry_sw_2021(W2724,公司分析!D$5,3),IF($Y$3="wind一级行业",[1]!s_info_industry_gics(W2724,1),IF($Y$3="wind二级行业",[1]!s_info_industry_gics(W2724,2),IF($Y$3="wind三级行业",[1]!s_info_industry_gics(W2724,3),IF($Y$3="wind四级行业",[1]!s_info_industry_gics(W2724,4),IF($Y$3="证监会门类行业",[1]!s_info_industry_csrc12_n(W2724,公司分析!D$5,1),""))))))))</f>
        <v>家居用品</v>
      </c>
      <c r="Z2724" s="302" t="str">
        <f ca="1">IF(Y2724=行业比较!$E$6,ROW(),"")</f>
        <v/>
      </c>
    </row>
    <row r="2725" spans="22:26">
      <c r="V2725" s="260">
        <f t="shared" ca="1" si="50"/>
        <v>0</v>
      </c>
      <c r="W2725" s="348" t="str">
        <f>IF(板块成分!B2727="","",板块成分!B2727)</f>
        <v>301337.SZ</v>
      </c>
      <c r="X2725" s="276" t="str">
        <f>[1]!S_Info_Name(W2725)</f>
        <v>亚华电子</v>
      </c>
      <c r="Y2725" s="276" t="str">
        <f ca="1">IF($Y$3="申万一级行业",[1]!s_info_industry_sw_2021(W2725,公司分析!D$5,1),IF($Y$3="申万二级行业",[1]!s_info_industry_sw_2021(W2725,公司分析!D$5,2),IF($Y$3="申万三级行业",[1]!s_info_industry_sw_2021(W2725,公司分析!D$5,3),IF($Y$3="wind一级行业",[1]!s_info_industry_gics(W2725,1),IF($Y$3="wind二级行业",[1]!s_info_industry_gics(W2725,2),IF($Y$3="wind三级行业",[1]!s_info_industry_gics(W2725,3),IF($Y$3="wind四级行业",[1]!s_info_industry_gics(W2725,4),IF($Y$3="证监会门类行业",[1]!s_info_industry_csrc12_n(W2725,公司分析!D$5,1),""))))))))</f>
        <v>软件开发</v>
      </c>
      <c r="Z2725" s="302" t="str">
        <f ca="1">IF(Y2725=行业比较!$E$6,ROW(),"")</f>
        <v/>
      </c>
    </row>
    <row r="2726" spans="22:26">
      <c r="V2726" s="260">
        <f t="shared" ca="1" si="50"/>
        <v>0</v>
      </c>
      <c r="W2726" s="348" t="str">
        <f>IF(板块成分!B2728="","",板块成分!B2728)</f>
        <v>301338.SZ</v>
      </c>
      <c r="X2726" s="276" t="str">
        <f>[1]!S_Info_Name(W2726)</f>
        <v>凯格精机</v>
      </c>
      <c r="Y2726" s="276" t="str">
        <f ca="1">IF($Y$3="申万一级行业",[1]!s_info_industry_sw_2021(W2726,公司分析!D$5,1),IF($Y$3="申万二级行业",[1]!s_info_industry_sw_2021(W2726,公司分析!D$5,2),IF($Y$3="申万三级行业",[1]!s_info_industry_sw_2021(W2726,公司分析!D$5,3),IF($Y$3="wind一级行业",[1]!s_info_industry_gics(W2726,1),IF($Y$3="wind二级行业",[1]!s_info_industry_gics(W2726,2),IF($Y$3="wind三级行业",[1]!s_info_industry_gics(W2726,3),IF($Y$3="wind四级行业",[1]!s_info_industry_gics(W2726,4),IF($Y$3="证监会门类行业",[1]!s_info_industry_csrc12_n(W2726,公司分析!D$5,1),""))))))))</f>
        <v>专用设备</v>
      </c>
      <c r="Z2726" s="302" t="str">
        <f ca="1">IF(Y2726=行业比较!$E$6,ROW(),"")</f>
        <v/>
      </c>
    </row>
    <row r="2727" spans="22:26">
      <c r="V2727" s="260">
        <f t="shared" ca="1" si="50"/>
        <v>0</v>
      </c>
      <c r="W2727" s="348" t="str">
        <f>IF(板块成分!B2729="","",板块成分!B2729)</f>
        <v>301339.SZ</v>
      </c>
      <c r="X2727" s="276" t="str">
        <f>[1]!S_Info_Name(W2727)</f>
        <v>通行宝</v>
      </c>
      <c r="Y2727" s="276" t="str">
        <f ca="1">IF($Y$3="申万一级行业",[1]!s_info_industry_sw_2021(W2727,公司分析!D$5,1),IF($Y$3="申万二级行业",[1]!s_info_industry_sw_2021(W2727,公司分析!D$5,2),IF($Y$3="申万三级行业",[1]!s_info_industry_sw_2021(W2727,公司分析!D$5,3),IF($Y$3="wind一级行业",[1]!s_info_industry_gics(W2727,1),IF($Y$3="wind二级行业",[1]!s_info_industry_gics(W2727,2),IF($Y$3="wind三级行业",[1]!s_info_industry_gics(W2727,3),IF($Y$3="wind四级行业",[1]!s_info_industry_gics(W2727,4),IF($Y$3="证监会门类行业",[1]!s_info_industry_csrc12_n(W2727,公司分析!D$5,1),""))))))))</f>
        <v>计算机设备</v>
      </c>
      <c r="Z2727" s="302" t="str">
        <f ca="1">IF(Y2727=行业比较!$E$6,ROW(),"")</f>
        <v/>
      </c>
    </row>
    <row r="2728" spans="22:26">
      <c r="V2728" s="260">
        <f t="shared" ca="1" si="50"/>
        <v>0</v>
      </c>
      <c r="W2728" s="348" t="str">
        <f>IF(板块成分!B2730="","",板块成分!B2730)</f>
        <v>301345.SZ</v>
      </c>
      <c r="X2728" s="276" t="str">
        <f>[1]!S_Info_Name(W2728)</f>
        <v>涛涛车业</v>
      </c>
      <c r="Y2728" s="276" t="str">
        <f ca="1">IF($Y$3="申万一级行业",[1]!s_info_industry_sw_2021(W2728,公司分析!D$5,1),IF($Y$3="申万二级行业",[1]!s_info_industry_sw_2021(W2728,公司分析!D$5,2),IF($Y$3="申万三级行业",[1]!s_info_industry_sw_2021(W2728,公司分析!D$5,3),IF($Y$3="wind一级行业",[1]!s_info_industry_gics(W2728,1),IF($Y$3="wind二级行业",[1]!s_info_industry_gics(W2728,2),IF($Y$3="wind三级行业",[1]!s_info_industry_gics(W2728,3),IF($Y$3="wind四级行业",[1]!s_info_industry_gics(W2728,4),IF($Y$3="证监会门类行业",[1]!s_info_industry_csrc12_n(W2728,公司分析!D$5,1),""))))))))</f>
        <v>摩托车及其他</v>
      </c>
      <c r="Z2728" s="302" t="str">
        <f ca="1">IF(Y2728=行业比较!$E$6,ROW(),"")</f>
        <v/>
      </c>
    </row>
    <row r="2729" spans="22:26">
      <c r="V2729" s="260">
        <f t="shared" ca="1" si="50"/>
        <v>0</v>
      </c>
      <c r="W2729" s="348" t="str">
        <f>IF(板块成分!B2731="","",板块成分!B2731)</f>
        <v>301348.SZ</v>
      </c>
      <c r="X2729" s="276" t="str">
        <f>[1]!S_Info_Name(W2729)</f>
        <v>蓝箭电子</v>
      </c>
      <c r="Y2729" s="276" t="str">
        <f ca="1">IF($Y$3="申万一级行业",[1]!s_info_industry_sw_2021(W2729,公司分析!D$5,1),IF($Y$3="申万二级行业",[1]!s_info_industry_sw_2021(W2729,公司分析!D$5,2),IF($Y$3="申万三级行业",[1]!s_info_industry_sw_2021(W2729,公司分析!D$5,3),IF($Y$3="wind一级行业",[1]!s_info_industry_gics(W2729,1),IF($Y$3="wind二级行业",[1]!s_info_industry_gics(W2729,2),IF($Y$3="wind三级行业",[1]!s_info_industry_gics(W2729,3),IF($Y$3="wind四级行业",[1]!s_info_industry_gics(W2729,4),IF($Y$3="证监会门类行业",[1]!s_info_industry_csrc12_n(W2729,公司分析!D$5,1),""))))))))</f>
        <v>半导体</v>
      </c>
      <c r="Z2729" s="302" t="str">
        <f ca="1">IF(Y2729=行业比较!$E$6,ROW(),"")</f>
        <v/>
      </c>
    </row>
    <row r="2730" spans="22:26">
      <c r="V2730" s="260">
        <f t="shared" ca="1" si="50"/>
        <v>0</v>
      </c>
      <c r="W2730" s="348" t="str">
        <f>IF(板块成分!B2732="","",板块成分!B2732)</f>
        <v>301349.SZ</v>
      </c>
      <c r="X2730" s="276" t="str">
        <f>[1]!S_Info_Name(W2730)</f>
        <v>信德新材</v>
      </c>
      <c r="Y2730" s="276" t="str">
        <f ca="1">IF($Y$3="申万一级行业",[1]!s_info_industry_sw_2021(W2730,公司分析!D$5,1),IF($Y$3="申万二级行业",[1]!s_info_industry_sw_2021(W2730,公司分析!D$5,2),IF($Y$3="申万三级行业",[1]!s_info_industry_sw_2021(W2730,公司分析!D$5,3),IF($Y$3="wind一级行业",[1]!s_info_industry_gics(W2730,1),IF($Y$3="wind二级行业",[1]!s_info_industry_gics(W2730,2),IF($Y$3="wind三级行业",[1]!s_info_industry_gics(W2730,3),IF($Y$3="wind四级行业",[1]!s_info_industry_gics(W2730,4),IF($Y$3="证监会门类行业",[1]!s_info_industry_csrc12_n(W2730,公司分析!D$5,1),""))))))))</f>
        <v>电池</v>
      </c>
      <c r="Z2730" s="302" t="str">
        <f ca="1">IF(Y2730=行业比较!$E$6,ROW(),"")</f>
        <v/>
      </c>
    </row>
    <row r="2731" spans="22:26">
      <c r="V2731" s="260">
        <f t="shared" ca="1" si="50"/>
        <v>0</v>
      </c>
      <c r="W2731" s="348" t="str">
        <f>IF(板块成分!B2733="","",板块成分!B2733)</f>
        <v>301353.SZ</v>
      </c>
      <c r="X2731" s="276" t="str">
        <f>[1]!S_Info_Name(W2731)</f>
        <v>普莱得</v>
      </c>
      <c r="Y2731" s="276" t="str">
        <f ca="1">IF($Y$3="申万一级行业",[1]!s_info_industry_sw_2021(W2731,公司分析!D$5,1),IF($Y$3="申万二级行业",[1]!s_info_industry_sw_2021(W2731,公司分析!D$5,2),IF($Y$3="申万三级行业",[1]!s_info_industry_sw_2021(W2731,公司分析!D$5,3),IF($Y$3="wind一级行业",[1]!s_info_industry_gics(W2731,1),IF($Y$3="wind二级行业",[1]!s_info_industry_gics(W2731,2),IF($Y$3="wind三级行业",[1]!s_info_industry_gics(W2731,3),IF($Y$3="wind四级行业",[1]!s_info_industry_gics(W2731,4),IF($Y$3="证监会门类行业",[1]!s_info_industry_csrc12_n(W2731,公司分析!D$5,1),""))))))))</f>
        <v>通用设备</v>
      </c>
      <c r="Z2731" s="302" t="str">
        <f ca="1">IF(Y2731=行业比较!$E$6,ROW(),"")</f>
        <v/>
      </c>
    </row>
    <row r="2732" spans="22:26">
      <c r="V2732" s="260">
        <f t="shared" ca="1" si="50"/>
        <v>0</v>
      </c>
      <c r="W2732" s="348" t="str">
        <f>IF(板块成分!B2734="","",板块成分!B2734)</f>
        <v>301355.SZ</v>
      </c>
      <c r="X2732" s="276" t="str">
        <f>[1]!S_Info_Name(W2732)</f>
        <v>南王科技</v>
      </c>
      <c r="Y2732" s="276" t="str">
        <f ca="1">IF($Y$3="申万一级行业",[1]!s_info_industry_sw_2021(W2732,公司分析!D$5,1),IF($Y$3="申万二级行业",[1]!s_info_industry_sw_2021(W2732,公司分析!D$5,2),IF($Y$3="申万三级行业",[1]!s_info_industry_sw_2021(W2732,公司分析!D$5,3),IF($Y$3="wind一级行业",[1]!s_info_industry_gics(W2732,1),IF($Y$3="wind二级行业",[1]!s_info_industry_gics(W2732,2),IF($Y$3="wind三级行业",[1]!s_info_industry_gics(W2732,3),IF($Y$3="wind四级行业",[1]!s_info_industry_gics(W2732,4),IF($Y$3="证监会门类行业",[1]!s_info_industry_csrc12_n(W2732,公司分析!D$5,1),""))))))))</f>
        <v>包装印刷</v>
      </c>
      <c r="Z2732" s="302" t="str">
        <f ca="1">IF(Y2732=行业比较!$E$6,ROW(),"")</f>
        <v/>
      </c>
    </row>
    <row r="2733" spans="22:26">
      <c r="V2733" s="260">
        <f t="shared" ca="1" si="50"/>
        <v>0</v>
      </c>
      <c r="W2733" s="348" t="str">
        <f>IF(板块成分!B2735="","",板块成分!B2735)</f>
        <v>301356.SZ</v>
      </c>
      <c r="X2733" s="276" t="str">
        <f>[1]!S_Info_Name(W2733)</f>
        <v>天振股份</v>
      </c>
      <c r="Y2733" s="276" t="str">
        <f ca="1">IF($Y$3="申万一级行业",[1]!s_info_industry_sw_2021(W2733,公司分析!D$5,1),IF($Y$3="申万二级行业",[1]!s_info_industry_sw_2021(W2733,公司分析!D$5,2),IF($Y$3="申万三级行业",[1]!s_info_industry_sw_2021(W2733,公司分析!D$5,3),IF($Y$3="wind一级行业",[1]!s_info_industry_gics(W2733,1),IF($Y$3="wind二级行业",[1]!s_info_industry_gics(W2733,2),IF($Y$3="wind三级行业",[1]!s_info_industry_gics(W2733,3),IF($Y$3="wind四级行业",[1]!s_info_industry_gics(W2733,4),IF($Y$3="证监会门类行业",[1]!s_info_industry_csrc12_n(W2733,公司分析!D$5,1),""))))))))</f>
        <v>家居用品</v>
      </c>
      <c r="Z2733" s="302" t="str">
        <f ca="1">IF(Y2733=行业比较!$E$6,ROW(),"")</f>
        <v/>
      </c>
    </row>
    <row r="2734" spans="22:26">
      <c r="V2734" s="260">
        <f t="shared" ca="1" si="50"/>
        <v>0</v>
      </c>
      <c r="W2734" s="348" t="str">
        <f>IF(板块成分!B2736="","",板块成分!B2736)</f>
        <v>301357.SZ</v>
      </c>
      <c r="X2734" s="276" t="str">
        <f>[1]!S_Info_Name(W2734)</f>
        <v>北方长龙</v>
      </c>
      <c r="Y2734" s="276" t="str">
        <f ca="1">IF($Y$3="申万一级行业",[1]!s_info_industry_sw_2021(W2734,公司分析!D$5,1),IF($Y$3="申万二级行业",[1]!s_info_industry_sw_2021(W2734,公司分析!D$5,2),IF($Y$3="申万三级行业",[1]!s_info_industry_sw_2021(W2734,公司分析!D$5,3),IF($Y$3="wind一级行业",[1]!s_info_industry_gics(W2734,1),IF($Y$3="wind二级行业",[1]!s_info_industry_gics(W2734,2),IF($Y$3="wind三级行业",[1]!s_info_industry_gics(W2734,3),IF($Y$3="wind四级行业",[1]!s_info_industry_gics(W2734,4),IF($Y$3="证监会门类行业",[1]!s_info_industry_csrc12_n(W2734,公司分析!D$5,1),""))))))))</f>
        <v>地面兵装Ⅱ</v>
      </c>
      <c r="Z2734" s="302" t="str">
        <f ca="1">IF(Y2734=行业比较!$E$6,ROW(),"")</f>
        <v/>
      </c>
    </row>
    <row r="2735" spans="22:26">
      <c r="V2735" s="260">
        <f t="shared" ca="1" si="50"/>
        <v>0</v>
      </c>
      <c r="W2735" s="348" t="str">
        <f>IF(板块成分!B2737="","",板块成分!B2737)</f>
        <v>301358.SZ</v>
      </c>
      <c r="X2735" s="276" t="str">
        <f>[1]!S_Info_Name(W2735)</f>
        <v>湖南裕能</v>
      </c>
      <c r="Y2735" s="276" t="str">
        <f ca="1">IF($Y$3="申万一级行业",[1]!s_info_industry_sw_2021(W2735,公司分析!D$5,1),IF($Y$3="申万二级行业",[1]!s_info_industry_sw_2021(W2735,公司分析!D$5,2),IF($Y$3="申万三级行业",[1]!s_info_industry_sw_2021(W2735,公司分析!D$5,3),IF($Y$3="wind一级行业",[1]!s_info_industry_gics(W2735,1),IF($Y$3="wind二级行业",[1]!s_info_industry_gics(W2735,2),IF($Y$3="wind三级行业",[1]!s_info_industry_gics(W2735,3),IF($Y$3="wind四级行业",[1]!s_info_industry_gics(W2735,4),IF($Y$3="证监会门类行业",[1]!s_info_industry_csrc12_n(W2735,公司分析!D$5,1),""))))))))</f>
        <v>电池</v>
      </c>
      <c r="Z2735" s="302" t="str">
        <f ca="1">IF(Y2735=行业比较!$E$6,ROW(),"")</f>
        <v/>
      </c>
    </row>
    <row r="2736" spans="22:26">
      <c r="V2736" s="260">
        <f t="shared" ca="1" si="50"/>
        <v>0</v>
      </c>
      <c r="W2736" s="348" t="str">
        <f>IF(板块成分!B2738="","",板块成分!B2738)</f>
        <v>301359.SZ</v>
      </c>
      <c r="X2736" s="276" t="str">
        <f>[1]!S_Info_Name(W2736)</f>
        <v>东南电子</v>
      </c>
      <c r="Y2736" s="276" t="str">
        <f ca="1">IF($Y$3="申万一级行业",[1]!s_info_industry_sw_2021(W2736,公司分析!D$5,1),IF($Y$3="申万二级行业",[1]!s_info_industry_sw_2021(W2736,公司分析!D$5,2),IF($Y$3="申万三级行业",[1]!s_info_industry_sw_2021(W2736,公司分析!D$5,3),IF($Y$3="wind一级行业",[1]!s_info_industry_gics(W2736,1),IF($Y$3="wind二级行业",[1]!s_info_industry_gics(W2736,2),IF($Y$3="wind三级行业",[1]!s_info_industry_gics(W2736,3),IF($Y$3="wind四级行业",[1]!s_info_industry_gics(W2736,4),IF($Y$3="证监会门类行业",[1]!s_info_industry_csrc12_n(W2736,公司分析!D$5,1),""))))))))</f>
        <v>其他电子Ⅱ</v>
      </c>
      <c r="Z2736" s="302" t="str">
        <f ca="1">IF(Y2736=行业比较!$E$6,ROW(),"")</f>
        <v/>
      </c>
    </row>
    <row r="2737" spans="22:26">
      <c r="V2737" s="260">
        <f t="shared" ca="1" si="50"/>
        <v>0</v>
      </c>
      <c r="W2737" s="348" t="str">
        <f>IF(板块成分!B2739="","",板块成分!B2739)</f>
        <v>301360.SZ</v>
      </c>
      <c r="X2737" s="276" t="str">
        <f>[1]!S_Info_Name(W2737)</f>
        <v>荣旗科技</v>
      </c>
      <c r="Y2737" s="276" t="str">
        <f ca="1">IF($Y$3="申万一级行业",[1]!s_info_industry_sw_2021(W2737,公司分析!D$5,1),IF($Y$3="申万二级行业",[1]!s_info_industry_sw_2021(W2737,公司分析!D$5,2),IF($Y$3="申万三级行业",[1]!s_info_industry_sw_2021(W2737,公司分析!D$5,3),IF($Y$3="wind一级行业",[1]!s_info_industry_gics(W2737,1),IF($Y$3="wind二级行业",[1]!s_info_industry_gics(W2737,2),IF($Y$3="wind三级行业",[1]!s_info_industry_gics(W2737,3),IF($Y$3="wind四级行业",[1]!s_info_industry_gics(W2737,4),IF($Y$3="证监会门类行业",[1]!s_info_industry_csrc12_n(W2737,公司分析!D$5,1),""))))))))</f>
        <v>通用设备</v>
      </c>
      <c r="Z2737" s="302" t="str">
        <f ca="1">IF(Y2737=行业比较!$E$6,ROW(),"")</f>
        <v/>
      </c>
    </row>
    <row r="2738" spans="22:26">
      <c r="V2738" s="260">
        <f t="shared" ca="1" si="50"/>
        <v>0</v>
      </c>
      <c r="W2738" s="348" t="str">
        <f>IF(板块成分!B2740="","",板块成分!B2740)</f>
        <v>301361.SZ</v>
      </c>
      <c r="X2738" s="276" t="str">
        <f>[1]!S_Info_Name(W2738)</f>
        <v>众智科技</v>
      </c>
      <c r="Y2738" s="276" t="str">
        <f ca="1">IF($Y$3="申万一级行业",[1]!s_info_industry_sw_2021(W2738,公司分析!D$5,1),IF($Y$3="申万二级行业",[1]!s_info_industry_sw_2021(W2738,公司分析!D$5,2),IF($Y$3="申万三级行业",[1]!s_info_industry_sw_2021(W2738,公司分析!D$5,3),IF($Y$3="wind一级行业",[1]!s_info_industry_gics(W2738,1),IF($Y$3="wind二级行业",[1]!s_info_industry_gics(W2738,2),IF($Y$3="wind三级行业",[1]!s_info_industry_gics(W2738,3),IF($Y$3="wind四级行业",[1]!s_info_industry_gics(W2738,4),IF($Y$3="证监会门类行业",[1]!s_info_industry_csrc12_n(W2738,公司分析!D$5,1),""))))))))</f>
        <v>电网设备</v>
      </c>
      <c r="Z2738" s="302" t="str">
        <f ca="1">IF(Y2738=行业比较!$E$6,ROW(),"")</f>
        <v/>
      </c>
    </row>
    <row r="2739" spans="22:26">
      <c r="V2739" s="260">
        <f t="shared" ca="1" si="50"/>
        <v>0</v>
      </c>
      <c r="W2739" s="348" t="str">
        <f>IF(板块成分!B2741="","",板块成分!B2741)</f>
        <v>301362.SZ</v>
      </c>
      <c r="X2739" s="276" t="str">
        <f>[1]!S_Info_Name(W2739)</f>
        <v>民爆光电</v>
      </c>
      <c r="Y2739" s="276" t="str">
        <f ca="1">IF($Y$3="申万一级行业",[1]!s_info_industry_sw_2021(W2739,公司分析!D$5,1),IF($Y$3="申万二级行业",[1]!s_info_industry_sw_2021(W2739,公司分析!D$5,2),IF($Y$3="申万三级行业",[1]!s_info_industry_sw_2021(W2739,公司分析!D$5,3),IF($Y$3="wind一级行业",[1]!s_info_industry_gics(W2739,1),IF($Y$3="wind二级行业",[1]!s_info_industry_gics(W2739,2),IF($Y$3="wind三级行业",[1]!s_info_industry_gics(W2739,3),IF($Y$3="wind四级行业",[1]!s_info_industry_gics(W2739,4),IF($Y$3="证监会门类行业",[1]!s_info_industry_csrc12_n(W2739,公司分析!D$5,1),""))))))))</f>
        <v>照明设备Ⅱ</v>
      </c>
      <c r="Z2739" s="302" t="str">
        <f ca="1">IF(Y2739=行业比较!$E$6,ROW(),"")</f>
        <v/>
      </c>
    </row>
    <row r="2740" spans="22:26">
      <c r="V2740" s="260">
        <f t="shared" ca="1" si="50"/>
        <v>0</v>
      </c>
      <c r="W2740" s="348" t="str">
        <f>IF(板块成分!B2742="","",板块成分!B2742)</f>
        <v>301363.SZ</v>
      </c>
      <c r="X2740" s="276" t="str">
        <f>[1]!S_Info_Name(W2740)</f>
        <v>美好医疗</v>
      </c>
      <c r="Y2740" s="276" t="str">
        <f ca="1">IF($Y$3="申万一级行业",[1]!s_info_industry_sw_2021(W2740,公司分析!D$5,1),IF($Y$3="申万二级行业",[1]!s_info_industry_sw_2021(W2740,公司分析!D$5,2),IF($Y$3="申万三级行业",[1]!s_info_industry_sw_2021(W2740,公司分析!D$5,3),IF($Y$3="wind一级行业",[1]!s_info_industry_gics(W2740,1),IF($Y$3="wind二级行业",[1]!s_info_industry_gics(W2740,2),IF($Y$3="wind三级行业",[1]!s_info_industry_gics(W2740,3),IF($Y$3="wind四级行业",[1]!s_info_industry_gics(W2740,4),IF($Y$3="证监会门类行业",[1]!s_info_industry_csrc12_n(W2740,公司分析!D$5,1),""))))))))</f>
        <v>医疗器械</v>
      </c>
      <c r="Z2740" s="302" t="str">
        <f ca="1">IF(Y2740=行业比较!$E$6,ROW(),"")</f>
        <v/>
      </c>
    </row>
    <row r="2741" spans="22:26">
      <c r="V2741" s="260">
        <f t="shared" ca="1" si="50"/>
        <v>0</v>
      </c>
      <c r="W2741" s="348" t="str">
        <f>IF(板块成分!B2743="","",板块成分!B2743)</f>
        <v>301365.SZ</v>
      </c>
      <c r="X2741" s="276" t="str">
        <f>[1]!S_Info_Name(W2741)</f>
        <v>矩阵股份</v>
      </c>
      <c r="Y2741" s="276" t="str">
        <f ca="1">IF($Y$3="申万一级行业",[1]!s_info_industry_sw_2021(W2741,公司分析!D$5,1),IF($Y$3="申万二级行业",[1]!s_info_industry_sw_2021(W2741,公司分析!D$5,2),IF($Y$3="申万三级行业",[1]!s_info_industry_sw_2021(W2741,公司分析!D$5,3),IF($Y$3="wind一级行业",[1]!s_info_industry_gics(W2741,1),IF($Y$3="wind二级行业",[1]!s_info_industry_gics(W2741,2),IF($Y$3="wind三级行业",[1]!s_info_industry_gics(W2741,3),IF($Y$3="wind四级行业",[1]!s_info_industry_gics(W2741,4),IF($Y$3="证监会门类行业",[1]!s_info_industry_csrc12_n(W2741,公司分析!D$5,1),""))))))))</f>
        <v>工程咨询服务Ⅱ</v>
      </c>
      <c r="Z2741" s="302" t="str">
        <f ca="1">IF(Y2741=行业比较!$E$6,ROW(),"")</f>
        <v/>
      </c>
    </row>
    <row r="2742" spans="22:26">
      <c r="V2742" s="260">
        <f t="shared" ca="1" si="50"/>
        <v>0</v>
      </c>
      <c r="W2742" s="348" t="str">
        <f>IF(板块成分!B2744="","",板块成分!B2744)</f>
        <v>301366.SZ</v>
      </c>
      <c r="X2742" s="276" t="str">
        <f>[1]!S_Info_Name(W2742)</f>
        <v>一博科技</v>
      </c>
      <c r="Y2742" s="276" t="str">
        <f ca="1">IF($Y$3="申万一级行业",[1]!s_info_industry_sw_2021(W2742,公司分析!D$5,1),IF($Y$3="申万二级行业",[1]!s_info_industry_sw_2021(W2742,公司分析!D$5,2),IF($Y$3="申万三级行业",[1]!s_info_industry_sw_2021(W2742,公司分析!D$5,3),IF($Y$3="wind一级行业",[1]!s_info_industry_gics(W2742,1),IF($Y$3="wind二级行业",[1]!s_info_industry_gics(W2742,2),IF($Y$3="wind三级行业",[1]!s_info_industry_gics(W2742,3),IF($Y$3="wind四级行业",[1]!s_info_industry_gics(W2742,4),IF($Y$3="证监会门类行业",[1]!s_info_industry_csrc12_n(W2742,公司分析!D$5,1),""))))))))</f>
        <v>元件</v>
      </c>
      <c r="Z2742" s="302" t="str">
        <f ca="1">IF(Y2742=行业比较!$E$6,ROW(),"")</f>
        <v/>
      </c>
    </row>
    <row r="2743" spans="22:26">
      <c r="V2743" s="260">
        <f t="shared" ca="1" si="50"/>
        <v>0</v>
      </c>
      <c r="W2743" s="348" t="str">
        <f>IF(板块成分!B2745="","",板块成分!B2745)</f>
        <v>301367.SZ</v>
      </c>
      <c r="X2743" s="276" t="str">
        <f>[1]!S_Info_Name(W2743)</f>
        <v>瑞迈特</v>
      </c>
      <c r="Y2743" s="276" t="str">
        <f ca="1">IF($Y$3="申万一级行业",[1]!s_info_industry_sw_2021(W2743,公司分析!D$5,1),IF($Y$3="申万二级行业",[1]!s_info_industry_sw_2021(W2743,公司分析!D$5,2),IF($Y$3="申万三级行业",[1]!s_info_industry_sw_2021(W2743,公司分析!D$5,3),IF($Y$3="wind一级行业",[1]!s_info_industry_gics(W2743,1),IF($Y$3="wind二级行业",[1]!s_info_industry_gics(W2743,2),IF($Y$3="wind三级行业",[1]!s_info_industry_gics(W2743,3),IF($Y$3="wind四级行业",[1]!s_info_industry_gics(W2743,4),IF($Y$3="证监会门类行业",[1]!s_info_industry_csrc12_n(W2743,公司分析!D$5,1),""))))))))</f>
        <v>医疗器械</v>
      </c>
      <c r="Z2743" s="302" t="str">
        <f ca="1">IF(Y2743=行业比较!$E$6,ROW(),"")</f>
        <v/>
      </c>
    </row>
    <row r="2744" spans="22:26">
      <c r="V2744" s="260">
        <f t="shared" ca="1" si="50"/>
        <v>0</v>
      </c>
      <c r="W2744" s="348" t="str">
        <f>IF(板块成分!B2746="","",板块成分!B2746)</f>
        <v>301368.SZ</v>
      </c>
      <c r="X2744" s="276" t="str">
        <f>[1]!S_Info_Name(W2744)</f>
        <v>丰立智能</v>
      </c>
      <c r="Y2744" s="276" t="str">
        <f ca="1">IF($Y$3="申万一级行业",[1]!s_info_industry_sw_2021(W2744,公司分析!D$5,1),IF($Y$3="申万二级行业",[1]!s_info_industry_sw_2021(W2744,公司分析!D$5,2),IF($Y$3="申万三级行业",[1]!s_info_industry_sw_2021(W2744,公司分析!D$5,3),IF($Y$3="wind一级行业",[1]!s_info_industry_gics(W2744,1),IF($Y$3="wind二级行业",[1]!s_info_industry_gics(W2744,2),IF($Y$3="wind三级行业",[1]!s_info_industry_gics(W2744,3),IF($Y$3="wind四级行业",[1]!s_info_industry_gics(W2744,4),IF($Y$3="证监会门类行业",[1]!s_info_industry_csrc12_n(W2744,公司分析!D$5,1),""))))))))</f>
        <v>通用设备</v>
      </c>
      <c r="Z2744" s="302" t="str">
        <f ca="1">IF(Y2744=行业比较!$E$6,ROW(),"")</f>
        <v/>
      </c>
    </row>
    <row r="2745" spans="22:26">
      <c r="V2745" s="260">
        <f t="shared" ca="1" si="50"/>
        <v>0</v>
      </c>
      <c r="W2745" s="348" t="str">
        <f>IF(板块成分!B2747="","",板块成分!B2747)</f>
        <v>301369.SZ</v>
      </c>
      <c r="X2745" s="276" t="str">
        <f>[1]!S_Info_Name(W2745)</f>
        <v>联动科技</v>
      </c>
      <c r="Y2745" s="276" t="str">
        <f ca="1">IF($Y$3="申万一级行业",[1]!s_info_industry_sw_2021(W2745,公司分析!D$5,1),IF($Y$3="申万二级行业",[1]!s_info_industry_sw_2021(W2745,公司分析!D$5,2),IF($Y$3="申万三级行业",[1]!s_info_industry_sw_2021(W2745,公司分析!D$5,3),IF($Y$3="wind一级行业",[1]!s_info_industry_gics(W2745,1),IF($Y$3="wind二级行业",[1]!s_info_industry_gics(W2745,2),IF($Y$3="wind三级行业",[1]!s_info_industry_gics(W2745,3),IF($Y$3="wind四级行业",[1]!s_info_industry_gics(W2745,4),IF($Y$3="证监会门类行业",[1]!s_info_industry_csrc12_n(W2745,公司分析!D$5,1),""))))))))</f>
        <v>半导体</v>
      </c>
      <c r="Z2745" s="302" t="str">
        <f ca="1">IF(Y2745=行业比较!$E$6,ROW(),"")</f>
        <v/>
      </c>
    </row>
    <row r="2746" spans="22:26">
      <c r="V2746" s="260">
        <f t="shared" ca="1" si="50"/>
        <v>0</v>
      </c>
      <c r="W2746" s="348" t="str">
        <f>IF(板块成分!B2748="","",板块成分!B2748)</f>
        <v>301370.SZ</v>
      </c>
      <c r="X2746" s="276" t="str">
        <f>[1]!S_Info_Name(W2746)</f>
        <v>国科恒泰</v>
      </c>
      <c r="Y2746" s="276" t="str">
        <f ca="1">IF($Y$3="申万一级行业",[1]!s_info_industry_sw_2021(W2746,公司分析!D$5,1),IF($Y$3="申万二级行业",[1]!s_info_industry_sw_2021(W2746,公司分析!D$5,2),IF($Y$3="申万三级行业",[1]!s_info_industry_sw_2021(W2746,公司分析!D$5,3),IF($Y$3="wind一级行业",[1]!s_info_industry_gics(W2746,1),IF($Y$3="wind二级行业",[1]!s_info_industry_gics(W2746,2),IF($Y$3="wind三级行业",[1]!s_info_industry_gics(W2746,3),IF($Y$3="wind四级行业",[1]!s_info_industry_gics(W2746,4),IF($Y$3="证监会门类行业",[1]!s_info_industry_csrc12_n(W2746,公司分析!D$5,1),""))))))))</f>
        <v>医疗器械</v>
      </c>
      <c r="Z2746" s="302" t="str">
        <f ca="1">IF(Y2746=行业比较!$E$6,ROW(),"")</f>
        <v/>
      </c>
    </row>
    <row r="2747" spans="22:26">
      <c r="V2747" s="260">
        <f t="shared" ca="1" si="50"/>
        <v>0</v>
      </c>
      <c r="W2747" s="348" t="str">
        <f>IF(板块成分!B2749="","",板块成分!B2749)</f>
        <v>301371.SZ</v>
      </c>
      <c r="X2747" s="276" t="str">
        <f>[1]!S_Info_Name(W2747)</f>
        <v>敷尔佳</v>
      </c>
      <c r="Y2747" s="276" t="str">
        <f ca="1">IF($Y$3="申万一级行业",[1]!s_info_industry_sw_2021(W2747,公司分析!D$5,1),IF($Y$3="申万二级行业",[1]!s_info_industry_sw_2021(W2747,公司分析!D$5,2),IF($Y$3="申万三级行业",[1]!s_info_industry_sw_2021(W2747,公司分析!D$5,3),IF($Y$3="wind一级行业",[1]!s_info_industry_gics(W2747,1),IF($Y$3="wind二级行业",[1]!s_info_industry_gics(W2747,2),IF($Y$3="wind三级行业",[1]!s_info_industry_gics(W2747,3),IF($Y$3="wind四级行业",[1]!s_info_industry_gics(W2747,4),IF($Y$3="证监会门类行业",[1]!s_info_industry_csrc12_n(W2747,公司分析!D$5,1),""))))))))</f>
        <v>化妆品</v>
      </c>
      <c r="Z2747" s="302" t="str">
        <f ca="1">IF(Y2747=行业比较!$E$6,ROW(),"")</f>
        <v/>
      </c>
    </row>
    <row r="2748" spans="22:26">
      <c r="V2748" s="260">
        <f t="shared" ca="1" si="50"/>
        <v>0</v>
      </c>
      <c r="W2748" s="348" t="str">
        <f>IF(板块成分!B2750="","",板块成分!B2750)</f>
        <v>301372.SZ</v>
      </c>
      <c r="X2748" s="276" t="str">
        <f>[1]!S_Info_Name(W2748)</f>
        <v>科净源</v>
      </c>
      <c r="Y2748" s="276" t="str">
        <f ca="1">IF($Y$3="申万一级行业",[1]!s_info_industry_sw_2021(W2748,公司分析!D$5,1),IF($Y$3="申万二级行业",[1]!s_info_industry_sw_2021(W2748,公司分析!D$5,2),IF($Y$3="申万三级行业",[1]!s_info_industry_sw_2021(W2748,公司分析!D$5,3),IF($Y$3="wind一级行业",[1]!s_info_industry_gics(W2748,1),IF($Y$3="wind二级行业",[1]!s_info_industry_gics(W2748,2),IF($Y$3="wind三级行业",[1]!s_info_industry_gics(W2748,3),IF($Y$3="wind四级行业",[1]!s_info_industry_gics(W2748,4),IF($Y$3="证监会门类行业",[1]!s_info_industry_csrc12_n(W2748,公司分析!D$5,1),""))))))))</f>
        <v>环境治理</v>
      </c>
      <c r="Z2748" s="302" t="str">
        <f ca="1">IF(Y2748=行业比较!$E$6,ROW(),"")</f>
        <v/>
      </c>
    </row>
    <row r="2749" spans="22:26">
      <c r="V2749" s="260">
        <f t="shared" ca="1" si="50"/>
        <v>0</v>
      </c>
      <c r="W2749" s="348" t="str">
        <f>IF(板块成分!B2751="","",板块成分!B2751)</f>
        <v>301373.SZ</v>
      </c>
      <c r="X2749" s="276" t="str">
        <f>[1]!S_Info_Name(W2749)</f>
        <v>凌玮科技</v>
      </c>
      <c r="Y2749" s="276" t="str">
        <f ca="1">IF($Y$3="申万一级行业",[1]!s_info_industry_sw_2021(W2749,公司分析!D$5,1),IF($Y$3="申万二级行业",[1]!s_info_industry_sw_2021(W2749,公司分析!D$5,2),IF($Y$3="申万三级行业",[1]!s_info_industry_sw_2021(W2749,公司分析!D$5,3),IF($Y$3="wind一级行业",[1]!s_info_industry_gics(W2749,1),IF($Y$3="wind二级行业",[1]!s_info_industry_gics(W2749,2),IF($Y$3="wind三级行业",[1]!s_info_industry_gics(W2749,3),IF($Y$3="wind四级行业",[1]!s_info_industry_gics(W2749,4),IF($Y$3="证监会门类行业",[1]!s_info_industry_csrc12_n(W2749,公司分析!D$5,1),""))))))))</f>
        <v>化学制品</v>
      </c>
      <c r="Z2749" s="302" t="str">
        <f ca="1">IF(Y2749=行业比较!$E$6,ROW(),"")</f>
        <v/>
      </c>
    </row>
    <row r="2750" spans="22:26">
      <c r="V2750" s="260">
        <f t="shared" ca="1" si="50"/>
        <v>0</v>
      </c>
      <c r="W2750" s="348" t="str">
        <f>IF(板块成分!B2752="","",板块成分!B2752)</f>
        <v>301376.SZ</v>
      </c>
      <c r="X2750" s="276" t="str">
        <f>[1]!S_Info_Name(W2750)</f>
        <v>致欧科技</v>
      </c>
      <c r="Y2750" s="276" t="str">
        <f ca="1">IF($Y$3="申万一级行业",[1]!s_info_industry_sw_2021(W2750,公司分析!D$5,1),IF($Y$3="申万二级行业",[1]!s_info_industry_sw_2021(W2750,公司分析!D$5,2),IF($Y$3="申万三级行业",[1]!s_info_industry_sw_2021(W2750,公司分析!D$5,3),IF($Y$3="wind一级行业",[1]!s_info_industry_gics(W2750,1),IF($Y$3="wind二级行业",[1]!s_info_industry_gics(W2750,2),IF($Y$3="wind三级行业",[1]!s_info_industry_gics(W2750,3),IF($Y$3="wind四级行业",[1]!s_info_industry_gics(W2750,4),IF($Y$3="证监会门类行业",[1]!s_info_industry_csrc12_n(W2750,公司分析!D$5,1),""))))))))</f>
        <v>家居用品</v>
      </c>
      <c r="Z2750" s="302" t="str">
        <f ca="1">IF(Y2750=行业比较!$E$6,ROW(),"")</f>
        <v/>
      </c>
    </row>
    <row r="2751" spans="22:26">
      <c r="V2751" s="260">
        <f t="shared" ca="1" si="50"/>
        <v>0</v>
      </c>
      <c r="W2751" s="348" t="str">
        <f>IF(板块成分!B2753="","",板块成分!B2753)</f>
        <v>301377.SZ</v>
      </c>
      <c r="X2751" s="276" t="str">
        <f>[1]!S_Info_Name(W2751)</f>
        <v>鼎泰高科</v>
      </c>
      <c r="Y2751" s="276" t="str">
        <f ca="1">IF($Y$3="申万一级行业",[1]!s_info_industry_sw_2021(W2751,公司分析!D$5,1),IF($Y$3="申万二级行业",[1]!s_info_industry_sw_2021(W2751,公司分析!D$5,2),IF($Y$3="申万三级行业",[1]!s_info_industry_sw_2021(W2751,公司分析!D$5,3),IF($Y$3="wind一级行业",[1]!s_info_industry_gics(W2751,1),IF($Y$3="wind二级行业",[1]!s_info_industry_gics(W2751,2),IF($Y$3="wind三级行业",[1]!s_info_industry_gics(W2751,3),IF($Y$3="wind四级行业",[1]!s_info_industry_gics(W2751,4),IF($Y$3="证监会门类行业",[1]!s_info_industry_csrc12_n(W2751,公司分析!D$5,1),""))))))))</f>
        <v>通用设备</v>
      </c>
      <c r="Z2751" s="302" t="str">
        <f ca="1">IF(Y2751=行业比较!$E$6,ROW(),"")</f>
        <v/>
      </c>
    </row>
    <row r="2752" spans="22:26">
      <c r="V2752" s="260">
        <f t="shared" ca="1" si="50"/>
        <v>0</v>
      </c>
      <c r="W2752" s="348" t="str">
        <f>IF(板块成分!B2754="","",板块成分!B2754)</f>
        <v>301378.SZ</v>
      </c>
      <c r="X2752" s="276" t="str">
        <f>[1]!S_Info_Name(W2752)</f>
        <v>通达海</v>
      </c>
      <c r="Y2752" s="276" t="str">
        <f ca="1">IF($Y$3="申万一级行业",[1]!s_info_industry_sw_2021(W2752,公司分析!D$5,1),IF($Y$3="申万二级行业",[1]!s_info_industry_sw_2021(W2752,公司分析!D$5,2),IF($Y$3="申万三级行业",[1]!s_info_industry_sw_2021(W2752,公司分析!D$5,3),IF($Y$3="wind一级行业",[1]!s_info_industry_gics(W2752,1),IF($Y$3="wind二级行业",[1]!s_info_industry_gics(W2752,2),IF($Y$3="wind三级行业",[1]!s_info_industry_gics(W2752,3),IF($Y$3="wind四级行业",[1]!s_info_industry_gics(W2752,4),IF($Y$3="证监会门类行业",[1]!s_info_industry_csrc12_n(W2752,公司分析!D$5,1),""))))))))</f>
        <v>软件开发</v>
      </c>
      <c r="Z2752" s="302" t="str">
        <f ca="1">IF(Y2752=行业比较!$E$6,ROW(),"")</f>
        <v/>
      </c>
    </row>
    <row r="2753" spans="22:26">
      <c r="V2753" s="260">
        <f t="shared" ca="1" si="50"/>
        <v>0</v>
      </c>
      <c r="W2753" s="348" t="str">
        <f>IF(板块成分!B2755="","",板块成分!B2755)</f>
        <v>301379.SZ</v>
      </c>
      <c r="X2753" s="276" t="str">
        <f>[1]!S_Info_Name(W2753)</f>
        <v>天山电子</v>
      </c>
      <c r="Y2753" s="276" t="str">
        <f ca="1">IF($Y$3="申万一级行业",[1]!s_info_industry_sw_2021(W2753,公司分析!D$5,1),IF($Y$3="申万二级行业",[1]!s_info_industry_sw_2021(W2753,公司分析!D$5,2),IF($Y$3="申万三级行业",[1]!s_info_industry_sw_2021(W2753,公司分析!D$5,3),IF($Y$3="wind一级行业",[1]!s_info_industry_gics(W2753,1),IF($Y$3="wind二级行业",[1]!s_info_industry_gics(W2753,2),IF($Y$3="wind三级行业",[1]!s_info_industry_gics(W2753,3),IF($Y$3="wind四级行业",[1]!s_info_industry_gics(W2753,4),IF($Y$3="证监会门类行业",[1]!s_info_industry_csrc12_n(W2753,公司分析!D$5,1),""))))))))</f>
        <v>光学光电子</v>
      </c>
      <c r="Z2753" s="302" t="str">
        <f ca="1">IF(Y2753=行业比较!$E$6,ROW(),"")</f>
        <v/>
      </c>
    </row>
    <row r="2754" spans="22:26">
      <c r="V2754" s="260">
        <f t="shared" ca="1" si="50"/>
        <v>0</v>
      </c>
      <c r="W2754" s="348" t="str">
        <f>IF(板块成分!B2756="","",板块成分!B2756)</f>
        <v>301380.SZ</v>
      </c>
      <c r="X2754" s="276" t="str">
        <f>[1]!S_Info_Name(W2754)</f>
        <v>挖金客</v>
      </c>
      <c r="Y2754" s="276" t="str">
        <f ca="1">IF($Y$3="申万一级行业",[1]!s_info_industry_sw_2021(W2754,公司分析!D$5,1),IF($Y$3="申万二级行业",[1]!s_info_industry_sw_2021(W2754,公司分析!D$5,2),IF($Y$3="申万三级行业",[1]!s_info_industry_sw_2021(W2754,公司分析!D$5,3),IF($Y$3="wind一级行业",[1]!s_info_industry_gics(W2754,1),IF($Y$3="wind二级行业",[1]!s_info_industry_gics(W2754,2),IF($Y$3="wind三级行业",[1]!s_info_industry_gics(W2754,3),IF($Y$3="wind四级行业",[1]!s_info_industry_gics(W2754,4),IF($Y$3="证监会门类行业",[1]!s_info_industry_csrc12_n(W2754,公司分析!D$5,1),""))))))))</f>
        <v>通信服务</v>
      </c>
      <c r="Z2754" s="302" t="str">
        <f ca="1">IF(Y2754=行业比较!$E$6,ROW(),"")</f>
        <v/>
      </c>
    </row>
    <row r="2755" spans="22:26">
      <c r="V2755" s="260">
        <f t="shared" ca="1" si="50"/>
        <v>0</v>
      </c>
      <c r="W2755" s="348" t="str">
        <f>IF(板块成分!B2757="","",板块成分!B2757)</f>
        <v>301381.SZ</v>
      </c>
      <c r="X2755" s="276" t="str">
        <f>[1]!S_Info_Name(W2755)</f>
        <v>赛维时代</v>
      </c>
      <c r="Y2755" s="276" t="str">
        <f ca="1">IF($Y$3="申万一级行业",[1]!s_info_industry_sw_2021(W2755,公司分析!D$5,1),IF($Y$3="申万二级行业",[1]!s_info_industry_sw_2021(W2755,公司分析!D$5,2),IF($Y$3="申万三级行业",[1]!s_info_industry_sw_2021(W2755,公司分析!D$5,3),IF($Y$3="wind一级行业",[1]!s_info_industry_gics(W2755,1),IF($Y$3="wind二级行业",[1]!s_info_industry_gics(W2755,2),IF($Y$3="wind三级行业",[1]!s_info_industry_gics(W2755,3),IF($Y$3="wind四级行业",[1]!s_info_industry_gics(W2755,4),IF($Y$3="证监会门类行业",[1]!s_info_industry_csrc12_n(W2755,公司分析!D$5,1),""))))))))</f>
        <v>互联网电商</v>
      </c>
      <c r="Z2755" s="302" t="str">
        <f ca="1">IF(Y2755=行业比较!$E$6,ROW(),"")</f>
        <v/>
      </c>
    </row>
    <row r="2756" spans="22:26">
      <c r="V2756" s="260">
        <f t="shared" ca="1" si="50"/>
        <v>0</v>
      </c>
      <c r="W2756" s="348" t="str">
        <f>IF(板块成分!B2758="","",板块成分!B2758)</f>
        <v>301382.SZ</v>
      </c>
      <c r="X2756" s="276" t="str">
        <f>[1]!S_Info_Name(W2756)</f>
        <v>蜂助手</v>
      </c>
      <c r="Y2756" s="276" t="str">
        <f ca="1">IF($Y$3="申万一级行业",[1]!s_info_industry_sw_2021(W2756,公司分析!D$5,1),IF($Y$3="申万二级行业",[1]!s_info_industry_sw_2021(W2756,公司分析!D$5,2),IF($Y$3="申万三级行业",[1]!s_info_industry_sw_2021(W2756,公司分析!D$5,3),IF($Y$3="wind一级行业",[1]!s_info_industry_gics(W2756,1),IF($Y$3="wind二级行业",[1]!s_info_industry_gics(W2756,2),IF($Y$3="wind三级行业",[1]!s_info_industry_gics(W2756,3),IF($Y$3="wind四级行业",[1]!s_info_industry_gics(W2756,4),IF($Y$3="证监会门类行业",[1]!s_info_industry_csrc12_n(W2756,公司分析!D$5,1),""))))))))</f>
        <v>通信服务</v>
      </c>
      <c r="Z2756" s="302" t="str">
        <f ca="1">IF(Y2756=行业比较!$E$6,ROW(),"")</f>
        <v/>
      </c>
    </row>
    <row r="2757" spans="22:26">
      <c r="V2757" s="260">
        <f t="shared" ref="V2757:V2820" ca="1" si="51">IF(Z2757="",0,RANK(Z2757,Z:Z,1))</f>
        <v>0</v>
      </c>
      <c r="W2757" s="348" t="str">
        <f>IF(板块成分!B2759="","",板块成分!B2759)</f>
        <v>301383.SZ</v>
      </c>
      <c r="X2757" s="276" t="str">
        <f>[1]!S_Info_Name(W2757)</f>
        <v>天键股份</v>
      </c>
      <c r="Y2757" s="276" t="str">
        <f ca="1">IF($Y$3="申万一级行业",[1]!s_info_industry_sw_2021(W2757,公司分析!D$5,1),IF($Y$3="申万二级行业",[1]!s_info_industry_sw_2021(W2757,公司分析!D$5,2),IF($Y$3="申万三级行业",[1]!s_info_industry_sw_2021(W2757,公司分析!D$5,3),IF($Y$3="wind一级行业",[1]!s_info_industry_gics(W2757,1),IF($Y$3="wind二级行业",[1]!s_info_industry_gics(W2757,2),IF($Y$3="wind三级行业",[1]!s_info_industry_gics(W2757,3),IF($Y$3="wind四级行业",[1]!s_info_industry_gics(W2757,4),IF($Y$3="证监会门类行业",[1]!s_info_industry_csrc12_n(W2757,公司分析!D$5,1),""))))))))</f>
        <v>消费电子</v>
      </c>
      <c r="Z2757" s="302" t="str">
        <f ca="1">IF(Y2757=行业比较!$E$6,ROW(),"")</f>
        <v/>
      </c>
    </row>
    <row r="2758" spans="22:26">
      <c r="V2758" s="260">
        <f t="shared" ca="1" si="51"/>
        <v>0</v>
      </c>
      <c r="W2758" s="348" t="str">
        <f>IF(板块成分!B2760="","",板块成分!B2760)</f>
        <v>301386.SZ</v>
      </c>
      <c r="X2758" s="276" t="str">
        <f>[1]!S_Info_Name(W2758)</f>
        <v>未来电器</v>
      </c>
      <c r="Y2758" s="276" t="str">
        <f ca="1">IF($Y$3="申万一级行业",[1]!s_info_industry_sw_2021(W2758,公司分析!D$5,1),IF($Y$3="申万二级行业",[1]!s_info_industry_sw_2021(W2758,公司分析!D$5,2),IF($Y$3="申万三级行业",[1]!s_info_industry_sw_2021(W2758,公司分析!D$5,3),IF($Y$3="wind一级行业",[1]!s_info_industry_gics(W2758,1),IF($Y$3="wind二级行业",[1]!s_info_industry_gics(W2758,2),IF($Y$3="wind三级行业",[1]!s_info_industry_gics(W2758,3),IF($Y$3="wind四级行业",[1]!s_info_industry_gics(W2758,4),IF($Y$3="证监会门类行业",[1]!s_info_industry_csrc12_n(W2758,公司分析!D$5,1),""))))))))</f>
        <v>电网设备</v>
      </c>
      <c r="Z2758" s="302" t="str">
        <f ca="1">IF(Y2758=行业比较!$E$6,ROW(),"")</f>
        <v/>
      </c>
    </row>
    <row r="2759" spans="22:26">
      <c r="V2759" s="260">
        <f t="shared" ca="1" si="51"/>
        <v>0</v>
      </c>
      <c r="W2759" s="348" t="str">
        <f>IF(板块成分!B2761="","",板块成分!B2761)</f>
        <v>301387.SZ</v>
      </c>
      <c r="X2759" s="276" t="str">
        <f>[1]!S_Info_Name(W2759)</f>
        <v>光大同创</v>
      </c>
      <c r="Y2759" s="276" t="str">
        <f ca="1">IF($Y$3="申万一级行业",[1]!s_info_industry_sw_2021(W2759,公司分析!D$5,1),IF($Y$3="申万二级行业",[1]!s_info_industry_sw_2021(W2759,公司分析!D$5,2),IF($Y$3="申万三级行业",[1]!s_info_industry_sw_2021(W2759,公司分析!D$5,3),IF($Y$3="wind一级行业",[1]!s_info_industry_gics(W2759,1),IF($Y$3="wind二级行业",[1]!s_info_industry_gics(W2759,2),IF($Y$3="wind三级行业",[1]!s_info_industry_gics(W2759,3),IF($Y$3="wind四级行业",[1]!s_info_industry_gics(W2759,4),IF($Y$3="证监会门类行业",[1]!s_info_industry_csrc12_n(W2759,公司分析!D$5,1),""))))))))</f>
        <v>消费电子</v>
      </c>
      <c r="Z2759" s="302" t="str">
        <f ca="1">IF(Y2759=行业比较!$E$6,ROW(),"")</f>
        <v/>
      </c>
    </row>
    <row r="2760" spans="22:26">
      <c r="V2760" s="260">
        <f t="shared" ca="1" si="51"/>
        <v>0</v>
      </c>
      <c r="W2760" s="348" t="str">
        <f>IF(板块成分!B2762="","",板块成分!B2762)</f>
        <v>301388.SZ</v>
      </c>
      <c r="X2760" s="276" t="str">
        <f>[1]!S_Info_Name(W2760)</f>
        <v>欣灵电气</v>
      </c>
      <c r="Y2760" s="276" t="str">
        <f ca="1">IF($Y$3="申万一级行业",[1]!s_info_industry_sw_2021(W2760,公司分析!D$5,1),IF($Y$3="申万二级行业",[1]!s_info_industry_sw_2021(W2760,公司分析!D$5,2),IF($Y$3="申万三级行业",[1]!s_info_industry_sw_2021(W2760,公司分析!D$5,3),IF($Y$3="wind一级行业",[1]!s_info_industry_gics(W2760,1),IF($Y$3="wind二级行业",[1]!s_info_industry_gics(W2760,2),IF($Y$3="wind三级行业",[1]!s_info_industry_gics(W2760,3),IF($Y$3="wind四级行业",[1]!s_info_industry_gics(W2760,4),IF($Y$3="证监会门类行业",[1]!s_info_industry_csrc12_n(W2760,公司分析!D$5,1),""))))))))</f>
        <v>电网设备</v>
      </c>
      <c r="Z2760" s="302" t="str">
        <f ca="1">IF(Y2760=行业比较!$E$6,ROW(),"")</f>
        <v/>
      </c>
    </row>
    <row r="2761" spans="22:26">
      <c r="V2761" s="260">
        <f t="shared" ca="1" si="51"/>
        <v>0</v>
      </c>
      <c r="W2761" s="348" t="str">
        <f>IF(板块成分!B2763="","",板块成分!B2763)</f>
        <v>301389.SZ</v>
      </c>
      <c r="X2761" s="276" t="str">
        <f>[1]!S_Info_Name(W2761)</f>
        <v>隆扬电子</v>
      </c>
      <c r="Y2761" s="276" t="str">
        <f ca="1">IF($Y$3="申万一级行业",[1]!s_info_industry_sw_2021(W2761,公司分析!D$5,1),IF($Y$3="申万二级行业",[1]!s_info_industry_sw_2021(W2761,公司分析!D$5,2),IF($Y$3="申万三级行业",[1]!s_info_industry_sw_2021(W2761,公司分析!D$5,3),IF($Y$3="wind一级行业",[1]!s_info_industry_gics(W2761,1),IF($Y$3="wind二级行业",[1]!s_info_industry_gics(W2761,2),IF($Y$3="wind三级行业",[1]!s_info_industry_gics(W2761,3),IF($Y$3="wind四级行业",[1]!s_info_industry_gics(W2761,4),IF($Y$3="证监会门类行业",[1]!s_info_industry_csrc12_n(W2761,公司分析!D$5,1),""))))))))</f>
        <v>消费电子</v>
      </c>
      <c r="Z2761" s="302" t="str">
        <f ca="1">IF(Y2761=行业比较!$E$6,ROW(),"")</f>
        <v/>
      </c>
    </row>
    <row r="2762" spans="22:26">
      <c r="V2762" s="260">
        <f t="shared" ca="1" si="51"/>
        <v>0</v>
      </c>
      <c r="W2762" s="348" t="str">
        <f>IF(板块成分!B2764="","",板块成分!B2764)</f>
        <v>301390.SZ</v>
      </c>
      <c r="X2762" s="276" t="str">
        <f>[1]!S_Info_Name(W2762)</f>
        <v>经纬股份</v>
      </c>
      <c r="Y2762" s="276" t="str">
        <f ca="1">IF($Y$3="申万一级行业",[1]!s_info_industry_sw_2021(W2762,公司分析!D$5,1),IF($Y$3="申万二级行业",[1]!s_info_industry_sw_2021(W2762,公司分析!D$5,2),IF($Y$3="申万三级行业",[1]!s_info_industry_sw_2021(W2762,公司分析!D$5,3),IF($Y$3="wind一级行业",[1]!s_info_industry_gics(W2762,1),IF($Y$3="wind二级行业",[1]!s_info_industry_gics(W2762,2),IF($Y$3="wind三级行业",[1]!s_info_industry_gics(W2762,3),IF($Y$3="wind四级行业",[1]!s_info_industry_gics(W2762,4),IF($Y$3="证监会门类行业",[1]!s_info_industry_csrc12_n(W2762,公司分析!D$5,1),""))))))))</f>
        <v>工程咨询服务Ⅱ</v>
      </c>
      <c r="Z2762" s="302" t="str">
        <f ca="1">IF(Y2762=行业比较!$E$6,ROW(),"")</f>
        <v/>
      </c>
    </row>
    <row r="2763" spans="22:26">
      <c r="V2763" s="260">
        <f t="shared" ca="1" si="51"/>
        <v>0</v>
      </c>
      <c r="W2763" s="348" t="str">
        <f>IF(板块成分!B2765="","",板块成分!B2765)</f>
        <v>301391.SZ</v>
      </c>
      <c r="X2763" s="276" t="str">
        <f>[1]!S_Info_Name(W2763)</f>
        <v>卡莱特</v>
      </c>
      <c r="Y2763" s="276" t="str">
        <f ca="1">IF($Y$3="申万一级行业",[1]!s_info_industry_sw_2021(W2763,公司分析!D$5,1),IF($Y$3="申万二级行业",[1]!s_info_industry_sw_2021(W2763,公司分析!D$5,2),IF($Y$3="申万三级行业",[1]!s_info_industry_sw_2021(W2763,公司分析!D$5,3),IF($Y$3="wind一级行业",[1]!s_info_industry_gics(W2763,1),IF($Y$3="wind二级行业",[1]!s_info_industry_gics(W2763,2),IF($Y$3="wind三级行业",[1]!s_info_industry_gics(W2763,3),IF($Y$3="wind四级行业",[1]!s_info_industry_gics(W2763,4),IF($Y$3="证监会门类行业",[1]!s_info_industry_csrc12_n(W2763,公司分析!D$5,1),""))))))))</f>
        <v>计算机设备</v>
      </c>
      <c r="Z2763" s="302" t="str">
        <f ca="1">IF(Y2763=行业比较!$E$6,ROW(),"")</f>
        <v/>
      </c>
    </row>
    <row r="2764" spans="22:26">
      <c r="V2764" s="260">
        <f t="shared" ca="1" si="51"/>
        <v>0</v>
      </c>
      <c r="W2764" s="348" t="str">
        <f>IF(板块成分!B2766="","",板块成分!B2766)</f>
        <v>301392.SZ</v>
      </c>
      <c r="X2764" s="276" t="str">
        <f>[1]!S_Info_Name(W2764)</f>
        <v>汇成真空</v>
      </c>
      <c r="Y2764" s="276" t="str">
        <f ca="1">IF($Y$3="申万一级行业",[1]!s_info_industry_sw_2021(W2764,公司分析!D$5,1),IF($Y$3="申万二级行业",[1]!s_info_industry_sw_2021(W2764,公司分析!D$5,2),IF($Y$3="申万三级行业",[1]!s_info_industry_sw_2021(W2764,公司分析!D$5,3),IF($Y$3="wind一级行业",[1]!s_info_industry_gics(W2764,1),IF($Y$3="wind二级行业",[1]!s_info_industry_gics(W2764,2),IF($Y$3="wind三级行业",[1]!s_info_industry_gics(W2764,3),IF($Y$3="wind四级行业",[1]!s_info_industry_gics(W2764,4),IF($Y$3="证监会门类行业",[1]!s_info_industry_csrc12_n(W2764,公司分析!D$5,1),""))))))))</f>
        <v>专用设备</v>
      </c>
      <c r="Z2764" s="302" t="str">
        <f ca="1">IF(Y2764=行业比较!$E$6,ROW(),"")</f>
        <v/>
      </c>
    </row>
    <row r="2765" spans="22:26">
      <c r="V2765" s="260">
        <f t="shared" ca="1" si="51"/>
        <v>0</v>
      </c>
      <c r="W2765" s="348" t="str">
        <f>IF(板块成分!B2767="","",板块成分!B2767)</f>
        <v>301393.SZ</v>
      </c>
      <c r="X2765" s="276" t="str">
        <f>[1]!S_Info_Name(W2765)</f>
        <v>昊帆生物</v>
      </c>
      <c r="Y2765" s="276" t="str">
        <f ca="1">IF($Y$3="申万一级行业",[1]!s_info_industry_sw_2021(W2765,公司分析!D$5,1),IF($Y$3="申万二级行业",[1]!s_info_industry_sw_2021(W2765,公司分析!D$5,2),IF($Y$3="申万三级行业",[1]!s_info_industry_sw_2021(W2765,公司分析!D$5,3),IF($Y$3="wind一级行业",[1]!s_info_industry_gics(W2765,1),IF($Y$3="wind二级行业",[1]!s_info_industry_gics(W2765,2),IF($Y$3="wind三级行业",[1]!s_info_industry_gics(W2765,3),IF($Y$3="wind四级行业",[1]!s_info_industry_gics(W2765,4),IF($Y$3="证监会门类行业",[1]!s_info_industry_csrc12_n(W2765,公司分析!D$5,1),""))))))))</f>
        <v>生物制品</v>
      </c>
      <c r="Z2765" s="302" t="str">
        <f ca="1">IF(Y2765=行业比较!$E$6,ROW(),"")</f>
        <v/>
      </c>
    </row>
    <row r="2766" spans="22:26">
      <c r="V2766" s="260">
        <f t="shared" ca="1" si="51"/>
        <v>0</v>
      </c>
      <c r="W2766" s="348" t="str">
        <f>IF(板块成分!B2768="","",板块成分!B2768)</f>
        <v>301395.SZ</v>
      </c>
      <c r="X2766" s="276" t="str">
        <f>[1]!S_Info_Name(W2766)</f>
        <v>仁信新材</v>
      </c>
      <c r="Y2766" s="276" t="str">
        <f ca="1">IF($Y$3="申万一级行业",[1]!s_info_industry_sw_2021(W2766,公司分析!D$5,1),IF($Y$3="申万二级行业",[1]!s_info_industry_sw_2021(W2766,公司分析!D$5,2),IF($Y$3="申万三级行业",[1]!s_info_industry_sw_2021(W2766,公司分析!D$5,3),IF($Y$3="wind一级行业",[1]!s_info_industry_gics(W2766,1),IF($Y$3="wind二级行业",[1]!s_info_industry_gics(W2766,2),IF($Y$3="wind三级行业",[1]!s_info_industry_gics(W2766,3),IF($Y$3="wind四级行业",[1]!s_info_industry_gics(W2766,4),IF($Y$3="证监会门类行业",[1]!s_info_industry_csrc12_n(W2766,公司分析!D$5,1),""))))))))</f>
        <v>塑料</v>
      </c>
      <c r="Z2766" s="302" t="str">
        <f ca="1">IF(Y2766=行业比较!$E$6,ROW(),"")</f>
        <v/>
      </c>
    </row>
    <row r="2767" spans="22:26">
      <c r="V2767" s="260">
        <f t="shared" ca="1" si="51"/>
        <v>0</v>
      </c>
      <c r="W2767" s="348" t="str">
        <f>IF(板块成分!B2769="","",板块成分!B2769)</f>
        <v>301396.SZ</v>
      </c>
      <c r="X2767" s="276" t="str">
        <f>[1]!S_Info_Name(W2767)</f>
        <v>宏景科技</v>
      </c>
      <c r="Y2767" s="276" t="str">
        <f ca="1">IF($Y$3="申万一级行业",[1]!s_info_industry_sw_2021(W2767,公司分析!D$5,1),IF($Y$3="申万二级行业",[1]!s_info_industry_sw_2021(W2767,公司分析!D$5,2),IF($Y$3="申万三级行业",[1]!s_info_industry_sw_2021(W2767,公司分析!D$5,3),IF($Y$3="wind一级行业",[1]!s_info_industry_gics(W2767,1),IF($Y$3="wind二级行业",[1]!s_info_industry_gics(W2767,2),IF($Y$3="wind三级行业",[1]!s_info_industry_gics(W2767,3),IF($Y$3="wind四级行业",[1]!s_info_industry_gics(W2767,4),IF($Y$3="证监会门类行业",[1]!s_info_industry_csrc12_n(W2767,公司分析!D$5,1),""))))))))</f>
        <v>IT服务Ⅱ</v>
      </c>
      <c r="Z2767" s="302" t="str">
        <f ca="1">IF(Y2767=行业比较!$E$6,ROW(),"")</f>
        <v/>
      </c>
    </row>
    <row r="2768" spans="22:26">
      <c r="V2768" s="260">
        <f t="shared" ca="1" si="51"/>
        <v>0</v>
      </c>
      <c r="W2768" s="348" t="str">
        <f>IF(板块成分!B2770="","",板块成分!B2770)</f>
        <v>301397.SZ</v>
      </c>
      <c r="X2768" s="276" t="str">
        <f>[1]!S_Info_Name(W2768)</f>
        <v>溯联股份</v>
      </c>
      <c r="Y2768" s="276" t="str">
        <f ca="1">IF($Y$3="申万一级行业",[1]!s_info_industry_sw_2021(W2768,公司分析!D$5,1),IF($Y$3="申万二级行业",[1]!s_info_industry_sw_2021(W2768,公司分析!D$5,2),IF($Y$3="申万三级行业",[1]!s_info_industry_sw_2021(W2768,公司分析!D$5,3),IF($Y$3="wind一级行业",[1]!s_info_industry_gics(W2768,1),IF($Y$3="wind二级行业",[1]!s_info_industry_gics(W2768,2),IF($Y$3="wind三级行业",[1]!s_info_industry_gics(W2768,3),IF($Y$3="wind四级行业",[1]!s_info_industry_gics(W2768,4),IF($Y$3="证监会门类行业",[1]!s_info_industry_csrc12_n(W2768,公司分析!D$5,1),""))))))))</f>
        <v>汽车零部件</v>
      </c>
      <c r="Z2768" s="302" t="str">
        <f ca="1">IF(Y2768=行业比较!$E$6,ROW(),"")</f>
        <v/>
      </c>
    </row>
    <row r="2769" spans="22:26">
      <c r="V2769" s="260">
        <f t="shared" ca="1" si="51"/>
        <v>0</v>
      </c>
      <c r="W2769" s="348" t="str">
        <f>IF(板块成分!B2771="","",板块成分!B2771)</f>
        <v>301398.SZ</v>
      </c>
      <c r="X2769" s="276" t="str">
        <f>[1]!S_Info_Name(W2769)</f>
        <v>星源卓镁</v>
      </c>
      <c r="Y2769" s="276" t="str">
        <f ca="1">IF($Y$3="申万一级行业",[1]!s_info_industry_sw_2021(W2769,公司分析!D$5,1),IF($Y$3="申万二级行业",[1]!s_info_industry_sw_2021(W2769,公司分析!D$5,2),IF($Y$3="申万三级行业",[1]!s_info_industry_sw_2021(W2769,公司分析!D$5,3),IF($Y$3="wind一级行业",[1]!s_info_industry_gics(W2769,1),IF($Y$3="wind二级行业",[1]!s_info_industry_gics(W2769,2),IF($Y$3="wind三级行业",[1]!s_info_industry_gics(W2769,3),IF($Y$3="wind四级行业",[1]!s_info_industry_gics(W2769,4),IF($Y$3="证监会门类行业",[1]!s_info_industry_csrc12_n(W2769,公司分析!D$5,1),""))))))))</f>
        <v>汽车零部件</v>
      </c>
      <c r="Z2769" s="302" t="str">
        <f ca="1">IF(Y2769=行业比较!$E$6,ROW(),"")</f>
        <v/>
      </c>
    </row>
    <row r="2770" spans="22:26">
      <c r="V2770" s="260">
        <f t="shared" ca="1" si="51"/>
        <v>0</v>
      </c>
      <c r="W2770" s="348" t="str">
        <f>IF(板块成分!B2772="","",板块成分!B2772)</f>
        <v>301399.SZ</v>
      </c>
      <c r="X2770" s="276" t="str">
        <f>[1]!S_Info_Name(W2770)</f>
        <v>英特科技</v>
      </c>
      <c r="Y2770" s="276" t="str">
        <f ca="1">IF($Y$3="申万一级行业",[1]!s_info_industry_sw_2021(W2770,公司分析!D$5,1),IF($Y$3="申万二级行业",[1]!s_info_industry_sw_2021(W2770,公司分析!D$5,2),IF($Y$3="申万三级行业",[1]!s_info_industry_sw_2021(W2770,公司分析!D$5,3),IF($Y$3="wind一级行业",[1]!s_info_industry_gics(W2770,1),IF($Y$3="wind二级行业",[1]!s_info_industry_gics(W2770,2),IF($Y$3="wind三级行业",[1]!s_info_industry_gics(W2770,3),IF($Y$3="wind四级行业",[1]!s_info_industry_gics(W2770,4),IF($Y$3="证监会门类行业",[1]!s_info_industry_csrc12_n(W2770,公司分析!D$5,1),""))))))))</f>
        <v>通用设备</v>
      </c>
      <c r="Z2770" s="302" t="str">
        <f ca="1">IF(Y2770=行业比较!$E$6,ROW(),"")</f>
        <v/>
      </c>
    </row>
    <row r="2771" spans="22:26">
      <c r="V2771" s="260">
        <f t="shared" ca="1" si="51"/>
        <v>0</v>
      </c>
      <c r="W2771" s="348" t="str">
        <f>IF(板块成分!B2773="","",板块成分!B2773)</f>
        <v>301408.SZ</v>
      </c>
      <c r="X2771" s="276" t="str">
        <f>[1]!S_Info_Name(W2771)</f>
        <v>华人健康</v>
      </c>
      <c r="Y2771" s="276" t="str">
        <f ca="1">IF($Y$3="申万一级行业",[1]!s_info_industry_sw_2021(W2771,公司分析!D$5,1),IF($Y$3="申万二级行业",[1]!s_info_industry_sw_2021(W2771,公司分析!D$5,2),IF($Y$3="申万三级行业",[1]!s_info_industry_sw_2021(W2771,公司分析!D$5,3),IF($Y$3="wind一级行业",[1]!s_info_industry_gics(W2771,1),IF($Y$3="wind二级行业",[1]!s_info_industry_gics(W2771,2),IF($Y$3="wind三级行业",[1]!s_info_industry_gics(W2771,3),IF($Y$3="wind四级行业",[1]!s_info_industry_gics(W2771,4),IF($Y$3="证监会门类行业",[1]!s_info_industry_csrc12_n(W2771,公司分析!D$5,1),""))))))))</f>
        <v>医药商业</v>
      </c>
      <c r="Z2771" s="302" t="str">
        <f ca="1">IF(Y2771=行业比较!$E$6,ROW(),"")</f>
        <v/>
      </c>
    </row>
    <row r="2772" spans="22:26">
      <c r="V2772" s="260">
        <f t="shared" ca="1" si="51"/>
        <v>0</v>
      </c>
      <c r="W2772" s="348" t="str">
        <f>IF(板块成分!B2774="","",板块成分!B2774)</f>
        <v>301413.SZ</v>
      </c>
      <c r="X2772" s="276" t="str">
        <f>[1]!S_Info_Name(W2772)</f>
        <v>安培龙</v>
      </c>
      <c r="Y2772" s="276" t="str">
        <f ca="1">IF($Y$3="申万一级行业",[1]!s_info_industry_sw_2021(W2772,公司分析!D$5,1),IF($Y$3="申万二级行业",[1]!s_info_industry_sw_2021(W2772,公司分析!D$5,2),IF($Y$3="申万三级行业",[1]!s_info_industry_sw_2021(W2772,公司分析!D$5,3),IF($Y$3="wind一级行业",[1]!s_info_industry_gics(W2772,1),IF($Y$3="wind二级行业",[1]!s_info_industry_gics(W2772,2),IF($Y$3="wind三级行业",[1]!s_info_industry_gics(W2772,3),IF($Y$3="wind四级行业",[1]!s_info_industry_gics(W2772,4),IF($Y$3="证监会门类行业",[1]!s_info_industry_csrc12_n(W2772,公司分析!D$5,1),""))))))))</f>
        <v>通用设备</v>
      </c>
      <c r="Z2772" s="302" t="str">
        <f ca="1">IF(Y2772=行业比较!$E$6,ROW(),"")</f>
        <v/>
      </c>
    </row>
    <row r="2773" spans="22:26">
      <c r="V2773" s="260">
        <f t="shared" ca="1" si="51"/>
        <v>0</v>
      </c>
      <c r="W2773" s="348" t="str">
        <f>IF(板块成分!B2775="","",板块成分!B2775)</f>
        <v>301418.SZ</v>
      </c>
      <c r="X2773" s="276" t="str">
        <f>[1]!S_Info_Name(W2773)</f>
        <v>协昌科技</v>
      </c>
      <c r="Y2773" s="276" t="str">
        <f ca="1">IF($Y$3="申万一级行业",[1]!s_info_industry_sw_2021(W2773,公司分析!D$5,1),IF($Y$3="申万二级行业",[1]!s_info_industry_sw_2021(W2773,公司分析!D$5,2),IF($Y$3="申万三级行业",[1]!s_info_industry_sw_2021(W2773,公司分析!D$5,3),IF($Y$3="wind一级行业",[1]!s_info_industry_gics(W2773,1),IF($Y$3="wind二级行业",[1]!s_info_industry_gics(W2773,2),IF($Y$3="wind三级行业",[1]!s_info_industry_gics(W2773,3),IF($Y$3="wind四级行业",[1]!s_info_industry_gics(W2773,4),IF($Y$3="证监会门类行业",[1]!s_info_industry_csrc12_n(W2773,公司分析!D$5,1),""))))))))</f>
        <v>自动化设备</v>
      </c>
      <c r="Z2773" s="302" t="str">
        <f ca="1">IF(Y2773=行业比较!$E$6,ROW(),"")</f>
        <v/>
      </c>
    </row>
    <row r="2774" spans="22:26">
      <c r="V2774" s="260">
        <f t="shared" ca="1" si="51"/>
        <v>0</v>
      </c>
      <c r="W2774" s="348" t="str">
        <f>IF(板块成分!B2776="","",板块成分!B2776)</f>
        <v>301419.SZ</v>
      </c>
      <c r="X2774" s="276" t="str">
        <f>[1]!S_Info_Name(W2774)</f>
        <v>阿莱德</v>
      </c>
      <c r="Y2774" s="276" t="str">
        <f ca="1">IF($Y$3="申万一级行业",[1]!s_info_industry_sw_2021(W2774,公司分析!D$5,1),IF($Y$3="申万二级行业",[1]!s_info_industry_sw_2021(W2774,公司分析!D$5,2),IF($Y$3="申万三级行业",[1]!s_info_industry_sw_2021(W2774,公司分析!D$5,3),IF($Y$3="wind一级行业",[1]!s_info_industry_gics(W2774,1),IF($Y$3="wind二级行业",[1]!s_info_industry_gics(W2774,2),IF($Y$3="wind三级行业",[1]!s_info_industry_gics(W2774,3),IF($Y$3="wind四级行业",[1]!s_info_industry_gics(W2774,4),IF($Y$3="证监会门类行业",[1]!s_info_industry_csrc12_n(W2774,公司分析!D$5,1),""))))))))</f>
        <v>通信设备</v>
      </c>
      <c r="Z2774" s="302" t="str">
        <f ca="1">IF(Y2774=行业比较!$E$6,ROW(),"")</f>
        <v/>
      </c>
    </row>
    <row r="2775" spans="22:26">
      <c r="V2775" s="260">
        <f t="shared" ca="1" si="51"/>
        <v>0</v>
      </c>
      <c r="W2775" s="348" t="str">
        <f>IF(板块成分!B2777="","",板块成分!B2777)</f>
        <v>301421.SZ</v>
      </c>
      <c r="X2775" s="276" t="str">
        <f>[1]!S_Info_Name(W2775)</f>
        <v>波长光电</v>
      </c>
      <c r="Y2775" s="276" t="str">
        <f ca="1">IF($Y$3="申万一级行业",[1]!s_info_industry_sw_2021(W2775,公司分析!D$5,1),IF($Y$3="申万二级行业",[1]!s_info_industry_sw_2021(W2775,公司分析!D$5,2),IF($Y$3="申万三级行业",[1]!s_info_industry_sw_2021(W2775,公司分析!D$5,3),IF($Y$3="wind一级行业",[1]!s_info_industry_gics(W2775,1),IF($Y$3="wind二级行业",[1]!s_info_industry_gics(W2775,2),IF($Y$3="wind三级行业",[1]!s_info_industry_gics(W2775,3),IF($Y$3="wind四级行业",[1]!s_info_industry_gics(W2775,4),IF($Y$3="证监会门类行业",[1]!s_info_industry_csrc12_n(W2775,公司分析!D$5,1),""))))))))</f>
        <v>光学光电子</v>
      </c>
      <c r="Z2775" s="302" t="str">
        <f ca="1">IF(Y2775=行业比较!$E$6,ROW(),"")</f>
        <v/>
      </c>
    </row>
    <row r="2776" spans="22:26">
      <c r="V2776" s="260">
        <f t="shared" ca="1" si="51"/>
        <v>0</v>
      </c>
      <c r="W2776" s="348" t="str">
        <f>IF(板块成分!B2778="","",板块成分!B2778)</f>
        <v>301428.SZ</v>
      </c>
      <c r="X2776" s="276" t="str">
        <f>[1]!S_Info_Name(W2776)</f>
        <v>世纪恒通</v>
      </c>
      <c r="Y2776" s="276" t="str">
        <f ca="1">IF($Y$3="申万一级行业",[1]!s_info_industry_sw_2021(W2776,公司分析!D$5,1),IF($Y$3="申万二级行业",[1]!s_info_industry_sw_2021(W2776,公司分析!D$5,2),IF($Y$3="申万三级行业",[1]!s_info_industry_sw_2021(W2776,公司分析!D$5,3),IF($Y$3="wind一级行业",[1]!s_info_industry_gics(W2776,1),IF($Y$3="wind二级行业",[1]!s_info_industry_gics(W2776,2),IF($Y$3="wind三级行业",[1]!s_info_industry_gics(W2776,3),IF($Y$3="wind四级行业",[1]!s_info_industry_gics(W2776,4),IF($Y$3="证监会门类行业",[1]!s_info_industry_csrc12_n(W2776,公司分析!D$5,1),""))))))))</f>
        <v>通信服务</v>
      </c>
      <c r="Z2776" s="302" t="str">
        <f ca="1">IF(Y2776=行业比较!$E$6,ROW(),"")</f>
        <v/>
      </c>
    </row>
    <row r="2777" spans="22:26">
      <c r="V2777" s="260">
        <f t="shared" ca="1" si="51"/>
        <v>0</v>
      </c>
      <c r="W2777" s="348" t="str">
        <f>IF(板块成分!B2779="","",板块成分!B2779)</f>
        <v>301429.SZ</v>
      </c>
      <c r="X2777" s="276" t="str">
        <f>[1]!S_Info_Name(W2777)</f>
        <v>森泰股份</v>
      </c>
      <c r="Y2777" s="276" t="str">
        <f ca="1">IF($Y$3="申万一级行业",[1]!s_info_industry_sw_2021(W2777,公司分析!D$5,1),IF($Y$3="申万二级行业",[1]!s_info_industry_sw_2021(W2777,公司分析!D$5,2),IF($Y$3="申万三级行业",[1]!s_info_industry_sw_2021(W2777,公司分析!D$5,3),IF($Y$3="wind一级行业",[1]!s_info_industry_gics(W2777,1),IF($Y$3="wind二级行业",[1]!s_info_industry_gics(W2777,2),IF($Y$3="wind三级行业",[1]!s_info_industry_gics(W2777,3),IF($Y$3="wind四级行业",[1]!s_info_industry_gics(W2777,4),IF($Y$3="证监会门类行业",[1]!s_info_industry_csrc12_n(W2777,公司分析!D$5,1),""))))))))</f>
        <v>装修建材</v>
      </c>
      <c r="Z2777" s="302" t="str">
        <f ca="1">IF(Y2777=行业比较!$E$6,ROW(),"")</f>
        <v/>
      </c>
    </row>
    <row r="2778" spans="22:26">
      <c r="V2778" s="260">
        <f t="shared" ca="1" si="51"/>
        <v>0</v>
      </c>
      <c r="W2778" s="348" t="str">
        <f>IF(板块成分!B2780="","",板块成分!B2780)</f>
        <v>301439.SZ</v>
      </c>
      <c r="X2778" s="276" t="str">
        <f>[1]!S_Info_Name(W2778)</f>
        <v>泓淋电力</v>
      </c>
      <c r="Y2778" s="276" t="str">
        <f ca="1">IF($Y$3="申万一级行业",[1]!s_info_industry_sw_2021(W2778,公司分析!D$5,1),IF($Y$3="申万二级行业",[1]!s_info_industry_sw_2021(W2778,公司分析!D$5,2),IF($Y$3="申万三级行业",[1]!s_info_industry_sw_2021(W2778,公司分析!D$5,3),IF($Y$3="wind一级行业",[1]!s_info_industry_gics(W2778,1),IF($Y$3="wind二级行业",[1]!s_info_industry_gics(W2778,2),IF($Y$3="wind三级行业",[1]!s_info_industry_gics(W2778,3),IF($Y$3="wind四级行业",[1]!s_info_industry_gics(W2778,4),IF($Y$3="证监会门类行业",[1]!s_info_industry_csrc12_n(W2778,公司分析!D$5,1),""))))))))</f>
        <v>电网设备</v>
      </c>
      <c r="Z2778" s="302" t="str">
        <f ca="1">IF(Y2778=行业比较!$E$6,ROW(),"")</f>
        <v/>
      </c>
    </row>
    <row r="2779" spans="22:26">
      <c r="V2779" s="260">
        <f t="shared" ca="1" si="51"/>
        <v>0</v>
      </c>
      <c r="W2779" s="348" t="str">
        <f>IF(板块成分!B2781="","",板块成分!B2781)</f>
        <v>301446.SZ</v>
      </c>
      <c r="X2779" s="276" t="str">
        <f>[1]!S_Info_Name(W2779)</f>
        <v>福事特</v>
      </c>
      <c r="Y2779" s="276" t="str">
        <f ca="1">IF($Y$3="申万一级行业",[1]!s_info_industry_sw_2021(W2779,公司分析!D$5,1),IF($Y$3="申万二级行业",[1]!s_info_industry_sw_2021(W2779,公司分析!D$5,2),IF($Y$3="申万三级行业",[1]!s_info_industry_sw_2021(W2779,公司分析!D$5,3),IF($Y$3="wind一级行业",[1]!s_info_industry_gics(W2779,1),IF($Y$3="wind二级行业",[1]!s_info_industry_gics(W2779,2),IF($Y$3="wind三级行业",[1]!s_info_industry_gics(W2779,3),IF($Y$3="wind四级行业",[1]!s_info_industry_gics(W2779,4),IF($Y$3="证监会门类行业",[1]!s_info_industry_csrc12_n(W2779,公司分析!D$5,1),""))))))))</f>
        <v>工程机械</v>
      </c>
      <c r="Z2779" s="302" t="str">
        <f ca="1">IF(Y2779=行业比较!$E$6,ROW(),"")</f>
        <v/>
      </c>
    </row>
    <row r="2780" spans="22:26">
      <c r="V2780" s="260">
        <f t="shared" ca="1" si="51"/>
        <v>0</v>
      </c>
      <c r="W2780" s="348" t="str">
        <f>IF(板块成分!B2782="","",板块成分!B2782)</f>
        <v>301448.SZ</v>
      </c>
      <c r="X2780" s="276" t="str">
        <f>[1]!S_Info_Name(W2780)</f>
        <v>开创电气</v>
      </c>
      <c r="Y2780" s="276" t="str">
        <f ca="1">IF($Y$3="申万一级行业",[1]!s_info_industry_sw_2021(W2780,公司分析!D$5,1),IF($Y$3="申万二级行业",[1]!s_info_industry_sw_2021(W2780,公司分析!D$5,2),IF($Y$3="申万三级行业",[1]!s_info_industry_sw_2021(W2780,公司分析!D$5,3),IF($Y$3="wind一级行业",[1]!s_info_industry_gics(W2780,1),IF($Y$3="wind二级行业",[1]!s_info_industry_gics(W2780,2),IF($Y$3="wind三级行业",[1]!s_info_industry_gics(W2780,3),IF($Y$3="wind四级行业",[1]!s_info_industry_gics(W2780,4),IF($Y$3="证监会门类行业",[1]!s_info_industry_csrc12_n(W2780,公司分析!D$5,1),""))))))))</f>
        <v>通用设备</v>
      </c>
      <c r="Z2780" s="302" t="str">
        <f ca="1">IF(Y2780=行业比较!$E$6,ROW(),"")</f>
        <v/>
      </c>
    </row>
    <row r="2781" spans="22:26">
      <c r="V2781" s="260">
        <f t="shared" ca="1" si="51"/>
        <v>0</v>
      </c>
      <c r="W2781" s="348" t="str">
        <f>IF(板块成分!B2783="","",板块成分!B2783)</f>
        <v>301449.SZ</v>
      </c>
      <c r="X2781" s="276" t="str">
        <f>[1]!S_Info_Name(W2781)</f>
        <v>天溯计量</v>
      </c>
      <c r="Y2781" s="276" t="str">
        <f ca="1">IF($Y$3="申万一级行业",[1]!s_info_industry_sw_2021(W2781,公司分析!D$5,1),IF($Y$3="申万二级行业",[1]!s_info_industry_sw_2021(W2781,公司分析!D$5,2),IF($Y$3="申万三级行业",[1]!s_info_industry_sw_2021(W2781,公司分析!D$5,3),IF($Y$3="wind一级行业",[1]!s_info_industry_gics(W2781,1),IF($Y$3="wind二级行业",[1]!s_info_industry_gics(W2781,2),IF($Y$3="wind三级行业",[1]!s_info_industry_gics(W2781,3),IF($Y$3="wind四级行业",[1]!s_info_industry_gics(W2781,4),IF($Y$3="证监会门类行业",[1]!s_info_industry_csrc12_n(W2781,公司分析!D$5,1),""))))))))</f>
        <v>专业服务</v>
      </c>
      <c r="Z2781" s="302" t="str">
        <f ca="1">IF(Y2781=行业比较!$E$6,ROW(),"")</f>
        <v/>
      </c>
    </row>
    <row r="2782" spans="22:26">
      <c r="V2782" s="260">
        <f t="shared" ca="1" si="51"/>
        <v>0</v>
      </c>
      <c r="W2782" s="348" t="str">
        <f>IF(板块成分!B2784="","",板块成分!B2784)</f>
        <v>301456.SZ</v>
      </c>
      <c r="X2782" s="276" t="str">
        <f>[1]!S_Info_Name(W2782)</f>
        <v>盘古智能</v>
      </c>
      <c r="Y2782" s="276" t="str">
        <f ca="1">IF($Y$3="申万一级行业",[1]!s_info_industry_sw_2021(W2782,公司分析!D$5,1),IF($Y$3="申万二级行业",[1]!s_info_industry_sw_2021(W2782,公司分析!D$5,2),IF($Y$3="申万三级行业",[1]!s_info_industry_sw_2021(W2782,公司分析!D$5,3),IF($Y$3="wind一级行业",[1]!s_info_industry_gics(W2782,1),IF($Y$3="wind二级行业",[1]!s_info_industry_gics(W2782,2),IF($Y$3="wind三级行业",[1]!s_info_industry_gics(W2782,3),IF($Y$3="wind四级行业",[1]!s_info_industry_gics(W2782,4),IF($Y$3="证监会门类行业",[1]!s_info_industry_csrc12_n(W2782,公司分析!D$5,1),""))))))))</f>
        <v>风电设备</v>
      </c>
      <c r="Z2782" s="302" t="str">
        <f ca="1">IF(Y2782=行业比较!$E$6,ROW(),"")</f>
        <v/>
      </c>
    </row>
    <row r="2783" spans="22:26">
      <c r="V2783" s="260">
        <f t="shared" ca="1" si="51"/>
        <v>0</v>
      </c>
      <c r="W2783" s="348" t="str">
        <f>IF(板块成分!B2785="","",板块成分!B2785)</f>
        <v>301458.SZ</v>
      </c>
      <c r="X2783" s="276" t="str">
        <f>[1]!S_Info_Name(W2783)</f>
        <v>钧崴电子</v>
      </c>
      <c r="Y2783" s="276" t="str">
        <f ca="1">IF($Y$3="申万一级行业",[1]!s_info_industry_sw_2021(W2783,公司分析!D$5,1),IF($Y$3="申万二级行业",[1]!s_info_industry_sw_2021(W2783,公司分析!D$5,2),IF($Y$3="申万三级行业",[1]!s_info_industry_sw_2021(W2783,公司分析!D$5,3),IF($Y$3="wind一级行业",[1]!s_info_industry_gics(W2783,1),IF($Y$3="wind二级行业",[1]!s_info_industry_gics(W2783,2),IF($Y$3="wind三级行业",[1]!s_info_industry_gics(W2783,3),IF($Y$3="wind四级行业",[1]!s_info_industry_gics(W2783,4),IF($Y$3="证监会门类行业",[1]!s_info_industry_csrc12_n(W2783,公司分析!D$5,1),""))))))))</f>
        <v>元件</v>
      </c>
      <c r="Z2783" s="302" t="str">
        <f ca="1">IF(Y2783=行业比较!$E$6,ROW(),"")</f>
        <v/>
      </c>
    </row>
    <row r="2784" spans="22:26">
      <c r="V2784" s="260">
        <f t="shared" ca="1" si="51"/>
        <v>0</v>
      </c>
      <c r="W2784" s="348" t="str">
        <f>IF(板块成分!B2786="","",板块成分!B2786)</f>
        <v>301459.SZ</v>
      </c>
      <c r="X2784" s="276" t="str">
        <f>[1]!S_Info_Name(W2784)</f>
        <v>丰茂股份</v>
      </c>
      <c r="Y2784" s="276" t="str">
        <f ca="1">IF($Y$3="申万一级行业",[1]!s_info_industry_sw_2021(W2784,公司分析!D$5,1),IF($Y$3="申万二级行业",[1]!s_info_industry_sw_2021(W2784,公司分析!D$5,2),IF($Y$3="申万三级行业",[1]!s_info_industry_sw_2021(W2784,公司分析!D$5,3),IF($Y$3="wind一级行业",[1]!s_info_industry_gics(W2784,1),IF($Y$3="wind二级行业",[1]!s_info_industry_gics(W2784,2),IF($Y$3="wind三级行业",[1]!s_info_industry_gics(W2784,3),IF($Y$3="wind四级行业",[1]!s_info_industry_gics(W2784,4),IF($Y$3="证监会门类行业",[1]!s_info_industry_csrc12_n(W2784,公司分析!D$5,1),""))))))))</f>
        <v>橡胶</v>
      </c>
      <c r="Z2784" s="302" t="str">
        <f ca="1">IF(Y2784=行业比较!$E$6,ROW(),"")</f>
        <v/>
      </c>
    </row>
    <row r="2785" spans="22:26">
      <c r="V2785" s="260">
        <f t="shared" ca="1" si="51"/>
        <v>0</v>
      </c>
      <c r="W2785" s="348" t="str">
        <f>IF(板块成分!B2787="","",板块成分!B2787)</f>
        <v>301468.SZ</v>
      </c>
      <c r="X2785" s="276" t="str">
        <f>[1]!S_Info_Name(W2785)</f>
        <v>博盈特焊</v>
      </c>
      <c r="Y2785" s="276" t="str">
        <f ca="1">IF($Y$3="申万一级行业",[1]!s_info_industry_sw_2021(W2785,公司分析!D$5,1),IF($Y$3="申万二级行业",[1]!s_info_industry_sw_2021(W2785,公司分析!D$5,2),IF($Y$3="申万三级行业",[1]!s_info_industry_sw_2021(W2785,公司分析!D$5,3),IF($Y$3="wind一级行业",[1]!s_info_industry_gics(W2785,1),IF($Y$3="wind二级行业",[1]!s_info_industry_gics(W2785,2),IF($Y$3="wind三级行业",[1]!s_info_industry_gics(W2785,3),IF($Y$3="wind四级行业",[1]!s_info_industry_gics(W2785,4),IF($Y$3="证监会门类行业",[1]!s_info_industry_csrc12_n(W2785,公司分析!D$5,1),""))))))))</f>
        <v>通用设备</v>
      </c>
      <c r="Z2785" s="302" t="str">
        <f ca="1">IF(Y2785=行业比较!$E$6,ROW(),"")</f>
        <v/>
      </c>
    </row>
    <row r="2786" spans="22:26">
      <c r="V2786" s="260">
        <f t="shared" ca="1" si="51"/>
        <v>0</v>
      </c>
      <c r="W2786" s="348" t="str">
        <f>IF(板块成分!B2788="","",板块成分!B2788)</f>
        <v>301469.SZ</v>
      </c>
      <c r="X2786" s="276" t="str">
        <f>[1]!S_Info_Name(W2786)</f>
        <v>恒达新材</v>
      </c>
      <c r="Y2786" s="276" t="str">
        <f ca="1">IF($Y$3="申万一级行业",[1]!s_info_industry_sw_2021(W2786,公司分析!D$5,1),IF($Y$3="申万二级行业",[1]!s_info_industry_sw_2021(W2786,公司分析!D$5,2),IF($Y$3="申万三级行业",[1]!s_info_industry_sw_2021(W2786,公司分析!D$5,3),IF($Y$3="wind一级行业",[1]!s_info_industry_gics(W2786,1),IF($Y$3="wind二级行业",[1]!s_info_industry_gics(W2786,2),IF($Y$3="wind三级行业",[1]!s_info_industry_gics(W2786,3),IF($Y$3="wind四级行业",[1]!s_info_industry_gics(W2786,4),IF($Y$3="证监会门类行业",[1]!s_info_industry_csrc12_n(W2786,公司分析!D$5,1),""))))))))</f>
        <v>造纸</v>
      </c>
      <c r="Z2786" s="302" t="str">
        <f ca="1">IF(Y2786=行业比较!$E$6,ROW(),"")</f>
        <v/>
      </c>
    </row>
    <row r="2787" spans="22:26">
      <c r="V2787" s="260">
        <f t="shared" ca="1" si="51"/>
        <v>0</v>
      </c>
      <c r="W2787" s="348" t="str">
        <f>IF(板块成分!B2789="","",板块成分!B2789)</f>
        <v>301479.SZ</v>
      </c>
      <c r="X2787" s="276" t="str">
        <f>[1]!S_Info_Name(W2787)</f>
        <v>弘景光电</v>
      </c>
      <c r="Y2787" s="276" t="str">
        <f ca="1">IF($Y$3="申万一级行业",[1]!s_info_industry_sw_2021(W2787,公司分析!D$5,1),IF($Y$3="申万二级行业",[1]!s_info_industry_sw_2021(W2787,公司分析!D$5,2),IF($Y$3="申万三级行业",[1]!s_info_industry_sw_2021(W2787,公司分析!D$5,3),IF($Y$3="wind一级行业",[1]!s_info_industry_gics(W2787,1),IF($Y$3="wind二级行业",[1]!s_info_industry_gics(W2787,2),IF($Y$3="wind三级行业",[1]!s_info_industry_gics(W2787,3),IF($Y$3="wind四级行业",[1]!s_info_industry_gics(W2787,4),IF($Y$3="证监会门类行业",[1]!s_info_industry_csrc12_n(W2787,公司分析!D$5,1),""))))))))</f>
        <v>光学光电子</v>
      </c>
      <c r="Z2787" s="302" t="str">
        <f ca="1">IF(Y2787=行业比较!$E$6,ROW(),"")</f>
        <v/>
      </c>
    </row>
    <row r="2788" spans="22:26">
      <c r="V2788" s="260">
        <f t="shared" ca="1" si="51"/>
        <v>0</v>
      </c>
      <c r="W2788" s="348" t="str">
        <f>IF(板块成分!B2790="","",板块成分!B2790)</f>
        <v>301486.SZ</v>
      </c>
      <c r="X2788" s="276" t="str">
        <f>[1]!S_Info_Name(W2788)</f>
        <v>致尚科技</v>
      </c>
      <c r="Y2788" s="276" t="str">
        <f ca="1">IF($Y$3="申万一级行业",[1]!s_info_industry_sw_2021(W2788,公司分析!D$5,1),IF($Y$3="申万二级行业",[1]!s_info_industry_sw_2021(W2788,公司分析!D$5,2),IF($Y$3="申万三级行业",[1]!s_info_industry_sw_2021(W2788,公司分析!D$5,3),IF($Y$3="wind一级行业",[1]!s_info_industry_gics(W2788,1),IF($Y$3="wind二级行业",[1]!s_info_industry_gics(W2788,2),IF($Y$3="wind三级行业",[1]!s_info_industry_gics(W2788,3),IF($Y$3="wind四级行业",[1]!s_info_industry_gics(W2788,4),IF($Y$3="证监会门类行业",[1]!s_info_industry_csrc12_n(W2788,公司分析!D$5,1),""))))))))</f>
        <v>消费电子</v>
      </c>
      <c r="Z2788" s="302" t="str">
        <f ca="1">IF(Y2788=行业比较!$E$6,ROW(),"")</f>
        <v/>
      </c>
    </row>
    <row r="2789" spans="22:26">
      <c r="V2789" s="260">
        <f t="shared" ca="1" si="51"/>
        <v>0</v>
      </c>
      <c r="W2789" s="348" t="str">
        <f>IF(板块成分!B2791="","",板块成分!B2791)</f>
        <v>301487.SZ</v>
      </c>
      <c r="X2789" s="276" t="str">
        <f>[1]!S_Info_Name(W2789)</f>
        <v>盟固利</v>
      </c>
      <c r="Y2789" s="276" t="str">
        <f ca="1">IF($Y$3="申万一级行业",[1]!s_info_industry_sw_2021(W2789,公司分析!D$5,1),IF($Y$3="申万二级行业",[1]!s_info_industry_sw_2021(W2789,公司分析!D$5,2),IF($Y$3="申万三级行业",[1]!s_info_industry_sw_2021(W2789,公司分析!D$5,3),IF($Y$3="wind一级行业",[1]!s_info_industry_gics(W2789,1),IF($Y$3="wind二级行业",[1]!s_info_industry_gics(W2789,2),IF($Y$3="wind三级行业",[1]!s_info_industry_gics(W2789,3),IF($Y$3="wind四级行业",[1]!s_info_industry_gics(W2789,4),IF($Y$3="证监会门类行业",[1]!s_info_industry_csrc12_n(W2789,公司分析!D$5,1),""))))))))</f>
        <v>电池</v>
      </c>
      <c r="Z2789" s="302" t="str">
        <f ca="1">IF(Y2789=行业比较!$E$6,ROW(),"")</f>
        <v/>
      </c>
    </row>
    <row r="2790" spans="22:26">
      <c r="V2790" s="260">
        <f t="shared" ca="1" si="51"/>
        <v>0</v>
      </c>
      <c r="W2790" s="348" t="str">
        <f>IF(板块成分!B2792="","",板块成分!B2792)</f>
        <v>301488.SZ</v>
      </c>
      <c r="X2790" s="276" t="str">
        <f>[1]!S_Info_Name(W2790)</f>
        <v>豪恩汽电</v>
      </c>
      <c r="Y2790" s="276" t="str">
        <f ca="1">IF($Y$3="申万一级行业",[1]!s_info_industry_sw_2021(W2790,公司分析!D$5,1),IF($Y$3="申万二级行业",[1]!s_info_industry_sw_2021(W2790,公司分析!D$5,2),IF($Y$3="申万三级行业",[1]!s_info_industry_sw_2021(W2790,公司分析!D$5,3),IF($Y$3="wind一级行业",[1]!s_info_industry_gics(W2790,1),IF($Y$3="wind二级行业",[1]!s_info_industry_gics(W2790,2),IF($Y$3="wind三级行业",[1]!s_info_industry_gics(W2790,3),IF($Y$3="wind四级行业",[1]!s_info_industry_gics(W2790,4),IF($Y$3="证监会门类行业",[1]!s_info_industry_csrc12_n(W2790,公司分析!D$5,1),""))))))))</f>
        <v>汽车零部件</v>
      </c>
      <c r="Z2790" s="302" t="str">
        <f ca="1">IF(Y2790=行业比较!$E$6,ROW(),"")</f>
        <v/>
      </c>
    </row>
    <row r="2791" spans="22:26">
      <c r="V2791" s="260">
        <f t="shared" ca="1" si="51"/>
        <v>0</v>
      </c>
      <c r="W2791" s="348" t="str">
        <f>IF(板块成分!B2793="","",板块成分!B2793)</f>
        <v>301489.SZ</v>
      </c>
      <c r="X2791" s="276" t="str">
        <f>[1]!S_Info_Name(W2791)</f>
        <v>思泉新材</v>
      </c>
      <c r="Y2791" s="276" t="str">
        <f ca="1">IF($Y$3="申万一级行业",[1]!s_info_industry_sw_2021(W2791,公司分析!D$5,1),IF($Y$3="申万二级行业",[1]!s_info_industry_sw_2021(W2791,公司分析!D$5,2),IF($Y$3="申万三级行业",[1]!s_info_industry_sw_2021(W2791,公司分析!D$5,3),IF($Y$3="wind一级行业",[1]!s_info_industry_gics(W2791,1),IF($Y$3="wind二级行业",[1]!s_info_industry_gics(W2791,2),IF($Y$3="wind三级行业",[1]!s_info_industry_gics(W2791,3),IF($Y$3="wind四级行业",[1]!s_info_industry_gics(W2791,4),IF($Y$3="证监会门类行业",[1]!s_info_industry_csrc12_n(W2791,公司分析!D$5,1),""))))))))</f>
        <v>电子化学品Ⅱ</v>
      </c>
      <c r="Z2791" s="302" t="str">
        <f ca="1">IF(Y2791=行业比较!$E$6,ROW(),"")</f>
        <v/>
      </c>
    </row>
    <row r="2792" spans="22:26">
      <c r="V2792" s="260">
        <f t="shared" ca="1" si="51"/>
        <v>0</v>
      </c>
      <c r="W2792" s="348" t="str">
        <f>IF(板块成分!B2794="","",板块成分!B2794)</f>
        <v>301491.SZ</v>
      </c>
      <c r="X2792" s="276" t="str">
        <f>[1]!S_Info_Name(W2792)</f>
        <v>汉桑科技</v>
      </c>
      <c r="Y2792" s="276" t="str">
        <f ca="1">IF($Y$3="申万一级行业",[1]!s_info_industry_sw_2021(W2792,公司分析!D$5,1),IF($Y$3="申万二级行业",[1]!s_info_industry_sw_2021(W2792,公司分析!D$5,2),IF($Y$3="申万三级行业",[1]!s_info_industry_sw_2021(W2792,公司分析!D$5,3),IF($Y$3="wind一级行业",[1]!s_info_industry_gics(W2792,1),IF($Y$3="wind二级行业",[1]!s_info_industry_gics(W2792,2),IF($Y$3="wind三级行业",[1]!s_info_industry_gics(W2792,3),IF($Y$3="wind四级行业",[1]!s_info_industry_gics(W2792,4),IF($Y$3="证监会门类行业",[1]!s_info_industry_csrc12_n(W2792,公司分析!D$5,1),""))))))))</f>
        <v>消费电子</v>
      </c>
      <c r="Z2792" s="302" t="str">
        <f ca="1">IF(Y2792=行业比较!$E$6,ROW(),"")</f>
        <v/>
      </c>
    </row>
    <row r="2793" spans="22:26">
      <c r="V2793" s="260">
        <f t="shared" ca="1" si="51"/>
        <v>0</v>
      </c>
      <c r="W2793" s="348" t="str">
        <f>IF(板块成分!B2795="","",板块成分!B2795)</f>
        <v>301498.SZ</v>
      </c>
      <c r="X2793" s="276" t="str">
        <f>[1]!S_Info_Name(W2793)</f>
        <v>乖宝宠物</v>
      </c>
      <c r="Y2793" s="276" t="str">
        <f ca="1">IF($Y$3="申万一级行业",[1]!s_info_industry_sw_2021(W2793,公司分析!D$5,1),IF($Y$3="申万二级行业",[1]!s_info_industry_sw_2021(W2793,公司分析!D$5,2),IF($Y$3="申万三级行业",[1]!s_info_industry_sw_2021(W2793,公司分析!D$5,3),IF($Y$3="wind一级行业",[1]!s_info_industry_gics(W2793,1),IF($Y$3="wind二级行业",[1]!s_info_industry_gics(W2793,2),IF($Y$3="wind三级行业",[1]!s_info_industry_gics(W2793,3),IF($Y$3="wind四级行业",[1]!s_info_industry_gics(W2793,4),IF($Y$3="证监会门类行业",[1]!s_info_industry_csrc12_n(W2793,公司分析!D$5,1),""))))))))</f>
        <v>饲料</v>
      </c>
      <c r="Z2793" s="302" t="str">
        <f ca="1">IF(Y2793=行业比较!$E$6,ROW(),"")</f>
        <v/>
      </c>
    </row>
    <row r="2794" spans="22:26">
      <c r="V2794" s="260">
        <f t="shared" ca="1" si="51"/>
        <v>0</v>
      </c>
      <c r="W2794" s="348" t="str">
        <f>IF(板块成分!B2796="","",板块成分!B2796)</f>
        <v>301499.SZ</v>
      </c>
      <c r="X2794" s="276" t="str">
        <f>[1]!S_Info_Name(W2794)</f>
        <v>维科精密</v>
      </c>
      <c r="Y2794" s="276" t="str">
        <f ca="1">IF($Y$3="申万一级行业",[1]!s_info_industry_sw_2021(W2794,公司分析!D$5,1),IF($Y$3="申万二级行业",[1]!s_info_industry_sw_2021(W2794,公司分析!D$5,2),IF($Y$3="申万三级行业",[1]!s_info_industry_sw_2021(W2794,公司分析!D$5,3),IF($Y$3="wind一级行业",[1]!s_info_industry_gics(W2794,1),IF($Y$3="wind二级行业",[1]!s_info_industry_gics(W2794,2),IF($Y$3="wind三级行业",[1]!s_info_industry_gics(W2794,3),IF($Y$3="wind四级行业",[1]!s_info_industry_gics(W2794,4),IF($Y$3="证监会门类行业",[1]!s_info_industry_csrc12_n(W2794,公司分析!D$5,1),""))))))))</f>
        <v>汽车零部件</v>
      </c>
      <c r="Z2794" s="302" t="str">
        <f ca="1">IF(Y2794=行业比较!$E$6,ROW(),"")</f>
        <v/>
      </c>
    </row>
    <row r="2795" spans="22:26">
      <c r="V2795" s="260">
        <f t="shared" ca="1" si="51"/>
        <v>0</v>
      </c>
      <c r="W2795" s="348" t="str">
        <f>IF(板块成分!B2797="","",板块成分!B2797)</f>
        <v>301500.SZ</v>
      </c>
      <c r="X2795" s="276" t="str">
        <f>[1]!S_Info_Name(W2795)</f>
        <v>飞南资源</v>
      </c>
      <c r="Y2795" s="276" t="str">
        <f ca="1">IF($Y$3="申万一级行业",[1]!s_info_industry_sw_2021(W2795,公司分析!D$5,1),IF($Y$3="申万二级行业",[1]!s_info_industry_sw_2021(W2795,公司分析!D$5,2),IF($Y$3="申万三级行业",[1]!s_info_industry_sw_2021(W2795,公司分析!D$5,3),IF($Y$3="wind一级行业",[1]!s_info_industry_gics(W2795,1),IF($Y$3="wind二级行业",[1]!s_info_industry_gics(W2795,2),IF($Y$3="wind三级行业",[1]!s_info_industry_gics(W2795,3),IF($Y$3="wind四级行业",[1]!s_info_industry_gics(W2795,4),IF($Y$3="证监会门类行业",[1]!s_info_industry_csrc12_n(W2795,公司分析!D$5,1),""))))))))</f>
        <v>环境治理</v>
      </c>
      <c r="Z2795" s="302" t="str">
        <f ca="1">IF(Y2795=行业比较!$E$6,ROW(),"")</f>
        <v/>
      </c>
    </row>
    <row r="2796" spans="22:26">
      <c r="V2796" s="260">
        <f t="shared" ca="1" si="51"/>
        <v>0</v>
      </c>
      <c r="W2796" s="348" t="str">
        <f>IF(板块成分!B2798="","",板块成分!B2798)</f>
        <v>301501.SZ</v>
      </c>
      <c r="X2796" s="276" t="str">
        <f>[1]!S_Info_Name(W2796)</f>
        <v>恒鑫生活</v>
      </c>
      <c r="Y2796" s="276" t="str">
        <f ca="1">IF($Y$3="申万一级行业",[1]!s_info_industry_sw_2021(W2796,公司分析!D$5,1),IF($Y$3="申万二级行业",[1]!s_info_industry_sw_2021(W2796,公司分析!D$5,2),IF($Y$3="申万三级行业",[1]!s_info_industry_sw_2021(W2796,公司分析!D$5,3),IF($Y$3="wind一级行业",[1]!s_info_industry_gics(W2796,1),IF($Y$3="wind二级行业",[1]!s_info_industry_gics(W2796,2),IF($Y$3="wind三级行业",[1]!s_info_industry_gics(W2796,3),IF($Y$3="wind四级行业",[1]!s_info_industry_gics(W2796,4),IF($Y$3="证监会门类行业",[1]!s_info_industry_csrc12_n(W2796,公司分析!D$5,1),""))))))))</f>
        <v>家居用品</v>
      </c>
      <c r="Z2796" s="302" t="str">
        <f ca="1">IF(Y2796=行业比较!$E$6,ROW(),"")</f>
        <v/>
      </c>
    </row>
    <row r="2797" spans="22:26">
      <c r="V2797" s="260">
        <f t="shared" ca="1" si="51"/>
        <v>0</v>
      </c>
      <c r="W2797" s="348" t="str">
        <f>IF(板块成分!B2799="","",板块成分!B2799)</f>
        <v>301502.SZ</v>
      </c>
      <c r="X2797" s="276" t="str">
        <f>[1]!S_Info_Name(W2797)</f>
        <v>华阳智能</v>
      </c>
      <c r="Y2797" s="276" t="str">
        <f ca="1">IF($Y$3="申万一级行业",[1]!s_info_industry_sw_2021(W2797,公司分析!D$5,1),IF($Y$3="申万二级行业",[1]!s_info_industry_sw_2021(W2797,公司分析!D$5,2),IF($Y$3="申万三级行业",[1]!s_info_industry_sw_2021(W2797,公司分析!D$5,3),IF($Y$3="wind一级行业",[1]!s_info_industry_gics(W2797,1),IF($Y$3="wind二级行业",[1]!s_info_industry_gics(W2797,2),IF($Y$3="wind三级行业",[1]!s_info_industry_gics(W2797,3),IF($Y$3="wind四级行业",[1]!s_info_industry_gics(W2797,4),IF($Y$3="证监会门类行业",[1]!s_info_industry_csrc12_n(W2797,公司分析!D$5,1),""))))))))</f>
        <v>电机Ⅱ</v>
      </c>
      <c r="Z2797" s="302" t="str">
        <f ca="1">IF(Y2797=行业比较!$E$6,ROW(),"")</f>
        <v/>
      </c>
    </row>
    <row r="2798" spans="22:26">
      <c r="V2798" s="260">
        <f t="shared" ca="1" si="51"/>
        <v>0</v>
      </c>
      <c r="W2798" s="348" t="str">
        <f>IF(板块成分!B2800="","",板块成分!B2800)</f>
        <v>301503.SZ</v>
      </c>
      <c r="X2798" s="276" t="str">
        <f>[1]!S_Info_Name(W2798)</f>
        <v>智迪科技</v>
      </c>
      <c r="Y2798" s="276" t="str">
        <f ca="1">IF($Y$3="申万一级行业",[1]!s_info_industry_sw_2021(W2798,公司分析!D$5,1),IF($Y$3="申万二级行业",[1]!s_info_industry_sw_2021(W2798,公司分析!D$5,2),IF($Y$3="申万三级行业",[1]!s_info_industry_sw_2021(W2798,公司分析!D$5,3),IF($Y$3="wind一级行业",[1]!s_info_industry_gics(W2798,1),IF($Y$3="wind二级行业",[1]!s_info_industry_gics(W2798,2),IF($Y$3="wind三级行业",[1]!s_info_industry_gics(W2798,3),IF($Y$3="wind四级行业",[1]!s_info_industry_gics(W2798,4),IF($Y$3="证监会门类行业",[1]!s_info_industry_csrc12_n(W2798,公司分析!D$5,1),""))))))))</f>
        <v>计算机设备</v>
      </c>
      <c r="Z2798" s="302" t="str">
        <f ca="1">IF(Y2798=行业比较!$E$6,ROW(),"")</f>
        <v/>
      </c>
    </row>
    <row r="2799" spans="22:26">
      <c r="V2799" s="260">
        <f t="shared" ca="1" si="51"/>
        <v>0</v>
      </c>
      <c r="W2799" s="348" t="str">
        <f>IF(板块成分!B2801="","",板块成分!B2801)</f>
        <v>301505.SZ</v>
      </c>
      <c r="X2799" s="276" t="str">
        <f>[1]!S_Info_Name(W2799)</f>
        <v>苏州规划</v>
      </c>
      <c r="Y2799" s="276" t="str">
        <f ca="1">IF($Y$3="申万一级行业",[1]!s_info_industry_sw_2021(W2799,公司分析!D$5,1),IF($Y$3="申万二级行业",[1]!s_info_industry_sw_2021(W2799,公司分析!D$5,2),IF($Y$3="申万三级行业",[1]!s_info_industry_sw_2021(W2799,公司分析!D$5,3),IF($Y$3="wind一级行业",[1]!s_info_industry_gics(W2799,1),IF($Y$3="wind二级行业",[1]!s_info_industry_gics(W2799,2),IF($Y$3="wind三级行业",[1]!s_info_industry_gics(W2799,3),IF($Y$3="wind四级行业",[1]!s_info_industry_gics(W2799,4),IF($Y$3="证监会门类行业",[1]!s_info_industry_csrc12_n(W2799,公司分析!D$5,1),""))))))))</f>
        <v>工程咨询服务Ⅱ</v>
      </c>
      <c r="Z2799" s="302" t="str">
        <f ca="1">IF(Y2799=行业比较!$E$6,ROW(),"")</f>
        <v/>
      </c>
    </row>
    <row r="2800" spans="22:26">
      <c r="V2800" s="260">
        <f t="shared" ca="1" si="51"/>
        <v>0</v>
      </c>
      <c r="W2800" s="348" t="str">
        <f>IF(板块成分!B2802="","",板块成分!B2802)</f>
        <v>301507.SZ</v>
      </c>
      <c r="X2800" s="276" t="str">
        <f>[1]!S_Info_Name(W2800)</f>
        <v>民生健康</v>
      </c>
      <c r="Y2800" s="276" t="str">
        <f ca="1">IF($Y$3="申万一级行业",[1]!s_info_industry_sw_2021(W2800,公司分析!D$5,1),IF($Y$3="申万二级行业",[1]!s_info_industry_sw_2021(W2800,公司分析!D$5,2),IF($Y$3="申万三级行业",[1]!s_info_industry_sw_2021(W2800,公司分析!D$5,3),IF($Y$3="wind一级行业",[1]!s_info_industry_gics(W2800,1),IF($Y$3="wind二级行业",[1]!s_info_industry_gics(W2800,2),IF($Y$3="wind三级行业",[1]!s_info_industry_gics(W2800,3),IF($Y$3="wind四级行业",[1]!s_info_industry_gics(W2800,4),IF($Y$3="证监会门类行业",[1]!s_info_industry_csrc12_n(W2800,公司分析!D$5,1),""))))))))</f>
        <v>化学制药</v>
      </c>
      <c r="Z2800" s="302" t="str">
        <f ca="1">IF(Y2800=行业比较!$E$6,ROW(),"")</f>
        <v/>
      </c>
    </row>
    <row r="2801" spans="22:26">
      <c r="V2801" s="260">
        <f t="shared" ca="1" si="51"/>
        <v>0</v>
      </c>
      <c r="W2801" s="348" t="str">
        <f>IF(板块成分!B2803="","",板块成分!B2803)</f>
        <v>301508.SZ</v>
      </c>
      <c r="X2801" s="276" t="str">
        <f>[1]!S_Info_Name(W2801)</f>
        <v>中机认检</v>
      </c>
      <c r="Y2801" s="276" t="str">
        <f ca="1">IF($Y$3="申万一级行业",[1]!s_info_industry_sw_2021(W2801,公司分析!D$5,1),IF($Y$3="申万二级行业",[1]!s_info_industry_sw_2021(W2801,公司分析!D$5,2),IF($Y$3="申万三级行业",[1]!s_info_industry_sw_2021(W2801,公司分析!D$5,3),IF($Y$3="wind一级行业",[1]!s_info_industry_gics(W2801,1),IF($Y$3="wind二级行业",[1]!s_info_industry_gics(W2801,2),IF($Y$3="wind三级行业",[1]!s_info_industry_gics(W2801,3),IF($Y$3="wind四级行业",[1]!s_info_industry_gics(W2801,4),IF($Y$3="证监会门类行业",[1]!s_info_industry_csrc12_n(W2801,公司分析!D$5,1),""))))))))</f>
        <v>专业服务</v>
      </c>
      <c r="Z2801" s="302" t="str">
        <f ca="1">IF(Y2801=行业比较!$E$6,ROW(),"")</f>
        <v/>
      </c>
    </row>
    <row r="2802" spans="22:26">
      <c r="V2802" s="260">
        <f t="shared" ca="1" si="51"/>
        <v>0</v>
      </c>
      <c r="W2802" s="348" t="str">
        <f>IF(板块成分!B2804="","",板块成分!B2804)</f>
        <v>301509.SZ</v>
      </c>
      <c r="X2802" s="276" t="str">
        <f>[1]!S_Info_Name(W2802)</f>
        <v>金凯生科</v>
      </c>
      <c r="Y2802" s="276" t="str">
        <f ca="1">IF($Y$3="申万一级行业",[1]!s_info_industry_sw_2021(W2802,公司分析!D$5,1),IF($Y$3="申万二级行业",[1]!s_info_industry_sw_2021(W2802,公司分析!D$5,2),IF($Y$3="申万三级行业",[1]!s_info_industry_sw_2021(W2802,公司分析!D$5,3),IF($Y$3="wind一级行业",[1]!s_info_industry_gics(W2802,1),IF($Y$3="wind二级行业",[1]!s_info_industry_gics(W2802,2),IF($Y$3="wind三级行业",[1]!s_info_industry_gics(W2802,3),IF($Y$3="wind四级行业",[1]!s_info_industry_gics(W2802,4),IF($Y$3="证监会门类行业",[1]!s_info_industry_csrc12_n(W2802,公司分析!D$5,1),""))))))))</f>
        <v>医疗服务</v>
      </c>
      <c r="Z2802" s="302" t="str">
        <f ca="1">IF(Y2802=行业比较!$E$6,ROW(),"")</f>
        <v/>
      </c>
    </row>
    <row r="2803" spans="22:26">
      <c r="V2803" s="260">
        <f t="shared" ca="1" si="51"/>
        <v>0</v>
      </c>
      <c r="W2803" s="348" t="str">
        <f>IF(板块成分!B2805="","",板块成分!B2805)</f>
        <v>301510.SZ</v>
      </c>
      <c r="X2803" s="276" t="str">
        <f>[1]!S_Info_Name(W2803)</f>
        <v>固高科技</v>
      </c>
      <c r="Y2803" s="276" t="str">
        <f ca="1">IF($Y$3="申万一级行业",[1]!s_info_industry_sw_2021(W2803,公司分析!D$5,1),IF($Y$3="申万二级行业",[1]!s_info_industry_sw_2021(W2803,公司分析!D$5,2),IF($Y$3="申万三级行业",[1]!s_info_industry_sw_2021(W2803,公司分析!D$5,3),IF($Y$3="wind一级行业",[1]!s_info_industry_gics(W2803,1),IF($Y$3="wind二级行业",[1]!s_info_industry_gics(W2803,2),IF($Y$3="wind三级行业",[1]!s_info_industry_gics(W2803,3),IF($Y$3="wind四级行业",[1]!s_info_industry_gics(W2803,4),IF($Y$3="证监会门类行业",[1]!s_info_industry_csrc12_n(W2803,公司分析!D$5,1),""))))))))</f>
        <v>自动化设备</v>
      </c>
      <c r="Z2803" s="302" t="str">
        <f ca="1">IF(Y2803=行业比较!$E$6,ROW(),"")</f>
        <v/>
      </c>
    </row>
    <row r="2804" spans="22:26">
      <c r="V2804" s="260">
        <f t="shared" ca="1" si="51"/>
        <v>0</v>
      </c>
      <c r="W2804" s="348" t="str">
        <f>IF(板块成分!B2806="","",板块成分!B2806)</f>
        <v>301511.SZ</v>
      </c>
      <c r="X2804" s="276" t="str">
        <f>[1]!S_Info_Name(W2804)</f>
        <v>德福科技</v>
      </c>
      <c r="Y2804" s="276" t="str">
        <f ca="1">IF($Y$3="申万一级行业",[1]!s_info_industry_sw_2021(W2804,公司分析!D$5,1),IF($Y$3="申万二级行业",[1]!s_info_industry_sw_2021(W2804,公司分析!D$5,2),IF($Y$3="申万三级行业",[1]!s_info_industry_sw_2021(W2804,公司分析!D$5,3),IF($Y$3="wind一级行业",[1]!s_info_industry_gics(W2804,1),IF($Y$3="wind二级行业",[1]!s_info_industry_gics(W2804,2),IF($Y$3="wind三级行业",[1]!s_info_industry_gics(W2804,3),IF($Y$3="wind四级行业",[1]!s_info_industry_gics(W2804,4),IF($Y$3="证监会门类行业",[1]!s_info_industry_csrc12_n(W2804,公司分析!D$5,1),""))))))))</f>
        <v>电池</v>
      </c>
      <c r="Z2804" s="302" t="str">
        <f ca="1">IF(Y2804=行业比较!$E$6,ROW(),"")</f>
        <v/>
      </c>
    </row>
    <row r="2805" spans="22:26">
      <c r="V2805" s="260">
        <f t="shared" ca="1" si="51"/>
        <v>0</v>
      </c>
      <c r="W2805" s="348" t="str">
        <f>IF(板块成分!B2807="","",板块成分!B2807)</f>
        <v>301512.SZ</v>
      </c>
      <c r="X2805" s="276" t="str">
        <f>[1]!S_Info_Name(W2805)</f>
        <v>智信精密</v>
      </c>
      <c r="Y2805" s="276" t="str">
        <f ca="1">IF($Y$3="申万一级行业",[1]!s_info_industry_sw_2021(W2805,公司分析!D$5,1),IF($Y$3="申万二级行业",[1]!s_info_industry_sw_2021(W2805,公司分析!D$5,2),IF($Y$3="申万三级行业",[1]!s_info_industry_sw_2021(W2805,公司分析!D$5,3),IF($Y$3="wind一级行业",[1]!s_info_industry_gics(W2805,1),IF($Y$3="wind二级行业",[1]!s_info_industry_gics(W2805,2),IF($Y$3="wind三级行业",[1]!s_info_industry_gics(W2805,3),IF($Y$3="wind四级行业",[1]!s_info_industry_gics(W2805,4),IF($Y$3="证监会门类行业",[1]!s_info_industry_csrc12_n(W2805,公司分析!D$5,1),""))))))))</f>
        <v>自动化设备</v>
      </c>
      <c r="Z2805" s="302" t="str">
        <f ca="1">IF(Y2805=行业比较!$E$6,ROW(),"")</f>
        <v/>
      </c>
    </row>
    <row r="2806" spans="22:26">
      <c r="V2806" s="260">
        <f t="shared" ca="1" si="51"/>
        <v>0</v>
      </c>
      <c r="W2806" s="348" t="str">
        <f>IF(板块成分!B2808="","",板块成分!B2808)</f>
        <v>301515.SZ</v>
      </c>
      <c r="X2806" s="276" t="str">
        <f>[1]!S_Info_Name(W2806)</f>
        <v>港通医疗</v>
      </c>
      <c r="Y2806" s="276" t="str">
        <f ca="1">IF($Y$3="申万一级行业",[1]!s_info_industry_sw_2021(W2806,公司分析!D$5,1),IF($Y$3="申万二级行业",[1]!s_info_industry_sw_2021(W2806,公司分析!D$5,2),IF($Y$3="申万三级行业",[1]!s_info_industry_sw_2021(W2806,公司分析!D$5,3),IF($Y$3="wind一级行业",[1]!s_info_industry_gics(W2806,1),IF($Y$3="wind二级行业",[1]!s_info_industry_gics(W2806,2),IF($Y$3="wind三级行业",[1]!s_info_industry_gics(W2806,3),IF($Y$3="wind四级行业",[1]!s_info_industry_gics(W2806,4),IF($Y$3="证监会门类行业",[1]!s_info_industry_csrc12_n(W2806,公司分析!D$5,1),""))))))))</f>
        <v>医疗器械</v>
      </c>
      <c r="Z2806" s="302" t="str">
        <f ca="1">IF(Y2806=行业比较!$E$6,ROW(),"")</f>
        <v/>
      </c>
    </row>
    <row r="2807" spans="22:26">
      <c r="V2807" s="260">
        <f t="shared" ca="1" si="51"/>
        <v>0</v>
      </c>
      <c r="W2807" s="348" t="str">
        <f>IF(板块成分!B2809="","",板块成分!B2809)</f>
        <v>301516.SZ</v>
      </c>
      <c r="X2807" s="276" t="str">
        <f>[1]!S_Info_Name(W2807)</f>
        <v>中远通</v>
      </c>
      <c r="Y2807" s="276" t="str">
        <f ca="1">IF($Y$3="申万一级行业",[1]!s_info_industry_sw_2021(W2807,公司分析!D$5,1),IF($Y$3="申万二级行业",[1]!s_info_industry_sw_2021(W2807,公司分析!D$5,2),IF($Y$3="申万三级行业",[1]!s_info_industry_sw_2021(W2807,公司分析!D$5,3),IF($Y$3="wind一级行业",[1]!s_info_industry_gics(W2807,1),IF($Y$3="wind二级行业",[1]!s_info_industry_gics(W2807,2),IF($Y$3="wind三级行业",[1]!s_info_industry_gics(W2807,3),IF($Y$3="wind四级行业",[1]!s_info_industry_gics(W2807,4),IF($Y$3="证监会门类行业",[1]!s_info_industry_csrc12_n(W2807,公司分析!D$5,1),""))))))))</f>
        <v>其他电源设备Ⅱ</v>
      </c>
      <c r="Z2807" s="302" t="str">
        <f ca="1">IF(Y2807=行业比较!$E$6,ROW(),"")</f>
        <v/>
      </c>
    </row>
    <row r="2808" spans="22:26">
      <c r="V2808" s="260">
        <f t="shared" ca="1" si="51"/>
        <v>0</v>
      </c>
      <c r="W2808" s="348" t="str">
        <f>IF(板块成分!B2810="","",板块成分!B2810)</f>
        <v>301517.SZ</v>
      </c>
      <c r="X2808" s="276" t="str">
        <f>[1]!S_Info_Name(W2808)</f>
        <v>陕西华达</v>
      </c>
      <c r="Y2808" s="276" t="str">
        <f ca="1">IF($Y$3="申万一级行业",[1]!s_info_industry_sw_2021(W2808,公司分析!D$5,1),IF($Y$3="申万二级行业",[1]!s_info_industry_sw_2021(W2808,公司分析!D$5,2),IF($Y$3="申万三级行业",[1]!s_info_industry_sw_2021(W2808,公司分析!D$5,3),IF($Y$3="wind一级行业",[1]!s_info_industry_gics(W2808,1),IF($Y$3="wind二级行业",[1]!s_info_industry_gics(W2808,2),IF($Y$3="wind三级行业",[1]!s_info_industry_gics(W2808,3),IF($Y$3="wind四级行业",[1]!s_info_industry_gics(W2808,4),IF($Y$3="证监会门类行业",[1]!s_info_industry_csrc12_n(W2808,公司分析!D$5,1),""))))))))</f>
        <v>军工电子Ⅱ</v>
      </c>
      <c r="Z2808" s="302" t="str">
        <f ca="1">IF(Y2808=行业比较!$E$6,ROW(),"")</f>
        <v/>
      </c>
    </row>
    <row r="2809" spans="22:26">
      <c r="V2809" s="260">
        <f t="shared" ca="1" si="51"/>
        <v>0</v>
      </c>
      <c r="W2809" s="348" t="str">
        <f>IF(板块成分!B2811="","",板块成分!B2811)</f>
        <v>301518.SZ</v>
      </c>
      <c r="X2809" s="276" t="str">
        <f>[1]!S_Info_Name(W2809)</f>
        <v>长华化学</v>
      </c>
      <c r="Y2809" s="276" t="str">
        <f ca="1">IF($Y$3="申万一级行业",[1]!s_info_industry_sw_2021(W2809,公司分析!D$5,1),IF($Y$3="申万二级行业",[1]!s_info_industry_sw_2021(W2809,公司分析!D$5,2),IF($Y$3="申万三级行业",[1]!s_info_industry_sw_2021(W2809,公司分析!D$5,3),IF($Y$3="wind一级行业",[1]!s_info_industry_gics(W2809,1),IF($Y$3="wind二级行业",[1]!s_info_industry_gics(W2809,2),IF($Y$3="wind三级行业",[1]!s_info_industry_gics(W2809,3),IF($Y$3="wind四级行业",[1]!s_info_industry_gics(W2809,4),IF($Y$3="证监会门类行业",[1]!s_info_industry_csrc12_n(W2809,公司分析!D$5,1),""))))))))</f>
        <v>化学制品</v>
      </c>
      <c r="Z2809" s="302" t="str">
        <f ca="1">IF(Y2809=行业比较!$E$6,ROW(),"")</f>
        <v/>
      </c>
    </row>
    <row r="2810" spans="22:26">
      <c r="V2810" s="260">
        <f t="shared" ca="1" si="51"/>
        <v>0</v>
      </c>
      <c r="W2810" s="348" t="str">
        <f>IF(板块成分!B2812="","",板块成分!B2812)</f>
        <v>301519.SZ</v>
      </c>
      <c r="X2810" s="276" t="str">
        <f>[1]!S_Info_Name(W2810)</f>
        <v>舜禹股份</v>
      </c>
      <c r="Y2810" s="276" t="str">
        <f ca="1">IF($Y$3="申万一级行业",[1]!s_info_industry_sw_2021(W2810,公司分析!D$5,1),IF($Y$3="申万二级行业",[1]!s_info_industry_sw_2021(W2810,公司分析!D$5,2),IF($Y$3="申万三级行业",[1]!s_info_industry_sw_2021(W2810,公司分析!D$5,3),IF($Y$3="wind一级行业",[1]!s_info_industry_gics(W2810,1),IF($Y$3="wind二级行业",[1]!s_info_industry_gics(W2810,2),IF($Y$3="wind三级行业",[1]!s_info_industry_gics(W2810,3),IF($Y$3="wind四级行业",[1]!s_info_industry_gics(W2810,4),IF($Y$3="证监会门类行业",[1]!s_info_industry_csrc12_n(W2810,公司分析!D$5,1),""))))))))</f>
        <v>环境治理</v>
      </c>
      <c r="Z2810" s="302" t="str">
        <f ca="1">IF(Y2810=行业比较!$E$6,ROW(),"")</f>
        <v/>
      </c>
    </row>
    <row r="2811" spans="22:26">
      <c r="V2811" s="260">
        <f t="shared" ca="1" si="51"/>
        <v>0</v>
      </c>
      <c r="W2811" s="348" t="str">
        <f>IF(板块成分!B2813="","",板块成分!B2813)</f>
        <v>301520.SZ</v>
      </c>
      <c r="X2811" s="276" t="str">
        <f>[1]!S_Info_Name(W2811)</f>
        <v>万邦医药</v>
      </c>
      <c r="Y2811" s="276" t="str">
        <f ca="1">IF($Y$3="申万一级行业",[1]!s_info_industry_sw_2021(W2811,公司分析!D$5,1),IF($Y$3="申万二级行业",[1]!s_info_industry_sw_2021(W2811,公司分析!D$5,2),IF($Y$3="申万三级行业",[1]!s_info_industry_sw_2021(W2811,公司分析!D$5,3),IF($Y$3="wind一级行业",[1]!s_info_industry_gics(W2811,1),IF($Y$3="wind二级行业",[1]!s_info_industry_gics(W2811,2),IF($Y$3="wind三级行业",[1]!s_info_industry_gics(W2811,3),IF($Y$3="wind四级行业",[1]!s_info_industry_gics(W2811,4),IF($Y$3="证监会门类行业",[1]!s_info_industry_csrc12_n(W2811,公司分析!D$5,1),""))))))))</f>
        <v>医疗服务</v>
      </c>
      <c r="Z2811" s="302" t="str">
        <f ca="1">IF(Y2811=行业比较!$E$6,ROW(),"")</f>
        <v/>
      </c>
    </row>
    <row r="2812" spans="22:26">
      <c r="V2812" s="260">
        <f t="shared" ca="1" si="51"/>
        <v>0</v>
      </c>
      <c r="W2812" s="348" t="str">
        <f>IF(板块成分!B2814="","",板块成分!B2814)</f>
        <v>301522.SZ</v>
      </c>
      <c r="X2812" s="276" t="str">
        <f>[1]!S_Info_Name(W2812)</f>
        <v>上大股份</v>
      </c>
      <c r="Y2812" s="276" t="str">
        <f ca="1">IF($Y$3="申万一级行业",[1]!s_info_industry_sw_2021(W2812,公司分析!D$5,1),IF($Y$3="申万二级行业",[1]!s_info_industry_sw_2021(W2812,公司分析!D$5,2),IF($Y$3="申万三级行业",[1]!s_info_industry_sw_2021(W2812,公司分析!D$5,3),IF($Y$3="wind一级行业",[1]!s_info_industry_gics(W2812,1),IF($Y$3="wind二级行业",[1]!s_info_industry_gics(W2812,2),IF($Y$3="wind三级行业",[1]!s_info_industry_gics(W2812,3),IF($Y$3="wind四级行业",[1]!s_info_industry_gics(W2812,4),IF($Y$3="证监会门类行业",[1]!s_info_industry_csrc12_n(W2812,公司分析!D$5,1),""))))))))</f>
        <v>金属新材料</v>
      </c>
      <c r="Z2812" s="302" t="str">
        <f ca="1">IF(Y2812=行业比较!$E$6,ROW(),"")</f>
        <v/>
      </c>
    </row>
    <row r="2813" spans="22:26">
      <c r="V2813" s="260">
        <f t="shared" ca="1" si="51"/>
        <v>0</v>
      </c>
      <c r="W2813" s="348" t="str">
        <f>IF(板块成分!B2815="","",板块成分!B2815)</f>
        <v>301525.SZ</v>
      </c>
      <c r="X2813" s="276" t="str">
        <f>[1]!S_Info_Name(W2813)</f>
        <v>儒竞科技</v>
      </c>
      <c r="Y2813" s="276" t="str">
        <f ca="1">IF($Y$3="申万一级行业",[1]!s_info_industry_sw_2021(W2813,公司分析!D$5,1),IF($Y$3="申万二级行业",[1]!s_info_industry_sw_2021(W2813,公司分析!D$5,2),IF($Y$3="申万三级行业",[1]!s_info_industry_sw_2021(W2813,公司分析!D$5,3),IF($Y$3="wind一级行业",[1]!s_info_industry_gics(W2813,1),IF($Y$3="wind二级行业",[1]!s_info_industry_gics(W2813,2),IF($Y$3="wind三级行业",[1]!s_info_industry_gics(W2813,3),IF($Y$3="wind四级行业",[1]!s_info_industry_gics(W2813,4),IF($Y$3="证监会门类行业",[1]!s_info_industry_csrc12_n(W2813,公司分析!D$5,1),""))))))))</f>
        <v>通用设备</v>
      </c>
      <c r="Z2813" s="302" t="str">
        <f ca="1">IF(Y2813=行业比较!$E$6,ROW(),"")</f>
        <v/>
      </c>
    </row>
    <row r="2814" spans="22:26">
      <c r="V2814" s="260">
        <f t="shared" ca="1" si="51"/>
        <v>0</v>
      </c>
      <c r="W2814" s="348" t="str">
        <f>IF(板块成分!B2816="","",板块成分!B2816)</f>
        <v>301526.SZ</v>
      </c>
      <c r="X2814" s="276" t="str">
        <f>[1]!S_Info_Name(W2814)</f>
        <v>国际复材</v>
      </c>
      <c r="Y2814" s="276" t="str">
        <f ca="1">IF($Y$3="申万一级行业",[1]!s_info_industry_sw_2021(W2814,公司分析!D$5,1),IF($Y$3="申万二级行业",[1]!s_info_industry_sw_2021(W2814,公司分析!D$5,2),IF($Y$3="申万三级行业",[1]!s_info_industry_sw_2021(W2814,公司分析!D$5,3),IF($Y$3="wind一级行业",[1]!s_info_industry_gics(W2814,1),IF($Y$3="wind二级行业",[1]!s_info_industry_gics(W2814,2),IF($Y$3="wind三级行业",[1]!s_info_industry_gics(W2814,3),IF($Y$3="wind四级行业",[1]!s_info_industry_gics(W2814,4),IF($Y$3="证监会门类行业",[1]!s_info_industry_csrc12_n(W2814,公司分析!D$5,1),""))))))))</f>
        <v>玻璃玻纤</v>
      </c>
      <c r="Z2814" s="302" t="str">
        <f ca="1">IF(Y2814=行业比较!$E$6,ROW(),"")</f>
        <v/>
      </c>
    </row>
    <row r="2815" spans="22:26">
      <c r="V2815" s="260">
        <f t="shared" ca="1" si="51"/>
        <v>0</v>
      </c>
      <c r="W2815" s="348" t="str">
        <f>IF(板块成分!B2817="","",板块成分!B2817)</f>
        <v>301528.SZ</v>
      </c>
      <c r="X2815" s="276" t="str">
        <f>[1]!S_Info_Name(W2815)</f>
        <v>多浦乐</v>
      </c>
      <c r="Y2815" s="276" t="str">
        <f ca="1">IF($Y$3="申万一级行业",[1]!s_info_industry_sw_2021(W2815,公司分析!D$5,1),IF($Y$3="申万二级行业",[1]!s_info_industry_sw_2021(W2815,公司分析!D$5,2),IF($Y$3="申万三级行业",[1]!s_info_industry_sw_2021(W2815,公司分析!D$5,3),IF($Y$3="wind一级行业",[1]!s_info_industry_gics(W2815,1),IF($Y$3="wind二级行业",[1]!s_info_industry_gics(W2815,2),IF($Y$3="wind三级行业",[1]!s_info_industry_gics(W2815,3),IF($Y$3="wind四级行业",[1]!s_info_industry_gics(W2815,4),IF($Y$3="证监会门类行业",[1]!s_info_industry_csrc12_n(W2815,公司分析!D$5,1),""))))))))</f>
        <v>通用设备</v>
      </c>
      <c r="Z2815" s="302" t="str">
        <f ca="1">IF(Y2815=行业比较!$E$6,ROW(),"")</f>
        <v/>
      </c>
    </row>
    <row r="2816" spans="22:26">
      <c r="V2816" s="260">
        <f t="shared" ca="1" si="51"/>
        <v>0</v>
      </c>
      <c r="W2816" s="348" t="str">
        <f>IF(板块成分!B2818="","",板块成分!B2818)</f>
        <v>301529.SZ</v>
      </c>
      <c r="X2816" s="276" t="str">
        <f>[1]!S_Info_Name(W2816)</f>
        <v>福赛科技</v>
      </c>
      <c r="Y2816" s="276" t="str">
        <f ca="1">IF($Y$3="申万一级行业",[1]!s_info_industry_sw_2021(W2816,公司分析!D$5,1),IF($Y$3="申万二级行业",[1]!s_info_industry_sw_2021(W2816,公司分析!D$5,2),IF($Y$3="申万三级行业",[1]!s_info_industry_sw_2021(W2816,公司分析!D$5,3),IF($Y$3="wind一级行业",[1]!s_info_industry_gics(W2816,1),IF($Y$3="wind二级行业",[1]!s_info_industry_gics(W2816,2),IF($Y$3="wind三级行业",[1]!s_info_industry_gics(W2816,3),IF($Y$3="wind四级行业",[1]!s_info_industry_gics(W2816,4),IF($Y$3="证监会门类行业",[1]!s_info_industry_csrc12_n(W2816,公司分析!D$5,1),""))))))))</f>
        <v>汽车零部件</v>
      </c>
      <c r="Z2816" s="302" t="str">
        <f ca="1">IF(Y2816=行业比较!$E$6,ROW(),"")</f>
        <v/>
      </c>
    </row>
    <row r="2817" spans="22:26">
      <c r="V2817" s="260">
        <f t="shared" ca="1" si="51"/>
        <v>0</v>
      </c>
      <c r="W2817" s="348" t="str">
        <f>IF(板块成分!B2819="","",板块成分!B2819)</f>
        <v>301533.SZ</v>
      </c>
      <c r="X2817" s="276" t="str">
        <f>[1]!S_Info_Name(W2817)</f>
        <v>威马农机</v>
      </c>
      <c r="Y2817" s="276" t="str">
        <f ca="1">IF($Y$3="申万一级行业",[1]!s_info_industry_sw_2021(W2817,公司分析!D$5,1),IF($Y$3="申万二级行业",[1]!s_info_industry_sw_2021(W2817,公司分析!D$5,2),IF($Y$3="申万三级行业",[1]!s_info_industry_sw_2021(W2817,公司分析!D$5,3),IF($Y$3="wind一级行业",[1]!s_info_industry_gics(W2817,1),IF($Y$3="wind二级行业",[1]!s_info_industry_gics(W2817,2),IF($Y$3="wind三级行业",[1]!s_info_industry_gics(W2817,3),IF($Y$3="wind四级行业",[1]!s_info_industry_gics(W2817,4),IF($Y$3="证监会门类行业",[1]!s_info_industry_csrc12_n(W2817,公司分析!D$5,1),""))))))))</f>
        <v>专用设备</v>
      </c>
      <c r="Z2817" s="302" t="str">
        <f ca="1">IF(Y2817=行业比较!$E$6,ROW(),"")</f>
        <v/>
      </c>
    </row>
    <row r="2818" spans="22:26">
      <c r="V2818" s="260">
        <f t="shared" ca="1" si="51"/>
        <v>0</v>
      </c>
      <c r="W2818" s="348" t="str">
        <f>IF(板块成分!B2820="","",板块成分!B2820)</f>
        <v>301535.SZ</v>
      </c>
      <c r="X2818" s="276" t="str">
        <f>[1]!S_Info_Name(W2818)</f>
        <v>浙江华远</v>
      </c>
      <c r="Y2818" s="276" t="str">
        <f ca="1">IF($Y$3="申万一级行业",[1]!s_info_industry_sw_2021(W2818,公司分析!D$5,1),IF($Y$3="申万二级行业",[1]!s_info_industry_sw_2021(W2818,公司分析!D$5,2),IF($Y$3="申万三级行业",[1]!s_info_industry_sw_2021(W2818,公司分析!D$5,3),IF($Y$3="wind一级行业",[1]!s_info_industry_gics(W2818,1),IF($Y$3="wind二级行业",[1]!s_info_industry_gics(W2818,2),IF($Y$3="wind三级行业",[1]!s_info_industry_gics(W2818,3),IF($Y$3="wind四级行业",[1]!s_info_industry_gics(W2818,4),IF($Y$3="证监会门类行业",[1]!s_info_industry_csrc12_n(W2818,公司分析!D$5,1),""))))))))</f>
        <v>汽车零部件</v>
      </c>
      <c r="Z2818" s="302" t="str">
        <f ca="1">IF(Y2818=行业比较!$E$6,ROW(),"")</f>
        <v/>
      </c>
    </row>
    <row r="2819" spans="22:26">
      <c r="V2819" s="260">
        <f t="shared" ca="1" si="51"/>
        <v>0</v>
      </c>
      <c r="W2819" s="348" t="str">
        <f>IF(板块成分!B2821="","",板块成分!B2821)</f>
        <v>301536.SZ</v>
      </c>
      <c r="X2819" s="276" t="str">
        <f>[1]!S_Info_Name(W2819)</f>
        <v>星宸科技</v>
      </c>
      <c r="Y2819" s="276" t="str">
        <f ca="1">IF($Y$3="申万一级行业",[1]!s_info_industry_sw_2021(W2819,公司分析!D$5,1),IF($Y$3="申万二级行业",[1]!s_info_industry_sw_2021(W2819,公司分析!D$5,2),IF($Y$3="申万三级行业",[1]!s_info_industry_sw_2021(W2819,公司分析!D$5,3),IF($Y$3="wind一级行业",[1]!s_info_industry_gics(W2819,1),IF($Y$3="wind二级行业",[1]!s_info_industry_gics(W2819,2),IF($Y$3="wind三级行业",[1]!s_info_industry_gics(W2819,3),IF($Y$3="wind四级行业",[1]!s_info_industry_gics(W2819,4),IF($Y$3="证监会门类行业",[1]!s_info_industry_csrc12_n(W2819,公司分析!D$5,1),""))))))))</f>
        <v>半导体</v>
      </c>
      <c r="Z2819" s="302" t="str">
        <f ca="1">IF(Y2819=行业比较!$E$6,ROW(),"")</f>
        <v/>
      </c>
    </row>
    <row r="2820" spans="22:26">
      <c r="V2820" s="260">
        <f t="shared" ca="1" si="51"/>
        <v>0</v>
      </c>
      <c r="W2820" s="348" t="str">
        <f>IF(板块成分!B2822="","",板块成分!B2822)</f>
        <v>301538.SZ</v>
      </c>
      <c r="X2820" s="276" t="str">
        <f>[1]!S_Info_Name(W2820)</f>
        <v>骏鼎达</v>
      </c>
      <c r="Y2820" s="276" t="str">
        <f ca="1">IF($Y$3="申万一级行业",[1]!s_info_industry_sw_2021(W2820,公司分析!D$5,1),IF($Y$3="申万二级行业",[1]!s_info_industry_sw_2021(W2820,公司分析!D$5,2),IF($Y$3="申万三级行业",[1]!s_info_industry_sw_2021(W2820,公司分析!D$5,3),IF($Y$3="wind一级行业",[1]!s_info_industry_gics(W2820,1),IF($Y$3="wind二级行业",[1]!s_info_industry_gics(W2820,2),IF($Y$3="wind三级行业",[1]!s_info_industry_gics(W2820,3),IF($Y$3="wind四级行业",[1]!s_info_industry_gics(W2820,4),IF($Y$3="证监会门类行业",[1]!s_info_industry_csrc12_n(W2820,公司分析!D$5,1),""))))))))</f>
        <v>塑料</v>
      </c>
      <c r="Z2820" s="302" t="str">
        <f ca="1">IF(Y2820=行业比较!$E$6,ROW(),"")</f>
        <v/>
      </c>
    </row>
    <row r="2821" spans="22:26">
      <c r="V2821" s="260">
        <f t="shared" ref="V2821:V2884" ca="1" si="52">IF(Z2821="",0,RANK(Z2821,Z:Z,1))</f>
        <v>0</v>
      </c>
      <c r="W2821" s="348" t="str">
        <f>IF(板块成分!B2823="","",板块成分!B2823)</f>
        <v>301539.SZ</v>
      </c>
      <c r="X2821" s="276" t="str">
        <f>[1]!S_Info_Name(W2821)</f>
        <v>宏鑫科技</v>
      </c>
      <c r="Y2821" s="276" t="str">
        <f ca="1">IF($Y$3="申万一级行业",[1]!s_info_industry_sw_2021(W2821,公司分析!D$5,1),IF($Y$3="申万二级行业",[1]!s_info_industry_sw_2021(W2821,公司分析!D$5,2),IF($Y$3="申万三级行业",[1]!s_info_industry_sw_2021(W2821,公司分析!D$5,3),IF($Y$3="wind一级行业",[1]!s_info_industry_gics(W2821,1),IF($Y$3="wind二级行业",[1]!s_info_industry_gics(W2821,2),IF($Y$3="wind三级行业",[1]!s_info_industry_gics(W2821,3),IF($Y$3="wind四级行业",[1]!s_info_industry_gics(W2821,4),IF($Y$3="证监会门类行业",[1]!s_info_industry_csrc12_n(W2821,公司分析!D$5,1),""))))))))</f>
        <v>汽车零部件</v>
      </c>
      <c r="Z2821" s="302" t="str">
        <f ca="1">IF(Y2821=行业比较!$E$6,ROW(),"")</f>
        <v/>
      </c>
    </row>
    <row r="2822" spans="22:26">
      <c r="V2822" s="260">
        <f t="shared" ca="1" si="52"/>
        <v>0</v>
      </c>
      <c r="W2822" s="348" t="str">
        <f>IF(板块成分!B2824="","",板块成分!B2824)</f>
        <v>301548.SZ</v>
      </c>
      <c r="X2822" s="276" t="str">
        <f>[1]!S_Info_Name(W2822)</f>
        <v>崇德科技</v>
      </c>
      <c r="Y2822" s="276" t="str">
        <f ca="1">IF($Y$3="申万一级行业",[1]!s_info_industry_sw_2021(W2822,公司分析!D$5,1),IF($Y$3="申万二级行业",[1]!s_info_industry_sw_2021(W2822,公司分析!D$5,2),IF($Y$3="申万三级行业",[1]!s_info_industry_sw_2021(W2822,公司分析!D$5,3),IF($Y$3="wind一级行业",[1]!s_info_industry_gics(W2822,1),IF($Y$3="wind二级行业",[1]!s_info_industry_gics(W2822,2),IF($Y$3="wind三级行业",[1]!s_info_industry_gics(W2822,3),IF($Y$3="wind四级行业",[1]!s_info_industry_gics(W2822,4),IF($Y$3="证监会门类行业",[1]!s_info_industry_csrc12_n(W2822,公司分析!D$5,1),""))))))))</f>
        <v>通用设备</v>
      </c>
      <c r="Z2822" s="302" t="str">
        <f ca="1">IF(Y2822=行业比较!$E$6,ROW(),"")</f>
        <v/>
      </c>
    </row>
    <row r="2823" spans="22:26">
      <c r="V2823" s="260">
        <f t="shared" ca="1" si="52"/>
        <v>0</v>
      </c>
      <c r="W2823" s="348" t="str">
        <f>IF(板块成分!B2825="","",板块成分!B2825)</f>
        <v>301550.SZ</v>
      </c>
      <c r="X2823" s="276" t="str">
        <f>[1]!S_Info_Name(W2823)</f>
        <v>斯菱智驱</v>
      </c>
      <c r="Y2823" s="276" t="str">
        <f ca="1">IF($Y$3="申万一级行业",[1]!s_info_industry_sw_2021(W2823,公司分析!D$5,1),IF($Y$3="申万二级行业",[1]!s_info_industry_sw_2021(W2823,公司分析!D$5,2),IF($Y$3="申万三级行业",[1]!s_info_industry_sw_2021(W2823,公司分析!D$5,3),IF($Y$3="wind一级行业",[1]!s_info_industry_gics(W2823,1),IF($Y$3="wind二级行业",[1]!s_info_industry_gics(W2823,2),IF($Y$3="wind三级行业",[1]!s_info_industry_gics(W2823,3),IF($Y$3="wind四级行业",[1]!s_info_industry_gics(W2823,4),IF($Y$3="证监会门类行业",[1]!s_info_industry_csrc12_n(W2823,公司分析!D$5,1),""))))))))</f>
        <v>汽车零部件</v>
      </c>
      <c r="Z2823" s="302" t="str">
        <f ca="1">IF(Y2823=行业比较!$E$6,ROW(),"")</f>
        <v/>
      </c>
    </row>
    <row r="2824" spans="22:26">
      <c r="V2824" s="260">
        <f t="shared" ca="1" si="52"/>
        <v>0</v>
      </c>
      <c r="W2824" s="348" t="str">
        <f>IF(板块成分!B2826="","",板块成分!B2826)</f>
        <v>301551.SZ</v>
      </c>
      <c r="X2824" s="276" t="str">
        <f>[1]!S_Info_Name(W2824)</f>
        <v>无线传媒</v>
      </c>
      <c r="Y2824" s="276" t="str">
        <f ca="1">IF($Y$3="申万一级行业",[1]!s_info_industry_sw_2021(W2824,公司分析!D$5,1),IF($Y$3="申万二级行业",[1]!s_info_industry_sw_2021(W2824,公司分析!D$5,2),IF($Y$3="申万三级行业",[1]!s_info_industry_sw_2021(W2824,公司分析!D$5,3),IF($Y$3="wind一级行业",[1]!s_info_industry_gics(W2824,1),IF($Y$3="wind二级行业",[1]!s_info_industry_gics(W2824,2),IF($Y$3="wind三级行业",[1]!s_info_industry_gics(W2824,3),IF($Y$3="wind四级行业",[1]!s_info_industry_gics(W2824,4),IF($Y$3="证监会门类行业",[1]!s_info_industry_csrc12_n(W2824,公司分析!D$5,1),""))))))))</f>
        <v>电视广播Ⅱ</v>
      </c>
      <c r="Z2824" s="302" t="str">
        <f ca="1">IF(Y2824=行业比较!$E$6,ROW(),"")</f>
        <v/>
      </c>
    </row>
    <row r="2825" spans="22:26">
      <c r="V2825" s="260">
        <f t="shared" ca="1" si="52"/>
        <v>0</v>
      </c>
      <c r="W2825" s="348" t="str">
        <f>IF(板块成分!B2827="","",板块成分!B2827)</f>
        <v>301552.SZ</v>
      </c>
      <c r="X2825" s="276" t="str">
        <f>[1]!S_Info_Name(W2825)</f>
        <v>科力装备</v>
      </c>
      <c r="Y2825" s="276" t="str">
        <f ca="1">IF($Y$3="申万一级行业",[1]!s_info_industry_sw_2021(W2825,公司分析!D$5,1),IF($Y$3="申万二级行业",[1]!s_info_industry_sw_2021(W2825,公司分析!D$5,2),IF($Y$3="申万三级行业",[1]!s_info_industry_sw_2021(W2825,公司分析!D$5,3),IF($Y$3="wind一级行业",[1]!s_info_industry_gics(W2825,1),IF($Y$3="wind二级行业",[1]!s_info_industry_gics(W2825,2),IF($Y$3="wind三级行业",[1]!s_info_industry_gics(W2825,3),IF($Y$3="wind四级行业",[1]!s_info_industry_gics(W2825,4),IF($Y$3="证监会门类行业",[1]!s_info_industry_csrc12_n(W2825,公司分析!D$5,1),""))))))))</f>
        <v>汽车零部件</v>
      </c>
      <c r="Z2825" s="302" t="str">
        <f ca="1">IF(Y2825=行业比较!$E$6,ROW(),"")</f>
        <v/>
      </c>
    </row>
    <row r="2826" spans="22:26">
      <c r="V2826" s="260">
        <f t="shared" ca="1" si="52"/>
        <v>0</v>
      </c>
      <c r="W2826" s="348" t="str">
        <f>IF(板块成分!B2828="","",板块成分!B2828)</f>
        <v>301555.SZ</v>
      </c>
      <c r="X2826" s="276" t="str">
        <f>[1]!S_Info_Name(W2826)</f>
        <v>惠柏新材</v>
      </c>
      <c r="Y2826" s="276" t="str">
        <f ca="1">IF($Y$3="申万一级行业",[1]!s_info_industry_sw_2021(W2826,公司分析!D$5,1),IF($Y$3="申万二级行业",[1]!s_info_industry_sw_2021(W2826,公司分析!D$5,2),IF($Y$3="申万三级行业",[1]!s_info_industry_sw_2021(W2826,公司分析!D$5,3),IF($Y$3="wind一级行业",[1]!s_info_industry_gics(W2826,1),IF($Y$3="wind二级行业",[1]!s_info_industry_gics(W2826,2),IF($Y$3="wind三级行业",[1]!s_info_industry_gics(W2826,3),IF($Y$3="wind四级行业",[1]!s_info_industry_gics(W2826,4),IF($Y$3="证监会门类行业",[1]!s_info_industry_csrc12_n(W2826,公司分析!D$5,1),""))))))))</f>
        <v>塑料</v>
      </c>
      <c r="Z2826" s="302" t="str">
        <f ca="1">IF(Y2826=行业比较!$E$6,ROW(),"")</f>
        <v/>
      </c>
    </row>
    <row r="2827" spans="22:26">
      <c r="V2827" s="260">
        <f t="shared" ca="1" si="52"/>
        <v>0</v>
      </c>
      <c r="W2827" s="348" t="str">
        <f>IF(板块成分!B2829="","",板块成分!B2829)</f>
        <v>301556.SZ</v>
      </c>
      <c r="X2827" s="276" t="str">
        <f>[1]!S_Info_Name(W2827)</f>
        <v>托普云农</v>
      </c>
      <c r="Y2827" s="276" t="str">
        <f ca="1">IF($Y$3="申万一级行业",[1]!s_info_industry_sw_2021(W2827,公司分析!D$5,1),IF($Y$3="申万二级行业",[1]!s_info_industry_sw_2021(W2827,公司分析!D$5,2),IF($Y$3="申万三级行业",[1]!s_info_industry_sw_2021(W2827,公司分析!D$5,3),IF($Y$3="wind一级行业",[1]!s_info_industry_gics(W2827,1),IF($Y$3="wind二级行业",[1]!s_info_industry_gics(W2827,2),IF($Y$3="wind三级行业",[1]!s_info_industry_gics(W2827,3),IF($Y$3="wind四级行业",[1]!s_info_industry_gics(W2827,4),IF($Y$3="证监会门类行业",[1]!s_info_industry_csrc12_n(W2827,公司分析!D$5,1),""))))))))</f>
        <v>IT服务Ⅱ</v>
      </c>
      <c r="Z2827" s="302" t="str">
        <f ca="1">IF(Y2827=行业比较!$E$6,ROW(),"")</f>
        <v/>
      </c>
    </row>
    <row r="2828" spans="22:26">
      <c r="V2828" s="260">
        <f t="shared" ca="1" si="52"/>
        <v>0</v>
      </c>
      <c r="W2828" s="348" t="str">
        <f>IF(板块成分!B2830="","",板块成分!B2830)</f>
        <v>301557.SZ</v>
      </c>
      <c r="X2828" s="276" t="str">
        <f>[1]!S_Info_Name(W2828)</f>
        <v>常友科技</v>
      </c>
      <c r="Y2828" s="276" t="str">
        <f ca="1">IF($Y$3="申万一级行业",[1]!s_info_industry_sw_2021(W2828,公司分析!D$5,1),IF($Y$3="申万二级行业",[1]!s_info_industry_sw_2021(W2828,公司分析!D$5,2),IF($Y$3="申万三级行业",[1]!s_info_industry_sw_2021(W2828,公司分析!D$5,3),IF($Y$3="wind一级行业",[1]!s_info_industry_gics(W2828,1),IF($Y$3="wind二级行业",[1]!s_info_industry_gics(W2828,2),IF($Y$3="wind三级行业",[1]!s_info_industry_gics(W2828,3),IF($Y$3="wind四级行业",[1]!s_info_industry_gics(W2828,4),IF($Y$3="证监会门类行业",[1]!s_info_industry_csrc12_n(W2828,公司分析!D$5,1),""))))))))</f>
        <v>风电设备</v>
      </c>
      <c r="Z2828" s="302" t="str">
        <f ca="1">IF(Y2828=行业比较!$E$6,ROW(),"")</f>
        <v/>
      </c>
    </row>
    <row r="2829" spans="22:26">
      <c r="V2829" s="260">
        <f t="shared" ca="1" si="52"/>
        <v>0</v>
      </c>
      <c r="W2829" s="348" t="str">
        <f>IF(板块成分!B2831="","",板块成分!B2831)</f>
        <v>301558.SZ</v>
      </c>
      <c r="X2829" s="276" t="str">
        <f>[1]!S_Info_Name(W2829)</f>
        <v>三态股份</v>
      </c>
      <c r="Y2829" s="276" t="str">
        <f ca="1">IF($Y$3="申万一级行业",[1]!s_info_industry_sw_2021(W2829,公司分析!D$5,1),IF($Y$3="申万二级行业",[1]!s_info_industry_sw_2021(W2829,公司分析!D$5,2),IF($Y$3="申万三级行业",[1]!s_info_industry_sw_2021(W2829,公司分析!D$5,3),IF($Y$3="wind一级行业",[1]!s_info_industry_gics(W2829,1),IF($Y$3="wind二级行业",[1]!s_info_industry_gics(W2829,2),IF($Y$3="wind三级行业",[1]!s_info_industry_gics(W2829,3),IF($Y$3="wind四级行业",[1]!s_info_industry_gics(W2829,4),IF($Y$3="证监会门类行业",[1]!s_info_industry_csrc12_n(W2829,公司分析!D$5,1),""))))))))</f>
        <v>互联网电商</v>
      </c>
      <c r="Z2829" s="302" t="str">
        <f ca="1">IF(Y2829=行业比较!$E$6,ROW(),"")</f>
        <v/>
      </c>
    </row>
    <row r="2830" spans="22:26">
      <c r="V2830" s="260">
        <f t="shared" ca="1" si="52"/>
        <v>0</v>
      </c>
      <c r="W2830" s="348" t="str">
        <f>IF(板块成分!B2832="","",板块成分!B2832)</f>
        <v>301559.SZ</v>
      </c>
      <c r="X2830" s="276" t="str">
        <f>[1]!S_Info_Name(W2830)</f>
        <v>中集环科</v>
      </c>
      <c r="Y2830" s="276" t="str">
        <f ca="1">IF($Y$3="申万一级行业",[1]!s_info_industry_sw_2021(W2830,公司分析!D$5,1),IF($Y$3="申万二级行业",[1]!s_info_industry_sw_2021(W2830,公司分析!D$5,2),IF($Y$3="申万三级行业",[1]!s_info_industry_sw_2021(W2830,公司分析!D$5,3),IF($Y$3="wind一级行业",[1]!s_info_industry_gics(W2830,1),IF($Y$3="wind二级行业",[1]!s_info_industry_gics(W2830,2),IF($Y$3="wind三级行业",[1]!s_info_industry_gics(W2830,3),IF($Y$3="wind四级行业",[1]!s_info_industry_gics(W2830,4),IF($Y$3="证监会门类行业",[1]!s_info_industry_csrc12_n(W2830,公司分析!D$5,1),""))))))))</f>
        <v>通用设备</v>
      </c>
      <c r="Z2830" s="302" t="str">
        <f ca="1">IF(Y2830=行业比较!$E$6,ROW(),"")</f>
        <v/>
      </c>
    </row>
    <row r="2831" spans="22:26">
      <c r="V2831" s="260">
        <f t="shared" ca="1" si="52"/>
        <v>0</v>
      </c>
      <c r="W2831" s="348" t="str">
        <f>IF(板块成分!B2833="","",板块成分!B2833)</f>
        <v>301560.SZ</v>
      </c>
      <c r="X2831" s="276" t="str">
        <f>[1]!S_Info_Name(W2831)</f>
        <v>众捷汽车</v>
      </c>
      <c r="Y2831" s="276" t="str">
        <f ca="1">IF($Y$3="申万一级行业",[1]!s_info_industry_sw_2021(W2831,公司分析!D$5,1),IF($Y$3="申万二级行业",[1]!s_info_industry_sw_2021(W2831,公司分析!D$5,2),IF($Y$3="申万三级行业",[1]!s_info_industry_sw_2021(W2831,公司分析!D$5,3),IF($Y$3="wind一级行业",[1]!s_info_industry_gics(W2831,1),IF($Y$3="wind二级行业",[1]!s_info_industry_gics(W2831,2),IF($Y$3="wind三级行业",[1]!s_info_industry_gics(W2831,3),IF($Y$3="wind四级行业",[1]!s_info_industry_gics(W2831,4),IF($Y$3="证监会门类行业",[1]!s_info_industry_csrc12_n(W2831,公司分析!D$5,1),""))))))))</f>
        <v>汽车零部件</v>
      </c>
      <c r="Z2831" s="302" t="str">
        <f ca="1">IF(Y2831=行业比较!$E$6,ROW(),"")</f>
        <v/>
      </c>
    </row>
    <row r="2832" spans="22:26">
      <c r="V2832" s="260">
        <f t="shared" ca="1" si="52"/>
        <v>0</v>
      </c>
      <c r="W2832" s="348" t="str">
        <f>IF(板块成分!B2834="","",板块成分!B2834)</f>
        <v>301563.SZ</v>
      </c>
      <c r="X2832" s="276" t="str">
        <f>[1]!S_Info_Name(W2832)</f>
        <v>云汉芯城</v>
      </c>
      <c r="Y2832" s="276" t="str">
        <f ca="1">IF($Y$3="申万一级行业",[1]!s_info_industry_sw_2021(W2832,公司分析!D$5,1),IF($Y$3="申万二级行业",[1]!s_info_industry_sw_2021(W2832,公司分析!D$5,2),IF($Y$3="申万三级行业",[1]!s_info_industry_sw_2021(W2832,公司分析!D$5,3),IF($Y$3="wind一级行业",[1]!s_info_industry_gics(W2832,1),IF($Y$3="wind二级行业",[1]!s_info_industry_gics(W2832,2),IF($Y$3="wind三级行业",[1]!s_info_industry_gics(W2832,3),IF($Y$3="wind四级行业",[1]!s_info_industry_gics(W2832,4),IF($Y$3="证监会门类行业",[1]!s_info_industry_csrc12_n(W2832,公司分析!D$5,1),""))))))))</f>
        <v>其他电子Ⅱ</v>
      </c>
      <c r="Z2832" s="302" t="str">
        <f ca="1">IF(Y2832=行业比较!$E$6,ROW(),"")</f>
        <v/>
      </c>
    </row>
    <row r="2833" spans="22:26">
      <c r="V2833" s="260">
        <f t="shared" ca="1" si="52"/>
        <v>0</v>
      </c>
      <c r="W2833" s="348" t="str">
        <f>IF(板块成分!B2835="","",板块成分!B2835)</f>
        <v>301565.SZ</v>
      </c>
      <c r="X2833" s="276" t="str">
        <f>[1]!S_Info_Name(W2833)</f>
        <v>中仑新材</v>
      </c>
      <c r="Y2833" s="276" t="str">
        <f ca="1">IF($Y$3="申万一级行业",[1]!s_info_industry_sw_2021(W2833,公司分析!D$5,1),IF($Y$3="申万二级行业",[1]!s_info_industry_sw_2021(W2833,公司分析!D$5,2),IF($Y$3="申万三级行业",[1]!s_info_industry_sw_2021(W2833,公司分析!D$5,3),IF($Y$3="wind一级行业",[1]!s_info_industry_gics(W2833,1),IF($Y$3="wind二级行业",[1]!s_info_industry_gics(W2833,2),IF($Y$3="wind三级行业",[1]!s_info_industry_gics(W2833,3),IF($Y$3="wind四级行业",[1]!s_info_industry_gics(W2833,4),IF($Y$3="证监会门类行业",[1]!s_info_industry_csrc12_n(W2833,公司分析!D$5,1),""))))))))</f>
        <v>塑料</v>
      </c>
      <c r="Z2833" s="302" t="str">
        <f ca="1">IF(Y2833=行业比较!$E$6,ROW(),"")</f>
        <v/>
      </c>
    </row>
    <row r="2834" spans="22:26">
      <c r="V2834" s="260">
        <f t="shared" ca="1" si="52"/>
        <v>0</v>
      </c>
      <c r="W2834" s="348" t="str">
        <f>IF(板块成分!B2836="","",板块成分!B2836)</f>
        <v>301566.SZ</v>
      </c>
      <c r="X2834" s="276" t="str">
        <f>[1]!S_Info_Name(W2834)</f>
        <v>达利凯普</v>
      </c>
      <c r="Y2834" s="276" t="str">
        <f ca="1">IF($Y$3="申万一级行业",[1]!s_info_industry_sw_2021(W2834,公司分析!D$5,1),IF($Y$3="申万二级行业",[1]!s_info_industry_sw_2021(W2834,公司分析!D$5,2),IF($Y$3="申万三级行业",[1]!s_info_industry_sw_2021(W2834,公司分析!D$5,3),IF($Y$3="wind一级行业",[1]!s_info_industry_gics(W2834,1),IF($Y$3="wind二级行业",[1]!s_info_industry_gics(W2834,2),IF($Y$3="wind三级行业",[1]!s_info_industry_gics(W2834,3),IF($Y$3="wind四级行业",[1]!s_info_industry_gics(W2834,4),IF($Y$3="证监会门类行业",[1]!s_info_industry_csrc12_n(W2834,公司分析!D$5,1),""))))))))</f>
        <v>元件</v>
      </c>
      <c r="Z2834" s="302" t="str">
        <f ca="1">IF(Y2834=行业比较!$E$6,ROW(),"")</f>
        <v/>
      </c>
    </row>
    <row r="2835" spans="22:26">
      <c r="V2835" s="260">
        <f t="shared" ca="1" si="52"/>
        <v>0</v>
      </c>
      <c r="W2835" s="348" t="str">
        <f>IF(板块成分!B2837="","",板块成分!B2837)</f>
        <v>301567.SZ</v>
      </c>
      <c r="X2835" s="276" t="str">
        <f>[1]!S_Info_Name(W2835)</f>
        <v>贝隆精密</v>
      </c>
      <c r="Y2835" s="276" t="str">
        <f ca="1">IF($Y$3="申万一级行业",[1]!s_info_industry_sw_2021(W2835,公司分析!D$5,1),IF($Y$3="申万二级行业",[1]!s_info_industry_sw_2021(W2835,公司分析!D$5,2),IF($Y$3="申万三级行业",[1]!s_info_industry_sw_2021(W2835,公司分析!D$5,3),IF($Y$3="wind一级行业",[1]!s_info_industry_gics(W2835,1),IF($Y$3="wind二级行业",[1]!s_info_industry_gics(W2835,2),IF($Y$3="wind三级行业",[1]!s_info_industry_gics(W2835,3),IF($Y$3="wind四级行业",[1]!s_info_industry_gics(W2835,4),IF($Y$3="证监会门类行业",[1]!s_info_industry_csrc12_n(W2835,公司分析!D$5,1),""))))))))</f>
        <v>消费电子</v>
      </c>
      <c r="Z2835" s="302" t="str">
        <f ca="1">IF(Y2835=行业比较!$E$6,ROW(),"")</f>
        <v/>
      </c>
    </row>
    <row r="2836" spans="22:26">
      <c r="V2836" s="260">
        <f t="shared" ca="1" si="52"/>
        <v>0</v>
      </c>
      <c r="W2836" s="348" t="str">
        <f>IF(板块成分!B2838="","",板块成分!B2838)</f>
        <v>301568.SZ</v>
      </c>
      <c r="X2836" s="276" t="str">
        <f>[1]!S_Info_Name(W2836)</f>
        <v>思泰克</v>
      </c>
      <c r="Y2836" s="276" t="str">
        <f ca="1">IF($Y$3="申万一级行业",[1]!s_info_industry_sw_2021(W2836,公司分析!D$5,1),IF($Y$3="申万二级行业",[1]!s_info_industry_sw_2021(W2836,公司分析!D$5,2),IF($Y$3="申万三级行业",[1]!s_info_industry_sw_2021(W2836,公司分析!D$5,3),IF($Y$3="wind一级行业",[1]!s_info_industry_gics(W2836,1),IF($Y$3="wind二级行业",[1]!s_info_industry_gics(W2836,2),IF($Y$3="wind三级行业",[1]!s_info_industry_gics(W2836,3),IF($Y$3="wind四级行业",[1]!s_info_industry_gics(W2836,4),IF($Y$3="证监会门类行业",[1]!s_info_industry_csrc12_n(W2836,公司分析!D$5,1),""))))))))</f>
        <v>自动化设备</v>
      </c>
      <c r="Z2836" s="302" t="str">
        <f ca="1">IF(Y2836=行业比较!$E$6,ROW(),"")</f>
        <v/>
      </c>
    </row>
    <row r="2837" spans="22:26">
      <c r="V2837" s="260">
        <f t="shared" ca="1" si="52"/>
        <v>0</v>
      </c>
      <c r="W2837" s="348" t="str">
        <f>IF(板块成分!B2839="","",板块成分!B2839)</f>
        <v>301571.SZ</v>
      </c>
      <c r="X2837" s="276" t="str">
        <f>[1]!S_Info_Name(W2837)</f>
        <v>国科天成</v>
      </c>
      <c r="Y2837" s="276" t="str">
        <f ca="1">IF($Y$3="申万一级行业",[1]!s_info_industry_sw_2021(W2837,公司分析!D$5,1),IF($Y$3="申万二级行业",[1]!s_info_industry_sw_2021(W2837,公司分析!D$5,2),IF($Y$3="申万三级行业",[1]!s_info_industry_sw_2021(W2837,公司分析!D$5,3),IF($Y$3="wind一级行业",[1]!s_info_industry_gics(W2837,1),IF($Y$3="wind二级行业",[1]!s_info_industry_gics(W2837,2),IF($Y$3="wind三级行业",[1]!s_info_industry_gics(W2837,3),IF($Y$3="wind四级行业",[1]!s_info_industry_gics(W2837,4),IF($Y$3="证监会门类行业",[1]!s_info_industry_csrc12_n(W2837,公司分析!D$5,1),""))))))))</f>
        <v>军工电子Ⅱ</v>
      </c>
      <c r="Z2837" s="302" t="str">
        <f ca="1">IF(Y2837=行业比较!$E$6,ROW(),"")</f>
        <v/>
      </c>
    </row>
    <row r="2838" spans="22:26">
      <c r="V2838" s="260">
        <f t="shared" ca="1" si="52"/>
        <v>0</v>
      </c>
      <c r="W2838" s="348" t="str">
        <f>IF(板块成分!B2840="","",板块成分!B2840)</f>
        <v>301575.SZ</v>
      </c>
      <c r="X2838" s="276" t="str">
        <f>[1]!S_Info_Name(W2838)</f>
        <v>艾芬达</v>
      </c>
      <c r="Y2838" s="276" t="str">
        <f ca="1">IF($Y$3="申万一级行业",[1]!s_info_industry_sw_2021(W2838,公司分析!D$5,1),IF($Y$3="申万二级行业",[1]!s_info_industry_sw_2021(W2838,公司分析!D$5,2),IF($Y$3="申万三级行业",[1]!s_info_industry_sw_2021(W2838,公司分析!D$5,3),IF($Y$3="wind一级行业",[1]!s_info_industry_gics(W2838,1),IF($Y$3="wind二级行业",[1]!s_info_industry_gics(W2838,2),IF($Y$3="wind三级行业",[1]!s_info_industry_gics(W2838,3),IF($Y$3="wind四级行业",[1]!s_info_industry_gics(W2838,4),IF($Y$3="证监会门类行业",[1]!s_info_industry_csrc12_n(W2838,公司分析!D$5,1),""))))))))</f>
        <v>家居用品</v>
      </c>
      <c r="Z2838" s="302" t="str">
        <f ca="1">IF(Y2838=行业比较!$E$6,ROW(),"")</f>
        <v/>
      </c>
    </row>
    <row r="2839" spans="22:26">
      <c r="V2839" s="260">
        <f t="shared" ca="1" si="52"/>
        <v>0</v>
      </c>
      <c r="W2839" s="348" t="str">
        <f>IF(板块成分!B2841="","",板块成分!B2841)</f>
        <v>301577.SZ</v>
      </c>
      <c r="X2839" s="276" t="str">
        <f>[1]!S_Info_Name(W2839)</f>
        <v>美信科技</v>
      </c>
      <c r="Y2839" s="276" t="str">
        <f ca="1">IF($Y$3="申万一级行业",[1]!s_info_industry_sw_2021(W2839,公司分析!D$5,1),IF($Y$3="申万二级行业",[1]!s_info_industry_sw_2021(W2839,公司分析!D$5,2),IF($Y$3="申万三级行业",[1]!s_info_industry_sw_2021(W2839,公司分析!D$5,3),IF($Y$3="wind一级行业",[1]!s_info_industry_gics(W2839,1),IF($Y$3="wind二级行业",[1]!s_info_industry_gics(W2839,2),IF($Y$3="wind三级行业",[1]!s_info_industry_gics(W2839,3),IF($Y$3="wind四级行业",[1]!s_info_industry_gics(W2839,4),IF($Y$3="证监会门类行业",[1]!s_info_industry_csrc12_n(W2839,公司分析!D$5,1),""))))))))</f>
        <v>通信设备</v>
      </c>
      <c r="Z2839" s="302" t="str">
        <f ca="1">IF(Y2839=行业比较!$E$6,ROW(),"")</f>
        <v/>
      </c>
    </row>
    <row r="2840" spans="22:26">
      <c r="V2840" s="260">
        <f t="shared" ca="1" si="52"/>
        <v>0</v>
      </c>
      <c r="W2840" s="348" t="str">
        <f>IF(板块成分!B2842="","",板块成分!B2842)</f>
        <v>301578.SZ</v>
      </c>
      <c r="X2840" s="276" t="str">
        <f>[1]!S_Info_Name(W2840)</f>
        <v>辰奕智能</v>
      </c>
      <c r="Y2840" s="276" t="str">
        <f ca="1">IF($Y$3="申万一级行业",[1]!s_info_industry_sw_2021(W2840,公司分析!D$5,1),IF($Y$3="申万二级行业",[1]!s_info_industry_sw_2021(W2840,公司分析!D$5,2),IF($Y$3="申万三级行业",[1]!s_info_industry_sw_2021(W2840,公司分析!D$5,3),IF($Y$3="wind一级行业",[1]!s_info_industry_gics(W2840,1),IF($Y$3="wind二级行业",[1]!s_info_industry_gics(W2840,2),IF($Y$3="wind三级行业",[1]!s_info_industry_gics(W2840,3),IF($Y$3="wind四级行业",[1]!s_info_industry_gics(W2840,4),IF($Y$3="证监会门类行业",[1]!s_info_industry_csrc12_n(W2840,公司分析!D$5,1),""))))))))</f>
        <v>黑色家电</v>
      </c>
      <c r="Z2840" s="302" t="str">
        <f ca="1">IF(Y2840=行业比较!$E$6,ROW(),"")</f>
        <v/>
      </c>
    </row>
    <row r="2841" spans="22:26">
      <c r="V2841" s="260">
        <f t="shared" ca="1" si="52"/>
        <v>0</v>
      </c>
      <c r="W2841" s="348" t="str">
        <f>IF(板块成分!B2843="","",板块成分!B2843)</f>
        <v>301580.SZ</v>
      </c>
      <c r="X2841" s="276" t="str">
        <f>[1]!S_Info_Name(W2841)</f>
        <v>爱迪特</v>
      </c>
      <c r="Y2841" s="276" t="str">
        <f ca="1">IF($Y$3="申万一级行业",[1]!s_info_industry_sw_2021(W2841,公司分析!D$5,1),IF($Y$3="申万二级行业",[1]!s_info_industry_sw_2021(W2841,公司分析!D$5,2),IF($Y$3="申万三级行业",[1]!s_info_industry_sw_2021(W2841,公司分析!D$5,3),IF($Y$3="wind一级行业",[1]!s_info_industry_gics(W2841,1),IF($Y$3="wind二级行业",[1]!s_info_industry_gics(W2841,2),IF($Y$3="wind三级行业",[1]!s_info_industry_gics(W2841,3),IF($Y$3="wind四级行业",[1]!s_info_industry_gics(W2841,4),IF($Y$3="证监会门类行业",[1]!s_info_industry_csrc12_n(W2841,公司分析!D$5,1),""))))))))</f>
        <v>医疗器械</v>
      </c>
      <c r="Z2841" s="302" t="str">
        <f ca="1">IF(Y2841=行业比较!$E$6,ROW(),"")</f>
        <v/>
      </c>
    </row>
    <row r="2842" spans="22:26">
      <c r="V2842" s="260">
        <f t="shared" ca="1" si="52"/>
        <v>0</v>
      </c>
      <c r="W2842" s="348" t="str">
        <f>IF(板块成分!B2844="","",板块成分!B2844)</f>
        <v>301581.SZ</v>
      </c>
      <c r="X2842" s="276" t="str">
        <f>[1]!S_Info_Name(W2842)</f>
        <v>黄山谷捷</v>
      </c>
      <c r="Y2842" s="276" t="str">
        <f ca="1">IF($Y$3="申万一级行业",[1]!s_info_industry_sw_2021(W2842,公司分析!D$5,1),IF($Y$3="申万二级行业",[1]!s_info_industry_sw_2021(W2842,公司分析!D$5,2),IF($Y$3="申万三级行业",[1]!s_info_industry_sw_2021(W2842,公司分析!D$5,3),IF($Y$3="wind一级行业",[1]!s_info_industry_gics(W2842,1),IF($Y$3="wind二级行业",[1]!s_info_industry_gics(W2842,2),IF($Y$3="wind三级行业",[1]!s_info_industry_gics(W2842,3),IF($Y$3="wind四级行业",[1]!s_info_industry_gics(W2842,4),IF($Y$3="证监会门类行业",[1]!s_info_industry_csrc12_n(W2842,公司分析!D$5,1),""))))))))</f>
        <v>汽车零部件</v>
      </c>
      <c r="Z2842" s="302" t="str">
        <f ca="1">IF(Y2842=行业比较!$E$6,ROW(),"")</f>
        <v/>
      </c>
    </row>
    <row r="2843" spans="22:26">
      <c r="V2843" s="260">
        <f t="shared" ca="1" si="52"/>
        <v>0</v>
      </c>
      <c r="W2843" s="348" t="str">
        <f>IF(板块成分!B2845="","",板块成分!B2845)</f>
        <v>301584.SZ</v>
      </c>
      <c r="X2843" s="276" t="str">
        <f>[1]!S_Info_Name(W2843)</f>
        <v>建发致新</v>
      </c>
      <c r="Y2843" s="276" t="str">
        <f ca="1">IF($Y$3="申万一级行业",[1]!s_info_industry_sw_2021(W2843,公司分析!D$5,1),IF($Y$3="申万二级行业",[1]!s_info_industry_sw_2021(W2843,公司分析!D$5,2),IF($Y$3="申万三级行业",[1]!s_info_industry_sw_2021(W2843,公司分析!D$5,3),IF($Y$3="wind一级行业",[1]!s_info_industry_gics(W2843,1),IF($Y$3="wind二级行业",[1]!s_info_industry_gics(W2843,2),IF($Y$3="wind三级行业",[1]!s_info_industry_gics(W2843,3),IF($Y$3="wind四级行业",[1]!s_info_industry_gics(W2843,4),IF($Y$3="证监会门类行业",[1]!s_info_industry_csrc12_n(W2843,公司分析!D$5,1),""))))))))</f>
        <v>医药商业</v>
      </c>
      <c r="Z2843" s="302" t="str">
        <f ca="1">IF(Y2843=行业比较!$E$6,ROW(),"")</f>
        <v/>
      </c>
    </row>
    <row r="2844" spans="22:26">
      <c r="V2844" s="260">
        <f t="shared" ca="1" si="52"/>
        <v>0</v>
      </c>
      <c r="W2844" s="348" t="str">
        <f>IF(板块成分!B2846="","",板块成分!B2846)</f>
        <v>301585.SZ</v>
      </c>
      <c r="X2844" s="276" t="str">
        <f>[1]!S_Info_Name(W2844)</f>
        <v>蓝宇股份</v>
      </c>
      <c r="Y2844" s="276" t="str">
        <f ca="1">IF($Y$3="申万一级行业",[1]!s_info_industry_sw_2021(W2844,公司分析!D$5,1),IF($Y$3="申万二级行业",[1]!s_info_industry_sw_2021(W2844,公司分析!D$5,2),IF($Y$3="申万三级行业",[1]!s_info_industry_sw_2021(W2844,公司分析!D$5,3),IF($Y$3="wind一级行业",[1]!s_info_industry_gics(W2844,1),IF($Y$3="wind二级行业",[1]!s_info_industry_gics(W2844,2),IF($Y$3="wind三级行业",[1]!s_info_industry_gics(W2844,3),IF($Y$3="wind四级行业",[1]!s_info_industry_gics(W2844,4),IF($Y$3="证监会门类行业",[1]!s_info_industry_csrc12_n(W2844,公司分析!D$5,1),""))))))))</f>
        <v>化学制品</v>
      </c>
      <c r="Z2844" s="302" t="str">
        <f ca="1">IF(Y2844=行业比较!$E$6,ROW(),"")</f>
        <v/>
      </c>
    </row>
    <row r="2845" spans="22:26">
      <c r="V2845" s="260">
        <f t="shared" ca="1" si="52"/>
        <v>0</v>
      </c>
      <c r="W2845" s="348" t="str">
        <f>IF(板块成分!B2847="","",板块成分!B2847)</f>
        <v>301586.SZ</v>
      </c>
      <c r="X2845" s="276" t="str">
        <f>[1]!S_Info_Name(W2845)</f>
        <v>佳力奇</v>
      </c>
      <c r="Y2845" s="276" t="str">
        <f ca="1">IF($Y$3="申万一级行业",[1]!s_info_industry_sw_2021(W2845,公司分析!D$5,1),IF($Y$3="申万二级行业",[1]!s_info_industry_sw_2021(W2845,公司分析!D$5,2),IF($Y$3="申万三级行业",[1]!s_info_industry_sw_2021(W2845,公司分析!D$5,3),IF($Y$3="wind一级行业",[1]!s_info_industry_gics(W2845,1),IF($Y$3="wind二级行业",[1]!s_info_industry_gics(W2845,2),IF($Y$3="wind三级行业",[1]!s_info_industry_gics(W2845,3),IF($Y$3="wind四级行业",[1]!s_info_industry_gics(W2845,4),IF($Y$3="证监会门类行业",[1]!s_info_industry_csrc12_n(W2845,公司分析!D$5,1),""))))))))</f>
        <v>航空装备Ⅱ</v>
      </c>
      <c r="Z2845" s="302" t="str">
        <f ca="1">IF(Y2845=行业比较!$E$6,ROW(),"")</f>
        <v/>
      </c>
    </row>
    <row r="2846" spans="22:26">
      <c r="V2846" s="260">
        <f t="shared" ca="1" si="52"/>
        <v>0</v>
      </c>
      <c r="W2846" s="348" t="str">
        <f>IF(板块成分!B2848="","",板块成分!B2848)</f>
        <v>301587.SZ</v>
      </c>
      <c r="X2846" s="276" t="str">
        <f>[1]!S_Info_Name(W2846)</f>
        <v>中瑞股份</v>
      </c>
      <c r="Y2846" s="276" t="str">
        <f ca="1">IF($Y$3="申万一级行业",[1]!s_info_industry_sw_2021(W2846,公司分析!D$5,1),IF($Y$3="申万二级行业",[1]!s_info_industry_sw_2021(W2846,公司分析!D$5,2),IF($Y$3="申万三级行业",[1]!s_info_industry_sw_2021(W2846,公司分析!D$5,3),IF($Y$3="wind一级行业",[1]!s_info_industry_gics(W2846,1),IF($Y$3="wind二级行业",[1]!s_info_industry_gics(W2846,2),IF($Y$3="wind三级行业",[1]!s_info_industry_gics(W2846,3),IF($Y$3="wind四级行业",[1]!s_info_industry_gics(W2846,4),IF($Y$3="证监会门类行业",[1]!s_info_industry_csrc12_n(W2846,公司分析!D$5,1),""))))))))</f>
        <v>电池</v>
      </c>
      <c r="Z2846" s="302" t="str">
        <f ca="1">IF(Y2846=行业比较!$E$6,ROW(),"")</f>
        <v/>
      </c>
    </row>
    <row r="2847" spans="22:26">
      <c r="V2847" s="260">
        <f t="shared" ca="1" si="52"/>
        <v>0</v>
      </c>
      <c r="W2847" s="348" t="str">
        <f>IF(板块成分!B2849="","",板块成分!B2849)</f>
        <v>301588.SZ</v>
      </c>
      <c r="X2847" s="276" t="str">
        <f>[1]!S_Info_Name(W2847)</f>
        <v>美新科技</v>
      </c>
      <c r="Y2847" s="276" t="str">
        <f ca="1">IF($Y$3="申万一级行业",[1]!s_info_industry_sw_2021(W2847,公司分析!D$5,1),IF($Y$3="申万二级行业",[1]!s_info_industry_sw_2021(W2847,公司分析!D$5,2),IF($Y$3="申万三级行业",[1]!s_info_industry_sw_2021(W2847,公司分析!D$5,3),IF($Y$3="wind一级行业",[1]!s_info_industry_gics(W2847,1),IF($Y$3="wind二级行业",[1]!s_info_industry_gics(W2847,2),IF($Y$3="wind三级行业",[1]!s_info_industry_gics(W2847,3),IF($Y$3="wind四级行业",[1]!s_info_industry_gics(W2847,4),IF($Y$3="证监会门类行业",[1]!s_info_industry_csrc12_n(W2847,公司分析!D$5,1),""))))))))</f>
        <v>家居用品</v>
      </c>
      <c r="Z2847" s="302" t="str">
        <f ca="1">IF(Y2847=行业比较!$E$6,ROW(),"")</f>
        <v/>
      </c>
    </row>
    <row r="2848" spans="22:26">
      <c r="V2848" s="260">
        <f t="shared" ca="1" si="52"/>
        <v>0</v>
      </c>
      <c r="W2848" s="348" t="str">
        <f>IF(板块成分!B2850="","",板块成分!B2850)</f>
        <v>301589.SZ</v>
      </c>
      <c r="X2848" s="276" t="str">
        <f>[1]!S_Info_Name(W2848)</f>
        <v>诺瓦星云</v>
      </c>
      <c r="Y2848" s="276" t="str">
        <f ca="1">IF($Y$3="申万一级行业",[1]!s_info_industry_sw_2021(W2848,公司分析!D$5,1),IF($Y$3="申万二级行业",[1]!s_info_industry_sw_2021(W2848,公司分析!D$5,2),IF($Y$3="申万三级行业",[1]!s_info_industry_sw_2021(W2848,公司分析!D$5,3),IF($Y$3="wind一级行业",[1]!s_info_industry_gics(W2848,1),IF($Y$3="wind二级行业",[1]!s_info_industry_gics(W2848,2),IF($Y$3="wind三级行业",[1]!s_info_industry_gics(W2848,3),IF($Y$3="wind四级行业",[1]!s_info_industry_gics(W2848,4),IF($Y$3="证监会门类行业",[1]!s_info_industry_csrc12_n(W2848,公司分析!D$5,1),""))))))))</f>
        <v>计算机设备</v>
      </c>
      <c r="Z2848" s="302" t="str">
        <f ca="1">IF(Y2848=行业比较!$E$6,ROW(),"")</f>
        <v/>
      </c>
    </row>
    <row r="2849" spans="22:26">
      <c r="V2849" s="260">
        <f t="shared" ca="1" si="52"/>
        <v>0</v>
      </c>
      <c r="W2849" s="348" t="str">
        <f>IF(板块成分!B2851="","",板块成分!B2851)</f>
        <v>301590.SZ</v>
      </c>
      <c r="X2849" s="276" t="str">
        <f>[1]!S_Info_Name(W2849)</f>
        <v>优优绿能</v>
      </c>
      <c r="Y2849" s="276" t="str">
        <f ca="1">IF($Y$3="申万一级行业",[1]!s_info_industry_sw_2021(W2849,公司分析!D$5,1),IF($Y$3="申万二级行业",[1]!s_info_industry_sw_2021(W2849,公司分析!D$5,2),IF($Y$3="申万三级行业",[1]!s_info_industry_sw_2021(W2849,公司分析!D$5,3),IF($Y$3="wind一级行业",[1]!s_info_industry_gics(W2849,1),IF($Y$3="wind二级行业",[1]!s_info_industry_gics(W2849,2),IF($Y$3="wind三级行业",[1]!s_info_industry_gics(W2849,3),IF($Y$3="wind四级行业",[1]!s_info_industry_gics(W2849,4),IF($Y$3="证监会门类行业",[1]!s_info_industry_csrc12_n(W2849,公司分析!D$5,1),""))))))))</f>
        <v>其他电源设备Ⅱ</v>
      </c>
      <c r="Z2849" s="302" t="str">
        <f ca="1">IF(Y2849=行业比较!$E$6,ROW(),"")</f>
        <v/>
      </c>
    </row>
    <row r="2850" spans="22:26">
      <c r="V2850" s="260">
        <f t="shared" ca="1" si="52"/>
        <v>0</v>
      </c>
      <c r="W2850" s="348" t="str">
        <f>IF(板块成分!B2852="","",板块成分!B2852)</f>
        <v>301591.SZ</v>
      </c>
      <c r="X2850" s="276" t="str">
        <f>[1]!S_Info_Name(W2850)</f>
        <v>肯特股份</v>
      </c>
      <c r="Y2850" s="276" t="str">
        <f ca="1">IF($Y$3="申万一级行业",[1]!s_info_industry_sw_2021(W2850,公司分析!D$5,1),IF($Y$3="申万二级行业",[1]!s_info_industry_sw_2021(W2850,公司分析!D$5,2),IF($Y$3="申万三级行业",[1]!s_info_industry_sw_2021(W2850,公司分析!D$5,3),IF($Y$3="wind一级行业",[1]!s_info_industry_gics(W2850,1),IF($Y$3="wind二级行业",[1]!s_info_industry_gics(W2850,2),IF($Y$3="wind三级行业",[1]!s_info_industry_gics(W2850,3),IF($Y$3="wind四级行业",[1]!s_info_industry_gics(W2850,4),IF($Y$3="证监会门类行业",[1]!s_info_industry_csrc12_n(W2850,公司分析!D$5,1),""))))))))</f>
        <v>塑料</v>
      </c>
      <c r="Z2850" s="302" t="str">
        <f ca="1">IF(Y2850=行业比较!$E$6,ROW(),"")</f>
        <v/>
      </c>
    </row>
    <row r="2851" spans="22:26">
      <c r="V2851" s="260">
        <f t="shared" ca="1" si="52"/>
        <v>0</v>
      </c>
      <c r="W2851" s="348" t="str">
        <f>IF(板块成分!B2853="","",板块成分!B2853)</f>
        <v>301592.SZ</v>
      </c>
      <c r="X2851" s="276" t="str">
        <f>[1]!S_Info_Name(W2851)</f>
        <v>六九一二</v>
      </c>
      <c r="Y2851" s="276" t="str">
        <f ca="1">IF($Y$3="申万一级行业",[1]!s_info_industry_sw_2021(W2851,公司分析!D$5,1),IF($Y$3="申万二级行业",[1]!s_info_industry_sw_2021(W2851,公司分析!D$5,2),IF($Y$3="申万三级行业",[1]!s_info_industry_sw_2021(W2851,公司分析!D$5,3),IF($Y$3="wind一级行业",[1]!s_info_industry_gics(W2851,1),IF($Y$3="wind二级行业",[1]!s_info_industry_gics(W2851,2),IF($Y$3="wind三级行业",[1]!s_info_industry_gics(W2851,3),IF($Y$3="wind四级行业",[1]!s_info_industry_gics(W2851,4),IF($Y$3="证监会门类行业",[1]!s_info_industry_csrc12_n(W2851,公司分析!D$5,1),""))))))))</f>
        <v>军工电子Ⅱ</v>
      </c>
      <c r="Z2851" s="302" t="str">
        <f ca="1">IF(Y2851=行业比较!$E$6,ROW(),"")</f>
        <v/>
      </c>
    </row>
    <row r="2852" spans="22:26">
      <c r="V2852" s="260">
        <f t="shared" ca="1" si="52"/>
        <v>0</v>
      </c>
      <c r="W2852" s="348" t="str">
        <f>IF(板块成分!B2854="","",板块成分!B2854)</f>
        <v>301595.SZ</v>
      </c>
      <c r="X2852" s="276" t="str">
        <f>[1]!S_Info_Name(W2852)</f>
        <v>太力科技</v>
      </c>
      <c r="Y2852" s="276" t="str">
        <f ca="1">IF($Y$3="申万一级行业",[1]!s_info_industry_sw_2021(W2852,公司分析!D$5,1),IF($Y$3="申万二级行业",[1]!s_info_industry_sw_2021(W2852,公司分析!D$5,2),IF($Y$3="申万三级行业",[1]!s_info_industry_sw_2021(W2852,公司分析!D$5,3),IF($Y$3="wind一级行业",[1]!s_info_industry_gics(W2852,1),IF($Y$3="wind二级行业",[1]!s_info_industry_gics(W2852,2),IF($Y$3="wind三级行业",[1]!s_info_industry_gics(W2852,3),IF($Y$3="wind四级行业",[1]!s_info_industry_gics(W2852,4),IF($Y$3="证监会门类行业",[1]!s_info_industry_csrc12_n(W2852,公司分析!D$5,1),""))))))))</f>
        <v>家居用品</v>
      </c>
      <c r="Z2852" s="302" t="str">
        <f ca="1">IF(Y2852=行业比较!$E$6,ROW(),"")</f>
        <v/>
      </c>
    </row>
    <row r="2853" spans="22:26">
      <c r="V2853" s="260">
        <f t="shared" ca="1" si="52"/>
        <v>0</v>
      </c>
      <c r="W2853" s="348" t="str">
        <f>IF(板块成分!B2855="","",板块成分!B2855)</f>
        <v>301596.SZ</v>
      </c>
      <c r="X2853" s="276" t="str">
        <f>[1]!S_Info_Name(W2853)</f>
        <v>瑞迪智驱</v>
      </c>
      <c r="Y2853" s="276" t="str">
        <f ca="1">IF($Y$3="申万一级行业",[1]!s_info_industry_sw_2021(W2853,公司分析!D$5,1),IF($Y$3="申万二级行业",[1]!s_info_industry_sw_2021(W2853,公司分析!D$5,2),IF($Y$3="申万三级行业",[1]!s_info_industry_sw_2021(W2853,公司分析!D$5,3),IF($Y$3="wind一级行业",[1]!s_info_industry_gics(W2853,1),IF($Y$3="wind二级行业",[1]!s_info_industry_gics(W2853,2),IF($Y$3="wind三级行业",[1]!s_info_industry_gics(W2853,3),IF($Y$3="wind四级行业",[1]!s_info_industry_gics(W2853,4),IF($Y$3="证监会门类行业",[1]!s_info_industry_csrc12_n(W2853,公司分析!D$5,1),""))))))))</f>
        <v>通用设备</v>
      </c>
      <c r="Z2853" s="302" t="str">
        <f ca="1">IF(Y2853=行业比较!$E$6,ROW(),"")</f>
        <v/>
      </c>
    </row>
    <row r="2854" spans="22:26">
      <c r="V2854" s="260">
        <f t="shared" ca="1" si="52"/>
        <v>0</v>
      </c>
      <c r="W2854" s="348" t="str">
        <f>IF(板块成分!B2856="","",板块成分!B2856)</f>
        <v>301598.SZ</v>
      </c>
      <c r="X2854" s="276" t="str">
        <f>[1]!S_Info_Name(W2854)</f>
        <v>博科测试</v>
      </c>
      <c r="Y2854" s="276" t="str">
        <f ca="1">IF($Y$3="申万一级行业",[1]!s_info_industry_sw_2021(W2854,公司分析!D$5,1),IF($Y$3="申万二级行业",[1]!s_info_industry_sw_2021(W2854,公司分析!D$5,2),IF($Y$3="申万三级行业",[1]!s_info_industry_sw_2021(W2854,公司分析!D$5,3),IF($Y$3="wind一级行业",[1]!s_info_industry_gics(W2854,1),IF($Y$3="wind二级行业",[1]!s_info_industry_gics(W2854,2),IF($Y$3="wind三级行业",[1]!s_info_industry_gics(W2854,3),IF($Y$3="wind四级行业",[1]!s_info_industry_gics(W2854,4),IF($Y$3="证监会门类行业",[1]!s_info_industry_csrc12_n(W2854,公司分析!D$5,1),""))))))))</f>
        <v>专用设备</v>
      </c>
      <c r="Z2854" s="302" t="str">
        <f ca="1">IF(Y2854=行业比较!$E$6,ROW(),"")</f>
        <v/>
      </c>
    </row>
    <row r="2855" spans="22:26">
      <c r="V2855" s="260">
        <f t="shared" ca="1" si="52"/>
        <v>0</v>
      </c>
      <c r="W2855" s="348" t="str">
        <f>IF(板块成分!B2857="","",板块成分!B2857)</f>
        <v>301600.SZ</v>
      </c>
      <c r="X2855" s="276" t="str">
        <f>[1]!S_Info_Name(W2855)</f>
        <v>慧翰股份</v>
      </c>
      <c r="Y2855" s="276" t="str">
        <f ca="1">IF($Y$3="申万一级行业",[1]!s_info_industry_sw_2021(W2855,公司分析!D$5,1),IF($Y$3="申万二级行业",[1]!s_info_industry_sw_2021(W2855,公司分析!D$5,2),IF($Y$3="申万三级行业",[1]!s_info_industry_sw_2021(W2855,公司分析!D$5,3),IF($Y$3="wind一级行业",[1]!s_info_industry_gics(W2855,1),IF($Y$3="wind二级行业",[1]!s_info_industry_gics(W2855,2),IF($Y$3="wind三级行业",[1]!s_info_industry_gics(W2855,3),IF($Y$3="wind四级行业",[1]!s_info_industry_gics(W2855,4),IF($Y$3="证监会门类行业",[1]!s_info_industry_csrc12_n(W2855,公司分析!D$5,1),""))))))))</f>
        <v>计算机设备</v>
      </c>
      <c r="Z2855" s="302" t="str">
        <f ca="1">IF(Y2855=行业比较!$E$6,ROW(),"")</f>
        <v/>
      </c>
    </row>
    <row r="2856" spans="22:26">
      <c r="V2856" s="260">
        <f t="shared" ca="1" si="52"/>
        <v>0</v>
      </c>
      <c r="W2856" s="348" t="str">
        <f>IF(板块成分!B2858="","",板块成分!B2858)</f>
        <v>301601.SZ</v>
      </c>
      <c r="X2856" s="276" t="str">
        <f>[1]!S_Info_Name(W2856)</f>
        <v>惠通科技</v>
      </c>
      <c r="Y2856" s="276" t="str">
        <f ca="1">IF($Y$3="申万一级行业",[1]!s_info_industry_sw_2021(W2856,公司分析!D$5,1),IF($Y$3="申万二级行业",[1]!s_info_industry_sw_2021(W2856,公司分析!D$5,2),IF($Y$3="申万三级行业",[1]!s_info_industry_sw_2021(W2856,公司分析!D$5,3),IF($Y$3="wind一级行业",[1]!s_info_industry_gics(W2856,1),IF($Y$3="wind二级行业",[1]!s_info_industry_gics(W2856,2),IF($Y$3="wind三级行业",[1]!s_info_industry_gics(W2856,3),IF($Y$3="wind四级行业",[1]!s_info_industry_gics(W2856,4),IF($Y$3="证监会门类行业",[1]!s_info_industry_csrc12_n(W2856,公司分析!D$5,1),""))))))))</f>
        <v>专用设备</v>
      </c>
      <c r="Z2856" s="302" t="str">
        <f ca="1">IF(Y2856=行业比较!$E$6,ROW(),"")</f>
        <v/>
      </c>
    </row>
    <row r="2857" spans="22:26">
      <c r="V2857" s="260">
        <f t="shared" ca="1" si="52"/>
        <v>0</v>
      </c>
      <c r="W2857" s="348" t="str">
        <f>IF(板块成分!B2859="","",板块成分!B2859)</f>
        <v>301602.SZ</v>
      </c>
      <c r="X2857" s="276" t="str">
        <f>[1]!S_Info_Name(W2857)</f>
        <v>超研股份</v>
      </c>
      <c r="Y2857" s="276" t="str">
        <f ca="1">IF($Y$3="申万一级行业",[1]!s_info_industry_sw_2021(W2857,公司分析!D$5,1),IF($Y$3="申万二级行业",[1]!s_info_industry_sw_2021(W2857,公司分析!D$5,2),IF($Y$3="申万三级行业",[1]!s_info_industry_sw_2021(W2857,公司分析!D$5,3),IF($Y$3="wind一级行业",[1]!s_info_industry_gics(W2857,1),IF($Y$3="wind二级行业",[1]!s_info_industry_gics(W2857,2),IF($Y$3="wind三级行业",[1]!s_info_industry_gics(W2857,3),IF($Y$3="wind四级行业",[1]!s_info_industry_gics(W2857,4),IF($Y$3="证监会门类行业",[1]!s_info_industry_csrc12_n(W2857,公司分析!D$5,1),""))))))))</f>
        <v>医疗器械</v>
      </c>
      <c r="Z2857" s="302" t="str">
        <f ca="1">IF(Y2857=行业比较!$E$6,ROW(),"")</f>
        <v/>
      </c>
    </row>
    <row r="2858" spans="22:26">
      <c r="V2858" s="260">
        <f t="shared" ca="1" si="52"/>
        <v>0</v>
      </c>
      <c r="W2858" s="348" t="str">
        <f>IF(板块成分!B2860="","",板块成分!B2860)</f>
        <v>301603.SZ</v>
      </c>
      <c r="X2858" s="276" t="str">
        <f>[1]!S_Info_Name(W2858)</f>
        <v>乔锋智能</v>
      </c>
      <c r="Y2858" s="276" t="str">
        <f ca="1">IF($Y$3="申万一级行业",[1]!s_info_industry_sw_2021(W2858,公司分析!D$5,1),IF($Y$3="申万二级行业",[1]!s_info_industry_sw_2021(W2858,公司分析!D$5,2),IF($Y$3="申万三级行业",[1]!s_info_industry_sw_2021(W2858,公司分析!D$5,3),IF($Y$3="wind一级行业",[1]!s_info_industry_gics(W2858,1),IF($Y$3="wind二级行业",[1]!s_info_industry_gics(W2858,2),IF($Y$3="wind三级行业",[1]!s_info_industry_gics(W2858,3),IF($Y$3="wind四级行业",[1]!s_info_industry_gics(W2858,4),IF($Y$3="证监会门类行业",[1]!s_info_industry_csrc12_n(W2858,公司分析!D$5,1),""))))))))</f>
        <v>通用设备</v>
      </c>
      <c r="Z2858" s="302" t="str">
        <f ca="1">IF(Y2858=行业比较!$E$6,ROW(),"")</f>
        <v/>
      </c>
    </row>
    <row r="2859" spans="22:26">
      <c r="V2859" s="260">
        <f t="shared" ca="1" si="52"/>
        <v>0</v>
      </c>
      <c r="W2859" s="348" t="str">
        <f>IF(板块成分!B2861="","",板块成分!B2861)</f>
        <v>301606.SZ</v>
      </c>
      <c r="X2859" s="276" t="str">
        <f>[1]!S_Info_Name(W2859)</f>
        <v>绿联科技</v>
      </c>
      <c r="Y2859" s="276" t="str">
        <f ca="1">IF($Y$3="申万一级行业",[1]!s_info_industry_sw_2021(W2859,公司分析!D$5,1),IF($Y$3="申万二级行业",[1]!s_info_industry_sw_2021(W2859,公司分析!D$5,2),IF($Y$3="申万三级行业",[1]!s_info_industry_sw_2021(W2859,公司分析!D$5,3),IF($Y$3="wind一级行业",[1]!s_info_industry_gics(W2859,1),IF($Y$3="wind二级行业",[1]!s_info_industry_gics(W2859,2),IF($Y$3="wind三级行业",[1]!s_info_industry_gics(W2859,3),IF($Y$3="wind四级行业",[1]!s_info_industry_gics(W2859,4),IF($Y$3="证监会门类行业",[1]!s_info_industry_csrc12_n(W2859,公司分析!D$5,1),""))))))))</f>
        <v>消费电子</v>
      </c>
      <c r="Z2859" s="302" t="str">
        <f ca="1">IF(Y2859=行业比较!$E$6,ROW(),"")</f>
        <v/>
      </c>
    </row>
    <row r="2860" spans="22:26">
      <c r="V2860" s="260">
        <f t="shared" ca="1" si="52"/>
        <v>0</v>
      </c>
      <c r="W2860" s="348" t="str">
        <f>IF(板块成分!B2862="","",板块成分!B2862)</f>
        <v>301607.SZ</v>
      </c>
      <c r="X2860" s="276" t="str">
        <f>[1]!S_Info_Name(W2860)</f>
        <v>富特科技</v>
      </c>
      <c r="Y2860" s="276" t="str">
        <f ca="1">IF($Y$3="申万一级行业",[1]!s_info_industry_sw_2021(W2860,公司分析!D$5,1),IF($Y$3="申万二级行业",[1]!s_info_industry_sw_2021(W2860,公司分析!D$5,2),IF($Y$3="申万三级行业",[1]!s_info_industry_sw_2021(W2860,公司分析!D$5,3),IF($Y$3="wind一级行业",[1]!s_info_industry_gics(W2860,1),IF($Y$3="wind二级行业",[1]!s_info_industry_gics(W2860,2),IF($Y$3="wind三级行业",[1]!s_info_industry_gics(W2860,3),IF($Y$3="wind四级行业",[1]!s_info_industry_gics(W2860,4),IF($Y$3="证监会门类行业",[1]!s_info_industry_csrc12_n(W2860,公司分析!D$5,1),""))))))))</f>
        <v>汽车零部件</v>
      </c>
      <c r="Z2860" s="302" t="str">
        <f ca="1">IF(Y2860=行业比较!$E$6,ROW(),"")</f>
        <v/>
      </c>
    </row>
    <row r="2861" spans="22:26">
      <c r="V2861" s="260">
        <f t="shared" ca="1" si="52"/>
        <v>0</v>
      </c>
      <c r="W2861" s="348" t="str">
        <f>IF(板块成分!B2863="","",板块成分!B2863)</f>
        <v>301608.SZ</v>
      </c>
      <c r="X2861" s="276" t="str">
        <f>[1]!S_Info_Name(W2861)</f>
        <v>博实结</v>
      </c>
      <c r="Y2861" s="276" t="str">
        <f ca="1">IF($Y$3="申万一级行业",[1]!s_info_industry_sw_2021(W2861,公司分析!D$5,1),IF($Y$3="申万二级行业",[1]!s_info_industry_sw_2021(W2861,公司分析!D$5,2),IF($Y$3="申万三级行业",[1]!s_info_industry_sw_2021(W2861,公司分析!D$5,3),IF($Y$3="wind一级行业",[1]!s_info_industry_gics(W2861,1),IF($Y$3="wind二级行业",[1]!s_info_industry_gics(W2861,2),IF($Y$3="wind三级行业",[1]!s_info_industry_gics(W2861,3),IF($Y$3="wind四级行业",[1]!s_info_industry_gics(W2861,4),IF($Y$3="证监会门类行业",[1]!s_info_industry_csrc12_n(W2861,公司分析!D$5,1),""))))))))</f>
        <v>计算机设备</v>
      </c>
      <c r="Z2861" s="302" t="str">
        <f ca="1">IF(Y2861=行业比较!$E$6,ROW(),"")</f>
        <v/>
      </c>
    </row>
    <row r="2862" spans="22:26">
      <c r="V2862" s="260">
        <f t="shared" ca="1" si="52"/>
        <v>0</v>
      </c>
      <c r="W2862" s="348" t="str">
        <f>IF(板块成分!B2864="","",板块成分!B2864)</f>
        <v>301609.SZ</v>
      </c>
      <c r="X2862" s="276" t="str">
        <f>[1]!S_Info_Name(W2862)</f>
        <v>山大电力</v>
      </c>
      <c r="Y2862" s="276" t="str">
        <f ca="1">IF($Y$3="申万一级行业",[1]!s_info_industry_sw_2021(W2862,公司分析!D$5,1),IF($Y$3="申万二级行业",[1]!s_info_industry_sw_2021(W2862,公司分析!D$5,2),IF($Y$3="申万三级行业",[1]!s_info_industry_sw_2021(W2862,公司分析!D$5,3),IF($Y$3="wind一级行业",[1]!s_info_industry_gics(W2862,1),IF($Y$3="wind二级行业",[1]!s_info_industry_gics(W2862,2),IF($Y$3="wind三级行业",[1]!s_info_industry_gics(W2862,3),IF($Y$3="wind四级行业",[1]!s_info_industry_gics(W2862,4),IF($Y$3="证监会门类行业",[1]!s_info_industry_csrc12_n(W2862,公司分析!D$5,1),""))))))))</f>
        <v>电网设备</v>
      </c>
      <c r="Z2862" s="302" t="str">
        <f ca="1">IF(Y2862=行业比较!$E$6,ROW(),"")</f>
        <v/>
      </c>
    </row>
    <row r="2863" spans="22:26">
      <c r="V2863" s="260">
        <f t="shared" ca="1" si="52"/>
        <v>0</v>
      </c>
      <c r="W2863" s="348" t="str">
        <f>IF(板块成分!B2865="","",板块成分!B2865)</f>
        <v>301611.SZ</v>
      </c>
      <c r="X2863" s="276" t="str">
        <f>[1]!S_Info_Name(W2863)</f>
        <v>珂玛科技</v>
      </c>
      <c r="Y2863" s="276" t="str">
        <f ca="1">IF($Y$3="申万一级行业",[1]!s_info_industry_sw_2021(W2863,公司分析!D$5,1),IF($Y$3="申万二级行业",[1]!s_info_industry_sw_2021(W2863,公司分析!D$5,2),IF($Y$3="申万三级行业",[1]!s_info_industry_sw_2021(W2863,公司分析!D$5,3),IF($Y$3="wind一级行业",[1]!s_info_industry_gics(W2863,1),IF($Y$3="wind二级行业",[1]!s_info_industry_gics(W2863,2),IF($Y$3="wind三级行业",[1]!s_info_industry_gics(W2863,3),IF($Y$3="wind四级行业",[1]!s_info_industry_gics(W2863,4),IF($Y$3="证监会门类行业",[1]!s_info_industry_csrc12_n(W2863,公司分析!D$5,1),""))))))))</f>
        <v>半导体</v>
      </c>
      <c r="Z2863" s="302" t="str">
        <f ca="1">IF(Y2863=行业比较!$E$6,ROW(),"")</f>
        <v/>
      </c>
    </row>
    <row r="2864" spans="22:26">
      <c r="V2864" s="260">
        <f t="shared" ca="1" si="52"/>
        <v>0</v>
      </c>
      <c r="W2864" s="348" t="str">
        <f>IF(板块成分!B2866="","",板块成分!B2866)</f>
        <v>301613.SZ</v>
      </c>
      <c r="X2864" s="276" t="str">
        <f>[1]!S_Info_Name(W2864)</f>
        <v>新铝时代</v>
      </c>
      <c r="Y2864" s="276" t="str">
        <f ca="1">IF($Y$3="申万一级行业",[1]!s_info_industry_sw_2021(W2864,公司分析!D$5,1),IF($Y$3="申万二级行业",[1]!s_info_industry_sw_2021(W2864,公司分析!D$5,2),IF($Y$3="申万三级行业",[1]!s_info_industry_sw_2021(W2864,公司分析!D$5,3),IF($Y$3="wind一级行业",[1]!s_info_industry_gics(W2864,1),IF($Y$3="wind二级行业",[1]!s_info_industry_gics(W2864,2),IF($Y$3="wind三级行业",[1]!s_info_industry_gics(W2864,3),IF($Y$3="wind四级行业",[1]!s_info_industry_gics(W2864,4),IF($Y$3="证监会门类行业",[1]!s_info_industry_csrc12_n(W2864,公司分析!D$5,1),""))))))))</f>
        <v>汽车零部件</v>
      </c>
      <c r="Z2864" s="302" t="str">
        <f ca="1">IF(Y2864=行业比较!$E$6,ROW(),"")</f>
        <v/>
      </c>
    </row>
    <row r="2865" spans="22:26">
      <c r="V2865" s="260">
        <f t="shared" ca="1" si="52"/>
        <v>0</v>
      </c>
      <c r="W2865" s="348" t="str">
        <f>IF(板块成分!B2867="","",板块成分!B2867)</f>
        <v>301616.SZ</v>
      </c>
      <c r="X2865" s="276" t="str">
        <f>[1]!S_Info_Name(W2865)</f>
        <v>浙江华业</v>
      </c>
      <c r="Y2865" s="276" t="str">
        <f ca="1">IF($Y$3="申万一级行业",[1]!s_info_industry_sw_2021(W2865,公司分析!D$5,1),IF($Y$3="申万二级行业",[1]!s_info_industry_sw_2021(W2865,公司分析!D$5,2),IF($Y$3="申万三级行业",[1]!s_info_industry_sw_2021(W2865,公司分析!D$5,3),IF($Y$3="wind一级行业",[1]!s_info_industry_gics(W2865,1),IF($Y$3="wind二级行业",[1]!s_info_industry_gics(W2865,2),IF($Y$3="wind三级行业",[1]!s_info_industry_gics(W2865,3),IF($Y$3="wind四级行业",[1]!s_info_industry_gics(W2865,4),IF($Y$3="证监会门类行业",[1]!s_info_industry_csrc12_n(W2865,公司分析!D$5,1),""))))))))</f>
        <v>通用设备</v>
      </c>
      <c r="Z2865" s="302" t="str">
        <f ca="1">IF(Y2865=行业比较!$E$6,ROW(),"")</f>
        <v/>
      </c>
    </row>
    <row r="2866" spans="22:26">
      <c r="V2866" s="260">
        <f t="shared" ca="1" si="52"/>
        <v>0</v>
      </c>
      <c r="W2866" s="348" t="str">
        <f>IF(板块成分!B2868="","",板块成分!B2868)</f>
        <v>301617.SZ</v>
      </c>
      <c r="X2866" s="276" t="str">
        <f>[1]!S_Info_Name(W2866)</f>
        <v>博苑股份</v>
      </c>
      <c r="Y2866" s="276" t="str">
        <f ca="1">IF($Y$3="申万一级行业",[1]!s_info_industry_sw_2021(W2866,公司分析!D$5,1),IF($Y$3="申万二级行业",[1]!s_info_industry_sw_2021(W2866,公司分析!D$5,2),IF($Y$3="申万三级行业",[1]!s_info_industry_sw_2021(W2866,公司分析!D$5,3),IF($Y$3="wind一级行业",[1]!s_info_industry_gics(W2866,1),IF($Y$3="wind二级行业",[1]!s_info_industry_gics(W2866,2),IF($Y$3="wind三级行业",[1]!s_info_industry_gics(W2866,3),IF($Y$3="wind四级行业",[1]!s_info_industry_gics(W2866,4),IF($Y$3="证监会门类行业",[1]!s_info_industry_csrc12_n(W2866,公司分析!D$5,1),""))))))))</f>
        <v>化学制品</v>
      </c>
      <c r="Z2866" s="302" t="str">
        <f ca="1">IF(Y2866=行业比较!$E$6,ROW(),"")</f>
        <v/>
      </c>
    </row>
    <row r="2867" spans="22:26">
      <c r="V2867" s="260">
        <f t="shared" ca="1" si="52"/>
        <v>0</v>
      </c>
      <c r="W2867" s="348" t="str">
        <f>IF(板块成分!B2869="","",板块成分!B2869)</f>
        <v>301618.SZ</v>
      </c>
      <c r="X2867" s="276" t="str">
        <f>[1]!S_Info_Name(W2867)</f>
        <v>长联科技</v>
      </c>
      <c r="Y2867" s="276" t="str">
        <f ca="1">IF($Y$3="申万一级行业",[1]!s_info_industry_sw_2021(W2867,公司分析!D$5,1),IF($Y$3="申万二级行业",[1]!s_info_industry_sw_2021(W2867,公司分析!D$5,2),IF($Y$3="申万三级行业",[1]!s_info_industry_sw_2021(W2867,公司分析!D$5,3),IF($Y$3="wind一级行业",[1]!s_info_industry_gics(W2867,1),IF($Y$3="wind二级行业",[1]!s_info_industry_gics(W2867,2),IF($Y$3="wind三级行业",[1]!s_info_industry_gics(W2867,3),IF($Y$3="wind四级行业",[1]!s_info_industry_gics(W2867,4),IF($Y$3="证监会门类行业",[1]!s_info_industry_csrc12_n(W2867,公司分析!D$5,1),""))))))))</f>
        <v>化学制品</v>
      </c>
      <c r="Z2867" s="302" t="str">
        <f ca="1">IF(Y2867=行业比较!$E$6,ROW(),"")</f>
        <v/>
      </c>
    </row>
    <row r="2868" spans="22:26">
      <c r="V2868" s="260">
        <f t="shared" ca="1" si="52"/>
        <v>0</v>
      </c>
      <c r="W2868" s="348" t="str">
        <f>IF(板块成分!B2870="","",板块成分!B2870)</f>
        <v>301622.SZ</v>
      </c>
      <c r="X2868" s="276" t="str">
        <f>[1]!S_Info_Name(W2868)</f>
        <v>英思特</v>
      </c>
      <c r="Y2868" s="276" t="str">
        <f ca="1">IF($Y$3="申万一级行业",[1]!s_info_industry_sw_2021(W2868,公司分析!D$5,1),IF($Y$3="申万二级行业",[1]!s_info_industry_sw_2021(W2868,公司分析!D$5,2),IF($Y$3="申万三级行业",[1]!s_info_industry_sw_2021(W2868,公司分析!D$5,3),IF($Y$3="wind一级行业",[1]!s_info_industry_gics(W2868,1),IF($Y$3="wind二级行业",[1]!s_info_industry_gics(W2868,2),IF($Y$3="wind三级行业",[1]!s_info_industry_gics(W2868,3),IF($Y$3="wind四级行业",[1]!s_info_industry_gics(W2868,4),IF($Y$3="证监会门类行业",[1]!s_info_industry_csrc12_n(W2868,公司分析!D$5,1),""))))))))</f>
        <v>金属新材料</v>
      </c>
      <c r="Z2868" s="302" t="str">
        <f ca="1">IF(Y2868=行业比较!$E$6,ROW(),"")</f>
        <v/>
      </c>
    </row>
    <row r="2869" spans="22:26">
      <c r="V2869" s="260">
        <f t="shared" ca="1" si="52"/>
        <v>0</v>
      </c>
      <c r="W2869" s="348" t="str">
        <f>IF(板块成分!B2871="","",板块成分!B2871)</f>
        <v>301626.SZ</v>
      </c>
      <c r="X2869" s="276" t="str">
        <f>[1]!S_Info_Name(W2869)</f>
        <v>苏州天脉</v>
      </c>
      <c r="Y2869" s="276" t="str">
        <f ca="1">IF($Y$3="申万一级行业",[1]!s_info_industry_sw_2021(W2869,公司分析!D$5,1),IF($Y$3="申万二级行业",[1]!s_info_industry_sw_2021(W2869,公司分析!D$5,2),IF($Y$3="申万三级行业",[1]!s_info_industry_sw_2021(W2869,公司分析!D$5,3),IF($Y$3="wind一级行业",[1]!s_info_industry_gics(W2869,1),IF($Y$3="wind二级行业",[1]!s_info_industry_gics(W2869,2),IF($Y$3="wind三级行业",[1]!s_info_industry_gics(W2869,3),IF($Y$3="wind四级行业",[1]!s_info_industry_gics(W2869,4),IF($Y$3="证监会门类行业",[1]!s_info_industry_csrc12_n(W2869,公司分析!D$5,1),""))))))))</f>
        <v>消费电子</v>
      </c>
      <c r="Z2869" s="302" t="str">
        <f ca="1">IF(Y2869=行业比较!$E$6,ROW(),"")</f>
        <v/>
      </c>
    </row>
    <row r="2870" spans="22:26">
      <c r="V2870" s="260">
        <f t="shared" ca="1" si="52"/>
        <v>0</v>
      </c>
      <c r="W2870" s="348" t="str">
        <f>IF(板块成分!B2872="","",板块成分!B2872)</f>
        <v>301628.SZ</v>
      </c>
      <c r="X2870" s="276" t="str">
        <f>[1]!S_Info_Name(W2870)</f>
        <v>强达电路</v>
      </c>
      <c r="Y2870" s="276" t="str">
        <f ca="1">IF($Y$3="申万一级行业",[1]!s_info_industry_sw_2021(W2870,公司分析!D$5,1),IF($Y$3="申万二级行业",[1]!s_info_industry_sw_2021(W2870,公司分析!D$5,2),IF($Y$3="申万三级行业",[1]!s_info_industry_sw_2021(W2870,公司分析!D$5,3),IF($Y$3="wind一级行业",[1]!s_info_industry_gics(W2870,1),IF($Y$3="wind二级行业",[1]!s_info_industry_gics(W2870,2),IF($Y$3="wind三级行业",[1]!s_info_industry_gics(W2870,3),IF($Y$3="wind四级行业",[1]!s_info_industry_gics(W2870,4),IF($Y$3="证监会门类行业",[1]!s_info_industry_csrc12_n(W2870,公司分析!D$5,1),""))))))))</f>
        <v>元件</v>
      </c>
      <c r="Z2870" s="302" t="str">
        <f ca="1">IF(Y2870=行业比较!$E$6,ROW(),"")</f>
        <v/>
      </c>
    </row>
    <row r="2871" spans="22:26">
      <c r="V2871" s="260">
        <f t="shared" ca="1" si="52"/>
        <v>0</v>
      </c>
      <c r="W2871" s="348" t="str">
        <f>IF(板块成分!B2873="","",板块成分!B2873)</f>
        <v>301629.SZ</v>
      </c>
      <c r="X2871" s="276" t="str">
        <f>[1]!S_Info_Name(W2871)</f>
        <v>矽电股份</v>
      </c>
      <c r="Y2871" s="276" t="str">
        <f ca="1">IF($Y$3="申万一级行业",[1]!s_info_industry_sw_2021(W2871,公司分析!D$5,1),IF($Y$3="申万二级行业",[1]!s_info_industry_sw_2021(W2871,公司分析!D$5,2),IF($Y$3="申万三级行业",[1]!s_info_industry_sw_2021(W2871,公司分析!D$5,3),IF($Y$3="wind一级行业",[1]!s_info_industry_gics(W2871,1),IF($Y$3="wind二级行业",[1]!s_info_industry_gics(W2871,2),IF($Y$3="wind三级行业",[1]!s_info_industry_gics(W2871,3),IF($Y$3="wind四级行业",[1]!s_info_industry_gics(W2871,4),IF($Y$3="证监会门类行业",[1]!s_info_industry_csrc12_n(W2871,公司分析!D$5,1),""))))))))</f>
        <v>半导体</v>
      </c>
      <c r="Z2871" s="302" t="str">
        <f ca="1">IF(Y2871=行业比较!$E$6,ROW(),"")</f>
        <v/>
      </c>
    </row>
    <row r="2872" spans="22:26">
      <c r="V2872" s="260">
        <f t="shared" ca="1" si="52"/>
        <v>0</v>
      </c>
      <c r="W2872" s="348" t="str">
        <f>IF(板块成分!B2874="","",板块成分!B2874)</f>
        <v>301630.SZ</v>
      </c>
      <c r="X2872" s="276" t="str">
        <f>[1]!S_Info_Name(W2872)</f>
        <v>同宇新材</v>
      </c>
      <c r="Y2872" s="276" t="str">
        <f ca="1">IF($Y$3="申万一级行业",[1]!s_info_industry_sw_2021(W2872,公司分析!D$5,1),IF($Y$3="申万二级行业",[1]!s_info_industry_sw_2021(W2872,公司分析!D$5,2),IF($Y$3="申万三级行业",[1]!s_info_industry_sw_2021(W2872,公司分析!D$5,3),IF($Y$3="wind一级行业",[1]!s_info_industry_gics(W2872,1),IF($Y$3="wind二级行业",[1]!s_info_industry_gics(W2872,2),IF($Y$3="wind三级行业",[1]!s_info_industry_gics(W2872,3),IF($Y$3="wind四级行业",[1]!s_info_industry_gics(W2872,4),IF($Y$3="证监会门类行业",[1]!s_info_industry_csrc12_n(W2872,公司分析!D$5,1),""))))))))</f>
        <v>电子化学品Ⅱ</v>
      </c>
      <c r="Z2872" s="302" t="str">
        <f ca="1">IF(Y2872=行业比较!$E$6,ROW(),"")</f>
        <v/>
      </c>
    </row>
    <row r="2873" spans="22:26">
      <c r="V2873" s="260">
        <f t="shared" ca="1" si="52"/>
        <v>0</v>
      </c>
      <c r="W2873" s="348" t="str">
        <f>IF(板块成分!B2875="","",板块成分!B2875)</f>
        <v>301631.SZ</v>
      </c>
      <c r="X2873" s="276" t="str">
        <f>[1]!S_Info_Name(W2873)</f>
        <v>壹连科技</v>
      </c>
      <c r="Y2873" s="276" t="str">
        <f ca="1">IF($Y$3="申万一级行业",[1]!s_info_industry_sw_2021(W2873,公司分析!D$5,1),IF($Y$3="申万二级行业",[1]!s_info_industry_sw_2021(W2873,公司分析!D$5,2),IF($Y$3="申万三级行业",[1]!s_info_industry_sw_2021(W2873,公司分析!D$5,3),IF($Y$3="wind一级行业",[1]!s_info_industry_gics(W2873,1),IF($Y$3="wind二级行业",[1]!s_info_industry_gics(W2873,2),IF($Y$3="wind三级行业",[1]!s_info_industry_gics(W2873,3),IF($Y$3="wind四级行业",[1]!s_info_industry_gics(W2873,4),IF($Y$3="证监会门类行业",[1]!s_info_industry_csrc12_n(W2873,公司分析!D$5,1),""))))))))</f>
        <v>汽车零部件</v>
      </c>
      <c r="Z2873" s="302" t="str">
        <f ca="1">IF(Y2873=行业比较!$E$6,ROW(),"")</f>
        <v/>
      </c>
    </row>
    <row r="2874" spans="22:26">
      <c r="V2874" s="260">
        <f t="shared" ca="1" si="52"/>
        <v>0</v>
      </c>
      <c r="W2874" s="348" t="str">
        <f>IF(板块成分!B2876="","",板块成分!B2876)</f>
        <v>301632.SZ</v>
      </c>
      <c r="X2874" s="276" t="str">
        <f>[1]!S_Info_Name(W2874)</f>
        <v>广东建科</v>
      </c>
      <c r="Y2874" s="276" t="str">
        <f ca="1">IF($Y$3="申万一级行业",[1]!s_info_industry_sw_2021(W2874,公司分析!D$5,1),IF($Y$3="申万二级行业",[1]!s_info_industry_sw_2021(W2874,公司分析!D$5,2),IF($Y$3="申万三级行业",[1]!s_info_industry_sw_2021(W2874,公司分析!D$5,3),IF($Y$3="wind一级行业",[1]!s_info_industry_gics(W2874,1),IF($Y$3="wind二级行业",[1]!s_info_industry_gics(W2874,2),IF($Y$3="wind三级行业",[1]!s_info_industry_gics(W2874,3),IF($Y$3="wind四级行业",[1]!s_info_industry_gics(W2874,4),IF($Y$3="证监会门类行业",[1]!s_info_industry_csrc12_n(W2874,公司分析!D$5,1),""))))))))</f>
        <v>专业服务</v>
      </c>
      <c r="Z2874" s="302" t="str">
        <f ca="1">IF(Y2874=行业比较!$E$6,ROW(),"")</f>
        <v/>
      </c>
    </row>
    <row r="2875" spans="22:26">
      <c r="V2875" s="260">
        <f t="shared" ca="1" si="52"/>
        <v>0</v>
      </c>
      <c r="W2875" s="348" t="str">
        <f>IF(板块成分!B2877="","",板块成分!B2877)</f>
        <v>301633.SZ</v>
      </c>
      <c r="X2875" s="276" t="str">
        <f>[1]!S_Info_Name(W2875)</f>
        <v>港迪技术</v>
      </c>
      <c r="Y2875" s="276" t="str">
        <f ca="1">IF($Y$3="申万一级行业",[1]!s_info_industry_sw_2021(W2875,公司分析!D$5,1),IF($Y$3="申万二级行业",[1]!s_info_industry_sw_2021(W2875,公司分析!D$5,2),IF($Y$3="申万三级行业",[1]!s_info_industry_sw_2021(W2875,公司分析!D$5,3),IF($Y$3="wind一级行业",[1]!s_info_industry_gics(W2875,1),IF($Y$3="wind二级行业",[1]!s_info_industry_gics(W2875,2),IF($Y$3="wind三级行业",[1]!s_info_industry_gics(W2875,3),IF($Y$3="wind四级行业",[1]!s_info_industry_gics(W2875,4),IF($Y$3="证监会门类行业",[1]!s_info_industry_csrc12_n(W2875,公司分析!D$5,1),""))))))))</f>
        <v>自动化设备</v>
      </c>
      <c r="Z2875" s="302" t="str">
        <f ca="1">IF(Y2875=行业比较!$E$6,ROW(),"")</f>
        <v/>
      </c>
    </row>
    <row r="2876" spans="22:26">
      <c r="V2876" s="260">
        <f t="shared" ca="1" si="52"/>
        <v>0</v>
      </c>
      <c r="W2876" s="348" t="str">
        <f>IF(板块成分!B2878="","",板块成分!B2878)</f>
        <v>301636.SZ</v>
      </c>
      <c r="X2876" s="276" t="str">
        <f>[1]!S_Info_Name(W2876)</f>
        <v>泽润新能</v>
      </c>
      <c r="Y2876" s="276" t="str">
        <f ca="1">IF($Y$3="申万一级行业",[1]!s_info_industry_sw_2021(W2876,公司分析!D$5,1),IF($Y$3="申万二级行业",[1]!s_info_industry_sw_2021(W2876,公司分析!D$5,2),IF($Y$3="申万三级行业",[1]!s_info_industry_sw_2021(W2876,公司分析!D$5,3),IF($Y$3="wind一级行业",[1]!s_info_industry_gics(W2876,1),IF($Y$3="wind二级行业",[1]!s_info_industry_gics(W2876,2),IF($Y$3="wind三级行业",[1]!s_info_industry_gics(W2876,3),IF($Y$3="wind四级行业",[1]!s_info_industry_gics(W2876,4),IF($Y$3="证监会门类行业",[1]!s_info_industry_csrc12_n(W2876,公司分析!D$5,1),""))))))))</f>
        <v>光伏设备</v>
      </c>
      <c r="Z2876" s="302" t="str">
        <f ca="1">IF(Y2876=行业比较!$E$6,ROW(),"")</f>
        <v/>
      </c>
    </row>
    <row r="2877" spans="22:26">
      <c r="V2877" s="260">
        <f t="shared" ca="1" si="52"/>
        <v>0</v>
      </c>
      <c r="W2877" s="348" t="str">
        <f>IF(板块成分!B2879="","",板块成分!B2879)</f>
        <v>301638.SZ</v>
      </c>
      <c r="X2877" s="276" t="str">
        <f>[1]!S_Info_Name(W2877)</f>
        <v>南网数字</v>
      </c>
      <c r="Y2877" s="276" t="str">
        <f ca="1">IF($Y$3="申万一级行业",[1]!s_info_industry_sw_2021(W2877,公司分析!D$5,1),IF($Y$3="申万二级行业",[1]!s_info_industry_sw_2021(W2877,公司分析!D$5,2),IF($Y$3="申万三级行业",[1]!s_info_industry_sw_2021(W2877,公司分析!D$5,3),IF($Y$3="wind一级行业",[1]!s_info_industry_gics(W2877,1),IF($Y$3="wind二级行业",[1]!s_info_industry_gics(W2877,2),IF($Y$3="wind三级行业",[1]!s_info_industry_gics(W2877,3),IF($Y$3="wind四级行业",[1]!s_info_industry_gics(W2877,4),IF($Y$3="证监会门类行业",[1]!s_info_industry_csrc12_n(W2877,公司分析!D$5,1),""))))))))</f>
        <v>IT服务Ⅱ</v>
      </c>
      <c r="Z2877" s="302" t="str">
        <f ca="1">IF(Y2877=行业比较!$E$6,ROW(),"")</f>
        <v/>
      </c>
    </row>
    <row r="2878" spans="22:26">
      <c r="V2878" s="260">
        <f t="shared" ca="1" si="52"/>
        <v>0</v>
      </c>
      <c r="W2878" s="348" t="str">
        <f>IF(板块成分!B2880="","",板块成分!B2880)</f>
        <v>301656.SZ</v>
      </c>
      <c r="X2878" s="276" t="str">
        <f>[1]!S_Info_Name(W2878)</f>
        <v>联合动力</v>
      </c>
      <c r="Y2878" s="276" t="str">
        <f ca="1">IF($Y$3="申万一级行业",[1]!s_info_industry_sw_2021(W2878,公司分析!D$5,1),IF($Y$3="申万二级行业",[1]!s_info_industry_sw_2021(W2878,公司分析!D$5,2),IF($Y$3="申万三级行业",[1]!s_info_industry_sw_2021(W2878,公司分析!D$5,3),IF($Y$3="wind一级行业",[1]!s_info_industry_gics(W2878,1),IF($Y$3="wind二级行业",[1]!s_info_industry_gics(W2878,2),IF($Y$3="wind三级行业",[1]!s_info_industry_gics(W2878,3),IF($Y$3="wind四级行业",[1]!s_info_industry_gics(W2878,4),IF($Y$3="证监会门类行业",[1]!s_info_industry_csrc12_n(W2878,公司分析!D$5,1),""))))))))</f>
        <v>汽车零部件</v>
      </c>
      <c r="Z2878" s="302" t="str">
        <f ca="1">IF(Y2878=行业比较!$E$6,ROW(),"")</f>
        <v/>
      </c>
    </row>
    <row r="2879" spans="22:26">
      <c r="V2879" s="260">
        <f t="shared" ca="1" si="52"/>
        <v>0</v>
      </c>
      <c r="W2879" s="348" t="str">
        <f>IF(板块成分!B2881="","",板块成分!B2881)</f>
        <v>301658.SZ</v>
      </c>
      <c r="X2879" s="276" t="str">
        <f>[1]!S_Info_Name(W2879)</f>
        <v>首航新能</v>
      </c>
      <c r="Y2879" s="276" t="str">
        <f ca="1">IF($Y$3="申万一级行业",[1]!s_info_industry_sw_2021(W2879,公司分析!D$5,1),IF($Y$3="申万二级行业",[1]!s_info_industry_sw_2021(W2879,公司分析!D$5,2),IF($Y$3="申万三级行业",[1]!s_info_industry_sw_2021(W2879,公司分析!D$5,3),IF($Y$3="wind一级行业",[1]!s_info_industry_gics(W2879,1),IF($Y$3="wind二级行业",[1]!s_info_industry_gics(W2879,2),IF($Y$3="wind三级行业",[1]!s_info_industry_gics(W2879,3),IF($Y$3="wind四级行业",[1]!s_info_industry_gics(W2879,4),IF($Y$3="证监会门类行业",[1]!s_info_industry_csrc12_n(W2879,公司分析!D$5,1),""))))))))</f>
        <v>光伏设备</v>
      </c>
      <c r="Z2879" s="302" t="str">
        <f ca="1">IF(Y2879=行业比较!$E$6,ROW(),"")</f>
        <v/>
      </c>
    </row>
    <row r="2880" spans="22:26">
      <c r="V2880" s="260">
        <f t="shared" ca="1" si="52"/>
        <v>0</v>
      </c>
      <c r="W2880" s="348" t="str">
        <f>IF(板块成分!B2882="","",板块成分!B2882)</f>
        <v>301662.SZ</v>
      </c>
      <c r="X2880" s="276" t="str">
        <f>[1]!S_Info_Name(W2880)</f>
        <v>宏工科技</v>
      </c>
      <c r="Y2880" s="276" t="str">
        <f ca="1">IF($Y$3="申万一级行业",[1]!s_info_industry_sw_2021(W2880,公司分析!D$5,1),IF($Y$3="申万二级行业",[1]!s_info_industry_sw_2021(W2880,公司分析!D$5,2),IF($Y$3="申万三级行业",[1]!s_info_industry_sw_2021(W2880,公司分析!D$5,3),IF($Y$3="wind一级行业",[1]!s_info_industry_gics(W2880,1),IF($Y$3="wind二级行业",[1]!s_info_industry_gics(W2880,2),IF($Y$3="wind三级行业",[1]!s_info_industry_gics(W2880,3),IF($Y$3="wind四级行业",[1]!s_info_industry_gics(W2880,4),IF($Y$3="证监会门类行业",[1]!s_info_industry_csrc12_n(W2880,公司分析!D$5,1),""))))))))</f>
        <v>电池</v>
      </c>
      <c r="Z2880" s="302" t="str">
        <f ca="1">IF(Y2880=行业比较!$E$6,ROW(),"")</f>
        <v/>
      </c>
    </row>
    <row r="2881" spans="22:26">
      <c r="V2881" s="260">
        <f t="shared" ca="1" si="52"/>
        <v>0</v>
      </c>
      <c r="W2881" s="348" t="str">
        <f>IF(板块成分!B2883="","",板块成分!B2883)</f>
        <v>301665.SZ</v>
      </c>
      <c r="X2881" s="276" t="str">
        <f>[1]!S_Info_Name(W2881)</f>
        <v>泰禾股份</v>
      </c>
      <c r="Y2881" s="276" t="str">
        <f ca="1">IF($Y$3="申万一级行业",[1]!s_info_industry_sw_2021(W2881,公司分析!D$5,1),IF($Y$3="申万二级行业",[1]!s_info_industry_sw_2021(W2881,公司分析!D$5,2),IF($Y$3="申万三级行业",[1]!s_info_industry_sw_2021(W2881,公司分析!D$5,3),IF($Y$3="wind一级行业",[1]!s_info_industry_gics(W2881,1),IF($Y$3="wind二级行业",[1]!s_info_industry_gics(W2881,2),IF($Y$3="wind三级行业",[1]!s_info_industry_gics(W2881,3),IF($Y$3="wind四级行业",[1]!s_info_industry_gics(W2881,4),IF($Y$3="证监会门类行业",[1]!s_info_industry_csrc12_n(W2881,公司分析!D$5,1),""))))))))</f>
        <v>农化制品</v>
      </c>
      <c r="Z2881" s="302" t="str">
        <f ca="1">IF(Y2881=行业比较!$E$6,ROW(),"")</f>
        <v/>
      </c>
    </row>
    <row r="2882" spans="22:26">
      <c r="V2882" s="260">
        <f t="shared" ca="1" si="52"/>
        <v>0</v>
      </c>
      <c r="W2882" s="348" t="str">
        <f>IF(板块成分!B2884="","",板块成分!B2884)</f>
        <v>301667.SZ</v>
      </c>
      <c r="X2882" s="276" t="str">
        <f>[1]!S_Info_Name(W2882)</f>
        <v>纳百川</v>
      </c>
      <c r="Y2882" s="276" t="str">
        <f ca="1">IF($Y$3="申万一级行业",[1]!s_info_industry_sw_2021(W2882,公司分析!D$5,1),IF($Y$3="申万二级行业",[1]!s_info_industry_sw_2021(W2882,公司分析!D$5,2),IF($Y$3="申万三级行业",[1]!s_info_industry_sw_2021(W2882,公司分析!D$5,3),IF($Y$3="wind一级行业",[1]!s_info_industry_gics(W2882,1),IF($Y$3="wind二级行业",[1]!s_info_industry_gics(W2882,2),IF($Y$3="wind三级行业",[1]!s_info_industry_gics(W2882,3),IF($Y$3="wind四级行业",[1]!s_info_industry_gics(W2882,4),IF($Y$3="证监会门类行业",[1]!s_info_industry_csrc12_n(W2882,公司分析!D$5,1),""))))))))</f>
        <v>汽车零部件</v>
      </c>
      <c r="Z2882" s="302" t="str">
        <f ca="1">IF(Y2882=行业比较!$E$6,ROW(),"")</f>
        <v/>
      </c>
    </row>
    <row r="2883" spans="22:26">
      <c r="V2883" s="260">
        <f t="shared" ca="1" si="52"/>
        <v>0</v>
      </c>
      <c r="W2883" s="348" t="str">
        <f>IF(板块成分!B2885="","",板块成分!B2885)</f>
        <v>301668.SZ</v>
      </c>
      <c r="X2883" s="276" t="str">
        <f>[1]!S_Info_Name(W2883)</f>
        <v>昊创瑞通</v>
      </c>
      <c r="Y2883" s="276" t="str">
        <f ca="1">IF($Y$3="申万一级行业",[1]!s_info_industry_sw_2021(W2883,公司分析!D$5,1),IF($Y$3="申万二级行业",[1]!s_info_industry_sw_2021(W2883,公司分析!D$5,2),IF($Y$3="申万三级行业",[1]!s_info_industry_sw_2021(W2883,公司分析!D$5,3),IF($Y$3="wind一级行业",[1]!s_info_industry_gics(W2883,1),IF($Y$3="wind二级行业",[1]!s_info_industry_gics(W2883,2),IF($Y$3="wind三级行业",[1]!s_info_industry_gics(W2883,3),IF($Y$3="wind四级行业",[1]!s_info_industry_gics(W2883,4),IF($Y$3="证监会门类行业",[1]!s_info_industry_csrc12_n(W2883,公司分析!D$5,1),""))))))))</f>
        <v>电网设备</v>
      </c>
      <c r="Z2883" s="302" t="str">
        <f ca="1">IF(Y2883=行业比较!$E$6,ROW(),"")</f>
        <v/>
      </c>
    </row>
    <row r="2884" spans="22:26">
      <c r="V2884" s="260">
        <f t="shared" ca="1" si="52"/>
        <v>0</v>
      </c>
      <c r="W2884" s="348" t="str">
        <f>IF(板块成分!B2886="","",板块成分!B2886)</f>
        <v>301678.SZ</v>
      </c>
      <c r="X2884" s="276" t="str">
        <f>[1]!S_Info_Name(W2884)</f>
        <v>新恒汇</v>
      </c>
      <c r="Y2884" s="276" t="str">
        <f ca="1">IF($Y$3="申万一级行业",[1]!s_info_industry_sw_2021(W2884,公司分析!D$5,1),IF($Y$3="申万二级行业",[1]!s_info_industry_sw_2021(W2884,公司分析!D$5,2),IF($Y$3="申万三级行业",[1]!s_info_industry_sw_2021(W2884,公司分析!D$5,3),IF($Y$3="wind一级行业",[1]!s_info_industry_gics(W2884,1),IF($Y$3="wind二级行业",[1]!s_info_industry_gics(W2884,2),IF($Y$3="wind三级行业",[1]!s_info_industry_gics(W2884,3),IF($Y$3="wind四级行业",[1]!s_info_industry_gics(W2884,4),IF($Y$3="证监会门类行业",[1]!s_info_industry_csrc12_n(W2884,公司分析!D$5,1),""))))))))</f>
        <v>半导体</v>
      </c>
      <c r="Z2884" s="302" t="str">
        <f ca="1">IF(Y2884=行业比较!$E$6,ROW(),"")</f>
        <v/>
      </c>
    </row>
    <row r="2885" spans="22:26">
      <c r="V2885" s="260">
        <f t="shared" ref="V2885:V2948" ca="1" si="53">IF(Z2885="",0,RANK(Z2885,Z:Z,1))</f>
        <v>0</v>
      </c>
      <c r="W2885" s="348" t="str">
        <f>IF(板块成分!B2887="","",板块成分!B2887)</f>
        <v>301680.SZ</v>
      </c>
      <c r="X2885" s="276" t="str">
        <f>[1]!S_Info_Name(W2885)</f>
        <v>C固德电</v>
      </c>
      <c r="Y2885" s="276" t="str">
        <f ca="1">IF($Y$3="申万一级行业",[1]!s_info_industry_sw_2021(W2885,公司分析!D$5,1),IF($Y$3="申万二级行业",[1]!s_info_industry_sw_2021(W2885,公司分析!D$5,2),IF($Y$3="申万三级行业",[1]!s_info_industry_sw_2021(W2885,公司分析!D$5,3),IF($Y$3="wind一级行业",[1]!s_info_industry_gics(W2885,1),IF($Y$3="wind二级行业",[1]!s_info_industry_gics(W2885,2),IF($Y$3="wind三级行业",[1]!s_info_industry_gics(W2885,3),IF($Y$3="wind四级行业",[1]!s_info_industry_gics(W2885,4),IF($Y$3="证监会门类行业",[1]!s_info_industry_csrc12_n(W2885,公司分析!D$5,1),""))))))))</f>
        <v>汽车零部件</v>
      </c>
      <c r="Z2885" s="302" t="str">
        <f ca="1">IF(Y2885=行业比较!$E$6,ROW(),"")</f>
        <v/>
      </c>
    </row>
    <row r="2886" spans="22:26">
      <c r="V2886" s="260">
        <f t="shared" ca="1" si="53"/>
        <v>0</v>
      </c>
      <c r="W2886" s="348" t="str">
        <f>IF(板块成分!B2888="","",板块成分!B2888)</f>
        <v>301687.SZ</v>
      </c>
      <c r="X2886" s="276" t="str">
        <f>[1]!S_Info_Name(W2886)</f>
        <v>新广益</v>
      </c>
      <c r="Y2886" s="276" t="str">
        <f ca="1">IF($Y$3="申万一级行业",[1]!s_info_industry_sw_2021(W2886,公司分析!D$5,1),IF($Y$3="申万二级行业",[1]!s_info_industry_sw_2021(W2886,公司分析!D$5,2),IF($Y$3="申万三级行业",[1]!s_info_industry_sw_2021(W2886,公司分析!D$5,3),IF($Y$3="wind一级行业",[1]!s_info_industry_gics(W2886,1),IF($Y$3="wind二级行业",[1]!s_info_industry_gics(W2886,2),IF($Y$3="wind三级行业",[1]!s_info_industry_gics(W2886,3),IF($Y$3="wind四级行业",[1]!s_info_industry_gics(W2886,4),IF($Y$3="证监会门类行业",[1]!s_info_industry_csrc12_n(W2886,公司分析!D$5,1),""))))))))</f>
        <v>塑料</v>
      </c>
      <c r="Z2886" s="302" t="str">
        <f ca="1">IF(Y2886=行业比较!$E$6,ROW(),"")</f>
        <v/>
      </c>
    </row>
    <row r="2887" spans="22:26">
      <c r="V2887" s="260">
        <f t="shared" ca="1" si="53"/>
        <v>0</v>
      </c>
      <c r="W2887" s="348" t="str">
        <f>IF(板块成分!B2889="","",板块成分!B2889)</f>
        <v>302132.SZ</v>
      </c>
      <c r="X2887" s="276" t="str">
        <f>[1]!S_Info_Name(W2887)</f>
        <v>中航成飞</v>
      </c>
      <c r="Y2887" s="276" t="str">
        <f ca="1">IF($Y$3="申万一级行业",[1]!s_info_industry_sw_2021(W2887,公司分析!D$5,1),IF($Y$3="申万二级行业",[1]!s_info_industry_sw_2021(W2887,公司分析!D$5,2),IF($Y$3="申万三级行业",[1]!s_info_industry_sw_2021(W2887,公司分析!D$5,3),IF($Y$3="wind一级行业",[1]!s_info_industry_gics(W2887,1),IF($Y$3="wind二级行业",[1]!s_info_industry_gics(W2887,2),IF($Y$3="wind三级行业",[1]!s_info_industry_gics(W2887,3),IF($Y$3="wind四级行业",[1]!s_info_industry_gics(W2887,4),IF($Y$3="证监会门类行业",[1]!s_info_industry_csrc12_n(W2887,公司分析!D$5,1),""))))))))</f>
        <v>军工电子Ⅱ</v>
      </c>
      <c r="Z2887" s="302" t="str">
        <f ca="1">IF(Y2887=行业比较!$E$6,ROW(),"")</f>
        <v/>
      </c>
    </row>
    <row r="2888" spans="22:26">
      <c r="V2888" s="260">
        <f t="shared" ca="1" si="53"/>
        <v>0</v>
      </c>
      <c r="W2888" s="348" t="str">
        <f>IF(板块成分!B2890="","",板块成分!B2890)</f>
        <v>600000.SH</v>
      </c>
      <c r="X2888" s="276" t="str">
        <f>[1]!S_Info_Name(W2888)</f>
        <v>浦发银行</v>
      </c>
      <c r="Y2888" s="276" t="str">
        <f ca="1">IF($Y$3="申万一级行业",[1]!s_info_industry_sw_2021(W2888,公司分析!D$5,1),IF($Y$3="申万二级行业",[1]!s_info_industry_sw_2021(W2888,公司分析!D$5,2),IF($Y$3="申万三级行业",[1]!s_info_industry_sw_2021(W2888,公司分析!D$5,3),IF($Y$3="wind一级行业",[1]!s_info_industry_gics(W2888,1),IF($Y$3="wind二级行业",[1]!s_info_industry_gics(W2888,2),IF($Y$3="wind三级行业",[1]!s_info_industry_gics(W2888,3),IF($Y$3="wind四级行业",[1]!s_info_industry_gics(W2888,4),IF($Y$3="证监会门类行业",[1]!s_info_industry_csrc12_n(W2888,公司分析!D$5,1),""))))))))</f>
        <v>股份制银行Ⅱ</v>
      </c>
      <c r="Z2888" s="302" t="str">
        <f ca="1">IF(Y2888=行业比较!$E$6,ROW(),"")</f>
        <v/>
      </c>
    </row>
    <row r="2889" spans="22:26">
      <c r="V2889" s="260">
        <f t="shared" ca="1" si="53"/>
        <v>0</v>
      </c>
      <c r="W2889" s="348" t="str">
        <f>IF(板块成分!B2891="","",板块成分!B2891)</f>
        <v>600004.SH</v>
      </c>
      <c r="X2889" s="276" t="str">
        <f>[1]!S_Info_Name(W2889)</f>
        <v>白云机场</v>
      </c>
      <c r="Y2889" s="276" t="str">
        <f ca="1">IF($Y$3="申万一级行业",[1]!s_info_industry_sw_2021(W2889,公司分析!D$5,1),IF($Y$3="申万二级行业",[1]!s_info_industry_sw_2021(W2889,公司分析!D$5,2),IF($Y$3="申万三级行业",[1]!s_info_industry_sw_2021(W2889,公司分析!D$5,3),IF($Y$3="wind一级行业",[1]!s_info_industry_gics(W2889,1),IF($Y$3="wind二级行业",[1]!s_info_industry_gics(W2889,2),IF($Y$3="wind三级行业",[1]!s_info_industry_gics(W2889,3),IF($Y$3="wind四级行业",[1]!s_info_industry_gics(W2889,4),IF($Y$3="证监会门类行业",[1]!s_info_industry_csrc12_n(W2889,公司分析!D$5,1),""))))))))</f>
        <v>航空机场</v>
      </c>
      <c r="Z2889" s="302" t="str">
        <f ca="1">IF(Y2889=行业比较!$E$6,ROW(),"")</f>
        <v/>
      </c>
    </row>
    <row r="2890" spans="22:26">
      <c r="V2890" s="260">
        <f t="shared" ca="1" si="53"/>
        <v>0</v>
      </c>
      <c r="W2890" s="348" t="str">
        <f>IF(板块成分!B2892="","",板块成分!B2892)</f>
        <v>600006.SH</v>
      </c>
      <c r="X2890" s="276" t="str">
        <f>[1]!S_Info_Name(W2890)</f>
        <v>东风股份</v>
      </c>
      <c r="Y2890" s="276" t="str">
        <f ca="1">IF($Y$3="申万一级行业",[1]!s_info_industry_sw_2021(W2890,公司分析!D$5,1),IF($Y$3="申万二级行业",[1]!s_info_industry_sw_2021(W2890,公司分析!D$5,2),IF($Y$3="申万三级行业",[1]!s_info_industry_sw_2021(W2890,公司分析!D$5,3),IF($Y$3="wind一级行业",[1]!s_info_industry_gics(W2890,1),IF($Y$3="wind二级行业",[1]!s_info_industry_gics(W2890,2),IF($Y$3="wind三级行业",[1]!s_info_industry_gics(W2890,3),IF($Y$3="wind四级行业",[1]!s_info_industry_gics(W2890,4),IF($Y$3="证监会门类行业",[1]!s_info_industry_csrc12_n(W2890,公司分析!D$5,1),""))))))))</f>
        <v>商用车</v>
      </c>
      <c r="Z2890" s="302" t="str">
        <f ca="1">IF(Y2890=行业比较!$E$6,ROW(),"")</f>
        <v/>
      </c>
    </row>
    <row r="2891" spans="22:26">
      <c r="V2891" s="260">
        <f t="shared" ca="1" si="53"/>
        <v>0</v>
      </c>
      <c r="W2891" s="348" t="str">
        <f>IF(板块成分!B2893="","",板块成分!B2893)</f>
        <v>600007.SH</v>
      </c>
      <c r="X2891" s="276" t="str">
        <f>[1]!S_Info_Name(W2891)</f>
        <v>中国国贸</v>
      </c>
      <c r="Y2891" s="276" t="str">
        <f ca="1">IF($Y$3="申万一级行业",[1]!s_info_industry_sw_2021(W2891,公司分析!D$5,1),IF($Y$3="申万二级行业",[1]!s_info_industry_sw_2021(W2891,公司分析!D$5,2),IF($Y$3="申万三级行业",[1]!s_info_industry_sw_2021(W2891,公司分析!D$5,3),IF($Y$3="wind一级行业",[1]!s_info_industry_gics(W2891,1),IF($Y$3="wind二级行业",[1]!s_info_industry_gics(W2891,2),IF($Y$3="wind三级行业",[1]!s_info_industry_gics(W2891,3),IF($Y$3="wind四级行业",[1]!s_info_industry_gics(W2891,4),IF($Y$3="证监会门类行业",[1]!s_info_industry_csrc12_n(W2891,公司分析!D$5,1),""))))))))</f>
        <v>房地产开发</v>
      </c>
      <c r="Z2891" s="302" t="str">
        <f ca="1">IF(Y2891=行业比较!$E$6,ROW(),"")</f>
        <v/>
      </c>
    </row>
    <row r="2892" spans="22:26">
      <c r="V2892" s="260">
        <f t="shared" ca="1" si="53"/>
        <v>0</v>
      </c>
      <c r="W2892" s="348" t="str">
        <f>IF(板块成分!B2894="","",板块成分!B2894)</f>
        <v>600008.SH</v>
      </c>
      <c r="X2892" s="276" t="str">
        <f>[1]!S_Info_Name(W2892)</f>
        <v>首创环保</v>
      </c>
      <c r="Y2892" s="276" t="str">
        <f ca="1">IF($Y$3="申万一级行业",[1]!s_info_industry_sw_2021(W2892,公司分析!D$5,1),IF($Y$3="申万二级行业",[1]!s_info_industry_sw_2021(W2892,公司分析!D$5,2),IF($Y$3="申万三级行业",[1]!s_info_industry_sw_2021(W2892,公司分析!D$5,3),IF($Y$3="wind一级行业",[1]!s_info_industry_gics(W2892,1),IF($Y$3="wind二级行业",[1]!s_info_industry_gics(W2892,2),IF($Y$3="wind三级行业",[1]!s_info_industry_gics(W2892,3),IF($Y$3="wind四级行业",[1]!s_info_industry_gics(W2892,4),IF($Y$3="证监会门类行业",[1]!s_info_industry_csrc12_n(W2892,公司分析!D$5,1),""))))))))</f>
        <v>环境治理</v>
      </c>
      <c r="Z2892" s="302" t="str">
        <f ca="1">IF(Y2892=行业比较!$E$6,ROW(),"")</f>
        <v/>
      </c>
    </row>
    <row r="2893" spans="22:26">
      <c r="V2893" s="260">
        <f t="shared" ca="1" si="53"/>
        <v>0</v>
      </c>
      <c r="W2893" s="348" t="str">
        <f>IF(板块成分!B2895="","",板块成分!B2895)</f>
        <v>600009.SH</v>
      </c>
      <c r="X2893" s="276" t="str">
        <f>[1]!S_Info_Name(W2893)</f>
        <v>上海机场</v>
      </c>
      <c r="Y2893" s="276" t="str">
        <f ca="1">IF($Y$3="申万一级行业",[1]!s_info_industry_sw_2021(W2893,公司分析!D$5,1),IF($Y$3="申万二级行业",[1]!s_info_industry_sw_2021(W2893,公司分析!D$5,2),IF($Y$3="申万三级行业",[1]!s_info_industry_sw_2021(W2893,公司分析!D$5,3),IF($Y$3="wind一级行业",[1]!s_info_industry_gics(W2893,1),IF($Y$3="wind二级行业",[1]!s_info_industry_gics(W2893,2),IF($Y$3="wind三级行业",[1]!s_info_industry_gics(W2893,3),IF($Y$3="wind四级行业",[1]!s_info_industry_gics(W2893,4),IF($Y$3="证监会门类行业",[1]!s_info_industry_csrc12_n(W2893,公司分析!D$5,1),""))))))))</f>
        <v>航空机场</v>
      </c>
      <c r="Z2893" s="302" t="str">
        <f ca="1">IF(Y2893=行业比较!$E$6,ROW(),"")</f>
        <v/>
      </c>
    </row>
    <row r="2894" spans="22:26">
      <c r="V2894" s="260">
        <f t="shared" ca="1" si="53"/>
        <v>0</v>
      </c>
      <c r="W2894" s="348" t="str">
        <f>IF(板块成分!B2896="","",板块成分!B2896)</f>
        <v>600010.SH</v>
      </c>
      <c r="X2894" s="276" t="str">
        <f>[1]!S_Info_Name(W2894)</f>
        <v>包钢股份</v>
      </c>
      <c r="Y2894" s="276" t="str">
        <f ca="1">IF($Y$3="申万一级行业",[1]!s_info_industry_sw_2021(W2894,公司分析!D$5,1),IF($Y$3="申万二级行业",[1]!s_info_industry_sw_2021(W2894,公司分析!D$5,2),IF($Y$3="申万三级行业",[1]!s_info_industry_sw_2021(W2894,公司分析!D$5,3),IF($Y$3="wind一级行业",[1]!s_info_industry_gics(W2894,1),IF($Y$3="wind二级行业",[1]!s_info_industry_gics(W2894,2),IF($Y$3="wind三级行业",[1]!s_info_industry_gics(W2894,3),IF($Y$3="wind四级行业",[1]!s_info_industry_gics(W2894,4),IF($Y$3="证监会门类行业",[1]!s_info_industry_csrc12_n(W2894,公司分析!D$5,1),""))))))))</f>
        <v>普钢</v>
      </c>
      <c r="Z2894" s="302" t="str">
        <f ca="1">IF(Y2894=行业比较!$E$6,ROW(),"")</f>
        <v/>
      </c>
    </row>
    <row r="2895" spans="22:26">
      <c r="V2895" s="260">
        <f t="shared" ca="1" si="53"/>
        <v>0</v>
      </c>
      <c r="W2895" s="348" t="str">
        <f>IF(板块成分!B2897="","",板块成分!B2897)</f>
        <v>600011.SH</v>
      </c>
      <c r="X2895" s="276" t="str">
        <f>[1]!S_Info_Name(W2895)</f>
        <v>华能国际</v>
      </c>
      <c r="Y2895" s="276" t="str">
        <f ca="1">IF($Y$3="申万一级行业",[1]!s_info_industry_sw_2021(W2895,公司分析!D$5,1),IF($Y$3="申万二级行业",[1]!s_info_industry_sw_2021(W2895,公司分析!D$5,2),IF($Y$3="申万三级行业",[1]!s_info_industry_sw_2021(W2895,公司分析!D$5,3),IF($Y$3="wind一级行业",[1]!s_info_industry_gics(W2895,1),IF($Y$3="wind二级行业",[1]!s_info_industry_gics(W2895,2),IF($Y$3="wind三级行业",[1]!s_info_industry_gics(W2895,3),IF($Y$3="wind四级行业",[1]!s_info_industry_gics(W2895,4),IF($Y$3="证监会门类行业",[1]!s_info_industry_csrc12_n(W2895,公司分析!D$5,1),""))))))))</f>
        <v>电力</v>
      </c>
      <c r="Z2895" s="302" t="str">
        <f ca="1">IF(Y2895=行业比较!$E$6,ROW(),"")</f>
        <v/>
      </c>
    </row>
    <row r="2896" spans="22:26">
      <c r="V2896" s="260">
        <f t="shared" ca="1" si="53"/>
        <v>0</v>
      </c>
      <c r="W2896" s="348" t="str">
        <f>IF(板块成分!B2898="","",板块成分!B2898)</f>
        <v>600012.SH</v>
      </c>
      <c r="X2896" s="276" t="str">
        <f>[1]!S_Info_Name(W2896)</f>
        <v>皖通高速</v>
      </c>
      <c r="Y2896" s="276" t="str">
        <f ca="1">IF($Y$3="申万一级行业",[1]!s_info_industry_sw_2021(W2896,公司分析!D$5,1),IF($Y$3="申万二级行业",[1]!s_info_industry_sw_2021(W2896,公司分析!D$5,2),IF($Y$3="申万三级行业",[1]!s_info_industry_sw_2021(W2896,公司分析!D$5,3),IF($Y$3="wind一级行业",[1]!s_info_industry_gics(W2896,1),IF($Y$3="wind二级行业",[1]!s_info_industry_gics(W2896,2),IF($Y$3="wind三级行业",[1]!s_info_industry_gics(W2896,3),IF($Y$3="wind四级行业",[1]!s_info_industry_gics(W2896,4),IF($Y$3="证监会门类行业",[1]!s_info_industry_csrc12_n(W2896,公司分析!D$5,1),""))))))))</f>
        <v>铁路公路</v>
      </c>
      <c r="Z2896" s="302" t="str">
        <f ca="1">IF(Y2896=行业比较!$E$6,ROW(),"")</f>
        <v/>
      </c>
    </row>
    <row r="2897" spans="22:26">
      <c r="V2897" s="260">
        <f t="shared" ca="1" si="53"/>
        <v>0</v>
      </c>
      <c r="W2897" s="348" t="str">
        <f>IF(板块成分!B2899="","",板块成分!B2899)</f>
        <v>600015.SH</v>
      </c>
      <c r="X2897" s="276" t="str">
        <f>[1]!S_Info_Name(W2897)</f>
        <v>华夏银行</v>
      </c>
      <c r="Y2897" s="276" t="str">
        <f ca="1">IF($Y$3="申万一级行业",[1]!s_info_industry_sw_2021(W2897,公司分析!D$5,1),IF($Y$3="申万二级行业",[1]!s_info_industry_sw_2021(W2897,公司分析!D$5,2),IF($Y$3="申万三级行业",[1]!s_info_industry_sw_2021(W2897,公司分析!D$5,3),IF($Y$3="wind一级行业",[1]!s_info_industry_gics(W2897,1),IF($Y$3="wind二级行业",[1]!s_info_industry_gics(W2897,2),IF($Y$3="wind三级行业",[1]!s_info_industry_gics(W2897,3),IF($Y$3="wind四级行业",[1]!s_info_industry_gics(W2897,4),IF($Y$3="证监会门类行业",[1]!s_info_industry_csrc12_n(W2897,公司分析!D$5,1),""))))))))</f>
        <v>股份制银行Ⅱ</v>
      </c>
      <c r="Z2897" s="302" t="str">
        <f ca="1">IF(Y2897=行业比较!$E$6,ROW(),"")</f>
        <v/>
      </c>
    </row>
    <row r="2898" spans="22:26">
      <c r="V2898" s="260">
        <f t="shared" ca="1" si="53"/>
        <v>0</v>
      </c>
      <c r="W2898" s="348" t="str">
        <f>IF(板块成分!B2900="","",板块成分!B2900)</f>
        <v>600016.SH</v>
      </c>
      <c r="X2898" s="276" t="str">
        <f>[1]!S_Info_Name(W2898)</f>
        <v>民生银行</v>
      </c>
      <c r="Y2898" s="276" t="str">
        <f ca="1">IF($Y$3="申万一级行业",[1]!s_info_industry_sw_2021(W2898,公司分析!D$5,1),IF($Y$3="申万二级行业",[1]!s_info_industry_sw_2021(W2898,公司分析!D$5,2),IF($Y$3="申万三级行业",[1]!s_info_industry_sw_2021(W2898,公司分析!D$5,3),IF($Y$3="wind一级行业",[1]!s_info_industry_gics(W2898,1),IF($Y$3="wind二级行业",[1]!s_info_industry_gics(W2898,2),IF($Y$3="wind三级行业",[1]!s_info_industry_gics(W2898,3),IF($Y$3="wind四级行业",[1]!s_info_industry_gics(W2898,4),IF($Y$3="证监会门类行业",[1]!s_info_industry_csrc12_n(W2898,公司分析!D$5,1),""))))))))</f>
        <v>股份制银行Ⅱ</v>
      </c>
      <c r="Z2898" s="302" t="str">
        <f ca="1">IF(Y2898=行业比较!$E$6,ROW(),"")</f>
        <v/>
      </c>
    </row>
    <row r="2899" spans="22:26">
      <c r="V2899" s="260">
        <f t="shared" ca="1" si="53"/>
        <v>0</v>
      </c>
      <c r="W2899" s="348" t="str">
        <f>IF(板块成分!B2901="","",板块成分!B2901)</f>
        <v>600017.SH</v>
      </c>
      <c r="X2899" s="276" t="str">
        <f>[1]!S_Info_Name(W2899)</f>
        <v>日照港</v>
      </c>
      <c r="Y2899" s="276" t="str">
        <f ca="1">IF($Y$3="申万一级行业",[1]!s_info_industry_sw_2021(W2899,公司分析!D$5,1),IF($Y$3="申万二级行业",[1]!s_info_industry_sw_2021(W2899,公司分析!D$5,2),IF($Y$3="申万三级行业",[1]!s_info_industry_sw_2021(W2899,公司分析!D$5,3),IF($Y$3="wind一级行业",[1]!s_info_industry_gics(W2899,1),IF($Y$3="wind二级行业",[1]!s_info_industry_gics(W2899,2),IF($Y$3="wind三级行业",[1]!s_info_industry_gics(W2899,3),IF($Y$3="wind四级行业",[1]!s_info_industry_gics(W2899,4),IF($Y$3="证监会门类行业",[1]!s_info_industry_csrc12_n(W2899,公司分析!D$5,1),""))))))))</f>
        <v>航运港口</v>
      </c>
      <c r="Z2899" s="302" t="str">
        <f ca="1">IF(Y2899=行业比较!$E$6,ROW(),"")</f>
        <v/>
      </c>
    </row>
    <row r="2900" spans="22:26">
      <c r="V2900" s="260">
        <f t="shared" ca="1" si="53"/>
        <v>0</v>
      </c>
      <c r="W2900" s="348" t="str">
        <f>IF(板块成分!B2902="","",板块成分!B2902)</f>
        <v>600018.SH</v>
      </c>
      <c r="X2900" s="276" t="str">
        <f>[1]!S_Info_Name(W2900)</f>
        <v>上港集团</v>
      </c>
      <c r="Y2900" s="276" t="str">
        <f ca="1">IF($Y$3="申万一级行业",[1]!s_info_industry_sw_2021(W2900,公司分析!D$5,1),IF($Y$3="申万二级行业",[1]!s_info_industry_sw_2021(W2900,公司分析!D$5,2),IF($Y$3="申万三级行业",[1]!s_info_industry_sw_2021(W2900,公司分析!D$5,3),IF($Y$3="wind一级行业",[1]!s_info_industry_gics(W2900,1),IF($Y$3="wind二级行业",[1]!s_info_industry_gics(W2900,2),IF($Y$3="wind三级行业",[1]!s_info_industry_gics(W2900,3),IF($Y$3="wind四级行业",[1]!s_info_industry_gics(W2900,4),IF($Y$3="证监会门类行业",[1]!s_info_industry_csrc12_n(W2900,公司分析!D$5,1),""))))))))</f>
        <v>航运港口</v>
      </c>
      <c r="Z2900" s="302" t="str">
        <f ca="1">IF(Y2900=行业比较!$E$6,ROW(),"")</f>
        <v/>
      </c>
    </row>
    <row r="2901" spans="22:26">
      <c r="V2901" s="260">
        <f t="shared" ca="1" si="53"/>
        <v>0</v>
      </c>
      <c r="W2901" s="348" t="str">
        <f>IF(板块成分!B2903="","",板块成分!B2903)</f>
        <v>600019.SH</v>
      </c>
      <c r="X2901" s="276" t="str">
        <f>[1]!S_Info_Name(W2901)</f>
        <v>宝钢股份</v>
      </c>
      <c r="Y2901" s="276" t="str">
        <f ca="1">IF($Y$3="申万一级行业",[1]!s_info_industry_sw_2021(W2901,公司分析!D$5,1),IF($Y$3="申万二级行业",[1]!s_info_industry_sw_2021(W2901,公司分析!D$5,2),IF($Y$3="申万三级行业",[1]!s_info_industry_sw_2021(W2901,公司分析!D$5,3),IF($Y$3="wind一级行业",[1]!s_info_industry_gics(W2901,1),IF($Y$3="wind二级行业",[1]!s_info_industry_gics(W2901,2),IF($Y$3="wind三级行业",[1]!s_info_industry_gics(W2901,3),IF($Y$3="wind四级行业",[1]!s_info_industry_gics(W2901,4),IF($Y$3="证监会门类行业",[1]!s_info_industry_csrc12_n(W2901,公司分析!D$5,1),""))))))))</f>
        <v>普钢</v>
      </c>
      <c r="Z2901" s="302" t="str">
        <f ca="1">IF(Y2901=行业比较!$E$6,ROW(),"")</f>
        <v/>
      </c>
    </row>
    <row r="2902" spans="22:26">
      <c r="V2902" s="260">
        <f t="shared" ca="1" si="53"/>
        <v>0</v>
      </c>
      <c r="W2902" s="348" t="str">
        <f>IF(板块成分!B2904="","",板块成分!B2904)</f>
        <v>600020.SH</v>
      </c>
      <c r="X2902" s="276" t="str">
        <f>[1]!S_Info_Name(W2902)</f>
        <v>中原高速</v>
      </c>
      <c r="Y2902" s="276" t="str">
        <f ca="1">IF($Y$3="申万一级行业",[1]!s_info_industry_sw_2021(W2902,公司分析!D$5,1),IF($Y$3="申万二级行业",[1]!s_info_industry_sw_2021(W2902,公司分析!D$5,2),IF($Y$3="申万三级行业",[1]!s_info_industry_sw_2021(W2902,公司分析!D$5,3),IF($Y$3="wind一级行业",[1]!s_info_industry_gics(W2902,1),IF($Y$3="wind二级行业",[1]!s_info_industry_gics(W2902,2),IF($Y$3="wind三级行业",[1]!s_info_industry_gics(W2902,3),IF($Y$3="wind四级行业",[1]!s_info_industry_gics(W2902,4),IF($Y$3="证监会门类行业",[1]!s_info_industry_csrc12_n(W2902,公司分析!D$5,1),""))))))))</f>
        <v>铁路公路</v>
      </c>
      <c r="Z2902" s="302" t="str">
        <f ca="1">IF(Y2902=行业比较!$E$6,ROW(),"")</f>
        <v/>
      </c>
    </row>
    <row r="2903" spans="22:26">
      <c r="V2903" s="260">
        <f t="shared" ca="1" si="53"/>
        <v>0</v>
      </c>
      <c r="W2903" s="348" t="str">
        <f>IF(板块成分!B2905="","",板块成分!B2905)</f>
        <v>600021.SH</v>
      </c>
      <c r="X2903" s="276" t="str">
        <f>[1]!S_Info_Name(W2903)</f>
        <v>上海电力</v>
      </c>
      <c r="Y2903" s="276" t="str">
        <f ca="1">IF($Y$3="申万一级行业",[1]!s_info_industry_sw_2021(W2903,公司分析!D$5,1),IF($Y$3="申万二级行业",[1]!s_info_industry_sw_2021(W2903,公司分析!D$5,2),IF($Y$3="申万三级行业",[1]!s_info_industry_sw_2021(W2903,公司分析!D$5,3),IF($Y$3="wind一级行业",[1]!s_info_industry_gics(W2903,1),IF($Y$3="wind二级行业",[1]!s_info_industry_gics(W2903,2),IF($Y$3="wind三级行业",[1]!s_info_industry_gics(W2903,3),IF($Y$3="wind四级行业",[1]!s_info_industry_gics(W2903,4),IF($Y$3="证监会门类行业",[1]!s_info_industry_csrc12_n(W2903,公司分析!D$5,1),""))))))))</f>
        <v>电力</v>
      </c>
      <c r="Z2903" s="302" t="str">
        <f ca="1">IF(Y2903=行业比较!$E$6,ROW(),"")</f>
        <v/>
      </c>
    </row>
    <row r="2904" spans="22:26">
      <c r="V2904" s="260">
        <f t="shared" ca="1" si="53"/>
        <v>0</v>
      </c>
      <c r="W2904" s="348" t="str">
        <f>IF(板块成分!B2906="","",板块成分!B2906)</f>
        <v>600022.SH</v>
      </c>
      <c r="X2904" s="276" t="str">
        <f>[1]!S_Info_Name(W2904)</f>
        <v>山东钢铁</v>
      </c>
      <c r="Y2904" s="276" t="str">
        <f ca="1">IF($Y$3="申万一级行业",[1]!s_info_industry_sw_2021(W2904,公司分析!D$5,1),IF($Y$3="申万二级行业",[1]!s_info_industry_sw_2021(W2904,公司分析!D$5,2),IF($Y$3="申万三级行业",[1]!s_info_industry_sw_2021(W2904,公司分析!D$5,3),IF($Y$3="wind一级行业",[1]!s_info_industry_gics(W2904,1),IF($Y$3="wind二级行业",[1]!s_info_industry_gics(W2904,2),IF($Y$3="wind三级行业",[1]!s_info_industry_gics(W2904,3),IF($Y$3="wind四级行业",[1]!s_info_industry_gics(W2904,4),IF($Y$3="证监会门类行业",[1]!s_info_industry_csrc12_n(W2904,公司分析!D$5,1),""))))))))</f>
        <v>普钢</v>
      </c>
      <c r="Z2904" s="302" t="str">
        <f ca="1">IF(Y2904=行业比较!$E$6,ROW(),"")</f>
        <v/>
      </c>
    </row>
    <row r="2905" spans="22:26">
      <c r="V2905" s="260">
        <f t="shared" ca="1" si="53"/>
        <v>0</v>
      </c>
      <c r="W2905" s="348" t="str">
        <f>IF(板块成分!B2907="","",板块成分!B2907)</f>
        <v>600023.SH</v>
      </c>
      <c r="X2905" s="276" t="str">
        <f>[1]!S_Info_Name(W2905)</f>
        <v>浙能电力</v>
      </c>
      <c r="Y2905" s="276" t="str">
        <f ca="1">IF($Y$3="申万一级行业",[1]!s_info_industry_sw_2021(W2905,公司分析!D$5,1),IF($Y$3="申万二级行业",[1]!s_info_industry_sw_2021(W2905,公司分析!D$5,2),IF($Y$3="申万三级行业",[1]!s_info_industry_sw_2021(W2905,公司分析!D$5,3),IF($Y$3="wind一级行业",[1]!s_info_industry_gics(W2905,1),IF($Y$3="wind二级行业",[1]!s_info_industry_gics(W2905,2),IF($Y$3="wind三级行业",[1]!s_info_industry_gics(W2905,3),IF($Y$3="wind四级行业",[1]!s_info_industry_gics(W2905,4),IF($Y$3="证监会门类行业",[1]!s_info_industry_csrc12_n(W2905,公司分析!D$5,1),""))))))))</f>
        <v>电力</v>
      </c>
      <c r="Z2905" s="302" t="str">
        <f ca="1">IF(Y2905=行业比较!$E$6,ROW(),"")</f>
        <v/>
      </c>
    </row>
    <row r="2906" spans="22:26">
      <c r="V2906" s="260">
        <f t="shared" ca="1" si="53"/>
        <v>0</v>
      </c>
      <c r="W2906" s="348" t="str">
        <f>IF(板块成分!B2908="","",板块成分!B2908)</f>
        <v>600025.SH</v>
      </c>
      <c r="X2906" s="276" t="str">
        <f>[1]!S_Info_Name(W2906)</f>
        <v>华能水电</v>
      </c>
      <c r="Y2906" s="276" t="str">
        <f ca="1">IF($Y$3="申万一级行业",[1]!s_info_industry_sw_2021(W2906,公司分析!D$5,1),IF($Y$3="申万二级行业",[1]!s_info_industry_sw_2021(W2906,公司分析!D$5,2),IF($Y$3="申万三级行业",[1]!s_info_industry_sw_2021(W2906,公司分析!D$5,3),IF($Y$3="wind一级行业",[1]!s_info_industry_gics(W2906,1),IF($Y$3="wind二级行业",[1]!s_info_industry_gics(W2906,2),IF($Y$3="wind三级行业",[1]!s_info_industry_gics(W2906,3),IF($Y$3="wind四级行业",[1]!s_info_industry_gics(W2906,4),IF($Y$3="证监会门类行业",[1]!s_info_industry_csrc12_n(W2906,公司分析!D$5,1),""))))))))</f>
        <v>电力</v>
      </c>
      <c r="Z2906" s="302" t="str">
        <f ca="1">IF(Y2906=行业比较!$E$6,ROW(),"")</f>
        <v/>
      </c>
    </row>
    <row r="2907" spans="22:26">
      <c r="V2907" s="260">
        <f t="shared" ca="1" si="53"/>
        <v>0</v>
      </c>
      <c r="W2907" s="348" t="str">
        <f>IF(板块成分!B2909="","",板块成分!B2909)</f>
        <v>600026.SH</v>
      </c>
      <c r="X2907" s="276" t="str">
        <f>[1]!S_Info_Name(W2907)</f>
        <v>中远海能</v>
      </c>
      <c r="Y2907" s="276" t="str">
        <f ca="1">IF($Y$3="申万一级行业",[1]!s_info_industry_sw_2021(W2907,公司分析!D$5,1),IF($Y$3="申万二级行业",[1]!s_info_industry_sw_2021(W2907,公司分析!D$5,2),IF($Y$3="申万三级行业",[1]!s_info_industry_sw_2021(W2907,公司分析!D$5,3),IF($Y$3="wind一级行业",[1]!s_info_industry_gics(W2907,1),IF($Y$3="wind二级行业",[1]!s_info_industry_gics(W2907,2),IF($Y$3="wind三级行业",[1]!s_info_industry_gics(W2907,3),IF($Y$3="wind四级行业",[1]!s_info_industry_gics(W2907,4),IF($Y$3="证监会门类行业",[1]!s_info_industry_csrc12_n(W2907,公司分析!D$5,1),""))))))))</f>
        <v>航运港口</v>
      </c>
      <c r="Z2907" s="302" t="str">
        <f ca="1">IF(Y2907=行业比较!$E$6,ROW(),"")</f>
        <v/>
      </c>
    </row>
    <row r="2908" spans="22:26">
      <c r="V2908" s="260">
        <f t="shared" ca="1" si="53"/>
        <v>0</v>
      </c>
      <c r="W2908" s="348" t="str">
        <f>IF(板块成分!B2910="","",板块成分!B2910)</f>
        <v>600027.SH</v>
      </c>
      <c r="X2908" s="276" t="str">
        <f>[1]!S_Info_Name(W2908)</f>
        <v>华电国际</v>
      </c>
      <c r="Y2908" s="276" t="str">
        <f ca="1">IF($Y$3="申万一级行业",[1]!s_info_industry_sw_2021(W2908,公司分析!D$5,1),IF($Y$3="申万二级行业",[1]!s_info_industry_sw_2021(W2908,公司分析!D$5,2),IF($Y$3="申万三级行业",[1]!s_info_industry_sw_2021(W2908,公司分析!D$5,3),IF($Y$3="wind一级行业",[1]!s_info_industry_gics(W2908,1),IF($Y$3="wind二级行业",[1]!s_info_industry_gics(W2908,2),IF($Y$3="wind三级行业",[1]!s_info_industry_gics(W2908,3),IF($Y$3="wind四级行业",[1]!s_info_industry_gics(W2908,4),IF($Y$3="证监会门类行业",[1]!s_info_industry_csrc12_n(W2908,公司分析!D$5,1),""))))))))</f>
        <v>电力</v>
      </c>
      <c r="Z2908" s="302" t="str">
        <f ca="1">IF(Y2908=行业比较!$E$6,ROW(),"")</f>
        <v/>
      </c>
    </row>
    <row r="2909" spans="22:26">
      <c r="V2909" s="260">
        <f t="shared" ca="1" si="53"/>
        <v>0</v>
      </c>
      <c r="W2909" s="348" t="str">
        <f>IF(板块成分!B2911="","",板块成分!B2911)</f>
        <v>600028.SH</v>
      </c>
      <c r="X2909" s="276" t="str">
        <f>[1]!S_Info_Name(W2909)</f>
        <v>中国石化</v>
      </c>
      <c r="Y2909" s="276" t="str">
        <f ca="1">IF($Y$3="申万一级行业",[1]!s_info_industry_sw_2021(W2909,公司分析!D$5,1),IF($Y$3="申万二级行业",[1]!s_info_industry_sw_2021(W2909,公司分析!D$5,2),IF($Y$3="申万三级行业",[1]!s_info_industry_sw_2021(W2909,公司分析!D$5,3),IF($Y$3="wind一级行业",[1]!s_info_industry_gics(W2909,1),IF($Y$3="wind二级行业",[1]!s_info_industry_gics(W2909,2),IF($Y$3="wind三级行业",[1]!s_info_industry_gics(W2909,3),IF($Y$3="wind四级行业",[1]!s_info_industry_gics(W2909,4),IF($Y$3="证监会门类行业",[1]!s_info_industry_csrc12_n(W2909,公司分析!D$5,1),""))))))))</f>
        <v>炼化及贸易</v>
      </c>
      <c r="Z2909" s="302" t="str">
        <f ca="1">IF(Y2909=行业比较!$E$6,ROW(),"")</f>
        <v/>
      </c>
    </row>
    <row r="2910" spans="22:26">
      <c r="V2910" s="260">
        <f t="shared" ca="1" si="53"/>
        <v>0</v>
      </c>
      <c r="W2910" s="348" t="str">
        <f>IF(板块成分!B2912="","",板块成分!B2912)</f>
        <v>600029.SH</v>
      </c>
      <c r="X2910" s="276" t="str">
        <f>[1]!S_Info_Name(W2910)</f>
        <v>南方航空</v>
      </c>
      <c r="Y2910" s="276" t="str">
        <f ca="1">IF($Y$3="申万一级行业",[1]!s_info_industry_sw_2021(W2910,公司分析!D$5,1),IF($Y$3="申万二级行业",[1]!s_info_industry_sw_2021(W2910,公司分析!D$5,2),IF($Y$3="申万三级行业",[1]!s_info_industry_sw_2021(W2910,公司分析!D$5,3),IF($Y$3="wind一级行业",[1]!s_info_industry_gics(W2910,1),IF($Y$3="wind二级行业",[1]!s_info_industry_gics(W2910,2),IF($Y$3="wind三级行业",[1]!s_info_industry_gics(W2910,3),IF($Y$3="wind四级行业",[1]!s_info_industry_gics(W2910,4),IF($Y$3="证监会门类行业",[1]!s_info_industry_csrc12_n(W2910,公司分析!D$5,1),""))))))))</f>
        <v>航空机场</v>
      </c>
      <c r="Z2910" s="302" t="str">
        <f ca="1">IF(Y2910=行业比较!$E$6,ROW(),"")</f>
        <v/>
      </c>
    </row>
    <row r="2911" spans="22:26">
      <c r="V2911" s="260">
        <f t="shared" ca="1" si="53"/>
        <v>0</v>
      </c>
      <c r="W2911" s="348" t="str">
        <f>IF(板块成分!B2913="","",板块成分!B2913)</f>
        <v>600030.SH</v>
      </c>
      <c r="X2911" s="276" t="str">
        <f>[1]!S_Info_Name(W2911)</f>
        <v>中信证券</v>
      </c>
      <c r="Y2911" s="276" t="str">
        <f ca="1">IF($Y$3="申万一级行业",[1]!s_info_industry_sw_2021(W2911,公司分析!D$5,1),IF($Y$3="申万二级行业",[1]!s_info_industry_sw_2021(W2911,公司分析!D$5,2),IF($Y$3="申万三级行业",[1]!s_info_industry_sw_2021(W2911,公司分析!D$5,3),IF($Y$3="wind一级行业",[1]!s_info_industry_gics(W2911,1),IF($Y$3="wind二级行业",[1]!s_info_industry_gics(W2911,2),IF($Y$3="wind三级行业",[1]!s_info_industry_gics(W2911,3),IF($Y$3="wind四级行业",[1]!s_info_industry_gics(W2911,4),IF($Y$3="证监会门类行业",[1]!s_info_industry_csrc12_n(W2911,公司分析!D$5,1),""))))))))</f>
        <v>证券Ⅱ</v>
      </c>
      <c r="Z2911" s="302" t="str">
        <f ca="1">IF(Y2911=行业比较!$E$6,ROW(),"")</f>
        <v/>
      </c>
    </row>
    <row r="2912" spans="22:26">
      <c r="V2912" s="260">
        <f t="shared" ca="1" si="53"/>
        <v>0</v>
      </c>
      <c r="W2912" s="348" t="str">
        <f>IF(板块成分!B2914="","",板块成分!B2914)</f>
        <v>600031.SH</v>
      </c>
      <c r="X2912" s="276" t="str">
        <f>[1]!S_Info_Name(W2912)</f>
        <v>三一重工</v>
      </c>
      <c r="Y2912" s="276" t="str">
        <f ca="1">IF($Y$3="申万一级行业",[1]!s_info_industry_sw_2021(W2912,公司分析!D$5,1),IF($Y$3="申万二级行业",[1]!s_info_industry_sw_2021(W2912,公司分析!D$5,2),IF($Y$3="申万三级行业",[1]!s_info_industry_sw_2021(W2912,公司分析!D$5,3),IF($Y$3="wind一级行业",[1]!s_info_industry_gics(W2912,1),IF($Y$3="wind二级行业",[1]!s_info_industry_gics(W2912,2),IF($Y$3="wind三级行业",[1]!s_info_industry_gics(W2912,3),IF($Y$3="wind四级行业",[1]!s_info_industry_gics(W2912,4),IF($Y$3="证监会门类行业",[1]!s_info_industry_csrc12_n(W2912,公司分析!D$5,1),""))))))))</f>
        <v>工程机械</v>
      </c>
      <c r="Z2912" s="302" t="str">
        <f ca="1">IF(Y2912=行业比较!$E$6,ROW(),"")</f>
        <v/>
      </c>
    </row>
    <row r="2913" spans="22:26">
      <c r="V2913" s="260">
        <f t="shared" ca="1" si="53"/>
        <v>0</v>
      </c>
      <c r="W2913" s="348" t="str">
        <f>IF(板块成分!B2915="","",板块成分!B2915)</f>
        <v>600032.SH</v>
      </c>
      <c r="X2913" s="276" t="str">
        <f>[1]!S_Info_Name(W2913)</f>
        <v>浙江新能</v>
      </c>
      <c r="Y2913" s="276" t="str">
        <f ca="1">IF($Y$3="申万一级行业",[1]!s_info_industry_sw_2021(W2913,公司分析!D$5,1),IF($Y$3="申万二级行业",[1]!s_info_industry_sw_2021(W2913,公司分析!D$5,2),IF($Y$3="申万三级行业",[1]!s_info_industry_sw_2021(W2913,公司分析!D$5,3),IF($Y$3="wind一级行业",[1]!s_info_industry_gics(W2913,1),IF($Y$3="wind二级行业",[1]!s_info_industry_gics(W2913,2),IF($Y$3="wind三级行业",[1]!s_info_industry_gics(W2913,3),IF($Y$3="wind四级行业",[1]!s_info_industry_gics(W2913,4),IF($Y$3="证监会门类行业",[1]!s_info_industry_csrc12_n(W2913,公司分析!D$5,1),""))))))))</f>
        <v>电力</v>
      </c>
      <c r="Z2913" s="302" t="str">
        <f ca="1">IF(Y2913=行业比较!$E$6,ROW(),"")</f>
        <v/>
      </c>
    </row>
    <row r="2914" spans="22:26">
      <c r="V2914" s="260">
        <f t="shared" ca="1" si="53"/>
        <v>0</v>
      </c>
      <c r="W2914" s="348" t="str">
        <f>IF(板块成分!B2916="","",板块成分!B2916)</f>
        <v>600033.SH</v>
      </c>
      <c r="X2914" s="276" t="str">
        <f>[1]!S_Info_Name(W2914)</f>
        <v>福建高速</v>
      </c>
      <c r="Y2914" s="276" t="str">
        <f ca="1">IF($Y$3="申万一级行业",[1]!s_info_industry_sw_2021(W2914,公司分析!D$5,1),IF($Y$3="申万二级行业",[1]!s_info_industry_sw_2021(W2914,公司分析!D$5,2),IF($Y$3="申万三级行业",[1]!s_info_industry_sw_2021(W2914,公司分析!D$5,3),IF($Y$3="wind一级行业",[1]!s_info_industry_gics(W2914,1),IF($Y$3="wind二级行业",[1]!s_info_industry_gics(W2914,2),IF($Y$3="wind三级行业",[1]!s_info_industry_gics(W2914,3),IF($Y$3="wind四级行业",[1]!s_info_industry_gics(W2914,4),IF($Y$3="证监会门类行业",[1]!s_info_industry_csrc12_n(W2914,公司分析!D$5,1),""))))))))</f>
        <v>铁路公路</v>
      </c>
      <c r="Z2914" s="302" t="str">
        <f ca="1">IF(Y2914=行业比较!$E$6,ROW(),"")</f>
        <v/>
      </c>
    </row>
    <row r="2915" spans="22:26">
      <c r="V2915" s="260">
        <f t="shared" ca="1" si="53"/>
        <v>0</v>
      </c>
      <c r="W2915" s="348" t="str">
        <f>IF(板块成分!B2917="","",板块成分!B2917)</f>
        <v>600035.SH</v>
      </c>
      <c r="X2915" s="276" t="str">
        <f>[1]!S_Info_Name(W2915)</f>
        <v>楚天高速</v>
      </c>
      <c r="Y2915" s="276" t="str">
        <f ca="1">IF($Y$3="申万一级行业",[1]!s_info_industry_sw_2021(W2915,公司分析!D$5,1),IF($Y$3="申万二级行业",[1]!s_info_industry_sw_2021(W2915,公司分析!D$5,2),IF($Y$3="申万三级行业",[1]!s_info_industry_sw_2021(W2915,公司分析!D$5,3),IF($Y$3="wind一级行业",[1]!s_info_industry_gics(W2915,1),IF($Y$3="wind二级行业",[1]!s_info_industry_gics(W2915,2),IF($Y$3="wind三级行业",[1]!s_info_industry_gics(W2915,3),IF($Y$3="wind四级行业",[1]!s_info_industry_gics(W2915,4),IF($Y$3="证监会门类行业",[1]!s_info_industry_csrc12_n(W2915,公司分析!D$5,1),""))))))))</f>
        <v>铁路公路</v>
      </c>
      <c r="Z2915" s="302" t="str">
        <f ca="1">IF(Y2915=行业比较!$E$6,ROW(),"")</f>
        <v/>
      </c>
    </row>
    <row r="2916" spans="22:26">
      <c r="V2916" s="260">
        <f t="shared" ca="1" si="53"/>
        <v>0</v>
      </c>
      <c r="W2916" s="348" t="str">
        <f>IF(板块成分!B2918="","",板块成分!B2918)</f>
        <v>600036.SH</v>
      </c>
      <c r="X2916" s="276" t="str">
        <f>[1]!S_Info_Name(W2916)</f>
        <v>招商银行</v>
      </c>
      <c r="Y2916" s="276" t="str">
        <f ca="1">IF($Y$3="申万一级行业",[1]!s_info_industry_sw_2021(W2916,公司分析!D$5,1),IF($Y$3="申万二级行业",[1]!s_info_industry_sw_2021(W2916,公司分析!D$5,2),IF($Y$3="申万三级行业",[1]!s_info_industry_sw_2021(W2916,公司分析!D$5,3),IF($Y$3="wind一级行业",[1]!s_info_industry_gics(W2916,1),IF($Y$3="wind二级行业",[1]!s_info_industry_gics(W2916,2),IF($Y$3="wind三级行业",[1]!s_info_industry_gics(W2916,3),IF($Y$3="wind四级行业",[1]!s_info_industry_gics(W2916,4),IF($Y$3="证监会门类行业",[1]!s_info_industry_csrc12_n(W2916,公司分析!D$5,1),""))))))))</f>
        <v>股份制银行Ⅱ</v>
      </c>
      <c r="Z2916" s="302" t="str">
        <f ca="1">IF(Y2916=行业比较!$E$6,ROW(),"")</f>
        <v/>
      </c>
    </row>
    <row r="2917" spans="22:26">
      <c r="V2917" s="260">
        <f t="shared" ca="1" si="53"/>
        <v>0</v>
      </c>
      <c r="W2917" s="348" t="str">
        <f>IF(板块成分!B2919="","",板块成分!B2919)</f>
        <v>600037.SH</v>
      </c>
      <c r="X2917" s="276" t="str">
        <f>[1]!S_Info_Name(W2917)</f>
        <v>歌华有线</v>
      </c>
      <c r="Y2917" s="276" t="str">
        <f ca="1">IF($Y$3="申万一级行业",[1]!s_info_industry_sw_2021(W2917,公司分析!D$5,1),IF($Y$3="申万二级行业",[1]!s_info_industry_sw_2021(W2917,公司分析!D$5,2),IF($Y$3="申万三级行业",[1]!s_info_industry_sw_2021(W2917,公司分析!D$5,3),IF($Y$3="wind一级行业",[1]!s_info_industry_gics(W2917,1),IF($Y$3="wind二级行业",[1]!s_info_industry_gics(W2917,2),IF($Y$3="wind三级行业",[1]!s_info_industry_gics(W2917,3),IF($Y$3="wind四级行业",[1]!s_info_industry_gics(W2917,4),IF($Y$3="证监会门类行业",[1]!s_info_industry_csrc12_n(W2917,公司分析!D$5,1),""))))))))</f>
        <v>电视广播Ⅱ</v>
      </c>
      <c r="Z2917" s="302" t="str">
        <f ca="1">IF(Y2917=行业比较!$E$6,ROW(),"")</f>
        <v/>
      </c>
    </row>
    <row r="2918" spans="22:26">
      <c r="V2918" s="260">
        <f t="shared" ca="1" si="53"/>
        <v>0</v>
      </c>
      <c r="W2918" s="348" t="str">
        <f>IF(板块成分!B2920="","",板块成分!B2920)</f>
        <v>600038.SH</v>
      </c>
      <c r="X2918" s="276" t="str">
        <f>[1]!S_Info_Name(W2918)</f>
        <v>中直股份</v>
      </c>
      <c r="Y2918" s="276" t="str">
        <f ca="1">IF($Y$3="申万一级行业",[1]!s_info_industry_sw_2021(W2918,公司分析!D$5,1),IF($Y$3="申万二级行业",[1]!s_info_industry_sw_2021(W2918,公司分析!D$5,2),IF($Y$3="申万三级行业",[1]!s_info_industry_sw_2021(W2918,公司分析!D$5,3),IF($Y$3="wind一级行业",[1]!s_info_industry_gics(W2918,1),IF($Y$3="wind二级行业",[1]!s_info_industry_gics(W2918,2),IF($Y$3="wind三级行业",[1]!s_info_industry_gics(W2918,3),IF($Y$3="wind四级行业",[1]!s_info_industry_gics(W2918,4),IF($Y$3="证监会门类行业",[1]!s_info_industry_csrc12_n(W2918,公司分析!D$5,1),""))))))))</f>
        <v>航空装备Ⅱ</v>
      </c>
      <c r="Z2918" s="302" t="str">
        <f ca="1">IF(Y2918=行业比较!$E$6,ROW(),"")</f>
        <v/>
      </c>
    </row>
    <row r="2919" spans="22:26">
      <c r="V2919" s="260">
        <f t="shared" ca="1" si="53"/>
        <v>0</v>
      </c>
      <c r="W2919" s="348" t="str">
        <f>IF(板块成分!B2921="","",板块成分!B2921)</f>
        <v>600039.SH</v>
      </c>
      <c r="X2919" s="276" t="str">
        <f>[1]!S_Info_Name(W2919)</f>
        <v>四川路桥</v>
      </c>
      <c r="Y2919" s="276" t="str">
        <f ca="1">IF($Y$3="申万一级行业",[1]!s_info_industry_sw_2021(W2919,公司分析!D$5,1),IF($Y$3="申万二级行业",[1]!s_info_industry_sw_2021(W2919,公司分析!D$5,2),IF($Y$3="申万三级行业",[1]!s_info_industry_sw_2021(W2919,公司分析!D$5,3),IF($Y$3="wind一级行业",[1]!s_info_industry_gics(W2919,1),IF($Y$3="wind二级行业",[1]!s_info_industry_gics(W2919,2),IF($Y$3="wind三级行业",[1]!s_info_industry_gics(W2919,3),IF($Y$3="wind四级行业",[1]!s_info_industry_gics(W2919,4),IF($Y$3="证监会门类行业",[1]!s_info_industry_csrc12_n(W2919,公司分析!D$5,1),""))))))))</f>
        <v>基础建设</v>
      </c>
      <c r="Z2919" s="302" t="str">
        <f ca="1">IF(Y2919=行业比较!$E$6,ROW(),"")</f>
        <v/>
      </c>
    </row>
    <row r="2920" spans="22:26">
      <c r="V2920" s="260">
        <f t="shared" ca="1" si="53"/>
        <v>0</v>
      </c>
      <c r="W2920" s="348" t="str">
        <f>IF(板块成分!B2922="","",板块成分!B2922)</f>
        <v>600048.SH</v>
      </c>
      <c r="X2920" s="276" t="str">
        <f>[1]!S_Info_Name(W2920)</f>
        <v>保利发展</v>
      </c>
      <c r="Y2920" s="276" t="str">
        <f ca="1">IF($Y$3="申万一级行业",[1]!s_info_industry_sw_2021(W2920,公司分析!D$5,1),IF($Y$3="申万二级行业",[1]!s_info_industry_sw_2021(W2920,公司分析!D$5,2),IF($Y$3="申万三级行业",[1]!s_info_industry_sw_2021(W2920,公司分析!D$5,3),IF($Y$3="wind一级行业",[1]!s_info_industry_gics(W2920,1),IF($Y$3="wind二级行业",[1]!s_info_industry_gics(W2920,2),IF($Y$3="wind三级行业",[1]!s_info_industry_gics(W2920,3),IF($Y$3="wind四级行业",[1]!s_info_industry_gics(W2920,4),IF($Y$3="证监会门类行业",[1]!s_info_industry_csrc12_n(W2920,公司分析!D$5,1),""))))))))</f>
        <v>房地产开发</v>
      </c>
      <c r="Z2920" s="302" t="str">
        <f ca="1">IF(Y2920=行业比较!$E$6,ROW(),"")</f>
        <v/>
      </c>
    </row>
    <row r="2921" spans="22:26">
      <c r="V2921" s="260">
        <f t="shared" ca="1" si="53"/>
        <v>0</v>
      </c>
      <c r="W2921" s="348" t="str">
        <f>IF(板块成分!B2923="","",板块成分!B2923)</f>
        <v>600050.SH</v>
      </c>
      <c r="X2921" s="276" t="str">
        <f>[1]!S_Info_Name(W2921)</f>
        <v>中国联通</v>
      </c>
      <c r="Y2921" s="276" t="str">
        <f ca="1">IF($Y$3="申万一级行业",[1]!s_info_industry_sw_2021(W2921,公司分析!D$5,1),IF($Y$3="申万二级行业",[1]!s_info_industry_sw_2021(W2921,公司分析!D$5,2),IF($Y$3="申万三级行业",[1]!s_info_industry_sw_2021(W2921,公司分析!D$5,3),IF($Y$3="wind一级行业",[1]!s_info_industry_gics(W2921,1),IF($Y$3="wind二级行业",[1]!s_info_industry_gics(W2921,2),IF($Y$3="wind三级行业",[1]!s_info_industry_gics(W2921,3),IF($Y$3="wind四级行业",[1]!s_info_industry_gics(W2921,4),IF($Y$3="证监会门类行业",[1]!s_info_industry_csrc12_n(W2921,公司分析!D$5,1),""))))))))</f>
        <v>通信服务</v>
      </c>
      <c r="Z2921" s="302" t="str">
        <f ca="1">IF(Y2921=行业比较!$E$6,ROW(),"")</f>
        <v/>
      </c>
    </row>
    <row r="2922" spans="22:26">
      <c r="V2922" s="260">
        <f t="shared" ca="1" si="53"/>
        <v>0</v>
      </c>
      <c r="W2922" s="348" t="str">
        <f>IF(板块成分!B2924="","",板块成分!B2924)</f>
        <v>600051.SH</v>
      </c>
      <c r="X2922" s="276" t="str">
        <f>[1]!S_Info_Name(W2922)</f>
        <v>宁波联合</v>
      </c>
      <c r="Y2922" s="276" t="str">
        <f ca="1">IF($Y$3="申万一级行业",[1]!s_info_industry_sw_2021(W2922,公司分析!D$5,1),IF($Y$3="申万二级行业",[1]!s_info_industry_sw_2021(W2922,公司分析!D$5,2),IF($Y$3="申万三级行业",[1]!s_info_industry_sw_2021(W2922,公司分析!D$5,3),IF($Y$3="wind一级行业",[1]!s_info_industry_gics(W2922,1),IF($Y$3="wind二级行业",[1]!s_info_industry_gics(W2922,2),IF($Y$3="wind三级行业",[1]!s_info_industry_gics(W2922,3),IF($Y$3="wind四级行业",[1]!s_info_industry_gics(W2922,4),IF($Y$3="证监会门类行业",[1]!s_info_industry_csrc12_n(W2922,公司分析!D$5,1),""))))))))</f>
        <v>综合Ⅱ</v>
      </c>
      <c r="Z2922" s="302" t="str">
        <f ca="1">IF(Y2922=行业比较!$E$6,ROW(),"")</f>
        <v/>
      </c>
    </row>
    <row r="2923" spans="22:26">
      <c r="V2923" s="260">
        <f t="shared" ca="1" si="53"/>
        <v>0</v>
      </c>
      <c r="W2923" s="348" t="str">
        <f>IF(板块成分!B2925="","",板块成分!B2925)</f>
        <v>600052.SH</v>
      </c>
      <c r="X2923" s="276" t="str">
        <f>[1]!S_Info_Name(W2923)</f>
        <v>东望时代</v>
      </c>
      <c r="Y2923" s="276" t="str">
        <f ca="1">IF($Y$3="申万一级行业",[1]!s_info_industry_sw_2021(W2923,公司分析!D$5,1),IF($Y$3="申万二级行业",[1]!s_info_industry_sw_2021(W2923,公司分析!D$5,2),IF($Y$3="申万三级行业",[1]!s_info_industry_sw_2021(W2923,公司分析!D$5,3),IF($Y$3="wind一级行业",[1]!s_info_industry_gics(W2923,1),IF($Y$3="wind二级行业",[1]!s_info_industry_gics(W2923,2),IF($Y$3="wind三级行业",[1]!s_info_industry_gics(W2923,3),IF($Y$3="wind四级行业",[1]!s_info_industry_gics(W2923,4),IF($Y$3="证监会门类行业",[1]!s_info_industry_csrc12_n(W2923,公司分析!D$5,1),""))))))))</f>
        <v>电力</v>
      </c>
      <c r="Z2923" s="302" t="str">
        <f ca="1">IF(Y2923=行业比较!$E$6,ROW(),"")</f>
        <v/>
      </c>
    </row>
    <row r="2924" spans="22:26">
      <c r="V2924" s="260">
        <f t="shared" ca="1" si="53"/>
        <v>0</v>
      </c>
      <c r="W2924" s="348" t="str">
        <f>IF(板块成分!B2926="","",板块成分!B2926)</f>
        <v>600053.SH</v>
      </c>
      <c r="X2924" s="276" t="str">
        <f>[1]!S_Info_Name(W2924)</f>
        <v>九鼎投资</v>
      </c>
      <c r="Y2924" s="276" t="str">
        <f ca="1">IF($Y$3="申万一级行业",[1]!s_info_industry_sw_2021(W2924,公司分析!D$5,1),IF($Y$3="申万二级行业",[1]!s_info_industry_sw_2021(W2924,公司分析!D$5,2),IF($Y$3="申万三级行业",[1]!s_info_industry_sw_2021(W2924,公司分析!D$5,3),IF($Y$3="wind一级行业",[1]!s_info_industry_gics(W2924,1),IF($Y$3="wind二级行业",[1]!s_info_industry_gics(W2924,2),IF($Y$3="wind三级行业",[1]!s_info_industry_gics(W2924,3),IF($Y$3="wind四级行业",[1]!s_info_industry_gics(W2924,4),IF($Y$3="证监会门类行业",[1]!s_info_industry_csrc12_n(W2924,公司分析!D$5,1),""))))))))</f>
        <v>多元金融</v>
      </c>
      <c r="Z2924" s="302" t="str">
        <f ca="1">IF(Y2924=行业比较!$E$6,ROW(),"")</f>
        <v/>
      </c>
    </row>
    <row r="2925" spans="22:26">
      <c r="V2925" s="260">
        <f t="shared" ca="1" si="53"/>
        <v>0</v>
      </c>
      <c r="W2925" s="348" t="str">
        <f>IF(板块成分!B2927="","",板块成分!B2927)</f>
        <v>600054.SH</v>
      </c>
      <c r="X2925" s="276" t="str">
        <f>[1]!S_Info_Name(W2925)</f>
        <v>黄山旅游</v>
      </c>
      <c r="Y2925" s="276" t="str">
        <f ca="1">IF($Y$3="申万一级行业",[1]!s_info_industry_sw_2021(W2925,公司分析!D$5,1),IF($Y$3="申万二级行业",[1]!s_info_industry_sw_2021(W2925,公司分析!D$5,2),IF($Y$3="申万三级行业",[1]!s_info_industry_sw_2021(W2925,公司分析!D$5,3),IF($Y$3="wind一级行业",[1]!s_info_industry_gics(W2925,1),IF($Y$3="wind二级行业",[1]!s_info_industry_gics(W2925,2),IF($Y$3="wind三级行业",[1]!s_info_industry_gics(W2925,3),IF($Y$3="wind四级行业",[1]!s_info_industry_gics(W2925,4),IF($Y$3="证监会门类行业",[1]!s_info_industry_csrc12_n(W2925,公司分析!D$5,1),""))))))))</f>
        <v>旅游及景区</v>
      </c>
      <c r="Z2925" s="302" t="str">
        <f ca="1">IF(Y2925=行业比较!$E$6,ROW(),"")</f>
        <v/>
      </c>
    </row>
    <row r="2926" spans="22:26">
      <c r="V2926" s="260">
        <f t="shared" ca="1" si="53"/>
        <v>0</v>
      </c>
      <c r="W2926" s="348" t="str">
        <f>IF(板块成分!B2928="","",板块成分!B2928)</f>
        <v>600055.SH</v>
      </c>
      <c r="X2926" s="276" t="str">
        <f>[1]!S_Info_Name(W2926)</f>
        <v>万东医疗</v>
      </c>
      <c r="Y2926" s="276" t="str">
        <f ca="1">IF($Y$3="申万一级行业",[1]!s_info_industry_sw_2021(W2926,公司分析!D$5,1),IF($Y$3="申万二级行业",[1]!s_info_industry_sw_2021(W2926,公司分析!D$5,2),IF($Y$3="申万三级行业",[1]!s_info_industry_sw_2021(W2926,公司分析!D$5,3),IF($Y$3="wind一级行业",[1]!s_info_industry_gics(W2926,1),IF($Y$3="wind二级行业",[1]!s_info_industry_gics(W2926,2),IF($Y$3="wind三级行业",[1]!s_info_industry_gics(W2926,3),IF($Y$3="wind四级行业",[1]!s_info_industry_gics(W2926,4),IF($Y$3="证监会门类行业",[1]!s_info_industry_csrc12_n(W2926,公司分析!D$5,1),""))))))))</f>
        <v>医疗器械</v>
      </c>
      <c r="Z2926" s="302" t="str">
        <f ca="1">IF(Y2926=行业比较!$E$6,ROW(),"")</f>
        <v/>
      </c>
    </row>
    <row r="2927" spans="22:26">
      <c r="V2927" s="260">
        <f t="shared" ca="1" si="53"/>
        <v>0</v>
      </c>
      <c r="W2927" s="348" t="str">
        <f>IF(板块成分!B2929="","",板块成分!B2929)</f>
        <v>600056.SH</v>
      </c>
      <c r="X2927" s="276" t="str">
        <f>[1]!S_Info_Name(W2927)</f>
        <v>中国医药</v>
      </c>
      <c r="Y2927" s="276" t="str">
        <f ca="1">IF($Y$3="申万一级行业",[1]!s_info_industry_sw_2021(W2927,公司分析!D$5,1),IF($Y$3="申万二级行业",[1]!s_info_industry_sw_2021(W2927,公司分析!D$5,2),IF($Y$3="申万三级行业",[1]!s_info_industry_sw_2021(W2927,公司分析!D$5,3),IF($Y$3="wind一级行业",[1]!s_info_industry_gics(W2927,1),IF($Y$3="wind二级行业",[1]!s_info_industry_gics(W2927,2),IF($Y$3="wind三级行业",[1]!s_info_industry_gics(W2927,3),IF($Y$3="wind四级行业",[1]!s_info_industry_gics(W2927,4),IF($Y$3="证监会门类行业",[1]!s_info_industry_csrc12_n(W2927,公司分析!D$5,1),""))))))))</f>
        <v>医药商业</v>
      </c>
      <c r="Z2927" s="302" t="str">
        <f ca="1">IF(Y2927=行业比较!$E$6,ROW(),"")</f>
        <v/>
      </c>
    </row>
    <row r="2928" spans="22:26">
      <c r="V2928" s="260">
        <f t="shared" ca="1" si="53"/>
        <v>0</v>
      </c>
      <c r="W2928" s="348" t="str">
        <f>IF(板块成分!B2930="","",板块成分!B2930)</f>
        <v>600057.SH</v>
      </c>
      <c r="X2928" s="276" t="str">
        <f>[1]!S_Info_Name(W2928)</f>
        <v>厦门象屿</v>
      </c>
      <c r="Y2928" s="276" t="str">
        <f ca="1">IF($Y$3="申万一级行业",[1]!s_info_industry_sw_2021(W2928,公司分析!D$5,1),IF($Y$3="申万二级行业",[1]!s_info_industry_sw_2021(W2928,公司分析!D$5,2),IF($Y$3="申万三级行业",[1]!s_info_industry_sw_2021(W2928,公司分析!D$5,3),IF($Y$3="wind一级行业",[1]!s_info_industry_gics(W2928,1),IF($Y$3="wind二级行业",[1]!s_info_industry_gics(W2928,2),IF($Y$3="wind三级行业",[1]!s_info_industry_gics(W2928,3),IF($Y$3="wind四级行业",[1]!s_info_industry_gics(W2928,4),IF($Y$3="证监会门类行业",[1]!s_info_industry_csrc12_n(W2928,公司分析!D$5,1),""))))))))</f>
        <v>物流</v>
      </c>
      <c r="Z2928" s="302" t="str">
        <f ca="1">IF(Y2928=行业比较!$E$6,ROW(),"")</f>
        <v/>
      </c>
    </row>
    <row r="2929" spans="22:26">
      <c r="V2929" s="260">
        <f t="shared" ca="1" si="53"/>
        <v>0</v>
      </c>
      <c r="W2929" s="348" t="str">
        <f>IF(板块成分!B2931="","",板块成分!B2931)</f>
        <v>600058.SH</v>
      </c>
      <c r="X2929" s="276" t="str">
        <f>[1]!S_Info_Name(W2929)</f>
        <v>五矿发展</v>
      </c>
      <c r="Y2929" s="276" t="str">
        <f ca="1">IF($Y$3="申万一级行业",[1]!s_info_industry_sw_2021(W2929,公司分析!D$5,1),IF($Y$3="申万二级行业",[1]!s_info_industry_sw_2021(W2929,公司分析!D$5,2),IF($Y$3="申万三级行业",[1]!s_info_industry_sw_2021(W2929,公司分析!D$5,3),IF($Y$3="wind一级行业",[1]!s_info_industry_gics(W2929,1),IF($Y$3="wind二级行业",[1]!s_info_industry_gics(W2929,2),IF($Y$3="wind三级行业",[1]!s_info_industry_gics(W2929,3),IF($Y$3="wind四级行业",[1]!s_info_industry_gics(W2929,4),IF($Y$3="证监会门类行业",[1]!s_info_industry_csrc12_n(W2929,公司分析!D$5,1),""))))))))</f>
        <v>贸易Ⅱ</v>
      </c>
      <c r="Z2929" s="302" t="str">
        <f ca="1">IF(Y2929=行业比较!$E$6,ROW(),"")</f>
        <v/>
      </c>
    </row>
    <row r="2930" spans="22:26">
      <c r="V2930" s="260">
        <f t="shared" ca="1" si="53"/>
        <v>0</v>
      </c>
      <c r="W2930" s="348" t="str">
        <f>IF(板块成分!B2932="","",板块成分!B2932)</f>
        <v>600059.SH</v>
      </c>
      <c r="X2930" s="276" t="str">
        <f>[1]!S_Info_Name(W2930)</f>
        <v>古越龙山</v>
      </c>
      <c r="Y2930" s="276" t="str">
        <f ca="1">IF($Y$3="申万一级行业",[1]!s_info_industry_sw_2021(W2930,公司分析!D$5,1),IF($Y$3="申万二级行业",[1]!s_info_industry_sw_2021(W2930,公司分析!D$5,2),IF($Y$3="申万三级行业",[1]!s_info_industry_sw_2021(W2930,公司分析!D$5,3),IF($Y$3="wind一级行业",[1]!s_info_industry_gics(W2930,1),IF($Y$3="wind二级行业",[1]!s_info_industry_gics(W2930,2),IF($Y$3="wind三级行业",[1]!s_info_industry_gics(W2930,3),IF($Y$3="wind四级行业",[1]!s_info_industry_gics(W2930,4),IF($Y$3="证监会门类行业",[1]!s_info_industry_csrc12_n(W2930,公司分析!D$5,1),""))))))))</f>
        <v>非白酒</v>
      </c>
      <c r="Z2930" s="302" t="str">
        <f ca="1">IF(Y2930=行业比较!$E$6,ROW(),"")</f>
        <v/>
      </c>
    </row>
    <row r="2931" spans="22:26">
      <c r="V2931" s="260">
        <f t="shared" ca="1" si="53"/>
        <v>0</v>
      </c>
      <c r="W2931" s="348" t="str">
        <f>IF(板块成分!B2933="","",板块成分!B2933)</f>
        <v>600060.SH</v>
      </c>
      <c r="X2931" s="276" t="str">
        <f>[1]!S_Info_Name(W2931)</f>
        <v>海信视像</v>
      </c>
      <c r="Y2931" s="276" t="str">
        <f ca="1">IF($Y$3="申万一级行业",[1]!s_info_industry_sw_2021(W2931,公司分析!D$5,1),IF($Y$3="申万二级行业",[1]!s_info_industry_sw_2021(W2931,公司分析!D$5,2),IF($Y$3="申万三级行业",[1]!s_info_industry_sw_2021(W2931,公司分析!D$5,3),IF($Y$3="wind一级行业",[1]!s_info_industry_gics(W2931,1),IF($Y$3="wind二级行业",[1]!s_info_industry_gics(W2931,2),IF($Y$3="wind三级行业",[1]!s_info_industry_gics(W2931,3),IF($Y$3="wind四级行业",[1]!s_info_industry_gics(W2931,4),IF($Y$3="证监会门类行业",[1]!s_info_industry_csrc12_n(W2931,公司分析!D$5,1),""))))))))</f>
        <v>黑色家电</v>
      </c>
      <c r="Z2931" s="302" t="str">
        <f ca="1">IF(Y2931=行业比较!$E$6,ROW(),"")</f>
        <v/>
      </c>
    </row>
    <row r="2932" spans="22:26">
      <c r="V2932" s="260">
        <f t="shared" ca="1" si="53"/>
        <v>0</v>
      </c>
      <c r="W2932" s="348" t="str">
        <f>IF(板块成分!B2934="","",板块成分!B2934)</f>
        <v>600061.SH</v>
      </c>
      <c r="X2932" s="276" t="str">
        <f>[1]!S_Info_Name(W2932)</f>
        <v>国投资本</v>
      </c>
      <c r="Y2932" s="276" t="str">
        <f ca="1">IF($Y$3="申万一级行业",[1]!s_info_industry_sw_2021(W2932,公司分析!D$5,1),IF($Y$3="申万二级行业",[1]!s_info_industry_sw_2021(W2932,公司分析!D$5,2),IF($Y$3="申万三级行业",[1]!s_info_industry_sw_2021(W2932,公司分析!D$5,3),IF($Y$3="wind一级行业",[1]!s_info_industry_gics(W2932,1),IF($Y$3="wind二级行业",[1]!s_info_industry_gics(W2932,2),IF($Y$3="wind三级行业",[1]!s_info_industry_gics(W2932,3),IF($Y$3="wind四级行业",[1]!s_info_industry_gics(W2932,4),IF($Y$3="证监会门类行业",[1]!s_info_industry_csrc12_n(W2932,公司分析!D$5,1),""))))))))</f>
        <v>证券Ⅱ</v>
      </c>
      <c r="Z2932" s="302" t="str">
        <f ca="1">IF(Y2932=行业比较!$E$6,ROW(),"")</f>
        <v/>
      </c>
    </row>
    <row r="2933" spans="22:26">
      <c r="V2933" s="260">
        <f t="shared" ca="1" si="53"/>
        <v>0</v>
      </c>
      <c r="W2933" s="348" t="str">
        <f>IF(板块成分!B2935="","",板块成分!B2935)</f>
        <v>600062.SH</v>
      </c>
      <c r="X2933" s="276" t="str">
        <f>[1]!S_Info_Name(W2933)</f>
        <v>华润双鹤</v>
      </c>
      <c r="Y2933" s="276" t="str">
        <f ca="1">IF($Y$3="申万一级行业",[1]!s_info_industry_sw_2021(W2933,公司分析!D$5,1),IF($Y$3="申万二级行业",[1]!s_info_industry_sw_2021(W2933,公司分析!D$5,2),IF($Y$3="申万三级行业",[1]!s_info_industry_sw_2021(W2933,公司分析!D$5,3),IF($Y$3="wind一级行业",[1]!s_info_industry_gics(W2933,1),IF($Y$3="wind二级行业",[1]!s_info_industry_gics(W2933,2),IF($Y$3="wind三级行业",[1]!s_info_industry_gics(W2933,3),IF($Y$3="wind四级行业",[1]!s_info_industry_gics(W2933,4),IF($Y$3="证监会门类行业",[1]!s_info_industry_csrc12_n(W2933,公司分析!D$5,1),""))))))))</f>
        <v>化学制药</v>
      </c>
      <c r="Z2933" s="302" t="str">
        <f ca="1">IF(Y2933=行业比较!$E$6,ROW(),"")</f>
        <v/>
      </c>
    </row>
    <row r="2934" spans="22:26">
      <c r="V2934" s="260">
        <f t="shared" ca="1" si="53"/>
        <v>0</v>
      </c>
      <c r="W2934" s="348" t="str">
        <f>IF(板块成分!B2936="","",板块成分!B2936)</f>
        <v>600063.SH</v>
      </c>
      <c r="X2934" s="276" t="str">
        <f>[1]!S_Info_Name(W2934)</f>
        <v>皖维高新</v>
      </c>
      <c r="Y2934" s="276" t="str">
        <f ca="1">IF($Y$3="申万一级行业",[1]!s_info_industry_sw_2021(W2934,公司分析!D$5,1),IF($Y$3="申万二级行业",[1]!s_info_industry_sw_2021(W2934,公司分析!D$5,2),IF($Y$3="申万三级行业",[1]!s_info_industry_sw_2021(W2934,公司分析!D$5,3),IF($Y$3="wind一级行业",[1]!s_info_industry_gics(W2934,1),IF($Y$3="wind二级行业",[1]!s_info_industry_gics(W2934,2),IF($Y$3="wind三级行业",[1]!s_info_industry_gics(W2934,3),IF($Y$3="wind四级行业",[1]!s_info_industry_gics(W2934,4),IF($Y$3="证监会门类行业",[1]!s_info_industry_csrc12_n(W2934,公司分析!D$5,1),""))))))))</f>
        <v>化学纤维</v>
      </c>
      <c r="Z2934" s="302" t="str">
        <f ca="1">IF(Y2934=行业比较!$E$6,ROW(),"")</f>
        <v/>
      </c>
    </row>
    <row r="2935" spans="22:26">
      <c r="V2935" s="260">
        <f t="shared" ca="1" si="53"/>
        <v>0</v>
      </c>
      <c r="W2935" s="348" t="str">
        <f>IF(板块成分!B2937="","",板块成分!B2937)</f>
        <v>600064.SH</v>
      </c>
      <c r="X2935" s="276" t="str">
        <f>[1]!S_Info_Name(W2935)</f>
        <v>南京高科</v>
      </c>
      <c r="Y2935" s="276" t="str">
        <f ca="1">IF($Y$3="申万一级行业",[1]!s_info_industry_sw_2021(W2935,公司分析!D$5,1),IF($Y$3="申万二级行业",[1]!s_info_industry_sw_2021(W2935,公司分析!D$5,2),IF($Y$3="申万三级行业",[1]!s_info_industry_sw_2021(W2935,公司分析!D$5,3),IF($Y$3="wind一级行业",[1]!s_info_industry_gics(W2935,1),IF($Y$3="wind二级行业",[1]!s_info_industry_gics(W2935,2),IF($Y$3="wind三级行业",[1]!s_info_industry_gics(W2935,3),IF($Y$3="wind四级行业",[1]!s_info_industry_gics(W2935,4),IF($Y$3="证监会门类行业",[1]!s_info_industry_csrc12_n(W2935,公司分析!D$5,1),""))))))))</f>
        <v>房地产开发</v>
      </c>
      <c r="Z2935" s="302" t="str">
        <f ca="1">IF(Y2935=行业比较!$E$6,ROW(),"")</f>
        <v/>
      </c>
    </row>
    <row r="2936" spans="22:26">
      <c r="V2936" s="260">
        <f t="shared" ca="1" si="53"/>
        <v>0</v>
      </c>
      <c r="W2936" s="348" t="str">
        <f>IF(板块成分!B2938="","",板块成分!B2938)</f>
        <v>600066.SH</v>
      </c>
      <c r="X2936" s="276" t="str">
        <f>[1]!S_Info_Name(W2936)</f>
        <v>宇通客车</v>
      </c>
      <c r="Y2936" s="276" t="str">
        <f ca="1">IF($Y$3="申万一级行业",[1]!s_info_industry_sw_2021(W2936,公司分析!D$5,1),IF($Y$3="申万二级行业",[1]!s_info_industry_sw_2021(W2936,公司分析!D$5,2),IF($Y$3="申万三级行业",[1]!s_info_industry_sw_2021(W2936,公司分析!D$5,3),IF($Y$3="wind一级行业",[1]!s_info_industry_gics(W2936,1),IF($Y$3="wind二级行业",[1]!s_info_industry_gics(W2936,2),IF($Y$3="wind三级行业",[1]!s_info_industry_gics(W2936,3),IF($Y$3="wind四级行业",[1]!s_info_industry_gics(W2936,4),IF($Y$3="证监会门类行业",[1]!s_info_industry_csrc12_n(W2936,公司分析!D$5,1),""))))))))</f>
        <v>商用车</v>
      </c>
      <c r="Z2936" s="302" t="str">
        <f ca="1">IF(Y2936=行业比较!$E$6,ROW(),"")</f>
        <v/>
      </c>
    </row>
    <row r="2937" spans="22:26">
      <c r="V2937" s="260">
        <f t="shared" ca="1" si="53"/>
        <v>0</v>
      </c>
      <c r="W2937" s="348" t="str">
        <f>IF(板块成分!B2939="","",板块成分!B2939)</f>
        <v>600067.SH</v>
      </c>
      <c r="X2937" s="276" t="str">
        <f>[1]!S_Info_Name(W2937)</f>
        <v>冠城新材</v>
      </c>
      <c r="Y2937" s="276" t="str">
        <f ca="1">IF($Y$3="申万一级行业",[1]!s_info_industry_sw_2021(W2937,公司分析!D$5,1),IF($Y$3="申万二级行业",[1]!s_info_industry_sw_2021(W2937,公司分析!D$5,2),IF($Y$3="申万三级行业",[1]!s_info_industry_sw_2021(W2937,公司分析!D$5,3),IF($Y$3="wind一级行业",[1]!s_info_industry_gics(W2937,1),IF($Y$3="wind二级行业",[1]!s_info_industry_gics(W2937,2),IF($Y$3="wind三级行业",[1]!s_info_industry_gics(W2937,3),IF($Y$3="wind四级行业",[1]!s_info_industry_gics(W2937,4),IF($Y$3="证监会门类行业",[1]!s_info_industry_csrc12_n(W2937,公司分析!D$5,1),""))))))))</f>
        <v>电网设备</v>
      </c>
      <c r="Z2937" s="302" t="str">
        <f ca="1">IF(Y2937=行业比较!$E$6,ROW(),"")</f>
        <v/>
      </c>
    </row>
    <row r="2938" spans="22:26">
      <c r="V2938" s="260">
        <f t="shared" ca="1" si="53"/>
        <v>0</v>
      </c>
      <c r="W2938" s="348" t="str">
        <f>IF(板块成分!B2940="","",板块成分!B2940)</f>
        <v>600071.SH</v>
      </c>
      <c r="X2938" s="276" t="str">
        <f>[1]!S_Info_Name(W2938)</f>
        <v>凤凰光学</v>
      </c>
      <c r="Y2938" s="276" t="str">
        <f ca="1">IF($Y$3="申万一级行业",[1]!s_info_industry_sw_2021(W2938,公司分析!D$5,1),IF($Y$3="申万二级行业",[1]!s_info_industry_sw_2021(W2938,公司分析!D$5,2),IF($Y$3="申万三级行业",[1]!s_info_industry_sw_2021(W2938,公司分析!D$5,3),IF($Y$3="wind一级行业",[1]!s_info_industry_gics(W2938,1),IF($Y$3="wind二级行业",[1]!s_info_industry_gics(W2938,2),IF($Y$3="wind三级行业",[1]!s_info_industry_gics(W2938,3),IF($Y$3="wind四级行业",[1]!s_info_industry_gics(W2938,4),IF($Y$3="证监会门类行业",[1]!s_info_industry_csrc12_n(W2938,公司分析!D$5,1),""))))))))</f>
        <v>光学光电子</v>
      </c>
      <c r="Z2938" s="302" t="str">
        <f ca="1">IF(Y2938=行业比较!$E$6,ROW(),"")</f>
        <v/>
      </c>
    </row>
    <row r="2939" spans="22:26">
      <c r="V2939" s="260">
        <f t="shared" ca="1" si="53"/>
        <v>0</v>
      </c>
      <c r="W2939" s="348" t="str">
        <f>IF(板块成分!B2941="","",板块成分!B2941)</f>
        <v>600072.SH</v>
      </c>
      <c r="X2939" s="276" t="str">
        <f>[1]!S_Info_Name(W2939)</f>
        <v>中船科技</v>
      </c>
      <c r="Y2939" s="276" t="str">
        <f ca="1">IF($Y$3="申万一级行业",[1]!s_info_industry_sw_2021(W2939,公司分析!D$5,1),IF($Y$3="申万二级行业",[1]!s_info_industry_sw_2021(W2939,公司分析!D$5,2),IF($Y$3="申万三级行业",[1]!s_info_industry_sw_2021(W2939,公司分析!D$5,3),IF($Y$3="wind一级行业",[1]!s_info_industry_gics(W2939,1),IF($Y$3="wind二级行业",[1]!s_info_industry_gics(W2939,2),IF($Y$3="wind三级行业",[1]!s_info_industry_gics(W2939,3),IF($Y$3="wind四级行业",[1]!s_info_industry_gics(W2939,4),IF($Y$3="证监会门类行业",[1]!s_info_industry_csrc12_n(W2939,公司分析!D$5,1),""))))))))</f>
        <v>风电设备</v>
      </c>
      <c r="Z2939" s="302" t="str">
        <f ca="1">IF(Y2939=行业比较!$E$6,ROW(),"")</f>
        <v/>
      </c>
    </row>
    <row r="2940" spans="22:26">
      <c r="V2940" s="260">
        <f t="shared" ca="1" si="53"/>
        <v>0</v>
      </c>
      <c r="W2940" s="348" t="str">
        <f>IF(板块成分!B2942="","",板块成分!B2942)</f>
        <v>600073.SH</v>
      </c>
      <c r="X2940" s="276" t="str">
        <f>[1]!S_Info_Name(W2940)</f>
        <v>光明肉业</v>
      </c>
      <c r="Y2940" s="276" t="str">
        <f ca="1">IF($Y$3="申万一级行业",[1]!s_info_industry_sw_2021(W2940,公司分析!D$5,1),IF($Y$3="申万二级行业",[1]!s_info_industry_sw_2021(W2940,公司分析!D$5,2),IF($Y$3="申万三级行业",[1]!s_info_industry_sw_2021(W2940,公司分析!D$5,3),IF($Y$3="wind一级行业",[1]!s_info_industry_gics(W2940,1),IF($Y$3="wind二级行业",[1]!s_info_industry_gics(W2940,2),IF($Y$3="wind三级行业",[1]!s_info_industry_gics(W2940,3),IF($Y$3="wind四级行业",[1]!s_info_industry_gics(W2940,4),IF($Y$3="证监会门类行业",[1]!s_info_industry_csrc12_n(W2940,公司分析!D$5,1),""))))))))</f>
        <v>食品加工</v>
      </c>
      <c r="Z2940" s="302" t="str">
        <f ca="1">IF(Y2940=行业比较!$E$6,ROW(),"")</f>
        <v/>
      </c>
    </row>
    <row r="2941" spans="22:26">
      <c r="V2941" s="260">
        <f t="shared" ca="1" si="53"/>
        <v>0</v>
      </c>
      <c r="W2941" s="348" t="str">
        <f>IF(板块成分!B2943="","",板块成分!B2943)</f>
        <v>600075.SH</v>
      </c>
      <c r="X2941" s="276" t="str">
        <f>[1]!S_Info_Name(W2941)</f>
        <v>新疆天业</v>
      </c>
      <c r="Y2941" s="276" t="str">
        <f ca="1">IF($Y$3="申万一级行业",[1]!s_info_industry_sw_2021(W2941,公司分析!D$5,1),IF($Y$3="申万二级行业",[1]!s_info_industry_sw_2021(W2941,公司分析!D$5,2),IF($Y$3="申万三级行业",[1]!s_info_industry_sw_2021(W2941,公司分析!D$5,3),IF($Y$3="wind一级行业",[1]!s_info_industry_gics(W2941,1),IF($Y$3="wind二级行业",[1]!s_info_industry_gics(W2941,2),IF($Y$3="wind三级行业",[1]!s_info_industry_gics(W2941,3),IF($Y$3="wind四级行业",[1]!s_info_industry_gics(W2941,4),IF($Y$3="证监会门类行业",[1]!s_info_industry_csrc12_n(W2941,公司分析!D$5,1),""))))))))</f>
        <v>化学原料</v>
      </c>
      <c r="Z2941" s="302" t="str">
        <f ca="1">IF(Y2941=行业比较!$E$6,ROW(),"")</f>
        <v/>
      </c>
    </row>
    <row r="2942" spans="22:26">
      <c r="V2942" s="260">
        <f t="shared" ca="1" si="53"/>
        <v>0</v>
      </c>
      <c r="W2942" s="348" t="str">
        <f>IF(板块成分!B2944="","",板块成分!B2944)</f>
        <v>600076.SH</v>
      </c>
      <c r="X2942" s="276" t="str">
        <f>[1]!S_Info_Name(W2942)</f>
        <v>康欣新材</v>
      </c>
      <c r="Y2942" s="276" t="str">
        <f ca="1">IF($Y$3="申万一级行业",[1]!s_info_industry_sw_2021(W2942,公司分析!D$5,1),IF($Y$3="申万二级行业",[1]!s_info_industry_sw_2021(W2942,公司分析!D$5,2),IF($Y$3="申万三级行业",[1]!s_info_industry_sw_2021(W2942,公司分析!D$5,3),IF($Y$3="wind一级行业",[1]!s_info_industry_gics(W2942,1),IF($Y$3="wind二级行业",[1]!s_info_industry_gics(W2942,2),IF($Y$3="wind三级行业",[1]!s_info_industry_gics(W2942,3),IF($Y$3="wind四级行业",[1]!s_info_industry_gics(W2942,4),IF($Y$3="证监会门类行业",[1]!s_info_industry_csrc12_n(W2942,公司分析!D$5,1),""))))))))</f>
        <v>包装印刷</v>
      </c>
      <c r="Z2942" s="302" t="str">
        <f ca="1">IF(Y2942=行业比较!$E$6,ROW(),"")</f>
        <v/>
      </c>
    </row>
    <row r="2943" spans="22:26">
      <c r="V2943" s="260">
        <f t="shared" ca="1" si="53"/>
        <v>0</v>
      </c>
      <c r="W2943" s="348" t="str">
        <f>IF(板块成分!B2945="","",板块成分!B2945)</f>
        <v>600078.SH</v>
      </c>
      <c r="X2943" s="276" t="str">
        <f>[1]!S_Info_Name(W2943)</f>
        <v>澄星股份</v>
      </c>
      <c r="Y2943" s="276" t="str">
        <f ca="1">IF($Y$3="申万一级行业",[1]!s_info_industry_sw_2021(W2943,公司分析!D$5,1),IF($Y$3="申万二级行业",[1]!s_info_industry_sw_2021(W2943,公司分析!D$5,2),IF($Y$3="申万三级行业",[1]!s_info_industry_sw_2021(W2943,公司分析!D$5,3),IF($Y$3="wind一级行业",[1]!s_info_industry_gics(W2943,1),IF($Y$3="wind二级行业",[1]!s_info_industry_gics(W2943,2),IF($Y$3="wind三级行业",[1]!s_info_industry_gics(W2943,3),IF($Y$3="wind四级行业",[1]!s_info_industry_gics(W2943,4),IF($Y$3="证监会门类行业",[1]!s_info_industry_csrc12_n(W2943,公司分析!D$5,1),""))))))))</f>
        <v>农化制品</v>
      </c>
      <c r="Z2943" s="302" t="str">
        <f ca="1">IF(Y2943=行业比较!$E$6,ROW(),"")</f>
        <v/>
      </c>
    </row>
    <row r="2944" spans="22:26">
      <c r="V2944" s="260">
        <f t="shared" ca="1" si="53"/>
        <v>0</v>
      </c>
      <c r="W2944" s="348" t="str">
        <f>IF(板块成分!B2946="","",板块成分!B2946)</f>
        <v>600079.SH</v>
      </c>
      <c r="X2944" s="276" t="str">
        <f>[1]!S_Info_Name(W2944)</f>
        <v>ST人福</v>
      </c>
      <c r="Y2944" s="276" t="str">
        <f ca="1">IF($Y$3="申万一级行业",[1]!s_info_industry_sw_2021(W2944,公司分析!D$5,1),IF($Y$3="申万二级行业",[1]!s_info_industry_sw_2021(W2944,公司分析!D$5,2),IF($Y$3="申万三级行业",[1]!s_info_industry_sw_2021(W2944,公司分析!D$5,3),IF($Y$3="wind一级行业",[1]!s_info_industry_gics(W2944,1),IF($Y$3="wind二级行业",[1]!s_info_industry_gics(W2944,2),IF($Y$3="wind三级行业",[1]!s_info_industry_gics(W2944,3),IF($Y$3="wind四级行业",[1]!s_info_industry_gics(W2944,4),IF($Y$3="证监会门类行业",[1]!s_info_industry_csrc12_n(W2944,公司分析!D$5,1),""))))))))</f>
        <v>化学制药</v>
      </c>
      <c r="Z2944" s="302" t="str">
        <f ca="1">IF(Y2944=行业比较!$E$6,ROW(),"")</f>
        <v/>
      </c>
    </row>
    <row r="2945" spans="22:26">
      <c r="V2945" s="260">
        <f t="shared" ca="1" si="53"/>
        <v>0</v>
      </c>
      <c r="W2945" s="348" t="str">
        <f>IF(板块成分!B2947="","",板块成分!B2947)</f>
        <v>600080.SH</v>
      </c>
      <c r="X2945" s="276" t="str">
        <f>[1]!S_Info_Name(W2945)</f>
        <v>金花股份</v>
      </c>
      <c r="Y2945" s="276" t="str">
        <f ca="1">IF($Y$3="申万一级行业",[1]!s_info_industry_sw_2021(W2945,公司分析!D$5,1),IF($Y$3="申万二级行业",[1]!s_info_industry_sw_2021(W2945,公司分析!D$5,2),IF($Y$3="申万三级行业",[1]!s_info_industry_sw_2021(W2945,公司分析!D$5,3),IF($Y$3="wind一级行业",[1]!s_info_industry_gics(W2945,1),IF($Y$3="wind二级行业",[1]!s_info_industry_gics(W2945,2),IF($Y$3="wind三级行业",[1]!s_info_industry_gics(W2945,3),IF($Y$3="wind四级行业",[1]!s_info_industry_gics(W2945,4),IF($Y$3="证监会门类行业",[1]!s_info_industry_csrc12_n(W2945,公司分析!D$5,1),""))))))))</f>
        <v>中药Ⅱ</v>
      </c>
      <c r="Z2945" s="302" t="str">
        <f ca="1">IF(Y2945=行业比较!$E$6,ROW(),"")</f>
        <v/>
      </c>
    </row>
    <row r="2946" spans="22:26">
      <c r="V2946" s="260">
        <f t="shared" ca="1" si="53"/>
        <v>0</v>
      </c>
      <c r="W2946" s="348" t="str">
        <f>IF(板块成分!B2948="","",板块成分!B2948)</f>
        <v>600081.SH</v>
      </c>
      <c r="X2946" s="276" t="str">
        <f>[1]!S_Info_Name(W2946)</f>
        <v>东风科技</v>
      </c>
      <c r="Y2946" s="276" t="str">
        <f ca="1">IF($Y$3="申万一级行业",[1]!s_info_industry_sw_2021(W2946,公司分析!D$5,1),IF($Y$3="申万二级行业",[1]!s_info_industry_sw_2021(W2946,公司分析!D$5,2),IF($Y$3="申万三级行业",[1]!s_info_industry_sw_2021(W2946,公司分析!D$5,3),IF($Y$3="wind一级行业",[1]!s_info_industry_gics(W2946,1),IF($Y$3="wind二级行业",[1]!s_info_industry_gics(W2946,2),IF($Y$3="wind三级行业",[1]!s_info_industry_gics(W2946,3),IF($Y$3="wind四级行业",[1]!s_info_industry_gics(W2946,4),IF($Y$3="证监会门类行业",[1]!s_info_industry_csrc12_n(W2946,公司分析!D$5,1),""))))))))</f>
        <v>汽车零部件</v>
      </c>
      <c r="Z2946" s="302" t="str">
        <f ca="1">IF(Y2946=行业比较!$E$6,ROW(),"")</f>
        <v/>
      </c>
    </row>
    <row r="2947" spans="22:26">
      <c r="V2947" s="260">
        <f t="shared" ca="1" si="53"/>
        <v>0</v>
      </c>
      <c r="W2947" s="348" t="str">
        <f>IF(板块成分!B2949="","",板块成分!B2949)</f>
        <v>600082.SH</v>
      </c>
      <c r="X2947" s="276" t="str">
        <f>[1]!S_Info_Name(W2947)</f>
        <v>海泰发展</v>
      </c>
      <c r="Y2947" s="276" t="str">
        <f ca="1">IF($Y$3="申万一级行业",[1]!s_info_industry_sw_2021(W2947,公司分析!D$5,1),IF($Y$3="申万二级行业",[1]!s_info_industry_sw_2021(W2947,公司分析!D$5,2),IF($Y$3="申万三级行业",[1]!s_info_industry_sw_2021(W2947,公司分析!D$5,3),IF($Y$3="wind一级行业",[1]!s_info_industry_gics(W2947,1),IF($Y$3="wind二级行业",[1]!s_info_industry_gics(W2947,2),IF($Y$3="wind三级行业",[1]!s_info_industry_gics(W2947,3),IF($Y$3="wind四级行业",[1]!s_info_industry_gics(W2947,4),IF($Y$3="证监会门类行业",[1]!s_info_industry_csrc12_n(W2947,公司分析!D$5,1),""))))))))</f>
        <v>房地产开发</v>
      </c>
      <c r="Z2947" s="302" t="str">
        <f ca="1">IF(Y2947=行业比较!$E$6,ROW(),"")</f>
        <v/>
      </c>
    </row>
    <row r="2948" spans="22:26">
      <c r="V2948" s="260">
        <f t="shared" ca="1" si="53"/>
        <v>0</v>
      </c>
      <c r="W2948" s="348" t="str">
        <f>IF(板块成分!B2950="","",板块成分!B2950)</f>
        <v>600084.SH</v>
      </c>
      <c r="X2948" s="276" t="str">
        <f>[1]!S_Info_Name(W2948)</f>
        <v>中信尼雅</v>
      </c>
      <c r="Y2948" s="276" t="str">
        <f ca="1">IF($Y$3="申万一级行业",[1]!s_info_industry_sw_2021(W2948,公司分析!D$5,1),IF($Y$3="申万二级行业",[1]!s_info_industry_sw_2021(W2948,公司分析!D$5,2),IF($Y$3="申万三级行业",[1]!s_info_industry_sw_2021(W2948,公司分析!D$5,3),IF($Y$3="wind一级行业",[1]!s_info_industry_gics(W2948,1),IF($Y$3="wind二级行业",[1]!s_info_industry_gics(W2948,2),IF($Y$3="wind三级行业",[1]!s_info_industry_gics(W2948,3),IF($Y$3="wind四级行业",[1]!s_info_industry_gics(W2948,4),IF($Y$3="证监会门类行业",[1]!s_info_industry_csrc12_n(W2948,公司分析!D$5,1),""))))))))</f>
        <v>非白酒</v>
      </c>
      <c r="Z2948" s="302" t="str">
        <f ca="1">IF(Y2948=行业比较!$E$6,ROW(),"")</f>
        <v/>
      </c>
    </row>
    <row r="2949" spans="22:26">
      <c r="V2949" s="260">
        <f t="shared" ref="V2949:V3012" ca="1" si="54">IF(Z2949="",0,RANK(Z2949,Z:Z,1))</f>
        <v>0</v>
      </c>
      <c r="W2949" s="348" t="str">
        <f>IF(板块成分!B2951="","",板块成分!B2951)</f>
        <v>600085.SH</v>
      </c>
      <c r="X2949" s="276" t="str">
        <f>[1]!S_Info_Name(W2949)</f>
        <v>同仁堂</v>
      </c>
      <c r="Y2949" s="276" t="str">
        <f ca="1">IF($Y$3="申万一级行业",[1]!s_info_industry_sw_2021(W2949,公司分析!D$5,1),IF($Y$3="申万二级行业",[1]!s_info_industry_sw_2021(W2949,公司分析!D$5,2),IF($Y$3="申万三级行业",[1]!s_info_industry_sw_2021(W2949,公司分析!D$5,3),IF($Y$3="wind一级行业",[1]!s_info_industry_gics(W2949,1),IF($Y$3="wind二级行业",[1]!s_info_industry_gics(W2949,2),IF($Y$3="wind三级行业",[1]!s_info_industry_gics(W2949,3),IF($Y$3="wind四级行业",[1]!s_info_industry_gics(W2949,4),IF($Y$3="证监会门类行业",[1]!s_info_industry_csrc12_n(W2949,公司分析!D$5,1),""))))))))</f>
        <v>中药Ⅱ</v>
      </c>
      <c r="Z2949" s="302" t="str">
        <f ca="1">IF(Y2949=行业比较!$E$6,ROW(),"")</f>
        <v/>
      </c>
    </row>
    <row r="2950" spans="22:26">
      <c r="V2950" s="260">
        <f t="shared" ca="1" si="54"/>
        <v>0</v>
      </c>
      <c r="W2950" s="348" t="str">
        <f>IF(板块成分!B2952="","",板块成分!B2952)</f>
        <v>600088.SH</v>
      </c>
      <c r="X2950" s="276" t="str">
        <f>[1]!S_Info_Name(W2950)</f>
        <v>中视传媒</v>
      </c>
      <c r="Y2950" s="276" t="str">
        <f ca="1">IF($Y$3="申万一级行业",[1]!s_info_industry_sw_2021(W2950,公司分析!D$5,1),IF($Y$3="申万二级行业",[1]!s_info_industry_sw_2021(W2950,公司分析!D$5,2),IF($Y$3="申万三级行业",[1]!s_info_industry_sw_2021(W2950,公司分析!D$5,3),IF($Y$3="wind一级行业",[1]!s_info_industry_gics(W2950,1),IF($Y$3="wind二级行业",[1]!s_info_industry_gics(W2950,2),IF($Y$3="wind三级行业",[1]!s_info_industry_gics(W2950,3),IF($Y$3="wind四级行业",[1]!s_info_industry_gics(W2950,4),IF($Y$3="证监会门类行业",[1]!s_info_industry_csrc12_n(W2950,公司分析!D$5,1),""))))))))</f>
        <v>影视院线</v>
      </c>
      <c r="Z2950" s="302" t="str">
        <f ca="1">IF(Y2950=行业比较!$E$6,ROW(),"")</f>
        <v/>
      </c>
    </row>
    <row r="2951" spans="22:26">
      <c r="V2951" s="260">
        <f t="shared" ca="1" si="54"/>
        <v>0</v>
      </c>
      <c r="W2951" s="348" t="str">
        <f>IF(板块成分!B2953="","",板块成分!B2953)</f>
        <v>600089.SH</v>
      </c>
      <c r="X2951" s="276" t="str">
        <f>[1]!S_Info_Name(W2951)</f>
        <v>特变电工</v>
      </c>
      <c r="Y2951" s="276" t="str">
        <f ca="1">IF($Y$3="申万一级行业",[1]!s_info_industry_sw_2021(W2951,公司分析!D$5,1),IF($Y$3="申万二级行业",[1]!s_info_industry_sw_2021(W2951,公司分析!D$5,2),IF($Y$3="申万三级行业",[1]!s_info_industry_sw_2021(W2951,公司分析!D$5,3),IF($Y$3="wind一级行业",[1]!s_info_industry_gics(W2951,1),IF($Y$3="wind二级行业",[1]!s_info_industry_gics(W2951,2),IF($Y$3="wind三级行业",[1]!s_info_industry_gics(W2951,3),IF($Y$3="wind四级行业",[1]!s_info_industry_gics(W2951,4),IF($Y$3="证监会门类行业",[1]!s_info_industry_csrc12_n(W2951,公司分析!D$5,1),""))))))))</f>
        <v>电网设备</v>
      </c>
      <c r="Z2951" s="302" t="str">
        <f ca="1">IF(Y2951=行业比较!$E$6,ROW(),"")</f>
        <v/>
      </c>
    </row>
    <row r="2952" spans="22:26">
      <c r="V2952" s="260">
        <f t="shared" ca="1" si="54"/>
        <v>0</v>
      </c>
      <c r="W2952" s="348" t="str">
        <f>IF(板块成分!B2954="","",板块成分!B2954)</f>
        <v>600094.SH</v>
      </c>
      <c r="X2952" s="276" t="str">
        <f>[1]!S_Info_Name(W2952)</f>
        <v>大名城</v>
      </c>
      <c r="Y2952" s="276" t="str">
        <f ca="1">IF($Y$3="申万一级行业",[1]!s_info_industry_sw_2021(W2952,公司分析!D$5,1),IF($Y$3="申万二级行业",[1]!s_info_industry_sw_2021(W2952,公司分析!D$5,2),IF($Y$3="申万三级行业",[1]!s_info_industry_sw_2021(W2952,公司分析!D$5,3),IF($Y$3="wind一级行业",[1]!s_info_industry_gics(W2952,1),IF($Y$3="wind二级行业",[1]!s_info_industry_gics(W2952,2),IF($Y$3="wind三级行业",[1]!s_info_industry_gics(W2952,3),IF($Y$3="wind四级行业",[1]!s_info_industry_gics(W2952,4),IF($Y$3="证监会门类行业",[1]!s_info_industry_csrc12_n(W2952,公司分析!D$5,1),""))))))))</f>
        <v>房地产开发</v>
      </c>
      <c r="Z2952" s="302" t="str">
        <f ca="1">IF(Y2952=行业比较!$E$6,ROW(),"")</f>
        <v/>
      </c>
    </row>
    <row r="2953" spans="22:26">
      <c r="V2953" s="260">
        <f t="shared" ca="1" si="54"/>
        <v>0</v>
      </c>
      <c r="W2953" s="348" t="str">
        <f>IF(板块成分!B2955="","",板块成分!B2955)</f>
        <v>600095.SH</v>
      </c>
      <c r="X2953" s="276" t="str">
        <f>[1]!S_Info_Name(W2953)</f>
        <v>湘财股份</v>
      </c>
      <c r="Y2953" s="276" t="str">
        <f ca="1">IF($Y$3="申万一级行业",[1]!s_info_industry_sw_2021(W2953,公司分析!D$5,1),IF($Y$3="申万二级行业",[1]!s_info_industry_sw_2021(W2953,公司分析!D$5,2),IF($Y$3="申万三级行业",[1]!s_info_industry_sw_2021(W2953,公司分析!D$5,3),IF($Y$3="wind一级行业",[1]!s_info_industry_gics(W2953,1),IF($Y$3="wind二级行业",[1]!s_info_industry_gics(W2953,2),IF($Y$3="wind三级行业",[1]!s_info_industry_gics(W2953,3),IF($Y$3="wind四级行业",[1]!s_info_industry_gics(W2953,4),IF($Y$3="证监会门类行业",[1]!s_info_industry_csrc12_n(W2953,公司分析!D$5,1),""))))))))</f>
        <v>证券Ⅱ</v>
      </c>
      <c r="Z2953" s="302" t="str">
        <f ca="1">IF(Y2953=行业比较!$E$6,ROW(),"")</f>
        <v/>
      </c>
    </row>
    <row r="2954" spans="22:26">
      <c r="V2954" s="260">
        <f t="shared" ca="1" si="54"/>
        <v>0</v>
      </c>
      <c r="W2954" s="348" t="str">
        <f>IF(板块成分!B2956="","",板块成分!B2956)</f>
        <v>600096.SH</v>
      </c>
      <c r="X2954" s="276" t="str">
        <f>[1]!S_Info_Name(W2954)</f>
        <v>云天化</v>
      </c>
      <c r="Y2954" s="276" t="str">
        <f ca="1">IF($Y$3="申万一级行业",[1]!s_info_industry_sw_2021(W2954,公司分析!D$5,1),IF($Y$3="申万二级行业",[1]!s_info_industry_sw_2021(W2954,公司分析!D$5,2),IF($Y$3="申万三级行业",[1]!s_info_industry_sw_2021(W2954,公司分析!D$5,3),IF($Y$3="wind一级行业",[1]!s_info_industry_gics(W2954,1),IF($Y$3="wind二级行业",[1]!s_info_industry_gics(W2954,2),IF($Y$3="wind三级行业",[1]!s_info_industry_gics(W2954,3),IF($Y$3="wind四级行业",[1]!s_info_industry_gics(W2954,4),IF($Y$3="证监会门类行业",[1]!s_info_industry_csrc12_n(W2954,公司分析!D$5,1),""))))))))</f>
        <v>农化制品</v>
      </c>
      <c r="Z2954" s="302" t="str">
        <f ca="1">IF(Y2954=行业比较!$E$6,ROW(),"")</f>
        <v/>
      </c>
    </row>
    <row r="2955" spans="22:26">
      <c r="V2955" s="260">
        <f t="shared" ca="1" si="54"/>
        <v>0</v>
      </c>
      <c r="W2955" s="348" t="str">
        <f>IF(板块成分!B2957="","",板块成分!B2957)</f>
        <v>600097.SH</v>
      </c>
      <c r="X2955" s="276" t="str">
        <f>[1]!S_Info_Name(W2955)</f>
        <v>开创国际</v>
      </c>
      <c r="Y2955" s="276" t="str">
        <f ca="1">IF($Y$3="申万一级行业",[1]!s_info_industry_sw_2021(W2955,公司分析!D$5,1),IF($Y$3="申万二级行业",[1]!s_info_industry_sw_2021(W2955,公司分析!D$5,2),IF($Y$3="申万三级行业",[1]!s_info_industry_sw_2021(W2955,公司分析!D$5,3),IF($Y$3="wind一级行业",[1]!s_info_industry_gics(W2955,1),IF($Y$3="wind二级行业",[1]!s_info_industry_gics(W2955,2),IF($Y$3="wind三级行业",[1]!s_info_industry_gics(W2955,3),IF($Y$3="wind四级行业",[1]!s_info_industry_gics(W2955,4),IF($Y$3="证监会门类行业",[1]!s_info_industry_csrc12_n(W2955,公司分析!D$5,1),""))))))))</f>
        <v>渔业</v>
      </c>
      <c r="Z2955" s="302" t="str">
        <f ca="1">IF(Y2955=行业比较!$E$6,ROW(),"")</f>
        <v/>
      </c>
    </row>
    <row r="2956" spans="22:26">
      <c r="V2956" s="260">
        <f t="shared" ca="1" si="54"/>
        <v>0</v>
      </c>
      <c r="W2956" s="348" t="str">
        <f>IF(板块成分!B2958="","",板块成分!B2958)</f>
        <v>600098.SH</v>
      </c>
      <c r="X2956" s="276" t="str">
        <f>[1]!S_Info_Name(W2956)</f>
        <v>广州发展</v>
      </c>
      <c r="Y2956" s="276" t="str">
        <f ca="1">IF($Y$3="申万一级行业",[1]!s_info_industry_sw_2021(W2956,公司分析!D$5,1),IF($Y$3="申万二级行业",[1]!s_info_industry_sw_2021(W2956,公司分析!D$5,2),IF($Y$3="申万三级行业",[1]!s_info_industry_sw_2021(W2956,公司分析!D$5,3),IF($Y$3="wind一级行业",[1]!s_info_industry_gics(W2956,1),IF($Y$3="wind二级行业",[1]!s_info_industry_gics(W2956,2),IF($Y$3="wind三级行业",[1]!s_info_industry_gics(W2956,3),IF($Y$3="wind四级行业",[1]!s_info_industry_gics(W2956,4),IF($Y$3="证监会门类行业",[1]!s_info_industry_csrc12_n(W2956,公司分析!D$5,1),""))))))))</f>
        <v>电力</v>
      </c>
      <c r="Z2956" s="302" t="str">
        <f ca="1">IF(Y2956=行业比较!$E$6,ROW(),"")</f>
        <v/>
      </c>
    </row>
    <row r="2957" spans="22:26">
      <c r="V2957" s="260">
        <f t="shared" ca="1" si="54"/>
        <v>0</v>
      </c>
      <c r="W2957" s="348" t="str">
        <f>IF(板块成分!B2959="","",板块成分!B2959)</f>
        <v>600099.SH</v>
      </c>
      <c r="X2957" s="276" t="str">
        <f>[1]!S_Info_Name(W2957)</f>
        <v>林海股份</v>
      </c>
      <c r="Y2957" s="276" t="str">
        <f ca="1">IF($Y$3="申万一级行业",[1]!s_info_industry_sw_2021(W2957,公司分析!D$5,1),IF($Y$3="申万二级行业",[1]!s_info_industry_sw_2021(W2957,公司分析!D$5,2),IF($Y$3="申万三级行业",[1]!s_info_industry_sw_2021(W2957,公司分析!D$5,3),IF($Y$3="wind一级行业",[1]!s_info_industry_gics(W2957,1),IF($Y$3="wind二级行业",[1]!s_info_industry_gics(W2957,2),IF($Y$3="wind三级行业",[1]!s_info_industry_gics(W2957,3),IF($Y$3="wind四级行业",[1]!s_info_industry_gics(W2957,4),IF($Y$3="证监会门类行业",[1]!s_info_industry_csrc12_n(W2957,公司分析!D$5,1),""))))))))</f>
        <v>摩托车及其他</v>
      </c>
      <c r="Z2957" s="302" t="str">
        <f ca="1">IF(Y2957=行业比较!$E$6,ROW(),"")</f>
        <v/>
      </c>
    </row>
    <row r="2958" spans="22:26">
      <c r="V2958" s="260">
        <f t="shared" ca="1" si="54"/>
        <v>0</v>
      </c>
      <c r="W2958" s="348" t="str">
        <f>IF(板块成分!B2960="","",板块成分!B2960)</f>
        <v>600100.SH</v>
      </c>
      <c r="X2958" s="276" t="str">
        <f>[1]!S_Info_Name(W2958)</f>
        <v>同方股份</v>
      </c>
      <c r="Y2958" s="276" t="str">
        <f ca="1">IF($Y$3="申万一级行业",[1]!s_info_industry_sw_2021(W2958,公司分析!D$5,1),IF($Y$3="申万二级行业",[1]!s_info_industry_sw_2021(W2958,公司分析!D$5,2),IF($Y$3="申万三级行业",[1]!s_info_industry_sw_2021(W2958,公司分析!D$5,3),IF($Y$3="wind一级行业",[1]!s_info_industry_gics(W2958,1),IF($Y$3="wind二级行业",[1]!s_info_industry_gics(W2958,2),IF($Y$3="wind三级行业",[1]!s_info_industry_gics(W2958,3),IF($Y$3="wind四级行业",[1]!s_info_industry_gics(W2958,4),IF($Y$3="证监会门类行业",[1]!s_info_industry_csrc12_n(W2958,公司分析!D$5,1),""))))))))</f>
        <v>计算机设备</v>
      </c>
      <c r="Z2958" s="302" t="str">
        <f ca="1">IF(Y2958=行业比较!$E$6,ROW(),"")</f>
        <v/>
      </c>
    </row>
    <row r="2959" spans="22:26">
      <c r="V2959" s="260">
        <f t="shared" ca="1" si="54"/>
        <v>0</v>
      </c>
      <c r="W2959" s="348" t="str">
        <f>IF(板块成分!B2961="","",板块成分!B2961)</f>
        <v>600101.SH</v>
      </c>
      <c r="X2959" s="276" t="str">
        <f>[1]!S_Info_Name(W2959)</f>
        <v>明星电力</v>
      </c>
      <c r="Y2959" s="276" t="str">
        <f ca="1">IF($Y$3="申万一级行业",[1]!s_info_industry_sw_2021(W2959,公司分析!D$5,1),IF($Y$3="申万二级行业",[1]!s_info_industry_sw_2021(W2959,公司分析!D$5,2),IF($Y$3="申万三级行业",[1]!s_info_industry_sw_2021(W2959,公司分析!D$5,3),IF($Y$3="wind一级行业",[1]!s_info_industry_gics(W2959,1),IF($Y$3="wind二级行业",[1]!s_info_industry_gics(W2959,2),IF($Y$3="wind三级行业",[1]!s_info_industry_gics(W2959,3),IF($Y$3="wind四级行业",[1]!s_info_industry_gics(W2959,4),IF($Y$3="证监会门类行业",[1]!s_info_industry_csrc12_n(W2959,公司分析!D$5,1),""))))))))</f>
        <v>电力</v>
      </c>
      <c r="Z2959" s="302" t="str">
        <f ca="1">IF(Y2959=行业比较!$E$6,ROW(),"")</f>
        <v/>
      </c>
    </row>
    <row r="2960" spans="22:26">
      <c r="V2960" s="260">
        <f t="shared" ca="1" si="54"/>
        <v>0</v>
      </c>
      <c r="W2960" s="348" t="str">
        <f>IF(板块成分!B2962="","",板块成分!B2962)</f>
        <v>600103.SH</v>
      </c>
      <c r="X2960" s="276" t="str">
        <f>[1]!S_Info_Name(W2960)</f>
        <v>青山纸业</v>
      </c>
      <c r="Y2960" s="276" t="str">
        <f ca="1">IF($Y$3="申万一级行业",[1]!s_info_industry_sw_2021(W2960,公司分析!D$5,1),IF($Y$3="申万二级行业",[1]!s_info_industry_sw_2021(W2960,公司分析!D$5,2),IF($Y$3="申万三级行业",[1]!s_info_industry_sw_2021(W2960,公司分析!D$5,3),IF($Y$3="wind一级行业",[1]!s_info_industry_gics(W2960,1),IF($Y$3="wind二级行业",[1]!s_info_industry_gics(W2960,2),IF($Y$3="wind三级行业",[1]!s_info_industry_gics(W2960,3),IF($Y$3="wind四级行业",[1]!s_info_industry_gics(W2960,4),IF($Y$3="证监会门类行业",[1]!s_info_industry_csrc12_n(W2960,公司分析!D$5,1),""))))))))</f>
        <v>造纸</v>
      </c>
      <c r="Z2960" s="302" t="str">
        <f ca="1">IF(Y2960=行业比较!$E$6,ROW(),"")</f>
        <v/>
      </c>
    </row>
    <row r="2961" spans="22:26">
      <c r="V2961" s="260">
        <f t="shared" ca="1" si="54"/>
        <v>0</v>
      </c>
      <c r="W2961" s="348" t="str">
        <f>IF(板块成分!B2963="","",板块成分!B2963)</f>
        <v>600104.SH</v>
      </c>
      <c r="X2961" s="276" t="str">
        <f>[1]!S_Info_Name(W2961)</f>
        <v>上汽集团</v>
      </c>
      <c r="Y2961" s="276" t="str">
        <f ca="1">IF($Y$3="申万一级行业",[1]!s_info_industry_sw_2021(W2961,公司分析!D$5,1),IF($Y$3="申万二级行业",[1]!s_info_industry_sw_2021(W2961,公司分析!D$5,2),IF($Y$3="申万三级行业",[1]!s_info_industry_sw_2021(W2961,公司分析!D$5,3),IF($Y$3="wind一级行业",[1]!s_info_industry_gics(W2961,1),IF($Y$3="wind二级行业",[1]!s_info_industry_gics(W2961,2),IF($Y$3="wind三级行业",[1]!s_info_industry_gics(W2961,3),IF($Y$3="wind四级行业",[1]!s_info_industry_gics(W2961,4),IF($Y$3="证监会门类行业",[1]!s_info_industry_csrc12_n(W2961,公司分析!D$5,1),""))))))))</f>
        <v>乘用车</v>
      </c>
      <c r="Z2961" s="302" t="str">
        <f ca="1">IF(Y2961=行业比较!$E$6,ROW(),"")</f>
        <v/>
      </c>
    </row>
    <row r="2962" spans="22:26">
      <c r="V2962" s="260">
        <f t="shared" ca="1" si="54"/>
        <v>0</v>
      </c>
      <c r="W2962" s="348" t="str">
        <f>IF(板块成分!B2964="","",板块成分!B2964)</f>
        <v>600105.SH</v>
      </c>
      <c r="X2962" s="276" t="str">
        <f>[1]!S_Info_Name(W2962)</f>
        <v>永鼎股份</v>
      </c>
      <c r="Y2962" s="276" t="str">
        <f ca="1">IF($Y$3="申万一级行业",[1]!s_info_industry_sw_2021(W2962,公司分析!D$5,1),IF($Y$3="申万二级行业",[1]!s_info_industry_sw_2021(W2962,公司分析!D$5,2),IF($Y$3="申万三级行业",[1]!s_info_industry_sw_2021(W2962,公司分析!D$5,3),IF($Y$3="wind一级行业",[1]!s_info_industry_gics(W2962,1),IF($Y$3="wind二级行业",[1]!s_info_industry_gics(W2962,2),IF($Y$3="wind三级行业",[1]!s_info_industry_gics(W2962,3),IF($Y$3="wind四级行业",[1]!s_info_industry_gics(W2962,4),IF($Y$3="证监会门类行业",[1]!s_info_industry_csrc12_n(W2962,公司分析!D$5,1),""))))))))</f>
        <v>通信设备</v>
      </c>
      <c r="Z2962" s="302" t="str">
        <f ca="1">IF(Y2962=行业比较!$E$6,ROW(),"")</f>
        <v/>
      </c>
    </row>
    <row r="2963" spans="22:26">
      <c r="V2963" s="260">
        <f t="shared" ca="1" si="54"/>
        <v>0</v>
      </c>
      <c r="W2963" s="348" t="str">
        <f>IF(板块成分!B2965="","",板块成分!B2965)</f>
        <v>600106.SH</v>
      </c>
      <c r="X2963" s="276" t="str">
        <f>[1]!S_Info_Name(W2963)</f>
        <v>重庆路桥</v>
      </c>
      <c r="Y2963" s="276" t="str">
        <f ca="1">IF($Y$3="申万一级行业",[1]!s_info_industry_sw_2021(W2963,公司分析!D$5,1),IF($Y$3="申万二级行业",[1]!s_info_industry_sw_2021(W2963,公司分析!D$5,2),IF($Y$3="申万三级行业",[1]!s_info_industry_sw_2021(W2963,公司分析!D$5,3),IF($Y$3="wind一级行业",[1]!s_info_industry_gics(W2963,1),IF($Y$3="wind二级行业",[1]!s_info_industry_gics(W2963,2),IF($Y$3="wind三级行业",[1]!s_info_industry_gics(W2963,3),IF($Y$3="wind四级行业",[1]!s_info_industry_gics(W2963,4),IF($Y$3="证监会门类行业",[1]!s_info_industry_csrc12_n(W2963,公司分析!D$5,1),""))))))))</f>
        <v>铁路公路</v>
      </c>
      <c r="Z2963" s="302" t="str">
        <f ca="1">IF(Y2963=行业比较!$E$6,ROW(),"")</f>
        <v/>
      </c>
    </row>
    <row r="2964" spans="22:26">
      <c r="V2964" s="260">
        <f t="shared" ca="1" si="54"/>
        <v>0</v>
      </c>
      <c r="W2964" s="348" t="str">
        <f>IF(板块成分!B2966="","",板块成分!B2966)</f>
        <v>600107.SH</v>
      </c>
      <c r="X2964" s="276" t="str">
        <f>[1]!S_Info_Name(W2964)</f>
        <v>ST尔雅</v>
      </c>
      <c r="Y2964" s="276" t="str">
        <f ca="1">IF($Y$3="申万一级行业",[1]!s_info_industry_sw_2021(W2964,公司分析!D$5,1),IF($Y$3="申万二级行业",[1]!s_info_industry_sw_2021(W2964,公司分析!D$5,2),IF($Y$3="申万三级行业",[1]!s_info_industry_sw_2021(W2964,公司分析!D$5,3),IF($Y$3="wind一级行业",[1]!s_info_industry_gics(W2964,1),IF($Y$3="wind二级行业",[1]!s_info_industry_gics(W2964,2),IF($Y$3="wind三级行业",[1]!s_info_industry_gics(W2964,3),IF($Y$3="wind四级行业",[1]!s_info_industry_gics(W2964,4),IF($Y$3="证监会门类行业",[1]!s_info_industry_csrc12_n(W2964,公司分析!D$5,1),""))))))))</f>
        <v>服装家纺</v>
      </c>
      <c r="Z2964" s="302" t="str">
        <f ca="1">IF(Y2964=行业比较!$E$6,ROW(),"")</f>
        <v/>
      </c>
    </row>
    <row r="2965" spans="22:26">
      <c r="V2965" s="260">
        <f t="shared" ca="1" si="54"/>
        <v>0</v>
      </c>
      <c r="W2965" s="348" t="str">
        <f>IF(板块成分!B2967="","",板块成分!B2967)</f>
        <v>600108.SH</v>
      </c>
      <c r="X2965" s="276" t="str">
        <f>[1]!S_Info_Name(W2965)</f>
        <v>亚盛集团</v>
      </c>
      <c r="Y2965" s="276" t="str">
        <f ca="1">IF($Y$3="申万一级行业",[1]!s_info_industry_sw_2021(W2965,公司分析!D$5,1),IF($Y$3="申万二级行业",[1]!s_info_industry_sw_2021(W2965,公司分析!D$5,2),IF($Y$3="申万三级行业",[1]!s_info_industry_sw_2021(W2965,公司分析!D$5,3),IF($Y$3="wind一级行业",[1]!s_info_industry_gics(W2965,1),IF($Y$3="wind二级行业",[1]!s_info_industry_gics(W2965,2),IF($Y$3="wind三级行业",[1]!s_info_industry_gics(W2965,3),IF($Y$3="wind四级行业",[1]!s_info_industry_gics(W2965,4),IF($Y$3="证监会门类行业",[1]!s_info_industry_csrc12_n(W2965,公司分析!D$5,1),""))))))))</f>
        <v>种植业</v>
      </c>
      <c r="Z2965" s="302" t="str">
        <f ca="1">IF(Y2965=行业比较!$E$6,ROW(),"")</f>
        <v/>
      </c>
    </row>
    <row r="2966" spans="22:26">
      <c r="V2966" s="260">
        <f t="shared" ca="1" si="54"/>
        <v>0</v>
      </c>
      <c r="W2966" s="348" t="str">
        <f>IF(板块成分!B2968="","",板块成分!B2968)</f>
        <v>600109.SH</v>
      </c>
      <c r="X2966" s="276" t="str">
        <f>[1]!S_Info_Name(W2966)</f>
        <v>国金证券</v>
      </c>
      <c r="Y2966" s="276" t="str">
        <f ca="1">IF($Y$3="申万一级行业",[1]!s_info_industry_sw_2021(W2966,公司分析!D$5,1),IF($Y$3="申万二级行业",[1]!s_info_industry_sw_2021(W2966,公司分析!D$5,2),IF($Y$3="申万三级行业",[1]!s_info_industry_sw_2021(W2966,公司分析!D$5,3),IF($Y$3="wind一级行业",[1]!s_info_industry_gics(W2966,1),IF($Y$3="wind二级行业",[1]!s_info_industry_gics(W2966,2),IF($Y$3="wind三级行业",[1]!s_info_industry_gics(W2966,3),IF($Y$3="wind四级行业",[1]!s_info_industry_gics(W2966,4),IF($Y$3="证监会门类行业",[1]!s_info_industry_csrc12_n(W2966,公司分析!D$5,1),""))))))))</f>
        <v>证券Ⅱ</v>
      </c>
      <c r="Z2966" s="302" t="str">
        <f ca="1">IF(Y2966=行业比较!$E$6,ROW(),"")</f>
        <v/>
      </c>
    </row>
    <row r="2967" spans="22:26">
      <c r="V2967" s="260">
        <f t="shared" ca="1" si="54"/>
        <v>0</v>
      </c>
      <c r="W2967" s="348" t="str">
        <f>IF(板块成分!B2969="","",板块成分!B2969)</f>
        <v>600110.SH</v>
      </c>
      <c r="X2967" s="276" t="str">
        <f>[1]!S_Info_Name(W2967)</f>
        <v>诺德股份</v>
      </c>
      <c r="Y2967" s="276" t="str">
        <f ca="1">IF($Y$3="申万一级行业",[1]!s_info_industry_sw_2021(W2967,公司分析!D$5,1),IF($Y$3="申万二级行业",[1]!s_info_industry_sw_2021(W2967,公司分析!D$5,2),IF($Y$3="申万三级行业",[1]!s_info_industry_sw_2021(W2967,公司分析!D$5,3),IF($Y$3="wind一级行业",[1]!s_info_industry_gics(W2967,1),IF($Y$3="wind二级行业",[1]!s_info_industry_gics(W2967,2),IF($Y$3="wind三级行业",[1]!s_info_industry_gics(W2967,3),IF($Y$3="wind四级行业",[1]!s_info_industry_gics(W2967,4),IF($Y$3="证监会门类行业",[1]!s_info_industry_csrc12_n(W2967,公司分析!D$5,1),""))))))))</f>
        <v>电池</v>
      </c>
      <c r="Z2967" s="302" t="str">
        <f ca="1">IF(Y2967=行业比较!$E$6,ROW(),"")</f>
        <v/>
      </c>
    </row>
    <row r="2968" spans="22:26">
      <c r="V2968" s="260">
        <f t="shared" ca="1" si="54"/>
        <v>0</v>
      </c>
      <c r="W2968" s="348" t="str">
        <f>IF(板块成分!B2970="","",板块成分!B2970)</f>
        <v>600111.SH</v>
      </c>
      <c r="X2968" s="276" t="str">
        <f>[1]!S_Info_Name(W2968)</f>
        <v>北方稀土</v>
      </c>
      <c r="Y2968" s="276" t="str">
        <f ca="1">IF($Y$3="申万一级行业",[1]!s_info_industry_sw_2021(W2968,公司分析!D$5,1),IF($Y$3="申万二级行业",[1]!s_info_industry_sw_2021(W2968,公司分析!D$5,2),IF($Y$3="申万三级行业",[1]!s_info_industry_sw_2021(W2968,公司分析!D$5,3),IF($Y$3="wind一级行业",[1]!s_info_industry_gics(W2968,1),IF($Y$3="wind二级行业",[1]!s_info_industry_gics(W2968,2),IF($Y$3="wind三级行业",[1]!s_info_industry_gics(W2968,3),IF($Y$3="wind四级行业",[1]!s_info_industry_gics(W2968,4),IF($Y$3="证监会门类行业",[1]!s_info_industry_csrc12_n(W2968,公司分析!D$5,1),""))))))))</f>
        <v>小金属</v>
      </c>
      <c r="Z2968" s="302" t="str">
        <f ca="1">IF(Y2968=行业比较!$E$6,ROW(),"")</f>
        <v/>
      </c>
    </row>
    <row r="2969" spans="22:26">
      <c r="V2969" s="260">
        <f t="shared" ca="1" si="54"/>
        <v>0</v>
      </c>
      <c r="W2969" s="348" t="str">
        <f>IF(板块成分!B2971="","",板块成分!B2971)</f>
        <v>600113.SH</v>
      </c>
      <c r="X2969" s="276" t="str">
        <f>[1]!S_Info_Name(W2969)</f>
        <v>浙江东日</v>
      </c>
      <c r="Y2969" s="276" t="str">
        <f ca="1">IF($Y$3="申万一级行业",[1]!s_info_industry_sw_2021(W2969,公司分析!D$5,1),IF($Y$3="申万二级行业",[1]!s_info_industry_sw_2021(W2969,公司分析!D$5,2),IF($Y$3="申万三级行业",[1]!s_info_industry_sw_2021(W2969,公司分析!D$5,3),IF($Y$3="wind一级行业",[1]!s_info_industry_gics(W2969,1),IF($Y$3="wind二级行业",[1]!s_info_industry_gics(W2969,2),IF($Y$3="wind三级行业",[1]!s_info_industry_gics(W2969,3),IF($Y$3="wind四级行业",[1]!s_info_industry_gics(W2969,4),IF($Y$3="证监会门类行业",[1]!s_info_industry_csrc12_n(W2969,公司分析!D$5,1),""))))))))</f>
        <v>一般零售</v>
      </c>
      <c r="Z2969" s="302" t="str">
        <f ca="1">IF(Y2969=行业比较!$E$6,ROW(),"")</f>
        <v/>
      </c>
    </row>
    <row r="2970" spans="22:26">
      <c r="V2970" s="260">
        <f t="shared" ca="1" si="54"/>
        <v>0</v>
      </c>
      <c r="W2970" s="348" t="str">
        <f>IF(板块成分!B2972="","",板块成分!B2972)</f>
        <v>600114.SH</v>
      </c>
      <c r="X2970" s="276" t="str">
        <f>[1]!S_Info_Name(W2970)</f>
        <v>东睦股份</v>
      </c>
      <c r="Y2970" s="276" t="str">
        <f ca="1">IF($Y$3="申万一级行业",[1]!s_info_industry_sw_2021(W2970,公司分析!D$5,1),IF($Y$3="申万二级行业",[1]!s_info_industry_sw_2021(W2970,公司分析!D$5,2),IF($Y$3="申万三级行业",[1]!s_info_industry_sw_2021(W2970,公司分析!D$5,3),IF($Y$3="wind一级行业",[1]!s_info_industry_gics(W2970,1),IF($Y$3="wind二级行业",[1]!s_info_industry_gics(W2970,2),IF($Y$3="wind三级行业",[1]!s_info_industry_gics(W2970,3),IF($Y$3="wind四级行业",[1]!s_info_industry_gics(W2970,4),IF($Y$3="证监会门类行业",[1]!s_info_industry_csrc12_n(W2970,公司分析!D$5,1),""))))))))</f>
        <v>通用设备</v>
      </c>
      <c r="Z2970" s="302" t="str">
        <f ca="1">IF(Y2970=行业比较!$E$6,ROW(),"")</f>
        <v/>
      </c>
    </row>
    <row r="2971" spans="22:26">
      <c r="V2971" s="260">
        <f t="shared" ca="1" si="54"/>
        <v>0</v>
      </c>
      <c r="W2971" s="348" t="str">
        <f>IF(板块成分!B2973="","",板块成分!B2973)</f>
        <v>600115.SH</v>
      </c>
      <c r="X2971" s="276" t="str">
        <f>[1]!S_Info_Name(W2971)</f>
        <v>中国东航</v>
      </c>
      <c r="Y2971" s="276" t="str">
        <f ca="1">IF($Y$3="申万一级行业",[1]!s_info_industry_sw_2021(W2971,公司分析!D$5,1),IF($Y$3="申万二级行业",[1]!s_info_industry_sw_2021(W2971,公司分析!D$5,2),IF($Y$3="申万三级行业",[1]!s_info_industry_sw_2021(W2971,公司分析!D$5,3),IF($Y$3="wind一级行业",[1]!s_info_industry_gics(W2971,1),IF($Y$3="wind二级行业",[1]!s_info_industry_gics(W2971,2),IF($Y$3="wind三级行业",[1]!s_info_industry_gics(W2971,3),IF($Y$3="wind四级行业",[1]!s_info_industry_gics(W2971,4),IF($Y$3="证监会门类行业",[1]!s_info_industry_csrc12_n(W2971,公司分析!D$5,1),""))))))))</f>
        <v>航空机场</v>
      </c>
      <c r="Z2971" s="302" t="str">
        <f ca="1">IF(Y2971=行业比较!$E$6,ROW(),"")</f>
        <v/>
      </c>
    </row>
    <row r="2972" spans="22:26">
      <c r="V2972" s="260">
        <f t="shared" ca="1" si="54"/>
        <v>0</v>
      </c>
      <c r="W2972" s="348" t="str">
        <f>IF(板块成分!B2974="","",板块成分!B2974)</f>
        <v>600116.SH</v>
      </c>
      <c r="X2972" s="276" t="str">
        <f>[1]!S_Info_Name(W2972)</f>
        <v>三峡水利</v>
      </c>
      <c r="Y2972" s="276" t="str">
        <f ca="1">IF($Y$3="申万一级行业",[1]!s_info_industry_sw_2021(W2972,公司分析!D$5,1),IF($Y$3="申万二级行业",[1]!s_info_industry_sw_2021(W2972,公司分析!D$5,2),IF($Y$3="申万三级行业",[1]!s_info_industry_sw_2021(W2972,公司分析!D$5,3),IF($Y$3="wind一级行业",[1]!s_info_industry_gics(W2972,1),IF($Y$3="wind二级行业",[1]!s_info_industry_gics(W2972,2),IF($Y$3="wind三级行业",[1]!s_info_industry_gics(W2972,3),IF($Y$3="wind四级行业",[1]!s_info_industry_gics(W2972,4),IF($Y$3="证监会门类行业",[1]!s_info_industry_csrc12_n(W2972,公司分析!D$5,1),""))))))))</f>
        <v>电力</v>
      </c>
      <c r="Z2972" s="302" t="str">
        <f ca="1">IF(Y2972=行业比较!$E$6,ROW(),"")</f>
        <v/>
      </c>
    </row>
    <row r="2973" spans="22:26">
      <c r="V2973" s="260">
        <f t="shared" ca="1" si="54"/>
        <v>0</v>
      </c>
      <c r="W2973" s="348" t="str">
        <f>IF(板块成分!B2975="","",板块成分!B2975)</f>
        <v>600117.SH</v>
      </c>
      <c r="X2973" s="276" t="str">
        <f>[1]!S_Info_Name(W2973)</f>
        <v>西宁特钢</v>
      </c>
      <c r="Y2973" s="276" t="str">
        <f ca="1">IF($Y$3="申万一级行业",[1]!s_info_industry_sw_2021(W2973,公司分析!D$5,1),IF($Y$3="申万二级行业",[1]!s_info_industry_sw_2021(W2973,公司分析!D$5,2),IF($Y$3="申万三级行业",[1]!s_info_industry_sw_2021(W2973,公司分析!D$5,3),IF($Y$3="wind一级行业",[1]!s_info_industry_gics(W2973,1),IF($Y$3="wind二级行业",[1]!s_info_industry_gics(W2973,2),IF($Y$3="wind三级行业",[1]!s_info_industry_gics(W2973,3),IF($Y$3="wind四级行业",[1]!s_info_industry_gics(W2973,4),IF($Y$3="证监会门类行业",[1]!s_info_industry_csrc12_n(W2973,公司分析!D$5,1),""))))))))</f>
        <v>特钢Ⅱ</v>
      </c>
      <c r="Z2973" s="302" t="str">
        <f ca="1">IF(Y2973=行业比较!$E$6,ROW(),"")</f>
        <v/>
      </c>
    </row>
    <row r="2974" spans="22:26">
      <c r="V2974" s="260">
        <f t="shared" ca="1" si="54"/>
        <v>0</v>
      </c>
      <c r="W2974" s="348" t="str">
        <f>IF(板块成分!B2976="","",板块成分!B2976)</f>
        <v>600118.SH</v>
      </c>
      <c r="X2974" s="276" t="str">
        <f>[1]!S_Info_Name(W2974)</f>
        <v>中国卫星</v>
      </c>
      <c r="Y2974" s="276" t="str">
        <f ca="1">IF($Y$3="申万一级行业",[1]!s_info_industry_sw_2021(W2974,公司分析!D$5,1),IF($Y$3="申万二级行业",[1]!s_info_industry_sw_2021(W2974,公司分析!D$5,2),IF($Y$3="申万三级行业",[1]!s_info_industry_sw_2021(W2974,公司分析!D$5,3),IF($Y$3="wind一级行业",[1]!s_info_industry_gics(W2974,1),IF($Y$3="wind二级行业",[1]!s_info_industry_gics(W2974,2),IF($Y$3="wind三级行业",[1]!s_info_industry_gics(W2974,3),IF($Y$3="wind四级行业",[1]!s_info_industry_gics(W2974,4),IF($Y$3="证监会门类行业",[1]!s_info_industry_csrc12_n(W2974,公司分析!D$5,1),""))))))))</f>
        <v>航天装备Ⅱ</v>
      </c>
      <c r="Z2974" s="302" t="str">
        <f ca="1">IF(Y2974=行业比较!$E$6,ROW(),"")</f>
        <v/>
      </c>
    </row>
    <row r="2975" spans="22:26">
      <c r="V2975" s="260">
        <f t="shared" ca="1" si="54"/>
        <v>0</v>
      </c>
      <c r="W2975" s="348" t="str">
        <f>IF(板块成分!B2977="","",板块成分!B2977)</f>
        <v>600119.SH</v>
      </c>
      <c r="X2975" s="276" t="str">
        <f>[1]!S_Info_Name(W2975)</f>
        <v>长江投资</v>
      </c>
      <c r="Y2975" s="276" t="str">
        <f ca="1">IF($Y$3="申万一级行业",[1]!s_info_industry_sw_2021(W2975,公司分析!D$5,1),IF($Y$3="申万二级行业",[1]!s_info_industry_sw_2021(W2975,公司分析!D$5,2),IF($Y$3="申万三级行业",[1]!s_info_industry_sw_2021(W2975,公司分析!D$5,3),IF($Y$3="wind一级行业",[1]!s_info_industry_gics(W2975,1),IF($Y$3="wind二级行业",[1]!s_info_industry_gics(W2975,2),IF($Y$3="wind三级行业",[1]!s_info_industry_gics(W2975,3),IF($Y$3="wind四级行业",[1]!s_info_industry_gics(W2975,4),IF($Y$3="证监会门类行业",[1]!s_info_industry_csrc12_n(W2975,公司分析!D$5,1),""))))))))</f>
        <v>物流</v>
      </c>
      <c r="Z2975" s="302" t="str">
        <f ca="1">IF(Y2975=行业比较!$E$6,ROW(),"")</f>
        <v/>
      </c>
    </row>
    <row r="2976" spans="22:26">
      <c r="V2976" s="260">
        <f t="shared" ca="1" si="54"/>
        <v>0</v>
      </c>
      <c r="W2976" s="348" t="str">
        <f>IF(板块成分!B2978="","",板块成分!B2978)</f>
        <v>600120.SH</v>
      </c>
      <c r="X2976" s="276" t="str">
        <f>[1]!S_Info_Name(W2976)</f>
        <v>浙江东方</v>
      </c>
      <c r="Y2976" s="276" t="str">
        <f ca="1">IF($Y$3="申万一级行业",[1]!s_info_industry_sw_2021(W2976,公司分析!D$5,1),IF($Y$3="申万二级行业",[1]!s_info_industry_sw_2021(W2976,公司分析!D$5,2),IF($Y$3="申万三级行业",[1]!s_info_industry_sw_2021(W2976,公司分析!D$5,3),IF($Y$3="wind一级行业",[1]!s_info_industry_gics(W2976,1),IF($Y$3="wind二级行业",[1]!s_info_industry_gics(W2976,2),IF($Y$3="wind三级行业",[1]!s_info_industry_gics(W2976,3),IF($Y$3="wind四级行业",[1]!s_info_industry_gics(W2976,4),IF($Y$3="证监会门类行业",[1]!s_info_industry_csrc12_n(W2976,公司分析!D$5,1),""))))))))</f>
        <v>多元金融</v>
      </c>
      <c r="Z2976" s="302" t="str">
        <f ca="1">IF(Y2976=行业比较!$E$6,ROW(),"")</f>
        <v/>
      </c>
    </row>
    <row r="2977" spans="22:26">
      <c r="V2977" s="260">
        <f t="shared" ca="1" si="54"/>
        <v>0</v>
      </c>
      <c r="W2977" s="348" t="str">
        <f>IF(板块成分!B2979="","",板块成分!B2979)</f>
        <v>600121.SH</v>
      </c>
      <c r="X2977" s="276" t="str">
        <f>[1]!S_Info_Name(W2977)</f>
        <v>郑州煤电</v>
      </c>
      <c r="Y2977" s="276" t="str">
        <f ca="1">IF($Y$3="申万一级行业",[1]!s_info_industry_sw_2021(W2977,公司分析!D$5,1),IF($Y$3="申万二级行业",[1]!s_info_industry_sw_2021(W2977,公司分析!D$5,2),IF($Y$3="申万三级行业",[1]!s_info_industry_sw_2021(W2977,公司分析!D$5,3),IF($Y$3="wind一级行业",[1]!s_info_industry_gics(W2977,1),IF($Y$3="wind二级行业",[1]!s_info_industry_gics(W2977,2),IF($Y$3="wind三级行业",[1]!s_info_industry_gics(W2977,3),IF($Y$3="wind四级行业",[1]!s_info_industry_gics(W2977,4),IF($Y$3="证监会门类行业",[1]!s_info_industry_csrc12_n(W2977,公司分析!D$5,1),""))))))))</f>
        <v>煤炭开采</v>
      </c>
      <c r="Z2977" s="302" t="str">
        <f ca="1">IF(Y2977=行业比较!$E$6,ROW(),"")</f>
        <v/>
      </c>
    </row>
    <row r="2978" spans="22:26">
      <c r="V2978" s="260">
        <f t="shared" ca="1" si="54"/>
        <v>0</v>
      </c>
      <c r="W2978" s="348" t="str">
        <f>IF(板块成分!B2980="","",板块成分!B2980)</f>
        <v>600123.SH</v>
      </c>
      <c r="X2978" s="276" t="str">
        <f>[1]!S_Info_Name(W2978)</f>
        <v>兰花科创</v>
      </c>
      <c r="Y2978" s="276" t="str">
        <f ca="1">IF($Y$3="申万一级行业",[1]!s_info_industry_sw_2021(W2978,公司分析!D$5,1),IF($Y$3="申万二级行业",[1]!s_info_industry_sw_2021(W2978,公司分析!D$5,2),IF($Y$3="申万三级行业",[1]!s_info_industry_sw_2021(W2978,公司分析!D$5,3),IF($Y$3="wind一级行业",[1]!s_info_industry_gics(W2978,1),IF($Y$3="wind二级行业",[1]!s_info_industry_gics(W2978,2),IF($Y$3="wind三级行业",[1]!s_info_industry_gics(W2978,3),IF($Y$3="wind四级行业",[1]!s_info_industry_gics(W2978,4),IF($Y$3="证监会门类行业",[1]!s_info_industry_csrc12_n(W2978,公司分析!D$5,1),""))))))))</f>
        <v>煤炭开采</v>
      </c>
      <c r="Z2978" s="302" t="str">
        <f ca="1">IF(Y2978=行业比较!$E$6,ROW(),"")</f>
        <v/>
      </c>
    </row>
    <row r="2979" spans="22:26">
      <c r="V2979" s="260">
        <f t="shared" ca="1" si="54"/>
        <v>0</v>
      </c>
      <c r="W2979" s="348" t="str">
        <f>IF(板块成分!B2981="","",板块成分!B2981)</f>
        <v>600125.SH</v>
      </c>
      <c r="X2979" s="276" t="str">
        <f>[1]!S_Info_Name(W2979)</f>
        <v>铁龙物流</v>
      </c>
      <c r="Y2979" s="276" t="str">
        <f ca="1">IF($Y$3="申万一级行业",[1]!s_info_industry_sw_2021(W2979,公司分析!D$5,1),IF($Y$3="申万二级行业",[1]!s_info_industry_sw_2021(W2979,公司分析!D$5,2),IF($Y$3="申万三级行业",[1]!s_info_industry_sw_2021(W2979,公司分析!D$5,3),IF($Y$3="wind一级行业",[1]!s_info_industry_gics(W2979,1),IF($Y$3="wind二级行业",[1]!s_info_industry_gics(W2979,2),IF($Y$3="wind三级行业",[1]!s_info_industry_gics(W2979,3),IF($Y$3="wind四级行业",[1]!s_info_industry_gics(W2979,4),IF($Y$3="证监会门类行业",[1]!s_info_industry_csrc12_n(W2979,公司分析!D$5,1),""))))))))</f>
        <v>铁路公路</v>
      </c>
      <c r="Z2979" s="302" t="str">
        <f ca="1">IF(Y2979=行业比较!$E$6,ROW(),"")</f>
        <v/>
      </c>
    </row>
    <row r="2980" spans="22:26">
      <c r="V2980" s="260">
        <f t="shared" ca="1" si="54"/>
        <v>0</v>
      </c>
      <c r="W2980" s="348" t="str">
        <f>IF(板块成分!B2982="","",板块成分!B2982)</f>
        <v>600126.SH</v>
      </c>
      <c r="X2980" s="276" t="str">
        <f>[1]!S_Info_Name(W2980)</f>
        <v>杭钢股份</v>
      </c>
      <c r="Y2980" s="276" t="str">
        <f ca="1">IF($Y$3="申万一级行业",[1]!s_info_industry_sw_2021(W2980,公司分析!D$5,1),IF($Y$3="申万二级行业",[1]!s_info_industry_sw_2021(W2980,公司分析!D$5,2),IF($Y$3="申万三级行业",[1]!s_info_industry_sw_2021(W2980,公司分析!D$5,3),IF($Y$3="wind一级行业",[1]!s_info_industry_gics(W2980,1),IF($Y$3="wind二级行业",[1]!s_info_industry_gics(W2980,2),IF($Y$3="wind三级行业",[1]!s_info_industry_gics(W2980,3),IF($Y$3="wind四级行业",[1]!s_info_industry_gics(W2980,4),IF($Y$3="证监会门类行业",[1]!s_info_industry_csrc12_n(W2980,公司分析!D$5,1),""))))))))</f>
        <v>普钢</v>
      </c>
      <c r="Z2980" s="302" t="str">
        <f ca="1">IF(Y2980=行业比较!$E$6,ROW(),"")</f>
        <v/>
      </c>
    </row>
    <row r="2981" spans="22:26">
      <c r="V2981" s="260">
        <f t="shared" ca="1" si="54"/>
        <v>0</v>
      </c>
      <c r="W2981" s="348" t="str">
        <f>IF(板块成分!B2983="","",板块成分!B2983)</f>
        <v>600127.SH</v>
      </c>
      <c r="X2981" s="276" t="str">
        <f>[1]!S_Info_Name(W2981)</f>
        <v>金健米业</v>
      </c>
      <c r="Y2981" s="276" t="str">
        <f ca="1">IF($Y$3="申万一级行业",[1]!s_info_industry_sw_2021(W2981,公司分析!D$5,1),IF($Y$3="申万二级行业",[1]!s_info_industry_sw_2021(W2981,公司分析!D$5,2),IF($Y$3="申万三级行业",[1]!s_info_industry_sw_2021(W2981,公司分析!D$5,3),IF($Y$3="wind一级行业",[1]!s_info_industry_gics(W2981,1),IF($Y$3="wind二级行业",[1]!s_info_industry_gics(W2981,2),IF($Y$3="wind三级行业",[1]!s_info_industry_gics(W2981,3),IF($Y$3="wind四级行业",[1]!s_info_industry_gics(W2981,4),IF($Y$3="证监会门类行业",[1]!s_info_industry_csrc12_n(W2981,公司分析!D$5,1),""))))))))</f>
        <v>农产品加工</v>
      </c>
      <c r="Z2981" s="302" t="str">
        <f ca="1">IF(Y2981=行业比较!$E$6,ROW(),"")</f>
        <v/>
      </c>
    </row>
    <row r="2982" spans="22:26">
      <c r="V2982" s="260">
        <f t="shared" ca="1" si="54"/>
        <v>0</v>
      </c>
      <c r="W2982" s="348" t="str">
        <f>IF(板块成分!B2984="","",板块成分!B2984)</f>
        <v>600128.SH</v>
      </c>
      <c r="X2982" s="276" t="str">
        <f>[1]!S_Info_Name(W2982)</f>
        <v>苏豪弘业</v>
      </c>
      <c r="Y2982" s="276" t="str">
        <f ca="1">IF($Y$3="申万一级行业",[1]!s_info_industry_sw_2021(W2982,公司分析!D$5,1),IF($Y$3="申万二级行业",[1]!s_info_industry_sw_2021(W2982,公司分析!D$5,2),IF($Y$3="申万三级行业",[1]!s_info_industry_sw_2021(W2982,公司分析!D$5,3),IF($Y$3="wind一级行业",[1]!s_info_industry_gics(W2982,1),IF($Y$3="wind二级行业",[1]!s_info_industry_gics(W2982,2),IF($Y$3="wind三级行业",[1]!s_info_industry_gics(W2982,3),IF($Y$3="wind四级行业",[1]!s_info_industry_gics(W2982,4),IF($Y$3="证监会门类行业",[1]!s_info_industry_csrc12_n(W2982,公司分析!D$5,1),""))))))))</f>
        <v>贸易Ⅱ</v>
      </c>
      <c r="Z2982" s="302" t="str">
        <f ca="1">IF(Y2982=行业比较!$E$6,ROW(),"")</f>
        <v/>
      </c>
    </row>
    <row r="2983" spans="22:26">
      <c r="V2983" s="260">
        <f t="shared" ca="1" si="54"/>
        <v>0</v>
      </c>
      <c r="W2983" s="348" t="str">
        <f>IF(板块成分!B2985="","",板块成分!B2985)</f>
        <v>600129.SH</v>
      </c>
      <c r="X2983" s="276" t="str">
        <f>[1]!S_Info_Name(W2983)</f>
        <v>太极集团</v>
      </c>
      <c r="Y2983" s="276" t="str">
        <f ca="1">IF($Y$3="申万一级行业",[1]!s_info_industry_sw_2021(W2983,公司分析!D$5,1),IF($Y$3="申万二级行业",[1]!s_info_industry_sw_2021(W2983,公司分析!D$5,2),IF($Y$3="申万三级行业",[1]!s_info_industry_sw_2021(W2983,公司分析!D$5,3),IF($Y$3="wind一级行业",[1]!s_info_industry_gics(W2983,1),IF($Y$3="wind二级行业",[1]!s_info_industry_gics(W2983,2),IF($Y$3="wind三级行业",[1]!s_info_industry_gics(W2983,3),IF($Y$3="wind四级行业",[1]!s_info_industry_gics(W2983,4),IF($Y$3="证监会门类行业",[1]!s_info_industry_csrc12_n(W2983,公司分析!D$5,1),""))))))))</f>
        <v>中药Ⅱ</v>
      </c>
      <c r="Z2983" s="302" t="str">
        <f ca="1">IF(Y2983=行业比较!$E$6,ROW(),"")</f>
        <v/>
      </c>
    </row>
    <row r="2984" spans="22:26">
      <c r="V2984" s="260">
        <f t="shared" ca="1" si="54"/>
        <v>0</v>
      </c>
      <c r="W2984" s="348" t="str">
        <f>IF(板块成分!B2986="","",板块成分!B2986)</f>
        <v>600130.SH</v>
      </c>
      <c r="X2984" s="276" t="str">
        <f>[1]!S_Info_Name(W2984)</f>
        <v>*ST波导</v>
      </c>
      <c r="Y2984" s="276" t="str">
        <f ca="1">IF($Y$3="申万一级行业",[1]!s_info_industry_sw_2021(W2984,公司分析!D$5,1),IF($Y$3="申万二级行业",[1]!s_info_industry_sw_2021(W2984,公司分析!D$5,2),IF($Y$3="申万三级行业",[1]!s_info_industry_sw_2021(W2984,公司分析!D$5,3),IF($Y$3="wind一级行业",[1]!s_info_industry_gics(W2984,1),IF($Y$3="wind二级行业",[1]!s_info_industry_gics(W2984,2),IF($Y$3="wind三级行业",[1]!s_info_industry_gics(W2984,3),IF($Y$3="wind四级行业",[1]!s_info_industry_gics(W2984,4),IF($Y$3="证监会门类行业",[1]!s_info_industry_csrc12_n(W2984,公司分析!D$5,1),""))))))))</f>
        <v>消费电子</v>
      </c>
      <c r="Z2984" s="302" t="str">
        <f ca="1">IF(Y2984=行业比较!$E$6,ROW(),"")</f>
        <v/>
      </c>
    </row>
    <row r="2985" spans="22:26">
      <c r="V2985" s="260">
        <f t="shared" ca="1" si="54"/>
        <v>0</v>
      </c>
      <c r="W2985" s="348" t="str">
        <f>IF(板块成分!B2987="","",板块成分!B2987)</f>
        <v>600131.SH</v>
      </c>
      <c r="X2985" s="276" t="str">
        <f>[1]!S_Info_Name(W2985)</f>
        <v>国网信通</v>
      </c>
      <c r="Y2985" s="276" t="str">
        <f ca="1">IF($Y$3="申万一级行业",[1]!s_info_industry_sw_2021(W2985,公司分析!D$5,1),IF($Y$3="申万二级行业",[1]!s_info_industry_sw_2021(W2985,公司分析!D$5,2),IF($Y$3="申万三级行业",[1]!s_info_industry_sw_2021(W2985,公司分析!D$5,3),IF($Y$3="wind一级行业",[1]!s_info_industry_gics(W2985,1),IF($Y$3="wind二级行业",[1]!s_info_industry_gics(W2985,2),IF($Y$3="wind三级行业",[1]!s_info_industry_gics(W2985,3),IF($Y$3="wind四级行业",[1]!s_info_industry_gics(W2985,4),IF($Y$3="证监会门类行业",[1]!s_info_industry_csrc12_n(W2985,公司分析!D$5,1),""))))))))</f>
        <v>IT服务Ⅱ</v>
      </c>
      <c r="Z2985" s="302" t="str">
        <f ca="1">IF(Y2985=行业比较!$E$6,ROW(),"")</f>
        <v/>
      </c>
    </row>
    <row r="2986" spans="22:26">
      <c r="V2986" s="260">
        <f t="shared" ca="1" si="54"/>
        <v>0</v>
      </c>
      <c r="W2986" s="348" t="str">
        <f>IF(板块成分!B2988="","",板块成分!B2988)</f>
        <v>600132.SH</v>
      </c>
      <c r="X2986" s="276" t="str">
        <f>[1]!S_Info_Name(W2986)</f>
        <v>重庆啤酒</v>
      </c>
      <c r="Y2986" s="276" t="str">
        <f ca="1">IF($Y$3="申万一级行业",[1]!s_info_industry_sw_2021(W2986,公司分析!D$5,1),IF($Y$3="申万二级行业",[1]!s_info_industry_sw_2021(W2986,公司分析!D$5,2),IF($Y$3="申万三级行业",[1]!s_info_industry_sw_2021(W2986,公司分析!D$5,3),IF($Y$3="wind一级行业",[1]!s_info_industry_gics(W2986,1),IF($Y$3="wind二级行业",[1]!s_info_industry_gics(W2986,2),IF($Y$3="wind三级行业",[1]!s_info_industry_gics(W2986,3),IF($Y$3="wind四级行业",[1]!s_info_industry_gics(W2986,4),IF($Y$3="证监会门类行业",[1]!s_info_industry_csrc12_n(W2986,公司分析!D$5,1),""))))))))</f>
        <v>非白酒</v>
      </c>
      <c r="Z2986" s="302" t="str">
        <f ca="1">IF(Y2986=行业比较!$E$6,ROW(),"")</f>
        <v/>
      </c>
    </row>
    <row r="2987" spans="22:26">
      <c r="V2987" s="260">
        <f t="shared" ca="1" si="54"/>
        <v>0</v>
      </c>
      <c r="W2987" s="348" t="str">
        <f>IF(板块成分!B2989="","",板块成分!B2989)</f>
        <v>600133.SH</v>
      </c>
      <c r="X2987" s="276" t="str">
        <f>[1]!S_Info_Name(W2987)</f>
        <v>东湖高新</v>
      </c>
      <c r="Y2987" s="276" t="str">
        <f ca="1">IF($Y$3="申万一级行业",[1]!s_info_industry_sw_2021(W2987,公司分析!D$5,1),IF($Y$3="申万二级行业",[1]!s_info_industry_sw_2021(W2987,公司分析!D$5,2),IF($Y$3="申万三级行业",[1]!s_info_industry_sw_2021(W2987,公司分析!D$5,3),IF($Y$3="wind一级行业",[1]!s_info_industry_gics(W2987,1),IF($Y$3="wind二级行业",[1]!s_info_industry_gics(W2987,2),IF($Y$3="wind三级行业",[1]!s_info_industry_gics(W2987,3),IF($Y$3="wind四级行业",[1]!s_info_industry_gics(W2987,4),IF($Y$3="证监会门类行业",[1]!s_info_industry_csrc12_n(W2987,公司分析!D$5,1),""))))))))</f>
        <v>环境治理</v>
      </c>
      <c r="Z2987" s="302" t="str">
        <f ca="1">IF(Y2987=行业比较!$E$6,ROW(),"")</f>
        <v/>
      </c>
    </row>
    <row r="2988" spans="22:26">
      <c r="V2988" s="260">
        <f t="shared" ca="1" si="54"/>
        <v>0</v>
      </c>
      <c r="W2988" s="348" t="str">
        <f>IF(板块成分!B2990="","",板块成分!B2990)</f>
        <v>600135.SH</v>
      </c>
      <c r="X2988" s="276" t="str">
        <f>[1]!S_Info_Name(W2988)</f>
        <v>乐凯胶片</v>
      </c>
      <c r="Y2988" s="276" t="str">
        <f ca="1">IF($Y$3="申万一级行业",[1]!s_info_industry_sw_2021(W2988,公司分析!D$5,1),IF($Y$3="申万二级行业",[1]!s_info_industry_sw_2021(W2988,公司分析!D$5,2),IF($Y$3="申万三级行业",[1]!s_info_industry_sw_2021(W2988,公司分析!D$5,3),IF($Y$3="wind一级行业",[1]!s_info_industry_gics(W2988,1),IF($Y$3="wind二级行业",[1]!s_info_industry_gics(W2988,2),IF($Y$3="wind三级行业",[1]!s_info_industry_gics(W2988,3),IF($Y$3="wind四级行业",[1]!s_info_industry_gics(W2988,4),IF($Y$3="证监会门类行业",[1]!s_info_industry_csrc12_n(W2988,公司分析!D$5,1),""))))))))</f>
        <v>塑料</v>
      </c>
      <c r="Z2988" s="302" t="str">
        <f ca="1">IF(Y2988=行业比较!$E$6,ROW(),"")</f>
        <v/>
      </c>
    </row>
    <row r="2989" spans="22:26">
      <c r="V2989" s="260">
        <f t="shared" ca="1" si="54"/>
        <v>0</v>
      </c>
      <c r="W2989" s="348" t="str">
        <f>IF(板块成分!B2991="","",板块成分!B2991)</f>
        <v>600136.SH</v>
      </c>
      <c r="X2989" s="276" t="str">
        <f>[1]!S_Info_Name(W2989)</f>
        <v>ST明诚</v>
      </c>
      <c r="Y2989" s="276" t="str">
        <f ca="1">IF($Y$3="申万一级行业",[1]!s_info_industry_sw_2021(W2989,公司分析!D$5,1),IF($Y$3="申万二级行业",[1]!s_info_industry_sw_2021(W2989,公司分析!D$5,2),IF($Y$3="申万三级行业",[1]!s_info_industry_sw_2021(W2989,公司分析!D$5,3),IF($Y$3="wind一级行业",[1]!s_info_industry_gics(W2989,1),IF($Y$3="wind二级行业",[1]!s_info_industry_gics(W2989,2),IF($Y$3="wind三级行业",[1]!s_info_industry_gics(W2989,3),IF($Y$3="wind四级行业",[1]!s_info_industry_gics(W2989,4),IF($Y$3="证监会门类行业",[1]!s_info_industry_csrc12_n(W2989,公司分析!D$5,1),""))))))))</f>
        <v>房地产服务</v>
      </c>
      <c r="Z2989" s="302" t="str">
        <f ca="1">IF(Y2989=行业比较!$E$6,ROW(),"")</f>
        <v/>
      </c>
    </row>
    <row r="2990" spans="22:26">
      <c r="V2990" s="260">
        <f t="shared" ca="1" si="54"/>
        <v>0</v>
      </c>
      <c r="W2990" s="348" t="str">
        <f>IF(板块成分!B2992="","",板块成分!B2992)</f>
        <v>600137.SH</v>
      </c>
      <c r="X2990" s="276" t="str">
        <f>[1]!S_Info_Name(W2990)</f>
        <v>浪莎股份</v>
      </c>
      <c r="Y2990" s="276" t="str">
        <f ca="1">IF($Y$3="申万一级行业",[1]!s_info_industry_sw_2021(W2990,公司分析!D$5,1),IF($Y$3="申万二级行业",[1]!s_info_industry_sw_2021(W2990,公司分析!D$5,2),IF($Y$3="申万三级行业",[1]!s_info_industry_sw_2021(W2990,公司分析!D$5,3),IF($Y$3="wind一级行业",[1]!s_info_industry_gics(W2990,1),IF($Y$3="wind二级行业",[1]!s_info_industry_gics(W2990,2),IF($Y$3="wind三级行业",[1]!s_info_industry_gics(W2990,3),IF($Y$3="wind四级行业",[1]!s_info_industry_gics(W2990,4),IF($Y$3="证监会门类行业",[1]!s_info_industry_csrc12_n(W2990,公司分析!D$5,1),""))))))))</f>
        <v>服装家纺</v>
      </c>
      <c r="Z2990" s="302" t="str">
        <f ca="1">IF(Y2990=行业比较!$E$6,ROW(),"")</f>
        <v/>
      </c>
    </row>
    <row r="2991" spans="22:26">
      <c r="V2991" s="260">
        <f t="shared" ca="1" si="54"/>
        <v>0</v>
      </c>
      <c r="W2991" s="348" t="str">
        <f>IF(板块成分!B2993="","",板块成分!B2993)</f>
        <v>600138.SH</v>
      </c>
      <c r="X2991" s="276" t="str">
        <f>[1]!S_Info_Name(W2991)</f>
        <v>中青旅</v>
      </c>
      <c r="Y2991" s="276" t="str">
        <f ca="1">IF($Y$3="申万一级行业",[1]!s_info_industry_sw_2021(W2991,公司分析!D$5,1),IF($Y$3="申万二级行业",[1]!s_info_industry_sw_2021(W2991,公司分析!D$5,2),IF($Y$3="申万三级行业",[1]!s_info_industry_sw_2021(W2991,公司分析!D$5,3),IF($Y$3="wind一级行业",[1]!s_info_industry_gics(W2991,1),IF($Y$3="wind二级行业",[1]!s_info_industry_gics(W2991,2),IF($Y$3="wind三级行业",[1]!s_info_industry_gics(W2991,3),IF($Y$3="wind四级行业",[1]!s_info_industry_gics(W2991,4),IF($Y$3="证监会门类行业",[1]!s_info_industry_csrc12_n(W2991,公司分析!D$5,1),""))))))))</f>
        <v>旅游及景区</v>
      </c>
      <c r="Z2991" s="302" t="str">
        <f ca="1">IF(Y2991=行业比较!$E$6,ROW(),"")</f>
        <v/>
      </c>
    </row>
    <row r="2992" spans="22:26">
      <c r="V2992" s="260">
        <f t="shared" ca="1" si="54"/>
        <v>0</v>
      </c>
      <c r="W2992" s="348" t="str">
        <f>IF(板块成分!B2994="","",板块成分!B2994)</f>
        <v>600141.SH</v>
      </c>
      <c r="X2992" s="276" t="str">
        <f>[1]!S_Info_Name(W2992)</f>
        <v>兴发集团</v>
      </c>
      <c r="Y2992" s="276" t="str">
        <f ca="1">IF($Y$3="申万一级行业",[1]!s_info_industry_sw_2021(W2992,公司分析!D$5,1),IF($Y$3="申万二级行业",[1]!s_info_industry_sw_2021(W2992,公司分析!D$5,2),IF($Y$3="申万三级行业",[1]!s_info_industry_sw_2021(W2992,公司分析!D$5,3),IF($Y$3="wind一级行业",[1]!s_info_industry_gics(W2992,1),IF($Y$3="wind二级行业",[1]!s_info_industry_gics(W2992,2),IF($Y$3="wind三级行业",[1]!s_info_industry_gics(W2992,3),IF($Y$3="wind四级行业",[1]!s_info_industry_gics(W2992,4),IF($Y$3="证监会门类行业",[1]!s_info_industry_csrc12_n(W2992,公司分析!D$5,1),""))))))))</f>
        <v>农化制品</v>
      </c>
      <c r="Z2992" s="302" t="str">
        <f ca="1">IF(Y2992=行业比较!$E$6,ROW(),"")</f>
        <v/>
      </c>
    </row>
    <row r="2993" spans="22:26">
      <c r="V2993" s="260">
        <f t="shared" ca="1" si="54"/>
        <v>0</v>
      </c>
      <c r="W2993" s="348" t="str">
        <f>IF(板块成分!B2995="","",板块成分!B2995)</f>
        <v>600143.SH</v>
      </c>
      <c r="X2993" s="276" t="str">
        <f>[1]!S_Info_Name(W2993)</f>
        <v>金发科技</v>
      </c>
      <c r="Y2993" s="276" t="str">
        <f ca="1">IF($Y$3="申万一级行业",[1]!s_info_industry_sw_2021(W2993,公司分析!D$5,1),IF($Y$3="申万二级行业",[1]!s_info_industry_sw_2021(W2993,公司分析!D$5,2),IF($Y$3="申万三级行业",[1]!s_info_industry_sw_2021(W2993,公司分析!D$5,3),IF($Y$3="wind一级行业",[1]!s_info_industry_gics(W2993,1),IF($Y$3="wind二级行业",[1]!s_info_industry_gics(W2993,2),IF($Y$3="wind三级行业",[1]!s_info_industry_gics(W2993,3),IF($Y$3="wind四级行业",[1]!s_info_industry_gics(W2993,4),IF($Y$3="证监会门类行业",[1]!s_info_industry_csrc12_n(W2993,公司分析!D$5,1),""))))))))</f>
        <v>塑料</v>
      </c>
      <c r="Z2993" s="302" t="str">
        <f ca="1">IF(Y2993=行业比较!$E$6,ROW(),"")</f>
        <v/>
      </c>
    </row>
    <row r="2994" spans="22:26">
      <c r="V2994" s="260">
        <f t="shared" ca="1" si="54"/>
        <v>0</v>
      </c>
      <c r="W2994" s="348" t="str">
        <f>IF(板块成分!B2996="","",板块成分!B2996)</f>
        <v>600148.SH</v>
      </c>
      <c r="X2994" s="276" t="str">
        <f>[1]!S_Info_Name(W2994)</f>
        <v>长春一东</v>
      </c>
      <c r="Y2994" s="276" t="str">
        <f ca="1">IF($Y$3="申万一级行业",[1]!s_info_industry_sw_2021(W2994,公司分析!D$5,1),IF($Y$3="申万二级行业",[1]!s_info_industry_sw_2021(W2994,公司分析!D$5,2),IF($Y$3="申万三级行业",[1]!s_info_industry_sw_2021(W2994,公司分析!D$5,3),IF($Y$3="wind一级行业",[1]!s_info_industry_gics(W2994,1),IF($Y$3="wind二级行业",[1]!s_info_industry_gics(W2994,2),IF($Y$3="wind三级行业",[1]!s_info_industry_gics(W2994,3),IF($Y$3="wind四级行业",[1]!s_info_industry_gics(W2994,4),IF($Y$3="证监会门类行业",[1]!s_info_industry_csrc12_n(W2994,公司分析!D$5,1),""))))))))</f>
        <v>汽车零部件</v>
      </c>
      <c r="Z2994" s="302" t="str">
        <f ca="1">IF(Y2994=行业比较!$E$6,ROW(),"")</f>
        <v/>
      </c>
    </row>
    <row r="2995" spans="22:26">
      <c r="V2995" s="260">
        <f t="shared" ca="1" si="54"/>
        <v>0</v>
      </c>
      <c r="W2995" s="348" t="str">
        <f>IF(板块成分!B2997="","",板块成分!B2997)</f>
        <v>600149.SH</v>
      </c>
      <c r="X2995" s="276" t="str">
        <f>[1]!S_Info_Name(W2995)</f>
        <v>廊坊发展</v>
      </c>
      <c r="Y2995" s="276" t="str">
        <f ca="1">IF($Y$3="申万一级行业",[1]!s_info_industry_sw_2021(W2995,公司分析!D$5,1),IF($Y$3="申万二级行业",[1]!s_info_industry_sw_2021(W2995,公司分析!D$5,2),IF($Y$3="申万三级行业",[1]!s_info_industry_sw_2021(W2995,公司分析!D$5,3),IF($Y$3="wind一级行业",[1]!s_info_industry_gics(W2995,1),IF($Y$3="wind二级行业",[1]!s_info_industry_gics(W2995,2),IF($Y$3="wind三级行业",[1]!s_info_industry_gics(W2995,3),IF($Y$3="wind四级行业",[1]!s_info_industry_gics(W2995,4),IF($Y$3="证监会门类行业",[1]!s_info_industry_csrc12_n(W2995,公司分析!D$5,1),""))))))))</f>
        <v>电力</v>
      </c>
      <c r="Z2995" s="302" t="str">
        <f ca="1">IF(Y2995=行业比较!$E$6,ROW(),"")</f>
        <v/>
      </c>
    </row>
    <row r="2996" spans="22:26">
      <c r="V2996" s="260">
        <f t="shared" ca="1" si="54"/>
        <v>0</v>
      </c>
      <c r="W2996" s="348" t="str">
        <f>IF(板块成分!B2998="","",板块成分!B2998)</f>
        <v>600150.SH</v>
      </c>
      <c r="X2996" s="276" t="str">
        <f>[1]!S_Info_Name(W2996)</f>
        <v>中国船舶</v>
      </c>
      <c r="Y2996" s="276" t="str">
        <f ca="1">IF($Y$3="申万一级行业",[1]!s_info_industry_sw_2021(W2996,公司分析!D$5,1),IF($Y$3="申万二级行业",[1]!s_info_industry_sw_2021(W2996,公司分析!D$5,2),IF($Y$3="申万三级行业",[1]!s_info_industry_sw_2021(W2996,公司分析!D$5,3),IF($Y$3="wind一级行业",[1]!s_info_industry_gics(W2996,1),IF($Y$3="wind二级行业",[1]!s_info_industry_gics(W2996,2),IF($Y$3="wind三级行业",[1]!s_info_industry_gics(W2996,3),IF($Y$3="wind四级行业",[1]!s_info_industry_gics(W2996,4),IF($Y$3="证监会门类行业",[1]!s_info_industry_csrc12_n(W2996,公司分析!D$5,1),""))))))))</f>
        <v>航海装备Ⅱ</v>
      </c>
      <c r="Z2996" s="302" t="str">
        <f ca="1">IF(Y2996=行业比较!$E$6,ROW(),"")</f>
        <v/>
      </c>
    </row>
    <row r="2997" spans="22:26">
      <c r="V2997" s="260">
        <f t="shared" ca="1" si="54"/>
        <v>0</v>
      </c>
      <c r="W2997" s="348" t="str">
        <f>IF(板块成分!B2999="","",板块成分!B2999)</f>
        <v>600151.SH</v>
      </c>
      <c r="X2997" s="276" t="str">
        <f>[1]!S_Info_Name(W2997)</f>
        <v>航天机电</v>
      </c>
      <c r="Y2997" s="276" t="str">
        <f ca="1">IF($Y$3="申万一级行业",[1]!s_info_industry_sw_2021(W2997,公司分析!D$5,1),IF($Y$3="申万二级行业",[1]!s_info_industry_sw_2021(W2997,公司分析!D$5,2),IF($Y$3="申万三级行业",[1]!s_info_industry_sw_2021(W2997,公司分析!D$5,3),IF($Y$3="wind一级行业",[1]!s_info_industry_gics(W2997,1),IF($Y$3="wind二级行业",[1]!s_info_industry_gics(W2997,2),IF($Y$3="wind三级行业",[1]!s_info_industry_gics(W2997,3),IF($Y$3="wind四级行业",[1]!s_info_industry_gics(W2997,4),IF($Y$3="证监会门类行业",[1]!s_info_industry_csrc12_n(W2997,公司分析!D$5,1),""))))))))</f>
        <v>光伏设备</v>
      </c>
      <c r="Z2997" s="302" t="str">
        <f ca="1">IF(Y2997=行业比较!$E$6,ROW(),"")</f>
        <v/>
      </c>
    </row>
    <row r="2998" spans="22:26">
      <c r="V2998" s="260">
        <f t="shared" ca="1" si="54"/>
        <v>0</v>
      </c>
      <c r="W2998" s="348" t="str">
        <f>IF(板块成分!B3000="","",板块成分!B3000)</f>
        <v>600152.SH</v>
      </c>
      <c r="X2998" s="276" t="str">
        <f>[1]!S_Info_Name(W2998)</f>
        <v>维科技术</v>
      </c>
      <c r="Y2998" s="276" t="str">
        <f ca="1">IF($Y$3="申万一级行业",[1]!s_info_industry_sw_2021(W2998,公司分析!D$5,1),IF($Y$3="申万二级行业",[1]!s_info_industry_sw_2021(W2998,公司分析!D$5,2),IF($Y$3="申万三级行业",[1]!s_info_industry_sw_2021(W2998,公司分析!D$5,3),IF($Y$3="wind一级行业",[1]!s_info_industry_gics(W2998,1),IF($Y$3="wind二级行业",[1]!s_info_industry_gics(W2998,2),IF($Y$3="wind三级行业",[1]!s_info_industry_gics(W2998,3),IF($Y$3="wind四级行业",[1]!s_info_industry_gics(W2998,4),IF($Y$3="证监会门类行业",[1]!s_info_industry_csrc12_n(W2998,公司分析!D$5,1),""))))))))</f>
        <v>电池</v>
      </c>
      <c r="Z2998" s="302" t="str">
        <f ca="1">IF(Y2998=行业比较!$E$6,ROW(),"")</f>
        <v/>
      </c>
    </row>
    <row r="2999" spans="22:26">
      <c r="V2999" s="260">
        <f t="shared" ca="1" si="54"/>
        <v>0</v>
      </c>
      <c r="W2999" s="348" t="str">
        <f>IF(板块成分!B3001="","",板块成分!B3001)</f>
        <v>600153.SH</v>
      </c>
      <c r="X2999" s="276" t="str">
        <f>[1]!S_Info_Name(W2999)</f>
        <v>建发股份</v>
      </c>
      <c r="Y2999" s="276" t="str">
        <f ca="1">IF($Y$3="申万一级行业",[1]!s_info_industry_sw_2021(W2999,公司分析!D$5,1),IF($Y$3="申万二级行业",[1]!s_info_industry_sw_2021(W2999,公司分析!D$5,2),IF($Y$3="申万三级行业",[1]!s_info_industry_sw_2021(W2999,公司分析!D$5,3),IF($Y$3="wind一级行业",[1]!s_info_industry_gics(W2999,1),IF($Y$3="wind二级行业",[1]!s_info_industry_gics(W2999,2),IF($Y$3="wind三级行业",[1]!s_info_industry_gics(W2999,3),IF($Y$3="wind四级行业",[1]!s_info_industry_gics(W2999,4),IF($Y$3="证监会门类行业",[1]!s_info_industry_csrc12_n(W2999,公司分析!D$5,1),""))))))))</f>
        <v>物流</v>
      </c>
      <c r="Z2999" s="302" t="str">
        <f ca="1">IF(Y2999=行业比较!$E$6,ROW(),"")</f>
        <v/>
      </c>
    </row>
    <row r="3000" spans="22:26">
      <c r="V3000" s="260">
        <f t="shared" ca="1" si="54"/>
        <v>0</v>
      </c>
      <c r="W3000" s="348" t="str">
        <f>IF(板块成分!B3002="","",板块成分!B3002)</f>
        <v>600155.SH</v>
      </c>
      <c r="X3000" s="276" t="str">
        <f>[1]!S_Info_Name(W3000)</f>
        <v>华创云信</v>
      </c>
      <c r="Y3000" s="276" t="str">
        <f ca="1">IF($Y$3="申万一级行业",[1]!s_info_industry_sw_2021(W3000,公司分析!D$5,1),IF($Y$3="申万二级行业",[1]!s_info_industry_sw_2021(W3000,公司分析!D$5,2),IF($Y$3="申万三级行业",[1]!s_info_industry_sw_2021(W3000,公司分析!D$5,3),IF($Y$3="wind一级行业",[1]!s_info_industry_gics(W3000,1),IF($Y$3="wind二级行业",[1]!s_info_industry_gics(W3000,2),IF($Y$3="wind三级行业",[1]!s_info_industry_gics(W3000,3),IF($Y$3="wind四级行业",[1]!s_info_industry_gics(W3000,4),IF($Y$3="证监会门类行业",[1]!s_info_industry_csrc12_n(W3000,公司分析!D$5,1),""))))))))</f>
        <v>证券Ⅱ</v>
      </c>
      <c r="Z3000" s="302" t="str">
        <f ca="1">IF(Y3000=行业比较!$E$6,ROW(),"")</f>
        <v/>
      </c>
    </row>
    <row r="3001" spans="22:26">
      <c r="V3001" s="260">
        <f t="shared" ca="1" si="54"/>
        <v>0</v>
      </c>
      <c r="W3001" s="348" t="str">
        <f>IF(板块成分!B3003="","",板块成分!B3003)</f>
        <v>600156.SH</v>
      </c>
      <c r="X3001" s="276" t="str">
        <f>[1]!S_Info_Name(W3001)</f>
        <v>华升股份</v>
      </c>
      <c r="Y3001" s="276" t="str">
        <f ca="1">IF($Y$3="申万一级行业",[1]!s_info_industry_sw_2021(W3001,公司分析!D$5,1),IF($Y$3="申万二级行业",[1]!s_info_industry_sw_2021(W3001,公司分析!D$5,2),IF($Y$3="申万三级行业",[1]!s_info_industry_sw_2021(W3001,公司分析!D$5,3),IF($Y$3="wind一级行业",[1]!s_info_industry_gics(W3001,1),IF($Y$3="wind二级行业",[1]!s_info_industry_gics(W3001,2),IF($Y$3="wind三级行业",[1]!s_info_industry_gics(W3001,3),IF($Y$3="wind四级行业",[1]!s_info_industry_gics(W3001,4),IF($Y$3="证监会门类行业",[1]!s_info_industry_csrc12_n(W3001,公司分析!D$5,1),""))))))))</f>
        <v>纺织制造</v>
      </c>
      <c r="Z3001" s="302" t="str">
        <f ca="1">IF(Y3001=行业比较!$E$6,ROW(),"")</f>
        <v/>
      </c>
    </row>
    <row r="3002" spans="22:26">
      <c r="V3002" s="260">
        <f t="shared" ca="1" si="54"/>
        <v>0</v>
      </c>
      <c r="W3002" s="348" t="str">
        <f>IF(板块成分!B3004="","",板块成分!B3004)</f>
        <v>600157.SH</v>
      </c>
      <c r="X3002" s="276" t="str">
        <f>[1]!S_Info_Name(W3002)</f>
        <v>永泰能源</v>
      </c>
      <c r="Y3002" s="276" t="str">
        <f ca="1">IF($Y$3="申万一级行业",[1]!s_info_industry_sw_2021(W3002,公司分析!D$5,1),IF($Y$3="申万二级行业",[1]!s_info_industry_sw_2021(W3002,公司分析!D$5,2),IF($Y$3="申万三级行业",[1]!s_info_industry_sw_2021(W3002,公司分析!D$5,3),IF($Y$3="wind一级行业",[1]!s_info_industry_gics(W3002,1),IF($Y$3="wind二级行业",[1]!s_info_industry_gics(W3002,2),IF($Y$3="wind三级行业",[1]!s_info_industry_gics(W3002,3),IF($Y$3="wind四级行业",[1]!s_info_industry_gics(W3002,4),IF($Y$3="证监会门类行业",[1]!s_info_industry_csrc12_n(W3002,公司分析!D$5,1),""))))))))</f>
        <v>煤炭开采</v>
      </c>
      <c r="Z3002" s="302" t="str">
        <f ca="1">IF(Y3002=行业比较!$E$6,ROW(),"")</f>
        <v/>
      </c>
    </row>
    <row r="3003" spans="22:26">
      <c r="V3003" s="260">
        <f t="shared" ca="1" si="54"/>
        <v>0</v>
      </c>
      <c r="W3003" s="348" t="str">
        <f>IF(板块成分!B3005="","",板块成分!B3005)</f>
        <v>600158.SH</v>
      </c>
      <c r="X3003" s="276" t="str">
        <f>[1]!S_Info_Name(W3003)</f>
        <v>中体产业</v>
      </c>
      <c r="Y3003" s="276" t="str">
        <f ca="1">IF($Y$3="申万一级行业",[1]!s_info_industry_sw_2021(W3003,公司分析!D$5,1),IF($Y$3="申万二级行业",[1]!s_info_industry_sw_2021(W3003,公司分析!D$5,2),IF($Y$3="申万三级行业",[1]!s_info_industry_sw_2021(W3003,公司分析!D$5,3),IF($Y$3="wind一级行业",[1]!s_info_industry_gics(W3003,1),IF($Y$3="wind二级行业",[1]!s_info_industry_gics(W3003,2),IF($Y$3="wind三级行业",[1]!s_info_industry_gics(W3003,3),IF($Y$3="wind四级行业",[1]!s_info_industry_gics(W3003,4),IF($Y$3="证监会门类行业",[1]!s_info_industry_csrc12_n(W3003,公司分析!D$5,1),""))))))))</f>
        <v>体育Ⅱ</v>
      </c>
      <c r="Z3003" s="302" t="str">
        <f ca="1">IF(Y3003=行业比较!$E$6,ROW(),"")</f>
        <v/>
      </c>
    </row>
    <row r="3004" spans="22:26">
      <c r="V3004" s="260">
        <f t="shared" ca="1" si="54"/>
        <v>0</v>
      </c>
      <c r="W3004" s="348" t="str">
        <f>IF(板块成分!B3006="","",板块成分!B3006)</f>
        <v>600159.SH</v>
      </c>
      <c r="X3004" s="276" t="str">
        <f>[1]!S_Info_Name(W3004)</f>
        <v>大龙地产</v>
      </c>
      <c r="Y3004" s="276" t="str">
        <f ca="1">IF($Y$3="申万一级行业",[1]!s_info_industry_sw_2021(W3004,公司分析!D$5,1),IF($Y$3="申万二级行业",[1]!s_info_industry_sw_2021(W3004,公司分析!D$5,2),IF($Y$3="申万三级行业",[1]!s_info_industry_sw_2021(W3004,公司分析!D$5,3),IF($Y$3="wind一级行业",[1]!s_info_industry_gics(W3004,1),IF($Y$3="wind二级行业",[1]!s_info_industry_gics(W3004,2),IF($Y$3="wind三级行业",[1]!s_info_industry_gics(W3004,3),IF($Y$3="wind四级行业",[1]!s_info_industry_gics(W3004,4),IF($Y$3="证监会门类行业",[1]!s_info_industry_csrc12_n(W3004,公司分析!D$5,1),""))))))))</f>
        <v>房地产开发</v>
      </c>
      <c r="Z3004" s="302" t="str">
        <f ca="1">IF(Y3004=行业比较!$E$6,ROW(),"")</f>
        <v/>
      </c>
    </row>
    <row r="3005" spans="22:26">
      <c r="V3005" s="260">
        <f t="shared" ca="1" si="54"/>
        <v>0</v>
      </c>
      <c r="W3005" s="348" t="str">
        <f>IF(板块成分!B3007="","",板块成分!B3007)</f>
        <v>600160.SH</v>
      </c>
      <c r="X3005" s="276" t="str">
        <f>[1]!S_Info_Name(W3005)</f>
        <v>巨化股份</v>
      </c>
      <c r="Y3005" s="276" t="str">
        <f ca="1">IF($Y$3="申万一级行业",[1]!s_info_industry_sw_2021(W3005,公司分析!D$5,1),IF($Y$3="申万二级行业",[1]!s_info_industry_sw_2021(W3005,公司分析!D$5,2),IF($Y$3="申万三级行业",[1]!s_info_industry_sw_2021(W3005,公司分析!D$5,3),IF($Y$3="wind一级行业",[1]!s_info_industry_gics(W3005,1),IF($Y$3="wind二级行业",[1]!s_info_industry_gics(W3005,2),IF($Y$3="wind三级行业",[1]!s_info_industry_gics(W3005,3),IF($Y$3="wind四级行业",[1]!s_info_industry_gics(W3005,4),IF($Y$3="证监会门类行业",[1]!s_info_industry_csrc12_n(W3005,公司分析!D$5,1),""))))))))</f>
        <v>化学制品</v>
      </c>
      <c r="Z3005" s="302" t="str">
        <f ca="1">IF(Y3005=行业比较!$E$6,ROW(),"")</f>
        <v/>
      </c>
    </row>
    <row r="3006" spans="22:26">
      <c r="V3006" s="260">
        <f t="shared" ca="1" si="54"/>
        <v>0</v>
      </c>
      <c r="W3006" s="348" t="str">
        <f>IF(板块成分!B3008="","",板块成分!B3008)</f>
        <v>600161.SH</v>
      </c>
      <c r="X3006" s="276" t="str">
        <f>[1]!S_Info_Name(W3006)</f>
        <v>天坛生物</v>
      </c>
      <c r="Y3006" s="276" t="str">
        <f ca="1">IF($Y$3="申万一级行业",[1]!s_info_industry_sw_2021(W3006,公司分析!D$5,1),IF($Y$3="申万二级行业",[1]!s_info_industry_sw_2021(W3006,公司分析!D$5,2),IF($Y$3="申万三级行业",[1]!s_info_industry_sw_2021(W3006,公司分析!D$5,3),IF($Y$3="wind一级行业",[1]!s_info_industry_gics(W3006,1),IF($Y$3="wind二级行业",[1]!s_info_industry_gics(W3006,2),IF($Y$3="wind三级行业",[1]!s_info_industry_gics(W3006,3),IF($Y$3="wind四级行业",[1]!s_info_industry_gics(W3006,4),IF($Y$3="证监会门类行业",[1]!s_info_industry_csrc12_n(W3006,公司分析!D$5,1),""))))))))</f>
        <v>生物制品</v>
      </c>
      <c r="Z3006" s="302" t="str">
        <f ca="1">IF(Y3006=行业比较!$E$6,ROW(),"")</f>
        <v/>
      </c>
    </row>
    <row r="3007" spans="22:26">
      <c r="V3007" s="260">
        <f t="shared" ca="1" si="54"/>
        <v>0</v>
      </c>
      <c r="W3007" s="348" t="str">
        <f>IF(板块成分!B3009="","",板块成分!B3009)</f>
        <v>600162.SH</v>
      </c>
      <c r="X3007" s="276" t="str">
        <f>[1]!S_Info_Name(W3007)</f>
        <v>香江控股</v>
      </c>
      <c r="Y3007" s="276" t="str">
        <f ca="1">IF($Y$3="申万一级行业",[1]!s_info_industry_sw_2021(W3007,公司分析!D$5,1),IF($Y$3="申万二级行业",[1]!s_info_industry_sw_2021(W3007,公司分析!D$5,2),IF($Y$3="申万三级行业",[1]!s_info_industry_sw_2021(W3007,公司分析!D$5,3),IF($Y$3="wind一级行业",[1]!s_info_industry_gics(W3007,1),IF($Y$3="wind二级行业",[1]!s_info_industry_gics(W3007,2),IF($Y$3="wind三级行业",[1]!s_info_industry_gics(W3007,3),IF($Y$3="wind四级行业",[1]!s_info_industry_gics(W3007,4),IF($Y$3="证监会门类行业",[1]!s_info_industry_csrc12_n(W3007,公司分析!D$5,1),""))))))))</f>
        <v>房地产开发</v>
      </c>
      <c r="Z3007" s="302" t="str">
        <f ca="1">IF(Y3007=行业比较!$E$6,ROW(),"")</f>
        <v/>
      </c>
    </row>
    <row r="3008" spans="22:26">
      <c r="V3008" s="260">
        <f t="shared" ca="1" si="54"/>
        <v>0</v>
      </c>
      <c r="W3008" s="348" t="str">
        <f>IF(板块成分!B3010="","",板块成分!B3010)</f>
        <v>600163.SH</v>
      </c>
      <c r="X3008" s="276" t="str">
        <f>[1]!S_Info_Name(W3008)</f>
        <v>中闽能源</v>
      </c>
      <c r="Y3008" s="276" t="str">
        <f ca="1">IF($Y$3="申万一级行业",[1]!s_info_industry_sw_2021(W3008,公司分析!D$5,1),IF($Y$3="申万二级行业",[1]!s_info_industry_sw_2021(W3008,公司分析!D$5,2),IF($Y$3="申万三级行业",[1]!s_info_industry_sw_2021(W3008,公司分析!D$5,3),IF($Y$3="wind一级行业",[1]!s_info_industry_gics(W3008,1),IF($Y$3="wind二级行业",[1]!s_info_industry_gics(W3008,2),IF($Y$3="wind三级行业",[1]!s_info_industry_gics(W3008,3),IF($Y$3="wind四级行业",[1]!s_info_industry_gics(W3008,4),IF($Y$3="证监会门类行业",[1]!s_info_industry_csrc12_n(W3008,公司分析!D$5,1),""))))))))</f>
        <v>电力</v>
      </c>
      <c r="Z3008" s="302" t="str">
        <f ca="1">IF(Y3008=行业比较!$E$6,ROW(),"")</f>
        <v/>
      </c>
    </row>
    <row r="3009" spans="22:26">
      <c r="V3009" s="260">
        <f t="shared" ca="1" si="54"/>
        <v>0</v>
      </c>
      <c r="W3009" s="348" t="str">
        <f>IF(板块成分!B3011="","",板块成分!B3011)</f>
        <v>600165.SH</v>
      </c>
      <c r="X3009" s="276" t="str">
        <f>[1]!S_Info_Name(W3009)</f>
        <v>ST宁科</v>
      </c>
      <c r="Y3009" s="276" t="str">
        <f ca="1">IF($Y$3="申万一级行业",[1]!s_info_industry_sw_2021(W3009,公司分析!D$5,1),IF($Y$3="申万二级行业",[1]!s_info_industry_sw_2021(W3009,公司分析!D$5,2),IF($Y$3="申万三级行业",[1]!s_info_industry_sw_2021(W3009,公司分析!D$5,3),IF($Y$3="wind一级行业",[1]!s_info_industry_gics(W3009,1),IF($Y$3="wind二级行业",[1]!s_info_industry_gics(W3009,2),IF($Y$3="wind三级行业",[1]!s_info_industry_gics(W3009,3),IF($Y$3="wind四级行业",[1]!s_info_industry_gics(W3009,4),IF($Y$3="证监会门类行业",[1]!s_info_industry_csrc12_n(W3009,公司分析!D$5,1),""))))))))</f>
        <v>化学制品</v>
      </c>
      <c r="Z3009" s="302" t="str">
        <f ca="1">IF(Y3009=行业比较!$E$6,ROW(),"")</f>
        <v/>
      </c>
    </row>
    <row r="3010" spans="22:26">
      <c r="V3010" s="260">
        <f t="shared" ca="1" si="54"/>
        <v>0</v>
      </c>
      <c r="W3010" s="348" t="str">
        <f>IF(板块成分!B3012="","",板块成分!B3012)</f>
        <v>600166.SH</v>
      </c>
      <c r="X3010" s="276" t="str">
        <f>[1]!S_Info_Name(W3010)</f>
        <v>福田汽车</v>
      </c>
      <c r="Y3010" s="276" t="str">
        <f ca="1">IF($Y$3="申万一级行业",[1]!s_info_industry_sw_2021(W3010,公司分析!D$5,1),IF($Y$3="申万二级行业",[1]!s_info_industry_sw_2021(W3010,公司分析!D$5,2),IF($Y$3="申万三级行业",[1]!s_info_industry_sw_2021(W3010,公司分析!D$5,3),IF($Y$3="wind一级行业",[1]!s_info_industry_gics(W3010,1),IF($Y$3="wind二级行业",[1]!s_info_industry_gics(W3010,2),IF($Y$3="wind三级行业",[1]!s_info_industry_gics(W3010,3),IF($Y$3="wind四级行业",[1]!s_info_industry_gics(W3010,4),IF($Y$3="证监会门类行业",[1]!s_info_industry_csrc12_n(W3010,公司分析!D$5,1),""))))))))</f>
        <v>商用车</v>
      </c>
      <c r="Z3010" s="302" t="str">
        <f ca="1">IF(Y3010=行业比较!$E$6,ROW(),"")</f>
        <v/>
      </c>
    </row>
    <row r="3011" spans="22:26">
      <c r="V3011" s="260">
        <f t="shared" ca="1" si="54"/>
        <v>0</v>
      </c>
      <c r="W3011" s="348" t="str">
        <f>IF(板块成分!B3013="","",板块成分!B3013)</f>
        <v>600167.SH</v>
      </c>
      <c r="X3011" s="276" t="str">
        <f>[1]!S_Info_Name(W3011)</f>
        <v>联美控股</v>
      </c>
      <c r="Y3011" s="276" t="str">
        <f ca="1">IF($Y$3="申万一级行业",[1]!s_info_industry_sw_2021(W3011,公司分析!D$5,1),IF($Y$3="申万二级行业",[1]!s_info_industry_sw_2021(W3011,公司分析!D$5,2),IF($Y$3="申万三级行业",[1]!s_info_industry_sw_2021(W3011,公司分析!D$5,3),IF($Y$3="wind一级行业",[1]!s_info_industry_gics(W3011,1),IF($Y$3="wind二级行业",[1]!s_info_industry_gics(W3011,2),IF($Y$3="wind三级行业",[1]!s_info_industry_gics(W3011,3),IF($Y$3="wind四级行业",[1]!s_info_industry_gics(W3011,4),IF($Y$3="证监会门类行业",[1]!s_info_industry_csrc12_n(W3011,公司分析!D$5,1),""))))))))</f>
        <v>电力</v>
      </c>
      <c r="Z3011" s="302" t="str">
        <f ca="1">IF(Y3011=行业比较!$E$6,ROW(),"")</f>
        <v/>
      </c>
    </row>
    <row r="3012" spans="22:26">
      <c r="V3012" s="260">
        <f t="shared" ca="1" si="54"/>
        <v>0</v>
      </c>
      <c r="W3012" s="348" t="str">
        <f>IF(板块成分!B3014="","",板块成分!B3014)</f>
        <v>600168.SH</v>
      </c>
      <c r="X3012" s="276" t="str">
        <f>[1]!S_Info_Name(W3012)</f>
        <v>武汉控股</v>
      </c>
      <c r="Y3012" s="276" t="str">
        <f ca="1">IF($Y$3="申万一级行业",[1]!s_info_industry_sw_2021(W3012,公司分析!D$5,1),IF($Y$3="申万二级行业",[1]!s_info_industry_sw_2021(W3012,公司分析!D$5,2),IF($Y$3="申万三级行业",[1]!s_info_industry_sw_2021(W3012,公司分析!D$5,3),IF($Y$3="wind一级行业",[1]!s_info_industry_gics(W3012,1),IF($Y$3="wind二级行业",[1]!s_info_industry_gics(W3012,2),IF($Y$3="wind三级行业",[1]!s_info_industry_gics(W3012,3),IF($Y$3="wind四级行业",[1]!s_info_industry_gics(W3012,4),IF($Y$3="证监会门类行业",[1]!s_info_industry_csrc12_n(W3012,公司分析!D$5,1),""))))))))</f>
        <v>环境治理</v>
      </c>
      <c r="Z3012" s="302" t="str">
        <f ca="1">IF(Y3012=行业比较!$E$6,ROW(),"")</f>
        <v/>
      </c>
    </row>
    <row r="3013" spans="22:26">
      <c r="V3013" s="260">
        <f t="shared" ref="V3013:V3076" ca="1" si="55">IF(Z3013="",0,RANK(Z3013,Z:Z,1))</f>
        <v>0</v>
      </c>
      <c r="W3013" s="348" t="str">
        <f>IF(板块成分!B3015="","",板块成分!B3015)</f>
        <v>600169.SH</v>
      </c>
      <c r="X3013" s="276" t="str">
        <f>[1]!S_Info_Name(W3013)</f>
        <v>ST太重</v>
      </c>
      <c r="Y3013" s="276" t="str">
        <f ca="1">IF($Y$3="申万一级行业",[1]!s_info_industry_sw_2021(W3013,公司分析!D$5,1),IF($Y$3="申万二级行业",[1]!s_info_industry_sw_2021(W3013,公司分析!D$5,2),IF($Y$3="申万三级行业",[1]!s_info_industry_sw_2021(W3013,公司分析!D$5,3),IF($Y$3="wind一级行业",[1]!s_info_industry_gics(W3013,1),IF($Y$3="wind二级行业",[1]!s_info_industry_gics(W3013,2),IF($Y$3="wind三级行业",[1]!s_info_industry_gics(W3013,3),IF($Y$3="wind四级行业",[1]!s_info_industry_gics(W3013,4),IF($Y$3="证监会门类行业",[1]!s_info_industry_csrc12_n(W3013,公司分析!D$5,1),""))))))))</f>
        <v>专用设备</v>
      </c>
      <c r="Z3013" s="302" t="str">
        <f ca="1">IF(Y3013=行业比较!$E$6,ROW(),"")</f>
        <v/>
      </c>
    </row>
    <row r="3014" spans="22:26">
      <c r="V3014" s="260">
        <f t="shared" ca="1" si="55"/>
        <v>0</v>
      </c>
      <c r="W3014" s="348" t="str">
        <f>IF(板块成分!B3016="","",板块成分!B3016)</f>
        <v>600170.SH</v>
      </c>
      <c r="X3014" s="276" t="str">
        <f>[1]!S_Info_Name(W3014)</f>
        <v>上海建工</v>
      </c>
      <c r="Y3014" s="276" t="str">
        <f ca="1">IF($Y$3="申万一级行业",[1]!s_info_industry_sw_2021(W3014,公司分析!D$5,1),IF($Y$3="申万二级行业",[1]!s_info_industry_sw_2021(W3014,公司分析!D$5,2),IF($Y$3="申万三级行业",[1]!s_info_industry_sw_2021(W3014,公司分析!D$5,3),IF($Y$3="wind一级行业",[1]!s_info_industry_gics(W3014,1),IF($Y$3="wind二级行业",[1]!s_info_industry_gics(W3014,2),IF($Y$3="wind三级行业",[1]!s_info_industry_gics(W3014,3),IF($Y$3="wind四级行业",[1]!s_info_industry_gics(W3014,4),IF($Y$3="证监会门类行业",[1]!s_info_industry_csrc12_n(W3014,公司分析!D$5,1),""))))))))</f>
        <v>房屋建设Ⅱ</v>
      </c>
      <c r="Z3014" s="302" t="str">
        <f ca="1">IF(Y3014=行业比较!$E$6,ROW(),"")</f>
        <v/>
      </c>
    </row>
    <row r="3015" spans="22:26">
      <c r="V3015" s="260">
        <f t="shared" ca="1" si="55"/>
        <v>0</v>
      </c>
      <c r="W3015" s="348" t="str">
        <f>IF(板块成分!B3017="","",板块成分!B3017)</f>
        <v>600171.SH</v>
      </c>
      <c r="X3015" s="276" t="str">
        <f>[1]!S_Info_Name(W3015)</f>
        <v>上海贝岭</v>
      </c>
      <c r="Y3015" s="276" t="str">
        <f ca="1">IF($Y$3="申万一级行业",[1]!s_info_industry_sw_2021(W3015,公司分析!D$5,1),IF($Y$3="申万二级行业",[1]!s_info_industry_sw_2021(W3015,公司分析!D$5,2),IF($Y$3="申万三级行业",[1]!s_info_industry_sw_2021(W3015,公司分析!D$5,3),IF($Y$3="wind一级行业",[1]!s_info_industry_gics(W3015,1),IF($Y$3="wind二级行业",[1]!s_info_industry_gics(W3015,2),IF($Y$3="wind三级行业",[1]!s_info_industry_gics(W3015,3),IF($Y$3="wind四级行业",[1]!s_info_industry_gics(W3015,4),IF($Y$3="证监会门类行业",[1]!s_info_industry_csrc12_n(W3015,公司分析!D$5,1),""))))))))</f>
        <v>半导体</v>
      </c>
      <c r="Z3015" s="302" t="str">
        <f ca="1">IF(Y3015=行业比较!$E$6,ROW(),"")</f>
        <v/>
      </c>
    </row>
    <row r="3016" spans="22:26">
      <c r="V3016" s="260">
        <f t="shared" ca="1" si="55"/>
        <v>0</v>
      </c>
      <c r="W3016" s="348" t="str">
        <f>IF(板块成分!B3018="","",板块成分!B3018)</f>
        <v>600172.SH</v>
      </c>
      <c r="X3016" s="276" t="str">
        <f>[1]!S_Info_Name(W3016)</f>
        <v>黄河旋风</v>
      </c>
      <c r="Y3016" s="276" t="str">
        <f ca="1">IF($Y$3="申万一级行业",[1]!s_info_industry_sw_2021(W3016,公司分析!D$5,1),IF($Y$3="申万二级行业",[1]!s_info_industry_sw_2021(W3016,公司分析!D$5,2),IF($Y$3="申万三级行业",[1]!s_info_industry_sw_2021(W3016,公司分析!D$5,3),IF($Y$3="wind一级行业",[1]!s_info_industry_gics(W3016,1),IF($Y$3="wind二级行业",[1]!s_info_industry_gics(W3016,2),IF($Y$3="wind三级行业",[1]!s_info_industry_gics(W3016,3),IF($Y$3="wind四级行业",[1]!s_info_industry_gics(W3016,4),IF($Y$3="证监会门类行业",[1]!s_info_industry_csrc12_n(W3016,公司分析!D$5,1),""))))))))</f>
        <v>通用设备</v>
      </c>
      <c r="Z3016" s="302" t="str">
        <f ca="1">IF(Y3016=行业比较!$E$6,ROW(),"")</f>
        <v/>
      </c>
    </row>
    <row r="3017" spans="22:26">
      <c r="V3017" s="260">
        <f t="shared" ca="1" si="55"/>
        <v>0</v>
      </c>
      <c r="W3017" s="348" t="str">
        <f>IF(板块成分!B3019="","",板块成分!B3019)</f>
        <v>600173.SH</v>
      </c>
      <c r="X3017" s="276" t="str">
        <f>[1]!S_Info_Name(W3017)</f>
        <v>卧龙新能</v>
      </c>
      <c r="Y3017" s="276" t="str">
        <f ca="1">IF($Y$3="申万一级行业",[1]!s_info_industry_sw_2021(W3017,公司分析!D$5,1),IF($Y$3="申万二级行业",[1]!s_info_industry_sw_2021(W3017,公司分析!D$5,2),IF($Y$3="申万三级行业",[1]!s_info_industry_sw_2021(W3017,公司分析!D$5,3),IF($Y$3="wind一级行业",[1]!s_info_industry_gics(W3017,1),IF($Y$3="wind二级行业",[1]!s_info_industry_gics(W3017,2),IF($Y$3="wind三级行业",[1]!s_info_industry_gics(W3017,3),IF($Y$3="wind四级行业",[1]!s_info_industry_gics(W3017,4),IF($Y$3="证监会门类行业",[1]!s_info_industry_csrc12_n(W3017,公司分析!D$5,1),""))))))))</f>
        <v>房地产开发</v>
      </c>
      <c r="Z3017" s="302" t="str">
        <f ca="1">IF(Y3017=行业比较!$E$6,ROW(),"")</f>
        <v/>
      </c>
    </row>
    <row r="3018" spans="22:26">
      <c r="V3018" s="260">
        <f t="shared" ca="1" si="55"/>
        <v>0</v>
      </c>
      <c r="W3018" s="348" t="str">
        <f>IF(板块成分!B3020="","",板块成分!B3020)</f>
        <v>600176.SH</v>
      </c>
      <c r="X3018" s="276" t="str">
        <f>[1]!S_Info_Name(W3018)</f>
        <v>中国巨石</v>
      </c>
      <c r="Y3018" s="276" t="str">
        <f ca="1">IF($Y$3="申万一级行业",[1]!s_info_industry_sw_2021(W3018,公司分析!D$5,1),IF($Y$3="申万二级行业",[1]!s_info_industry_sw_2021(W3018,公司分析!D$5,2),IF($Y$3="申万三级行业",[1]!s_info_industry_sw_2021(W3018,公司分析!D$5,3),IF($Y$3="wind一级行业",[1]!s_info_industry_gics(W3018,1),IF($Y$3="wind二级行业",[1]!s_info_industry_gics(W3018,2),IF($Y$3="wind三级行业",[1]!s_info_industry_gics(W3018,3),IF($Y$3="wind四级行业",[1]!s_info_industry_gics(W3018,4),IF($Y$3="证监会门类行业",[1]!s_info_industry_csrc12_n(W3018,公司分析!D$5,1),""))))))))</f>
        <v>玻璃玻纤</v>
      </c>
      <c r="Z3018" s="302" t="str">
        <f ca="1">IF(Y3018=行业比较!$E$6,ROW(),"")</f>
        <v/>
      </c>
    </row>
    <row r="3019" spans="22:26">
      <c r="V3019" s="260">
        <f t="shared" ca="1" si="55"/>
        <v>0</v>
      </c>
      <c r="W3019" s="348" t="str">
        <f>IF(板块成分!B3021="","",板块成分!B3021)</f>
        <v>600177.SH</v>
      </c>
      <c r="X3019" s="276" t="str">
        <f>[1]!S_Info_Name(W3019)</f>
        <v>雅戈尔</v>
      </c>
      <c r="Y3019" s="276" t="str">
        <f ca="1">IF($Y$3="申万一级行业",[1]!s_info_industry_sw_2021(W3019,公司分析!D$5,1),IF($Y$3="申万二级行业",[1]!s_info_industry_sw_2021(W3019,公司分析!D$5,2),IF($Y$3="申万三级行业",[1]!s_info_industry_sw_2021(W3019,公司分析!D$5,3),IF($Y$3="wind一级行业",[1]!s_info_industry_gics(W3019,1),IF($Y$3="wind二级行业",[1]!s_info_industry_gics(W3019,2),IF($Y$3="wind三级行业",[1]!s_info_industry_gics(W3019,3),IF($Y$3="wind四级行业",[1]!s_info_industry_gics(W3019,4),IF($Y$3="证监会门类行业",[1]!s_info_industry_csrc12_n(W3019,公司分析!D$5,1),""))))))))</f>
        <v>服装家纺</v>
      </c>
      <c r="Z3019" s="302" t="str">
        <f ca="1">IF(Y3019=行业比较!$E$6,ROW(),"")</f>
        <v/>
      </c>
    </row>
    <row r="3020" spans="22:26">
      <c r="V3020" s="260">
        <f t="shared" ca="1" si="55"/>
        <v>0</v>
      </c>
      <c r="W3020" s="348" t="str">
        <f>IF(板块成分!B3022="","",板块成分!B3022)</f>
        <v>600178.SH</v>
      </c>
      <c r="X3020" s="276" t="str">
        <f>[1]!S_Info_Name(W3020)</f>
        <v>东安动力</v>
      </c>
      <c r="Y3020" s="276" t="str">
        <f ca="1">IF($Y$3="申万一级行业",[1]!s_info_industry_sw_2021(W3020,公司分析!D$5,1),IF($Y$3="申万二级行业",[1]!s_info_industry_sw_2021(W3020,公司分析!D$5,2),IF($Y$3="申万三级行业",[1]!s_info_industry_sw_2021(W3020,公司分析!D$5,3),IF($Y$3="wind一级行业",[1]!s_info_industry_gics(W3020,1),IF($Y$3="wind二级行业",[1]!s_info_industry_gics(W3020,2),IF($Y$3="wind三级行业",[1]!s_info_industry_gics(W3020,3),IF($Y$3="wind四级行业",[1]!s_info_industry_gics(W3020,4),IF($Y$3="证监会门类行业",[1]!s_info_industry_csrc12_n(W3020,公司分析!D$5,1),""))))))))</f>
        <v>汽车零部件</v>
      </c>
      <c r="Z3020" s="302" t="str">
        <f ca="1">IF(Y3020=行业比较!$E$6,ROW(),"")</f>
        <v/>
      </c>
    </row>
    <row r="3021" spans="22:26">
      <c r="V3021" s="260">
        <f t="shared" ca="1" si="55"/>
        <v>0</v>
      </c>
      <c r="W3021" s="348" t="str">
        <f>IF(板块成分!B3023="","",板块成分!B3023)</f>
        <v>600179.SH</v>
      </c>
      <c r="X3021" s="276" t="str">
        <f>[1]!S_Info_Name(W3021)</f>
        <v>安通控股</v>
      </c>
      <c r="Y3021" s="276" t="str">
        <f ca="1">IF($Y$3="申万一级行业",[1]!s_info_industry_sw_2021(W3021,公司分析!D$5,1),IF($Y$3="申万二级行业",[1]!s_info_industry_sw_2021(W3021,公司分析!D$5,2),IF($Y$3="申万三级行业",[1]!s_info_industry_sw_2021(W3021,公司分析!D$5,3),IF($Y$3="wind一级行业",[1]!s_info_industry_gics(W3021,1),IF($Y$3="wind二级行业",[1]!s_info_industry_gics(W3021,2),IF($Y$3="wind三级行业",[1]!s_info_industry_gics(W3021,3),IF($Y$3="wind四级行业",[1]!s_info_industry_gics(W3021,4),IF($Y$3="证监会门类行业",[1]!s_info_industry_csrc12_n(W3021,公司分析!D$5,1),""))))))))</f>
        <v>航运港口</v>
      </c>
      <c r="Z3021" s="302" t="str">
        <f ca="1">IF(Y3021=行业比较!$E$6,ROW(),"")</f>
        <v/>
      </c>
    </row>
    <row r="3022" spans="22:26">
      <c r="V3022" s="260">
        <f t="shared" ca="1" si="55"/>
        <v>0</v>
      </c>
      <c r="W3022" s="348" t="str">
        <f>IF(板块成分!B3024="","",板块成分!B3024)</f>
        <v>600180.SH</v>
      </c>
      <c r="X3022" s="276" t="str">
        <f>[1]!S_Info_Name(W3022)</f>
        <v>瑞茂通</v>
      </c>
      <c r="Y3022" s="276" t="str">
        <f ca="1">IF($Y$3="申万一级行业",[1]!s_info_industry_sw_2021(W3022,公司分析!D$5,1),IF($Y$3="申万二级行业",[1]!s_info_industry_sw_2021(W3022,公司分析!D$5,2),IF($Y$3="申万三级行业",[1]!s_info_industry_sw_2021(W3022,公司分析!D$5,3),IF($Y$3="wind一级行业",[1]!s_info_industry_gics(W3022,1),IF($Y$3="wind二级行业",[1]!s_info_industry_gics(W3022,2),IF($Y$3="wind三级行业",[1]!s_info_industry_gics(W3022,3),IF($Y$3="wind四级行业",[1]!s_info_industry_gics(W3022,4),IF($Y$3="证监会门类行业",[1]!s_info_industry_csrc12_n(W3022,公司分析!D$5,1),""))))))))</f>
        <v>物流</v>
      </c>
      <c r="Z3022" s="302" t="str">
        <f ca="1">IF(Y3022=行业比较!$E$6,ROW(),"")</f>
        <v/>
      </c>
    </row>
    <row r="3023" spans="22:26">
      <c r="V3023" s="260">
        <f t="shared" ca="1" si="55"/>
        <v>0</v>
      </c>
      <c r="W3023" s="348" t="str">
        <f>IF(板块成分!B3025="","",板块成分!B3025)</f>
        <v>600182.SH</v>
      </c>
      <c r="X3023" s="276" t="str">
        <f>[1]!S_Info_Name(W3023)</f>
        <v>S佳通</v>
      </c>
      <c r="Y3023" s="276" t="str">
        <f ca="1">IF($Y$3="申万一级行业",[1]!s_info_industry_sw_2021(W3023,公司分析!D$5,1),IF($Y$3="申万二级行业",[1]!s_info_industry_sw_2021(W3023,公司分析!D$5,2),IF($Y$3="申万三级行业",[1]!s_info_industry_sw_2021(W3023,公司分析!D$5,3),IF($Y$3="wind一级行业",[1]!s_info_industry_gics(W3023,1),IF($Y$3="wind二级行业",[1]!s_info_industry_gics(W3023,2),IF($Y$3="wind三级行业",[1]!s_info_industry_gics(W3023,3),IF($Y$3="wind四级行业",[1]!s_info_industry_gics(W3023,4),IF($Y$3="证监会门类行业",[1]!s_info_industry_csrc12_n(W3023,公司分析!D$5,1),""))))))))</f>
        <v>汽车零部件</v>
      </c>
      <c r="Z3023" s="302" t="str">
        <f ca="1">IF(Y3023=行业比较!$E$6,ROW(),"")</f>
        <v/>
      </c>
    </row>
    <row r="3024" spans="22:26">
      <c r="V3024" s="260">
        <f t="shared" ca="1" si="55"/>
        <v>0</v>
      </c>
      <c r="W3024" s="348" t="str">
        <f>IF(板块成分!B3026="","",板块成分!B3026)</f>
        <v>600183.SH</v>
      </c>
      <c r="X3024" s="276" t="str">
        <f>[1]!S_Info_Name(W3024)</f>
        <v>生益科技</v>
      </c>
      <c r="Y3024" s="276" t="str">
        <f ca="1">IF($Y$3="申万一级行业",[1]!s_info_industry_sw_2021(W3024,公司分析!D$5,1),IF($Y$3="申万二级行业",[1]!s_info_industry_sw_2021(W3024,公司分析!D$5,2),IF($Y$3="申万三级行业",[1]!s_info_industry_sw_2021(W3024,公司分析!D$5,3),IF($Y$3="wind一级行业",[1]!s_info_industry_gics(W3024,1),IF($Y$3="wind二级行业",[1]!s_info_industry_gics(W3024,2),IF($Y$3="wind三级行业",[1]!s_info_industry_gics(W3024,3),IF($Y$3="wind四级行业",[1]!s_info_industry_gics(W3024,4),IF($Y$3="证监会门类行业",[1]!s_info_industry_csrc12_n(W3024,公司分析!D$5,1),""))))))))</f>
        <v>元件</v>
      </c>
      <c r="Z3024" s="302" t="str">
        <f ca="1">IF(Y3024=行业比较!$E$6,ROW(),"")</f>
        <v/>
      </c>
    </row>
    <row r="3025" spans="22:26">
      <c r="V3025" s="260">
        <f t="shared" ca="1" si="55"/>
        <v>0</v>
      </c>
      <c r="W3025" s="348" t="str">
        <f>IF(板块成分!B3027="","",板块成分!B3027)</f>
        <v>600184.SH</v>
      </c>
      <c r="X3025" s="276" t="str">
        <f>[1]!S_Info_Name(W3025)</f>
        <v>光电股份</v>
      </c>
      <c r="Y3025" s="276" t="str">
        <f ca="1">IF($Y$3="申万一级行业",[1]!s_info_industry_sw_2021(W3025,公司分析!D$5,1),IF($Y$3="申万二级行业",[1]!s_info_industry_sw_2021(W3025,公司分析!D$5,2),IF($Y$3="申万三级行业",[1]!s_info_industry_sw_2021(W3025,公司分析!D$5,3),IF($Y$3="wind一级行业",[1]!s_info_industry_gics(W3025,1),IF($Y$3="wind二级行业",[1]!s_info_industry_gics(W3025,2),IF($Y$3="wind三级行业",[1]!s_info_industry_gics(W3025,3),IF($Y$3="wind四级行业",[1]!s_info_industry_gics(W3025,4),IF($Y$3="证监会门类行业",[1]!s_info_industry_csrc12_n(W3025,公司分析!D$5,1),""))))))))</f>
        <v>地面兵装Ⅱ</v>
      </c>
      <c r="Z3025" s="302" t="str">
        <f ca="1">IF(Y3025=行业比较!$E$6,ROW(),"")</f>
        <v/>
      </c>
    </row>
    <row r="3026" spans="22:26">
      <c r="V3026" s="260">
        <f t="shared" ca="1" si="55"/>
        <v>0</v>
      </c>
      <c r="W3026" s="348" t="str">
        <f>IF(板块成分!B3028="","",板块成分!B3028)</f>
        <v>600185.SH</v>
      </c>
      <c r="X3026" s="276" t="str">
        <f>[1]!S_Info_Name(W3026)</f>
        <v>珠免集团</v>
      </c>
      <c r="Y3026" s="276" t="str">
        <f ca="1">IF($Y$3="申万一级行业",[1]!s_info_industry_sw_2021(W3026,公司分析!D$5,1),IF($Y$3="申万二级行业",[1]!s_info_industry_sw_2021(W3026,公司分析!D$5,2),IF($Y$3="申万三级行业",[1]!s_info_industry_sw_2021(W3026,公司分析!D$5,3),IF($Y$3="wind一级行业",[1]!s_info_industry_gics(W3026,1),IF($Y$3="wind二级行业",[1]!s_info_industry_gics(W3026,2),IF($Y$3="wind三级行业",[1]!s_info_industry_gics(W3026,3),IF($Y$3="wind四级行业",[1]!s_info_industry_gics(W3026,4),IF($Y$3="证监会门类行业",[1]!s_info_industry_csrc12_n(W3026,公司分析!D$5,1),""))))))))</f>
        <v>旅游零售Ⅱ</v>
      </c>
      <c r="Z3026" s="302" t="str">
        <f ca="1">IF(Y3026=行业比较!$E$6,ROW(),"")</f>
        <v/>
      </c>
    </row>
    <row r="3027" spans="22:26">
      <c r="V3027" s="260">
        <f t="shared" ca="1" si="55"/>
        <v>0</v>
      </c>
      <c r="W3027" s="348" t="str">
        <f>IF(板块成分!B3029="","",板块成分!B3029)</f>
        <v>600186.SH</v>
      </c>
      <c r="X3027" s="276" t="str">
        <f>[1]!S_Info_Name(W3027)</f>
        <v>莲花控股</v>
      </c>
      <c r="Y3027" s="276" t="str">
        <f ca="1">IF($Y$3="申万一级行业",[1]!s_info_industry_sw_2021(W3027,公司分析!D$5,1),IF($Y$3="申万二级行业",[1]!s_info_industry_sw_2021(W3027,公司分析!D$5,2),IF($Y$3="申万三级行业",[1]!s_info_industry_sw_2021(W3027,公司分析!D$5,3),IF($Y$3="wind一级行业",[1]!s_info_industry_gics(W3027,1),IF($Y$3="wind二级行业",[1]!s_info_industry_gics(W3027,2),IF($Y$3="wind三级行业",[1]!s_info_industry_gics(W3027,3),IF($Y$3="wind四级行业",[1]!s_info_industry_gics(W3027,4),IF($Y$3="证监会门类行业",[1]!s_info_industry_csrc12_n(W3027,公司分析!D$5,1),""))))))))</f>
        <v>调味发酵品Ⅱ</v>
      </c>
      <c r="Z3027" s="302" t="str">
        <f ca="1">IF(Y3027=行业比较!$E$6,ROW(),"")</f>
        <v/>
      </c>
    </row>
    <row r="3028" spans="22:26">
      <c r="V3028" s="260">
        <f t="shared" ca="1" si="55"/>
        <v>0</v>
      </c>
      <c r="W3028" s="348" t="str">
        <f>IF(板块成分!B3030="","",板块成分!B3030)</f>
        <v>600187.SH</v>
      </c>
      <c r="X3028" s="276" t="str">
        <f>[1]!S_Info_Name(W3028)</f>
        <v>国中水务</v>
      </c>
      <c r="Y3028" s="276" t="str">
        <f ca="1">IF($Y$3="申万一级行业",[1]!s_info_industry_sw_2021(W3028,公司分析!D$5,1),IF($Y$3="申万二级行业",[1]!s_info_industry_sw_2021(W3028,公司分析!D$5,2),IF($Y$3="申万三级行业",[1]!s_info_industry_sw_2021(W3028,公司分析!D$5,3),IF($Y$3="wind一级行业",[1]!s_info_industry_gics(W3028,1),IF($Y$3="wind二级行业",[1]!s_info_industry_gics(W3028,2),IF($Y$3="wind三级行业",[1]!s_info_industry_gics(W3028,3),IF($Y$3="wind四级行业",[1]!s_info_industry_gics(W3028,4),IF($Y$3="证监会门类行业",[1]!s_info_industry_csrc12_n(W3028,公司分析!D$5,1),""))))))))</f>
        <v>环境治理</v>
      </c>
      <c r="Z3028" s="302" t="str">
        <f ca="1">IF(Y3028=行业比较!$E$6,ROW(),"")</f>
        <v/>
      </c>
    </row>
    <row r="3029" spans="22:26">
      <c r="V3029" s="260">
        <f t="shared" ca="1" si="55"/>
        <v>0</v>
      </c>
      <c r="W3029" s="348" t="str">
        <f>IF(板块成分!B3031="","",板块成分!B3031)</f>
        <v>600188.SH</v>
      </c>
      <c r="X3029" s="276" t="str">
        <f>[1]!S_Info_Name(W3029)</f>
        <v>兖矿能源</v>
      </c>
      <c r="Y3029" s="276" t="str">
        <f ca="1">IF($Y$3="申万一级行业",[1]!s_info_industry_sw_2021(W3029,公司分析!D$5,1),IF($Y$3="申万二级行业",[1]!s_info_industry_sw_2021(W3029,公司分析!D$5,2),IF($Y$3="申万三级行业",[1]!s_info_industry_sw_2021(W3029,公司分析!D$5,3),IF($Y$3="wind一级行业",[1]!s_info_industry_gics(W3029,1),IF($Y$3="wind二级行业",[1]!s_info_industry_gics(W3029,2),IF($Y$3="wind三级行业",[1]!s_info_industry_gics(W3029,3),IF($Y$3="wind四级行业",[1]!s_info_industry_gics(W3029,4),IF($Y$3="证监会门类行业",[1]!s_info_industry_csrc12_n(W3029,公司分析!D$5,1),""))))))))</f>
        <v>煤炭开采</v>
      </c>
      <c r="Z3029" s="302" t="str">
        <f ca="1">IF(Y3029=行业比较!$E$6,ROW(),"")</f>
        <v/>
      </c>
    </row>
    <row r="3030" spans="22:26">
      <c r="V3030" s="260">
        <f t="shared" ca="1" si="55"/>
        <v>0</v>
      </c>
      <c r="W3030" s="348" t="str">
        <f>IF(板块成分!B3032="","",板块成分!B3032)</f>
        <v>600189.SH</v>
      </c>
      <c r="X3030" s="276" t="str">
        <f>[1]!S_Info_Name(W3030)</f>
        <v>泉阳泉</v>
      </c>
      <c r="Y3030" s="276" t="str">
        <f ca="1">IF($Y$3="申万一级行业",[1]!s_info_industry_sw_2021(W3030,公司分析!D$5,1),IF($Y$3="申万二级行业",[1]!s_info_industry_sw_2021(W3030,公司分析!D$5,2),IF($Y$3="申万三级行业",[1]!s_info_industry_sw_2021(W3030,公司分析!D$5,3),IF($Y$3="wind一级行业",[1]!s_info_industry_gics(W3030,1),IF($Y$3="wind二级行业",[1]!s_info_industry_gics(W3030,2),IF($Y$3="wind三级行业",[1]!s_info_industry_gics(W3030,3),IF($Y$3="wind四级行业",[1]!s_info_industry_gics(W3030,4),IF($Y$3="证监会门类行业",[1]!s_info_industry_csrc12_n(W3030,公司分析!D$5,1),""))))))))</f>
        <v>饮料乳品</v>
      </c>
      <c r="Z3030" s="302" t="str">
        <f ca="1">IF(Y3030=行业比较!$E$6,ROW(),"")</f>
        <v/>
      </c>
    </row>
    <row r="3031" spans="22:26">
      <c r="V3031" s="260">
        <f t="shared" ca="1" si="55"/>
        <v>0</v>
      </c>
      <c r="W3031" s="348" t="str">
        <f>IF(板块成分!B3033="","",板块成分!B3033)</f>
        <v>600191.SH</v>
      </c>
      <c r="X3031" s="276" t="str">
        <f>[1]!S_Info_Name(W3031)</f>
        <v>华资实业</v>
      </c>
      <c r="Y3031" s="276" t="str">
        <f ca="1">IF($Y$3="申万一级行业",[1]!s_info_industry_sw_2021(W3031,公司分析!D$5,1),IF($Y$3="申万二级行业",[1]!s_info_industry_sw_2021(W3031,公司分析!D$5,2),IF($Y$3="申万三级行业",[1]!s_info_industry_sw_2021(W3031,公司分析!D$5,3),IF($Y$3="wind一级行业",[1]!s_info_industry_gics(W3031,1),IF($Y$3="wind二级行业",[1]!s_info_industry_gics(W3031,2),IF($Y$3="wind三级行业",[1]!s_info_industry_gics(W3031,3),IF($Y$3="wind四级行业",[1]!s_info_industry_gics(W3031,4),IF($Y$3="证监会门类行业",[1]!s_info_industry_csrc12_n(W3031,公司分析!D$5,1),""))))))))</f>
        <v>农产品加工</v>
      </c>
      <c r="Z3031" s="302" t="str">
        <f ca="1">IF(Y3031=行业比较!$E$6,ROW(),"")</f>
        <v/>
      </c>
    </row>
    <row r="3032" spans="22:26">
      <c r="V3032" s="260">
        <f t="shared" ca="1" si="55"/>
        <v>0</v>
      </c>
      <c r="W3032" s="348" t="str">
        <f>IF(板块成分!B3034="","",板块成分!B3034)</f>
        <v>600192.SH</v>
      </c>
      <c r="X3032" s="276" t="str">
        <f>[1]!S_Info_Name(W3032)</f>
        <v>长城电工</v>
      </c>
      <c r="Y3032" s="276" t="str">
        <f ca="1">IF($Y$3="申万一级行业",[1]!s_info_industry_sw_2021(W3032,公司分析!D$5,1),IF($Y$3="申万二级行业",[1]!s_info_industry_sw_2021(W3032,公司分析!D$5,2),IF($Y$3="申万三级行业",[1]!s_info_industry_sw_2021(W3032,公司分析!D$5,3),IF($Y$3="wind一级行业",[1]!s_info_industry_gics(W3032,1),IF($Y$3="wind二级行业",[1]!s_info_industry_gics(W3032,2),IF($Y$3="wind三级行业",[1]!s_info_industry_gics(W3032,3),IF($Y$3="wind四级行业",[1]!s_info_industry_gics(W3032,4),IF($Y$3="证监会门类行业",[1]!s_info_industry_csrc12_n(W3032,公司分析!D$5,1),""))))))))</f>
        <v>电网设备</v>
      </c>
      <c r="Z3032" s="302" t="str">
        <f ca="1">IF(Y3032=行业比较!$E$6,ROW(),"")</f>
        <v/>
      </c>
    </row>
    <row r="3033" spans="22:26">
      <c r="V3033" s="260">
        <f t="shared" ca="1" si="55"/>
        <v>0</v>
      </c>
      <c r="W3033" s="348" t="str">
        <f>IF(板块成分!B3035="","",板块成分!B3035)</f>
        <v>600193.SH</v>
      </c>
      <c r="X3033" s="276" t="str">
        <f>[1]!S_Info_Name(W3033)</f>
        <v>*ST创兴</v>
      </c>
      <c r="Y3033" s="276" t="str">
        <f ca="1">IF($Y$3="申万一级行业",[1]!s_info_industry_sw_2021(W3033,公司分析!D$5,1),IF($Y$3="申万二级行业",[1]!s_info_industry_sw_2021(W3033,公司分析!D$5,2),IF($Y$3="申万三级行业",[1]!s_info_industry_sw_2021(W3033,公司分析!D$5,3),IF($Y$3="wind一级行业",[1]!s_info_industry_gics(W3033,1),IF($Y$3="wind二级行业",[1]!s_info_industry_gics(W3033,2),IF($Y$3="wind三级行业",[1]!s_info_industry_gics(W3033,3),IF($Y$3="wind四级行业",[1]!s_info_industry_gics(W3033,4),IF($Y$3="证监会门类行业",[1]!s_info_industry_csrc12_n(W3033,公司分析!D$5,1),""))))))))</f>
        <v>装修装饰Ⅱ</v>
      </c>
      <c r="Z3033" s="302" t="str">
        <f ca="1">IF(Y3033=行业比较!$E$6,ROW(),"")</f>
        <v/>
      </c>
    </row>
    <row r="3034" spans="22:26">
      <c r="V3034" s="260">
        <f t="shared" ca="1" si="55"/>
        <v>0</v>
      </c>
      <c r="W3034" s="348" t="str">
        <f>IF(板块成分!B3036="","",板块成分!B3036)</f>
        <v>600195.SH</v>
      </c>
      <c r="X3034" s="276" t="str">
        <f>[1]!S_Info_Name(W3034)</f>
        <v>中牧股份</v>
      </c>
      <c r="Y3034" s="276" t="str">
        <f ca="1">IF($Y$3="申万一级行业",[1]!s_info_industry_sw_2021(W3034,公司分析!D$5,1),IF($Y$3="申万二级行业",[1]!s_info_industry_sw_2021(W3034,公司分析!D$5,2),IF($Y$3="申万三级行业",[1]!s_info_industry_sw_2021(W3034,公司分析!D$5,3),IF($Y$3="wind一级行业",[1]!s_info_industry_gics(W3034,1),IF($Y$3="wind二级行业",[1]!s_info_industry_gics(W3034,2),IF($Y$3="wind三级行业",[1]!s_info_industry_gics(W3034,3),IF($Y$3="wind四级行业",[1]!s_info_industry_gics(W3034,4),IF($Y$3="证监会门类行业",[1]!s_info_industry_csrc12_n(W3034,公司分析!D$5,1),""))))))))</f>
        <v>动物保健Ⅱ</v>
      </c>
      <c r="Z3034" s="302" t="str">
        <f ca="1">IF(Y3034=行业比较!$E$6,ROW(),"")</f>
        <v/>
      </c>
    </row>
    <row r="3035" spans="22:26">
      <c r="V3035" s="260">
        <f t="shared" ca="1" si="55"/>
        <v>0</v>
      </c>
      <c r="W3035" s="348" t="str">
        <f>IF(板块成分!B3037="","",板块成分!B3037)</f>
        <v>600196.SH</v>
      </c>
      <c r="X3035" s="276" t="str">
        <f>[1]!S_Info_Name(W3035)</f>
        <v>复星医药</v>
      </c>
      <c r="Y3035" s="276" t="str">
        <f ca="1">IF($Y$3="申万一级行业",[1]!s_info_industry_sw_2021(W3035,公司分析!D$5,1),IF($Y$3="申万二级行业",[1]!s_info_industry_sw_2021(W3035,公司分析!D$5,2),IF($Y$3="申万三级行业",[1]!s_info_industry_sw_2021(W3035,公司分析!D$5,3),IF($Y$3="wind一级行业",[1]!s_info_industry_gics(W3035,1),IF($Y$3="wind二级行业",[1]!s_info_industry_gics(W3035,2),IF($Y$3="wind三级行业",[1]!s_info_industry_gics(W3035,3),IF($Y$3="wind四级行业",[1]!s_info_industry_gics(W3035,4),IF($Y$3="证监会门类行业",[1]!s_info_industry_csrc12_n(W3035,公司分析!D$5,1),""))))))))</f>
        <v>化学制药</v>
      </c>
      <c r="Z3035" s="302" t="str">
        <f ca="1">IF(Y3035=行业比较!$E$6,ROW(),"")</f>
        <v/>
      </c>
    </row>
    <row r="3036" spans="22:26">
      <c r="V3036" s="260">
        <f t="shared" ca="1" si="55"/>
        <v>0</v>
      </c>
      <c r="W3036" s="348" t="str">
        <f>IF(板块成分!B3038="","",板块成分!B3038)</f>
        <v>600197.SH</v>
      </c>
      <c r="X3036" s="276" t="str">
        <f>[1]!S_Info_Name(W3036)</f>
        <v>伊力特</v>
      </c>
      <c r="Y3036" s="276" t="str">
        <f ca="1">IF($Y$3="申万一级行业",[1]!s_info_industry_sw_2021(W3036,公司分析!D$5,1),IF($Y$3="申万二级行业",[1]!s_info_industry_sw_2021(W3036,公司分析!D$5,2),IF($Y$3="申万三级行业",[1]!s_info_industry_sw_2021(W3036,公司分析!D$5,3),IF($Y$3="wind一级行业",[1]!s_info_industry_gics(W3036,1),IF($Y$3="wind二级行业",[1]!s_info_industry_gics(W3036,2),IF($Y$3="wind三级行业",[1]!s_info_industry_gics(W3036,3),IF($Y$3="wind四级行业",[1]!s_info_industry_gics(W3036,4),IF($Y$3="证监会门类行业",[1]!s_info_industry_csrc12_n(W3036,公司分析!D$5,1),""))))))))</f>
        <v>白酒Ⅱ</v>
      </c>
      <c r="Z3036" s="302" t="str">
        <f ca="1">IF(Y3036=行业比较!$E$6,ROW(),"")</f>
        <v/>
      </c>
    </row>
    <row r="3037" spans="22:26">
      <c r="V3037" s="260">
        <f t="shared" ca="1" si="55"/>
        <v>0</v>
      </c>
      <c r="W3037" s="348" t="str">
        <f>IF(板块成分!B3039="","",板块成分!B3039)</f>
        <v>600198.SH</v>
      </c>
      <c r="X3037" s="276" t="str">
        <f>[1]!S_Info_Name(W3037)</f>
        <v>大唐电信</v>
      </c>
      <c r="Y3037" s="276" t="str">
        <f ca="1">IF($Y$3="申万一级行业",[1]!s_info_industry_sw_2021(W3037,公司分析!D$5,1),IF($Y$3="申万二级行业",[1]!s_info_industry_sw_2021(W3037,公司分析!D$5,2),IF($Y$3="申万三级行业",[1]!s_info_industry_sw_2021(W3037,公司分析!D$5,3),IF($Y$3="wind一级行业",[1]!s_info_industry_gics(W3037,1),IF($Y$3="wind二级行业",[1]!s_info_industry_gics(W3037,2),IF($Y$3="wind三级行业",[1]!s_info_industry_gics(W3037,3),IF($Y$3="wind四级行业",[1]!s_info_industry_gics(W3037,4),IF($Y$3="证监会门类行业",[1]!s_info_industry_csrc12_n(W3037,公司分析!D$5,1),""))))))))</f>
        <v>通信设备</v>
      </c>
      <c r="Z3037" s="302" t="str">
        <f ca="1">IF(Y3037=行业比较!$E$6,ROW(),"")</f>
        <v/>
      </c>
    </row>
    <row r="3038" spans="22:26">
      <c r="V3038" s="260">
        <f t="shared" ca="1" si="55"/>
        <v>0</v>
      </c>
      <c r="W3038" s="348" t="str">
        <f>IF(板块成分!B3040="","",板块成分!B3040)</f>
        <v>600199.SH</v>
      </c>
      <c r="X3038" s="276" t="str">
        <f>[1]!S_Info_Name(W3038)</f>
        <v>金种子酒</v>
      </c>
      <c r="Y3038" s="276" t="str">
        <f ca="1">IF($Y$3="申万一级行业",[1]!s_info_industry_sw_2021(W3038,公司分析!D$5,1),IF($Y$3="申万二级行业",[1]!s_info_industry_sw_2021(W3038,公司分析!D$5,2),IF($Y$3="申万三级行业",[1]!s_info_industry_sw_2021(W3038,公司分析!D$5,3),IF($Y$3="wind一级行业",[1]!s_info_industry_gics(W3038,1),IF($Y$3="wind二级行业",[1]!s_info_industry_gics(W3038,2),IF($Y$3="wind三级行业",[1]!s_info_industry_gics(W3038,3),IF($Y$3="wind四级行业",[1]!s_info_industry_gics(W3038,4),IF($Y$3="证监会门类行业",[1]!s_info_industry_csrc12_n(W3038,公司分析!D$5,1),""))))))))</f>
        <v>白酒Ⅱ</v>
      </c>
      <c r="Z3038" s="302" t="str">
        <f ca="1">IF(Y3038=行业比较!$E$6,ROW(),"")</f>
        <v/>
      </c>
    </row>
    <row r="3039" spans="22:26">
      <c r="V3039" s="260">
        <f t="shared" ca="1" si="55"/>
        <v>0</v>
      </c>
      <c r="W3039" s="348" t="str">
        <f>IF(板块成分!B3041="","",板块成分!B3041)</f>
        <v>600201.SH</v>
      </c>
      <c r="X3039" s="276" t="str">
        <f>[1]!S_Info_Name(W3039)</f>
        <v>生物股份</v>
      </c>
      <c r="Y3039" s="276" t="str">
        <f ca="1">IF($Y$3="申万一级行业",[1]!s_info_industry_sw_2021(W3039,公司分析!D$5,1),IF($Y$3="申万二级行业",[1]!s_info_industry_sw_2021(W3039,公司分析!D$5,2),IF($Y$3="申万三级行业",[1]!s_info_industry_sw_2021(W3039,公司分析!D$5,3),IF($Y$3="wind一级行业",[1]!s_info_industry_gics(W3039,1),IF($Y$3="wind二级行业",[1]!s_info_industry_gics(W3039,2),IF($Y$3="wind三级行业",[1]!s_info_industry_gics(W3039,3),IF($Y$3="wind四级行业",[1]!s_info_industry_gics(W3039,4),IF($Y$3="证监会门类行业",[1]!s_info_industry_csrc12_n(W3039,公司分析!D$5,1),""))))))))</f>
        <v>动物保健Ⅱ</v>
      </c>
      <c r="Z3039" s="302" t="str">
        <f ca="1">IF(Y3039=行业比较!$E$6,ROW(),"")</f>
        <v/>
      </c>
    </row>
    <row r="3040" spans="22:26">
      <c r="V3040" s="260">
        <f t="shared" ca="1" si="55"/>
        <v>0</v>
      </c>
      <c r="W3040" s="348" t="str">
        <f>IF(板块成分!B3042="","",板块成分!B3042)</f>
        <v>600202.SH</v>
      </c>
      <c r="X3040" s="276" t="str">
        <f>[1]!S_Info_Name(W3040)</f>
        <v>哈空调</v>
      </c>
      <c r="Y3040" s="276" t="str">
        <f ca="1">IF($Y$3="申万一级行业",[1]!s_info_industry_sw_2021(W3040,公司分析!D$5,1),IF($Y$3="申万二级行业",[1]!s_info_industry_sw_2021(W3040,公司分析!D$5,2),IF($Y$3="申万三级行业",[1]!s_info_industry_sw_2021(W3040,公司分析!D$5,3),IF($Y$3="wind一级行业",[1]!s_info_industry_gics(W3040,1),IF($Y$3="wind二级行业",[1]!s_info_industry_gics(W3040,2),IF($Y$3="wind三级行业",[1]!s_info_industry_gics(W3040,3),IF($Y$3="wind四级行业",[1]!s_info_industry_gics(W3040,4),IF($Y$3="证监会门类行业",[1]!s_info_industry_csrc12_n(W3040,公司分析!D$5,1),""))))))))</f>
        <v>通用设备</v>
      </c>
      <c r="Z3040" s="302" t="str">
        <f ca="1">IF(Y3040=行业比较!$E$6,ROW(),"")</f>
        <v/>
      </c>
    </row>
    <row r="3041" spans="22:26">
      <c r="V3041" s="260">
        <f t="shared" ca="1" si="55"/>
        <v>0</v>
      </c>
      <c r="W3041" s="348" t="str">
        <f>IF(板块成分!B3043="","",板块成分!B3043)</f>
        <v>600203.SH</v>
      </c>
      <c r="X3041" s="276" t="str">
        <f>[1]!S_Info_Name(W3041)</f>
        <v>福日电子</v>
      </c>
      <c r="Y3041" s="276" t="str">
        <f ca="1">IF($Y$3="申万一级行业",[1]!s_info_industry_sw_2021(W3041,公司分析!D$5,1),IF($Y$3="申万二级行业",[1]!s_info_industry_sw_2021(W3041,公司分析!D$5,2),IF($Y$3="申万三级行业",[1]!s_info_industry_sw_2021(W3041,公司分析!D$5,3),IF($Y$3="wind一级行业",[1]!s_info_industry_gics(W3041,1),IF($Y$3="wind二级行业",[1]!s_info_industry_gics(W3041,2),IF($Y$3="wind三级行业",[1]!s_info_industry_gics(W3041,3),IF($Y$3="wind四级行业",[1]!s_info_industry_gics(W3041,4),IF($Y$3="证监会门类行业",[1]!s_info_industry_csrc12_n(W3041,公司分析!D$5,1),""))))))))</f>
        <v>消费电子</v>
      </c>
      <c r="Z3041" s="302" t="str">
        <f ca="1">IF(Y3041=行业比较!$E$6,ROW(),"")</f>
        <v/>
      </c>
    </row>
    <row r="3042" spans="22:26">
      <c r="V3042" s="260">
        <f t="shared" ca="1" si="55"/>
        <v>0</v>
      </c>
      <c r="W3042" s="348" t="str">
        <f>IF(板块成分!B3044="","",板块成分!B3044)</f>
        <v>600206.SH</v>
      </c>
      <c r="X3042" s="276" t="str">
        <f>[1]!S_Info_Name(W3042)</f>
        <v>有研新材</v>
      </c>
      <c r="Y3042" s="276" t="str">
        <f ca="1">IF($Y$3="申万一级行业",[1]!s_info_industry_sw_2021(W3042,公司分析!D$5,1),IF($Y$3="申万二级行业",[1]!s_info_industry_sw_2021(W3042,公司分析!D$5,2),IF($Y$3="申万三级行业",[1]!s_info_industry_sw_2021(W3042,公司分析!D$5,3),IF($Y$3="wind一级行业",[1]!s_info_industry_gics(W3042,1),IF($Y$3="wind二级行业",[1]!s_info_industry_gics(W3042,2),IF($Y$3="wind三级行业",[1]!s_info_industry_gics(W3042,3),IF($Y$3="wind四级行业",[1]!s_info_industry_gics(W3042,4),IF($Y$3="证监会门类行业",[1]!s_info_industry_csrc12_n(W3042,公司分析!D$5,1),""))))))))</f>
        <v>半导体</v>
      </c>
      <c r="Z3042" s="302" t="str">
        <f ca="1">IF(Y3042=行业比较!$E$6,ROW(),"")</f>
        <v/>
      </c>
    </row>
    <row r="3043" spans="22:26">
      <c r="V3043" s="260">
        <f t="shared" ca="1" si="55"/>
        <v>0</v>
      </c>
      <c r="W3043" s="348" t="str">
        <f>IF(板块成分!B3045="","",板块成分!B3045)</f>
        <v>600207.SH</v>
      </c>
      <c r="X3043" s="276" t="str">
        <f>[1]!S_Info_Name(W3043)</f>
        <v>安彩高科</v>
      </c>
      <c r="Y3043" s="276" t="str">
        <f ca="1">IF($Y$3="申万一级行业",[1]!s_info_industry_sw_2021(W3043,公司分析!D$5,1),IF($Y$3="申万二级行业",[1]!s_info_industry_sw_2021(W3043,公司分析!D$5,2),IF($Y$3="申万三级行业",[1]!s_info_industry_sw_2021(W3043,公司分析!D$5,3),IF($Y$3="wind一级行业",[1]!s_info_industry_gics(W3043,1),IF($Y$3="wind二级行业",[1]!s_info_industry_gics(W3043,2),IF($Y$3="wind三级行业",[1]!s_info_industry_gics(W3043,3),IF($Y$3="wind四级行业",[1]!s_info_industry_gics(W3043,4),IF($Y$3="证监会门类行业",[1]!s_info_industry_csrc12_n(W3043,公司分析!D$5,1),""))))))))</f>
        <v>光伏设备</v>
      </c>
      <c r="Z3043" s="302" t="str">
        <f ca="1">IF(Y3043=行业比较!$E$6,ROW(),"")</f>
        <v/>
      </c>
    </row>
    <row r="3044" spans="22:26">
      <c r="V3044" s="260">
        <f t="shared" ca="1" si="55"/>
        <v>0</v>
      </c>
      <c r="W3044" s="348" t="str">
        <f>IF(板块成分!B3046="","",板块成分!B3046)</f>
        <v>600208.SH</v>
      </c>
      <c r="X3044" s="276" t="str">
        <f>[1]!S_Info_Name(W3044)</f>
        <v>衢州发展</v>
      </c>
      <c r="Y3044" s="276" t="str">
        <f ca="1">IF($Y$3="申万一级行业",[1]!s_info_industry_sw_2021(W3044,公司分析!D$5,1),IF($Y$3="申万二级行业",[1]!s_info_industry_sw_2021(W3044,公司分析!D$5,2),IF($Y$3="申万三级行业",[1]!s_info_industry_sw_2021(W3044,公司分析!D$5,3),IF($Y$3="wind一级行业",[1]!s_info_industry_gics(W3044,1),IF($Y$3="wind二级行业",[1]!s_info_industry_gics(W3044,2),IF($Y$3="wind三级行业",[1]!s_info_industry_gics(W3044,3),IF($Y$3="wind四级行业",[1]!s_info_industry_gics(W3044,4),IF($Y$3="证监会门类行业",[1]!s_info_industry_csrc12_n(W3044,公司分析!D$5,1),""))))))))</f>
        <v>房地产开发</v>
      </c>
      <c r="Z3044" s="302" t="str">
        <f ca="1">IF(Y3044=行业比较!$E$6,ROW(),"")</f>
        <v/>
      </c>
    </row>
    <row r="3045" spans="22:26">
      <c r="V3045" s="260">
        <f t="shared" ca="1" si="55"/>
        <v>0</v>
      </c>
      <c r="W3045" s="348" t="str">
        <f>IF(板块成分!B3047="","",板块成分!B3047)</f>
        <v>600210.SH</v>
      </c>
      <c r="X3045" s="276" t="str">
        <f>[1]!S_Info_Name(W3045)</f>
        <v>紫江企业</v>
      </c>
      <c r="Y3045" s="276" t="str">
        <f ca="1">IF($Y$3="申万一级行业",[1]!s_info_industry_sw_2021(W3045,公司分析!D$5,1),IF($Y$3="申万二级行业",[1]!s_info_industry_sw_2021(W3045,公司分析!D$5,2),IF($Y$3="申万三级行业",[1]!s_info_industry_sw_2021(W3045,公司分析!D$5,3),IF($Y$3="wind一级行业",[1]!s_info_industry_gics(W3045,1),IF($Y$3="wind二级行业",[1]!s_info_industry_gics(W3045,2),IF($Y$3="wind三级行业",[1]!s_info_industry_gics(W3045,3),IF($Y$3="wind四级行业",[1]!s_info_industry_gics(W3045,4),IF($Y$3="证监会门类行业",[1]!s_info_industry_csrc12_n(W3045,公司分析!D$5,1),""))))))))</f>
        <v>包装印刷</v>
      </c>
      <c r="Z3045" s="302" t="str">
        <f ca="1">IF(Y3045=行业比较!$E$6,ROW(),"")</f>
        <v/>
      </c>
    </row>
    <row r="3046" spans="22:26">
      <c r="V3046" s="260">
        <f t="shared" ca="1" si="55"/>
        <v>0</v>
      </c>
      <c r="W3046" s="348" t="str">
        <f>IF(板块成分!B3048="","",板块成分!B3048)</f>
        <v>600211.SH</v>
      </c>
      <c r="X3046" s="276" t="str">
        <f>[1]!S_Info_Name(W3046)</f>
        <v>西藏药业</v>
      </c>
      <c r="Y3046" s="276" t="str">
        <f ca="1">IF($Y$3="申万一级行业",[1]!s_info_industry_sw_2021(W3046,公司分析!D$5,1),IF($Y$3="申万二级行业",[1]!s_info_industry_sw_2021(W3046,公司分析!D$5,2),IF($Y$3="申万三级行业",[1]!s_info_industry_sw_2021(W3046,公司分析!D$5,3),IF($Y$3="wind一级行业",[1]!s_info_industry_gics(W3046,1),IF($Y$3="wind二级行业",[1]!s_info_industry_gics(W3046,2),IF($Y$3="wind三级行业",[1]!s_info_industry_gics(W3046,3),IF($Y$3="wind四级行业",[1]!s_info_industry_gics(W3046,4),IF($Y$3="证监会门类行业",[1]!s_info_industry_csrc12_n(W3046,公司分析!D$5,1),""))))))))</f>
        <v>生物制品</v>
      </c>
      <c r="Z3046" s="302" t="str">
        <f ca="1">IF(Y3046=行业比较!$E$6,ROW(),"")</f>
        <v/>
      </c>
    </row>
    <row r="3047" spans="22:26">
      <c r="V3047" s="260">
        <f t="shared" ca="1" si="55"/>
        <v>0</v>
      </c>
      <c r="W3047" s="348" t="str">
        <f>IF(板块成分!B3049="","",板块成分!B3049)</f>
        <v>600212.SH</v>
      </c>
      <c r="X3047" s="276" t="str">
        <f>[1]!S_Info_Name(W3047)</f>
        <v>绿能慧充</v>
      </c>
      <c r="Y3047" s="276" t="str">
        <f ca="1">IF($Y$3="申万一级行业",[1]!s_info_industry_sw_2021(W3047,公司分析!D$5,1),IF($Y$3="申万二级行业",[1]!s_info_industry_sw_2021(W3047,公司分析!D$5,2),IF($Y$3="申万三级行业",[1]!s_info_industry_sw_2021(W3047,公司分析!D$5,3),IF($Y$3="wind一级行业",[1]!s_info_industry_gics(W3047,1),IF($Y$3="wind二级行业",[1]!s_info_industry_gics(W3047,2),IF($Y$3="wind三级行业",[1]!s_info_industry_gics(W3047,3),IF($Y$3="wind四级行业",[1]!s_info_industry_gics(W3047,4),IF($Y$3="证监会门类行业",[1]!s_info_industry_csrc12_n(W3047,公司分析!D$5,1),""))))))))</f>
        <v>其他电源设备Ⅱ</v>
      </c>
      <c r="Z3047" s="302" t="str">
        <f ca="1">IF(Y3047=行业比较!$E$6,ROW(),"")</f>
        <v/>
      </c>
    </row>
    <row r="3048" spans="22:26">
      <c r="V3048" s="260">
        <f t="shared" ca="1" si="55"/>
        <v>0</v>
      </c>
      <c r="W3048" s="348" t="str">
        <f>IF(板块成分!B3050="","",板块成分!B3050)</f>
        <v>600215.SH</v>
      </c>
      <c r="X3048" s="276" t="str">
        <f>[1]!S_Info_Name(W3048)</f>
        <v>派斯林</v>
      </c>
      <c r="Y3048" s="276" t="str">
        <f ca="1">IF($Y$3="申万一级行业",[1]!s_info_industry_sw_2021(W3048,公司分析!D$5,1),IF($Y$3="申万二级行业",[1]!s_info_industry_sw_2021(W3048,公司分析!D$5,2),IF($Y$3="申万三级行业",[1]!s_info_industry_sw_2021(W3048,公司分析!D$5,3),IF($Y$3="wind一级行业",[1]!s_info_industry_gics(W3048,1),IF($Y$3="wind二级行业",[1]!s_info_industry_gics(W3048,2),IF($Y$3="wind三级行业",[1]!s_info_industry_gics(W3048,3),IF($Y$3="wind四级行业",[1]!s_info_industry_gics(W3048,4),IF($Y$3="证监会门类行业",[1]!s_info_industry_csrc12_n(W3048,公司分析!D$5,1),""))))))))</f>
        <v>自动化设备</v>
      </c>
      <c r="Z3048" s="302" t="str">
        <f ca="1">IF(Y3048=行业比较!$E$6,ROW(),"")</f>
        <v/>
      </c>
    </row>
    <row r="3049" spans="22:26">
      <c r="V3049" s="260">
        <f t="shared" ca="1" si="55"/>
        <v>0</v>
      </c>
      <c r="W3049" s="348" t="str">
        <f>IF(板块成分!B3051="","",板块成分!B3051)</f>
        <v>600216.SH</v>
      </c>
      <c r="X3049" s="276" t="str">
        <f>[1]!S_Info_Name(W3049)</f>
        <v>浙江医药</v>
      </c>
      <c r="Y3049" s="276" t="str">
        <f ca="1">IF($Y$3="申万一级行业",[1]!s_info_industry_sw_2021(W3049,公司分析!D$5,1),IF($Y$3="申万二级行业",[1]!s_info_industry_sw_2021(W3049,公司分析!D$5,2),IF($Y$3="申万三级行业",[1]!s_info_industry_sw_2021(W3049,公司分析!D$5,3),IF($Y$3="wind一级行业",[1]!s_info_industry_gics(W3049,1),IF($Y$3="wind二级行业",[1]!s_info_industry_gics(W3049,2),IF($Y$3="wind三级行业",[1]!s_info_industry_gics(W3049,3),IF($Y$3="wind四级行业",[1]!s_info_industry_gics(W3049,4),IF($Y$3="证监会门类行业",[1]!s_info_industry_csrc12_n(W3049,公司分析!D$5,1),""))))))))</f>
        <v>化学制药</v>
      </c>
      <c r="Z3049" s="302" t="str">
        <f ca="1">IF(Y3049=行业比较!$E$6,ROW(),"")</f>
        <v/>
      </c>
    </row>
    <row r="3050" spans="22:26">
      <c r="V3050" s="260">
        <f t="shared" ca="1" si="55"/>
        <v>0</v>
      </c>
      <c r="W3050" s="348" t="str">
        <f>IF(板块成分!B3052="","",板块成分!B3052)</f>
        <v>600217.SH</v>
      </c>
      <c r="X3050" s="276" t="str">
        <f>[1]!S_Info_Name(W3050)</f>
        <v>中再资环</v>
      </c>
      <c r="Y3050" s="276" t="str">
        <f ca="1">IF($Y$3="申万一级行业",[1]!s_info_industry_sw_2021(W3050,公司分析!D$5,1),IF($Y$3="申万二级行业",[1]!s_info_industry_sw_2021(W3050,公司分析!D$5,2),IF($Y$3="申万三级行业",[1]!s_info_industry_sw_2021(W3050,公司分析!D$5,3),IF($Y$3="wind一级行业",[1]!s_info_industry_gics(W3050,1),IF($Y$3="wind二级行业",[1]!s_info_industry_gics(W3050,2),IF($Y$3="wind三级行业",[1]!s_info_industry_gics(W3050,3),IF($Y$3="wind四级行业",[1]!s_info_industry_gics(W3050,4),IF($Y$3="证监会门类行业",[1]!s_info_industry_csrc12_n(W3050,公司分析!D$5,1),""))))))))</f>
        <v>环境治理</v>
      </c>
      <c r="Z3050" s="302" t="str">
        <f ca="1">IF(Y3050=行业比较!$E$6,ROW(),"")</f>
        <v/>
      </c>
    </row>
    <row r="3051" spans="22:26">
      <c r="V3051" s="260">
        <f t="shared" ca="1" si="55"/>
        <v>0</v>
      </c>
      <c r="W3051" s="348" t="str">
        <f>IF(板块成分!B3053="","",板块成分!B3053)</f>
        <v>600218.SH</v>
      </c>
      <c r="X3051" s="276" t="str">
        <f>[1]!S_Info_Name(W3051)</f>
        <v>全柴动力</v>
      </c>
      <c r="Y3051" s="276" t="str">
        <f ca="1">IF($Y$3="申万一级行业",[1]!s_info_industry_sw_2021(W3051,公司分析!D$5,1),IF($Y$3="申万二级行业",[1]!s_info_industry_sw_2021(W3051,公司分析!D$5,2),IF($Y$3="申万三级行业",[1]!s_info_industry_sw_2021(W3051,公司分析!D$5,3),IF($Y$3="wind一级行业",[1]!s_info_industry_gics(W3051,1),IF($Y$3="wind二级行业",[1]!s_info_industry_gics(W3051,2),IF($Y$3="wind三级行业",[1]!s_info_industry_gics(W3051,3),IF($Y$3="wind四级行业",[1]!s_info_industry_gics(W3051,4),IF($Y$3="证监会门类行业",[1]!s_info_industry_csrc12_n(W3051,公司分析!D$5,1),""))))))))</f>
        <v>汽车零部件</v>
      </c>
      <c r="Z3051" s="302" t="str">
        <f ca="1">IF(Y3051=行业比较!$E$6,ROW(),"")</f>
        <v/>
      </c>
    </row>
    <row r="3052" spans="22:26">
      <c r="V3052" s="260">
        <f t="shared" ca="1" si="55"/>
        <v>31</v>
      </c>
      <c r="W3052" s="348" t="str">
        <f>IF(板块成分!B3054="","",板块成分!B3054)</f>
        <v>600219.SH</v>
      </c>
      <c r="X3052" s="276" t="str">
        <f>[1]!S_Info_Name(W3052)</f>
        <v>南山铝业</v>
      </c>
      <c r="Y3052" s="276" t="str">
        <f ca="1">IF($Y$3="申万一级行业",[1]!s_info_industry_sw_2021(W3052,公司分析!D$5,1),IF($Y$3="申万二级行业",[1]!s_info_industry_sw_2021(W3052,公司分析!D$5,2),IF($Y$3="申万三级行业",[1]!s_info_industry_sw_2021(W3052,公司分析!D$5,3),IF($Y$3="wind一级行业",[1]!s_info_industry_gics(W3052,1),IF($Y$3="wind二级行业",[1]!s_info_industry_gics(W3052,2),IF($Y$3="wind三级行业",[1]!s_info_industry_gics(W3052,3),IF($Y$3="wind四级行业",[1]!s_info_industry_gics(W3052,4),IF($Y$3="证监会门类行业",[1]!s_info_industry_csrc12_n(W3052,公司分析!D$5,1),""))))))))</f>
        <v>工业金属</v>
      </c>
      <c r="Z3052" s="302">
        <f ca="1">IF(Y3052=行业比较!$E$6,ROW(),"")</f>
        <v>3052</v>
      </c>
    </row>
    <row r="3053" spans="22:26">
      <c r="V3053" s="260">
        <f t="shared" ca="1" si="55"/>
        <v>0</v>
      </c>
      <c r="W3053" s="348" t="str">
        <f>IF(板块成分!B3055="","",板块成分!B3055)</f>
        <v>600221.SH</v>
      </c>
      <c r="X3053" s="276" t="str">
        <f>[1]!S_Info_Name(W3053)</f>
        <v>海航控股</v>
      </c>
      <c r="Y3053" s="276" t="str">
        <f ca="1">IF($Y$3="申万一级行业",[1]!s_info_industry_sw_2021(W3053,公司分析!D$5,1),IF($Y$3="申万二级行业",[1]!s_info_industry_sw_2021(W3053,公司分析!D$5,2),IF($Y$3="申万三级行业",[1]!s_info_industry_sw_2021(W3053,公司分析!D$5,3),IF($Y$3="wind一级行业",[1]!s_info_industry_gics(W3053,1),IF($Y$3="wind二级行业",[1]!s_info_industry_gics(W3053,2),IF($Y$3="wind三级行业",[1]!s_info_industry_gics(W3053,3),IF($Y$3="wind四级行业",[1]!s_info_industry_gics(W3053,4),IF($Y$3="证监会门类行业",[1]!s_info_industry_csrc12_n(W3053,公司分析!D$5,1),""))))))))</f>
        <v>航空机场</v>
      </c>
      <c r="Z3053" s="302" t="str">
        <f ca="1">IF(Y3053=行业比较!$E$6,ROW(),"")</f>
        <v/>
      </c>
    </row>
    <row r="3054" spans="22:26">
      <c r="V3054" s="260">
        <f t="shared" ca="1" si="55"/>
        <v>0</v>
      </c>
      <c r="W3054" s="348" t="str">
        <f>IF(板块成分!B3056="","",板块成分!B3056)</f>
        <v>600222.SH</v>
      </c>
      <c r="X3054" s="276" t="str">
        <f>[1]!S_Info_Name(W3054)</f>
        <v>太龙药业</v>
      </c>
      <c r="Y3054" s="276" t="str">
        <f ca="1">IF($Y$3="申万一级行业",[1]!s_info_industry_sw_2021(W3054,公司分析!D$5,1),IF($Y$3="申万二级行业",[1]!s_info_industry_sw_2021(W3054,公司分析!D$5,2),IF($Y$3="申万三级行业",[1]!s_info_industry_sw_2021(W3054,公司分析!D$5,3),IF($Y$3="wind一级行业",[1]!s_info_industry_gics(W3054,1),IF($Y$3="wind二级行业",[1]!s_info_industry_gics(W3054,2),IF($Y$3="wind三级行业",[1]!s_info_industry_gics(W3054,3),IF($Y$3="wind四级行业",[1]!s_info_industry_gics(W3054,4),IF($Y$3="证监会门类行业",[1]!s_info_industry_csrc12_n(W3054,公司分析!D$5,1),""))))))))</f>
        <v>中药Ⅱ</v>
      </c>
      <c r="Z3054" s="302" t="str">
        <f ca="1">IF(Y3054=行业比较!$E$6,ROW(),"")</f>
        <v/>
      </c>
    </row>
    <row r="3055" spans="22:26">
      <c r="V3055" s="260">
        <f t="shared" ca="1" si="55"/>
        <v>0</v>
      </c>
      <c r="W3055" s="348" t="str">
        <f>IF(板块成分!B3057="","",板块成分!B3057)</f>
        <v>600223.SH</v>
      </c>
      <c r="X3055" s="276" t="str">
        <f>[1]!S_Info_Name(W3055)</f>
        <v>福瑞达</v>
      </c>
      <c r="Y3055" s="276" t="str">
        <f ca="1">IF($Y$3="申万一级行业",[1]!s_info_industry_sw_2021(W3055,公司分析!D$5,1),IF($Y$3="申万二级行业",[1]!s_info_industry_sw_2021(W3055,公司分析!D$5,2),IF($Y$3="申万三级行业",[1]!s_info_industry_sw_2021(W3055,公司分析!D$5,3),IF($Y$3="wind一级行业",[1]!s_info_industry_gics(W3055,1),IF($Y$3="wind二级行业",[1]!s_info_industry_gics(W3055,2),IF($Y$3="wind三级行业",[1]!s_info_industry_gics(W3055,3),IF($Y$3="wind四级行业",[1]!s_info_industry_gics(W3055,4),IF($Y$3="证监会门类行业",[1]!s_info_industry_csrc12_n(W3055,公司分析!D$5,1),""))))))))</f>
        <v>化妆品</v>
      </c>
      <c r="Z3055" s="302" t="str">
        <f ca="1">IF(Y3055=行业比较!$E$6,ROW(),"")</f>
        <v/>
      </c>
    </row>
    <row r="3056" spans="22:26">
      <c r="V3056" s="260">
        <f t="shared" ca="1" si="55"/>
        <v>0</v>
      </c>
      <c r="W3056" s="348" t="str">
        <f>IF(板块成分!B3058="","",板块成分!B3058)</f>
        <v>600226.SH</v>
      </c>
      <c r="X3056" s="276" t="str">
        <f>[1]!S_Info_Name(W3056)</f>
        <v>亨通股份</v>
      </c>
      <c r="Y3056" s="276" t="str">
        <f ca="1">IF($Y$3="申万一级行业",[1]!s_info_industry_sw_2021(W3056,公司分析!D$5,1),IF($Y$3="申万二级行业",[1]!s_info_industry_sw_2021(W3056,公司分析!D$5,2),IF($Y$3="申万三级行业",[1]!s_info_industry_sw_2021(W3056,公司分析!D$5,3),IF($Y$3="wind一级行业",[1]!s_info_industry_gics(W3056,1),IF($Y$3="wind二级行业",[1]!s_info_industry_gics(W3056,2),IF($Y$3="wind三级行业",[1]!s_info_industry_gics(W3056,3),IF($Y$3="wind四级行业",[1]!s_info_industry_gics(W3056,4),IF($Y$3="证监会门类行业",[1]!s_info_industry_csrc12_n(W3056,公司分析!D$5,1),""))))))))</f>
        <v>电力</v>
      </c>
      <c r="Z3056" s="302" t="str">
        <f ca="1">IF(Y3056=行业比较!$E$6,ROW(),"")</f>
        <v/>
      </c>
    </row>
    <row r="3057" spans="22:26">
      <c r="V3057" s="260">
        <f t="shared" ca="1" si="55"/>
        <v>0</v>
      </c>
      <c r="W3057" s="348" t="str">
        <f>IF(板块成分!B3059="","",板块成分!B3059)</f>
        <v>600227.SH</v>
      </c>
      <c r="X3057" s="276" t="str">
        <f>[1]!S_Info_Name(W3057)</f>
        <v>赤天化</v>
      </c>
      <c r="Y3057" s="276" t="str">
        <f ca="1">IF($Y$3="申万一级行业",[1]!s_info_industry_sw_2021(W3057,公司分析!D$5,1),IF($Y$3="申万二级行业",[1]!s_info_industry_sw_2021(W3057,公司分析!D$5,2),IF($Y$3="申万三级行业",[1]!s_info_industry_sw_2021(W3057,公司分析!D$5,3),IF($Y$3="wind一级行业",[1]!s_info_industry_gics(W3057,1),IF($Y$3="wind二级行业",[1]!s_info_industry_gics(W3057,2),IF($Y$3="wind三级行业",[1]!s_info_industry_gics(W3057,3),IF($Y$3="wind四级行业",[1]!s_info_industry_gics(W3057,4),IF($Y$3="证监会门类行业",[1]!s_info_industry_csrc12_n(W3057,公司分析!D$5,1),""))))))))</f>
        <v>农化制品</v>
      </c>
      <c r="Z3057" s="302" t="str">
        <f ca="1">IF(Y3057=行业比较!$E$6,ROW(),"")</f>
        <v/>
      </c>
    </row>
    <row r="3058" spans="22:26">
      <c r="V3058" s="260">
        <f t="shared" ca="1" si="55"/>
        <v>0</v>
      </c>
      <c r="W3058" s="348" t="str">
        <f>IF(板块成分!B3060="","",板块成分!B3060)</f>
        <v>600228.SH</v>
      </c>
      <c r="X3058" s="276" t="str">
        <f>[1]!S_Info_Name(W3058)</f>
        <v>*ST返利</v>
      </c>
      <c r="Y3058" s="276" t="str">
        <f ca="1">IF($Y$3="申万一级行业",[1]!s_info_industry_sw_2021(W3058,公司分析!D$5,1),IF($Y$3="申万二级行业",[1]!s_info_industry_sw_2021(W3058,公司分析!D$5,2),IF($Y$3="申万三级行业",[1]!s_info_industry_sw_2021(W3058,公司分析!D$5,3),IF($Y$3="wind一级行业",[1]!s_info_industry_gics(W3058,1),IF($Y$3="wind二级行业",[1]!s_info_industry_gics(W3058,2),IF($Y$3="wind三级行业",[1]!s_info_industry_gics(W3058,3),IF($Y$3="wind四级行业",[1]!s_info_industry_gics(W3058,4),IF($Y$3="证监会门类行业",[1]!s_info_industry_csrc12_n(W3058,公司分析!D$5,1),""))))))))</f>
        <v>数字媒体</v>
      </c>
      <c r="Z3058" s="302" t="str">
        <f ca="1">IF(Y3058=行业比较!$E$6,ROW(),"")</f>
        <v/>
      </c>
    </row>
    <row r="3059" spans="22:26">
      <c r="V3059" s="260">
        <f t="shared" ca="1" si="55"/>
        <v>0</v>
      </c>
      <c r="W3059" s="348" t="str">
        <f>IF(板块成分!B3061="","",板块成分!B3061)</f>
        <v>600229.SH</v>
      </c>
      <c r="X3059" s="276" t="str">
        <f>[1]!S_Info_Name(W3059)</f>
        <v>城市传媒</v>
      </c>
      <c r="Y3059" s="276" t="str">
        <f ca="1">IF($Y$3="申万一级行业",[1]!s_info_industry_sw_2021(W3059,公司分析!D$5,1),IF($Y$3="申万二级行业",[1]!s_info_industry_sw_2021(W3059,公司分析!D$5,2),IF($Y$3="申万三级行业",[1]!s_info_industry_sw_2021(W3059,公司分析!D$5,3),IF($Y$3="wind一级行业",[1]!s_info_industry_gics(W3059,1),IF($Y$3="wind二级行业",[1]!s_info_industry_gics(W3059,2),IF($Y$3="wind三级行业",[1]!s_info_industry_gics(W3059,3),IF($Y$3="wind四级行业",[1]!s_info_industry_gics(W3059,4),IF($Y$3="证监会门类行业",[1]!s_info_industry_csrc12_n(W3059,公司分析!D$5,1),""))))))))</f>
        <v>出版</v>
      </c>
      <c r="Z3059" s="302" t="str">
        <f ca="1">IF(Y3059=行业比较!$E$6,ROW(),"")</f>
        <v/>
      </c>
    </row>
    <row r="3060" spans="22:26">
      <c r="V3060" s="260">
        <f t="shared" ca="1" si="55"/>
        <v>0</v>
      </c>
      <c r="W3060" s="348" t="str">
        <f>IF(板块成分!B3062="","",板块成分!B3062)</f>
        <v>600230.SH</v>
      </c>
      <c r="X3060" s="276" t="str">
        <f>[1]!S_Info_Name(W3060)</f>
        <v>沧州大化</v>
      </c>
      <c r="Y3060" s="276" t="str">
        <f ca="1">IF($Y$3="申万一级行业",[1]!s_info_industry_sw_2021(W3060,公司分析!D$5,1),IF($Y$3="申万二级行业",[1]!s_info_industry_sw_2021(W3060,公司分析!D$5,2),IF($Y$3="申万三级行业",[1]!s_info_industry_sw_2021(W3060,公司分析!D$5,3),IF($Y$3="wind一级行业",[1]!s_info_industry_gics(W3060,1),IF($Y$3="wind二级行业",[1]!s_info_industry_gics(W3060,2),IF($Y$3="wind三级行业",[1]!s_info_industry_gics(W3060,3),IF($Y$3="wind四级行业",[1]!s_info_industry_gics(W3060,4),IF($Y$3="证监会门类行业",[1]!s_info_industry_csrc12_n(W3060,公司分析!D$5,1),""))))))))</f>
        <v>化学制品</v>
      </c>
      <c r="Z3060" s="302" t="str">
        <f ca="1">IF(Y3060=行业比较!$E$6,ROW(),"")</f>
        <v/>
      </c>
    </row>
    <row r="3061" spans="22:26">
      <c r="V3061" s="260">
        <f t="shared" ca="1" si="55"/>
        <v>0</v>
      </c>
      <c r="W3061" s="348" t="str">
        <f>IF(板块成分!B3063="","",板块成分!B3063)</f>
        <v>600231.SH</v>
      </c>
      <c r="X3061" s="276" t="str">
        <f>[1]!S_Info_Name(W3061)</f>
        <v>凌钢股份</v>
      </c>
      <c r="Y3061" s="276" t="str">
        <f ca="1">IF($Y$3="申万一级行业",[1]!s_info_industry_sw_2021(W3061,公司分析!D$5,1),IF($Y$3="申万二级行业",[1]!s_info_industry_sw_2021(W3061,公司分析!D$5,2),IF($Y$3="申万三级行业",[1]!s_info_industry_sw_2021(W3061,公司分析!D$5,3),IF($Y$3="wind一级行业",[1]!s_info_industry_gics(W3061,1),IF($Y$3="wind二级行业",[1]!s_info_industry_gics(W3061,2),IF($Y$3="wind三级行业",[1]!s_info_industry_gics(W3061,3),IF($Y$3="wind四级行业",[1]!s_info_industry_gics(W3061,4),IF($Y$3="证监会门类行业",[1]!s_info_industry_csrc12_n(W3061,公司分析!D$5,1),""))))))))</f>
        <v>普钢</v>
      </c>
      <c r="Z3061" s="302" t="str">
        <f ca="1">IF(Y3061=行业比较!$E$6,ROW(),"")</f>
        <v/>
      </c>
    </row>
    <row r="3062" spans="22:26">
      <c r="V3062" s="260">
        <f t="shared" ca="1" si="55"/>
        <v>0</v>
      </c>
      <c r="W3062" s="348" t="str">
        <f>IF(板块成分!B3064="","",板块成分!B3064)</f>
        <v>600232.SH</v>
      </c>
      <c r="X3062" s="276" t="str">
        <f>[1]!S_Info_Name(W3062)</f>
        <v>金鹰股份</v>
      </c>
      <c r="Y3062" s="276" t="str">
        <f ca="1">IF($Y$3="申万一级行业",[1]!s_info_industry_sw_2021(W3062,公司分析!D$5,1),IF($Y$3="申万二级行业",[1]!s_info_industry_sw_2021(W3062,公司分析!D$5,2),IF($Y$3="申万三级行业",[1]!s_info_industry_sw_2021(W3062,公司分析!D$5,3),IF($Y$3="wind一级行业",[1]!s_info_industry_gics(W3062,1),IF($Y$3="wind二级行业",[1]!s_info_industry_gics(W3062,2),IF($Y$3="wind三级行业",[1]!s_info_industry_gics(W3062,3),IF($Y$3="wind四级行业",[1]!s_info_industry_gics(W3062,4),IF($Y$3="证监会门类行业",[1]!s_info_industry_csrc12_n(W3062,公司分析!D$5,1),""))))))))</f>
        <v>专用设备</v>
      </c>
      <c r="Z3062" s="302" t="str">
        <f ca="1">IF(Y3062=行业比较!$E$6,ROW(),"")</f>
        <v/>
      </c>
    </row>
    <row r="3063" spans="22:26">
      <c r="V3063" s="260">
        <f t="shared" ca="1" si="55"/>
        <v>0</v>
      </c>
      <c r="W3063" s="348" t="str">
        <f>IF(板块成分!B3065="","",板块成分!B3065)</f>
        <v>600233.SH</v>
      </c>
      <c r="X3063" s="276" t="str">
        <f>[1]!S_Info_Name(W3063)</f>
        <v>圆通速递</v>
      </c>
      <c r="Y3063" s="276" t="str">
        <f ca="1">IF($Y$3="申万一级行业",[1]!s_info_industry_sw_2021(W3063,公司分析!D$5,1),IF($Y$3="申万二级行业",[1]!s_info_industry_sw_2021(W3063,公司分析!D$5,2),IF($Y$3="申万三级行业",[1]!s_info_industry_sw_2021(W3063,公司分析!D$5,3),IF($Y$3="wind一级行业",[1]!s_info_industry_gics(W3063,1),IF($Y$3="wind二级行业",[1]!s_info_industry_gics(W3063,2),IF($Y$3="wind三级行业",[1]!s_info_industry_gics(W3063,3),IF($Y$3="wind四级行业",[1]!s_info_industry_gics(W3063,4),IF($Y$3="证监会门类行业",[1]!s_info_industry_csrc12_n(W3063,公司分析!D$5,1),""))))))))</f>
        <v>物流</v>
      </c>
      <c r="Z3063" s="302" t="str">
        <f ca="1">IF(Y3063=行业比较!$E$6,ROW(),"")</f>
        <v/>
      </c>
    </row>
    <row r="3064" spans="22:26">
      <c r="V3064" s="260">
        <f t="shared" ca="1" si="55"/>
        <v>0</v>
      </c>
      <c r="W3064" s="348" t="str">
        <f>IF(板块成分!B3066="","",板块成分!B3066)</f>
        <v>600234.SH</v>
      </c>
      <c r="X3064" s="276" t="str">
        <f>[1]!S_Info_Name(W3064)</f>
        <v>科新发展</v>
      </c>
      <c r="Y3064" s="276" t="str">
        <f ca="1">IF($Y$3="申万一级行业",[1]!s_info_industry_sw_2021(W3064,公司分析!D$5,1),IF($Y$3="申万二级行业",[1]!s_info_industry_sw_2021(W3064,公司分析!D$5,2),IF($Y$3="申万三级行业",[1]!s_info_industry_sw_2021(W3064,公司分析!D$5,3),IF($Y$3="wind一级行业",[1]!s_info_industry_gics(W3064,1),IF($Y$3="wind二级行业",[1]!s_info_industry_gics(W3064,2),IF($Y$3="wind三级行业",[1]!s_info_industry_gics(W3064,3),IF($Y$3="wind四级行业",[1]!s_info_industry_gics(W3064,4),IF($Y$3="证监会门类行业",[1]!s_info_industry_csrc12_n(W3064,公司分析!D$5,1),""))))))))</f>
        <v>装修装饰Ⅱ</v>
      </c>
      <c r="Z3064" s="302" t="str">
        <f ca="1">IF(Y3064=行业比较!$E$6,ROW(),"")</f>
        <v/>
      </c>
    </row>
    <row r="3065" spans="22:26">
      <c r="V3065" s="260">
        <f t="shared" ca="1" si="55"/>
        <v>0</v>
      </c>
      <c r="W3065" s="348" t="str">
        <f>IF(板块成分!B3067="","",板块成分!B3067)</f>
        <v>600235.SH</v>
      </c>
      <c r="X3065" s="276" t="str">
        <f>[1]!S_Info_Name(W3065)</f>
        <v>民丰特纸</v>
      </c>
      <c r="Y3065" s="276" t="str">
        <f ca="1">IF($Y$3="申万一级行业",[1]!s_info_industry_sw_2021(W3065,公司分析!D$5,1),IF($Y$3="申万二级行业",[1]!s_info_industry_sw_2021(W3065,公司分析!D$5,2),IF($Y$3="申万三级行业",[1]!s_info_industry_sw_2021(W3065,公司分析!D$5,3),IF($Y$3="wind一级行业",[1]!s_info_industry_gics(W3065,1),IF($Y$3="wind二级行业",[1]!s_info_industry_gics(W3065,2),IF($Y$3="wind三级行业",[1]!s_info_industry_gics(W3065,3),IF($Y$3="wind四级行业",[1]!s_info_industry_gics(W3065,4),IF($Y$3="证监会门类行业",[1]!s_info_industry_csrc12_n(W3065,公司分析!D$5,1),""))))))))</f>
        <v>造纸</v>
      </c>
      <c r="Z3065" s="302" t="str">
        <f ca="1">IF(Y3065=行业比较!$E$6,ROW(),"")</f>
        <v/>
      </c>
    </row>
    <row r="3066" spans="22:26">
      <c r="V3066" s="260">
        <f t="shared" ca="1" si="55"/>
        <v>0</v>
      </c>
      <c r="W3066" s="348" t="str">
        <f>IF(板块成分!B3068="","",板块成分!B3068)</f>
        <v>600236.SH</v>
      </c>
      <c r="X3066" s="276" t="str">
        <f>[1]!S_Info_Name(W3066)</f>
        <v>桂冠电力</v>
      </c>
      <c r="Y3066" s="276" t="str">
        <f ca="1">IF($Y$3="申万一级行业",[1]!s_info_industry_sw_2021(W3066,公司分析!D$5,1),IF($Y$3="申万二级行业",[1]!s_info_industry_sw_2021(W3066,公司分析!D$5,2),IF($Y$3="申万三级行业",[1]!s_info_industry_sw_2021(W3066,公司分析!D$5,3),IF($Y$3="wind一级行业",[1]!s_info_industry_gics(W3066,1),IF($Y$3="wind二级行业",[1]!s_info_industry_gics(W3066,2),IF($Y$3="wind三级行业",[1]!s_info_industry_gics(W3066,3),IF($Y$3="wind四级行业",[1]!s_info_industry_gics(W3066,4),IF($Y$3="证监会门类行业",[1]!s_info_industry_csrc12_n(W3066,公司分析!D$5,1),""))))))))</f>
        <v>电力</v>
      </c>
      <c r="Z3066" s="302" t="str">
        <f ca="1">IF(Y3066=行业比较!$E$6,ROW(),"")</f>
        <v/>
      </c>
    </row>
    <row r="3067" spans="22:26">
      <c r="V3067" s="260">
        <f t="shared" ca="1" si="55"/>
        <v>0</v>
      </c>
      <c r="W3067" s="348" t="str">
        <f>IF(板块成分!B3069="","",板块成分!B3069)</f>
        <v>600237.SH</v>
      </c>
      <c r="X3067" s="276" t="str">
        <f>[1]!S_Info_Name(W3067)</f>
        <v>铜峰电子</v>
      </c>
      <c r="Y3067" s="276" t="str">
        <f ca="1">IF($Y$3="申万一级行业",[1]!s_info_industry_sw_2021(W3067,公司分析!D$5,1),IF($Y$3="申万二级行业",[1]!s_info_industry_sw_2021(W3067,公司分析!D$5,2),IF($Y$3="申万三级行业",[1]!s_info_industry_sw_2021(W3067,公司分析!D$5,3),IF($Y$3="wind一级行业",[1]!s_info_industry_gics(W3067,1),IF($Y$3="wind二级行业",[1]!s_info_industry_gics(W3067,2),IF($Y$3="wind三级行业",[1]!s_info_industry_gics(W3067,3),IF($Y$3="wind四级行业",[1]!s_info_industry_gics(W3067,4),IF($Y$3="证监会门类行业",[1]!s_info_industry_csrc12_n(W3067,公司分析!D$5,1),""))))))))</f>
        <v>元件</v>
      </c>
      <c r="Z3067" s="302" t="str">
        <f ca="1">IF(Y3067=行业比较!$E$6,ROW(),"")</f>
        <v/>
      </c>
    </row>
    <row r="3068" spans="22:26">
      <c r="V3068" s="260">
        <f t="shared" ca="1" si="55"/>
        <v>0</v>
      </c>
      <c r="W3068" s="348" t="str">
        <f>IF(板块成分!B3070="","",板块成分!B3070)</f>
        <v>600238.SH</v>
      </c>
      <c r="X3068" s="276" t="str">
        <f>[1]!S_Info_Name(W3068)</f>
        <v>*ST椰岛</v>
      </c>
      <c r="Y3068" s="276" t="str">
        <f ca="1">IF($Y$3="申万一级行业",[1]!s_info_industry_sw_2021(W3068,公司分析!D$5,1),IF($Y$3="申万二级行业",[1]!s_info_industry_sw_2021(W3068,公司分析!D$5,2),IF($Y$3="申万三级行业",[1]!s_info_industry_sw_2021(W3068,公司分析!D$5,3),IF($Y$3="wind一级行业",[1]!s_info_industry_gics(W3068,1),IF($Y$3="wind二级行业",[1]!s_info_industry_gics(W3068,2),IF($Y$3="wind三级行业",[1]!s_info_industry_gics(W3068,3),IF($Y$3="wind四级行业",[1]!s_info_industry_gics(W3068,4),IF($Y$3="证监会门类行业",[1]!s_info_industry_csrc12_n(W3068,公司分析!D$5,1),""))))))))</f>
        <v>非白酒</v>
      </c>
      <c r="Z3068" s="302" t="str">
        <f ca="1">IF(Y3068=行业比较!$E$6,ROW(),"")</f>
        <v/>
      </c>
    </row>
    <row r="3069" spans="22:26">
      <c r="V3069" s="260">
        <f t="shared" ca="1" si="55"/>
        <v>0</v>
      </c>
      <c r="W3069" s="348" t="str">
        <f>IF(板块成分!B3071="","",板块成分!B3071)</f>
        <v>600239.SH</v>
      </c>
      <c r="X3069" s="276" t="str">
        <f>[1]!S_Info_Name(W3069)</f>
        <v>云南城投</v>
      </c>
      <c r="Y3069" s="276" t="str">
        <f ca="1">IF($Y$3="申万一级行业",[1]!s_info_industry_sw_2021(W3069,公司分析!D$5,1),IF($Y$3="申万二级行业",[1]!s_info_industry_sw_2021(W3069,公司分析!D$5,2),IF($Y$3="申万三级行业",[1]!s_info_industry_sw_2021(W3069,公司分析!D$5,3),IF($Y$3="wind一级行业",[1]!s_info_industry_gics(W3069,1),IF($Y$3="wind二级行业",[1]!s_info_industry_gics(W3069,2),IF($Y$3="wind三级行业",[1]!s_info_industry_gics(W3069,3),IF($Y$3="wind四级行业",[1]!s_info_industry_gics(W3069,4),IF($Y$3="证监会门类行业",[1]!s_info_industry_csrc12_n(W3069,公司分析!D$5,1),""))))))))</f>
        <v>房地产开发</v>
      </c>
      <c r="Z3069" s="302" t="str">
        <f ca="1">IF(Y3069=行业比较!$E$6,ROW(),"")</f>
        <v/>
      </c>
    </row>
    <row r="3070" spans="22:26">
      <c r="V3070" s="260">
        <f t="shared" ca="1" si="55"/>
        <v>0</v>
      </c>
      <c r="W3070" s="348" t="str">
        <f>IF(板块成分!B3072="","",板块成分!B3072)</f>
        <v>600241.SH</v>
      </c>
      <c r="X3070" s="276" t="str">
        <f>[1]!S_Info_Name(W3070)</f>
        <v>时代万恒</v>
      </c>
      <c r="Y3070" s="276" t="str">
        <f ca="1">IF($Y$3="申万一级行业",[1]!s_info_industry_sw_2021(W3070,公司分析!D$5,1),IF($Y$3="申万二级行业",[1]!s_info_industry_sw_2021(W3070,公司分析!D$5,2),IF($Y$3="申万三级行业",[1]!s_info_industry_sw_2021(W3070,公司分析!D$5,3),IF($Y$3="wind一级行业",[1]!s_info_industry_gics(W3070,1),IF($Y$3="wind二级行业",[1]!s_info_industry_gics(W3070,2),IF($Y$3="wind三级行业",[1]!s_info_industry_gics(W3070,3),IF($Y$3="wind四级行业",[1]!s_info_industry_gics(W3070,4),IF($Y$3="证监会门类行业",[1]!s_info_industry_csrc12_n(W3070,公司分析!D$5,1),""))))))))</f>
        <v>电池</v>
      </c>
      <c r="Z3070" s="302" t="str">
        <f ca="1">IF(Y3070=行业比较!$E$6,ROW(),"")</f>
        <v/>
      </c>
    </row>
    <row r="3071" spans="22:26">
      <c r="V3071" s="260">
        <f t="shared" ca="1" si="55"/>
        <v>0</v>
      </c>
      <c r="W3071" s="348" t="str">
        <f>IF(板块成分!B3073="","",板块成分!B3073)</f>
        <v>600243.SH</v>
      </c>
      <c r="X3071" s="276" t="str">
        <f>[1]!S_Info_Name(W3071)</f>
        <v>*ST海华</v>
      </c>
      <c r="Y3071" s="276" t="str">
        <f ca="1">IF($Y$3="申万一级行业",[1]!s_info_industry_sw_2021(W3071,公司分析!D$5,1),IF($Y$3="申万二级行业",[1]!s_info_industry_sw_2021(W3071,公司分析!D$5,2),IF($Y$3="申万三级行业",[1]!s_info_industry_sw_2021(W3071,公司分析!D$5,3),IF($Y$3="wind一级行业",[1]!s_info_industry_gics(W3071,1),IF($Y$3="wind二级行业",[1]!s_info_industry_gics(W3071,2),IF($Y$3="wind三级行业",[1]!s_info_industry_gics(W3071,3),IF($Y$3="wind四级行业",[1]!s_info_industry_gics(W3071,4),IF($Y$3="证监会门类行业",[1]!s_info_industry_csrc12_n(W3071,公司分析!D$5,1),""))))))))</f>
        <v>通用设备</v>
      </c>
      <c r="Z3071" s="302" t="str">
        <f ca="1">IF(Y3071=行业比较!$E$6,ROW(),"")</f>
        <v/>
      </c>
    </row>
    <row r="3072" spans="22:26">
      <c r="V3072" s="260">
        <f t="shared" ca="1" si="55"/>
        <v>0</v>
      </c>
      <c r="W3072" s="348" t="str">
        <f>IF(板块成分!B3074="","",板块成分!B3074)</f>
        <v>600246.SH</v>
      </c>
      <c r="X3072" s="276" t="str">
        <f>[1]!S_Info_Name(W3072)</f>
        <v>万通发展</v>
      </c>
      <c r="Y3072" s="276" t="str">
        <f ca="1">IF($Y$3="申万一级行业",[1]!s_info_industry_sw_2021(W3072,公司分析!D$5,1),IF($Y$3="申万二级行业",[1]!s_info_industry_sw_2021(W3072,公司分析!D$5,2),IF($Y$3="申万三级行业",[1]!s_info_industry_sw_2021(W3072,公司分析!D$5,3),IF($Y$3="wind一级行业",[1]!s_info_industry_gics(W3072,1),IF($Y$3="wind二级行业",[1]!s_info_industry_gics(W3072,2),IF($Y$3="wind三级行业",[1]!s_info_industry_gics(W3072,3),IF($Y$3="wind四级行业",[1]!s_info_industry_gics(W3072,4),IF($Y$3="证监会门类行业",[1]!s_info_industry_csrc12_n(W3072,公司分析!D$5,1),""))))))))</f>
        <v>房地产开发</v>
      </c>
      <c r="Z3072" s="302" t="str">
        <f ca="1">IF(Y3072=行业比较!$E$6,ROW(),"")</f>
        <v/>
      </c>
    </row>
    <row r="3073" spans="22:26">
      <c r="V3073" s="260">
        <f t="shared" ca="1" si="55"/>
        <v>0</v>
      </c>
      <c r="W3073" s="348" t="str">
        <f>IF(板块成分!B3075="","",板块成分!B3075)</f>
        <v>600248.SH</v>
      </c>
      <c r="X3073" s="276" t="str">
        <f>[1]!S_Info_Name(W3073)</f>
        <v>陕建股份</v>
      </c>
      <c r="Y3073" s="276" t="str">
        <f ca="1">IF($Y$3="申万一级行业",[1]!s_info_industry_sw_2021(W3073,公司分析!D$5,1),IF($Y$3="申万二级行业",[1]!s_info_industry_sw_2021(W3073,公司分析!D$5,2),IF($Y$3="申万三级行业",[1]!s_info_industry_sw_2021(W3073,公司分析!D$5,3),IF($Y$3="wind一级行业",[1]!s_info_industry_gics(W3073,1),IF($Y$3="wind二级行业",[1]!s_info_industry_gics(W3073,2),IF($Y$3="wind三级行业",[1]!s_info_industry_gics(W3073,3),IF($Y$3="wind四级行业",[1]!s_info_industry_gics(W3073,4),IF($Y$3="证监会门类行业",[1]!s_info_industry_csrc12_n(W3073,公司分析!D$5,1),""))))))))</f>
        <v>房屋建设Ⅱ</v>
      </c>
      <c r="Z3073" s="302" t="str">
        <f ca="1">IF(Y3073=行业比较!$E$6,ROW(),"")</f>
        <v/>
      </c>
    </row>
    <row r="3074" spans="22:26">
      <c r="V3074" s="260">
        <f t="shared" ca="1" si="55"/>
        <v>0</v>
      </c>
      <c r="W3074" s="348" t="str">
        <f>IF(板块成分!B3076="","",板块成分!B3076)</f>
        <v>600249.SH</v>
      </c>
      <c r="X3074" s="276" t="str">
        <f>[1]!S_Info_Name(W3074)</f>
        <v>两面针</v>
      </c>
      <c r="Y3074" s="276" t="str">
        <f ca="1">IF($Y$3="申万一级行业",[1]!s_info_industry_sw_2021(W3074,公司分析!D$5,1),IF($Y$3="申万二级行业",[1]!s_info_industry_sw_2021(W3074,公司分析!D$5,2),IF($Y$3="申万三级行业",[1]!s_info_industry_sw_2021(W3074,公司分析!D$5,3),IF($Y$3="wind一级行业",[1]!s_info_industry_gics(W3074,1),IF($Y$3="wind二级行业",[1]!s_info_industry_gics(W3074,2),IF($Y$3="wind三级行业",[1]!s_info_industry_gics(W3074,3),IF($Y$3="wind四级行业",[1]!s_info_industry_gics(W3074,4),IF($Y$3="证监会门类行业",[1]!s_info_industry_csrc12_n(W3074,公司分析!D$5,1),""))))))))</f>
        <v>个护用品</v>
      </c>
      <c r="Z3074" s="302" t="str">
        <f ca="1">IF(Y3074=行业比较!$E$6,ROW(),"")</f>
        <v/>
      </c>
    </row>
    <row r="3075" spans="22:26">
      <c r="V3075" s="260">
        <f t="shared" ca="1" si="55"/>
        <v>0</v>
      </c>
      <c r="W3075" s="348" t="str">
        <f>IF(板块成分!B3077="","",板块成分!B3077)</f>
        <v>600250.SH</v>
      </c>
      <c r="X3075" s="276" t="str">
        <f>[1]!S_Info_Name(W3075)</f>
        <v>南京商旅</v>
      </c>
      <c r="Y3075" s="276" t="str">
        <f ca="1">IF($Y$3="申万一级行业",[1]!s_info_industry_sw_2021(W3075,公司分析!D$5,1),IF($Y$3="申万二级行业",[1]!s_info_industry_sw_2021(W3075,公司分析!D$5,2),IF($Y$3="申万三级行业",[1]!s_info_industry_sw_2021(W3075,公司分析!D$5,3),IF($Y$3="wind一级行业",[1]!s_info_industry_gics(W3075,1),IF($Y$3="wind二级行业",[1]!s_info_industry_gics(W3075,2),IF($Y$3="wind三级行业",[1]!s_info_industry_gics(W3075,3),IF($Y$3="wind四级行业",[1]!s_info_industry_gics(W3075,4),IF($Y$3="证监会门类行业",[1]!s_info_industry_csrc12_n(W3075,公司分析!D$5,1),""))))))))</f>
        <v>贸易Ⅱ</v>
      </c>
      <c r="Z3075" s="302" t="str">
        <f ca="1">IF(Y3075=行业比较!$E$6,ROW(),"")</f>
        <v/>
      </c>
    </row>
    <row r="3076" spans="22:26">
      <c r="V3076" s="260">
        <f t="shared" ca="1" si="55"/>
        <v>0</v>
      </c>
      <c r="W3076" s="348" t="str">
        <f>IF(板块成分!B3078="","",板块成分!B3078)</f>
        <v>600251.SH</v>
      </c>
      <c r="X3076" s="276" t="str">
        <f>[1]!S_Info_Name(W3076)</f>
        <v>冠农股份</v>
      </c>
      <c r="Y3076" s="276" t="str">
        <f ca="1">IF($Y$3="申万一级行业",[1]!s_info_industry_sw_2021(W3076,公司分析!D$5,1),IF($Y$3="申万二级行业",[1]!s_info_industry_sw_2021(W3076,公司分析!D$5,2),IF($Y$3="申万三级行业",[1]!s_info_industry_sw_2021(W3076,公司分析!D$5,3),IF($Y$3="wind一级行业",[1]!s_info_industry_gics(W3076,1),IF($Y$3="wind二级行业",[1]!s_info_industry_gics(W3076,2),IF($Y$3="wind三级行业",[1]!s_info_industry_gics(W3076,3),IF($Y$3="wind四级行业",[1]!s_info_industry_gics(W3076,4),IF($Y$3="证监会门类行业",[1]!s_info_industry_csrc12_n(W3076,公司分析!D$5,1),""))))))))</f>
        <v>农产品加工</v>
      </c>
      <c r="Z3076" s="302" t="str">
        <f ca="1">IF(Y3076=行业比较!$E$6,ROW(),"")</f>
        <v/>
      </c>
    </row>
    <row r="3077" spans="22:26">
      <c r="V3077" s="260">
        <f t="shared" ref="V3077:V3140" ca="1" si="56">IF(Z3077="",0,RANK(Z3077,Z:Z,1))</f>
        <v>0</v>
      </c>
      <c r="W3077" s="348" t="str">
        <f>IF(板块成分!B3079="","",板块成分!B3079)</f>
        <v>600252.SH</v>
      </c>
      <c r="X3077" s="276" t="str">
        <f>[1]!S_Info_Name(W3077)</f>
        <v>中恒集团</v>
      </c>
      <c r="Y3077" s="276" t="str">
        <f ca="1">IF($Y$3="申万一级行业",[1]!s_info_industry_sw_2021(W3077,公司分析!D$5,1),IF($Y$3="申万二级行业",[1]!s_info_industry_sw_2021(W3077,公司分析!D$5,2),IF($Y$3="申万三级行业",[1]!s_info_industry_sw_2021(W3077,公司分析!D$5,3),IF($Y$3="wind一级行业",[1]!s_info_industry_gics(W3077,1),IF($Y$3="wind二级行业",[1]!s_info_industry_gics(W3077,2),IF($Y$3="wind三级行业",[1]!s_info_industry_gics(W3077,3),IF($Y$3="wind四级行业",[1]!s_info_industry_gics(W3077,4),IF($Y$3="证监会门类行业",[1]!s_info_industry_csrc12_n(W3077,公司分析!D$5,1),""))))))))</f>
        <v>中药Ⅱ</v>
      </c>
      <c r="Z3077" s="302" t="str">
        <f ca="1">IF(Y3077=行业比较!$E$6,ROW(),"")</f>
        <v/>
      </c>
    </row>
    <row r="3078" spans="22:26">
      <c r="V3078" s="260">
        <f t="shared" ca="1" si="56"/>
        <v>0</v>
      </c>
      <c r="W3078" s="348" t="str">
        <f>IF(板块成分!B3080="","",板块成分!B3080)</f>
        <v>600255.SH</v>
      </c>
      <c r="X3078" s="276" t="str">
        <f>[1]!S_Info_Name(W3078)</f>
        <v>鑫科材料</v>
      </c>
      <c r="Y3078" s="276" t="str">
        <f ca="1">IF($Y$3="申万一级行业",[1]!s_info_industry_sw_2021(W3078,公司分析!D$5,1),IF($Y$3="申万二级行业",[1]!s_info_industry_sw_2021(W3078,公司分析!D$5,2),IF($Y$3="申万三级行业",[1]!s_info_industry_sw_2021(W3078,公司分析!D$5,3),IF($Y$3="wind一级行业",[1]!s_info_industry_gics(W3078,1),IF($Y$3="wind二级行业",[1]!s_info_industry_gics(W3078,2),IF($Y$3="wind三级行业",[1]!s_info_industry_gics(W3078,3),IF($Y$3="wind四级行业",[1]!s_info_industry_gics(W3078,4),IF($Y$3="证监会门类行业",[1]!s_info_industry_csrc12_n(W3078,公司分析!D$5,1),""))))))))</f>
        <v>金属新材料</v>
      </c>
      <c r="Z3078" s="302" t="str">
        <f ca="1">IF(Y3078=行业比较!$E$6,ROW(),"")</f>
        <v/>
      </c>
    </row>
    <row r="3079" spans="22:26">
      <c r="V3079" s="260">
        <f t="shared" ca="1" si="56"/>
        <v>0</v>
      </c>
      <c r="W3079" s="348" t="str">
        <f>IF(板块成分!B3081="","",板块成分!B3081)</f>
        <v>600256.SH</v>
      </c>
      <c r="X3079" s="276" t="str">
        <f>[1]!S_Info_Name(W3079)</f>
        <v>广汇能源</v>
      </c>
      <c r="Y3079" s="276" t="str">
        <f ca="1">IF($Y$3="申万一级行业",[1]!s_info_industry_sw_2021(W3079,公司分析!D$5,1),IF($Y$3="申万二级行业",[1]!s_info_industry_sw_2021(W3079,公司分析!D$5,2),IF($Y$3="申万三级行业",[1]!s_info_industry_sw_2021(W3079,公司分析!D$5,3),IF($Y$3="wind一级行业",[1]!s_info_industry_gics(W3079,1),IF($Y$3="wind二级行业",[1]!s_info_industry_gics(W3079,2),IF($Y$3="wind三级行业",[1]!s_info_industry_gics(W3079,3),IF($Y$3="wind四级行业",[1]!s_info_industry_gics(W3079,4),IF($Y$3="证监会门类行业",[1]!s_info_industry_csrc12_n(W3079,公司分析!D$5,1),""))))))))</f>
        <v>炼化及贸易</v>
      </c>
      <c r="Z3079" s="302" t="str">
        <f ca="1">IF(Y3079=行业比较!$E$6,ROW(),"")</f>
        <v/>
      </c>
    </row>
    <row r="3080" spans="22:26">
      <c r="V3080" s="260">
        <f t="shared" ca="1" si="56"/>
        <v>0</v>
      </c>
      <c r="W3080" s="348" t="str">
        <f>IF(板块成分!B3082="","",板块成分!B3082)</f>
        <v>600257.SH</v>
      </c>
      <c r="X3080" s="276" t="str">
        <f>[1]!S_Info_Name(W3080)</f>
        <v>大湖股份</v>
      </c>
      <c r="Y3080" s="276" t="str">
        <f ca="1">IF($Y$3="申万一级行业",[1]!s_info_industry_sw_2021(W3080,公司分析!D$5,1),IF($Y$3="申万二级行业",[1]!s_info_industry_sw_2021(W3080,公司分析!D$5,2),IF($Y$3="申万三级行业",[1]!s_info_industry_sw_2021(W3080,公司分析!D$5,3),IF($Y$3="wind一级行业",[1]!s_info_industry_gics(W3080,1),IF($Y$3="wind二级行业",[1]!s_info_industry_gics(W3080,2),IF($Y$3="wind三级行业",[1]!s_info_industry_gics(W3080,3),IF($Y$3="wind四级行业",[1]!s_info_industry_gics(W3080,4),IF($Y$3="证监会门类行业",[1]!s_info_industry_csrc12_n(W3080,公司分析!D$5,1),""))))))))</f>
        <v>渔业</v>
      </c>
      <c r="Z3080" s="302" t="str">
        <f ca="1">IF(Y3080=行业比较!$E$6,ROW(),"")</f>
        <v/>
      </c>
    </row>
    <row r="3081" spans="22:26">
      <c r="V3081" s="260">
        <f t="shared" ca="1" si="56"/>
        <v>0</v>
      </c>
      <c r="W3081" s="348" t="str">
        <f>IF(板块成分!B3083="","",板块成分!B3083)</f>
        <v>600258.SH</v>
      </c>
      <c r="X3081" s="276" t="str">
        <f>[1]!S_Info_Name(W3081)</f>
        <v>首旅酒店</v>
      </c>
      <c r="Y3081" s="276" t="str">
        <f ca="1">IF($Y$3="申万一级行业",[1]!s_info_industry_sw_2021(W3081,公司分析!D$5,1),IF($Y$3="申万二级行业",[1]!s_info_industry_sw_2021(W3081,公司分析!D$5,2),IF($Y$3="申万三级行业",[1]!s_info_industry_sw_2021(W3081,公司分析!D$5,3),IF($Y$3="wind一级行业",[1]!s_info_industry_gics(W3081,1),IF($Y$3="wind二级行业",[1]!s_info_industry_gics(W3081,2),IF($Y$3="wind三级行业",[1]!s_info_industry_gics(W3081,3),IF($Y$3="wind四级行业",[1]!s_info_industry_gics(W3081,4),IF($Y$3="证监会门类行业",[1]!s_info_industry_csrc12_n(W3081,公司分析!D$5,1),""))))))))</f>
        <v>酒店餐饮</v>
      </c>
      <c r="Z3081" s="302" t="str">
        <f ca="1">IF(Y3081=行业比较!$E$6,ROW(),"")</f>
        <v/>
      </c>
    </row>
    <row r="3082" spans="22:26">
      <c r="V3082" s="260">
        <f t="shared" ca="1" si="56"/>
        <v>0</v>
      </c>
      <c r="W3082" s="348" t="str">
        <f>IF(板块成分!B3084="","",板块成分!B3084)</f>
        <v>600259.SH</v>
      </c>
      <c r="X3082" s="276" t="str">
        <f>[1]!S_Info_Name(W3082)</f>
        <v>中稀有色</v>
      </c>
      <c r="Y3082" s="276" t="str">
        <f ca="1">IF($Y$3="申万一级行业",[1]!s_info_industry_sw_2021(W3082,公司分析!D$5,1),IF($Y$3="申万二级行业",[1]!s_info_industry_sw_2021(W3082,公司分析!D$5,2),IF($Y$3="申万三级行业",[1]!s_info_industry_sw_2021(W3082,公司分析!D$5,3),IF($Y$3="wind一级行业",[1]!s_info_industry_gics(W3082,1),IF($Y$3="wind二级行业",[1]!s_info_industry_gics(W3082,2),IF($Y$3="wind三级行业",[1]!s_info_industry_gics(W3082,3),IF($Y$3="wind四级行业",[1]!s_info_industry_gics(W3082,4),IF($Y$3="证监会门类行业",[1]!s_info_industry_csrc12_n(W3082,公司分析!D$5,1),""))))))))</f>
        <v>小金属</v>
      </c>
      <c r="Z3082" s="302" t="str">
        <f ca="1">IF(Y3082=行业比较!$E$6,ROW(),"")</f>
        <v/>
      </c>
    </row>
    <row r="3083" spans="22:26">
      <c r="V3083" s="260">
        <f t="shared" ca="1" si="56"/>
        <v>0</v>
      </c>
      <c r="W3083" s="348" t="str">
        <f>IF(板块成分!B3085="","",板块成分!B3085)</f>
        <v>600261.SH</v>
      </c>
      <c r="X3083" s="276" t="str">
        <f>[1]!S_Info_Name(W3083)</f>
        <v>阳光照明</v>
      </c>
      <c r="Y3083" s="276" t="str">
        <f ca="1">IF($Y$3="申万一级行业",[1]!s_info_industry_sw_2021(W3083,公司分析!D$5,1),IF($Y$3="申万二级行业",[1]!s_info_industry_sw_2021(W3083,公司分析!D$5,2),IF($Y$3="申万三级行业",[1]!s_info_industry_sw_2021(W3083,公司分析!D$5,3),IF($Y$3="wind一级行业",[1]!s_info_industry_gics(W3083,1),IF($Y$3="wind二级行业",[1]!s_info_industry_gics(W3083,2),IF($Y$3="wind三级行业",[1]!s_info_industry_gics(W3083,3),IF($Y$3="wind四级行业",[1]!s_info_industry_gics(W3083,4),IF($Y$3="证监会门类行业",[1]!s_info_industry_csrc12_n(W3083,公司分析!D$5,1),""))))))))</f>
        <v>照明设备Ⅱ</v>
      </c>
      <c r="Z3083" s="302" t="str">
        <f ca="1">IF(Y3083=行业比较!$E$6,ROW(),"")</f>
        <v/>
      </c>
    </row>
    <row r="3084" spans="22:26">
      <c r="V3084" s="260">
        <f t="shared" ca="1" si="56"/>
        <v>0</v>
      </c>
      <c r="W3084" s="348" t="str">
        <f>IF(板块成分!B3086="","",板块成分!B3086)</f>
        <v>600262.SH</v>
      </c>
      <c r="X3084" s="276" t="str">
        <f>[1]!S_Info_Name(W3084)</f>
        <v>北方股份</v>
      </c>
      <c r="Y3084" s="276" t="str">
        <f ca="1">IF($Y$3="申万一级行业",[1]!s_info_industry_sw_2021(W3084,公司分析!D$5,1),IF($Y$3="申万二级行业",[1]!s_info_industry_sw_2021(W3084,公司分析!D$5,2),IF($Y$3="申万三级行业",[1]!s_info_industry_sw_2021(W3084,公司分析!D$5,3),IF($Y$3="wind一级行业",[1]!s_info_industry_gics(W3084,1),IF($Y$3="wind二级行业",[1]!s_info_industry_gics(W3084,2),IF($Y$3="wind三级行业",[1]!s_info_industry_gics(W3084,3),IF($Y$3="wind四级行业",[1]!s_info_industry_gics(W3084,4),IF($Y$3="证监会门类行业",[1]!s_info_industry_csrc12_n(W3084,公司分析!D$5,1),""))))))))</f>
        <v>专用设备</v>
      </c>
      <c r="Z3084" s="302" t="str">
        <f ca="1">IF(Y3084=行业比较!$E$6,ROW(),"")</f>
        <v/>
      </c>
    </row>
    <row r="3085" spans="22:26">
      <c r="V3085" s="260">
        <f t="shared" ca="1" si="56"/>
        <v>0</v>
      </c>
      <c r="W3085" s="348" t="str">
        <f>IF(板块成分!B3087="","",板块成分!B3087)</f>
        <v>600265.SH</v>
      </c>
      <c r="X3085" s="276" t="str">
        <f>[1]!S_Info_Name(W3085)</f>
        <v>ST景谷</v>
      </c>
      <c r="Y3085" s="276" t="str">
        <f ca="1">IF($Y$3="申万一级行业",[1]!s_info_industry_sw_2021(W3085,公司分析!D$5,1),IF($Y$3="申万二级行业",[1]!s_info_industry_sw_2021(W3085,公司分析!D$5,2),IF($Y$3="申万三级行业",[1]!s_info_industry_sw_2021(W3085,公司分析!D$5,3),IF($Y$3="wind一级行业",[1]!s_info_industry_gics(W3085,1),IF($Y$3="wind二级行业",[1]!s_info_industry_gics(W3085,2),IF($Y$3="wind三级行业",[1]!s_info_industry_gics(W3085,3),IF($Y$3="wind四级行业",[1]!s_info_industry_gics(W3085,4),IF($Y$3="证监会门类行业",[1]!s_info_industry_csrc12_n(W3085,公司分析!D$5,1),""))))))))</f>
        <v>林业Ⅱ</v>
      </c>
      <c r="Z3085" s="302" t="str">
        <f ca="1">IF(Y3085=行业比较!$E$6,ROW(),"")</f>
        <v/>
      </c>
    </row>
    <row r="3086" spans="22:26">
      <c r="V3086" s="260">
        <f t="shared" ca="1" si="56"/>
        <v>0</v>
      </c>
      <c r="W3086" s="348" t="str">
        <f>IF(板块成分!B3088="","",板块成分!B3088)</f>
        <v>600266.SH</v>
      </c>
      <c r="X3086" s="276" t="str">
        <f>[1]!S_Info_Name(W3086)</f>
        <v>城建发展</v>
      </c>
      <c r="Y3086" s="276" t="str">
        <f ca="1">IF($Y$3="申万一级行业",[1]!s_info_industry_sw_2021(W3086,公司分析!D$5,1),IF($Y$3="申万二级行业",[1]!s_info_industry_sw_2021(W3086,公司分析!D$5,2),IF($Y$3="申万三级行业",[1]!s_info_industry_sw_2021(W3086,公司分析!D$5,3),IF($Y$3="wind一级行业",[1]!s_info_industry_gics(W3086,1),IF($Y$3="wind二级行业",[1]!s_info_industry_gics(W3086,2),IF($Y$3="wind三级行业",[1]!s_info_industry_gics(W3086,3),IF($Y$3="wind四级行业",[1]!s_info_industry_gics(W3086,4),IF($Y$3="证监会门类行业",[1]!s_info_industry_csrc12_n(W3086,公司分析!D$5,1),""))))))))</f>
        <v>房地产开发</v>
      </c>
      <c r="Z3086" s="302" t="str">
        <f ca="1">IF(Y3086=行业比较!$E$6,ROW(),"")</f>
        <v/>
      </c>
    </row>
    <row r="3087" spans="22:26">
      <c r="V3087" s="260">
        <f t="shared" ca="1" si="56"/>
        <v>0</v>
      </c>
      <c r="W3087" s="348" t="str">
        <f>IF(板块成分!B3089="","",板块成分!B3089)</f>
        <v>600267.SH</v>
      </c>
      <c r="X3087" s="276" t="str">
        <f>[1]!S_Info_Name(W3087)</f>
        <v>海正药业</v>
      </c>
      <c r="Y3087" s="276" t="str">
        <f ca="1">IF($Y$3="申万一级行业",[1]!s_info_industry_sw_2021(W3087,公司分析!D$5,1),IF($Y$3="申万二级行业",[1]!s_info_industry_sw_2021(W3087,公司分析!D$5,2),IF($Y$3="申万三级行业",[1]!s_info_industry_sw_2021(W3087,公司分析!D$5,3),IF($Y$3="wind一级行业",[1]!s_info_industry_gics(W3087,1),IF($Y$3="wind二级行业",[1]!s_info_industry_gics(W3087,2),IF($Y$3="wind三级行业",[1]!s_info_industry_gics(W3087,3),IF($Y$3="wind四级行业",[1]!s_info_industry_gics(W3087,4),IF($Y$3="证监会门类行业",[1]!s_info_industry_csrc12_n(W3087,公司分析!D$5,1),""))))))))</f>
        <v>化学制药</v>
      </c>
      <c r="Z3087" s="302" t="str">
        <f ca="1">IF(Y3087=行业比较!$E$6,ROW(),"")</f>
        <v/>
      </c>
    </row>
    <row r="3088" spans="22:26">
      <c r="V3088" s="260">
        <f t="shared" ca="1" si="56"/>
        <v>0</v>
      </c>
      <c r="W3088" s="348" t="str">
        <f>IF(板块成分!B3090="","",板块成分!B3090)</f>
        <v>600268.SH</v>
      </c>
      <c r="X3088" s="276" t="str">
        <f>[1]!S_Info_Name(W3088)</f>
        <v>国电南自</v>
      </c>
      <c r="Y3088" s="276" t="str">
        <f ca="1">IF($Y$3="申万一级行业",[1]!s_info_industry_sw_2021(W3088,公司分析!D$5,1),IF($Y$3="申万二级行业",[1]!s_info_industry_sw_2021(W3088,公司分析!D$5,2),IF($Y$3="申万三级行业",[1]!s_info_industry_sw_2021(W3088,公司分析!D$5,3),IF($Y$3="wind一级行业",[1]!s_info_industry_gics(W3088,1),IF($Y$3="wind二级行业",[1]!s_info_industry_gics(W3088,2),IF($Y$3="wind三级行业",[1]!s_info_industry_gics(W3088,3),IF($Y$3="wind四级行业",[1]!s_info_industry_gics(W3088,4),IF($Y$3="证监会门类行业",[1]!s_info_industry_csrc12_n(W3088,公司分析!D$5,1),""))))))))</f>
        <v>电网设备</v>
      </c>
      <c r="Z3088" s="302" t="str">
        <f ca="1">IF(Y3088=行业比较!$E$6,ROW(),"")</f>
        <v/>
      </c>
    </row>
    <row r="3089" spans="22:26">
      <c r="V3089" s="260">
        <f t="shared" ca="1" si="56"/>
        <v>0</v>
      </c>
      <c r="W3089" s="348" t="str">
        <f>IF(板块成分!B3091="","",板块成分!B3091)</f>
        <v>600269.SH</v>
      </c>
      <c r="X3089" s="276" t="str">
        <f>[1]!S_Info_Name(W3089)</f>
        <v>赣粤高速</v>
      </c>
      <c r="Y3089" s="276" t="str">
        <f ca="1">IF($Y$3="申万一级行业",[1]!s_info_industry_sw_2021(W3089,公司分析!D$5,1),IF($Y$3="申万二级行业",[1]!s_info_industry_sw_2021(W3089,公司分析!D$5,2),IF($Y$3="申万三级行业",[1]!s_info_industry_sw_2021(W3089,公司分析!D$5,3),IF($Y$3="wind一级行业",[1]!s_info_industry_gics(W3089,1),IF($Y$3="wind二级行业",[1]!s_info_industry_gics(W3089,2),IF($Y$3="wind三级行业",[1]!s_info_industry_gics(W3089,3),IF($Y$3="wind四级行业",[1]!s_info_industry_gics(W3089,4),IF($Y$3="证监会门类行业",[1]!s_info_industry_csrc12_n(W3089,公司分析!D$5,1),""))))))))</f>
        <v>铁路公路</v>
      </c>
      <c r="Z3089" s="302" t="str">
        <f ca="1">IF(Y3089=行业比较!$E$6,ROW(),"")</f>
        <v/>
      </c>
    </row>
    <row r="3090" spans="22:26">
      <c r="V3090" s="260">
        <f t="shared" ca="1" si="56"/>
        <v>0</v>
      </c>
      <c r="W3090" s="348" t="str">
        <f>IF(板块成分!B3092="","",板块成分!B3092)</f>
        <v>600271.SH</v>
      </c>
      <c r="X3090" s="276" t="str">
        <f>[1]!S_Info_Name(W3090)</f>
        <v>航天信息</v>
      </c>
      <c r="Y3090" s="276" t="str">
        <f ca="1">IF($Y$3="申万一级行业",[1]!s_info_industry_sw_2021(W3090,公司分析!D$5,1),IF($Y$3="申万二级行业",[1]!s_info_industry_sw_2021(W3090,公司分析!D$5,2),IF($Y$3="申万三级行业",[1]!s_info_industry_sw_2021(W3090,公司分析!D$5,3),IF($Y$3="wind一级行业",[1]!s_info_industry_gics(W3090,1),IF($Y$3="wind二级行业",[1]!s_info_industry_gics(W3090,2),IF($Y$3="wind三级行业",[1]!s_info_industry_gics(W3090,3),IF($Y$3="wind四级行业",[1]!s_info_industry_gics(W3090,4),IF($Y$3="证监会门类行业",[1]!s_info_industry_csrc12_n(W3090,公司分析!D$5,1),""))))))))</f>
        <v>IT服务Ⅱ</v>
      </c>
      <c r="Z3090" s="302" t="str">
        <f ca="1">IF(Y3090=行业比较!$E$6,ROW(),"")</f>
        <v/>
      </c>
    </row>
    <row r="3091" spans="22:26">
      <c r="V3091" s="260">
        <f t="shared" ca="1" si="56"/>
        <v>0</v>
      </c>
      <c r="W3091" s="348" t="str">
        <f>IF(板块成分!B3093="","",板块成分!B3093)</f>
        <v>600272.SH</v>
      </c>
      <c r="X3091" s="276" t="str">
        <f>[1]!S_Info_Name(W3091)</f>
        <v>开开实业</v>
      </c>
      <c r="Y3091" s="276" t="str">
        <f ca="1">IF($Y$3="申万一级行业",[1]!s_info_industry_sw_2021(W3091,公司分析!D$5,1),IF($Y$3="申万二级行业",[1]!s_info_industry_sw_2021(W3091,公司分析!D$5,2),IF($Y$3="申万三级行业",[1]!s_info_industry_sw_2021(W3091,公司分析!D$5,3),IF($Y$3="wind一级行业",[1]!s_info_industry_gics(W3091,1),IF($Y$3="wind二级行业",[1]!s_info_industry_gics(W3091,2),IF($Y$3="wind三级行业",[1]!s_info_industry_gics(W3091,3),IF($Y$3="wind四级行业",[1]!s_info_industry_gics(W3091,4),IF($Y$3="证监会门类行业",[1]!s_info_industry_csrc12_n(W3091,公司分析!D$5,1),""))))))))</f>
        <v>医药商业</v>
      </c>
      <c r="Z3091" s="302" t="str">
        <f ca="1">IF(Y3091=行业比较!$E$6,ROW(),"")</f>
        <v/>
      </c>
    </row>
    <row r="3092" spans="22:26">
      <c r="V3092" s="260">
        <f t="shared" ca="1" si="56"/>
        <v>0</v>
      </c>
      <c r="W3092" s="348" t="str">
        <f>IF(板块成分!B3094="","",板块成分!B3094)</f>
        <v>600273.SH</v>
      </c>
      <c r="X3092" s="276" t="str">
        <f>[1]!S_Info_Name(W3092)</f>
        <v>嘉化能源</v>
      </c>
      <c r="Y3092" s="276" t="str">
        <f ca="1">IF($Y$3="申万一级行业",[1]!s_info_industry_sw_2021(W3092,公司分析!D$5,1),IF($Y$3="申万二级行业",[1]!s_info_industry_sw_2021(W3092,公司分析!D$5,2),IF($Y$3="申万三级行业",[1]!s_info_industry_sw_2021(W3092,公司分析!D$5,3),IF($Y$3="wind一级行业",[1]!s_info_industry_gics(W3092,1),IF($Y$3="wind二级行业",[1]!s_info_industry_gics(W3092,2),IF($Y$3="wind三级行业",[1]!s_info_industry_gics(W3092,3),IF($Y$3="wind四级行业",[1]!s_info_industry_gics(W3092,4),IF($Y$3="证监会门类行业",[1]!s_info_industry_csrc12_n(W3092,公司分析!D$5,1),""))))))))</f>
        <v>化学制品</v>
      </c>
      <c r="Z3092" s="302" t="str">
        <f ca="1">IF(Y3092=行业比较!$E$6,ROW(),"")</f>
        <v/>
      </c>
    </row>
    <row r="3093" spans="22:26">
      <c r="V3093" s="260">
        <f t="shared" ca="1" si="56"/>
        <v>0</v>
      </c>
      <c r="W3093" s="348" t="str">
        <f>IF(板块成分!B3095="","",板块成分!B3095)</f>
        <v>600276.SH</v>
      </c>
      <c r="X3093" s="276" t="str">
        <f>[1]!S_Info_Name(W3093)</f>
        <v>恒瑞医药</v>
      </c>
      <c r="Y3093" s="276" t="str">
        <f ca="1">IF($Y$3="申万一级行业",[1]!s_info_industry_sw_2021(W3093,公司分析!D$5,1),IF($Y$3="申万二级行业",[1]!s_info_industry_sw_2021(W3093,公司分析!D$5,2),IF($Y$3="申万三级行业",[1]!s_info_industry_sw_2021(W3093,公司分析!D$5,3),IF($Y$3="wind一级行业",[1]!s_info_industry_gics(W3093,1),IF($Y$3="wind二级行业",[1]!s_info_industry_gics(W3093,2),IF($Y$3="wind三级行业",[1]!s_info_industry_gics(W3093,3),IF($Y$3="wind四级行业",[1]!s_info_industry_gics(W3093,4),IF($Y$3="证监会门类行业",[1]!s_info_industry_csrc12_n(W3093,公司分析!D$5,1),""))))))))</f>
        <v>化学制药</v>
      </c>
      <c r="Z3093" s="302" t="str">
        <f ca="1">IF(Y3093=行业比较!$E$6,ROW(),"")</f>
        <v/>
      </c>
    </row>
    <row r="3094" spans="22:26">
      <c r="V3094" s="260">
        <f t="shared" ca="1" si="56"/>
        <v>0</v>
      </c>
      <c r="W3094" s="348" t="str">
        <f>IF(板块成分!B3096="","",板块成分!B3096)</f>
        <v>600278.SH</v>
      </c>
      <c r="X3094" s="276" t="str">
        <f>[1]!S_Info_Name(W3094)</f>
        <v>东方创业</v>
      </c>
      <c r="Y3094" s="276" t="str">
        <f ca="1">IF($Y$3="申万一级行业",[1]!s_info_industry_sw_2021(W3094,公司分析!D$5,1),IF($Y$3="申万二级行业",[1]!s_info_industry_sw_2021(W3094,公司分析!D$5,2),IF($Y$3="申万三级行业",[1]!s_info_industry_sw_2021(W3094,公司分析!D$5,3),IF($Y$3="wind一级行业",[1]!s_info_industry_gics(W3094,1),IF($Y$3="wind二级行业",[1]!s_info_industry_gics(W3094,2),IF($Y$3="wind三级行业",[1]!s_info_industry_gics(W3094,3),IF($Y$3="wind四级行业",[1]!s_info_industry_gics(W3094,4),IF($Y$3="证监会门类行业",[1]!s_info_industry_csrc12_n(W3094,公司分析!D$5,1),""))))))))</f>
        <v>贸易Ⅱ</v>
      </c>
      <c r="Z3094" s="302" t="str">
        <f ca="1">IF(Y3094=行业比较!$E$6,ROW(),"")</f>
        <v/>
      </c>
    </row>
    <row r="3095" spans="22:26">
      <c r="V3095" s="260">
        <f t="shared" ca="1" si="56"/>
        <v>0</v>
      </c>
      <c r="W3095" s="348" t="str">
        <f>IF(板块成分!B3097="","",板块成分!B3097)</f>
        <v>600279.SH</v>
      </c>
      <c r="X3095" s="276" t="str">
        <f>[1]!S_Info_Name(W3095)</f>
        <v>重庆港</v>
      </c>
      <c r="Y3095" s="276" t="str">
        <f ca="1">IF($Y$3="申万一级行业",[1]!s_info_industry_sw_2021(W3095,公司分析!D$5,1),IF($Y$3="申万二级行业",[1]!s_info_industry_sw_2021(W3095,公司分析!D$5,2),IF($Y$3="申万三级行业",[1]!s_info_industry_sw_2021(W3095,公司分析!D$5,3),IF($Y$3="wind一级行业",[1]!s_info_industry_gics(W3095,1),IF($Y$3="wind二级行业",[1]!s_info_industry_gics(W3095,2),IF($Y$3="wind三级行业",[1]!s_info_industry_gics(W3095,3),IF($Y$3="wind四级行业",[1]!s_info_industry_gics(W3095,4),IF($Y$3="证监会门类行业",[1]!s_info_industry_csrc12_n(W3095,公司分析!D$5,1),""))))))))</f>
        <v>航运港口</v>
      </c>
      <c r="Z3095" s="302" t="str">
        <f ca="1">IF(Y3095=行业比较!$E$6,ROW(),"")</f>
        <v/>
      </c>
    </row>
    <row r="3096" spans="22:26">
      <c r="V3096" s="260">
        <f t="shared" ca="1" si="56"/>
        <v>0</v>
      </c>
      <c r="W3096" s="348" t="str">
        <f>IF(板块成分!B3098="","",板块成分!B3098)</f>
        <v>600280.SH</v>
      </c>
      <c r="X3096" s="276" t="str">
        <f>[1]!S_Info_Name(W3096)</f>
        <v>中央商场</v>
      </c>
      <c r="Y3096" s="276" t="str">
        <f ca="1">IF($Y$3="申万一级行业",[1]!s_info_industry_sw_2021(W3096,公司分析!D$5,1),IF($Y$3="申万二级行业",[1]!s_info_industry_sw_2021(W3096,公司分析!D$5,2),IF($Y$3="申万三级行业",[1]!s_info_industry_sw_2021(W3096,公司分析!D$5,3),IF($Y$3="wind一级行业",[1]!s_info_industry_gics(W3096,1),IF($Y$3="wind二级行业",[1]!s_info_industry_gics(W3096,2),IF($Y$3="wind三级行业",[1]!s_info_industry_gics(W3096,3),IF($Y$3="wind四级行业",[1]!s_info_industry_gics(W3096,4),IF($Y$3="证监会门类行业",[1]!s_info_industry_csrc12_n(W3096,公司分析!D$5,1),""))))))))</f>
        <v>一般零售</v>
      </c>
      <c r="Z3096" s="302" t="str">
        <f ca="1">IF(Y3096=行业比较!$E$6,ROW(),"")</f>
        <v/>
      </c>
    </row>
    <row r="3097" spans="22:26">
      <c r="V3097" s="260">
        <f t="shared" ca="1" si="56"/>
        <v>0</v>
      </c>
      <c r="W3097" s="348" t="str">
        <f>IF(板块成分!B3099="","",板块成分!B3099)</f>
        <v>600281.SH</v>
      </c>
      <c r="X3097" s="276" t="str">
        <f>[1]!S_Info_Name(W3097)</f>
        <v>华阳新材</v>
      </c>
      <c r="Y3097" s="276" t="str">
        <f ca="1">IF($Y$3="申万一级行业",[1]!s_info_industry_sw_2021(W3097,公司分析!D$5,1),IF($Y$3="申万二级行业",[1]!s_info_industry_sw_2021(W3097,公司分析!D$5,2),IF($Y$3="申万三级行业",[1]!s_info_industry_sw_2021(W3097,公司分析!D$5,3),IF($Y$3="wind一级行业",[1]!s_info_industry_gics(W3097,1),IF($Y$3="wind二级行业",[1]!s_info_industry_gics(W3097,2),IF($Y$3="wind三级行业",[1]!s_info_industry_gics(W3097,3),IF($Y$3="wind四级行业",[1]!s_info_industry_gics(W3097,4),IF($Y$3="证监会门类行业",[1]!s_info_industry_csrc12_n(W3097,公司分析!D$5,1),""))))))))</f>
        <v>小金属</v>
      </c>
      <c r="Z3097" s="302" t="str">
        <f ca="1">IF(Y3097=行业比较!$E$6,ROW(),"")</f>
        <v/>
      </c>
    </row>
    <row r="3098" spans="22:26">
      <c r="V3098" s="260">
        <f t="shared" ca="1" si="56"/>
        <v>0</v>
      </c>
      <c r="W3098" s="348" t="str">
        <f>IF(板块成分!B3100="","",板块成分!B3100)</f>
        <v>600282.SH</v>
      </c>
      <c r="X3098" s="276" t="str">
        <f>[1]!S_Info_Name(W3098)</f>
        <v>南钢股份</v>
      </c>
      <c r="Y3098" s="276" t="str">
        <f ca="1">IF($Y$3="申万一级行业",[1]!s_info_industry_sw_2021(W3098,公司分析!D$5,1),IF($Y$3="申万二级行业",[1]!s_info_industry_sw_2021(W3098,公司分析!D$5,2),IF($Y$3="申万三级行业",[1]!s_info_industry_sw_2021(W3098,公司分析!D$5,3),IF($Y$3="wind一级行业",[1]!s_info_industry_gics(W3098,1),IF($Y$3="wind二级行业",[1]!s_info_industry_gics(W3098,2),IF($Y$3="wind三级行业",[1]!s_info_industry_gics(W3098,3),IF($Y$3="wind四级行业",[1]!s_info_industry_gics(W3098,4),IF($Y$3="证监会门类行业",[1]!s_info_industry_csrc12_n(W3098,公司分析!D$5,1),""))))))))</f>
        <v>普钢</v>
      </c>
      <c r="Z3098" s="302" t="str">
        <f ca="1">IF(Y3098=行业比较!$E$6,ROW(),"")</f>
        <v/>
      </c>
    </row>
    <row r="3099" spans="22:26">
      <c r="V3099" s="260">
        <f t="shared" ca="1" si="56"/>
        <v>0</v>
      </c>
      <c r="W3099" s="348" t="str">
        <f>IF(板块成分!B3101="","",板块成分!B3101)</f>
        <v>600283.SH</v>
      </c>
      <c r="X3099" s="276" t="str">
        <f>[1]!S_Info_Name(W3099)</f>
        <v>钱江水利</v>
      </c>
      <c r="Y3099" s="276" t="str">
        <f ca="1">IF($Y$3="申万一级行业",[1]!s_info_industry_sw_2021(W3099,公司分析!D$5,1),IF($Y$3="申万二级行业",[1]!s_info_industry_sw_2021(W3099,公司分析!D$5,2),IF($Y$3="申万三级行业",[1]!s_info_industry_sw_2021(W3099,公司分析!D$5,3),IF($Y$3="wind一级行业",[1]!s_info_industry_gics(W3099,1),IF($Y$3="wind二级行业",[1]!s_info_industry_gics(W3099,2),IF($Y$3="wind三级行业",[1]!s_info_industry_gics(W3099,3),IF($Y$3="wind四级行业",[1]!s_info_industry_gics(W3099,4),IF($Y$3="证监会门类行业",[1]!s_info_industry_csrc12_n(W3099,公司分析!D$5,1),""))))))))</f>
        <v>环境治理</v>
      </c>
      <c r="Z3099" s="302" t="str">
        <f ca="1">IF(Y3099=行业比较!$E$6,ROW(),"")</f>
        <v/>
      </c>
    </row>
    <row r="3100" spans="22:26">
      <c r="V3100" s="260">
        <f t="shared" ca="1" si="56"/>
        <v>0</v>
      </c>
      <c r="W3100" s="348" t="str">
        <f>IF(板块成分!B3102="","",板块成分!B3102)</f>
        <v>600284.SH</v>
      </c>
      <c r="X3100" s="276" t="str">
        <f>[1]!S_Info_Name(W3100)</f>
        <v>浦东建设</v>
      </c>
      <c r="Y3100" s="276" t="str">
        <f ca="1">IF($Y$3="申万一级行业",[1]!s_info_industry_sw_2021(W3100,公司分析!D$5,1),IF($Y$3="申万二级行业",[1]!s_info_industry_sw_2021(W3100,公司分析!D$5,2),IF($Y$3="申万三级行业",[1]!s_info_industry_sw_2021(W3100,公司分析!D$5,3),IF($Y$3="wind一级行业",[1]!s_info_industry_gics(W3100,1),IF($Y$3="wind二级行业",[1]!s_info_industry_gics(W3100,2),IF($Y$3="wind三级行业",[1]!s_info_industry_gics(W3100,3),IF($Y$3="wind四级行业",[1]!s_info_industry_gics(W3100,4),IF($Y$3="证监会门类行业",[1]!s_info_industry_csrc12_n(W3100,公司分析!D$5,1),""))))))))</f>
        <v>基础建设</v>
      </c>
      <c r="Z3100" s="302" t="str">
        <f ca="1">IF(Y3100=行业比较!$E$6,ROW(),"")</f>
        <v/>
      </c>
    </row>
    <row r="3101" spans="22:26">
      <c r="V3101" s="260">
        <f t="shared" ca="1" si="56"/>
        <v>0</v>
      </c>
      <c r="W3101" s="348" t="str">
        <f>IF(板块成分!B3103="","",板块成分!B3103)</f>
        <v>600285.SH</v>
      </c>
      <c r="X3101" s="276" t="str">
        <f>[1]!S_Info_Name(W3101)</f>
        <v>羚锐制药</v>
      </c>
      <c r="Y3101" s="276" t="str">
        <f ca="1">IF($Y$3="申万一级行业",[1]!s_info_industry_sw_2021(W3101,公司分析!D$5,1),IF($Y$3="申万二级行业",[1]!s_info_industry_sw_2021(W3101,公司分析!D$5,2),IF($Y$3="申万三级行业",[1]!s_info_industry_sw_2021(W3101,公司分析!D$5,3),IF($Y$3="wind一级行业",[1]!s_info_industry_gics(W3101,1),IF($Y$3="wind二级行业",[1]!s_info_industry_gics(W3101,2),IF($Y$3="wind三级行业",[1]!s_info_industry_gics(W3101,3),IF($Y$3="wind四级行业",[1]!s_info_industry_gics(W3101,4),IF($Y$3="证监会门类行业",[1]!s_info_industry_csrc12_n(W3101,公司分析!D$5,1),""))))))))</f>
        <v>中药Ⅱ</v>
      </c>
      <c r="Z3101" s="302" t="str">
        <f ca="1">IF(Y3101=行业比较!$E$6,ROW(),"")</f>
        <v/>
      </c>
    </row>
    <row r="3102" spans="22:26">
      <c r="V3102" s="260">
        <f t="shared" ca="1" si="56"/>
        <v>0</v>
      </c>
      <c r="W3102" s="348" t="str">
        <f>IF(板块成分!B3104="","",板块成分!B3104)</f>
        <v>600287.SH</v>
      </c>
      <c r="X3102" s="276" t="str">
        <f>[1]!S_Info_Name(W3102)</f>
        <v>苏豪时尚</v>
      </c>
      <c r="Y3102" s="276" t="str">
        <f ca="1">IF($Y$3="申万一级行业",[1]!s_info_industry_sw_2021(W3102,公司分析!D$5,1),IF($Y$3="申万二级行业",[1]!s_info_industry_sw_2021(W3102,公司分析!D$5,2),IF($Y$3="申万三级行业",[1]!s_info_industry_sw_2021(W3102,公司分析!D$5,3),IF($Y$3="wind一级行业",[1]!s_info_industry_gics(W3102,1),IF($Y$3="wind二级行业",[1]!s_info_industry_gics(W3102,2),IF($Y$3="wind三级行业",[1]!s_info_industry_gics(W3102,3),IF($Y$3="wind四级行业",[1]!s_info_industry_gics(W3102,4),IF($Y$3="证监会门类行业",[1]!s_info_industry_csrc12_n(W3102,公司分析!D$5,1),""))))))))</f>
        <v>贸易Ⅱ</v>
      </c>
      <c r="Z3102" s="302" t="str">
        <f ca="1">IF(Y3102=行业比较!$E$6,ROW(),"")</f>
        <v/>
      </c>
    </row>
    <row r="3103" spans="22:26">
      <c r="V3103" s="260">
        <f t="shared" ca="1" si="56"/>
        <v>0</v>
      </c>
      <c r="W3103" s="348" t="str">
        <f>IF(板块成分!B3105="","",板块成分!B3105)</f>
        <v>600288.SH</v>
      </c>
      <c r="X3103" s="276" t="str">
        <f>[1]!S_Info_Name(W3103)</f>
        <v>大恒科技</v>
      </c>
      <c r="Y3103" s="276" t="str">
        <f ca="1">IF($Y$3="申万一级行业",[1]!s_info_industry_sw_2021(W3103,公司分析!D$5,1),IF($Y$3="申万二级行业",[1]!s_info_industry_sw_2021(W3103,公司分析!D$5,2),IF($Y$3="申万三级行业",[1]!s_info_industry_sw_2021(W3103,公司分析!D$5,3),IF($Y$3="wind一级行业",[1]!s_info_industry_gics(W3103,1),IF($Y$3="wind二级行业",[1]!s_info_industry_gics(W3103,2),IF($Y$3="wind三级行业",[1]!s_info_industry_gics(W3103,3),IF($Y$3="wind四级行业",[1]!s_info_industry_gics(W3103,4),IF($Y$3="证监会门类行业",[1]!s_info_industry_csrc12_n(W3103,公司分析!D$5,1),""))))))))</f>
        <v>软件开发</v>
      </c>
      <c r="Z3103" s="302" t="str">
        <f ca="1">IF(Y3103=行业比较!$E$6,ROW(),"")</f>
        <v/>
      </c>
    </row>
    <row r="3104" spans="22:26">
      <c r="V3104" s="260">
        <f t="shared" ca="1" si="56"/>
        <v>0</v>
      </c>
      <c r="W3104" s="348" t="str">
        <f>IF(板块成分!B3106="","",板块成分!B3106)</f>
        <v>600289.SH</v>
      </c>
      <c r="X3104" s="276" t="str">
        <f>[1]!S_Info_Name(W3104)</f>
        <v>ST信通</v>
      </c>
      <c r="Y3104" s="276" t="str">
        <f ca="1">IF($Y$3="申万一级行业",[1]!s_info_industry_sw_2021(W3104,公司分析!D$5,1),IF($Y$3="申万二级行业",[1]!s_info_industry_sw_2021(W3104,公司分析!D$5,2),IF($Y$3="申万三级行业",[1]!s_info_industry_sw_2021(W3104,公司分析!D$5,3),IF($Y$3="wind一级行业",[1]!s_info_industry_gics(W3104,1),IF($Y$3="wind二级行业",[1]!s_info_industry_gics(W3104,2),IF($Y$3="wind三级行业",[1]!s_info_industry_gics(W3104,3),IF($Y$3="wind四级行业",[1]!s_info_industry_gics(W3104,4),IF($Y$3="证监会门类行业",[1]!s_info_industry_csrc12_n(W3104,公司分析!D$5,1),""))))))))</f>
        <v>通信服务</v>
      </c>
      <c r="Z3104" s="302" t="str">
        <f ca="1">IF(Y3104=行业比较!$E$6,ROW(),"")</f>
        <v/>
      </c>
    </row>
    <row r="3105" spans="22:26">
      <c r="V3105" s="260">
        <f t="shared" ca="1" si="56"/>
        <v>0</v>
      </c>
      <c r="W3105" s="348" t="str">
        <f>IF(板块成分!B3107="","",板块成分!B3107)</f>
        <v>600292.SH</v>
      </c>
      <c r="X3105" s="276" t="str">
        <f>[1]!S_Info_Name(W3105)</f>
        <v>电投水电</v>
      </c>
      <c r="Y3105" s="276" t="str">
        <f ca="1">IF($Y$3="申万一级行业",[1]!s_info_industry_sw_2021(W3105,公司分析!D$5,1),IF($Y$3="申万二级行业",[1]!s_info_industry_sw_2021(W3105,公司分析!D$5,2),IF($Y$3="申万三级行业",[1]!s_info_industry_sw_2021(W3105,公司分析!D$5,3),IF($Y$3="wind一级行业",[1]!s_info_industry_gics(W3105,1),IF($Y$3="wind二级行业",[1]!s_info_industry_gics(W3105,2),IF($Y$3="wind三级行业",[1]!s_info_industry_gics(W3105,3),IF($Y$3="wind四级行业",[1]!s_info_industry_gics(W3105,4),IF($Y$3="证监会门类行业",[1]!s_info_industry_csrc12_n(W3105,公司分析!D$5,1),""))))))))</f>
        <v>环境治理</v>
      </c>
      <c r="Z3105" s="302" t="str">
        <f ca="1">IF(Y3105=行业比较!$E$6,ROW(),"")</f>
        <v/>
      </c>
    </row>
    <row r="3106" spans="22:26">
      <c r="V3106" s="260">
        <f t="shared" ca="1" si="56"/>
        <v>0</v>
      </c>
      <c r="W3106" s="348" t="str">
        <f>IF(板块成分!B3108="","",板块成分!B3108)</f>
        <v>600293.SH</v>
      </c>
      <c r="X3106" s="276" t="str">
        <f>[1]!S_Info_Name(W3106)</f>
        <v>三峡新材</v>
      </c>
      <c r="Y3106" s="276" t="str">
        <f ca="1">IF($Y$3="申万一级行业",[1]!s_info_industry_sw_2021(W3106,公司分析!D$5,1),IF($Y$3="申万二级行业",[1]!s_info_industry_sw_2021(W3106,公司分析!D$5,2),IF($Y$3="申万三级行业",[1]!s_info_industry_sw_2021(W3106,公司分析!D$5,3),IF($Y$3="wind一级行业",[1]!s_info_industry_gics(W3106,1),IF($Y$3="wind二级行业",[1]!s_info_industry_gics(W3106,2),IF($Y$3="wind三级行业",[1]!s_info_industry_gics(W3106,3),IF($Y$3="wind四级行业",[1]!s_info_industry_gics(W3106,4),IF($Y$3="证监会门类行业",[1]!s_info_industry_csrc12_n(W3106,公司分析!D$5,1),""))))))))</f>
        <v>玻璃玻纤</v>
      </c>
      <c r="Z3106" s="302" t="str">
        <f ca="1">IF(Y3106=行业比较!$E$6,ROW(),"")</f>
        <v/>
      </c>
    </row>
    <row r="3107" spans="22:26">
      <c r="V3107" s="260">
        <f t="shared" ca="1" si="56"/>
        <v>0</v>
      </c>
      <c r="W3107" s="348" t="str">
        <f>IF(板块成分!B3109="","",板块成分!B3109)</f>
        <v>600295.SH</v>
      </c>
      <c r="X3107" s="276" t="str">
        <f>[1]!S_Info_Name(W3107)</f>
        <v>鄂尔多斯</v>
      </c>
      <c r="Y3107" s="276" t="str">
        <f ca="1">IF($Y$3="申万一级行业",[1]!s_info_industry_sw_2021(W3107,公司分析!D$5,1),IF($Y$3="申万二级行业",[1]!s_info_industry_sw_2021(W3107,公司分析!D$5,2),IF($Y$3="申万三级行业",[1]!s_info_industry_sw_2021(W3107,公司分析!D$5,3),IF($Y$3="wind一级行业",[1]!s_info_industry_gics(W3107,1),IF($Y$3="wind二级行业",[1]!s_info_industry_gics(W3107,2),IF($Y$3="wind三级行业",[1]!s_info_industry_gics(W3107,3),IF($Y$3="wind四级行业",[1]!s_info_industry_gics(W3107,4),IF($Y$3="证监会门类行业",[1]!s_info_industry_csrc12_n(W3107,公司分析!D$5,1),""))))))))</f>
        <v>冶钢原料</v>
      </c>
      <c r="Z3107" s="302" t="str">
        <f ca="1">IF(Y3107=行业比较!$E$6,ROW(),"")</f>
        <v/>
      </c>
    </row>
    <row r="3108" spans="22:26">
      <c r="V3108" s="260">
        <f t="shared" ca="1" si="56"/>
        <v>0</v>
      </c>
      <c r="W3108" s="348" t="str">
        <f>IF(板块成分!B3110="","",板块成分!B3110)</f>
        <v>600298.SH</v>
      </c>
      <c r="X3108" s="276" t="str">
        <f>[1]!S_Info_Name(W3108)</f>
        <v>安琪酵母</v>
      </c>
      <c r="Y3108" s="276" t="str">
        <f ca="1">IF($Y$3="申万一级行业",[1]!s_info_industry_sw_2021(W3108,公司分析!D$5,1),IF($Y$3="申万二级行业",[1]!s_info_industry_sw_2021(W3108,公司分析!D$5,2),IF($Y$3="申万三级行业",[1]!s_info_industry_sw_2021(W3108,公司分析!D$5,3),IF($Y$3="wind一级行业",[1]!s_info_industry_gics(W3108,1),IF($Y$3="wind二级行业",[1]!s_info_industry_gics(W3108,2),IF($Y$3="wind三级行业",[1]!s_info_industry_gics(W3108,3),IF($Y$3="wind四级行业",[1]!s_info_industry_gics(W3108,4),IF($Y$3="证监会门类行业",[1]!s_info_industry_csrc12_n(W3108,公司分析!D$5,1),""))))))))</f>
        <v>调味发酵品Ⅱ</v>
      </c>
      <c r="Z3108" s="302" t="str">
        <f ca="1">IF(Y3108=行业比较!$E$6,ROW(),"")</f>
        <v/>
      </c>
    </row>
    <row r="3109" spans="22:26">
      <c r="V3109" s="260">
        <f t="shared" ca="1" si="56"/>
        <v>0</v>
      </c>
      <c r="W3109" s="348" t="str">
        <f>IF(板块成分!B3111="","",板块成分!B3111)</f>
        <v>600299.SH</v>
      </c>
      <c r="X3109" s="276" t="str">
        <f>[1]!S_Info_Name(W3109)</f>
        <v>安迪苏</v>
      </c>
      <c r="Y3109" s="276" t="str">
        <f ca="1">IF($Y$3="申万一级行业",[1]!s_info_industry_sw_2021(W3109,公司分析!D$5,1),IF($Y$3="申万二级行业",[1]!s_info_industry_sw_2021(W3109,公司分析!D$5,2),IF($Y$3="申万三级行业",[1]!s_info_industry_sw_2021(W3109,公司分析!D$5,3),IF($Y$3="wind一级行业",[1]!s_info_industry_gics(W3109,1),IF($Y$3="wind二级行业",[1]!s_info_industry_gics(W3109,2),IF($Y$3="wind三级行业",[1]!s_info_industry_gics(W3109,3),IF($Y$3="wind四级行业",[1]!s_info_industry_gics(W3109,4),IF($Y$3="证监会门类行业",[1]!s_info_industry_csrc12_n(W3109,公司分析!D$5,1),""))))))))</f>
        <v>化学制品</v>
      </c>
      <c r="Z3109" s="302" t="str">
        <f ca="1">IF(Y3109=行业比较!$E$6,ROW(),"")</f>
        <v/>
      </c>
    </row>
    <row r="3110" spans="22:26">
      <c r="V3110" s="260">
        <f t="shared" ca="1" si="56"/>
        <v>0</v>
      </c>
      <c r="W3110" s="348" t="str">
        <f>IF(板块成分!B3112="","",板块成分!B3112)</f>
        <v>600300.SH</v>
      </c>
      <c r="X3110" s="276" t="str">
        <f>[1]!S_Info_Name(W3110)</f>
        <v>维维股份</v>
      </c>
      <c r="Y3110" s="276" t="str">
        <f ca="1">IF($Y$3="申万一级行业",[1]!s_info_industry_sw_2021(W3110,公司分析!D$5,1),IF($Y$3="申万二级行业",[1]!s_info_industry_sw_2021(W3110,公司分析!D$5,2),IF($Y$3="申万三级行业",[1]!s_info_industry_sw_2021(W3110,公司分析!D$5,3),IF($Y$3="wind一级行业",[1]!s_info_industry_gics(W3110,1),IF($Y$3="wind二级行业",[1]!s_info_industry_gics(W3110,2),IF($Y$3="wind三级行业",[1]!s_info_industry_gics(W3110,3),IF($Y$3="wind四级行业",[1]!s_info_industry_gics(W3110,4),IF($Y$3="证监会门类行业",[1]!s_info_industry_csrc12_n(W3110,公司分析!D$5,1),""))))))))</f>
        <v>饮料乳品</v>
      </c>
      <c r="Z3110" s="302" t="str">
        <f ca="1">IF(Y3110=行业比较!$E$6,ROW(),"")</f>
        <v/>
      </c>
    </row>
    <row r="3111" spans="22:26">
      <c r="V3111" s="260">
        <f t="shared" ca="1" si="56"/>
        <v>0</v>
      </c>
      <c r="W3111" s="348" t="str">
        <f>IF(板块成分!B3113="","",板块成分!B3113)</f>
        <v>600301.SH</v>
      </c>
      <c r="X3111" s="276" t="str">
        <f>[1]!S_Info_Name(W3111)</f>
        <v>华锡有色</v>
      </c>
      <c r="Y3111" s="276" t="str">
        <f ca="1">IF($Y$3="申万一级行业",[1]!s_info_industry_sw_2021(W3111,公司分析!D$5,1),IF($Y$3="申万二级行业",[1]!s_info_industry_sw_2021(W3111,公司分析!D$5,2),IF($Y$3="申万三级行业",[1]!s_info_industry_sw_2021(W3111,公司分析!D$5,3),IF($Y$3="wind一级行业",[1]!s_info_industry_gics(W3111,1),IF($Y$3="wind二级行业",[1]!s_info_industry_gics(W3111,2),IF($Y$3="wind三级行业",[1]!s_info_industry_gics(W3111,3),IF($Y$3="wind四级行业",[1]!s_info_industry_gics(W3111,4),IF($Y$3="证监会门类行业",[1]!s_info_industry_csrc12_n(W3111,公司分析!D$5,1),""))))))))</f>
        <v>小金属</v>
      </c>
      <c r="Z3111" s="302" t="str">
        <f ca="1">IF(Y3111=行业比较!$E$6,ROW(),"")</f>
        <v/>
      </c>
    </row>
    <row r="3112" spans="22:26">
      <c r="V3112" s="260">
        <f t="shared" ca="1" si="56"/>
        <v>0</v>
      </c>
      <c r="W3112" s="348" t="str">
        <f>IF(板块成分!B3114="","",板块成分!B3114)</f>
        <v>600302.SH</v>
      </c>
      <c r="X3112" s="276" t="str">
        <f>[1]!S_Info_Name(W3112)</f>
        <v>标准股份</v>
      </c>
      <c r="Y3112" s="276" t="str">
        <f ca="1">IF($Y$3="申万一级行业",[1]!s_info_industry_sw_2021(W3112,公司分析!D$5,1),IF($Y$3="申万二级行业",[1]!s_info_industry_sw_2021(W3112,公司分析!D$5,2),IF($Y$3="申万三级行业",[1]!s_info_industry_sw_2021(W3112,公司分析!D$5,3),IF($Y$3="wind一级行业",[1]!s_info_industry_gics(W3112,1),IF($Y$3="wind二级行业",[1]!s_info_industry_gics(W3112,2),IF($Y$3="wind三级行业",[1]!s_info_industry_gics(W3112,3),IF($Y$3="wind四级行业",[1]!s_info_industry_gics(W3112,4),IF($Y$3="证监会门类行业",[1]!s_info_industry_csrc12_n(W3112,公司分析!D$5,1),""))))))))</f>
        <v>专用设备</v>
      </c>
      <c r="Z3112" s="302" t="str">
        <f ca="1">IF(Y3112=行业比较!$E$6,ROW(),"")</f>
        <v/>
      </c>
    </row>
    <row r="3113" spans="22:26">
      <c r="V3113" s="260">
        <f t="shared" ca="1" si="56"/>
        <v>0</v>
      </c>
      <c r="W3113" s="348" t="str">
        <f>IF(板块成分!B3115="","",板块成分!B3115)</f>
        <v>600303.SH</v>
      </c>
      <c r="X3113" s="276" t="str">
        <f>[1]!S_Info_Name(W3113)</f>
        <v>曙光股份</v>
      </c>
      <c r="Y3113" s="276" t="str">
        <f ca="1">IF($Y$3="申万一级行业",[1]!s_info_industry_sw_2021(W3113,公司分析!D$5,1),IF($Y$3="申万二级行业",[1]!s_info_industry_sw_2021(W3113,公司分析!D$5,2),IF($Y$3="申万三级行业",[1]!s_info_industry_sw_2021(W3113,公司分析!D$5,3),IF($Y$3="wind一级行业",[1]!s_info_industry_gics(W3113,1),IF($Y$3="wind二级行业",[1]!s_info_industry_gics(W3113,2),IF($Y$3="wind三级行业",[1]!s_info_industry_gics(W3113,3),IF($Y$3="wind四级行业",[1]!s_info_industry_gics(W3113,4),IF($Y$3="证监会门类行业",[1]!s_info_industry_csrc12_n(W3113,公司分析!D$5,1),""))))))))</f>
        <v>商用车</v>
      </c>
      <c r="Z3113" s="302" t="str">
        <f ca="1">IF(Y3113=行业比较!$E$6,ROW(),"")</f>
        <v/>
      </c>
    </row>
    <row r="3114" spans="22:26">
      <c r="V3114" s="260">
        <f t="shared" ca="1" si="56"/>
        <v>0</v>
      </c>
      <c r="W3114" s="348" t="str">
        <f>IF(板块成分!B3116="","",板块成分!B3116)</f>
        <v>600305.SH</v>
      </c>
      <c r="X3114" s="276" t="str">
        <f>[1]!S_Info_Name(W3114)</f>
        <v>恒顺醋业</v>
      </c>
      <c r="Y3114" s="276" t="str">
        <f ca="1">IF($Y$3="申万一级行业",[1]!s_info_industry_sw_2021(W3114,公司分析!D$5,1),IF($Y$3="申万二级行业",[1]!s_info_industry_sw_2021(W3114,公司分析!D$5,2),IF($Y$3="申万三级行业",[1]!s_info_industry_sw_2021(W3114,公司分析!D$5,3),IF($Y$3="wind一级行业",[1]!s_info_industry_gics(W3114,1),IF($Y$3="wind二级行业",[1]!s_info_industry_gics(W3114,2),IF($Y$3="wind三级行业",[1]!s_info_industry_gics(W3114,3),IF($Y$3="wind四级行业",[1]!s_info_industry_gics(W3114,4),IF($Y$3="证监会门类行业",[1]!s_info_industry_csrc12_n(W3114,公司分析!D$5,1),""))))))))</f>
        <v>调味发酵品Ⅱ</v>
      </c>
      <c r="Z3114" s="302" t="str">
        <f ca="1">IF(Y3114=行业比较!$E$6,ROW(),"")</f>
        <v/>
      </c>
    </row>
    <row r="3115" spans="22:26">
      <c r="V3115" s="260">
        <f t="shared" ca="1" si="56"/>
        <v>0</v>
      </c>
      <c r="W3115" s="348" t="str">
        <f>IF(板块成分!B3117="","",板块成分!B3117)</f>
        <v>600307.SH</v>
      </c>
      <c r="X3115" s="276" t="str">
        <f>[1]!S_Info_Name(W3115)</f>
        <v>酒钢宏兴</v>
      </c>
      <c r="Y3115" s="276" t="str">
        <f ca="1">IF($Y$3="申万一级行业",[1]!s_info_industry_sw_2021(W3115,公司分析!D$5,1),IF($Y$3="申万二级行业",[1]!s_info_industry_sw_2021(W3115,公司分析!D$5,2),IF($Y$3="申万三级行业",[1]!s_info_industry_sw_2021(W3115,公司分析!D$5,3),IF($Y$3="wind一级行业",[1]!s_info_industry_gics(W3115,1),IF($Y$3="wind二级行业",[1]!s_info_industry_gics(W3115,2),IF($Y$3="wind三级行业",[1]!s_info_industry_gics(W3115,3),IF($Y$3="wind四级行业",[1]!s_info_industry_gics(W3115,4),IF($Y$3="证监会门类行业",[1]!s_info_industry_csrc12_n(W3115,公司分析!D$5,1),""))))))))</f>
        <v>普钢</v>
      </c>
      <c r="Z3115" s="302" t="str">
        <f ca="1">IF(Y3115=行业比较!$E$6,ROW(),"")</f>
        <v/>
      </c>
    </row>
    <row r="3116" spans="22:26">
      <c r="V3116" s="260">
        <f t="shared" ca="1" si="56"/>
        <v>0</v>
      </c>
      <c r="W3116" s="348" t="str">
        <f>IF(板块成分!B3118="","",板块成分!B3118)</f>
        <v>600308.SH</v>
      </c>
      <c r="X3116" s="276" t="str">
        <f>[1]!S_Info_Name(W3116)</f>
        <v>华泰股份</v>
      </c>
      <c r="Y3116" s="276" t="str">
        <f ca="1">IF($Y$3="申万一级行业",[1]!s_info_industry_sw_2021(W3116,公司分析!D$5,1),IF($Y$3="申万二级行业",[1]!s_info_industry_sw_2021(W3116,公司分析!D$5,2),IF($Y$3="申万三级行业",[1]!s_info_industry_sw_2021(W3116,公司分析!D$5,3),IF($Y$3="wind一级行业",[1]!s_info_industry_gics(W3116,1),IF($Y$3="wind二级行业",[1]!s_info_industry_gics(W3116,2),IF($Y$3="wind三级行业",[1]!s_info_industry_gics(W3116,3),IF($Y$3="wind四级行业",[1]!s_info_industry_gics(W3116,4),IF($Y$3="证监会门类行业",[1]!s_info_industry_csrc12_n(W3116,公司分析!D$5,1),""))))))))</f>
        <v>造纸</v>
      </c>
      <c r="Z3116" s="302" t="str">
        <f ca="1">IF(Y3116=行业比较!$E$6,ROW(),"")</f>
        <v/>
      </c>
    </row>
    <row r="3117" spans="22:26">
      <c r="V3117" s="260">
        <f t="shared" ca="1" si="56"/>
        <v>0</v>
      </c>
      <c r="W3117" s="348" t="str">
        <f>IF(板块成分!B3119="","",板块成分!B3119)</f>
        <v>600309.SH</v>
      </c>
      <c r="X3117" s="276" t="str">
        <f>[1]!S_Info_Name(W3117)</f>
        <v>万华化学</v>
      </c>
      <c r="Y3117" s="276" t="str">
        <f ca="1">IF($Y$3="申万一级行业",[1]!s_info_industry_sw_2021(W3117,公司分析!D$5,1),IF($Y$3="申万二级行业",[1]!s_info_industry_sw_2021(W3117,公司分析!D$5,2),IF($Y$3="申万三级行业",[1]!s_info_industry_sw_2021(W3117,公司分析!D$5,3),IF($Y$3="wind一级行业",[1]!s_info_industry_gics(W3117,1),IF($Y$3="wind二级行业",[1]!s_info_industry_gics(W3117,2),IF($Y$3="wind三级行业",[1]!s_info_industry_gics(W3117,3),IF($Y$3="wind四级行业",[1]!s_info_industry_gics(W3117,4),IF($Y$3="证监会门类行业",[1]!s_info_industry_csrc12_n(W3117,公司分析!D$5,1),""))))))))</f>
        <v>化学制品</v>
      </c>
      <c r="Z3117" s="302" t="str">
        <f ca="1">IF(Y3117=行业比较!$E$6,ROW(),"")</f>
        <v/>
      </c>
    </row>
    <row r="3118" spans="22:26">
      <c r="V3118" s="260">
        <f t="shared" ca="1" si="56"/>
        <v>0</v>
      </c>
      <c r="W3118" s="348" t="str">
        <f>IF(板块成分!B3120="","",板块成分!B3120)</f>
        <v>600310.SH</v>
      </c>
      <c r="X3118" s="276" t="str">
        <f>[1]!S_Info_Name(W3118)</f>
        <v>广西能源</v>
      </c>
      <c r="Y3118" s="276" t="str">
        <f ca="1">IF($Y$3="申万一级行业",[1]!s_info_industry_sw_2021(W3118,公司分析!D$5,1),IF($Y$3="申万二级行业",[1]!s_info_industry_sw_2021(W3118,公司分析!D$5,2),IF($Y$3="申万三级行业",[1]!s_info_industry_sw_2021(W3118,公司分析!D$5,3),IF($Y$3="wind一级行业",[1]!s_info_industry_gics(W3118,1),IF($Y$3="wind二级行业",[1]!s_info_industry_gics(W3118,2),IF($Y$3="wind三级行业",[1]!s_info_industry_gics(W3118,3),IF($Y$3="wind四级行业",[1]!s_info_industry_gics(W3118,4),IF($Y$3="证监会门类行业",[1]!s_info_industry_csrc12_n(W3118,公司分析!D$5,1),""))))))))</f>
        <v>电力</v>
      </c>
      <c r="Z3118" s="302" t="str">
        <f ca="1">IF(Y3118=行业比较!$E$6,ROW(),"")</f>
        <v/>
      </c>
    </row>
    <row r="3119" spans="22:26">
      <c r="V3119" s="260">
        <f t="shared" ca="1" si="56"/>
        <v>0</v>
      </c>
      <c r="W3119" s="348" t="str">
        <f>IF(板块成分!B3121="","",板块成分!B3121)</f>
        <v>600312.SH</v>
      </c>
      <c r="X3119" s="276" t="str">
        <f>[1]!S_Info_Name(W3119)</f>
        <v>平高电气</v>
      </c>
      <c r="Y3119" s="276" t="str">
        <f ca="1">IF($Y$3="申万一级行业",[1]!s_info_industry_sw_2021(W3119,公司分析!D$5,1),IF($Y$3="申万二级行业",[1]!s_info_industry_sw_2021(W3119,公司分析!D$5,2),IF($Y$3="申万三级行业",[1]!s_info_industry_sw_2021(W3119,公司分析!D$5,3),IF($Y$3="wind一级行业",[1]!s_info_industry_gics(W3119,1),IF($Y$3="wind二级行业",[1]!s_info_industry_gics(W3119,2),IF($Y$3="wind三级行业",[1]!s_info_industry_gics(W3119,3),IF($Y$3="wind四级行业",[1]!s_info_industry_gics(W3119,4),IF($Y$3="证监会门类行业",[1]!s_info_industry_csrc12_n(W3119,公司分析!D$5,1),""))))))))</f>
        <v>电网设备</v>
      </c>
      <c r="Z3119" s="302" t="str">
        <f ca="1">IF(Y3119=行业比较!$E$6,ROW(),"")</f>
        <v/>
      </c>
    </row>
    <row r="3120" spans="22:26">
      <c r="V3120" s="260">
        <f t="shared" ca="1" si="56"/>
        <v>0</v>
      </c>
      <c r="W3120" s="348" t="str">
        <f>IF(板块成分!B3122="","",板块成分!B3122)</f>
        <v>600313.SH</v>
      </c>
      <c r="X3120" s="276" t="str">
        <f>[1]!S_Info_Name(W3120)</f>
        <v>农发种业</v>
      </c>
      <c r="Y3120" s="276" t="str">
        <f ca="1">IF($Y$3="申万一级行业",[1]!s_info_industry_sw_2021(W3120,公司分析!D$5,1),IF($Y$3="申万二级行业",[1]!s_info_industry_sw_2021(W3120,公司分析!D$5,2),IF($Y$3="申万三级行业",[1]!s_info_industry_sw_2021(W3120,公司分析!D$5,3),IF($Y$3="wind一级行业",[1]!s_info_industry_gics(W3120,1),IF($Y$3="wind二级行业",[1]!s_info_industry_gics(W3120,2),IF($Y$3="wind三级行业",[1]!s_info_industry_gics(W3120,3),IF($Y$3="wind四级行业",[1]!s_info_industry_gics(W3120,4),IF($Y$3="证监会门类行业",[1]!s_info_industry_csrc12_n(W3120,公司分析!D$5,1),""))))))))</f>
        <v>种植业</v>
      </c>
      <c r="Z3120" s="302" t="str">
        <f ca="1">IF(Y3120=行业比较!$E$6,ROW(),"")</f>
        <v/>
      </c>
    </row>
    <row r="3121" spans="22:26">
      <c r="V3121" s="260">
        <f t="shared" ca="1" si="56"/>
        <v>0</v>
      </c>
      <c r="W3121" s="348" t="str">
        <f>IF(板块成分!B3123="","",板块成分!B3123)</f>
        <v>600315.SH</v>
      </c>
      <c r="X3121" s="276" t="str">
        <f>[1]!S_Info_Name(W3121)</f>
        <v>上海家化</v>
      </c>
      <c r="Y3121" s="276" t="str">
        <f ca="1">IF($Y$3="申万一级行业",[1]!s_info_industry_sw_2021(W3121,公司分析!D$5,1),IF($Y$3="申万二级行业",[1]!s_info_industry_sw_2021(W3121,公司分析!D$5,2),IF($Y$3="申万三级行业",[1]!s_info_industry_sw_2021(W3121,公司分析!D$5,3),IF($Y$3="wind一级行业",[1]!s_info_industry_gics(W3121,1),IF($Y$3="wind二级行业",[1]!s_info_industry_gics(W3121,2),IF($Y$3="wind三级行业",[1]!s_info_industry_gics(W3121,3),IF($Y$3="wind四级行业",[1]!s_info_industry_gics(W3121,4),IF($Y$3="证监会门类行业",[1]!s_info_industry_csrc12_n(W3121,公司分析!D$5,1),""))))))))</f>
        <v>化妆品</v>
      </c>
      <c r="Z3121" s="302" t="str">
        <f ca="1">IF(Y3121=行业比较!$E$6,ROW(),"")</f>
        <v/>
      </c>
    </row>
    <row r="3122" spans="22:26">
      <c r="V3122" s="260">
        <f t="shared" ca="1" si="56"/>
        <v>0</v>
      </c>
      <c r="W3122" s="348" t="str">
        <f>IF(板块成分!B3124="","",板块成分!B3124)</f>
        <v>600316.SH</v>
      </c>
      <c r="X3122" s="276" t="str">
        <f>[1]!S_Info_Name(W3122)</f>
        <v>洪都航空</v>
      </c>
      <c r="Y3122" s="276" t="str">
        <f ca="1">IF($Y$3="申万一级行业",[1]!s_info_industry_sw_2021(W3122,公司分析!D$5,1),IF($Y$3="申万二级行业",[1]!s_info_industry_sw_2021(W3122,公司分析!D$5,2),IF($Y$3="申万三级行业",[1]!s_info_industry_sw_2021(W3122,公司分析!D$5,3),IF($Y$3="wind一级行业",[1]!s_info_industry_gics(W3122,1),IF($Y$3="wind二级行业",[1]!s_info_industry_gics(W3122,2),IF($Y$3="wind三级行业",[1]!s_info_industry_gics(W3122,3),IF($Y$3="wind四级行业",[1]!s_info_industry_gics(W3122,4),IF($Y$3="证监会门类行业",[1]!s_info_industry_csrc12_n(W3122,公司分析!D$5,1),""))))))))</f>
        <v>航空装备Ⅱ</v>
      </c>
      <c r="Z3122" s="302" t="str">
        <f ca="1">IF(Y3122=行业比较!$E$6,ROW(),"")</f>
        <v/>
      </c>
    </row>
    <row r="3123" spans="22:26">
      <c r="V3123" s="260">
        <f t="shared" ca="1" si="56"/>
        <v>0</v>
      </c>
      <c r="W3123" s="348" t="str">
        <f>IF(板块成分!B3125="","",板块成分!B3125)</f>
        <v>600318.SH</v>
      </c>
      <c r="X3123" s="276" t="str">
        <f>[1]!S_Info_Name(W3123)</f>
        <v>新力金融</v>
      </c>
      <c r="Y3123" s="276" t="str">
        <f ca="1">IF($Y$3="申万一级行业",[1]!s_info_industry_sw_2021(W3123,公司分析!D$5,1),IF($Y$3="申万二级行业",[1]!s_info_industry_sw_2021(W3123,公司分析!D$5,2),IF($Y$3="申万三级行业",[1]!s_info_industry_sw_2021(W3123,公司分析!D$5,3),IF($Y$3="wind一级行业",[1]!s_info_industry_gics(W3123,1),IF($Y$3="wind二级行业",[1]!s_info_industry_gics(W3123,2),IF($Y$3="wind三级行业",[1]!s_info_industry_gics(W3123,3),IF($Y$3="wind四级行业",[1]!s_info_industry_gics(W3123,4),IF($Y$3="证监会门类行业",[1]!s_info_industry_csrc12_n(W3123,公司分析!D$5,1),""))))))))</f>
        <v>多元金融</v>
      </c>
      <c r="Z3123" s="302" t="str">
        <f ca="1">IF(Y3123=行业比较!$E$6,ROW(),"")</f>
        <v/>
      </c>
    </row>
    <row r="3124" spans="22:26">
      <c r="V3124" s="260">
        <f t="shared" ca="1" si="56"/>
        <v>0</v>
      </c>
      <c r="W3124" s="348" t="str">
        <f>IF(板块成分!B3126="","",板块成分!B3126)</f>
        <v>600319.SH</v>
      </c>
      <c r="X3124" s="276" t="str">
        <f>[1]!S_Info_Name(W3124)</f>
        <v>亚星化学</v>
      </c>
      <c r="Y3124" s="276" t="str">
        <f ca="1">IF($Y$3="申万一级行业",[1]!s_info_industry_sw_2021(W3124,公司分析!D$5,1),IF($Y$3="申万二级行业",[1]!s_info_industry_sw_2021(W3124,公司分析!D$5,2),IF($Y$3="申万三级行业",[1]!s_info_industry_sw_2021(W3124,公司分析!D$5,3),IF($Y$3="wind一级行业",[1]!s_info_industry_gics(W3124,1),IF($Y$3="wind二级行业",[1]!s_info_industry_gics(W3124,2),IF($Y$3="wind三级行业",[1]!s_info_industry_gics(W3124,3),IF($Y$3="wind四级行业",[1]!s_info_industry_gics(W3124,4),IF($Y$3="证监会门类行业",[1]!s_info_industry_csrc12_n(W3124,公司分析!D$5,1),""))))))))</f>
        <v>化学原料</v>
      </c>
      <c r="Z3124" s="302" t="str">
        <f ca="1">IF(Y3124=行业比较!$E$6,ROW(),"")</f>
        <v/>
      </c>
    </row>
    <row r="3125" spans="22:26">
      <c r="V3125" s="260">
        <f t="shared" ca="1" si="56"/>
        <v>0</v>
      </c>
      <c r="W3125" s="348" t="str">
        <f>IF(板块成分!B3127="","",板块成分!B3127)</f>
        <v>600320.SH</v>
      </c>
      <c r="X3125" s="276" t="str">
        <f>[1]!S_Info_Name(W3125)</f>
        <v>振华重工</v>
      </c>
      <c r="Y3125" s="276" t="str">
        <f ca="1">IF($Y$3="申万一级行业",[1]!s_info_industry_sw_2021(W3125,公司分析!D$5,1),IF($Y$3="申万二级行业",[1]!s_info_industry_sw_2021(W3125,公司分析!D$5,2),IF($Y$3="申万三级行业",[1]!s_info_industry_sw_2021(W3125,公司分析!D$5,3),IF($Y$3="wind一级行业",[1]!s_info_industry_gics(W3125,1),IF($Y$3="wind二级行业",[1]!s_info_industry_gics(W3125,2),IF($Y$3="wind三级行业",[1]!s_info_industry_gics(W3125,3),IF($Y$3="wind四级行业",[1]!s_info_industry_gics(W3125,4),IF($Y$3="证监会门类行业",[1]!s_info_industry_csrc12_n(W3125,公司分析!D$5,1),""))))))))</f>
        <v>专用设备</v>
      </c>
      <c r="Z3125" s="302" t="str">
        <f ca="1">IF(Y3125=行业比较!$E$6,ROW(),"")</f>
        <v/>
      </c>
    </row>
    <row r="3126" spans="22:26">
      <c r="V3126" s="260">
        <f t="shared" ca="1" si="56"/>
        <v>0</v>
      </c>
      <c r="W3126" s="348" t="str">
        <f>IF(板块成分!B3128="","",板块成分!B3128)</f>
        <v>600322.SH</v>
      </c>
      <c r="X3126" s="276" t="str">
        <f>[1]!S_Info_Name(W3126)</f>
        <v>津投城开</v>
      </c>
      <c r="Y3126" s="276" t="str">
        <f ca="1">IF($Y$3="申万一级行业",[1]!s_info_industry_sw_2021(W3126,公司分析!D$5,1),IF($Y$3="申万二级行业",[1]!s_info_industry_sw_2021(W3126,公司分析!D$5,2),IF($Y$3="申万三级行业",[1]!s_info_industry_sw_2021(W3126,公司分析!D$5,3),IF($Y$3="wind一级行业",[1]!s_info_industry_gics(W3126,1),IF($Y$3="wind二级行业",[1]!s_info_industry_gics(W3126,2),IF($Y$3="wind三级行业",[1]!s_info_industry_gics(W3126,3),IF($Y$3="wind四级行业",[1]!s_info_industry_gics(W3126,4),IF($Y$3="证监会门类行业",[1]!s_info_industry_csrc12_n(W3126,公司分析!D$5,1),""))))))))</f>
        <v>房地产开发</v>
      </c>
      <c r="Z3126" s="302" t="str">
        <f ca="1">IF(Y3126=行业比较!$E$6,ROW(),"")</f>
        <v/>
      </c>
    </row>
    <row r="3127" spans="22:26">
      <c r="V3127" s="260">
        <f t="shared" ca="1" si="56"/>
        <v>0</v>
      </c>
      <c r="W3127" s="348" t="str">
        <f>IF(板块成分!B3129="","",板块成分!B3129)</f>
        <v>600323.SH</v>
      </c>
      <c r="X3127" s="276" t="str">
        <f>[1]!S_Info_Name(W3127)</f>
        <v>瀚蓝环境</v>
      </c>
      <c r="Y3127" s="276" t="str">
        <f ca="1">IF($Y$3="申万一级行业",[1]!s_info_industry_sw_2021(W3127,公司分析!D$5,1),IF($Y$3="申万二级行业",[1]!s_info_industry_sw_2021(W3127,公司分析!D$5,2),IF($Y$3="申万三级行业",[1]!s_info_industry_sw_2021(W3127,公司分析!D$5,3),IF($Y$3="wind一级行业",[1]!s_info_industry_gics(W3127,1),IF($Y$3="wind二级行业",[1]!s_info_industry_gics(W3127,2),IF($Y$3="wind三级行业",[1]!s_info_industry_gics(W3127,3),IF($Y$3="wind四级行业",[1]!s_info_industry_gics(W3127,4),IF($Y$3="证监会门类行业",[1]!s_info_industry_csrc12_n(W3127,公司分析!D$5,1),""))))))))</f>
        <v>环境治理</v>
      </c>
      <c r="Z3127" s="302" t="str">
        <f ca="1">IF(Y3127=行业比较!$E$6,ROW(),"")</f>
        <v/>
      </c>
    </row>
    <row r="3128" spans="22:26">
      <c r="V3128" s="260">
        <f t="shared" ca="1" si="56"/>
        <v>0</v>
      </c>
      <c r="W3128" s="348" t="str">
        <f>IF(板块成分!B3130="","",板块成分!B3130)</f>
        <v>600325.SH</v>
      </c>
      <c r="X3128" s="276" t="str">
        <f>[1]!S_Info_Name(W3128)</f>
        <v>华发股份</v>
      </c>
      <c r="Y3128" s="276" t="str">
        <f ca="1">IF($Y$3="申万一级行业",[1]!s_info_industry_sw_2021(W3128,公司分析!D$5,1),IF($Y$3="申万二级行业",[1]!s_info_industry_sw_2021(W3128,公司分析!D$5,2),IF($Y$3="申万三级行业",[1]!s_info_industry_sw_2021(W3128,公司分析!D$5,3),IF($Y$3="wind一级行业",[1]!s_info_industry_gics(W3128,1),IF($Y$3="wind二级行业",[1]!s_info_industry_gics(W3128,2),IF($Y$3="wind三级行业",[1]!s_info_industry_gics(W3128,3),IF($Y$3="wind四级行业",[1]!s_info_industry_gics(W3128,4),IF($Y$3="证监会门类行业",[1]!s_info_industry_csrc12_n(W3128,公司分析!D$5,1),""))))))))</f>
        <v>房地产开发</v>
      </c>
      <c r="Z3128" s="302" t="str">
        <f ca="1">IF(Y3128=行业比较!$E$6,ROW(),"")</f>
        <v/>
      </c>
    </row>
    <row r="3129" spans="22:26">
      <c r="V3129" s="260">
        <f t="shared" ca="1" si="56"/>
        <v>0</v>
      </c>
      <c r="W3129" s="348" t="str">
        <f>IF(板块成分!B3131="","",板块成分!B3131)</f>
        <v>600326.SH</v>
      </c>
      <c r="X3129" s="276" t="str">
        <f>[1]!S_Info_Name(W3129)</f>
        <v>西藏天路</v>
      </c>
      <c r="Y3129" s="276" t="str">
        <f ca="1">IF($Y$3="申万一级行业",[1]!s_info_industry_sw_2021(W3129,公司分析!D$5,1),IF($Y$3="申万二级行业",[1]!s_info_industry_sw_2021(W3129,公司分析!D$5,2),IF($Y$3="申万三级行业",[1]!s_info_industry_sw_2021(W3129,公司分析!D$5,3),IF($Y$3="wind一级行业",[1]!s_info_industry_gics(W3129,1),IF($Y$3="wind二级行业",[1]!s_info_industry_gics(W3129,2),IF($Y$3="wind三级行业",[1]!s_info_industry_gics(W3129,3),IF($Y$3="wind四级行业",[1]!s_info_industry_gics(W3129,4),IF($Y$3="证监会门类行业",[1]!s_info_industry_csrc12_n(W3129,公司分析!D$5,1),""))))))))</f>
        <v>水泥</v>
      </c>
      <c r="Z3129" s="302" t="str">
        <f ca="1">IF(Y3129=行业比较!$E$6,ROW(),"")</f>
        <v/>
      </c>
    </row>
    <row r="3130" spans="22:26">
      <c r="V3130" s="260">
        <f t="shared" ca="1" si="56"/>
        <v>0</v>
      </c>
      <c r="W3130" s="348" t="str">
        <f>IF(板块成分!B3132="","",板块成分!B3132)</f>
        <v>600327.SH</v>
      </c>
      <c r="X3130" s="276" t="str">
        <f>[1]!S_Info_Name(W3130)</f>
        <v>大东方</v>
      </c>
      <c r="Y3130" s="276" t="str">
        <f ca="1">IF($Y$3="申万一级行业",[1]!s_info_industry_sw_2021(W3130,公司分析!D$5,1),IF($Y$3="申万二级行业",[1]!s_info_industry_sw_2021(W3130,公司分析!D$5,2),IF($Y$3="申万三级行业",[1]!s_info_industry_sw_2021(W3130,公司分析!D$5,3),IF($Y$3="wind一级行业",[1]!s_info_industry_gics(W3130,1),IF($Y$3="wind二级行业",[1]!s_info_industry_gics(W3130,2),IF($Y$3="wind三级行业",[1]!s_info_industry_gics(W3130,3),IF($Y$3="wind四级行业",[1]!s_info_industry_gics(W3130,4),IF($Y$3="证监会门类行业",[1]!s_info_industry_csrc12_n(W3130,公司分析!D$5,1),""))))))))</f>
        <v>一般零售</v>
      </c>
      <c r="Z3130" s="302" t="str">
        <f ca="1">IF(Y3130=行业比较!$E$6,ROW(),"")</f>
        <v/>
      </c>
    </row>
    <row r="3131" spans="22:26">
      <c r="V3131" s="260">
        <f t="shared" ca="1" si="56"/>
        <v>0</v>
      </c>
      <c r="W3131" s="348" t="str">
        <f>IF(板块成分!B3133="","",板块成分!B3133)</f>
        <v>600328.SH</v>
      </c>
      <c r="X3131" s="276" t="str">
        <f>[1]!S_Info_Name(W3131)</f>
        <v>中盐化工</v>
      </c>
      <c r="Y3131" s="276" t="str">
        <f ca="1">IF($Y$3="申万一级行业",[1]!s_info_industry_sw_2021(W3131,公司分析!D$5,1),IF($Y$3="申万二级行业",[1]!s_info_industry_sw_2021(W3131,公司分析!D$5,2),IF($Y$3="申万三级行业",[1]!s_info_industry_sw_2021(W3131,公司分析!D$5,3),IF($Y$3="wind一级行业",[1]!s_info_industry_gics(W3131,1),IF($Y$3="wind二级行业",[1]!s_info_industry_gics(W3131,2),IF($Y$3="wind三级行业",[1]!s_info_industry_gics(W3131,3),IF($Y$3="wind四级行业",[1]!s_info_industry_gics(W3131,4),IF($Y$3="证监会门类行业",[1]!s_info_industry_csrc12_n(W3131,公司分析!D$5,1),""))))))))</f>
        <v>化学原料</v>
      </c>
      <c r="Z3131" s="302" t="str">
        <f ca="1">IF(Y3131=行业比较!$E$6,ROW(),"")</f>
        <v/>
      </c>
    </row>
    <row r="3132" spans="22:26">
      <c r="V3132" s="260">
        <f t="shared" ca="1" si="56"/>
        <v>0</v>
      </c>
      <c r="W3132" s="348" t="str">
        <f>IF(板块成分!B3134="","",板块成分!B3134)</f>
        <v>600329.SH</v>
      </c>
      <c r="X3132" s="276" t="str">
        <f>[1]!S_Info_Name(W3132)</f>
        <v>达仁堂</v>
      </c>
      <c r="Y3132" s="276" t="str">
        <f ca="1">IF($Y$3="申万一级行业",[1]!s_info_industry_sw_2021(W3132,公司分析!D$5,1),IF($Y$3="申万二级行业",[1]!s_info_industry_sw_2021(W3132,公司分析!D$5,2),IF($Y$3="申万三级行业",[1]!s_info_industry_sw_2021(W3132,公司分析!D$5,3),IF($Y$3="wind一级行业",[1]!s_info_industry_gics(W3132,1),IF($Y$3="wind二级行业",[1]!s_info_industry_gics(W3132,2),IF($Y$3="wind三级行业",[1]!s_info_industry_gics(W3132,3),IF($Y$3="wind四级行业",[1]!s_info_industry_gics(W3132,4),IF($Y$3="证监会门类行业",[1]!s_info_industry_csrc12_n(W3132,公司分析!D$5,1),""))))))))</f>
        <v>中药Ⅱ</v>
      </c>
      <c r="Z3132" s="302" t="str">
        <f ca="1">IF(Y3132=行业比较!$E$6,ROW(),"")</f>
        <v/>
      </c>
    </row>
    <row r="3133" spans="22:26">
      <c r="V3133" s="260">
        <f t="shared" ca="1" si="56"/>
        <v>0</v>
      </c>
      <c r="W3133" s="348" t="str">
        <f>IF(板块成分!B3135="","",板块成分!B3135)</f>
        <v>600330.SH</v>
      </c>
      <c r="X3133" s="276" t="str">
        <f>[1]!S_Info_Name(W3133)</f>
        <v>天通股份</v>
      </c>
      <c r="Y3133" s="276" t="str">
        <f ca="1">IF($Y$3="申万一级行业",[1]!s_info_industry_sw_2021(W3133,公司分析!D$5,1),IF($Y$3="申万二级行业",[1]!s_info_industry_sw_2021(W3133,公司分析!D$5,2),IF($Y$3="申万三级行业",[1]!s_info_industry_sw_2021(W3133,公司分析!D$5,3),IF($Y$3="wind一级行业",[1]!s_info_industry_gics(W3133,1),IF($Y$3="wind二级行业",[1]!s_info_industry_gics(W3133,2),IF($Y$3="wind三级行业",[1]!s_info_industry_gics(W3133,3),IF($Y$3="wind四级行业",[1]!s_info_industry_gics(W3133,4),IF($Y$3="证监会门类行业",[1]!s_info_industry_csrc12_n(W3133,公司分析!D$5,1),""))))))))</f>
        <v>电子化学品Ⅱ</v>
      </c>
      <c r="Z3133" s="302" t="str">
        <f ca="1">IF(Y3133=行业比较!$E$6,ROW(),"")</f>
        <v/>
      </c>
    </row>
    <row r="3134" spans="22:26">
      <c r="V3134" s="260">
        <f t="shared" ca="1" si="56"/>
        <v>0</v>
      </c>
      <c r="W3134" s="348" t="str">
        <f>IF(板块成分!B3136="","",板块成分!B3136)</f>
        <v>600331.SH</v>
      </c>
      <c r="X3134" s="276" t="str">
        <f>[1]!S_Info_Name(W3134)</f>
        <v>宏达股份</v>
      </c>
      <c r="Y3134" s="276" t="str">
        <f ca="1">IF($Y$3="申万一级行业",[1]!s_info_industry_sw_2021(W3134,公司分析!D$5,1),IF($Y$3="申万二级行业",[1]!s_info_industry_sw_2021(W3134,公司分析!D$5,2),IF($Y$3="申万三级行业",[1]!s_info_industry_sw_2021(W3134,公司分析!D$5,3),IF($Y$3="wind一级行业",[1]!s_info_industry_gics(W3134,1),IF($Y$3="wind二级行业",[1]!s_info_industry_gics(W3134,2),IF($Y$3="wind三级行业",[1]!s_info_industry_gics(W3134,3),IF($Y$3="wind四级行业",[1]!s_info_industry_gics(W3134,4),IF($Y$3="证监会门类行业",[1]!s_info_industry_csrc12_n(W3134,公司分析!D$5,1),""))))))))</f>
        <v>农化制品</v>
      </c>
      <c r="Z3134" s="302" t="str">
        <f ca="1">IF(Y3134=行业比较!$E$6,ROW(),"")</f>
        <v/>
      </c>
    </row>
    <row r="3135" spans="22:26">
      <c r="V3135" s="260">
        <f t="shared" ca="1" si="56"/>
        <v>0</v>
      </c>
      <c r="W3135" s="348" t="str">
        <f>IF(板块成分!B3137="","",板块成分!B3137)</f>
        <v>600332.SH</v>
      </c>
      <c r="X3135" s="276" t="str">
        <f>[1]!S_Info_Name(W3135)</f>
        <v>白云山</v>
      </c>
      <c r="Y3135" s="276" t="str">
        <f ca="1">IF($Y$3="申万一级行业",[1]!s_info_industry_sw_2021(W3135,公司分析!D$5,1),IF($Y$3="申万二级行业",[1]!s_info_industry_sw_2021(W3135,公司分析!D$5,2),IF($Y$3="申万三级行业",[1]!s_info_industry_sw_2021(W3135,公司分析!D$5,3),IF($Y$3="wind一级行业",[1]!s_info_industry_gics(W3135,1),IF($Y$3="wind二级行业",[1]!s_info_industry_gics(W3135,2),IF($Y$3="wind三级行业",[1]!s_info_industry_gics(W3135,3),IF($Y$3="wind四级行业",[1]!s_info_industry_gics(W3135,4),IF($Y$3="证监会门类行业",[1]!s_info_industry_csrc12_n(W3135,公司分析!D$5,1),""))))))))</f>
        <v>中药Ⅱ</v>
      </c>
      <c r="Z3135" s="302" t="str">
        <f ca="1">IF(Y3135=行业比较!$E$6,ROW(),"")</f>
        <v/>
      </c>
    </row>
    <row r="3136" spans="22:26">
      <c r="V3136" s="260">
        <f t="shared" ca="1" si="56"/>
        <v>0</v>
      </c>
      <c r="W3136" s="348" t="str">
        <f>IF(板块成分!B3138="","",板块成分!B3138)</f>
        <v>600333.SH</v>
      </c>
      <c r="X3136" s="276" t="str">
        <f>[1]!S_Info_Name(W3136)</f>
        <v>长春燃气</v>
      </c>
      <c r="Y3136" s="276" t="str">
        <f ca="1">IF($Y$3="申万一级行业",[1]!s_info_industry_sw_2021(W3136,公司分析!D$5,1),IF($Y$3="申万二级行业",[1]!s_info_industry_sw_2021(W3136,公司分析!D$5,2),IF($Y$3="申万三级行业",[1]!s_info_industry_sw_2021(W3136,公司分析!D$5,3),IF($Y$3="wind一级行业",[1]!s_info_industry_gics(W3136,1),IF($Y$3="wind二级行业",[1]!s_info_industry_gics(W3136,2),IF($Y$3="wind三级行业",[1]!s_info_industry_gics(W3136,3),IF($Y$3="wind四级行业",[1]!s_info_industry_gics(W3136,4),IF($Y$3="证监会门类行业",[1]!s_info_industry_csrc12_n(W3136,公司分析!D$5,1),""))))))))</f>
        <v>燃气Ⅱ</v>
      </c>
      <c r="Z3136" s="302" t="str">
        <f ca="1">IF(Y3136=行业比较!$E$6,ROW(),"")</f>
        <v/>
      </c>
    </row>
    <row r="3137" spans="22:26">
      <c r="V3137" s="260">
        <f t="shared" ca="1" si="56"/>
        <v>0</v>
      </c>
      <c r="W3137" s="348" t="str">
        <f>IF(板块成分!B3139="","",板块成分!B3139)</f>
        <v>600335.SH</v>
      </c>
      <c r="X3137" s="276" t="str">
        <f>[1]!S_Info_Name(W3137)</f>
        <v>国机汽车</v>
      </c>
      <c r="Y3137" s="276" t="str">
        <f ca="1">IF($Y$3="申万一级行业",[1]!s_info_industry_sw_2021(W3137,公司分析!D$5,1),IF($Y$3="申万二级行业",[1]!s_info_industry_sw_2021(W3137,公司分析!D$5,2),IF($Y$3="申万三级行业",[1]!s_info_industry_sw_2021(W3137,公司分析!D$5,3),IF($Y$3="wind一级行业",[1]!s_info_industry_gics(W3137,1),IF($Y$3="wind二级行业",[1]!s_info_industry_gics(W3137,2),IF($Y$3="wind三级行业",[1]!s_info_industry_gics(W3137,3),IF($Y$3="wind四级行业",[1]!s_info_industry_gics(W3137,4),IF($Y$3="证监会门类行业",[1]!s_info_industry_csrc12_n(W3137,公司分析!D$5,1),""))))))))</f>
        <v>汽车服务</v>
      </c>
      <c r="Z3137" s="302" t="str">
        <f ca="1">IF(Y3137=行业比较!$E$6,ROW(),"")</f>
        <v/>
      </c>
    </row>
    <row r="3138" spans="22:26">
      <c r="V3138" s="260">
        <f t="shared" ca="1" si="56"/>
        <v>0</v>
      </c>
      <c r="W3138" s="348" t="str">
        <f>IF(板块成分!B3140="","",板块成分!B3140)</f>
        <v>600336.SH</v>
      </c>
      <c r="X3138" s="276" t="str">
        <f>[1]!S_Info_Name(W3138)</f>
        <v>澳柯玛</v>
      </c>
      <c r="Y3138" s="276" t="str">
        <f ca="1">IF($Y$3="申万一级行业",[1]!s_info_industry_sw_2021(W3138,公司分析!D$5,1),IF($Y$3="申万二级行业",[1]!s_info_industry_sw_2021(W3138,公司分析!D$5,2),IF($Y$3="申万三级行业",[1]!s_info_industry_sw_2021(W3138,公司分析!D$5,3),IF($Y$3="wind一级行业",[1]!s_info_industry_gics(W3138,1),IF($Y$3="wind二级行业",[1]!s_info_industry_gics(W3138,2),IF($Y$3="wind三级行业",[1]!s_info_industry_gics(W3138,3),IF($Y$3="wind四级行业",[1]!s_info_industry_gics(W3138,4),IF($Y$3="证监会门类行业",[1]!s_info_industry_csrc12_n(W3138,公司分析!D$5,1),""))))))))</f>
        <v>白色家电</v>
      </c>
      <c r="Z3138" s="302" t="str">
        <f ca="1">IF(Y3138=行业比较!$E$6,ROW(),"")</f>
        <v/>
      </c>
    </row>
    <row r="3139" spans="22:26">
      <c r="V3139" s="260">
        <f t="shared" ca="1" si="56"/>
        <v>0</v>
      </c>
      <c r="W3139" s="348" t="str">
        <f>IF(板块成分!B3141="","",板块成分!B3141)</f>
        <v>600337.SH</v>
      </c>
      <c r="X3139" s="276" t="str">
        <f>[1]!S_Info_Name(W3139)</f>
        <v>美克家居</v>
      </c>
      <c r="Y3139" s="276" t="str">
        <f ca="1">IF($Y$3="申万一级行业",[1]!s_info_industry_sw_2021(W3139,公司分析!D$5,1),IF($Y$3="申万二级行业",[1]!s_info_industry_sw_2021(W3139,公司分析!D$5,2),IF($Y$3="申万三级行业",[1]!s_info_industry_sw_2021(W3139,公司分析!D$5,3),IF($Y$3="wind一级行业",[1]!s_info_industry_gics(W3139,1),IF($Y$3="wind二级行业",[1]!s_info_industry_gics(W3139,2),IF($Y$3="wind三级行业",[1]!s_info_industry_gics(W3139,3),IF($Y$3="wind四级行业",[1]!s_info_industry_gics(W3139,4),IF($Y$3="证监会门类行业",[1]!s_info_industry_csrc12_n(W3139,公司分析!D$5,1),""))))))))</f>
        <v>家居用品</v>
      </c>
      <c r="Z3139" s="302" t="str">
        <f ca="1">IF(Y3139=行业比较!$E$6,ROW(),"")</f>
        <v/>
      </c>
    </row>
    <row r="3140" spans="22:26">
      <c r="V3140" s="260">
        <f t="shared" ca="1" si="56"/>
        <v>32</v>
      </c>
      <c r="W3140" s="348" t="str">
        <f>IF(板块成分!B3142="","",板块成分!B3142)</f>
        <v>600338.SH</v>
      </c>
      <c r="X3140" s="276" t="str">
        <f>[1]!S_Info_Name(W3140)</f>
        <v>西藏珠峰</v>
      </c>
      <c r="Y3140" s="276" t="str">
        <f ca="1">IF($Y$3="申万一级行业",[1]!s_info_industry_sw_2021(W3140,公司分析!D$5,1),IF($Y$3="申万二级行业",[1]!s_info_industry_sw_2021(W3140,公司分析!D$5,2),IF($Y$3="申万三级行业",[1]!s_info_industry_sw_2021(W3140,公司分析!D$5,3),IF($Y$3="wind一级行业",[1]!s_info_industry_gics(W3140,1),IF($Y$3="wind二级行业",[1]!s_info_industry_gics(W3140,2),IF($Y$3="wind三级行业",[1]!s_info_industry_gics(W3140,3),IF($Y$3="wind四级行业",[1]!s_info_industry_gics(W3140,4),IF($Y$3="证监会门类行业",[1]!s_info_industry_csrc12_n(W3140,公司分析!D$5,1),""))))))))</f>
        <v>工业金属</v>
      </c>
      <c r="Z3140" s="302">
        <f ca="1">IF(Y3140=行业比较!$E$6,ROW(),"")</f>
        <v>3140</v>
      </c>
    </row>
    <row r="3141" spans="22:26">
      <c r="V3141" s="260">
        <f t="shared" ref="V3141:V3204" ca="1" si="57">IF(Z3141="",0,RANK(Z3141,Z:Z,1))</f>
        <v>0</v>
      </c>
      <c r="W3141" s="348" t="str">
        <f>IF(板块成分!B3143="","",板块成分!B3143)</f>
        <v>600339.SH</v>
      </c>
      <c r="X3141" s="276" t="str">
        <f>[1]!S_Info_Name(W3141)</f>
        <v>中油工程</v>
      </c>
      <c r="Y3141" s="276" t="str">
        <f ca="1">IF($Y$3="申万一级行业",[1]!s_info_industry_sw_2021(W3141,公司分析!D$5,1),IF($Y$3="申万二级行业",[1]!s_info_industry_sw_2021(W3141,公司分析!D$5,2),IF($Y$3="申万三级行业",[1]!s_info_industry_sw_2021(W3141,公司分析!D$5,3),IF($Y$3="wind一级行业",[1]!s_info_industry_gics(W3141,1),IF($Y$3="wind二级行业",[1]!s_info_industry_gics(W3141,2),IF($Y$3="wind三级行业",[1]!s_info_industry_gics(W3141,3),IF($Y$3="wind四级行业",[1]!s_info_industry_gics(W3141,4),IF($Y$3="证监会门类行业",[1]!s_info_industry_csrc12_n(W3141,公司分析!D$5,1),""))))))))</f>
        <v>油服工程</v>
      </c>
      <c r="Z3141" s="302" t="str">
        <f ca="1">IF(Y3141=行业比较!$E$6,ROW(),"")</f>
        <v/>
      </c>
    </row>
    <row r="3142" spans="22:26">
      <c r="V3142" s="260">
        <f t="shared" ca="1" si="57"/>
        <v>0</v>
      </c>
      <c r="W3142" s="348" t="str">
        <f>IF(板块成分!B3144="","",板块成分!B3144)</f>
        <v>600340.SH</v>
      </c>
      <c r="X3142" s="276" t="str">
        <f>[1]!S_Info_Name(W3142)</f>
        <v>华夏幸福</v>
      </c>
      <c r="Y3142" s="276" t="str">
        <f ca="1">IF($Y$3="申万一级行业",[1]!s_info_industry_sw_2021(W3142,公司分析!D$5,1),IF($Y$3="申万二级行业",[1]!s_info_industry_sw_2021(W3142,公司分析!D$5,2),IF($Y$3="申万三级行业",[1]!s_info_industry_sw_2021(W3142,公司分析!D$5,3),IF($Y$3="wind一级行业",[1]!s_info_industry_gics(W3142,1),IF($Y$3="wind二级行业",[1]!s_info_industry_gics(W3142,2),IF($Y$3="wind三级行业",[1]!s_info_industry_gics(W3142,3),IF($Y$3="wind四级行业",[1]!s_info_industry_gics(W3142,4),IF($Y$3="证监会门类行业",[1]!s_info_industry_csrc12_n(W3142,公司分析!D$5,1),""))))))))</f>
        <v>房地产开发</v>
      </c>
      <c r="Z3142" s="302" t="str">
        <f ca="1">IF(Y3142=行业比较!$E$6,ROW(),"")</f>
        <v/>
      </c>
    </row>
    <row r="3143" spans="22:26">
      <c r="V3143" s="260">
        <f t="shared" ca="1" si="57"/>
        <v>0</v>
      </c>
      <c r="W3143" s="348" t="str">
        <f>IF(板块成分!B3145="","",板块成分!B3145)</f>
        <v>600343.SH</v>
      </c>
      <c r="X3143" s="276" t="str">
        <f>[1]!S_Info_Name(W3143)</f>
        <v>航天动力</v>
      </c>
      <c r="Y3143" s="276" t="str">
        <f ca="1">IF($Y$3="申万一级行业",[1]!s_info_industry_sw_2021(W3143,公司分析!D$5,1),IF($Y$3="申万二级行业",[1]!s_info_industry_sw_2021(W3143,公司分析!D$5,2),IF($Y$3="申万三级行业",[1]!s_info_industry_sw_2021(W3143,公司分析!D$5,3),IF($Y$3="wind一级行业",[1]!s_info_industry_gics(W3143,1),IF($Y$3="wind二级行业",[1]!s_info_industry_gics(W3143,2),IF($Y$3="wind三级行业",[1]!s_info_industry_gics(W3143,3),IF($Y$3="wind四级行业",[1]!s_info_industry_gics(W3143,4),IF($Y$3="证监会门类行业",[1]!s_info_industry_csrc12_n(W3143,公司分析!D$5,1),""))))))))</f>
        <v>通用设备</v>
      </c>
      <c r="Z3143" s="302" t="str">
        <f ca="1">IF(Y3143=行业比较!$E$6,ROW(),"")</f>
        <v/>
      </c>
    </row>
    <row r="3144" spans="22:26">
      <c r="V3144" s="260">
        <f t="shared" ca="1" si="57"/>
        <v>0</v>
      </c>
      <c r="W3144" s="348" t="str">
        <f>IF(板块成分!B3146="","",板块成分!B3146)</f>
        <v>600345.SH</v>
      </c>
      <c r="X3144" s="276" t="str">
        <f>[1]!S_Info_Name(W3144)</f>
        <v>长江通信</v>
      </c>
      <c r="Y3144" s="276" t="str">
        <f ca="1">IF($Y$3="申万一级行业",[1]!s_info_industry_sw_2021(W3144,公司分析!D$5,1),IF($Y$3="申万二级行业",[1]!s_info_industry_sw_2021(W3144,公司分析!D$5,2),IF($Y$3="申万三级行业",[1]!s_info_industry_sw_2021(W3144,公司分析!D$5,3),IF($Y$3="wind一级行业",[1]!s_info_industry_gics(W3144,1),IF($Y$3="wind二级行业",[1]!s_info_industry_gics(W3144,2),IF($Y$3="wind三级行业",[1]!s_info_industry_gics(W3144,3),IF($Y$3="wind四级行业",[1]!s_info_industry_gics(W3144,4),IF($Y$3="证监会门类行业",[1]!s_info_industry_csrc12_n(W3144,公司分析!D$5,1),""))))))))</f>
        <v>通信设备</v>
      </c>
      <c r="Z3144" s="302" t="str">
        <f ca="1">IF(Y3144=行业比较!$E$6,ROW(),"")</f>
        <v/>
      </c>
    </row>
    <row r="3145" spans="22:26">
      <c r="V3145" s="260">
        <f t="shared" ca="1" si="57"/>
        <v>0</v>
      </c>
      <c r="W3145" s="348" t="str">
        <f>IF(板块成分!B3147="","",板块成分!B3147)</f>
        <v>600346.SH</v>
      </c>
      <c r="X3145" s="276" t="str">
        <f>[1]!S_Info_Name(W3145)</f>
        <v>恒力石化</v>
      </c>
      <c r="Y3145" s="276" t="str">
        <f ca="1">IF($Y$3="申万一级行业",[1]!s_info_industry_sw_2021(W3145,公司分析!D$5,1),IF($Y$3="申万二级行业",[1]!s_info_industry_sw_2021(W3145,公司分析!D$5,2),IF($Y$3="申万三级行业",[1]!s_info_industry_sw_2021(W3145,公司分析!D$5,3),IF($Y$3="wind一级行业",[1]!s_info_industry_gics(W3145,1),IF($Y$3="wind二级行业",[1]!s_info_industry_gics(W3145,2),IF($Y$3="wind三级行业",[1]!s_info_industry_gics(W3145,3),IF($Y$3="wind四级行业",[1]!s_info_industry_gics(W3145,4),IF($Y$3="证监会门类行业",[1]!s_info_industry_csrc12_n(W3145,公司分析!D$5,1),""))))))))</f>
        <v>炼化及贸易</v>
      </c>
      <c r="Z3145" s="302" t="str">
        <f ca="1">IF(Y3145=行业比较!$E$6,ROW(),"")</f>
        <v/>
      </c>
    </row>
    <row r="3146" spans="22:26">
      <c r="V3146" s="260">
        <f t="shared" ca="1" si="57"/>
        <v>0</v>
      </c>
      <c r="W3146" s="348" t="str">
        <f>IF(板块成分!B3148="","",板块成分!B3148)</f>
        <v>600348.SH</v>
      </c>
      <c r="X3146" s="276" t="str">
        <f>[1]!S_Info_Name(W3146)</f>
        <v>华阳股份</v>
      </c>
      <c r="Y3146" s="276" t="str">
        <f ca="1">IF($Y$3="申万一级行业",[1]!s_info_industry_sw_2021(W3146,公司分析!D$5,1),IF($Y$3="申万二级行业",[1]!s_info_industry_sw_2021(W3146,公司分析!D$5,2),IF($Y$3="申万三级行业",[1]!s_info_industry_sw_2021(W3146,公司分析!D$5,3),IF($Y$3="wind一级行业",[1]!s_info_industry_gics(W3146,1),IF($Y$3="wind二级行业",[1]!s_info_industry_gics(W3146,2),IF($Y$3="wind三级行业",[1]!s_info_industry_gics(W3146,3),IF($Y$3="wind四级行业",[1]!s_info_industry_gics(W3146,4),IF($Y$3="证监会门类行业",[1]!s_info_industry_csrc12_n(W3146,公司分析!D$5,1),""))))))))</f>
        <v>煤炭开采</v>
      </c>
      <c r="Z3146" s="302" t="str">
        <f ca="1">IF(Y3146=行业比较!$E$6,ROW(),"")</f>
        <v/>
      </c>
    </row>
    <row r="3147" spans="22:26">
      <c r="V3147" s="260">
        <f t="shared" ca="1" si="57"/>
        <v>0</v>
      </c>
      <c r="W3147" s="348" t="str">
        <f>IF(板块成分!B3149="","",板块成分!B3149)</f>
        <v>600350.SH</v>
      </c>
      <c r="X3147" s="276" t="str">
        <f>[1]!S_Info_Name(W3147)</f>
        <v>山东高速</v>
      </c>
      <c r="Y3147" s="276" t="str">
        <f ca="1">IF($Y$3="申万一级行业",[1]!s_info_industry_sw_2021(W3147,公司分析!D$5,1),IF($Y$3="申万二级行业",[1]!s_info_industry_sw_2021(W3147,公司分析!D$5,2),IF($Y$3="申万三级行业",[1]!s_info_industry_sw_2021(W3147,公司分析!D$5,3),IF($Y$3="wind一级行业",[1]!s_info_industry_gics(W3147,1),IF($Y$3="wind二级行业",[1]!s_info_industry_gics(W3147,2),IF($Y$3="wind三级行业",[1]!s_info_industry_gics(W3147,3),IF($Y$3="wind四级行业",[1]!s_info_industry_gics(W3147,4),IF($Y$3="证监会门类行业",[1]!s_info_industry_csrc12_n(W3147,公司分析!D$5,1),""))))))))</f>
        <v>铁路公路</v>
      </c>
      <c r="Z3147" s="302" t="str">
        <f ca="1">IF(Y3147=行业比较!$E$6,ROW(),"")</f>
        <v/>
      </c>
    </row>
    <row r="3148" spans="22:26">
      <c r="V3148" s="260">
        <f t="shared" ca="1" si="57"/>
        <v>0</v>
      </c>
      <c r="W3148" s="348" t="str">
        <f>IF(板块成分!B3150="","",板块成分!B3150)</f>
        <v>600351.SH</v>
      </c>
      <c r="X3148" s="276" t="str">
        <f>[1]!S_Info_Name(W3148)</f>
        <v>亚宝药业</v>
      </c>
      <c r="Y3148" s="276" t="str">
        <f ca="1">IF($Y$3="申万一级行业",[1]!s_info_industry_sw_2021(W3148,公司分析!D$5,1),IF($Y$3="申万二级行业",[1]!s_info_industry_sw_2021(W3148,公司分析!D$5,2),IF($Y$3="申万三级行业",[1]!s_info_industry_sw_2021(W3148,公司分析!D$5,3),IF($Y$3="wind一级行业",[1]!s_info_industry_gics(W3148,1),IF($Y$3="wind二级行业",[1]!s_info_industry_gics(W3148,2),IF($Y$3="wind三级行业",[1]!s_info_industry_gics(W3148,3),IF($Y$3="wind四级行业",[1]!s_info_industry_gics(W3148,4),IF($Y$3="证监会门类行业",[1]!s_info_industry_csrc12_n(W3148,公司分析!D$5,1),""))))))))</f>
        <v>中药Ⅱ</v>
      </c>
      <c r="Z3148" s="302" t="str">
        <f ca="1">IF(Y3148=行业比较!$E$6,ROW(),"")</f>
        <v/>
      </c>
    </row>
    <row r="3149" spans="22:26">
      <c r="V3149" s="260">
        <f t="shared" ca="1" si="57"/>
        <v>0</v>
      </c>
      <c r="W3149" s="348" t="str">
        <f>IF(板块成分!B3151="","",板块成分!B3151)</f>
        <v>600352.SH</v>
      </c>
      <c r="X3149" s="276" t="str">
        <f>[1]!S_Info_Name(W3149)</f>
        <v>浙江龙盛</v>
      </c>
      <c r="Y3149" s="276" t="str">
        <f ca="1">IF($Y$3="申万一级行业",[1]!s_info_industry_sw_2021(W3149,公司分析!D$5,1),IF($Y$3="申万二级行业",[1]!s_info_industry_sw_2021(W3149,公司分析!D$5,2),IF($Y$3="申万三级行业",[1]!s_info_industry_sw_2021(W3149,公司分析!D$5,3),IF($Y$3="wind一级行业",[1]!s_info_industry_gics(W3149,1),IF($Y$3="wind二级行业",[1]!s_info_industry_gics(W3149,2),IF($Y$3="wind三级行业",[1]!s_info_industry_gics(W3149,3),IF($Y$3="wind四级行业",[1]!s_info_industry_gics(W3149,4),IF($Y$3="证监会门类行业",[1]!s_info_industry_csrc12_n(W3149,公司分析!D$5,1),""))))))))</f>
        <v>化学制品</v>
      </c>
      <c r="Z3149" s="302" t="str">
        <f ca="1">IF(Y3149=行业比较!$E$6,ROW(),"")</f>
        <v/>
      </c>
    </row>
    <row r="3150" spans="22:26">
      <c r="V3150" s="260">
        <f t="shared" ca="1" si="57"/>
        <v>0</v>
      </c>
      <c r="W3150" s="348" t="str">
        <f>IF(板块成分!B3152="","",板块成分!B3152)</f>
        <v>600353.SH</v>
      </c>
      <c r="X3150" s="276" t="str">
        <f>[1]!S_Info_Name(W3150)</f>
        <v>旭光电子</v>
      </c>
      <c r="Y3150" s="276" t="str">
        <f ca="1">IF($Y$3="申万一级行业",[1]!s_info_industry_sw_2021(W3150,公司分析!D$5,1),IF($Y$3="申万二级行业",[1]!s_info_industry_sw_2021(W3150,公司分析!D$5,2),IF($Y$3="申万三级行业",[1]!s_info_industry_sw_2021(W3150,公司分析!D$5,3),IF($Y$3="wind一级行业",[1]!s_info_industry_gics(W3150,1),IF($Y$3="wind二级行业",[1]!s_info_industry_gics(W3150,2),IF($Y$3="wind三级行业",[1]!s_info_industry_gics(W3150,3),IF($Y$3="wind四级行业",[1]!s_info_industry_gics(W3150,4),IF($Y$3="证监会门类行业",[1]!s_info_industry_csrc12_n(W3150,公司分析!D$5,1),""))))))))</f>
        <v>其他电子Ⅱ</v>
      </c>
      <c r="Z3150" s="302" t="str">
        <f ca="1">IF(Y3150=行业比较!$E$6,ROW(),"")</f>
        <v/>
      </c>
    </row>
    <row r="3151" spans="22:26">
      <c r="V3151" s="260">
        <f t="shared" ca="1" si="57"/>
        <v>0</v>
      </c>
      <c r="W3151" s="348" t="str">
        <f>IF(板块成分!B3153="","",板块成分!B3153)</f>
        <v>600354.SH</v>
      </c>
      <c r="X3151" s="276" t="str">
        <f>[1]!S_Info_Name(W3151)</f>
        <v>敦煌种业</v>
      </c>
      <c r="Y3151" s="276" t="str">
        <f ca="1">IF($Y$3="申万一级行业",[1]!s_info_industry_sw_2021(W3151,公司分析!D$5,1),IF($Y$3="申万二级行业",[1]!s_info_industry_sw_2021(W3151,公司分析!D$5,2),IF($Y$3="申万三级行业",[1]!s_info_industry_sw_2021(W3151,公司分析!D$5,3),IF($Y$3="wind一级行业",[1]!s_info_industry_gics(W3151,1),IF($Y$3="wind二级行业",[1]!s_info_industry_gics(W3151,2),IF($Y$3="wind三级行业",[1]!s_info_industry_gics(W3151,3),IF($Y$3="wind四级行业",[1]!s_info_industry_gics(W3151,4),IF($Y$3="证监会门类行业",[1]!s_info_industry_csrc12_n(W3151,公司分析!D$5,1),""))))))))</f>
        <v>种植业</v>
      </c>
      <c r="Z3151" s="302" t="str">
        <f ca="1">IF(Y3151=行业比较!$E$6,ROW(),"")</f>
        <v/>
      </c>
    </row>
    <row r="3152" spans="22:26">
      <c r="V3152" s="260">
        <f t="shared" ca="1" si="57"/>
        <v>0</v>
      </c>
      <c r="W3152" s="348" t="str">
        <f>IF(板块成分!B3154="","",板块成分!B3154)</f>
        <v>600355.SH</v>
      </c>
      <c r="X3152" s="276" t="str">
        <f>[1]!S_Info_Name(W3152)</f>
        <v>*ST精伦</v>
      </c>
      <c r="Y3152" s="276" t="str">
        <f ca="1">IF($Y$3="申万一级行业",[1]!s_info_industry_sw_2021(W3152,公司分析!D$5,1),IF($Y$3="申万二级行业",[1]!s_info_industry_sw_2021(W3152,公司分析!D$5,2),IF($Y$3="申万三级行业",[1]!s_info_industry_sw_2021(W3152,公司分析!D$5,3),IF($Y$3="wind一级行业",[1]!s_info_industry_gics(W3152,1),IF($Y$3="wind二级行业",[1]!s_info_industry_gics(W3152,2),IF($Y$3="wind三级行业",[1]!s_info_industry_gics(W3152,3),IF($Y$3="wind四级行业",[1]!s_info_industry_gics(W3152,4),IF($Y$3="证监会门类行业",[1]!s_info_industry_csrc12_n(W3152,公司分析!D$5,1),""))))))))</f>
        <v>通信设备</v>
      </c>
      <c r="Z3152" s="302" t="str">
        <f ca="1">IF(Y3152=行业比较!$E$6,ROW(),"")</f>
        <v/>
      </c>
    </row>
    <row r="3153" spans="22:26">
      <c r="V3153" s="260">
        <f t="shared" ca="1" si="57"/>
        <v>0</v>
      </c>
      <c r="W3153" s="348" t="str">
        <f>IF(板块成分!B3155="","",板块成分!B3155)</f>
        <v>600356.SH</v>
      </c>
      <c r="X3153" s="276" t="str">
        <f>[1]!S_Info_Name(W3153)</f>
        <v>恒丰纸业</v>
      </c>
      <c r="Y3153" s="276" t="str">
        <f ca="1">IF($Y$3="申万一级行业",[1]!s_info_industry_sw_2021(W3153,公司分析!D$5,1),IF($Y$3="申万二级行业",[1]!s_info_industry_sw_2021(W3153,公司分析!D$5,2),IF($Y$3="申万三级行业",[1]!s_info_industry_sw_2021(W3153,公司分析!D$5,3),IF($Y$3="wind一级行业",[1]!s_info_industry_gics(W3153,1),IF($Y$3="wind二级行业",[1]!s_info_industry_gics(W3153,2),IF($Y$3="wind三级行业",[1]!s_info_industry_gics(W3153,3),IF($Y$3="wind四级行业",[1]!s_info_industry_gics(W3153,4),IF($Y$3="证监会门类行业",[1]!s_info_industry_csrc12_n(W3153,公司分析!D$5,1),""))))))))</f>
        <v>造纸</v>
      </c>
      <c r="Z3153" s="302" t="str">
        <f ca="1">IF(Y3153=行业比较!$E$6,ROW(),"")</f>
        <v/>
      </c>
    </row>
    <row r="3154" spans="22:26">
      <c r="V3154" s="260">
        <f t="shared" ca="1" si="57"/>
        <v>0</v>
      </c>
      <c r="W3154" s="348" t="str">
        <f>IF(板块成分!B3156="","",板块成分!B3156)</f>
        <v>600358.SH</v>
      </c>
      <c r="X3154" s="276" t="str">
        <f>[1]!S_Info_Name(W3154)</f>
        <v>ST联合</v>
      </c>
      <c r="Y3154" s="276" t="str">
        <f ca="1">IF($Y$3="申万一级行业",[1]!s_info_industry_sw_2021(W3154,公司分析!D$5,1),IF($Y$3="申万二级行业",[1]!s_info_industry_sw_2021(W3154,公司分析!D$5,2),IF($Y$3="申万三级行业",[1]!s_info_industry_sw_2021(W3154,公司分析!D$5,3),IF($Y$3="wind一级行业",[1]!s_info_industry_gics(W3154,1),IF($Y$3="wind二级行业",[1]!s_info_industry_gics(W3154,2),IF($Y$3="wind三级行业",[1]!s_info_industry_gics(W3154,3),IF($Y$3="wind四级行业",[1]!s_info_industry_gics(W3154,4),IF($Y$3="证监会门类行业",[1]!s_info_industry_csrc12_n(W3154,公司分析!D$5,1),""))))))))</f>
        <v>广告营销</v>
      </c>
      <c r="Z3154" s="302" t="str">
        <f ca="1">IF(Y3154=行业比较!$E$6,ROW(),"")</f>
        <v/>
      </c>
    </row>
    <row r="3155" spans="22:26">
      <c r="V3155" s="260">
        <f t="shared" ca="1" si="57"/>
        <v>0</v>
      </c>
      <c r="W3155" s="348" t="str">
        <f>IF(板块成分!B3157="","",板块成分!B3157)</f>
        <v>600359.SH</v>
      </c>
      <c r="X3155" s="276" t="str">
        <f>[1]!S_Info_Name(W3155)</f>
        <v>新农开发</v>
      </c>
      <c r="Y3155" s="276" t="str">
        <f ca="1">IF($Y$3="申万一级行业",[1]!s_info_industry_sw_2021(W3155,公司分析!D$5,1),IF($Y$3="申万二级行业",[1]!s_info_industry_sw_2021(W3155,公司分析!D$5,2),IF($Y$3="申万三级行业",[1]!s_info_industry_sw_2021(W3155,公司分析!D$5,3),IF($Y$3="wind一级行业",[1]!s_info_industry_gics(W3155,1),IF($Y$3="wind二级行业",[1]!s_info_industry_gics(W3155,2),IF($Y$3="wind三级行业",[1]!s_info_industry_gics(W3155,3),IF($Y$3="wind四级行业",[1]!s_info_industry_gics(W3155,4),IF($Y$3="证监会门类行业",[1]!s_info_industry_csrc12_n(W3155,公司分析!D$5,1),""))))))))</f>
        <v>种植业</v>
      </c>
      <c r="Z3155" s="302" t="str">
        <f ca="1">IF(Y3155=行业比较!$E$6,ROW(),"")</f>
        <v/>
      </c>
    </row>
    <row r="3156" spans="22:26">
      <c r="V3156" s="260">
        <f t="shared" ca="1" si="57"/>
        <v>0</v>
      </c>
      <c r="W3156" s="348" t="str">
        <f>IF(板块成分!B3158="","",板块成分!B3158)</f>
        <v>600360.SH</v>
      </c>
      <c r="X3156" s="276" t="str">
        <f>[1]!S_Info_Name(W3156)</f>
        <v>*ST华微</v>
      </c>
      <c r="Y3156" s="276" t="str">
        <f ca="1">IF($Y$3="申万一级行业",[1]!s_info_industry_sw_2021(W3156,公司分析!D$5,1),IF($Y$3="申万二级行业",[1]!s_info_industry_sw_2021(W3156,公司分析!D$5,2),IF($Y$3="申万三级行业",[1]!s_info_industry_sw_2021(W3156,公司分析!D$5,3),IF($Y$3="wind一级行业",[1]!s_info_industry_gics(W3156,1),IF($Y$3="wind二级行业",[1]!s_info_industry_gics(W3156,2),IF($Y$3="wind三级行业",[1]!s_info_industry_gics(W3156,3),IF($Y$3="wind四级行业",[1]!s_info_industry_gics(W3156,4),IF($Y$3="证监会门类行业",[1]!s_info_industry_csrc12_n(W3156,公司分析!D$5,1),""))))))))</f>
        <v>半导体</v>
      </c>
      <c r="Z3156" s="302" t="str">
        <f ca="1">IF(Y3156=行业比较!$E$6,ROW(),"")</f>
        <v/>
      </c>
    </row>
    <row r="3157" spans="22:26">
      <c r="V3157" s="260">
        <f t="shared" ca="1" si="57"/>
        <v>33</v>
      </c>
      <c r="W3157" s="348" t="str">
        <f>IF(板块成分!B3159="","",板块成分!B3159)</f>
        <v>600361.SH</v>
      </c>
      <c r="X3157" s="276" t="str">
        <f>[1]!S_Info_Name(W3157)</f>
        <v>创新新材</v>
      </c>
      <c r="Y3157" s="276" t="str">
        <f ca="1">IF($Y$3="申万一级行业",[1]!s_info_industry_sw_2021(W3157,公司分析!D$5,1),IF($Y$3="申万二级行业",[1]!s_info_industry_sw_2021(W3157,公司分析!D$5,2),IF($Y$3="申万三级行业",[1]!s_info_industry_sw_2021(W3157,公司分析!D$5,3),IF($Y$3="wind一级行业",[1]!s_info_industry_gics(W3157,1),IF($Y$3="wind二级行业",[1]!s_info_industry_gics(W3157,2),IF($Y$3="wind三级行业",[1]!s_info_industry_gics(W3157,3),IF($Y$3="wind四级行业",[1]!s_info_industry_gics(W3157,4),IF($Y$3="证监会门类行业",[1]!s_info_industry_csrc12_n(W3157,公司分析!D$5,1),""))))))))</f>
        <v>工业金属</v>
      </c>
      <c r="Z3157" s="302">
        <f ca="1">IF(Y3157=行业比较!$E$6,ROW(),"")</f>
        <v>3157</v>
      </c>
    </row>
    <row r="3158" spans="22:26">
      <c r="V3158" s="260">
        <f t="shared" ca="1" si="57"/>
        <v>34</v>
      </c>
      <c r="W3158" s="348" t="str">
        <f>IF(板块成分!B3160="","",板块成分!B3160)</f>
        <v>600362.SH</v>
      </c>
      <c r="X3158" s="276" t="str">
        <f>[1]!S_Info_Name(W3158)</f>
        <v>江西铜业</v>
      </c>
      <c r="Y3158" s="276" t="str">
        <f ca="1">IF($Y$3="申万一级行业",[1]!s_info_industry_sw_2021(W3158,公司分析!D$5,1),IF($Y$3="申万二级行业",[1]!s_info_industry_sw_2021(W3158,公司分析!D$5,2),IF($Y$3="申万三级行业",[1]!s_info_industry_sw_2021(W3158,公司分析!D$5,3),IF($Y$3="wind一级行业",[1]!s_info_industry_gics(W3158,1),IF($Y$3="wind二级行业",[1]!s_info_industry_gics(W3158,2),IF($Y$3="wind三级行业",[1]!s_info_industry_gics(W3158,3),IF($Y$3="wind四级行业",[1]!s_info_industry_gics(W3158,4),IF($Y$3="证监会门类行业",[1]!s_info_industry_csrc12_n(W3158,公司分析!D$5,1),""))))))))</f>
        <v>工业金属</v>
      </c>
      <c r="Z3158" s="302">
        <f ca="1">IF(Y3158=行业比较!$E$6,ROW(),"")</f>
        <v>3158</v>
      </c>
    </row>
    <row r="3159" spans="22:26">
      <c r="V3159" s="260">
        <f t="shared" ca="1" si="57"/>
        <v>0</v>
      </c>
      <c r="W3159" s="348" t="str">
        <f>IF(板块成分!B3161="","",板块成分!B3161)</f>
        <v>600363.SH</v>
      </c>
      <c r="X3159" s="276" t="str">
        <f>[1]!S_Info_Name(W3159)</f>
        <v>联创光电</v>
      </c>
      <c r="Y3159" s="276" t="str">
        <f ca="1">IF($Y$3="申万一级行业",[1]!s_info_industry_sw_2021(W3159,公司分析!D$5,1),IF($Y$3="申万二级行业",[1]!s_info_industry_sw_2021(W3159,公司分析!D$5,2),IF($Y$3="申万三级行业",[1]!s_info_industry_sw_2021(W3159,公司分析!D$5,3),IF($Y$3="wind一级行业",[1]!s_info_industry_gics(W3159,1),IF($Y$3="wind二级行业",[1]!s_info_industry_gics(W3159,2),IF($Y$3="wind三级行业",[1]!s_info_industry_gics(W3159,3),IF($Y$3="wind四级行业",[1]!s_info_industry_gics(W3159,4),IF($Y$3="证监会门类行业",[1]!s_info_industry_csrc12_n(W3159,公司分析!D$5,1),""))))))))</f>
        <v>消费电子</v>
      </c>
      <c r="Z3159" s="302" t="str">
        <f ca="1">IF(Y3159=行业比较!$E$6,ROW(),"")</f>
        <v/>
      </c>
    </row>
    <row r="3160" spans="22:26">
      <c r="V3160" s="260">
        <f t="shared" ca="1" si="57"/>
        <v>0</v>
      </c>
      <c r="W3160" s="348" t="str">
        <f>IF(板块成分!B3162="","",板块成分!B3162)</f>
        <v>600365.SH</v>
      </c>
      <c r="X3160" s="276" t="str">
        <f>[1]!S_Info_Name(W3160)</f>
        <v>ST通葡</v>
      </c>
      <c r="Y3160" s="276" t="str">
        <f ca="1">IF($Y$3="申万一级行业",[1]!s_info_industry_sw_2021(W3160,公司分析!D$5,1),IF($Y$3="申万二级行业",[1]!s_info_industry_sw_2021(W3160,公司分析!D$5,2),IF($Y$3="申万三级行业",[1]!s_info_industry_sw_2021(W3160,公司分析!D$5,3),IF($Y$3="wind一级行业",[1]!s_info_industry_gics(W3160,1),IF($Y$3="wind二级行业",[1]!s_info_industry_gics(W3160,2),IF($Y$3="wind三级行业",[1]!s_info_industry_gics(W3160,3),IF($Y$3="wind四级行业",[1]!s_info_industry_gics(W3160,4),IF($Y$3="证监会门类行业",[1]!s_info_industry_csrc12_n(W3160,公司分析!D$5,1),""))))))))</f>
        <v>互联网电商</v>
      </c>
      <c r="Z3160" s="302" t="str">
        <f ca="1">IF(Y3160=行业比较!$E$6,ROW(),"")</f>
        <v/>
      </c>
    </row>
    <row r="3161" spans="22:26">
      <c r="V3161" s="260">
        <f t="shared" ca="1" si="57"/>
        <v>0</v>
      </c>
      <c r="W3161" s="348" t="str">
        <f>IF(板块成分!B3163="","",板块成分!B3163)</f>
        <v>600366.SH</v>
      </c>
      <c r="X3161" s="276" t="str">
        <f>[1]!S_Info_Name(W3161)</f>
        <v>宁波韵升</v>
      </c>
      <c r="Y3161" s="276" t="str">
        <f ca="1">IF($Y$3="申万一级行业",[1]!s_info_industry_sw_2021(W3161,公司分析!D$5,1),IF($Y$3="申万二级行业",[1]!s_info_industry_sw_2021(W3161,公司分析!D$5,2),IF($Y$3="申万三级行业",[1]!s_info_industry_sw_2021(W3161,公司分析!D$5,3),IF($Y$3="wind一级行业",[1]!s_info_industry_gics(W3161,1),IF($Y$3="wind二级行业",[1]!s_info_industry_gics(W3161,2),IF($Y$3="wind三级行业",[1]!s_info_industry_gics(W3161,3),IF($Y$3="wind四级行业",[1]!s_info_industry_gics(W3161,4),IF($Y$3="证监会门类行业",[1]!s_info_industry_csrc12_n(W3161,公司分析!D$5,1),""))))))))</f>
        <v>金属新材料</v>
      </c>
      <c r="Z3161" s="302" t="str">
        <f ca="1">IF(Y3161=行业比较!$E$6,ROW(),"")</f>
        <v/>
      </c>
    </row>
    <row r="3162" spans="22:26">
      <c r="V3162" s="260">
        <f t="shared" ca="1" si="57"/>
        <v>0</v>
      </c>
      <c r="W3162" s="348" t="str">
        <f>IF(板块成分!B3164="","",板块成分!B3164)</f>
        <v>600367.SH</v>
      </c>
      <c r="X3162" s="276" t="str">
        <f>[1]!S_Info_Name(W3162)</f>
        <v>红星发展</v>
      </c>
      <c r="Y3162" s="276" t="str">
        <f ca="1">IF($Y$3="申万一级行业",[1]!s_info_industry_sw_2021(W3162,公司分析!D$5,1),IF($Y$3="申万二级行业",[1]!s_info_industry_sw_2021(W3162,公司分析!D$5,2),IF($Y$3="申万三级行业",[1]!s_info_industry_sw_2021(W3162,公司分析!D$5,3),IF($Y$3="wind一级行业",[1]!s_info_industry_gics(W3162,1),IF($Y$3="wind二级行业",[1]!s_info_industry_gics(W3162,2),IF($Y$3="wind三级行业",[1]!s_info_industry_gics(W3162,3),IF($Y$3="wind四级行业",[1]!s_info_industry_gics(W3162,4),IF($Y$3="证监会门类行业",[1]!s_info_industry_csrc12_n(W3162,公司分析!D$5,1),""))))))))</f>
        <v>化学原料</v>
      </c>
      <c r="Z3162" s="302" t="str">
        <f ca="1">IF(Y3162=行业比较!$E$6,ROW(),"")</f>
        <v/>
      </c>
    </row>
    <row r="3163" spans="22:26">
      <c r="V3163" s="260">
        <f t="shared" ca="1" si="57"/>
        <v>0</v>
      </c>
      <c r="W3163" s="348" t="str">
        <f>IF(板块成分!B3165="","",板块成分!B3165)</f>
        <v>600368.SH</v>
      </c>
      <c r="X3163" s="276" t="str">
        <f>[1]!S_Info_Name(W3163)</f>
        <v>五洲交通</v>
      </c>
      <c r="Y3163" s="276" t="str">
        <f ca="1">IF($Y$3="申万一级行业",[1]!s_info_industry_sw_2021(W3163,公司分析!D$5,1),IF($Y$3="申万二级行业",[1]!s_info_industry_sw_2021(W3163,公司分析!D$5,2),IF($Y$3="申万三级行业",[1]!s_info_industry_sw_2021(W3163,公司分析!D$5,3),IF($Y$3="wind一级行业",[1]!s_info_industry_gics(W3163,1),IF($Y$3="wind二级行业",[1]!s_info_industry_gics(W3163,2),IF($Y$3="wind三级行业",[1]!s_info_industry_gics(W3163,3),IF($Y$3="wind四级行业",[1]!s_info_industry_gics(W3163,4),IF($Y$3="证监会门类行业",[1]!s_info_industry_csrc12_n(W3163,公司分析!D$5,1),""))))))))</f>
        <v>铁路公路</v>
      </c>
      <c r="Z3163" s="302" t="str">
        <f ca="1">IF(Y3163=行业比较!$E$6,ROW(),"")</f>
        <v/>
      </c>
    </row>
    <row r="3164" spans="22:26">
      <c r="V3164" s="260">
        <f t="shared" ca="1" si="57"/>
        <v>0</v>
      </c>
      <c r="W3164" s="348" t="str">
        <f>IF(板块成分!B3166="","",板块成分!B3166)</f>
        <v>600369.SH</v>
      </c>
      <c r="X3164" s="276" t="str">
        <f>[1]!S_Info_Name(W3164)</f>
        <v>西南证券</v>
      </c>
      <c r="Y3164" s="276" t="str">
        <f ca="1">IF($Y$3="申万一级行业",[1]!s_info_industry_sw_2021(W3164,公司分析!D$5,1),IF($Y$3="申万二级行业",[1]!s_info_industry_sw_2021(W3164,公司分析!D$5,2),IF($Y$3="申万三级行业",[1]!s_info_industry_sw_2021(W3164,公司分析!D$5,3),IF($Y$3="wind一级行业",[1]!s_info_industry_gics(W3164,1),IF($Y$3="wind二级行业",[1]!s_info_industry_gics(W3164,2),IF($Y$3="wind三级行业",[1]!s_info_industry_gics(W3164,3),IF($Y$3="wind四级行业",[1]!s_info_industry_gics(W3164,4),IF($Y$3="证监会门类行业",[1]!s_info_industry_csrc12_n(W3164,公司分析!D$5,1),""))))))))</f>
        <v>证券Ⅱ</v>
      </c>
      <c r="Z3164" s="302" t="str">
        <f ca="1">IF(Y3164=行业比较!$E$6,ROW(),"")</f>
        <v/>
      </c>
    </row>
    <row r="3165" spans="22:26">
      <c r="V3165" s="260">
        <f t="shared" ca="1" si="57"/>
        <v>0</v>
      </c>
      <c r="W3165" s="348" t="str">
        <f>IF(板块成分!B3167="","",板块成分!B3167)</f>
        <v>600370.SH</v>
      </c>
      <c r="X3165" s="276" t="str">
        <f>[1]!S_Info_Name(W3165)</f>
        <v>三房巷</v>
      </c>
      <c r="Y3165" s="276" t="str">
        <f ca="1">IF($Y$3="申万一级行业",[1]!s_info_industry_sw_2021(W3165,公司分析!D$5,1),IF($Y$3="申万二级行业",[1]!s_info_industry_sw_2021(W3165,公司分析!D$5,2),IF($Y$3="申万三级行业",[1]!s_info_industry_sw_2021(W3165,公司分析!D$5,3),IF($Y$3="wind一级行业",[1]!s_info_industry_gics(W3165,1),IF($Y$3="wind二级行业",[1]!s_info_industry_gics(W3165,2),IF($Y$3="wind三级行业",[1]!s_info_industry_gics(W3165,3),IF($Y$3="wind四级行业",[1]!s_info_industry_gics(W3165,4),IF($Y$3="证监会门类行业",[1]!s_info_industry_csrc12_n(W3165,公司分析!D$5,1),""))))))))</f>
        <v>化学纤维</v>
      </c>
      <c r="Z3165" s="302" t="str">
        <f ca="1">IF(Y3165=行业比较!$E$6,ROW(),"")</f>
        <v/>
      </c>
    </row>
    <row r="3166" spans="22:26">
      <c r="V3166" s="260">
        <f t="shared" ca="1" si="57"/>
        <v>0</v>
      </c>
      <c r="W3166" s="348" t="str">
        <f>IF(板块成分!B3168="","",板块成分!B3168)</f>
        <v>600371.SH</v>
      </c>
      <c r="X3166" s="276" t="str">
        <f>[1]!S_Info_Name(W3166)</f>
        <v>万向德农</v>
      </c>
      <c r="Y3166" s="276" t="str">
        <f ca="1">IF($Y$3="申万一级行业",[1]!s_info_industry_sw_2021(W3166,公司分析!D$5,1),IF($Y$3="申万二级行业",[1]!s_info_industry_sw_2021(W3166,公司分析!D$5,2),IF($Y$3="申万三级行业",[1]!s_info_industry_sw_2021(W3166,公司分析!D$5,3),IF($Y$3="wind一级行业",[1]!s_info_industry_gics(W3166,1),IF($Y$3="wind二级行业",[1]!s_info_industry_gics(W3166,2),IF($Y$3="wind三级行业",[1]!s_info_industry_gics(W3166,3),IF($Y$3="wind四级行业",[1]!s_info_industry_gics(W3166,4),IF($Y$3="证监会门类行业",[1]!s_info_industry_csrc12_n(W3166,公司分析!D$5,1),""))))))))</f>
        <v>种植业</v>
      </c>
      <c r="Z3166" s="302" t="str">
        <f ca="1">IF(Y3166=行业比较!$E$6,ROW(),"")</f>
        <v/>
      </c>
    </row>
    <row r="3167" spans="22:26">
      <c r="V3167" s="260">
        <f t="shared" ca="1" si="57"/>
        <v>0</v>
      </c>
      <c r="W3167" s="348" t="str">
        <f>IF(板块成分!B3169="","",板块成分!B3169)</f>
        <v>600372.SH</v>
      </c>
      <c r="X3167" s="276" t="str">
        <f>[1]!S_Info_Name(W3167)</f>
        <v>中航机载</v>
      </c>
      <c r="Y3167" s="276" t="str">
        <f ca="1">IF($Y$3="申万一级行业",[1]!s_info_industry_sw_2021(W3167,公司分析!D$5,1),IF($Y$3="申万二级行业",[1]!s_info_industry_sw_2021(W3167,公司分析!D$5,2),IF($Y$3="申万三级行业",[1]!s_info_industry_sw_2021(W3167,公司分析!D$5,3),IF($Y$3="wind一级行业",[1]!s_info_industry_gics(W3167,1),IF($Y$3="wind二级行业",[1]!s_info_industry_gics(W3167,2),IF($Y$3="wind三级行业",[1]!s_info_industry_gics(W3167,3),IF($Y$3="wind四级行业",[1]!s_info_industry_gics(W3167,4),IF($Y$3="证监会门类行业",[1]!s_info_industry_csrc12_n(W3167,公司分析!D$5,1),""))))))))</f>
        <v>航空装备Ⅱ</v>
      </c>
      <c r="Z3167" s="302" t="str">
        <f ca="1">IF(Y3167=行业比较!$E$6,ROW(),"")</f>
        <v/>
      </c>
    </row>
    <row r="3168" spans="22:26">
      <c r="V3168" s="260">
        <f t="shared" ca="1" si="57"/>
        <v>0</v>
      </c>
      <c r="W3168" s="348" t="str">
        <f>IF(板块成分!B3170="","",板块成分!B3170)</f>
        <v>600373.SH</v>
      </c>
      <c r="X3168" s="276" t="str">
        <f>[1]!S_Info_Name(W3168)</f>
        <v>中文传媒</v>
      </c>
      <c r="Y3168" s="276" t="str">
        <f ca="1">IF($Y$3="申万一级行业",[1]!s_info_industry_sw_2021(W3168,公司分析!D$5,1),IF($Y$3="申万二级行业",[1]!s_info_industry_sw_2021(W3168,公司分析!D$5,2),IF($Y$3="申万三级行业",[1]!s_info_industry_sw_2021(W3168,公司分析!D$5,3),IF($Y$3="wind一级行业",[1]!s_info_industry_gics(W3168,1),IF($Y$3="wind二级行业",[1]!s_info_industry_gics(W3168,2),IF($Y$3="wind三级行业",[1]!s_info_industry_gics(W3168,3),IF($Y$3="wind四级行业",[1]!s_info_industry_gics(W3168,4),IF($Y$3="证监会门类行业",[1]!s_info_industry_csrc12_n(W3168,公司分析!D$5,1),""))))))))</f>
        <v>出版</v>
      </c>
      <c r="Z3168" s="302" t="str">
        <f ca="1">IF(Y3168=行业比较!$E$6,ROW(),"")</f>
        <v/>
      </c>
    </row>
    <row r="3169" spans="22:26">
      <c r="V3169" s="260">
        <f t="shared" ca="1" si="57"/>
        <v>0</v>
      </c>
      <c r="W3169" s="348" t="str">
        <f>IF(板块成分!B3171="","",板块成分!B3171)</f>
        <v>600375.SH</v>
      </c>
      <c r="X3169" s="276" t="str">
        <f>[1]!S_Info_Name(W3169)</f>
        <v>汉马科技</v>
      </c>
      <c r="Y3169" s="276" t="str">
        <f ca="1">IF($Y$3="申万一级行业",[1]!s_info_industry_sw_2021(W3169,公司分析!D$5,1),IF($Y$3="申万二级行业",[1]!s_info_industry_sw_2021(W3169,公司分析!D$5,2),IF($Y$3="申万三级行业",[1]!s_info_industry_sw_2021(W3169,公司分析!D$5,3),IF($Y$3="wind一级行业",[1]!s_info_industry_gics(W3169,1),IF($Y$3="wind二级行业",[1]!s_info_industry_gics(W3169,2),IF($Y$3="wind三级行业",[1]!s_info_industry_gics(W3169,3),IF($Y$3="wind四级行业",[1]!s_info_industry_gics(W3169,4),IF($Y$3="证监会门类行业",[1]!s_info_industry_csrc12_n(W3169,公司分析!D$5,1),""))))))))</f>
        <v>商用车</v>
      </c>
      <c r="Z3169" s="302" t="str">
        <f ca="1">IF(Y3169=行业比较!$E$6,ROW(),"")</f>
        <v/>
      </c>
    </row>
    <row r="3170" spans="22:26">
      <c r="V3170" s="260">
        <f t="shared" ca="1" si="57"/>
        <v>0</v>
      </c>
      <c r="W3170" s="348" t="str">
        <f>IF(板块成分!B3172="","",板块成分!B3172)</f>
        <v>600376.SH</v>
      </c>
      <c r="X3170" s="276" t="str">
        <f>[1]!S_Info_Name(W3170)</f>
        <v>首开股份</v>
      </c>
      <c r="Y3170" s="276" t="str">
        <f ca="1">IF($Y$3="申万一级行业",[1]!s_info_industry_sw_2021(W3170,公司分析!D$5,1),IF($Y$3="申万二级行业",[1]!s_info_industry_sw_2021(W3170,公司分析!D$5,2),IF($Y$3="申万三级行业",[1]!s_info_industry_sw_2021(W3170,公司分析!D$5,3),IF($Y$3="wind一级行业",[1]!s_info_industry_gics(W3170,1),IF($Y$3="wind二级行业",[1]!s_info_industry_gics(W3170,2),IF($Y$3="wind三级行业",[1]!s_info_industry_gics(W3170,3),IF($Y$3="wind四级行业",[1]!s_info_industry_gics(W3170,4),IF($Y$3="证监会门类行业",[1]!s_info_industry_csrc12_n(W3170,公司分析!D$5,1),""))))))))</f>
        <v>房地产开发</v>
      </c>
      <c r="Z3170" s="302" t="str">
        <f ca="1">IF(Y3170=行业比较!$E$6,ROW(),"")</f>
        <v/>
      </c>
    </row>
    <row r="3171" spans="22:26">
      <c r="V3171" s="260">
        <f t="shared" ca="1" si="57"/>
        <v>0</v>
      </c>
      <c r="W3171" s="348" t="str">
        <f>IF(板块成分!B3173="","",板块成分!B3173)</f>
        <v>600377.SH</v>
      </c>
      <c r="X3171" s="276" t="str">
        <f>[1]!S_Info_Name(W3171)</f>
        <v>宁沪高速</v>
      </c>
      <c r="Y3171" s="276" t="str">
        <f ca="1">IF($Y$3="申万一级行业",[1]!s_info_industry_sw_2021(W3171,公司分析!D$5,1),IF($Y$3="申万二级行业",[1]!s_info_industry_sw_2021(W3171,公司分析!D$5,2),IF($Y$3="申万三级行业",[1]!s_info_industry_sw_2021(W3171,公司分析!D$5,3),IF($Y$3="wind一级行业",[1]!s_info_industry_gics(W3171,1),IF($Y$3="wind二级行业",[1]!s_info_industry_gics(W3171,2),IF($Y$3="wind三级行业",[1]!s_info_industry_gics(W3171,3),IF($Y$3="wind四级行业",[1]!s_info_industry_gics(W3171,4),IF($Y$3="证监会门类行业",[1]!s_info_industry_csrc12_n(W3171,公司分析!D$5,1),""))))))))</f>
        <v>铁路公路</v>
      </c>
      <c r="Z3171" s="302" t="str">
        <f ca="1">IF(Y3171=行业比较!$E$6,ROW(),"")</f>
        <v/>
      </c>
    </row>
    <row r="3172" spans="22:26">
      <c r="V3172" s="260">
        <f t="shared" ca="1" si="57"/>
        <v>0</v>
      </c>
      <c r="W3172" s="348" t="str">
        <f>IF(板块成分!B3174="","",板块成分!B3174)</f>
        <v>600378.SH</v>
      </c>
      <c r="X3172" s="276" t="str">
        <f>[1]!S_Info_Name(W3172)</f>
        <v>昊华科技</v>
      </c>
      <c r="Y3172" s="276" t="str">
        <f ca="1">IF($Y$3="申万一级行业",[1]!s_info_industry_sw_2021(W3172,公司分析!D$5,1),IF($Y$3="申万二级行业",[1]!s_info_industry_sw_2021(W3172,公司分析!D$5,2),IF($Y$3="申万三级行业",[1]!s_info_industry_sw_2021(W3172,公司分析!D$5,3),IF($Y$3="wind一级行业",[1]!s_info_industry_gics(W3172,1),IF($Y$3="wind二级行业",[1]!s_info_industry_gics(W3172,2),IF($Y$3="wind三级行业",[1]!s_info_industry_gics(W3172,3),IF($Y$3="wind四级行业",[1]!s_info_industry_gics(W3172,4),IF($Y$3="证监会门类行业",[1]!s_info_industry_csrc12_n(W3172,公司分析!D$5,1),""))))))))</f>
        <v>化学制品</v>
      </c>
      <c r="Z3172" s="302" t="str">
        <f ca="1">IF(Y3172=行业比较!$E$6,ROW(),"")</f>
        <v/>
      </c>
    </row>
    <row r="3173" spans="22:26">
      <c r="V3173" s="260">
        <f t="shared" ca="1" si="57"/>
        <v>0</v>
      </c>
      <c r="W3173" s="348" t="str">
        <f>IF(板块成分!B3175="","",板块成分!B3175)</f>
        <v>600379.SH</v>
      </c>
      <c r="X3173" s="276" t="str">
        <f>[1]!S_Info_Name(W3173)</f>
        <v>宝光股份</v>
      </c>
      <c r="Y3173" s="276" t="str">
        <f ca="1">IF($Y$3="申万一级行业",[1]!s_info_industry_sw_2021(W3173,公司分析!D$5,1),IF($Y$3="申万二级行业",[1]!s_info_industry_sw_2021(W3173,公司分析!D$5,2),IF($Y$3="申万三级行业",[1]!s_info_industry_sw_2021(W3173,公司分析!D$5,3),IF($Y$3="wind一级行业",[1]!s_info_industry_gics(W3173,1),IF($Y$3="wind二级行业",[1]!s_info_industry_gics(W3173,2),IF($Y$3="wind三级行业",[1]!s_info_industry_gics(W3173,3),IF($Y$3="wind四级行业",[1]!s_info_industry_gics(W3173,4),IF($Y$3="证监会门类行业",[1]!s_info_industry_csrc12_n(W3173,公司分析!D$5,1),""))))))))</f>
        <v>电网设备</v>
      </c>
      <c r="Z3173" s="302" t="str">
        <f ca="1">IF(Y3173=行业比较!$E$6,ROW(),"")</f>
        <v/>
      </c>
    </row>
    <row r="3174" spans="22:26">
      <c r="V3174" s="260">
        <f t="shared" ca="1" si="57"/>
        <v>0</v>
      </c>
      <c r="W3174" s="348" t="str">
        <f>IF(板块成分!B3176="","",板块成分!B3176)</f>
        <v>600380.SH</v>
      </c>
      <c r="X3174" s="276" t="str">
        <f>[1]!S_Info_Name(W3174)</f>
        <v>健康元</v>
      </c>
      <c r="Y3174" s="276" t="str">
        <f ca="1">IF($Y$3="申万一级行业",[1]!s_info_industry_sw_2021(W3174,公司分析!D$5,1),IF($Y$3="申万二级行业",[1]!s_info_industry_sw_2021(W3174,公司分析!D$5,2),IF($Y$3="申万三级行业",[1]!s_info_industry_sw_2021(W3174,公司分析!D$5,3),IF($Y$3="wind一级行业",[1]!s_info_industry_gics(W3174,1),IF($Y$3="wind二级行业",[1]!s_info_industry_gics(W3174,2),IF($Y$3="wind三级行业",[1]!s_info_industry_gics(W3174,3),IF($Y$3="wind四级行业",[1]!s_info_industry_gics(W3174,4),IF($Y$3="证监会门类行业",[1]!s_info_industry_csrc12_n(W3174,公司分析!D$5,1),""))))))))</f>
        <v>化学制药</v>
      </c>
      <c r="Z3174" s="302" t="str">
        <f ca="1">IF(Y3174=行业比较!$E$6,ROW(),"")</f>
        <v/>
      </c>
    </row>
    <row r="3175" spans="22:26">
      <c r="V3175" s="260">
        <f t="shared" ca="1" si="57"/>
        <v>0</v>
      </c>
      <c r="W3175" s="348" t="str">
        <f>IF(板块成分!B3177="","",板块成分!B3177)</f>
        <v>600381.SH</v>
      </c>
      <c r="X3175" s="276" t="str">
        <f>[1]!S_Info_Name(W3175)</f>
        <v>*ST春天</v>
      </c>
      <c r="Y3175" s="276" t="str">
        <f ca="1">IF($Y$3="申万一级行业",[1]!s_info_industry_sw_2021(W3175,公司分析!D$5,1),IF($Y$3="申万二级行业",[1]!s_info_industry_sw_2021(W3175,公司分析!D$5,2),IF($Y$3="申万三级行业",[1]!s_info_industry_sw_2021(W3175,公司分析!D$5,3),IF($Y$3="wind一级行业",[1]!s_info_industry_gics(W3175,1),IF($Y$3="wind二级行业",[1]!s_info_industry_gics(W3175,2),IF($Y$3="wind三级行业",[1]!s_info_industry_gics(W3175,3),IF($Y$3="wind四级行业",[1]!s_info_industry_gics(W3175,4),IF($Y$3="证监会门类行业",[1]!s_info_industry_csrc12_n(W3175,公司分析!D$5,1),""))))))))</f>
        <v>食品加工</v>
      </c>
      <c r="Z3175" s="302" t="str">
        <f ca="1">IF(Y3175=行业比较!$E$6,ROW(),"")</f>
        <v/>
      </c>
    </row>
    <row r="3176" spans="22:26">
      <c r="V3176" s="260">
        <f t="shared" ca="1" si="57"/>
        <v>0</v>
      </c>
      <c r="W3176" s="348" t="str">
        <f>IF(板块成分!B3178="","",板块成分!B3178)</f>
        <v>600382.SH</v>
      </c>
      <c r="X3176" s="276" t="str">
        <f>[1]!S_Info_Name(W3176)</f>
        <v>广东明珠</v>
      </c>
      <c r="Y3176" s="276" t="str">
        <f ca="1">IF($Y$3="申万一级行业",[1]!s_info_industry_sw_2021(W3176,公司分析!D$5,1),IF($Y$3="申万二级行业",[1]!s_info_industry_sw_2021(W3176,公司分析!D$5,2),IF($Y$3="申万三级行业",[1]!s_info_industry_sw_2021(W3176,公司分析!D$5,3),IF($Y$3="wind一级行业",[1]!s_info_industry_gics(W3176,1),IF($Y$3="wind二级行业",[1]!s_info_industry_gics(W3176,2),IF($Y$3="wind三级行业",[1]!s_info_industry_gics(W3176,3),IF($Y$3="wind四级行业",[1]!s_info_industry_gics(W3176,4),IF($Y$3="证监会门类行业",[1]!s_info_industry_csrc12_n(W3176,公司分析!D$5,1),""))))))))</f>
        <v>冶钢原料</v>
      </c>
      <c r="Z3176" s="302" t="str">
        <f ca="1">IF(Y3176=行业比较!$E$6,ROW(),"")</f>
        <v/>
      </c>
    </row>
    <row r="3177" spans="22:26">
      <c r="V3177" s="260">
        <f t="shared" ca="1" si="57"/>
        <v>0</v>
      </c>
      <c r="W3177" s="348" t="str">
        <f>IF(板块成分!B3179="","",板块成分!B3179)</f>
        <v>600383.SH</v>
      </c>
      <c r="X3177" s="276" t="str">
        <f>[1]!S_Info_Name(W3177)</f>
        <v>金地集团</v>
      </c>
      <c r="Y3177" s="276" t="str">
        <f ca="1">IF($Y$3="申万一级行业",[1]!s_info_industry_sw_2021(W3177,公司分析!D$5,1),IF($Y$3="申万二级行业",[1]!s_info_industry_sw_2021(W3177,公司分析!D$5,2),IF($Y$3="申万三级行业",[1]!s_info_industry_sw_2021(W3177,公司分析!D$5,3),IF($Y$3="wind一级行业",[1]!s_info_industry_gics(W3177,1),IF($Y$3="wind二级行业",[1]!s_info_industry_gics(W3177,2),IF($Y$3="wind三级行业",[1]!s_info_industry_gics(W3177,3),IF($Y$3="wind四级行业",[1]!s_info_industry_gics(W3177,4),IF($Y$3="证监会门类行业",[1]!s_info_industry_csrc12_n(W3177,公司分析!D$5,1),""))))))))</f>
        <v>房地产开发</v>
      </c>
      <c r="Z3177" s="302" t="str">
        <f ca="1">IF(Y3177=行业比较!$E$6,ROW(),"")</f>
        <v/>
      </c>
    </row>
    <row r="3178" spans="22:26">
      <c r="V3178" s="260">
        <f t="shared" ca="1" si="57"/>
        <v>0</v>
      </c>
      <c r="W3178" s="348" t="str">
        <f>IF(板块成分!B3180="","",板块成分!B3180)</f>
        <v>600386.SH</v>
      </c>
      <c r="X3178" s="276" t="str">
        <f>[1]!S_Info_Name(W3178)</f>
        <v>北巴传媒</v>
      </c>
      <c r="Y3178" s="276" t="str">
        <f ca="1">IF($Y$3="申万一级行业",[1]!s_info_industry_sw_2021(W3178,公司分析!D$5,1),IF($Y$3="申万二级行业",[1]!s_info_industry_sw_2021(W3178,公司分析!D$5,2),IF($Y$3="申万三级行业",[1]!s_info_industry_sw_2021(W3178,公司分析!D$5,3),IF($Y$3="wind一级行业",[1]!s_info_industry_gics(W3178,1),IF($Y$3="wind二级行业",[1]!s_info_industry_gics(W3178,2),IF($Y$3="wind三级行业",[1]!s_info_industry_gics(W3178,3),IF($Y$3="wind四级行业",[1]!s_info_industry_gics(W3178,4),IF($Y$3="证监会门类行业",[1]!s_info_industry_csrc12_n(W3178,公司分析!D$5,1),""))))))))</f>
        <v>汽车服务</v>
      </c>
      <c r="Z3178" s="302" t="str">
        <f ca="1">IF(Y3178=行业比较!$E$6,ROW(),"")</f>
        <v/>
      </c>
    </row>
    <row r="3179" spans="22:26">
      <c r="V3179" s="260">
        <f t="shared" ca="1" si="57"/>
        <v>0</v>
      </c>
      <c r="W3179" s="348" t="str">
        <f>IF(板块成分!B3181="","",板块成分!B3181)</f>
        <v>600388.SH</v>
      </c>
      <c r="X3179" s="276" t="str">
        <f>[1]!S_Info_Name(W3179)</f>
        <v>龙净环保</v>
      </c>
      <c r="Y3179" s="276" t="str">
        <f ca="1">IF($Y$3="申万一级行业",[1]!s_info_industry_sw_2021(W3179,公司分析!D$5,1),IF($Y$3="申万二级行业",[1]!s_info_industry_sw_2021(W3179,公司分析!D$5,2),IF($Y$3="申万三级行业",[1]!s_info_industry_sw_2021(W3179,公司分析!D$5,3),IF($Y$3="wind一级行业",[1]!s_info_industry_gics(W3179,1),IF($Y$3="wind二级行业",[1]!s_info_industry_gics(W3179,2),IF($Y$3="wind三级行业",[1]!s_info_industry_gics(W3179,3),IF($Y$3="wind四级行业",[1]!s_info_industry_gics(W3179,4),IF($Y$3="证监会门类行业",[1]!s_info_industry_csrc12_n(W3179,公司分析!D$5,1),""))))))))</f>
        <v>环保设备Ⅱ</v>
      </c>
      <c r="Z3179" s="302" t="str">
        <f ca="1">IF(Y3179=行业比较!$E$6,ROW(),"")</f>
        <v/>
      </c>
    </row>
    <row r="3180" spans="22:26">
      <c r="V3180" s="260">
        <f t="shared" ca="1" si="57"/>
        <v>0</v>
      </c>
      <c r="W3180" s="348" t="str">
        <f>IF(板块成分!B3182="","",板块成分!B3182)</f>
        <v>600389.SH</v>
      </c>
      <c r="X3180" s="276" t="str">
        <f>[1]!S_Info_Name(W3180)</f>
        <v>江山股份</v>
      </c>
      <c r="Y3180" s="276" t="str">
        <f ca="1">IF($Y$3="申万一级行业",[1]!s_info_industry_sw_2021(W3180,公司分析!D$5,1),IF($Y$3="申万二级行业",[1]!s_info_industry_sw_2021(W3180,公司分析!D$5,2),IF($Y$3="申万三级行业",[1]!s_info_industry_sw_2021(W3180,公司分析!D$5,3),IF($Y$3="wind一级行业",[1]!s_info_industry_gics(W3180,1),IF($Y$3="wind二级行业",[1]!s_info_industry_gics(W3180,2),IF($Y$3="wind三级行业",[1]!s_info_industry_gics(W3180,3),IF($Y$3="wind四级行业",[1]!s_info_industry_gics(W3180,4),IF($Y$3="证监会门类行业",[1]!s_info_industry_csrc12_n(W3180,公司分析!D$5,1),""))))))))</f>
        <v>农化制品</v>
      </c>
      <c r="Z3180" s="302" t="str">
        <f ca="1">IF(Y3180=行业比较!$E$6,ROW(),"")</f>
        <v/>
      </c>
    </row>
    <row r="3181" spans="22:26">
      <c r="V3181" s="260">
        <f t="shared" ca="1" si="57"/>
        <v>0</v>
      </c>
      <c r="W3181" s="348" t="str">
        <f>IF(板块成分!B3183="","",板块成分!B3183)</f>
        <v>600390.SH</v>
      </c>
      <c r="X3181" s="276" t="str">
        <f>[1]!S_Info_Name(W3181)</f>
        <v>五矿资本</v>
      </c>
      <c r="Y3181" s="276" t="str">
        <f ca="1">IF($Y$3="申万一级行业",[1]!s_info_industry_sw_2021(W3181,公司分析!D$5,1),IF($Y$3="申万二级行业",[1]!s_info_industry_sw_2021(W3181,公司分析!D$5,2),IF($Y$3="申万三级行业",[1]!s_info_industry_sw_2021(W3181,公司分析!D$5,3),IF($Y$3="wind一级行业",[1]!s_info_industry_gics(W3181,1),IF($Y$3="wind二级行业",[1]!s_info_industry_gics(W3181,2),IF($Y$3="wind三级行业",[1]!s_info_industry_gics(W3181,3),IF($Y$3="wind四级行业",[1]!s_info_industry_gics(W3181,4),IF($Y$3="证监会门类行业",[1]!s_info_industry_csrc12_n(W3181,公司分析!D$5,1),""))))))))</f>
        <v>多元金融</v>
      </c>
      <c r="Z3181" s="302" t="str">
        <f ca="1">IF(Y3181=行业比较!$E$6,ROW(),"")</f>
        <v/>
      </c>
    </row>
    <row r="3182" spans="22:26">
      <c r="V3182" s="260">
        <f t="shared" ca="1" si="57"/>
        <v>0</v>
      </c>
      <c r="W3182" s="348" t="str">
        <f>IF(板块成分!B3184="","",板块成分!B3184)</f>
        <v>600391.SH</v>
      </c>
      <c r="X3182" s="276" t="str">
        <f>[1]!S_Info_Name(W3182)</f>
        <v>航发科技</v>
      </c>
      <c r="Y3182" s="276" t="str">
        <f ca="1">IF($Y$3="申万一级行业",[1]!s_info_industry_sw_2021(W3182,公司分析!D$5,1),IF($Y$3="申万二级行业",[1]!s_info_industry_sw_2021(W3182,公司分析!D$5,2),IF($Y$3="申万三级行业",[1]!s_info_industry_sw_2021(W3182,公司分析!D$5,3),IF($Y$3="wind一级行业",[1]!s_info_industry_gics(W3182,1),IF($Y$3="wind二级行业",[1]!s_info_industry_gics(W3182,2),IF($Y$3="wind三级行业",[1]!s_info_industry_gics(W3182,3),IF($Y$3="wind四级行业",[1]!s_info_industry_gics(W3182,4),IF($Y$3="证监会门类行业",[1]!s_info_industry_csrc12_n(W3182,公司分析!D$5,1),""))))))))</f>
        <v>航空装备Ⅱ</v>
      </c>
      <c r="Z3182" s="302" t="str">
        <f ca="1">IF(Y3182=行业比较!$E$6,ROW(),"")</f>
        <v/>
      </c>
    </row>
    <row r="3183" spans="22:26">
      <c r="V3183" s="260">
        <f t="shared" ca="1" si="57"/>
        <v>0</v>
      </c>
      <c r="W3183" s="348" t="str">
        <f>IF(板块成分!B3185="","",板块成分!B3185)</f>
        <v>600392.SH</v>
      </c>
      <c r="X3183" s="276" t="str">
        <f>[1]!S_Info_Name(W3183)</f>
        <v>盛和资源</v>
      </c>
      <c r="Y3183" s="276" t="str">
        <f ca="1">IF($Y$3="申万一级行业",[1]!s_info_industry_sw_2021(W3183,公司分析!D$5,1),IF($Y$3="申万二级行业",[1]!s_info_industry_sw_2021(W3183,公司分析!D$5,2),IF($Y$3="申万三级行业",[1]!s_info_industry_sw_2021(W3183,公司分析!D$5,3),IF($Y$3="wind一级行业",[1]!s_info_industry_gics(W3183,1),IF($Y$3="wind二级行业",[1]!s_info_industry_gics(W3183,2),IF($Y$3="wind三级行业",[1]!s_info_industry_gics(W3183,3),IF($Y$3="wind四级行业",[1]!s_info_industry_gics(W3183,4),IF($Y$3="证监会门类行业",[1]!s_info_industry_csrc12_n(W3183,公司分析!D$5,1),""))))))))</f>
        <v>小金属</v>
      </c>
      <c r="Z3183" s="302" t="str">
        <f ca="1">IF(Y3183=行业比较!$E$6,ROW(),"")</f>
        <v/>
      </c>
    </row>
    <row r="3184" spans="22:26">
      <c r="V3184" s="260">
        <f t="shared" ca="1" si="57"/>
        <v>0</v>
      </c>
      <c r="W3184" s="348" t="str">
        <f>IF(板块成分!B3186="","",板块成分!B3186)</f>
        <v>600395.SH</v>
      </c>
      <c r="X3184" s="276" t="str">
        <f>[1]!S_Info_Name(W3184)</f>
        <v>盘江股份</v>
      </c>
      <c r="Y3184" s="276" t="str">
        <f ca="1">IF($Y$3="申万一级行业",[1]!s_info_industry_sw_2021(W3184,公司分析!D$5,1),IF($Y$3="申万二级行业",[1]!s_info_industry_sw_2021(W3184,公司分析!D$5,2),IF($Y$3="申万三级行业",[1]!s_info_industry_sw_2021(W3184,公司分析!D$5,3),IF($Y$3="wind一级行业",[1]!s_info_industry_gics(W3184,1),IF($Y$3="wind二级行业",[1]!s_info_industry_gics(W3184,2),IF($Y$3="wind三级行业",[1]!s_info_industry_gics(W3184,3),IF($Y$3="wind四级行业",[1]!s_info_industry_gics(W3184,4),IF($Y$3="证监会门类行业",[1]!s_info_industry_csrc12_n(W3184,公司分析!D$5,1),""))))))))</f>
        <v>煤炭开采</v>
      </c>
      <c r="Z3184" s="302" t="str">
        <f ca="1">IF(Y3184=行业比较!$E$6,ROW(),"")</f>
        <v/>
      </c>
    </row>
    <row r="3185" spans="22:26">
      <c r="V3185" s="260">
        <f t="shared" ca="1" si="57"/>
        <v>0</v>
      </c>
      <c r="W3185" s="348" t="str">
        <f>IF(板块成分!B3187="","",板块成分!B3187)</f>
        <v>600396.SH</v>
      </c>
      <c r="X3185" s="276" t="str">
        <f>[1]!S_Info_Name(W3185)</f>
        <v>华电辽能</v>
      </c>
      <c r="Y3185" s="276" t="str">
        <f ca="1">IF($Y$3="申万一级行业",[1]!s_info_industry_sw_2021(W3185,公司分析!D$5,1),IF($Y$3="申万二级行业",[1]!s_info_industry_sw_2021(W3185,公司分析!D$5,2),IF($Y$3="申万三级行业",[1]!s_info_industry_sw_2021(W3185,公司分析!D$5,3),IF($Y$3="wind一级行业",[1]!s_info_industry_gics(W3185,1),IF($Y$3="wind二级行业",[1]!s_info_industry_gics(W3185,2),IF($Y$3="wind三级行业",[1]!s_info_industry_gics(W3185,3),IF($Y$3="wind四级行业",[1]!s_info_industry_gics(W3185,4),IF($Y$3="证监会门类行业",[1]!s_info_industry_csrc12_n(W3185,公司分析!D$5,1),""))))))))</f>
        <v>电力</v>
      </c>
      <c r="Z3185" s="302" t="str">
        <f ca="1">IF(Y3185=行业比较!$E$6,ROW(),"")</f>
        <v/>
      </c>
    </row>
    <row r="3186" spans="22:26">
      <c r="V3186" s="260">
        <f t="shared" ca="1" si="57"/>
        <v>0</v>
      </c>
      <c r="W3186" s="348" t="str">
        <f>IF(板块成分!B3188="","",板块成分!B3188)</f>
        <v>600397.SH</v>
      </c>
      <c r="X3186" s="276" t="str">
        <f>[1]!S_Info_Name(W3186)</f>
        <v>江钨装备</v>
      </c>
      <c r="Y3186" s="276" t="str">
        <f ca="1">IF($Y$3="申万一级行业",[1]!s_info_industry_sw_2021(W3186,公司分析!D$5,1),IF($Y$3="申万二级行业",[1]!s_info_industry_sw_2021(W3186,公司分析!D$5,2),IF($Y$3="申万三级行业",[1]!s_info_industry_sw_2021(W3186,公司分析!D$5,3),IF($Y$3="wind一级行业",[1]!s_info_industry_gics(W3186,1),IF($Y$3="wind二级行业",[1]!s_info_industry_gics(W3186,2),IF($Y$3="wind三级行业",[1]!s_info_industry_gics(W3186,3),IF($Y$3="wind四级行业",[1]!s_info_industry_gics(W3186,4),IF($Y$3="证监会门类行业",[1]!s_info_industry_csrc12_n(W3186,公司分析!D$5,1),""))))))))</f>
        <v>煤炭开采</v>
      </c>
      <c r="Z3186" s="302" t="str">
        <f ca="1">IF(Y3186=行业比较!$E$6,ROW(),"")</f>
        <v/>
      </c>
    </row>
    <row r="3187" spans="22:26">
      <c r="V3187" s="260">
        <f t="shared" ca="1" si="57"/>
        <v>0</v>
      </c>
      <c r="W3187" s="348" t="str">
        <f>IF(板块成分!B3189="","",板块成分!B3189)</f>
        <v>600398.SH</v>
      </c>
      <c r="X3187" s="276" t="str">
        <f>[1]!S_Info_Name(W3187)</f>
        <v>海澜之家</v>
      </c>
      <c r="Y3187" s="276" t="str">
        <f ca="1">IF($Y$3="申万一级行业",[1]!s_info_industry_sw_2021(W3187,公司分析!D$5,1),IF($Y$3="申万二级行业",[1]!s_info_industry_sw_2021(W3187,公司分析!D$5,2),IF($Y$3="申万三级行业",[1]!s_info_industry_sw_2021(W3187,公司分析!D$5,3),IF($Y$3="wind一级行业",[1]!s_info_industry_gics(W3187,1),IF($Y$3="wind二级行业",[1]!s_info_industry_gics(W3187,2),IF($Y$3="wind三级行业",[1]!s_info_industry_gics(W3187,3),IF($Y$3="wind四级行业",[1]!s_info_industry_gics(W3187,4),IF($Y$3="证监会门类行业",[1]!s_info_industry_csrc12_n(W3187,公司分析!D$5,1),""))))))))</f>
        <v>服装家纺</v>
      </c>
      <c r="Z3187" s="302" t="str">
        <f ca="1">IF(Y3187=行业比较!$E$6,ROW(),"")</f>
        <v/>
      </c>
    </row>
    <row r="3188" spans="22:26">
      <c r="V3188" s="260">
        <f t="shared" ca="1" si="57"/>
        <v>0</v>
      </c>
      <c r="W3188" s="348" t="str">
        <f>IF(板块成分!B3190="","",板块成分!B3190)</f>
        <v>600399.SH</v>
      </c>
      <c r="X3188" s="276" t="str">
        <f>[1]!S_Info_Name(W3188)</f>
        <v>抚顺特钢</v>
      </c>
      <c r="Y3188" s="276" t="str">
        <f ca="1">IF($Y$3="申万一级行业",[1]!s_info_industry_sw_2021(W3188,公司分析!D$5,1),IF($Y$3="申万二级行业",[1]!s_info_industry_sw_2021(W3188,公司分析!D$5,2),IF($Y$3="申万三级行业",[1]!s_info_industry_sw_2021(W3188,公司分析!D$5,3),IF($Y$3="wind一级行业",[1]!s_info_industry_gics(W3188,1),IF($Y$3="wind二级行业",[1]!s_info_industry_gics(W3188,2),IF($Y$3="wind三级行业",[1]!s_info_industry_gics(W3188,3),IF($Y$3="wind四级行业",[1]!s_info_industry_gics(W3188,4),IF($Y$3="证监会门类行业",[1]!s_info_industry_csrc12_n(W3188,公司分析!D$5,1),""))))))))</f>
        <v>特钢Ⅱ</v>
      </c>
      <c r="Z3188" s="302" t="str">
        <f ca="1">IF(Y3188=行业比较!$E$6,ROW(),"")</f>
        <v/>
      </c>
    </row>
    <row r="3189" spans="22:26">
      <c r="V3189" s="260">
        <f t="shared" ca="1" si="57"/>
        <v>0</v>
      </c>
      <c r="W3189" s="348" t="str">
        <f>IF(板块成分!B3191="","",板块成分!B3191)</f>
        <v>600400.SH</v>
      </c>
      <c r="X3189" s="276" t="str">
        <f>[1]!S_Info_Name(W3189)</f>
        <v>红豆股份</v>
      </c>
      <c r="Y3189" s="276" t="str">
        <f ca="1">IF($Y$3="申万一级行业",[1]!s_info_industry_sw_2021(W3189,公司分析!D$5,1),IF($Y$3="申万二级行业",[1]!s_info_industry_sw_2021(W3189,公司分析!D$5,2),IF($Y$3="申万三级行业",[1]!s_info_industry_sw_2021(W3189,公司分析!D$5,3),IF($Y$3="wind一级行业",[1]!s_info_industry_gics(W3189,1),IF($Y$3="wind二级行业",[1]!s_info_industry_gics(W3189,2),IF($Y$3="wind三级行业",[1]!s_info_industry_gics(W3189,3),IF($Y$3="wind四级行业",[1]!s_info_industry_gics(W3189,4),IF($Y$3="证监会门类行业",[1]!s_info_industry_csrc12_n(W3189,公司分析!D$5,1),""))))))))</f>
        <v>服装家纺</v>
      </c>
      <c r="Z3189" s="302" t="str">
        <f ca="1">IF(Y3189=行业比较!$E$6,ROW(),"")</f>
        <v/>
      </c>
    </row>
    <row r="3190" spans="22:26">
      <c r="V3190" s="260">
        <f t="shared" ca="1" si="57"/>
        <v>0</v>
      </c>
      <c r="W3190" s="348" t="str">
        <f>IF(板块成分!B3192="","",板块成分!B3192)</f>
        <v>600403.SH</v>
      </c>
      <c r="X3190" s="276" t="str">
        <f>[1]!S_Info_Name(W3190)</f>
        <v>大有能源</v>
      </c>
      <c r="Y3190" s="276" t="str">
        <f ca="1">IF($Y$3="申万一级行业",[1]!s_info_industry_sw_2021(W3190,公司分析!D$5,1),IF($Y$3="申万二级行业",[1]!s_info_industry_sw_2021(W3190,公司分析!D$5,2),IF($Y$3="申万三级行业",[1]!s_info_industry_sw_2021(W3190,公司分析!D$5,3),IF($Y$3="wind一级行业",[1]!s_info_industry_gics(W3190,1),IF($Y$3="wind二级行业",[1]!s_info_industry_gics(W3190,2),IF($Y$3="wind三级行业",[1]!s_info_industry_gics(W3190,3),IF($Y$3="wind四级行业",[1]!s_info_industry_gics(W3190,4),IF($Y$3="证监会门类行业",[1]!s_info_industry_csrc12_n(W3190,公司分析!D$5,1),""))))))))</f>
        <v>煤炭开采</v>
      </c>
      <c r="Z3190" s="302" t="str">
        <f ca="1">IF(Y3190=行业比较!$E$6,ROW(),"")</f>
        <v/>
      </c>
    </row>
    <row r="3191" spans="22:26">
      <c r="V3191" s="260">
        <f t="shared" ca="1" si="57"/>
        <v>0</v>
      </c>
      <c r="W3191" s="348" t="str">
        <f>IF(板块成分!B3193="","",板块成分!B3193)</f>
        <v>600405.SH</v>
      </c>
      <c r="X3191" s="276" t="str">
        <f>[1]!S_Info_Name(W3191)</f>
        <v>动力源</v>
      </c>
      <c r="Y3191" s="276" t="str">
        <f ca="1">IF($Y$3="申万一级行业",[1]!s_info_industry_sw_2021(W3191,公司分析!D$5,1),IF($Y$3="申万二级行业",[1]!s_info_industry_sw_2021(W3191,公司分析!D$5,2),IF($Y$3="申万三级行业",[1]!s_info_industry_sw_2021(W3191,公司分析!D$5,3),IF($Y$3="wind一级行业",[1]!s_info_industry_gics(W3191,1),IF($Y$3="wind二级行业",[1]!s_info_industry_gics(W3191,2),IF($Y$3="wind三级行业",[1]!s_info_industry_gics(W3191,3),IF($Y$3="wind四级行业",[1]!s_info_industry_gics(W3191,4),IF($Y$3="证监会门类行业",[1]!s_info_industry_csrc12_n(W3191,公司分析!D$5,1),""))))))))</f>
        <v>其他电源设备Ⅱ</v>
      </c>
      <c r="Z3191" s="302" t="str">
        <f ca="1">IF(Y3191=行业比较!$E$6,ROW(),"")</f>
        <v/>
      </c>
    </row>
    <row r="3192" spans="22:26">
      <c r="V3192" s="260">
        <f t="shared" ca="1" si="57"/>
        <v>0</v>
      </c>
      <c r="W3192" s="348" t="str">
        <f>IF(板块成分!B3194="","",板块成分!B3194)</f>
        <v>600406.SH</v>
      </c>
      <c r="X3192" s="276" t="str">
        <f>[1]!S_Info_Name(W3192)</f>
        <v>国电南瑞</v>
      </c>
      <c r="Y3192" s="276" t="str">
        <f ca="1">IF($Y$3="申万一级行业",[1]!s_info_industry_sw_2021(W3192,公司分析!D$5,1),IF($Y$3="申万二级行业",[1]!s_info_industry_sw_2021(W3192,公司分析!D$5,2),IF($Y$3="申万三级行业",[1]!s_info_industry_sw_2021(W3192,公司分析!D$5,3),IF($Y$3="wind一级行业",[1]!s_info_industry_gics(W3192,1),IF($Y$3="wind二级行业",[1]!s_info_industry_gics(W3192,2),IF($Y$3="wind三级行业",[1]!s_info_industry_gics(W3192,3),IF($Y$3="wind四级行业",[1]!s_info_industry_gics(W3192,4),IF($Y$3="证监会门类行业",[1]!s_info_industry_csrc12_n(W3192,公司分析!D$5,1),""))))))))</f>
        <v>电网设备</v>
      </c>
      <c r="Z3192" s="302" t="str">
        <f ca="1">IF(Y3192=行业比较!$E$6,ROW(),"")</f>
        <v/>
      </c>
    </row>
    <row r="3193" spans="22:26">
      <c r="V3193" s="260">
        <f t="shared" ca="1" si="57"/>
        <v>0</v>
      </c>
      <c r="W3193" s="348" t="str">
        <f>IF(板块成分!B3195="","",板块成分!B3195)</f>
        <v>600408.SH</v>
      </c>
      <c r="X3193" s="276" t="str">
        <f>[1]!S_Info_Name(W3193)</f>
        <v>安泰集团</v>
      </c>
      <c r="Y3193" s="276" t="str">
        <f ca="1">IF($Y$3="申万一级行业",[1]!s_info_industry_sw_2021(W3193,公司分析!D$5,1),IF($Y$3="申万二级行业",[1]!s_info_industry_sw_2021(W3193,公司分析!D$5,2),IF($Y$3="申万三级行业",[1]!s_info_industry_sw_2021(W3193,公司分析!D$5,3),IF($Y$3="wind一级行业",[1]!s_info_industry_gics(W3193,1),IF($Y$3="wind二级行业",[1]!s_info_industry_gics(W3193,2),IF($Y$3="wind三级行业",[1]!s_info_industry_gics(W3193,3),IF($Y$3="wind四级行业",[1]!s_info_industry_gics(W3193,4),IF($Y$3="证监会门类行业",[1]!s_info_industry_csrc12_n(W3193,公司分析!D$5,1),""))))))))</f>
        <v>焦炭Ⅱ</v>
      </c>
      <c r="Z3193" s="302" t="str">
        <f ca="1">IF(Y3193=行业比较!$E$6,ROW(),"")</f>
        <v/>
      </c>
    </row>
    <row r="3194" spans="22:26">
      <c r="V3194" s="260">
        <f t="shared" ca="1" si="57"/>
        <v>0</v>
      </c>
      <c r="W3194" s="348" t="str">
        <f>IF(板块成分!B3196="","",板块成分!B3196)</f>
        <v>600409.SH</v>
      </c>
      <c r="X3194" s="276" t="str">
        <f>[1]!S_Info_Name(W3194)</f>
        <v>三友化工</v>
      </c>
      <c r="Y3194" s="276" t="str">
        <f ca="1">IF($Y$3="申万一级行业",[1]!s_info_industry_sw_2021(W3194,公司分析!D$5,1),IF($Y$3="申万二级行业",[1]!s_info_industry_sw_2021(W3194,公司分析!D$5,2),IF($Y$3="申万三级行业",[1]!s_info_industry_sw_2021(W3194,公司分析!D$5,3),IF($Y$3="wind一级行业",[1]!s_info_industry_gics(W3194,1),IF($Y$3="wind二级行业",[1]!s_info_industry_gics(W3194,2),IF($Y$3="wind三级行业",[1]!s_info_industry_gics(W3194,3),IF($Y$3="wind四级行业",[1]!s_info_industry_gics(W3194,4),IF($Y$3="证监会门类行业",[1]!s_info_industry_csrc12_n(W3194,公司分析!D$5,1),""))))))))</f>
        <v>化学原料</v>
      </c>
      <c r="Z3194" s="302" t="str">
        <f ca="1">IF(Y3194=行业比较!$E$6,ROW(),"")</f>
        <v/>
      </c>
    </row>
    <row r="3195" spans="22:26">
      <c r="V3195" s="260">
        <f t="shared" ca="1" si="57"/>
        <v>0</v>
      </c>
      <c r="W3195" s="348" t="str">
        <f>IF(板块成分!B3197="","",板块成分!B3197)</f>
        <v>600410.SH</v>
      </c>
      <c r="X3195" s="276" t="str">
        <f>[1]!S_Info_Name(W3195)</f>
        <v>华胜天成</v>
      </c>
      <c r="Y3195" s="276" t="str">
        <f ca="1">IF($Y$3="申万一级行业",[1]!s_info_industry_sw_2021(W3195,公司分析!D$5,1),IF($Y$3="申万二级行业",[1]!s_info_industry_sw_2021(W3195,公司分析!D$5,2),IF($Y$3="申万三级行业",[1]!s_info_industry_sw_2021(W3195,公司分析!D$5,3),IF($Y$3="wind一级行业",[1]!s_info_industry_gics(W3195,1),IF($Y$3="wind二级行业",[1]!s_info_industry_gics(W3195,2),IF($Y$3="wind三级行业",[1]!s_info_industry_gics(W3195,3),IF($Y$3="wind四级行业",[1]!s_info_industry_gics(W3195,4),IF($Y$3="证监会门类行业",[1]!s_info_industry_csrc12_n(W3195,公司分析!D$5,1),""))))))))</f>
        <v>IT服务Ⅱ</v>
      </c>
      <c r="Z3195" s="302" t="str">
        <f ca="1">IF(Y3195=行业比较!$E$6,ROW(),"")</f>
        <v/>
      </c>
    </row>
    <row r="3196" spans="22:26">
      <c r="V3196" s="260">
        <f t="shared" ca="1" si="57"/>
        <v>0</v>
      </c>
      <c r="W3196" s="348" t="str">
        <f>IF(板块成分!B3198="","",板块成分!B3198)</f>
        <v>600415.SH</v>
      </c>
      <c r="X3196" s="276" t="str">
        <f>[1]!S_Info_Name(W3196)</f>
        <v>小商品城</v>
      </c>
      <c r="Y3196" s="276" t="str">
        <f ca="1">IF($Y$3="申万一级行业",[1]!s_info_industry_sw_2021(W3196,公司分析!D$5,1),IF($Y$3="申万二级行业",[1]!s_info_industry_sw_2021(W3196,公司分析!D$5,2),IF($Y$3="申万三级行业",[1]!s_info_industry_sw_2021(W3196,公司分析!D$5,3),IF($Y$3="wind一级行业",[1]!s_info_industry_gics(W3196,1),IF($Y$3="wind二级行业",[1]!s_info_industry_gics(W3196,2),IF($Y$3="wind三级行业",[1]!s_info_industry_gics(W3196,3),IF($Y$3="wind四级行业",[1]!s_info_industry_gics(W3196,4),IF($Y$3="证监会门类行业",[1]!s_info_industry_csrc12_n(W3196,公司分析!D$5,1),""))))))))</f>
        <v>一般零售</v>
      </c>
      <c r="Z3196" s="302" t="str">
        <f ca="1">IF(Y3196=行业比较!$E$6,ROW(),"")</f>
        <v/>
      </c>
    </row>
    <row r="3197" spans="22:26">
      <c r="V3197" s="260">
        <f t="shared" ca="1" si="57"/>
        <v>0</v>
      </c>
      <c r="W3197" s="348" t="str">
        <f>IF(板块成分!B3199="","",板块成分!B3199)</f>
        <v>600416.SH</v>
      </c>
      <c r="X3197" s="276" t="str">
        <f>[1]!S_Info_Name(W3197)</f>
        <v>湘电股份</v>
      </c>
      <c r="Y3197" s="276" t="str">
        <f ca="1">IF($Y$3="申万一级行业",[1]!s_info_industry_sw_2021(W3197,公司分析!D$5,1),IF($Y$3="申万二级行业",[1]!s_info_industry_sw_2021(W3197,公司分析!D$5,2),IF($Y$3="申万三级行业",[1]!s_info_industry_sw_2021(W3197,公司分析!D$5,3),IF($Y$3="wind一级行业",[1]!s_info_industry_gics(W3197,1),IF($Y$3="wind二级行业",[1]!s_info_industry_gics(W3197,2),IF($Y$3="wind三级行业",[1]!s_info_industry_gics(W3197,3),IF($Y$3="wind四级行业",[1]!s_info_industry_gics(W3197,4),IF($Y$3="证监会门类行业",[1]!s_info_industry_csrc12_n(W3197,公司分析!D$5,1),""))))))))</f>
        <v>电机Ⅱ</v>
      </c>
      <c r="Z3197" s="302" t="str">
        <f ca="1">IF(Y3197=行业比较!$E$6,ROW(),"")</f>
        <v/>
      </c>
    </row>
    <row r="3198" spans="22:26">
      <c r="V3198" s="260">
        <f t="shared" ca="1" si="57"/>
        <v>0</v>
      </c>
      <c r="W3198" s="348" t="str">
        <f>IF(板块成分!B3200="","",板块成分!B3200)</f>
        <v>600418.SH</v>
      </c>
      <c r="X3198" s="276" t="str">
        <f>[1]!S_Info_Name(W3198)</f>
        <v>江淮汽车</v>
      </c>
      <c r="Y3198" s="276" t="str">
        <f ca="1">IF($Y$3="申万一级行业",[1]!s_info_industry_sw_2021(W3198,公司分析!D$5,1),IF($Y$3="申万二级行业",[1]!s_info_industry_sw_2021(W3198,公司分析!D$5,2),IF($Y$3="申万三级行业",[1]!s_info_industry_sw_2021(W3198,公司分析!D$5,3),IF($Y$3="wind一级行业",[1]!s_info_industry_gics(W3198,1),IF($Y$3="wind二级行业",[1]!s_info_industry_gics(W3198,2),IF($Y$3="wind三级行业",[1]!s_info_industry_gics(W3198,3),IF($Y$3="wind四级行业",[1]!s_info_industry_gics(W3198,4),IF($Y$3="证监会门类行业",[1]!s_info_industry_csrc12_n(W3198,公司分析!D$5,1),""))))))))</f>
        <v>商用车</v>
      </c>
      <c r="Z3198" s="302" t="str">
        <f ca="1">IF(Y3198=行业比较!$E$6,ROW(),"")</f>
        <v/>
      </c>
    </row>
    <row r="3199" spans="22:26">
      <c r="V3199" s="260">
        <f t="shared" ca="1" si="57"/>
        <v>0</v>
      </c>
      <c r="W3199" s="348" t="str">
        <f>IF(板块成分!B3201="","",板块成分!B3201)</f>
        <v>600419.SH</v>
      </c>
      <c r="X3199" s="276" t="str">
        <f>[1]!S_Info_Name(W3199)</f>
        <v>天润乳业</v>
      </c>
      <c r="Y3199" s="276" t="str">
        <f ca="1">IF($Y$3="申万一级行业",[1]!s_info_industry_sw_2021(W3199,公司分析!D$5,1),IF($Y$3="申万二级行业",[1]!s_info_industry_sw_2021(W3199,公司分析!D$5,2),IF($Y$3="申万三级行业",[1]!s_info_industry_sw_2021(W3199,公司分析!D$5,3),IF($Y$3="wind一级行业",[1]!s_info_industry_gics(W3199,1),IF($Y$3="wind二级行业",[1]!s_info_industry_gics(W3199,2),IF($Y$3="wind三级行业",[1]!s_info_industry_gics(W3199,3),IF($Y$3="wind四级行业",[1]!s_info_industry_gics(W3199,4),IF($Y$3="证监会门类行业",[1]!s_info_industry_csrc12_n(W3199,公司分析!D$5,1),""))))))))</f>
        <v>饮料乳品</v>
      </c>
      <c r="Z3199" s="302" t="str">
        <f ca="1">IF(Y3199=行业比较!$E$6,ROW(),"")</f>
        <v/>
      </c>
    </row>
    <row r="3200" spans="22:26">
      <c r="V3200" s="260">
        <f t="shared" ca="1" si="57"/>
        <v>0</v>
      </c>
      <c r="W3200" s="348" t="str">
        <f>IF(板块成分!B3202="","",板块成分!B3202)</f>
        <v>600420.SH</v>
      </c>
      <c r="X3200" s="276" t="str">
        <f>[1]!S_Info_Name(W3200)</f>
        <v>国药现代</v>
      </c>
      <c r="Y3200" s="276" t="str">
        <f ca="1">IF($Y$3="申万一级行业",[1]!s_info_industry_sw_2021(W3200,公司分析!D$5,1),IF($Y$3="申万二级行业",[1]!s_info_industry_sw_2021(W3200,公司分析!D$5,2),IF($Y$3="申万三级行业",[1]!s_info_industry_sw_2021(W3200,公司分析!D$5,3),IF($Y$3="wind一级行业",[1]!s_info_industry_gics(W3200,1),IF($Y$3="wind二级行业",[1]!s_info_industry_gics(W3200,2),IF($Y$3="wind三级行业",[1]!s_info_industry_gics(W3200,3),IF($Y$3="wind四级行业",[1]!s_info_industry_gics(W3200,4),IF($Y$3="证监会门类行业",[1]!s_info_industry_csrc12_n(W3200,公司分析!D$5,1),""))))))))</f>
        <v>化学制药</v>
      </c>
      <c r="Z3200" s="302" t="str">
        <f ca="1">IF(Y3200=行业比较!$E$6,ROW(),"")</f>
        <v/>
      </c>
    </row>
    <row r="3201" spans="22:26">
      <c r="V3201" s="260">
        <f t="shared" ca="1" si="57"/>
        <v>0</v>
      </c>
      <c r="W3201" s="348" t="str">
        <f>IF(板块成分!B3203="","",板块成分!B3203)</f>
        <v>600421.SH</v>
      </c>
      <c r="X3201" s="276" t="str">
        <f>[1]!S_Info_Name(W3201)</f>
        <v>*ST华嵘</v>
      </c>
      <c r="Y3201" s="276" t="str">
        <f ca="1">IF($Y$3="申万一级行业",[1]!s_info_industry_sw_2021(W3201,公司分析!D$5,1),IF($Y$3="申万二级行业",[1]!s_info_industry_sw_2021(W3201,公司分析!D$5,2),IF($Y$3="申万三级行业",[1]!s_info_industry_sw_2021(W3201,公司分析!D$5,3),IF($Y$3="wind一级行业",[1]!s_info_industry_gics(W3201,1),IF($Y$3="wind二级行业",[1]!s_info_industry_gics(W3201,2),IF($Y$3="wind三级行业",[1]!s_info_industry_gics(W3201,3),IF($Y$3="wind四级行业",[1]!s_info_industry_gics(W3201,4),IF($Y$3="证监会门类行业",[1]!s_info_industry_csrc12_n(W3201,公司分析!D$5,1),""))))))))</f>
        <v>通用设备</v>
      </c>
      <c r="Z3201" s="302" t="str">
        <f ca="1">IF(Y3201=行业比较!$E$6,ROW(),"")</f>
        <v/>
      </c>
    </row>
    <row r="3202" spans="22:26">
      <c r="V3202" s="260">
        <f t="shared" ca="1" si="57"/>
        <v>0</v>
      </c>
      <c r="W3202" s="348" t="str">
        <f>IF(板块成分!B3204="","",板块成分!B3204)</f>
        <v>600422.SH</v>
      </c>
      <c r="X3202" s="276" t="str">
        <f>[1]!S_Info_Name(W3202)</f>
        <v>昆药集团</v>
      </c>
      <c r="Y3202" s="276" t="str">
        <f ca="1">IF($Y$3="申万一级行业",[1]!s_info_industry_sw_2021(W3202,公司分析!D$5,1),IF($Y$3="申万二级行业",[1]!s_info_industry_sw_2021(W3202,公司分析!D$5,2),IF($Y$3="申万三级行业",[1]!s_info_industry_sw_2021(W3202,公司分析!D$5,3),IF($Y$3="wind一级行业",[1]!s_info_industry_gics(W3202,1),IF($Y$3="wind二级行业",[1]!s_info_industry_gics(W3202,2),IF($Y$3="wind三级行业",[1]!s_info_industry_gics(W3202,3),IF($Y$3="wind四级行业",[1]!s_info_industry_gics(W3202,4),IF($Y$3="证监会门类行业",[1]!s_info_industry_csrc12_n(W3202,公司分析!D$5,1),""))))))))</f>
        <v>中药Ⅱ</v>
      </c>
      <c r="Z3202" s="302" t="str">
        <f ca="1">IF(Y3202=行业比较!$E$6,ROW(),"")</f>
        <v/>
      </c>
    </row>
    <row r="3203" spans="22:26">
      <c r="V3203" s="260">
        <f t="shared" ca="1" si="57"/>
        <v>0</v>
      </c>
      <c r="W3203" s="348" t="str">
        <f>IF(板块成分!B3205="","",板块成分!B3205)</f>
        <v>600423.SH</v>
      </c>
      <c r="X3203" s="276" t="str">
        <f>[1]!S_Info_Name(W3203)</f>
        <v>柳化股份</v>
      </c>
      <c r="Y3203" s="276" t="str">
        <f ca="1">IF($Y$3="申万一级行业",[1]!s_info_industry_sw_2021(W3203,公司分析!D$5,1),IF($Y$3="申万二级行业",[1]!s_info_industry_sw_2021(W3203,公司分析!D$5,2),IF($Y$3="申万三级行业",[1]!s_info_industry_sw_2021(W3203,公司分析!D$5,3),IF($Y$3="wind一级行业",[1]!s_info_industry_gics(W3203,1),IF($Y$3="wind二级行业",[1]!s_info_industry_gics(W3203,2),IF($Y$3="wind三级行业",[1]!s_info_industry_gics(W3203,3),IF($Y$3="wind四级行业",[1]!s_info_industry_gics(W3203,4),IF($Y$3="证监会门类行业",[1]!s_info_industry_csrc12_n(W3203,公司分析!D$5,1),""))))))))</f>
        <v>化学原料</v>
      </c>
      <c r="Z3203" s="302" t="str">
        <f ca="1">IF(Y3203=行业比较!$E$6,ROW(),"")</f>
        <v/>
      </c>
    </row>
    <row r="3204" spans="22:26">
      <c r="V3204" s="260">
        <f t="shared" ca="1" si="57"/>
        <v>0</v>
      </c>
      <c r="W3204" s="348" t="str">
        <f>IF(板块成分!B3206="","",板块成分!B3206)</f>
        <v>600425.SH</v>
      </c>
      <c r="X3204" s="276" t="str">
        <f>[1]!S_Info_Name(W3204)</f>
        <v>青松建化</v>
      </c>
      <c r="Y3204" s="276" t="str">
        <f ca="1">IF($Y$3="申万一级行业",[1]!s_info_industry_sw_2021(W3204,公司分析!D$5,1),IF($Y$3="申万二级行业",[1]!s_info_industry_sw_2021(W3204,公司分析!D$5,2),IF($Y$3="申万三级行业",[1]!s_info_industry_sw_2021(W3204,公司分析!D$5,3),IF($Y$3="wind一级行业",[1]!s_info_industry_gics(W3204,1),IF($Y$3="wind二级行业",[1]!s_info_industry_gics(W3204,2),IF($Y$3="wind三级行业",[1]!s_info_industry_gics(W3204,3),IF($Y$3="wind四级行业",[1]!s_info_industry_gics(W3204,4),IF($Y$3="证监会门类行业",[1]!s_info_industry_csrc12_n(W3204,公司分析!D$5,1),""))))))))</f>
        <v>水泥</v>
      </c>
      <c r="Z3204" s="302" t="str">
        <f ca="1">IF(Y3204=行业比较!$E$6,ROW(),"")</f>
        <v/>
      </c>
    </row>
    <row r="3205" spans="22:26">
      <c r="V3205" s="260">
        <f t="shared" ref="V3205:V3268" ca="1" si="58">IF(Z3205="",0,RANK(Z3205,Z:Z,1))</f>
        <v>0</v>
      </c>
      <c r="W3205" s="348" t="str">
        <f>IF(板块成分!B3207="","",板块成分!B3207)</f>
        <v>600426.SH</v>
      </c>
      <c r="X3205" s="276" t="str">
        <f>[1]!S_Info_Name(W3205)</f>
        <v>华鲁恒升</v>
      </c>
      <c r="Y3205" s="276" t="str">
        <f ca="1">IF($Y$3="申万一级行业",[1]!s_info_industry_sw_2021(W3205,公司分析!D$5,1),IF($Y$3="申万二级行业",[1]!s_info_industry_sw_2021(W3205,公司分析!D$5,2),IF($Y$3="申万三级行业",[1]!s_info_industry_sw_2021(W3205,公司分析!D$5,3),IF($Y$3="wind一级行业",[1]!s_info_industry_gics(W3205,1),IF($Y$3="wind二级行业",[1]!s_info_industry_gics(W3205,2),IF($Y$3="wind三级行业",[1]!s_info_industry_gics(W3205,3),IF($Y$3="wind四级行业",[1]!s_info_industry_gics(W3205,4),IF($Y$3="证监会门类行业",[1]!s_info_industry_csrc12_n(W3205,公司分析!D$5,1),""))))))))</f>
        <v>农化制品</v>
      </c>
      <c r="Z3205" s="302" t="str">
        <f ca="1">IF(Y3205=行业比较!$E$6,ROW(),"")</f>
        <v/>
      </c>
    </row>
    <row r="3206" spans="22:26">
      <c r="V3206" s="260">
        <f t="shared" ca="1" si="58"/>
        <v>0</v>
      </c>
      <c r="W3206" s="348" t="str">
        <f>IF(板块成分!B3208="","",板块成分!B3208)</f>
        <v>600428.SH</v>
      </c>
      <c r="X3206" s="276" t="str">
        <f>[1]!S_Info_Name(W3206)</f>
        <v>中远海特</v>
      </c>
      <c r="Y3206" s="276" t="str">
        <f ca="1">IF($Y$3="申万一级行业",[1]!s_info_industry_sw_2021(W3206,公司分析!D$5,1),IF($Y$3="申万二级行业",[1]!s_info_industry_sw_2021(W3206,公司分析!D$5,2),IF($Y$3="申万三级行业",[1]!s_info_industry_sw_2021(W3206,公司分析!D$5,3),IF($Y$3="wind一级行业",[1]!s_info_industry_gics(W3206,1),IF($Y$3="wind二级行业",[1]!s_info_industry_gics(W3206,2),IF($Y$3="wind三级行业",[1]!s_info_industry_gics(W3206,3),IF($Y$3="wind四级行业",[1]!s_info_industry_gics(W3206,4),IF($Y$3="证监会门类行业",[1]!s_info_industry_csrc12_n(W3206,公司分析!D$5,1),""))))))))</f>
        <v>航运港口</v>
      </c>
      <c r="Z3206" s="302" t="str">
        <f ca="1">IF(Y3206=行业比较!$E$6,ROW(),"")</f>
        <v/>
      </c>
    </row>
    <row r="3207" spans="22:26">
      <c r="V3207" s="260">
        <f t="shared" ca="1" si="58"/>
        <v>0</v>
      </c>
      <c r="W3207" s="348" t="str">
        <f>IF(板块成分!B3209="","",板块成分!B3209)</f>
        <v>600429.SH</v>
      </c>
      <c r="X3207" s="276" t="str">
        <f>[1]!S_Info_Name(W3207)</f>
        <v>三元股份</v>
      </c>
      <c r="Y3207" s="276" t="str">
        <f ca="1">IF($Y$3="申万一级行业",[1]!s_info_industry_sw_2021(W3207,公司分析!D$5,1),IF($Y$3="申万二级行业",[1]!s_info_industry_sw_2021(W3207,公司分析!D$5,2),IF($Y$3="申万三级行业",[1]!s_info_industry_sw_2021(W3207,公司分析!D$5,3),IF($Y$3="wind一级行业",[1]!s_info_industry_gics(W3207,1),IF($Y$3="wind二级行业",[1]!s_info_industry_gics(W3207,2),IF($Y$3="wind三级行业",[1]!s_info_industry_gics(W3207,3),IF($Y$3="wind四级行业",[1]!s_info_industry_gics(W3207,4),IF($Y$3="证监会门类行业",[1]!s_info_industry_csrc12_n(W3207,公司分析!D$5,1),""))))))))</f>
        <v>饮料乳品</v>
      </c>
      <c r="Z3207" s="302" t="str">
        <f ca="1">IF(Y3207=行业比较!$E$6,ROW(),"")</f>
        <v/>
      </c>
    </row>
    <row r="3208" spans="22:26">
      <c r="V3208" s="260">
        <f t="shared" ca="1" si="58"/>
        <v>0</v>
      </c>
      <c r="W3208" s="348" t="str">
        <f>IF(板块成分!B3210="","",板块成分!B3210)</f>
        <v>600433.SH</v>
      </c>
      <c r="X3208" s="276" t="str">
        <f>[1]!S_Info_Name(W3208)</f>
        <v>冠豪高新</v>
      </c>
      <c r="Y3208" s="276" t="str">
        <f ca="1">IF($Y$3="申万一级行业",[1]!s_info_industry_sw_2021(W3208,公司分析!D$5,1),IF($Y$3="申万二级行业",[1]!s_info_industry_sw_2021(W3208,公司分析!D$5,2),IF($Y$3="申万三级行业",[1]!s_info_industry_sw_2021(W3208,公司分析!D$5,3),IF($Y$3="wind一级行业",[1]!s_info_industry_gics(W3208,1),IF($Y$3="wind二级行业",[1]!s_info_industry_gics(W3208,2),IF($Y$3="wind三级行业",[1]!s_info_industry_gics(W3208,3),IF($Y$3="wind四级行业",[1]!s_info_industry_gics(W3208,4),IF($Y$3="证监会门类行业",[1]!s_info_industry_csrc12_n(W3208,公司分析!D$5,1),""))))))))</f>
        <v>造纸</v>
      </c>
      <c r="Z3208" s="302" t="str">
        <f ca="1">IF(Y3208=行业比较!$E$6,ROW(),"")</f>
        <v/>
      </c>
    </row>
    <row r="3209" spans="22:26">
      <c r="V3209" s="260">
        <f t="shared" ca="1" si="58"/>
        <v>0</v>
      </c>
      <c r="W3209" s="348" t="str">
        <f>IF(板块成分!B3211="","",板块成分!B3211)</f>
        <v>600435.SH</v>
      </c>
      <c r="X3209" s="276" t="str">
        <f>[1]!S_Info_Name(W3209)</f>
        <v>北方导航</v>
      </c>
      <c r="Y3209" s="276" t="str">
        <f ca="1">IF($Y$3="申万一级行业",[1]!s_info_industry_sw_2021(W3209,公司分析!D$5,1),IF($Y$3="申万二级行业",[1]!s_info_industry_sw_2021(W3209,公司分析!D$5,2),IF($Y$3="申万三级行业",[1]!s_info_industry_sw_2021(W3209,公司分析!D$5,3),IF($Y$3="wind一级行业",[1]!s_info_industry_gics(W3209,1),IF($Y$3="wind二级行业",[1]!s_info_industry_gics(W3209,2),IF($Y$3="wind三级行业",[1]!s_info_industry_gics(W3209,3),IF($Y$3="wind四级行业",[1]!s_info_industry_gics(W3209,4),IF($Y$3="证监会门类行业",[1]!s_info_industry_csrc12_n(W3209,公司分析!D$5,1),""))))))))</f>
        <v>地面兵装Ⅱ</v>
      </c>
      <c r="Z3209" s="302" t="str">
        <f ca="1">IF(Y3209=行业比较!$E$6,ROW(),"")</f>
        <v/>
      </c>
    </row>
    <row r="3210" spans="22:26">
      <c r="V3210" s="260">
        <f t="shared" ca="1" si="58"/>
        <v>0</v>
      </c>
      <c r="W3210" s="348" t="str">
        <f>IF(板块成分!B3212="","",板块成分!B3212)</f>
        <v>600436.SH</v>
      </c>
      <c r="X3210" s="276" t="str">
        <f>[1]!S_Info_Name(W3210)</f>
        <v>片仔癀</v>
      </c>
      <c r="Y3210" s="276" t="str">
        <f ca="1">IF($Y$3="申万一级行业",[1]!s_info_industry_sw_2021(W3210,公司分析!D$5,1),IF($Y$3="申万二级行业",[1]!s_info_industry_sw_2021(W3210,公司分析!D$5,2),IF($Y$3="申万三级行业",[1]!s_info_industry_sw_2021(W3210,公司分析!D$5,3),IF($Y$3="wind一级行业",[1]!s_info_industry_gics(W3210,1),IF($Y$3="wind二级行业",[1]!s_info_industry_gics(W3210,2),IF($Y$3="wind三级行业",[1]!s_info_industry_gics(W3210,3),IF($Y$3="wind四级行业",[1]!s_info_industry_gics(W3210,4),IF($Y$3="证监会门类行业",[1]!s_info_industry_csrc12_n(W3210,公司分析!D$5,1),""))))))))</f>
        <v>中药Ⅱ</v>
      </c>
      <c r="Z3210" s="302" t="str">
        <f ca="1">IF(Y3210=行业比较!$E$6,ROW(),"")</f>
        <v/>
      </c>
    </row>
    <row r="3211" spans="22:26">
      <c r="V3211" s="260">
        <f t="shared" ca="1" si="58"/>
        <v>0</v>
      </c>
      <c r="W3211" s="348" t="str">
        <f>IF(板块成分!B3213="","",板块成分!B3213)</f>
        <v>600438.SH</v>
      </c>
      <c r="X3211" s="276" t="str">
        <f>[1]!S_Info_Name(W3211)</f>
        <v>通威股份</v>
      </c>
      <c r="Y3211" s="276" t="str">
        <f ca="1">IF($Y$3="申万一级行业",[1]!s_info_industry_sw_2021(W3211,公司分析!D$5,1),IF($Y$3="申万二级行业",[1]!s_info_industry_sw_2021(W3211,公司分析!D$5,2),IF($Y$3="申万三级行业",[1]!s_info_industry_sw_2021(W3211,公司分析!D$5,3),IF($Y$3="wind一级行业",[1]!s_info_industry_gics(W3211,1),IF($Y$3="wind二级行业",[1]!s_info_industry_gics(W3211,2),IF($Y$3="wind三级行业",[1]!s_info_industry_gics(W3211,3),IF($Y$3="wind四级行业",[1]!s_info_industry_gics(W3211,4),IF($Y$3="证监会门类行业",[1]!s_info_industry_csrc12_n(W3211,公司分析!D$5,1),""))))))))</f>
        <v>光伏设备</v>
      </c>
      <c r="Z3211" s="302" t="str">
        <f ca="1">IF(Y3211=行业比较!$E$6,ROW(),"")</f>
        <v/>
      </c>
    </row>
    <row r="3212" spans="22:26">
      <c r="V3212" s="260">
        <f t="shared" ca="1" si="58"/>
        <v>0</v>
      </c>
      <c r="W3212" s="348" t="str">
        <f>IF(板块成分!B3214="","",板块成分!B3214)</f>
        <v>600439.SH</v>
      </c>
      <c r="X3212" s="276" t="str">
        <f>[1]!S_Info_Name(W3212)</f>
        <v>瑞贝卡</v>
      </c>
      <c r="Y3212" s="276" t="str">
        <f ca="1">IF($Y$3="申万一级行业",[1]!s_info_industry_sw_2021(W3212,公司分析!D$5,1),IF($Y$3="申万二级行业",[1]!s_info_industry_sw_2021(W3212,公司分析!D$5,2),IF($Y$3="申万三级行业",[1]!s_info_industry_sw_2021(W3212,公司分析!D$5,3),IF($Y$3="wind一级行业",[1]!s_info_industry_gics(W3212,1),IF($Y$3="wind二级行业",[1]!s_info_industry_gics(W3212,2),IF($Y$3="wind三级行业",[1]!s_info_industry_gics(W3212,3),IF($Y$3="wind四级行业",[1]!s_info_industry_gics(W3212,4),IF($Y$3="证监会门类行业",[1]!s_info_industry_csrc12_n(W3212,公司分析!D$5,1),""))))))))</f>
        <v>饰品</v>
      </c>
      <c r="Z3212" s="302" t="str">
        <f ca="1">IF(Y3212=行业比较!$E$6,ROW(),"")</f>
        <v/>
      </c>
    </row>
    <row r="3213" spans="22:26">
      <c r="V3213" s="260">
        <f t="shared" ca="1" si="58"/>
        <v>0</v>
      </c>
      <c r="W3213" s="348" t="str">
        <f>IF(板块成分!B3215="","",板块成分!B3215)</f>
        <v>600444.SH</v>
      </c>
      <c r="X3213" s="276" t="str">
        <f>[1]!S_Info_Name(W3213)</f>
        <v>国机通用</v>
      </c>
      <c r="Y3213" s="276" t="str">
        <f ca="1">IF($Y$3="申万一级行业",[1]!s_info_industry_sw_2021(W3213,公司分析!D$5,1),IF($Y$3="申万二级行业",[1]!s_info_industry_sw_2021(W3213,公司分析!D$5,2),IF($Y$3="申万三级行业",[1]!s_info_industry_sw_2021(W3213,公司分析!D$5,3),IF($Y$3="wind一级行业",[1]!s_info_industry_gics(W3213,1),IF($Y$3="wind二级行业",[1]!s_info_industry_gics(W3213,2),IF($Y$3="wind三级行业",[1]!s_info_industry_gics(W3213,3),IF($Y$3="wind四级行业",[1]!s_info_industry_gics(W3213,4),IF($Y$3="证监会门类行业",[1]!s_info_industry_csrc12_n(W3213,公司分析!D$5,1),""))))))))</f>
        <v>专用设备</v>
      </c>
      <c r="Z3213" s="302" t="str">
        <f ca="1">IF(Y3213=行业比较!$E$6,ROW(),"")</f>
        <v/>
      </c>
    </row>
    <row r="3214" spans="22:26">
      <c r="V3214" s="260">
        <f t="shared" ca="1" si="58"/>
        <v>0</v>
      </c>
      <c r="W3214" s="348" t="str">
        <f>IF(板块成分!B3216="","",板块成分!B3216)</f>
        <v>600446.SH</v>
      </c>
      <c r="X3214" s="276" t="str">
        <f>[1]!S_Info_Name(W3214)</f>
        <v>金证股份</v>
      </c>
      <c r="Y3214" s="276" t="str">
        <f ca="1">IF($Y$3="申万一级行业",[1]!s_info_industry_sw_2021(W3214,公司分析!D$5,1),IF($Y$3="申万二级行业",[1]!s_info_industry_sw_2021(W3214,公司分析!D$5,2),IF($Y$3="申万三级行业",[1]!s_info_industry_sw_2021(W3214,公司分析!D$5,3),IF($Y$3="wind一级行业",[1]!s_info_industry_gics(W3214,1),IF($Y$3="wind二级行业",[1]!s_info_industry_gics(W3214,2),IF($Y$3="wind三级行业",[1]!s_info_industry_gics(W3214,3),IF($Y$3="wind四级行业",[1]!s_info_industry_gics(W3214,4),IF($Y$3="证监会门类行业",[1]!s_info_industry_csrc12_n(W3214,公司分析!D$5,1),""))))))))</f>
        <v>IT服务Ⅱ</v>
      </c>
      <c r="Z3214" s="302" t="str">
        <f ca="1">IF(Y3214=行业比较!$E$6,ROW(),"")</f>
        <v/>
      </c>
    </row>
    <row r="3215" spans="22:26">
      <c r="V3215" s="260">
        <f t="shared" ca="1" si="58"/>
        <v>0</v>
      </c>
      <c r="W3215" s="348" t="str">
        <f>IF(板块成分!B3217="","",板块成分!B3217)</f>
        <v>600448.SH</v>
      </c>
      <c r="X3215" s="276" t="str">
        <f>[1]!S_Info_Name(W3215)</f>
        <v>华纺股份</v>
      </c>
      <c r="Y3215" s="276" t="str">
        <f ca="1">IF($Y$3="申万一级行业",[1]!s_info_industry_sw_2021(W3215,公司分析!D$5,1),IF($Y$3="申万二级行业",[1]!s_info_industry_sw_2021(W3215,公司分析!D$5,2),IF($Y$3="申万三级行业",[1]!s_info_industry_sw_2021(W3215,公司分析!D$5,3),IF($Y$3="wind一级行业",[1]!s_info_industry_gics(W3215,1),IF($Y$3="wind二级行业",[1]!s_info_industry_gics(W3215,2),IF($Y$3="wind三级行业",[1]!s_info_industry_gics(W3215,3),IF($Y$3="wind四级行业",[1]!s_info_industry_gics(W3215,4),IF($Y$3="证监会门类行业",[1]!s_info_industry_csrc12_n(W3215,公司分析!D$5,1),""))))))))</f>
        <v>纺织制造</v>
      </c>
      <c r="Z3215" s="302" t="str">
        <f ca="1">IF(Y3215=行业比较!$E$6,ROW(),"")</f>
        <v/>
      </c>
    </row>
    <row r="3216" spans="22:26">
      <c r="V3216" s="260">
        <f t="shared" ca="1" si="58"/>
        <v>0</v>
      </c>
      <c r="W3216" s="348" t="str">
        <f>IF(板块成分!B3218="","",板块成分!B3218)</f>
        <v>600449.SH</v>
      </c>
      <c r="X3216" s="276" t="str">
        <f>[1]!S_Info_Name(W3216)</f>
        <v>宁夏建材</v>
      </c>
      <c r="Y3216" s="276" t="str">
        <f ca="1">IF($Y$3="申万一级行业",[1]!s_info_industry_sw_2021(W3216,公司分析!D$5,1),IF($Y$3="申万二级行业",[1]!s_info_industry_sw_2021(W3216,公司分析!D$5,2),IF($Y$3="申万三级行业",[1]!s_info_industry_sw_2021(W3216,公司分析!D$5,3),IF($Y$3="wind一级行业",[1]!s_info_industry_gics(W3216,1),IF($Y$3="wind二级行业",[1]!s_info_industry_gics(W3216,2),IF($Y$3="wind三级行业",[1]!s_info_industry_gics(W3216,3),IF($Y$3="wind四级行业",[1]!s_info_industry_gics(W3216,4),IF($Y$3="证监会门类行业",[1]!s_info_industry_csrc12_n(W3216,公司分析!D$5,1),""))))))))</f>
        <v>水泥</v>
      </c>
      <c r="Z3216" s="302" t="str">
        <f ca="1">IF(Y3216=行业比较!$E$6,ROW(),"")</f>
        <v/>
      </c>
    </row>
    <row r="3217" spans="22:26">
      <c r="V3217" s="260">
        <f t="shared" ca="1" si="58"/>
        <v>0</v>
      </c>
      <c r="W3217" s="348" t="str">
        <f>IF(板块成分!B3219="","",板块成分!B3219)</f>
        <v>600452.SH</v>
      </c>
      <c r="X3217" s="276" t="str">
        <f>[1]!S_Info_Name(W3217)</f>
        <v>涪陵电力</v>
      </c>
      <c r="Y3217" s="276" t="str">
        <f ca="1">IF($Y$3="申万一级行业",[1]!s_info_industry_sw_2021(W3217,公司分析!D$5,1),IF($Y$3="申万二级行业",[1]!s_info_industry_sw_2021(W3217,公司分析!D$5,2),IF($Y$3="申万三级行业",[1]!s_info_industry_sw_2021(W3217,公司分析!D$5,3),IF($Y$3="wind一级行业",[1]!s_info_industry_gics(W3217,1),IF($Y$3="wind二级行业",[1]!s_info_industry_gics(W3217,2),IF($Y$3="wind三级行业",[1]!s_info_industry_gics(W3217,3),IF($Y$3="wind四级行业",[1]!s_info_industry_gics(W3217,4),IF($Y$3="证监会门类行业",[1]!s_info_industry_csrc12_n(W3217,公司分析!D$5,1),""))))))))</f>
        <v>电力</v>
      </c>
      <c r="Z3217" s="302" t="str">
        <f ca="1">IF(Y3217=行业比较!$E$6,ROW(),"")</f>
        <v/>
      </c>
    </row>
    <row r="3218" spans="22:26">
      <c r="V3218" s="260">
        <f t="shared" ca="1" si="58"/>
        <v>0</v>
      </c>
      <c r="W3218" s="348" t="str">
        <f>IF(板块成分!B3220="","",板块成分!B3220)</f>
        <v>600455.SH</v>
      </c>
      <c r="X3218" s="276" t="str">
        <f>[1]!S_Info_Name(W3218)</f>
        <v>博通股份</v>
      </c>
      <c r="Y3218" s="276" t="str">
        <f ca="1">IF($Y$3="申万一级行业",[1]!s_info_industry_sw_2021(W3218,公司分析!D$5,1),IF($Y$3="申万二级行业",[1]!s_info_industry_sw_2021(W3218,公司分析!D$5,2),IF($Y$3="申万三级行业",[1]!s_info_industry_sw_2021(W3218,公司分析!D$5,3),IF($Y$3="wind一级行业",[1]!s_info_industry_gics(W3218,1),IF($Y$3="wind二级行业",[1]!s_info_industry_gics(W3218,2),IF($Y$3="wind三级行业",[1]!s_info_industry_gics(W3218,3),IF($Y$3="wind四级行业",[1]!s_info_industry_gics(W3218,4),IF($Y$3="证监会门类行业",[1]!s_info_industry_csrc12_n(W3218,公司分析!D$5,1),""))))))))</f>
        <v>软件开发</v>
      </c>
      <c r="Z3218" s="302" t="str">
        <f ca="1">IF(Y3218=行业比较!$E$6,ROW(),"")</f>
        <v/>
      </c>
    </row>
    <row r="3219" spans="22:26">
      <c r="V3219" s="260">
        <f t="shared" ca="1" si="58"/>
        <v>0</v>
      </c>
      <c r="W3219" s="348" t="str">
        <f>IF(板块成分!B3221="","",板块成分!B3221)</f>
        <v>600456.SH</v>
      </c>
      <c r="X3219" s="276" t="str">
        <f>[1]!S_Info_Name(W3219)</f>
        <v>宝钛股份</v>
      </c>
      <c r="Y3219" s="276" t="str">
        <f ca="1">IF($Y$3="申万一级行业",[1]!s_info_industry_sw_2021(W3219,公司分析!D$5,1),IF($Y$3="申万二级行业",[1]!s_info_industry_sw_2021(W3219,公司分析!D$5,2),IF($Y$3="申万三级行业",[1]!s_info_industry_sw_2021(W3219,公司分析!D$5,3),IF($Y$3="wind一级行业",[1]!s_info_industry_gics(W3219,1),IF($Y$3="wind二级行业",[1]!s_info_industry_gics(W3219,2),IF($Y$3="wind三级行业",[1]!s_info_industry_gics(W3219,3),IF($Y$3="wind四级行业",[1]!s_info_industry_gics(W3219,4),IF($Y$3="证监会门类行业",[1]!s_info_industry_csrc12_n(W3219,公司分析!D$5,1),""))))))))</f>
        <v>小金属</v>
      </c>
      <c r="Z3219" s="302" t="str">
        <f ca="1">IF(Y3219=行业比较!$E$6,ROW(),"")</f>
        <v/>
      </c>
    </row>
    <row r="3220" spans="22:26">
      <c r="V3220" s="260">
        <f t="shared" ca="1" si="58"/>
        <v>0</v>
      </c>
      <c r="W3220" s="348" t="str">
        <f>IF(板块成分!B3222="","",板块成分!B3222)</f>
        <v>600458.SH</v>
      </c>
      <c r="X3220" s="276" t="str">
        <f>[1]!S_Info_Name(W3220)</f>
        <v>时代新材</v>
      </c>
      <c r="Y3220" s="276" t="str">
        <f ca="1">IF($Y$3="申万一级行业",[1]!s_info_industry_sw_2021(W3220,公司分析!D$5,1),IF($Y$3="申万二级行业",[1]!s_info_industry_sw_2021(W3220,公司分析!D$5,2),IF($Y$3="申万三级行业",[1]!s_info_industry_sw_2021(W3220,公司分析!D$5,3),IF($Y$3="wind一级行业",[1]!s_info_industry_gics(W3220,1),IF($Y$3="wind二级行业",[1]!s_info_industry_gics(W3220,2),IF($Y$3="wind三级行业",[1]!s_info_industry_gics(W3220,3),IF($Y$3="wind四级行业",[1]!s_info_industry_gics(W3220,4),IF($Y$3="证监会门类行业",[1]!s_info_industry_csrc12_n(W3220,公司分析!D$5,1),""))))))))</f>
        <v>轨交设备Ⅱ</v>
      </c>
      <c r="Z3220" s="302" t="str">
        <f ca="1">IF(Y3220=行业比较!$E$6,ROW(),"")</f>
        <v/>
      </c>
    </row>
    <row r="3221" spans="22:26">
      <c r="V3221" s="260">
        <f t="shared" ca="1" si="58"/>
        <v>0</v>
      </c>
      <c r="W3221" s="348" t="str">
        <f>IF(板块成分!B3223="","",板块成分!B3223)</f>
        <v>600459.SH</v>
      </c>
      <c r="X3221" s="276" t="str">
        <f>[1]!S_Info_Name(W3221)</f>
        <v>贵研铂业</v>
      </c>
      <c r="Y3221" s="276" t="str">
        <f ca="1">IF($Y$3="申万一级行业",[1]!s_info_industry_sw_2021(W3221,公司分析!D$5,1),IF($Y$3="申万二级行业",[1]!s_info_industry_sw_2021(W3221,公司分析!D$5,2),IF($Y$3="申万三级行业",[1]!s_info_industry_sw_2021(W3221,公司分析!D$5,3),IF($Y$3="wind一级行业",[1]!s_info_industry_gics(W3221,1),IF($Y$3="wind二级行业",[1]!s_info_industry_gics(W3221,2),IF($Y$3="wind三级行业",[1]!s_info_industry_gics(W3221,3),IF($Y$3="wind四级行业",[1]!s_info_industry_gics(W3221,4),IF($Y$3="证监会门类行业",[1]!s_info_industry_csrc12_n(W3221,公司分析!D$5,1),""))))))))</f>
        <v>小金属</v>
      </c>
      <c r="Z3221" s="302" t="str">
        <f ca="1">IF(Y3221=行业比较!$E$6,ROW(),"")</f>
        <v/>
      </c>
    </row>
    <row r="3222" spans="22:26">
      <c r="V3222" s="260">
        <f t="shared" ca="1" si="58"/>
        <v>0</v>
      </c>
      <c r="W3222" s="348" t="str">
        <f>IF(板块成分!B3224="","",板块成分!B3224)</f>
        <v>600460.SH</v>
      </c>
      <c r="X3222" s="276" t="str">
        <f>[1]!S_Info_Name(W3222)</f>
        <v>士兰微</v>
      </c>
      <c r="Y3222" s="276" t="str">
        <f ca="1">IF($Y$3="申万一级行业",[1]!s_info_industry_sw_2021(W3222,公司分析!D$5,1),IF($Y$3="申万二级行业",[1]!s_info_industry_sw_2021(W3222,公司分析!D$5,2),IF($Y$3="申万三级行业",[1]!s_info_industry_sw_2021(W3222,公司分析!D$5,3),IF($Y$3="wind一级行业",[1]!s_info_industry_gics(W3222,1),IF($Y$3="wind二级行业",[1]!s_info_industry_gics(W3222,2),IF($Y$3="wind三级行业",[1]!s_info_industry_gics(W3222,3),IF($Y$3="wind四级行业",[1]!s_info_industry_gics(W3222,4),IF($Y$3="证监会门类行业",[1]!s_info_industry_csrc12_n(W3222,公司分析!D$5,1),""))))))))</f>
        <v>半导体</v>
      </c>
      <c r="Z3222" s="302" t="str">
        <f ca="1">IF(Y3222=行业比较!$E$6,ROW(),"")</f>
        <v/>
      </c>
    </row>
    <row r="3223" spans="22:26">
      <c r="V3223" s="260">
        <f t="shared" ca="1" si="58"/>
        <v>0</v>
      </c>
      <c r="W3223" s="348" t="str">
        <f>IF(板块成分!B3225="","",板块成分!B3225)</f>
        <v>600461.SH</v>
      </c>
      <c r="X3223" s="276" t="str">
        <f>[1]!S_Info_Name(W3223)</f>
        <v>洪城环境</v>
      </c>
      <c r="Y3223" s="276" t="str">
        <f ca="1">IF($Y$3="申万一级行业",[1]!s_info_industry_sw_2021(W3223,公司分析!D$5,1),IF($Y$3="申万二级行业",[1]!s_info_industry_sw_2021(W3223,公司分析!D$5,2),IF($Y$3="申万三级行业",[1]!s_info_industry_sw_2021(W3223,公司分析!D$5,3),IF($Y$3="wind一级行业",[1]!s_info_industry_gics(W3223,1),IF($Y$3="wind二级行业",[1]!s_info_industry_gics(W3223,2),IF($Y$3="wind三级行业",[1]!s_info_industry_gics(W3223,3),IF($Y$3="wind四级行业",[1]!s_info_industry_gics(W3223,4),IF($Y$3="证监会门类行业",[1]!s_info_industry_csrc12_n(W3223,公司分析!D$5,1),""))))))))</f>
        <v>环境治理</v>
      </c>
      <c r="Z3223" s="302" t="str">
        <f ca="1">IF(Y3223=行业比较!$E$6,ROW(),"")</f>
        <v/>
      </c>
    </row>
    <row r="3224" spans="22:26">
      <c r="V3224" s="260">
        <f t="shared" ca="1" si="58"/>
        <v>0</v>
      </c>
      <c r="W3224" s="348" t="str">
        <f>IF(板块成分!B3226="","",板块成分!B3226)</f>
        <v>600463.SH</v>
      </c>
      <c r="X3224" s="276" t="str">
        <f>[1]!S_Info_Name(W3224)</f>
        <v>空港股份</v>
      </c>
      <c r="Y3224" s="276" t="str">
        <f ca="1">IF($Y$3="申万一级行业",[1]!s_info_industry_sw_2021(W3224,公司分析!D$5,1),IF($Y$3="申万二级行业",[1]!s_info_industry_sw_2021(W3224,公司分析!D$5,2),IF($Y$3="申万三级行业",[1]!s_info_industry_sw_2021(W3224,公司分析!D$5,3),IF($Y$3="wind一级行业",[1]!s_info_industry_gics(W3224,1),IF($Y$3="wind二级行业",[1]!s_info_industry_gics(W3224,2),IF($Y$3="wind三级行业",[1]!s_info_industry_gics(W3224,3),IF($Y$3="wind四级行业",[1]!s_info_industry_gics(W3224,4),IF($Y$3="证监会门类行业",[1]!s_info_industry_csrc12_n(W3224,公司分析!D$5,1),""))))))))</f>
        <v>房地产开发</v>
      </c>
      <c r="Z3224" s="302" t="str">
        <f ca="1">IF(Y3224=行业比较!$E$6,ROW(),"")</f>
        <v/>
      </c>
    </row>
    <row r="3225" spans="22:26">
      <c r="V3225" s="260">
        <f t="shared" ca="1" si="58"/>
        <v>0</v>
      </c>
      <c r="W3225" s="348" t="str">
        <f>IF(板块成分!B3227="","",板块成分!B3227)</f>
        <v>600467.SH</v>
      </c>
      <c r="X3225" s="276" t="str">
        <f>[1]!S_Info_Name(W3225)</f>
        <v>好当家</v>
      </c>
      <c r="Y3225" s="276" t="str">
        <f ca="1">IF($Y$3="申万一级行业",[1]!s_info_industry_sw_2021(W3225,公司分析!D$5,1),IF($Y$3="申万二级行业",[1]!s_info_industry_sw_2021(W3225,公司分析!D$5,2),IF($Y$3="申万三级行业",[1]!s_info_industry_sw_2021(W3225,公司分析!D$5,3),IF($Y$3="wind一级行业",[1]!s_info_industry_gics(W3225,1),IF($Y$3="wind二级行业",[1]!s_info_industry_gics(W3225,2),IF($Y$3="wind三级行业",[1]!s_info_industry_gics(W3225,3),IF($Y$3="wind四级行业",[1]!s_info_industry_gics(W3225,4),IF($Y$3="证监会门类行业",[1]!s_info_industry_csrc12_n(W3225,公司分析!D$5,1),""))))))))</f>
        <v>渔业</v>
      </c>
      <c r="Z3225" s="302" t="str">
        <f ca="1">IF(Y3225=行业比较!$E$6,ROW(),"")</f>
        <v/>
      </c>
    </row>
    <row r="3226" spans="22:26">
      <c r="V3226" s="260">
        <f t="shared" ca="1" si="58"/>
        <v>0</v>
      </c>
      <c r="W3226" s="348" t="str">
        <f>IF(板块成分!B3228="","",板块成分!B3228)</f>
        <v>600468.SH</v>
      </c>
      <c r="X3226" s="276" t="str">
        <f>[1]!S_Info_Name(W3226)</f>
        <v>百利电气</v>
      </c>
      <c r="Y3226" s="276" t="str">
        <f ca="1">IF($Y$3="申万一级行业",[1]!s_info_industry_sw_2021(W3226,公司分析!D$5,1),IF($Y$3="申万二级行业",[1]!s_info_industry_sw_2021(W3226,公司分析!D$5,2),IF($Y$3="申万三级行业",[1]!s_info_industry_sw_2021(W3226,公司分析!D$5,3),IF($Y$3="wind一级行业",[1]!s_info_industry_gics(W3226,1),IF($Y$3="wind二级行业",[1]!s_info_industry_gics(W3226,2),IF($Y$3="wind三级行业",[1]!s_info_industry_gics(W3226,3),IF($Y$3="wind四级行业",[1]!s_info_industry_gics(W3226,4),IF($Y$3="证监会门类行业",[1]!s_info_industry_csrc12_n(W3226,公司分析!D$5,1),""))))))))</f>
        <v>电网设备</v>
      </c>
      <c r="Z3226" s="302" t="str">
        <f ca="1">IF(Y3226=行业比较!$E$6,ROW(),"")</f>
        <v/>
      </c>
    </row>
    <row r="3227" spans="22:26">
      <c r="V3227" s="260">
        <f t="shared" ca="1" si="58"/>
        <v>0</v>
      </c>
      <c r="W3227" s="348" t="str">
        <f>IF(板块成分!B3229="","",板块成分!B3229)</f>
        <v>600469.SH</v>
      </c>
      <c r="X3227" s="276" t="str">
        <f>[1]!S_Info_Name(W3227)</f>
        <v>风神股份</v>
      </c>
      <c r="Y3227" s="276" t="str">
        <f ca="1">IF($Y$3="申万一级行业",[1]!s_info_industry_sw_2021(W3227,公司分析!D$5,1),IF($Y$3="申万二级行业",[1]!s_info_industry_sw_2021(W3227,公司分析!D$5,2),IF($Y$3="申万三级行业",[1]!s_info_industry_sw_2021(W3227,公司分析!D$5,3),IF($Y$3="wind一级行业",[1]!s_info_industry_gics(W3227,1),IF($Y$3="wind二级行业",[1]!s_info_industry_gics(W3227,2),IF($Y$3="wind三级行业",[1]!s_info_industry_gics(W3227,3),IF($Y$3="wind四级行业",[1]!s_info_industry_gics(W3227,4),IF($Y$3="证监会门类行业",[1]!s_info_industry_csrc12_n(W3227,公司分析!D$5,1),""))))))))</f>
        <v>汽车零部件</v>
      </c>
      <c r="Z3227" s="302" t="str">
        <f ca="1">IF(Y3227=行业比较!$E$6,ROW(),"")</f>
        <v/>
      </c>
    </row>
    <row r="3228" spans="22:26">
      <c r="V3228" s="260">
        <f t="shared" ca="1" si="58"/>
        <v>0</v>
      </c>
      <c r="W3228" s="348" t="str">
        <f>IF(板块成分!B3230="","",板块成分!B3230)</f>
        <v>600470.SH</v>
      </c>
      <c r="X3228" s="276" t="str">
        <f>[1]!S_Info_Name(W3228)</f>
        <v>六国化工</v>
      </c>
      <c r="Y3228" s="276" t="str">
        <f ca="1">IF($Y$3="申万一级行业",[1]!s_info_industry_sw_2021(W3228,公司分析!D$5,1),IF($Y$3="申万二级行业",[1]!s_info_industry_sw_2021(W3228,公司分析!D$5,2),IF($Y$3="申万三级行业",[1]!s_info_industry_sw_2021(W3228,公司分析!D$5,3),IF($Y$3="wind一级行业",[1]!s_info_industry_gics(W3228,1),IF($Y$3="wind二级行业",[1]!s_info_industry_gics(W3228,2),IF($Y$3="wind三级行业",[1]!s_info_industry_gics(W3228,3),IF($Y$3="wind四级行业",[1]!s_info_industry_gics(W3228,4),IF($Y$3="证监会门类行业",[1]!s_info_industry_csrc12_n(W3228,公司分析!D$5,1),""))))))))</f>
        <v>农化制品</v>
      </c>
      <c r="Z3228" s="302" t="str">
        <f ca="1">IF(Y3228=行业比较!$E$6,ROW(),"")</f>
        <v/>
      </c>
    </row>
    <row r="3229" spans="22:26">
      <c r="V3229" s="260">
        <f t="shared" ca="1" si="58"/>
        <v>0</v>
      </c>
      <c r="W3229" s="348" t="str">
        <f>IF(板块成分!B3231="","",板块成分!B3231)</f>
        <v>600475.SH</v>
      </c>
      <c r="X3229" s="276" t="str">
        <f>[1]!S_Info_Name(W3229)</f>
        <v>华光环能</v>
      </c>
      <c r="Y3229" s="276" t="str">
        <f ca="1">IF($Y$3="申万一级行业",[1]!s_info_industry_sw_2021(W3229,公司分析!D$5,1),IF($Y$3="申万二级行业",[1]!s_info_industry_sw_2021(W3229,公司分析!D$5,2),IF($Y$3="申万三级行业",[1]!s_info_industry_sw_2021(W3229,公司分析!D$5,3),IF($Y$3="wind一级行业",[1]!s_info_industry_gics(W3229,1),IF($Y$3="wind二级行业",[1]!s_info_industry_gics(W3229,2),IF($Y$3="wind三级行业",[1]!s_info_industry_gics(W3229,3),IF($Y$3="wind四级行业",[1]!s_info_industry_gics(W3229,4),IF($Y$3="证监会门类行业",[1]!s_info_industry_csrc12_n(W3229,公司分析!D$5,1),""))))))))</f>
        <v>电力</v>
      </c>
      <c r="Z3229" s="302" t="str">
        <f ca="1">IF(Y3229=行业比较!$E$6,ROW(),"")</f>
        <v/>
      </c>
    </row>
    <row r="3230" spans="22:26">
      <c r="V3230" s="260">
        <f t="shared" ca="1" si="58"/>
        <v>0</v>
      </c>
      <c r="W3230" s="348" t="str">
        <f>IF(板块成分!B3232="","",板块成分!B3232)</f>
        <v>600476.SH</v>
      </c>
      <c r="X3230" s="276" t="str">
        <f>[1]!S_Info_Name(W3230)</f>
        <v>湘邮科技</v>
      </c>
      <c r="Y3230" s="276" t="str">
        <f ca="1">IF($Y$3="申万一级行业",[1]!s_info_industry_sw_2021(W3230,公司分析!D$5,1),IF($Y$3="申万二级行业",[1]!s_info_industry_sw_2021(W3230,公司分析!D$5,2),IF($Y$3="申万三级行业",[1]!s_info_industry_sw_2021(W3230,公司分析!D$5,3),IF($Y$3="wind一级行业",[1]!s_info_industry_gics(W3230,1),IF($Y$3="wind二级行业",[1]!s_info_industry_gics(W3230,2),IF($Y$3="wind三级行业",[1]!s_info_industry_gics(W3230,3),IF($Y$3="wind四级行业",[1]!s_info_industry_gics(W3230,4),IF($Y$3="证监会门类行业",[1]!s_info_industry_csrc12_n(W3230,公司分析!D$5,1),""))))))))</f>
        <v>IT服务Ⅱ</v>
      </c>
      <c r="Z3230" s="302" t="str">
        <f ca="1">IF(Y3230=行业比较!$E$6,ROW(),"")</f>
        <v/>
      </c>
    </row>
    <row r="3231" spans="22:26">
      <c r="V3231" s="260">
        <f t="shared" ca="1" si="58"/>
        <v>0</v>
      </c>
      <c r="W3231" s="348" t="str">
        <f>IF(板块成分!B3233="","",板块成分!B3233)</f>
        <v>600477.SH</v>
      </c>
      <c r="X3231" s="276" t="str">
        <f>[1]!S_Info_Name(W3231)</f>
        <v>杭萧钢构</v>
      </c>
      <c r="Y3231" s="276" t="str">
        <f ca="1">IF($Y$3="申万一级行业",[1]!s_info_industry_sw_2021(W3231,公司分析!D$5,1),IF($Y$3="申万二级行业",[1]!s_info_industry_sw_2021(W3231,公司分析!D$5,2),IF($Y$3="申万三级行业",[1]!s_info_industry_sw_2021(W3231,公司分析!D$5,3),IF($Y$3="wind一级行业",[1]!s_info_industry_gics(W3231,1),IF($Y$3="wind二级行业",[1]!s_info_industry_gics(W3231,2),IF($Y$3="wind三级行业",[1]!s_info_industry_gics(W3231,3),IF($Y$3="wind四级行业",[1]!s_info_industry_gics(W3231,4),IF($Y$3="证监会门类行业",[1]!s_info_industry_csrc12_n(W3231,公司分析!D$5,1),""))))))))</f>
        <v>专业工程</v>
      </c>
      <c r="Z3231" s="302" t="str">
        <f ca="1">IF(Y3231=行业比较!$E$6,ROW(),"")</f>
        <v/>
      </c>
    </row>
    <row r="3232" spans="22:26">
      <c r="V3232" s="260">
        <f t="shared" ca="1" si="58"/>
        <v>0</v>
      </c>
      <c r="W3232" s="348" t="str">
        <f>IF(板块成分!B3234="","",板块成分!B3234)</f>
        <v>600478.SH</v>
      </c>
      <c r="X3232" s="276" t="str">
        <f>[1]!S_Info_Name(W3232)</f>
        <v>科力远</v>
      </c>
      <c r="Y3232" s="276" t="str">
        <f ca="1">IF($Y$3="申万一级行业",[1]!s_info_industry_sw_2021(W3232,公司分析!D$5,1),IF($Y$3="申万二级行业",[1]!s_info_industry_sw_2021(W3232,公司分析!D$5,2),IF($Y$3="申万三级行业",[1]!s_info_industry_sw_2021(W3232,公司分析!D$5,3),IF($Y$3="wind一级行业",[1]!s_info_industry_gics(W3232,1),IF($Y$3="wind二级行业",[1]!s_info_industry_gics(W3232,2),IF($Y$3="wind三级行业",[1]!s_info_industry_gics(W3232,3),IF($Y$3="wind四级行业",[1]!s_info_industry_gics(W3232,4),IF($Y$3="证监会门类行业",[1]!s_info_industry_csrc12_n(W3232,公司分析!D$5,1),""))))))))</f>
        <v>电池</v>
      </c>
      <c r="Z3232" s="302" t="str">
        <f ca="1">IF(Y3232=行业比较!$E$6,ROW(),"")</f>
        <v/>
      </c>
    </row>
    <row r="3233" spans="22:26">
      <c r="V3233" s="260">
        <f t="shared" ca="1" si="58"/>
        <v>0</v>
      </c>
      <c r="W3233" s="348" t="str">
        <f>IF(板块成分!B3235="","",板块成分!B3235)</f>
        <v>600479.SH</v>
      </c>
      <c r="X3233" s="276" t="str">
        <f>[1]!S_Info_Name(W3233)</f>
        <v>千金药业</v>
      </c>
      <c r="Y3233" s="276" t="str">
        <f ca="1">IF($Y$3="申万一级行业",[1]!s_info_industry_sw_2021(W3233,公司分析!D$5,1),IF($Y$3="申万二级行业",[1]!s_info_industry_sw_2021(W3233,公司分析!D$5,2),IF($Y$3="申万三级行业",[1]!s_info_industry_sw_2021(W3233,公司分析!D$5,3),IF($Y$3="wind一级行业",[1]!s_info_industry_gics(W3233,1),IF($Y$3="wind二级行业",[1]!s_info_industry_gics(W3233,2),IF($Y$3="wind三级行业",[1]!s_info_industry_gics(W3233,3),IF($Y$3="wind四级行业",[1]!s_info_industry_gics(W3233,4),IF($Y$3="证监会门类行业",[1]!s_info_industry_csrc12_n(W3233,公司分析!D$5,1),""))))))))</f>
        <v>中药Ⅱ</v>
      </c>
      <c r="Z3233" s="302" t="str">
        <f ca="1">IF(Y3233=行业比较!$E$6,ROW(),"")</f>
        <v/>
      </c>
    </row>
    <row r="3234" spans="22:26">
      <c r="V3234" s="260">
        <f t="shared" ca="1" si="58"/>
        <v>0</v>
      </c>
      <c r="W3234" s="348" t="str">
        <f>IF(板块成分!B3236="","",板块成分!B3236)</f>
        <v>600480.SH</v>
      </c>
      <c r="X3234" s="276" t="str">
        <f>[1]!S_Info_Name(W3234)</f>
        <v>凌云股份</v>
      </c>
      <c r="Y3234" s="276" t="str">
        <f ca="1">IF($Y$3="申万一级行业",[1]!s_info_industry_sw_2021(W3234,公司分析!D$5,1),IF($Y$3="申万二级行业",[1]!s_info_industry_sw_2021(W3234,公司分析!D$5,2),IF($Y$3="申万三级行业",[1]!s_info_industry_sw_2021(W3234,公司分析!D$5,3),IF($Y$3="wind一级行业",[1]!s_info_industry_gics(W3234,1),IF($Y$3="wind二级行业",[1]!s_info_industry_gics(W3234,2),IF($Y$3="wind三级行业",[1]!s_info_industry_gics(W3234,3),IF($Y$3="wind四级行业",[1]!s_info_industry_gics(W3234,4),IF($Y$3="证监会门类行业",[1]!s_info_industry_csrc12_n(W3234,公司分析!D$5,1),""))))))))</f>
        <v>汽车零部件</v>
      </c>
      <c r="Z3234" s="302" t="str">
        <f ca="1">IF(Y3234=行业比较!$E$6,ROW(),"")</f>
        <v/>
      </c>
    </row>
    <row r="3235" spans="22:26">
      <c r="V3235" s="260">
        <f t="shared" ca="1" si="58"/>
        <v>0</v>
      </c>
      <c r="W3235" s="348" t="str">
        <f>IF(板块成分!B3237="","",板块成分!B3237)</f>
        <v>600481.SH</v>
      </c>
      <c r="X3235" s="276" t="str">
        <f>[1]!S_Info_Name(W3235)</f>
        <v>双良节能</v>
      </c>
      <c r="Y3235" s="276" t="str">
        <f ca="1">IF($Y$3="申万一级行业",[1]!s_info_industry_sw_2021(W3235,公司分析!D$5,1),IF($Y$3="申万二级行业",[1]!s_info_industry_sw_2021(W3235,公司分析!D$5,2),IF($Y$3="申万三级行业",[1]!s_info_industry_sw_2021(W3235,公司分析!D$5,3),IF($Y$3="wind一级行业",[1]!s_info_industry_gics(W3235,1),IF($Y$3="wind二级行业",[1]!s_info_industry_gics(W3235,2),IF($Y$3="wind三级行业",[1]!s_info_industry_gics(W3235,3),IF($Y$3="wind四级行业",[1]!s_info_industry_gics(W3235,4),IF($Y$3="证监会门类行业",[1]!s_info_industry_csrc12_n(W3235,公司分析!D$5,1),""))))))))</f>
        <v>光伏设备</v>
      </c>
      <c r="Z3235" s="302" t="str">
        <f ca="1">IF(Y3235=行业比较!$E$6,ROW(),"")</f>
        <v/>
      </c>
    </row>
    <row r="3236" spans="22:26">
      <c r="V3236" s="260">
        <f t="shared" ca="1" si="58"/>
        <v>0</v>
      </c>
      <c r="W3236" s="348" t="str">
        <f>IF(板块成分!B3238="","",板块成分!B3238)</f>
        <v>600482.SH</v>
      </c>
      <c r="X3236" s="276" t="str">
        <f>[1]!S_Info_Name(W3236)</f>
        <v>中国动力</v>
      </c>
      <c r="Y3236" s="276" t="str">
        <f ca="1">IF($Y$3="申万一级行业",[1]!s_info_industry_sw_2021(W3236,公司分析!D$5,1),IF($Y$3="申万二级行业",[1]!s_info_industry_sw_2021(W3236,公司分析!D$5,2),IF($Y$3="申万三级行业",[1]!s_info_industry_sw_2021(W3236,公司分析!D$5,3),IF($Y$3="wind一级行业",[1]!s_info_industry_gics(W3236,1),IF($Y$3="wind二级行业",[1]!s_info_industry_gics(W3236,2),IF($Y$3="wind三级行业",[1]!s_info_industry_gics(W3236,3),IF($Y$3="wind四级行业",[1]!s_info_industry_gics(W3236,4),IF($Y$3="证监会门类行业",[1]!s_info_industry_csrc12_n(W3236,公司分析!D$5,1),""))))))))</f>
        <v>其他电源设备Ⅱ</v>
      </c>
      <c r="Z3236" s="302" t="str">
        <f ca="1">IF(Y3236=行业比较!$E$6,ROW(),"")</f>
        <v/>
      </c>
    </row>
    <row r="3237" spans="22:26">
      <c r="V3237" s="260">
        <f t="shared" ca="1" si="58"/>
        <v>0</v>
      </c>
      <c r="W3237" s="348" t="str">
        <f>IF(板块成分!B3239="","",板块成分!B3239)</f>
        <v>600483.SH</v>
      </c>
      <c r="X3237" s="276" t="str">
        <f>[1]!S_Info_Name(W3237)</f>
        <v>福能股份</v>
      </c>
      <c r="Y3237" s="276" t="str">
        <f ca="1">IF($Y$3="申万一级行业",[1]!s_info_industry_sw_2021(W3237,公司分析!D$5,1),IF($Y$3="申万二级行业",[1]!s_info_industry_sw_2021(W3237,公司分析!D$5,2),IF($Y$3="申万三级行业",[1]!s_info_industry_sw_2021(W3237,公司分析!D$5,3),IF($Y$3="wind一级行业",[1]!s_info_industry_gics(W3237,1),IF($Y$3="wind二级行业",[1]!s_info_industry_gics(W3237,2),IF($Y$3="wind三级行业",[1]!s_info_industry_gics(W3237,3),IF($Y$3="wind四级行业",[1]!s_info_industry_gics(W3237,4),IF($Y$3="证监会门类行业",[1]!s_info_industry_csrc12_n(W3237,公司分析!D$5,1),""))))))))</f>
        <v>电力</v>
      </c>
      <c r="Z3237" s="302" t="str">
        <f ca="1">IF(Y3237=行业比较!$E$6,ROW(),"")</f>
        <v/>
      </c>
    </row>
    <row r="3238" spans="22:26">
      <c r="V3238" s="260">
        <f t="shared" ca="1" si="58"/>
        <v>0</v>
      </c>
      <c r="W3238" s="348" t="str">
        <f>IF(板块成分!B3240="","",板块成分!B3240)</f>
        <v>600486.SH</v>
      </c>
      <c r="X3238" s="276" t="str">
        <f>[1]!S_Info_Name(W3238)</f>
        <v>扬农化工</v>
      </c>
      <c r="Y3238" s="276" t="str">
        <f ca="1">IF($Y$3="申万一级行业",[1]!s_info_industry_sw_2021(W3238,公司分析!D$5,1),IF($Y$3="申万二级行业",[1]!s_info_industry_sw_2021(W3238,公司分析!D$5,2),IF($Y$3="申万三级行业",[1]!s_info_industry_sw_2021(W3238,公司分析!D$5,3),IF($Y$3="wind一级行业",[1]!s_info_industry_gics(W3238,1),IF($Y$3="wind二级行业",[1]!s_info_industry_gics(W3238,2),IF($Y$3="wind三级行业",[1]!s_info_industry_gics(W3238,3),IF($Y$3="wind四级行业",[1]!s_info_industry_gics(W3238,4),IF($Y$3="证监会门类行业",[1]!s_info_industry_csrc12_n(W3238,公司分析!D$5,1),""))))))))</f>
        <v>农化制品</v>
      </c>
      <c r="Z3238" s="302" t="str">
        <f ca="1">IF(Y3238=行业比较!$E$6,ROW(),"")</f>
        <v/>
      </c>
    </row>
    <row r="3239" spans="22:26">
      <c r="V3239" s="260">
        <f t="shared" ca="1" si="58"/>
        <v>0</v>
      </c>
      <c r="W3239" s="348" t="str">
        <f>IF(板块成分!B3241="","",板块成分!B3241)</f>
        <v>600487.SH</v>
      </c>
      <c r="X3239" s="276" t="str">
        <f>[1]!S_Info_Name(W3239)</f>
        <v>亨通光电</v>
      </c>
      <c r="Y3239" s="276" t="str">
        <f ca="1">IF($Y$3="申万一级行业",[1]!s_info_industry_sw_2021(W3239,公司分析!D$5,1),IF($Y$3="申万二级行业",[1]!s_info_industry_sw_2021(W3239,公司分析!D$5,2),IF($Y$3="申万三级行业",[1]!s_info_industry_sw_2021(W3239,公司分析!D$5,3),IF($Y$3="wind一级行业",[1]!s_info_industry_gics(W3239,1),IF($Y$3="wind二级行业",[1]!s_info_industry_gics(W3239,2),IF($Y$3="wind三级行业",[1]!s_info_industry_gics(W3239,3),IF($Y$3="wind四级行业",[1]!s_info_industry_gics(W3239,4),IF($Y$3="证监会门类行业",[1]!s_info_industry_csrc12_n(W3239,公司分析!D$5,1),""))))))))</f>
        <v>通信设备</v>
      </c>
      <c r="Z3239" s="302" t="str">
        <f ca="1">IF(Y3239=行业比较!$E$6,ROW(),"")</f>
        <v/>
      </c>
    </row>
    <row r="3240" spans="22:26">
      <c r="V3240" s="260">
        <f t="shared" ca="1" si="58"/>
        <v>0</v>
      </c>
      <c r="W3240" s="348" t="str">
        <f>IF(板块成分!B3242="","",板块成分!B3242)</f>
        <v>600488.SH</v>
      </c>
      <c r="X3240" s="276" t="str">
        <f>[1]!S_Info_Name(W3240)</f>
        <v>津药药业</v>
      </c>
      <c r="Y3240" s="276" t="str">
        <f ca="1">IF($Y$3="申万一级行业",[1]!s_info_industry_sw_2021(W3240,公司分析!D$5,1),IF($Y$3="申万二级行业",[1]!s_info_industry_sw_2021(W3240,公司分析!D$5,2),IF($Y$3="申万三级行业",[1]!s_info_industry_sw_2021(W3240,公司分析!D$5,3),IF($Y$3="wind一级行业",[1]!s_info_industry_gics(W3240,1),IF($Y$3="wind二级行业",[1]!s_info_industry_gics(W3240,2),IF($Y$3="wind三级行业",[1]!s_info_industry_gics(W3240,3),IF($Y$3="wind四级行业",[1]!s_info_industry_gics(W3240,4),IF($Y$3="证监会门类行业",[1]!s_info_industry_csrc12_n(W3240,公司分析!D$5,1),""))))))))</f>
        <v>化学制药</v>
      </c>
      <c r="Z3240" s="302" t="str">
        <f ca="1">IF(Y3240=行业比较!$E$6,ROW(),"")</f>
        <v/>
      </c>
    </row>
    <row r="3241" spans="22:26">
      <c r="V3241" s="260">
        <f t="shared" ca="1" si="58"/>
        <v>0</v>
      </c>
      <c r="W3241" s="348" t="str">
        <f>IF(板块成分!B3243="","",板块成分!B3243)</f>
        <v>600489.SH</v>
      </c>
      <c r="X3241" s="276" t="str">
        <f>[1]!S_Info_Name(W3241)</f>
        <v>中金黄金</v>
      </c>
      <c r="Y3241" s="276" t="str">
        <f ca="1">IF($Y$3="申万一级行业",[1]!s_info_industry_sw_2021(W3241,公司分析!D$5,1),IF($Y$3="申万二级行业",[1]!s_info_industry_sw_2021(W3241,公司分析!D$5,2),IF($Y$3="申万三级行业",[1]!s_info_industry_sw_2021(W3241,公司分析!D$5,3),IF($Y$3="wind一级行业",[1]!s_info_industry_gics(W3241,1),IF($Y$3="wind二级行业",[1]!s_info_industry_gics(W3241,2),IF($Y$3="wind三级行业",[1]!s_info_industry_gics(W3241,3),IF($Y$3="wind四级行业",[1]!s_info_industry_gics(W3241,4),IF($Y$3="证监会门类行业",[1]!s_info_industry_csrc12_n(W3241,公司分析!D$5,1),""))))))))</f>
        <v>贵金属</v>
      </c>
      <c r="Z3241" s="302" t="str">
        <f ca="1">IF(Y3241=行业比较!$E$6,ROW(),"")</f>
        <v/>
      </c>
    </row>
    <row r="3242" spans="22:26">
      <c r="V3242" s="260">
        <f t="shared" ca="1" si="58"/>
        <v>35</v>
      </c>
      <c r="W3242" s="348" t="str">
        <f>IF(板块成分!B3244="","",板块成分!B3244)</f>
        <v>600490.SH</v>
      </c>
      <c r="X3242" s="276" t="str">
        <f>[1]!S_Info_Name(W3242)</f>
        <v>鹏欣资源</v>
      </c>
      <c r="Y3242" s="276" t="str">
        <f ca="1">IF($Y$3="申万一级行业",[1]!s_info_industry_sw_2021(W3242,公司分析!D$5,1),IF($Y$3="申万二级行业",[1]!s_info_industry_sw_2021(W3242,公司分析!D$5,2),IF($Y$3="申万三级行业",[1]!s_info_industry_sw_2021(W3242,公司分析!D$5,3),IF($Y$3="wind一级行业",[1]!s_info_industry_gics(W3242,1),IF($Y$3="wind二级行业",[1]!s_info_industry_gics(W3242,2),IF($Y$3="wind三级行业",[1]!s_info_industry_gics(W3242,3),IF($Y$3="wind四级行业",[1]!s_info_industry_gics(W3242,4),IF($Y$3="证监会门类行业",[1]!s_info_industry_csrc12_n(W3242,公司分析!D$5,1),""))))))))</f>
        <v>工业金属</v>
      </c>
      <c r="Z3242" s="302">
        <f ca="1">IF(Y3242=行业比较!$E$6,ROW(),"")</f>
        <v>3242</v>
      </c>
    </row>
    <row r="3243" spans="22:26">
      <c r="V3243" s="260">
        <f t="shared" ca="1" si="58"/>
        <v>0</v>
      </c>
      <c r="W3243" s="348" t="str">
        <f>IF(板块成分!B3245="","",板块成分!B3245)</f>
        <v>600491.SH</v>
      </c>
      <c r="X3243" s="276" t="str">
        <f>[1]!S_Info_Name(W3243)</f>
        <v>龙元建设</v>
      </c>
      <c r="Y3243" s="276" t="str">
        <f ca="1">IF($Y$3="申万一级行业",[1]!s_info_industry_sw_2021(W3243,公司分析!D$5,1),IF($Y$3="申万二级行业",[1]!s_info_industry_sw_2021(W3243,公司分析!D$5,2),IF($Y$3="申万三级行业",[1]!s_info_industry_sw_2021(W3243,公司分析!D$5,3),IF($Y$3="wind一级行业",[1]!s_info_industry_gics(W3243,1),IF($Y$3="wind二级行业",[1]!s_info_industry_gics(W3243,2),IF($Y$3="wind三级行业",[1]!s_info_industry_gics(W3243,3),IF($Y$3="wind四级行业",[1]!s_info_industry_gics(W3243,4),IF($Y$3="证监会门类行业",[1]!s_info_industry_csrc12_n(W3243,公司分析!D$5,1),""))))))))</f>
        <v>房屋建设Ⅱ</v>
      </c>
      <c r="Z3243" s="302" t="str">
        <f ca="1">IF(Y3243=行业比较!$E$6,ROW(),"")</f>
        <v/>
      </c>
    </row>
    <row r="3244" spans="22:26">
      <c r="V3244" s="260">
        <f t="shared" ca="1" si="58"/>
        <v>0</v>
      </c>
      <c r="W3244" s="348" t="str">
        <f>IF(板块成分!B3246="","",板块成分!B3246)</f>
        <v>600493.SH</v>
      </c>
      <c r="X3244" s="276" t="str">
        <f>[1]!S_Info_Name(W3244)</f>
        <v>凤竹纺织</v>
      </c>
      <c r="Y3244" s="276" t="str">
        <f ca="1">IF($Y$3="申万一级行业",[1]!s_info_industry_sw_2021(W3244,公司分析!D$5,1),IF($Y$3="申万二级行业",[1]!s_info_industry_sw_2021(W3244,公司分析!D$5,2),IF($Y$3="申万三级行业",[1]!s_info_industry_sw_2021(W3244,公司分析!D$5,3),IF($Y$3="wind一级行业",[1]!s_info_industry_gics(W3244,1),IF($Y$3="wind二级行业",[1]!s_info_industry_gics(W3244,2),IF($Y$3="wind三级行业",[1]!s_info_industry_gics(W3244,3),IF($Y$3="wind四级行业",[1]!s_info_industry_gics(W3244,4),IF($Y$3="证监会门类行业",[1]!s_info_industry_csrc12_n(W3244,公司分析!D$5,1),""))))))))</f>
        <v>纺织制造</v>
      </c>
      <c r="Z3244" s="302" t="str">
        <f ca="1">IF(Y3244=行业比较!$E$6,ROW(),"")</f>
        <v/>
      </c>
    </row>
    <row r="3245" spans="22:26">
      <c r="V3245" s="260">
        <f t="shared" ca="1" si="58"/>
        <v>0</v>
      </c>
      <c r="W3245" s="348" t="str">
        <f>IF(板块成分!B3247="","",板块成分!B3247)</f>
        <v>600495.SH</v>
      </c>
      <c r="X3245" s="276" t="str">
        <f>[1]!S_Info_Name(W3245)</f>
        <v>晋西车轴</v>
      </c>
      <c r="Y3245" s="276" t="str">
        <f ca="1">IF($Y$3="申万一级行业",[1]!s_info_industry_sw_2021(W3245,公司分析!D$5,1),IF($Y$3="申万二级行业",[1]!s_info_industry_sw_2021(W3245,公司分析!D$5,2),IF($Y$3="申万三级行业",[1]!s_info_industry_sw_2021(W3245,公司分析!D$5,3),IF($Y$3="wind一级行业",[1]!s_info_industry_gics(W3245,1),IF($Y$3="wind二级行业",[1]!s_info_industry_gics(W3245,2),IF($Y$3="wind三级行业",[1]!s_info_industry_gics(W3245,3),IF($Y$3="wind四级行业",[1]!s_info_industry_gics(W3245,4),IF($Y$3="证监会门类行业",[1]!s_info_industry_csrc12_n(W3245,公司分析!D$5,1),""))))))))</f>
        <v>轨交设备Ⅱ</v>
      </c>
      <c r="Z3245" s="302" t="str">
        <f ca="1">IF(Y3245=行业比较!$E$6,ROW(),"")</f>
        <v/>
      </c>
    </row>
    <row r="3246" spans="22:26">
      <c r="V3246" s="260">
        <f t="shared" ca="1" si="58"/>
        <v>0</v>
      </c>
      <c r="W3246" s="348" t="str">
        <f>IF(板块成分!B3248="","",板块成分!B3248)</f>
        <v>600496.SH</v>
      </c>
      <c r="X3246" s="276" t="str">
        <f>[1]!S_Info_Name(W3246)</f>
        <v>精工钢构</v>
      </c>
      <c r="Y3246" s="276" t="str">
        <f ca="1">IF($Y$3="申万一级行业",[1]!s_info_industry_sw_2021(W3246,公司分析!D$5,1),IF($Y$3="申万二级行业",[1]!s_info_industry_sw_2021(W3246,公司分析!D$5,2),IF($Y$3="申万三级行业",[1]!s_info_industry_sw_2021(W3246,公司分析!D$5,3),IF($Y$3="wind一级行业",[1]!s_info_industry_gics(W3246,1),IF($Y$3="wind二级行业",[1]!s_info_industry_gics(W3246,2),IF($Y$3="wind三级行业",[1]!s_info_industry_gics(W3246,3),IF($Y$3="wind四级行业",[1]!s_info_industry_gics(W3246,4),IF($Y$3="证监会门类行业",[1]!s_info_industry_csrc12_n(W3246,公司分析!D$5,1),""))))))))</f>
        <v>专业工程</v>
      </c>
      <c r="Z3246" s="302" t="str">
        <f ca="1">IF(Y3246=行业比较!$E$6,ROW(),"")</f>
        <v/>
      </c>
    </row>
    <row r="3247" spans="22:26">
      <c r="V3247" s="260">
        <f t="shared" ca="1" si="58"/>
        <v>36</v>
      </c>
      <c r="W3247" s="348" t="str">
        <f>IF(板块成分!B3249="","",板块成分!B3249)</f>
        <v>600497.SH</v>
      </c>
      <c r="X3247" s="276" t="str">
        <f>[1]!S_Info_Name(W3247)</f>
        <v>驰宏锌锗</v>
      </c>
      <c r="Y3247" s="276" t="str">
        <f ca="1">IF($Y$3="申万一级行业",[1]!s_info_industry_sw_2021(W3247,公司分析!D$5,1),IF($Y$3="申万二级行业",[1]!s_info_industry_sw_2021(W3247,公司分析!D$5,2),IF($Y$3="申万三级行业",[1]!s_info_industry_sw_2021(W3247,公司分析!D$5,3),IF($Y$3="wind一级行业",[1]!s_info_industry_gics(W3247,1),IF($Y$3="wind二级行业",[1]!s_info_industry_gics(W3247,2),IF($Y$3="wind三级行业",[1]!s_info_industry_gics(W3247,3),IF($Y$3="wind四级行业",[1]!s_info_industry_gics(W3247,4),IF($Y$3="证监会门类行业",[1]!s_info_industry_csrc12_n(W3247,公司分析!D$5,1),""))))))))</f>
        <v>工业金属</v>
      </c>
      <c r="Z3247" s="302">
        <f ca="1">IF(Y3247=行业比较!$E$6,ROW(),"")</f>
        <v>3247</v>
      </c>
    </row>
    <row r="3248" spans="22:26">
      <c r="V3248" s="260">
        <f t="shared" ca="1" si="58"/>
        <v>0</v>
      </c>
      <c r="W3248" s="348" t="str">
        <f>IF(板块成分!B3250="","",板块成分!B3250)</f>
        <v>600498.SH</v>
      </c>
      <c r="X3248" s="276" t="str">
        <f>[1]!S_Info_Name(W3248)</f>
        <v>烽火通信</v>
      </c>
      <c r="Y3248" s="276" t="str">
        <f ca="1">IF($Y$3="申万一级行业",[1]!s_info_industry_sw_2021(W3248,公司分析!D$5,1),IF($Y$3="申万二级行业",[1]!s_info_industry_sw_2021(W3248,公司分析!D$5,2),IF($Y$3="申万三级行业",[1]!s_info_industry_sw_2021(W3248,公司分析!D$5,3),IF($Y$3="wind一级行业",[1]!s_info_industry_gics(W3248,1),IF($Y$3="wind二级行业",[1]!s_info_industry_gics(W3248,2),IF($Y$3="wind三级行业",[1]!s_info_industry_gics(W3248,3),IF($Y$3="wind四级行业",[1]!s_info_industry_gics(W3248,4),IF($Y$3="证监会门类行业",[1]!s_info_industry_csrc12_n(W3248,公司分析!D$5,1),""))))))))</f>
        <v>通信设备</v>
      </c>
      <c r="Z3248" s="302" t="str">
        <f ca="1">IF(Y3248=行业比较!$E$6,ROW(),"")</f>
        <v/>
      </c>
    </row>
    <row r="3249" spans="22:26">
      <c r="V3249" s="260">
        <f t="shared" ca="1" si="58"/>
        <v>0</v>
      </c>
      <c r="W3249" s="348" t="str">
        <f>IF(板块成分!B3251="","",板块成分!B3251)</f>
        <v>600499.SH</v>
      </c>
      <c r="X3249" s="276" t="str">
        <f>[1]!S_Info_Name(W3249)</f>
        <v>科达制造</v>
      </c>
      <c r="Y3249" s="276" t="str">
        <f ca="1">IF($Y$3="申万一级行业",[1]!s_info_industry_sw_2021(W3249,公司分析!D$5,1),IF($Y$3="申万二级行业",[1]!s_info_industry_sw_2021(W3249,公司分析!D$5,2),IF($Y$3="申万三级行业",[1]!s_info_industry_sw_2021(W3249,公司分析!D$5,3),IF($Y$3="wind一级行业",[1]!s_info_industry_gics(W3249,1),IF($Y$3="wind二级行业",[1]!s_info_industry_gics(W3249,2),IF($Y$3="wind三级行业",[1]!s_info_industry_gics(W3249,3),IF($Y$3="wind四级行业",[1]!s_info_industry_gics(W3249,4),IF($Y$3="证监会门类行业",[1]!s_info_industry_csrc12_n(W3249,公司分析!D$5,1),""))))))))</f>
        <v>专用设备</v>
      </c>
      <c r="Z3249" s="302" t="str">
        <f ca="1">IF(Y3249=行业比较!$E$6,ROW(),"")</f>
        <v/>
      </c>
    </row>
    <row r="3250" spans="22:26">
      <c r="V3250" s="260">
        <f t="shared" ca="1" si="58"/>
        <v>0</v>
      </c>
      <c r="W3250" s="348" t="str">
        <f>IF(板块成分!B3252="","",板块成分!B3252)</f>
        <v>600500.SH</v>
      </c>
      <c r="X3250" s="276" t="str">
        <f>[1]!S_Info_Name(W3250)</f>
        <v>中化国际</v>
      </c>
      <c r="Y3250" s="276" t="str">
        <f ca="1">IF($Y$3="申万一级行业",[1]!s_info_industry_sw_2021(W3250,公司分析!D$5,1),IF($Y$3="申万二级行业",[1]!s_info_industry_sw_2021(W3250,公司分析!D$5,2),IF($Y$3="申万三级行业",[1]!s_info_industry_sw_2021(W3250,公司分析!D$5,3),IF($Y$3="wind一级行业",[1]!s_info_industry_gics(W3250,1),IF($Y$3="wind二级行业",[1]!s_info_industry_gics(W3250,2),IF($Y$3="wind三级行业",[1]!s_info_industry_gics(W3250,3),IF($Y$3="wind四级行业",[1]!s_info_industry_gics(W3250,4),IF($Y$3="证监会门类行业",[1]!s_info_industry_csrc12_n(W3250,公司分析!D$5,1),""))))))))</f>
        <v>化学制品</v>
      </c>
      <c r="Z3250" s="302" t="str">
        <f ca="1">IF(Y3250=行业比较!$E$6,ROW(),"")</f>
        <v/>
      </c>
    </row>
    <row r="3251" spans="22:26">
      <c r="V3251" s="260">
        <f t="shared" ca="1" si="58"/>
        <v>0</v>
      </c>
      <c r="W3251" s="348" t="str">
        <f>IF(板块成分!B3253="","",板块成分!B3253)</f>
        <v>600501.SH</v>
      </c>
      <c r="X3251" s="276" t="str">
        <f>[1]!S_Info_Name(W3251)</f>
        <v>航天晨光</v>
      </c>
      <c r="Y3251" s="276" t="str">
        <f ca="1">IF($Y$3="申万一级行业",[1]!s_info_industry_sw_2021(W3251,公司分析!D$5,1),IF($Y$3="申万二级行业",[1]!s_info_industry_sw_2021(W3251,公司分析!D$5,2),IF($Y$3="申万三级行业",[1]!s_info_industry_sw_2021(W3251,公司分析!D$5,3),IF($Y$3="wind一级行业",[1]!s_info_industry_gics(W3251,1),IF($Y$3="wind二级行业",[1]!s_info_industry_gics(W3251,2),IF($Y$3="wind三级行业",[1]!s_info_industry_gics(W3251,3),IF($Y$3="wind四级行业",[1]!s_info_industry_gics(W3251,4),IF($Y$3="证监会门类行业",[1]!s_info_industry_csrc12_n(W3251,公司分析!D$5,1),""))))))))</f>
        <v>专用设备</v>
      </c>
      <c r="Z3251" s="302" t="str">
        <f ca="1">IF(Y3251=行业比较!$E$6,ROW(),"")</f>
        <v/>
      </c>
    </row>
    <row r="3252" spans="22:26">
      <c r="V3252" s="260">
        <f t="shared" ca="1" si="58"/>
        <v>0</v>
      </c>
      <c r="W3252" s="348" t="str">
        <f>IF(板块成分!B3254="","",板块成分!B3254)</f>
        <v>600502.SH</v>
      </c>
      <c r="X3252" s="276" t="str">
        <f>[1]!S_Info_Name(W3252)</f>
        <v>安徽建工</v>
      </c>
      <c r="Y3252" s="276" t="str">
        <f ca="1">IF($Y$3="申万一级行业",[1]!s_info_industry_sw_2021(W3252,公司分析!D$5,1),IF($Y$3="申万二级行业",[1]!s_info_industry_sw_2021(W3252,公司分析!D$5,2),IF($Y$3="申万三级行业",[1]!s_info_industry_sw_2021(W3252,公司分析!D$5,3),IF($Y$3="wind一级行业",[1]!s_info_industry_gics(W3252,1),IF($Y$3="wind二级行业",[1]!s_info_industry_gics(W3252,2),IF($Y$3="wind三级行业",[1]!s_info_industry_gics(W3252,3),IF($Y$3="wind四级行业",[1]!s_info_industry_gics(W3252,4),IF($Y$3="证监会门类行业",[1]!s_info_industry_csrc12_n(W3252,公司分析!D$5,1),""))))))))</f>
        <v>基础建设</v>
      </c>
      <c r="Z3252" s="302" t="str">
        <f ca="1">IF(Y3252=行业比较!$E$6,ROW(),"")</f>
        <v/>
      </c>
    </row>
    <row r="3253" spans="22:26">
      <c r="V3253" s="260">
        <f t="shared" ca="1" si="58"/>
        <v>0</v>
      </c>
      <c r="W3253" s="348" t="str">
        <f>IF(板块成分!B3255="","",板块成分!B3255)</f>
        <v>600503.SH</v>
      </c>
      <c r="X3253" s="276" t="str">
        <f>[1]!S_Info_Name(W3253)</f>
        <v>华丽家族</v>
      </c>
      <c r="Y3253" s="276" t="str">
        <f ca="1">IF($Y$3="申万一级行业",[1]!s_info_industry_sw_2021(W3253,公司分析!D$5,1),IF($Y$3="申万二级行业",[1]!s_info_industry_sw_2021(W3253,公司分析!D$5,2),IF($Y$3="申万三级行业",[1]!s_info_industry_sw_2021(W3253,公司分析!D$5,3),IF($Y$3="wind一级行业",[1]!s_info_industry_gics(W3253,1),IF($Y$3="wind二级行业",[1]!s_info_industry_gics(W3253,2),IF($Y$3="wind三级行业",[1]!s_info_industry_gics(W3253,3),IF($Y$3="wind四级行业",[1]!s_info_industry_gics(W3253,4),IF($Y$3="证监会门类行业",[1]!s_info_industry_csrc12_n(W3253,公司分析!D$5,1),""))))))))</f>
        <v>房地产开发</v>
      </c>
      <c r="Z3253" s="302" t="str">
        <f ca="1">IF(Y3253=行业比较!$E$6,ROW(),"")</f>
        <v/>
      </c>
    </row>
    <row r="3254" spans="22:26">
      <c r="V3254" s="260">
        <f t="shared" ca="1" si="58"/>
        <v>0</v>
      </c>
      <c r="W3254" s="348" t="str">
        <f>IF(板块成分!B3256="","",板块成分!B3256)</f>
        <v>600505.SH</v>
      </c>
      <c r="X3254" s="276" t="str">
        <f>[1]!S_Info_Name(W3254)</f>
        <v>西昌电力</v>
      </c>
      <c r="Y3254" s="276" t="str">
        <f ca="1">IF($Y$3="申万一级行业",[1]!s_info_industry_sw_2021(W3254,公司分析!D$5,1),IF($Y$3="申万二级行业",[1]!s_info_industry_sw_2021(W3254,公司分析!D$5,2),IF($Y$3="申万三级行业",[1]!s_info_industry_sw_2021(W3254,公司分析!D$5,3),IF($Y$3="wind一级行业",[1]!s_info_industry_gics(W3254,1),IF($Y$3="wind二级行业",[1]!s_info_industry_gics(W3254,2),IF($Y$3="wind三级行业",[1]!s_info_industry_gics(W3254,3),IF($Y$3="wind四级行业",[1]!s_info_industry_gics(W3254,4),IF($Y$3="证监会门类行业",[1]!s_info_industry_csrc12_n(W3254,公司分析!D$5,1),""))))))))</f>
        <v>电力</v>
      </c>
      <c r="Z3254" s="302" t="str">
        <f ca="1">IF(Y3254=行业比较!$E$6,ROW(),"")</f>
        <v/>
      </c>
    </row>
    <row r="3255" spans="22:26">
      <c r="V3255" s="260">
        <f t="shared" ca="1" si="58"/>
        <v>0</v>
      </c>
      <c r="W3255" s="348" t="str">
        <f>IF(板块成分!B3257="","",板块成分!B3257)</f>
        <v>600506.SH</v>
      </c>
      <c r="X3255" s="276" t="str">
        <f>[1]!S_Info_Name(W3255)</f>
        <v>统一股份</v>
      </c>
      <c r="Y3255" s="276" t="str">
        <f ca="1">IF($Y$3="申万一级行业",[1]!s_info_industry_sw_2021(W3255,公司分析!D$5,1),IF($Y$3="申万二级行业",[1]!s_info_industry_sw_2021(W3255,公司分析!D$5,2),IF($Y$3="申万三级行业",[1]!s_info_industry_sw_2021(W3255,公司分析!D$5,3),IF($Y$3="wind一级行业",[1]!s_info_industry_gics(W3255,1),IF($Y$3="wind二级行业",[1]!s_info_industry_gics(W3255,2),IF($Y$3="wind三级行业",[1]!s_info_industry_gics(W3255,3),IF($Y$3="wind四级行业",[1]!s_info_industry_gics(W3255,4),IF($Y$3="证监会门类行业",[1]!s_info_industry_csrc12_n(W3255,公司分析!D$5,1),""))))))))</f>
        <v>炼化及贸易</v>
      </c>
      <c r="Z3255" s="302" t="str">
        <f ca="1">IF(Y3255=行业比较!$E$6,ROW(),"")</f>
        <v/>
      </c>
    </row>
    <row r="3256" spans="22:26">
      <c r="V3256" s="260">
        <f t="shared" ca="1" si="58"/>
        <v>0</v>
      </c>
      <c r="W3256" s="348" t="str">
        <f>IF(板块成分!B3258="","",板块成分!B3258)</f>
        <v>600507.SH</v>
      </c>
      <c r="X3256" s="276" t="str">
        <f>[1]!S_Info_Name(W3256)</f>
        <v>方大特钢</v>
      </c>
      <c r="Y3256" s="276" t="str">
        <f ca="1">IF($Y$3="申万一级行业",[1]!s_info_industry_sw_2021(W3256,公司分析!D$5,1),IF($Y$3="申万二级行业",[1]!s_info_industry_sw_2021(W3256,公司分析!D$5,2),IF($Y$3="申万三级行业",[1]!s_info_industry_sw_2021(W3256,公司分析!D$5,3),IF($Y$3="wind一级行业",[1]!s_info_industry_gics(W3256,1),IF($Y$3="wind二级行业",[1]!s_info_industry_gics(W3256,2),IF($Y$3="wind三级行业",[1]!s_info_industry_gics(W3256,3),IF($Y$3="wind四级行业",[1]!s_info_industry_gics(W3256,4),IF($Y$3="证监会门类行业",[1]!s_info_industry_csrc12_n(W3256,公司分析!D$5,1),""))))))))</f>
        <v>特钢Ⅱ</v>
      </c>
      <c r="Z3256" s="302" t="str">
        <f ca="1">IF(Y3256=行业比较!$E$6,ROW(),"")</f>
        <v/>
      </c>
    </row>
    <row r="3257" spans="22:26">
      <c r="V3257" s="260">
        <f t="shared" ca="1" si="58"/>
        <v>0</v>
      </c>
      <c r="W3257" s="348" t="str">
        <f>IF(板块成分!B3259="","",板块成分!B3259)</f>
        <v>600508.SH</v>
      </c>
      <c r="X3257" s="276" t="str">
        <f>[1]!S_Info_Name(W3257)</f>
        <v>上海能源</v>
      </c>
      <c r="Y3257" s="276" t="str">
        <f ca="1">IF($Y$3="申万一级行业",[1]!s_info_industry_sw_2021(W3257,公司分析!D$5,1),IF($Y$3="申万二级行业",[1]!s_info_industry_sw_2021(W3257,公司分析!D$5,2),IF($Y$3="申万三级行业",[1]!s_info_industry_sw_2021(W3257,公司分析!D$5,3),IF($Y$3="wind一级行业",[1]!s_info_industry_gics(W3257,1),IF($Y$3="wind二级行业",[1]!s_info_industry_gics(W3257,2),IF($Y$3="wind三级行业",[1]!s_info_industry_gics(W3257,3),IF($Y$3="wind四级行业",[1]!s_info_industry_gics(W3257,4),IF($Y$3="证监会门类行业",[1]!s_info_industry_csrc12_n(W3257,公司分析!D$5,1),""))))))))</f>
        <v>煤炭开采</v>
      </c>
      <c r="Z3257" s="302" t="str">
        <f ca="1">IF(Y3257=行业比较!$E$6,ROW(),"")</f>
        <v/>
      </c>
    </row>
    <row r="3258" spans="22:26">
      <c r="V3258" s="260">
        <f t="shared" ca="1" si="58"/>
        <v>0</v>
      </c>
      <c r="W3258" s="348" t="str">
        <f>IF(板块成分!B3260="","",板块成分!B3260)</f>
        <v>600509.SH</v>
      </c>
      <c r="X3258" s="276" t="str">
        <f>[1]!S_Info_Name(W3258)</f>
        <v>天富能源</v>
      </c>
      <c r="Y3258" s="276" t="str">
        <f ca="1">IF($Y$3="申万一级行业",[1]!s_info_industry_sw_2021(W3258,公司分析!D$5,1),IF($Y$3="申万二级行业",[1]!s_info_industry_sw_2021(W3258,公司分析!D$5,2),IF($Y$3="申万三级行业",[1]!s_info_industry_sw_2021(W3258,公司分析!D$5,3),IF($Y$3="wind一级行业",[1]!s_info_industry_gics(W3258,1),IF($Y$3="wind二级行业",[1]!s_info_industry_gics(W3258,2),IF($Y$3="wind三级行业",[1]!s_info_industry_gics(W3258,3),IF($Y$3="wind四级行业",[1]!s_info_industry_gics(W3258,4),IF($Y$3="证监会门类行业",[1]!s_info_industry_csrc12_n(W3258,公司分析!D$5,1),""))))))))</f>
        <v>电力</v>
      </c>
      <c r="Z3258" s="302" t="str">
        <f ca="1">IF(Y3258=行业比较!$E$6,ROW(),"")</f>
        <v/>
      </c>
    </row>
    <row r="3259" spans="22:26">
      <c r="V3259" s="260">
        <f t="shared" ca="1" si="58"/>
        <v>0</v>
      </c>
      <c r="W3259" s="348" t="str">
        <f>IF(板块成分!B3261="","",板块成分!B3261)</f>
        <v>600510.SH</v>
      </c>
      <c r="X3259" s="276" t="str">
        <f>[1]!S_Info_Name(W3259)</f>
        <v>黑牡丹</v>
      </c>
      <c r="Y3259" s="276" t="str">
        <f ca="1">IF($Y$3="申万一级行业",[1]!s_info_industry_sw_2021(W3259,公司分析!D$5,1),IF($Y$3="申万二级行业",[1]!s_info_industry_sw_2021(W3259,公司分析!D$5,2),IF($Y$3="申万三级行业",[1]!s_info_industry_sw_2021(W3259,公司分析!D$5,3),IF($Y$3="wind一级行业",[1]!s_info_industry_gics(W3259,1),IF($Y$3="wind二级行业",[1]!s_info_industry_gics(W3259,2),IF($Y$3="wind三级行业",[1]!s_info_industry_gics(W3259,3),IF($Y$3="wind四级行业",[1]!s_info_industry_gics(W3259,4),IF($Y$3="证监会门类行业",[1]!s_info_industry_csrc12_n(W3259,公司分析!D$5,1),""))))))))</f>
        <v>房地产开发</v>
      </c>
      <c r="Z3259" s="302" t="str">
        <f ca="1">IF(Y3259=行业比较!$E$6,ROW(),"")</f>
        <v/>
      </c>
    </row>
    <row r="3260" spans="22:26">
      <c r="V3260" s="260">
        <f t="shared" ca="1" si="58"/>
        <v>0</v>
      </c>
      <c r="W3260" s="348" t="str">
        <f>IF(板块成分!B3262="","",板块成分!B3262)</f>
        <v>600511.SH</v>
      </c>
      <c r="X3260" s="276" t="str">
        <f>[1]!S_Info_Name(W3260)</f>
        <v>国药股份</v>
      </c>
      <c r="Y3260" s="276" t="str">
        <f ca="1">IF($Y$3="申万一级行业",[1]!s_info_industry_sw_2021(W3260,公司分析!D$5,1),IF($Y$3="申万二级行业",[1]!s_info_industry_sw_2021(W3260,公司分析!D$5,2),IF($Y$3="申万三级行业",[1]!s_info_industry_sw_2021(W3260,公司分析!D$5,3),IF($Y$3="wind一级行业",[1]!s_info_industry_gics(W3260,1),IF($Y$3="wind二级行业",[1]!s_info_industry_gics(W3260,2),IF($Y$3="wind三级行业",[1]!s_info_industry_gics(W3260,3),IF($Y$3="wind四级行业",[1]!s_info_industry_gics(W3260,4),IF($Y$3="证监会门类行业",[1]!s_info_industry_csrc12_n(W3260,公司分析!D$5,1),""))))))))</f>
        <v>医药商业</v>
      </c>
      <c r="Z3260" s="302" t="str">
        <f ca="1">IF(Y3260=行业比较!$E$6,ROW(),"")</f>
        <v/>
      </c>
    </row>
    <row r="3261" spans="22:26">
      <c r="V3261" s="260">
        <f t="shared" ca="1" si="58"/>
        <v>0</v>
      </c>
      <c r="W3261" s="348" t="str">
        <f>IF(板块成分!B3263="","",板块成分!B3263)</f>
        <v>600512.SH</v>
      </c>
      <c r="X3261" s="276" t="str">
        <f>[1]!S_Info_Name(W3261)</f>
        <v>腾达建设</v>
      </c>
      <c r="Y3261" s="276" t="str">
        <f ca="1">IF($Y$3="申万一级行业",[1]!s_info_industry_sw_2021(W3261,公司分析!D$5,1),IF($Y$3="申万二级行业",[1]!s_info_industry_sw_2021(W3261,公司分析!D$5,2),IF($Y$3="申万三级行业",[1]!s_info_industry_sw_2021(W3261,公司分析!D$5,3),IF($Y$3="wind一级行业",[1]!s_info_industry_gics(W3261,1),IF($Y$3="wind二级行业",[1]!s_info_industry_gics(W3261,2),IF($Y$3="wind三级行业",[1]!s_info_industry_gics(W3261,3),IF($Y$3="wind四级行业",[1]!s_info_industry_gics(W3261,4),IF($Y$3="证监会门类行业",[1]!s_info_industry_csrc12_n(W3261,公司分析!D$5,1),""))))))))</f>
        <v>基础建设</v>
      </c>
      <c r="Z3261" s="302" t="str">
        <f ca="1">IF(Y3261=行业比较!$E$6,ROW(),"")</f>
        <v/>
      </c>
    </row>
    <row r="3262" spans="22:26">
      <c r="V3262" s="260">
        <f t="shared" ca="1" si="58"/>
        <v>0</v>
      </c>
      <c r="W3262" s="348" t="str">
        <f>IF(板块成分!B3264="","",板块成分!B3264)</f>
        <v>600513.SH</v>
      </c>
      <c r="X3262" s="276" t="str">
        <f>[1]!S_Info_Name(W3262)</f>
        <v>联环药业</v>
      </c>
      <c r="Y3262" s="276" t="str">
        <f ca="1">IF($Y$3="申万一级行业",[1]!s_info_industry_sw_2021(W3262,公司分析!D$5,1),IF($Y$3="申万二级行业",[1]!s_info_industry_sw_2021(W3262,公司分析!D$5,2),IF($Y$3="申万三级行业",[1]!s_info_industry_sw_2021(W3262,公司分析!D$5,3),IF($Y$3="wind一级行业",[1]!s_info_industry_gics(W3262,1),IF($Y$3="wind二级行业",[1]!s_info_industry_gics(W3262,2),IF($Y$3="wind三级行业",[1]!s_info_industry_gics(W3262,3),IF($Y$3="wind四级行业",[1]!s_info_industry_gics(W3262,4),IF($Y$3="证监会门类行业",[1]!s_info_industry_csrc12_n(W3262,公司分析!D$5,1),""))))))))</f>
        <v>化学制药</v>
      </c>
      <c r="Z3262" s="302" t="str">
        <f ca="1">IF(Y3262=行业比较!$E$6,ROW(),"")</f>
        <v/>
      </c>
    </row>
    <row r="3263" spans="22:26">
      <c r="V3263" s="260">
        <f t="shared" ca="1" si="58"/>
        <v>0</v>
      </c>
      <c r="W3263" s="348" t="str">
        <f>IF(板块成分!B3265="","",板块成分!B3265)</f>
        <v>600515.SH</v>
      </c>
      <c r="X3263" s="276" t="str">
        <f>[1]!S_Info_Name(W3263)</f>
        <v>海南机场</v>
      </c>
      <c r="Y3263" s="276" t="str">
        <f ca="1">IF($Y$3="申万一级行业",[1]!s_info_industry_sw_2021(W3263,公司分析!D$5,1),IF($Y$3="申万二级行业",[1]!s_info_industry_sw_2021(W3263,公司分析!D$5,2),IF($Y$3="申万三级行业",[1]!s_info_industry_sw_2021(W3263,公司分析!D$5,3),IF($Y$3="wind一级行业",[1]!s_info_industry_gics(W3263,1),IF($Y$3="wind二级行业",[1]!s_info_industry_gics(W3263,2),IF($Y$3="wind三级行业",[1]!s_info_industry_gics(W3263,3),IF($Y$3="wind四级行业",[1]!s_info_industry_gics(W3263,4),IF($Y$3="证监会门类行业",[1]!s_info_industry_csrc12_n(W3263,公司分析!D$5,1),""))))))))</f>
        <v>房地产开发</v>
      </c>
      <c r="Z3263" s="302" t="str">
        <f ca="1">IF(Y3263=行业比较!$E$6,ROW(),"")</f>
        <v/>
      </c>
    </row>
    <row r="3264" spans="22:26">
      <c r="V3264" s="260">
        <f t="shared" ca="1" si="58"/>
        <v>0</v>
      </c>
      <c r="W3264" s="348" t="str">
        <f>IF(板块成分!B3266="","",板块成分!B3266)</f>
        <v>600516.SH</v>
      </c>
      <c r="X3264" s="276" t="str">
        <f>[1]!S_Info_Name(W3264)</f>
        <v>方大炭素</v>
      </c>
      <c r="Y3264" s="276" t="str">
        <f ca="1">IF($Y$3="申万一级行业",[1]!s_info_industry_sw_2021(W3264,公司分析!D$5,1),IF($Y$3="申万二级行业",[1]!s_info_industry_sw_2021(W3264,公司分析!D$5,2),IF($Y$3="申万三级行业",[1]!s_info_industry_sw_2021(W3264,公司分析!D$5,3),IF($Y$3="wind一级行业",[1]!s_info_industry_gics(W3264,1),IF($Y$3="wind二级行业",[1]!s_info_industry_gics(W3264,2),IF($Y$3="wind三级行业",[1]!s_info_industry_gics(W3264,3),IF($Y$3="wind四级行业",[1]!s_info_industry_gics(W3264,4),IF($Y$3="证监会门类行业",[1]!s_info_industry_csrc12_n(W3264,公司分析!D$5,1),""))))))))</f>
        <v>冶钢原料</v>
      </c>
      <c r="Z3264" s="302" t="str">
        <f ca="1">IF(Y3264=行业比较!$E$6,ROW(),"")</f>
        <v/>
      </c>
    </row>
    <row r="3265" spans="22:26">
      <c r="V3265" s="260">
        <f t="shared" ca="1" si="58"/>
        <v>0</v>
      </c>
      <c r="W3265" s="348" t="str">
        <f>IF(板块成分!B3267="","",板块成分!B3267)</f>
        <v>600517.SH</v>
      </c>
      <c r="X3265" s="276" t="str">
        <f>[1]!S_Info_Name(W3265)</f>
        <v>国网英大</v>
      </c>
      <c r="Y3265" s="276" t="str">
        <f ca="1">IF($Y$3="申万一级行业",[1]!s_info_industry_sw_2021(W3265,公司分析!D$5,1),IF($Y$3="申万二级行业",[1]!s_info_industry_sw_2021(W3265,公司分析!D$5,2),IF($Y$3="申万三级行业",[1]!s_info_industry_sw_2021(W3265,公司分析!D$5,3),IF($Y$3="wind一级行业",[1]!s_info_industry_gics(W3265,1),IF($Y$3="wind二级行业",[1]!s_info_industry_gics(W3265,2),IF($Y$3="wind三级行业",[1]!s_info_industry_gics(W3265,3),IF($Y$3="wind四级行业",[1]!s_info_industry_gics(W3265,4),IF($Y$3="证监会门类行业",[1]!s_info_industry_csrc12_n(W3265,公司分析!D$5,1),""))))))))</f>
        <v>多元金融</v>
      </c>
      <c r="Z3265" s="302" t="str">
        <f ca="1">IF(Y3265=行业比较!$E$6,ROW(),"")</f>
        <v/>
      </c>
    </row>
    <row r="3266" spans="22:26">
      <c r="V3266" s="260">
        <f t="shared" ca="1" si="58"/>
        <v>0</v>
      </c>
      <c r="W3266" s="348" t="str">
        <f>IF(板块成分!B3268="","",板块成分!B3268)</f>
        <v>600518.SH</v>
      </c>
      <c r="X3266" s="276" t="str">
        <f>[1]!S_Info_Name(W3266)</f>
        <v>康美药业</v>
      </c>
      <c r="Y3266" s="276" t="str">
        <f ca="1">IF($Y$3="申万一级行业",[1]!s_info_industry_sw_2021(W3266,公司分析!D$5,1),IF($Y$3="申万二级行业",[1]!s_info_industry_sw_2021(W3266,公司分析!D$5,2),IF($Y$3="申万三级行业",[1]!s_info_industry_sw_2021(W3266,公司分析!D$5,3),IF($Y$3="wind一级行业",[1]!s_info_industry_gics(W3266,1),IF($Y$3="wind二级行业",[1]!s_info_industry_gics(W3266,2),IF($Y$3="wind三级行业",[1]!s_info_industry_gics(W3266,3),IF($Y$3="wind四级行业",[1]!s_info_industry_gics(W3266,4),IF($Y$3="证监会门类行业",[1]!s_info_industry_csrc12_n(W3266,公司分析!D$5,1),""))))))))</f>
        <v>中药Ⅱ</v>
      </c>
      <c r="Z3266" s="302" t="str">
        <f ca="1">IF(Y3266=行业比较!$E$6,ROW(),"")</f>
        <v/>
      </c>
    </row>
    <row r="3267" spans="22:26">
      <c r="V3267" s="260">
        <f t="shared" ca="1" si="58"/>
        <v>0</v>
      </c>
      <c r="W3267" s="348" t="str">
        <f>IF(板块成分!B3269="","",板块成分!B3269)</f>
        <v>600519.SH</v>
      </c>
      <c r="X3267" s="276" t="str">
        <f>[1]!S_Info_Name(W3267)</f>
        <v>贵州茅台</v>
      </c>
      <c r="Y3267" s="276" t="str">
        <f ca="1">IF($Y$3="申万一级行业",[1]!s_info_industry_sw_2021(W3267,公司分析!D$5,1),IF($Y$3="申万二级行业",[1]!s_info_industry_sw_2021(W3267,公司分析!D$5,2),IF($Y$3="申万三级行业",[1]!s_info_industry_sw_2021(W3267,公司分析!D$5,3),IF($Y$3="wind一级行业",[1]!s_info_industry_gics(W3267,1),IF($Y$3="wind二级行业",[1]!s_info_industry_gics(W3267,2),IF($Y$3="wind三级行业",[1]!s_info_industry_gics(W3267,3),IF($Y$3="wind四级行业",[1]!s_info_industry_gics(W3267,4),IF($Y$3="证监会门类行业",[1]!s_info_industry_csrc12_n(W3267,公司分析!D$5,1),""))))))))</f>
        <v>白酒Ⅱ</v>
      </c>
      <c r="Z3267" s="302" t="str">
        <f ca="1">IF(Y3267=行业比较!$E$6,ROW(),"")</f>
        <v/>
      </c>
    </row>
    <row r="3268" spans="22:26">
      <c r="V3268" s="260">
        <f t="shared" ca="1" si="58"/>
        <v>0</v>
      </c>
      <c r="W3268" s="348" t="str">
        <f>IF(板块成分!B3270="","",板块成分!B3270)</f>
        <v>600520.SH</v>
      </c>
      <c r="X3268" s="276" t="str">
        <f>[1]!S_Info_Name(W3268)</f>
        <v>三佳科技</v>
      </c>
      <c r="Y3268" s="276" t="str">
        <f ca="1">IF($Y$3="申万一级行业",[1]!s_info_industry_sw_2021(W3268,公司分析!D$5,1),IF($Y$3="申万二级行业",[1]!s_info_industry_sw_2021(W3268,公司分析!D$5,2),IF($Y$3="申万三级行业",[1]!s_info_industry_sw_2021(W3268,公司分析!D$5,3),IF($Y$3="wind一级行业",[1]!s_info_industry_gics(W3268,1),IF($Y$3="wind二级行业",[1]!s_info_industry_gics(W3268,2),IF($Y$3="wind三级行业",[1]!s_info_industry_gics(W3268,3),IF($Y$3="wind四级行业",[1]!s_info_industry_gics(W3268,4),IF($Y$3="证监会门类行业",[1]!s_info_industry_csrc12_n(W3268,公司分析!D$5,1),""))))))))</f>
        <v>专用设备</v>
      </c>
      <c r="Z3268" s="302" t="str">
        <f ca="1">IF(Y3268=行业比较!$E$6,ROW(),"")</f>
        <v/>
      </c>
    </row>
    <row r="3269" spans="22:26">
      <c r="V3269" s="260">
        <f t="shared" ref="V3269:V3332" ca="1" si="59">IF(Z3269="",0,RANK(Z3269,Z:Z,1))</f>
        <v>0</v>
      </c>
      <c r="W3269" s="348" t="str">
        <f>IF(板块成分!B3271="","",板块成分!B3271)</f>
        <v>600521.SH</v>
      </c>
      <c r="X3269" s="276" t="str">
        <f>[1]!S_Info_Name(W3269)</f>
        <v>华海药业</v>
      </c>
      <c r="Y3269" s="276" t="str">
        <f ca="1">IF($Y$3="申万一级行业",[1]!s_info_industry_sw_2021(W3269,公司分析!D$5,1),IF($Y$3="申万二级行业",[1]!s_info_industry_sw_2021(W3269,公司分析!D$5,2),IF($Y$3="申万三级行业",[1]!s_info_industry_sw_2021(W3269,公司分析!D$5,3),IF($Y$3="wind一级行业",[1]!s_info_industry_gics(W3269,1),IF($Y$3="wind二级行业",[1]!s_info_industry_gics(W3269,2),IF($Y$3="wind三级行业",[1]!s_info_industry_gics(W3269,3),IF($Y$3="wind四级行业",[1]!s_info_industry_gics(W3269,4),IF($Y$3="证监会门类行业",[1]!s_info_industry_csrc12_n(W3269,公司分析!D$5,1),""))))))))</f>
        <v>化学制药</v>
      </c>
      <c r="Z3269" s="302" t="str">
        <f ca="1">IF(Y3269=行业比较!$E$6,ROW(),"")</f>
        <v/>
      </c>
    </row>
    <row r="3270" spans="22:26">
      <c r="V3270" s="260">
        <f t="shared" ca="1" si="59"/>
        <v>0</v>
      </c>
      <c r="W3270" s="348" t="str">
        <f>IF(板块成分!B3272="","",板块成分!B3272)</f>
        <v>600522.SH</v>
      </c>
      <c r="X3270" s="276" t="str">
        <f>[1]!S_Info_Name(W3270)</f>
        <v>中天科技</v>
      </c>
      <c r="Y3270" s="276" t="str">
        <f ca="1">IF($Y$3="申万一级行业",[1]!s_info_industry_sw_2021(W3270,公司分析!D$5,1),IF($Y$3="申万二级行业",[1]!s_info_industry_sw_2021(W3270,公司分析!D$5,2),IF($Y$3="申万三级行业",[1]!s_info_industry_sw_2021(W3270,公司分析!D$5,3),IF($Y$3="wind一级行业",[1]!s_info_industry_gics(W3270,1),IF($Y$3="wind二级行业",[1]!s_info_industry_gics(W3270,2),IF($Y$3="wind三级行业",[1]!s_info_industry_gics(W3270,3),IF($Y$3="wind四级行业",[1]!s_info_industry_gics(W3270,4),IF($Y$3="证监会门类行业",[1]!s_info_industry_csrc12_n(W3270,公司分析!D$5,1),""))))))))</f>
        <v>通信设备</v>
      </c>
      <c r="Z3270" s="302" t="str">
        <f ca="1">IF(Y3270=行业比较!$E$6,ROW(),"")</f>
        <v/>
      </c>
    </row>
    <row r="3271" spans="22:26">
      <c r="V3271" s="260">
        <f t="shared" ca="1" si="59"/>
        <v>0</v>
      </c>
      <c r="W3271" s="348" t="str">
        <f>IF(板块成分!B3273="","",板块成分!B3273)</f>
        <v>600523.SH</v>
      </c>
      <c r="X3271" s="276" t="str">
        <f>[1]!S_Info_Name(W3271)</f>
        <v>贵航股份</v>
      </c>
      <c r="Y3271" s="276" t="str">
        <f ca="1">IF($Y$3="申万一级行业",[1]!s_info_industry_sw_2021(W3271,公司分析!D$5,1),IF($Y$3="申万二级行业",[1]!s_info_industry_sw_2021(W3271,公司分析!D$5,2),IF($Y$3="申万三级行业",[1]!s_info_industry_sw_2021(W3271,公司分析!D$5,3),IF($Y$3="wind一级行业",[1]!s_info_industry_gics(W3271,1),IF($Y$3="wind二级行业",[1]!s_info_industry_gics(W3271,2),IF($Y$3="wind三级行业",[1]!s_info_industry_gics(W3271,3),IF($Y$3="wind四级行业",[1]!s_info_industry_gics(W3271,4),IF($Y$3="证监会门类行业",[1]!s_info_industry_csrc12_n(W3271,公司分析!D$5,1),""))))))))</f>
        <v>汽车零部件</v>
      </c>
      <c r="Z3271" s="302" t="str">
        <f ca="1">IF(Y3271=行业比较!$E$6,ROW(),"")</f>
        <v/>
      </c>
    </row>
    <row r="3272" spans="22:26">
      <c r="V3272" s="260">
        <f t="shared" ca="1" si="59"/>
        <v>0</v>
      </c>
      <c r="W3272" s="348" t="str">
        <f>IF(板块成分!B3274="","",板块成分!B3274)</f>
        <v>600525.SH</v>
      </c>
      <c r="X3272" s="276" t="str">
        <f>[1]!S_Info_Name(W3272)</f>
        <v>ST长园</v>
      </c>
      <c r="Y3272" s="276" t="str">
        <f ca="1">IF($Y$3="申万一级行业",[1]!s_info_industry_sw_2021(W3272,公司分析!D$5,1),IF($Y$3="申万二级行业",[1]!s_info_industry_sw_2021(W3272,公司分析!D$5,2),IF($Y$3="申万三级行业",[1]!s_info_industry_sw_2021(W3272,公司分析!D$5,3),IF($Y$3="wind一级行业",[1]!s_info_industry_gics(W3272,1),IF($Y$3="wind二级行业",[1]!s_info_industry_gics(W3272,2),IF($Y$3="wind三级行业",[1]!s_info_industry_gics(W3272,3),IF($Y$3="wind四级行业",[1]!s_info_industry_gics(W3272,4),IF($Y$3="证监会门类行业",[1]!s_info_industry_csrc12_n(W3272,公司分析!D$5,1),""))))))))</f>
        <v>电网设备</v>
      </c>
      <c r="Z3272" s="302" t="str">
        <f ca="1">IF(Y3272=行业比较!$E$6,ROW(),"")</f>
        <v/>
      </c>
    </row>
    <row r="3273" spans="22:26">
      <c r="V3273" s="260">
        <f t="shared" ca="1" si="59"/>
        <v>0</v>
      </c>
      <c r="W3273" s="348" t="str">
        <f>IF(板块成分!B3275="","",板块成分!B3275)</f>
        <v>600526.SH</v>
      </c>
      <c r="X3273" s="276" t="str">
        <f>[1]!S_Info_Name(W3273)</f>
        <v>菲达环保</v>
      </c>
      <c r="Y3273" s="276" t="str">
        <f ca="1">IF($Y$3="申万一级行业",[1]!s_info_industry_sw_2021(W3273,公司分析!D$5,1),IF($Y$3="申万二级行业",[1]!s_info_industry_sw_2021(W3273,公司分析!D$5,2),IF($Y$3="申万三级行业",[1]!s_info_industry_sw_2021(W3273,公司分析!D$5,3),IF($Y$3="wind一级行业",[1]!s_info_industry_gics(W3273,1),IF($Y$3="wind二级行业",[1]!s_info_industry_gics(W3273,2),IF($Y$3="wind三级行业",[1]!s_info_industry_gics(W3273,3),IF($Y$3="wind四级行业",[1]!s_info_industry_gics(W3273,4),IF($Y$3="证监会门类行业",[1]!s_info_industry_csrc12_n(W3273,公司分析!D$5,1),""))))))))</f>
        <v>环保设备Ⅱ</v>
      </c>
      <c r="Z3273" s="302" t="str">
        <f ca="1">IF(Y3273=行业比较!$E$6,ROW(),"")</f>
        <v/>
      </c>
    </row>
    <row r="3274" spans="22:26">
      <c r="V3274" s="260">
        <f t="shared" ca="1" si="59"/>
        <v>0</v>
      </c>
      <c r="W3274" s="348" t="str">
        <f>IF(板块成分!B3276="","",板块成分!B3276)</f>
        <v>600527.SH</v>
      </c>
      <c r="X3274" s="276" t="str">
        <f>[1]!S_Info_Name(W3274)</f>
        <v>江南高纤</v>
      </c>
      <c r="Y3274" s="276" t="str">
        <f ca="1">IF($Y$3="申万一级行业",[1]!s_info_industry_sw_2021(W3274,公司分析!D$5,1),IF($Y$3="申万二级行业",[1]!s_info_industry_sw_2021(W3274,公司分析!D$5,2),IF($Y$3="申万三级行业",[1]!s_info_industry_sw_2021(W3274,公司分析!D$5,3),IF($Y$3="wind一级行业",[1]!s_info_industry_gics(W3274,1),IF($Y$3="wind二级行业",[1]!s_info_industry_gics(W3274,2),IF($Y$3="wind三级行业",[1]!s_info_industry_gics(W3274,3),IF($Y$3="wind四级行业",[1]!s_info_industry_gics(W3274,4),IF($Y$3="证监会门类行业",[1]!s_info_industry_csrc12_n(W3274,公司分析!D$5,1),""))))))))</f>
        <v>纺织制造</v>
      </c>
      <c r="Z3274" s="302" t="str">
        <f ca="1">IF(Y3274=行业比较!$E$6,ROW(),"")</f>
        <v/>
      </c>
    </row>
    <row r="3275" spans="22:26">
      <c r="V3275" s="260">
        <f t="shared" ca="1" si="59"/>
        <v>0</v>
      </c>
      <c r="W3275" s="348" t="str">
        <f>IF(板块成分!B3277="","",板块成分!B3277)</f>
        <v>600528.SH</v>
      </c>
      <c r="X3275" s="276" t="str">
        <f>[1]!S_Info_Name(W3275)</f>
        <v>中铁工业</v>
      </c>
      <c r="Y3275" s="276" t="str">
        <f ca="1">IF($Y$3="申万一级行业",[1]!s_info_industry_sw_2021(W3275,公司分析!D$5,1),IF($Y$3="申万二级行业",[1]!s_info_industry_sw_2021(W3275,公司分析!D$5,2),IF($Y$3="申万三级行业",[1]!s_info_industry_sw_2021(W3275,公司分析!D$5,3),IF($Y$3="wind一级行业",[1]!s_info_industry_gics(W3275,1),IF($Y$3="wind二级行业",[1]!s_info_industry_gics(W3275,2),IF($Y$3="wind三级行业",[1]!s_info_industry_gics(W3275,3),IF($Y$3="wind四级行业",[1]!s_info_industry_gics(W3275,4),IF($Y$3="证监会门类行业",[1]!s_info_industry_csrc12_n(W3275,公司分析!D$5,1),""))))))))</f>
        <v>轨交设备Ⅱ</v>
      </c>
      <c r="Z3275" s="302" t="str">
        <f ca="1">IF(Y3275=行业比较!$E$6,ROW(),"")</f>
        <v/>
      </c>
    </row>
    <row r="3276" spans="22:26">
      <c r="V3276" s="260">
        <f t="shared" ca="1" si="59"/>
        <v>0</v>
      </c>
      <c r="W3276" s="348" t="str">
        <f>IF(板块成分!B3278="","",板块成分!B3278)</f>
        <v>600529.SH</v>
      </c>
      <c r="X3276" s="276" t="str">
        <f>[1]!S_Info_Name(W3276)</f>
        <v>山东药玻</v>
      </c>
      <c r="Y3276" s="276" t="str">
        <f ca="1">IF($Y$3="申万一级行业",[1]!s_info_industry_sw_2021(W3276,公司分析!D$5,1),IF($Y$3="申万二级行业",[1]!s_info_industry_sw_2021(W3276,公司分析!D$5,2),IF($Y$3="申万三级行业",[1]!s_info_industry_sw_2021(W3276,公司分析!D$5,3),IF($Y$3="wind一级行业",[1]!s_info_industry_gics(W3276,1),IF($Y$3="wind二级行业",[1]!s_info_industry_gics(W3276,2),IF($Y$3="wind三级行业",[1]!s_info_industry_gics(W3276,3),IF($Y$3="wind四级行业",[1]!s_info_industry_gics(W3276,4),IF($Y$3="证监会门类行业",[1]!s_info_industry_csrc12_n(W3276,公司分析!D$5,1),""))))))))</f>
        <v>医疗器械</v>
      </c>
      <c r="Z3276" s="302" t="str">
        <f ca="1">IF(Y3276=行业比较!$E$6,ROW(),"")</f>
        <v/>
      </c>
    </row>
    <row r="3277" spans="22:26">
      <c r="V3277" s="260">
        <f t="shared" ca="1" si="59"/>
        <v>0</v>
      </c>
      <c r="W3277" s="348" t="str">
        <f>IF(板块成分!B3279="","",板块成分!B3279)</f>
        <v>600530.SH</v>
      </c>
      <c r="X3277" s="276" t="str">
        <f>[1]!S_Info_Name(W3277)</f>
        <v>交大昂立</v>
      </c>
      <c r="Y3277" s="276" t="str">
        <f ca="1">IF($Y$3="申万一级行业",[1]!s_info_industry_sw_2021(W3277,公司分析!D$5,1),IF($Y$3="申万二级行业",[1]!s_info_industry_sw_2021(W3277,公司分析!D$5,2),IF($Y$3="申万三级行业",[1]!s_info_industry_sw_2021(W3277,公司分析!D$5,3),IF($Y$3="wind一级行业",[1]!s_info_industry_gics(W3277,1),IF($Y$3="wind二级行业",[1]!s_info_industry_gics(W3277,2),IF($Y$3="wind三级行业",[1]!s_info_industry_gics(W3277,3),IF($Y$3="wind四级行业",[1]!s_info_industry_gics(W3277,4),IF($Y$3="证监会门类行业",[1]!s_info_industry_csrc12_n(W3277,公司分析!D$5,1),""))))))))</f>
        <v>食品加工</v>
      </c>
      <c r="Z3277" s="302" t="str">
        <f ca="1">IF(Y3277=行业比较!$E$6,ROW(),"")</f>
        <v/>
      </c>
    </row>
    <row r="3278" spans="22:26">
      <c r="V3278" s="260">
        <f t="shared" ca="1" si="59"/>
        <v>37</v>
      </c>
      <c r="W3278" s="348" t="str">
        <f>IF(板块成分!B3280="","",板块成分!B3280)</f>
        <v>600531.SH</v>
      </c>
      <c r="X3278" s="276" t="str">
        <f>[1]!S_Info_Name(W3278)</f>
        <v>豫光金铅</v>
      </c>
      <c r="Y3278" s="276" t="str">
        <f ca="1">IF($Y$3="申万一级行业",[1]!s_info_industry_sw_2021(W3278,公司分析!D$5,1),IF($Y$3="申万二级行业",[1]!s_info_industry_sw_2021(W3278,公司分析!D$5,2),IF($Y$3="申万三级行业",[1]!s_info_industry_sw_2021(W3278,公司分析!D$5,3),IF($Y$3="wind一级行业",[1]!s_info_industry_gics(W3278,1),IF($Y$3="wind二级行业",[1]!s_info_industry_gics(W3278,2),IF($Y$3="wind三级行业",[1]!s_info_industry_gics(W3278,3),IF($Y$3="wind四级行业",[1]!s_info_industry_gics(W3278,4),IF($Y$3="证监会门类行业",[1]!s_info_industry_csrc12_n(W3278,公司分析!D$5,1),""))))))))</f>
        <v>工业金属</v>
      </c>
      <c r="Z3278" s="302">
        <f ca="1">IF(Y3278=行业比较!$E$6,ROW(),"")</f>
        <v>3278</v>
      </c>
    </row>
    <row r="3279" spans="22:26">
      <c r="V3279" s="260">
        <f t="shared" ca="1" si="59"/>
        <v>0</v>
      </c>
      <c r="W3279" s="348" t="str">
        <f>IF(板块成分!B3281="","",板块成分!B3281)</f>
        <v>600533.SH</v>
      </c>
      <c r="X3279" s="276" t="str">
        <f>[1]!S_Info_Name(W3279)</f>
        <v>栖霞建设</v>
      </c>
      <c r="Y3279" s="276" t="str">
        <f ca="1">IF($Y$3="申万一级行业",[1]!s_info_industry_sw_2021(W3279,公司分析!D$5,1),IF($Y$3="申万二级行业",[1]!s_info_industry_sw_2021(W3279,公司分析!D$5,2),IF($Y$3="申万三级行业",[1]!s_info_industry_sw_2021(W3279,公司分析!D$5,3),IF($Y$3="wind一级行业",[1]!s_info_industry_gics(W3279,1),IF($Y$3="wind二级行业",[1]!s_info_industry_gics(W3279,2),IF($Y$3="wind三级行业",[1]!s_info_industry_gics(W3279,3),IF($Y$3="wind四级行业",[1]!s_info_industry_gics(W3279,4),IF($Y$3="证监会门类行业",[1]!s_info_industry_csrc12_n(W3279,公司分析!D$5,1),""))))))))</f>
        <v>房地产开发</v>
      </c>
      <c r="Z3279" s="302" t="str">
        <f ca="1">IF(Y3279=行业比较!$E$6,ROW(),"")</f>
        <v/>
      </c>
    </row>
    <row r="3280" spans="22:26">
      <c r="V3280" s="260">
        <f t="shared" ca="1" si="59"/>
        <v>0</v>
      </c>
      <c r="W3280" s="348" t="str">
        <f>IF(板块成分!B3282="","",板块成分!B3282)</f>
        <v>600535.SH</v>
      </c>
      <c r="X3280" s="276" t="str">
        <f>[1]!S_Info_Name(W3280)</f>
        <v>天士力</v>
      </c>
      <c r="Y3280" s="276" t="str">
        <f ca="1">IF($Y$3="申万一级行业",[1]!s_info_industry_sw_2021(W3280,公司分析!D$5,1),IF($Y$3="申万二级行业",[1]!s_info_industry_sw_2021(W3280,公司分析!D$5,2),IF($Y$3="申万三级行业",[1]!s_info_industry_sw_2021(W3280,公司分析!D$5,3),IF($Y$3="wind一级行业",[1]!s_info_industry_gics(W3280,1),IF($Y$3="wind二级行业",[1]!s_info_industry_gics(W3280,2),IF($Y$3="wind三级行业",[1]!s_info_industry_gics(W3280,3),IF($Y$3="wind四级行业",[1]!s_info_industry_gics(W3280,4),IF($Y$3="证监会门类行业",[1]!s_info_industry_csrc12_n(W3280,公司分析!D$5,1),""))))))))</f>
        <v>中药Ⅱ</v>
      </c>
      <c r="Z3280" s="302" t="str">
        <f ca="1">IF(Y3280=行业比较!$E$6,ROW(),"")</f>
        <v/>
      </c>
    </row>
    <row r="3281" spans="22:26">
      <c r="V3281" s="260">
        <f t="shared" ca="1" si="59"/>
        <v>0</v>
      </c>
      <c r="W3281" s="348" t="str">
        <f>IF(板块成分!B3283="","",板块成分!B3283)</f>
        <v>600536.SH</v>
      </c>
      <c r="X3281" s="276" t="str">
        <f>[1]!S_Info_Name(W3281)</f>
        <v>中国软件</v>
      </c>
      <c r="Y3281" s="276" t="str">
        <f ca="1">IF($Y$3="申万一级行业",[1]!s_info_industry_sw_2021(W3281,公司分析!D$5,1),IF($Y$3="申万二级行业",[1]!s_info_industry_sw_2021(W3281,公司分析!D$5,2),IF($Y$3="申万三级行业",[1]!s_info_industry_sw_2021(W3281,公司分析!D$5,3),IF($Y$3="wind一级行业",[1]!s_info_industry_gics(W3281,1),IF($Y$3="wind二级行业",[1]!s_info_industry_gics(W3281,2),IF($Y$3="wind三级行业",[1]!s_info_industry_gics(W3281,3),IF($Y$3="wind四级行业",[1]!s_info_industry_gics(W3281,4),IF($Y$3="证监会门类行业",[1]!s_info_industry_csrc12_n(W3281,公司分析!D$5,1),""))))))))</f>
        <v>IT服务Ⅱ</v>
      </c>
      <c r="Z3281" s="302" t="str">
        <f ca="1">IF(Y3281=行业比较!$E$6,ROW(),"")</f>
        <v/>
      </c>
    </row>
    <row r="3282" spans="22:26">
      <c r="V3282" s="260">
        <f t="shared" ca="1" si="59"/>
        <v>0</v>
      </c>
      <c r="W3282" s="348" t="str">
        <f>IF(板块成分!B3284="","",板块成分!B3284)</f>
        <v>600537.SH</v>
      </c>
      <c r="X3282" s="276" t="str">
        <f>[1]!S_Info_Name(W3282)</f>
        <v>亿晶光电</v>
      </c>
      <c r="Y3282" s="276" t="str">
        <f ca="1">IF($Y$3="申万一级行业",[1]!s_info_industry_sw_2021(W3282,公司分析!D$5,1),IF($Y$3="申万二级行业",[1]!s_info_industry_sw_2021(W3282,公司分析!D$5,2),IF($Y$3="申万三级行业",[1]!s_info_industry_sw_2021(W3282,公司分析!D$5,3),IF($Y$3="wind一级行业",[1]!s_info_industry_gics(W3282,1),IF($Y$3="wind二级行业",[1]!s_info_industry_gics(W3282,2),IF($Y$3="wind三级行业",[1]!s_info_industry_gics(W3282,3),IF($Y$3="wind四级行业",[1]!s_info_industry_gics(W3282,4),IF($Y$3="证监会门类行业",[1]!s_info_industry_csrc12_n(W3282,公司分析!D$5,1),""))))))))</f>
        <v>光伏设备</v>
      </c>
      <c r="Z3282" s="302" t="str">
        <f ca="1">IF(Y3282=行业比较!$E$6,ROW(),"")</f>
        <v/>
      </c>
    </row>
    <row r="3283" spans="22:26">
      <c r="V3283" s="260">
        <f t="shared" ca="1" si="59"/>
        <v>0</v>
      </c>
      <c r="W3283" s="348" t="str">
        <f>IF(板块成分!B3285="","",板块成分!B3285)</f>
        <v>600538.SH</v>
      </c>
      <c r="X3283" s="276" t="str">
        <f>[1]!S_Info_Name(W3283)</f>
        <v>国发股份</v>
      </c>
      <c r="Y3283" s="276" t="str">
        <f ca="1">IF($Y$3="申万一级行业",[1]!s_info_industry_sw_2021(W3283,公司分析!D$5,1),IF($Y$3="申万二级行业",[1]!s_info_industry_sw_2021(W3283,公司分析!D$5,2),IF($Y$3="申万三级行业",[1]!s_info_industry_sw_2021(W3283,公司分析!D$5,3),IF($Y$3="wind一级行业",[1]!s_info_industry_gics(W3283,1),IF($Y$3="wind二级行业",[1]!s_info_industry_gics(W3283,2),IF($Y$3="wind三级行业",[1]!s_info_industry_gics(W3283,3),IF($Y$3="wind四级行业",[1]!s_info_industry_gics(W3283,4),IF($Y$3="证监会门类行业",[1]!s_info_industry_csrc12_n(W3283,公司分析!D$5,1),""))))))))</f>
        <v>医药商业</v>
      </c>
      <c r="Z3283" s="302" t="str">
        <f ca="1">IF(Y3283=行业比较!$E$6,ROW(),"")</f>
        <v/>
      </c>
    </row>
    <row r="3284" spans="22:26">
      <c r="V3284" s="260">
        <f t="shared" ca="1" si="59"/>
        <v>0</v>
      </c>
      <c r="W3284" s="348" t="str">
        <f>IF(板块成分!B3286="","",板块成分!B3286)</f>
        <v>600539.SH</v>
      </c>
      <c r="X3284" s="276" t="str">
        <f>[1]!S_Info_Name(W3284)</f>
        <v>狮头股份</v>
      </c>
      <c r="Y3284" s="276" t="str">
        <f ca="1">IF($Y$3="申万一级行业",[1]!s_info_industry_sw_2021(W3284,公司分析!D$5,1),IF($Y$3="申万二级行业",[1]!s_info_industry_sw_2021(W3284,公司分析!D$5,2),IF($Y$3="申万三级行业",[1]!s_info_industry_sw_2021(W3284,公司分析!D$5,3),IF($Y$3="wind一级行业",[1]!s_info_industry_gics(W3284,1),IF($Y$3="wind二级行业",[1]!s_info_industry_gics(W3284,2),IF($Y$3="wind三级行业",[1]!s_info_industry_gics(W3284,3),IF($Y$3="wind四级行业",[1]!s_info_industry_gics(W3284,4),IF($Y$3="证监会门类行业",[1]!s_info_industry_csrc12_n(W3284,公司分析!D$5,1),""))))))))</f>
        <v>互联网电商</v>
      </c>
      <c r="Z3284" s="302" t="str">
        <f ca="1">IF(Y3284=行业比较!$E$6,ROW(),"")</f>
        <v/>
      </c>
    </row>
    <row r="3285" spans="22:26">
      <c r="V3285" s="260">
        <f t="shared" ca="1" si="59"/>
        <v>0</v>
      </c>
      <c r="W3285" s="348" t="str">
        <f>IF(板块成分!B3287="","",板块成分!B3287)</f>
        <v>600540.SH</v>
      </c>
      <c r="X3285" s="276" t="str">
        <f>[1]!S_Info_Name(W3285)</f>
        <v>新赛股份</v>
      </c>
      <c r="Y3285" s="276" t="str">
        <f ca="1">IF($Y$3="申万一级行业",[1]!s_info_industry_sw_2021(W3285,公司分析!D$5,1),IF($Y$3="申万二级行业",[1]!s_info_industry_sw_2021(W3285,公司分析!D$5,2),IF($Y$3="申万三级行业",[1]!s_info_industry_sw_2021(W3285,公司分析!D$5,3),IF($Y$3="wind一级行业",[1]!s_info_industry_gics(W3285,1),IF($Y$3="wind二级行业",[1]!s_info_industry_gics(W3285,2),IF($Y$3="wind三级行业",[1]!s_info_industry_gics(W3285,3),IF($Y$3="wind四级行业",[1]!s_info_industry_gics(W3285,4),IF($Y$3="证监会门类行业",[1]!s_info_industry_csrc12_n(W3285,公司分析!D$5,1),""))))))))</f>
        <v>种植业</v>
      </c>
      <c r="Z3285" s="302" t="str">
        <f ca="1">IF(Y3285=行业比较!$E$6,ROW(),"")</f>
        <v/>
      </c>
    </row>
    <row r="3286" spans="22:26">
      <c r="V3286" s="260">
        <f t="shared" ca="1" si="59"/>
        <v>0</v>
      </c>
      <c r="W3286" s="348" t="str">
        <f>IF(板块成分!B3288="","",板块成分!B3288)</f>
        <v>600543.SH</v>
      </c>
      <c r="X3286" s="276" t="str">
        <f>[1]!S_Info_Name(W3286)</f>
        <v>莫高股份</v>
      </c>
      <c r="Y3286" s="276" t="str">
        <f ca="1">IF($Y$3="申万一级行业",[1]!s_info_industry_sw_2021(W3286,公司分析!D$5,1),IF($Y$3="申万二级行业",[1]!s_info_industry_sw_2021(W3286,公司分析!D$5,2),IF($Y$3="申万三级行业",[1]!s_info_industry_sw_2021(W3286,公司分析!D$5,3),IF($Y$3="wind一级行业",[1]!s_info_industry_gics(W3286,1),IF($Y$3="wind二级行业",[1]!s_info_industry_gics(W3286,2),IF($Y$3="wind三级行业",[1]!s_info_industry_gics(W3286,3),IF($Y$3="wind四级行业",[1]!s_info_industry_gics(W3286,4),IF($Y$3="证监会门类行业",[1]!s_info_industry_csrc12_n(W3286,公司分析!D$5,1),""))))))))</f>
        <v>非白酒</v>
      </c>
      <c r="Z3286" s="302" t="str">
        <f ca="1">IF(Y3286=行业比较!$E$6,ROW(),"")</f>
        <v/>
      </c>
    </row>
    <row r="3287" spans="22:26">
      <c r="V3287" s="260">
        <f t="shared" ca="1" si="59"/>
        <v>0</v>
      </c>
      <c r="W3287" s="348" t="str">
        <f>IF(板块成分!B3289="","",板块成分!B3289)</f>
        <v>600545.SH</v>
      </c>
      <c r="X3287" s="276" t="str">
        <f>[1]!S_Info_Name(W3287)</f>
        <v>卓郎智能</v>
      </c>
      <c r="Y3287" s="276" t="str">
        <f ca="1">IF($Y$3="申万一级行业",[1]!s_info_industry_sw_2021(W3287,公司分析!D$5,1),IF($Y$3="申万二级行业",[1]!s_info_industry_sw_2021(W3287,公司分析!D$5,2),IF($Y$3="申万三级行业",[1]!s_info_industry_sw_2021(W3287,公司分析!D$5,3),IF($Y$3="wind一级行业",[1]!s_info_industry_gics(W3287,1),IF($Y$3="wind二级行业",[1]!s_info_industry_gics(W3287,2),IF($Y$3="wind三级行业",[1]!s_info_industry_gics(W3287,3),IF($Y$3="wind四级行业",[1]!s_info_industry_gics(W3287,4),IF($Y$3="证监会门类行业",[1]!s_info_industry_csrc12_n(W3287,公司分析!D$5,1),""))))))))</f>
        <v>专用设备</v>
      </c>
      <c r="Z3287" s="302" t="str">
        <f ca="1">IF(Y3287=行业比较!$E$6,ROW(),"")</f>
        <v/>
      </c>
    </row>
    <row r="3288" spans="22:26">
      <c r="V3288" s="260">
        <f t="shared" ca="1" si="59"/>
        <v>0</v>
      </c>
      <c r="W3288" s="348" t="str">
        <f>IF(板块成分!B3290="","",板块成分!B3290)</f>
        <v>600546.SH</v>
      </c>
      <c r="X3288" s="276" t="str">
        <f>[1]!S_Info_Name(W3288)</f>
        <v>山煤国际</v>
      </c>
      <c r="Y3288" s="276" t="str">
        <f ca="1">IF($Y$3="申万一级行业",[1]!s_info_industry_sw_2021(W3288,公司分析!D$5,1),IF($Y$3="申万二级行业",[1]!s_info_industry_sw_2021(W3288,公司分析!D$5,2),IF($Y$3="申万三级行业",[1]!s_info_industry_sw_2021(W3288,公司分析!D$5,3),IF($Y$3="wind一级行业",[1]!s_info_industry_gics(W3288,1),IF($Y$3="wind二级行业",[1]!s_info_industry_gics(W3288,2),IF($Y$3="wind三级行业",[1]!s_info_industry_gics(W3288,3),IF($Y$3="wind四级行业",[1]!s_info_industry_gics(W3288,4),IF($Y$3="证监会门类行业",[1]!s_info_industry_csrc12_n(W3288,公司分析!D$5,1),""))))))))</f>
        <v>煤炭开采</v>
      </c>
      <c r="Z3288" s="302" t="str">
        <f ca="1">IF(Y3288=行业比较!$E$6,ROW(),"")</f>
        <v/>
      </c>
    </row>
    <row r="3289" spans="22:26">
      <c r="V3289" s="260">
        <f t="shared" ca="1" si="59"/>
        <v>0</v>
      </c>
      <c r="W3289" s="348" t="str">
        <f>IF(板块成分!B3291="","",板块成分!B3291)</f>
        <v>600547.SH</v>
      </c>
      <c r="X3289" s="276" t="str">
        <f>[1]!S_Info_Name(W3289)</f>
        <v>山东黄金</v>
      </c>
      <c r="Y3289" s="276" t="str">
        <f ca="1">IF($Y$3="申万一级行业",[1]!s_info_industry_sw_2021(W3289,公司分析!D$5,1),IF($Y$3="申万二级行业",[1]!s_info_industry_sw_2021(W3289,公司分析!D$5,2),IF($Y$3="申万三级行业",[1]!s_info_industry_sw_2021(W3289,公司分析!D$5,3),IF($Y$3="wind一级行业",[1]!s_info_industry_gics(W3289,1),IF($Y$3="wind二级行业",[1]!s_info_industry_gics(W3289,2),IF($Y$3="wind三级行业",[1]!s_info_industry_gics(W3289,3),IF($Y$3="wind四级行业",[1]!s_info_industry_gics(W3289,4),IF($Y$3="证监会门类行业",[1]!s_info_industry_csrc12_n(W3289,公司分析!D$5,1),""))))))))</f>
        <v>贵金属</v>
      </c>
      <c r="Z3289" s="302" t="str">
        <f ca="1">IF(Y3289=行业比较!$E$6,ROW(),"")</f>
        <v/>
      </c>
    </row>
    <row r="3290" spans="22:26">
      <c r="V3290" s="260">
        <f t="shared" ca="1" si="59"/>
        <v>0</v>
      </c>
      <c r="W3290" s="348" t="str">
        <f>IF(板块成分!B3292="","",板块成分!B3292)</f>
        <v>600548.SH</v>
      </c>
      <c r="X3290" s="276" t="str">
        <f>[1]!S_Info_Name(W3290)</f>
        <v>深高速</v>
      </c>
      <c r="Y3290" s="276" t="str">
        <f ca="1">IF($Y$3="申万一级行业",[1]!s_info_industry_sw_2021(W3290,公司分析!D$5,1),IF($Y$3="申万二级行业",[1]!s_info_industry_sw_2021(W3290,公司分析!D$5,2),IF($Y$3="申万三级行业",[1]!s_info_industry_sw_2021(W3290,公司分析!D$5,3),IF($Y$3="wind一级行业",[1]!s_info_industry_gics(W3290,1),IF($Y$3="wind二级行业",[1]!s_info_industry_gics(W3290,2),IF($Y$3="wind三级行业",[1]!s_info_industry_gics(W3290,3),IF($Y$3="wind四级行业",[1]!s_info_industry_gics(W3290,4),IF($Y$3="证监会门类行业",[1]!s_info_industry_csrc12_n(W3290,公司分析!D$5,1),""))))))))</f>
        <v>铁路公路</v>
      </c>
      <c r="Z3290" s="302" t="str">
        <f ca="1">IF(Y3290=行业比较!$E$6,ROW(),"")</f>
        <v/>
      </c>
    </row>
    <row r="3291" spans="22:26">
      <c r="V3291" s="260">
        <f t="shared" ca="1" si="59"/>
        <v>0</v>
      </c>
      <c r="W3291" s="348" t="str">
        <f>IF(板块成分!B3293="","",板块成分!B3293)</f>
        <v>600549.SH</v>
      </c>
      <c r="X3291" s="276" t="str">
        <f>[1]!S_Info_Name(W3291)</f>
        <v>厦门钨业</v>
      </c>
      <c r="Y3291" s="276" t="str">
        <f ca="1">IF($Y$3="申万一级行业",[1]!s_info_industry_sw_2021(W3291,公司分析!D$5,1),IF($Y$3="申万二级行业",[1]!s_info_industry_sw_2021(W3291,公司分析!D$5,2),IF($Y$3="申万三级行业",[1]!s_info_industry_sw_2021(W3291,公司分析!D$5,3),IF($Y$3="wind一级行业",[1]!s_info_industry_gics(W3291,1),IF($Y$3="wind二级行业",[1]!s_info_industry_gics(W3291,2),IF($Y$3="wind三级行业",[1]!s_info_industry_gics(W3291,3),IF($Y$3="wind四级行业",[1]!s_info_industry_gics(W3291,4),IF($Y$3="证监会门类行业",[1]!s_info_industry_csrc12_n(W3291,公司分析!D$5,1),""))))))))</f>
        <v>小金属</v>
      </c>
      <c r="Z3291" s="302" t="str">
        <f ca="1">IF(Y3291=行业比较!$E$6,ROW(),"")</f>
        <v/>
      </c>
    </row>
    <row r="3292" spans="22:26">
      <c r="V3292" s="260">
        <f t="shared" ca="1" si="59"/>
        <v>0</v>
      </c>
      <c r="W3292" s="348" t="str">
        <f>IF(板块成分!B3294="","",板块成分!B3294)</f>
        <v>600550.SH</v>
      </c>
      <c r="X3292" s="276" t="str">
        <f>[1]!S_Info_Name(W3292)</f>
        <v>保变电气</v>
      </c>
      <c r="Y3292" s="276" t="str">
        <f ca="1">IF($Y$3="申万一级行业",[1]!s_info_industry_sw_2021(W3292,公司分析!D$5,1),IF($Y$3="申万二级行业",[1]!s_info_industry_sw_2021(W3292,公司分析!D$5,2),IF($Y$3="申万三级行业",[1]!s_info_industry_sw_2021(W3292,公司分析!D$5,3),IF($Y$3="wind一级行业",[1]!s_info_industry_gics(W3292,1),IF($Y$3="wind二级行业",[1]!s_info_industry_gics(W3292,2),IF($Y$3="wind三级行业",[1]!s_info_industry_gics(W3292,3),IF($Y$3="wind四级行业",[1]!s_info_industry_gics(W3292,4),IF($Y$3="证监会门类行业",[1]!s_info_industry_csrc12_n(W3292,公司分析!D$5,1),""))))))))</f>
        <v>电网设备</v>
      </c>
      <c r="Z3292" s="302" t="str">
        <f ca="1">IF(Y3292=行业比较!$E$6,ROW(),"")</f>
        <v/>
      </c>
    </row>
    <row r="3293" spans="22:26">
      <c r="V3293" s="260">
        <f t="shared" ca="1" si="59"/>
        <v>0</v>
      </c>
      <c r="W3293" s="348" t="str">
        <f>IF(板块成分!B3295="","",板块成分!B3295)</f>
        <v>600551.SH</v>
      </c>
      <c r="X3293" s="276" t="str">
        <f>[1]!S_Info_Name(W3293)</f>
        <v>时代出版</v>
      </c>
      <c r="Y3293" s="276" t="str">
        <f ca="1">IF($Y$3="申万一级行业",[1]!s_info_industry_sw_2021(W3293,公司分析!D$5,1),IF($Y$3="申万二级行业",[1]!s_info_industry_sw_2021(W3293,公司分析!D$5,2),IF($Y$3="申万三级行业",[1]!s_info_industry_sw_2021(W3293,公司分析!D$5,3),IF($Y$3="wind一级行业",[1]!s_info_industry_gics(W3293,1),IF($Y$3="wind二级行业",[1]!s_info_industry_gics(W3293,2),IF($Y$3="wind三级行业",[1]!s_info_industry_gics(W3293,3),IF($Y$3="wind四级行业",[1]!s_info_industry_gics(W3293,4),IF($Y$3="证监会门类行业",[1]!s_info_industry_csrc12_n(W3293,公司分析!D$5,1),""))))))))</f>
        <v>出版</v>
      </c>
      <c r="Z3293" s="302" t="str">
        <f ca="1">IF(Y3293=行业比较!$E$6,ROW(),"")</f>
        <v/>
      </c>
    </row>
    <row r="3294" spans="22:26">
      <c r="V3294" s="260">
        <f t="shared" ca="1" si="59"/>
        <v>0</v>
      </c>
      <c r="W3294" s="348" t="str">
        <f>IF(板块成分!B3296="","",板块成分!B3296)</f>
        <v>600552.SH</v>
      </c>
      <c r="X3294" s="276" t="str">
        <f>[1]!S_Info_Name(W3294)</f>
        <v>凯盛科技</v>
      </c>
      <c r="Y3294" s="276" t="str">
        <f ca="1">IF($Y$3="申万一级行业",[1]!s_info_industry_sw_2021(W3294,公司分析!D$5,1),IF($Y$3="申万二级行业",[1]!s_info_industry_sw_2021(W3294,公司分析!D$5,2),IF($Y$3="申万三级行业",[1]!s_info_industry_sw_2021(W3294,公司分析!D$5,3),IF($Y$3="wind一级行业",[1]!s_info_industry_gics(W3294,1),IF($Y$3="wind二级行业",[1]!s_info_industry_gics(W3294,2),IF($Y$3="wind三级行业",[1]!s_info_industry_gics(W3294,3),IF($Y$3="wind四级行业",[1]!s_info_industry_gics(W3294,4),IF($Y$3="证监会门类行业",[1]!s_info_industry_csrc12_n(W3294,公司分析!D$5,1),""))))))))</f>
        <v>光学光电子</v>
      </c>
      <c r="Z3294" s="302" t="str">
        <f ca="1">IF(Y3294=行业比较!$E$6,ROW(),"")</f>
        <v/>
      </c>
    </row>
    <row r="3295" spans="22:26">
      <c r="V3295" s="260">
        <f t="shared" ca="1" si="59"/>
        <v>0</v>
      </c>
      <c r="W3295" s="348" t="str">
        <f>IF(板块成分!B3297="","",板块成分!B3297)</f>
        <v>600556.SH</v>
      </c>
      <c r="X3295" s="276" t="str">
        <f>[1]!S_Info_Name(W3295)</f>
        <v>天下秀</v>
      </c>
      <c r="Y3295" s="276" t="str">
        <f ca="1">IF($Y$3="申万一级行业",[1]!s_info_industry_sw_2021(W3295,公司分析!D$5,1),IF($Y$3="申万二级行业",[1]!s_info_industry_sw_2021(W3295,公司分析!D$5,2),IF($Y$3="申万三级行业",[1]!s_info_industry_sw_2021(W3295,公司分析!D$5,3),IF($Y$3="wind一级行业",[1]!s_info_industry_gics(W3295,1),IF($Y$3="wind二级行业",[1]!s_info_industry_gics(W3295,2),IF($Y$3="wind三级行业",[1]!s_info_industry_gics(W3295,3),IF($Y$3="wind四级行业",[1]!s_info_industry_gics(W3295,4),IF($Y$3="证监会门类行业",[1]!s_info_industry_csrc12_n(W3295,公司分析!D$5,1),""))))))))</f>
        <v>广告营销</v>
      </c>
      <c r="Z3295" s="302" t="str">
        <f ca="1">IF(Y3295=行业比较!$E$6,ROW(),"")</f>
        <v/>
      </c>
    </row>
    <row r="3296" spans="22:26">
      <c r="V3296" s="260">
        <f t="shared" ca="1" si="59"/>
        <v>0</v>
      </c>
      <c r="W3296" s="348" t="str">
        <f>IF(板块成分!B3298="","",板块成分!B3298)</f>
        <v>600557.SH</v>
      </c>
      <c r="X3296" s="276" t="str">
        <f>[1]!S_Info_Name(W3296)</f>
        <v>康缘药业</v>
      </c>
      <c r="Y3296" s="276" t="str">
        <f ca="1">IF($Y$3="申万一级行业",[1]!s_info_industry_sw_2021(W3296,公司分析!D$5,1),IF($Y$3="申万二级行业",[1]!s_info_industry_sw_2021(W3296,公司分析!D$5,2),IF($Y$3="申万三级行业",[1]!s_info_industry_sw_2021(W3296,公司分析!D$5,3),IF($Y$3="wind一级行业",[1]!s_info_industry_gics(W3296,1),IF($Y$3="wind二级行业",[1]!s_info_industry_gics(W3296,2),IF($Y$3="wind三级行业",[1]!s_info_industry_gics(W3296,3),IF($Y$3="wind四级行业",[1]!s_info_industry_gics(W3296,4),IF($Y$3="证监会门类行业",[1]!s_info_industry_csrc12_n(W3296,公司分析!D$5,1),""))))))))</f>
        <v>中药Ⅱ</v>
      </c>
      <c r="Z3296" s="302" t="str">
        <f ca="1">IF(Y3296=行业比较!$E$6,ROW(),"")</f>
        <v/>
      </c>
    </row>
    <row r="3297" spans="22:26">
      <c r="V3297" s="260">
        <f t="shared" ca="1" si="59"/>
        <v>0</v>
      </c>
      <c r="W3297" s="348" t="str">
        <f>IF(板块成分!B3299="","",板块成分!B3299)</f>
        <v>600558.SH</v>
      </c>
      <c r="X3297" s="276" t="str">
        <f>[1]!S_Info_Name(W3297)</f>
        <v>大西洋</v>
      </c>
      <c r="Y3297" s="276" t="str">
        <f ca="1">IF($Y$3="申万一级行业",[1]!s_info_industry_sw_2021(W3297,公司分析!D$5,1),IF($Y$3="申万二级行业",[1]!s_info_industry_sw_2021(W3297,公司分析!D$5,2),IF($Y$3="申万三级行业",[1]!s_info_industry_sw_2021(W3297,公司分析!D$5,3),IF($Y$3="wind一级行业",[1]!s_info_industry_gics(W3297,1),IF($Y$3="wind二级行业",[1]!s_info_industry_gics(W3297,2),IF($Y$3="wind三级行业",[1]!s_info_industry_gics(W3297,3),IF($Y$3="wind四级行业",[1]!s_info_industry_gics(W3297,4),IF($Y$3="证监会门类行业",[1]!s_info_industry_csrc12_n(W3297,公司分析!D$5,1),""))))))))</f>
        <v>通用设备</v>
      </c>
      <c r="Z3297" s="302" t="str">
        <f ca="1">IF(Y3297=行业比较!$E$6,ROW(),"")</f>
        <v/>
      </c>
    </row>
    <row r="3298" spans="22:26">
      <c r="V3298" s="260">
        <f t="shared" ca="1" si="59"/>
        <v>0</v>
      </c>
      <c r="W3298" s="348" t="str">
        <f>IF(板块成分!B3300="","",板块成分!B3300)</f>
        <v>600559.SH</v>
      </c>
      <c r="X3298" s="276" t="str">
        <f>[1]!S_Info_Name(W3298)</f>
        <v>老白干酒</v>
      </c>
      <c r="Y3298" s="276" t="str">
        <f ca="1">IF($Y$3="申万一级行业",[1]!s_info_industry_sw_2021(W3298,公司分析!D$5,1),IF($Y$3="申万二级行业",[1]!s_info_industry_sw_2021(W3298,公司分析!D$5,2),IF($Y$3="申万三级行业",[1]!s_info_industry_sw_2021(W3298,公司分析!D$5,3),IF($Y$3="wind一级行业",[1]!s_info_industry_gics(W3298,1),IF($Y$3="wind二级行业",[1]!s_info_industry_gics(W3298,2),IF($Y$3="wind三级行业",[1]!s_info_industry_gics(W3298,3),IF($Y$3="wind四级行业",[1]!s_info_industry_gics(W3298,4),IF($Y$3="证监会门类行业",[1]!s_info_industry_csrc12_n(W3298,公司分析!D$5,1),""))))))))</f>
        <v>白酒Ⅱ</v>
      </c>
      <c r="Z3298" s="302" t="str">
        <f ca="1">IF(Y3298=行业比较!$E$6,ROW(),"")</f>
        <v/>
      </c>
    </row>
    <row r="3299" spans="22:26">
      <c r="V3299" s="260">
        <f t="shared" ca="1" si="59"/>
        <v>0</v>
      </c>
      <c r="W3299" s="348" t="str">
        <f>IF(板块成分!B3301="","",板块成分!B3301)</f>
        <v>600560.SH</v>
      </c>
      <c r="X3299" s="276" t="str">
        <f>[1]!S_Info_Name(W3299)</f>
        <v>金自天正</v>
      </c>
      <c r="Y3299" s="276" t="str">
        <f ca="1">IF($Y$3="申万一级行业",[1]!s_info_industry_sw_2021(W3299,公司分析!D$5,1),IF($Y$3="申万二级行业",[1]!s_info_industry_sw_2021(W3299,公司分析!D$5,2),IF($Y$3="申万三级行业",[1]!s_info_industry_sw_2021(W3299,公司分析!D$5,3),IF($Y$3="wind一级行业",[1]!s_info_industry_gics(W3299,1),IF($Y$3="wind二级行业",[1]!s_info_industry_gics(W3299,2),IF($Y$3="wind三级行业",[1]!s_info_industry_gics(W3299,3),IF($Y$3="wind四级行业",[1]!s_info_industry_gics(W3299,4),IF($Y$3="证监会门类行业",[1]!s_info_industry_csrc12_n(W3299,公司分析!D$5,1),""))))))))</f>
        <v>专用设备</v>
      </c>
      <c r="Z3299" s="302" t="str">
        <f ca="1">IF(Y3299=行业比较!$E$6,ROW(),"")</f>
        <v/>
      </c>
    </row>
    <row r="3300" spans="22:26">
      <c r="V3300" s="260">
        <f t="shared" ca="1" si="59"/>
        <v>0</v>
      </c>
      <c r="W3300" s="348" t="str">
        <f>IF(板块成分!B3302="","",板块成分!B3302)</f>
        <v>600561.SH</v>
      </c>
      <c r="X3300" s="276" t="str">
        <f>[1]!S_Info_Name(W3300)</f>
        <v>江西长运</v>
      </c>
      <c r="Y3300" s="276" t="str">
        <f ca="1">IF($Y$3="申万一级行业",[1]!s_info_industry_sw_2021(W3300,公司分析!D$5,1),IF($Y$3="申万二级行业",[1]!s_info_industry_sw_2021(W3300,公司分析!D$5,2),IF($Y$3="申万三级行业",[1]!s_info_industry_sw_2021(W3300,公司分析!D$5,3),IF($Y$3="wind一级行业",[1]!s_info_industry_gics(W3300,1),IF($Y$3="wind二级行业",[1]!s_info_industry_gics(W3300,2),IF($Y$3="wind三级行业",[1]!s_info_industry_gics(W3300,3),IF($Y$3="wind四级行业",[1]!s_info_industry_gics(W3300,4),IF($Y$3="证监会门类行业",[1]!s_info_industry_csrc12_n(W3300,公司分析!D$5,1),""))))))))</f>
        <v>铁路公路</v>
      </c>
      <c r="Z3300" s="302" t="str">
        <f ca="1">IF(Y3300=行业比较!$E$6,ROW(),"")</f>
        <v/>
      </c>
    </row>
    <row r="3301" spans="22:26">
      <c r="V3301" s="260">
        <f t="shared" ca="1" si="59"/>
        <v>0</v>
      </c>
      <c r="W3301" s="348" t="str">
        <f>IF(板块成分!B3303="","",板块成分!B3303)</f>
        <v>600562.SH</v>
      </c>
      <c r="X3301" s="276" t="str">
        <f>[1]!S_Info_Name(W3301)</f>
        <v>国睿科技</v>
      </c>
      <c r="Y3301" s="276" t="str">
        <f ca="1">IF($Y$3="申万一级行业",[1]!s_info_industry_sw_2021(W3301,公司分析!D$5,1),IF($Y$3="申万二级行业",[1]!s_info_industry_sw_2021(W3301,公司分析!D$5,2),IF($Y$3="申万三级行业",[1]!s_info_industry_sw_2021(W3301,公司分析!D$5,3),IF($Y$3="wind一级行业",[1]!s_info_industry_gics(W3301,1),IF($Y$3="wind二级行业",[1]!s_info_industry_gics(W3301,2),IF($Y$3="wind三级行业",[1]!s_info_industry_gics(W3301,3),IF($Y$3="wind四级行业",[1]!s_info_industry_gics(W3301,4),IF($Y$3="证监会门类行业",[1]!s_info_industry_csrc12_n(W3301,公司分析!D$5,1),""))))))))</f>
        <v>军工电子Ⅱ</v>
      </c>
      <c r="Z3301" s="302" t="str">
        <f ca="1">IF(Y3301=行业比较!$E$6,ROW(),"")</f>
        <v/>
      </c>
    </row>
    <row r="3302" spans="22:26">
      <c r="V3302" s="260">
        <f t="shared" ca="1" si="59"/>
        <v>0</v>
      </c>
      <c r="W3302" s="348" t="str">
        <f>IF(板块成分!B3304="","",板块成分!B3304)</f>
        <v>600563.SH</v>
      </c>
      <c r="X3302" s="276" t="str">
        <f>[1]!S_Info_Name(W3302)</f>
        <v>法拉电子</v>
      </c>
      <c r="Y3302" s="276" t="str">
        <f ca="1">IF($Y$3="申万一级行业",[1]!s_info_industry_sw_2021(W3302,公司分析!D$5,1),IF($Y$3="申万二级行业",[1]!s_info_industry_sw_2021(W3302,公司分析!D$5,2),IF($Y$3="申万三级行业",[1]!s_info_industry_sw_2021(W3302,公司分析!D$5,3),IF($Y$3="wind一级行业",[1]!s_info_industry_gics(W3302,1),IF($Y$3="wind二级行业",[1]!s_info_industry_gics(W3302,2),IF($Y$3="wind三级行业",[1]!s_info_industry_gics(W3302,3),IF($Y$3="wind四级行业",[1]!s_info_industry_gics(W3302,4),IF($Y$3="证监会门类行业",[1]!s_info_industry_csrc12_n(W3302,公司分析!D$5,1),""))))))))</f>
        <v>元件</v>
      </c>
      <c r="Z3302" s="302" t="str">
        <f ca="1">IF(Y3302=行业比较!$E$6,ROW(),"")</f>
        <v/>
      </c>
    </row>
    <row r="3303" spans="22:26">
      <c r="V3303" s="260">
        <f t="shared" ca="1" si="59"/>
        <v>0</v>
      </c>
      <c r="W3303" s="348" t="str">
        <f>IF(板块成分!B3305="","",板块成分!B3305)</f>
        <v>600566.SH</v>
      </c>
      <c r="X3303" s="276" t="str">
        <f>[1]!S_Info_Name(W3303)</f>
        <v>济川药业</v>
      </c>
      <c r="Y3303" s="276" t="str">
        <f ca="1">IF($Y$3="申万一级行业",[1]!s_info_industry_sw_2021(W3303,公司分析!D$5,1),IF($Y$3="申万二级行业",[1]!s_info_industry_sw_2021(W3303,公司分析!D$5,2),IF($Y$3="申万三级行业",[1]!s_info_industry_sw_2021(W3303,公司分析!D$5,3),IF($Y$3="wind一级行业",[1]!s_info_industry_gics(W3303,1),IF($Y$3="wind二级行业",[1]!s_info_industry_gics(W3303,2),IF($Y$3="wind三级行业",[1]!s_info_industry_gics(W3303,3),IF($Y$3="wind四级行业",[1]!s_info_industry_gics(W3303,4),IF($Y$3="证监会门类行业",[1]!s_info_industry_csrc12_n(W3303,公司分析!D$5,1),""))))))))</f>
        <v>中药Ⅱ</v>
      </c>
      <c r="Z3303" s="302" t="str">
        <f ca="1">IF(Y3303=行业比较!$E$6,ROW(),"")</f>
        <v/>
      </c>
    </row>
    <row r="3304" spans="22:26">
      <c r="V3304" s="260">
        <f t="shared" ca="1" si="59"/>
        <v>0</v>
      </c>
      <c r="W3304" s="348" t="str">
        <f>IF(板块成分!B3306="","",板块成分!B3306)</f>
        <v>600567.SH</v>
      </c>
      <c r="X3304" s="276" t="str">
        <f>[1]!S_Info_Name(W3304)</f>
        <v>山鹰国际</v>
      </c>
      <c r="Y3304" s="276" t="str">
        <f ca="1">IF($Y$3="申万一级行业",[1]!s_info_industry_sw_2021(W3304,公司分析!D$5,1),IF($Y$3="申万二级行业",[1]!s_info_industry_sw_2021(W3304,公司分析!D$5,2),IF($Y$3="申万三级行业",[1]!s_info_industry_sw_2021(W3304,公司分析!D$5,3),IF($Y$3="wind一级行业",[1]!s_info_industry_gics(W3304,1),IF($Y$3="wind二级行业",[1]!s_info_industry_gics(W3304,2),IF($Y$3="wind三级行业",[1]!s_info_industry_gics(W3304,3),IF($Y$3="wind四级行业",[1]!s_info_industry_gics(W3304,4),IF($Y$3="证监会门类行业",[1]!s_info_industry_csrc12_n(W3304,公司分析!D$5,1),""))))))))</f>
        <v>造纸</v>
      </c>
      <c r="Z3304" s="302" t="str">
        <f ca="1">IF(Y3304=行业比较!$E$6,ROW(),"")</f>
        <v/>
      </c>
    </row>
    <row r="3305" spans="22:26">
      <c r="V3305" s="260">
        <f t="shared" ca="1" si="59"/>
        <v>0</v>
      </c>
      <c r="W3305" s="348" t="str">
        <f>IF(板块成分!B3307="","",板块成分!B3307)</f>
        <v>600568.SH</v>
      </c>
      <c r="X3305" s="276" t="str">
        <f>[1]!S_Info_Name(W3305)</f>
        <v>ST中珠</v>
      </c>
      <c r="Y3305" s="276" t="str">
        <f ca="1">IF($Y$3="申万一级行业",[1]!s_info_industry_sw_2021(W3305,公司分析!D$5,1),IF($Y$3="申万二级行业",[1]!s_info_industry_sw_2021(W3305,公司分析!D$5,2),IF($Y$3="申万三级行业",[1]!s_info_industry_sw_2021(W3305,公司分析!D$5,3),IF($Y$3="wind一级行业",[1]!s_info_industry_gics(W3305,1),IF($Y$3="wind二级行业",[1]!s_info_industry_gics(W3305,2),IF($Y$3="wind三级行业",[1]!s_info_industry_gics(W3305,3),IF($Y$3="wind四级行业",[1]!s_info_industry_gics(W3305,4),IF($Y$3="证监会门类行业",[1]!s_info_industry_csrc12_n(W3305,公司分析!D$5,1),""))))))))</f>
        <v>医疗服务</v>
      </c>
      <c r="Z3305" s="302" t="str">
        <f ca="1">IF(Y3305=行业比较!$E$6,ROW(),"")</f>
        <v/>
      </c>
    </row>
    <row r="3306" spans="22:26">
      <c r="V3306" s="260">
        <f t="shared" ca="1" si="59"/>
        <v>0</v>
      </c>
      <c r="W3306" s="348" t="str">
        <f>IF(板块成分!B3308="","",板块成分!B3308)</f>
        <v>600569.SH</v>
      </c>
      <c r="X3306" s="276" t="str">
        <f>[1]!S_Info_Name(W3306)</f>
        <v>安阳钢铁</v>
      </c>
      <c r="Y3306" s="276" t="str">
        <f ca="1">IF($Y$3="申万一级行业",[1]!s_info_industry_sw_2021(W3306,公司分析!D$5,1),IF($Y$3="申万二级行业",[1]!s_info_industry_sw_2021(W3306,公司分析!D$5,2),IF($Y$3="申万三级行业",[1]!s_info_industry_sw_2021(W3306,公司分析!D$5,3),IF($Y$3="wind一级行业",[1]!s_info_industry_gics(W3306,1),IF($Y$3="wind二级行业",[1]!s_info_industry_gics(W3306,2),IF($Y$3="wind三级行业",[1]!s_info_industry_gics(W3306,3),IF($Y$3="wind四级行业",[1]!s_info_industry_gics(W3306,4),IF($Y$3="证监会门类行业",[1]!s_info_industry_csrc12_n(W3306,公司分析!D$5,1),""))))))))</f>
        <v>普钢</v>
      </c>
      <c r="Z3306" s="302" t="str">
        <f ca="1">IF(Y3306=行业比较!$E$6,ROW(),"")</f>
        <v/>
      </c>
    </row>
    <row r="3307" spans="22:26">
      <c r="V3307" s="260">
        <f t="shared" ca="1" si="59"/>
        <v>0</v>
      </c>
      <c r="W3307" s="348" t="str">
        <f>IF(板块成分!B3309="","",板块成分!B3309)</f>
        <v>600570.SH</v>
      </c>
      <c r="X3307" s="276" t="str">
        <f>[1]!S_Info_Name(W3307)</f>
        <v>恒生电子</v>
      </c>
      <c r="Y3307" s="276" t="str">
        <f ca="1">IF($Y$3="申万一级行业",[1]!s_info_industry_sw_2021(W3307,公司分析!D$5,1),IF($Y$3="申万二级行业",[1]!s_info_industry_sw_2021(W3307,公司分析!D$5,2),IF($Y$3="申万三级行业",[1]!s_info_industry_sw_2021(W3307,公司分析!D$5,3),IF($Y$3="wind一级行业",[1]!s_info_industry_gics(W3307,1),IF($Y$3="wind二级行业",[1]!s_info_industry_gics(W3307,2),IF($Y$3="wind三级行业",[1]!s_info_industry_gics(W3307,3),IF($Y$3="wind四级行业",[1]!s_info_industry_gics(W3307,4),IF($Y$3="证监会门类行业",[1]!s_info_industry_csrc12_n(W3307,公司分析!D$5,1),""))))))))</f>
        <v>软件开发</v>
      </c>
      <c r="Z3307" s="302" t="str">
        <f ca="1">IF(Y3307=行业比较!$E$6,ROW(),"")</f>
        <v/>
      </c>
    </row>
    <row r="3308" spans="22:26">
      <c r="V3308" s="260">
        <f t="shared" ca="1" si="59"/>
        <v>0</v>
      </c>
      <c r="W3308" s="348" t="str">
        <f>IF(板块成分!B3310="","",板块成分!B3310)</f>
        <v>600571.SH</v>
      </c>
      <c r="X3308" s="276" t="str">
        <f>[1]!S_Info_Name(W3308)</f>
        <v>信雅达</v>
      </c>
      <c r="Y3308" s="276" t="str">
        <f ca="1">IF($Y$3="申万一级行业",[1]!s_info_industry_sw_2021(W3308,公司分析!D$5,1),IF($Y$3="申万二级行业",[1]!s_info_industry_sw_2021(W3308,公司分析!D$5,2),IF($Y$3="申万三级行业",[1]!s_info_industry_sw_2021(W3308,公司分析!D$5,3),IF($Y$3="wind一级行业",[1]!s_info_industry_gics(W3308,1),IF($Y$3="wind二级行业",[1]!s_info_industry_gics(W3308,2),IF($Y$3="wind三级行业",[1]!s_info_industry_gics(W3308,3),IF($Y$3="wind四级行业",[1]!s_info_industry_gics(W3308,4),IF($Y$3="证监会门类行业",[1]!s_info_industry_csrc12_n(W3308,公司分析!D$5,1),""))))))))</f>
        <v>IT服务Ⅱ</v>
      </c>
      <c r="Z3308" s="302" t="str">
        <f ca="1">IF(Y3308=行业比较!$E$6,ROW(),"")</f>
        <v/>
      </c>
    </row>
    <row r="3309" spans="22:26">
      <c r="V3309" s="260">
        <f t="shared" ca="1" si="59"/>
        <v>0</v>
      </c>
      <c r="W3309" s="348" t="str">
        <f>IF(板块成分!B3311="","",板块成分!B3311)</f>
        <v>600572.SH</v>
      </c>
      <c r="X3309" s="276" t="str">
        <f>[1]!S_Info_Name(W3309)</f>
        <v>康恩贝</v>
      </c>
      <c r="Y3309" s="276" t="str">
        <f ca="1">IF($Y$3="申万一级行业",[1]!s_info_industry_sw_2021(W3309,公司分析!D$5,1),IF($Y$3="申万二级行业",[1]!s_info_industry_sw_2021(W3309,公司分析!D$5,2),IF($Y$3="申万三级行业",[1]!s_info_industry_sw_2021(W3309,公司分析!D$5,3),IF($Y$3="wind一级行业",[1]!s_info_industry_gics(W3309,1),IF($Y$3="wind二级行业",[1]!s_info_industry_gics(W3309,2),IF($Y$3="wind三级行业",[1]!s_info_industry_gics(W3309,3),IF($Y$3="wind四级行业",[1]!s_info_industry_gics(W3309,4),IF($Y$3="证监会门类行业",[1]!s_info_industry_csrc12_n(W3309,公司分析!D$5,1),""))))))))</f>
        <v>中药Ⅱ</v>
      </c>
      <c r="Z3309" s="302" t="str">
        <f ca="1">IF(Y3309=行业比较!$E$6,ROW(),"")</f>
        <v/>
      </c>
    </row>
    <row r="3310" spans="22:26">
      <c r="V3310" s="260">
        <f t="shared" ca="1" si="59"/>
        <v>0</v>
      </c>
      <c r="W3310" s="348" t="str">
        <f>IF(板块成分!B3312="","",板块成分!B3312)</f>
        <v>600573.SH</v>
      </c>
      <c r="X3310" s="276" t="str">
        <f>[1]!S_Info_Name(W3310)</f>
        <v>惠泉啤酒</v>
      </c>
      <c r="Y3310" s="276" t="str">
        <f ca="1">IF($Y$3="申万一级行业",[1]!s_info_industry_sw_2021(W3310,公司分析!D$5,1),IF($Y$3="申万二级行业",[1]!s_info_industry_sw_2021(W3310,公司分析!D$5,2),IF($Y$3="申万三级行业",[1]!s_info_industry_sw_2021(W3310,公司分析!D$5,3),IF($Y$3="wind一级行业",[1]!s_info_industry_gics(W3310,1),IF($Y$3="wind二级行业",[1]!s_info_industry_gics(W3310,2),IF($Y$3="wind三级行业",[1]!s_info_industry_gics(W3310,3),IF($Y$3="wind四级行业",[1]!s_info_industry_gics(W3310,4),IF($Y$3="证监会门类行业",[1]!s_info_industry_csrc12_n(W3310,公司分析!D$5,1),""))))))))</f>
        <v>非白酒</v>
      </c>
      <c r="Z3310" s="302" t="str">
        <f ca="1">IF(Y3310=行业比较!$E$6,ROW(),"")</f>
        <v/>
      </c>
    </row>
    <row r="3311" spans="22:26">
      <c r="V3311" s="260">
        <f t="shared" ca="1" si="59"/>
        <v>0</v>
      </c>
      <c r="W3311" s="348" t="str">
        <f>IF(板块成分!B3313="","",板块成分!B3313)</f>
        <v>600575.SH</v>
      </c>
      <c r="X3311" s="276" t="str">
        <f>[1]!S_Info_Name(W3311)</f>
        <v>淮河能源</v>
      </c>
      <c r="Y3311" s="276" t="str">
        <f ca="1">IF($Y$3="申万一级行业",[1]!s_info_industry_sw_2021(W3311,公司分析!D$5,1),IF($Y$3="申万二级行业",[1]!s_info_industry_sw_2021(W3311,公司分析!D$5,2),IF($Y$3="申万三级行业",[1]!s_info_industry_sw_2021(W3311,公司分析!D$5,3),IF($Y$3="wind一级行业",[1]!s_info_industry_gics(W3311,1),IF($Y$3="wind二级行业",[1]!s_info_industry_gics(W3311,2),IF($Y$3="wind三级行业",[1]!s_info_industry_gics(W3311,3),IF($Y$3="wind四级行业",[1]!s_info_industry_gics(W3311,4),IF($Y$3="证监会门类行业",[1]!s_info_industry_csrc12_n(W3311,公司分析!D$5,1),""))))))))</f>
        <v>煤炭开采</v>
      </c>
      <c r="Z3311" s="302" t="str">
        <f ca="1">IF(Y3311=行业比较!$E$6,ROW(),"")</f>
        <v/>
      </c>
    </row>
    <row r="3312" spans="22:26">
      <c r="V3312" s="260">
        <f t="shared" ca="1" si="59"/>
        <v>0</v>
      </c>
      <c r="W3312" s="348" t="str">
        <f>IF(板块成分!B3314="","",板块成分!B3314)</f>
        <v>600576.SH</v>
      </c>
      <c r="X3312" s="276" t="str">
        <f>[1]!S_Info_Name(W3312)</f>
        <v>祥源文旅</v>
      </c>
      <c r="Y3312" s="276" t="str">
        <f ca="1">IF($Y$3="申万一级行业",[1]!s_info_industry_sw_2021(W3312,公司分析!D$5,1),IF($Y$3="申万二级行业",[1]!s_info_industry_sw_2021(W3312,公司分析!D$5,2),IF($Y$3="申万三级行业",[1]!s_info_industry_sw_2021(W3312,公司分析!D$5,3),IF($Y$3="wind一级行业",[1]!s_info_industry_gics(W3312,1),IF($Y$3="wind二级行业",[1]!s_info_industry_gics(W3312,2),IF($Y$3="wind三级行业",[1]!s_info_industry_gics(W3312,3),IF($Y$3="wind四级行业",[1]!s_info_industry_gics(W3312,4),IF($Y$3="证监会门类行业",[1]!s_info_industry_csrc12_n(W3312,公司分析!D$5,1),""))))))))</f>
        <v>旅游及景区</v>
      </c>
      <c r="Z3312" s="302" t="str">
        <f ca="1">IF(Y3312=行业比较!$E$6,ROW(),"")</f>
        <v/>
      </c>
    </row>
    <row r="3313" spans="22:26">
      <c r="V3313" s="260">
        <f t="shared" ca="1" si="59"/>
        <v>0</v>
      </c>
      <c r="W3313" s="348" t="str">
        <f>IF(板块成分!B3315="","",板块成分!B3315)</f>
        <v>600577.SH</v>
      </c>
      <c r="X3313" s="276" t="str">
        <f>[1]!S_Info_Name(W3313)</f>
        <v>精达股份</v>
      </c>
      <c r="Y3313" s="276" t="str">
        <f ca="1">IF($Y$3="申万一级行业",[1]!s_info_industry_sw_2021(W3313,公司分析!D$5,1),IF($Y$3="申万二级行业",[1]!s_info_industry_sw_2021(W3313,公司分析!D$5,2),IF($Y$3="申万三级行业",[1]!s_info_industry_sw_2021(W3313,公司分析!D$5,3),IF($Y$3="wind一级行业",[1]!s_info_industry_gics(W3313,1),IF($Y$3="wind二级行业",[1]!s_info_industry_gics(W3313,2),IF($Y$3="wind三级行业",[1]!s_info_industry_gics(W3313,3),IF($Y$3="wind四级行业",[1]!s_info_industry_gics(W3313,4),IF($Y$3="证监会门类行业",[1]!s_info_industry_csrc12_n(W3313,公司分析!D$5,1),""))))))))</f>
        <v>电网设备</v>
      </c>
      <c r="Z3313" s="302" t="str">
        <f ca="1">IF(Y3313=行业比较!$E$6,ROW(),"")</f>
        <v/>
      </c>
    </row>
    <row r="3314" spans="22:26">
      <c r="V3314" s="260">
        <f t="shared" ca="1" si="59"/>
        <v>0</v>
      </c>
      <c r="W3314" s="348" t="str">
        <f>IF(板块成分!B3316="","",板块成分!B3316)</f>
        <v>600578.SH</v>
      </c>
      <c r="X3314" s="276" t="str">
        <f>[1]!S_Info_Name(W3314)</f>
        <v>京能电力</v>
      </c>
      <c r="Y3314" s="276" t="str">
        <f ca="1">IF($Y$3="申万一级行业",[1]!s_info_industry_sw_2021(W3314,公司分析!D$5,1),IF($Y$3="申万二级行业",[1]!s_info_industry_sw_2021(W3314,公司分析!D$5,2),IF($Y$3="申万三级行业",[1]!s_info_industry_sw_2021(W3314,公司分析!D$5,3),IF($Y$3="wind一级行业",[1]!s_info_industry_gics(W3314,1),IF($Y$3="wind二级行业",[1]!s_info_industry_gics(W3314,2),IF($Y$3="wind三级行业",[1]!s_info_industry_gics(W3314,3),IF($Y$3="wind四级行业",[1]!s_info_industry_gics(W3314,4),IF($Y$3="证监会门类行业",[1]!s_info_industry_csrc12_n(W3314,公司分析!D$5,1),""))))))))</f>
        <v>电力</v>
      </c>
      <c r="Z3314" s="302" t="str">
        <f ca="1">IF(Y3314=行业比较!$E$6,ROW(),"")</f>
        <v/>
      </c>
    </row>
    <row r="3315" spans="22:26">
      <c r="V3315" s="260">
        <f t="shared" ca="1" si="59"/>
        <v>0</v>
      </c>
      <c r="W3315" s="348" t="str">
        <f>IF(板块成分!B3317="","",板块成分!B3317)</f>
        <v>600579.SH</v>
      </c>
      <c r="X3315" s="276" t="str">
        <f>[1]!S_Info_Name(W3315)</f>
        <v>中化装备</v>
      </c>
      <c r="Y3315" s="276" t="str">
        <f ca="1">IF($Y$3="申万一级行业",[1]!s_info_industry_sw_2021(W3315,公司分析!D$5,1),IF($Y$3="申万二级行业",[1]!s_info_industry_sw_2021(W3315,公司分析!D$5,2),IF($Y$3="申万三级行业",[1]!s_info_industry_sw_2021(W3315,公司分析!D$5,3),IF($Y$3="wind一级行业",[1]!s_info_industry_gics(W3315,1),IF($Y$3="wind二级行业",[1]!s_info_industry_gics(W3315,2),IF($Y$3="wind三级行业",[1]!s_info_industry_gics(W3315,3),IF($Y$3="wind四级行业",[1]!s_info_industry_gics(W3315,4),IF($Y$3="证监会门类行业",[1]!s_info_industry_csrc12_n(W3315,公司分析!D$5,1),""))))))))</f>
        <v>专用设备</v>
      </c>
      <c r="Z3315" s="302" t="str">
        <f ca="1">IF(Y3315=行业比较!$E$6,ROW(),"")</f>
        <v/>
      </c>
    </row>
    <row r="3316" spans="22:26">
      <c r="V3316" s="260">
        <f t="shared" ca="1" si="59"/>
        <v>0</v>
      </c>
      <c r="W3316" s="348" t="str">
        <f>IF(板块成分!B3318="","",板块成分!B3318)</f>
        <v>600580.SH</v>
      </c>
      <c r="X3316" s="276" t="str">
        <f>[1]!S_Info_Name(W3316)</f>
        <v>卧龙电驱</v>
      </c>
      <c r="Y3316" s="276" t="str">
        <f ca="1">IF($Y$3="申万一级行业",[1]!s_info_industry_sw_2021(W3316,公司分析!D$5,1),IF($Y$3="申万二级行业",[1]!s_info_industry_sw_2021(W3316,公司分析!D$5,2),IF($Y$3="申万三级行业",[1]!s_info_industry_sw_2021(W3316,公司分析!D$5,3),IF($Y$3="wind一级行业",[1]!s_info_industry_gics(W3316,1),IF($Y$3="wind二级行业",[1]!s_info_industry_gics(W3316,2),IF($Y$3="wind三级行业",[1]!s_info_industry_gics(W3316,3),IF($Y$3="wind四级行业",[1]!s_info_industry_gics(W3316,4),IF($Y$3="证监会门类行业",[1]!s_info_industry_csrc12_n(W3316,公司分析!D$5,1),""))))))))</f>
        <v>电机Ⅱ</v>
      </c>
      <c r="Z3316" s="302" t="str">
        <f ca="1">IF(Y3316=行业比较!$E$6,ROW(),"")</f>
        <v/>
      </c>
    </row>
    <row r="3317" spans="22:26">
      <c r="V3317" s="260">
        <f t="shared" ca="1" si="59"/>
        <v>0</v>
      </c>
      <c r="W3317" s="348" t="str">
        <f>IF(板块成分!B3319="","",板块成分!B3319)</f>
        <v>600581.SH</v>
      </c>
      <c r="X3317" s="276" t="str">
        <f>[1]!S_Info_Name(W3317)</f>
        <v>八一钢铁</v>
      </c>
      <c r="Y3317" s="276" t="str">
        <f ca="1">IF($Y$3="申万一级行业",[1]!s_info_industry_sw_2021(W3317,公司分析!D$5,1),IF($Y$3="申万二级行业",[1]!s_info_industry_sw_2021(W3317,公司分析!D$5,2),IF($Y$3="申万三级行业",[1]!s_info_industry_sw_2021(W3317,公司分析!D$5,3),IF($Y$3="wind一级行业",[1]!s_info_industry_gics(W3317,1),IF($Y$3="wind二级行业",[1]!s_info_industry_gics(W3317,2),IF($Y$3="wind三级行业",[1]!s_info_industry_gics(W3317,3),IF($Y$3="wind四级行业",[1]!s_info_industry_gics(W3317,4),IF($Y$3="证监会门类行业",[1]!s_info_industry_csrc12_n(W3317,公司分析!D$5,1),""))))))))</f>
        <v>普钢</v>
      </c>
      <c r="Z3317" s="302" t="str">
        <f ca="1">IF(Y3317=行业比较!$E$6,ROW(),"")</f>
        <v/>
      </c>
    </row>
    <row r="3318" spans="22:26">
      <c r="V3318" s="260">
        <f t="shared" ca="1" si="59"/>
        <v>0</v>
      </c>
      <c r="W3318" s="348" t="str">
        <f>IF(板块成分!B3320="","",板块成分!B3320)</f>
        <v>600582.SH</v>
      </c>
      <c r="X3318" s="276" t="str">
        <f>[1]!S_Info_Name(W3318)</f>
        <v>天地科技</v>
      </c>
      <c r="Y3318" s="276" t="str">
        <f ca="1">IF($Y$3="申万一级行业",[1]!s_info_industry_sw_2021(W3318,公司分析!D$5,1),IF($Y$3="申万二级行业",[1]!s_info_industry_sw_2021(W3318,公司分析!D$5,2),IF($Y$3="申万三级行业",[1]!s_info_industry_sw_2021(W3318,公司分析!D$5,3),IF($Y$3="wind一级行业",[1]!s_info_industry_gics(W3318,1),IF($Y$3="wind二级行业",[1]!s_info_industry_gics(W3318,2),IF($Y$3="wind三级行业",[1]!s_info_industry_gics(W3318,3),IF($Y$3="wind四级行业",[1]!s_info_industry_gics(W3318,4),IF($Y$3="证监会门类行业",[1]!s_info_industry_csrc12_n(W3318,公司分析!D$5,1),""))))))))</f>
        <v>专用设备</v>
      </c>
      <c r="Z3318" s="302" t="str">
        <f ca="1">IF(Y3318=行业比较!$E$6,ROW(),"")</f>
        <v/>
      </c>
    </row>
    <row r="3319" spans="22:26">
      <c r="V3319" s="260">
        <f t="shared" ca="1" si="59"/>
        <v>0</v>
      </c>
      <c r="W3319" s="348" t="str">
        <f>IF(板块成分!B3321="","",板块成分!B3321)</f>
        <v>600583.SH</v>
      </c>
      <c r="X3319" s="276" t="str">
        <f>[1]!S_Info_Name(W3319)</f>
        <v>海油工程</v>
      </c>
      <c r="Y3319" s="276" t="str">
        <f ca="1">IF($Y$3="申万一级行业",[1]!s_info_industry_sw_2021(W3319,公司分析!D$5,1),IF($Y$3="申万二级行业",[1]!s_info_industry_sw_2021(W3319,公司分析!D$5,2),IF($Y$3="申万三级行业",[1]!s_info_industry_sw_2021(W3319,公司分析!D$5,3),IF($Y$3="wind一级行业",[1]!s_info_industry_gics(W3319,1),IF($Y$3="wind二级行业",[1]!s_info_industry_gics(W3319,2),IF($Y$3="wind三级行业",[1]!s_info_industry_gics(W3319,3),IF($Y$3="wind四级行业",[1]!s_info_industry_gics(W3319,4),IF($Y$3="证监会门类行业",[1]!s_info_industry_csrc12_n(W3319,公司分析!D$5,1),""))))))))</f>
        <v>油服工程</v>
      </c>
      <c r="Z3319" s="302" t="str">
        <f ca="1">IF(Y3319=行业比较!$E$6,ROW(),"")</f>
        <v/>
      </c>
    </row>
    <row r="3320" spans="22:26">
      <c r="V3320" s="260">
        <f t="shared" ca="1" si="59"/>
        <v>0</v>
      </c>
      <c r="W3320" s="348" t="str">
        <f>IF(板块成分!B3322="","",板块成分!B3322)</f>
        <v>600584.SH</v>
      </c>
      <c r="X3320" s="276" t="str">
        <f>[1]!S_Info_Name(W3320)</f>
        <v>长电科技</v>
      </c>
      <c r="Y3320" s="276" t="str">
        <f ca="1">IF($Y$3="申万一级行业",[1]!s_info_industry_sw_2021(W3320,公司分析!D$5,1),IF($Y$3="申万二级行业",[1]!s_info_industry_sw_2021(W3320,公司分析!D$5,2),IF($Y$3="申万三级行业",[1]!s_info_industry_sw_2021(W3320,公司分析!D$5,3),IF($Y$3="wind一级行业",[1]!s_info_industry_gics(W3320,1),IF($Y$3="wind二级行业",[1]!s_info_industry_gics(W3320,2),IF($Y$3="wind三级行业",[1]!s_info_industry_gics(W3320,3),IF($Y$3="wind四级行业",[1]!s_info_industry_gics(W3320,4),IF($Y$3="证监会门类行业",[1]!s_info_industry_csrc12_n(W3320,公司分析!D$5,1),""))))))))</f>
        <v>半导体</v>
      </c>
      <c r="Z3320" s="302" t="str">
        <f ca="1">IF(Y3320=行业比较!$E$6,ROW(),"")</f>
        <v/>
      </c>
    </row>
    <row r="3321" spans="22:26">
      <c r="V3321" s="260">
        <f t="shared" ca="1" si="59"/>
        <v>0</v>
      </c>
      <c r="W3321" s="348" t="str">
        <f>IF(板块成分!B3323="","",板块成分!B3323)</f>
        <v>600585.SH</v>
      </c>
      <c r="X3321" s="276" t="str">
        <f>[1]!S_Info_Name(W3321)</f>
        <v>海螺水泥</v>
      </c>
      <c r="Y3321" s="276" t="str">
        <f ca="1">IF($Y$3="申万一级行业",[1]!s_info_industry_sw_2021(W3321,公司分析!D$5,1),IF($Y$3="申万二级行业",[1]!s_info_industry_sw_2021(W3321,公司分析!D$5,2),IF($Y$3="申万三级行业",[1]!s_info_industry_sw_2021(W3321,公司分析!D$5,3),IF($Y$3="wind一级行业",[1]!s_info_industry_gics(W3321,1),IF($Y$3="wind二级行业",[1]!s_info_industry_gics(W3321,2),IF($Y$3="wind三级行业",[1]!s_info_industry_gics(W3321,3),IF($Y$3="wind四级行业",[1]!s_info_industry_gics(W3321,4),IF($Y$3="证监会门类行业",[1]!s_info_industry_csrc12_n(W3321,公司分析!D$5,1),""))))))))</f>
        <v>水泥</v>
      </c>
      <c r="Z3321" s="302" t="str">
        <f ca="1">IF(Y3321=行业比较!$E$6,ROW(),"")</f>
        <v/>
      </c>
    </row>
    <row r="3322" spans="22:26">
      <c r="V3322" s="260">
        <f t="shared" ca="1" si="59"/>
        <v>0</v>
      </c>
      <c r="W3322" s="348" t="str">
        <f>IF(板块成分!B3324="","",板块成分!B3324)</f>
        <v>600586.SH</v>
      </c>
      <c r="X3322" s="276" t="str">
        <f>[1]!S_Info_Name(W3322)</f>
        <v>金晶科技</v>
      </c>
      <c r="Y3322" s="276" t="str">
        <f ca="1">IF($Y$3="申万一级行业",[1]!s_info_industry_sw_2021(W3322,公司分析!D$5,1),IF($Y$3="申万二级行业",[1]!s_info_industry_sw_2021(W3322,公司分析!D$5,2),IF($Y$3="申万三级行业",[1]!s_info_industry_sw_2021(W3322,公司分析!D$5,3),IF($Y$3="wind一级行业",[1]!s_info_industry_gics(W3322,1),IF($Y$3="wind二级行业",[1]!s_info_industry_gics(W3322,2),IF($Y$3="wind三级行业",[1]!s_info_industry_gics(W3322,3),IF($Y$3="wind四级行业",[1]!s_info_industry_gics(W3322,4),IF($Y$3="证监会门类行业",[1]!s_info_industry_csrc12_n(W3322,公司分析!D$5,1),""))))))))</f>
        <v>玻璃玻纤</v>
      </c>
      <c r="Z3322" s="302" t="str">
        <f ca="1">IF(Y3322=行业比较!$E$6,ROW(),"")</f>
        <v/>
      </c>
    </row>
    <row r="3323" spans="22:26">
      <c r="V3323" s="260">
        <f t="shared" ca="1" si="59"/>
        <v>0</v>
      </c>
      <c r="W3323" s="348" t="str">
        <f>IF(板块成分!B3325="","",板块成分!B3325)</f>
        <v>600587.SH</v>
      </c>
      <c r="X3323" s="276" t="str">
        <f>[1]!S_Info_Name(W3323)</f>
        <v>新华医疗</v>
      </c>
      <c r="Y3323" s="276" t="str">
        <f ca="1">IF($Y$3="申万一级行业",[1]!s_info_industry_sw_2021(W3323,公司分析!D$5,1),IF($Y$3="申万二级行业",[1]!s_info_industry_sw_2021(W3323,公司分析!D$5,2),IF($Y$3="申万三级行业",[1]!s_info_industry_sw_2021(W3323,公司分析!D$5,3),IF($Y$3="wind一级行业",[1]!s_info_industry_gics(W3323,1),IF($Y$3="wind二级行业",[1]!s_info_industry_gics(W3323,2),IF($Y$3="wind三级行业",[1]!s_info_industry_gics(W3323,3),IF($Y$3="wind四级行业",[1]!s_info_industry_gics(W3323,4),IF($Y$3="证监会门类行业",[1]!s_info_industry_csrc12_n(W3323,公司分析!D$5,1),""))))))))</f>
        <v>医疗器械</v>
      </c>
      <c r="Z3323" s="302" t="str">
        <f ca="1">IF(Y3323=行业比较!$E$6,ROW(),"")</f>
        <v/>
      </c>
    </row>
    <row r="3324" spans="22:26">
      <c r="V3324" s="260">
        <f t="shared" ca="1" si="59"/>
        <v>0</v>
      </c>
      <c r="W3324" s="348" t="str">
        <f>IF(板块成分!B3326="","",板块成分!B3326)</f>
        <v>600588.SH</v>
      </c>
      <c r="X3324" s="276" t="str">
        <f>[1]!S_Info_Name(W3324)</f>
        <v>用友网络</v>
      </c>
      <c r="Y3324" s="276" t="str">
        <f ca="1">IF($Y$3="申万一级行业",[1]!s_info_industry_sw_2021(W3324,公司分析!D$5,1),IF($Y$3="申万二级行业",[1]!s_info_industry_sw_2021(W3324,公司分析!D$5,2),IF($Y$3="申万三级行业",[1]!s_info_industry_sw_2021(W3324,公司分析!D$5,3),IF($Y$3="wind一级行业",[1]!s_info_industry_gics(W3324,1),IF($Y$3="wind二级行业",[1]!s_info_industry_gics(W3324,2),IF($Y$3="wind三级行业",[1]!s_info_industry_gics(W3324,3),IF($Y$3="wind四级行业",[1]!s_info_industry_gics(W3324,4),IF($Y$3="证监会门类行业",[1]!s_info_industry_csrc12_n(W3324,公司分析!D$5,1),""))))))))</f>
        <v>软件开发</v>
      </c>
      <c r="Z3324" s="302" t="str">
        <f ca="1">IF(Y3324=行业比较!$E$6,ROW(),"")</f>
        <v/>
      </c>
    </row>
    <row r="3325" spans="22:26">
      <c r="V3325" s="260">
        <f t="shared" ca="1" si="59"/>
        <v>0</v>
      </c>
      <c r="W3325" s="348" t="str">
        <f>IF(板块成分!B3327="","",板块成分!B3327)</f>
        <v>600589.SH</v>
      </c>
      <c r="X3325" s="276" t="str">
        <f>[1]!S_Info_Name(W3325)</f>
        <v>大位科技</v>
      </c>
      <c r="Y3325" s="276" t="str">
        <f ca="1">IF($Y$3="申万一级行业",[1]!s_info_industry_sw_2021(W3325,公司分析!D$5,1),IF($Y$3="申万二级行业",[1]!s_info_industry_sw_2021(W3325,公司分析!D$5,2),IF($Y$3="申万三级行业",[1]!s_info_industry_sw_2021(W3325,公司分析!D$5,3),IF($Y$3="wind一级行业",[1]!s_info_industry_gics(W3325,1),IF($Y$3="wind二级行业",[1]!s_info_industry_gics(W3325,2),IF($Y$3="wind三级行业",[1]!s_info_industry_gics(W3325,3),IF($Y$3="wind四级行业",[1]!s_info_industry_gics(W3325,4),IF($Y$3="证监会门类行业",[1]!s_info_industry_csrc12_n(W3325,公司分析!D$5,1),""))))))))</f>
        <v>IT服务Ⅱ</v>
      </c>
      <c r="Z3325" s="302" t="str">
        <f ca="1">IF(Y3325=行业比较!$E$6,ROW(),"")</f>
        <v/>
      </c>
    </row>
    <row r="3326" spans="22:26">
      <c r="V3326" s="260">
        <f t="shared" ca="1" si="59"/>
        <v>0</v>
      </c>
      <c r="W3326" s="348" t="str">
        <f>IF(板块成分!B3328="","",板块成分!B3328)</f>
        <v>600590.SH</v>
      </c>
      <c r="X3326" s="276" t="str">
        <f>[1]!S_Info_Name(W3326)</f>
        <v>泰豪科技</v>
      </c>
      <c r="Y3326" s="276" t="str">
        <f ca="1">IF($Y$3="申万一级行业",[1]!s_info_industry_sw_2021(W3326,公司分析!D$5,1),IF($Y$3="申万二级行业",[1]!s_info_industry_sw_2021(W3326,公司分析!D$5,2),IF($Y$3="申万三级行业",[1]!s_info_industry_sw_2021(W3326,公司分析!D$5,3),IF($Y$3="wind一级行业",[1]!s_info_industry_gics(W3326,1),IF($Y$3="wind二级行业",[1]!s_info_industry_gics(W3326,2),IF($Y$3="wind三级行业",[1]!s_info_industry_gics(W3326,3),IF($Y$3="wind四级行业",[1]!s_info_industry_gics(W3326,4),IF($Y$3="证监会门类行业",[1]!s_info_industry_csrc12_n(W3326,公司分析!D$5,1),""))))))))</f>
        <v>军工电子Ⅱ</v>
      </c>
      <c r="Z3326" s="302" t="str">
        <f ca="1">IF(Y3326=行业比较!$E$6,ROW(),"")</f>
        <v/>
      </c>
    </row>
    <row r="3327" spans="22:26">
      <c r="V3327" s="260">
        <f t="shared" ca="1" si="59"/>
        <v>0</v>
      </c>
      <c r="W3327" s="348" t="str">
        <f>IF(板块成分!B3329="","",板块成分!B3329)</f>
        <v>600592.SH</v>
      </c>
      <c r="X3327" s="276" t="str">
        <f>[1]!S_Info_Name(W3327)</f>
        <v>龙溪股份</v>
      </c>
      <c r="Y3327" s="276" t="str">
        <f ca="1">IF($Y$3="申万一级行业",[1]!s_info_industry_sw_2021(W3327,公司分析!D$5,1),IF($Y$3="申万二级行业",[1]!s_info_industry_sw_2021(W3327,公司分析!D$5,2),IF($Y$3="申万三级行业",[1]!s_info_industry_sw_2021(W3327,公司分析!D$5,3),IF($Y$3="wind一级行业",[1]!s_info_industry_gics(W3327,1),IF($Y$3="wind二级行业",[1]!s_info_industry_gics(W3327,2),IF($Y$3="wind三级行业",[1]!s_info_industry_gics(W3327,3),IF($Y$3="wind四级行业",[1]!s_info_industry_gics(W3327,4),IF($Y$3="证监会门类行业",[1]!s_info_industry_csrc12_n(W3327,公司分析!D$5,1),""))))))))</f>
        <v>通用设备</v>
      </c>
      <c r="Z3327" s="302" t="str">
        <f ca="1">IF(Y3327=行业比较!$E$6,ROW(),"")</f>
        <v/>
      </c>
    </row>
    <row r="3328" spans="22:26">
      <c r="V3328" s="260">
        <f t="shared" ca="1" si="59"/>
        <v>0</v>
      </c>
      <c r="W3328" s="348" t="str">
        <f>IF(板块成分!B3330="","",板块成分!B3330)</f>
        <v>600593.SH</v>
      </c>
      <c r="X3328" s="276" t="str">
        <f>[1]!S_Info_Name(W3328)</f>
        <v>大连圣亚</v>
      </c>
      <c r="Y3328" s="276" t="str">
        <f ca="1">IF($Y$3="申万一级行业",[1]!s_info_industry_sw_2021(W3328,公司分析!D$5,1),IF($Y$3="申万二级行业",[1]!s_info_industry_sw_2021(W3328,公司分析!D$5,2),IF($Y$3="申万三级行业",[1]!s_info_industry_sw_2021(W3328,公司分析!D$5,3),IF($Y$3="wind一级行业",[1]!s_info_industry_gics(W3328,1),IF($Y$3="wind二级行业",[1]!s_info_industry_gics(W3328,2),IF($Y$3="wind三级行业",[1]!s_info_industry_gics(W3328,3),IF($Y$3="wind四级行业",[1]!s_info_industry_gics(W3328,4),IF($Y$3="证监会门类行业",[1]!s_info_industry_csrc12_n(W3328,公司分析!D$5,1),""))))))))</f>
        <v>旅游及景区</v>
      </c>
      <c r="Z3328" s="302" t="str">
        <f ca="1">IF(Y3328=行业比较!$E$6,ROW(),"")</f>
        <v/>
      </c>
    </row>
    <row r="3329" spans="22:26">
      <c r="V3329" s="260">
        <f t="shared" ca="1" si="59"/>
        <v>0</v>
      </c>
      <c r="W3329" s="348" t="str">
        <f>IF(板块成分!B3331="","",板块成分!B3331)</f>
        <v>600594.SH</v>
      </c>
      <c r="X3329" s="276" t="str">
        <f>[1]!S_Info_Name(W3329)</f>
        <v>益佰制药</v>
      </c>
      <c r="Y3329" s="276" t="str">
        <f ca="1">IF($Y$3="申万一级行业",[1]!s_info_industry_sw_2021(W3329,公司分析!D$5,1),IF($Y$3="申万二级行业",[1]!s_info_industry_sw_2021(W3329,公司分析!D$5,2),IF($Y$3="申万三级行业",[1]!s_info_industry_sw_2021(W3329,公司分析!D$5,3),IF($Y$3="wind一级行业",[1]!s_info_industry_gics(W3329,1),IF($Y$3="wind二级行业",[1]!s_info_industry_gics(W3329,2),IF($Y$3="wind三级行业",[1]!s_info_industry_gics(W3329,3),IF($Y$3="wind四级行业",[1]!s_info_industry_gics(W3329,4),IF($Y$3="证监会门类行业",[1]!s_info_industry_csrc12_n(W3329,公司分析!D$5,1),""))))))))</f>
        <v>中药Ⅱ</v>
      </c>
      <c r="Z3329" s="302" t="str">
        <f ca="1">IF(Y3329=行业比较!$E$6,ROW(),"")</f>
        <v/>
      </c>
    </row>
    <row r="3330" spans="22:26">
      <c r="V3330" s="260">
        <f t="shared" ca="1" si="59"/>
        <v>38</v>
      </c>
      <c r="W3330" s="348" t="str">
        <f>IF(板块成分!B3332="","",板块成分!B3332)</f>
        <v>600595.SH</v>
      </c>
      <c r="X3330" s="276" t="str">
        <f>[1]!S_Info_Name(W3330)</f>
        <v>中孚实业</v>
      </c>
      <c r="Y3330" s="276" t="str">
        <f ca="1">IF($Y$3="申万一级行业",[1]!s_info_industry_sw_2021(W3330,公司分析!D$5,1),IF($Y$3="申万二级行业",[1]!s_info_industry_sw_2021(W3330,公司分析!D$5,2),IF($Y$3="申万三级行业",[1]!s_info_industry_sw_2021(W3330,公司分析!D$5,3),IF($Y$3="wind一级行业",[1]!s_info_industry_gics(W3330,1),IF($Y$3="wind二级行业",[1]!s_info_industry_gics(W3330,2),IF($Y$3="wind三级行业",[1]!s_info_industry_gics(W3330,3),IF($Y$3="wind四级行业",[1]!s_info_industry_gics(W3330,4),IF($Y$3="证监会门类行业",[1]!s_info_industry_csrc12_n(W3330,公司分析!D$5,1),""))))))))</f>
        <v>工业金属</v>
      </c>
      <c r="Z3330" s="302">
        <f ca="1">IF(Y3330=行业比较!$E$6,ROW(),"")</f>
        <v>3330</v>
      </c>
    </row>
    <row r="3331" spans="22:26">
      <c r="V3331" s="260">
        <f t="shared" ca="1" si="59"/>
        <v>0</v>
      </c>
      <c r="W3331" s="348" t="str">
        <f>IF(板块成分!B3333="","",板块成分!B3333)</f>
        <v>600596.SH</v>
      </c>
      <c r="X3331" s="276" t="str">
        <f>[1]!S_Info_Name(W3331)</f>
        <v>新安股份</v>
      </c>
      <c r="Y3331" s="276" t="str">
        <f ca="1">IF($Y$3="申万一级行业",[1]!s_info_industry_sw_2021(W3331,公司分析!D$5,1),IF($Y$3="申万二级行业",[1]!s_info_industry_sw_2021(W3331,公司分析!D$5,2),IF($Y$3="申万三级行业",[1]!s_info_industry_sw_2021(W3331,公司分析!D$5,3),IF($Y$3="wind一级行业",[1]!s_info_industry_gics(W3331,1),IF($Y$3="wind二级行业",[1]!s_info_industry_gics(W3331,2),IF($Y$3="wind三级行业",[1]!s_info_industry_gics(W3331,3),IF($Y$3="wind四级行业",[1]!s_info_industry_gics(W3331,4),IF($Y$3="证监会门类行业",[1]!s_info_industry_csrc12_n(W3331,公司分析!D$5,1),""))))))))</f>
        <v>农化制品</v>
      </c>
      <c r="Z3331" s="302" t="str">
        <f ca="1">IF(Y3331=行业比较!$E$6,ROW(),"")</f>
        <v/>
      </c>
    </row>
    <row r="3332" spans="22:26">
      <c r="V3332" s="260">
        <f t="shared" ca="1" si="59"/>
        <v>0</v>
      </c>
      <c r="W3332" s="348" t="str">
        <f>IF(板块成分!B3334="","",板块成分!B3334)</f>
        <v>600597.SH</v>
      </c>
      <c r="X3332" s="276" t="str">
        <f>[1]!S_Info_Name(W3332)</f>
        <v>光明乳业</v>
      </c>
      <c r="Y3332" s="276" t="str">
        <f ca="1">IF($Y$3="申万一级行业",[1]!s_info_industry_sw_2021(W3332,公司分析!D$5,1),IF($Y$3="申万二级行业",[1]!s_info_industry_sw_2021(W3332,公司分析!D$5,2),IF($Y$3="申万三级行业",[1]!s_info_industry_sw_2021(W3332,公司分析!D$5,3),IF($Y$3="wind一级行业",[1]!s_info_industry_gics(W3332,1),IF($Y$3="wind二级行业",[1]!s_info_industry_gics(W3332,2),IF($Y$3="wind三级行业",[1]!s_info_industry_gics(W3332,3),IF($Y$3="wind四级行业",[1]!s_info_industry_gics(W3332,4),IF($Y$3="证监会门类行业",[1]!s_info_industry_csrc12_n(W3332,公司分析!D$5,1),""))))))))</f>
        <v>饮料乳品</v>
      </c>
      <c r="Z3332" s="302" t="str">
        <f ca="1">IF(Y3332=行业比较!$E$6,ROW(),"")</f>
        <v/>
      </c>
    </row>
    <row r="3333" spans="22:26">
      <c r="V3333" s="260">
        <f t="shared" ref="V3333:V3396" ca="1" si="60">IF(Z3333="",0,RANK(Z3333,Z:Z,1))</f>
        <v>0</v>
      </c>
      <c r="W3333" s="348" t="str">
        <f>IF(板块成分!B3335="","",板块成分!B3335)</f>
        <v>600598.SH</v>
      </c>
      <c r="X3333" s="276" t="str">
        <f>[1]!S_Info_Name(W3333)</f>
        <v>北大荒</v>
      </c>
      <c r="Y3333" s="276" t="str">
        <f ca="1">IF($Y$3="申万一级行业",[1]!s_info_industry_sw_2021(W3333,公司分析!D$5,1),IF($Y$3="申万二级行业",[1]!s_info_industry_sw_2021(W3333,公司分析!D$5,2),IF($Y$3="申万三级行业",[1]!s_info_industry_sw_2021(W3333,公司分析!D$5,3),IF($Y$3="wind一级行业",[1]!s_info_industry_gics(W3333,1),IF($Y$3="wind二级行业",[1]!s_info_industry_gics(W3333,2),IF($Y$3="wind三级行业",[1]!s_info_industry_gics(W3333,3),IF($Y$3="wind四级行业",[1]!s_info_industry_gics(W3333,4),IF($Y$3="证监会门类行业",[1]!s_info_industry_csrc12_n(W3333,公司分析!D$5,1),""))))))))</f>
        <v>种植业</v>
      </c>
      <c r="Z3333" s="302" t="str">
        <f ca="1">IF(Y3333=行业比较!$E$6,ROW(),"")</f>
        <v/>
      </c>
    </row>
    <row r="3334" spans="22:26">
      <c r="V3334" s="260">
        <f t="shared" ca="1" si="60"/>
        <v>0</v>
      </c>
      <c r="W3334" s="348" t="str">
        <f>IF(板块成分!B3336="","",板块成分!B3336)</f>
        <v>600599.SH</v>
      </c>
      <c r="X3334" s="276" t="str">
        <f>[1]!S_Info_Name(W3334)</f>
        <v>*ST熊猫</v>
      </c>
      <c r="Y3334" s="276" t="str">
        <f ca="1">IF($Y$3="申万一级行业",[1]!s_info_industry_sw_2021(W3334,公司分析!D$5,1),IF($Y$3="申万二级行业",[1]!s_info_industry_sw_2021(W3334,公司分析!D$5,2),IF($Y$3="申万三级行业",[1]!s_info_industry_sw_2021(W3334,公司分析!D$5,3),IF($Y$3="wind一级行业",[1]!s_info_industry_gics(W3334,1),IF($Y$3="wind二级行业",[1]!s_info_industry_gics(W3334,2),IF($Y$3="wind三级行业",[1]!s_info_industry_gics(W3334,3),IF($Y$3="wind四级行业",[1]!s_info_industry_gics(W3334,4),IF($Y$3="证监会门类行业",[1]!s_info_industry_csrc12_n(W3334,公司分析!D$5,1),""))))))))</f>
        <v>多元金融</v>
      </c>
      <c r="Z3334" s="302" t="str">
        <f ca="1">IF(Y3334=行业比较!$E$6,ROW(),"")</f>
        <v/>
      </c>
    </row>
    <row r="3335" spans="22:26">
      <c r="V3335" s="260">
        <f t="shared" ca="1" si="60"/>
        <v>0</v>
      </c>
      <c r="W3335" s="348" t="str">
        <f>IF(板块成分!B3337="","",板块成分!B3337)</f>
        <v>600600.SH</v>
      </c>
      <c r="X3335" s="276" t="str">
        <f>[1]!S_Info_Name(W3335)</f>
        <v>青岛啤酒</v>
      </c>
      <c r="Y3335" s="276" t="str">
        <f ca="1">IF($Y$3="申万一级行业",[1]!s_info_industry_sw_2021(W3335,公司分析!D$5,1),IF($Y$3="申万二级行业",[1]!s_info_industry_sw_2021(W3335,公司分析!D$5,2),IF($Y$3="申万三级行业",[1]!s_info_industry_sw_2021(W3335,公司分析!D$5,3),IF($Y$3="wind一级行业",[1]!s_info_industry_gics(W3335,1),IF($Y$3="wind二级行业",[1]!s_info_industry_gics(W3335,2),IF($Y$3="wind三级行业",[1]!s_info_industry_gics(W3335,3),IF($Y$3="wind四级行业",[1]!s_info_industry_gics(W3335,4),IF($Y$3="证监会门类行业",[1]!s_info_industry_csrc12_n(W3335,公司分析!D$5,1),""))))))))</f>
        <v>非白酒</v>
      </c>
      <c r="Z3335" s="302" t="str">
        <f ca="1">IF(Y3335=行业比较!$E$6,ROW(),"")</f>
        <v/>
      </c>
    </row>
    <row r="3336" spans="22:26">
      <c r="V3336" s="260">
        <f t="shared" ca="1" si="60"/>
        <v>0</v>
      </c>
      <c r="W3336" s="348" t="str">
        <f>IF(板块成分!B3338="","",板块成分!B3338)</f>
        <v>600601.SH</v>
      </c>
      <c r="X3336" s="276" t="str">
        <f>[1]!S_Info_Name(W3336)</f>
        <v>方正科技</v>
      </c>
      <c r="Y3336" s="276" t="str">
        <f ca="1">IF($Y$3="申万一级行业",[1]!s_info_industry_sw_2021(W3336,公司分析!D$5,1),IF($Y$3="申万二级行业",[1]!s_info_industry_sw_2021(W3336,公司分析!D$5,2),IF($Y$3="申万三级行业",[1]!s_info_industry_sw_2021(W3336,公司分析!D$5,3),IF($Y$3="wind一级行业",[1]!s_info_industry_gics(W3336,1),IF($Y$3="wind二级行业",[1]!s_info_industry_gics(W3336,2),IF($Y$3="wind三级行业",[1]!s_info_industry_gics(W3336,3),IF($Y$3="wind四级行业",[1]!s_info_industry_gics(W3336,4),IF($Y$3="证监会门类行业",[1]!s_info_industry_csrc12_n(W3336,公司分析!D$5,1),""))))))))</f>
        <v>元件</v>
      </c>
      <c r="Z3336" s="302" t="str">
        <f ca="1">IF(Y3336=行业比较!$E$6,ROW(),"")</f>
        <v/>
      </c>
    </row>
    <row r="3337" spans="22:26">
      <c r="V3337" s="260">
        <f t="shared" ca="1" si="60"/>
        <v>0</v>
      </c>
      <c r="W3337" s="348" t="str">
        <f>IF(板块成分!B3339="","",板块成分!B3339)</f>
        <v>600602.SH</v>
      </c>
      <c r="X3337" s="276" t="str">
        <f>[1]!S_Info_Name(W3337)</f>
        <v>云赛智联</v>
      </c>
      <c r="Y3337" s="276" t="str">
        <f ca="1">IF($Y$3="申万一级行业",[1]!s_info_industry_sw_2021(W3337,公司分析!D$5,1),IF($Y$3="申万二级行业",[1]!s_info_industry_sw_2021(W3337,公司分析!D$5,2),IF($Y$3="申万三级行业",[1]!s_info_industry_sw_2021(W3337,公司分析!D$5,3),IF($Y$3="wind一级行业",[1]!s_info_industry_gics(W3337,1),IF($Y$3="wind二级行业",[1]!s_info_industry_gics(W3337,2),IF($Y$3="wind三级行业",[1]!s_info_industry_gics(W3337,3),IF($Y$3="wind四级行业",[1]!s_info_industry_gics(W3337,4),IF($Y$3="证监会门类行业",[1]!s_info_industry_csrc12_n(W3337,公司分析!D$5,1),""))))))))</f>
        <v>软件开发</v>
      </c>
      <c r="Z3337" s="302" t="str">
        <f ca="1">IF(Y3337=行业比较!$E$6,ROW(),"")</f>
        <v/>
      </c>
    </row>
    <row r="3338" spans="22:26">
      <c r="V3338" s="260">
        <f t="shared" ca="1" si="60"/>
        <v>0</v>
      </c>
      <c r="W3338" s="348" t="str">
        <f>IF(板块成分!B3340="","",板块成分!B3340)</f>
        <v>600603.SH</v>
      </c>
      <c r="X3338" s="276" t="str">
        <f>[1]!S_Info_Name(W3338)</f>
        <v>广汇物流</v>
      </c>
      <c r="Y3338" s="276" t="str">
        <f ca="1">IF($Y$3="申万一级行业",[1]!s_info_industry_sw_2021(W3338,公司分析!D$5,1),IF($Y$3="申万二级行业",[1]!s_info_industry_sw_2021(W3338,公司分析!D$5,2),IF($Y$3="申万三级行业",[1]!s_info_industry_sw_2021(W3338,公司分析!D$5,3),IF($Y$3="wind一级行业",[1]!s_info_industry_gics(W3338,1),IF($Y$3="wind二级行业",[1]!s_info_industry_gics(W3338,2),IF($Y$3="wind三级行业",[1]!s_info_industry_gics(W3338,3),IF($Y$3="wind四级行业",[1]!s_info_industry_gics(W3338,4),IF($Y$3="证监会门类行业",[1]!s_info_industry_csrc12_n(W3338,公司分析!D$5,1),""))))))))</f>
        <v>物流</v>
      </c>
      <c r="Z3338" s="302" t="str">
        <f ca="1">IF(Y3338=行业比较!$E$6,ROW(),"")</f>
        <v/>
      </c>
    </row>
    <row r="3339" spans="22:26">
      <c r="V3339" s="260">
        <f t="shared" ca="1" si="60"/>
        <v>0</v>
      </c>
      <c r="W3339" s="348" t="str">
        <f>IF(板块成分!B3341="","",板块成分!B3341)</f>
        <v>600604.SH</v>
      </c>
      <c r="X3339" s="276" t="str">
        <f>[1]!S_Info_Name(W3339)</f>
        <v>市北高新</v>
      </c>
      <c r="Y3339" s="276" t="str">
        <f ca="1">IF($Y$3="申万一级行业",[1]!s_info_industry_sw_2021(W3339,公司分析!D$5,1),IF($Y$3="申万二级行业",[1]!s_info_industry_sw_2021(W3339,公司分析!D$5,2),IF($Y$3="申万三级行业",[1]!s_info_industry_sw_2021(W3339,公司分析!D$5,3),IF($Y$3="wind一级行业",[1]!s_info_industry_gics(W3339,1),IF($Y$3="wind二级行业",[1]!s_info_industry_gics(W3339,2),IF($Y$3="wind三级行业",[1]!s_info_industry_gics(W3339,3),IF($Y$3="wind四级行业",[1]!s_info_industry_gics(W3339,4),IF($Y$3="证监会门类行业",[1]!s_info_industry_csrc12_n(W3339,公司分析!D$5,1),""))))))))</f>
        <v>房地产开发</v>
      </c>
      <c r="Z3339" s="302" t="str">
        <f ca="1">IF(Y3339=行业比较!$E$6,ROW(),"")</f>
        <v/>
      </c>
    </row>
    <row r="3340" spans="22:26">
      <c r="V3340" s="260">
        <f t="shared" ca="1" si="60"/>
        <v>0</v>
      </c>
      <c r="W3340" s="348" t="str">
        <f>IF(板块成分!B3342="","",板块成分!B3342)</f>
        <v>600605.SH</v>
      </c>
      <c r="X3340" s="276" t="str">
        <f>[1]!S_Info_Name(W3340)</f>
        <v>汇通能源</v>
      </c>
      <c r="Y3340" s="276" t="str">
        <f ca="1">IF($Y$3="申万一级行业",[1]!s_info_industry_sw_2021(W3340,公司分析!D$5,1),IF($Y$3="申万二级行业",[1]!s_info_industry_sw_2021(W3340,公司分析!D$5,2),IF($Y$3="申万三级行业",[1]!s_info_industry_sw_2021(W3340,公司分析!D$5,3),IF($Y$3="wind一级行业",[1]!s_info_industry_gics(W3340,1),IF($Y$3="wind二级行业",[1]!s_info_industry_gics(W3340,2),IF($Y$3="wind三级行业",[1]!s_info_industry_gics(W3340,3),IF($Y$3="wind四级行业",[1]!s_info_industry_gics(W3340,4),IF($Y$3="证监会门类行业",[1]!s_info_industry_csrc12_n(W3340,公司分析!D$5,1),""))))))))</f>
        <v>一般零售</v>
      </c>
      <c r="Z3340" s="302" t="str">
        <f ca="1">IF(Y3340=行业比较!$E$6,ROW(),"")</f>
        <v/>
      </c>
    </row>
    <row r="3341" spans="22:26">
      <c r="V3341" s="260">
        <f t="shared" ca="1" si="60"/>
        <v>0</v>
      </c>
      <c r="W3341" s="348" t="str">
        <f>IF(板块成分!B3343="","",板块成分!B3343)</f>
        <v>600606.SH</v>
      </c>
      <c r="X3341" s="276" t="str">
        <f>[1]!S_Info_Name(W3341)</f>
        <v>绿地控股</v>
      </c>
      <c r="Y3341" s="276" t="str">
        <f ca="1">IF($Y$3="申万一级行业",[1]!s_info_industry_sw_2021(W3341,公司分析!D$5,1),IF($Y$3="申万二级行业",[1]!s_info_industry_sw_2021(W3341,公司分析!D$5,2),IF($Y$3="申万三级行业",[1]!s_info_industry_sw_2021(W3341,公司分析!D$5,3),IF($Y$3="wind一级行业",[1]!s_info_industry_gics(W3341,1),IF($Y$3="wind二级行业",[1]!s_info_industry_gics(W3341,2),IF($Y$3="wind三级行业",[1]!s_info_industry_gics(W3341,3),IF($Y$3="wind四级行业",[1]!s_info_industry_gics(W3341,4),IF($Y$3="证监会门类行业",[1]!s_info_industry_csrc12_n(W3341,公司分析!D$5,1),""))))))))</f>
        <v>房地产开发</v>
      </c>
      <c r="Z3341" s="302" t="str">
        <f ca="1">IF(Y3341=行业比较!$E$6,ROW(),"")</f>
        <v/>
      </c>
    </row>
    <row r="3342" spans="22:26">
      <c r="V3342" s="260">
        <f t="shared" ca="1" si="60"/>
        <v>0</v>
      </c>
      <c r="W3342" s="348" t="str">
        <f>IF(板块成分!B3344="","",板块成分!B3344)</f>
        <v>600608.SH</v>
      </c>
      <c r="X3342" s="276" t="str">
        <f>[1]!S_Info_Name(W3342)</f>
        <v>*ST沪科</v>
      </c>
      <c r="Y3342" s="276" t="str">
        <f ca="1">IF($Y$3="申万一级行业",[1]!s_info_industry_sw_2021(W3342,公司分析!D$5,1),IF($Y$3="申万二级行业",[1]!s_info_industry_sw_2021(W3342,公司分析!D$5,2),IF($Y$3="申万三级行业",[1]!s_info_industry_sw_2021(W3342,公司分析!D$5,3),IF($Y$3="wind一级行业",[1]!s_info_industry_gics(W3342,1),IF($Y$3="wind二级行业",[1]!s_info_industry_gics(W3342,2),IF($Y$3="wind三级行业",[1]!s_info_industry_gics(W3342,3),IF($Y$3="wind四级行业",[1]!s_info_industry_gics(W3342,4),IF($Y$3="证监会门类行业",[1]!s_info_industry_csrc12_n(W3342,公司分析!D$5,1),""))))))))</f>
        <v>贸易Ⅱ</v>
      </c>
      <c r="Z3342" s="302" t="str">
        <f ca="1">IF(Y3342=行业比较!$E$6,ROW(),"")</f>
        <v/>
      </c>
    </row>
    <row r="3343" spans="22:26">
      <c r="V3343" s="260">
        <f t="shared" ca="1" si="60"/>
        <v>0</v>
      </c>
      <c r="W3343" s="348" t="str">
        <f>IF(板块成分!B3345="","",板块成分!B3345)</f>
        <v>600609.SH</v>
      </c>
      <c r="X3343" s="276" t="str">
        <f>[1]!S_Info_Name(W3343)</f>
        <v>金杯汽车</v>
      </c>
      <c r="Y3343" s="276" t="str">
        <f ca="1">IF($Y$3="申万一级行业",[1]!s_info_industry_sw_2021(W3343,公司分析!D$5,1),IF($Y$3="申万二级行业",[1]!s_info_industry_sw_2021(W3343,公司分析!D$5,2),IF($Y$3="申万三级行业",[1]!s_info_industry_sw_2021(W3343,公司分析!D$5,3),IF($Y$3="wind一级行业",[1]!s_info_industry_gics(W3343,1),IF($Y$3="wind二级行业",[1]!s_info_industry_gics(W3343,2),IF($Y$3="wind三级行业",[1]!s_info_industry_gics(W3343,3),IF($Y$3="wind四级行业",[1]!s_info_industry_gics(W3343,4),IF($Y$3="证监会门类行业",[1]!s_info_industry_csrc12_n(W3343,公司分析!D$5,1),""))))))))</f>
        <v>汽车零部件</v>
      </c>
      <c r="Z3343" s="302" t="str">
        <f ca="1">IF(Y3343=行业比较!$E$6,ROW(),"")</f>
        <v/>
      </c>
    </row>
    <row r="3344" spans="22:26">
      <c r="V3344" s="260">
        <f t="shared" ca="1" si="60"/>
        <v>0</v>
      </c>
      <c r="W3344" s="348" t="str">
        <f>IF(板块成分!B3346="","",板块成分!B3346)</f>
        <v>600610.SH</v>
      </c>
      <c r="X3344" s="276" t="str">
        <f>[1]!S_Info_Name(W3344)</f>
        <v>中毅达</v>
      </c>
      <c r="Y3344" s="276" t="str">
        <f ca="1">IF($Y$3="申万一级行业",[1]!s_info_industry_sw_2021(W3344,公司分析!D$5,1),IF($Y$3="申万二级行业",[1]!s_info_industry_sw_2021(W3344,公司分析!D$5,2),IF($Y$3="申万三级行业",[1]!s_info_industry_sw_2021(W3344,公司分析!D$5,3),IF($Y$3="wind一级行业",[1]!s_info_industry_gics(W3344,1),IF($Y$3="wind二级行业",[1]!s_info_industry_gics(W3344,2),IF($Y$3="wind三级行业",[1]!s_info_industry_gics(W3344,3),IF($Y$3="wind四级行业",[1]!s_info_industry_gics(W3344,4),IF($Y$3="证监会门类行业",[1]!s_info_industry_csrc12_n(W3344,公司分析!D$5,1),""))))))))</f>
        <v>化学原料</v>
      </c>
      <c r="Z3344" s="302" t="str">
        <f ca="1">IF(Y3344=行业比较!$E$6,ROW(),"")</f>
        <v/>
      </c>
    </row>
    <row r="3345" spans="22:26">
      <c r="V3345" s="260">
        <f t="shared" ca="1" si="60"/>
        <v>0</v>
      </c>
      <c r="W3345" s="348" t="str">
        <f>IF(板块成分!B3347="","",板块成分!B3347)</f>
        <v>600611.SH</v>
      </c>
      <c r="X3345" s="276" t="str">
        <f>[1]!S_Info_Name(W3345)</f>
        <v>大众交通</v>
      </c>
      <c r="Y3345" s="276" t="str">
        <f ca="1">IF($Y$3="申万一级行业",[1]!s_info_industry_sw_2021(W3345,公司分析!D$5,1),IF($Y$3="申万二级行业",[1]!s_info_industry_sw_2021(W3345,公司分析!D$5,2),IF($Y$3="申万三级行业",[1]!s_info_industry_sw_2021(W3345,公司分析!D$5,3),IF($Y$3="wind一级行业",[1]!s_info_industry_gics(W3345,1),IF($Y$3="wind二级行业",[1]!s_info_industry_gics(W3345,2),IF($Y$3="wind三级行业",[1]!s_info_industry_gics(W3345,3),IF($Y$3="wind四级行业",[1]!s_info_industry_gics(W3345,4),IF($Y$3="证监会门类行业",[1]!s_info_industry_csrc12_n(W3345,公司分析!D$5,1),""))))))))</f>
        <v>铁路公路</v>
      </c>
      <c r="Z3345" s="302" t="str">
        <f ca="1">IF(Y3345=行业比较!$E$6,ROW(),"")</f>
        <v/>
      </c>
    </row>
    <row r="3346" spans="22:26">
      <c r="V3346" s="260">
        <f t="shared" ca="1" si="60"/>
        <v>0</v>
      </c>
      <c r="W3346" s="348" t="str">
        <f>IF(板块成分!B3348="","",板块成分!B3348)</f>
        <v>600612.SH</v>
      </c>
      <c r="X3346" s="276" t="str">
        <f>[1]!S_Info_Name(W3346)</f>
        <v>老凤祥</v>
      </c>
      <c r="Y3346" s="276" t="str">
        <f ca="1">IF($Y$3="申万一级行业",[1]!s_info_industry_sw_2021(W3346,公司分析!D$5,1),IF($Y$3="申万二级行业",[1]!s_info_industry_sw_2021(W3346,公司分析!D$5,2),IF($Y$3="申万三级行业",[1]!s_info_industry_sw_2021(W3346,公司分析!D$5,3),IF($Y$3="wind一级行业",[1]!s_info_industry_gics(W3346,1),IF($Y$3="wind二级行业",[1]!s_info_industry_gics(W3346,2),IF($Y$3="wind三级行业",[1]!s_info_industry_gics(W3346,3),IF($Y$3="wind四级行业",[1]!s_info_industry_gics(W3346,4),IF($Y$3="证监会门类行业",[1]!s_info_industry_csrc12_n(W3346,公司分析!D$5,1),""))))))))</f>
        <v>饰品</v>
      </c>
      <c r="Z3346" s="302" t="str">
        <f ca="1">IF(Y3346=行业比较!$E$6,ROW(),"")</f>
        <v/>
      </c>
    </row>
    <row r="3347" spans="22:26">
      <c r="V3347" s="260">
        <f t="shared" ca="1" si="60"/>
        <v>0</v>
      </c>
      <c r="W3347" s="348" t="str">
        <f>IF(板块成分!B3349="","",板块成分!B3349)</f>
        <v>600613.SH</v>
      </c>
      <c r="X3347" s="276" t="str">
        <f>[1]!S_Info_Name(W3347)</f>
        <v>神奇制药</v>
      </c>
      <c r="Y3347" s="276" t="str">
        <f ca="1">IF($Y$3="申万一级行业",[1]!s_info_industry_sw_2021(W3347,公司分析!D$5,1),IF($Y$3="申万二级行业",[1]!s_info_industry_sw_2021(W3347,公司分析!D$5,2),IF($Y$3="申万三级行业",[1]!s_info_industry_sw_2021(W3347,公司分析!D$5,3),IF($Y$3="wind一级行业",[1]!s_info_industry_gics(W3347,1),IF($Y$3="wind二级行业",[1]!s_info_industry_gics(W3347,2),IF($Y$3="wind三级行业",[1]!s_info_industry_gics(W3347,3),IF($Y$3="wind四级行业",[1]!s_info_industry_gics(W3347,4),IF($Y$3="证监会门类行业",[1]!s_info_industry_csrc12_n(W3347,公司分析!D$5,1),""))))))))</f>
        <v>化学制药</v>
      </c>
      <c r="Z3347" s="302" t="str">
        <f ca="1">IF(Y3347=行业比较!$E$6,ROW(),"")</f>
        <v/>
      </c>
    </row>
    <row r="3348" spans="22:26">
      <c r="V3348" s="260">
        <f t="shared" ca="1" si="60"/>
        <v>39</v>
      </c>
      <c r="W3348" s="348" t="str">
        <f>IF(板块成分!B3350="","",板块成分!B3350)</f>
        <v>600615.SH</v>
      </c>
      <c r="X3348" s="276" t="str">
        <f>[1]!S_Info_Name(W3348)</f>
        <v>鑫源智造</v>
      </c>
      <c r="Y3348" s="276" t="str">
        <f ca="1">IF($Y$3="申万一级行业",[1]!s_info_industry_sw_2021(W3348,公司分析!D$5,1),IF($Y$3="申万二级行业",[1]!s_info_industry_sw_2021(W3348,公司分析!D$5,2),IF($Y$3="申万三级行业",[1]!s_info_industry_sw_2021(W3348,公司分析!D$5,3),IF($Y$3="wind一级行业",[1]!s_info_industry_gics(W3348,1),IF($Y$3="wind二级行业",[1]!s_info_industry_gics(W3348,2),IF($Y$3="wind三级行业",[1]!s_info_industry_gics(W3348,3),IF($Y$3="wind四级行业",[1]!s_info_industry_gics(W3348,4),IF($Y$3="证监会门类行业",[1]!s_info_industry_csrc12_n(W3348,公司分析!D$5,1),""))))))))</f>
        <v>工业金属</v>
      </c>
      <c r="Z3348" s="302">
        <f ca="1">IF(Y3348=行业比较!$E$6,ROW(),"")</f>
        <v>3348</v>
      </c>
    </row>
    <row r="3349" spans="22:26">
      <c r="V3349" s="260">
        <f t="shared" ca="1" si="60"/>
        <v>0</v>
      </c>
      <c r="W3349" s="348" t="str">
        <f>IF(板块成分!B3351="","",板块成分!B3351)</f>
        <v>600616.SH</v>
      </c>
      <c r="X3349" s="276" t="str">
        <f>[1]!S_Info_Name(W3349)</f>
        <v>金枫酒业</v>
      </c>
      <c r="Y3349" s="276" t="str">
        <f ca="1">IF($Y$3="申万一级行业",[1]!s_info_industry_sw_2021(W3349,公司分析!D$5,1),IF($Y$3="申万二级行业",[1]!s_info_industry_sw_2021(W3349,公司分析!D$5,2),IF($Y$3="申万三级行业",[1]!s_info_industry_sw_2021(W3349,公司分析!D$5,3),IF($Y$3="wind一级行业",[1]!s_info_industry_gics(W3349,1),IF($Y$3="wind二级行业",[1]!s_info_industry_gics(W3349,2),IF($Y$3="wind三级行业",[1]!s_info_industry_gics(W3349,3),IF($Y$3="wind四级行业",[1]!s_info_industry_gics(W3349,4),IF($Y$3="证监会门类行业",[1]!s_info_industry_csrc12_n(W3349,公司分析!D$5,1),""))))))))</f>
        <v>非白酒</v>
      </c>
      <c r="Z3349" s="302" t="str">
        <f ca="1">IF(Y3349=行业比较!$E$6,ROW(),"")</f>
        <v/>
      </c>
    </row>
    <row r="3350" spans="22:26">
      <c r="V3350" s="260">
        <f t="shared" ca="1" si="60"/>
        <v>0</v>
      </c>
      <c r="W3350" s="348" t="str">
        <f>IF(板块成分!B3352="","",板块成分!B3352)</f>
        <v>600617.SH</v>
      </c>
      <c r="X3350" s="276" t="str">
        <f>[1]!S_Info_Name(W3350)</f>
        <v>国新能源</v>
      </c>
      <c r="Y3350" s="276" t="str">
        <f ca="1">IF($Y$3="申万一级行业",[1]!s_info_industry_sw_2021(W3350,公司分析!D$5,1),IF($Y$3="申万二级行业",[1]!s_info_industry_sw_2021(W3350,公司分析!D$5,2),IF($Y$3="申万三级行业",[1]!s_info_industry_sw_2021(W3350,公司分析!D$5,3),IF($Y$3="wind一级行业",[1]!s_info_industry_gics(W3350,1),IF($Y$3="wind二级行业",[1]!s_info_industry_gics(W3350,2),IF($Y$3="wind三级行业",[1]!s_info_industry_gics(W3350,3),IF($Y$3="wind四级行业",[1]!s_info_industry_gics(W3350,4),IF($Y$3="证监会门类行业",[1]!s_info_industry_csrc12_n(W3350,公司分析!D$5,1),""))))))))</f>
        <v>燃气Ⅱ</v>
      </c>
      <c r="Z3350" s="302" t="str">
        <f ca="1">IF(Y3350=行业比较!$E$6,ROW(),"")</f>
        <v/>
      </c>
    </row>
    <row r="3351" spans="22:26">
      <c r="V3351" s="260">
        <f t="shared" ca="1" si="60"/>
        <v>0</v>
      </c>
      <c r="W3351" s="348" t="str">
        <f>IF(板块成分!B3353="","",板块成分!B3353)</f>
        <v>600618.SH</v>
      </c>
      <c r="X3351" s="276" t="str">
        <f>[1]!S_Info_Name(W3351)</f>
        <v>氯碱化工</v>
      </c>
      <c r="Y3351" s="276" t="str">
        <f ca="1">IF($Y$3="申万一级行业",[1]!s_info_industry_sw_2021(W3351,公司分析!D$5,1),IF($Y$3="申万二级行业",[1]!s_info_industry_sw_2021(W3351,公司分析!D$5,2),IF($Y$3="申万三级行业",[1]!s_info_industry_sw_2021(W3351,公司分析!D$5,3),IF($Y$3="wind一级行业",[1]!s_info_industry_gics(W3351,1),IF($Y$3="wind二级行业",[1]!s_info_industry_gics(W3351,2),IF($Y$3="wind三级行业",[1]!s_info_industry_gics(W3351,3),IF($Y$3="wind四级行业",[1]!s_info_industry_gics(W3351,4),IF($Y$3="证监会门类行业",[1]!s_info_industry_csrc12_n(W3351,公司分析!D$5,1),""))))))))</f>
        <v>化学原料</v>
      </c>
      <c r="Z3351" s="302" t="str">
        <f ca="1">IF(Y3351=行业比较!$E$6,ROW(),"")</f>
        <v/>
      </c>
    </row>
    <row r="3352" spans="22:26">
      <c r="V3352" s="260">
        <f t="shared" ca="1" si="60"/>
        <v>0</v>
      </c>
      <c r="W3352" s="348" t="str">
        <f>IF(板块成分!B3354="","",板块成分!B3354)</f>
        <v>600619.SH</v>
      </c>
      <c r="X3352" s="276" t="str">
        <f>[1]!S_Info_Name(W3352)</f>
        <v>海立股份</v>
      </c>
      <c r="Y3352" s="276" t="str">
        <f ca="1">IF($Y$3="申万一级行业",[1]!s_info_industry_sw_2021(W3352,公司分析!D$5,1),IF($Y$3="申万二级行业",[1]!s_info_industry_sw_2021(W3352,公司分析!D$5,2),IF($Y$3="申万三级行业",[1]!s_info_industry_sw_2021(W3352,公司分析!D$5,3),IF($Y$3="wind一级行业",[1]!s_info_industry_gics(W3352,1),IF($Y$3="wind二级行业",[1]!s_info_industry_gics(W3352,2),IF($Y$3="wind三级行业",[1]!s_info_industry_gics(W3352,3),IF($Y$3="wind四级行业",[1]!s_info_industry_gics(W3352,4),IF($Y$3="证监会门类行业",[1]!s_info_industry_csrc12_n(W3352,公司分析!D$5,1),""))))))))</f>
        <v>家电零部件Ⅱ</v>
      </c>
      <c r="Z3352" s="302" t="str">
        <f ca="1">IF(Y3352=行业比较!$E$6,ROW(),"")</f>
        <v/>
      </c>
    </row>
    <row r="3353" spans="22:26">
      <c r="V3353" s="260">
        <f t="shared" ca="1" si="60"/>
        <v>0</v>
      </c>
      <c r="W3353" s="348" t="str">
        <f>IF(板块成分!B3355="","",板块成分!B3355)</f>
        <v>600620.SH</v>
      </c>
      <c r="X3353" s="276" t="str">
        <f>[1]!S_Info_Name(W3353)</f>
        <v>天宸股份</v>
      </c>
      <c r="Y3353" s="276" t="str">
        <f ca="1">IF($Y$3="申万一级行业",[1]!s_info_industry_sw_2021(W3353,公司分析!D$5,1),IF($Y$3="申万二级行业",[1]!s_info_industry_sw_2021(W3353,公司分析!D$5,2),IF($Y$3="申万三级行业",[1]!s_info_industry_sw_2021(W3353,公司分析!D$5,3),IF($Y$3="wind一级行业",[1]!s_info_industry_gics(W3353,1),IF($Y$3="wind二级行业",[1]!s_info_industry_gics(W3353,2),IF($Y$3="wind三级行业",[1]!s_info_industry_gics(W3353,3),IF($Y$3="wind四级行业",[1]!s_info_industry_gics(W3353,4),IF($Y$3="证监会门类行业",[1]!s_info_industry_csrc12_n(W3353,公司分析!D$5,1),""))))))))</f>
        <v>综合Ⅱ</v>
      </c>
      <c r="Z3353" s="302" t="str">
        <f ca="1">IF(Y3353=行业比较!$E$6,ROW(),"")</f>
        <v/>
      </c>
    </row>
    <row r="3354" spans="22:26">
      <c r="V3354" s="260">
        <f t="shared" ca="1" si="60"/>
        <v>0</v>
      </c>
      <c r="W3354" s="348" t="str">
        <f>IF(板块成分!B3356="","",板块成分!B3356)</f>
        <v>600621.SH</v>
      </c>
      <c r="X3354" s="276" t="str">
        <f>[1]!S_Info_Name(W3354)</f>
        <v>华鑫股份</v>
      </c>
      <c r="Y3354" s="276" t="str">
        <f ca="1">IF($Y$3="申万一级行业",[1]!s_info_industry_sw_2021(W3354,公司分析!D$5,1),IF($Y$3="申万二级行业",[1]!s_info_industry_sw_2021(W3354,公司分析!D$5,2),IF($Y$3="申万三级行业",[1]!s_info_industry_sw_2021(W3354,公司分析!D$5,3),IF($Y$3="wind一级行业",[1]!s_info_industry_gics(W3354,1),IF($Y$3="wind二级行业",[1]!s_info_industry_gics(W3354,2),IF($Y$3="wind三级行业",[1]!s_info_industry_gics(W3354,3),IF($Y$3="wind四级行业",[1]!s_info_industry_gics(W3354,4),IF($Y$3="证监会门类行业",[1]!s_info_industry_csrc12_n(W3354,公司分析!D$5,1),""))))))))</f>
        <v>证券Ⅱ</v>
      </c>
      <c r="Z3354" s="302" t="str">
        <f ca="1">IF(Y3354=行业比较!$E$6,ROW(),"")</f>
        <v/>
      </c>
    </row>
    <row r="3355" spans="22:26">
      <c r="V3355" s="260">
        <f t="shared" ca="1" si="60"/>
        <v>0</v>
      </c>
      <c r="W3355" s="348" t="str">
        <f>IF(板块成分!B3357="","",板块成分!B3357)</f>
        <v>600622.SH</v>
      </c>
      <c r="X3355" s="276" t="str">
        <f>[1]!S_Info_Name(W3355)</f>
        <v>光大嘉宝</v>
      </c>
      <c r="Y3355" s="276" t="str">
        <f ca="1">IF($Y$3="申万一级行业",[1]!s_info_industry_sw_2021(W3355,公司分析!D$5,1),IF($Y$3="申万二级行业",[1]!s_info_industry_sw_2021(W3355,公司分析!D$5,2),IF($Y$3="申万三级行业",[1]!s_info_industry_sw_2021(W3355,公司分析!D$5,3),IF($Y$3="wind一级行业",[1]!s_info_industry_gics(W3355,1),IF($Y$3="wind二级行业",[1]!s_info_industry_gics(W3355,2),IF($Y$3="wind三级行业",[1]!s_info_industry_gics(W3355,3),IF($Y$3="wind四级行业",[1]!s_info_industry_gics(W3355,4),IF($Y$3="证监会门类行业",[1]!s_info_industry_csrc12_n(W3355,公司分析!D$5,1),""))))))))</f>
        <v>房地产开发</v>
      </c>
      <c r="Z3355" s="302" t="str">
        <f ca="1">IF(Y3355=行业比较!$E$6,ROW(),"")</f>
        <v/>
      </c>
    </row>
    <row r="3356" spans="22:26">
      <c r="V3356" s="260">
        <f t="shared" ca="1" si="60"/>
        <v>0</v>
      </c>
      <c r="W3356" s="348" t="str">
        <f>IF(板块成分!B3358="","",板块成分!B3358)</f>
        <v>600623.SH</v>
      </c>
      <c r="X3356" s="276" t="str">
        <f>[1]!S_Info_Name(W3356)</f>
        <v>华谊集团</v>
      </c>
      <c r="Y3356" s="276" t="str">
        <f ca="1">IF($Y$3="申万一级行业",[1]!s_info_industry_sw_2021(W3356,公司分析!D$5,1),IF($Y$3="申万二级行业",[1]!s_info_industry_sw_2021(W3356,公司分析!D$5,2),IF($Y$3="申万三级行业",[1]!s_info_industry_sw_2021(W3356,公司分析!D$5,3),IF($Y$3="wind一级行业",[1]!s_info_industry_gics(W3356,1),IF($Y$3="wind二级行业",[1]!s_info_industry_gics(W3356,2),IF($Y$3="wind三级行业",[1]!s_info_industry_gics(W3356,3),IF($Y$3="wind四级行业",[1]!s_info_industry_gics(W3356,4),IF($Y$3="证监会门类行业",[1]!s_info_industry_csrc12_n(W3356,公司分析!D$5,1),""))))))))</f>
        <v>化学原料</v>
      </c>
      <c r="Z3356" s="302" t="str">
        <f ca="1">IF(Y3356=行业比较!$E$6,ROW(),"")</f>
        <v/>
      </c>
    </row>
    <row r="3357" spans="22:26">
      <c r="V3357" s="260">
        <f t="shared" ca="1" si="60"/>
        <v>0</v>
      </c>
      <c r="W3357" s="348" t="str">
        <f>IF(板块成分!B3359="","",板块成分!B3359)</f>
        <v>600624.SH</v>
      </c>
      <c r="X3357" s="276" t="str">
        <f>[1]!S_Info_Name(W3357)</f>
        <v>ST复华</v>
      </c>
      <c r="Y3357" s="276" t="str">
        <f ca="1">IF($Y$3="申万一级行业",[1]!s_info_industry_sw_2021(W3357,公司分析!D$5,1),IF($Y$3="申万二级行业",[1]!s_info_industry_sw_2021(W3357,公司分析!D$5,2),IF($Y$3="申万三级行业",[1]!s_info_industry_sw_2021(W3357,公司分析!D$5,3),IF($Y$3="wind一级行业",[1]!s_info_industry_gics(W3357,1),IF($Y$3="wind二级行业",[1]!s_info_industry_gics(W3357,2),IF($Y$3="wind三级行业",[1]!s_info_industry_gics(W3357,3),IF($Y$3="wind四级行业",[1]!s_info_industry_gics(W3357,4),IF($Y$3="证监会门类行业",[1]!s_info_industry_csrc12_n(W3357,公司分析!D$5,1),""))))))))</f>
        <v>化学制药</v>
      </c>
      <c r="Z3357" s="302" t="str">
        <f ca="1">IF(Y3357=行业比较!$E$6,ROW(),"")</f>
        <v/>
      </c>
    </row>
    <row r="3358" spans="22:26">
      <c r="V3358" s="260">
        <f t="shared" ca="1" si="60"/>
        <v>0</v>
      </c>
      <c r="W3358" s="348" t="str">
        <f>IF(板块成分!B3360="","",板块成分!B3360)</f>
        <v>600626.SH</v>
      </c>
      <c r="X3358" s="276" t="str">
        <f>[1]!S_Info_Name(W3358)</f>
        <v>申达股份</v>
      </c>
      <c r="Y3358" s="276" t="str">
        <f ca="1">IF($Y$3="申万一级行业",[1]!s_info_industry_sw_2021(W3358,公司分析!D$5,1),IF($Y$3="申万二级行业",[1]!s_info_industry_sw_2021(W3358,公司分析!D$5,2),IF($Y$3="申万三级行业",[1]!s_info_industry_sw_2021(W3358,公司分析!D$5,3),IF($Y$3="wind一级行业",[1]!s_info_industry_gics(W3358,1),IF($Y$3="wind二级行业",[1]!s_info_industry_gics(W3358,2),IF($Y$3="wind三级行业",[1]!s_info_industry_gics(W3358,3),IF($Y$3="wind四级行业",[1]!s_info_industry_gics(W3358,4),IF($Y$3="证监会门类行业",[1]!s_info_industry_csrc12_n(W3358,公司分析!D$5,1),""))))))))</f>
        <v>汽车零部件</v>
      </c>
      <c r="Z3358" s="302" t="str">
        <f ca="1">IF(Y3358=行业比较!$E$6,ROW(),"")</f>
        <v/>
      </c>
    </row>
    <row r="3359" spans="22:26">
      <c r="V3359" s="260">
        <f t="shared" ca="1" si="60"/>
        <v>0</v>
      </c>
      <c r="W3359" s="348" t="str">
        <f>IF(板块成分!B3361="","",板块成分!B3361)</f>
        <v>600628.SH</v>
      </c>
      <c r="X3359" s="276" t="str">
        <f>[1]!S_Info_Name(W3359)</f>
        <v>新世界</v>
      </c>
      <c r="Y3359" s="276" t="str">
        <f ca="1">IF($Y$3="申万一级行业",[1]!s_info_industry_sw_2021(W3359,公司分析!D$5,1),IF($Y$3="申万二级行业",[1]!s_info_industry_sw_2021(W3359,公司分析!D$5,2),IF($Y$3="申万三级行业",[1]!s_info_industry_sw_2021(W3359,公司分析!D$5,3),IF($Y$3="wind一级行业",[1]!s_info_industry_gics(W3359,1),IF($Y$3="wind二级行业",[1]!s_info_industry_gics(W3359,2),IF($Y$3="wind三级行业",[1]!s_info_industry_gics(W3359,3),IF($Y$3="wind四级行业",[1]!s_info_industry_gics(W3359,4),IF($Y$3="证监会门类行业",[1]!s_info_industry_csrc12_n(W3359,公司分析!D$5,1),""))))))))</f>
        <v>一般零售</v>
      </c>
      <c r="Z3359" s="302" t="str">
        <f ca="1">IF(Y3359=行业比较!$E$6,ROW(),"")</f>
        <v/>
      </c>
    </row>
    <row r="3360" spans="22:26">
      <c r="V3360" s="260">
        <f t="shared" ca="1" si="60"/>
        <v>0</v>
      </c>
      <c r="W3360" s="348" t="str">
        <f>IF(板块成分!B3362="","",板块成分!B3362)</f>
        <v>600629.SH</v>
      </c>
      <c r="X3360" s="276" t="str">
        <f>[1]!S_Info_Name(W3360)</f>
        <v>华建集团</v>
      </c>
      <c r="Y3360" s="276" t="str">
        <f ca="1">IF($Y$3="申万一级行业",[1]!s_info_industry_sw_2021(W3360,公司分析!D$5,1),IF($Y$3="申万二级行业",[1]!s_info_industry_sw_2021(W3360,公司分析!D$5,2),IF($Y$3="申万三级行业",[1]!s_info_industry_sw_2021(W3360,公司分析!D$5,3),IF($Y$3="wind一级行业",[1]!s_info_industry_gics(W3360,1),IF($Y$3="wind二级行业",[1]!s_info_industry_gics(W3360,2),IF($Y$3="wind三级行业",[1]!s_info_industry_gics(W3360,3),IF($Y$3="wind四级行业",[1]!s_info_industry_gics(W3360,4),IF($Y$3="证监会门类行业",[1]!s_info_industry_csrc12_n(W3360,公司分析!D$5,1),""))))))))</f>
        <v>工程咨询服务Ⅱ</v>
      </c>
      <c r="Z3360" s="302" t="str">
        <f ca="1">IF(Y3360=行业比较!$E$6,ROW(),"")</f>
        <v/>
      </c>
    </row>
    <row r="3361" spans="22:26">
      <c r="V3361" s="260">
        <f t="shared" ca="1" si="60"/>
        <v>0</v>
      </c>
      <c r="W3361" s="348" t="str">
        <f>IF(板块成分!B3363="","",板块成分!B3363)</f>
        <v>600630.SH</v>
      </c>
      <c r="X3361" s="276" t="str">
        <f>[1]!S_Info_Name(W3361)</f>
        <v>龙头股份</v>
      </c>
      <c r="Y3361" s="276" t="str">
        <f ca="1">IF($Y$3="申万一级行业",[1]!s_info_industry_sw_2021(W3361,公司分析!D$5,1),IF($Y$3="申万二级行业",[1]!s_info_industry_sw_2021(W3361,公司分析!D$5,2),IF($Y$3="申万三级行业",[1]!s_info_industry_sw_2021(W3361,公司分析!D$5,3),IF($Y$3="wind一级行业",[1]!s_info_industry_gics(W3361,1),IF($Y$3="wind二级行业",[1]!s_info_industry_gics(W3361,2),IF($Y$3="wind三级行业",[1]!s_info_industry_gics(W3361,3),IF($Y$3="wind四级行业",[1]!s_info_industry_gics(W3361,4),IF($Y$3="证监会门类行业",[1]!s_info_industry_csrc12_n(W3361,公司分析!D$5,1),""))))))))</f>
        <v>服装家纺</v>
      </c>
      <c r="Z3361" s="302" t="str">
        <f ca="1">IF(Y3361=行业比较!$E$6,ROW(),"")</f>
        <v/>
      </c>
    </row>
    <row r="3362" spans="22:26">
      <c r="V3362" s="260">
        <f t="shared" ca="1" si="60"/>
        <v>0</v>
      </c>
      <c r="W3362" s="348" t="str">
        <f>IF(板块成分!B3364="","",板块成分!B3364)</f>
        <v>600633.SH</v>
      </c>
      <c r="X3362" s="276" t="str">
        <f>[1]!S_Info_Name(W3362)</f>
        <v>浙数文化</v>
      </c>
      <c r="Y3362" s="276" t="str">
        <f ca="1">IF($Y$3="申万一级行业",[1]!s_info_industry_sw_2021(W3362,公司分析!D$5,1),IF($Y$3="申万二级行业",[1]!s_info_industry_sw_2021(W3362,公司分析!D$5,2),IF($Y$3="申万三级行业",[1]!s_info_industry_sw_2021(W3362,公司分析!D$5,3),IF($Y$3="wind一级行业",[1]!s_info_industry_gics(W3362,1),IF($Y$3="wind二级行业",[1]!s_info_industry_gics(W3362,2),IF($Y$3="wind三级行业",[1]!s_info_industry_gics(W3362,3),IF($Y$3="wind四级行业",[1]!s_info_industry_gics(W3362,4),IF($Y$3="证监会门类行业",[1]!s_info_industry_csrc12_n(W3362,公司分析!D$5,1),""))))))))</f>
        <v>游戏Ⅱ</v>
      </c>
      <c r="Z3362" s="302" t="str">
        <f ca="1">IF(Y3362=行业比较!$E$6,ROW(),"")</f>
        <v/>
      </c>
    </row>
    <row r="3363" spans="22:26">
      <c r="V3363" s="260">
        <f t="shared" ca="1" si="60"/>
        <v>0</v>
      </c>
      <c r="W3363" s="348" t="str">
        <f>IF(板块成分!B3365="","",板块成分!B3365)</f>
        <v>600635.SH</v>
      </c>
      <c r="X3363" s="276" t="str">
        <f>[1]!S_Info_Name(W3363)</f>
        <v>大众公用</v>
      </c>
      <c r="Y3363" s="276" t="str">
        <f ca="1">IF($Y$3="申万一级行业",[1]!s_info_industry_sw_2021(W3363,公司分析!D$5,1),IF($Y$3="申万二级行业",[1]!s_info_industry_sw_2021(W3363,公司分析!D$5,2),IF($Y$3="申万三级行业",[1]!s_info_industry_sw_2021(W3363,公司分析!D$5,3),IF($Y$3="wind一级行业",[1]!s_info_industry_gics(W3363,1),IF($Y$3="wind二级行业",[1]!s_info_industry_gics(W3363,2),IF($Y$3="wind三级行业",[1]!s_info_industry_gics(W3363,3),IF($Y$3="wind四级行业",[1]!s_info_industry_gics(W3363,4),IF($Y$3="证监会门类行业",[1]!s_info_industry_csrc12_n(W3363,公司分析!D$5,1),""))))))))</f>
        <v>燃气Ⅱ</v>
      </c>
      <c r="Z3363" s="302" t="str">
        <f ca="1">IF(Y3363=行业比较!$E$6,ROW(),"")</f>
        <v/>
      </c>
    </row>
    <row r="3364" spans="22:26">
      <c r="V3364" s="260">
        <f t="shared" ca="1" si="60"/>
        <v>0</v>
      </c>
      <c r="W3364" s="348" t="str">
        <f>IF(板块成分!B3366="","",板块成分!B3366)</f>
        <v>600636.SH</v>
      </c>
      <c r="X3364" s="276" t="str">
        <f>[1]!S_Info_Name(W3364)</f>
        <v>*ST国化</v>
      </c>
      <c r="Y3364" s="276" t="str">
        <f ca="1">IF($Y$3="申万一级行业",[1]!s_info_industry_sw_2021(W3364,公司分析!D$5,1),IF($Y$3="申万二级行业",[1]!s_info_industry_sw_2021(W3364,公司分析!D$5,2),IF($Y$3="申万三级行业",[1]!s_info_industry_sw_2021(W3364,公司分析!D$5,3),IF($Y$3="wind一级行业",[1]!s_info_industry_gics(W3364,1),IF($Y$3="wind二级行业",[1]!s_info_industry_gics(W3364,2),IF($Y$3="wind三级行业",[1]!s_info_industry_gics(W3364,3),IF($Y$3="wind四级行业",[1]!s_info_industry_gics(W3364,4),IF($Y$3="证监会门类行业",[1]!s_info_industry_csrc12_n(W3364,公司分析!D$5,1),""))))))))</f>
        <v>教育</v>
      </c>
      <c r="Z3364" s="302" t="str">
        <f ca="1">IF(Y3364=行业比较!$E$6,ROW(),"")</f>
        <v/>
      </c>
    </row>
    <row r="3365" spans="22:26">
      <c r="V3365" s="260">
        <f t="shared" ca="1" si="60"/>
        <v>0</v>
      </c>
      <c r="W3365" s="348" t="str">
        <f>IF(板块成分!B3367="","",板块成分!B3367)</f>
        <v>600637.SH</v>
      </c>
      <c r="X3365" s="276" t="str">
        <f>[1]!S_Info_Name(W3365)</f>
        <v>东方明珠</v>
      </c>
      <c r="Y3365" s="276" t="str">
        <f ca="1">IF($Y$3="申万一级行业",[1]!s_info_industry_sw_2021(W3365,公司分析!D$5,1),IF($Y$3="申万二级行业",[1]!s_info_industry_sw_2021(W3365,公司分析!D$5,2),IF($Y$3="申万三级行业",[1]!s_info_industry_sw_2021(W3365,公司分析!D$5,3),IF($Y$3="wind一级行业",[1]!s_info_industry_gics(W3365,1),IF($Y$3="wind二级行业",[1]!s_info_industry_gics(W3365,2),IF($Y$3="wind三级行业",[1]!s_info_industry_gics(W3365,3),IF($Y$3="wind四级行业",[1]!s_info_industry_gics(W3365,4),IF($Y$3="证监会门类行业",[1]!s_info_industry_csrc12_n(W3365,公司分析!D$5,1),""))))))))</f>
        <v>电视广播Ⅱ</v>
      </c>
      <c r="Z3365" s="302" t="str">
        <f ca="1">IF(Y3365=行业比较!$E$6,ROW(),"")</f>
        <v/>
      </c>
    </row>
    <row r="3366" spans="22:26">
      <c r="V3366" s="260">
        <f t="shared" ca="1" si="60"/>
        <v>0</v>
      </c>
      <c r="W3366" s="348" t="str">
        <f>IF(板块成分!B3368="","",板块成分!B3368)</f>
        <v>600638.SH</v>
      </c>
      <c r="X3366" s="276" t="str">
        <f>[1]!S_Info_Name(W3366)</f>
        <v>新黄浦</v>
      </c>
      <c r="Y3366" s="276" t="str">
        <f ca="1">IF($Y$3="申万一级行业",[1]!s_info_industry_sw_2021(W3366,公司分析!D$5,1),IF($Y$3="申万二级行业",[1]!s_info_industry_sw_2021(W3366,公司分析!D$5,2),IF($Y$3="申万三级行业",[1]!s_info_industry_sw_2021(W3366,公司分析!D$5,3),IF($Y$3="wind一级行业",[1]!s_info_industry_gics(W3366,1),IF($Y$3="wind二级行业",[1]!s_info_industry_gics(W3366,2),IF($Y$3="wind三级行业",[1]!s_info_industry_gics(W3366,3),IF($Y$3="wind四级行业",[1]!s_info_industry_gics(W3366,4),IF($Y$3="证监会门类行业",[1]!s_info_industry_csrc12_n(W3366,公司分析!D$5,1),""))))))))</f>
        <v>房地产开发</v>
      </c>
      <c r="Z3366" s="302" t="str">
        <f ca="1">IF(Y3366=行业比较!$E$6,ROW(),"")</f>
        <v/>
      </c>
    </row>
    <row r="3367" spans="22:26">
      <c r="V3367" s="260">
        <f t="shared" ca="1" si="60"/>
        <v>0</v>
      </c>
      <c r="W3367" s="348" t="str">
        <f>IF(板块成分!B3369="","",板块成分!B3369)</f>
        <v>600639.SH</v>
      </c>
      <c r="X3367" s="276" t="str">
        <f>[1]!S_Info_Name(W3367)</f>
        <v>浦东金桥</v>
      </c>
      <c r="Y3367" s="276" t="str">
        <f ca="1">IF($Y$3="申万一级行业",[1]!s_info_industry_sw_2021(W3367,公司分析!D$5,1),IF($Y$3="申万二级行业",[1]!s_info_industry_sw_2021(W3367,公司分析!D$5,2),IF($Y$3="申万三级行业",[1]!s_info_industry_sw_2021(W3367,公司分析!D$5,3),IF($Y$3="wind一级行业",[1]!s_info_industry_gics(W3367,1),IF($Y$3="wind二级行业",[1]!s_info_industry_gics(W3367,2),IF($Y$3="wind三级行业",[1]!s_info_industry_gics(W3367,3),IF($Y$3="wind四级行业",[1]!s_info_industry_gics(W3367,4),IF($Y$3="证监会门类行业",[1]!s_info_industry_csrc12_n(W3367,公司分析!D$5,1),""))))))))</f>
        <v>房地产开发</v>
      </c>
      <c r="Z3367" s="302" t="str">
        <f ca="1">IF(Y3367=行业比较!$E$6,ROW(),"")</f>
        <v/>
      </c>
    </row>
    <row r="3368" spans="22:26">
      <c r="V3368" s="260">
        <f t="shared" ca="1" si="60"/>
        <v>0</v>
      </c>
      <c r="W3368" s="348" t="str">
        <f>IF(板块成分!B3370="","",板块成分!B3370)</f>
        <v>600640.SH</v>
      </c>
      <c r="X3368" s="276" t="str">
        <f>[1]!S_Info_Name(W3368)</f>
        <v>国脉文化</v>
      </c>
      <c r="Y3368" s="276" t="str">
        <f ca="1">IF($Y$3="申万一级行业",[1]!s_info_industry_sw_2021(W3368,公司分析!D$5,1),IF($Y$3="申万二级行业",[1]!s_info_industry_sw_2021(W3368,公司分析!D$5,2),IF($Y$3="申万三级行业",[1]!s_info_industry_sw_2021(W3368,公司分析!D$5,3),IF($Y$3="wind一级行业",[1]!s_info_industry_gics(W3368,1),IF($Y$3="wind二级行业",[1]!s_info_industry_gics(W3368,2),IF($Y$3="wind三级行业",[1]!s_info_industry_gics(W3368,3),IF($Y$3="wind四级行业",[1]!s_info_industry_gics(W3368,4),IF($Y$3="证监会门类行业",[1]!s_info_industry_csrc12_n(W3368,公司分析!D$5,1),""))))))))</f>
        <v>数字媒体</v>
      </c>
      <c r="Z3368" s="302" t="str">
        <f ca="1">IF(Y3368=行业比较!$E$6,ROW(),"")</f>
        <v/>
      </c>
    </row>
    <row r="3369" spans="22:26">
      <c r="V3369" s="260">
        <f t="shared" ca="1" si="60"/>
        <v>0</v>
      </c>
      <c r="W3369" s="348" t="str">
        <f>IF(板块成分!B3371="","",板块成分!B3371)</f>
        <v>600641.SH</v>
      </c>
      <c r="X3369" s="276" t="str">
        <f>[1]!S_Info_Name(W3369)</f>
        <v>先导基电</v>
      </c>
      <c r="Y3369" s="276" t="str">
        <f ca="1">IF($Y$3="申万一级行业",[1]!s_info_industry_sw_2021(W3369,公司分析!D$5,1),IF($Y$3="申万二级行业",[1]!s_info_industry_sw_2021(W3369,公司分析!D$5,2),IF($Y$3="申万三级行业",[1]!s_info_industry_sw_2021(W3369,公司分析!D$5,3),IF($Y$3="wind一级行业",[1]!s_info_industry_gics(W3369,1),IF($Y$3="wind二级行业",[1]!s_info_industry_gics(W3369,2),IF($Y$3="wind三级行业",[1]!s_info_industry_gics(W3369,3),IF($Y$3="wind四级行业",[1]!s_info_industry_gics(W3369,4),IF($Y$3="证监会门类行业",[1]!s_info_industry_csrc12_n(W3369,公司分析!D$5,1),""))))))))</f>
        <v>房地产开发</v>
      </c>
      <c r="Z3369" s="302" t="str">
        <f ca="1">IF(Y3369=行业比较!$E$6,ROW(),"")</f>
        <v/>
      </c>
    </row>
    <row r="3370" spans="22:26">
      <c r="V3370" s="260">
        <f t="shared" ca="1" si="60"/>
        <v>0</v>
      </c>
      <c r="W3370" s="348" t="str">
        <f>IF(板块成分!B3372="","",板块成分!B3372)</f>
        <v>600642.SH</v>
      </c>
      <c r="X3370" s="276" t="str">
        <f>[1]!S_Info_Name(W3370)</f>
        <v>申能股份</v>
      </c>
      <c r="Y3370" s="276" t="str">
        <f ca="1">IF($Y$3="申万一级行业",[1]!s_info_industry_sw_2021(W3370,公司分析!D$5,1),IF($Y$3="申万二级行业",[1]!s_info_industry_sw_2021(W3370,公司分析!D$5,2),IF($Y$3="申万三级行业",[1]!s_info_industry_sw_2021(W3370,公司分析!D$5,3),IF($Y$3="wind一级行业",[1]!s_info_industry_gics(W3370,1),IF($Y$3="wind二级行业",[1]!s_info_industry_gics(W3370,2),IF($Y$3="wind三级行业",[1]!s_info_industry_gics(W3370,3),IF($Y$3="wind四级行业",[1]!s_info_industry_gics(W3370,4),IF($Y$3="证监会门类行业",[1]!s_info_industry_csrc12_n(W3370,公司分析!D$5,1),""))))))))</f>
        <v>电力</v>
      </c>
      <c r="Z3370" s="302" t="str">
        <f ca="1">IF(Y3370=行业比较!$E$6,ROW(),"")</f>
        <v/>
      </c>
    </row>
    <row r="3371" spans="22:26">
      <c r="V3371" s="260">
        <f t="shared" ca="1" si="60"/>
        <v>0</v>
      </c>
      <c r="W3371" s="348" t="str">
        <f>IF(板块成分!B3373="","",板块成分!B3373)</f>
        <v>600643.SH</v>
      </c>
      <c r="X3371" s="276" t="str">
        <f>[1]!S_Info_Name(W3371)</f>
        <v>爱建集团</v>
      </c>
      <c r="Y3371" s="276" t="str">
        <f ca="1">IF($Y$3="申万一级行业",[1]!s_info_industry_sw_2021(W3371,公司分析!D$5,1),IF($Y$3="申万二级行业",[1]!s_info_industry_sw_2021(W3371,公司分析!D$5,2),IF($Y$3="申万三级行业",[1]!s_info_industry_sw_2021(W3371,公司分析!D$5,3),IF($Y$3="wind一级行业",[1]!s_info_industry_gics(W3371,1),IF($Y$3="wind二级行业",[1]!s_info_industry_gics(W3371,2),IF($Y$3="wind三级行业",[1]!s_info_industry_gics(W3371,3),IF($Y$3="wind四级行业",[1]!s_info_industry_gics(W3371,4),IF($Y$3="证监会门类行业",[1]!s_info_industry_csrc12_n(W3371,公司分析!D$5,1),""))))))))</f>
        <v>多元金融</v>
      </c>
      <c r="Z3371" s="302" t="str">
        <f ca="1">IF(Y3371=行业比较!$E$6,ROW(),"")</f>
        <v/>
      </c>
    </row>
    <row r="3372" spans="22:26">
      <c r="V3372" s="260">
        <f t="shared" ca="1" si="60"/>
        <v>0</v>
      </c>
      <c r="W3372" s="348" t="str">
        <f>IF(板块成分!B3374="","",板块成分!B3374)</f>
        <v>600644.SH</v>
      </c>
      <c r="X3372" s="276" t="str">
        <f>[1]!S_Info_Name(W3372)</f>
        <v>乐山电力</v>
      </c>
      <c r="Y3372" s="276" t="str">
        <f ca="1">IF($Y$3="申万一级行业",[1]!s_info_industry_sw_2021(W3372,公司分析!D$5,1),IF($Y$3="申万二级行业",[1]!s_info_industry_sw_2021(W3372,公司分析!D$5,2),IF($Y$3="申万三级行业",[1]!s_info_industry_sw_2021(W3372,公司分析!D$5,3),IF($Y$3="wind一级行业",[1]!s_info_industry_gics(W3372,1),IF($Y$3="wind二级行业",[1]!s_info_industry_gics(W3372,2),IF($Y$3="wind三级行业",[1]!s_info_industry_gics(W3372,3),IF($Y$3="wind四级行业",[1]!s_info_industry_gics(W3372,4),IF($Y$3="证监会门类行业",[1]!s_info_industry_csrc12_n(W3372,公司分析!D$5,1),""))))))))</f>
        <v>电力</v>
      </c>
      <c r="Z3372" s="302" t="str">
        <f ca="1">IF(Y3372=行业比较!$E$6,ROW(),"")</f>
        <v/>
      </c>
    </row>
    <row r="3373" spans="22:26">
      <c r="V3373" s="260">
        <f t="shared" ca="1" si="60"/>
        <v>0</v>
      </c>
      <c r="W3373" s="348" t="str">
        <f>IF(板块成分!B3375="","",板块成分!B3375)</f>
        <v>600645.SH</v>
      </c>
      <c r="X3373" s="276" t="str">
        <f>[1]!S_Info_Name(W3373)</f>
        <v>中源协和</v>
      </c>
      <c r="Y3373" s="276" t="str">
        <f ca="1">IF($Y$3="申万一级行业",[1]!s_info_industry_sw_2021(W3373,公司分析!D$5,1),IF($Y$3="申万二级行业",[1]!s_info_industry_sw_2021(W3373,公司分析!D$5,2),IF($Y$3="申万三级行业",[1]!s_info_industry_sw_2021(W3373,公司分析!D$5,3),IF($Y$3="wind一级行业",[1]!s_info_industry_gics(W3373,1),IF($Y$3="wind二级行业",[1]!s_info_industry_gics(W3373,2),IF($Y$3="wind三级行业",[1]!s_info_industry_gics(W3373,3),IF($Y$3="wind四级行业",[1]!s_info_industry_gics(W3373,4),IF($Y$3="证监会门类行业",[1]!s_info_industry_csrc12_n(W3373,公司分析!D$5,1),""))))))))</f>
        <v>医疗器械</v>
      </c>
      <c r="Z3373" s="302" t="str">
        <f ca="1">IF(Y3373=行业比较!$E$6,ROW(),"")</f>
        <v/>
      </c>
    </row>
    <row r="3374" spans="22:26">
      <c r="V3374" s="260">
        <f t="shared" ca="1" si="60"/>
        <v>0</v>
      </c>
      <c r="W3374" s="348" t="str">
        <f>IF(板块成分!B3376="","",板块成分!B3376)</f>
        <v>600648.SH</v>
      </c>
      <c r="X3374" s="276" t="str">
        <f>[1]!S_Info_Name(W3374)</f>
        <v>外高桥</v>
      </c>
      <c r="Y3374" s="276" t="str">
        <f ca="1">IF($Y$3="申万一级行业",[1]!s_info_industry_sw_2021(W3374,公司分析!D$5,1),IF($Y$3="申万二级行业",[1]!s_info_industry_sw_2021(W3374,公司分析!D$5,2),IF($Y$3="申万三级行业",[1]!s_info_industry_sw_2021(W3374,公司分析!D$5,3),IF($Y$3="wind一级行业",[1]!s_info_industry_gics(W3374,1),IF($Y$3="wind二级行业",[1]!s_info_industry_gics(W3374,2),IF($Y$3="wind三级行业",[1]!s_info_industry_gics(W3374,3),IF($Y$3="wind四级行业",[1]!s_info_industry_gics(W3374,4),IF($Y$3="证监会门类行业",[1]!s_info_industry_csrc12_n(W3374,公司分析!D$5,1),""))))))))</f>
        <v>房地产开发</v>
      </c>
      <c r="Z3374" s="302" t="str">
        <f ca="1">IF(Y3374=行业比较!$E$6,ROW(),"")</f>
        <v/>
      </c>
    </row>
    <row r="3375" spans="22:26">
      <c r="V3375" s="260">
        <f t="shared" ca="1" si="60"/>
        <v>0</v>
      </c>
      <c r="W3375" s="348" t="str">
        <f>IF(板块成分!B3377="","",板块成分!B3377)</f>
        <v>600649.SH</v>
      </c>
      <c r="X3375" s="276" t="str">
        <f>[1]!S_Info_Name(W3375)</f>
        <v>城投控股</v>
      </c>
      <c r="Y3375" s="276" t="str">
        <f ca="1">IF($Y$3="申万一级行业",[1]!s_info_industry_sw_2021(W3375,公司分析!D$5,1),IF($Y$3="申万二级行业",[1]!s_info_industry_sw_2021(W3375,公司分析!D$5,2),IF($Y$3="申万三级行业",[1]!s_info_industry_sw_2021(W3375,公司分析!D$5,3),IF($Y$3="wind一级行业",[1]!s_info_industry_gics(W3375,1),IF($Y$3="wind二级行业",[1]!s_info_industry_gics(W3375,2),IF($Y$3="wind三级行业",[1]!s_info_industry_gics(W3375,3),IF($Y$3="wind四级行业",[1]!s_info_industry_gics(W3375,4),IF($Y$3="证监会门类行业",[1]!s_info_industry_csrc12_n(W3375,公司分析!D$5,1),""))))))))</f>
        <v>房地产开发</v>
      </c>
      <c r="Z3375" s="302" t="str">
        <f ca="1">IF(Y3375=行业比较!$E$6,ROW(),"")</f>
        <v/>
      </c>
    </row>
    <row r="3376" spans="22:26">
      <c r="V3376" s="260">
        <f t="shared" ca="1" si="60"/>
        <v>0</v>
      </c>
      <c r="W3376" s="348" t="str">
        <f>IF(板块成分!B3378="","",板块成分!B3378)</f>
        <v>600650.SH</v>
      </c>
      <c r="X3376" s="276" t="str">
        <f>[1]!S_Info_Name(W3376)</f>
        <v>锦江在线</v>
      </c>
      <c r="Y3376" s="276" t="str">
        <f ca="1">IF($Y$3="申万一级行业",[1]!s_info_industry_sw_2021(W3376,公司分析!D$5,1),IF($Y$3="申万二级行业",[1]!s_info_industry_sw_2021(W3376,公司分析!D$5,2),IF($Y$3="申万三级行业",[1]!s_info_industry_sw_2021(W3376,公司分析!D$5,3),IF($Y$3="wind一级行业",[1]!s_info_industry_gics(W3376,1),IF($Y$3="wind二级行业",[1]!s_info_industry_gics(W3376,2),IF($Y$3="wind三级行业",[1]!s_info_industry_gics(W3376,3),IF($Y$3="wind四级行业",[1]!s_info_industry_gics(W3376,4),IF($Y$3="证监会门类行业",[1]!s_info_industry_csrc12_n(W3376,公司分析!D$5,1),""))))))))</f>
        <v>铁路公路</v>
      </c>
      <c r="Z3376" s="302" t="str">
        <f ca="1">IF(Y3376=行业比较!$E$6,ROW(),"")</f>
        <v/>
      </c>
    </row>
    <row r="3377" spans="22:26">
      <c r="V3377" s="260">
        <f t="shared" ca="1" si="60"/>
        <v>0</v>
      </c>
      <c r="W3377" s="348" t="str">
        <f>IF(板块成分!B3379="","",板块成分!B3379)</f>
        <v>600651.SH</v>
      </c>
      <c r="X3377" s="276" t="str">
        <f>[1]!S_Info_Name(W3377)</f>
        <v>飞乐音响</v>
      </c>
      <c r="Y3377" s="276" t="str">
        <f ca="1">IF($Y$3="申万一级行业",[1]!s_info_industry_sw_2021(W3377,公司分析!D$5,1),IF($Y$3="申万二级行业",[1]!s_info_industry_sw_2021(W3377,公司分析!D$5,2),IF($Y$3="申万三级行业",[1]!s_info_industry_sw_2021(W3377,公司分析!D$5,3),IF($Y$3="wind一级行业",[1]!s_info_industry_gics(W3377,1),IF($Y$3="wind二级行业",[1]!s_info_industry_gics(W3377,2),IF($Y$3="wind三级行业",[1]!s_info_industry_gics(W3377,3),IF($Y$3="wind四级行业",[1]!s_info_industry_gics(W3377,4),IF($Y$3="证监会门类行业",[1]!s_info_industry_csrc12_n(W3377,公司分析!D$5,1),""))))))))</f>
        <v>汽车零部件</v>
      </c>
      <c r="Z3377" s="302" t="str">
        <f ca="1">IF(Y3377=行业比较!$E$6,ROW(),"")</f>
        <v/>
      </c>
    </row>
    <row r="3378" spans="22:26">
      <c r="V3378" s="260">
        <f t="shared" ca="1" si="60"/>
        <v>0</v>
      </c>
      <c r="W3378" s="348" t="str">
        <f>IF(板块成分!B3380="","",板块成分!B3380)</f>
        <v>600653.SH</v>
      </c>
      <c r="X3378" s="276" t="str">
        <f>[1]!S_Info_Name(W3378)</f>
        <v>申华控股</v>
      </c>
      <c r="Y3378" s="276" t="str">
        <f ca="1">IF($Y$3="申万一级行业",[1]!s_info_industry_sw_2021(W3378,公司分析!D$5,1),IF($Y$3="申万二级行业",[1]!s_info_industry_sw_2021(W3378,公司分析!D$5,2),IF($Y$3="申万三级行业",[1]!s_info_industry_sw_2021(W3378,公司分析!D$5,3),IF($Y$3="wind一级行业",[1]!s_info_industry_gics(W3378,1),IF($Y$3="wind二级行业",[1]!s_info_industry_gics(W3378,2),IF($Y$3="wind三级行业",[1]!s_info_industry_gics(W3378,3),IF($Y$3="wind四级行业",[1]!s_info_industry_gics(W3378,4),IF($Y$3="证监会门类行业",[1]!s_info_industry_csrc12_n(W3378,公司分析!D$5,1),""))))))))</f>
        <v>汽车服务</v>
      </c>
      <c r="Z3378" s="302" t="str">
        <f ca="1">IF(Y3378=行业比较!$E$6,ROW(),"")</f>
        <v/>
      </c>
    </row>
    <row r="3379" spans="22:26">
      <c r="V3379" s="260">
        <f t="shared" ca="1" si="60"/>
        <v>0</v>
      </c>
      <c r="W3379" s="348" t="str">
        <f>IF(板块成分!B3381="","",板块成分!B3381)</f>
        <v>600654.SH</v>
      </c>
      <c r="X3379" s="276" t="str">
        <f>[1]!S_Info_Name(W3379)</f>
        <v>中安科</v>
      </c>
      <c r="Y3379" s="276" t="str">
        <f ca="1">IF($Y$3="申万一级行业",[1]!s_info_industry_sw_2021(W3379,公司分析!D$5,1),IF($Y$3="申万二级行业",[1]!s_info_industry_sw_2021(W3379,公司分析!D$5,2),IF($Y$3="申万三级行业",[1]!s_info_industry_sw_2021(W3379,公司分析!D$5,3),IF($Y$3="wind一级行业",[1]!s_info_industry_gics(W3379,1),IF($Y$3="wind二级行业",[1]!s_info_industry_gics(W3379,2),IF($Y$3="wind三级行业",[1]!s_info_industry_gics(W3379,3),IF($Y$3="wind四级行业",[1]!s_info_industry_gics(W3379,4),IF($Y$3="证监会门类行业",[1]!s_info_industry_csrc12_n(W3379,公司分析!D$5,1),""))))))))</f>
        <v>软件开发</v>
      </c>
      <c r="Z3379" s="302" t="str">
        <f ca="1">IF(Y3379=行业比较!$E$6,ROW(),"")</f>
        <v/>
      </c>
    </row>
    <row r="3380" spans="22:26">
      <c r="V3380" s="260">
        <f t="shared" ca="1" si="60"/>
        <v>0</v>
      </c>
      <c r="W3380" s="348" t="str">
        <f>IF(板块成分!B3382="","",板块成分!B3382)</f>
        <v>600655.SH</v>
      </c>
      <c r="X3380" s="276" t="str">
        <f>[1]!S_Info_Name(W3380)</f>
        <v>豫园股份</v>
      </c>
      <c r="Y3380" s="276" t="str">
        <f ca="1">IF($Y$3="申万一级行业",[1]!s_info_industry_sw_2021(W3380,公司分析!D$5,1),IF($Y$3="申万二级行业",[1]!s_info_industry_sw_2021(W3380,公司分析!D$5,2),IF($Y$3="申万三级行业",[1]!s_info_industry_sw_2021(W3380,公司分析!D$5,3),IF($Y$3="wind一级行业",[1]!s_info_industry_gics(W3380,1),IF($Y$3="wind二级行业",[1]!s_info_industry_gics(W3380,2),IF($Y$3="wind三级行业",[1]!s_info_industry_gics(W3380,3),IF($Y$3="wind四级行业",[1]!s_info_industry_gics(W3380,4),IF($Y$3="证监会门类行业",[1]!s_info_industry_csrc12_n(W3380,公司分析!D$5,1),""))))))))</f>
        <v>一般零售</v>
      </c>
      <c r="Z3380" s="302" t="str">
        <f ca="1">IF(Y3380=行业比较!$E$6,ROW(),"")</f>
        <v/>
      </c>
    </row>
    <row r="3381" spans="22:26">
      <c r="V3381" s="260">
        <f t="shared" ca="1" si="60"/>
        <v>0</v>
      </c>
      <c r="W3381" s="348" t="str">
        <f>IF(板块成分!B3383="","",板块成分!B3383)</f>
        <v>600657.SH</v>
      </c>
      <c r="X3381" s="276" t="str">
        <f>[1]!S_Info_Name(W3381)</f>
        <v>信达地产</v>
      </c>
      <c r="Y3381" s="276" t="str">
        <f ca="1">IF($Y$3="申万一级行业",[1]!s_info_industry_sw_2021(W3381,公司分析!D$5,1),IF($Y$3="申万二级行业",[1]!s_info_industry_sw_2021(W3381,公司分析!D$5,2),IF($Y$3="申万三级行业",[1]!s_info_industry_sw_2021(W3381,公司分析!D$5,3),IF($Y$3="wind一级行业",[1]!s_info_industry_gics(W3381,1),IF($Y$3="wind二级行业",[1]!s_info_industry_gics(W3381,2),IF($Y$3="wind三级行业",[1]!s_info_industry_gics(W3381,3),IF($Y$3="wind四级行业",[1]!s_info_industry_gics(W3381,4),IF($Y$3="证监会门类行业",[1]!s_info_industry_csrc12_n(W3381,公司分析!D$5,1),""))))))))</f>
        <v>房地产开发</v>
      </c>
      <c r="Z3381" s="302" t="str">
        <f ca="1">IF(Y3381=行业比较!$E$6,ROW(),"")</f>
        <v/>
      </c>
    </row>
    <row r="3382" spans="22:26">
      <c r="V3382" s="260">
        <f t="shared" ca="1" si="60"/>
        <v>0</v>
      </c>
      <c r="W3382" s="348" t="str">
        <f>IF(板块成分!B3384="","",板块成分!B3384)</f>
        <v>600658.SH</v>
      </c>
      <c r="X3382" s="276" t="str">
        <f>[1]!S_Info_Name(W3382)</f>
        <v>电子城</v>
      </c>
      <c r="Y3382" s="276" t="str">
        <f ca="1">IF($Y$3="申万一级行业",[1]!s_info_industry_sw_2021(W3382,公司分析!D$5,1),IF($Y$3="申万二级行业",[1]!s_info_industry_sw_2021(W3382,公司分析!D$5,2),IF($Y$3="申万三级行业",[1]!s_info_industry_sw_2021(W3382,公司分析!D$5,3),IF($Y$3="wind一级行业",[1]!s_info_industry_gics(W3382,1),IF($Y$3="wind二级行业",[1]!s_info_industry_gics(W3382,2),IF($Y$3="wind三级行业",[1]!s_info_industry_gics(W3382,3),IF($Y$3="wind四级行业",[1]!s_info_industry_gics(W3382,4),IF($Y$3="证监会门类行业",[1]!s_info_industry_csrc12_n(W3382,公司分析!D$5,1),""))))))))</f>
        <v>房地产开发</v>
      </c>
      <c r="Z3382" s="302" t="str">
        <f ca="1">IF(Y3382=行业比较!$E$6,ROW(),"")</f>
        <v/>
      </c>
    </row>
    <row r="3383" spans="22:26">
      <c r="V3383" s="260">
        <f t="shared" ca="1" si="60"/>
        <v>0</v>
      </c>
      <c r="W3383" s="348" t="str">
        <f>IF(板块成分!B3385="","",板块成分!B3385)</f>
        <v>600660.SH</v>
      </c>
      <c r="X3383" s="276" t="str">
        <f>[1]!S_Info_Name(W3383)</f>
        <v>福耀玻璃</v>
      </c>
      <c r="Y3383" s="276" t="str">
        <f ca="1">IF($Y$3="申万一级行业",[1]!s_info_industry_sw_2021(W3383,公司分析!D$5,1),IF($Y$3="申万二级行业",[1]!s_info_industry_sw_2021(W3383,公司分析!D$5,2),IF($Y$3="申万三级行业",[1]!s_info_industry_sw_2021(W3383,公司分析!D$5,3),IF($Y$3="wind一级行业",[1]!s_info_industry_gics(W3383,1),IF($Y$3="wind二级行业",[1]!s_info_industry_gics(W3383,2),IF($Y$3="wind三级行业",[1]!s_info_industry_gics(W3383,3),IF($Y$3="wind四级行业",[1]!s_info_industry_gics(W3383,4),IF($Y$3="证监会门类行业",[1]!s_info_industry_csrc12_n(W3383,公司分析!D$5,1),""))))))))</f>
        <v>汽车零部件</v>
      </c>
      <c r="Z3383" s="302" t="str">
        <f ca="1">IF(Y3383=行业比较!$E$6,ROW(),"")</f>
        <v/>
      </c>
    </row>
    <row r="3384" spans="22:26">
      <c r="V3384" s="260">
        <f t="shared" ca="1" si="60"/>
        <v>0</v>
      </c>
      <c r="W3384" s="348" t="str">
        <f>IF(板块成分!B3386="","",板块成分!B3386)</f>
        <v>600661.SH</v>
      </c>
      <c r="X3384" s="276" t="str">
        <f>[1]!S_Info_Name(W3384)</f>
        <v>昂立教育</v>
      </c>
      <c r="Y3384" s="276" t="str">
        <f ca="1">IF($Y$3="申万一级行业",[1]!s_info_industry_sw_2021(W3384,公司分析!D$5,1),IF($Y$3="申万二级行业",[1]!s_info_industry_sw_2021(W3384,公司分析!D$5,2),IF($Y$3="申万三级行业",[1]!s_info_industry_sw_2021(W3384,公司分析!D$5,3),IF($Y$3="wind一级行业",[1]!s_info_industry_gics(W3384,1),IF($Y$3="wind二级行业",[1]!s_info_industry_gics(W3384,2),IF($Y$3="wind三级行业",[1]!s_info_industry_gics(W3384,3),IF($Y$3="wind四级行业",[1]!s_info_industry_gics(W3384,4),IF($Y$3="证监会门类行业",[1]!s_info_industry_csrc12_n(W3384,公司分析!D$5,1),""))))))))</f>
        <v>教育</v>
      </c>
      <c r="Z3384" s="302" t="str">
        <f ca="1">IF(Y3384=行业比较!$E$6,ROW(),"")</f>
        <v/>
      </c>
    </row>
    <row r="3385" spans="22:26">
      <c r="V3385" s="260">
        <f t="shared" ca="1" si="60"/>
        <v>0</v>
      </c>
      <c r="W3385" s="348" t="str">
        <f>IF(板块成分!B3387="","",板块成分!B3387)</f>
        <v>600662.SH</v>
      </c>
      <c r="X3385" s="276" t="str">
        <f>[1]!S_Info_Name(W3385)</f>
        <v>外服控股</v>
      </c>
      <c r="Y3385" s="276" t="str">
        <f ca="1">IF($Y$3="申万一级行业",[1]!s_info_industry_sw_2021(W3385,公司分析!D$5,1),IF($Y$3="申万二级行业",[1]!s_info_industry_sw_2021(W3385,公司分析!D$5,2),IF($Y$3="申万三级行业",[1]!s_info_industry_sw_2021(W3385,公司分析!D$5,3),IF($Y$3="wind一级行业",[1]!s_info_industry_gics(W3385,1),IF($Y$3="wind二级行业",[1]!s_info_industry_gics(W3385,2),IF($Y$3="wind三级行业",[1]!s_info_industry_gics(W3385,3),IF($Y$3="wind四级行业",[1]!s_info_industry_gics(W3385,4),IF($Y$3="证监会门类行业",[1]!s_info_industry_csrc12_n(W3385,公司分析!D$5,1),""))))))))</f>
        <v>专业服务</v>
      </c>
      <c r="Z3385" s="302" t="str">
        <f ca="1">IF(Y3385=行业比较!$E$6,ROW(),"")</f>
        <v/>
      </c>
    </row>
    <row r="3386" spans="22:26">
      <c r="V3386" s="260">
        <f t="shared" ca="1" si="60"/>
        <v>0</v>
      </c>
      <c r="W3386" s="348" t="str">
        <f>IF(板块成分!B3388="","",板块成分!B3388)</f>
        <v>600663.SH</v>
      </c>
      <c r="X3386" s="276" t="str">
        <f>[1]!S_Info_Name(W3386)</f>
        <v>陆家嘴</v>
      </c>
      <c r="Y3386" s="276" t="str">
        <f ca="1">IF($Y$3="申万一级行业",[1]!s_info_industry_sw_2021(W3386,公司分析!D$5,1),IF($Y$3="申万二级行业",[1]!s_info_industry_sw_2021(W3386,公司分析!D$5,2),IF($Y$3="申万三级行业",[1]!s_info_industry_sw_2021(W3386,公司分析!D$5,3),IF($Y$3="wind一级行业",[1]!s_info_industry_gics(W3386,1),IF($Y$3="wind二级行业",[1]!s_info_industry_gics(W3386,2),IF($Y$3="wind三级行业",[1]!s_info_industry_gics(W3386,3),IF($Y$3="wind四级行业",[1]!s_info_industry_gics(W3386,4),IF($Y$3="证监会门类行业",[1]!s_info_industry_csrc12_n(W3386,公司分析!D$5,1),""))))))))</f>
        <v>房地产开发</v>
      </c>
      <c r="Z3386" s="302" t="str">
        <f ca="1">IF(Y3386=行业比较!$E$6,ROW(),"")</f>
        <v/>
      </c>
    </row>
    <row r="3387" spans="22:26">
      <c r="V3387" s="260">
        <f t="shared" ca="1" si="60"/>
        <v>0</v>
      </c>
      <c r="W3387" s="348" t="str">
        <f>IF(板块成分!B3389="","",板块成分!B3389)</f>
        <v>600664.SH</v>
      </c>
      <c r="X3387" s="276" t="str">
        <f>[1]!S_Info_Name(W3387)</f>
        <v>哈药股份</v>
      </c>
      <c r="Y3387" s="276" t="str">
        <f ca="1">IF($Y$3="申万一级行业",[1]!s_info_industry_sw_2021(W3387,公司分析!D$5,1),IF($Y$3="申万二级行业",[1]!s_info_industry_sw_2021(W3387,公司分析!D$5,2),IF($Y$3="申万三级行业",[1]!s_info_industry_sw_2021(W3387,公司分析!D$5,3),IF($Y$3="wind一级行业",[1]!s_info_industry_gics(W3387,1),IF($Y$3="wind二级行业",[1]!s_info_industry_gics(W3387,2),IF($Y$3="wind三级行业",[1]!s_info_industry_gics(W3387,3),IF($Y$3="wind四级行业",[1]!s_info_industry_gics(W3387,4),IF($Y$3="证监会门类行业",[1]!s_info_industry_csrc12_n(W3387,公司分析!D$5,1),""))))))))</f>
        <v>化学制药</v>
      </c>
      <c r="Z3387" s="302" t="str">
        <f ca="1">IF(Y3387=行业比较!$E$6,ROW(),"")</f>
        <v/>
      </c>
    </row>
    <row r="3388" spans="22:26">
      <c r="V3388" s="260">
        <f t="shared" ca="1" si="60"/>
        <v>0</v>
      </c>
      <c r="W3388" s="348" t="str">
        <f>IF(板块成分!B3390="","",板块成分!B3390)</f>
        <v>600665.SH</v>
      </c>
      <c r="X3388" s="276" t="str">
        <f>[1]!S_Info_Name(W3388)</f>
        <v>天地源</v>
      </c>
      <c r="Y3388" s="276" t="str">
        <f ca="1">IF($Y$3="申万一级行业",[1]!s_info_industry_sw_2021(W3388,公司分析!D$5,1),IF($Y$3="申万二级行业",[1]!s_info_industry_sw_2021(W3388,公司分析!D$5,2),IF($Y$3="申万三级行业",[1]!s_info_industry_sw_2021(W3388,公司分析!D$5,3),IF($Y$3="wind一级行业",[1]!s_info_industry_gics(W3388,1),IF($Y$3="wind二级行业",[1]!s_info_industry_gics(W3388,2),IF($Y$3="wind三级行业",[1]!s_info_industry_gics(W3388,3),IF($Y$3="wind四级行业",[1]!s_info_industry_gics(W3388,4),IF($Y$3="证监会门类行业",[1]!s_info_industry_csrc12_n(W3388,公司分析!D$5,1),""))))))))</f>
        <v>房地产开发</v>
      </c>
      <c r="Z3388" s="302" t="str">
        <f ca="1">IF(Y3388=行业比较!$E$6,ROW(),"")</f>
        <v/>
      </c>
    </row>
    <row r="3389" spans="22:26">
      <c r="V3389" s="260">
        <f t="shared" ca="1" si="60"/>
        <v>0</v>
      </c>
      <c r="W3389" s="348" t="str">
        <f>IF(板块成分!B3391="","",板块成分!B3391)</f>
        <v>600666.SH</v>
      </c>
      <c r="X3389" s="276" t="str">
        <f>[1]!S_Info_Name(W3389)</f>
        <v>奥瑞德</v>
      </c>
      <c r="Y3389" s="276" t="str">
        <f ca="1">IF($Y$3="申万一级行业",[1]!s_info_industry_sw_2021(W3389,公司分析!D$5,1),IF($Y$3="申万二级行业",[1]!s_info_industry_sw_2021(W3389,公司分析!D$5,2),IF($Y$3="申万三级行业",[1]!s_info_industry_sw_2021(W3389,公司分析!D$5,3),IF($Y$3="wind一级行业",[1]!s_info_industry_gics(W3389,1),IF($Y$3="wind二级行业",[1]!s_info_industry_gics(W3389,2),IF($Y$3="wind三级行业",[1]!s_info_industry_gics(W3389,3),IF($Y$3="wind四级行业",[1]!s_info_industry_gics(W3389,4),IF($Y$3="证监会门类行业",[1]!s_info_industry_csrc12_n(W3389,公司分析!D$5,1),""))))))))</f>
        <v>光学光电子</v>
      </c>
      <c r="Z3389" s="302" t="str">
        <f ca="1">IF(Y3389=行业比较!$E$6,ROW(),"")</f>
        <v/>
      </c>
    </row>
    <row r="3390" spans="22:26">
      <c r="V3390" s="260">
        <f t="shared" ca="1" si="60"/>
        <v>0</v>
      </c>
      <c r="W3390" s="348" t="str">
        <f>IF(板块成分!B3392="","",板块成分!B3392)</f>
        <v>600667.SH</v>
      </c>
      <c r="X3390" s="276" t="str">
        <f>[1]!S_Info_Name(W3390)</f>
        <v>太极实业</v>
      </c>
      <c r="Y3390" s="276" t="str">
        <f ca="1">IF($Y$3="申万一级行业",[1]!s_info_industry_sw_2021(W3390,公司分析!D$5,1),IF($Y$3="申万二级行业",[1]!s_info_industry_sw_2021(W3390,公司分析!D$5,2),IF($Y$3="申万三级行业",[1]!s_info_industry_sw_2021(W3390,公司分析!D$5,3),IF($Y$3="wind一级行业",[1]!s_info_industry_gics(W3390,1),IF($Y$3="wind二级行业",[1]!s_info_industry_gics(W3390,2),IF($Y$3="wind三级行业",[1]!s_info_industry_gics(W3390,3),IF($Y$3="wind四级行业",[1]!s_info_industry_gics(W3390,4),IF($Y$3="证监会门类行业",[1]!s_info_industry_csrc12_n(W3390,公司分析!D$5,1),""))))))))</f>
        <v>工程咨询服务Ⅱ</v>
      </c>
      <c r="Z3390" s="302" t="str">
        <f ca="1">IF(Y3390=行业比较!$E$6,ROW(),"")</f>
        <v/>
      </c>
    </row>
    <row r="3391" spans="22:26">
      <c r="V3391" s="260">
        <f t="shared" ca="1" si="60"/>
        <v>0</v>
      </c>
      <c r="W3391" s="348" t="str">
        <f>IF(板块成分!B3393="","",板块成分!B3393)</f>
        <v>600668.SH</v>
      </c>
      <c r="X3391" s="276" t="str">
        <f>[1]!S_Info_Name(W3391)</f>
        <v>尖峰集团</v>
      </c>
      <c r="Y3391" s="276" t="str">
        <f ca="1">IF($Y$3="申万一级行业",[1]!s_info_industry_sw_2021(W3391,公司分析!D$5,1),IF($Y$3="申万二级行业",[1]!s_info_industry_sw_2021(W3391,公司分析!D$5,2),IF($Y$3="申万三级行业",[1]!s_info_industry_sw_2021(W3391,公司分析!D$5,3),IF($Y$3="wind一级行业",[1]!s_info_industry_gics(W3391,1),IF($Y$3="wind二级行业",[1]!s_info_industry_gics(W3391,2),IF($Y$3="wind三级行业",[1]!s_info_industry_gics(W3391,3),IF($Y$3="wind四级行业",[1]!s_info_industry_gics(W3391,4),IF($Y$3="证监会门类行业",[1]!s_info_industry_csrc12_n(W3391,公司分析!D$5,1),""))))))))</f>
        <v>水泥</v>
      </c>
      <c r="Z3391" s="302" t="str">
        <f ca="1">IF(Y3391=行业比较!$E$6,ROW(),"")</f>
        <v/>
      </c>
    </row>
    <row r="3392" spans="22:26">
      <c r="V3392" s="260">
        <f t="shared" ca="1" si="60"/>
        <v>0</v>
      </c>
      <c r="W3392" s="348" t="str">
        <f>IF(板块成分!B3394="","",板块成分!B3394)</f>
        <v>600671.SH</v>
      </c>
      <c r="X3392" s="276" t="str">
        <f>[1]!S_Info_Name(W3392)</f>
        <v>天目药业</v>
      </c>
      <c r="Y3392" s="276" t="str">
        <f ca="1">IF($Y$3="申万一级行业",[1]!s_info_industry_sw_2021(W3392,公司分析!D$5,1),IF($Y$3="申万二级行业",[1]!s_info_industry_sw_2021(W3392,公司分析!D$5,2),IF($Y$3="申万三级行业",[1]!s_info_industry_sw_2021(W3392,公司分析!D$5,3),IF($Y$3="wind一级行业",[1]!s_info_industry_gics(W3392,1),IF($Y$3="wind二级行业",[1]!s_info_industry_gics(W3392,2),IF($Y$3="wind三级行业",[1]!s_info_industry_gics(W3392,3),IF($Y$3="wind四级行业",[1]!s_info_industry_gics(W3392,4),IF($Y$3="证监会门类行业",[1]!s_info_industry_csrc12_n(W3392,公司分析!D$5,1),""))))))))</f>
        <v>中药Ⅱ</v>
      </c>
      <c r="Z3392" s="302" t="str">
        <f ca="1">IF(Y3392=行业比较!$E$6,ROW(),"")</f>
        <v/>
      </c>
    </row>
    <row r="3393" spans="22:26">
      <c r="V3393" s="260">
        <f t="shared" ca="1" si="60"/>
        <v>0</v>
      </c>
      <c r="W3393" s="348" t="str">
        <f>IF(板块成分!B3395="","",板块成分!B3395)</f>
        <v>600673.SH</v>
      </c>
      <c r="X3393" s="276" t="str">
        <f>[1]!S_Info_Name(W3393)</f>
        <v>东阳光</v>
      </c>
      <c r="Y3393" s="276" t="str">
        <f ca="1">IF($Y$3="申万一级行业",[1]!s_info_industry_sw_2021(W3393,公司分析!D$5,1),IF($Y$3="申万二级行业",[1]!s_info_industry_sw_2021(W3393,公司分析!D$5,2),IF($Y$3="申万三级行业",[1]!s_info_industry_sw_2021(W3393,公司分析!D$5,3),IF($Y$3="wind一级行业",[1]!s_info_industry_gics(W3393,1),IF($Y$3="wind二级行业",[1]!s_info_industry_gics(W3393,2),IF($Y$3="wind三级行业",[1]!s_info_industry_gics(W3393,3),IF($Y$3="wind四级行业",[1]!s_info_industry_gics(W3393,4),IF($Y$3="证监会门类行业",[1]!s_info_industry_csrc12_n(W3393,公司分析!D$5,1),""))))))))</f>
        <v>综合Ⅱ</v>
      </c>
      <c r="Z3393" s="302" t="str">
        <f ca="1">IF(Y3393=行业比较!$E$6,ROW(),"")</f>
        <v/>
      </c>
    </row>
    <row r="3394" spans="22:26">
      <c r="V3394" s="260">
        <f t="shared" ca="1" si="60"/>
        <v>0</v>
      </c>
      <c r="W3394" s="348" t="str">
        <f>IF(板块成分!B3396="","",板块成分!B3396)</f>
        <v>600674.SH</v>
      </c>
      <c r="X3394" s="276" t="str">
        <f>[1]!S_Info_Name(W3394)</f>
        <v>川投能源</v>
      </c>
      <c r="Y3394" s="276" t="str">
        <f ca="1">IF($Y$3="申万一级行业",[1]!s_info_industry_sw_2021(W3394,公司分析!D$5,1),IF($Y$3="申万二级行业",[1]!s_info_industry_sw_2021(W3394,公司分析!D$5,2),IF($Y$3="申万三级行业",[1]!s_info_industry_sw_2021(W3394,公司分析!D$5,3),IF($Y$3="wind一级行业",[1]!s_info_industry_gics(W3394,1),IF($Y$3="wind二级行业",[1]!s_info_industry_gics(W3394,2),IF($Y$3="wind三级行业",[1]!s_info_industry_gics(W3394,3),IF($Y$3="wind四级行业",[1]!s_info_industry_gics(W3394,4),IF($Y$3="证监会门类行业",[1]!s_info_industry_csrc12_n(W3394,公司分析!D$5,1),""))))))))</f>
        <v>电力</v>
      </c>
      <c r="Z3394" s="302" t="str">
        <f ca="1">IF(Y3394=行业比较!$E$6,ROW(),"")</f>
        <v/>
      </c>
    </row>
    <row r="3395" spans="22:26">
      <c r="V3395" s="260">
        <f t="shared" ca="1" si="60"/>
        <v>0</v>
      </c>
      <c r="W3395" s="348" t="str">
        <f>IF(板块成分!B3397="","",板块成分!B3397)</f>
        <v>600675.SH</v>
      </c>
      <c r="X3395" s="276" t="str">
        <f>[1]!S_Info_Name(W3395)</f>
        <v>中华企业</v>
      </c>
      <c r="Y3395" s="276" t="str">
        <f ca="1">IF($Y$3="申万一级行业",[1]!s_info_industry_sw_2021(W3395,公司分析!D$5,1),IF($Y$3="申万二级行业",[1]!s_info_industry_sw_2021(W3395,公司分析!D$5,2),IF($Y$3="申万三级行业",[1]!s_info_industry_sw_2021(W3395,公司分析!D$5,3),IF($Y$3="wind一级行业",[1]!s_info_industry_gics(W3395,1),IF($Y$3="wind二级行业",[1]!s_info_industry_gics(W3395,2),IF($Y$3="wind三级行业",[1]!s_info_industry_gics(W3395,3),IF($Y$3="wind四级行业",[1]!s_info_industry_gics(W3395,4),IF($Y$3="证监会门类行业",[1]!s_info_industry_csrc12_n(W3395,公司分析!D$5,1),""))))))))</f>
        <v>房地产开发</v>
      </c>
      <c r="Z3395" s="302" t="str">
        <f ca="1">IF(Y3395=行业比较!$E$6,ROW(),"")</f>
        <v/>
      </c>
    </row>
    <row r="3396" spans="22:26">
      <c r="V3396" s="260">
        <f t="shared" ca="1" si="60"/>
        <v>0</v>
      </c>
      <c r="W3396" s="348" t="str">
        <f>IF(板块成分!B3398="","",板块成分!B3398)</f>
        <v>600676.SH</v>
      </c>
      <c r="X3396" s="276" t="str">
        <f>[1]!S_Info_Name(W3396)</f>
        <v>交运股份</v>
      </c>
      <c r="Y3396" s="276" t="str">
        <f ca="1">IF($Y$3="申万一级行业",[1]!s_info_industry_sw_2021(W3396,公司分析!D$5,1),IF($Y$3="申万二级行业",[1]!s_info_industry_sw_2021(W3396,公司分析!D$5,2),IF($Y$3="申万三级行业",[1]!s_info_industry_sw_2021(W3396,公司分析!D$5,3),IF($Y$3="wind一级行业",[1]!s_info_industry_gics(W3396,1),IF($Y$3="wind二级行业",[1]!s_info_industry_gics(W3396,2),IF($Y$3="wind三级行业",[1]!s_info_industry_gics(W3396,3),IF($Y$3="wind四级行业",[1]!s_info_industry_gics(W3396,4),IF($Y$3="证监会门类行业",[1]!s_info_industry_csrc12_n(W3396,公司分析!D$5,1),""))))))))</f>
        <v>汽车服务</v>
      </c>
      <c r="Z3396" s="302" t="str">
        <f ca="1">IF(Y3396=行业比较!$E$6,ROW(),"")</f>
        <v/>
      </c>
    </row>
    <row r="3397" spans="22:26">
      <c r="V3397" s="260">
        <f t="shared" ref="V3397:V3460" ca="1" si="61">IF(Z3397="",0,RANK(Z3397,Z:Z,1))</f>
        <v>0</v>
      </c>
      <c r="W3397" s="348" t="str">
        <f>IF(板块成分!B3399="","",板块成分!B3399)</f>
        <v>600678.SH</v>
      </c>
      <c r="X3397" s="276" t="str">
        <f>[1]!S_Info_Name(W3397)</f>
        <v>四川金顶</v>
      </c>
      <c r="Y3397" s="276" t="str">
        <f ca="1">IF($Y$3="申万一级行业",[1]!s_info_industry_sw_2021(W3397,公司分析!D$5,1),IF($Y$3="申万二级行业",[1]!s_info_industry_sw_2021(W3397,公司分析!D$5,2),IF($Y$3="申万三级行业",[1]!s_info_industry_sw_2021(W3397,公司分析!D$5,3),IF($Y$3="wind一级行业",[1]!s_info_industry_gics(W3397,1),IF($Y$3="wind二级行业",[1]!s_info_industry_gics(W3397,2),IF($Y$3="wind三级行业",[1]!s_info_industry_gics(W3397,3),IF($Y$3="wind四级行业",[1]!s_info_industry_gics(W3397,4),IF($Y$3="证监会门类行业",[1]!s_info_industry_csrc12_n(W3397,公司分析!D$5,1),""))))))))</f>
        <v>水泥</v>
      </c>
      <c r="Z3397" s="302" t="str">
        <f ca="1">IF(Y3397=行业比较!$E$6,ROW(),"")</f>
        <v/>
      </c>
    </row>
    <row r="3398" spans="22:26">
      <c r="V3398" s="260">
        <f t="shared" ca="1" si="61"/>
        <v>0</v>
      </c>
      <c r="W3398" s="348" t="str">
        <f>IF(板块成分!B3400="","",板块成分!B3400)</f>
        <v>600679.SH</v>
      </c>
      <c r="X3398" s="276" t="str">
        <f>[1]!S_Info_Name(W3398)</f>
        <v>上海凤凰</v>
      </c>
      <c r="Y3398" s="276" t="str">
        <f ca="1">IF($Y$3="申万一级行业",[1]!s_info_industry_sw_2021(W3398,公司分析!D$5,1),IF($Y$3="申万二级行业",[1]!s_info_industry_sw_2021(W3398,公司分析!D$5,2),IF($Y$3="申万三级行业",[1]!s_info_industry_sw_2021(W3398,公司分析!D$5,3),IF($Y$3="wind一级行业",[1]!s_info_industry_gics(W3398,1),IF($Y$3="wind二级行业",[1]!s_info_industry_gics(W3398,2),IF($Y$3="wind三级行业",[1]!s_info_industry_gics(W3398,3),IF($Y$3="wind四级行业",[1]!s_info_industry_gics(W3398,4),IF($Y$3="证监会门类行业",[1]!s_info_industry_csrc12_n(W3398,公司分析!D$5,1),""))))))))</f>
        <v>摩托车及其他</v>
      </c>
      <c r="Z3398" s="302" t="str">
        <f ca="1">IF(Y3398=行业比较!$E$6,ROW(),"")</f>
        <v/>
      </c>
    </row>
    <row r="3399" spans="22:26">
      <c r="V3399" s="260">
        <f t="shared" ca="1" si="61"/>
        <v>0</v>
      </c>
      <c r="W3399" s="348" t="str">
        <f>IF(板块成分!B3401="","",板块成分!B3401)</f>
        <v>600681.SH</v>
      </c>
      <c r="X3399" s="276" t="str">
        <f>[1]!S_Info_Name(W3399)</f>
        <v>百川能源</v>
      </c>
      <c r="Y3399" s="276" t="str">
        <f ca="1">IF($Y$3="申万一级行业",[1]!s_info_industry_sw_2021(W3399,公司分析!D$5,1),IF($Y$3="申万二级行业",[1]!s_info_industry_sw_2021(W3399,公司分析!D$5,2),IF($Y$3="申万三级行业",[1]!s_info_industry_sw_2021(W3399,公司分析!D$5,3),IF($Y$3="wind一级行业",[1]!s_info_industry_gics(W3399,1),IF($Y$3="wind二级行业",[1]!s_info_industry_gics(W3399,2),IF($Y$3="wind三级行业",[1]!s_info_industry_gics(W3399,3),IF($Y$3="wind四级行业",[1]!s_info_industry_gics(W3399,4),IF($Y$3="证监会门类行业",[1]!s_info_industry_csrc12_n(W3399,公司分析!D$5,1),""))))))))</f>
        <v>燃气Ⅱ</v>
      </c>
      <c r="Z3399" s="302" t="str">
        <f ca="1">IF(Y3399=行业比较!$E$6,ROW(),"")</f>
        <v/>
      </c>
    </row>
    <row r="3400" spans="22:26">
      <c r="V3400" s="260">
        <f t="shared" ca="1" si="61"/>
        <v>0</v>
      </c>
      <c r="W3400" s="348" t="str">
        <f>IF(板块成分!B3402="","",板块成分!B3402)</f>
        <v>600682.SH</v>
      </c>
      <c r="X3400" s="276" t="str">
        <f>[1]!S_Info_Name(W3400)</f>
        <v>南京新百</v>
      </c>
      <c r="Y3400" s="276" t="str">
        <f ca="1">IF($Y$3="申万一级行业",[1]!s_info_industry_sw_2021(W3400,公司分析!D$5,1),IF($Y$3="申万二级行业",[1]!s_info_industry_sw_2021(W3400,公司分析!D$5,2),IF($Y$3="申万三级行业",[1]!s_info_industry_sw_2021(W3400,公司分析!D$5,3),IF($Y$3="wind一级行业",[1]!s_info_industry_gics(W3400,1),IF($Y$3="wind二级行业",[1]!s_info_industry_gics(W3400,2),IF($Y$3="wind三级行业",[1]!s_info_industry_gics(W3400,3),IF($Y$3="wind四级行业",[1]!s_info_industry_gics(W3400,4),IF($Y$3="证监会门类行业",[1]!s_info_industry_csrc12_n(W3400,公司分析!D$5,1),""))))))))</f>
        <v>综合Ⅱ</v>
      </c>
      <c r="Z3400" s="302" t="str">
        <f ca="1">IF(Y3400=行业比较!$E$6,ROW(),"")</f>
        <v/>
      </c>
    </row>
    <row r="3401" spans="22:26">
      <c r="V3401" s="260">
        <f t="shared" ca="1" si="61"/>
        <v>0</v>
      </c>
      <c r="W3401" s="348" t="str">
        <f>IF(板块成分!B3403="","",板块成分!B3403)</f>
        <v>600683.SH</v>
      </c>
      <c r="X3401" s="276" t="str">
        <f>[1]!S_Info_Name(W3401)</f>
        <v>京投发展</v>
      </c>
      <c r="Y3401" s="276" t="str">
        <f ca="1">IF($Y$3="申万一级行业",[1]!s_info_industry_sw_2021(W3401,公司分析!D$5,1),IF($Y$3="申万二级行业",[1]!s_info_industry_sw_2021(W3401,公司分析!D$5,2),IF($Y$3="申万三级行业",[1]!s_info_industry_sw_2021(W3401,公司分析!D$5,3),IF($Y$3="wind一级行业",[1]!s_info_industry_gics(W3401,1),IF($Y$3="wind二级行业",[1]!s_info_industry_gics(W3401,2),IF($Y$3="wind三级行业",[1]!s_info_industry_gics(W3401,3),IF($Y$3="wind四级行业",[1]!s_info_industry_gics(W3401,4),IF($Y$3="证监会门类行业",[1]!s_info_industry_csrc12_n(W3401,公司分析!D$5,1),""))))))))</f>
        <v>房地产开发</v>
      </c>
      <c r="Z3401" s="302" t="str">
        <f ca="1">IF(Y3401=行业比较!$E$6,ROW(),"")</f>
        <v/>
      </c>
    </row>
    <row r="3402" spans="22:26">
      <c r="V3402" s="260">
        <f t="shared" ca="1" si="61"/>
        <v>0</v>
      </c>
      <c r="W3402" s="348" t="str">
        <f>IF(板块成分!B3404="","",板块成分!B3404)</f>
        <v>600684.SH</v>
      </c>
      <c r="X3402" s="276" t="str">
        <f>[1]!S_Info_Name(W3402)</f>
        <v>珠江股份</v>
      </c>
      <c r="Y3402" s="276" t="str">
        <f ca="1">IF($Y$3="申万一级行业",[1]!s_info_industry_sw_2021(W3402,公司分析!D$5,1),IF($Y$3="申万二级行业",[1]!s_info_industry_sw_2021(W3402,公司分析!D$5,2),IF($Y$3="申万三级行业",[1]!s_info_industry_sw_2021(W3402,公司分析!D$5,3),IF($Y$3="wind一级行业",[1]!s_info_industry_gics(W3402,1),IF($Y$3="wind二级行业",[1]!s_info_industry_gics(W3402,2),IF($Y$3="wind三级行业",[1]!s_info_industry_gics(W3402,3),IF($Y$3="wind四级行业",[1]!s_info_industry_gics(W3402,4),IF($Y$3="证监会门类行业",[1]!s_info_industry_csrc12_n(W3402,公司分析!D$5,1),""))))))))</f>
        <v>房地产服务</v>
      </c>
      <c r="Z3402" s="302" t="str">
        <f ca="1">IF(Y3402=行业比较!$E$6,ROW(),"")</f>
        <v/>
      </c>
    </row>
    <row r="3403" spans="22:26">
      <c r="V3403" s="260">
        <f t="shared" ca="1" si="61"/>
        <v>0</v>
      </c>
      <c r="W3403" s="348" t="str">
        <f>IF(板块成分!B3405="","",板块成分!B3405)</f>
        <v>600685.SH</v>
      </c>
      <c r="X3403" s="276" t="str">
        <f>[1]!S_Info_Name(W3403)</f>
        <v>中船防务</v>
      </c>
      <c r="Y3403" s="276" t="str">
        <f ca="1">IF($Y$3="申万一级行业",[1]!s_info_industry_sw_2021(W3403,公司分析!D$5,1),IF($Y$3="申万二级行业",[1]!s_info_industry_sw_2021(W3403,公司分析!D$5,2),IF($Y$3="申万三级行业",[1]!s_info_industry_sw_2021(W3403,公司分析!D$5,3),IF($Y$3="wind一级行业",[1]!s_info_industry_gics(W3403,1),IF($Y$3="wind二级行业",[1]!s_info_industry_gics(W3403,2),IF($Y$3="wind三级行业",[1]!s_info_industry_gics(W3403,3),IF($Y$3="wind四级行业",[1]!s_info_industry_gics(W3403,4),IF($Y$3="证监会门类行业",[1]!s_info_industry_csrc12_n(W3403,公司分析!D$5,1),""))))))))</f>
        <v>航海装备Ⅱ</v>
      </c>
      <c r="Z3403" s="302" t="str">
        <f ca="1">IF(Y3403=行业比较!$E$6,ROW(),"")</f>
        <v/>
      </c>
    </row>
    <row r="3404" spans="22:26">
      <c r="V3404" s="260">
        <f t="shared" ca="1" si="61"/>
        <v>0</v>
      </c>
      <c r="W3404" s="348" t="str">
        <f>IF(板块成分!B3406="","",板块成分!B3406)</f>
        <v>600686.SH</v>
      </c>
      <c r="X3404" s="276" t="str">
        <f>[1]!S_Info_Name(W3404)</f>
        <v>金龙汽车</v>
      </c>
      <c r="Y3404" s="276" t="str">
        <f ca="1">IF($Y$3="申万一级行业",[1]!s_info_industry_sw_2021(W3404,公司分析!D$5,1),IF($Y$3="申万二级行业",[1]!s_info_industry_sw_2021(W3404,公司分析!D$5,2),IF($Y$3="申万三级行业",[1]!s_info_industry_sw_2021(W3404,公司分析!D$5,3),IF($Y$3="wind一级行业",[1]!s_info_industry_gics(W3404,1),IF($Y$3="wind二级行业",[1]!s_info_industry_gics(W3404,2),IF($Y$3="wind三级行业",[1]!s_info_industry_gics(W3404,3),IF($Y$3="wind四级行业",[1]!s_info_industry_gics(W3404,4),IF($Y$3="证监会门类行业",[1]!s_info_industry_csrc12_n(W3404,公司分析!D$5,1),""))))))))</f>
        <v>商用车</v>
      </c>
      <c r="Z3404" s="302" t="str">
        <f ca="1">IF(Y3404=行业比较!$E$6,ROW(),"")</f>
        <v/>
      </c>
    </row>
    <row r="3405" spans="22:26">
      <c r="V3405" s="260">
        <f t="shared" ca="1" si="61"/>
        <v>0</v>
      </c>
      <c r="W3405" s="348" t="str">
        <f>IF(板块成分!B3407="","",板块成分!B3407)</f>
        <v>600688.SH</v>
      </c>
      <c r="X3405" s="276" t="str">
        <f>[1]!S_Info_Name(W3405)</f>
        <v>上海石化</v>
      </c>
      <c r="Y3405" s="276" t="str">
        <f ca="1">IF($Y$3="申万一级行业",[1]!s_info_industry_sw_2021(W3405,公司分析!D$5,1),IF($Y$3="申万二级行业",[1]!s_info_industry_sw_2021(W3405,公司分析!D$5,2),IF($Y$3="申万三级行业",[1]!s_info_industry_sw_2021(W3405,公司分析!D$5,3),IF($Y$3="wind一级行业",[1]!s_info_industry_gics(W3405,1),IF($Y$3="wind二级行业",[1]!s_info_industry_gics(W3405,2),IF($Y$3="wind三级行业",[1]!s_info_industry_gics(W3405,3),IF($Y$3="wind四级行业",[1]!s_info_industry_gics(W3405,4),IF($Y$3="证监会门类行业",[1]!s_info_industry_csrc12_n(W3405,公司分析!D$5,1),""))))))))</f>
        <v>炼化及贸易</v>
      </c>
      <c r="Z3405" s="302" t="str">
        <f ca="1">IF(Y3405=行业比较!$E$6,ROW(),"")</f>
        <v/>
      </c>
    </row>
    <row r="3406" spans="22:26">
      <c r="V3406" s="260">
        <f t="shared" ca="1" si="61"/>
        <v>0</v>
      </c>
      <c r="W3406" s="348" t="str">
        <f>IF(板块成分!B3408="","",板块成分!B3408)</f>
        <v>600689.SH</v>
      </c>
      <c r="X3406" s="276" t="str">
        <f>[1]!S_Info_Name(W3406)</f>
        <v>上海三毛</v>
      </c>
      <c r="Y3406" s="276" t="str">
        <f ca="1">IF($Y$3="申万一级行业",[1]!s_info_industry_sw_2021(W3406,公司分析!D$5,1),IF($Y$3="申万二级行业",[1]!s_info_industry_sw_2021(W3406,公司分析!D$5,2),IF($Y$3="申万三级行业",[1]!s_info_industry_sw_2021(W3406,公司分析!D$5,3),IF($Y$3="wind一级行业",[1]!s_info_industry_gics(W3406,1),IF($Y$3="wind二级行业",[1]!s_info_industry_gics(W3406,2),IF($Y$3="wind三级行业",[1]!s_info_industry_gics(W3406,3),IF($Y$3="wind四级行业",[1]!s_info_industry_gics(W3406,4),IF($Y$3="证监会门类行业",[1]!s_info_industry_csrc12_n(W3406,公司分析!D$5,1),""))))))))</f>
        <v>综合Ⅱ</v>
      </c>
      <c r="Z3406" s="302" t="str">
        <f ca="1">IF(Y3406=行业比较!$E$6,ROW(),"")</f>
        <v/>
      </c>
    </row>
    <row r="3407" spans="22:26">
      <c r="V3407" s="260">
        <f t="shared" ca="1" si="61"/>
        <v>0</v>
      </c>
      <c r="W3407" s="348" t="str">
        <f>IF(板块成分!B3409="","",板块成分!B3409)</f>
        <v>600690.SH</v>
      </c>
      <c r="X3407" s="276" t="str">
        <f>[1]!S_Info_Name(W3407)</f>
        <v>海尔智家</v>
      </c>
      <c r="Y3407" s="276" t="str">
        <f ca="1">IF($Y$3="申万一级行业",[1]!s_info_industry_sw_2021(W3407,公司分析!D$5,1),IF($Y$3="申万二级行业",[1]!s_info_industry_sw_2021(W3407,公司分析!D$5,2),IF($Y$3="申万三级行业",[1]!s_info_industry_sw_2021(W3407,公司分析!D$5,3),IF($Y$3="wind一级行业",[1]!s_info_industry_gics(W3407,1),IF($Y$3="wind二级行业",[1]!s_info_industry_gics(W3407,2),IF($Y$3="wind三级行业",[1]!s_info_industry_gics(W3407,3),IF($Y$3="wind四级行业",[1]!s_info_industry_gics(W3407,4),IF($Y$3="证监会门类行业",[1]!s_info_industry_csrc12_n(W3407,公司分析!D$5,1),""))))))))</f>
        <v>白色家电</v>
      </c>
      <c r="Z3407" s="302" t="str">
        <f ca="1">IF(Y3407=行业比较!$E$6,ROW(),"")</f>
        <v/>
      </c>
    </row>
    <row r="3408" spans="22:26">
      <c r="V3408" s="260">
        <f t="shared" ca="1" si="61"/>
        <v>0</v>
      </c>
      <c r="W3408" s="348" t="str">
        <f>IF(板块成分!B3410="","",板块成分!B3410)</f>
        <v>600691.SH</v>
      </c>
      <c r="X3408" s="276" t="str">
        <f>[1]!S_Info_Name(W3408)</f>
        <v>潞化科技</v>
      </c>
      <c r="Y3408" s="276" t="str">
        <f ca="1">IF($Y$3="申万一级行业",[1]!s_info_industry_sw_2021(W3408,公司分析!D$5,1),IF($Y$3="申万二级行业",[1]!s_info_industry_sw_2021(W3408,公司分析!D$5,2),IF($Y$3="申万三级行业",[1]!s_info_industry_sw_2021(W3408,公司分析!D$5,3),IF($Y$3="wind一级行业",[1]!s_info_industry_gics(W3408,1),IF($Y$3="wind二级行业",[1]!s_info_industry_gics(W3408,2),IF($Y$3="wind三级行业",[1]!s_info_industry_gics(W3408,3),IF($Y$3="wind四级行业",[1]!s_info_industry_gics(W3408,4),IF($Y$3="证监会门类行业",[1]!s_info_industry_csrc12_n(W3408,公司分析!D$5,1),""))))))))</f>
        <v>农化制品</v>
      </c>
      <c r="Z3408" s="302" t="str">
        <f ca="1">IF(Y3408=行业比较!$E$6,ROW(),"")</f>
        <v/>
      </c>
    </row>
    <row r="3409" spans="22:26">
      <c r="V3409" s="260">
        <f t="shared" ca="1" si="61"/>
        <v>0</v>
      </c>
      <c r="W3409" s="348" t="str">
        <f>IF(板块成分!B3411="","",板块成分!B3411)</f>
        <v>600692.SH</v>
      </c>
      <c r="X3409" s="276" t="str">
        <f>[1]!S_Info_Name(W3409)</f>
        <v>亚通股份</v>
      </c>
      <c r="Y3409" s="276" t="str">
        <f ca="1">IF($Y$3="申万一级行业",[1]!s_info_industry_sw_2021(W3409,公司分析!D$5,1),IF($Y$3="申万二级行业",[1]!s_info_industry_sw_2021(W3409,公司分析!D$5,2),IF($Y$3="申万三级行业",[1]!s_info_industry_sw_2021(W3409,公司分析!D$5,3),IF($Y$3="wind一级行业",[1]!s_info_industry_gics(W3409,1),IF($Y$3="wind二级行业",[1]!s_info_industry_gics(W3409,2),IF($Y$3="wind三级行业",[1]!s_info_industry_gics(W3409,3),IF($Y$3="wind四级行业",[1]!s_info_industry_gics(W3409,4),IF($Y$3="证监会门类行业",[1]!s_info_industry_csrc12_n(W3409,公司分析!D$5,1),""))))))))</f>
        <v>房地产开发</v>
      </c>
      <c r="Z3409" s="302" t="str">
        <f ca="1">IF(Y3409=行业比较!$E$6,ROW(),"")</f>
        <v/>
      </c>
    </row>
    <row r="3410" spans="22:26">
      <c r="V3410" s="260">
        <f t="shared" ca="1" si="61"/>
        <v>0</v>
      </c>
      <c r="W3410" s="348" t="str">
        <f>IF(板块成分!B3412="","",板块成分!B3412)</f>
        <v>600693.SH</v>
      </c>
      <c r="X3410" s="276" t="str">
        <f>[1]!S_Info_Name(W3410)</f>
        <v>东百集团</v>
      </c>
      <c r="Y3410" s="276" t="str">
        <f ca="1">IF($Y$3="申万一级行业",[1]!s_info_industry_sw_2021(W3410,公司分析!D$5,1),IF($Y$3="申万二级行业",[1]!s_info_industry_sw_2021(W3410,公司分析!D$5,2),IF($Y$3="申万三级行业",[1]!s_info_industry_sw_2021(W3410,公司分析!D$5,3),IF($Y$3="wind一级行业",[1]!s_info_industry_gics(W3410,1),IF($Y$3="wind二级行业",[1]!s_info_industry_gics(W3410,2),IF($Y$3="wind三级行业",[1]!s_info_industry_gics(W3410,3),IF($Y$3="wind四级行业",[1]!s_info_industry_gics(W3410,4),IF($Y$3="证监会门类行业",[1]!s_info_industry_csrc12_n(W3410,公司分析!D$5,1),""))))))))</f>
        <v>一般零售</v>
      </c>
      <c r="Z3410" s="302" t="str">
        <f ca="1">IF(Y3410=行业比较!$E$6,ROW(),"")</f>
        <v/>
      </c>
    </row>
    <row r="3411" spans="22:26">
      <c r="V3411" s="260">
        <f t="shared" ca="1" si="61"/>
        <v>0</v>
      </c>
      <c r="W3411" s="348" t="str">
        <f>IF(板块成分!B3413="","",板块成分!B3413)</f>
        <v>600694.SH</v>
      </c>
      <c r="X3411" s="276" t="str">
        <f>[1]!S_Info_Name(W3411)</f>
        <v>大商股份</v>
      </c>
      <c r="Y3411" s="276" t="str">
        <f ca="1">IF($Y$3="申万一级行业",[1]!s_info_industry_sw_2021(W3411,公司分析!D$5,1),IF($Y$3="申万二级行业",[1]!s_info_industry_sw_2021(W3411,公司分析!D$5,2),IF($Y$3="申万三级行业",[1]!s_info_industry_sw_2021(W3411,公司分析!D$5,3),IF($Y$3="wind一级行业",[1]!s_info_industry_gics(W3411,1),IF($Y$3="wind二级行业",[1]!s_info_industry_gics(W3411,2),IF($Y$3="wind三级行业",[1]!s_info_industry_gics(W3411,3),IF($Y$3="wind四级行业",[1]!s_info_industry_gics(W3411,4),IF($Y$3="证监会门类行业",[1]!s_info_industry_csrc12_n(W3411,公司分析!D$5,1),""))))))))</f>
        <v>一般零售</v>
      </c>
      <c r="Z3411" s="302" t="str">
        <f ca="1">IF(Y3411=行业比较!$E$6,ROW(),"")</f>
        <v/>
      </c>
    </row>
    <row r="3412" spans="22:26">
      <c r="V3412" s="260">
        <f t="shared" ca="1" si="61"/>
        <v>0</v>
      </c>
      <c r="W3412" s="348" t="str">
        <f>IF(板块成分!B3414="","",板块成分!B3414)</f>
        <v>600696.SH</v>
      </c>
      <c r="X3412" s="276" t="str">
        <f>[1]!S_Info_Name(W3412)</f>
        <v>*ST岩石</v>
      </c>
      <c r="Y3412" s="276" t="str">
        <f ca="1">IF($Y$3="申万一级行业",[1]!s_info_industry_sw_2021(W3412,公司分析!D$5,1),IF($Y$3="申万二级行业",[1]!s_info_industry_sw_2021(W3412,公司分析!D$5,2),IF($Y$3="申万三级行业",[1]!s_info_industry_sw_2021(W3412,公司分析!D$5,3),IF($Y$3="wind一级行业",[1]!s_info_industry_gics(W3412,1),IF($Y$3="wind二级行业",[1]!s_info_industry_gics(W3412,2),IF($Y$3="wind三级行业",[1]!s_info_industry_gics(W3412,3),IF($Y$3="wind四级行业",[1]!s_info_industry_gics(W3412,4),IF($Y$3="证监会门类行业",[1]!s_info_industry_csrc12_n(W3412,公司分析!D$5,1),""))))))))</f>
        <v>白酒Ⅱ</v>
      </c>
      <c r="Z3412" s="302" t="str">
        <f ca="1">IF(Y3412=行业比较!$E$6,ROW(),"")</f>
        <v/>
      </c>
    </row>
    <row r="3413" spans="22:26">
      <c r="V3413" s="260">
        <f t="shared" ca="1" si="61"/>
        <v>0</v>
      </c>
      <c r="W3413" s="348" t="str">
        <f>IF(板块成分!B3415="","",板块成分!B3415)</f>
        <v>600697.SH</v>
      </c>
      <c r="X3413" s="276" t="str">
        <f>[1]!S_Info_Name(W3413)</f>
        <v>欧亚集团</v>
      </c>
      <c r="Y3413" s="276" t="str">
        <f ca="1">IF($Y$3="申万一级行业",[1]!s_info_industry_sw_2021(W3413,公司分析!D$5,1),IF($Y$3="申万二级行业",[1]!s_info_industry_sw_2021(W3413,公司分析!D$5,2),IF($Y$3="申万三级行业",[1]!s_info_industry_sw_2021(W3413,公司分析!D$5,3),IF($Y$3="wind一级行业",[1]!s_info_industry_gics(W3413,1),IF($Y$3="wind二级行业",[1]!s_info_industry_gics(W3413,2),IF($Y$3="wind三级行业",[1]!s_info_industry_gics(W3413,3),IF($Y$3="wind四级行业",[1]!s_info_industry_gics(W3413,4),IF($Y$3="证监会门类行业",[1]!s_info_industry_csrc12_n(W3413,公司分析!D$5,1),""))))))))</f>
        <v>一般零售</v>
      </c>
      <c r="Z3413" s="302" t="str">
        <f ca="1">IF(Y3413=行业比较!$E$6,ROW(),"")</f>
        <v/>
      </c>
    </row>
    <row r="3414" spans="22:26">
      <c r="V3414" s="260">
        <f t="shared" ca="1" si="61"/>
        <v>0</v>
      </c>
      <c r="W3414" s="348" t="str">
        <f>IF(板块成分!B3416="","",板块成分!B3416)</f>
        <v>600698.SH</v>
      </c>
      <c r="X3414" s="276" t="str">
        <f>[1]!S_Info_Name(W3414)</f>
        <v>湖南天雁</v>
      </c>
      <c r="Y3414" s="276" t="str">
        <f ca="1">IF($Y$3="申万一级行业",[1]!s_info_industry_sw_2021(W3414,公司分析!D$5,1),IF($Y$3="申万二级行业",[1]!s_info_industry_sw_2021(W3414,公司分析!D$5,2),IF($Y$3="申万三级行业",[1]!s_info_industry_sw_2021(W3414,公司分析!D$5,3),IF($Y$3="wind一级行业",[1]!s_info_industry_gics(W3414,1),IF($Y$3="wind二级行业",[1]!s_info_industry_gics(W3414,2),IF($Y$3="wind三级行业",[1]!s_info_industry_gics(W3414,3),IF($Y$3="wind四级行业",[1]!s_info_industry_gics(W3414,4),IF($Y$3="证监会门类行业",[1]!s_info_industry_csrc12_n(W3414,公司分析!D$5,1),""))))))))</f>
        <v>汽车零部件</v>
      </c>
      <c r="Z3414" s="302" t="str">
        <f ca="1">IF(Y3414=行业比较!$E$6,ROW(),"")</f>
        <v/>
      </c>
    </row>
    <row r="3415" spans="22:26">
      <c r="V3415" s="260">
        <f t="shared" ca="1" si="61"/>
        <v>0</v>
      </c>
      <c r="W3415" s="348" t="str">
        <f>IF(板块成分!B3417="","",板块成分!B3417)</f>
        <v>600699.SH</v>
      </c>
      <c r="X3415" s="276" t="str">
        <f>[1]!S_Info_Name(W3415)</f>
        <v>均胜电子</v>
      </c>
      <c r="Y3415" s="276" t="str">
        <f ca="1">IF($Y$3="申万一级行业",[1]!s_info_industry_sw_2021(W3415,公司分析!D$5,1),IF($Y$3="申万二级行业",[1]!s_info_industry_sw_2021(W3415,公司分析!D$5,2),IF($Y$3="申万三级行业",[1]!s_info_industry_sw_2021(W3415,公司分析!D$5,3),IF($Y$3="wind一级行业",[1]!s_info_industry_gics(W3415,1),IF($Y$3="wind二级行业",[1]!s_info_industry_gics(W3415,2),IF($Y$3="wind三级行业",[1]!s_info_industry_gics(W3415,3),IF($Y$3="wind四级行业",[1]!s_info_industry_gics(W3415,4),IF($Y$3="证监会门类行业",[1]!s_info_industry_csrc12_n(W3415,公司分析!D$5,1),""))))))))</f>
        <v>汽车零部件</v>
      </c>
      <c r="Z3415" s="302" t="str">
        <f ca="1">IF(Y3415=行业比较!$E$6,ROW(),"")</f>
        <v/>
      </c>
    </row>
    <row r="3416" spans="22:26">
      <c r="V3416" s="260">
        <f t="shared" ca="1" si="61"/>
        <v>0</v>
      </c>
      <c r="W3416" s="348" t="str">
        <f>IF(板块成分!B3418="","",板块成分!B3418)</f>
        <v>600702.SH</v>
      </c>
      <c r="X3416" s="276" t="str">
        <f>[1]!S_Info_Name(W3416)</f>
        <v>舍得酒业</v>
      </c>
      <c r="Y3416" s="276" t="str">
        <f ca="1">IF($Y$3="申万一级行业",[1]!s_info_industry_sw_2021(W3416,公司分析!D$5,1),IF($Y$3="申万二级行业",[1]!s_info_industry_sw_2021(W3416,公司分析!D$5,2),IF($Y$3="申万三级行业",[1]!s_info_industry_sw_2021(W3416,公司分析!D$5,3),IF($Y$3="wind一级行业",[1]!s_info_industry_gics(W3416,1),IF($Y$3="wind二级行业",[1]!s_info_industry_gics(W3416,2),IF($Y$3="wind三级行业",[1]!s_info_industry_gics(W3416,3),IF($Y$3="wind四级行业",[1]!s_info_industry_gics(W3416,4),IF($Y$3="证监会门类行业",[1]!s_info_industry_csrc12_n(W3416,公司分析!D$5,1),""))))))))</f>
        <v>白酒Ⅱ</v>
      </c>
      <c r="Z3416" s="302" t="str">
        <f ca="1">IF(Y3416=行业比较!$E$6,ROW(),"")</f>
        <v/>
      </c>
    </row>
    <row r="3417" spans="22:26">
      <c r="V3417" s="260">
        <f t="shared" ca="1" si="61"/>
        <v>0</v>
      </c>
      <c r="W3417" s="348" t="str">
        <f>IF(板块成分!B3419="","",板块成分!B3419)</f>
        <v>600703.SH</v>
      </c>
      <c r="X3417" s="276" t="str">
        <f>[1]!S_Info_Name(W3417)</f>
        <v>三安光电</v>
      </c>
      <c r="Y3417" s="276" t="str">
        <f ca="1">IF($Y$3="申万一级行业",[1]!s_info_industry_sw_2021(W3417,公司分析!D$5,1),IF($Y$3="申万二级行业",[1]!s_info_industry_sw_2021(W3417,公司分析!D$5,2),IF($Y$3="申万三级行业",[1]!s_info_industry_sw_2021(W3417,公司分析!D$5,3),IF($Y$3="wind一级行业",[1]!s_info_industry_gics(W3417,1),IF($Y$3="wind二级行业",[1]!s_info_industry_gics(W3417,2),IF($Y$3="wind三级行业",[1]!s_info_industry_gics(W3417,3),IF($Y$3="wind四级行业",[1]!s_info_industry_gics(W3417,4),IF($Y$3="证监会门类行业",[1]!s_info_industry_csrc12_n(W3417,公司分析!D$5,1),""))))))))</f>
        <v>光学光电子</v>
      </c>
      <c r="Z3417" s="302" t="str">
        <f ca="1">IF(Y3417=行业比较!$E$6,ROW(),"")</f>
        <v/>
      </c>
    </row>
    <row r="3418" spans="22:26">
      <c r="V3418" s="260">
        <f t="shared" ca="1" si="61"/>
        <v>0</v>
      </c>
      <c r="W3418" s="348" t="str">
        <f>IF(板块成分!B3420="","",板块成分!B3420)</f>
        <v>600704.SH</v>
      </c>
      <c r="X3418" s="276" t="str">
        <f>[1]!S_Info_Name(W3418)</f>
        <v>物产中大</v>
      </c>
      <c r="Y3418" s="276" t="str">
        <f ca="1">IF($Y$3="申万一级行业",[1]!s_info_industry_sw_2021(W3418,公司分析!D$5,1),IF($Y$3="申万二级行业",[1]!s_info_industry_sw_2021(W3418,公司分析!D$5,2),IF($Y$3="申万三级行业",[1]!s_info_industry_sw_2021(W3418,公司分析!D$5,3),IF($Y$3="wind一级行业",[1]!s_info_industry_gics(W3418,1),IF($Y$3="wind二级行业",[1]!s_info_industry_gics(W3418,2),IF($Y$3="wind三级行业",[1]!s_info_industry_gics(W3418,3),IF($Y$3="wind四级行业",[1]!s_info_industry_gics(W3418,4),IF($Y$3="证监会门类行业",[1]!s_info_industry_csrc12_n(W3418,公司分析!D$5,1),""))))))))</f>
        <v>物流</v>
      </c>
      <c r="Z3418" s="302" t="str">
        <f ca="1">IF(Y3418=行业比较!$E$6,ROW(),"")</f>
        <v/>
      </c>
    </row>
    <row r="3419" spans="22:26">
      <c r="V3419" s="260">
        <f t="shared" ca="1" si="61"/>
        <v>0</v>
      </c>
      <c r="W3419" s="348" t="str">
        <f>IF(板块成分!B3421="","",板块成分!B3421)</f>
        <v>600706.SH</v>
      </c>
      <c r="X3419" s="276" t="str">
        <f>[1]!S_Info_Name(W3419)</f>
        <v>曲江文旅</v>
      </c>
      <c r="Y3419" s="276" t="str">
        <f ca="1">IF($Y$3="申万一级行业",[1]!s_info_industry_sw_2021(W3419,公司分析!D$5,1),IF($Y$3="申万二级行业",[1]!s_info_industry_sw_2021(W3419,公司分析!D$5,2),IF($Y$3="申万三级行业",[1]!s_info_industry_sw_2021(W3419,公司分析!D$5,3),IF($Y$3="wind一级行业",[1]!s_info_industry_gics(W3419,1),IF($Y$3="wind二级行业",[1]!s_info_industry_gics(W3419,2),IF($Y$3="wind三级行业",[1]!s_info_industry_gics(W3419,3),IF($Y$3="wind四级行业",[1]!s_info_industry_gics(W3419,4),IF($Y$3="证监会门类行业",[1]!s_info_industry_csrc12_n(W3419,公司分析!D$5,1),""))))))))</f>
        <v>旅游及景区</v>
      </c>
      <c r="Z3419" s="302" t="str">
        <f ca="1">IF(Y3419=行业比较!$E$6,ROW(),"")</f>
        <v/>
      </c>
    </row>
    <row r="3420" spans="22:26">
      <c r="V3420" s="260">
        <f t="shared" ca="1" si="61"/>
        <v>0</v>
      </c>
      <c r="W3420" s="348" t="str">
        <f>IF(板块成分!B3422="","",板块成分!B3422)</f>
        <v>600707.SH</v>
      </c>
      <c r="X3420" s="276" t="str">
        <f>[1]!S_Info_Name(W3420)</f>
        <v>彩虹股份</v>
      </c>
      <c r="Y3420" s="276" t="str">
        <f ca="1">IF($Y$3="申万一级行业",[1]!s_info_industry_sw_2021(W3420,公司分析!D$5,1),IF($Y$3="申万二级行业",[1]!s_info_industry_sw_2021(W3420,公司分析!D$5,2),IF($Y$3="申万三级行业",[1]!s_info_industry_sw_2021(W3420,公司分析!D$5,3),IF($Y$3="wind一级行业",[1]!s_info_industry_gics(W3420,1),IF($Y$3="wind二级行业",[1]!s_info_industry_gics(W3420,2),IF($Y$3="wind三级行业",[1]!s_info_industry_gics(W3420,3),IF($Y$3="wind四级行业",[1]!s_info_industry_gics(W3420,4),IF($Y$3="证监会门类行业",[1]!s_info_industry_csrc12_n(W3420,公司分析!D$5,1),""))))))))</f>
        <v>光学光电子</v>
      </c>
      <c r="Z3420" s="302" t="str">
        <f ca="1">IF(Y3420=行业比较!$E$6,ROW(),"")</f>
        <v/>
      </c>
    </row>
    <row r="3421" spans="22:26">
      <c r="V3421" s="260">
        <f t="shared" ca="1" si="61"/>
        <v>0</v>
      </c>
      <c r="W3421" s="348" t="str">
        <f>IF(板块成分!B3423="","",板块成分!B3423)</f>
        <v>600708.SH</v>
      </c>
      <c r="X3421" s="276" t="str">
        <f>[1]!S_Info_Name(W3421)</f>
        <v>光明地产</v>
      </c>
      <c r="Y3421" s="276" t="str">
        <f ca="1">IF($Y$3="申万一级行业",[1]!s_info_industry_sw_2021(W3421,公司分析!D$5,1),IF($Y$3="申万二级行业",[1]!s_info_industry_sw_2021(W3421,公司分析!D$5,2),IF($Y$3="申万三级行业",[1]!s_info_industry_sw_2021(W3421,公司分析!D$5,3),IF($Y$3="wind一级行业",[1]!s_info_industry_gics(W3421,1),IF($Y$3="wind二级行业",[1]!s_info_industry_gics(W3421,2),IF($Y$3="wind三级行业",[1]!s_info_industry_gics(W3421,3),IF($Y$3="wind四级行业",[1]!s_info_industry_gics(W3421,4),IF($Y$3="证监会门类行业",[1]!s_info_industry_csrc12_n(W3421,公司分析!D$5,1),""))))))))</f>
        <v>房地产开发</v>
      </c>
      <c r="Z3421" s="302" t="str">
        <f ca="1">IF(Y3421=行业比较!$E$6,ROW(),"")</f>
        <v/>
      </c>
    </row>
    <row r="3422" spans="22:26">
      <c r="V3422" s="260">
        <f t="shared" ca="1" si="61"/>
        <v>0</v>
      </c>
      <c r="W3422" s="348" t="str">
        <f>IF(板块成分!B3424="","",板块成分!B3424)</f>
        <v>600710.SH</v>
      </c>
      <c r="X3422" s="276" t="str">
        <f>[1]!S_Info_Name(W3422)</f>
        <v>苏美达</v>
      </c>
      <c r="Y3422" s="276" t="str">
        <f ca="1">IF($Y$3="申万一级行业",[1]!s_info_industry_sw_2021(W3422,公司分析!D$5,1),IF($Y$3="申万二级行业",[1]!s_info_industry_sw_2021(W3422,公司分析!D$5,2),IF($Y$3="申万三级行业",[1]!s_info_industry_sw_2021(W3422,公司分析!D$5,3),IF($Y$3="wind一级行业",[1]!s_info_industry_gics(W3422,1),IF($Y$3="wind二级行业",[1]!s_info_industry_gics(W3422,2),IF($Y$3="wind三级行业",[1]!s_info_industry_gics(W3422,3),IF($Y$3="wind四级行业",[1]!s_info_industry_gics(W3422,4),IF($Y$3="证监会门类行业",[1]!s_info_industry_csrc12_n(W3422,公司分析!D$5,1),""))))))))</f>
        <v>贸易Ⅱ</v>
      </c>
      <c r="Z3422" s="302" t="str">
        <f ca="1">IF(Y3422=行业比较!$E$6,ROW(),"")</f>
        <v/>
      </c>
    </row>
    <row r="3423" spans="22:26">
      <c r="V3423" s="260">
        <f t="shared" ca="1" si="61"/>
        <v>0</v>
      </c>
      <c r="W3423" s="348" t="str">
        <f>IF(板块成分!B3425="","",板块成分!B3425)</f>
        <v>600711.SH</v>
      </c>
      <c r="X3423" s="276" t="str">
        <f>[1]!S_Info_Name(W3423)</f>
        <v>盛屯矿业</v>
      </c>
      <c r="Y3423" s="276" t="str">
        <f ca="1">IF($Y$3="申万一级行业",[1]!s_info_industry_sw_2021(W3423,公司分析!D$5,1),IF($Y$3="申万二级行业",[1]!s_info_industry_sw_2021(W3423,公司分析!D$5,2),IF($Y$3="申万三级行业",[1]!s_info_industry_sw_2021(W3423,公司分析!D$5,3),IF($Y$3="wind一级行业",[1]!s_info_industry_gics(W3423,1),IF($Y$3="wind二级行业",[1]!s_info_industry_gics(W3423,2),IF($Y$3="wind三级行业",[1]!s_info_industry_gics(W3423,3),IF($Y$3="wind四级行业",[1]!s_info_industry_gics(W3423,4),IF($Y$3="证监会门类行业",[1]!s_info_industry_csrc12_n(W3423,公司分析!D$5,1),""))))))))</f>
        <v>能源金属</v>
      </c>
      <c r="Z3423" s="302" t="str">
        <f ca="1">IF(Y3423=行业比较!$E$6,ROW(),"")</f>
        <v/>
      </c>
    </row>
    <row r="3424" spans="22:26">
      <c r="V3424" s="260">
        <f t="shared" ca="1" si="61"/>
        <v>0</v>
      </c>
      <c r="W3424" s="348" t="str">
        <f>IF(板块成分!B3426="","",板块成分!B3426)</f>
        <v>600712.SH</v>
      </c>
      <c r="X3424" s="276" t="str">
        <f>[1]!S_Info_Name(W3424)</f>
        <v>南宁百货</v>
      </c>
      <c r="Y3424" s="276" t="str">
        <f ca="1">IF($Y$3="申万一级行业",[1]!s_info_industry_sw_2021(W3424,公司分析!D$5,1),IF($Y$3="申万二级行业",[1]!s_info_industry_sw_2021(W3424,公司分析!D$5,2),IF($Y$3="申万三级行业",[1]!s_info_industry_sw_2021(W3424,公司分析!D$5,3),IF($Y$3="wind一级行业",[1]!s_info_industry_gics(W3424,1),IF($Y$3="wind二级行业",[1]!s_info_industry_gics(W3424,2),IF($Y$3="wind三级行业",[1]!s_info_industry_gics(W3424,3),IF($Y$3="wind四级行业",[1]!s_info_industry_gics(W3424,4),IF($Y$3="证监会门类行业",[1]!s_info_industry_csrc12_n(W3424,公司分析!D$5,1),""))))))))</f>
        <v>一般零售</v>
      </c>
      <c r="Z3424" s="302" t="str">
        <f ca="1">IF(Y3424=行业比较!$E$6,ROW(),"")</f>
        <v/>
      </c>
    </row>
    <row r="3425" spans="22:26">
      <c r="V3425" s="260">
        <f t="shared" ca="1" si="61"/>
        <v>0</v>
      </c>
      <c r="W3425" s="348" t="str">
        <f>IF(板块成分!B3427="","",板块成分!B3427)</f>
        <v>600713.SH</v>
      </c>
      <c r="X3425" s="276" t="str">
        <f>[1]!S_Info_Name(W3425)</f>
        <v>南京医药</v>
      </c>
      <c r="Y3425" s="276" t="str">
        <f ca="1">IF($Y$3="申万一级行业",[1]!s_info_industry_sw_2021(W3425,公司分析!D$5,1),IF($Y$3="申万二级行业",[1]!s_info_industry_sw_2021(W3425,公司分析!D$5,2),IF($Y$3="申万三级行业",[1]!s_info_industry_sw_2021(W3425,公司分析!D$5,3),IF($Y$3="wind一级行业",[1]!s_info_industry_gics(W3425,1),IF($Y$3="wind二级行业",[1]!s_info_industry_gics(W3425,2),IF($Y$3="wind三级行业",[1]!s_info_industry_gics(W3425,3),IF($Y$3="wind四级行业",[1]!s_info_industry_gics(W3425,4),IF($Y$3="证监会门类行业",[1]!s_info_industry_csrc12_n(W3425,公司分析!D$5,1),""))))))))</f>
        <v>医药商业</v>
      </c>
      <c r="Z3425" s="302" t="str">
        <f ca="1">IF(Y3425=行业比较!$E$6,ROW(),"")</f>
        <v/>
      </c>
    </row>
    <row r="3426" spans="22:26">
      <c r="V3426" s="260">
        <f t="shared" ca="1" si="61"/>
        <v>0</v>
      </c>
      <c r="W3426" s="348" t="str">
        <f>IF(板块成分!B3428="","",板块成分!B3428)</f>
        <v>600714.SH</v>
      </c>
      <c r="X3426" s="276" t="str">
        <f>[1]!S_Info_Name(W3426)</f>
        <v>金瑞矿业</v>
      </c>
      <c r="Y3426" s="276" t="str">
        <f ca="1">IF($Y$3="申万一级行业",[1]!s_info_industry_sw_2021(W3426,公司分析!D$5,1),IF($Y$3="申万二级行业",[1]!s_info_industry_sw_2021(W3426,公司分析!D$5,2),IF($Y$3="申万三级行业",[1]!s_info_industry_sw_2021(W3426,公司分析!D$5,3),IF($Y$3="wind一级行业",[1]!s_info_industry_gics(W3426,1),IF($Y$3="wind二级行业",[1]!s_info_industry_gics(W3426,2),IF($Y$3="wind三级行业",[1]!s_info_industry_gics(W3426,3),IF($Y$3="wind四级行业",[1]!s_info_industry_gics(W3426,4),IF($Y$3="证监会门类行业",[1]!s_info_industry_csrc12_n(W3426,公司分析!D$5,1),""))))))))</f>
        <v>化学原料</v>
      </c>
      <c r="Z3426" s="302" t="str">
        <f ca="1">IF(Y3426=行业比较!$E$6,ROW(),"")</f>
        <v/>
      </c>
    </row>
    <row r="3427" spans="22:26">
      <c r="V3427" s="260">
        <f t="shared" ca="1" si="61"/>
        <v>0</v>
      </c>
      <c r="W3427" s="348" t="str">
        <f>IF(板块成分!B3429="","",板块成分!B3429)</f>
        <v>600715.SH</v>
      </c>
      <c r="X3427" s="276" t="str">
        <f>[1]!S_Info_Name(W3427)</f>
        <v>文投控股</v>
      </c>
      <c r="Y3427" s="276" t="str">
        <f ca="1">IF($Y$3="申万一级行业",[1]!s_info_industry_sw_2021(W3427,公司分析!D$5,1),IF($Y$3="申万二级行业",[1]!s_info_industry_sw_2021(W3427,公司分析!D$5,2),IF($Y$3="申万三级行业",[1]!s_info_industry_sw_2021(W3427,公司分析!D$5,3),IF($Y$3="wind一级行业",[1]!s_info_industry_gics(W3427,1),IF($Y$3="wind二级行业",[1]!s_info_industry_gics(W3427,2),IF($Y$3="wind三级行业",[1]!s_info_industry_gics(W3427,3),IF($Y$3="wind四级行业",[1]!s_info_industry_gics(W3427,4),IF($Y$3="证监会门类行业",[1]!s_info_industry_csrc12_n(W3427,公司分析!D$5,1),""))))))))</f>
        <v>游戏Ⅱ</v>
      </c>
      <c r="Z3427" s="302" t="str">
        <f ca="1">IF(Y3427=行业比较!$E$6,ROW(),"")</f>
        <v/>
      </c>
    </row>
    <row r="3428" spans="22:26">
      <c r="V3428" s="260">
        <f t="shared" ca="1" si="61"/>
        <v>0</v>
      </c>
      <c r="W3428" s="348" t="str">
        <f>IF(板块成分!B3430="","",板块成分!B3430)</f>
        <v>600716.SH</v>
      </c>
      <c r="X3428" s="276" t="str">
        <f>[1]!S_Info_Name(W3428)</f>
        <v>凤凰股份</v>
      </c>
      <c r="Y3428" s="276" t="str">
        <f ca="1">IF($Y$3="申万一级行业",[1]!s_info_industry_sw_2021(W3428,公司分析!D$5,1),IF($Y$3="申万二级行业",[1]!s_info_industry_sw_2021(W3428,公司分析!D$5,2),IF($Y$3="申万三级行业",[1]!s_info_industry_sw_2021(W3428,公司分析!D$5,3),IF($Y$3="wind一级行业",[1]!s_info_industry_gics(W3428,1),IF($Y$3="wind二级行业",[1]!s_info_industry_gics(W3428,2),IF($Y$3="wind三级行业",[1]!s_info_industry_gics(W3428,3),IF($Y$3="wind四级行业",[1]!s_info_industry_gics(W3428,4),IF($Y$3="证监会门类行业",[1]!s_info_industry_csrc12_n(W3428,公司分析!D$5,1),""))))))))</f>
        <v>房地产开发</v>
      </c>
      <c r="Z3428" s="302" t="str">
        <f ca="1">IF(Y3428=行业比较!$E$6,ROW(),"")</f>
        <v/>
      </c>
    </row>
    <row r="3429" spans="22:26">
      <c r="V3429" s="260">
        <f t="shared" ca="1" si="61"/>
        <v>0</v>
      </c>
      <c r="W3429" s="348" t="str">
        <f>IF(板块成分!B3431="","",板块成分!B3431)</f>
        <v>600717.SH</v>
      </c>
      <c r="X3429" s="276" t="str">
        <f>[1]!S_Info_Name(W3429)</f>
        <v>天津港</v>
      </c>
      <c r="Y3429" s="276" t="str">
        <f ca="1">IF($Y$3="申万一级行业",[1]!s_info_industry_sw_2021(W3429,公司分析!D$5,1),IF($Y$3="申万二级行业",[1]!s_info_industry_sw_2021(W3429,公司分析!D$5,2),IF($Y$3="申万三级行业",[1]!s_info_industry_sw_2021(W3429,公司分析!D$5,3),IF($Y$3="wind一级行业",[1]!s_info_industry_gics(W3429,1),IF($Y$3="wind二级行业",[1]!s_info_industry_gics(W3429,2),IF($Y$3="wind三级行业",[1]!s_info_industry_gics(W3429,3),IF($Y$3="wind四级行业",[1]!s_info_industry_gics(W3429,4),IF($Y$3="证监会门类行业",[1]!s_info_industry_csrc12_n(W3429,公司分析!D$5,1),""))))))))</f>
        <v>航运港口</v>
      </c>
      <c r="Z3429" s="302" t="str">
        <f ca="1">IF(Y3429=行业比较!$E$6,ROW(),"")</f>
        <v/>
      </c>
    </row>
    <row r="3430" spans="22:26">
      <c r="V3430" s="260">
        <f t="shared" ca="1" si="61"/>
        <v>0</v>
      </c>
      <c r="W3430" s="348" t="str">
        <f>IF(板块成分!B3432="","",板块成分!B3432)</f>
        <v>600718.SH</v>
      </c>
      <c r="X3430" s="276" t="str">
        <f>[1]!S_Info_Name(W3430)</f>
        <v>东软集团</v>
      </c>
      <c r="Y3430" s="276" t="str">
        <f ca="1">IF($Y$3="申万一级行业",[1]!s_info_industry_sw_2021(W3430,公司分析!D$5,1),IF($Y$3="申万二级行业",[1]!s_info_industry_sw_2021(W3430,公司分析!D$5,2),IF($Y$3="申万三级行业",[1]!s_info_industry_sw_2021(W3430,公司分析!D$5,3),IF($Y$3="wind一级行业",[1]!s_info_industry_gics(W3430,1),IF($Y$3="wind二级行业",[1]!s_info_industry_gics(W3430,2),IF($Y$3="wind三级行业",[1]!s_info_industry_gics(W3430,3),IF($Y$3="wind四级行业",[1]!s_info_industry_gics(W3430,4),IF($Y$3="证监会门类行业",[1]!s_info_industry_csrc12_n(W3430,公司分析!D$5,1),""))))))))</f>
        <v>IT服务Ⅱ</v>
      </c>
      <c r="Z3430" s="302" t="str">
        <f ca="1">IF(Y3430=行业比较!$E$6,ROW(),"")</f>
        <v/>
      </c>
    </row>
    <row r="3431" spans="22:26">
      <c r="V3431" s="260">
        <f t="shared" ca="1" si="61"/>
        <v>0</v>
      </c>
      <c r="W3431" s="348" t="str">
        <f>IF(板块成分!B3433="","",板块成分!B3433)</f>
        <v>600719.SH</v>
      </c>
      <c r="X3431" s="276" t="str">
        <f>[1]!S_Info_Name(W3431)</f>
        <v>大连热电</v>
      </c>
      <c r="Y3431" s="276" t="str">
        <f ca="1">IF($Y$3="申万一级行业",[1]!s_info_industry_sw_2021(W3431,公司分析!D$5,1),IF($Y$3="申万二级行业",[1]!s_info_industry_sw_2021(W3431,公司分析!D$5,2),IF($Y$3="申万三级行业",[1]!s_info_industry_sw_2021(W3431,公司分析!D$5,3),IF($Y$3="wind一级行业",[1]!s_info_industry_gics(W3431,1),IF($Y$3="wind二级行业",[1]!s_info_industry_gics(W3431,2),IF($Y$3="wind三级行业",[1]!s_info_industry_gics(W3431,3),IF($Y$3="wind四级行业",[1]!s_info_industry_gics(W3431,4),IF($Y$3="证监会门类行业",[1]!s_info_industry_csrc12_n(W3431,公司分析!D$5,1),""))))))))</f>
        <v>电力</v>
      </c>
      <c r="Z3431" s="302" t="str">
        <f ca="1">IF(Y3431=行业比较!$E$6,ROW(),"")</f>
        <v/>
      </c>
    </row>
    <row r="3432" spans="22:26">
      <c r="V3432" s="260">
        <f t="shared" ca="1" si="61"/>
        <v>0</v>
      </c>
      <c r="W3432" s="348" t="str">
        <f>IF(板块成分!B3434="","",板块成分!B3434)</f>
        <v>600720.SH</v>
      </c>
      <c r="X3432" s="276" t="str">
        <f>[1]!S_Info_Name(W3432)</f>
        <v>中交设计</v>
      </c>
      <c r="Y3432" s="276" t="str">
        <f ca="1">IF($Y$3="申万一级行业",[1]!s_info_industry_sw_2021(W3432,公司分析!D$5,1),IF($Y$3="申万二级行业",[1]!s_info_industry_sw_2021(W3432,公司分析!D$5,2),IF($Y$3="申万三级行业",[1]!s_info_industry_sw_2021(W3432,公司分析!D$5,3),IF($Y$3="wind一级行业",[1]!s_info_industry_gics(W3432,1),IF($Y$3="wind二级行业",[1]!s_info_industry_gics(W3432,2),IF($Y$3="wind三级行业",[1]!s_info_industry_gics(W3432,3),IF($Y$3="wind四级行业",[1]!s_info_industry_gics(W3432,4),IF($Y$3="证监会门类行业",[1]!s_info_industry_csrc12_n(W3432,公司分析!D$5,1),""))))))))</f>
        <v>工程咨询服务Ⅱ</v>
      </c>
      <c r="Z3432" s="302" t="str">
        <f ca="1">IF(Y3432=行业比较!$E$6,ROW(),"")</f>
        <v/>
      </c>
    </row>
    <row r="3433" spans="22:26">
      <c r="V3433" s="260">
        <f t="shared" ca="1" si="61"/>
        <v>0</v>
      </c>
      <c r="W3433" s="348" t="str">
        <f>IF(板块成分!B3435="","",板块成分!B3435)</f>
        <v>600721.SH</v>
      </c>
      <c r="X3433" s="276" t="str">
        <f>[1]!S_Info_Name(W3433)</f>
        <v>百花医药</v>
      </c>
      <c r="Y3433" s="276" t="str">
        <f ca="1">IF($Y$3="申万一级行业",[1]!s_info_industry_sw_2021(W3433,公司分析!D$5,1),IF($Y$3="申万二级行业",[1]!s_info_industry_sw_2021(W3433,公司分析!D$5,2),IF($Y$3="申万三级行业",[1]!s_info_industry_sw_2021(W3433,公司分析!D$5,3),IF($Y$3="wind一级行业",[1]!s_info_industry_gics(W3433,1),IF($Y$3="wind二级行业",[1]!s_info_industry_gics(W3433,2),IF($Y$3="wind三级行业",[1]!s_info_industry_gics(W3433,3),IF($Y$3="wind四级行业",[1]!s_info_industry_gics(W3433,4),IF($Y$3="证监会门类行业",[1]!s_info_industry_csrc12_n(W3433,公司分析!D$5,1),""))))))))</f>
        <v>医疗服务</v>
      </c>
      <c r="Z3433" s="302" t="str">
        <f ca="1">IF(Y3433=行业比较!$E$6,ROW(),"")</f>
        <v/>
      </c>
    </row>
    <row r="3434" spans="22:26">
      <c r="V3434" s="260">
        <f t="shared" ca="1" si="61"/>
        <v>0</v>
      </c>
      <c r="W3434" s="348" t="str">
        <f>IF(板块成分!B3436="","",板块成分!B3436)</f>
        <v>600722.SH</v>
      </c>
      <c r="X3434" s="276" t="str">
        <f>[1]!S_Info_Name(W3434)</f>
        <v>金牛化工</v>
      </c>
      <c r="Y3434" s="276" t="str">
        <f ca="1">IF($Y$3="申万一级行业",[1]!s_info_industry_sw_2021(W3434,公司分析!D$5,1),IF($Y$3="申万二级行业",[1]!s_info_industry_sw_2021(W3434,公司分析!D$5,2),IF($Y$3="申万三级行业",[1]!s_info_industry_sw_2021(W3434,公司分析!D$5,3),IF($Y$3="wind一级行业",[1]!s_info_industry_gics(W3434,1),IF($Y$3="wind二级行业",[1]!s_info_industry_gics(W3434,2),IF($Y$3="wind三级行业",[1]!s_info_industry_gics(W3434,3),IF($Y$3="wind四级行业",[1]!s_info_industry_gics(W3434,4),IF($Y$3="证监会门类行业",[1]!s_info_industry_csrc12_n(W3434,公司分析!D$5,1),""))))))))</f>
        <v>化学原料</v>
      </c>
      <c r="Z3434" s="302" t="str">
        <f ca="1">IF(Y3434=行业比较!$E$6,ROW(),"")</f>
        <v/>
      </c>
    </row>
    <row r="3435" spans="22:26">
      <c r="V3435" s="260">
        <f t="shared" ca="1" si="61"/>
        <v>0</v>
      </c>
      <c r="W3435" s="348" t="str">
        <f>IF(板块成分!B3437="","",板块成分!B3437)</f>
        <v>600724.SH</v>
      </c>
      <c r="X3435" s="276" t="str">
        <f>[1]!S_Info_Name(W3435)</f>
        <v>宁波富达</v>
      </c>
      <c r="Y3435" s="276" t="str">
        <f ca="1">IF($Y$3="申万一级行业",[1]!s_info_industry_sw_2021(W3435,公司分析!D$5,1),IF($Y$3="申万二级行业",[1]!s_info_industry_sw_2021(W3435,公司分析!D$5,2),IF($Y$3="申万三级行业",[1]!s_info_industry_sw_2021(W3435,公司分析!D$5,3),IF($Y$3="wind一级行业",[1]!s_info_industry_gics(W3435,1),IF($Y$3="wind二级行业",[1]!s_info_industry_gics(W3435,2),IF($Y$3="wind三级行业",[1]!s_info_industry_gics(W3435,3),IF($Y$3="wind四级行业",[1]!s_info_industry_gics(W3435,4),IF($Y$3="证监会门类行业",[1]!s_info_industry_csrc12_n(W3435,公司分析!D$5,1),""))))))))</f>
        <v>房地产服务</v>
      </c>
      <c r="Z3435" s="302" t="str">
        <f ca="1">IF(Y3435=行业比较!$E$6,ROW(),"")</f>
        <v/>
      </c>
    </row>
    <row r="3436" spans="22:26">
      <c r="V3436" s="260">
        <f t="shared" ca="1" si="61"/>
        <v>0</v>
      </c>
      <c r="W3436" s="348" t="str">
        <f>IF(板块成分!B3438="","",板块成分!B3438)</f>
        <v>600725.SH</v>
      </c>
      <c r="X3436" s="276" t="str">
        <f>[1]!S_Info_Name(W3436)</f>
        <v>云维股份</v>
      </c>
      <c r="Y3436" s="276" t="str">
        <f ca="1">IF($Y$3="申万一级行业",[1]!s_info_industry_sw_2021(W3436,公司分析!D$5,1),IF($Y$3="申万二级行业",[1]!s_info_industry_sw_2021(W3436,公司分析!D$5,2),IF($Y$3="申万三级行业",[1]!s_info_industry_sw_2021(W3436,公司分析!D$5,3),IF($Y$3="wind一级行业",[1]!s_info_industry_gics(W3436,1),IF($Y$3="wind二级行业",[1]!s_info_industry_gics(W3436,2),IF($Y$3="wind三级行业",[1]!s_info_industry_gics(W3436,3),IF($Y$3="wind四级行业",[1]!s_info_industry_gics(W3436,4),IF($Y$3="证监会门类行业",[1]!s_info_industry_csrc12_n(W3436,公司分析!D$5,1),""))))))))</f>
        <v>焦炭Ⅱ</v>
      </c>
      <c r="Z3436" s="302" t="str">
        <f ca="1">IF(Y3436=行业比较!$E$6,ROW(),"")</f>
        <v/>
      </c>
    </row>
    <row r="3437" spans="22:26">
      <c r="V3437" s="260">
        <f t="shared" ca="1" si="61"/>
        <v>0</v>
      </c>
      <c r="W3437" s="348" t="str">
        <f>IF(板块成分!B3439="","",板块成分!B3439)</f>
        <v>600726.SH</v>
      </c>
      <c r="X3437" s="276" t="str">
        <f>[1]!S_Info_Name(W3437)</f>
        <v>华电能源</v>
      </c>
      <c r="Y3437" s="276" t="str">
        <f ca="1">IF($Y$3="申万一级行业",[1]!s_info_industry_sw_2021(W3437,公司分析!D$5,1),IF($Y$3="申万二级行业",[1]!s_info_industry_sw_2021(W3437,公司分析!D$5,2),IF($Y$3="申万三级行业",[1]!s_info_industry_sw_2021(W3437,公司分析!D$5,3),IF($Y$3="wind一级行业",[1]!s_info_industry_gics(W3437,1),IF($Y$3="wind二级行业",[1]!s_info_industry_gics(W3437,2),IF($Y$3="wind三级行业",[1]!s_info_industry_gics(W3437,3),IF($Y$3="wind四级行业",[1]!s_info_industry_gics(W3437,4),IF($Y$3="证监会门类行业",[1]!s_info_industry_csrc12_n(W3437,公司分析!D$5,1),""))))))))</f>
        <v>电力</v>
      </c>
      <c r="Z3437" s="302" t="str">
        <f ca="1">IF(Y3437=行业比较!$E$6,ROW(),"")</f>
        <v/>
      </c>
    </row>
    <row r="3438" spans="22:26">
      <c r="V3438" s="260">
        <f t="shared" ca="1" si="61"/>
        <v>0</v>
      </c>
      <c r="W3438" s="348" t="str">
        <f>IF(板块成分!B3440="","",板块成分!B3440)</f>
        <v>600727.SH</v>
      </c>
      <c r="X3438" s="276" t="str">
        <f>[1]!S_Info_Name(W3438)</f>
        <v>鲁北化工</v>
      </c>
      <c r="Y3438" s="276" t="str">
        <f ca="1">IF($Y$3="申万一级行业",[1]!s_info_industry_sw_2021(W3438,公司分析!D$5,1),IF($Y$3="申万二级行业",[1]!s_info_industry_sw_2021(W3438,公司分析!D$5,2),IF($Y$3="申万三级行业",[1]!s_info_industry_sw_2021(W3438,公司分析!D$5,3),IF($Y$3="wind一级行业",[1]!s_info_industry_gics(W3438,1),IF($Y$3="wind二级行业",[1]!s_info_industry_gics(W3438,2),IF($Y$3="wind三级行业",[1]!s_info_industry_gics(W3438,3),IF($Y$3="wind四级行业",[1]!s_info_industry_gics(W3438,4),IF($Y$3="证监会门类行业",[1]!s_info_industry_csrc12_n(W3438,公司分析!D$5,1),""))))))))</f>
        <v>化学原料</v>
      </c>
      <c r="Z3438" s="302" t="str">
        <f ca="1">IF(Y3438=行业比较!$E$6,ROW(),"")</f>
        <v/>
      </c>
    </row>
    <row r="3439" spans="22:26">
      <c r="V3439" s="260">
        <f t="shared" ca="1" si="61"/>
        <v>0</v>
      </c>
      <c r="W3439" s="348" t="str">
        <f>IF(板块成分!B3441="","",板块成分!B3441)</f>
        <v>600728.SH</v>
      </c>
      <c r="X3439" s="276" t="str">
        <f>[1]!S_Info_Name(W3439)</f>
        <v>佳都科技</v>
      </c>
      <c r="Y3439" s="276" t="str">
        <f ca="1">IF($Y$3="申万一级行业",[1]!s_info_industry_sw_2021(W3439,公司分析!D$5,1),IF($Y$3="申万二级行业",[1]!s_info_industry_sw_2021(W3439,公司分析!D$5,2),IF($Y$3="申万三级行业",[1]!s_info_industry_sw_2021(W3439,公司分析!D$5,3),IF($Y$3="wind一级行业",[1]!s_info_industry_gics(W3439,1),IF($Y$3="wind二级行业",[1]!s_info_industry_gics(W3439,2),IF($Y$3="wind三级行业",[1]!s_info_industry_gics(W3439,3),IF($Y$3="wind四级行业",[1]!s_info_industry_gics(W3439,4),IF($Y$3="证监会门类行业",[1]!s_info_industry_csrc12_n(W3439,公司分析!D$5,1),""))))))))</f>
        <v>IT服务Ⅱ</v>
      </c>
      <c r="Z3439" s="302" t="str">
        <f ca="1">IF(Y3439=行业比较!$E$6,ROW(),"")</f>
        <v/>
      </c>
    </row>
    <row r="3440" spans="22:26">
      <c r="V3440" s="260">
        <f t="shared" ca="1" si="61"/>
        <v>0</v>
      </c>
      <c r="W3440" s="348" t="str">
        <f>IF(板块成分!B3442="","",板块成分!B3442)</f>
        <v>600729.SH</v>
      </c>
      <c r="X3440" s="276" t="str">
        <f>[1]!S_Info_Name(W3440)</f>
        <v>重庆百货</v>
      </c>
      <c r="Y3440" s="276" t="str">
        <f ca="1">IF($Y$3="申万一级行业",[1]!s_info_industry_sw_2021(W3440,公司分析!D$5,1),IF($Y$3="申万二级行业",[1]!s_info_industry_sw_2021(W3440,公司分析!D$5,2),IF($Y$3="申万三级行业",[1]!s_info_industry_sw_2021(W3440,公司分析!D$5,3),IF($Y$3="wind一级行业",[1]!s_info_industry_gics(W3440,1),IF($Y$3="wind二级行业",[1]!s_info_industry_gics(W3440,2),IF($Y$3="wind三级行业",[1]!s_info_industry_gics(W3440,3),IF($Y$3="wind四级行业",[1]!s_info_industry_gics(W3440,4),IF($Y$3="证监会门类行业",[1]!s_info_industry_csrc12_n(W3440,公司分析!D$5,1),""))))))))</f>
        <v>一般零售</v>
      </c>
      <c r="Z3440" s="302" t="str">
        <f ca="1">IF(Y3440=行业比较!$E$6,ROW(),"")</f>
        <v/>
      </c>
    </row>
    <row r="3441" spans="22:26">
      <c r="V3441" s="260">
        <f t="shared" ca="1" si="61"/>
        <v>0</v>
      </c>
      <c r="W3441" s="348" t="str">
        <f>IF(板块成分!B3443="","",板块成分!B3443)</f>
        <v>600730.SH</v>
      </c>
      <c r="X3441" s="276" t="str">
        <f>[1]!S_Info_Name(W3441)</f>
        <v>中国高科</v>
      </c>
      <c r="Y3441" s="276" t="str">
        <f ca="1">IF($Y$3="申万一级行业",[1]!s_info_industry_sw_2021(W3441,公司分析!D$5,1),IF($Y$3="申万二级行业",[1]!s_info_industry_sw_2021(W3441,公司分析!D$5,2),IF($Y$3="申万三级行业",[1]!s_info_industry_sw_2021(W3441,公司分析!D$5,3),IF($Y$3="wind一级行业",[1]!s_info_industry_gics(W3441,1),IF($Y$3="wind二级行业",[1]!s_info_industry_gics(W3441,2),IF($Y$3="wind三级行业",[1]!s_info_industry_gics(W3441,3),IF($Y$3="wind四级行业",[1]!s_info_industry_gics(W3441,4),IF($Y$3="证监会门类行业",[1]!s_info_industry_csrc12_n(W3441,公司分析!D$5,1),""))))))))</f>
        <v>教育</v>
      </c>
      <c r="Z3441" s="302" t="str">
        <f ca="1">IF(Y3441=行业比较!$E$6,ROW(),"")</f>
        <v/>
      </c>
    </row>
    <row r="3442" spans="22:26">
      <c r="V3442" s="260">
        <f t="shared" ca="1" si="61"/>
        <v>0</v>
      </c>
      <c r="W3442" s="348" t="str">
        <f>IF(板块成分!B3444="","",板块成分!B3444)</f>
        <v>600731.SH</v>
      </c>
      <c r="X3442" s="276" t="str">
        <f>[1]!S_Info_Name(W3442)</f>
        <v>湖南海利</v>
      </c>
      <c r="Y3442" s="276" t="str">
        <f ca="1">IF($Y$3="申万一级行业",[1]!s_info_industry_sw_2021(W3442,公司分析!D$5,1),IF($Y$3="申万二级行业",[1]!s_info_industry_sw_2021(W3442,公司分析!D$5,2),IF($Y$3="申万三级行业",[1]!s_info_industry_sw_2021(W3442,公司分析!D$5,3),IF($Y$3="wind一级行业",[1]!s_info_industry_gics(W3442,1),IF($Y$3="wind二级行业",[1]!s_info_industry_gics(W3442,2),IF($Y$3="wind三级行业",[1]!s_info_industry_gics(W3442,3),IF($Y$3="wind四级行业",[1]!s_info_industry_gics(W3442,4),IF($Y$3="证监会门类行业",[1]!s_info_industry_csrc12_n(W3442,公司分析!D$5,1),""))))))))</f>
        <v>农化制品</v>
      </c>
      <c r="Z3442" s="302" t="str">
        <f ca="1">IF(Y3442=行业比较!$E$6,ROW(),"")</f>
        <v/>
      </c>
    </row>
    <row r="3443" spans="22:26">
      <c r="V3443" s="260">
        <f t="shared" ca="1" si="61"/>
        <v>0</v>
      </c>
      <c r="W3443" s="348" t="str">
        <f>IF(板块成分!B3445="","",板块成分!B3445)</f>
        <v>600732.SH</v>
      </c>
      <c r="X3443" s="276" t="str">
        <f>[1]!S_Info_Name(W3443)</f>
        <v>爱旭股份</v>
      </c>
      <c r="Y3443" s="276" t="str">
        <f ca="1">IF($Y$3="申万一级行业",[1]!s_info_industry_sw_2021(W3443,公司分析!D$5,1),IF($Y$3="申万二级行业",[1]!s_info_industry_sw_2021(W3443,公司分析!D$5,2),IF($Y$3="申万三级行业",[1]!s_info_industry_sw_2021(W3443,公司分析!D$5,3),IF($Y$3="wind一级行业",[1]!s_info_industry_gics(W3443,1),IF($Y$3="wind二级行业",[1]!s_info_industry_gics(W3443,2),IF($Y$3="wind三级行业",[1]!s_info_industry_gics(W3443,3),IF($Y$3="wind四级行业",[1]!s_info_industry_gics(W3443,4),IF($Y$3="证监会门类行业",[1]!s_info_industry_csrc12_n(W3443,公司分析!D$5,1),""))))))))</f>
        <v>光伏设备</v>
      </c>
      <c r="Z3443" s="302" t="str">
        <f ca="1">IF(Y3443=行业比较!$E$6,ROW(),"")</f>
        <v/>
      </c>
    </row>
    <row r="3444" spans="22:26">
      <c r="V3444" s="260">
        <f t="shared" ca="1" si="61"/>
        <v>0</v>
      </c>
      <c r="W3444" s="348" t="str">
        <f>IF(板块成分!B3446="","",板块成分!B3446)</f>
        <v>600733.SH</v>
      </c>
      <c r="X3444" s="276" t="str">
        <f>[1]!S_Info_Name(W3444)</f>
        <v>北汽蓝谷</v>
      </c>
      <c r="Y3444" s="276" t="str">
        <f ca="1">IF($Y$3="申万一级行业",[1]!s_info_industry_sw_2021(W3444,公司分析!D$5,1),IF($Y$3="申万二级行业",[1]!s_info_industry_sw_2021(W3444,公司分析!D$5,2),IF($Y$3="申万三级行业",[1]!s_info_industry_sw_2021(W3444,公司分析!D$5,3),IF($Y$3="wind一级行业",[1]!s_info_industry_gics(W3444,1),IF($Y$3="wind二级行业",[1]!s_info_industry_gics(W3444,2),IF($Y$3="wind三级行业",[1]!s_info_industry_gics(W3444,3),IF($Y$3="wind四级行业",[1]!s_info_industry_gics(W3444,4),IF($Y$3="证监会门类行业",[1]!s_info_industry_csrc12_n(W3444,公司分析!D$5,1),""))))))))</f>
        <v>乘用车</v>
      </c>
      <c r="Z3444" s="302" t="str">
        <f ca="1">IF(Y3444=行业比较!$E$6,ROW(),"")</f>
        <v/>
      </c>
    </row>
    <row r="3445" spans="22:26">
      <c r="V3445" s="260">
        <f t="shared" ca="1" si="61"/>
        <v>0</v>
      </c>
      <c r="W3445" s="348" t="str">
        <f>IF(板块成分!B3447="","",板块成分!B3447)</f>
        <v>600734.SH</v>
      </c>
      <c r="X3445" s="276" t="str">
        <f>[1]!S_Info_Name(W3445)</f>
        <v>实达集团</v>
      </c>
      <c r="Y3445" s="276" t="str">
        <f ca="1">IF($Y$3="申万一级行业",[1]!s_info_industry_sw_2021(W3445,公司分析!D$5,1),IF($Y$3="申万二级行业",[1]!s_info_industry_sw_2021(W3445,公司分析!D$5,2),IF($Y$3="申万三级行业",[1]!s_info_industry_sw_2021(W3445,公司分析!D$5,3),IF($Y$3="wind一级行业",[1]!s_info_industry_gics(W3445,1),IF($Y$3="wind二级行业",[1]!s_info_industry_gics(W3445,2),IF($Y$3="wind三级行业",[1]!s_info_industry_gics(W3445,3),IF($Y$3="wind四级行业",[1]!s_info_industry_gics(W3445,4),IF($Y$3="证监会门类行业",[1]!s_info_industry_csrc12_n(W3445,公司分析!D$5,1),""))))))))</f>
        <v>通信设备</v>
      </c>
      <c r="Z3445" s="302" t="str">
        <f ca="1">IF(Y3445=行业比较!$E$6,ROW(),"")</f>
        <v/>
      </c>
    </row>
    <row r="3446" spans="22:26">
      <c r="V3446" s="260">
        <f t="shared" ca="1" si="61"/>
        <v>0</v>
      </c>
      <c r="W3446" s="348" t="str">
        <f>IF(板块成分!B3448="","",板块成分!B3448)</f>
        <v>600735.SH</v>
      </c>
      <c r="X3446" s="276" t="str">
        <f>[1]!S_Info_Name(W3446)</f>
        <v>ST新华锦</v>
      </c>
      <c r="Y3446" s="276" t="str">
        <f ca="1">IF($Y$3="申万一级行业",[1]!s_info_industry_sw_2021(W3446,公司分析!D$5,1),IF($Y$3="申万二级行业",[1]!s_info_industry_sw_2021(W3446,公司分析!D$5,2),IF($Y$3="申万三级行业",[1]!s_info_industry_sw_2021(W3446,公司分析!D$5,3),IF($Y$3="wind一级行业",[1]!s_info_industry_gics(W3446,1),IF($Y$3="wind二级行业",[1]!s_info_industry_gics(W3446,2),IF($Y$3="wind三级行业",[1]!s_info_industry_gics(W3446,3),IF($Y$3="wind四级行业",[1]!s_info_industry_gics(W3446,4),IF($Y$3="证监会门类行业",[1]!s_info_industry_csrc12_n(W3446,公司分析!D$5,1),""))))))))</f>
        <v>饰品</v>
      </c>
      <c r="Z3446" s="302" t="str">
        <f ca="1">IF(Y3446=行业比较!$E$6,ROW(),"")</f>
        <v/>
      </c>
    </row>
    <row r="3447" spans="22:26">
      <c r="V3447" s="260">
        <f t="shared" ca="1" si="61"/>
        <v>0</v>
      </c>
      <c r="W3447" s="348" t="str">
        <f>IF(板块成分!B3449="","",板块成分!B3449)</f>
        <v>600736.SH</v>
      </c>
      <c r="X3447" s="276" t="str">
        <f>[1]!S_Info_Name(W3447)</f>
        <v>苏州高新</v>
      </c>
      <c r="Y3447" s="276" t="str">
        <f ca="1">IF($Y$3="申万一级行业",[1]!s_info_industry_sw_2021(W3447,公司分析!D$5,1),IF($Y$3="申万二级行业",[1]!s_info_industry_sw_2021(W3447,公司分析!D$5,2),IF($Y$3="申万三级行业",[1]!s_info_industry_sw_2021(W3447,公司分析!D$5,3),IF($Y$3="wind一级行业",[1]!s_info_industry_gics(W3447,1),IF($Y$3="wind二级行业",[1]!s_info_industry_gics(W3447,2),IF($Y$3="wind三级行业",[1]!s_info_industry_gics(W3447,3),IF($Y$3="wind四级行业",[1]!s_info_industry_gics(W3447,4),IF($Y$3="证监会门类行业",[1]!s_info_industry_csrc12_n(W3447,公司分析!D$5,1),""))))))))</f>
        <v>房地产开发</v>
      </c>
      <c r="Z3447" s="302" t="str">
        <f ca="1">IF(Y3447=行业比较!$E$6,ROW(),"")</f>
        <v/>
      </c>
    </row>
    <row r="3448" spans="22:26">
      <c r="V3448" s="260">
        <f t="shared" ca="1" si="61"/>
        <v>0</v>
      </c>
      <c r="W3448" s="348" t="str">
        <f>IF(板块成分!B3450="","",板块成分!B3450)</f>
        <v>600737.SH</v>
      </c>
      <c r="X3448" s="276" t="str">
        <f>[1]!S_Info_Name(W3448)</f>
        <v>中粮糖业</v>
      </c>
      <c r="Y3448" s="276" t="str">
        <f ca="1">IF($Y$3="申万一级行业",[1]!s_info_industry_sw_2021(W3448,公司分析!D$5,1),IF($Y$3="申万二级行业",[1]!s_info_industry_sw_2021(W3448,公司分析!D$5,2),IF($Y$3="申万三级行业",[1]!s_info_industry_sw_2021(W3448,公司分析!D$5,3),IF($Y$3="wind一级行业",[1]!s_info_industry_gics(W3448,1),IF($Y$3="wind二级行业",[1]!s_info_industry_gics(W3448,2),IF($Y$3="wind三级行业",[1]!s_info_industry_gics(W3448,3),IF($Y$3="wind四级行业",[1]!s_info_industry_gics(W3448,4),IF($Y$3="证监会门类行业",[1]!s_info_industry_csrc12_n(W3448,公司分析!D$5,1),""))))))))</f>
        <v>农产品加工</v>
      </c>
      <c r="Z3448" s="302" t="str">
        <f ca="1">IF(Y3448=行业比较!$E$6,ROW(),"")</f>
        <v/>
      </c>
    </row>
    <row r="3449" spans="22:26">
      <c r="V3449" s="260">
        <f t="shared" ca="1" si="61"/>
        <v>0</v>
      </c>
      <c r="W3449" s="348" t="str">
        <f>IF(板块成分!B3451="","",板块成分!B3451)</f>
        <v>600738.SH</v>
      </c>
      <c r="X3449" s="276" t="str">
        <f>[1]!S_Info_Name(W3449)</f>
        <v>丽尚国潮</v>
      </c>
      <c r="Y3449" s="276" t="str">
        <f ca="1">IF($Y$3="申万一级行业",[1]!s_info_industry_sw_2021(W3449,公司分析!D$5,1),IF($Y$3="申万二级行业",[1]!s_info_industry_sw_2021(W3449,公司分析!D$5,2),IF($Y$3="申万三级行业",[1]!s_info_industry_sw_2021(W3449,公司分析!D$5,3),IF($Y$3="wind一级行业",[1]!s_info_industry_gics(W3449,1),IF($Y$3="wind二级行业",[1]!s_info_industry_gics(W3449,2),IF($Y$3="wind三级行业",[1]!s_info_industry_gics(W3449,3),IF($Y$3="wind四级行业",[1]!s_info_industry_gics(W3449,4),IF($Y$3="证监会门类行业",[1]!s_info_industry_csrc12_n(W3449,公司分析!D$5,1),""))))))))</f>
        <v>一般零售</v>
      </c>
      <c r="Z3449" s="302" t="str">
        <f ca="1">IF(Y3449=行业比较!$E$6,ROW(),"")</f>
        <v/>
      </c>
    </row>
    <row r="3450" spans="22:26">
      <c r="V3450" s="260">
        <f t="shared" ca="1" si="61"/>
        <v>0</v>
      </c>
      <c r="W3450" s="348" t="str">
        <f>IF(板块成分!B3452="","",板块成分!B3452)</f>
        <v>600739.SH</v>
      </c>
      <c r="X3450" s="276" t="str">
        <f>[1]!S_Info_Name(W3450)</f>
        <v>辽宁成大</v>
      </c>
      <c r="Y3450" s="276" t="str">
        <f ca="1">IF($Y$3="申万一级行业",[1]!s_info_industry_sw_2021(W3450,公司分析!D$5,1),IF($Y$3="申万二级行业",[1]!s_info_industry_sw_2021(W3450,公司分析!D$5,2),IF($Y$3="申万三级行业",[1]!s_info_industry_sw_2021(W3450,公司分析!D$5,3),IF($Y$3="wind一级行业",[1]!s_info_industry_gics(W3450,1),IF($Y$3="wind二级行业",[1]!s_info_industry_gics(W3450,2),IF($Y$3="wind三级行业",[1]!s_info_industry_gics(W3450,3),IF($Y$3="wind四级行业",[1]!s_info_industry_gics(W3450,4),IF($Y$3="证监会门类行业",[1]!s_info_industry_csrc12_n(W3450,公司分析!D$5,1),""))))))))</f>
        <v>生物制品</v>
      </c>
      <c r="Z3450" s="302" t="str">
        <f ca="1">IF(Y3450=行业比较!$E$6,ROW(),"")</f>
        <v/>
      </c>
    </row>
    <row r="3451" spans="22:26">
      <c r="V3451" s="260">
        <f t="shared" ca="1" si="61"/>
        <v>0</v>
      </c>
      <c r="W3451" s="348" t="str">
        <f>IF(板块成分!B3453="","",板块成分!B3453)</f>
        <v>600740.SH</v>
      </c>
      <c r="X3451" s="276" t="str">
        <f>[1]!S_Info_Name(W3451)</f>
        <v>山西焦化</v>
      </c>
      <c r="Y3451" s="276" t="str">
        <f ca="1">IF($Y$3="申万一级行业",[1]!s_info_industry_sw_2021(W3451,公司分析!D$5,1),IF($Y$3="申万二级行业",[1]!s_info_industry_sw_2021(W3451,公司分析!D$5,2),IF($Y$3="申万三级行业",[1]!s_info_industry_sw_2021(W3451,公司分析!D$5,3),IF($Y$3="wind一级行业",[1]!s_info_industry_gics(W3451,1),IF($Y$3="wind二级行业",[1]!s_info_industry_gics(W3451,2),IF($Y$3="wind三级行业",[1]!s_info_industry_gics(W3451,3),IF($Y$3="wind四级行业",[1]!s_info_industry_gics(W3451,4),IF($Y$3="证监会门类行业",[1]!s_info_industry_csrc12_n(W3451,公司分析!D$5,1),""))))))))</f>
        <v>焦炭Ⅱ</v>
      </c>
      <c r="Z3451" s="302" t="str">
        <f ca="1">IF(Y3451=行业比较!$E$6,ROW(),"")</f>
        <v/>
      </c>
    </row>
    <row r="3452" spans="22:26">
      <c r="V3452" s="260">
        <f t="shared" ca="1" si="61"/>
        <v>0</v>
      </c>
      <c r="W3452" s="348" t="str">
        <f>IF(板块成分!B3454="","",板块成分!B3454)</f>
        <v>600741.SH</v>
      </c>
      <c r="X3452" s="276" t="str">
        <f>[1]!S_Info_Name(W3452)</f>
        <v>华域汽车</v>
      </c>
      <c r="Y3452" s="276" t="str">
        <f ca="1">IF($Y$3="申万一级行业",[1]!s_info_industry_sw_2021(W3452,公司分析!D$5,1),IF($Y$3="申万二级行业",[1]!s_info_industry_sw_2021(W3452,公司分析!D$5,2),IF($Y$3="申万三级行业",[1]!s_info_industry_sw_2021(W3452,公司分析!D$5,3),IF($Y$3="wind一级行业",[1]!s_info_industry_gics(W3452,1),IF($Y$3="wind二级行业",[1]!s_info_industry_gics(W3452,2),IF($Y$3="wind三级行业",[1]!s_info_industry_gics(W3452,3),IF($Y$3="wind四级行业",[1]!s_info_industry_gics(W3452,4),IF($Y$3="证监会门类行业",[1]!s_info_industry_csrc12_n(W3452,公司分析!D$5,1),""))))))))</f>
        <v>汽车零部件</v>
      </c>
      <c r="Z3452" s="302" t="str">
        <f ca="1">IF(Y3452=行业比较!$E$6,ROW(),"")</f>
        <v/>
      </c>
    </row>
    <row r="3453" spans="22:26">
      <c r="V3453" s="260">
        <f t="shared" ca="1" si="61"/>
        <v>0</v>
      </c>
      <c r="W3453" s="348" t="str">
        <f>IF(板块成分!B3455="","",板块成分!B3455)</f>
        <v>600742.SH</v>
      </c>
      <c r="X3453" s="276" t="str">
        <f>[1]!S_Info_Name(W3453)</f>
        <v>富维股份</v>
      </c>
      <c r="Y3453" s="276" t="str">
        <f ca="1">IF($Y$3="申万一级行业",[1]!s_info_industry_sw_2021(W3453,公司分析!D$5,1),IF($Y$3="申万二级行业",[1]!s_info_industry_sw_2021(W3453,公司分析!D$5,2),IF($Y$3="申万三级行业",[1]!s_info_industry_sw_2021(W3453,公司分析!D$5,3),IF($Y$3="wind一级行业",[1]!s_info_industry_gics(W3453,1),IF($Y$3="wind二级行业",[1]!s_info_industry_gics(W3453,2),IF($Y$3="wind三级行业",[1]!s_info_industry_gics(W3453,3),IF($Y$3="wind四级行业",[1]!s_info_industry_gics(W3453,4),IF($Y$3="证监会门类行业",[1]!s_info_industry_csrc12_n(W3453,公司分析!D$5,1),""))))))))</f>
        <v>汽车零部件</v>
      </c>
      <c r="Z3453" s="302" t="str">
        <f ca="1">IF(Y3453=行业比较!$E$6,ROW(),"")</f>
        <v/>
      </c>
    </row>
    <row r="3454" spans="22:26">
      <c r="V3454" s="260">
        <f t="shared" ca="1" si="61"/>
        <v>0</v>
      </c>
      <c r="W3454" s="348" t="str">
        <f>IF(板块成分!B3456="","",板块成分!B3456)</f>
        <v>600743.SH</v>
      </c>
      <c r="X3454" s="276" t="str">
        <f>[1]!S_Info_Name(W3454)</f>
        <v>华远控股</v>
      </c>
      <c r="Y3454" s="276" t="str">
        <f ca="1">IF($Y$3="申万一级行业",[1]!s_info_industry_sw_2021(W3454,公司分析!D$5,1),IF($Y$3="申万二级行业",[1]!s_info_industry_sw_2021(W3454,公司分析!D$5,2),IF($Y$3="申万三级行业",[1]!s_info_industry_sw_2021(W3454,公司分析!D$5,3),IF($Y$3="wind一级行业",[1]!s_info_industry_gics(W3454,1),IF($Y$3="wind二级行业",[1]!s_info_industry_gics(W3454,2),IF($Y$3="wind三级行业",[1]!s_info_industry_gics(W3454,3),IF($Y$3="wind四级行业",[1]!s_info_industry_gics(W3454,4),IF($Y$3="证监会门类行业",[1]!s_info_industry_csrc12_n(W3454,公司分析!D$5,1),""))))))))</f>
        <v>房地产开发</v>
      </c>
      <c r="Z3454" s="302" t="str">
        <f ca="1">IF(Y3454=行业比较!$E$6,ROW(),"")</f>
        <v/>
      </c>
    </row>
    <row r="3455" spans="22:26">
      <c r="V3455" s="260">
        <f t="shared" ca="1" si="61"/>
        <v>0</v>
      </c>
      <c r="W3455" s="348" t="str">
        <f>IF(板块成分!B3457="","",板块成分!B3457)</f>
        <v>600744.SH</v>
      </c>
      <c r="X3455" s="276" t="str">
        <f>[1]!S_Info_Name(W3455)</f>
        <v>华银电力</v>
      </c>
      <c r="Y3455" s="276" t="str">
        <f ca="1">IF($Y$3="申万一级行业",[1]!s_info_industry_sw_2021(W3455,公司分析!D$5,1),IF($Y$3="申万二级行业",[1]!s_info_industry_sw_2021(W3455,公司分析!D$5,2),IF($Y$3="申万三级行业",[1]!s_info_industry_sw_2021(W3455,公司分析!D$5,3),IF($Y$3="wind一级行业",[1]!s_info_industry_gics(W3455,1),IF($Y$3="wind二级行业",[1]!s_info_industry_gics(W3455,2),IF($Y$3="wind三级行业",[1]!s_info_industry_gics(W3455,3),IF($Y$3="wind四级行业",[1]!s_info_industry_gics(W3455,4),IF($Y$3="证监会门类行业",[1]!s_info_industry_csrc12_n(W3455,公司分析!D$5,1),""))))))))</f>
        <v>电力</v>
      </c>
      <c r="Z3455" s="302" t="str">
        <f ca="1">IF(Y3455=行业比较!$E$6,ROW(),"")</f>
        <v/>
      </c>
    </row>
    <row r="3456" spans="22:26">
      <c r="V3456" s="260">
        <f t="shared" ca="1" si="61"/>
        <v>0</v>
      </c>
      <c r="W3456" s="348" t="str">
        <f>IF(板块成分!B3458="","",板块成分!B3458)</f>
        <v>600745.SH</v>
      </c>
      <c r="X3456" s="276" t="str">
        <f>[1]!S_Info_Name(W3456)</f>
        <v>闻泰科技</v>
      </c>
      <c r="Y3456" s="276" t="str">
        <f ca="1">IF($Y$3="申万一级行业",[1]!s_info_industry_sw_2021(W3456,公司分析!D$5,1),IF($Y$3="申万二级行业",[1]!s_info_industry_sw_2021(W3456,公司分析!D$5,2),IF($Y$3="申万三级行业",[1]!s_info_industry_sw_2021(W3456,公司分析!D$5,3),IF($Y$3="wind一级行业",[1]!s_info_industry_gics(W3456,1),IF($Y$3="wind二级行业",[1]!s_info_industry_gics(W3456,2),IF($Y$3="wind三级行业",[1]!s_info_industry_gics(W3456,3),IF($Y$3="wind四级行业",[1]!s_info_industry_gics(W3456,4),IF($Y$3="证监会门类行业",[1]!s_info_industry_csrc12_n(W3456,公司分析!D$5,1),""))))))))</f>
        <v>半导体</v>
      </c>
      <c r="Z3456" s="302" t="str">
        <f ca="1">IF(Y3456=行业比较!$E$6,ROW(),"")</f>
        <v/>
      </c>
    </row>
    <row r="3457" spans="22:26">
      <c r="V3457" s="260">
        <f t="shared" ca="1" si="61"/>
        <v>0</v>
      </c>
      <c r="W3457" s="348" t="str">
        <f>IF(板块成分!B3459="","",板块成分!B3459)</f>
        <v>600746.SH</v>
      </c>
      <c r="X3457" s="276" t="str">
        <f>[1]!S_Info_Name(W3457)</f>
        <v>江苏索普</v>
      </c>
      <c r="Y3457" s="276" t="str">
        <f ca="1">IF($Y$3="申万一级行业",[1]!s_info_industry_sw_2021(W3457,公司分析!D$5,1),IF($Y$3="申万二级行业",[1]!s_info_industry_sw_2021(W3457,公司分析!D$5,2),IF($Y$3="申万三级行业",[1]!s_info_industry_sw_2021(W3457,公司分析!D$5,3),IF($Y$3="wind一级行业",[1]!s_info_industry_gics(W3457,1),IF($Y$3="wind二级行业",[1]!s_info_industry_gics(W3457,2),IF($Y$3="wind三级行业",[1]!s_info_industry_gics(W3457,3),IF($Y$3="wind四级行业",[1]!s_info_industry_gics(W3457,4),IF($Y$3="证监会门类行业",[1]!s_info_industry_csrc12_n(W3457,公司分析!D$5,1),""))))))))</f>
        <v>化学原料</v>
      </c>
      <c r="Z3457" s="302" t="str">
        <f ca="1">IF(Y3457=行业比较!$E$6,ROW(),"")</f>
        <v/>
      </c>
    </row>
    <row r="3458" spans="22:26">
      <c r="V3458" s="260">
        <f t="shared" ca="1" si="61"/>
        <v>0</v>
      </c>
      <c r="W3458" s="348" t="str">
        <f>IF(板块成分!B3460="","",板块成分!B3460)</f>
        <v>600748.SH</v>
      </c>
      <c r="X3458" s="276" t="str">
        <f>[1]!S_Info_Name(W3458)</f>
        <v>上实发展</v>
      </c>
      <c r="Y3458" s="276" t="str">
        <f ca="1">IF($Y$3="申万一级行业",[1]!s_info_industry_sw_2021(W3458,公司分析!D$5,1),IF($Y$3="申万二级行业",[1]!s_info_industry_sw_2021(W3458,公司分析!D$5,2),IF($Y$3="申万三级行业",[1]!s_info_industry_sw_2021(W3458,公司分析!D$5,3),IF($Y$3="wind一级行业",[1]!s_info_industry_gics(W3458,1),IF($Y$3="wind二级行业",[1]!s_info_industry_gics(W3458,2),IF($Y$3="wind三级行业",[1]!s_info_industry_gics(W3458,3),IF($Y$3="wind四级行业",[1]!s_info_industry_gics(W3458,4),IF($Y$3="证监会门类行业",[1]!s_info_industry_csrc12_n(W3458,公司分析!D$5,1),""))))))))</f>
        <v>房地产开发</v>
      </c>
      <c r="Z3458" s="302" t="str">
        <f ca="1">IF(Y3458=行业比较!$E$6,ROW(),"")</f>
        <v/>
      </c>
    </row>
    <row r="3459" spans="22:26">
      <c r="V3459" s="260">
        <f t="shared" ca="1" si="61"/>
        <v>0</v>
      </c>
      <c r="W3459" s="348" t="str">
        <f>IF(板块成分!B3461="","",板块成分!B3461)</f>
        <v>600749.SH</v>
      </c>
      <c r="X3459" s="276" t="str">
        <f>[1]!S_Info_Name(W3459)</f>
        <v>西藏旅游</v>
      </c>
      <c r="Y3459" s="276" t="str">
        <f ca="1">IF($Y$3="申万一级行业",[1]!s_info_industry_sw_2021(W3459,公司分析!D$5,1),IF($Y$3="申万二级行业",[1]!s_info_industry_sw_2021(W3459,公司分析!D$5,2),IF($Y$3="申万三级行业",[1]!s_info_industry_sw_2021(W3459,公司分析!D$5,3),IF($Y$3="wind一级行业",[1]!s_info_industry_gics(W3459,1),IF($Y$3="wind二级行业",[1]!s_info_industry_gics(W3459,2),IF($Y$3="wind三级行业",[1]!s_info_industry_gics(W3459,3),IF($Y$3="wind四级行业",[1]!s_info_industry_gics(W3459,4),IF($Y$3="证监会门类行业",[1]!s_info_industry_csrc12_n(W3459,公司分析!D$5,1),""))))))))</f>
        <v>旅游及景区</v>
      </c>
      <c r="Z3459" s="302" t="str">
        <f ca="1">IF(Y3459=行业比较!$E$6,ROW(),"")</f>
        <v/>
      </c>
    </row>
    <row r="3460" spans="22:26">
      <c r="V3460" s="260">
        <f t="shared" ca="1" si="61"/>
        <v>0</v>
      </c>
      <c r="W3460" s="348" t="str">
        <f>IF(板块成分!B3462="","",板块成分!B3462)</f>
        <v>600750.SH</v>
      </c>
      <c r="X3460" s="276" t="str">
        <f>[1]!S_Info_Name(W3460)</f>
        <v>华润江中</v>
      </c>
      <c r="Y3460" s="276" t="str">
        <f ca="1">IF($Y$3="申万一级行业",[1]!s_info_industry_sw_2021(W3460,公司分析!D$5,1),IF($Y$3="申万二级行业",[1]!s_info_industry_sw_2021(W3460,公司分析!D$5,2),IF($Y$3="申万三级行业",[1]!s_info_industry_sw_2021(W3460,公司分析!D$5,3),IF($Y$3="wind一级行业",[1]!s_info_industry_gics(W3460,1),IF($Y$3="wind二级行业",[1]!s_info_industry_gics(W3460,2),IF($Y$3="wind三级行业",[1]!s_info_industry_gics(W3460,3),IF($Y$3="wind四级行业",[1]!s_info_industry_gics(W3460,4),IF($Y$3="证监会门类行业",[1]!s_info_industry_csrc12_n(W3460,公司分析!D$5,1),""))))))))</f>
        <v>中药Ⅱ</v>
      </c>
      <c r="Z3460" s="302" t="str">
        <f ca="1">IF(Y3460=行业比较!$E$6,ROW(),"")</f>
        <v/>
      </c>
    </row>
    <row r="3461" spans="22:26">
      <c r="V3461" s="260">
        <f t="shared" ref="V3461:V3524" ca="1" si="62">IF(Z3461="",0,RANK(Z3461,Z:Z,1))</f>
        <v>0</v>
      </c>
      <c r="W3461" s="348" t="str">
        <f>IF(板块成分!B3463="","",板块成分!B3463)</f>
        <v>600751.SH</v>
      </c>
      <c r="X3461" s="276" t="str">
        <f>[1]!S_Info_Name(W3461)</f>
        <v>海航科技</v>
      </c>
      <c r="Y3461" s="276" t="str">
        <f ca="1">IF($Y$3="申万一级行业",[1]!s_info_industry_sw_2021(W3461,公司分析!D$5,1),IF($Y$3="申万二级行业",[1]!s_info_industry_sw_2021(W3461,公司分析!D$5,2),IF($Y$3="申万三级行业",[1]!s_info_industry_sw_2021(W3461,公司分析!D$5,3),IF($Y$3="wind一级行业",[1]!s_info_industry_gics(W3461,1),IF($Y$3="wind二级行业",[1]!s_info_industry_gics(W3461,2),IF($Y$3="wind三级行业",[1]!s_info_industry_gics(W3461,3),IF($Y$3="wind四级行业",[1]!s_info_industry_gics(W3461,4),IF($Y$3="证监会门类行业",[1]!s_info_industry_csrc12_n(W3461,公司分析!D$5,1),""))))))))</f>
        <v>航运港口</v>
      </c>
      <c r="Z3461" s="302" t="str">
        <f ca="1">IF(Y3461=行业比较!$E$6,ROW(),"")</f>
        <v/>
      </c>
    </row>
    <row r="3462" spans="22:26">
      <c r="V3462" s="260">
        <f t="shared" ca="1" si="62"/>
        <v>0</v>
      </c>
      <c r="W3462" s="348" t="str">
        <f>IF(板块成分!B3464="","",板块成分!B3464)</f>
        <v>600753.SH</v>
      </c>
      <c r="X3462" s="276" t="str">
        <f>[1]!S_Info_Name(W3462)</f>
        <v>*ST海钦</v>
      </c>
      <c r="Y3462" s="276" t="str">
        <f ca="1">IF($Y$3="申万一级行业",[1]!s_info_industry_sw_2021(W3462,公司分析!D$5,1),IF($Y$3="申万二级行业",[1]!s_info_industry_sw_2021(W3462,公司分析!D$5,2),IF($Y$3="申万三级行业",[1]!s_info_industry_sw_2021(W3462,公司分析!D$5,3),IF($Y$3="wind一级行业",[1]!s_info_industry_gics(W3462,1),IF($Y$3="wind二级行业",[1]!s_info_industry_gics(W3462,2),IF($Y$3="wind三级行业",[1]!s_info_industry_gics(W3462,3),IF($Y$3="wind四级行业",[1]!s_info_industry_gics(W3462,4),IF($Y$3="证监会门类行业",[1]!s_info_industry_csrc12_n(W3462,公司分析!D$5,1),""))))))))</f>
        <v>物流</v>
      </c>
      <c r="Z3462" s="302" t="str">
        <f ca="1">IF(Y3462=行业比较!$E$6,ROW(),"")</f>
        <v/>
      </c>
    </row>
    <row r="3463" spans="22:26">
      <c r="V3463" s="260">
        <f t="shared" ca="1" si="62"/>
        <v>0</v>
      </c>
      <c r="W3463" s="348" t="str">
        <f>IF(板块成分!B3465="","",板块成分!B3465)</f>
        <v>600754.SH</v>
      </c>
      <c r="X3463" s="276" t="str">
        <f>[1]!S_Info_Name(W3463)</f>
        <v>锦江酒店</v>
      </c>
      <c r="Y3463" s="276" t="str">
        <f ca="1">IF($Y$3="申万一级行业",[1]!s_info_industry_sw_2021(W3463,公司分析!D$5,1),IF($Y$3="申万二级行业",[1]!s_info_industry_sw_2021(W3463,公司分析!D$5,2),IF($Y$3="申万三级行业",[1]!s_info_industry_sw_2021(W3463,公司分析!D$5,3),IF($Y$3="wind一级行业",[1]!s_info_industry_gics(W3463,1),IF($Y$3="wind二级行业",[1]!s_info_industry_gics(W3463,2),IF($Y$3="wind三级行业",[1]!s_info_industry_gics(W3463,3),IF($Y$3="wind四级行业",[1]!s_info_industry_gics(W3463,4),IF($Y$3="证监会门类行业",[1]!s_info_industry_csrc12_n(W3463,公司分析!D$5,1),""))))))))</f>
        <v>酒店餐饮</v>
      </c>
      <c r="Z3463" s="302" t="str">
        <f ca="1">IF(Y3463=行业比较!$E$6,ROW(),"")</f>
        <v/>
      </c>
    </row>
    <row r="3464" spans="22:26">
      <c r="V3464" s="260">
        <f t="shared" ca="1" si="62"/>
        <v>0</v>
      </c>
      <c r="W3464" s="348" t="str">
        <f>IF(板块成分!B3466="","",板块成分!B3466)</f>
        <v>600755.SH</v>
      </c>
      <c r="X3464" s="276" t="str">
        <f>[1]!S_Info_Name(W3464)</f>
        <v>厦门国贸</v>
      </c>
      <c r="Y3464" s="276" t="str">
        <f ca="1">IF($Y$3="申万一级行业",[1]!s_info_industry_sw_2021(W3464,公司分析!D$5,1),IF($Y$3="申万二级行业",[1]!s_info_industry_sw_2021(W3464,公司分析!D$5,2),IF($Y$3="申万三级行业",[1]!s_info_industry_sw_2021(W3464,公司分析!D$5,3),IF($Y$3="wind一级行业",[1]!s_info_industry_gics(W3464,1),IF($Y$3="wind二级行业",[1]!s_info_industry_gics(W3464,2),IF($Y$3="wind三级行业",[1]!s_info_industry_gics(W3464,3),IF($Y$3="wind四级行业",[1]!s_info_industry_gics(W3464,4),IF($Y$3="证监会门类行业",[1]!s_info_industry_csrc12_n(W3464,公司分析!D$5,1),""))))))))</f>
        <v>物流</v>
      </c>
      <c r="Z3464" s="302" t="str">
        <f ca="1">IF(Y3464=行业比较!$E$6,ROW(),"")</f>
        <v/>
      </c>
    </row>
    <row r="3465" spans="22:26">
      <c r="V3465" s="260">
        <f t="shared" ca="1" si="62"/>
        <v>0</v>
      </c>
      <c r="W3465" s="348" t="str">
        <f>IF(板块成分!B3467="","",板块成分!B3467)</f>
        <v>600756.SH</v>
      </c>
      <c r="X3465" s="276" t="str">
        <f>[1]!S_Info_Name(W3465)</f>
        <v>浪潮软件</v>
      </c>
      <c r="Y3465" s="276" t="str">
        <f ca="1">IF($Y$3="申万一级行业",[1]!s_info_industry_sw_2021(W3465,公司分析!D$5,1),IF($Y$3="申万二级行业",[1]!s_info_industry_sw_2021(W3465,公司分析!D$5,2),IF($Y$3="申万三级行业",[1]!s_info_industry_sw_2021(W3465,公司分析!D$5,3),IF($Y$3="wind一级行业",[1]!s_info_industry_gics(W3465,1),IF($Y$3="wind二级行业",[1]!s_info_industry_gics(W3465,2),IF($Y$3="wind三级行业",[1]!s_info_industry_gics(W3465,3),IF($Y$3="wind四级行业",[1]!s_info_industry_gics(W3465,4),IF($Y$3="证监会门类行业",[1]!s_info_industry_csrc12_n(W3465,公司分析!D$5,1),""))))))))</f>
        <v>IT服务Ⅱ</v>
      </c>
      <c r="Z3465" s="302" t="str">
        <f ca="1">IF(Y3465=行业比较!$E$6,ROW(),"")</f>
        <v/>
      </c>
    </row>
    <row r="3466" spans="22:26">
      <c r="V3466" s="260">
        <f t="shared" ca="1" si="62"/>
        <v>0</v>
      </c>
      <c r="W3466" s="348" t="str">
        <f>IF(板块成分!B3468="","",板块成分!B3468)</f>
        <v>600757.SH</v>
      </c>
      <c r="X3466" s="276" t="str">
        <f>[1]!S_Info_Name(W3466)</f>
        <v>长江传媒</v>
      </c>
      <c r="Y3466" s="276" t="str">
        <f ca="1">IF($Y$3="申万一级行业",[1]!s_info_industry_sw_2021(W3466,公司分析!D$5,1),IF($Y$3="申万二级行业",[1]!s_info_industry_sw_2021(W3466,公司分析!D$5,2),IF($Y$3="申万三级行业",[1]!s_info_industry_sw_2021(W3466,公司分析!D$5,3),IF($Y$3="wind一级行业",[1]!s_info_industry_gics(W3466,1),IF($Y$3="wind二级行业",[1]!s_info_industry_gics(W3466,2),IF($Y$3="wind三级行业",[1]!s_info_industry_gics(W3466,3),IF($Y$3="wind四级行业",[1]!s_info_industry_gics(W3466,4),IF($Y$3="证监会门类行业",[1]!s_info_industry_csrc12_n(W3466,公司分析!D$5,1),""))))))))</f>
        <v>出版</v>
      </c>
      <c r="Z3466" s="302" t="str">
        <f ca="1">IF(Y3466=行业比较!$E$6,ROW(),"")</f>
        <v/>
      </c>
    </row>
    <row r="3467" spans="22:26">
      <c r="V3467" s="260">
        <f t="shared" ca="1" si="62"/>
        <v>0</v>
      </c>
      <c r="W3467" s="348" t="str">
        <f>IF(板块成分!B3469="","",板块成分!B3469)</f>
        <v>600758.SH</v>
      </c>
      <c r="X3467" s="276" t="str">
        <f>[1]!S_Info_Name(W3467)</f>
        <v>辽宁能源</v>
      </c>
      <c r="Y3467" s="276" t="str">
        <f ca="1">IF($Y$3="申万一级行业",[1]!s_info_industry_sw_2021(W3467,公司分析!D$5,1),IF($Y$3="申万二级行业",[1]!s_info_industry_sw_2021(W3467,公司分析!D$5,2),IF($Y$3="申万三级行业",[1]!s_info_industry_sw_2021(W3467,公司分析!D$5,3),IF($Y$3="wind一级行业",[1]!s_info_industry_gics(W3467,1),IF($Y$3="wind二级行业",[1]!s_info_industry_gics(W3467,2),IF($Y$3="wind三级行业",[1]!s_info_industry_gics(W3467,3),IF($Y$3="wind四级行业",[1]!s_info_industry_gics(W3467,4),IF($Y$3="证监会门类行业",[1]!s_info_industry_csrc12_n(W3467,公司分析!D$5,1),""))))))))</f>
        <v>煤炭开采</v>
      </c>
      <c r="Z3467" s="302" t="str">
        <f ca="1">IF(Y3467=行业比较!$E$6,ROW(),"")</f>
        <v/>
      </c>
    </row>
    <row r="3468" spans="22:26">
      <c r="V3468" s="260">
        <f t="shared" ca="1" si="62"/>
        <v>0</v>
      </c>
      <c r="W3468" s="348" t="str">
        <f>IF(板块成分!B3470="","",板块成分!B3470)</f>
        <v>600759.SH</v>
      </c>
      <c r="X3468" s="276" t="str">
        <f>[1]!S_Info_Name(W3468)</f>
        <v>洲际油气</v>
      </c>
      <c r="Y3468" s="276" t="str">
        <f ca="1">IF($Y$3="申万一级行业",[1]!s_info_industry_sw_2021(W3468,公司分析!D$5,1),IF($Y$3="申万二级行业",[1]!s_info_industry_sw_2021(W3468,公司分析!D$5,2),IF($Y$3="申万三级行业",[1]!s_info_industry_sw_2021(W3468,公司分析!D$5,3),IF($Y$3="wind一级行业",[1]!s_info_industry_gics(W3468,1),IF($Y$3="wind二级行业",[1]!s_info_industry_gics(W3468,2),IF($Y$3="wind三级行业",[1]!s_info_industry_gics(W3468,3),IF($Y$3="wind四级行业",[1]!s_info_industry_gics(W3468,4),IF($Y$3="证监会门类行业",[1]!s_info_industry_csrc12_n(W3468,公司分析!D$5,1),""))))))))</f>
        <v>油气开采Ⅱ</v>
      </c>
      <c r="Z3468" s="302" t="str">
        <f ca="1">IF(Y3468=行业比较!$E$6,ROW(),"")</f>
        <v/>
      </c>
    </row>
    <row r="3469" spans="22:26">
      <c r="V3469" s="260">
        <f t="shared" ca="1" si="62"/>
        <v>0</v>
      </c>
      <c r="W3469" s="348" t="str">
        <f>IF(板块成分!B3471="","",板块成分!B3471)</f>
        <v>600760.SH</v>
      </c>
      <c r="X3469" s="276" t="str">
        <f>[1]!S_Info_Name(W3469)</f>
        <v>中航沈飞</v>
      </c>
      <c r="Y3469" s="276" t="str">
        <f ca="1">IF($Y$3="申万一级行业",[1]!s_info_industry_sw_2021(W3469,公司分析!D$5,1),IF($Y$3="申万二级行业",[1]!s_info_industry_sw_2021(W3469,公司分析!D$5,2),IF($Y$3="申万三级行业",[1]!s_info_industry_sw_2021(W3469,公司分析!D$5,3),IF($Y$3="wind一级行业",[1]!s_info_industry_gics(W3469,1),IF($Y$3="wind二级行业",[1]!s_info_industry_gics(W3469,2),IF($Y$3="wind三级行业",[1]!s_info_industry_gics(W3469,3),IF($Y$3="wind四级行业",[1]!s_info_industry_gics(W3469,4),IF($Y$3="证监会门类行业",[1]!s_info_industry_csrc12_n(W3469,公司分析!D$5,1),""))))))))</f>
        <v>航空装备Ⅱ</v>
      </c>
      <c r="Z3469" s="302" t="str">
        <f ca="1">IF(Y3469=行业比较!$E$6,ROW(),"")</f>
        <v/>
      </c>
    </row>
    <row r="3470" spans="22:26">
      <c r="V3470" s="260">
        <f t="shared" ca="1" si="62"/>
        <v>0</v>
      </c>
      <c r="W3470" s="348" t="str">
        <f>IF(板块成分!B3472="","",板块成分!B3472)</f>
        <v>600761.SH</v>
      </c>
      <c r="X3470" s="276" t="str">
        <f>[1]!S_Info_Name(W3470)</f>
        <v>安徽合力</v>
      </c>
      <c r="Y3470" s="276" t="str">
        <f ca="1">IF($Y$3="申万一级行业",[1]!s_info_industry_sw_2021(W3470,公司分析!D$5,1),IF($Y$3="申万二级行业",[1]!s_info_industry_sw_2021(W3470,公司分析!D$5,2),IF($Y$3="申万三级行业",[1]!s_info_industry_sw_2021(W3470,公司分析!D$5,3),IF($Y$3="wind一级行业",[1]!s_info_industry_gics(W3470,1),IF($Y$3="wind二级行业",[1]!s_info_industry_gics(W3470,2),IF($Y$3="wind三级行业",[1]!s_info_industry_gics(W3470,3),IF($Y$3="wind四级行业",[1]!s_info_industry_gics(W3470,4),IF($Y$3="证监会门类行业",[1]!s_info_industry_csrc12_n(W3470,公司分析!D$5,1),""))))))))</f>
        <v>工程机械</v>
      </c>
      <c r="Z3470" s="302" t="str">
        <f ca="1">IF(Y3470=行业比较!$E$6,ROW(),"")</f>
        <v/>
      </c>
    </row>
    <row r="3471" spans="22:26">
      <c r="V3471" s="260">
        <f t="shared" ca="1" si="62"/>
        <v>0</v>
      </c>
      <c r="W3471" s="348" t="str">
        <f>IF(板块成分!B3473="","",板块成分!B3473)</f>
        <v>600763.SH</v>
      </c>
      <c r="X3471" s="276" t="str">
        <f>[1]!S_Info_Name(W3471)</f>
        <v>通策医疗</v>
      </c>
      <c r="Y3471" s="276" t="str">
        <f ca="1">IF($Y$3="申万一级行业",[1]!s_info_industry_sw_2021(W3471,公司分析!D$5,1),IF($Y$3="申万二级行业",[1]!s_info_industry_sw_2021(W3471,公司分析!D$5,2),IF($Y$3="申万三级行业",[1]!s_info_industry_sw_2021(W3471,公司分析!D$5,3),IF($Y$3="wind一级行业",[1]!s_info_industry_gics(W3471,1),IF($Y$3="wind二级行业",[1]!s_info_industry_gics(W3471,2),IF($Y$3="wind三级行业",[1]!s_info_industry_gics(W3471,3),IF($Y$3="wind四级行业",[1]!s_info_industry_gics(W3471,4),IF($Y$3="证监会门类行业",[1]!s_info_industry_csrc12_n(W3471,公司分析!D$5,1),""))))))))</f>
        <v>医疗服务</v>
      </c>
      <c r="Z3471" s="302" t="str">
        <f ca="1">IF(Y3471=行业比较!$E$6,ROW(),"")</f>
        <v/>
      </c>
    </row>
    <row r="3472" spans="22:26">
      <c r="V3472" s="260">
        <f t="shared" ca="1" si="62"/>
        <v>0</v>
      </c>
      <c r="W3472" s="348" t="str">
        <f>IF(板块成分!B3474="","",板块成分!B3474)</f>
        <v>600764.SH</v>
      </c>
      <c r="X3472" s="276" t="str">
        <f>[1]!S_Info_Name(W3472)</f>
        <v>中国海防</v>
      </c>
      <c r="Y3472" s="276" t="str">
        <f ca="1">IF($Y$3="申万一级行业",[1]!s_info_industry_sw_2021(W3472,公司分析!D$5,1),IF($Y$3="申万二级行业",[1]!s_info_industry_sw_2021(W3472,公司分析!D$5,2),IF($Y$3="申万三级行业",[1]!s_info_industry_sw_2021(W3472,公司分析!D$5,3),IF($Y$3="wind一级行业",[1]!s_info_industry_gics(W3472,1),IF($Y$3="wind二级行业",[1]!s_info_industry_gics(W3472,2),IF($Y$3="wind三级行业",[1]!s_info_industry_gics(W3472,3),IF($Y$3="wind四级行业",[1]!s_info_industry_gics(W3472,4),IF($Y$3="证监会门类行业",[1]!s_info_industry_csrc12_n(W3472,公司分析!D$5,1),""))))))))</f>
        <v>航海装备Ⅱ</v>
      </c>
      <c r="Z3472" s="302" t="str">
        <f ca="1">IF(Y3472=行业比较!$E$6,ROW(),"")</f>
        <v/>
      </c>
    </row>
    <row r="3473" spans="22:26">
      <c r="V3473" s="260">
        <f t="shared" ca="1" si="62"/>
        <v>0</v>
      </c>
      <c r="W3473" s="348" t="str">
        <f>IF(板块成分!B3475="","",板块成分!B3475)</f>
        <v>600765.SH</v>
      </c>
      <c r="X3473" s="276" t="str">
        <f>[1]!S_Info_Name(W3473)</f>
        <v>中航重机</v>
      </c>
      <c r="Y3473" s="276" t="str">
        <f ca="1">IF($Y$3="申万一级行业",[1]!s_info_industry_sw_2021(W3473,公司分析!D$5,1),IF($Y$3="申万二级行业",[1]!s_info_industry_sw_2021(W3473,公司分析!D$5,2),IF($Y$3="申万三级行业",[1]!s_info_industry_sw_2021(W3473,公司分析!D$5,3),IF($Y$3="wind一级行业",[1]!s_info_industry_gics(W3473,1),IF($Y$3="wind二级行业",[1]!s_info_industry_gics(W3473,2),IF($Y$3="wind三级行业",[1]!s_info_industry_gics(W3473,3),IF($Y$3="wind四级行业",[1]!s_info_industry_gics(W3473,4),IF($Y$3="证监会门类行业",[1]!s_info_industry_csrc12_n(W3473,公司分析!D$5,1),""))))))))</f>
        <v>航空装备Ⅱ</v>
      </c>
      <c r="Z3473" s="302" t="str">
        <f ca="1">IF(Y3473=行业比较!$E$6,ROW(),"")</f>
        <v/>
      </c>
    </row>
    <row r="3474" spans="22:26">
      <c r="V3474" s="260">
        <f t="shared" ca="1" si="62"/>
        <v>40</v>
      </c>
      <c r="W3474" s="348" t="str">
        <f>IF(板块成分!B3476="","",板块成分!B3476)</f>
        <v>600768.SH</v>
      </c>
      <c r="X3474" s="276" t="str">
        <f>[1]!S_Info_Name(W3474)</f>
        <v>宁波富邦</v>
      </c>
      <c r="Y3474" s="276" t="str">
        <f ca="1">IF($Y$3="申万一级行业",[1]!s_info_industry_sw_2021(W3474,公司分析!D$5,1),IF($Y$3="申万二级行业",[1]!s_info_industry_sw_2021(W3474,公司分析!D$5,2),IF($Y$3="申万三级行业",[1]!s_info_industry_sw_2021(W3474,公司分析!D$5,3),IF($Y$3="wind一级行业",[1]!s_info_industry_gics(W3474,1),IF($Y$3="wind二级行业",[1]!s_info_industry_gics(W3474,2),IF($Y$3="wind三级行业",[1]!s_info_industry_gics(W3474,3),IF($Y$3="wind四级行业",[1]!s_info_industry_gics(W3474,4),IF($Y$3="证监会门类行业",[1]!s_info_industry_csrc12_n(W3474,公司分析!D$5,1),""))))))))</f>
        <v>工业金属</v>
      </c>
      <c r="Z3474" s="302">
        <f ca="1">IF(Y3474=行业比较!$E$6,ROW(),"")</f>
        <v>3474</v>
      </c>
    </row>
    <row r="3475" spans="22:26">
      <c r="V3475" s="260">
        <f t="shared" ca="1" si="62"/>
        <v>0</v>
      </c>
      <c r="W3475" s="348" t="str">
        <f>IF(板块成分!B3477="","",板块成分!B3477)</f>
        <v>600769.SH</v>
      </c>
      <c r="X3475" s="276" t="str">
        <f>[1]!S_Info_Name(W3475)</f>
        <v>祥龙电业</v>
      </c>
      <c r="Y3475" s="276" t="str">
        <f ca="1">IF($Y$3="申万一级行业",[1]!s_info_industry_sw_2021(W3475,公司分析!D$5,1),IF($Y$3="申万二级行业",[1]!s_info_industry_sw_2021(W3475,公司分析!D$5,2),IF($Y$3="申万三级行业",[1]!s_info_industry_sw_2021(W3475,公司分析!D$5,3),IF($Y$3="wind一级行业",[1]!s_info_industry_gics(W3475,1),IF($Y$3="wind二级行业",[1]!s_info_industry_gics(W3475,2),IF($Y$3="wind三级行业",[1]!s_info_industry_gics(W3475,3),IF($Y$3="wind四级行业",[1]!s_info_industry_gics(W3475,4),IF($Y$3="证监会门类行业",[1]!s_info_industry_csrc12_n(W3475,公司分析!D$5,1),""))))))))</f>
        <v>环境治理</v>
      </c>
      <c r="Z3475" s="302" t="str">
        <f ca="1">IF(Y3475=行业比较!$E$6,ROW(),"")</f>
        <v/>
      </c>
    </row>
    <row r="3476" spans="22:26">
      <c r="V3476" s="260">
        <f t="shared" ca="1" si="62"/>
        <v>0</v>
      </c>
      <c r="W3476" s="348" t="str">
        <f>IF(板块成分!B3478="","",板块成分!B3478)</f>
        <v>600770.SH</v>
      </c>
      <c r="X3476" s="276" t="str">
        <f>[1]!S_Info_Name(W3476)</f>
        <v>综艺股份</v>
      </c>
      <c r="Y3476" s="276" t="str">
        <f ca="1">IF($Y$3="申万一级行业",[1]!s_info_industry_sw_2021(W3476,公司分析!D$5,1),IF($Y$3="申万二级行业",[1]!s_info_industry_sw_2021(W3476,公司分析!D$5,2),IF($Y$3="申万三级行业",[1]!s_info_industry_sw_2021(W3476,公司分析!D$5,3),IF($Y$3="wind一级行业",[1]!s_info_industry_gics(W3476,1),IF($Y$3="wind二级行业",[1]!s_info_industry_gics(W3476,2),IF($Y$3="wind三级行业",[1]!s_info_industry_gics(W3476,3),IF($Y$3="wind四级行业",[1]!s_info_industry_gics(W3476,4),IF($Y$3="证监会门类行业",[1]!s_info_industry_csrc12_n(W3476,公司分析!D$5,1),""))))))))</f>
        <v>综合Ⅱ</v>
      </c>
      <c r="Z3476" s="302" t="str">
        <f ca="1">IF(Y3476=行业比较!$E$6,ROW(),"")</f>
        <v/>
      </c>
    </row>
    <row r="3477" spans="22:26">
      <c r="V3477" s="260">
        <f t="shared" ca="1" si="62"/>
        <v>0</v>
      </c>
      <c r="W3477" s="348" t="str">
        <f>IF(板块成分!B3479="","",板块成分!B3479)</f>
        <v>600771.SH</v>
      </c>
      <c r="X3477" s="276" t="str">
        <f>[1]!S_Info_Name(W3477)</f>
        <v>广誉远</v>
      </c>
      <c r="Y3477" s="276" t="str">
        <f ca="1">IF($Y$3="申万一级行业",[1]!s_info_industry_sw_2021(W3477,公司分析!D$5,1),IF($Y$3="申万二级行业",[1]!s_info_industry_sw_2021(W3477,公司分析!D$5,2),IF($Y$3="申万三级行业",[1]!s_info_industry_sw_2021(W3477,公司分析!D$5,3),IF($Y$3="wind一级行业",[1]!s_info_industry_gics(W3477,1),IF($Y$3="wind二级行业",[1]!s_info_industry_gics(W3477,2),IF($Y$3="wind三级行业",[1]!s_info_industry_gics(W3477,3),IF($Y$3="wind四级行业",[1]!s_info_industry_gics(W3477,4),IF($Y$3="证监会门类行业",[1]!s_info_industry_csrc12_n(W3477,公司分析!D$5,1),""))))))))</f>
        <v>中药Ⅱ</v>
      </c>
      <c r="Z3477" s="302" t="str">
        <f ca="1">IF(Y3477=行业比较!$E$6,ROW(),"")</f>
        <v/>
      </c>
    </row>
    <row r="3478" spans="22:26">
      <c r="V3478" s="260">
        <f t="shared" ca="1" si="62"/>
        <v>0</v>
      </c>
      <c r="W3478" s="348" t="str">
        <f>IF(板块成分!B3480="","",板块成分!B3480)</f>
        <v>600773.SH</v>
      </c>
      <c r="X3478" s="276" t="str">
        <f>[1]!S_Info_Name(W3478)</f>
        <v>西藏城投</v>
      </c>
      <c r="Y3478" s="276" t="str">
        <f ca="1">IF($Y$3="申万一级行业",[1]!s_info_industry_sw_2021(W3478,公司分析!D$5,1),IF($Y$3="申万二级行业",[1]!s_info_industry_sw_2021(W3478,公司分析!D$5,2),IF($Y$3="申万三级行业",[1]!s_info_industry_sw_2021(W3478,公司分析!D$5,3),IF($Y$3="wind一级行业",[1]!s_info_industry_gics(W3478,1),IF($Y$3="wind二级行业",[1]!s_info_industry_gics(W3478,2),IF($Y$3="wind三级行业",[1]!s_info_industry_gics(W3478,3),IF($Y$3="wind四级行业",[1]!s_info_industry_gics(W3478,4),IF($Y$3="证监会门类行业",[1]!s_info_industry_csrc12_n(W3478,公司分析!D$5,1),""))))))))</f>
        <v>房地产开发</v>
      </c>
      <c r="Z3478" s="302" t="str">
        <f ca="1">IF(Y3478=行业比较!$E$6,ROW(),"")</f>
        <v/>
      </c>
    </row>
    <row r="3479" spans="22:26">
      <c r="V3479" s="260">
        <f t="shared" ca="1" si="62"/>
        <v>0</v>
      </c>
      <c r="W3479" s="348" t="str">
        <f>IF(板块成分!B3481="","",板块成分!B3481)</f>
        <v>600774.SH</v>
      </c>
      <c r="X3479" s="276" t="str">
        <f>[1]!S_Info_Name(W3479)</f>
        <v>汉商集团</v>
      </c>
      <c r="Y3479" s="276" t="str">
        <f ca="1">IF($Y$3="申万一级行业",[1]!s_info_industry_sw_2021(W3479,公司分析!D$5,1),IF($Y$3="申万二级行业",[1]!s_info_industry_sw_2021(W3479,公司分析!D$5,2),IF($Y$3="申万三级行业",[1]!s_info_industry_sw_2021(W3479,公司分析!D$5,3),IF($Y$3="wind一级行业",[1]!s_info_industry_gics(W3479,1),IF($Y$3="wind二级行业",[1]!s_info_industry_gics(W3479,2),IF($Y$3="wind三级行业",[1]!s_info_industry_gics(W3479,3),IF($Y$3="wind四级行业",[1]!s_info_industry_gics(W3479,4),IF($Y$3="证监会门类行业",[1]!s_info_industry_csrc12_n(W3479,公司分析!D$5,1),""))))))))</f>
        <v>化学制药</v>
      </c>
      <c r="Z3479" s="302" t="str">
        <f ca="1">IF(Y3479=行业比较!$E$6,ROW(),"")</f>
        <v/>
      </c>
    </row>
    <row r="3480" spans="22:26">
      <c r="V3480" s="260">
        <f t="shared" ca="1" si="62"/>
        <v>0</v>
      </c>
      <c r="W3480" s="348" t="str">
        <f>IF(板块成分!B3482="","",板块成分!B3482)</f>
        <v>600775.SH</v>
      </c>
      <c r="X3480" s="276" t="str">
        <f>[1]!S_Info_Name(W3480)</f>
        <v>南京熊猫</v>
      </c>
      <c r="Y3480" s="276" t="str">
        <f ca="1">IF($Y$3="申万一级行业",[1]!s_info_industry_sw_2021(W3480,公司分析!D$5,1),IF($Y$3="申万二级行业",[1]!s_info_industry_sw_2021(W3480,公司分析!D$5,2),IF($Y$3="申万三级行业",[1]!s_info_industry_sw_2021(W3480,公司分析!D$5,3),IF($Y$3="wind一级行业",[1]!s_info_industry_gics(W3480,1),IF($Y$3="wind二级行业",[1]!s_info_industry_gics(W3480,2),IF($Y$3="wind三级行业",[1]!s_info_industry_gics(W3480,3),IF($Y$3="wind四级行业",[1]!s_info_industry_gics(W3480,4),IF($Y$3="证监会门类行业",[1]!s_info_industry_csrc12_n(W3480,公司分析!D$5,1),""))))))))</f>
        <v>通信设备</v>
      </c>
      <c r="Z3480" s="302" t="str">
        <f ca="1">IF(Y3480=行业比较!$E$6,ROW(),"")</f>
        <v/>
      </c>
    </row>
    <row r="3481" spans="22:26">
      <c r="V3481" s="260">
        <f t="shared" ca="1" si="62"/>
        <v>0</v>
      </c>
      <c r="W3481" s="348" t="str">
        <f>IF(板块成分!B3483="","",板块成分!B3483)</f>
        <v>600776.SH</v>
      </c>
      <c r="X3481" s="276" t="str">
        <f>[1]!S_Info_Name(W3481)</f>
        <v>东方通信</v>
      </c>
      <c r="Y3481" s="276" t="str">
        <f ca="1">IF($Y$3="申万一级行业",[1]!s_info_industry_sw_2021(W3481,公司分析!D$5,1),IF($Y$3="申万二级行业",[1]!s_info_industry_sw_2021(W3481,公司分析!D$5,2),IF($Y$3="申万三级行业",[1]!s_info_industry_sw_2021(W3481,公司分析!D$5,3),IF($Y$3="wind一级行业",[1]!s_info_industry_gics(W3481,1),IF($Y$3="wind二级行业",[1]!s_info_industry_gics(W3481,2),IF($Y$3="wind三级行业",[1]!s_info_industry_gics(W3481,3),IF($Y$3="wind四级行业",[1]!s_info_industry_gics(W3481,4),IF($Y$3="证监会门类行业",[1]!s_info_industry_csrc12_n(W3481,公司分析!D$5,1),""))))))))</f>
        <v>通信设备</v>
      </c>
      <c r="Z3481" s="302" t="str">
        <f ca="1">IF(Y3481=行业比较!$E$6,ROW(),"")</f>
        <v/>
      </c>
    </row>
    <row r="3482" spans="22:26">
      <c r="V3482" s="260">
        <f t="shared" ca="1" si="62"/>
        <v>0</v>
      </c>
      <c r="W3482" s="348" t="str">
        <f>IF(板块成分!B3484="","",板块成分!B3484)</f>
        <v>600777.SH</v>
      </c>
      <c r="X3482" s="276" t="str">
        <f>[1]!S_Info_Name(W3482)</f>
        <v>*ST新潮</v>
      </c>
      <c r="Y3482" s="276" t="str">
        <f ca="1">IF($Y$3="申万一级行业",[1]!s_info_industry_sw_2021(W3482,公司分析!D$5,1),IF($Y$3="申万二级行业",[1]!s_info_industry_sw_2021(W3482,公司分析!D$5,2),IF($Y$3="申万三级行业",[1]!s_info_industry_sw_2021(W3482,公司分析!D$5,3),IF($Y$3="wind一级行业",[1]!s_info_industry_gics(W3482,1),IF($Y$3="wind二级行业",[1]!s_info_industry_gics(W3482,2),IF($Y$3="wind三级行业",[1]!s_info_industry_gics(W3482,3),IF($Y$3="wind四级行业",[1]!s_info_industry_gics(W3482,4),IF($Y$3="证监会门类行业",[1]!s_info_industry_csrc12_n(W3482,公司分析!D$5,1),""))))))))</f>
        <v>油气开采Ⅱ</v>
      </c>
      <c r="Z3482" s="302" t="str">
        <f ca="1">IF(Y3482=行业比较!$E$6,ROW(),"")</f>
        <v/>
      </c>
    </row>
    <row r="3483" spans="22:26">
      <c r="V3483" s="260">
        <f t="shared" ca="1" si="62"/>
        <v>0</v>
      </c>
      <c r="W3483" s="348" t="str">
        <f>IF(板块成分!B3485="","",板块成分!B3485)</f>
        <v>600778.SH</v>
      </c>
      <c r="X3483" s="276" t="str">
        <f>[1]!S_Info_Name(W3483)</f>
        <v>友好集团</v>
      </c>
      <c r="Y3483" s="276" t="str">
        <f ca="1">IF($Y$3="申万一级行业",[1]!s_info_industry_sw_2021(W3483,公司分析!D$5,1),IF($Y$3="申万二级行业",[1]!s_info_industry_sw_2021(W3483,公司分析!D$5,2),IF($Y$3="申万三级行业",[1]!s_info_industry_sw_2021(W3483,公司分析!D$5,3),IF($Y$3="wind一级行业",[1]!s_info_industry_gics(W3483,1),IF($Y$3="wind二级行业",[1]!s_info_industry_gics(W3483,2),IF($Y$3="wind三级行业",[1]!s_info_industry_gics(W3483,3),IF($Y$3="wind四级行业",[1]!s_info_industry_gics(W3483,4),IF($Y$3="证监会门类行业",[1]!s_info_industry_csrc12_n(W3483,公司分析!D$5,1),""))))))))</f>
        <v>一般零售</v>
      </c>
      <c r="Z3483" s="302" t="str">
        <f ca="1">IF(Y3483=行业比较!$E$6,ROW(),"")</f>
        <v/>
      </c>
    </row>
    <row r="3484" spans="22:26">
      <c r="V3484" s="260">
        <f t="shared" ca="1" si="62"/>
        <v>0</v>
      </c>
      <c r="W3484" s="348" t="str">
        <f>IF(板块成分!B3486="","",板块成分!B3486)</f>
        <v>600779.SH</v>
      </c>
      <c r="X3484" s="276" t="str">
        <f>[1]!S_Info_Name(W3484)</f>
        <v>水井坊</v>
      </c>
      <c r="Y3484" s="276" t="str">
        <f ca="1">IF($Y$3="申万一级行业",[1]!s_info_industry_sw_2021(W3484,公司分析!D$5,1),IF($Y$3="申万二级行业",[1]!s_info_industry_sw_2021(W3484,公司分析!D$5,2),IF($Y$3="申万三级行业",[1]!s_info_industry_sw_2021(W3484,公司分析!D$5,3),IF($Y$3="wind一级行业",[1]!s_info_industry_gics(W3484,1),IF($Y$3="wind二级行业",[1]!s_info_industry_gics(W3484,2),IF($Y$3="wind三级行业",[1]!s_info_industry_gics(W3484,3),IF($Y$3="wind四级行业",[1]!s_info_industry_gics(W3484,4),IF($Y$3="证监会门类行业",[1]!s_info_industry_csrc12_n(W3484,公司分析!D$5,1),""))))))))</f>
        <v>白酒Ⅱ</v>
      </c>
      <c r="Z3484" s="302" t="str">
        <f ca="1">IF(Y3484=行业比较!$E$6,ROW(),"")</f>
        <v/>
      </c>
    </row>
    <row r="3485" spans="22:26">
      <c r="V3485" s="260">
        <f t="shared" ca="1" si="62"/>
        <v>0</v>
      </c>
      <c r="W3485" s="348" t="str">
        <f>IF(板块成分!B3487="","",板块成分!B3487)</f>
        <v>600780.SH</v>
      </c>
      <c r="X3485" s="276" t="str">
        <f>[1]!S_Info_Name(W3485)</f>
        <v>通宝能源</v>
      </c>
      <c r="Y3485" s="276" t="str">
        <f ca="1">IF($Y$3="申万一级行业",[1]!s_info_industry_sw_2021(W3485,公司分析!D$5,1),IF($Y$3="申万二级行业",[1]!s_info_industry_sw_2021(W3485,公司分析!D$5,2),IF($Y$3="申万三级行业",[1]!s_info_industry_sw_2021(W3485,公司分析!D$5,3),IF($Y$3="wind一级行业",[1]!s_info_industry_gics(W3485,1),IF($Y$3="wind二级行业",[1]!s_info_industry_gics(W3485,2),IF($Y$3="wind三级行业",[1]!s_info_industry_gics(W3485,3),IF($Y$3="wind四级行业",[1]!s_info_industry_gics(W3485,4),IF($Y$3="证监会门类行业",[1]!s_info_industry_csrc12_n(W3485,公司分析!D$5,1),""))))))))</f>
        <v>电力</v>
      </c>
      <c r="Z3485" s="302" t="str">
        <f ca="1">IF(Y3485=行业比较!$E$6,ROW(),"")</f>
        <v/>
      </c>
    </row>
    <row r="3486" spans="22:26">
      <c r="V3486" s="260">
        <f t="shared" ca="1" si="62"/>
        <v>0</v>
      </c>
      <c r="W3486" s="348" t="str">
        <f>IF(板块成分!B3488="","",板块成分!B3488)</f>
        <v>600782.SH</v>
      </c>
      <c r="X3486" s="276" t="str">
        <f>[1]!S_Info_Name(W3486)</f>
        <v>新钢股份</v>
      </c>
      <c r="Y3486" s="276" t="str">
        <f ca="1">IF($Y$3="申万一级行业",[1]!s_info_industry_sw_2021(W3486,公司分析!D$5,1),IF($Y$3="申万二级行业",[1]!s_info_industry_sw_2021(W3486,公司分析!D$5,2),IF($Y$3="申万三级行业",[1]!s_info_industry_sw_2021(W3486,公司分析!D$5,3),IF($Y$3="wind一级行业",[1]!s_info_industry_gics(W3486,1),IF($Y$3="wind二级行业",[1]!s_info_industry_gics(W3486,2),IF($Y$3="wind三级行业",[1]!s_info_industry_gics(W3486,3),IF($Y$3="wind四级行业",[1]!s_info_industry_gics(W3486,4),IF($Y$3="证监会门类行业",[1]!s_info_industry_csrc12_n(W3486,公司分析!D$5,1),""))))))))</f>
        <v>普钢</v>
      </c>
      <c r="Z3486" s="302" t="str">
        <f ca="1">IF(Y3486=行业比较!$E$6,ROW(),"")</f>
        <v/>
      </c>
    </row>
    <row r="3487" spans="22:26">
      <c r="V3487" s="260">
        <f t="shared" ca="1" si="62"/>
        <v>0</v>
      </c>
      <c r="W3487" s="348" t="str">
        <f>IF(板块成分!B3489="","",板块成分!B3489)</f>
        <v>600783.SH</v>
      </c>
      <c r="X3487" s="276" t="str">
        <f>[1]!S_Info_Name(W3487)</f>
        <v>鲁信创投</v>
      </c>
      <c r="Y3487" s="276" t="str">
        <f ca="1">IF($Y$3="申万一级行业",[1]!s_info_industry_sw_2021(W3487,公司分析!D$5,1),IF($Y$3="申万二级行业",[1]!s_info_industry_sw_2021(W3487,公司分析!D$5,2),IF($Y$3="申万三级行业",[1]!s_info_industry_sw_2021(W3487,公司分析!D$5,3),IF($Y$3="wind一级行业",[1]!s_info_industry_gics(W3487,1),IF($Y$3="wind二级行业",[1]!s_info_industry_gics(W3487,2),IF($Y$3="wind三级行业",[1]!s_info_industry_gics(W3487,3),IF($Y$3="wind四级行业",[1]!s_info_industry_gics(W3487,4),IF($Y$3="证监会门类行业",[1]!s_info_industry_csrc12_n(W3487,公司分析!D$5,1),""))))))))</f>
        <v>通用设备</v>
      </c>
      <c r="Z3487" s="302" t="str">
        <f ca="1">IF(Y3487=行业比较!$E$6,ROW(),"")</f>
        <v/>
      </c>
    </row>
    <row r="3488" spans="22:26">
      <c r="V3488" s="260">
        <f t="shared" ca="1" si="62"/>
        <v>0</v>
      </c>
      <c r="W3488" s="348" t="str">
        <f>IF(板块成分!B3490="","",板块成分!B3490)</f>
        <v>600784.SH</v>
      </c>
      <c r="X3488" s="276" t="str">
        <f>[1]!S_Info_Name(W3488)</f>
        <v>鲁银投资</v>
      </c>
      <c r="Y3488" s="276" t="str">
        <f ca="1">IF($Y$3="申万一级行业",[1]!s_info_industry_sw_2021(W3488,公司分析!D$5,1),IF($Y$3="申万二级行业",[1]!s_info_industry_sw_2021(W3488,公司分析!D$5,2),IF($Y$3="申万三级行业",[1]!s_info_industry_sw_2021(W3488,公司分析!D$5,3),IF($Y$3="wind一级行业",[1]!s_info_industry_gics(W3488,1),IF($Y$3="wind二级行业",[1]!s_info_industry_gics(W3488,2),IF($Y$3="wind三级行业",[1]!s_info_industry_gics(W3488,3),IF($Y$3="wind四级行业",[1]!s_info_industry_gics(W3488,4),IF($Y$3="证监会门类行业",[1]!s_info_industry_csrc12_n(W3488,公司分析!D$5,1),""))))))))</f>
        <v>化学原料</v>
      </c>
      <c r="Z3488" s="302" t="str">
        <f ca="1">IF(Y3488=行业比较!$E$6,ROW(),"")</f>
        <v/>
      </c>
    </row>
    <row r="3489" spans="22:26">
      <c r="V3489" s="260">
        <f t="shared" ca="1" si="62"/>
        <v>0</v>
      </c>
      <c r="W3489" s="348" t="str">
        <f>IF(板块成分!B3491="","",板块成分!B3491)</f>
        <v>600785.SH</v>
      </c>
      <c r="X3489" s="276" t="str">
        <f>[1]!S_Info_Name(W3489)</f>
        <v>新华百货</v>
      </c>
      <c r="Y3489" s="276" t="str">
        <f ca="1">IF($Y$3="申万一级行业",[1]!s_info_industry_sw_2021(W3489,公司分析!D$5,1),IF($Y$3="申万二级行业",[1]!s_info_industry_sw_2021(W3489,公司分析!D$5,2),IF($Y$3="申万三级行业",[1]!s_info_industry_sw_2021(W3489,公司分析!D$5,3),IF($Y$3="wind一级行业",[1]!s_info_industry_gics(W3489,1),IF($Y$3="wind二级行业",[1]!s_info_industry_gics(W3489,2),IF($Y$3="wind三级行业",[1]!s_info_industry_gics(W3489,3),IF($Y$3="wind四级行业",[1]!s_info_industry_gics(W3489,4),IF($Y$3="证监会门类行业",[1]!s_info_industry_csrc12_n(W3489,公司分析!D$5,1),""))))))))</f>
        <v>一般零售</v>
      </c>
      <c r="Z3489" s="302" t="str">
        <f ca="1">IF(Y3489=行业比较!$E$6,ROW(),"")</f>
        <v/>
      </c>
    </row>
    <row r="3490" spans="22:26">
      <c r="V3490" s="260">
        <f t="shared" ca="1" si="62"/>
        <v>0</v>
      </c>
      <c r="W3490" s="348" t="str">
        <f>IF(板块成分!B3492="","",板块成分!B3492)</f>
        <v>600787.SH</v>
      </c>
      <c r="X3490" s="276" t="str">
        <f>[1]!S_Info_Name(W3490)</f>
        <v>中储股份</v>
      </c>
      <c r="Y3490" s="276" t="str">
        <f ca="1">IF($Y$3="申万一级行业",[1]!s_info_industry_sw_2021(W3490,公司分析!D$5,1),IF($Y$3="申万二级行业",[1]!s_info_industry_sw_2021(W3490,公司分析!D$5,2),IF($Y$3="申万三级行业",[1]!s_info_industry_sw_2021(W3490,公司分析!D$5,3),IF($Y$3="wind一级行业",[1]!s_info_industry_gics(W3490,1),IF($Y$3="wind二级行业",[1]!s_info_industry_gics(W3490,2),IF($Y$3="wind三级行业",[1]!s_info_industry_gics(W3490,3),IF($Y$3="wind四级行业",[1]!s_info_industry_gics(W3490,4),IF($Y$3="证监会门类行业",[1]!s_info_industry_csrc12_n(W3490,公司分析!D$5,1),""))))))))</f>
        <v>物流</v>
      </c>
      <c r="Z3490" s="302" t="str">
        <f ca="1">IF(Y3490=行业比较!$E$6,ROW(),"")</f>
        <v/>
      </c>
    </row>
    <row r="3491" spans="22:26">
      <c r="V3491" s="260">
        <f t="shared" ca="1" si="62"/>
        <v>0</v>
      </c>
      <c r="W3491" s="348" t="str">
        <f>IF(板块成分!B3493="","",板块成分!B3493)</f>
        <v>600789.SH</v>
      </c>
      <c r="X3491" s="276" t="str">
        <f>[1]!S_Info_Name(W3491)</f>
        <v>鲁抗医药</v>
      </c>
      <c r="Y3491" s="276" t="str">
        <f ca="1">IF($Y$3="申万一级行业",[1]!s_info_industry_sw_2021(W3491,公司分析!D$5,1),IF($Y$3="申万二级行业",[1]!s_info_industry_sw_2021(W3491,公司分析!D$5,2),IF($Y$3="申万三级行业",[1]!s_info_industry_sw_2021(W3491,公司分析!D$5,3),IF($Y$3="wind一级行业",[1]!s_info_industry_gics(W3491,1),IF($Y$3="wind二级行业",[1]!s_info_industry_gics(W3491,2),IF($Y$3="wind三级行业",[1]!s_info_industry_gics(W3491,3),IF($Y$3="wind四级行业",[1]!s_info_industry_gics(W3491,4),IF($Y$3="证监会门类行业",[1]!s_info_industry_csrc12_n(W3491,公司分析!D$5,1),""))))))))</f>
        <v>化学制药</v>
      </c>
      <c r="Z3491" s="302" t="str">
        <f ca="1">IF(Y3491=行业比较!$E$6,ROW(),"")</f>
        <v/>
      </c>
    </row>
    <row r="3492" spans="22:26">
      <c r="V3492" s="260">
        <f t="shared" ca="1" si="62"/>
        <v>0</v>
      </c>
      <c r="W3492" s="348" t="str">
        <f>IF(板块成分!B3494="","",板块成分!B3494)</f>
        <v>600790.SH</v>
      </c>
      <c r="X3492" s="276" t="str">
        <f>[1]!S_Info_Name(W3492)</f>
        <v>轻纺城</v>
      </c>
      <c r="Y3492" s="276" t="str">
        <f ca="1">IF($Y$3="申万一级行业",[1]!s_info_industry_sw_2021(W3492,公司分析!D$5,1),IF($Y$3="申万二级行业",[1]!s_info_industry_sw_2021(W3492,公司分析!D$5,2),IF($Y$3="申万三级行业",[1]!s_info_industry_sw_2021(W3492,公司分析!D$5,3),IF($Y$3="wind一级行业",[1]!s_info_industry_gics(W3492,1),IF($Y$3="wind二级行业",[1]!s_info_industry_gics(W3492,2),IF($Y$3="wind三级行业",[1]!s_info_industry_gics(W3492,3),IF($Y$3="wind四级行业",[1]!s_info_industry_gics(W3492,4),IF($Y$3="证监会门类行业",[1]!s_info_industry_csrc12_n(W3492,公司分析!D$5,1),""))))))))</f>
        <v>一般零售</v>
      </c>
      <c r="Z3492" s="302" t="str">
        <f ca="1">IF(Y3492=行业比较!$E$6,ROW(),"")</f>
        <v/>
      </c>
    </row>
    <row r="3493" spans="22:26">
      <c r="V3493" s="260">
        <f t="shared" ca="1" si="62"/>
        <v>0</v>
      </c>
      <c r="W3493" s="348" t="str">
        <f>IF(板块成分!B3495="","",板块成分!B3495)</f>
        <v>600791.SH</v>
      </c>
      <c r="X3493" s="276" t="str">
        <f>[1]!S_Info_Name(W3493)</f>
        <v>京能置业</v>
      </c>
      <c r="Y3493" s="276" t="str">
        <f ca="1">IF($Y$3="申万一级行业",[1]!s_info_industry_sw_2021(W3493,公司分析!D$5,1),IF($Y$3="申万二级行业",[1]!s_info_industry_sw_2021(W3493,公司分析!D$5,2),IF($Y$3="申万三级行业",[1]!s_info_industry_sw_2021(W3493,公司分析!D$5,3),IF($Y$3="wind一级行业",[1]!s_info_industry_gics(W3493,1),IF($Y$3="wind二级行业",[1]!s_info_industry_gics(W3493,2),IF($Y$3="wind三级行业",[1]!s_info_industry_gics(W3493,3),IF($Y$3="wind四级行业",[1]!s_info_industry_gics(W3493,4),IF($Y$3="证监会门类行业",[1]!s_info_industry_csrc12_n(W3493,公司分析!D$5,1),""))))))))</f>
        <v>房地产开发</v>
      </c>
      <c r="Z3493" s="302" t="str">
        <f ca="1">IF(Y3493=行业比较!$E$6,ROW(),"")</f>
        <v/>
      </c>
    </row>
    <row r="3494" spans="22:26">
      <c r="V3494" s="260">
        <f t="shared" ca="1" si="62"/>
        <v>0</v>
      </c>
      <c r="W3494" s="348" t="str">
        <f>IF(板块成分!B3496="","",板块成分!B3496)</f>
        <v>600792.SH</v>
      </c>
      <c r="X3494" s="276" t="str">
        <f>[1]!S_Info_Name(W3494)</f>
        <v>云煤能源</v>
      </c>
      <c r="Y3494" s="276" t="str">
        <f ca="1">IF($Y$3="申万一级行业",[1]!s_info_industry_sw_2021(W3494,公司分析!D$5,1),IF($Y$3="申万二级行业",[1]!s_info_industry_sw_2021(W3494,公司分析!D$5,2),IF($Y$3="申万三级行业",[1]!s_info_industry_sw_2021(W3494,公司分析!D$5,3),IF($Y$3="wind一级行业",[1]!s_info_industry_gics(W3494,1),IF($Y$3="wind二级行业",[1]!s_info_industry_gics(W3494,2),IF($Y$3="wind三级行业",[1]!s_info_industry_gics(W3494,3),IF($Y$3="wind四级行业",[1]!s_info_industry_gics(W3494,4),IF($Y$3="证监会门类行业",[1]!s_info_industry_csrc12_n(W3494,公司分析!D$5,1),""))))))))</f>
        <v>焦炭Ⅱ</v>
      </c>
      <c r="Z3494" s="302" t="str">
        <f ca="1">IF(Y3494=行业比较!$E$6,ROW(),"")</f>
        <v/>
      </c>
    </row>
    <row r="3495" spans="22:26">
      <c r="V3495" s="260">
        <f t="shared" ca="1" si="62"/>
        <v>0</v>
      </c>
      <c r="W3495" s="348" t="str">
        <f>IF(板块成分!B3497="","",板块成分!B3497)</f>
        <v>600793.SH</v>
      </c>
      <c r="X3495" s="276" t="str">
        <f>[1]!S_Info_Name(W3495)</f>
        <v>宜宾纸业</v>
      </c>
      <c r="Y3495" s="276" t="str">
        <f ca="1">IF($Y$3="申万一级行业",[1]!s_info_industry_sw_2021(W3495,公司分析!D$5,1),IF($Y$3="申万二级行业",[1]!s_info_industry_sw_2021(W3495,公司分析!D$5,2),IF($Y$3="申万三级行业",[1]!s_info_industry_sw_2021(W3495,公司分析!D$5,3),IF($Y$3="wind一级行业",[1]!s_info_industry_gics(W3495,1),IF($Y$3="wind二级行业",[1]!s_info_industry_gics(W3495,2),IF($Y$3="wind三级行业",[1]!s_info_industry_gics(W3495,3),IF($Y$3="wind四级行业",[1]!s_info_industry_gics(W3495,4),IF($Y$3="证监会门类行业",[1]!s_info_industry_csrc12_n(W3495,公司分析!D$5,1),""))))))))</f>
        <v>造纸</v>
      </c>
      <c r="Z3495" s="302" t="str">
        <f ca="1">IF(Y3495=行业比较!$E$6,ROW(),"")</f>
        <v/>
      </c>
    </row>
    <row r="3496" spans="22:26">
      <c r="V3496" s="260">
        <f t="shared" ca="1" si="62"/>
        <v>0</v>
      </c>
      <c r="W3496" s="348" t="str">
        <f>IF(板块成分!B3498="","",板块成分!B3498)</f>
        <v>600794.SH</v>
      </c>
      <c r="X3496" s="276" t="str">
        <f>[1]!S_Info_Name(W3496)</f>
        <v>保税科技</v>
      </c>
      <c r="Y3496" s="276" t="str">
        <f ca="1">IF($Y$3="申万一级行业",[1]!s_info_industry_sw_2021(W3496,公司分析!D$5,1),IF($Y$3="申万二级行业",[1]!s_info_industry_sw_2021(W3496,公司分析!D$5,2),IF($Y$3="申万三级行业",[1]!s_info_industry_sw_2021(W3496,公司分析!D$5,3),IF($Y$3="wind一级行业",[1]!s_info_industry_gics(W3496,1),IF($Y$3="wind二级行业",[1]!s_info_industry_gics(W3496,2),IF($Y$3="wind三级行业",[1]!s_info_industry_gics(W3496,3),IF($Y$3="wind四级行业",[1]!s_info_industry_gics(W3496,4),IF($Y$3="证监会门类行业",[1]!s_info_industry_csrc12_n(W3496,公司分析!D$5,1),""))))))))</f>
        <v>物流</v>
      </c>
      <c r="Z3496" s="302" t="str">
        <f ca="1">IF(Y3496=行业比较!$E$6,ROW(),"")</f>
        <v/>
      </c>
    </row>
    <row r="3497" spans="22:26">
      <c r="V3497" s="260">
        <f t="shared" ca="1" si="62"/>
        <v>0</v>
      </c>
      <c r="W3497" s="348" t="str">
        <f>IF(板块成分!B3499="","",板块成分!B3499)</f>
        <v>600795.SH</v>
      </c>
      <c r="X3497" s="276" t="str">
        <f>[1]!S_Info_Name(W3497)</f>
        <v>国电电力</v>
      </c>
      <c r="Y3497" s="276" t="str">
        <f ca="1">IF($Y$3="申万一级行业",[1]!s_info_industry_sw_2021(W3497,公司分析!D$5,1),IF($Y$3="申万二级行业",[1]!s_info_industry_sw_2021(W3497,公司分析!D$5,2),IF($Y$3="申万三级行业",[1]!s_info_industry_sw_2021(W3497,公司分析!D$5,3),IF($Y$3="wind一级行业",[1]!s_info_industry_gics(W3497,1),IF($Y$3="wind二级行业",[1]!s_info_industry_gics(W3497,2),IF($Y$3="wind三级行业",[1]!s_info_industry_gics(W3497,3),IF($Y$3="wind四级行业",[1]!s_info_industry_gics(W3497,4),IF($Y$3="证监会门类行业",[1]!s_info_industry_csrc12_n(W3497,公司分析!D$5,1),""))))))))</f>
        <v>电力</v>
      </c>
      <c r="Z3497" s="302" t="str">
        <f ca="1">IF(Y3497=行业比较!$E$6,ROW(),"")</f>
        <v/>
      </c>
    </row>
    <row r="3498" spans="22:26">
      <c r="V3498" s="260">
        <f t="shared" ca="1" si="62"/>
        <v>0</v>
      </c>
      <c r="W3498" s="348" t="str">
        <f>IF(板块成分!B3500="","",板块成分!B3500)</f>
        <v>600796.SH</v>
      </c>
      <c r="X3498" s="276" t="str">
        <f>[1]!S_Info_Name(W3498)</f>
        <v>钱江生化</v>
      </c>
      <c r="Y3498" s="276" t="str">
        <f ca="1">IF($Y$3="申万一级行业",[1]!s_info_industry_sw_2021(W3498,公司分析!D$5,1),IF($Y$3="申万二级行业",[1]!s_info_industry_sw_2021(W3498,公司分析!D$5,2),IF($Y$3="申万三级行业",[1]!s_info_industry_sw_2021(W3498,公司分析!D$5,3),IF($Y$3="wind一级行业",[1]!s_info_industry_gics(W3498,1),IF($Y$3="wind二级行业",[1]!s_info_industry_gics(W3498,2),IF($Y$3="wind三级行业",[1]!s_info_industry_gics(W3498,3),IF($Y$3="wind四级行业",[1]!s_info_industry_gics(W3498,4),IF($Y$3="证监会门类行业",[1]!s_info_industry_csrc12_n(W3498,公司分析!D$5,1),""))))))))</f>
        <v>环境治理</v>
      </c>
      <c r="Z3498" s="302" t="str">
        <f ca="1">IF(Y3498=行业比较!$E$6,ROW(),"")</f>
        <v/>
      </c>
    </row>
    <row r="3499" spans="22:26">
      <c r="V3499" s="260">
        <f t="shared" ca="1" si="62"/>
        <v>0</v>
      </c>
      <c r="W3499" s="348" t="str">
        <f>IF(板块成分!B3501="","",板块成分!B3501)</f>
        <v>600797.SH</v>
      </c>
      <c r="X3499" s="276" t="str">
        <f>[1]!S_Info_Name(W3499)</f>
        <v>浙大网新</v>
      </c>
      <c r="Y3499" s="276" t="str">
        <f ca="1">IF($Y$3="申万一级行业",[1]!s_info_industry_sw_2021(W3499,公司分析!D$5,1),IF($Y$3="申万二级行业",[1]!s_info_industry_sw_2021(W3499,公司分析!D$5,2),IF($Y$3="申万三级行业",[1]!s_info_industry_sw_2021(W3499,公司分析!D$5,3),IF($Y$3="wind一级行业",[1]!s_info_industry_gics(W3499,1),IF($Y$3="wind二级行业",[1]!s_info_industry_gics(W3499,2),IF($Y$3="wind三级行业",[1]!s_info_industry_gics(W3499,3),IF($Y$3="wind四级行业",[1]!s_info_industry_gics(W3499,4),IF($Y$3="证监会门类行业",[1]!s_info_industry_csrc12_n(W3499,公司分析!D$5,1),""))))))))</f>
        <v>IT服务Ⅱ</v>
      </c>
      <c r="Z3499" s="302" t="str">
        <f ca="1">IF(Y3499=行业比较!$E$6,ROW(),"")</f>
        <v/>
      </c>
    </row>
    <row r="3500" spans="22:26">
      <c r="V3500" s="260">
        <f t="shared" ca="1" si="62"/>
        <v>0</v>
      </c>
      <c r="W3500" s="348" t="str">
        <f>IF(板块成分!B3502="","",板块成分!B3502)</f>
        <v>600798.SH</v>
      </c>
      <c r="X3500" s="276" t="str">
        <f>[1]!S_Info_Name(W3500)</f>
        <v>宁波海运</v>
      </c>
      <c r="Y3500" s="276" t="str">
        <f ca="1">IF($Y$3="申万一级行业",[1]!s_info_industry_sw_2021(W3500,公司分析!D$5,1),IF($Y$3="申万二级行业",[1]!s_info_industry_sw_2021(W3500,公司分析!D$5,2),IF($Y$3="申万三级行业",[1]!s_info_industry_sw_2021(W3500,公司分析!D$5,3),IF($Y$3="wind一级行业",[1]!s_info_industry_gics(W3500,1),IF($Y$3="wind二级行业",[1]!s_info_industry_gics(W3500,2),IF($Y$3="wind三级行业",[1]!s_info_industry_gics(W3500,3),IF($Y$3="wind四级行业",[1]!s_info_industry_gics(W3500,4),IF($Y$3="证监会门类行业",[1]!s_info_industry_csrc12_n(W3500,公司分析!D$5,1),""))))))))</f>
        <v>航运港口</v>
      </c>
      <c r="Z3500" s="302" t="str">
        <f ca="1">IF(Y3500=行业比较!$E$6,ROW(),"")</f>
        <v/>
      </c>
    </row>
    <row r="3501" spans="22:26">
      <c r="V3501" s="260">
        <f t="shared" ca="1" si="62"/>
        <v>0</v>
      </c>
      <c r="W3501" s="348" t="str">
        <f>IF(板块成分!B3503="","",板块成分!B3503)</f>
        <v>600800.SH</v>
      </c>
      <c r="X3501" s="276" t="str">
        <f>[1]!S_Info_Name(W3501)</f>
        <v>渤海化学</v>
      </c>
      <c r="Y3501" s="276" t="str">
        <f ca="1">IF($Y$3="申万一级行业",[1]!s_info_industry_sw_2021(W3501,公司分析!D$5,1),IF($Y$3="申万二级行业",[1]!s_info_industry_sw_2021(W3501,公司分析!D$5,2),IF($Y$3="申万三级行业",[1]!s_info_industry_sw_2021(W3501,公司分析!D$5,3),IF($Y$3="wind一级行业",[1]!s_info_industry_gics(W3501,1),IF($Y$3="wind二级行业",[1]!s_info_industry_gics(W3501,2),IF($Y$3="wind三级行业",[1]!s_info_industry_gics(W3501,3),IF($Y$3="wind四级行业",[1]!s_info_industry_gics(W3501,4),IF($Y$3="证监会门类行业",[1]!s_info_industry_csrc12_n(W3501,公司分析!D$5,1),""))))))))</f>
        <v>炼化及贸易</v>
      </c>
      <c r="Z3501" s="302" t="str">
        <f ca="1">IF(Y3501=行业比较!$E$6,ROW(),"")</f>
        <v/>
      </c>
    </row>
    <row r="3502" spans="22:26">
      <c r="V3502" s="260">
        <f t="shared" ca="1" si="62"/>
        <v>0</v>
      </c>
      <c r="W3502" s="348" t="str">
        <f>IF(板块成分!B3504="","",板块成分!B3504)</f>
        <v>600801.SH</v>
      </c>
      <c r="X3502" s="276" t="str">
        <f>[1]!S_Info_Name(W3502)</f>
        <v>华新建材</v>
      </c>
      <c r="Y3502" s="276" t="str">
        <f ca="1">IF($Y$3="申万一级行业",[1]!s_info_industry_sw_2021(W3502,公司分析!D$5,1),IF($Y$3="申万二级行业",[1]!s_info_industry_sw_2021(W3502,公司分析!D$5,2),IF($Y$3="申万三级行业",[1]!s_info_industry_sw_2021(W3502,公司分析!D$5,3),IF($Y$3="wind一级行业",[1]!s_info_industry_gics(W3502,1),IF($Y$3="wind二级行业",[1]!s_info_industry_gics(W3502,2),IF($Y$3="wind三级行业",[1]!s_info_industry_gics(W3502,3),IF($Y$3="wind四级行业",[1]!s_info_industry_gics(W3502,4),IF($Y$3="证监会门类行业",[1]!s_info_industry_csrc12_n(W3502,公司分析!D$5,1),""))))))))</f>
        <v>水泥</v>
      </c>
      <c r="Z3502" s="302" t="str">
        <f ca="1">IF(Y3502=行业比较!$E$6,ROW(),"")</f>
        <v/>
      </c>
    </row>
    <row r="3503" spans="22:26">
      <c r="V3503" s="260">
        <f t="shared" ca="1" si="62"/>
        <v>0</v>
      </c>
      <c r="W3503" s="348" t="str">
        <f>IF(板块成分!B3505="","",板块成分!B3505)</f>
        <v>600802.SH</v>
      </c>
      <c r="X3503" s="276" t="str">
        <f>[1]!S_Info_Name(W3503)</f>
        <v>福建水泥</v>
      </c>
      <c r="Y3503" s="276" t="str">
        <f ca="1">IF($Y$3="申万一级行业",[1]!s_info_industry_sw_2021(W3503,公司分析!D$5,1),IF($Y$3="申万二级行业",[1]!s_info_industry_sw_2021(W3503,公司分析!D$5,2),IF($Y$3="申万三级行业",[1]!s_info_industry_sw_2021(W3503,公司分析!D$5,3),IF($Y$3="wind一级行业",[1]!s_info_industry_gics(W3503,1),IF($Y$3="wind二级行业",[1]!s_info_industry_gics(W3503,2),IF($Y$3="wind三级行业",[1]!s_info_industry_gics(W3503,3),IF($Y$3="wind四级行业",[1]!s_info_industry_gics(W3503,4),IF($Y$3="证监会门类行业",[1]!s_info_industry_csrc12_n(W3503,公司分析!D$5,1),""))))))))</f>
        <v>水泥</v>
      </c>
      <c r="Z3503" s="302" t="str">
        <f ca="1">IF(Y3503=行业比较!$E$6,ROW(),"")</f>
        <v/>
      </c>
    </row>
    <row r="3504" spans="22:26">
      <c r="V3504" s="260">
        <f t="shared" ca="1" si="62"/>
        <v>0</v>
      </c>
      <c r="W3504" s="348" t="str">
        <f>IF(板块成分!B3506="","",板块成分!B3506)</f>
        <v>600803.SH</v>
      </c>
      <c r="X3504" s="276" t="str">
        <f>[1]!S_Info_Name(W3504)</f>
        <v>新奥股份</v>
      </c>
      <c r="Y3504" s="276" t="str">
        <f ca="1">IF($Y$3="申万一级行业",[1]!s_info_industry_sw_2021(W3504,公司分析!D$5,1),IF($Y$3="申万二级行业",[1]!s_info_industry_sw_2021(W3504,公司分析!D$5,2),IF($Y$3="申万三级行业",[1]!s_info_industry_sw_2021(W3504,公司分析!D$5,3),IF($Y$3="wind一级行业",[1]!s_info_industry_gics(W3504,1),IF($Y$3="wind二级行业",[1]!s_info_industry_gics(W3504,2),IF($Y$3="wind三级行业",[1]!s_info_industry_gics(W3504,3),IF($Y$3="wind四级行业",[1]!s_info_industry_gics(W3504,4),IF($Y$3="证监会门类行业",[1]!s_info_industry_csrc12_n(W3504,公司分析!D$5,1),""))))))))</f>
        <v>燃气Ⅱ</v>
      </c>
      <c r="Z3504" s="302" t="str">
        <f ca="1">IF(Y3504=行业比较!$E$6,ROW(),"")</f>
        <v/>
      </c>
    </row>
    <row r="3505" spans="22:26">
      <c r="V3505" s="260">
        <f t="shared" ca="1" si="62"/>
        <v>0</v>
      </c>
      <c r="W3505" s="348" t="str">
        <f>IF(板块成分!B3507="","",板块成分!B3507)</f>
        <v>600805.SH</v>
      </c>
      <c r="X3505" s="276" t="str">
        <f>[1]!S_Info_Name(W3505)</f>
        <v>悦达投资</v>
      </c>
      <c r="Y3505" s="276" t="str">
        <f ca="1">IF($Y$3="申万一级行业",[1]!s_info_industry_sw_2021(W3505,公司分析!D$5,1),IF($Y$3="申万二级行业",[1]!s_info_industry_sw_2021(W3505,公司分析!D$5,2),IF($Y$3="申万三级行业",[1]!s_info_industry_sw_2021(W3505,公司分析!D$5,3),IF($Y$3="wind一级行业",[1]!s_info_industry_gics(W3505,1),IF($Y$3="wind二级行业",[1]!s_info_industry_gics(W3505,2),IF($Y$3="wind三级行业",[1]!s_info_industry_gics(W3505,3),IF($Y$3="wind四级行业",[1]!s_info_industry_gics(W3505,4),IF($Y$3="证监会门类行业",[1]!s_info_industry_csrc12_n(W3505,公司分析!D$5,1),""))))))))</f>
        <v>综合Ⅱ</v>
      </c>
      <c r="Z3505" s="302" t="str">
        <f ca="1">IF(Y3505=行业比较!$E$6,ROW(),"")</f>
        <v/>
      </c>
    </row>
    <row r="3506" spans="22:26">
      <c r="V3506" s="260">
        <f t="shared" ca="1" si="62"/>
        <v>0</v>
      </c>
      <c r="W3506" s="348" t="str">
        <f>IF(板块成分!B3508="","",板块成分!B3508)</f>
        <v>600807.SH</v>
      </c>
      <c r="X3506" s="276" t="str">
        <f>[1]!S_Info_Name(W3506)</f>
        <v>济高发展</v>
      </c>
      <c r="Y3506" s="276" t="str">
        <f ca="1">IF($Y$3="申万一级行业",[1]!s_info_industry_sw_2021(W3506,公司分析!D$5,1),IF($Y$3="申万二级行业",[1]!s_info_industry_sw_2021(W3506,公司分析!D$5,2),IF($Y$3="申万三级行业",[1]!s_info_industry_sw_2021(W3506,公司分析!D$5,3),IF($Y$3="wind一级行业",[1]!s_info_industry_gics(W3506,1),IF($Y$3="wind二级行业",[1]!s_info_industry_gics(W3506,2),IF($Y$3="wind三级行业",[1]!s_info_industry_gics(W3506,3),IF($Y$3="wind四级行业",[1]!s_info_industry_gics(W3506,4),IF($Y$3="证监会门类行业",[1]!s_info_industry_csrc12_n(W3506,公司分析!D$5,1),""))))))))</f>
        <v>医疗器械</v>
      </c>
      <c r="Z3506" s="302" t="str">
        <f ca="1">IF(Y3506=行业比较!$E$6,ROW(),"")</f>
        <v/>
      </c>
    </row>
    <row r="3507" spans="22:26">
      <c r="V3507" s="260">
        <f t="shared" ca="1" si="62"/>
        <v>0</v>
      </c>
      <c r="W3507" s="348" t="str">
        <f>IF(板块成分!B3509="","",板块成分!B3509)</f>
        <v>600808.SH</v>
      </c>
      <c r="X3507" s="276" t="str">
        <f>[1]!S_Info_Name(W3507)</f>
        <v>马钢股份</v>
      </c>
      <c r="Y3507" s="276" t="str">
        <f ca="1">IF($Y$3="申万一级行业",[1]!s_info_industry_sw_2021(W3507,公司分析!D$5,1),IF($Y$3="申万二级行业",[1]!s_info_industry_sw_2021(W3507,公司分析!D$5,2),IF($Y$3="申万三级行业",[1]!s_info_industry_sw_2021(W3507,公司分析!D$5,3),IF($Y$3="wind一级行业",[1]!s_info_industry_gics(W3507,1),IF($Y$3="wind二级行业",[1]!s_info_industry_gics(W3507,2),IF($Y$3="wind三级行业",[1]!s_info_industry_gics(W3507,3),IF($Y$3="wind四级行业",[1]!s_info_industry_gics(W3507,4),IF($Y$3="证监会门类行业",[1]!s_info_industry_csrc12_n(W3507,公司分析!D$5,1),""))))))))</f>
        <v>普钢</v>
      </c>
      <c r="Z3507" s="302" t="str">
        <f ca="1">IF(Y3507=行业比较!$E$6,ROW(),"")</f>
        <v/>
      </c>
    </row>
    <row r="3508" spans="22:26">
      <c r="V3508" s="260">
        <f t="shared" ca="1" si="62"/>
        <v>0</v>
      </c>
      <c r="W3508" s="348" t="str">
        <f>IF(板块成分!B3510="","",板块成分!B3510)</f>
        <v>600809.SH</v>
      </c>
      <c r="X3508" s="276" t="str">
        <f>[1]!S_Info_Name(W3508)</f>
        <v>山西汾酒</v>
      </c>
      <c r="Y3508" s="276" t="str">
        <f ca="1">IF($Y$3="申万一级行业",[1]!s_info_industry_sw_2021(W3508,公司分析!D$5,1),IF($Y$3="申万二级行业",[1]!s_info_industry_sw_2021(W3508,公司分析!D$5,2),IF($Y$3="申万三级行业",[1]!s_info_industry_sw_2021(W3508,公司分析!D$5,3),IF($Y$3="wind一级行业",[1]!s_info_industry_gics(W3508,1),IF($Y$3="wind二级行业",[1]!s_info_industry_gics(W3508,2),IF($Y$3="wind三级行业",[1]!s_info_industry_gics(W3508,3),IF($Y$3="wind四级行业",[1]!s_info_industry_gics(W3508,4),IF($Y$3="证监会门类行业",[1]!s_info_industry_csrc12_n(W3508,公司分析!D$5,1),""))))))))</f>
        <v>白酒Ⅱ</v>
      </c>
      <c r="Z3508" s="302" t="str">
        <f ca="1">IF(Y3508=行业比较!$E$6,ROW(),"")</f>
        <v/>
      </c>
    </row>
    <row r="3509" spans="22:26">
      <c r="V3509" s="260">
        <f t="shared" ca="1" si="62"/>
        <v>0</v>
      </c>
      <c r="W3509" s="348" t="str">
        <f>IF(板块成分!B3511="","",板块成分!B3511)</f>
        <v>600810.SH</v>
      </c>
      <c r="X3509" s="276" t="str">
        <f>[1]!S_Info_Name(W3509)</f>
        <v>神马股份</v>
      </c>
      <c r="Y3509" s="276" t="str">
        <f ca="1">IF($Y$3="申万一级行业",[1]!s_info_industry_sw_2021(W3509,公司分析!D$5,1),IF($Y$3="申万二级行业",[1]!s_info_industry_sw_2021(W3509,公司分析!D$5,2),IF($Y$3="申万三级行业",[1]!s_info_industry_sw_2021(W3509,公司分析!D$5,3),IF($Y$3="wind一级行业",[1]!s_info_industry_gics(W3509,1),IF($Y$3="wind二级行业",[1]!s_info_industry_gics(W3509,2),IF($Y$3="wind三级行业",[1]!s_info_industry_gics(W3509,3),IF($Y$3="wind四级行业",[1]!s_info_industry_gics(W3509,4),IF($Y$3="证监会门类行业",[1]!s_info_industry_csrc12_n(W3509,公司分析!D$5,1),""))))))))</f>
        <v>化学纤维</v>
      </c>
      <c r="Z3509" s="302" t="str">
        <f ca="1">IF(Y3509=行业比较!$E$6,ROW(),"")</f>
        <v/>
      </c>
    </row>
    <row r="3510" spans="22:26">
      <c r="V3510" s="260">
        <f t="shared" ca="1" si="62"/>
        <v>0</v>
      </c>
      <c r="W3510" s="348" t="str">
        <f>IF(板块成分!B3512="","",板块成分!B3512)</f>
        <v>600812.SH</v>
      </c>
      <c r="X3510" s="276" t="str">
        <f>[1]!S_Info_Name(W3510)</f>
        <v>华北制药</v>
      </c>
      <c r="Y3510" s="276" t="str">
        <f ca="1">IF($Y$3="申万一级行业",[1]!s_info_industry_sw_2021(W3510,公司分析!D$5,1),IF($Y$3="申万二级行业",[1]!s_info_industry_sw_2021(W3510,公司分析!D$5,2),IF($Y$3="申万三级行业",[1]!s_info_industry_sw_2021(W3510,公司分析!D$5,3),IF($Y$3="wind一级行业",[1]!s_info_industry_gics(W3510,1),IF($Y$3="wind二级行业",[1]!s_info_industry_gics(W3510,2),IF($Y$3="wind三级行业",[1]!s_info_industry_gics(W3510,3),IF($Y$3="wind四级行业",[1]!s_info_industry_gics(W3510,4),IF($Y$3="证监会门类行业",[1]!s_info_industry_csrc12_n(W3510,公司分析!D$5,1),""))))))))</f>
        <v>化学制药</v>
      </c>
      <c r="Z3510" s="302" t="str">
        <f ca="1">IF(Y3510=行业比较!$E$6,ROW(),"")</f>
        <v/>
      </c>
    </row>
    <row r="3511" spans="22:26">
      <c r="V3511" s="260">
        <f t="shared" ca="1" si="62"/>
        <v>0</v>
      </c>
      <c r="W3511" s="348" t="str">
        <f>IF(板块成分!B3513="","",板块成分!B3513)</f>
        <v>600814.SH</v>
      </c>
      <c r="X3511" s="276" t="str">
        <f>[1]!S_Info_Name(W3511)</f>
        <v>杭州解百</v>
      </c>
      <c r="Y3511" s="276" t="str">
        <f ca="1">IF($Y$3="申万一级行业",[1]!s_info_industry_sw_2021(W3511,公司分析!D$5,1),IF($Y$3="申万二级行业",[1]!s_info_industry_sw_2021(W3511,公司分析!D$5,2),IF($Y$3="申万三级行业",[1]!s_info_industry_sw_2021(W3511,公司分析!D$5,3),IF($Y$3="wind一级行业",[1]!s_info_industry_gics(W3511,1),IF($Y$3="wind二级行业",[1]!s_info_industry_gics(W3511,2),IF($Y$3="wind三级行业",[1]!s_info_industry_gics(W3511,3),IF($Y$3="wind四级行业",[1]!s_info_industry_gics(W3511,4),IF($Y$3="证监会门类行业",[1]!s_info_industry_csrc12_n(W3511,公司分析!D$5,1),""))))))))</f>
        <v>一般零售</v>
      </c>
      <c r="Z3511" s="302" t="str">
        <f ca="1">IF(Y3511=行业比较!$E$6,ROW(),"")</f>
        <v/>
      </c>
    </row>
    <row r="3512" spans="22:26">
      <c r="V3512" s="260">
        <f t="shared" ca="1" si="62"/>
        <v>0</v>
      </c>
      <c r="W3512" s="348" t="str">
        <f>IF(板块成分!B3514="","",板块成分!B3514)</f>
        <v>600815.SH</v>
      </c>
      <c r="X3512" s="276" t="str">
        <f>[1]!S_Info_Name(W3512)</f>
        <v>厦工股份</v>
      </c>
      <c r="Y3512" s="276" t="str">
        <f ca="1">IF($Y$3="申万一级行业",[1]!s_info_industry_sw_2021(W3512,公司分析!D$5,1),IF($Y$3="申万二级行业",[1]!s_info_industry_sw_2021(W3512,公司分析!D$5,2),IF($Y$3="申万三级行业",[1]!s_info_industry_sw_2021(W3512,公司分析!D$5,3),IF($Y$3="wind一级行业",[1]!s_info_industry_gics(W3512,1),IF($Y$3="wind二级行业",[1]!s_info_industry_gics(W3512,2),IF($Y$3="wind三级行业",[1]!s_info_industry_gics(W3512,3),IF($Y$3="wind四级行业",[1]!s_info_industry_gics(W3512,4),IF($Y$3="证监会门类行业",[1]!s_info_industry_csrc12_n(W3512,公司分析!D$5,1),""))))))))</f>
        <v>工程机械</v>
      </c>
      <c r="Z3512" s="302" t="str">
        <f ca="1">IF(Y3512=行业比较!$E$6,ROW(),"")</f>
        <v/>
      </c>
    </row>
    <row r="3513" spans="22:26">
      <c r="V3513" s="260">
        <f t="shared" ca="1" si="62"/>
        <v>0</v>
      </c>
      <c r="W3513" s="348" t="str">
        <f>IF(板块成分!B3515="","",板块成分!B3515)</f>
        <v>600816.SH</v>
      </c>
      <c r="X3513" s="276" t="str">
        <f>[1]!S_Info_Name(W3513)</f>
        <v>建元信托</v>
      </c>
      <c r="Y3513" s="276" t="str">
        <f ca="1">IF($Y$3="申万一级行业",[1]!s_info_industry_sw_2021(W3513,公司分析!D$5,1),IF($Y$3="申万二级行业",[1]!s_info_industry_sw_2021(W3513,公司分析!D$5,2),IF($Y$3="申万三级行业",[1]!s_info_industry_sw_2021(W3513,公司分析!D$5,3),IF($Y$3="wind一级行业",[1]!s_info_industry_gics(W3513,1),IF($Y$3="wind二级行业",[1]!s_info_industry_gics(W3513,2),IF($Y$3="wind三级行业",[1]!s_info_industry_gics(W3513,3),IF($Y$3="wind四级行业",[1]!s_info_industry_gics(W3513,4),IF($Y$3="证监会门类行业",[1]!s_info_industry_csrc12_n(W3513,公司分析!D$5,1),""))))))))</f>
        <v>多元金融</v>
      </c>
      <c r="Z3513" s="302" t="str">
        <f ca="1">IF(Y3513=行业比较!$E$6,ROW(),"")</f>
        <v/>
      </c>
    </row>
    <row r="3514" spans="22:26">
      <c r="V3514" s="260">
        <f t="shared" ca="1" si="62"/>
        <v>0</v>
      </c>
      <c r="W3514" s="348" t="str">
        <f>IF(板块成分!B3516="","",板块成分!B3516)</f>
        <v>600817.SH</v>
      </c>
      <c r="X3514" s="276" t="str">
        <f>[1]!S_Info_Name(W3514)</f>
        <v>宇通重工</v>
      </c>
      <c r="Y3514" s="276" t="str">
        <f ca="1">IF($Y$3="申万一级行业",[1]!s_info_industry_sw_2021(W3514,公司分析!D$5,1),IF($Y$3="申万二级行业",[1]!s_info_industry_sw_2021(W3514,公司分析!D$5,2),IF($Y$3="申万三级行业",[1]!s_info_industry_sw_2021(W3514,公司分析!D$5,3),IF($Y$3="wind一级行业",[1]!s_info_industry_gics(W3514,1),IF($Y$3="wind二级行业",[1]!s_info_industry_gics(W3514,2),IF($Y$3="wind三级行业",[1]!s_info_industry_gics(W3514,3),IF($Y$3="wind四级行业",[1]!s_info_industry_gics(W3514,4),IF($Y$3="证监会门类行业",[1]!s_info_industry_csrc12_n(W3514,公司分析!D$5,1),""))))))))</f>
        <v>环保设备Ⅱ</v>
      </c>
      <c r="Z3514" s="302" t="str">
        <f ca="1">IF(Y3514=行业比较!$E$6,ROW(),"")</f>
        <v/>
      </c>
    </row>
    <row r="3515" spans="22:26">
      <c r="V3515" s="260">
        <f t="shared" ca="1" si="62"/>
        <v>0</v>
      </c>
      <c r="W3515" s="348" t="str">
        <f>IF(板块成分!B3517="","",板块成分!B3517)</f>
        <v>600818.SH</v>
      </c>
      <c r="X3515" s="276" t="str">
        <f>[1]!S_Info_Name(W3515)</f>
        <v>中路股份</v>
      </c>
      <c r="Y3515" s="276" t="str">
        <f ca="1">IF($Y$3="申万一级行业",[1]!s_info_industry_sw_2021(W3515,公司分析!D$5,1),IF($Y$3="申万二级行业",[1]!s_info_industry_sw_2021(W3515,公司分析!D$5,2),IF($Y$3="申万三级行业",[1]!s_info_industry_sw_2021(W3515,公司分析!D$5,3),IF($Y$3="wind一级行业",[1]!s_info_industry_gics(W3515,1),IF($Y$3="wind二级行业",[1]!s_info_industry_gics(W3515,2),IF($Y$3="wind三级行业",[1]!s_info_industry_gics(W3515,3),IF($Y$3="wind四级行业",[1]!s_info_industry_gics(W3515,4),IF($Y$3="证监会门类行业",[1]!s_info_industry_csrc12_n(W3515,公司分析!D$5,1),""))))))))</f>
        <v>摩托车及其他</v>
      </c>
      <c r="Z3515" s="302" t="str">
        <f ca="1">IF(Y3515=行业比较!$E$6,ROW(),"")</f>
        <v/>
      </c>
    </row>
    <row r="3516" spans="22:26">
      <c r="V3516" s="260">
        <f t="shared" ca="1" si="62"/>
        <v>0</v>
      </c>
      <c r="W3516" s="348" t="str">
        <f>IF(板块成分!B3518="","",板块成分!B3518)</f>
        <v>600819.SH</v>
      </c>
      <c r="X3516" s="276" t="str">
        <f>[1]!S_Info_Name(W3516)</f>
        <v>耀皮玻璃</v>
      </c>
      <c r="Y3516" s="276" t="str">
        <f ca="1">IF($Y$3="申万一级行业",[1]!s_info_industry_sw_2021(W3516,公司分析!D$5,1),IF($Y$3="申万二级行业",[1]!s_info_industry_sw_2021(W3516,公司分析!D$5,2),IF($Y$3="申万三级行业",[1]!s_info_industry_sw_2021(W3516,公司分析!D$5,3),IF($Y$3="wind一级行业",[1]!s_info_industry_gics(W3516,1),IF($Y$3="wind二级行业",[1]!s_info_industry_gics(W3516,2),IF($Y$3="wind三级行业",[1]!s_info_industry_gics(W3516,3),IF($Y$3="wind四级行业",[1]!s_info_industry_gics(W3516,4),IF($Y$3="证监会门类行业",[1]!s_info_industry_csrc12_n(W3516,公司分析!D$5,1),""))))))))</f>
        <v>玻璃玻纤</v>
      </c>
      <c r="Z3516" s="302" t="str">
        <f ca="1">IF(Y3516=行业比较!$E$6,ROW(),"")</f>
        <v/>
      </c>
    </row>
    <row r="3517" spans="22:26">
      <c r="V3517" s="260">
        <f t="shared" ca="1" si="62"/>
        <v>0</v>
      </c>
      <c r="W3517" s="348" t="str">
        <f>IF(板块成分!B3519="","",板块成分!B3519)</f>
        <v>600820.SH</v>
      </c>
      <c r="X3517" s="276" t="str">
        <f>[1]!S_Info_Name(W3517)</f>
        <v>隧道股份</v>
      </c>
      <c r="Y3517" s="276" t="str">
        <f ca="1">IF($Y$3="申万一级行业",[1]!s_info_industry_sw_2021(W3517,公司分析!D$5,1),IF($Y$3="申万二级行业",[1]!s_info_industry_sw_2021(W3517,公司分析!D$5,2),IF($Y$3="申万三级行业",[1]!s_info_industry_sw_2021(W3517,公司分析!D$5,3),IF($Y$3="wind一级行业",[1]!s_info_industry_gics(W3517,1),IF($Y$3="wind二级行业",[1]!s_info_industry_gics(W3517,2),IF($Y$3="wind三级行业",[1]!s_info_industry_gics(W3517,3),IF($Y$3="wind四级行业",[1]!s_info_industry_gics(W3517,4),IF($Y$3="证监会门类行业",[1]!s_info_industry_csrc12_n(W3517,公司分析!D$5,1),""))))))))</f>
        <v>基础建设</v>
      </c>
      <c r="Z3517" s="302" t="str">
        <f ca="1">IF(Y3517=行业比较!$E$6,ROW(),"")</f>
        <v/>
      </c>
    </row>
    <row r="3518" spans="22:26">
      <c r="V3518" s="260">
        <f t="shared" ca="1" si="62"/>
        <v>0</v>
      </c>
      <c r="W3518" s="348" t="str">
        <f>IF(板块成分!B3520="","",板块成分!B3520)</f>
        <v>600821.SH</v>
      </c>
      <c r="X3518" s="276" t="str">
        <f>[1]!S_Info_Name(W3518)</f>
        <v>金开新能</v>
      </c>
      <c r="Y3518" s="276" t="str">
        <f ca="1">IF($Y$3="申万一级行业",[1]!s_info_industry_sw_2021(W3518,公司分析!D$5,1),IF($Y$3="申万二级行业",[1]!s_info_industry_sw_2021(W3518,公司分析!D$5,2),IF($Y$3="申万三级行业",[1]!s_info_industry_sw_2021(W3518,公司分析!D$5,3),IF($Y$3="wind一级行业",[1]!s_info_industry_gics(W3518,1),IF($Y$3="wind二级行业",[1]!s_info_industry_gics(W3518,2),IF($Y$3="wind三级行业",[1]!s_info_industry_gics(W3518,3),IF($Y$3="wind四级行业",[1]!s_info_industry_gics(W3518,4),IF($Y$3="证监会门类行业",[1]!s_info_industry_csrc12_n(W3518,公司分析!D$5,1),""))))))))</f>
        <v>电力</v>
      </c>
      <c r="Z3518" s="302" t="str">
        <f ca="1">IF(Y3518=行业比较!$E$6,ROW(),"")</f>
        <v/>
      </c>
    </row>
    <row r="3519" spans="22:26">
      <c r="V3519" s="260">
        <f t="shared" ca="1" si="62"/>
        <v>0</v>
      </c>
      <c r="W3519" s="348" t="str">
        <f>IF(板块成分!B3521="","",板块成分!B3521)</f>
        <v>600822.SH</v>
      </c>
      <c r="X3519" s="276" t="str">
        <f>[1]!S_Info_Name(W3519)</f>
        <v>上海物贸</v>
      </c>
      <c r="Y3519" s="276" t="str">
        <f ca="1">IF($Y$3="申万一级行业",[1]!s_info_industry_sw_2021(W3519,公司分析!D$5,1),IF($Y$3="申万二级行业",[1]!s_info_industry_sw_2021(W3519,公司分析!D$5,2),IF($Y$3="申万三级行业",[1]!s_info_industry_sw_2021(W3519,公司分析!D$5,3),IF($Y$3="wind一级行业",[1]!s_info_industry_gics(W3519,1),IF($Y$3="wind二级行业",[1]!s_info_industry_gics(W3519,2),IF($Y$3="wind三级行业",[1]!s_info_industry_gics(W3519,3),IF($Y$3="wind四级行业",[1]!s_info_industry_gics(W3519,4),IF($Y$3="证监会门类行业",[1]!s_info_industry_csrc12_n(W3519,公司分析!D$5,1),""))))))))</f>
        <v>汽车服务</v>
      </c>
      <c r="Z3519" s="302" t="str">
        <f ca="1">IF(Y3519=行业比较!$E$6,ROW(),"")</f>
        <v/>
      </c>
    </row>
    <row r="3520" spans="22:26">
      <c r="V3520" s="260">
        <f t="shared" ca="1" si="62"/>
        <v>0</v>
      </c>
      <c r="W3520" s="348" t="str">
        <f>IF(板块成分!B3522="","",板块成分!B3522)</f>
        <v>600824.SH</v>
      </c>
      <c r="X3520" s="276" t="str">
        <f>[1]!S_Info_Name(W3520)</f>
        <v>益民集团</v>
      </c>
      <c r="Y3520" s="276" t="str">
        <f ca="1">IF($Y$3="申万一级行业",[1]!s_info_industry_sw_2021(W3520,公司分析!D$5,1),IF($Y$3="申万二级行业",[1]!s_info_industry_sw_2021(W3520,公司分析!D$5,2),IF($Y$3="申万三级行业",[1]!s_info_industry_sw_2021(W3520,公司分析!D$5,3),IF($Y$3="wind一级行业",[1]!s_info_industry_gics(W3520,1),IF($Y$3="wind二级行业",[1]!s_info_industry_gics(W3520,2),IF($Y$3="wind三级行业",[1]!s_info_industry_gics(W3520,3),IF($Y$3="wind四级行业",[1]!s_info_industry_gics(W3520,4),IF($Y$3="证监会门类行业",[1]!s_info_industry_csrc12_n(W3520,公司分析!D$5,1),""))))))))</f>
        <v>一般零售</v>
      </c>
      <c r="Z3520" s="302" t="str">
        <f ca="1">IF(Y3520=行业比较!$E$6,ROW(),"")</f>
        <v/>
      </c>
    </row>
    <row r="3521" spans="22:26">
      <c r="V3521" s="260">
        <f t="shared" ca="1" si="62"/>
        <v>0</v>
      </c>
      <c r="W3521" s="348" t="str">
        <f>IF(板块成分!B3523="","",板块成分!B3523)</f>
        <v>600825.SH</v>
      </c>
      <c r="X3521" s="276" t="str">
        <f>[1]!S_Info_Name(W3521)</f>
        <v>新华传媒</v>
      </c>
      <c r="Y3521" s="276" t="str">
        <f ca="1">IF($Y$3="申万一级行业",[1]!s_info_industry_sw_2021(W3521,公司分析!D$5,1),IF($Y$3="申万二级行业",[1]!s_info_industry_sw_2021(W3521,公司分析!D$5,2),IF($Y$3="申万三级行业",[1]!s_info_industry_sw_2021(W3521,公司分析!D$5,3),IF($Y$3="wind一级行业",[1]!s_info_industry_gics(W3521,1),IF($Y$3="wind二级行业",[1]!s_info_industry_gics(W3521,2),IF($Y$3="wind三级行业",[1]!s_info_industry_gics(W3521,3),IF($Y$3="wind四级行业",[1]!s_info_industry_gics(W3521,4),IF($Y$3="证监会门类行业",[1]!s_info_industry_csrc12_n(W3521,公司分析!D$5,1),""))))))))</f>
        <v>出版</v>
      </c>
      <c r="Z3521" s="302" t="str">
        <f ca="1">IF(Y3521=行业比较!$E$6,ROW(),"")</f>
        <v/>
      </c>
    </row>
    <row r="3522" spans="22:26">
      <c r="V3522" s="260">
        <f t="shared" ca="1" si="62"/>
        <v>0</v>
      </c>
      <c r="W3522" s="348" t="str">
        <f>IF(板块成分!B3524="","",板块成分!B3524)</f>
        <v>600826.SH</v>
      </c>
      <c r="X3522" s="276" t="str">
        <f>[1]!S_Info_Name(W3522)</f>
        <v>兰生股份</v>
      </c>
      <c r="Y3522" s="276" t="str">
        <f ca="1">IF($Y$3="申万一级行业",[1]!s_info_industry_sw_2021(W3522,公司分析!D$5,1),IF($Y$3="申万二级行业",[1]!s_info_industry_sw_2021(W3522,公司分析!D$5,2),IF($Y$3="申万三级行业",[1]!s_info_industry_sw_2021(W3522,公司分析!D$5,3),IF($Y$3="wind一级行业",[1]!s_info_industry_gics(W3522,1),IF($Y$3="wind二级行业",[1]!s_info_industry_gics(W3522,2),IF($Y$3="wind三级行业",[1]!s_info_industry_gics(W3522,3),IF($Y$3="wind四级行业",[1]!s_info_industry_gics(W3522,4),IF($Y$3="证监会门类行业",[1]!s_info_industry_csrc12_n(W3522,公司分析!D$5,1),""))))))))</f>
        <v>专业服务</v>
      </c>
      <c r="Z3522" s="302" t="str">
        <f ca="1">IF(Y3522=行业比较!$E$6,ROW(),"")</f>
        <v/>
      </c>
    </row>
    <row r="3523" spans="22:26">
      <c r="V3523" s="260">
        <f t="shared" ca="1" si="62"/>
        <v>0</v>
      </c>
      <c r="W3523" s="348" t="str">
        <f>IF(板块成分!B3525="","",板块成分!B3525)</f>
        <v>600827.SH</v>
      </c>
      <c r="X3523" s="276" t="str">
        <f>[1]!S_Info_Name(W3523)</f>
        <v>百联股份</v>
      </c>
      <c r="Y3523" s="276" t="str">
        <f ca="1">IF($Y$3="申万一级行业",[1]!s_info_industry_sw_2021(W3523,公司分析!D$5,1),IF($Y$3="申万二级行业",[1]!s_info_industry_sw_2021(W3523,公司分析!D$5,2),IF($Y$3="申万三级行业",[1]!s_info_industry_sw_2021(W3523,公司分析!D$5,3),IF($Y$3="wind一级行业",[1]!s_info_industry_gics(W3523,1),IF($Y$3="wind二级行业",[1]!s_info_industry_gics(W3523,2),IF($Y$3="wind三级行业",[1]!s_info_industry_gics(W3523,3),IF($Y$3="wind四级行业",[1]!s_info_industry_gics(W3523,4),IF($Y$3="证监会门类行业",[1]!s_info_industry_csrc12_n(W3523,公司分析!D$5,1),""))))))))</f>
        <v>一般零售</v>
      </c>
      <c r="Z3523" s="302" t="str">
        <f ca="1">IF(Y3523=行业比较!$E$6,ROW(),"")</f>
        <v/>
      </c>
    </row>
    <row r="3524" spans="22:26">
      <c r="V3524" s="260">
        <f t="shared" ca="1" si="62"/>
        <v>0</v>
      </c>
      <c r="W3524" s="348" t="str">
        <f>IF(板块成分!B3526="","",板块成分!B3526)</f>
        <v>600828.SH</v>
      </c>
      <c r="X3524" s="276" t="str">
        <f>[1]!S_Info_Name(W3524)</f>
        <v>茂业商业</v>
      </c>
      <c r="Y3524" s="276" t="str">
        <f ca="1">IF($Y$3="申万一级行业",[1]!s_info_industry_sw_2021(W3524,公司分析!D$5,1),IF($Y$3="申万二级行业",[1]!s_info_industry_sw_2021(W3524,公司分析!D$5,2),IF($Y$3="申万三级行业",[1]!s_info_industry_sw_2021(W3524,公司分析!D$5,3),IF($Y$3="wind一级行业",[1]!s_info_industry_gics(W3524,1),IF($Y$3="wind二级行业",[1]!s_info_industry_gics(W3524,2),IF($Y$3="wind三级行业",[1]!s_info_industry_gics(W3524,3),IF($Y$3="wind四级行业",[1]!s_info_industry_gics(W3524,4),IF($Y$3="证监会门类行业",[1]!s_info_industry_csrc12_n(W3524,公司分析!D$5,1),""))))))))</f>
        <v>一般零售</v>
      </c>
      <c r="Z3524" s="302" t="str">
        <f ca="1">IF(Y3524=行业比较!$E$6,ROW(),"")</f>
        <v/>
      </c>
    </row>
    <row r="3525" spans="22:26">
      <c r="V3525" s="260">
        <f t="shared" ref="V3525:V3588" ca="1" si="63">IF(Z3525="",0,RANK(Z3525,Z:Z,1))</f>
        <v>0</v>
      </c>
      <c r="W3525" s="348" t="str">
        <f>IF(板块成分!B3527="","",板块成分!B3527)</f>
        <v>600829.SH</v>
      </c>
      <c r="X3525" s="276" t="str">
        <f>[1]!S_Info_Name(W3525)</f>
        <v>人民同泰</v>
      </c>
      <c r="Y3525" s="276" t="str">
        <f ca="1">IF($Y$3="申万一级行业",[1]!s_info_industry_sw_2021(W3525,公司分析!D$5,1),IF($Y$3="申万二级行业",[1]!s_info_industry_sw_2021(W3525,公司分析!D$5,2),IF($Y$3="申万三级行业",[1]!s_info_industry_sw_2021(W3525,公司分析!D$5,3),IF($Y$3="wind一级行业",[1]!s_info_industry_gics(W3525,1),IF($Y$3="wind二级行业",[1]!s_info_industry_gics(W3525,2),IF($Y$3="wind三级行业",[1]!s_info_industry_gics(W3525,3),IF($Y$3="wind四级行业",[1]!s_info_industry_gics(W3525,4),IF($Y$3="证监会门类行业",[1]!s_info_industry_csrc12_n(W3525,公司分析!D$5,1),""))))))))</f>
        <v>医药商业</v>
      </c>
      <c r="Z3525" s="302" t="str">
        <f ca="1">IF(Y3525=行业比较!$E$6,ROW(),"")</f>
        <v/>
      </c>
    </row>
    <row r="3526" spans="22:26">
      <c r="V3526" s="260">
        <f t="shared" ca="1" si="63"/>
        <v>0</v>
      </c>
      <c r="W3526" s="348" t="str">
        <f>IF(板块成分!B3528="","",板块成分!B3528)</f>
        <v>600830.SH</v>
      </c>
      <c r="X3526" s="276" t="str">
        <f>[1]!S_Info_Name(W3526)</f>
        <v>香溢融通</v>
      </c>
      <c r="Y3526" s="276" t="str">
        <f ca="1">IF($Y$3="申万一级行业",[1]!s_info_industry_sw_2021(W3526,公司分析!D$5,1),IF($Y$3="申万二级行业",[1]!s_info_industry_sw_2021(W3526,公司分析!D$5,2),IF($Y$3="申万三级行业",[1]!s_info_industry_sw_2021(W3526,公司分析!D$5,3),IF($Y$3="wind一级行业",[1]!s_info_industry_gics(W3526,1),IF($Y$3="wind二级行业",[1]!s_info_industry_gics(W3526,2),IF($Y$3="wind三级行业",[1]!s_info_industry_gics(W3526,3),IF($Y$3="wind四级行业",[1]!s_info_industry_gics(W3526,4),IF($Y$3="证监会门类行业",[1]!s_info_industry_csrc12_n(W3526,公司分析!D$5,1),""))))))))</f>
        <v>多元金融</v>
      </c>
      <c r="Z3526" s="302" t="str">
        <f ca="1">IF(Y3526=行业比较!$E$6,ROW(),"")</f>
        <v/>
      </c>
    </row>
    <row r="3527" spans="22:26">
      <c r="V3527" s="260">
        <f t="shared" ca="1" si="63"/>
        <v>0</v>
      </c>
      <c r="W3527" s="348" t="str">
        <f>IF(板块成分!B3529="","",板块成分!B3529)</f>
        <v>600831.SH</v>
      </c>
      <c r="X3527" s="276" t="str">
        <f>[1]!S_Info_Name(W3527)</f>
        <v>广电网络</v>
      </c>
      <c r="Y3527" s="276" t="str">
        <f ca="1">IF($Y$3="申万一级行业",[1]!s_info_industry_sw_2021(W3527,公司分析!D$5,1),IF($Y$3="申万二级行业",[1]!s_info_industry_sw_2021(W3527,公司分析!D$5,2),IF($Y$3="申万三级行业",[1]!s_info_industry_sw_2021(W3527,公司分析!D$5,3),IF($Y$3="wind一级行业",[1]!s_info_industry_gics(W3527,1),IF($Y$3="wind二级行业",[1]!s_info_industry_gics(W3527,2),IF($Y$3="wind三级行业",[1]!s_info_industry_gics(W3527,3),IF($Y$3="wind四级行业",[1]!s_info_industry_gics(W3527,4),IF($Y$3="证监会门类行业",[1]!s_info_industry_csrc12_n(W3527,公司分析!D$5,1),""))))))))</f>
        <v>电视广播Ⅱ</v>
      </c>
      <c r="Z3527" s="302" t="str">
        <f ca="1">IF(Y3527=行业比较!$E$6,ROW(),"")</f>
        <v/>
      </c>
    </row>
    <row r="3528" spans="22:26">
      <c r="V3528" s="260">
        <f t="shared" ca="1" si="63"/>
        <v>0</v>
      </c>
      <c r="W3528" s="348" t="str">
        <f>IF(板块成分!B3530="","",板块成分!B3530)</f>
        <v>600833.SH</v>
      </c>
      <c r="X3528" s="276" t="str">
        <f>[1]!S_Info_Name(W3528)</f>
        <v>第一医药</v>
      </c>
      <c r="Y3528" s="276" t="str">
        <f ca="1">IF($Y$3="申万一级行业",[1]!s_info_industry_sw_2021(W3528,公司分析!D$5,1),IF($Y$3="申万二级行业",[1]!s_info_industry_sw_2021(W3528,公司分析!D$5,2),IF($Y$3="申万三级行业",[1]!s_info_industry_sw_2021(W3528,公司分析!D$5,3),IF($Y$3="wind一级行业",[1]!s_info_industry_gics(W3528,1),IF($Y$3="wind二级行业",[1]!s_info_industry_gics(W3528,2),IF($Y$3="wind三级行业",[1]!s_info_industry_gics(W3528,3),IF($Y$3="wind四级行业",[1]!s_info_industry_gics(W3528,4),IF($Y$3="证监会门类行业",[1]!s_info_industry_csrc12_n(W3528,公司分析!D$5,1),""))))))))</f>
        <v>医药商业</v>
      </c>
      <c r="Z3528" s="302" t="str">
        <f ca="1">IF(Y3528=行业比较!$E$6,ROW(),"")</f>
        <v/>
      </c>
    </row>
    <row r="3529" spans="22:26">
      <c r="V3529" s="260">
        <f t="shared" ca="1" si="63"/>
        <v>0</v>
      </c>
      <c r="W3529" s="348" t="str">
        <f>IF(板块成分!B3531="","",板块成分!B3531)</f>
        <v>600834.SH</v>
      </c>
      <c r="X3529" s="276" t="str">
        <f>[1]!S_Info_Name(W3529)</f>
        <v>申通地铁</v>
      </c>
      <c r="Y3529" s="276" t="str">
        <f ca="1">IF($Y$3="申万一级行业",[1]!s_info_industry_sw_2021(W3529,公司分析!D$5,1),IF($Y$3="申万二级行业",[1]!s_info_industry_sw_2021(W3529,公司分析!D$5,2),IF($Y$3="申万三级行业",[1]!s_info_industry_sw_2021(W3529,公司分析!D$5,3),IF($Y$3="wind一级行业",[1]!s_info_industry_gics(W3529,1),IF($Y$3="wind二级行业",[1]!s_info_industry_gics(W3529,2),IF($Y$3="wind三级行业",[1]!s_info_industry_gics(W3529,3),IF($Y$3="wind四级行业",[1]!s_info_industry_gics(W3529,4),IF($Y$3="证监会门类行业",[1]!s_info_industry_csrc12_n(W3529,公司分析!D$5,1),""))))))))</f>
        <v>铁路公路</v>
      </c>
      <c r="Z3529" s="302" t="str">
        <f ca="1">IF(Y3529=行业比较!$E$6,ROW(),"")</f>
        <v/>
      </c>
    </row>
    <row r="3530" spans="22:26">
      <c r="V3530" s="260">
        <f t="shared" ca="1" si="63"/>
        <v>0</v>
      </c>
      <c r="W3530" s="348" t="str">
        <f>IF(板块成分!B3532="","",板块成分!B3532)</f>
        <v>600835.SH</v>
      </c>
      <c r="X3530" s="276" t="str">
        <f>[1]!S_Info_Name(W3530)</f>
        <v>上海机电</v>
      </c>
      <c r="Y3530" s="276" t="str">
        <f ca="1">IF($Y$3="申万一级行业",[1]!s_info_industry_sw_2021(W3530,公司分析!D$5,1),IF($Y$3="申万二级行业",[1]!s_info_industry_sw_2021(W3530,公司分析!D$5,2),IF($Y$3="申万三级行业",[1]!s_info_industry_sw_2021(W3530,公司分析!D$5,3),IF($Y$3="wind一级行业",[1]!s_info_industry_gics(W3530,1),IF($Y$3="wind二级行业",[1]!s_info_industry_gics(W3530,2),IF($Y$3="wind三级行业",[1]!s_info_industry_gics(W3530,3),IF($Y$3="wind四级行业",[1]!s_info_industry_gics(W3530,4),IF($Y$3="证监会门类行业",[1]!s_info_industry_csrc12_n(W3530,公司分析!D$5,1),""))))))))</f>
        <v>专用设备</v>
      </c>
      <c r="Z3530" s="302" t="str">
        <f ca="1">IF(Y3530=行业比较!$E$6,ROW(),"")</f>
        <v/>
      </c>
    </row>
    <row r="3531" spans="22:26">
      <c r="V3531" s="260">
        <f t="shared" ca="1" si="63"/>
        <v>0</v>
      </c>
      <c r="W3531" s="348" t="str">
        <f>IF(板块成分!B3533="","",板块成分!B3533)</f>
        <v>600838.SH</v>
      </c>
      <c r="X3531" s="276" t="str">
        <f>[1]!S_Info_Name(W3531)</f>
        <v>上海九百</v>
      </c>
      <c r="Y3531" s="276" t="str">
        <f ca="1">IF($Y$3="申万一级行业",[1]!s_info_industry_sw_2021(W3531,公司分析!D$5,1),IF($Y$3="申万二级行业",[1]!s_info_industry_sw_2021(W3531,公司分析!D$5,2),IF($Y$3="申万三级行业",[1]!s_info_industry_sw_2021(W3531,公司分析!D$5,3),IF($Y$3="wind一级行业",[1]!s_info_industry_gics(W3531,1),IF($Y$3="wind二级行业",[1]!s_info_industry_gics(W3531,2),IF($Y$3="wind三级行业",[1]!s_info_industry_gics(W3531,3),IF($Y$3="wind四级行业",[1]!s_info_industry_gics(W3531,4),IF($Y$3="证监会门类行业",[1]!s_info_industry_csrc12_n(W3531,公司分析!D$5,1),""))))))))</f>
        <v>一般零售</v>
      </c>
      <c r="Z3531" s="302" t="str">
        <f ca="1">IF(Y3531=行业比较!$E$6,ROW(),"")</f>
        <v/>
      </c>
    </row>
    <row r="3532" spans="22:26">
      <c r="V3532" s="260">
        <f t="shared" ca="1" si="63"/>
        <v>0</v>
      </c>
      <c r="W3532" s="348" t="str">
        <f>IF(板块成分!B3534="","",板块成分!B3534)</f>
        <v>600839.SH</v>
      </c>
      <c r="X3532" s="276" t="str">
        <f>[1]!S_Info_Name(W3532)</f>
        <v>四川长虹</v>
      </c>
      <c r="Y3532" s="276" t="str">
        <f ca="1">IF($Y$3="申万一级行业",[1]!s_info_industry_sw_2021(W3532,公司分析!D$5,1),IF($Y$3="申万二级行业",[1]!s_info_industry_sw_2021(W3532,公司分析!D$5,2),IF($Y$3="申万三级行业",[1]!s_info_industry_sw_2021(W3532,公司分析!D$5,3),IF($Y$3="wind一级行业",[1]!s_info_industry_gics(W3532,1),IF($Y$3="wind二级行业",[1]!s_info_industry_gics(W3532,2),IF($Y$3="wind三级行业",[1]!s_info_industry_gics(W3532,3),IF($Y$3="wind四级行业",[1]!s_info_industry_gics(W3532,4),IF($Y$3="证监会门类行业",[1]!s_info_industry_csrc12_n(W3532,公司分析!D$5,1),""))))))))</f>
        <v>黑色家电</v>
      </c>
      <c r="Z3532" s="302" t="str">
        <f ca="1">IF(Y3532=行业比较!$E$6,ROW(),"")</f>
        <v/>
      </c>
    </row>
    <row r="3533" spans="22:26">
      <c r="V3533" s="260">
        <f t="shared" ca="1" si="63"/>
        <v>0</v>
      </c>
      <c r="W3533" s="348" t="str">
        <f>IF(板块成分!B3535="","",板块成分!B3535)</f>
        <v>600841.SH</v>
      </c>
      <c r="X3533" s="276" t="str">
        <f>[1]!S_Info_Name(W3533)</f>
        <v>动力新科</v>
      </c>
      <c r="Y3533" s="276" t="str">
        <f ca="1">IF($Y$3="申万一级行业",[1]!s_info_industry_sw_2021(W3533,公司分析!D$5,1),IF($Y$3="申万二级行业",[1]!s_info_industry_sw_2021(W3533,公司分析!D$5,2),IF($Y$3="申万三级行业",[1]!s_info_industry_sw_2021(W3533,公司分析!D$5,3),IF($Y$3="wind一级行业",[1]!s_info_industry_gics(W3533,1),IF($Y$3="wind二级行业",[1]!s_info_industry_gics(W3533,2),IF($Y$3="wind三级行业",[1]!s_info_industry_gics(W3533,3),IF($Y$3="wind四级行业",[1]!s_info_industry_gics(W3533,4),IF($Y$3="证监会门类行业",[1]!s_info_industry_csrc12_n(W3533,公司分析!D$5,1),""))))))))</f>
        <v>汽车零部件</v>
      </c>
      <c r="Z3533" s="302" t="str">
        <f ca="1">IF(Y3533=行业比较!$E$6,ROW(),"")</f>
        <v/>
      </c>
    </row>
    <row r="3534" spans="22:26">
      <c r="V3534" s="260">
        <f t="shared" ca="1" si="63"/>
        <v>0</v>
      </c>
      <c r="W3534" s="348" t="str">
        <f>IF(板块成分!B3536="","",板块成分!B3536)</f>
        <v>600843.SH</v>
      </c>
      <c r="X3534" s="276" t="str">
        <f>[1]!S_Info_Name(W3534)</f>
        <v>上工申贝</v>
      </c>
      <c r="Y3534" s="276" t="str">
        <f ca="1">IF($Y$3="申万一级行业",[1]!s_info_industry_sw_2021(W3534,公司分析!D$5,1),IF($Y$3="申万二级行业",[1]!s_info_industry_sw_2021(W3534,公司分析!D$5,2),IF($Y$3="申万三级行业",[1]!s_info_industry_sw_2021(W3534,公司分析!D$5,3),IF($Y$3="wind一级行业",[1]!s_info_industry_gics(W3534,1),IF($Y$3="wind二级行业",[1]!s_info_industry_gics(W3534,2),IF($Y$3="wind三级行业",[1]!s_info_industry_gics(W3534,3),IF($Y$3="wind四级行业",[1]!s_info_industry_gics(W3534,4),IF($Y$3="证监会门类行业",[1]!s_info_industry_csrc12_n(W3534,公司分析!D$5,1),""))))))))</f>
        <v>专用设备</v>
      </c>
      <c r="Z3534" s="302" t="str">
        <f ca="1">IF(Y3534=行业比较!$E$6,ROW(),"")</f>
        <v/>
      </c>
    </row>
    <row r="3535" spans="22:26">
      <c r="V3535" s="260">
        <f t="shared" ca="1" si="63"/>
        <v>0</v>
      </c>
      <c r="W3535" s="348" t="str">
        <f>IF(板块成分!B3537="","",板块成分!B3537)</f>
        <v>600844.SH</v>
      </c>
      <c r="X3535" s="276" t="str">
        <f>[1]!S_Info_Name(W3535)</f>
        <v>金煤科技</v>
      </c>
      <c r="Y3535" s="276" t="str">
        <f ca="1">IF($Y$3="申万一级行业",[1]!s_info_industry_sw_2021(W3535,公司分析!D$5,1),IF($Y$3="申万二级行业",[1]!s_info_industry_sw_2021(W3535,公司分析!D$5,2),IF($Y$3="申万三级行业",[1]!s_info_industry_sw_2021(W3535,公司分析!D$5,3),IF($Y$3="wind一级行业",[1]!s_info_industry_gics(W3535,1),IF($Y$3="wind二级行业",[1]!s_info_industry_gics(W3535,2),IF($Y$3="wind三级行业",[1]!s_info_industry_gics(W3535,3),IF($Y$3="wind四级行业",[1]!s_info_industry_gics(W3535,4),IF($Y$3="证监会门类行业",[1]!s_info_industry_csrc12_n(W3535,公司分析!D$5,1),""))))))))</f>
        <v>化学原料</v>
      </c>
      <c r="Z3535" s="302" t="str">
        <f ca="1">IF(Y3535=行业比较!$E$6,ROW(),"")</f>
        <v/>
      </c>
    </row>
    <row r="3536" spans="22:26">
      <c r="V3536" s="260">
        <f t="shared" ca="1" si="63"/>
        <v>0</v>
      </c>
      <c r="W3536" s="348" t="str">
        <f>IF(板块成分!B3538="","",板块成分!B3538)</f>
        <v>600845.SH</v>
      </c>
      <c r="X3536" s="276" t="str">
        <f>[1]!S_Info_Name(W3536)</f>
        <v>宝信软件</v>
      </c>
      <c r="Y3536" s="276" t="str">
        <f ca="1">IF($Y$3="申万一级行业",[1]!s_info_industry_sw_2021(W3536,公司分析!D$5,1),IF($Y$3="申万二级行业",[1]!s_info_industry_sw_2021(W3536,公司分析!D$5,2),IF($Y$3="申万三级行业",[1]!s_info_industry_sw_2021(W3536,公司分析!D$5,3),IF($Y$3="wind一级行业",[1]!s_info_industry_gics(W3536,1),IF($Y$3="wind二级行业",[1]!s_info_industry_gics(W3536,2),IF($Y$3="wind三级行业",[1]!s_info_industry_gics(W3536,3),IF($Y$3="wind四级行业",[1]!s_info_industry_gics(W3536,4),IF($Y$3="证监会门类行业",[1]!s_info_industry_csrc12_n(W3536,公司分析!D$5,1),""))))))))</f>
        <v>IT服务Ⅱ</v>
      </c>
      <c r="Z3536" s="302" t="str">
        <f ca="1">IF(Y3536=行业比较!$E$6,ROW(),"")</f>
        <v/>
      </c>
    </row>
    <row r="3537" spans="22:26">
      <c r="V3537" s="260">
        <f t="shared" ca="1" si="63"/>
        <v>0</v>
      </c>
      <c r="W3537" s="348" t="str">
        <f>IF(板块成分!B3539="","",板块成分!B3539)</f>
        <v>600846.SH</v>
      </c>
      <c r="X3537" s="276" t="str">
        <f>[1]!S_Info_Name(W3537)</f>
        <v>同济科技</v>
      </c>
      <c r="Y3537" s="276" t="str">
        <f ca="1">IF($Y$3="申万一级行业",[1]!s_info_industry_sw_2021(W3537,公司分析!D$5,1),IF($Y$3="申万二级行业",[1]!s_info_industry_sw_2021(W3537,公司分析!D$5,2),IF($Y$3="申万三级行业",[1]!s_info_industry_sw_2021(W3537,公司分析!D$5,3),IF($Y$3="wind一级行业",[1]!s_info_industry_gics(W3537,1),IF($Y$3="wind二级行业",[1]!s_info_industry_gics(W3537,2),IF($Y$3="wind三级行业",[1]!s_info_industry_gics(W3537,3),IF($Y$3="wind四级行业",[1]!s_info_industry_gics(W3537,4),IF($Y$3="证监会门类行业",[1]!s_info_industry_csrc12_n(W3537,公司分析!D$5,1),""))))))))</f>
        <v>工程咨询服务Ⅱ</v>
      </c>
      <c r="Z3537" s="302" t="str">
        <f ca="1">IF(Y3537=行业比较!$E$6,ROW(),"")</f>
        <v/>
      </c>
    </row>
    <row r="3538" spans="22:26">
      <c r="V3538" s="260">
        <f t="shared" ca="1" si="63"/>
        <v>0</v>
      </c>
      <c r="W3538" s="348" t="str">
        <f>IF(板块成分!B3540="","",板块成分!B3540)</f>
        <v>600847.SH</v>
      </c>
      <c r="X3538" s="276" t="str">
        <f>[1]!S_Info_Name(W3538)</f>
        <v>万里股份</v>
      </c>
      <c r="Y3538" s="276" t="str">
        <f ca="1">IF($Y$3="申万一级行业",[1]!s_info_industry_sw_2021(W3538,公司分析!D$5,1),IF($Y$3="申万二级行业",[1]!s_info_industry_sw_2021(W3538,公司分析!D$5,2),IF($Y$3="申万三级行业",[1]!s_info_industry_sw_2021(W3538,公司分析!D$5,3),IF($Y$3="wind一级行业",[1]!s_info_industry_gics(W3538,1),IF($Y$3="wind二级行业",[1]!s_info_industry_gics(W3538,2),IF($Y$3="wind三级行业",[1]!s_info_industry_gics(W3538,3),IF($Y$3="wind四级行业",[1]!s_info_industry_gics(W3538,4),IF($Y$3="证监会门类行业",[1]!s_info_industry_csrc12_n(W3538,公司分析!D$5,1),""))))))))</f>
        <v>电池</v>
      </c>
      <c r="Z3538" s="302" t="str">
        <f ca="1">IF(Y3538=行业比较!$E$6,ROW(),"")</f>
        <v/>
      </c>
    </row>
    <row r="3539" spans="22:26">
      <c r="V3539" s="260">
        <f t="shared" ca="1" si="63"/>
        <v>0</v>
      </c>
      <c r="W3539" s="348" t="str">
        <f>IF(板块成分!B3541="","",板块成分!B3541)</f>
        <v>600848.SH</v>
      </c>
      <c r="X3539" s="276" t="str">
        <f>[1]!S_Info_Name(W3539)</f>
        <v>上海临港</v>
      </c>
      <c r="Y3539" s="276" t="str">
        <f ca="1">IF($Y$3="申万一级行业",[1]!s_info_industry_sw_2021(W3539,公司分析!D$5,1),IF($Y$3="申万二级行业",[1]!s_info_industry_sw_2021(W3539,公司分析!D$5,2),IF($Y$3="申万三级行业",[1]!s_info_industry_sw_2021(W3539,公司分析!D$5,3),IF($Y$3="wind一级行业",[1]!s_info_industry_gics(W3539,1),IF($Y$3="wind二级行业",[1]!s_info_industry_gics(W3539,2),IF($Y$3="wind三级行业",[1]!s_info_industry_gics(W3539,3),IF($Y$3="wind四级行业",[1]!s_info_industry_gics(W3539,4),IF($Y$3="证监会门类行业",[1]!s_info_industry_csrc12_n(W3539,公司分析!D$5,1),""))))))))</f>
        <v>房地产开发</v>
      </c>
      <c r="Z3539" s="302" t="str">
        <f ca="1">IF(Y3539=行业比较!$E$6,ROW(),"")</f>
        <v/>
      </c>
    </row>
    <row r="3540" spans="22:26">
      <c r="V3540" s="260">
        <f t="shared" ca="1" si="63"/>
        <v>0</v>
      </c>
      <c r="W3540" s="348" t="str">
        <f>IF(板块成分!B3542="","",板块成分!B3542)</f>
        <v>600850.SH</v>
      </c>
      <c r="X3540" s="276" t="str">
        <f>[1]!S_Info_Name(W3540)</f>
        <v>电科数字</v>
      </c>
      <c r="Y3540" s="276" t="str">
        <f ca="1">IF($Y$3="申万一级行业",[1]!s_info_industry_sw_2021(W3540,公司分析!D$5,1),IF($Y$3="申万二级行业",[1]!s_info_industry_sw_2021(W3540,公司分析!D$5,2),IF($Y$3="申万三级行业",[1]!s_info_industry_sw_2021(W3540,公司分析!D$5,3),IF($Y$3="wind一级行业",[1]!s_info_industry_gics(W3540,1),IF($Y$3="wind二级行业",[1]!s_info_industry_gics(W3540,2),IF($Y$3="wind三级行业",[1]!s_info_industry_gics(W3540,3),IF($Y$3="wind四级行业",[1]!s_info_industry_gics(W3540,4),IF($Y$3="证监会门类行业",[1]!s_info_industry_csrc12_n(W3540,公司分析!D$5,1),""))))))))</f>
        <v>IT服务Ⅱ</v>
      </c>
      <c r="Z3540" s="302" t="str">
        <f ca="1">IF(Y3540=行业比较!$E$6,ROW(),"")</f>
        <v/>
      </c>
    </row>
    <row r="3541" spans="22:26">
      <c r="V3541" s="260">
        <f t="shared" ca="1" si="63"/>
        <v>0</v>
      </c>
      <c r="W3541" s="348" t="str">
        <f>IF(板块成分!B3543="","",板块成分!B3543)</f>
        <v>600851.SH</v>
      </c>
      <c r="X3541" s="276" t="str">
        <f>[1]!S_Info_Name(W3541)</f>
        <v>海欣股份</v>
      </c>
      <c r="Y3541" s="276" t="str">
        <f ca="1">IF($Y$3="申万一级行业",[1]!s_info_industry_sw_2021(W3541,公司分析!D$5,1),IF($Y$3="申万二级行业",[1]!s_info_industry_sw_2021(W3541,公司分析!D$5,2),IF($Y$3="申万三级行业",[1]!s_info_industry_sw_2021(W3541,公司分析!D$5,3),IF($Y$3="wind一级行业",[1]!s_info_industry_gics(W3541,1),IF($Y$3="wind二级行业",[1]!s_info_industry_gics(W3541,2),IF($Y$3="wind三级行业",[1]!s_info_industry_gics(W3541,3),IF($Y$3="wind四级行业",[1]!s_info_industry_gics(W3541,4),IF($Y$3="证监会门类行业",[1]!s_info_industry_csrc12_n(W3541,公司分析!D$5,1),""))))))))</f>
        <v>化学制药</v>
      </c>
      <c r="Z3541" s="302" t="str">
        <f ca="1">IF(Y3541=行业比较!$E$6,ROW(),"")</f>
        <v/>
      </c>
    </row>
    <row r="3542" spans="22:26">
      <c r="V3542" s="260">
        <f t="shared" ca="1" si="63"/>
        <v>0</v>
      </c>
      <c r="W3542" s="348" t="str">
        <f>IF(板块成分!B3544="","",板块成分!B3544)</f>
        <v>600853.SH</v>
      </c>
      <c r="X3542" s="276" t="str">
        <f>[1]!S_Info_Name(W3542)</f>
        <v>龙建股份</v>
      </c>
      <c r="Y3542" s="276" t="str">
        <f ca="1">IF($Y$3="申万一级行业",[1]!s_info_industry_sw_2021(W3542,公司分析!D$5,1),IF($Y$3="申万二级行业",[1]!s_info_industry_sw_2021(W3542,公司分析!D$5,2),IF($Y$3="申万三级行业",[1]!s_info_industry_sw_2021(W3542,公司分析!D$5,3),IF($Y$3="wind一级行业",[1]!s_info_industry_gics(W3542,1),IF($Y$3="wind二级行业",[1]!s_info_industry_gics(W3542,2),IF($Y$3="wind三级行业",[1]!s_info_industry_gics(W3542,3),IF($Y$3="wind四级行业",[1]!s_info_industry_gics(W3542,4),IF($Y$3="证监会门类行业",[1]!s_info_industry_csrc12_n(W3542,公司分析!D$5,1),""))))))))</f>
        <v>基础建设</v>
      </c>
      <c r="Z3542" s="302" t="str">
        <f ca="1">IF(Y3542=行业比较!$E$6,ROW(),"")</f>
        <v/>
      </c>
    </row>
    <row r="3543" spans="22:26">
      <c r="V3543" s="260">
        <f t="shared" ca="1" si="63"/>
        <v>0</v>
      </c>
      <c r="W3543" s="348" t="str">
        <f>IF(板块成分!B3545="","",板块成分!B3545)</f>
        <v>600854.SH</v>
      </c>
      <c r="X3543" s="276" t="str">
        <f>[1]!S_Info_Name(W3543)</f>
        <v>春兰股份</v>
      </c>
      <c r="Y3543" s="276" t="str">
        <f ca="1">IF($Y$3="申万一级行业",[1]!s_info_industry_sw_2021(W3543,公司分析!D$5,1),IF($Y$3="申万二级行业",[1]!s_info_industry_sw_2021(W3543,公司分析!D$5,2),IF($Y$3="申万三级行业",[1]!s_info_industry_sw_2021(W3543,公司分析!D$5,3),IF($Y$3="wind一级行业",[1]!s_info_industry_gics(W3543,1),IF($Y$3="wind二级行业",[1]!s_info_industry_gics(W3543,2),IF($Y$3="wind三级行业",[1]!s_info_industry_gics(W3543,3),IF($Y$3="wind四级行业",[1]!s_info_industry_gics(W3543,4),IF($Y$3="证监会门类行业",[1]!s_info_industry_csrc12_n(W3543,公司分析!D$5,1),""))))))))</f>
        <v>房地产开发</v>
      </c>
      <c r="Z3543" s="302" t="str">
        <f ca="1">IF(Y3543=行业比较!$E$6,ROW(),"")</f>
        <v/>
      </c>
    </row>
    <row r="3544" spans="22:26">
      <c r="V3544" s="260">
        <f t="shared" ca="1" si="63"/>
        <v>0</v>
      </c>
      <c r="W3544" s="348" t="str">
        <f>IF(板块成分!B3546="","",板块成分!B3546)</f>
        <v>600855.SH</v>
      </c>
      <c r="X3544" s="276" t="str">
        <f>[1]!S_Info_Name(W3544)</f>
        <v>航天长峰</v>
      </c>
      <c r="Y3544" s="276" t="str">
        <f ca="1">IF($Y$3="申万一级行业",[1]!s_info_industry_sw_2021(W3544,公司分析!D$5,1),IF($Y$3="申万二级行业",[1]!s_info_industry_sw_2021(W3544,公司分析!D$5,2),IF($Y$3="申万三级行业",[1]!s_info_industry_sw_2021(W3544,公司分析!D$5,3),IF($Y$3="wind一级行业",[1]!s_info_industry_gics(W3544,1),IF($Y$3="wind二级行业",[1]!s_info_industry_gics(W3544,2),IF($Y$3="wind三级行业",[1]!s_info_industry_gics(W3544,3),IF($Y$3="wind四级行业",[1]!s_info_industry_gics(W3544,4),IF($Y$3="证监会门类行业",[1]!s_info_industry_csrc12_n(W3544,公司分析!D$5,1),""))))))))</f>
        <v>军工电子Ⅱ</v>
      </c>
      <c r="Z3544" s="302" t="str">
        <f ca="1">IF(Y3544=行业比较!$E$6,ROW(),"")</f>
        <v/>
      </c>
    </row>
    <row r="3545" spans="22:26">
      <c r="V3545" s="260">
        <f t="shared" ca="1" si="63"/>
        <v>0</v>
      </c>
      <c r="W3545" s="348" t="str">
        <f>IF(板块成分!B3547="","",板块成分!B3547)</f>
        <v>600857.SH</v>
      </c>
      <c r="X3545" s="276" t="str">
        <f>[1]!S_Info_Name(W3545)</f>
        <v>宁波中百</v>
      </c>
      <c r="Y3545" s="276" t="str">
        <f ca="1">IF($Y$3="申万一级行业",[1]!s_info_industry_sw_2021(W3545,公司分析!D$5,1),IF($Y$3="申万二级行业",[1]!s_info_industry_sw_2021(W3545,公司分析!D$5,2),IF($Y$3="申万三级行业",[1]!s_info_industry_sw_2021(W3545,公司分析!D$5,3),IF($Y$3="wind一级行业",[1]!s_info_industry_gics(W3545,1),IF($Y$3="wind二级行业",[1]!s_info_industry_gics(W3545,2),IF($Y$3="wind三级行业",[1]!s_info_industry_gics(W3545,3),IF($Y$3="wind四级行业",[1]!s_info_industry_gics(W3545,4),IF($Y$3="证监会门类行业",[1]!s_info_industry_csrc12_n(W3545,公司分析!D$5,1),""))))))))</f>
        <v>一般零售</v>
      </c>
      <c r="Z3545" s="302" t="str">
        <f ca="1">IF(Y3545=行业比较!$E$6,ROW(),"")</f>
        <v/>
      </c>
    </row>
    <row r="3546" spans="22:26">
      <c r="V3546" s="260">
        <f t="shared" ca="1" si="63"/>
        <v>0</v>
      </c>
      <c r="W3546" s="348" t="str">
        <f>IF(板块成分!B3548="","",板块成分!B3548)</f>
        <v>600858.SH</v>
      </c>
      <c r="X3546" s="276" t="str">
        <f>[1]!S_Info_Name(W3546)</f>
        <v>银座股份</v>
      </c>
      <c r="Y3546" s="276" t="str">
        <f ca="1">IF($Y$3="申万一级行业",[1]!s_info_industry_sw_2021(W3546,公司分析!D$5,1),IF($Y$3="申万二级行业",[1]!s_info_industry_sw_2021(W3546,公司分析!D$5,2),IF($Y$3="申万三级行业",[1]!s_info_industry_sw_2021(W3546,公司分析!D$5,3),IF($Y$3="wind一级行业",[1]!s_info_industry_gics(W3546,1),IF($Y$3="wind二级行业",[1]!s_info_industry_gics(W3546,2),IF($Y$3="wind三级行业",[1]!s_info_industry_gics(W3546,3),IF($Y$3="wind四级行业",[1]!s_info_industry_gics(W3546,4),IF($Y$3="证监会门类行业",[1]!s_info_industry_csrc12_n(W3546,公司分析!D$5,1),""))))))))</f>
        <v>一般零售</v>
      </c>
      <c r="Z3546" s="302" t="str">
        <f ca="1">IF(Y3546=行业比较!$E$6,ROW(),"")</f>
        <v/>
      </c>
    </row>
    <row r="3547" spans="22:26">
      <c r="V3547" s="260">
        <f t="shared" ca="1" si="63"/>
        <v>0</v>
      </c>
      <c r="W3547" s="348" t="str">
        <f>IF(板块成分!B3549="","",板块成分!B3549)</f>
        <v>600859.SH</v>
      </c>
      <c r="X3547" s="276" t="str">
        <f>[1]!S_Info_Name(W3547)</f>
        <v>王府井</v>
      </c>
      <c r="Y3547" s="276" t="str">
        <f ca="1">IF($Y$3="申万一级行业",[1]!s_info_industry_sw_2021(W3547,公司分析!D$5,1),IF($Y$3="申万二级行业",[1]!s_info_industry_sw_2021(W3547,公司分析!D$5,2),IF($Y$3="申万三级行业",[1]!s_info_industry_sw_2021(W3547,公司分析!D$5,3),IF($Y$3="wind一级行业",[1]!s_info_industry_gics(W3547,1),IF($Y$3="wind二级行业",[1]!s_info_industry_gics(W3547,2),IF($Y$3="wind三级行业",[1]!s_info_industry_gics(W3547,3),IF($Y$3="wind四级行业",[1]!s_info_industry_gics(W3547,4),IF($Y$3="证监会门类行业",[1]!s_info_industry_csrc12_n(W3547,公司分析!D$5,1),""))))))))</f>
        <v>一般零售</v>
      </c>
      <c r="Z3547" s="302" t="str">
        <f ca="1">IF(Y3547=行业比较!$E$6,ROW(),"")</f>
        <v/>
      </c>
    </row>
    <row r="3548" spans="22:26">
      <c r="V3548" s="260">
        <f t="shared" ca="1" si="63"/>
        <v>0</v>
      </c>
      <c r="W3548" s="348" t="str">
        <f>IF(板块成分!B3550="","",板块成分!B3550)</f>
        <v>600860.SH</v>
      </c>
      <c r="X3548" s="276" t="str">
        <f>[1]!S_Info_Name(W3548)</f>
        <v>京城股份</v>
      </c>
      <c r="Y3548" s="276" t="str">
        <f ca="1">IF($Y$3="申万一级行业",[1]!s_info_industry_sw_2021(W3548,公司分析!D$5,1),IF($Y$3="申万二级行业",[1]!s_info_industry_sw_2021(W3548,公司分析!D$5,2),IF($Y$3="申万三级行业",[1]!s_info_industry_sw_2021(W3548,公司分析!D$5,3),IF($Y$3="wind一级行业",[1]!s_info_industry_gics(W3548,1),IF($Y$3="wind二级行业",[1]!s_info_industry_gics(W3548,2),IF($Y$3="wind三级行业",[1]!s_info_industry_gics(W3548,3),IF($Y$3="wind四级行业",[1]!s_info_industry_gics(W3548,4),IF($Y$3="证监会门类行业",[1]!s_info_industry_csrc12_n(W3548,公司分析!D$5,1),""))))))))</f>
        <v>通用设备</v>
      </c>
      <c r="Z3548" s="302" t="str">
        <f ca="1">IF(Y3548=行业比较!$E$6,ROW(),"")</f>
        <v/>
      </c>
    </row>
    <row r="3549" spans="22:26">
      <c r="V3549" s="260">
        <f t="shared" ca="1" si="63"/>
        <v>0</v>
      </c>
      <c r="W3549" s="348" t="str">
        <f>IF(板块成分!B3551="","",板块成分!B3551)</f>
        <v>600861.SH</v>
      </c>
      <c r="X3549" s="276" t="str">
        <f>[1]!S_Info_Name(W3549)</f>
        <v>北京人力</v>
      </c>
      <c r="Y3549" s="276" t="str">
        <f ca="1">IF($Y$3="申万一级行业",[1]!s_info_industry_sw_2021(W3549,公司分析!D$5,1),IF($Y$3="申万二级行业",[1]!s_info_industry_sw_2021(W3549,公司分析!D$5,2),IF($Y$3="申万三级行业",[1]!s_info_industry_sw_2021(W3549,公司分析!D$5,3),IF($Y$3="wind一级行业",[1]!s_info_industry_gics(W3549,1),IF($Y$3="wind二级行业",[1]!s_info_industry_gics(W3549,2),IF($Y$3="wind三级行业",[1]!s_info_industry_gics(W3549,3),IF($Y$3="wind四级行业",[1]!s_info_industry_gics(W3549,4),IF($Y$3="证监会门类行业",[1]!s_info_industry_csrc12_n(W3549,公司分析!D$5,1),""))))))))</f>
        <v>专业服务</v>
      </c>
      <c r="Z3549" s="302" t="str">
        <f ca="1">IF(Y3549=行业比较!$E$6,ROW(),"")</f>
        <v/>
      </c>
    </row>
    <row r="3550" spans="22:26">
      <c r="V3550" s="260">
        <f t="shared" ca="1" si="63"/>
        <v>0</v>
      </c>
      <c r="W3550" s="348" t="str">
        <f>IF(板块成分!B3552="","",板块成分!B3552)</f>
        <v>600862.SH</v>
      </c>
      <c r="X3550" s="276" t="str">
        <f>[1]!S_Info_Name(W3550)</f>
        <v>中航高科</v>
      </c>
      <c r="Y3550" s="276" t="str">
        <f ca="1">IF($Y$3="申万一级行业",[1]!s_info_industry_sw_2021(W3550,公司分析!D$5,1),IF($Y$3="申万二级行业",[1]!s_info_industry_sw_2021(W3550,公司分析!D$5,2),IF($Y$3="申万三级行业",[1]!s_info_industry_sw_2021(W3550,公司分析!D$5,3),IF($Y$3="wind一级行业",[1]!s_info_industry_gics(W3550,1),IF($Y$3="wind二级行业",[1]!s_info_industry_gics(W3550,2),IF($Y$3="wind三级行业",[1]!s_info_industry_gics(W3550,3),IF($Y$3="wind四级行业",[1]!s_info_industry_gics(W3550,4),IF($Y$3="证监会门类行业",[1]!s_info_industry_csrc12_n(W3550,公司分析!D$5,1),""))))))))</f>
        <v>航空装备Ⅱ</v>
      </c>
      <c r="Z3550" s="302" t="str">
        <f ca="1">IF(Y3550=行业比较!$E$6,ROW(),"")</f>
        <v/>
      </c>
    </row>
    <row r="3551" spans="22:26">
      <c r="V3551" s="260">
        <f t="shared" ca="1" si="63"/>
        <v>0</v>
      </c>
      <c r="W3551" s="348" t="str">
        <f>IF(板块成分!B3553="","",板块成分!B3553)</f>
        <v>600863.SH</v>
      </c>
      <c r="X3551" s="276" t="str">
        <f>[1]!S_Info_Name(W3551)</f>
        <v>华能蒙电</v>
      </c>
      <c r="Y3551" s="276" t="str">
        <f ca="1">IF($Y$3="申万一级行业",[1]!s_info_industry_sw_2021(W3551,公司分析!D$5,1),IF($Y$3="申万二级行业",[1]!s_info_industry_sw_2021(W3551,公司分析!D$5,2),IF($Y$3="申万三级行业",[1]!s_info_industry_sw_2021(W3551,公司分析!D$5,3),IF($Y$3="wind一级行业",[1]!s_info_industry_gics(W3551,1),IF($Y$3="wind二级行业",[1]!s_info_industry_gics(W3551,2),IF($Y$3="wind三级行业",[1]!s_info_industry_gics(W3551,3),IF($Y$3="wind四级行业",[1]!s_info_industry_gics(W3551,4),IF($Y$3="证监会门类行业",[1]!s_info_industry_csrc12_n(W3551,公司分析!D$5,1),""))))))))</f>
        <v>电力</v>
      </c>
      <c r="Z3551" s="302" t="str">
        <f ca="1">IF(Y3551=行业比较!$E$6,ROW(),"")</f>
        <v/>
      </c>
    </row>
    <row r="3552" spans="22:26">
      <c r="V3552" s="260">
        <f t="shared" ca="1" si="63"/>
        <v>0</v>
      </c>
      <c r="W3552" s="348" t="str">
        <f>IF(板块成分!B3554="","",板块成分!B3554)</f>
        <v>600864.SH</v>
      </c>
      <c r="X3552" s="276" t="str">
        <f>[1]!S_Info_Name(W3552)</f>
        <v>哈投股份</v>
      </c>
      <c r="Y3552" s="276" t="str">
        <f ca="1">IF($Y$3="申万一级行业",[1]!s_info_industry_sw_2021(W3552,公司分析!D$5,1),IF($Y$3="申万二级行业",[1]!s_info_industry_sw_2021(W3552,公司分析!D$5,2),IF($Y$3="申万三级行业",[1]!s_info_industry_sw_2021(W3552,公司分析!D$5,3),IF($Y$3="wind一级行业",[1]!s_info_industry_gics(W3552,1),IF($Y$3="wind二级行业",[1]!s_info_industry_gics(W3552,2),IF($Y$3="wind三级行业",[1]!s_info_industry_gics(W3552,3),IF($Y$3="wind四级行业",[1]!s_info_industry_gics(W3552,4),IF($Y$3="证监会门类行业",[1]!s_info_industry_csrc12_n(W3552,公司分析!D$5,1),""))))))))</f>
        <v>证券Ⅱ</v>
      </c>
      <c r="Z3552" s="302" t="str">
        <f ca="1">IF(Y3552=行业比较!$E$6,ROW(),"")</f>
        <v/>
      </c>
    </row>
    <row r="3553" spans="22:26">
      <c r="V3553" s="260">
        <f t="shared" ca="1" si="63"/>
        <v>0</v>
      </c>
      <c r="W3553" s="348" t="str">
        <f>IF(板块成分!B3555="","",板块成分!B3555)</f>
        <v>600865.SH</v>
      </c>
      <c r="X3553" s="276" t="str">
        <f>[1]!S_Info_Name(W3553)</f>
        <v>百大集团</v>
      </c>
      <c r="Y3553" s="276" t="str">
        <f ca="1">IF($Y$3="申万一级行业",[1]!s_info_industry_sw_2021(W3553,公司分析!D$5,1),IF($Y$3="申万二级行业",[1]!s_info_industry_sw_2021(W3553,公司分析!D$5,2),IF($Y$3="申万三级行业",[1]!s_info_industry_sw_2021(W3553,公司分析!D$5,3),IF($Y$3="wind一级行业",[1]!s_info_industry_gics(W3553,1),IF($Y$3="wind二级行业",[1]!s_info_industry_gics(W3553,2),IF($Y$3="wind三级行业",[1]!s_info_industry_gics(W3553,3),IF($Y$3="wind四级行业",[1]!s_info_industry_gics(W3553,4),IF($Y$3="证监会门类行业",[1]!s_info_industry_csrc12_n(W3553,公司分析!D$5,1),""))))))))</f>
        <v>一般零售</v>
      </c>
      <c r="Z3553" s="302" t="str">
        <f ca="1">IF(Y3553=行业比较!$E$6,ROW(),"")</f>
        <v/>
      </c>
    </row>
    <row r="3554" spans="22:26">
      <c r="V3554" s="260">
        <f t="shared" ca="1" si="63"/>
        <v>0</v>
      </c>
      <c r="W3554" s="348" t="str">
        <f>IF(板块成分!B3556="","",板块成分!B3556)</f>
        <v>600866.SH</v>
      </c>
      <c r="X3554" s="276" t="str">
        <f>[1]!S_Info_Name(W3554)</f>
        <v>星湖科技</v>
      </c>
      <c r="Y3554" s="276" t="str">
        <f ca="1">IF($Y$3="申万一级行业",[1]!s_info_industry_sw_2021(W3554,公司分析!D$5,1),IF($Y$3="申万二级行业",[1]!s_info_industry_sw_2021(W3554,公司分析!D$5,2),IF($Y$3="申万三级行业",[1]!s_info_industry_sw_2021(W3554,公司分析!D$5,3),IF($Y$3="wind一级行业",[1]!s_info_industry_gics(W3554,1),IF($Y$3="wind二级行业",[1]!s_info_industry_gics(W3554,2),IF($Y$3="wind三级行业",[1]!s_info_industry_gics(W3554,3),IF($Y$3="wind四级行业",[1]!s_info_industry_gics(W3554,4),IF($Y$3="证监会门类行业",[1]!s_info_industry_csrc12_n(W3554,公司分析!D$5,1),""))))))))</f>
        <v>化学制品</v>
      </c>
      <c r="Z3554" s="302" t="str">
        <f ca="1">IF(Y3554=行业比较!$E$6,ROW(),"")</f>
        <v/>
      </c>
    </row>
    <row r="3555" spans="22:26">
      <c r="V3555" s="260">
        <f t="shared" ca="1" si="63"/>
        <v>0</v>
      </c>
      <c r="W3555" s="348" t="str">
        <f>IF(板块成分!B3557="","",板块成分!B3557)</f>
        <v>600867.SH</v>
      </c>
      <c r="X3555" s="276" t="str">
        <f>[1]!S_Info_Name(W3555)</f>
        <v>通化东宝</v>
      </c>
      <c r="Y3555" s="276" t="str">
        <f ca="1">IF($Y$3="申万一级行业",[1]!s_info_industry_sw_2021(W3555,公司分析!D$5,1),IF($Y$3="申万二级行业",[1]!s_info_industry_sw_2021(W3555,公司分析!D$5,2),IF($Y$3="申万三级行业",[1]!s_info_industry_sw_2021(W3555,公司分析!D$5,3),IF($Y$3="wind一级行业",[1]!s_info_industry_gics(W3555,1),IF($Y$3="wind二级行业",[1]!s_info_industry_gics(W3555,2),IF($Y$3="wind三级行业",[1]!s_info_industry_gics(W3555,3),IF($Y$3="wind四级行业",[1]!s_info_industry_gics(W3555,4),IF($Y$3="证监会门类行业",[1]!s_info_industry_csrc12_n(W3555,公司分析!D$5,1),""))))))))</f>
        <v>生物制品</v>
      </c>
      <c r="Z3555" s="302" t="str">
        <f ca="1">IF(Y3555=行业比较!$E$6,ROW(),"")</f>
        <v/>
      </c>
    </row>
    <row r="3556" spans="22:26">
      <c r="V3556" s="260">
        <f t="shared" ca="1" si="63"/>
        <v>0</v>
      </c>
      <c r="W3556" s="348" t="str">
        <f>IF(板块成分!B3558="","",板块成分!B3558)</f>
        <v>600868.SH</v>
      </c>
      <c r="X3556" s="276" t="str">
        <f>[1]!S_Info_Name(W3556)</f>
        <v>梅雁吉祥</v>
      </c>
      <c r="Y3556" s="276" t="str">
        <f ca="1">IF($Y$3="申万一级行业",[1]!s_info_industry_sw_2021(W3556,公司分析!D$5,1),IF($Y$3="申万二级行业",[1]!s_info_industry_sw_2021(W3556,公司分析!D$5,2),IF($Y$3="申万三级行业",[1]!s_info_industry_sw_2021(W3556,公司分析!D$5,3),IF($Y$3="wind一级行业",[1]!s_info_industry_gics(W3556,1),IF($Y$3="wind二级行业",[1]!s_info_industry_gics(W3556,2),IF($Y$3="wind三级行业",[1]!s_info_industry_gics(W3556,3),IF($Y$3="wind四级行业",[1]!s_info_industry_gics(W3556,4),IF($Y$3="证监会门类行业",[1]!s_info_industry_csrc12_n(W3556,公司分析!D$5,1),""))))))))</f>
        <v>电力</v>
      </c>
      <c r="Z3556" s="302" t="str">
        <f ca="1">IF(Y3556=行业比较!$E$6,ROW(),"")</f>
        <v/>
      </c>
    </row>
    <row r="3557" spans="22:26">
      <c r="V3557" s="260">
        <f t="shared" ca="1" si="63"/>
        <v>0</v>
      </c>
      <c r="W3557" s="348" t="str">
        <f>IF(板块成分!B3559="","",板块成分!B3559)</f>
        <v>600869.SH</v>
      </c>
      <c r="X3557" s="276" t="str">
        <f>[1]!S_Info_Name(W3557)</f>
        <v>远东股份</v>
      </c>
      <c r="Y3557" s="276" t="str">
        <f ca="1">IF($Y$3="申万一级行业",[1]!s_info_industry_sw_2021(W3557,公司分析!D$5,1),IF($Y$3="申万二级行业",[1]!s_info_industry_sw_2021(W3557,公司分析!D$5,2),IF($Y$3="申万三级行业",[1]!s_info_industry_sw_2021(W3557,公司分析!D$5,3),IF($Y$3="wind一级行业",[1]!s_info_industry_gics(W3557,1),IF($Y$3="wind二级行业",[1]!s_info_industry_gics(W3557,2),IF($Y$3="wind三级行业",[1]!s_info_industry_gics(W3557,3),IF($Y$3="wind四级行业",[1]!s_info_industry_gics(W3557,4),IF($Y$3="证监会门类行业",[1]!s_info_industry_csrc12_n(W3557,公司分析!D$5,1),""))))))))</f>
        <v>电网设备</v>
      </c>
      <c r="Z3557" s="302" t="str">
        <f ca="1">IF(Y3557=行业比较!$E$6,ROW(),"")</f>
        <v/>
      </c>
    </row>
    <row r="3558" spans="22:26">
      <c r="V3558" s="260">
        <f t="shared" ca="1" si="63"/>
        <v>0</v>
      </c>
      <c r="W3558" s="348" t="str">
        <f>IF(板块成分!B3560="","",板块成分!B3560)</f>
        <v>600871.SH</v>
      </c>
      <c r="X3558" s="276" t="str">
        <f>[1]!S_Info_Name(W3558)</f>
        <v>石化油服</v>
      </c>
      <c r="Y3558" s="276" t="str">
        <f ca="1">IF($Y$3="申万一级行业",[1]!s_info_industry_sw_2021(W3558,公司分析!D$5,1),IF($Y$3="申万二级行业",[1]!s_info_industry_sw_2021(W3558,公司分析!D$5,2),IF($Y$3="申万三级行业",[1]!s_info_industry_sw_2021(W3558,公司分析!D$5,3),IF($Y$3="wind一级行业",[1]!s_info_industry_gics(W3558,1),IF($Y$3="wind二级行业",[1]!s_info_industry_gics(W3558,2),IF($Y$3="wind三级行业",[1]!s_info_industry_gics(W3558,3),IF($Y$3="wind四级行业",[1]!s_info_industry_gics(W3558,4),IF($Y$3="证监会门类行业",[1]!s_info_industry_csrc12_n(W3558,公司分析!D$5,1),""))))))))</f>
        <v>油服工程</v>
      </c>
      <c r="Z3558" s="302" t="str">
        <f ca="1">IF(Y3558=行业比较!$E$6,ROW(),"")</f>
        <v/>
      </c>
    </row>
    <row r="3559" spans="22:26">
      <c r="V3559" s="260">
        <f t="shared" ca="1" si="63"/>
        <v>0</v>
      </c>
      <c r="W3559" s="348" t="str">
        <f>IF(板块成分!B3561="","",板块成分!B3561)</f>
        <v>600872.SH</v>
      </c>
      <c r="X3559" s="276" t="str">
        <f>[1]!S_Info_Name(W3559)</f>
        <v>中炬高新</v>
      </c>
      <c r="Y3559" s="276" t="str">
        <f ca="1">IF($Y$3="申万一级行业",[1]!s_info_industry_sw_2021(W3559,公司分析!D$5,1),IF($Y$3="申万二级行业",[1]!s_info_industry_sw_2021(W3559,公司分析!D$5,2),IF($Y$3="申万三级行业",[1]!s_info_industry_sw_2021(W3559,公司分析!D$5,3),IF($Y$3="wind一级行业",[1]!s_info_industry_gics(W3559,1),IF($Y$3="wind二级行业",[1]!s_info_industry_gics(W3559,2),IF($Y$3="wind三级行业",[1]!s_info_industry_gics(W3559,3),IF($Y$3="wind四级行业",[1]!s_info_industry_gics(W3559,4),IF($Y$3="证监会门类行业",[1]!s_info_industry_csrc12_n(W3559,公司分析!D$5,1),""))))))))</f>
        <v>调味发酵品Ⅱ</v>
      </c>
      <c r="Z3559" s="302" t="str">
        <f ca="1">IF(Y3559=行业比较!$E$6,ROW(),"")</f>
        <v/>
      </c>
    </row>
    <row r="3560" spans="22:26">
      <c r="V3560" s="260">
        <f t="shared" ca="1" si="63"/>
        <v>0</v>
      </c>
      <c r="W3560" s="348" t="str">
        <f>IF(板块成分!B3562="","",板块成分!B3562)</f>
        <v>600873.SH</v>
      </c>
      <c r="X3560" s="276" t="str">
        <f>[1]!S_Info_Name(W3560)</f>
        <v>梅花生物</v>
      </c>
      <c r="Y3560" s="276" t="str">
        <f ca="1">IF($Y$3="申万一级行业",[1]!s_info_industry_sw_2021(W3560,公司分析!D$5,1),IF($Y$3="申万二级行业",[1]!s_info_industry_sw_2021(W3560,公司分析!D$5,2),IF($Y$3="申万三级行业",[1]!s_info_industry_sw_2021(W3560,公司分析!D$5,3),IF($Y$3="wind一级行业",[1]!s_info_industry_gics(W3560,1),IF($Y$3="wind二级行业",[1]!s_info_industry_gics(W3560,2),IF($Y$3="wind三级行业",[1]!s_info_industry_gics(W3560,3),IF($Y$3="wind四级行业",[1]!s_info_industry_gics(W3560,4),IF($Y$3="证监会门类行业",[1]!s_info_industry_csrc12_n(W3560,公司分析!D$5,1),""))))))))</f>
        <v>化学制品</v>
      </c>
      <c r="Z3560" s="302" t="str">
        <f ca="1">IF(Y3560=行业比较!$E$6,ROW(),"")</f>
        <v/>
      </c>
    </row>
    <row r="3561" spans="22:26">
      <c r="V3561" s="260">
        <f t="shared" ca="1" si="63"/>
        <v>0</v>
      </c>
      <c r="W3561" s="348" t="str">
        <f>IF(板块成分!B3563="","",板块成分!B3563)</f>
        <v>600874.SH</v>
      </c>
      <c r="X3561" s="276" t="str">
        <f>[1]!S_Info_Name(W3561)</f>
        <v>创业环保</v>
      </c>
      <c r="Y3561" s="276" t="str">
        <f ca="1">IF($Y$3="申万一级行业",[1]!s_info_industry_sw_2021(W3561,公司分析!D$5,1),IF($Y$3="申万二级行业",[1]!s_info_industry_sw_2021(W3561,公司分析!D$5,2),IF($Y$3="申万三级行业",[1]!s_info_industry_sw_2021(W3561,公司分析!D$5,3),IF($Y$3="wind一级行业",[1]!s_info_industry_gics(W3561,1),IF($Y$3="wind二级行业",[1]!s_info_industry_gics(W3561,2),IF($Y$3="wind三级行业",[1]!s_info_industry_gics(W3561,3),IF($Y$3="wind四级行业",[1]!s_info_industry_gics(W3561,4),IF($Y$3="证监会门类行业",[1]!s_info_industry_csrc12_n(W3561,公司分析!D$5,1),""))))))))</f>
        <v>环境治理</v>
      </c>
      <c r="Z3561" s="302" t="str">
        <f ca="1">IF(Y3561=行业比较!$E$6,ROW(),"")</f>
        <v/>
      </c>
    </row>
    <row r="3562" spans="22:26">
      <c r="V3562" s="260">
        <f t="shared" ca="1" si="63"/>
        <v>0</v>
      </c>
      <c r="W3562" s="348" t="str">
        <f>IF(板块成分!B3564="","",板块成分!B3564)</f>
        <v>600875.SH</v>
      </c>
      <c r="X3562" s="276" t="str">
        <f>[1]!S_Info_Name(W3562)</f>
        <v>东方电气</v>
      </c>
      <c r="Y3562" s="276" t="str">
        <f ca="1">IF($Y$3="申万一级行业",[1]!s_info_industry_sw_2021(W3562,公司分析!D$5,1),IF($Y$3="申万二级行业",[1]!s_info_industry_sw_2021(W3562,公司分析!D$5,2),IF($Y$3="申万三级行业",[1]!s_info_industry_sw_2021(W3562,公司分析!D$5,3),IF($Y$3="wind一级行业",[1]!s_info_industry_gics(W3562,1),IF($Y$3="wind二级行业",[1]!s_info_industry_gics(W3562,2),IF($Y$3="wind三级行业",[1]!s_info_industry_gics(W3562,3),IF($Y$3="wind四级行业",[1]!s_info_industry_gics(W3562,4),IF($Y$3="证监会门类行业",[1]!s_info_industry_csrc12_n(W3562,公司分析!D$5,1),""))))))))</f>
        <v>其他电源设备Ⅱ</v>
      </c>
      <c r="Z3562" s="302" t="str">
        <f ca="1">IF(Y3562=行业比较!$E$6,ROW(),"")</f>
        <v/>
      </c>
    </row>
    <row r="3563" spans="22:26">
      <c r="V3563" s="260">
        <f t="shared" ca="1" si="63"/>
        <v>0</v>
      </c>
      <c r="W3563" s="348" t="str">
        <f>IF(板块成分!B3565="","",板块成分!B3565)</f>
        <v>600876.SH</v>
      </c>
      <c r="X3563" s="276" t="str">
        <f>[1]!S_Info_Name(W3563)</f>
        <v>凯盛新能</v>
      </c>
      <c r="Y3563" s="276" t="str">
        <f ca="1">IF($Y$3="申万一级行业",[1]!s_info_industry_sw_2021(W3563,公司分析!D$5,1),IF($Y$3="申万二级行业",[1]!s_info_industry_sw_2021(W3563,公司分析!D$5,2),IF($Y$3="申万三级行业",[1]!s_info_industry_sw_2021(W3563,公司分析!D$5,3),IF($Y$3="wind一级行业",[1]!s_info_industry_gics(W3563,1),IF($Y$3="wind二级行业",[1]!s_info_industry_gics(W3563,2),IF($Y$3="wind三级行业",[1]!s_info_industry_gics(W3563,3),IF($Y$3="wind四级行业",[1]!s_info_industry_gics(W3563,4),IF($Y$3="证监会门类行业",[1]!s_info_industry_csrc12_n(W3563,公司分析!D$5,1),""))))))))</f>
        <v>玻璃玻纤</v>
      </c>
      <c r="Z3563" s="302" t="str">
        <f ca="1">IF(Y3563=行业比较!$E$6,ROW(),"")</f>
        <v/>
      </c>
    </row>
    <row r="3564" spans="22:26">
      <c r="V3564" s="260">
        <f t="shared" ca="1" si="63"/>
        <v>0</v>
      </c>
      <c r="W3564" s="348" t="str">
        <f>IF(板块成分!B3566="","",板块成分!B3566)</f>
        <v>600877.SH</v>
      </c>
      <c r="X3564" s="276" t="str">
        <f>[1]!S_Info_Name(W3564)</f>
        <v>电科芯片</v>
      </c>
      <c r="Y3564" s="276" t="str">
        <f ca="1">IF($Y$3="申万一级行业",[1]!s_info_industry_sw_2021(W3564,公司分析!D$5,1),IF($Y$3="申万二级行业",[1]!s_info_industry_sw_2021(W3564,公司分析!D$5,2),IF($Y$3="申万三级行业",[1]!s_info_industry_sw_2021(W3564,公司分析!D$5,3),IF($Y$3="wind一级行业",[1]!s_info_industry_gics(W3564,1),IF($Y$3="wind二级行业",[1]!s_info_industry_gics(W3564,2),IF($Y$3="wind三级行业",[1]!s_info_industry_gics(W3564,3),IF($Y$3="wind四级行业",[1]!s_info_industry_gics(W3564,4),IF($Y$3="证监会门类行业",[1]!s_info_industry_csrc12_n(W3564,公司分析!D$5,1),""))))))))</f>
        <v>半导体</v>
      </c>
      <c r="Z3564" s="302" t="str">
        <f ca="1">IF(Y3564=行业比较!$E$6,ROW(),"")</f>
        <v/>
      </c>
    </row>
    <row r="3565" spans="22:26">
      <c r="V3565" s="260">
        <f t="shared" ca="1" si="63"/>
        <v>0</v>
      </c>
      <c r="W3565" s="348" t="str">
        <f>IF(板块成分!B3567="","",板块成分!B3567)</f>
        <v>600879.SH</v>
      </c>
      <c r="X3565" s="276" t="str">
        <f>[1]!S_Info_Name(W3565)</f>
        <v>航天电子</v>
      </c>
      <c r="Y3565" s="276" t="str">
        <f ca="1">IF($Y$3="申万一级行业",[1]!s_info_industry_sw_2021(W3565,公司分析!D$5,1),IF($Y$3="申万二级行业",[1]!s_info_industry_sw_2021(W3565,公司分析!D$5,2),IF($Y$3="申万三级行业",[1]!s_info_industry_sw_2021(W3565,公司分析!D$5,3),IF($Y$3="wind一级行业",[1]!s_info_industry_gics(W3565,1),IF($Y$3="wind二级行业",[1]!s_info_industry_gics(W3565,2),IF($Y$3="wind三级行业",[1]!s_info_industry_gics(W3565,3),IF($Y$3="wind四级行业",[1]!s_info_industry_gics(W3565,4),IF($Y$3="证监会门类行业",[1]!s_info_industry_csrc12_n(W3565,公司分析!D$5,1),""))))))))</f>
        <v>航天装备Ⅱ</v>
      </c>
      <c r="Z3565" s="302" t="str">
        <f ca="1">IF(Y3565=行业比较!$E$6,ROW(),"")</f>
        <v/>
      </c>
    </row>
    <row r="3566" spans="22:26">
      <c r="V3566" s="260">
        <f t="shared" ca="1" si="63"/>
        <v>0</v>
      </c>
      <c r="W3566" s="348" t="str">
        <f>IF(板块成分!B3568="","",板块成分!B3568)</f>
        <v>600880.SH</v>
      </c>
      <c r="X3566" s="276" t="str">
        <f>[1]!S_Info_Name(W3566)</f>
        <v>博瑞传播</v>
      </c>
      <c r="Y3566" s="276" t="str">
        <f ca="1">IF($Y$3="申万一级行业",[1]!s_info_industry_sw_2021(W3566,公司分析!D$5,1),IF($Y$3="申万二级行业",[1]!s_info_industry_sw_2021(W3566,公司分析!D$5,2),IF($Y$3="申万三级行业",[1]!s_info_industry_sw_2021(W3566,公司分析!D$5,3),IF($Y$3="wind一级行业",[1]!s_info_industry_gics(W3566,1),IF($Y$3="wind二级行业",[1]!s_info_industry_gics(W3566,2),IF($Y$3="wind三级行业",[1]!s_info_industry_gics(W3566,3),IF($Y$3="wind四级行业",[1]!s_info_industry_gics(W3566,4),IF($Y$3="证监会门类行业",[1]!s_info_industry_csrc12_n(W3566,公司分析!D$5,1),""))))))))</f>
        <v>教育</v>
      </c>
      <c r="Z3566" s="302" t="str">
        <f ca="1">IF(Y3566=行业比较!$E$6,ROW(),"")</f>
        <v/>
      </c>
    </row>
    <row r="3567" spans="22:26">
      <c r="V3567" s="260">
        <f t="shared" ca="1" si="63"/>
        <v>0</v>
      </c>
      <c r="W3567" s="348" t="str">
        <f>IF(板块成分!B3569="","",板块成分!B3569)</f>
        <v>600881.SH</v>
      </c>
      <c r="X3567" s="276" t="str">
        <f>[1]!S_Info_Name(W3567)</f>
        <v>亚泰集团</v>
      </c>
      <c r="Y3567" s="276" t="str">
        <f ca="1">IF($Y$3="申万一级行业",[1]!s_info_industry_sw_2021(W3567,公司分析!D$5,1),IF($Y$3="申万二级行业",[1]!s_info_industry_sw_2021(W3567,公司分析!D$5,2),IF($Y$3="申万三级行业",[1]!s_info_industry_sw_2021(W3567,公司分析!D$5,3),IF($Y$3="wind一级行业",[1]!s_info_industry_gics(W3567,1),IF($Y$3="wind二级行业",[1]!s_info_industry_gics(W3567,2),IF($Y$3="wind三级行业",[1]!s_info_industry_gics(W3567,3),IF($Y$3="wind四级行业",[1]!s_info_industry_gics(W3567,4),IF($Y$3="证监会门类行业",[1]!s_info_industry_csrc12_n(W3567,公司分析!D$5,1),""))))))))</f>
        <v>综合Ⅱ</v>
      </c>
      <c r="Z3567" s="302" t="str">
        <f ca="1">IF(Y3567=行业比较!$E$6,ROW(),"")</f>
        <v/>
      </c>
    </row>
    <row r="3568" spans="22:26">
      <c r="V3568" s="260">
        <f t="shared" ca="1" si="63"/>
        <v>0</v>
      </c>
      <c r="W3568" s="348" t="str">
        <f>IF(板块成分!B3570="","",板块成分!B3570)</f>
        <v>600882.SH</v>
      </c>
      <c r="X3568" s="276" t="str">
        <f>[1]!S_Info_Name(W3568)</f>
        <v>妙可蓝多</v>
      </c>
      <c r="Y3568" s="276" t="str">
        <f ca="1">IF($Y$3="申万一级行业",[1]!s_info_industry_sw_2021(W3568,公司分析!D$5,1),IF($Y$3="申万二级行业",[1]!s_info_industry_sw_2021(W3568,公司分析!D$5,2),IF($Y$3="申万三级行业",[1]!s_info_industry_sw_2021(W3568,公司分析!D$5,3),IF($Y$3="wind一级行业",[1]!s_info_industry_gics(W3568,1),IF($Y$3="wind二级行业",[1]!s_info_industry_gics(W3568,2),IF($Y$3="wind三级行业",[1]!s_info_industry_gics(W3568,3),IF($Y$3="wind四级行业",[1]!s_info_industry_gics(W3568,4),IF($Y$3="证监会门类行业",[1]!s_info_industry_csrc12_n(W3568,公司分析!D$5,1),""))))))))</f>
        <v>饮料乳品</v>
      </c>
      <c r="Z3568" s="302" t="str">
        <f ca="1">IF(Y3568=行业比较!$E$6,ROW(),"")</f>
        <v/>
      </c>
    </row>
    <row r="3569" spans="22:26">
      <c r="V3569" s="260">
        <f t="shared" ca="1" si="63"/>
        <v>0</v>
      </c>
      <c r="W3569" s="348" t="str">
        <f>IF(板块成分!B3571="","",板块成分!B3571)</f>
        <v>600883.SH</v>
      </c>
      <c r="X3569" s="276" t="str">
        <f>[1]!S_Info_Name(W3569)</f>
        <v>博闻科技</v>
      </c>
      <c r="Y3569" s="276" t="str">
        <f ca="1">IF($Y$3="申万一级行业",[1]!s_info_industry_sw_2021(W3569,公司分析!D$5,1),IF($Y$3="申万二级行业",[1]!s_info_industry_sw_2021(W3569,公司分析!D$5,2),IF($Y$3="申万三级行业",[1]!s_info_industry_sw_2021(W3569,公司分析!D$5,3),IF($Y$3="wind一级行业",[1]!s_info_industry_gics(W3569,1),IF($Y$3="wind二级行业",[1]!s_info_industry_gics(W3569,2),IF($Y$3="wind三级行业",[1]!s_info_industry_gics(W3569,3),IF($Y$3="wind四级行业",[1]!s_info_industry_gics(W3569,4),IF($Y$3="证监会门类行业",[1]!s_info_industry_csrc12_n(W3569,公司分析!D$5,1),""))))))))</f>
        <v>种植业</v>
      </c>
      <c r="Z3569" s="302" t="str">
        <f ca="1">IF(Y3569=行业比较!$E$6,ROW(),"")</f>
        <v/>
      </c>
    </row>
    <row r="3570" spans="22:26">
      <c r="V3570" s="260">
        <f t="shared" ca="1" si="63"/>
        <v>0</v>
      </c>
      <c r="W3570" s="348" t="str">
        <f>IF(板块成分!B3572="","",板块成分!B3572)</f>
        <v>600884.SH</v>
      </c>
      <c r="X3570" s="276" t="str">
        <f>[1]!S_Info_Name(W3570)</f>
        <v>杉杉股份</v>
      </c>
      <c r="Y3570" s="276" t="str">
        <f ca="1">IF($Y$3="申万一级行业",[1]!s_info_industry_sw_2021(W3570,公司分析!D$5,1),IF($Y$3="申万二级行业",[1]!s_info_industry_sw_2021(W3570,公司分析!D$5,2),IF($Y$3="申万三级行业",[1]!s_info_industry_sw_2021(W3570,公司分析!D$5,3),IF($Y$3="wind一级行业",[1]!s_info_industry_gics(W3570,1),IF($Y$3="wind二级行业",[1]!s_info_industry_gics(W3570,2),IF($Y$3="wind三级行业",[1]!s_info_industry_gics(W3570,3),IF($Y$3="wind四级行业",[1]!s_info_industry_gics(W3570,4),IF($Y$3="证监会门类行业",[1]!s_info_industry_csrc12_n(W3570,公司分析!D$5,1),""))))))))</f>
        <v>电池</v>
      </c>
      <c r="Z3570" s="302" t="str">
        <f ca="1">IF(Y3570=行业比较!$E$6,ROW(),"")</f>
        <v/>
      </c>
    </row>
    <row r="3571" spans="22:26">
      <c r="V3571" s="260">
        <f t="shared" ca="1" si="63"/>
        <v>0</v>
      </c>
      <c r="W3571" s="348" t="str">
        <f>IF(板块成分!B3573="","",板块成分!B3573)</f>
        <v>600885.SH</v>
      </c>
      <c r="X3571" s="276" t="str">
        <f>[1]!S_Info_Name(W3571)</f>
        <v>宏发股份</v>
      </c>
      <c r="Y3571" s="276" t="str">
        <f ca="1">IF($Y$3="申万一级行业",[1]!s_info_industry_sw_2021(W3571,公司分析!D$5,1),IF($Y$3="申万二级行业",[1]!s_info_industry_sw_2021(W3571,公司分析!D$5,2),IF($Y$3="申万三级行业",[1]!s_info_industry_sw_2021(W3571,公司分析!D$5,3),IF($Y$3="wind一级行业",[1]!s_info_industry_gics(W3571,1),IF($Y$3="wind二级行业",[1]!s_info_industry_gics(W3571,2),IF($Y$3="wind三级行业",[1]!s_info_industry_gics(W3571,3),IF($Y$3="wind四级行业",[1]!s_info_industry_gics(W3571,4),IF($Y$3="证监会门类行业",[1]!s_info_industry_csrc12_n(W3571,公司分析!D$5,1),""))))))))</f>
        <v>电网设备</v>
      </c>
      <c r="Z3571" s="302" t="str">
        <f ca="1">IF(Y3571=行业比较!$E$6,ROW(),"")</f>
        <v/>
      </c>
    </row>
    <row r="3572" spans="22:26">
      <c r="V3572" s="260">
        <f t="shared" ca="1" si="63"/>
        <v>0</v>
      </c>
      <c r="W3572" s="348" t="str">
        <f>IF(板块成分!B3574="","",板块成分!B3574)</f>
        <v>600886.SH</v>
      </c>
      <c r="X3572" s="276" t="str">
        <f>[1]!S_Info_Name(W3572)</f>
        <v>国投电力</v>
      </c>
      <c r="Y3572" s="276" t="str">
        <f ca="1">IF($Y$3="申万一级行业",[1]!s_info_industry_sw_2021(W3572,公司分析!D$5,1),IF($Y$3="申万二级行业",[1]!s_info_industry_sw_2021(W3572,公司分析!D$5,2),IF($Y$3="申万三级行业",[1]!s_info_industry_sw_2021(W3572,公司分析!D$5,3),IF($Y$3="wind一级行业",[1]!s_info_industry_gics(W3572,1),IF($Y$3="wind二级行业",[1]!s_info_industry_gics(W3572,2),IF($Y$3="wind三级行业",[1]!s_info_industry_gics(W3572,3),IF($Y$3="wind四级行业",[1]!s_info_industry_gics(W3572,4),IF($Y$3="证监会门类行业",[1]!s_info_industry_csrc12_n(W3572,公司分析!D$5,1),""))))))))</f>
        <v>电力</v>
      </c>
      <c r="Z3572" s="302" t="str">
        <f ca="1">IF(Y3572=行业比较!$E$6,ROW(),"")</f>
        <v/>
      </c>
    </row>
    <row r="3573" spans="22:26">
      <c r="V3573" s="260">
        <f t="shared" ca="1" si="63"/>
        <v>0</v>
      </c>
      <c r="W3573" s="348" t="str">
        <f>IF(板块成分!B3575="","",板块成分!B3575)</f>
        <v>600887.SH</v>
      </c>
      <c r="X3573" s="276" t="str">
        <f>[1]!S_Info_Name(W3573)</f>
        <v>伊利股份</v>
      </c>
      <c r="Y3573" s="276" t="str">
        <f ca="1">IF($Y$3="申万一级行业",[1]!s_info_industry_sw_2021(W3573,公司分析!D$5,1),IF($Y$3="申万二级行业",[1]!s_info_industry_sw_2021(W3573,公司分析!D$5,2),IF($Y$3="申万三级行业",[1]!s_info_industry_sw_2021(W3573,公司分析!D$5,3),IF($Y$3="wind一级行业",[1]!s_info_industry_gics(W3573,1),IF($Y$3="wind二级行业",[1]!s_info_industry_gics(W3573,2),IF($Y$3="wind三级行业",[1]!s_info_industry_gics(W3573,3),IF($Y$3="wind四级行业",[1]!s_info_industry_gics(W3573,4),IF($Y$3="证监会门类行业",[1]!s_info_industry_csrc12_n(W3573,公司分析!D$5,1),""))))))))</f>
        <v>饮料乳品</v>
      </c>
      <c r="Z3573" s="302" t="str">
        <f ca="1">IF(Y3573=行业比较!$E$6,ROW(),"")</f>
        <v/>
      </c>
    </row>
    <row r="3574" spans="22:26">
      <c r="V3574" s="260">
        <f t="shared" ca="1" si="63"/>
        <v>41</v>
      </c>
      <c r="W3574" s="348" t="str">
        <f>IF(板块成分!B3576="","",板块成分!B3576)</f>
        <v>600888.SH</v>
      </c>
      <c r="X3574" s="276" t="str">
        <f>[1]!S_Info_Name(W3574)</f>
        <v>新疆众和</v>
      </c>
      <c r="Y3574" s="276" t="str">
        <f ca="1">IF($Y$3="申万一级行业",[1]!s_info_industry_sw_2021(W3574,公司分析!D$5,1),IF($Y$3="申万二级行业",[1]!s_info_industry_sw_2021(W3574,公司分析!D$5,2),IF($Y$3="申万三级行业",[1]!s_info_industry_sw_2021(W3574,公司分析!D$5,3),IF($Y$3="wind一级行业",[1]!s_info_industry_gics(W3574,1),IF($Y$3="wind二级行业",[1]!s_info_industry_gics(W3574,2),IF($Y$3="wind三级行业",[1]!s_info_industry_gics(W3574,3),IF($Y$3="wind四级行业",[1]!s_info_industry_gics(W3574,4),IF($Y$3="证监会门类行业",[1]!s_info_industry_csrc12_n(W3574,公司分析!D$5,1),""))))))))</f>
        <v>工业金属</v>
      </c>
      <c r="Z3574" s="302">
        <f ca="1">IF(Y3574=行业比较!$E$6,ROW(),"")</f>
        <v>3574</v>
      </c>
    </row>
    <row r="3575" spans="22:26">
      <c r="V3575" s="260">
        <f t="shared" ca="1" si="63"/>
        <v>0</v>
      </c>
      <c r="W3575" s="348" t="str">
        <f>IF(板块成分!B3577="","",板块成分!B3577)</f>
        <v>600889.SH</v>
      </c>
      <c r="X3575" s="276" t="str">
        <f>[1]!S_Info_Name(W3575)</f>
        <v>南京化纤</v>
      </c>
      <c r="Y3575" s="276" t="str">
        <f ca="1">IF($Y$3="申万一级行业",[1]!s_info_industry_sw_2021(W3575,公司分析!D$5,1),IF($Y$3="申万二级行业",[1]!s_info_industry_sw_2021(W3575,公司分析!D$5,2),IF($Y$3="申万三级行业",[1]!s_info_industry_sw_2021(W3575,公司分析!D$5,3),IF($Y$3="wind一级行业",[1]!s_info_industry_gics(W3575,1),IF($Y$3="wind二级行业",[1]!s_info_industry_gics(W3575,2),IF($Y$3="wind三级行业",[1]!s_info_industry_gics(W3575,3),IF($Y$3="wind四级行业",[1]!s_info_industry_gics(W3575,4),IF($Y$3="证监会门类行业",[1]!s_info_industry_csrc12_n(W3575,公司分析!D$5,1),""))))))))</f>
        <v>化学纤维</v>
      </c>
      <c r="Z3575" s="302" t="str">
        <f ca="1">IF(Y3575=行业比较!$E$6,ROW(),"")</f>
        <v/>
      </c>
    </row>
    <row r="3576" spans="22:26">
      <c r="V3576" s="260">
        <f t="shared" ca="1" si="63"/>
        <v>0</v>
      </c>
      <c r="W3576" s="348" t="str">
        <f>IF(板块成分!B3578="","",板块成分!B3578)</f>
        <v>600892.SH</v>
      </c>
      <c r="X3576" s="276" t="str">
        <f>[1]!S_Info_Name(W3576)</f>
        <v>*ST大晟</v>
      </c>
      <c r="Y3576" s="276" t="str">
        <f ca="1">IF($Y$3="申万一级行业",[1]!s_info_industry_sw_2021(W3576,公司分析!D$5,1),IF($Y$3="申万二级行业",[1]!s_info_industry_sw_2021(W3576,公司分析!D$5,2),IF($Y$3="申万三级行业",[1]!s_info_industry_sw_2021(W3576,公司分析!D$5,3),IF($Y$3="wind一级行业",[1]!s_info_industry_gics(W3576,1),IF($Y$3="wind二级行业",[1]!s_info_industry_gics(W3576,2),IF($Y$3="wind三级行业",[1]!s_info_industry_gics(W3576,3),IF($Y$3="wind四级行业",[1]!s_info_industry_gics(W3576,4),IF($Y$3="证监会门类行业",[1]!s_info_industry_csrc12_n(W3576,公司分析!D$5,1),""))))))))</f>
        <v>游戏Ⅱ</v>
      </c>
      <c r="Z3576" s="302" t="str">
        <f ca="1">IF(Y3576=行业比较!$E$6,ROW(),"")</f>
        <v/>
      </c>
    </row>
    <row r="3577" spans="22:26">
      <c r="V3577" s="260">
        <f t="shared" ca="1" si="63"/>
        <v>0</v>
      </c>
      <c r="W3577" s="348" t="str">
        <f>IF(板块成分!B3579="","",板块成分!B3579)</f>
        <v>600893.SH</v>
      </c>
      <c r="X3577" s="276" t="str">
        <f>[1]!S_Info_Name(W3577)</f>
        <v>航发动力</v>
      </c>
      <c r="Y3577" s="276" t="str">
        <f ca="1">IF($Y$3="申万一级行业",[1]!s_info_industry_sw_2021(W3577,公司分析!D$5,1),IF($Y$3="申万二级行业",[1]!s_info_industry_sw_2021(W3577,公司分析!D$5,2),IF($Y$3="申万三级行业",[1]!s_info_industry_sw_2021(W3577,公司分析!D$5,3),IF($Y$3="wind一级行业",[1]!s_info_industry_gics(W3577,1),IF($Y$3="wind二级行业",[1]!s_info_industry_gics(W3577,2),IF($Y$3="wind三级行业",[1]!s_info_industry_gics(W3577,3),IF($Y$3="wind四级行业",[1]!s_info_industry_gics(W3577,4),IF($Y$3="证监会门类行业",[1]!s_info_industry_csrc12_n(W3577,公司分析!D$5,1),""))))))))</f>
        <v>航空装备Ⅱ</v>
      </c>
      <c r="Z3577" s="302" t="str">
        <f ca="1">IF(Y3577=行业比较!$E$6,ROW(),"")</f>
        <v/>
      </c>
    </row>
    <row r="3578" spans="22:26">
      <c r="V3578" s="260">
        <f t="shared" ca="1" si="63"/>
        <v>0</v>
      </c>
      <c r="W3578" s="348" t="str">
        <f>IF(板块成分!B3580="","",板块成分!B3580)</f>
        <v>600894.SH</v>
      </c>
      <c r="X3578" s="276" t="str">
        <f>[1]!S_Info_Name(W3578)</f>
        <v>广日股份</v>
      </c>
      <c r="Y3578" s="276" t="str">
        <f ca="1">IF($Y$3="申万一级行业",[1]!s_info_industry_sw_2021(W3578,公司分析!D$5,1),IF($Y$3="申万二级行业",[1]!s_info_industry_sw_2021(W3578,公司分析!D$5,2),IF($Y$3="申万三级行业",[1]!s_info_industry_sw_2021(W3578,公司分析!D$5,3),IF($Y$3="wind一级行业",[1]!s_info_industry_gics(W3578,1),IF($Y$3="wind二级行业",[1]!s_info_industry_gics(W3578,2),IF($Y$3="wind三级行业",[1]!s_info_industry_gics(W3578,3),IF($Y$3="wind四级行业",[1]!s_info_industry_gics(W3578,4),IF($Y$3="证监会门类行业",[1]!s_info_industry_csrc12_n(W3578,公司分析!D$5,1),""))))))))</f>
        <v>专用设备</v>
      </c>
      <c r="Z3578" s="302" t="str">
        <f ca="1">IF(Y3578=行业比较!$E$6,ROW(),"")</f>
        <v/>
      </c>
    </row>
    <row r="3579" spans="22:26">
      <c r="V3579" s="260">
        <f t="shared" ca="1" si="63"/>
        <v>0</v>
      </c>
      <c r="W3579" s="348" t="str">
        <f>IF(板块成分!B3581="","",板块成分!B3581)</f>
        <v>600895.SH</v>
      </c>
      <c r="X3579" s="276" t="str">
        <f>[1]!S_Info_Name(W3579)</f>
        <v>张江高科</v>
      </c>
      <c r="Y3579" s="276" t="str">
        <f ca="1">IF($Y$3="申万一级行业",[1]!s_info_industry_sw_2021(W3579,公司分析!D$5,1),IF($Y$3="申万二级行业",[1]!s_info_industry_sw_2021(W3579,公司分析!D$5,2),IF($Y$3="申万三级行业",[1]!s_info_industry_sw_2021(W3579,公司分析!D$5,3),IF($Y$3="wind一级行业",[1]!s_info_industry_gics(W3579,1),IF($Y$3="wind二级行业",[1]!s_info_industry_gics(W3579,2),IF($Y$3="wind三级行业",[1]!s_info_industry_gics(W3579,3),IF($Y$3="wind四级行业",[1]!s_info_industry_gics(W3579,4),IF($Y$3="证监会门类行业",[1]!s_info_industry_csrc12_n(W3579,公司分析!D$5,1),""))))))))</f>
        <v>房地产开发</v>
      </c>
      <c r="Z3579" s="302" t="str">
        <f ca="1">IF(Y3579=行业比较!$E$6,ROW(),"")</f>
        <v/>
      </c>
    </row>
    <row r="3580" spans="22:26">
      <c r="V3580" s="260">
        <f t="shared" ca="1" si="63"/>
        <v>0</v>
      </c>
      <c r="W3580" s="348" t="str">
        <f>IF(板块成分!B3582="","",板块成分!B3582)</f>
        <v>600897.SH</v>
      </c>
      <c r="X3580" s="276" t="str">
        <f>[1]!S_Info_Name(W3580)</f>
        <v>厦门空港</v>
      </c>
      <c r="Y3580" s="276" t="str">
        <f ca="1">IF($Y$3="申万一级行业",[1]!s_info_industry_sw_2021(W3580,公司分析!D$5,1),IF($Y$3="申万二级行业",[1]!s_info_industry_sw_2021(W3580,公司分析!D$5,2),IF($Y$3="申万三级行业",[1]!s_info_industry_sw_2021(W3580,公司分析!D$5,3),IF($Y$3="wind一级行业",[1]!s_info_industry_gics(W3580,1),IF($Y$3="wind二级行业",[1]!s_info_industry_gics(W3580,2),IF($Y$3="wind三级行业",[1]!s_info_industry_gics(W3580,3),IF($Y$3="wind四级行业",[1]!s_info_industry_gics(W3580,4),IF($Y$3="证监会门类行业",[1]!s_info_industry_csrc12_n(W3580,公司分析!D$5,1),""))))))))</f>
        <v>航空机场</v>
      </c>
      <c r="Z3580" s="302" t="str">
        <f ca="1">IF(Y3580=行业比较!$E$6,ROW(),"")</f>
        <v/>
      </c>
    </row>
    <row r="3581" spans="22:26">
      <c r="V3581" s="260">
        <f t="shared" ca="1" si="63"/>
        <v>0</v>
      </c>
      <c r="W3581" s="348" t="str">
        <f>IF(板块成分!B3583="","",板块成分!B3583)</f>
        <v>600900.SH</v>
      </c>
      <c r="X3581" s="276" t="str">
        <f>[1]!S_Info_Name(W3581)</f>
        <v>长江电力</v>
      </c>
      <c r="Y3581" s="276" t="str">
        <f ca="1">IF($Y$3="申万一级行业",[1]!s_info_industry_sw_2021(W3581,公司分析!D$5,1),IF($Y$3="申万二级行业",[1]!s_info_industry_sw_2021(W3581,公司分析!D$5,2),IF($Y$3="申万三级行业",[1]!s_info_industry_sw_2021(W3581,公司分析!D$5,3),IF($Y$3="wind一级行业",[1]!s_info_industry_gics(W3581,1),IF($Y$3="wind二级行业",[1]!s_info_industry_gics(W3581,2),IF($Y$3="wind三级行业",[1]!s_info_industry_gics(W3581,3),IF($Y$3="wind四级行业",[1]!s_info_industry_gics(W3581,4),IF($Y$3="证监会门类行业",[1]!s_info_industry_csrc12_n(W3581,公司分析!D$5,1),""))))))))</f>
        <v>电力</v>
      </c>
      <c r="Z3581" s="302" t="str">
        <f ca="1">IF(Y3581=行业比较!$E$6,ROW(),"")</f>
        <v/>
      </c>
    </row>
    <row r="3582" spans="22:26">
      <c r="V3582" s="260">
        <f t="shared" ca="1" si="63"/>
        <v>0</v>
      </c>
      <c r="W3582" s="348" t="str">
        <f>IF(板块成分!B3584="","",板块成分!B3584)</f>
        <v>600901.SH</v>
      </c>
      <c r="X3582" s="276" t="str">
        <f>[1]!S_Info_Name(W3582)</f>
        <v>江苏金租</v>
      </c>
      <c r="Y3582" s="276" t="str">
        <f ca="1">IF($Y$3="申万一级行业",[1]!s_info_industry_sw_2021(W3582,公司分析!D$5,1),IF($Y$3="申万二级行业",[1]!s_info_industry_sw_2021(W3582,公司分析!D$5,2),IF($Y$3="申万三级行业",[1]!s_info_industry_sw_2021(W3582,公司分析!D$5,3),IF($Y$3="wind一级行业",[1]!s_info_industry_gics(W3582,1),IF($Y$3="wind二级行业",[1]!s_info_industry_gics(W3582,2),IF($Y$3="wind三级行业",[1]!s_info_industry_gics(W3582,3),IF($Y$3="wind四级行业",[1]!s_info_industry_gics(W3582,4),IF($Y$3="证监会门类行业",[1]!s_info_industry_csrc12_n(W3582,公司分析!D$5,1),""))))))))</f>
        <v>多元金融</v>
      </c>
      <c r="Z3582" s="302" t="str">
        <f ca="1">IF(Y3582=行业比较!$E$6,ROW(),"")</f>
        <v/>
      </c>
    </row>
    <row r="3583" spans="22:26">
      <c r="V3583" s="260">
        <f t="shared" ca="1" si="63"/>
        <v>0</v>
      </c>
      <c r="W3583" s="348" t="str">
        <f>IF(板块成分!B3585="","",板块成分!B3585)</f>
        <v>600903.SH</v>
      </c>
      <c r="X3583" s="276" t="str">
        <f>[1]!S_Info_Name(W3583)</f>
        <v>贵州燃气</v>
      </c>
      <c r="Y3583" s="276" t="str">
        <f ca="1">IF($Y$3="申万一级行业",[1]!s_info_industry_sw_2021(W3583,公司分析!D$5,1),IF($Y$3="申万二级行业",[1]!s_info_industry_sw_2021(W3583,公司分析!D$5,2),IF($Y$3="申万三级行业",[1]!s_info_industry_sw_2021(W3583,公司分析!D$5,3),IF($Y$3="wind一级行业",[1]!s_info_industry_gics(W3583,1),IF($Y$3="wind二级行业",[1]!s_info_industry_gics(W3583,2),IF($Y$3="wind三级行业",[1]!s_info_industry_gics(W3583,3),IF($Y$3="wind四级行业",[1]!s_info_industry_gics(W3583,4),IF($Y$3="证监会门类行业",[1]!s_info_industry_csrc12_n(W3583,公司分析!D$5,1),""))))))))</f>
        <v>燃气Ⅱ</v>
      </c>
      <c r="Z3583" s="302" t="str">
        <f ca="1">IF(Y3583=行业比较!$E$6,ROW(),"")</f>
        <v/>
      </c>
    </row>
    <row r="3584" spans="22:26">
      <c r="V3584" s="260">
        <f t="shared" ca="1" si="63"/>
        <v>0</v>
      </c>
      <c r="W3584" s="348" t="str">
        <f>IF(板块成分!B3586="","",板块成分!B3586)</f>
        <v>600905.SH</v>
      </c>
      <c r="X3584" s="276" t="str">
        <f>[1]!S_Info_Name(W3584)</f>
        <v>三峡能源</v>
      </c>
      <c r="Y3584" s="276" t="str">
        <f ca="1">IF($Y$3="申万一级行业",[1]!s_info_industry_sw_2021(W3584,公司分析!D$5,1),IF($Y$3="申万二级行业",[1]!s_info_industry_sw_2021(W3584,公司分析!D$5,2),IF($Y$3="申万三级行业",[1]!s_info_industry_sw_2021(W3584,公司分析!D$5,3),IF($Y$3="wind一级行业",[1]!s_info_industry_gics(W3584,1),IF($Y$3="wind二级行业",[1]!s_info_industry_gics(W3584,2),IF($Y$3="wind三级行业",[1]!s_info_industry_gics(W3584,3),IF($Y$3="wind四级行业",[1]!s_info_industry_gics(W3584,4),IF($Y$3="证监会门类行业",[1]!s_info_industry_csrc12_n(W3584,公司分析!D$5,1),""))))))))</f>
        <v>电力</v>
      </c>
      <c r="Z3584" s="302" t="str">
        <f ca="1">IF(Y3584=行业比较!$E$6,ROW(),"")</f>
        <v/>
      </c>
    </row>
    <row r="3585" spans="22:26">
      <c r="V3585" s="260">
        <f t="shared" ca="1" si="63"/>
        <v>0</v>
      </c>
      <c r="W3585" s="348" t="str">
        <f>IF(板块成分!B3587="","",板块成分!B3587)</f>
        <v>600906.SH</v>
      </c>
      <c r="X3585" s="276" t="str">
        <f>[1]!S_Info_Name(W3585)</f>
        <v>财达证券</v>
      </c>
      <c r="Y3585" s="276" t="str">
        <f ca="1">IF($Y$3="申万一级行业",[1]!s_info_industry_sw_2021(W3585,公司分析!D$5,1),IF($Y$3="申万二级行业",[1]!s_info_industry_sw_2021(W3585,公司分析!D$5,2),IF($Y$3="申万三级行业",[1]!s_info_industry_sw_2021(W3585,公司分析!D$5,3),IF($Y$3="wind一级行业",[1]!s_info_industry_gics(W3585,1),IF($Y$3="wind二级行业",[1]!s_info_industry_gics(W3585,2),IF($Y$3="wind三级行业",[1]!s_info_industry_gics(W3585,3),IF($Y$3="wind四级行业",[1]!s_info_industry_gics(W3585,4),IF($Y$3="证监会门类行业",[1]!s_info_industry_csrc12_n(W3585,公司分析!D$5,1),""))))))))</f>
        <v>证券Ⅱ</v>
      </c>
      <c r="Z3585" s="302" t="str">
        <f ca="1">IF(Y3585=行业比较!$E$6,ROW(),"")</f>
        <v/>
      </c>
    </row>
    <row r="3586" spans="22:26">
      <c r="V3586" s="260">
        <f t="shared" ca="1" si="63"/>
        <v>0</v>
      </c>
      <c r="W3586" s="348" t="str">
        <f>IF(板块成分!B3588="","",板块成分!B3588)</f>
        <v>600908.SH</v>
      </c>
      <c r="X3586" s="276" t="str">
        <f>[1]!S_Info_Name(W3586)</f>
        <v>无锡银行</v>
      </c>
      <c r="Y3586" s="276" t="str">
        <f ca="1">IF($Y$3="申万一级行业",[1]!s_info_industry_sw_2021(W3586,公司分析!D$5,1),IF($Y$3="申万二级行业",[1]!s_info_industry_sw_2021(W3586,公司分析!D$5,2),IF($Y$3="申万三级行业",[1]!s_info_industry_sw_2021(W3586,公司分析!D$5,3),IF($Y$3="wind一级行业",[1]!s_info_industry_gics(W3586,1),IF($Y$3="wind二级行业",[1]!s_info_industry_gics(W3586,2),IF($Y$3="wind三级行业",[1]!s_info_industry_gics(W3586,3),IF($Y$3="wind四级行业",[1]!s_info_industry_gics(W3586,4),IF($Y$3="证监会门类行业",[1]!s_info_industry_csrc12_n(W3586,公司分析!D$5,1),""))))))))</f>
        <v>农商行Ⅱ</v>
      </c>
      <c r="Z3586" s="302" t="str">
        <f ca="1">IF(Y3586=行业比较!$E$6,ROW(),"")</f>
        <v/>
      </c>
    </row>
    <row r="3587" spans="22:26">
      <c r="V3587" s="260">
        <f t="shared" ca="1" si="63"/>
        <v>0</v>
      </c>
      <c r="W3587" s="348" t="str">
        <f>IF(板块成分!B3589="","",板块成分!B3589)</f>
        <v>600909.SH</v>
      </c>
      <c r="X3587" s="276" t="str">
        <f>[1]!S_Info_Name(W3587)</f>
        <v>华安证券</v>
      </c>
      <c r="Y3587" s="276" t="str">
        <f ca="1">IF($Y$3="申万一级行业",[1]!s_info_industry_sw_2021(W3587,公司分析!D$5,1),IF($Y$3="申万二级行业",[1]!s_info_industry_sw_2021(W3587,公司分析!D$5,2),IF($Y$3="申万三级行业",[1]!s_info_industry_sw_2021(W3587,公司分析!D$5,3),IF($Y$3="wind一级行业",[1]!s_info_industry_gics(W3587,1),IF($Y$3="wind二级行业",[1]!s_info_industry_gics(W3587,2),IF($Y$3="wind三级行业",[1]!s_info_industry_gics(W3587,3),IF($Y$3="wind四级行业",[1]!s_info_industry_gics(W3587,4),IF($Y$3="证监会门类行业",[1]!s_info_industry_csrc12_n(W3587,公司分析!D$5,1),""))))))))</f>
        <v>证券Ⅱ</v>
      </c>
      <c r="Z3587" s="302" t="str">
        <f ca="1">IF(Y3587=行业比较!$E$6,ROW(),"")</f>
        <v/>
      </c>
    </row>
    <row r="3588" spans="22:26">
      <c r="V3588" s="260">
        <f t="shared" ca="1" si="63"/>
        <v>0</v>
      </c>
      <c r="W3588" s="348" t="str">
        <f>IF(板块成分!B3590="","",板块成分!B3590)</f>
        <v>600916.SH</v>
      </c>
      <c r="X3588" s="276" t="str">
        <f>[1]!S_Info_Name(W3588)</f>
        <v>中国黄金</v>
      </c>
      <c r="Y3588" s="276" t="str">
        <f ca="1">IF($Y$3="申万一级行业",[1]!s_info_industry_sw_2021(W3588,公司分析!D$5,1),IF($Y$3="申万二级行业",[1]!s_info_industry_sw_2021(W3588,公司分析!D$5,2),IF($Y$3="申万三级行业",[1]!s_info_industry_sw_2021(W3588,公司分析!D$5,3),IF($Y$3="wind一级行业",[1]!s_info_industry_gics(W3588,1),IF($Y$3="wind二级行业",[1]!s_info_industry_gics(W3588,2),IF($Y$3="wind三级行业",[1]!s_info_industry_gics(W3588,3),IF($Y$3="wind四级行业",[1]!s_info_industry_gics(W3588,4),IF($Y$3="证监会门类行业",[1]!s_info_industry_csrc12_n(W3588,公司分析!D$5,1),""))))))))</f>
        <v>饰品</v>
      </c>
      <c r="Z3588" s="302" t="str">
        <f ca="1">IF(Y3588=行业比较!$E$6,ROW(),"")</f>
        <v/>
      </c>
    </row>
    <row r="3589" spans="22:26">
      <c r="V3589" s="260">
        <f t="shared" ref="V3589:V3652" ca="1" si="64">IF(Z3589="",0,RANK(Z3589,Z:Z,1))</f>
        <v>0</v>
      </c>
      <c r="W3589" s="348" t="str">
        <f>IF(板块成分!B3591="","",板块成分!B3591)</f>
        <v>600917.SH</v>
      </c>
      <c r="X3589" s="276" t="str">
        <f>[1]!S_Info_Name(W3589)</f>
        <v>重庆燃气</v>
      </c>
      <c r="Y3589" s="276" t="str">
        <f ca="1">IF($Y$3="申万一级行业",[1]!s_info_industry_sw_2021(W3589,公司分析!D$5,1),IF($Y$3="申万二级行业",[1]!s_info_industry_sw_2021(W3589,公司分析!D$5,2),IF($Y$3="申万三级行业",[1]!s_info_industry_sw_2021(W3589,公司分析!D$5,3),IF($Y$3="wind一级行业",[1]!s_info_industry_gics(W3589,1),IF($Y$3="wind二级行业",[1]!s_info_industry_gics(W3589,2),IF($Y$3="wind三级行业",[1]!s_info_industry_gics(W3589,3),IF($Y$3="wind四级行业",[1]!s_info_industry_gics(W3589,4),IF($Y$3="证监会门类行业",[1]!s_info_industry_csrc12_n(W3589,公司分析!D$5,1),""))))))))</f>
        <v>燃气Ⅱ</v>
      </c>
      <c r="Z3589" s="302" t="str">
        <f ca="1">IF(Y3589=行业比较!$E$6,ROW(),"")</f>
        <v/>
      </c>
    </row>
    <row r="3590" spans="22:26">
      <c r="V3590" s="260">
        <f t="shared" ca="1" si="64"/>
        <v>0</v>
      </c>
      <c r="W3590" s="348" t="str">
        <f>IF(板块成分!B3592="","",板块成分!B3592)</f>
        <v>600918.SH</v>
      </c>
      <c r="X3590" s="276" t="str">
        <f>[1]!S_Info_Name(W3590)</f>
        <v>中泰证券</v>
      </c>
      <c r="Y3590" s="276" t="str">
        <f ca="1">IF($Y$3="申万一级行业",[1]!s_info_industry_sw_2021(W3590,公司分析!D$5,1),IF($Y$3="申万二级行业",[1]!s_info_industry_sw_2021(W3590,公司分析!D$5,2),IF($Y$3="申万三级行业",[1]!s_info_industry_sw_2021(W3590,公司分析!D$5,3),IF($Y$3="wind一级行业",[1]!s_info_industry_gics(W3590,1),IF($Y$3="wind二级行业",[1]!s_info_industry_gics(W3590,2),IF($Y$3="wind三级行业",[1]!s_info_industry_gics(W3590,3),IF($Y$3="wind四级行业",[1]!s_info_industry_gics(W3590,4),IF($Y$3="证监会门类行业",[1]!s_info_industry_csrc12_n(W3590,公司分析!D$5,1),""))))))))</f>
        <v>证券Ⅱ</v>
      </c>
      <c r="Z3590" s="302" t="str">
        <f ca="1">IF(Y3590=行业比较!$E$6,ROW(),"")</f>
        <v/>
      </c>
    </row>
    <row r="3591" spans="22:26">
      <c r="V3591" s="260">
        <f t="shared" ca="1" si="64"/>
        <v>0</v>
      </c>
      <c r="W3591" s="348" t="str">
        <f>IF(板块成分!B3593="","",板块成分!B3593)</f>
        <v>600919.SH</v>
      </c>
      <c r="X3591" s="276" t="str">
        <f>[1]!S_Info_Name(W3591)</f>
        <v>江苏银行</v>
      </c>
      <c r="Y3591" s="276" t="str">
        <f ca="1">IF($Y$3="申万一级行业",[1]!s_info_industry_sw_2021(W3591,公司分析!D$5,1),IF($Y$3="申万二级行业",[1]!s_info_industry_sw_2021(W3591,公司分析!D$5,2),IF($Y$3="申万三级行业",[1]!s_info_industry_sw_2021(W3591,公司分析!D$5,3),IF($Y$3="wind一级行业",[1]!s_info_industry_gics(W3591,1),IF($Y$3="wind二级行业",[1]!s_info_industry_gics(W3591,2),IF($Y$3="wind三级行业",[1]!s_info_industry_gics(W3591,3),IF($Y$3="wind四级行业",[1]!s_info_industry_gics(W3591,4),IF($Y$3="证监会门类行业",[1]!s_info_industry_csrc12_n(W3591,公司分析!D$5,1),""))))))))</f>
        <v>城商行Ⅱ</v>
      </c>
      <c r="Z3591" s="302" t="str">
        <f ca="1">IF(Y3591=行业比较!$E$6,ROW(),"")</f>
        <v/>
      </c>
    </row>
    <row r="3592" spans="22:26">
      <c r="V3592" s="260">
        <f t="shared" ca="1" si="64"/>
        <v>0</v>
      </c>
      <c r="W3592" s="348" t="str">
        <f>IF(板块成分!B3594="","",板块成分!B3594)</f>
        <v>600925.SH</v>
      </c>
      <c r="X3592" s="276" t="str">
        <f>[1]!S_Info_Name(W3592)</f>
        <v>苏能股份</v>
      </c>
      <c r="Y3592" s="276" t="str">
        <f ca="1">IF($Y$3="申万一级行业",[1]!s_info_industry_sw_2021(W3592,公司分析!D$5,1),IF($Y$3="申万二级行业",[1]!s_info_industry_sw_2021(W3592,公司分析!D$5,2),IF($Y$3="申万三级行业",[1]!s_info_industry_sw_2021(W3592,公司分析!D$5,3),IF($Y$3="wind一级行业",[1]!s_info_industry_gics(W3592,1),IF($Y$3="wind二级行业",[1]!s_info_industry_gics(W3592,2),IF($Y$3="wind三级行业",[1]!s_info_industry_gics(W3592,3),IF($Y$3="wind四级行业",[1]!s_info_industry_gics(W3592,4),IF($Y$3="证监会门类行业",[1]!s_info_industry_csrc12_n(W3592,公司分析!D$5,1),""))))))))</f>
        <v>煤炭开采</v>
      </c>
      <c r="Z3592" s="302" t="str">
        <f ca="1">IF(Y3592=行业比较!$E$6,ROW(),"")</f>
        <v/>
      </c>
    </row>
    <row r="3593" spans="22:26">
      <c r="V3593" s="260">
        <f t="shared" ca="1" si="64"/>
        <v>0</v>
      </c>
      <c r="W3593" s="348" t="str">
        <f>IF(板块成分!B3595="","",板块成分!B3595)</f>
        <v>600926.SH</v>
      </c>
      <c r="X3593" s="276" t="str">
        <f>[1]!S_Info_Name(W3593)</f>
        <v>杭州银行</v>
      </c>
      <c r="Y3593" s="276" t="str">
        <f ca="1">IF($Y$3="申万一级行业",[1]!s_info_industry_sw_2021(W3593,公司分析!D$5,1),IF($Y$3="申万二级行业",[1]!s_info_industry_sw_2021(W3593,公司分析!D$5,2),IF($Y$3="申万三级行业",[1]!s_info_industry_sw_2021(W3593,公司分析!D$5,3),IF($Y$3="wind一级行业",[1]!s_info_industry_gics(W3593,1),IF($Y$3="wind二级行业",[1]!s_info_industry_gics(W3593,2),IF($Y$3="wind三级行业",[1]!s_info_industry_gics(W3593,3),IF($Y$3="wind四级行业",[1]!s_info_industry_gics(W3593,4),IF($Y$3="证监会门类行业",[1]!s_info_industry_csrc12_n(W3593,公司分析!D$5,1),""))))))))</f>
        <v>城商行Ⅱ</v>
      </c>
      <c r="Z3593" s="302" t="str">
        <f ca="1">IF(Y3593=行业比较!$E$6,ROW(),"")</f>
        <v/>
      </c>
    </row>
    <row r="3594" spans="22:26">
      <c r="V3594" s="260">
        <f t="shared" ca="1" si="64"/>
        <v>0</v>
      </c>
      <c r="W3594" s="348" t="str">
        <f>IF(板块成分!B3596="","",板块成分!B3596)</f>
        <v>600927.SH</v>
      </c>
      <c r="X3594" s="276" t="str">
        <f>[1]!S_Info_Name(W3594)</f>
        <v>永安期货</v>
      </c>
      <c r="Y3594" s="276" t="str">
        <f ca="1">IF($Y$3="申万一级行业",[1]!s_info_industry_sw_2021(W3594,公司分析!D$5,1),IF($Y$3="申万二级行业",[1]!s_info_industry_sw_2021(W3594,公司分析!D$5,2),IF($Y$3="申万三级行业",[1]!s_info_industry_sw_2021(W3594,公司分析!D$5,3),IF($Y$3="wind一级行业",[1]!s_info_industry_gics(W3594,1),IF($Y$3="wind二级行业",[1]!s_info_industry_gics(W3594,2),IF($Y$3="wind三级行业",[1]!s_info_industry_gics(W3594,3),IF($Y$3="wind四级行业",[1]!s_info_industry_gics(W3594,4),IF($Y$3="证监会门类行业",[1]!s_info_industry_csrc12_n(W3594,公司分析!D$5,1),""))))))))</f>
        <v>多元金融</v>
      </c>
      <c r="Z3594" s="302" t="str">
        <f ca="1">IF(Y3594=行业比较!$E$6,ROW(),"")</f>
        <v/>
      </c>
    </row>
    <row r="3595" spans="22:26">
      <c r="V3595" s="260">
        <f t="shared" ca="1" si="64"/>
        <v>0</v>
      </c>
      <c r="W3595" s="348" t="str">
        <f>IF(板块成分!B3597="","",板块成分!B3597)</f>
        <v>600928.SH</v>
      </c>
      <c r="X3595" s="276" t="str">
        <f>[1]!S_Info_Name(W3595)</f>
        <v>西安银行</v>
      </c>
      <c r="Y3595" s="276" t="str">
        <f ca="1">IF($Y$3="申万一级行业",[1]!s_info_industry_sw_2021(W3595,公司分析!D$5,1),IF($Y$3="申万二级行业",[1]!s_info_industry_sw_2021(W3595,公司分析!D$5,2),IF($Y$3="申万三级行业",[1]!s_info_industry_sw_2021(W3595,公司分析!D$5,3),IF($Y$3="wind一级行业",[1]!s_info_industry_gics(W3595,1),IF($Y$3="wind二级行业",[1]!s_info_industry_gics(W3595,2),IF($Y$3="wind三级行业",[1]!s_info_industry_gics(W3595,3),IF($Y$3="wind四级行业",[1]!s_info_industry_gics(W3595,4),IF($Y$3="证监会门类行业",[1]!s_info_industry_csrc12_n(W3595,公司分析!D$5,1),""))))))))</f>
        <v>城商行Ⅱ</v>
      </c>
      <c r="Z3595" s="302" t="str">
        <f ca="1">IF(Y3595=行业比较!$E$6,ROW(),"")</f>
        <v/>
      </c>
    </row>
    <row r="3596" spans="22:26">
      <c r="V3596" s="260">
        <f t="shared" ca="1" si="64"/>
        <v>0</v>
      </c>
      <c r="W3596" s="348" t="str">
        <f>IF(板块成分!B3598="","",板块成分!B3598)</f>
        <v>600929.SH</v>
      </c>
      <c r="X3596" s="276" t="str">
        <f>[1]!S_Info_Name(W3596)</f>
        <v>雪天盐业</v>
      </c>
      <c r="Y3596" s="276" t="str">
        <f ca="1">IF($Y$3="申万一级行业",[1]!s_info_industry_sw_2021(W3596,公司分析!D$5,1),IF($Y$3="申万二级行业",[1]!s_info_industry_sw_2021(W3596,公司分析!D$5,2),IF($Y$3="申万三级行业",[1]!s_info_industry_sw_2021(W3596,公司分析!D$5,3),IF($Y$3="wind一级行业",[1]!s_info_industry_gics(W3596,1),IF($Y$3="wind二级行业",[1]!s_info_industry_gics(W3596,2),IF($Y$3="wind三级行业",[1]!s_info_industry_gics(W3596,3),IF($Y$3="wind四级行业",[1]!s_info_industry_gics(W3596,4),IF($Y$3="证监会门类行业",[1]!s_info_industry_csrc12_n(W3596,公司分析!D$5,1),""))))))))</f>
        <v>化学原料</v>
      </c>
      <c r="Z3596" s="302" t="str">
        <f ca="1">IF(Y3596=行业比较!$E$6,ROW(),"")</f>
        <v/>
      </c>
    </row>
    <row r="3597" spans="22:26">
      <c r="V3597" s="260">
        <f t="shared" ca="1" si="64"/>
        <v>0</v>
      </c>
      <c r="W3597" s="348" t="str">
        <f>IF(板块成分!B3599="","",板块成分!B3599)</f>
        <v>600930.SH</v>
      </c>
      <c r="X3597" s="276" t="str">
        <f>[1]!S_Info_Name(W3597)</f>
        <v>华电新能</v>
      </c>
      <c r="Y3597" s="276" t="str">
        <f ca="1">IF($Y$3="申万一级行业",[1]!s_info_industry_sw_2021(W3597,公司分析!D$5,1),IF($Y$3="申万二级行业",[1]!s_info_industry_sw_2021(W3597,公司分析!D$5,2),IF($Y$3="申万三级行业",[1]!s_info_industry_sw_2021(W3597,公司分析!D$5,3),IF($Y$3="wind一级行业",[1]!s_info_industry_gics(W3597,1),IF($Y$3="wind二级行业",[1]!s_info_industry_gics(W3597,2),IF($Y$3="wind三级行业",[1]!s_info_industry_gics(W3597,3),IF($Y$3="wind四级行业",[1]!s_info_industry_gics(W3597,4),IF($Y$3="证监会门类行业",[1]!s_info_industry_csrc12_n(W3597,公司分析!D$5,1),""))))))))</f>
        <v>电力</v>
      </c>
      <c r="Z3597" s="302" t="str">
        <f ca="1">IF(Y3597=行业比较!$E$6,ROW(),"")</f>
        <v/>
      </c>
    </row>
    <row r="3598" spans="22:26">
      <c r="V3598" s="260">
        <f t="shared" ca="1" si="64"/>
        <v>0</v>
      </c>
      <c r="W3598" s="348" t="str">
        <f>IF(板块成分!B3600="","",板块成分!B3600)</f>
        <v>600933.SH</v>
      </c>
      <c r="X3598" s="276" t="str">
        <f>[1]!S_Info_Name(W3598)</f>
        <v>爱柯迪</v>
      </c>
      <c r="Y3598" s="276" t="str">
        <f ca="1">IF($Y$3="申万一级行业",[1]!s_info_industry_sw_2021(W3598,公司分析!D$5,1),IF($Y$3="申万二级行业",[1]!s_info_industry_sw_2021(W3598,公司分析!D$5,2),IF($Y$3="申万三级行业",[1]!s_info_industry_sw_2021(W3598,公司分析!D$5,3),IF($Y$3="wind一级行业",[1]!s_info_industry_gics(W3598,1),IF($Y$3="wind二级行业",[1]!s_info_industry_gics(W3598,2),IF($Y$3="wind三级行业",[1]!s_info_industry_gics(W3598,3),IF($Y$3="wind四级行业",[1]!s_info_industry_gics(W3598,4),IF($Y$3="证监会门类行业",[1]!s_info_industry_csrc12_n(W3598,公司分析!D$5,1),""))))))))</f>
        <v>汽车零部件</v>
      </c>
      <c r="Z3598" s="302" t="str">
        <f ca="1">IF(Y3598=行业比较!$E$6,ROW(),"")</f>
        <v/>
      </c>
    </row>
    <row r="3599" spans="22:26">
      <c r="V3599" s="260">
        <f t="shared" ca="1" si="64"/>
        <v>0</v>
      </c>
      <c r="W3599" s="348" t="str">
        <f>IF(板块成分!B3601="","",板块成分!B3601)</f>
        <v>600935.SH</v>
      </c>
      <c r="X3599" s="276" t="str">
        <f>[1]!S_Info_Name(W3599)</f>
        <v>华塑股份</v>
      </c>
      <c r="Y3599" s="276" t="str">
        <f ca="1">IF($Y$3="申万一级行业",[1]!s_info_industry_sw_2021(W3599,公司分析!D$5,1),IF($Y$3="申万二级行业",[1]!s_info_industry_sw_2021(W3599,公司分析!D$5,2),IF($Y$3="申万三级行业",[1]!s_info_industry_sw_2021(W3599,公司分析!D$5,3),IF($Y$3="wind一级行业",[1]!s_info_industry_gics(W3599,1),IF($Y$3="wind二级行业",[1]!s_info_industry_gics(W3599,2),IF($Y$3="wind三级行业",[1]!s_info_industry_gics(W3599,3),IF($Y$3="wind四级行业",[1]!s_info_industry_gics(W3599,4),IF($Y$3="证监会门类行业",[1]!s_info_industry_csrc12_n(W3599,公司分析!D$5,1),""))))))))</f>
        <v>化学原料</v>
      </c>
      <c r="Z3599" s="302" t="str">
        <f ca="1">IF(Y3599=行业比较!$E$6,ROW(),"")</f>
        <v/>
      </c>
    </row>
    <row r="3600" spans="22:26">
      <c r="V3600" s="260">
        <f t="shared" ca="1" si="64"/>
        <v>0</v>
      </c>
      <c r="W3600" s="348" t="str">
        <f>IF(板块成分!B3602="","",板块成分!B3602)</f>
        <v>600936.SH</v>
      </c>
      <c r="X3600" s="276" t="str">
        <f>[1]!S_Info_Name(W3600)</f>
        <v>北投科技</v>
      </c>
      <c r="Y3600" s="276" t="str">
        <f ca="1">IF($Y$3="申万一级行业",[1]!s_info_industry_sw_2021(W3600,公司分析!D$5,1),IF($Y$3="申万二级行业",[1]!s_info_industry_sw_2021(W3600,公司分析!D$5,2),IF($Y$3="申万三级行业",[1]!s_info_industry_sw_2021(W3600,公司分析!D$5,3),IF($Y$3="wind一级行业",[1]!s_info_industry_gics(W3600,1),IF($Y$3="wind二级行业",[1]!s_info_industry_gics(W3600,2),IF($Y$3="wind三级行业",[1]!s_info_industry_gics(W3600,3),IF($Y$3="wind四级行业",[1]!s_info_industry_gics(W3600,4),IF($Y$3="证监会门类行业",[1]!s_info_industry_csrc12_n(W3600,公司分析!D$5,1),""))))))))</f>
        <v>电视广播Ⅱ</v>
      </c>
      <c r="Z3600" s="302" t="str">
        <f ca="1">IF(Y3600=行业比较!$E$6,ROW(),"")</f>
        <v/>
      </c>
    </row>
    <row r="3601" spans="22:26">
      <c r="V3601" s="260">
        <f t="shared" ca="1" si="64"/>
        <v>0</v>
      </c>
      <c r="W3601" s="348" t="str">
        <f>IF(板块成分!B3603="","",板块成分!B3603)</f>
        <v>600938.SH</v>
      </c>
      <c r="X3601" s="276" t="str">
        <f>[1]!S_Info_Name(W3601)</f>
        <v>中国海油</v>
      </c>
      <c r="Y3601" s="276" t="str">
        <f ca="1">IF($Y$3="申万一级行业",[1]!s_info_industry_sw_2021(W3601,公司分析!D$5,1),IF($Y$3="申万二级行业",[1]!s_info_industry_sw_2021(W3601,公司分析!D$5,2),IF($Y$3="申万三级行业",[1]!s_info_industry_sw_2021(W3601,公司分析!D$5,3),IF($Y$3="wind一级行业",[1]!s_info_industry_gics(W3601,1),IF($Y$3="wind二级行业",[1]!s_info_industry_gics(W3601,2),IF($Y$3="wind三级行业",[1]!s_info_industry_gics(W3601,3),IF($Y$3="wind四级行业",[1]!s_info_industry_gics(W3601,4),IF($Y$3="证监会门类行业",[1]!s_info_industry_csrc12_n(W3601,公司分析!D$5,1),""))))))))</f>
        <v>油气开采Ⅱ</v>
      </c>
      <c r="Z3601" s="302" t="str">
        <f ca="1">IF(Y3601=行业比较!$E$6,ROW(),"")</f>
        <v/>
      </c>
    </row>
    <row r="3602" spans="22:26">
      <c r="V3602" s="260">
        <f t="shared" ca="1" si="64"/>
        <v>0</v>
      </c>
      <c r="W3602" s="348" t="str">
        <f>IF(板块成分!B3604="","",板块成分!B3604)</f>
        <v>600939.SH</v>
      </c>
      <c r="X3602" s="276" t="str">
        <f>[1]!S_Info_Name(W3602)</f>
        <v>重庆建工</v>
      </c>
      <c r="Y3602" s="276" t="str">
        <f ca="1">IF($Y$3="申万一级行业",[1]!s_info_industry_sw_2021(W3602,公司分析!D$5,1),IF($Y$3="申万二级行业",[1]!s_info_industry_sw_2021(W3602,公司分析!D$5,2),IF($Y$3="申万三级行业",[1]!s_info_industry_sw_2021(W3602,公司分析!D$5,3),IF($Y$3="wind一级行业",[1]!s_info_industry_gics(W3602,1),IF($Y$3="wind二级行业",[1]!s_info_industry_gics(W3602,2),IF($Y$3="wind三级行业",[1]!s_info_industry_gics(W3602,3),IF($Y$3="wind四级行业",[1]!s_info_industry_gics(W3602,4),IF($Y$3="证监会门类行业",[1]!s_info_industry_csrc12_n(W3602,公司分析!D$5,1),""))))))))</f>
        <v>房屋建设Ⅱ</v>
      </c>
      <c r="Z3602" s="302" t="str">
        <f ca="1">IF(Y3602=行业比较!$E$6,ROW(),"")</f>
        <v/>
      </c>
    </row>
    <row r="3603" spans="22:26">
      <c r="V3603" s="260">
        <f t="shared" ca="1" si="64"/>
        <v>0</v>
      </c>
      <c r="W3603" s="348" t="str">
        <f>IF(板块成分!B3605="","",板块成分!B3605)</f>
        <v>600941.SH</v>
      </c>
      <c r="X3603" s="276" t="str">
        <f>[1]!S_Info_Name(W3603)</f>
        <v>中国移动</v>
      </c>
      <c r="Y3603" s="276" t="str">
        <f ca="1">IF($Y$3="申万一级行业",[1]!s_info_industry_sw_2021(W3603,公司分析!D$5,1),IF($Y$3="申万二级行业",[1]!s_info_industry_sw_2021(W3603,公司分析!D$5,2),IF($Y$3="申万三级行业",[1]!s_info_industry_sw_2021(W3603,公司分析!D$5,3),IF($Y$3="wind一级行业",[1]!s_info_industry_gics(W3603,1),IF($Y$3="wind二级行业",[1]!s_info_industry_gics(W3603,2),IF($Y$3="wind三级行业",[1]!s_info_industry_gics(W3603,3),IF($Y$3="wind四级行业",[1]!s_info_industry_gics(W3603,4),IF($Y$3="证监会门类行业",[1]!s_info_industry_csrc12_n(W3603,公司分析!D$5,1),""))))))))</f>
        <v>通信服务</v>
      </c>
      <c r="Z3603" s="302" t="str">
        <f ca="1">IF(Y3603=行业比较!$E$6,ROW(),"")</f>
        <v/>
      </c>
    </row>
    <row r="3604" spans="22:26">
      <c r="V3604" s="260">
        <f t="shared" ca="1" si="64"/>
        <v>0</v>
      </c>
      <c r="W3604" s="348" t="str">
        <f>IF(板块成分!B3606="","",板块成分!B3606)</f>
        <v>600955.SH</v>
      </c>
      <c r="X3604" s="276" t="str">
        <f>[1]!S_Info_Name(W3604)</f>
        <v>维远股份</v>
      </c>
      <c r="Y3604" s="276" t="str">
        <f ca="1">IF($Y$3="申万一级行业",[1]!s_info_industry_sw_2021(W3604,公司分析!D$5,1),IF($Y$3="申万二级行业",[1]!s_info_industry_sw_2021(W3604,公司分析!D$5,2),IF($Y$3="申万三级行业",[1]!s_info_industry_sw_2021(W3604,公司分析!D$5,3),IF($Y$3="wind一级行业",[1]!s_info_industry_gics(W3604,1),IF($Y$3="wind二级行业",[1]!s_info_industry_gics(W3604,2),IF($Y$3="wind三级行业",[1]!s_info_industry_gics(W3604,3),IF($Y$3="wind四级行业",[1]!s_info_industry_gics(W3604,4),IF($Y$3="证监会门类行业",[1]!s_info_industry_csrc12_n(W3604,公司分析!D$5,1),""))))))))</f>
        <v>化学原料</v>
      </c>
      <c r="Z3604" s="302" t="str">
        <f ca="1">IF(Y3604=行业比较!$E$6,ROW(),"")</f>
        <v/>
      </c>
    </row>
    <row r="3605" spans="22:26">
      <c r="V3605" s="260">
        <f t="shared" ca="1" si="64"/>
        <v>0</v>
      </c>
      <c r="W3605" s="348" t="str">
        <f>IF(板块成分!B3607="","",板块成分!B3607)</f>
        <v>600956.SH</v>
      </c>
      <c r="X3605" s="276" t="str">
        <f>[1]!S_Info_Name(W3605)</f>
        <v>新天绿能</v>
      </c>
      <c r="Y3605" s="276" t="str">
        <f ca="1">IF($Y$3="申万一级行业",[1]!s_info_industry_sw_2021(W3605,公司分析!D$5,1),IF($Y$3="申万二级行业",[1]!s_info_industry_sw_2021(W3605,公司分析!D$5,2),IF($Y$3="申万三级行业",[1]!s_info_industry_sw_2021(W3605,公司分析!D$5,3),IF($Y$3="wind一级行业",[1]!s_info_industry_gics(W3605,1),IF($Y$3="wind二级行业",[1]!s_info_industry_gics(W3605,2),IF($Y$3="wind三级行业",[1]!s_info_industry_gics(W3605,3),IF($Y$3="wind四级行业",[1]!s_info_industry_gics(W3605,4),IF($Y$3="证监会门类行业",[1]!s_info_industry_csrc12_n(W3605,公司分析!D$5,1),""))))))))</f>
        <v>电力</v>
      </c>
      <c r="Z3605" s="302" t="str">
        <f ca="1">IF(Y3605=行业比较!$E$6,ROW(),"")</f>
        <v/>
      </c>
    </row>
    <row r="3606" spans="22:26">
      <c r="V3606" s="260">
        <f t="shared" ca="1" si="64"/>
        <v>0</v>
      </c>
      <c r="W3606" s="348" t="str">
        <f>IF(板块成分!B3608="","",板块成分!B3608)</f>
        <v>600958.SH</v>
      </c>
      <c r="X3606" s="276" t="str">
        <f>[1]!S_Info_Name(W3606)</f>
        <v>东方证券</v>
      </c>
      <c r="Y3606" s="276" t="str">
        <f ca="1">IF($Y$3="申万一级行业",[1]!s_info_industry_sw_2021(W3606,公司分析!D$5,1),IF($Y$3="申万二级行业",[1]!s_info_industry_sw_2021(W3606,公司分析!D$5,2),IF($Y$3="申万三级行业",[1]!s_info_industry_sw_2021(W3606,公司分析!D$5,3),IF($Y$3="wind一级行业",[1]!s_info_industry_gics(W3606,1),IF($Y$3="wind二级行业",[1]!s_info_industry_gics(W3606,2),IF($Y$3="wind三级行业",[1]!s_info_industry_gics(W3606,3),IF($Y$3="wind四级行业",[1]!s_info_industry_gics(W3606,4),IF($Y$3="证监会门类行业",[1]!s_info_industry_csrc12_n(W3606,公司分析!D$5,1),""))))))))</f>
        <v>证券Ⅱ</v>
      </c>
      <c r="Z3606" s="302" t="str">
        <f ca="1">IF(Y3606=行业比较!$E$6,ROW(),"")</f>
        <v/>
      </c>
    </row>
    <row r="3607" spans="22:26">
      <c r="V3607" s="260">
        <f t="shared" ca="1" si="64"/>
        <v>0</v>
      </c>
      <c r="W3607" s="348" t="str">
        <f>IF(板块成分!B3609="","",板块成分!B3609)</f>
        <v>600959.SH</v>
      </c>
      <c r="X3607" s="276" t="str">
        <f>[1]!S_Info_Name(W3607)</f>
        <v>江苏有线</v>
      </c>
      <c r="Y3607" s="276" t="str">
        <f ca="1">IF($Y$3="申万一级行业",[1]!s_info_industry_sw_2021(W3607,公司分析!D$5,1),IF($Y$3="申万二级行业",[1]!s_info_industry_sw_2021(W3607,公司分析!D$5,2),IF($Y$3="申万三级行业",[1]!s_info_industry_sw_2021(W3607,公司分析!D$5,3),IF($Y$3="wind一级行业",[1]!s_info_industry_gics(W3607,1),IF($Y$3="wind二级行业",[1]!s_info_industry_gics(W3607,2),IF($Y$3="wind三级行业",[1]!s_info_industry_gics(W3607,3),IF($Y$3="wind四级行业",[1]!s_info_industry_gics(W3607,4),IF($Y$3="证监会门类行业",[1]!s_info_industry_csrc12_n(W3607,公司分析!D$5,1),""))))))))</f>
        <v>电视广播Ⅱ</v>
      </c>
      <c r="Z3607" s="302" t="str">
        <f ca="1">IF(Y3607=行业比较!$E$6,ROW(),"")</f>
        <v/>
      </c>
    </row>
    <row r="3608" spans="22:26">
      <c r="V3608" s="260">
        <f t="shared" ca="1" si="64"/>
        <v>0</v>
      </c>
      <c r="W3608" s="348" t="str">
        <f>IF(板块成分!B3610="","",板块成分!B3610)</f>
        <v>600960.SH</v>
      </c>
      <c r="X3608" s="276" t="str">
        <f>[1]!S_Info_Name(W3608)</f>
        <v>渤海汽车</v>
      </c>
      <c r="Y3608" s="276" t="str">
        <f ca="1">IF($Y$3="申万一级行业",[1]!s_info_industry_sw_2021(W3608,公司分析!D$5,1),IF($Y$3="申万二级行业",[1]!s_info_industry_sw_2021(W3608,公司分析!D$5,2),IF($Y$3="申万三级行业",[1]!s_info_industry_sw_2021(W3608,公司分析!D$5,3),IF($Y$3="wind一级行业",[1]!s_info_industry_gics(W3608,1),IF($Y$3="wind二级行业",[1]!s_info_industry_gics(W3608,2),IF($Y$3="wind三级行业",[1]!s_info_industry_gics(W3608,3),IF($Y$3="wind四级行业",[1]!s_info_industry_gics(W3608,4),IF($Y$3="证监会门类行业",[1]!s_info_industry_csrc12_n(W3608,公司分析!D$5,1),""))))))))</f>
        <v>汽车零部件</v>
      </c>
      <c r="Z3608" s="302" t="str">
        <f ca="1">IF(Y3608=行业比较!$E$6,ROW(),"")</f>
        <v/>
      </c>
    </row>
    <row r="3609" spans="22:26">
      <c r="V3609" s="260">
        <f t="shared" ca="1" si="64"/>
        <v>42</v>
      </c>
      <c r="W3609" s="348" t="str">
        <f>IF(板块成分!B3611="","",板块成分!B3611)</f>
        <v>600961.SH</v>
      </c>
      <c r="X3609" s="276" t="str">
        <f>[1]!S_Info_Name(W3609)</f>
        <v>株冶集团</v>
      </c>
      <c r="Y3609" s="276" t="str">
        <f ca="1">IF($Y$3="申万一级行业",[1]!s_info_industry_sw_2021(W3609,公司分析!D$5,1),IF($Y$3="申万二级行业",[1]!s_info_industry_sw_2021(W3609,公司分析!D$5,2),IF($Y$3="申万三级行业",[1]!s_info_industry_sw_2021(W3609,公司分析!D$5,3),IF($Y$3="wind一级行业",[1]!s_info_industry_gics(W3609,1),IF($Y$3="wind二级行业",[1]!s_info_industry_gics(W3609,2),IF($Y$3="wind三级行业",[1]!s_info_industry_gics(W3609,3),IF($Y$3="wind四级行业",[1]!s_info_industry_gics(W3609,4),IF($Y$3="证监会门类行业",[1]!s_info_industry_csrc12_n(W3609,公司分析!D$5,1),""))))))))</f>
        <v>工业金属</v>
      </c>
      <c r="Z3609" s="302">
        <f ca="1">IF(Y3609=行业比较!$E$6,ROW(),"")</f>
        <v>3609</v>
      </c>
    </row>
    <row r="3610" spans="22:26">
      <c r="V3610" s="260">
        <f t="shared" ca="1" si="64"/>
        <v>0</v>
      </c>
      <c r="W3610" s="348" t="str">
        <f>IF(板块成分!B3612="","",板块成分!B3612)</f>
        <v>600962.SH</v>
      </c>
      <c r="X3610" s="276" t="str">
        <f>[1]!S_Info_Name(W3610)</f>
        <v>国投中鲁</v>
      </c>
      <c r="Y3610" s="276" t="str">
        <f ca="1">IF($Y$3="申万一级行业",[1]!s_info_industry_sw_2021(W3610,公司分析!D$5,1),IF($Y$3="申万二级行业",[1]!s_info_industry_sw_2021(W3610,公司分析!D$5,2),IF($Y$3="申万三级行业",[1]!s_info_industry_sw_2021(W3610,公司分析!D$5,3),IF($Y$3="wind一级行业",[1]!s_info_industry_gics(W3610,1),IF($Y$3="wind二级行业",[1]!s_info_industry_gics(W3610,2),IF($Y$3="wind三级行业",[1]!s_info_industry_gics(W3610,3),IF($Y$3="wind四级行业",[1]!s_info_industry_gics(W3610,4),IF($Y$3="证监会门类行业",[1]!s_info_industry_csrc12_n(W3610,公司分析!D$5,1),""))))))))</f>
        <v>农产品加工</v>
      </c>
      <c r="Z3610" s="302" t="str">
        <f ca="1">IF(Y3610=行业比较!$E$6,ROW(),"")</f>
        <v/>
      </c>
    </row>
    <row r="3611" spans="22:26">
      <c r="V3611" s="260">
        <f t="shared" ca="1" si="64"/>
        <v>0</v>
      </c>
      <c r="W3611" s="348" t="str">
        <f>IF(板块成分!B3613="","",板块成分!B3613)</f>
        <v>600963.SH</v>
      </c>
      <c r="X3611" s="276" t="str">
        <f>[1]!S_Info_Name(W3611)</f>
        <v>岳阳林纸</v>
      </c>
      <c r="Y3611" s="276" t="str">
        <f ca="1">IF($Y$3="申万一级行业",[1]!s_info_industry_sw_2021(W3611,公司分析!D$5,1),IF($Y$3="申万二级行业",[1]!s_info_industry_sw_2021(W3611,公司分析!D$5,2),IF($Y$3="申万三级行业",[1]!s_info_industry_sw_2021(W3611,公司分析!D$5,3),IF($Y$3="wind一级行业",[1]!s_info_industry_gics(W3611,1),IF($Y$3="wind二级行业",[1]!s_info_industry_gics(W3611,2),IF($Y$3="wind三级行业",[1]!s_info_industry_gics(W3611,3),IF($Y$3="wind四级行业",[1]!s_info_industry_gics(W3611,4),IF($Y$3="证监会门类行业",[1]!s_info_industry_csrc12_n(W3611,公司分析!D$5,1),""))))))))</f>
        <v>造纸</v>
      </c>
      <c r="Z3611" s="302" t="str">
        <f ca="1">IF(Y3611=行业比较!$E$6,ROW(),"")</f>
        <v/>
      </c>
    </row>
    <row r="3612" spans="22:26">
      <c r="V3612" s="260">
        <f t="shared" ca="1" si="64"/>
        <v>0</v>
      </c>
      <c r="W3612" s="348" t="str">
        <f>IF(板块成分!B3614="","",板块成分!B3614)</f>
        <v>600965.SH</v>
      </c>
      <c r="X3612" s="276" t="str">
        <f>[1]!S_Info_Name(W3612)</f>
        <v>福成股份</v>
      </c>
      <c r="Y3612" s="276" t="str">
        <f ca="1">IF($Y$3="申万一级行业",[1]!s_info_industry_sw_2021(W3612,公司分析!D$5,1),IF($Y$3="申万二级行业",[1]!s_info_industry_sw_2021(W3612,公司分析!D$5,2),IF($Y$3="申万三级行业",[1]!s_info_industry_sw_2021(W3612,公司分析!D$5,3),IF($Y$3="wind一级行业",[1]!s_info_industry_gics(W3612,1),IF($Y$3="wind二级行业",[1]!s_info_industry_gics(W3612,2),IF($Y$3="wind三级行业",[1]!s_info_industry_gics(W3612,3),IF($Y$3="wind四级行业",[1]!s_info_industry_gics(W3612,4),IF($Y$3="证监会门类行业",[1]!s_info_industry_csrc12_n(W3612,公司分析!D$5,1),""))))))))</f>
        <v>养殖业</v>
      </c>
      <c r="Z3612" s="302" t="str">
        <f ca="1">IF(Y3612=行业比较!$E$6,ROW(),"")</f>
        <v/>
      </c>
    </row>
    <row r="3613" spans="22:26">
      <c r="V3613" s="260">
        <f t="shared" ca="1" si="64"/>
        <v>0</v>
      </c>
      <c r="W3613" s="348" t="str">
        <f>IF(板块成分!B3615="","",板块成分!B3615)</f>
        <v>600966.SH</v>
      </c>
      <c r="X3613" s="276" t="str">
        <f>[1]!S_Info_Name(W3613)</f>
        <v>博汇纸业</v>
      </c>
      <c r="Y3613" s="276" t="str">
        <f ca="1">IF($Y$3="申万一级行业",[1]!s_info_industry_sw_2021(W3613,公司分析!D$5,1),IF($Y$3="申万二级行业",[1]!s_info_industry_sw_2021(W3613,公司分析!D$5,2),IF($Y$3="申万三级行业",[1]!s_info_industry_sw_2021(W3613,公司分析!D$5,3),IF($Y$3="wind一级行业",[1]!s_info_industry_gics(W3613,1),IF($Y$3="wind二级行业",[1]!s_info_industry_gics(W3613,2),IF($Y$3="wind三级行业",[1]!s_info_industry_gics(W3613,3),IF($Y$3="wind四级行业",[1]!s_info_industry_gics(W3613,4),IF($Y$3="证监会门类行业",[1]!s_info_industry_csrc12_n(W3613,公司分析!D$5,1),""))))))))</f>
        <v>造纸</v>
      </c>
      <c r="Z3613" s="302" t="str">
        <f ca="1">IF(Y3613=行业比较!$E$6,ROW(),"")</f>
        <v/>
      </c>
    </row>
    <row r="3614" spans="22:26">
      <c r="V3614" s="260">
        <f t="shared" ca="1" si="64"/>
        <v>0</v>
      </c>
      <c r="W3614" s="348" t="str">
        <f>IF(板块成分!B3616="","",板块成分!B3616)</f>
        <v>600967.SH</v>
      </c>
      <c r="X3614" s="276" t="str">
        <f>[1]!S_Info_Name(W3614)</f>
        <v>内蒙一机</v>
      </c>
      <c r="Y3614" s="276" t="str">
        <f ca="1">IF($Y$3="申万一级行业",[1]!s_info_industry_sw_2021(W3614,公司分析!D$5,1),IF($Y$3="申万二级行业",[1]!s_info_industry_sw_2021(W3614,公司分析!D$5,2),IF($Y$3="申万三级行业",[1]!s_info_industry_sw_2021(W3614,公司分析!D$5,3),IF($Y$3="wind一级行业",[1]!s_info_industry_gics(W3614,1),IF($Y$3="wind二级行业",[1]!s_info_industry_gics(W3614,2),IF($Y$3="wind三级行业",[1]!s_info_industry_gics(W3614,3),IF($Y$3="wind四级行业",[1]!s_info_industry_gics(W3614,4),IF($Y$3="证监会门类行业",[1]!s_info_industry_csrc12_n(W3614,公司分析!D$5,1),""))))))))</f>
        <v>地面兵装Ⅱ</v>
      </c>
      <c r="Z3614" s="302" t="str">
        <f ca="1">IF(Y3614=行业比较!$E$6,ROW(),"")</f>
        <v/>
      </c>
    </row>
    <row r="3615" spans="22:26">
      <c r="V3615" s="260">
        <f t="shared" ca="1" si="64"/>
        <v>0</v>
      </c>
      <c r="W3615" s="348" t="str">
        <f>IF(板块成分!B3617="","",板块成分!B3617)</f>
        <v>600968.SH</v>
      </c>
      <c r="X3615" s="276" t="str">
        <f>[1]!S_Info_Name(W3615)</f>
        <v>海油发展</v>
      </c>
      <c r="Y3615" s="276" t="str">
        <f ca="1">IF($Y$3="申万一级行业",[1]!s_info_industry_sw_2021(W3615,公司分析!D$5,1),IF($Y$3="申万二级行业",[1]!s_info_industry_sw_2021(W3615,公司分析!D$5,2),IF($Y$3="申万三级行业",[1]!s_info_industry_sw_2021(W3615,公司分析!D$5,3),IF($Y$3="wind一级行业",[1]!s_info_industry_gics(W3615,1),IF($Y$3="wind二级行业",[1]!s_info_industry_gics(W3615,2),IF($Y$3="wind三级行业",[1]!s_info_industry_gics(W3615,3),IF($Y$3="wind四级行业",[1]!s_info_industry_gics(W3615,4),IF($Y$3="证监会门类行业",[1]!s_info_industry_csrc12_n(W3615,公司分析!D$5,1),""))))))))</f>
        <v>油服工程</v>
      </c>
      <c r="Z3615" s="302" t="str">
        <f ca="1">IF(Y3615=行业比较!$E$6,ROW(),"")</f>
        <v/>
      </c>
    </row>
    <row r="3616" spans="22:26">
      <c r="V3616" s="260">
        <f t="shared" ca="1" si="64"/>
        <v>0</v>
      </c>
      <c r="W3616" s="348" t="str">
        <f>IF(板块成分!B3618="","",板块成分!B3618)</f>
        <v>600969.SH</v>
      </c>
      <c r="X3616" s="276" t="str">
        <f>[1]!S_Info_Name(W3616)</f>
        <v>郴电国际</v>
      </c>
      <c r="Y3616" s="276" t="str">
        <f ca="1">IF($Y$3="申万一级行业",[1]!s_info_industry_sw_2021(W3616,公司分析!D$5,1),IF($Y$3="申万二级行业",[1]!s_info_industry_sw_2021(W3616,公司分析!D$5,2),IF($Y$3="申万三级行业",[1]!s_info_industry_sw_2021(W3616,公司分析!D$5,3),IF($Y$3="wind一级行业",[1]!s_info_industry_gics(W3616,1),IF($Y$3="wind二级行业",[1]!s_info_industry_gics(W3616,2),IF($Y$3="wind三级行业",[1]!s_info_industry_gics(W3616,3),IF($Y$3="wind四级行业",[1]!s_info_industry_gics(W3616,4),IF($Y$3="证监会门类行业",[1]!s_info_industry_csrc12_n(W3616,公司分析!D$5,1),""))))))))</f>
        <v>电力</v>
      </c>
      <c r="Z3616" s="302" t="str">
        <f ca="1">IF(Y3616=行业比较!$E$6,ROW(),"")</f>
        <v/>
      </c>
    </row>
    <row r="3617" spans="22:26">
      <c r="V3617" s="260">
        <f t="shared" ca="1" si="64"/>
        <v>0</v>
      </c>
      <c r="W3617" s="348" t="str">
        <f>IF(板块成分!B3619="","",板块成分!B3619)</f>
        <v>600970.SH</v>
      </c>
      <c r="X3617" s="276" t="str">
        <f>[1]!S_Info_Name(W3617)</f>
        <v>中材国际</v>
      </c>
      <c r="Y3617" s="276" t="str">
        <f ca="1">IF($Y$3="申万一级行业",[1]!s_info_industry_sw_2021(W3617,公司分析!D$5,1),IF($Y$3="申万二级行业",[1]!s_info_industry_sw_2021(W3617,公司分析!D$5,2),IF($Y$3="申万三级行业",[1]!s_info_industry_sw_2021(W3617,公司分析!D$5,3),IF($Y$3="wind一级行业",[1]!s_info_industry_gics(W3617,1),IF($Y$3="wind二级行业",[1]!s_info_industry_gics(W3617,2),IF($Y$3="wind三级行业",[1]!s_info_industry_gics(W3617,3),IF($Y$3="wind四级行业",[1]!s_info_industry_gics(W3617,4),IF($Y$3="证监会门类行业",[1]!s_info_industry_csrc12_n(W3617,公司分析!D$5,1),""))))))))</f>
        <v>专业工程</v>
      </c>
      <c r="Z3617" s="302" t="str">
        <f ca="1">IF(Y3617=行业比较!$E$6,ROW(),"")</f>
        <v/>
      </c>
    </row>
    <row r="3618" spans="22:26">
      <c r="V3618" s="260">
        <f t="shared" ca="1" si="64"/>
        <v>0</v>
      </c>
      <c r="W3618" s="348" t="str">
        <f>IF(板块成分!B3620="","",板块成分!B3620)</f>
        <v>600971.SH</v>
      </c>
      <c r="X3618" s="276" t="str">
        <f>[1]!S_Info_Name(W3618)</f>
        <v>恒源煤电</v>
      </c>
      <c r="Y3618" s="276" t="str">
        <f ca="1">IF($Y$3="申万一级行业",[1]!s_info_industry_sw_2021(W3618,公司分析!D$5,1),IF($Y$3="申万二级行业",[1]!s_info_industry_sw_2021(W3618,公司分析!D$5,2),IF($Y$3="申万三级行业",[1]!s_info_industry_sw_2021(W3618,公司分析!D$5,3),IF($Y$3="wind一级行业",[1]!s_info_industry_gics(W3618,1),IF($Y$3="wind二级行业",[1]!s_info_industry_gics(W3618,2),IF($Y$3="wind三级行业",[1]!s_info_industry_gics(W3618,3),IF($Y$3="wind四级行业",[1]!s_info_industry_gics(W3618,4),IF($Y$3="证监会门类行业",[1]!s_info_industry_csrc12_n(W3618,公司分析!D$5,1),""))))))))</f>
        <v>煤炭开采</v>
      </c>
      <c r="Z3618" s="302" t="str">
        <f ca="1">IF(Y3618=行业比较!$E$6,ROW(),"")</f>
        <v/>
      </c>
    </row>
    <row r="3619" spans="22:26">
      <c r="V3619" s="260">
        <f t="shared" ca="1" si="64"/>
        <v>0</v>
      </c>
      <c r="W3619" s="348" t="str">
        <f>IF(板块成分!B3621="","",板块成分!B3621)</f>
        <v>600973.SH</v>
      </c>
      <c r="X3619" s="276" t="str">
        <f>[1]!S_Info_Name(W3619)</f>
        <v>宝胜股份</v>
      </c>
      <c r="Y3619" s="276" t="str">
        <f ca="1">IF($Y$3="申万一级行业",[1]!s_info_industry_sw_2021(W3619,公司分析!D$5,1),IF($Y$3="申万二级行业",[1]!s_info_industry_sw_2021(W3619,公司分析!D$5,2),IF($Y$3="申万三级行业",[1]!s_info_industry_sw_2021(W3619,公司分析!D$5,3),IF($Y$3="wind一级行业",[1]!s_info_industry_gics(W3619,1),IF($Y$3="wind二级行业",[1]!s_info_industry_gics(W3619,2),IF($Y$3="wind三级行业",[1]!s_info_industry_gics(W3619,3),IF($Y$3="wind四级行业",[1]!s_info_industry_gics(W3619,4),IF($Y$3="证监会门类行业",[1]!s_info_industry_csrc12_n(W3619,公司分析!D$5,1),""))))))))</f>
        <v>电网设备</v>
      </c>
      <c r="Z3619" s="302" t="str">
        <f ca="1">IF(Y3619=行业比较!$E$6,ROW(),"")</f>
        <v/>
      </c>
    </row>
    <row r="3620" spans="22:26">
      <c r="V3620" s="260">
        <f t="shared" ca="1" si="64"/>
        <v>0</v>
      </c>
      <c r="W3620" s="348" t="str">
        <f>IF(板块成分!B3622="","",板块成分!B3622)</f>
        <v>600975.SH</v>
      </c>
      <c r="X3620" s="276" t="str">
        <f>[1]!S_Info_Name(W3620)</f>
        <v>新五丰</v>
      </c>
      <c r="Y3620" s="276" t="str">
        <f ca="1">IF($Y$3="申万一级行业",[1]!s_info_industry_sw_2021(W3620,公司分析!D$5,1),IF($Y$3="申万二级行业",[1]!s_info_industry_sw_2021(W3620,公司分析!D$5,2),IF($Y$3="申万三级行业",[1]!s_info_industry_sw_2021(W3620,公司分析!D$5,3),IF($Y$3="wind一级行业",[1]!s_info_industry_gics(W3620,1),IF($Y$3="wind二级行业",[1]!s_info_industry_gics(W3620,2),IF($Y$3="wind三级行业",[1]!s_info_industry_gics(W3620,3),IF($Y$3="wind四级行业",[1]!s_info_industry_gics(W3620,4),IF($Y$3="证监会门类行业",[1]!s_info_industry_csrc12_n(W3620,公司分析!D$5,1),""))))))))</f>
        <v>养殖业</v>
      </c>
      <c r="Z3620" s="302" t="str">
        <f ca="1">IF(Y3620=行业比较!$E$6,ROW(),"")</f>
        <v/>
      </c>
    </row>
    <row r="3621" spans="22:26">
      <c r="V3621" s="260">
        <f t="shared" ca="1" si="64"/>
        <v>0</v>
      </c>
      <c r="W3621" s="348" t="str">
        <f>IF(板块成分!B3623="","",板块成分!B3623)</f>
        <v>600976.SH</v>
      </c>
      <c r="X3621" s="276" t="str">
        <f>[1]!S_Info_Name(W3621)</f>
        <v>健民集团</v>
      </c>
      <c r="Y3621" s="276" t="str">
        <f ca="1">IF($Y$3="申万一级行业",[1]!s_info_industry_sw_2021(W3621,公司分析!D$5,1),IF($Y$3="申万二级行业",[1]!s_info_industry_sw_2021(W3621,公司分析!D$5,2),IF($Y$3="申万三级行业",[1]!s_info_industry_sw_2021(W3621,公司分析!D$5,3),IF($Y$3="wind一级行业",[1]!s_info_industry_gics(W3621,1),IF($Y$3="wind二级行业",[1]!s_info_industry_gics(W3621,2),IF($Y$3="wind三级行业",[1]!s_info_industry_gics(W3621,3),IF($Y$3="wind四级行业",[1]!s_info_industry_gics(W3621,4),IF($Y$3="证监会门类行业",[1]!s_info_industry_csrc12_n(W3621,公司分析!D$5,1),""))))))))</f>
        <v>中药Ⅱ</v>
      </c>
      <c r="Z3621" s="302" t="str">
        <f ca="1">IF(Y3621=行业比较!$E$6,ROW(),"")</f>
        <v/>
      </c>
    </row>
    <row r="3622" spans="22:26">
      <c r="V3622" s="260">
        <f t="shared" ca="1" si="64"/>
        <v>0</v>
      </c>
      <c r="W3622" s="348" t="str">
        <f>IF(板块成分!B3624="","",板块成分!B3624)</f>
        <v>600977.SH</v>
      </c>
      <c r="X3622" s="276" t="str">
        <f>[1]!S_Info_Name(W3622)</f>
        <v>中国电影</v>
      </c>
      <c r="Y3622" s="276" t="str">
        <f ca="1">IF($Y$3="申万一级行业",[1]!s_info_industry_sw_2021(W3622,公司分析!D$5,1),IF($Y$3="申万二级行业",[1]!s_info_industry_sw_2021(W3622,公司分析!D$5,2),IF($Y$3="申万三级行业",[1]!s_info_industry_sw_2021(W3622,公司分析!D$5,3),IF($Y$3="wind一级行业",[1]!s_info_industry_gics(W3622,1),IF($Y$3="wind二级行业",[1]!s_info_industry_gics(W3622,2),IF($Y$3="wind三级行业",[1]!s_info_industry_gics(W3622,3),IF($Y$3="wind四级行业",[1]!s_info_industry_gics(W3622,4),IF($Y$3="证监会门类行业",[1]!s_info_industry_csrc12_n(W3622,公司分析!D$5,1),""))))))))</f>
        <v>影视院线</v>
      </c>
      <c r="Z3622" s="302" t="str">
        <f ca="1">IF(Y3622=行业比较!$E$6,ROW(),"")</f>
        <v/>
      </c>
    </row>
    <row r="3623" spans="22:26">
      <c r="V3623" s="260">
        <f t="shared" ca="1" si="64"/>
        <v>0</v>
      </c>
      <c r="W3623" s="348" t="str">
        <f>IF(板块成分!B3625="","",板块成分!B3625)</f>
        <v>600979.SH</v>
      </c>
      <c r="X3623" s="276" t="str">
        <f>[1]!S_Info_Name(W3623)</f>
        <v>广安爱众</v>
      </c>
      <c r="Y3623" s="276" t="str">
        <f ca="1">IF($Y$3="申万一级行业",[1]!s_info_industry_sw_2021(W3623,公司分析!D$5,1),IF($Y$3="申万二级行业",[1]!s_info_industry_sw_2021(W3623,公司分析!D$5,2),IF($Y$3="申万三级行业",[1]!s_info_industry_sw_2021(W3623,公司分析!D$5,3),IF($Y$3="wind一级行业",[1]!s_info_industry_gics(W3623,1),IF($Y$3="wind二级行业",[1]!s_info_industry_gics(W3623,2),IF($Y$3="wind三级行业",[1]!s_info_industry_gics(W3623,3),IF($Y$3="wind四级行业",[1]!s_info_industry_gics(W3623,4),IF($Y$3="证监会门类行业",[1]!s_info_industry_csrc12_n(W3623,公司分析!D$5,1),""))))))))</f>
        <v>电力</v>
      </c>
      <c r="Z3623" s="302" t="str">
        <f ca="1">IF(Y3623=行业比较!$E$6,ROW(),"")</f>
        <v/>
      </c>
    </row>
    <row r="3624" spans="22:26">
      <c r="V3624" s="260">
        <f t="shared" ca="1" si="64"/>
        <v>0</v>
      </c>
      <c r="W3624" s="348" t="str">
        <f>IF(板块成分!B3626="","",板块成分!B3626)</f>
        <v>600980.SH</v>
      </c>
      <c r="X3624" s="276" t="str">
        <f>[1]!S_Info_Name(W3624)</f>
        <v>北矿科技</v>
      </c>
      <c r="Y3624" s="276" t="str">
        <f ca="1">IF($Y$3="申万一级行业",[1]!s_info_industry_sw_2021(W3624,公司分析!D$5,1),IF($Y$3="申万二级行业",[1]!s_info_industry_sw_2021(W3624,公司分析!D$5,2),IF($Y$3="申万三级行业",[1]!s_info_industry_sw_2021(W3624,公司分析!D$5,3),IF($Y$3="wind一级行业",[1]!s_info_industry_gics(W3624,1),IF($Y$3="wind二级行业",[1]!s_info_industry_gics(W3624,2),IF($Y$3="wind三级行业",[1]!s_info_industry_gics(W3624,3),IF($Y$3="wind四级行业",[1]!s_info_industry_gics(W3624,4),IF($Y$3="证监会门类行业",[1]!s_info_industry_csrc12_n(W3624,公司分析!D$5,1),""))))))))</f>
        <v>专用设备</v>
      </c>
      <c r="Z3624" s="302" t="str">
        <f ca="1">IF(Y3624=行业比较!$E$6,ROW(),"")</f>
        <v/>
      </c>
    </row>
    <row r="3625" spans="22:26">
      <c r="V3625" s="260">
        <f t="shared" ca="1" si="64"/>
        <v>0</v>
      </c>
      <c r="W3625" s="348" t="str">
        <f>IF(板块成分!B3627="","",板块成分!B3627)</f>
        <v>600981.SH</v>
      </c>
      <c r="X3625" s="276" t="str">
        <f>[1]!S_Info_Name(W3625)</f>
        <v>苏豪汇鸿</v>
      </c>
      <c r="Y3625" s="276" t="str">
        <f ca="1">IF($Y$3="申万一级行业",[1]!s_info_industry_sw_2021(W3625,公司分析!D$5,1),IF($Y$3="申万二级行业",[1]!s_info_industry_sw_2021(W3625,公司分析!D$5,2),IF($Y$3="申万三级行业",[1]!s_info_industry_sw_2021(W3625,公司分析!D$5,3),IF($Y$3="wind一级行业",[1]!s_info_industry_gics(W3625,1),IF($Y$3="wind二级行业",[1]!s_info_industry_gics(W3625,2),IF($Y$3="wind三级行业",[1]!s_info_industry_gics(W3625,3),IF($Y$3="wind四级行业",[1]!s_info_industry_gics(W3625,4),IF($Y$3="证监会门类行业",[1]!s_info_industry_csrc12_n(W3625,公司分析!D$5,1),""))))))))</f>
        <v>贸易Ⅱ</v>
      </c>
      <c r="Z3625" s="302" t="str">
        <f ca="1">IF(Y3625=行业比较!$E$6,ROW(),"")</f>
        <v/>
      </c>
    </row>
    <row r="3626" spans="22:26">
      <c r="V3626" s="260">
        <f t="shared" ca="1" si="64"/>
        <v>0</v>
      </c>
      <c r="W3626" s="348" t="str">
        <f>IF(板块成分!B3628="","",板块成分!B3628)</f>
        <v>600982.SH</v>
      </c>
      <c r="X3626" s="276" t="str">
        <f>[1]!S_Info_Name(W3626)</f>
        <v>宁波能源</v>
      </c>
      <c r="Y3626" s="276" t="str">
        <f ca="1">IF($Y$3="申万一级行业",[1]!s_info_industry_sw_2021(W3626,公司分析!D$5,1),IF($Y$3="申万二级行业",[1]!s_info_industry_sw_2021(W3626,公司分析!D$5,2),IF($Y$3="申万三级行业",[1]!s_info_industry_sw_2021(W3626,公司分析!D$5,3),IF($Y$3="wind一级行业",[1]!s_info_industry_gics(W3626,1),IF($Y$3="wind二级行业",[1]!s_info_industry_gics(W3626,2),IF($Y$3="wind三级行业",[1]!s_info_industry_gics(W3626,3),IF($Y$3="wind四级行业",[1]!s_info_industry_gics(W3626,4),IF($Y$3="证监会门类行业",[1]!s_info_industry_csrc12_n(W3626,公司分析!D$5,1),""))))))))</f>
        <v>电力</v>
      </c>
      <c r="Z3626" s="302" t="str">
        <f ca="1">IF(Y3626=行业比较!$E$6,ROW(),"")</f>
        <v/>
      </c>
    </row>
    <row r="3627" spans="22:26">
      <c r="V3627" s="260">
        <f t="shared" ca="1" si="64"/>
        <v>0</v>
      </c>
      <c r="W3627" s="348" t="str">
        <f>IF(板块成分!B3629="","",板块成分!B3629)</f>
        <v>600983.SH</v>
      </c>
      <c r="X3627" s="276" t="str">
        <f>[1]!S_Info_Name(W3627)</f>
        <v>惠而浦</v>
      </c>
      <c r="Y3627" s="276" t="str">
        <f ca="1">IF($Y$3="申万一级行业",[1]!s_info_industry_sw_2021(W3627,公司分析!D$5,1),IF($Y$3="申万二级行业",[1]!s_info_industry_sw_2021(W3627,公司分析!D$5,2),IF($Y$3="申万三级行业",[1]!s_info_industry_sw_2021(W3627,公司分析!D$5,3),IF($Y$3="wind一级行业",[1]!s_info_industry_gics(W3627,1),IF($Y$3="wind二级行业",[1]!s_info_industry_gics(W3627,2),IF($Y$3="wind三级行业",[1]!s_info_industry_gics(W3627,3),IF($Y$3="wind四级行业",[1]!s_info_industry_gics(W3627,4),IF($Y$3="证监会门类行业",[1]!s_info_industry_csrc12_n(W3627,公司分析!D$5,1),""))))))))</f>
        <v>白色家电</v>
      </c>
      <c r="Z3627" s="302" t="str">
        <f ca="1">IF(Y3627=行业比较!$E$6,ROW(),"")</f>
        <v/>
      </c>
    </row>
    <row r="3628" spans="22:26">
      <c r="V3628" s="260">
        <f t="shared" ca="1" si="64"/>
        <v>0</v>
      </c>
      <c r="W3628" s="348" t="str">
        <f>IF(板块成分!B3630="","",板块成分!B3630)</f>
        <v>600984.SH</v>
      </c>
      <c r="X3628" s="276" t="str">
        <f>[1]!S_Info_Name(W3628)</f>
        <v>建设机械</v>
      </c>
      <c r="Y3628" s="276" t="str">
        <f ca="1">IF($Y$3="申万一级行业",[1]!s_info_industry_sw_2021(W3628,公司分析!D$5,1),IF($Y$3="申万二级行业",[1]!s_info_industry_sw_2021(W3628,公司分析!D$5,2),IF($Y$3="申万三级行业",[1]!s_info_industry_sw_2021(W3628,公司分析!D$5,3),IF($Y$3="wind一级行业",[1]!s_info_industry_gics(W3628,1),IF($Y$3="wind二级行业",[1]!s_info_industry_gics(W3628,2),IF($Y$3="wind三级行业",[1]!s_info_industry_gics(W3628,3),IF($Y$3="wind四级行业",[1]!s_info_industry_gics(W3628,4),IF($Y$3="证监会门类行业",[1]!s_info_industry_csrc12_n(W3628,公司分析!D$5,1),""))))))))</f>
        <v>工程机械</v>
      </c>
      <c r="Z3628" s="302" t="str">
        <f ca="1">IF(Y3628=行业比较!$E$6,ROW(),"")</f>
        <v/>
      </c>
    </row>
    <row r="3629" spans="22:26">
      <c r="V3629" s="260">
        <f t="shared" ca="1" si="64"/>
        <v>0</v>
      </c>
      <c r="W3629" s="348" t="str">
        <f>IF(板块成分!B3631="","",板块成分!B3631)</f>
        <v>600985.SH</v>
      </c>
      <c r="X3629" s="276" t="str">
        <f>[1]!S_Info_Name(W3629)</f>
        <v>淮北矿业</v>
      </c>
      <c r="Y3629" s="276" t="str">
        <f ca="1">IF($Y$3="申万一级行业",[1]!s_info_industry_sw_2021(W3629,公司分析!D$5,1),IF($Y$3="申万二级行业",[1]!s_info_industry_sw_2021(W3629,公司分析!D$5,2),IF($Y$3="申万三级行业",[1]!s_info_industry_sw_2021(W3629,公司分析!D$5,3),IF($Y$3="wind一级行业",[1]!s_info_industry_gics(W3629,1),IF($Y$3="wind二级行业",[1]!s_info_industry_gics(W3629,2),IF($Y$3="wind三级行业",[1]!s_info_industry_gics(W3629,3),IF($Y$3="wind四级行业",[1]!s_info_industry_gics(W3629,4),IF($Y$3="证监会门类行业",[1]!s_info_industry_csrc12_n(W3629,公司分析!D$5,1),""))))))))</f>
        <v>煤炭开采</v>
      </c>
      <c r="Z3629" s="302" t="str">
        <f ca="1">IF(Y3629=行业比较!$E$6,ROW(),"")</f>
        <v/>
      </c>
    </row>
    <row r="3630" spans="22:26">
      <c r="V3630" s="260">
        <f t="shared" ca="1" si="64"/>
        <v>0</v>
      </c>
      <c r="W3630" s="348" t="str">
        <f>IF(板块成分!B3632="","",板块成分!B3632)</f>
        <v>600986.SH</v>
      </c>
      <c r="X3630" s="276" t="str">
        <f>[1]!S_Info_Name(W3630)</f>
        <v>浙文互联</v>
      </c>
      <c r="Y3630" s="276" t="str">
        <f ca="1">IF($Y$3="申万一级行业",[1]!s_info_industry_sw_2021(W3630,公司分析!D$5,1),IF($Y$3="申万二级行业",[1]!s_info_industry_sw_2021(W3630,公司分析!D$5,2),IF($Y$3="申万三级行业",[1]!s_info_industry_sw_2021(W3630,公司分析!D$5,3),IF($Y$3="wind一级行业",[1]!s_info_industry_gics(W3630,1),IF($Y$3="wind二级行业",[1]!s_info_industry_gics(W3630,2),IF($Y$3="wind三级行业",[1]!s_info_industry_gics(W3630,3),IF($Y$3="wind四级行业",[1]!s_info_industry_gics(W3630,4),IF($Y$3="证监会门类行业",[1]!s_info_industry_csrc12_n(W3630,公司分析!D$5,1),""))))))))</f>
        <v>广告营销</v>
      </c>
      <c r="Z3630" s="302" t="str">
        <f ca="1">IF(Y3630=行业比较!$E$6,ROW(),"")</f>
        <v/>
      </c>
    </row>
    <row r="3631" spans="22:26">
      <c r="V3631" s="260">
        <f t="shared" ca="1" si="64"/>
        <v>0</v>
      </c>
      <c r="W3631" s="348" t="str">
        <f>IF(板块成分!B3633="","",板块成分!B3633)</f>
        <v>600987.SH</v>
      </c>
      <c r="X3631" s="276" t="str">
        <f>[1]!S_Info_Name(W3631)</f>
        <v>航民股份</v>
      </c>
      <c r="Y3631" s="276" t="str">
        <f ca="1">IF($Y$3="申万一级行业",[1]!s_info_industry_sw_2021(W3631,公司分析!D$5,1),IF($Y$3="申万二级行业",[1]!s_info_industry_sw_2021(W3631,公司分析!D$5,2),IF($Y$3="申万三级行业",[1]!s_info_industry_sw_2021(W3631,公司分析!D$5,3),IF($Y$3="wind一级行业",[1]!s_info_industry_gics(W3631,1),IF($Y$3="wind二级行业",[1]!s_info_industry_gics(W3631,2),IF($Y$3="wind三级行业",[1]!s_info_industry_gics(W3631,3),IF($Y$3="wind四级行业",[1]!s_info_industry_gics(W3631,4),IF($Y$3="证监会门类行业",[1]!s_info_industry_csrc12_n(W3631,公司分析!D$5,1),""))))))))</f>
        <v>纺织制造</v>
      </c>
      <c r="Z3631" s="302" t="str">
        <f ca="1">IF(Y3631=行业比较!$E$6,ROW(),"")</f>
        <v/>
      </c>
    </row>
    <row r="3632" spans="22:26">
      <c r="V3632" s="260">
        <f t="shared" ca="1" si="64"/>
        <v>0</v>
      </c>
      <c r="W3632" s="348" t="str">
        <f>IF(板块成分!B3634="","",板块成分!B3634)</f>
        <v>600988.SH</v>
      </c>
      <c r="X3632" s="276" t="str">
        <f>[1]!S_Info_Name(W3632)</f>
        <v>赤峰黄金</v>
      </c>
      <c r="Y3632" s="276" t="str">
        <f ca="1">IF($Y$3="申万一级行业",[1]!s_info_industry_sw_2021(W3632,公司分析!D$5,1),IF($Y$3="申万二级行业",[1]!s_info_industry_sw_2021(W3632,公司分析!D$5,2),IF($Y$3="申万三级行业",[1]!s_info_industry_sw_2021(W3632,公司分析!D$5,3),IF($Y$3="wind一级行业",[1]!s_info_industry_gics(W3632,1),IF($Y$3="wind二级行业",[1]!s_info_industry_gics(W3632,2),IF($Y$3="wind三级行业",[1]!s_info_industry_gics(W3632,3),IF($Y$3="wind四级行业",[1]!s_info_industry_gics(W3632,4),IF($Y$3="证监会门类行业",[1]!s_info_industry_csrc12_n(W3632,公司分析!D$5,1),""))))))))</f>
        <v>贵金属</v>
      </c>
      <c r="Z3632" s="302" t="str">
        <f ca="1">IF(Y3632=行业比较!$E$6,ROW(),"")</f>
        <v/>
      </c>
    </row>
    <row r="3633" spans="22:26">
      <c r="V3633" s="260">
        <f t="shared" ca="1" si="64"/>
        <v>0</v>
      </c>
      <c r="W3633" s="348" t="str">
        <f>IF(板块成分!B3635="","",板块成分!B3635)</f>
        <v>600989.SH</v>
      </c>
      <c r="X3633" s="276" t="str">
        <f>[1]!S_Info_Name(W3633)</f>
        <v>宝丰能源</v>
      </c>
      <c r="Y3633" s="276" t="str">
        <f ca="1">IF($Y$3="申万一级行业",[1]!s_info_industry_sw_2021(W3633,公司分析!D$5,1),IF($Y$3="申万二级行业",[1]!s_info_industry_sw_2021(W3633,公司分析!D$5,2),IF($Y$3="申万三级行业",[1]!s_info_industry_sw_2021(W3633,公司分析!D$5,3),IF($Y$3="wind一级行业",[1]!s_info_industry_gics(W3633,1),IF($Y$3="wind二级行业",[1]!s_info_industry_gics(W3633,2),IF($Y$3="wind三级行业",[1]!s_info_industry_gics(W3633,3),IF($Y$3="wind四级行业",[1]!s_info_industry_gics(W3633,4),IF($Y$3="证监会门类行业",[1]!s_info_industry_csrc12_n(W3633,公司分析!D$5,1),""))))))))</f>
        <v>化学原料</v>
      </c>
      <c r="Z3633" s="302" t="str">
        <f ca="1">IF(Y3633=行业比较!$E$6,ROW(),"")</f>
        <v/>
      </c>
    </row>
    <row r="3634" spans="22:26">
      <c r="V3634" s="260">
        <f t="shared" ca="1" si="64"/>
        <v>0</v>
      </c>
      <c r="W3634" s="348" t="str">
        <f>IF(板块成分!B3636="","",板块成分!B3636)</f>
        <v>600990.SH</v>
      </c>
      <c r="X3634" s="276" t="str">
        <f>[1]!S_Info_Name(W3634)</f>
        <v>四创电子</v>
      </c>
      <c r="Y3634" s="276" t="str">
        <f ca="1">IF($Y$3="申万一级行业",[1]!s_info_industry_sw_2021(W3634,公司分析!D$5,1),IF($Y$3="申万二级行业",[1]!s_info_industry_sw_2021(W3634,公司分析!D$5,2),IF($Y$3="申万三级行业",[1]!s_info_industry_sw_2021(W3634,公司分析!D$5,3),IF($Y$3="wind一级行业",[1]!s_info_industry_gics(W3634,1),IF($Y$3="wind二级行业",[1]!s_info_industry_gics(W3634,2),IF($Y$3="wind三级行业",[1]!s_info_industry_gics(W3634,3),IF($Y$3="wind四级行业",[1]!s_info_industry_gics(W3634,4),IF($Y$3="证监会门类行业",[1]!s_info_industry_csrc12_n(W3634,公司分析!D$5,1),""))))))))</f>
        <v>军工电子Ⅱ</v>
      </c>
      <c r="Z3634" s="302" t="str">
        <f ca="1">IF(Y3634=行业比较!$E$6,ROW(),"")</f>
        <v/>
      </c>
    </row>
    <row r="3635" spans="22:26">
      <c r="V3635" s="260">
        <f t="shared" ca="1" si="64"/>
        <v>0</v>
      </c>
      <c r="W3635" s="348" t="str">
        <f>IF(板块成分!B3637="","",板块成分!B3637)</f>
        <v>600992.SH</v>
      </c>
      <c r="X3635" s="276" t="str">
        <f>[1]!S_Info_Name(W3635)</f>
        <v>贵绳股份</v>
      </c>
      <c r="Y3635" s="276" t="str">
        <f ca="1">IF($Y$3="申万一级行业",[1]!s_info_industry_sw_2021(W3635,公司分析!D$5,1),IF($Y$3="申万二级行业",[1]!s_info_industry_sw_2021(W3635,公司分析!D$5,2),IF($Y$3="申万三级行业",[1]!s_info_industry_sw_2021(W3635,公司分析!D$5,3),IF($Y$3="wind一级行业",[1]!s_info_industry_gics(W3635,1),IF($Y$3="wind二级行业",[1]!s_info_industry_gics(W3635,2),IF($Y$3="wind三级行业",[1]!s_info_industry_gics(W3635,3),IF($Y$3="wind四级行业",[1]!s_info_industry_gics(W3635,4),IF($Y$3="证监会门类行业",[1]!s_info_industry_csrc12_n(W3635,公司分析!D$5,1),""))))))))</f>
        <v>通用设备</v>
      </c>
      <c r="Z3635" s="302" t="str">
        <f ca="1">IF(Y3635=行业比较!$E$6,ROW(),"")</f>
        <v/>
      </c>
    </row>
    <row r="3636" spans="22:26">
      <c r="V3636" s="260">
        <f t="shared" ca="1" si="64"/>
        <v>0</v>
      </c>
      <c r="W3636" s="348" t="str">
        <f>IF(板块成分!B3638="","",板块成分!B3638)</f>
        <v>600993.SH</v>
      </c>
      <c r="X3636" s="276" t="str">
        <f>[1]!S_Info_Name(W3636)</f>
        <v>马应龙</v>
      </c>
      <c r="Y3636" s="276" t="str">
        <f ca="1">IF($Y$3="申万一级行业",[1]!s_info_industry_sw_2021(W3636,公司分析!D$5,1),IF($Y$3="申万二级行业",[1]!s_info_industry_sw_2021(W3636,公司分析!D$5,2),IF($Y$3="申万三级行业",[1]!s_info_industry_sw_2021(W3636,公司分析!D$5,3),IF($Y$3="wind一级行业",[1]!s_info_industry_gics(W3636,1),IF($Y$3="wind二级行业",[1]!s_info_industry_gics(W3636,2),IF($Y$3="wind三级行业",[1]!s_info_industry_gics(W3636,3),IF($Y$3="wind四级行业",[1]!s_info_industry_gics(W3636,4),IF($Y$3="证监会门类行业",[1]!s_info_industry_csrc12_n(W3636,公司分析!D$5,1),""))))))))</f>
        <v>中药Ⅱ</v>
      </c>
      <c r="Z3636" s="302" t="str">
        <f ca="1">IF(Y3636=行业比较!$E$6,ROW(),"")</f>
        <v/>
      </c>
    </row>
    <row r="3637" spans="22:26">
      <c r="V3637" s="260">
        <f t="shared" ca="1" si="64"/>
        <v>0</v>
      </c>
      <c r="W3637" s="348" t="str">
        <f>IF(板块成分!B3639="","",板块成分!B3639)</f>
        <v>600995.SH</v>
      </c>
      <c r="X3637" s="276" t="str">
        <f>[1]!S_Info_Name(W3637)</f>
        <v>南网储能</v>
      </c>
      <c r="Y3637" s="276" t="str">
        <f ca="1">IF($Y$3="申万一级行业",[1]!s_info_industry_sw_2021(W3637,公司分析!D$5,1),IF($Y$3="申万二级行业",[1]!s_info_industry_sw_2021(W3637,公司分析!D$5,2),IF($Y$3="申万三级行业",[1]!s_info_industry_sw_2021(W3637,公司分析!D$5,3),IF($Y$3="wind一级行业",[1]!s_info_industry_gics(W3637,1),IF($Y$3="wind二级行业",[1]!s_info_industry_gics(W3637,2),IF($Y$3="wind三级行业",[1]!s_info_industry_gics(W3637,3),IF($Y$3="wind四级行业",[1]!s_info_industry_gics(W3637,4),IF($Y$3="证监会门类行业",[1]!s_info_industry_csrc12_n(W3637,公司分析!D$5,1),""))))))))</f>
        <v>电力</v>
      </c>
      <c r="Z3637" s="302" t="str">
        <f ca="1">IF(Y3637=行业比较!$E$6,ROW(),"")</f>
        <v/>
      </c>
    </row>
    <row r="3638" spans="22:26">
      <c r="V3638" s="260">
        <f t="shared" ca="1" si="64"/>
        <v>0</v>
      </c>
      <c r="W3638" s="348" t="str">
        <f>IF(板块成分!B3640="","",板块成分!B3640)</f>
        <v>600996.SH</v>
      </c>
      <c r="X3638" s="276" t="str">
        <f>[1]!S_Info_Name(W3638)</f>
        <v>贵广网络</v>
      </c>
      <c r="Y3638" s="276" t="str">
        <f ca="1">IF($Y$3="申万一级行业",[1]!s_info_industry_sw_2021(W3638,公司分析!D$5,1),IF($Y$3="申万二级行业",[1]!s_info_industry_sw_2021(W3638,公司分析!D$5,2),IF($Y$3="申万三级行业",[1]!s_info_industry_sw_2021(W3638,公司分析!D$5,3),IF($Y$3="wind一级行业",[1]!s_info_industry_gics(W3638,1),IF($Y$3="wind二级行业",[1]!s_info_industry_gics(W3638,2),IF($Y$3="wind三级行业",[1]!s_info_industry_gics(W3638,3),IF($Y$3="wind四级行业",[1]!s_info_industry_gics(W3638,4),IF($Y$3="证监会门类行业",[1]!s_info_industry_csrc12_n(W3638,公司分析!D$5,1),""))))))))</f>
        <v>电视广播Ⅱ</v>
      </c>
      <c r="Z3638" s="302" t="str">
        <f ca="1">IF(Y3638=行业比较!$E$6,ROW(),"")</f>
        <v/>
      </c>
    </row>
    <row r="3639" spans="22:26">
      <c r="V3639" s="260">
        <f t="shared" ca="1" si="64"/>
        <v>0</v>
      </c>
      <c r="W3639" s="348" t="str">
        <f>IF(板块成分!B3641="","",板块成分!B3641)</f>
        <v>600997.SH</v>
      </c>
      <c r="X3639" s="276" t="str">
        <f>[1]!S_Info_Name(W3639)</f>
        <v>开滦股份</v>
      </c>
      <c r="Y3639" s="276" t="str">
        <f ca="1">IF($Y$3="申万一级行业",[1]!s_info_industry_sw_2021(W3639,公司分析!D$5,1),IF($Y$3="申万二级行业",[1]!s_info_industry_sw_2021(W3639,公司分析!D$5,2),IF($Y$3="申万三级行业",[1]!s_info_industry_sw_2021(W3639,公司分析!D$5,3),IF($Y$3="wind一级行业",[1]!s_info_industry_gics(W3639,1),IF($Y$3="wind二级行业",[1]!s_info_industry_gics(W3639,2),IF($Y$3="wind三级行业",[1]!s_info_industry_gics(W3639,3),IF($Y$3="wind四级行业",[1]!s_info_industry_gics(W3639,4),IF($Y$3="证监会门类行业",[1]!s_info_industry_csrc12_n(W3639,公司分析!D$5,1),""))))))))</f>
        <v>煤炭开采</v>
      </c>
      <c r="Z3639" s="302" t="str">
        <f ca="1">IF(Y3639=行业比较!$E$6,ROW(),"")</f>
        <v/>
      </c>
    </row>
    <row r="3640" spans="22:26">
      <c r="V3640" s="260">
        <f t="shared" ca="1" si="64"/>
        <v>0</v>
      </c>
      <c r="W3640" s="348" t="str">
        <f>IF(板块成分!B3642="","",板块成分!B3642)</f>
        <v>600998.SH</v>
      </c>
      <c r="X3640" s="276" t="str">
        <f>[1]!S_Info_Name(W3640)</f>
        <v>九州通</v>
      </c>
      <c r="Y3640" s="276" t="str">
        <f ca="1">IF($Y$3="申万一级行业",[1]!s_info_industry_sw_2021(W3640,公司分析!D$5,1),IF($Y$3="申万二级行业",[1]!s_info_industry_sw_2021(W3640,公司分析!D$5,2),IF($Y$3="申万三级行业",[1]!s_info_industry_sw_2021(W3640,公司分析!D$5,3),IF($Y$3="wind一级行业",[1]!s_info_industry_gics(W3640,1),IF($Y$3="wind二级行业",[1]!s_info_industry_gics(W3640,2),IF($Y$3="wind三级行业",[1]!s_info_industry_gics(W3640,3),IF($Y$3="wind四级行业",[1]!s_info_industry_gics(W3640,4),IF($Y$3="证监会门类行业",[1]!s_info_industry_csrc12_n(W3640,公司分析!D$5,1),""))))))))</f>
        <v>医药商业</v>
      </c>
      <c r="Z3640" s="302" t="str">
        <f ca="1">IF(Y3640=行业比较!$E$6,ROW(),"")</f>
        <v/>
      </c>
    </row>
    <row r="3641" spans="22:26">
      <c r="V3641" s="260">
        <f t="shared" ca="1" si="64"/>
        <v>0</v>
      </c>
      <c r="W3641" s="348" t="str">
        <f>IF(板块成分!B3643="","",板块成分!B3643)</f>
        <v>600999.SH</v>
      </c>
      <c r="X3641" s="276" t="str">
        <f>[1]!S_Info_Name(W3641)</f>
        <v>招商证券</v>
      </c>
      <c r="Y3641" s="276" t="str">
        <f ca="1">IF($Y$3="申万一级行业",[1]!s_info_industry_sw_2021(W3641,公司分析!D$5,1),IF($Y$3="申万二级行业",[1]!s_info_industry_sw_2021(W3641,公司分析!D$5,2),IF($Y$3="申万三级行业",[1]!s_info_industry_sw_2021(W3641,公司分析!D$5,3),IF($Y$3="wind一级行业",[1]!s_info_industry_gics(W3641,1),IF($Y$3="wind二级行业",[1]!s_info_industry_gics(W3641,2),IF($Y$3="wind三级行业",[1]!s_info_industry_gics(W3641,3),IF($Y$3="wind四级行业",[1]!s_info_industry_gics(W3641,4),IF($Y$3="证监会门类行业",[1]!s_info_industry_csrc12_n(W3641,公司分析!D$5,1),""))))))))</f>
        <v>证券Ⅱ</v>
      </c>
      <c r="Z3641" s="302" t="str">
        <f ca="1">IF(Y3641=行业比较!$E$6,ROW(),"")</f>
        <v/>
      </c>
    </row>
    <row r="3642" spans="22:26">
      <c r="V3642" s="260">
        <f t="shared" ca="1" si="64"/>
        <v>0</v>
      </c>
      <c r="W3642" s="348" t="str">
        <f>IF(板块成分!B3644="","",板块成分!B3644)</f>
        <v>601000.SH</v>
      </c>
      <c r="X3642" s="276" t="str">
        <f>[1]!S_Info_Name(W3642)</f>
        <v>唐山港</v>
      </c>
      <c r="Y3642" s="276" t="str">
        <f ca="1">IF($Y$3="申万一级行业",[1]!s_info_industry_sw_2021(W3642,公司分析!D$5,1),IF($Y$3="申万二级行业",[1]!s_info_industry_sw_2021(W3642,公司分析!D$5,2),IF($Y$3="申万三级行业",[1]!s_info_industry_sw_2021(W3642,公司分析!D$5,3),IF($Y$3="wind一级行业",[1]!s_info_industry_gics(W3642,1),IF($Y$3="wind二级行业",[1]!s_info_industry_gics(W3642,2),IF($Y$3="wind三级行业",[1]!s_info_industry_gics(W3642,3),IF($Y$3="wind四级行业",[1]!s_info_industry_gics(W3642,4),IF($Y$3="证监会门类行业",[1]!s_info_industry_csrc12_n(W3642,公司分析!D$5,1),""))))))))</f>
        <v>航运港口</v>
      </c>
      <c r="Z3642" s="302" t="str">
        <f ca="1">IF(Y3642=行业比较!$E$6,ROW(),"")</f>
        <v/>
      </c>
    </row>
    <row r="3643" spans="22:26">
      <c r="V3643" s="260">
        <f t="shared" ca="1" si="64"/>
        <v>0</v>
      </c>
      <c r="W3643" s="348" t="str">
        <f>IF(板块成分!B3645="","",板块成分!B3645)</f>
        <v>601001.SH</v>
      </c>
      <c r="X3643" s="276" t="str">
        <f>[1]!S_Info_Name(W3643)</f>
        <v>晋控煤业</v>
      </c>
      <c r="Y3643" s="276" t="str">
        <f ca="1">IF($Y$3="申万一级行业",[1]!s_info_industry_sw_2021(W3643,公司分析!D$5,1),IF($Y$3="申万二级行业",[1]!s_info_industry_sw_2021(W3643,公司分析!D$5,2),IF($Y$3="申万三级行业",[1]!s_info_industry_sw_2021(W3643,公司分析!D$5,3),IF($Y$3="wind一级行业",[1]!s_info_industry_gics(W3643,1),IF($Y$3="wind二级行业",[1]!s_info_industry_gics(W3643,2),IF($Y$3="wind三级行业",[1]!s_info_industry_gics(W3643,3),IF($Y$3="wind四级行业",[1]!s_info_industry_gics(W3643,4),IF($Y$3="证监会门类行业",[1]!s_info_industry_csrc12_n(W3643,公司分析!D$5,1),""))))))))</f>
        <v>煤炭开采</v>
      </c>
      <c r="Z3643" s="302" t="str">
        <f ca="1">IF(Y3643=行业比较!$E$6,ROW(),"")</f>
        <v/>
      </c>
    </row>
    <row r="3644" spans="22:26">
      <c r="V3644" s="260">
        <f t="shared" ca="1" si="64"/>
        <v>0</v>
      </c>
      <c r="W3644" s="348" t="str">
        <f>IF(板块成分!B3646="","",板块成分!B3646)</f>
        <v>601002.SH</v>
      </c>
      <c r="X3644" s="276" t="str">
        <f>[1]!S_Info_Name(W3644)</f>
        <v>晋亿实业</v>
      </c>
      <c r="Y3644" s="276" t="str">
        <f ca="1">IF($Y$3="申万一级行业",[1]!s_info_industry_sw_2021(W3644,公司分析!D$5,1),IF($Y$3="申万二级行业",[1]!s_info_industry_sw_2021(W3644,公司分析!D$5,2),IF($Y$3="申万三级行业",[1]!s_info_industry_sw_2021(W3644,公司分析!D$5,3),IF($Y$3="wind一级行业",[1]!s_info_industry_gics(W3644,1),IF($Y$3="wind二级行业",[1]!s_info_industry_gics(W3644,2),IF($Y$3="wind三级行业",[1]!s_info_industry_gics(W3644,3),IF($Y$3="wind四级行业",[1]!s_info_industry_gics(W3644,4),IF($Y$3="证监会门类行业",[1]!s_info_industry_csrc12_n(W3644,公司分析!D$5,1),""))))))))</f>
        <v>通用设备</v>
      </c>
      <c r="Z3644" s="302" t="str">
        <f ca="1">IF(Y3644=行业比较!$E$6,ROW(),"")</f>
        <v/>
      </c>
    </row>
    <row r="3645" spans="22:26">
      <c r="V3645" s="260">
        <f t="shared" ca="1" si="64"/>
        <v>0</v>
      </c>
      <c r="W3645" s="348" t="str">
        <f>IF(板块成分!B3647="","",板块成分!B3647)</f>
        <v>601003.SH</v>
      </c>
      <c r="X3645" s="276" t="str">
        <f>[1]!S_Info_Name(W3645)</f>
        <v>柳钢股份</v>
      </c>
      <c r="Y3645" s="276" t="str">
        <f ca="1">IF($Y$3="申万一级行业",[1]!s_info_industry_sw_2021(W3645,公司分析!D$5,1),IF($Y$3="申万二级行业",[1]!s_info_industry_sw_2021(W3645,公司分析!D$5,2),IF($Y$3="申万三级行业",[1]!s_info_industry_sw_2021(W3645,公司分析!D$5,3),IF($Y$3="wind一级行业",[1]!s_info_industry_gics(W3645,1),IF($Y$3="wind二级行业",[1]!s_info_industry_gics(W3645,2),IF($Y$3="wind三级行业",[1]!s_info_industry_gics(W3645,3),IF($Y$3="wind四级行业",[1]!s_info_industry_gics(W3645,4),IF($Y$3="证监会门类行业",[1]!s_info_industry_csrc12_n(W3645,公司分析!D$5,1),""))))))))</f>
        <v>普钢</v>
      </c>
      <c r="Z3645" s="302" t="str">
        <f ca="1">IF(Y3645=行业比较!$E$6,ROW(),"")</f>
        <v/>
      </c>
    </row>
    <row r="3646" spans="22:26">
      <c r="V3646" s="260">
        <f t="shared" ca="1" si="64"/>
        <v>0</v>
      </c>
      <c r="W3646" s="348" t="str">
        <f>IF(板块成分!B3648="","",板块成分!B3648)</f>
        <v>601005.SH</v>
      </c>
      <c r="X3646" s="276" t="str">
        <f>[1]!S_Info_Name(W3646)</f>
        <v>重庆钢铁</v>
      </c>
      <c r="Y3646" s="276" t="str">
        <f ca="1">IF($Y$3="申万一级行业",[1]!s_info_industry_sw_2021(W3646,公司分析!D$5,1),IF($Y$3="申万二级行业",[1]!s_info_industry_sw_2021(W3646,公司分析!D$5,2),IF($Y$3="申万三级行业",[1]!s_info_industry_sw_2021(W3646,公司分析!D$5,3),IF($Y$3="wind一级行业",[1]!s_info_industry_gics(W3646,1),IF($Y$3="wind二级行业",[1]!s_info_industry_gics(W3646,2),IF($Y$3="wind三级行业",[1]!s_info_industry_gics(W3646,3),IF($Y$3="wind四级行业",[1]!s_info_industry_gics(W3646,4),IF($Y$3="证监会门类行业",[1]!s_info_industry_csrc12_n(W3646,公司分析!D$5,1),""))))))))</f>
        <v>普钢</v>
      </c>
      <c r="Z3646" s="302" t="str">
        <f ca="1">IF(Y3646=行业比较!$E$6,ROW(),"")</f>
        <v/>
      </c>
    </row>
    <row r="3647" spans="22:26">
      <c r="V3647" s="260">
        <f t="shared" ca="1" si="64"/>
        <v>0</v>
      </c>
      <c r="W3647" s="348" t="str">
        <f>IF(板块成分!B3649="","",板块成分!B3649)</f>
        <v>601006.SH</v>
      </c>
      <c r="X3647" s="276" t="str">
        <f>[1]!S_Info_Name(W3647)</f>
        <v>大秦铁路</v>
      </c>
      <c r="Y3647" s="276" t="str">
        <f ca="1">IF($Y$3="申万一级行业",[1]!s_info_industry_sw_2021(W3647,公司分析!D$5,1),IF($Y$3="申万二级行业",[1]!s_info_industry_sw_2021(W3647,公司分析!D$5,2),IF($Y$3="申万三级行业",[1]!s_info_industry_sw_2021(W3647,公司分析!D$5,3),IF($Y$3="wind一级行业",[1]!s_info_industry_gics(W3647,1),IF($Y$3="wind二级行业",[1]!s_info_industry_gics(W3647,2),IF($Y$3="wind三级行业",[1]!s_info_industry_gics(W3647,3),IF($Y$3="wind四级行业",[1]!s_info_industry_gics(W3647,4),IF($Y$3="证监会门类行业",[1]!s_info_industry_csrc12_n(W3647,公司分析!D$5,1),""))))))))</f>
        <v>铁路公路</v>
      </c>
      <c r="Z3647" s="302" t="str">
        <f ca="1">IF(Y3647=行业比较!$E$6,ROW(),"")</f>
        <v/>
      </c>
    </row>
    <row r="3648" spans="22:26">
      <c r="V3648" s="260">
        <f t="shared" ca="1" si="64"/>
        <v>0</v>
      </c>
      <c r="W3648" s="348" t="str">
        <f>IF(板块成分!B3650="","",板块成分!B3650)</f>
        <v>601007.SH</v>
      </c>
      <c r="X3648" s="276" t="str">
        <f>[1]!S_Info_Name(W3648)</f>
        <v>金陵饭店</v>
      </c>
      <c r="Y3648" s="276" t="str">
        <f ca="1">IF($Y$3="申万一级行业",[1]!s_info_industry_sw_2021(W3648,公司分析!D$5,1),IF($Y$3="申万二级行业",[1]!s_info_industry_sw_2021(W3648,公司分析!D$5,2),IF($Y$3="申万三级行业",[1]!s_info_industry_sw_2021(W3648,公司分析!D$5,3),IF($Y$3="wind一级行业",[1]!s_info_industry_gics(W3648,1),IF($Y$3="wind二级行业",[1]!s_info_industry_gics(W3648,2),IF($Y$3="wind三级行业",[1]!s_info_industry_gics(W3648,3),IF($Y$3="wind四级行业",[1]!s_info_industry_gics(W3648,4),IF($Y$3="证监会门类行业",[1]!s_info_industry_csrc12_n(W3648,公司分析!D$5,1),""))))))))</f>
        <v>酒店餐饮</v>
      </c>
      <c r="Z3648" s="302" t="str">
        <f ca="1">IF(Y3648=行业比较!$E$6,ROW(),"")</f>
        <v/>
      </c>
    </row>
    <row r="3649" spans="22:26">
      <c r="V3649" s="260">
        <f t="shared" ca="1" si="64"/>
        <v>0</v>
      </c>
      <c r="W3649" s="348" t="str">
        <f>IF(板块成分!B3651="","",板块成分!B3651)</f>
        <v>601008.SH</v>
      </c>
      <c r="X3649" s="276" t="str">
        <f>[1]!S_Info_Name(W3649)</f>
        <v>连云港</v>
      </c>
      <c r="Y3649" s="276" t="str">
        <f ca="1">IF($Y$3="申万一级行业",[1]!s_info_industry_sw_2021(W3649,公司分析!D$5,1),IF($Y$3="申万二级行业",[1]!s_info_industry_sw_2021(W3649,公司分析!D$5,2),IF($Y$3="申万三级行业",[1]!s_info_industry_sw_2021(W3649,公司分析!D$5,3),IF($Y$3="wind一级行业",[1]!s_info_industry_gics(W3649,1),IF($Y$3="wind二级行业",[1]!s_info_industry_gics(W3649,2),IF($Y$3="wind三级行业",[1]!s_info_industry_gics(W3649,3),IF($Y$3="wind四级行业",[1]!s_info_industry_gics(W3649,4),IF($Y$3="证监会门类行业",[1]!s_info_industry_csrc12_n(W3649,公司分析!D$5,1),""))))))))</f>
        <v>航运港口</v>
      </c>
      <c r="Z3649" s="302" t="str">
        <f ca="1">IF(Y3649=行业比较!$E$6,ROW(),"")</f>
        <v/>
      </c>
    </row>
    <row r="3650" spans="22:26">
      <c r="V3650" s="260">
        <f t="shared" ca="1" si="64"/>
        <v>0</v>
      </c>
      <c r="W3650" s="348" t="str">
        <f>IF(板块成分!B3652="","",板块成分!B3652)</f>
        <v>601009.SH</v>
      </c>
      <c r="X3650" s="276" t="str">
        <f>[1]!S_Info_Name(W3650)</f>
        <v>南京银行</v>
      </c>
      <c r="Y3650" s="276" t="str">
        <f ca="1">IF($Y$3="申万一级行业",[1]!s_info_industry_sw_2021(W3650,公司分析!D$5,1),IF($Y$3="申万二级行业",[1]!s_info_industry_sw_2021(W3650,公司分析!D$5,2),IF($Y$3="申万三级行业",[1]!s_info_industry_sw_2021(W3650,公司分析!D$5,3),IF($Y$3="wind一级行业",[1]!s_info_industry_gics(W3650,1),IF($Y$3="wind二级行业",[1]!s_info_industry_gics(W3650,2),IF($Y$3="wind三级行业",[1]!s_info_industry_gics(W3650,3),IF($Y$3="wind四级行业",[1]!s_info_industry_gics(W3650,4),IF($Y$3="证监会门类行业",[1]!s_info_industry_csrc12_n(W3650,公司分析!D$5,1),""))))))))</f>
        <v>城商行Ⅱ</v>
      </c>
      <c r="Z3650" s="302" t="str">
        <f ca="1">IF(Y3650=行业比较!$E$6,ROW(),"")</f>
        <v/>
      </c>
    </row>
    <row r="3651" spans="22:26">
      <c r="V3651" s="260">
        <f t="shared" ca="1" si="64"/>
        <v>0</v>
      </c>
      <c r="W3651" s="348" t="str">
        <f>IF(板块成分!B3653="","",板块成分!B3653)</f>
        <v>601010.SH</v>
      </c>
      <c r="X3651" s="276" t="str">
        <f>[1]!S_Info_Name(W3651)</f>
        <v>文峰股份</v>
      </c>
      <c r="Y3651" s="276" t="str">
        <f ca="1">IF($Y$3="申万一级行业",[1]!s_info_industry_sw_2021(W3651,公司分析!D$5,1),IF($Y$3="申万二级行业",[1]!s_info_industry_sw_2021(W3651,公司分析!D$5,2),IF($Y$3="申万三级行业",[1]!s_info_industry_sw_2021(W3651,公司分析!D$5,3),IF($Y$3="wind一级行业",[1]!s_info_industry_gics(W3651,1),IF($Y$3="wind二级行业",[1]!s_info_industry_gics(W3651,2),IF($Y$3="wind三级行业",[1]!s_info_industry_gics(W3651,3),IF($Y$3="wind四级行业",[1]!s_info_industry_gics(W3651,4),IF($Y$3="证监会门类行业",[1]!s_info_industry_csrc12_n(W3651,公司分析!D$5,1),""))))))))</f>
        <v>一般零售</v>
      </c>
      <c r="Z3651" s="302" t="str">
        <f ca="1">IF(Y3651=行业比较!$E$6,ROW(),"")</f>
        <v/>
      </c>
    </row>
    <row r="3652" spans="22:26">
      <c r="V3652" s="260">
        <f t="shared" ca="1" si="64"/>
        <v>0</v>
      </c>
      <c r="W3652" s="348" t="str">
        <f>IF(板块成分!B3654="","",板块成分!B3654)</f>
        <v>601011.SH</v>
      </c>
      <c r="X3652" s="276" t="str">
        <f>[1]!S_Info_Name(W3652)</f>
        <v>宝泰隆</v>
      </c>
      <c r="Y3652" s="276" t="str">
        <f ca="1">IF($Y$3="申万一级行业",[1]!s_info_industry_sw_2021(W3652,公司分析!D$5,1),IF($Y$3="申万二级行业",[1]!s_info_industry_sw_2021(W3652,公司分析!D$5,2),IF($Y$3="申万三级行业",[1]!s_info_industry_sw_2021(W3652,公司分析!D$5,3),IF($Y$3="wind一级行业",[1]!s_info_industry_gics(W3652,1),IF($Y$3="wind二级行业",[1]!s_info_industry_gics(W3652,2),IF($Y$3="wind三级行业",[1]!s_info_industry_gics(W3652,3),IF($Y$3="wind四级行业",[1]!s_info_industry_gics(W3652,4),IF($Y$3="证监会门类行业",[1]!s_info_industry_csrc12_n(W3652,公司分析!D$5,1),""))))))))</f>
        <v>焦炭Ⅱ</v>
      </c>
      <c r="Z3652" s="302" t="str">
        <f ca="1">IF(Y3652=行业比较!$E$6,ROW(),"")</f>
        <v/>
      </c>
    </row>
    <row r="3653" spans="22:26">
      <c r="V3653" s="260">
        <f t="shared" ref="V3653:V3716" ca="1" si="65">IF(Z3653="",0,RANK(Z3653,Z:Z,1))</f>
        <v>0</v>
      </c>
      <c r="W3653" s="348" t="str">
        <f>IF(板块成分!B3655="","",板块成分!B3655)</f>
        <v>601012.SH</v>
      </c>
      <c r="X3653" s="276" t="str">
        <f>[1]!S_Info_Name(W3653)</f>
        <v>隆基绿能</v>
      </c>
      <c r="Y3653" s="276" t="str">
        <f ca="1">IF($Y$3="申万一级行业",[1]!s_info_industry_sw_2021(W3653,公司分析!D$5,1),IF($Y$3="申万二级行业",[1]!s_info_industry_sw_2021(W3653,公司分析!D$5,2),IF($Y$3="申万三级行业",[1]!s_info_industry_sw_2021(W3653,公司分析!D$5,3),IF($Y$3="wind一级行业",[1]!s_info_industry_gics(W3653,1),IF($Y$3="wind二级行业",[1]!s_info_industry_gics(W3653,2),IF($Y$3="wind三级行业",[1]!s_info_industry_gics(W3653,3),IF($Y$3="wind四级行业",[1]!s_info_industry_gics(W3653,4),IF($Y$3="证监会门类行业",[1]!s_info_industry_csrc12_n(W3653,公司分析!D$5,1),""))))))))</f>
        <v>光伏设备</v>
      </c>
      <c r="Z3653" s="302" t="str">
        <f ca="1">IF(Y3653=行业比较!$E$6,ROW(),"")</f>
        <v/>
      </c>
    </row>
    <row r="3654" spans="22:26">
      <c r="V3654" s="260">
        <f t="shared" ca="1" si="65"/>
        <v>0</v>
      </c>
      <c r="W3654" s="348" t="str">
        <f>IF(板块成分!B3656="","",板块成分!B3656)</f>
        <v>601015.SH</v>
      </c>
      <c r="X3654" s="276" t="str">
        <f>[1]!S_Info_Name(W3654)</f>
        <v>陕西黑猫</v>
      </c>
      <c r="Y3654" s="276" t="str">
        <f ca="1">IF($Y$3="申万一级行业",[1]!s_info_industry_sw_2021(W3654,公司分析!D$5,1),IF($Y$3="申万二级行业",[1]!s_info_industry_sw_2021(W3654,公司分析!D$5,2),IF($Y$3="申万三级行业",[1]!s_info_industry_sw_2021(W3654,公司分析!D$5,3),IF($Y$3="wind一级行业",[1]!s_info_industry_gics(W3654,1),IF($Y$3="wind二级行业",[1]!s_info_industry_gics(W3654,2),IF($Y$3="wind三级行业",[1]!s_info_industry_gics(W3654,3),IF($Y$3="wind四级行业",[1]!s_info_industry_gics(W3654,4),IF($Y$3="证监会门类行业",[1]!s_info_industry_csrc12_n(W3654,公司分析!D$5,1),""))))))))</f>
        <v>焦炭Ⅱ</v>
      </c>
      <c r="Z3654" s="302" t="str">
        <f ca="1">IF(Y3654=行业比较!$E$6,ROW(),"")</f>
        <v/>
      </c>
    </row>
    <row r="3655" spans="22:26">
      <c r="V3655" s="260">
        <f t="shared" ca="1" si="65"/>
        <v>0</v>
      </c>
      <c r="W3655" s="348" t="str">
        <f>IF(板块成分!B3657="","",板块成分!B3657)</f>
        <v>601016.SH</v>
      </c>
      <c r="X3655" s="276" t="str">
        <f>[1]!S_Info_Name(W3655)</f>
        <v>节能风电</v>
      </c>
      <c r="Y3655" s="276" t="str">
        <f ca="1">IF($Y$3="申万一级行业",[1]!s_info_industry_sw_2021(W3655,公司分析!D$5,1),IF($Y$3="申万二级行业",[1]!s_info_industry_sw_2021(W3655,公司分析!D$5,2),IF($Y$3="申万三级行业",[1]!s_info_industry_sw_2021(W3655,公司分析!D$5,3),IF($Y$3="wind一级行业",[1]!s_info_industry_gics(W3655,1),IF($Y$3="wind二级行业",[1]!s_info_industry_gics(W3655,2),IF($Y$3="wind三级行业",[1]!s_info_industry_gics(W3655,3),IF($Y$3="wind四级行业",[1]!s_info_industry_gics(W3655,4),IF($Y$3="证监会门类行业",[1]!s_info_industry_csrc12_n(W3655,公司分析!D$5,1),""))))))))</f>
        <v>电力</v>
      </c>
      <c r="Z3655" s="302" t="str">
        <f ca="1">IF(Y3655=行业比较!$E$6,ROW(),"")</f>
        <v/>
      </c>
    </row>
    <row r="3656" spans="22:26">
      <c r="V3656" s="260">
        <f t="shared" ca="1" si="65"/>
        <v>0</v>
      </c>
      <c r="W3656" s="348" t="str">
        <f>IF(板块成分!B3658="","",板块成分!B3658)</f>
        <v>601018.SH</v>
      </c>
      <c r="X3656" s="276" t="str">
        <f>[1]!S_Info_Name(W3656)</f>
        <v>宁波港</v>
      </c>
      <c r="Y3656" s="276" t="str">
        <f ca="1">IF($Y$3="申万一级行业",[1]!s_info_industry_sw_2021(W3656,公司分析!D$5,1),IF($Y$3="申万二级行业",[1]!s_info_industry_sw_2021(W3656,公司分析!D$5,2),IF($Y$3="申万三级行业",[1]!s_info_industry_sw_2021(W3656,公司分析!D$5,3),IF($Y$3="wind一级行业",[1]!s_info_industry_gics(W3656,1),IF($Y$3="wind二级行业",[1]!s_info_industry_gics(W3656,2),IF($Y$3="wind三级行业",[1]!s_info_industry_gics(W3656,3),IF($Y$3="wind四级行业",[1]!s_info_industry_gics(W3656,4),IF($Y$3="证监会门类行业",[1]!s_info_industry_csrc12_n(W3656,公司分析!D$5,1),""))))))))</f>
        <v>航运港口</v>
      </c>
      <c r="Z3656" s="302" t="str">
        <f ca="1">IF(Y3656=行业比较!$E$6,ROW(),"")</f>
        <v/>
      </c>
    </row>
    <row r="3657" spans="22:26">
      <c r="V3657" s="260">
        <f t="shared" ca="1" si="65"/>
        <v>0</v>
      </c>
      <c r="W3657" s="348" t="str">
        <f>IF(板块成分!B3659="","",板块成分!B3659)</f>
        <v>601019.SH</v>
      </c>
      <c r="X3657" s="276" t="str">
        <f>[1]!S_Info_Name(W3657)</f>
        <v>山东出版</v>
      </c>
      <c r="Y3657" s="276" t="str">
        <f ca="1">IF($Y$3="申万一级行业",[1]!s_info_industry_sw_2021(W3657,公司分析!D$5,1),IF($Y$3="申万二级行业",[1]!s_info_industry_sw_2021(W3657,公司分析!D$5,2),IF($Y$3="申万三级行业",[1]!s_info_industry_sw_2021(W3657,公司分析!D$5,3),IF($Y$3="wind一级行业",[1]!s_info_industry_gics(W3657,1),IF($Y$3="wind二级行业",[1]!s_info_industry_gics(W3657,2),IF($Y$3="wind三级行业",[1]!s_info_industry_gics(W3657,3),IF($Y$3="wind四级行业",[1]!s_info_industry_gics(W3657,4),IF($Y$3="证监会门类行业",[1]!s_info_industry_csrc12_n(W3657,公司分析!D$5,1),""))))))))</f>
        <v>出版</v>
      </c>
      <c r="Z3657" s="302" t="str">
        <f ca="1">IF(Y3657=行业比较!$E$6,ROW(),"")</f>
        <v/>
      </c>
    </row>
    <row r="3658" spans="22:26">
      <c r="V3658" s="260">
        <f t="shared" ca="1" si="65"/>
        <v>43</v>
      </c>
      <c r="W3658" s="348" t="str">
        <f>IF(板块成分!B3660="","",板块成分!B3660)</f>
        <v>601020.SH</v>
      </c>
      <c r="X3658" s="276" t="str">
        <f>[1]!S_Info_Name(W3658)</f>
        <v>华钰矿业</v>
      </c>
      <c r="Y3658" s="276" t="str">
        <f ca="1">IF($Y$3="申万一级行业",[1]!s_info_industry_sw_2021(W3658,公司分析!D$5,1),IF($Y$3="申万二级行业",[1]!s_info_industry_sw_2021(W3658,公司分析!D$5,2),IF($Y$3="申万三级行业",[1]!s_info_industry_sw_2021(W3658,公司分析!D$5,3),IF($Y$3="wind一级行业",[1]!s_info_industry_gics(W3658,1),IF($Y$3="wind二级行业",[1]!s_info_industry_gics(W3658,2),IF($Y$3="wind三级行业",[1]!s_info_industry_gics(W3658,3),IF($Y$3="wind四级行业",[1]!s_info_industry_gics(W3658,4),IF($Y$3="证监会门类行业",[1]!s_info_industry_csrc12_n(W3658,公司分析!D$5,1),""))))))))</f>
        <v>工业金属</v>
      </c>
      <c r="Z3658" s="302">
        <f ca="1">IF(Y3658=行业比较!$E$6,ROW(),"")</f>
        <v>3658</v>
      </c>
    </row>
    <row r="3659" spans="22:26">
      <c r="V3659" s="260">
        <f t="shared" ca="1" si="65"/>
        <v>0</v>
      </c>
      <c r="W3659" s="348" t="str">
        <f>IF(板块成分!B3661="","",板块成分!B3661)</f>
        <v>601021.SH</v>
      </c>
      <c r="X3659" s="276" t="str">
        <f>[1]!S_Info_Name(W3659)</f>
        <v>春秋航空</v>
      </c>
      <c r="Y3659" s="276" t="str">
        <f ca="1">IF($Y$3="申万一级行业",[1]!s_info_industry_sw_2021(W3659,公司分析!D$5,1),IF($Y$3="申万二级行业",[1]!s_info_industry_sw_2021(W3659,公司分析!D$5,2),IF($Y$3="申万三级行业",[1]!s_info_industry_sw_2021(W3659,公司分析!D$5,3),IF($Y$3="wind一级行业",[1]!s_info_industry_gics(W3659,1),IF($Y$3="wind二级行业",[1]!s_info_industry_gics(W3659,2),IF($Y$3="wind三级行业",[1]!s_info_industry_gics(W3659,3),IF($Y$3="wind四级行业",[1]!s_info_industry_gics(W3659,4),IF($Y$3="证监会门类行业",[1]!s_info_industry_csrc12_n(W3659,公司分析!D$5,1),""))))))))</f>
        <v>航空机场</v>
      </c>
      <c r="Z3659" s="302" t="str">
        <f ca="1">IF(Y3659=行业比较!$E$6,ROW(),"")</f>
        <v/>
      </c>
    </row>
    <row r="3660" spans="22:26">
      <c r="V3660" s="260">
        <f t="shared" ca="1" si="65"/>
        <v>0</v>
      </c>
      <c r="W3660" s="348" t="str">
        <f>IF(板块成分!B3662="","",板块成分!B3662)</f>
        <v>601022.SH</v>
      </c>
      <c r="X3660" s="276" t="str">
        <f>[1]!S_Info_Name(W3660)</f>
        <v>宁波远洋</v>
      </c>
      <c r="Y3660" s="276" t="str">
        <f ca="1">IF($Y$3="申万一级行业",[1]!s_info_industry_sw_2021(W3660,公司分析!D$5,1),IF($Y$3="申万二级行业",[1]!s_info_industry_sw_2021(W3660,公司分析!D$5,2),IF($Y$3="申万三级行业",[1]!s_info_industry_sw_2021(W3660,公司分析!D$5,3),IF($Y$3="wind一级行业",[1]!s_info_industry_gics(W3660,1),IF($Y$3="wind二级行业",[1]!s_info_industry_gics(W3660,2),IF($Y$3="wind三级行业",[1]!s_info_industry_gics(W3660,3),IF($Y$3="wind四级行业",[1]!s_info_industry_gics(W3660,4),IF($Y$3="证监会门类行业",[1]!s_info_industry_csrc12_n(W3660,公司分析!D$5,1),""))))))))</f>
        <v>航运港口</v>
      </c>
      <c r="Z3660" s="302" t="str">
        <f ca="1">IF(Y3660=行业比较!$E$6,ROW(),"")</f>
        <v/>
      </c>
    </row>
    <row r="3661" spans="22:26">
      <c r="V3661" s="260">
        <f t="shared" ca="1" si="65"/>
        <v>0</v>
      </c>
      <c r="W3661" s="348" t="str">
        <f>IF(板块成分!B3663="","",板块成分!B3663)</f>
        <v>601026.SH</v>
      </c>
      <c r="X3661" s="276" t="str">
        <f>[1]!S_Info_Name(W3661)</f>
        <v>道生天合</v>
      </c>
      <c r="Y3661" s="276" t="str">
        <f ca="1">IF($Y$3="申万一级行业",[1]!s_info_industry_sw_2021(W3661,公司分析!D$5,1),IF($Y$3="申万二级行业",[1]!s_info_industry_sw_2021(W3661,公司分析!D$5,2),IF($Y$3="申万三级行业",[1]!s_info_industry_sw_2021(W3661,公司分析!D$5,3),IF($Y$3="wind一级行业",[1]!s_info_industry_gics(W3661,1),IF($Y$3="wind二级行业",[1]!s_info_industry_gics(W3661,2),IF($Y$3="wind三级行业",[1]!s_info_industry_gics(W3661,3),IF($Y$3="wind四级行业",[1]!s_info_industry_gics(W3661,4),IF($Y$3="证监会门类行业",[1]!s_info_industry_csrc12_n(W3661,公司分析!D$5,1),""))))))))</f>
        <v>塑料</v>
      </c>
      <c r="Z3661" s="302" t="str">
        <f ca="1">IF(Y3661=行业比较!$E$6,ROW(),"")</f>
        <v/>
      </c>
    </row>
    <row r="3662" spans="22:26">
      <c r="V3662" s="260">
        <f t="shared" ca="1" si="65"/>
        <v>0</v>
      </c>
      <c r="W3662" s="348" t="str">
        <f>IF(板块成分!B3664="","",板块成分!B3664)</f>
        <v>601033.SH</v>
      </c>
      <c r="X3662" s="276" t="str">
        <f>[1]!S_Info_Name(W3662)</f>
        <v>永兴股份</v>
      </c>
      <c r="Y3662" s="276" t="str">
        <f ca="1">IF($Y$3="申万一级行业",[1]!s_info_industry_sw_2021(W3662,公司分析!D$5,1),IF($Y$3="申万二级行业",[1]!s_info_industry_sw_2021(W3662,公司分析!D$5,2),IF($Y$3="申万三级行业",[1]!s_info_industry_sw_2021(W3662,公司分析!D$5,3),IF($Y$3="wind一级行业",[1]!s_info_industry_gics(W3662,1),IF($Y$3="wind二级行业",[1]!s_info_industry_gics(W3662,2),IF($Y$3="wind三级行业",[1]!s_info_industry_gics(W3662,3),IF($Y$3="wind四级行业",[1]!s_info_industry_gics(W3662,4),IF($Y$3="证监会门类行业",[1]!s_info_industry_csrc12_n(W3662,公司分析!D$5,1),""))))))))</f>
        <v>环境治理</v>
      </c>
      <c r="Z3662" s="302" t="str">
        <f ca="1">IF(Y3662=行业比较!$E$6,ROW(),"")</f>
        <v/>
      </c>
    </row>
    <row r="3663" spans="22:26">
      <c r="V3663" s="260">
        <f t="shared" ca="1" si="65"/>
        <v>0</v>
      </c>
      <c r="W3663" s="348" t="str">
        <f>IF(板块成分!B3665="","",板块成分!B3665)</f>
        <v>601038.SH</v>
      </c>
      <c r="X3663" s="276" t="str">
        <f>[1]!S_Info_Name(W3663)</f>
        <v>一拖股份</v>
      </c>
      <c r="Y3663" s="276" t="str">
        <f ca="1">IF($Y$3="申万一级行业",[1]!s_info_industry_sw_2021(W3663,公司分析!D$5,1),IF($Y$3="申万二级行业",[1]!s_info_industry_sw_2021(W3663,公司分析!D$5,2),IF($Y$3="申万三级行业",[1]!s_info_industry_sw_2021(W3663,公司分析!D$5,3),IF($Y$3="wind一级行业",[1]!s_info_industry_gics(W3663,1),IF($Y$3="wind二级行业",[1]!s_info_industry_gics(W3663,2),IF($Y$3="wind三级行业",[1]!s_info_industry_gics(W3663,3),IF($Y$3="wind四级行业",[1]!s_info_industry_gics(W3663,4),IF($Y$3="证监会门类行业",[1]!s_info_industry_csrc12_n(W3663,公司分析!D$5,1),""))))))))</f>
        <v>专用设备</v>
      </c>
      <c r="Z3663" s="302" t="str">
        <f ca="1">IF(Y3663=行业比较!$E$6,ROW(),"")</f>
        <v/>
      </c>
    </row>
    <row r="3664" spans="22:26">
      <c r="V3664" s="260">
        <f t="shared" ca="1" si="65"/>
        <v>0</v>
      </c>
      <c r="W3664" s="348" t="str">
        <f>IF(板块成分!B3666="","",板块成分!B3666)</f>
        <v>601058.SH</v>
      </c>
      <c r="X3664" s="276" t="str">
        <f>[1]!S_Info_Name(W3664)</f>
        <v>赛轮轮胎</v>
      </c>
      <c r="Y3664" s="276" t="str">
        <f ca="1">IF($Y$3="申万一级行业",[1]!s_info_industry_sw_2021(W3664,公司分析!D$5,1),IF($Y$3="申万二级行业",[1]!s_info_industry_sw_2021(W3664,公司分析!D$5,2),IF($Y$3="申万三级行业",[1]!s_info_industry_sw_2021(W3664,公司分析!D$5,3),IF($Y$3="wind一级行业",[1]!s_info_industry_gics(W3664,1),IF($Y$3="wind二级行业",[1]!s_info_industry_gics(W3664,2),IF($Y$3="wind三级行业",[1]!s_info_industry_gics(W3664,3),IF($Y$3="wind四级行业",[1]!s_info_industry_gics(W3664,4),IF($Y$3="证监会门类行业",[1]!s_info_industry_csrc12_n(W3664,公司分析!D$5,1),""))))))))</f>
        <v>汽车零部件</v>
      </c>
      <c r="Z3664" s="302" t="str">
        <f ca="1">IF(Y3664=行业比较!$E$6,ROW(),"")</f>
        <v/>
      </c>
    </row>
    <row r="3665" spans="22:26">
      <c r="V3665" s="260">
        <f t="shared" ca="1" si="65"/>
        <v>0</v>
      </c>
      <c r="W3665" s="348" t="str">
        <f>IF(板块成分!B3667="","",板块成分!B3667)</f>
        <v>601059.SH</v>
      </c>
      <c r="X3665" s="276" t="str">
        <f>[1]!S_Info_Name(W3665)</f>
        <v>信达证券</v>
      </c>
      <c r="Y3665" s="276" t="str">
        <f ca="1">IF($Y$3="申万一级行业",[1]!s_info_industry_sw_2021(W3665,公司分析!D$5,1),IF($Y$3="申万二级行业",[1]!s_info_industry_sw_2021(W3665,公司分析!D$5,2),IF($Y$3="申万三级行业",[1]!s_info_industry_sw_2021(W3665,公司分析!D$5,3),IF($Y$3="wind一级行业",[1]!s_info_industry_gics(W3665,1),IF($Y$3="wind二级行业",[1]!s_info_industry_gics(W3665,2),IF($Y$3="wind三级行业",[1]!s_info_industry_gics(W3665,3),IF($Y$3="wind四级行业",[1]!s_info_industry_gics(W3665,4),IF($Y$3="证监会门类行业",[1]!s_info_industry_csrc12_n(W3665,公司分析!D$5,1),""))))))))</f>
        <v>证券Ⅱ</v>
      </c>
      <c r="Z3665" s="302" t="str">
        <f ca="1">IF(Y3665=行业比较!$E$6,ROW(),"")</f>
        <v/>
      </c>
    </row>
    <row r="3666" spans="22:26">
      <c r="V3666" s="260">
        <f t="shared" ca="1" si="65"/>
        <v>0</v>
      </c>
      <c r="W3666" s="348" t="str">
        <f>IF(板块成分!B3668="","",板块成分!B3668)</f>
        <v>601061.SH</v>
      </c>
      <c r="X3666" s="276" t="str">
        <f>[1]!S_Info_Name(W3666)</f>
        <v>中信金属</v>
      </c>
      <c r="Y3666" s="276" t="str">
        <f ca="1">IF($Y$3="申万一级行业",[1]!s_info_industry_sw_2021(W3666,公司分析!D$5,1),IF($Y$3="申万二级行业",[1]!s_info_industry_sw_2021(W3666,公司分析!D$5,2),IF($Y$3="申万三级行业",[1]!s_info_industry_sw_2021(W3666,公司分析!D$5,3),IF($Y$3="wind一级行业",[1]!s_info_industry_gics(W3666,1),IF($Y$3="wind二级行业",[1]!s_info_industry_gics(W3666,2),IF($Y$3="wind三级行业",[1]!s_info_industry_gics(W3666,3),IF($Y$3="wind四级行业",[1]!s_info_industry_gics(W3666,4),IF($Y$3="证监会门类行业",[1]!s_info_industry_csrc12_n(W3666,公司分析!D$5,1),""))))))))</f>
        <v>贸易Ⅱ</v>
      </c>
      <c r="Z3666" s="302" t="str">
        <f ca="1">IF(Y3666=行业比较!$E$6,ROW(),"")</f>
        <v/>
      </c>
    </row>
    <row r="3667" spans="22:26">
      <c r="V3667" s="260">
        <f t="shared" ca="1" si="65"/>
        <v>0</v>
      </c>
      <c r="W3667" s="348" t="str">
        <f>IF(板块成分!B3669="","",板块成分!B3669)</f>
        <v>601065.SH</v>
      </c>
      <c r="X3667" s="276" t="str">
        <f>[1]!S_Info_Name(W3667)</f>
        <v>江盐集团</v>
      </c>
      <c r="Y3667" s="276" t="str">
        <f ca="1">IF($Y$3="申万一级行业",[1]!s_info_industry_sw_2021(W3667,公司分析!D$5,1),IF($Y$3="申万二级行业",[1]!s_info_industry_sw_2021(W3667,公司分析!D$5,2),IF($Y$3="申万三级行业",[1]!s_info_industry_sw_2021(W3667,公司分析!D$5,3),IF($Y$3="wind一级行业",[1]!s_info_industry_gics(W3667,1),IF($Y$3="wind二级行业",[1]!s_info_industry_gics(W3667,2),IF($Y$3="wind三级行业",[1]!s_info_industry_gics(W3667,3),IF($Y$3="wind四级行业",[1]!s_info_industry_gics(W3667,4),IF($Y$3="证监会门类行业",[1]!s_info_industry_csrc12_n(W3667,公司分析!D$5,1),""))))))))</f>
        <v>化学原料</v>
      </c>
      <c r="Z3667" s="302" t="str">
        <f ca="1">IF(Y3667=行业比较!$E$6,ROW(),"")</f>
        <v/>
      </c>
    </row>
    <row r="3668" spans="22:26">
      <c r="V3668" s="260">
        <f t="shared" ca="1" si="65"/>
        <v>0</v>
      </c>
      <c r="W3668" s="348" t="str">
        <f>IF(板块成分!B3670="","",板块成分!B3670)</f>
        <v>601066.SH</v>
      </c>
      <c r="X3668" s="276" t="str">
        <f>[1]!S_Info_Name(W3668)</f>
        <v>中信建投</v>
      </c>
      <c r="Y3668" s="276" t="str">
        <f ca="1">IF($Y$3="申万一级行业",[1]!s_info_industry_sw_2021(W3668,公司分析!D$5,1),IF($Y$3="申万二级行业",[1]!s_info_industry_sw_2021(W3668,公司分析!D$5,2),IF($Y$3="申万三级行业",[1]!s_info_industry_sw_2021(W3668,公司分析!D$5,3),IF($Y$3="wind一级行业",[1]!s_info_industry_gics(W3668,1),IF($Y$3="wind二级行业",[1]!s_info_industry_gics(W3668,2),IF($Y$3="wind三级行业",[1]!s_info_industry_gics(W3668,3),IF($Y$3="wind四级行业",[1]!s_info_industry_gics(W3668,4),IF($Y$3="证监会门类行业",[1]!s_info_industry_csrc12_n(W3668,公司分析!D$5,1),""))))))))</f>
        <v>证券Ⅱ</v>
      </c>
      <c r="Z3668" s="302" t="str">
        <f ca="1">IF(Y3668=行业比较!$E$6,ROW(),"")</f>
        <v/>
      </c>
    </row>
    <row r="3669" spans="22:26">
      <c r="V3669" s="260">
        <f t="shared" ca="1" si="65"/>
        <v>0</v>
      </c>
      <c r="W3669" s="348" t="str">
        <f>IF(板块成分!B3671="","",板块成分!B3671)</f>
        <v>601068.SH</v>
      </c>
      <c r="X3669" s="276" t="str">
        <f>[1]!S_Info_Name(W3669)</f>
        <v>中铝国际</v>
      </c>
      <c r="Y3669" s="276" t="str">
        <f ca="1">IF($Y$3="申万一级行业",[1]!s_info_industry_sw_2021(W3669,公司分析!D$5,1),IF($Y$3="申万二级行业",[1]!s_info_industry_sw_2021(W3669,公司分析!D$5,2),IF($Y$3="申万三级行业",[1]!s_info_industry_sw_2021(W3669,公司分析!D$5,3),IF($Y$3="wind一级行业",[1]!s_info_industry_gics(W3669,1),IF($Y$3="wind二级行业",[1]!s_info_industry_gics(W3669,2),IF($Y$3="wind三级行业",[1]!s_info_industry_gics(W3669,3),IF($Y$3="wind四级行业",[1]!s_info_industry_gics(W3669,4),IF($Y$3="证监会门类行业",[1]!s_info_industry_csrc12_n(W3669,公司分析!D$5,1),""))))))))</f>
        <v>专业工程</v>
      </c>
      <c r="Z3669" s="302" t="str">
        <f ca="1">IF(Y3669=行业比较!$E$6,ROW(),"")</f>
        <v/>
      </c>
    </row>
    <row r="3670" spans="22:26">
      <c r="V3670" s="260">
        <f t="shared" ca="1" si="65"/>
        <v>0</v>
      </c>
      <c r="W3670" s="348" t="str">
        <f>IF(板块成分!B3672="","",板块成分!B3672)</f>
        <v>601069.SH</v>
      </c>
      <c r="X3670" s="276" t="str">
        <f>[1]!S_Info_Name(W3670)</f>
        <v>西部黄金</v>
      </c>
      <c r="Y3670" s="276" t="str">
        <f ca="1">IF($Y$3="申万一级行业",[1]!s_info_industry_sw_2021(W3670,公司分析!D$5,1),IF($Y$3="申万二级行业",[1]!s_info_industry_sw_2021(W3670,公司分析!D$5,2),IF($Y$3="申万三级行业",[1]!s_info_industry_sw_2021(W3670,公司分析!D$5,3),IF($Y$3="wind一级行业",[1]!s_info_industry_gics(W3670,1),IF($Y$3="wind二级行业",[1]!s_info_industry_gics(W3670,2),IF($Y$3="wind三级行业",[1]!s_info_industry_gics(W3670,3),IF($Y$3="wind四级行业",[1]!s_info_industry_gics(W3670,4),IF($Y$3="证监会门类行业",[1]!s_info_industry_csrc12_n(W3670,公司分析!D$5,1),""))))))))</f>
        <v>贵金属</v>
      </c>
      <c r="Z3670" s="302" t="str">
        <f ca="1">IF(Y3670=行业比较!$E$6,ROW(),"")</f>
        <v/>
      </c>
    </row>
    <row r="3671" spans="22:26">
      <c r="V3671" s="260">
        <f t="shared" ca="1" si="65"/>
        <v>0</v>
      </c>
      <c r="W3671" s="348" t="str">
        <f>IF(板块成分!B3673="","",板块成分!B3673)</f>
        <v>601077.SH</v>
      </c>
      <c r="X3671" s="276" t="str">
        <f>[1]!S_Info_Name(W3671)</f>
        <v>渝农商行</v>
      </c>
      <c r="Y3671" s="276" t="str">
        <f ca="1">IF($Y$3="申万一级行业",[1]!s_info_industry_sw_2021(W3671,公司分析!D$5,1),IF($Y$3="申万二级行业",[1]!s_info_industry_sw_2021(W3671,公司分析!D$5,2),IF($Y$3="申万三级行业",[1]!s_info_industry_sw_2021(W3671,公司分析!D$5,3),IF($Y$3="wind一级行业",[1]!s_info_industry_gics(W3671,1),IF($Y$3="wind二级行业",[1]!s_info_industry_gics(W3671,2),IF($Y$3="wind三级行业",[1]!s_info_industry_gics(W3671,3),IF($Y$3="wind四级行业",[1]!s_info_industry_gics(W3671,4),IF($Y$3="证监会门类行业",[1]!s_info_industry_csrc12_n(W3671,公司分析!D$5,1),""))))))))</f>
        <v>农商行Ⅱ</v>
      </c>
      <c r="Z3671" s="302" t="str">
        <f ca="1">IF(Y3671=行业比较!$E$6,ROW(),"")</f>
        <v/>
      </c>
    </row>
    <row r="3672" spans="22:26">
      <c r="V3672" s="260">
        <f t="shared" ca="1" si="65"/>
        <v>0</v>
      </c>
      <c r="W3672" s="348" t="str">
        <f>IF(板块成分!B3674="","",板块成分!B3674)</f>
        <v>601083.SH</v>
      </c>
      <c r="X3672" s="276" t="str">
        <f>[1]!S_Info_Name(W3672)</f>
        <v>锦江航运</v>
      </c>
      <c r="Y3672" s="276" t="str">
        <f ca="1">IF($Y$3="申万一级行业",[1]!s_info_industry_sw_2021(W3672,公司分析!D$5,1),IF($Y$3="申万二级行业",[1]!s_info_industry_sw_2021(W3672,公司分析!D$5,2),IF($Y$3="申万三级行业",[1]!s_info_industry_sw_2021(W3672,公司分析!D$5,3),IF($Y$3="wind一级行业",[1]!s_info_industry_gics(W3672,1),IF($Y$3="wind二级行业",[1]!s_info_industry_gics(W3672,2),IF($Y$3="wind三级行业",[1]!s_info_industry_gics(W3672,3),IF($Y$3="wind四级行业",[1]!s_info_industry_gics(W3672,4),IF($Y$3="证监会门类行业",[1]!s_info_industry_csrc12_n(W3672,公司分析!D$5,1),""))))))))</f>
        <v>航运港口</v>
      </c>
      <c r="Z3672" s="302" t="str">
        <f ca="1">IF(Y3672=行业比较!$E$6,ROW(),"")</f>
        <v/>
      </c>
    </row>
    <row r="3673" spans="22:26">
      <c r="V3673" s="260">
        <f t="shared" ca="1" si="65"/>
        <v>0</v>
      </c>
      <c r="W3673" s="348" t="str">
        <f>IF(板块成分!B3675="","",板块成分!B3675)</f>
        <v>601086.SH</v>
      </c>
      <c r="X3673" s="276" t="str">
        <f>[1]!S_Info_Name(W3673)</f>
        <v>国芳集团</v>
      </c>
      <c r="Y3673" s="276" t="str">
        <f ca="1">IF($Y$3="申万一级行业",[1]!s_info_industry_sw_2021(W3673,公司分析!D$5,1),IF($Y$3="申万二级行业",[1]!s_info_industry_sw_2021(W3673,公司分析!D$5,2),IF($Y$3="申万三级行业",[1]!s_info_industry_sw_2021(W3673,公司分析!D$5,3),IF($Y$3="wind一级行业",[1]!s_info_industry_gics(W3673,1),IF($Y$3="wind二级行业",[1]!s_info_industry_gics(W3673,2),IF($Y$3="wind三级行业",[1]!s_info_industry_gics(W3673,3),IF($Y$3="wind四级行业",[1]!s_info_industry_gics(W3673,4),IF($Y$3="证监会门类行业",[1]!s_info_industry_csrc12_n(W3673,公司分析!D$5,1),""))))))))</f>
        <v>一般零售</v>
      </c>
      <c r="Z3673" s="302" t="str">
        <f ca="1">IF(Y3673=行业比较!$E$6,ROW(),"")</f>
        <v/>
      </c>
    </row>
    <row r="3674" spans="22:26">
      <c r="V3674" s="260">
        <f t="shared" ca="1" si="65"/>
        <v>0</v>
      </c>
      <c r="W3674" s="348" t="str">
        <f>IF(板块成分!B3676="","",板块成分!B3676)</f>
        <v>601088.SH</v>
      </c>
      <c r="X3674" s="276" t="str">
        <f>[1]!S_Info_Name(W3674)</f>
        <v>中国神华</v>
      </c>
      <c r="Y3674" s="276" t="str">
        <f ca="1">IF($Y$3="申万一级行业",[1]!s_info_industry_sw_2021(W3674,公司分析!D$5,1),IF($Y$3="申万二级行业",[1]!s_info_industry_sw_2021(W3674,公司分析!D$5,2),IF($Y$3="申万三级行业",[1]!s_info_industry_sw_2021(W3674,公司分析!D$5,3),IF($Y$3="wind一级行业",[1]!s_info_industry_gics(W3674,1),IF($Y$3="wind二级行业",[1]!s_info_industry_gics(W3674,2),IF($Y$3="wind三级行业",[1]!s_info_industry_gics(W3674,3),IF($Y$3="wind四级行业",[1]!s_info_industry_gics(W3674,4),IF($Y$3="证监会门类行业",[1]!s_info_industry_csrc12_n(W3674,公司分析!D$5,1),""))))))))</f>
        <v>煤炭开采</v>
      </c>
      <c r="Z3674" s="302" t="str">
        <f ca="1">IF(Y3674=行业比较!$E$6,ROW(),"")</f>
        <v/>
      </c>
    </row>
    <row r="3675" spans="22:26">
      <c r="V3675" s="260">
        <f t="shared" ca="1" si="65"/>
        <v>0</v>
      </c>
      <c r="W3675" s="348" t="str">
        <f>IF(板块成分!B3677="","",板块成分!B3677)</f>
        <v>601089.SH</v>
      </c>
      <c r="X3675" s="276" t="str">
        <f>[1]!S_Info_Name(W3675)</f>
        <v>福元医药</v>
      </c>
      <c r="Y3675" s="276" t="str">
        <f ca="1">IF($Y$3="申万一级行业",[1]!s_info_industry_sw_2021(W3675,公司分析!D$5,1),IF($Y$3="申万二级行业",[1]!s_info_industry_sw_2021(W3675,公司分析!D$5,2),IF($Y$3="申万三级行业",[1]!s_info_industry_sw_2021(W3675,公司分析!D$5,3),IF($Y$3="wind一级行业",[1]!s_info_industry_gics(W3675,1),IF($Y$3="wind二级行业",[1]!s_info_industry_gics(W3675,2),IF($Y$3="wind三级行业",[1]!s_info_industry_gics(W3675,3),IF($Y$3="wind四级行业",[1]!s_info_industry_gics(W3675,4),IF($Y$3="证监会门类行业",[1]!s_info_industry_csrc12_n(W3675,公司分析!D$5,1),""))))))))</f>
        <v>化学制药</v>
      </c>
      <c r="Z3675" s="302" t="str">
        <f ca="1">IF(Y3675=行业比较!$E$6,ROW(),"")</f>
        <v/>
      </c>
    </row>
    <row r="3676" spans="22:26">
      <c r="V3676" s="260">
        <f t="shared" ca="1" si="65"/>
        <v>0</v>
      </c>
      <c r="W3676" s="348" t="str">
        <f>IF(板块成分!B3678="","",板块成分!B3678)</f>
        <v>601096.SH</v>
      </c>
      <c r="X3676" s="276" t="str">
        <f>[1]!S_Info_Name(W3676)</f>
        <v>宏盛华源</v>
      </c>
      <c r="Y3676" s="276" t="str">
        <f ca="1">IF($Y$3="申万一级行业",[1]!s_info_industry_sw_2021(W3676,公司分析!D$5,1),IF($Y$3="申万二级行业",[1]!s_info_industry_sw_2021(W3676,公司分析!D$5,2),IF($Y$3="申万三级行业",[1]!s_info_industry_sw_2021(W3676,公司分析!D$5,3),IF($Y$3="wind一级行业",[1]!s_info_industry_gics(W3676,1),IF($Y$3="wind二级行业",[1]!s_info_industry_gics(W3676,2),IF($Y$3="wind三级行业",[1]!s_info_industry_gics(W3676,3),IF($Y$3="wind四级行业",[1]!s_info_industry_gics(W3676,4),IF($Y$3="证监会门类行业",[1]!s_info_industry_csrc12_n(W3676,公司分析!D$5,1),""))))))))</f>
        <v>专业工程</v>
      </c>
      <c r="Z3676" s="302" t="str">
        <f ca="1">IF(Y3676=行业比较!$E$6,ROW(),"")</f>
        <v/>
      </c>
    </row>
    <row r="3677" spans="22:26">
      <c r="V3677" s="260">
        <f t="shared" ca="1" si="65"/>
        <v>0</v>
      </c>
      <c r="W3677" s="348" t="str">
        <f>IF(板块成分!B3679="","",板块成分!B3679)</f>
        <v>601098.SH</v>
      </c>
      <c r="X3677" s="276" t="str">
        <f>[1]!S_Info_Name(W3677)</f>
        <v>中南传媒</v>
      </c>
      <c r="Y3677" s="276" t="str">
        <f ca="1">IF($Y$3="申万一级行业",[1]!s_info_industry_sw_2021(W3677,公司分析!D$5,1),IF($Y$3="申万二级行业",[1]!s_info_industry_sw_2021(W3677,公司分析!D$5,2),IF($Y$3="申万三级行业",[1]!s_info_industry_sw_2021(W3677,公司分析!D$5,3),IF($Y$3="wind一级行业",[1]!s_info_industry_gics(W3677,1),IF($Y$3="wind二级行业",[1]!s_info_industry_gics(W3677,2),IF($Y$3="wind三级行业",[1]!s_info_industry_gics(W3677,3),IF($Y$3="wind四级行业",[1]!s_info_industry_gics(W3677,4),IF($Y$3="证监会门类行业",[1]!s_info_industry_csrc12_n(W3677,公司分析!D$5,1),""))))))))</f>
        <v>出版</v>
      </c>
      <c r="Z3677" s="302" t="str">
        <f ca="1">IF(Y3677=行业比较!$E$6,ROW(),"")</f>
        <v/>
      </c>
    </row>
    <row r="3678" spans="22:26">
      <c r="V3678" s="260">
        <f t="shared" ca="1" si="65"/>
        <v>0</v>
      </c>
      <c r="W3678" s="348" t="str">
        <f>IF(板块成分!B3680="","",板块成分!B3680)</f>
        <v>601099.SH</v>
      </c>
      <c r="X3678" s="276" t="str">
        <f>[1]!S_Info_Name(W3678)</f>
        <v>太平洋</v>
      </c>
      <c r="Y3678" s="276" t="str">
        <f ca="1">IF($Y$3="申万一级行业",[1]!s_info_industry_sw_2021(W3678,公司分析!D$5,1),IF($Y$3="申万二级行业",[1]!s_info_industry_sw_2021(W3678,公司分析!D$5,2),IF($Y$3="申万三级行业",[1]!s_info_industry_sw_2021(W3678,公司分析!D$5,3),IF($Y$3="wind一级行业",[1]!s_info_industry_gics(W3678,1),IF($Y$3="wind二级行业",[1]!s_info_industry_gics(W3678,2),IF($Y$3="wind三级行业",[1]!s_info_industry_gics(W3678,3),IF($Y$3="wind四级行业",[1]!s_info_industry_gics(W3678,4),IF($Y$3="证监会门类行业",[1]!s_info_industry_csrc12_n(W3678,公司分析!D$5,1),""))))))))</f>
        <v>证券Ⅱ</v>
      </c>
      <c r="Z3678" s="302" t="str">
        <f ca="1">IF(Y3678=行业比较!$E$6,ROW(),"")</f>
        <v/>
      </c>
    </row>
    <row r="3679" spans="22:26">
      <c r="V3679" s="260">
        <f t="shared" ca="1" si="65"/>
        <v>0</v>
      </c>
      <c r="W3679" s="348" t="str">
        <f>IF(板块成分!B3681="","",板块成分!B3681)</f>
        <v>601100.SH</v>
      </c>
      <c r="X3679" s="276" t="str">
        <f>[1]!S_Info_Name(W3679)</f>
        <v>恒立液压</v>
      </c>
      <c r="Y3679" s="276" t="str">
        <f ca="1">IF($Y$3="申万一级行业",[1]!s_info_industry_sw_2021(W3679,公司分析!D$5,1),IF($Y$3="申万二级行业",[1]!s_info_industry_sw_2021(W3679,公司分析!D$5,2),IF($Y$3="申万三级行业",[1]!s_info_industry_sw_2021(W3679,公司分析!D$5,3),IF($Y$3="wind一级行业",[1]!s_info_industry_gics(W3679,1),IF($Y$3="wind二级行业",[1]!s_info_industry_gics(W3679,2),IF($Y$3="wind三级行业",[1]!s_info_industry_gics(W3679,3),IF($Y$3="wind四级行业",[1]!s_info_industry_gics(W3679,4),IF($Y$3="证监会门类行业",[1]!s_info_industry_csrc12_n(W3679,公司分析!D$5,1),""))))))))</f>
        <v>工程机械</v>
      </c>
      <c r="Z3679" s="302" t="str">
        <f ca="1">IF(Y3679=行业比较!$E$6,ROW(),"")</f>
        <v/>
      </c>
    </row>
    <row r="3680" spans="22:26">
      <c r="V3680" s="260">
        <f t="shared" ca="1" si="65"/>
        <v>0</v>
      </c>
      <c r="W3680" s="348" t="str">
        <f>IF(板块成分!B3682="","",板块成分!B3682)</f>
        <v>601101.SH</v>
      </c>
      <c r="X3680" s="276" t="str">
        <f>[1]!S_Info_Name(W3680)</f>
        <v>昊华能源</v>
      </c>
      <c r="Y3680" s="276" t="str">
        <f ca="1">IF($Y$3="申万一级行业",[1]!s_info_industry_sw_2021(W3680,公司分析!D$5,1),IF($Y$3="申万二级行业",[1]!s_info_industry_sw_2021(W3680,公司分析!D$5,2),IF($Y$3="申万三级行业",[1]!s_info_industry_sw_2021(W3680,公司分析!D$5,3),IF($Y$3="wind一级行业",[1]!s_info_industry_gics(W3680,1),IF($Y$3="wind二级行业",[1]!s_info_industry_gics(W3680,2),IF($Y$3="wind三级行业",[1]!s_info_industry_gics(W3680,3),IF($Y$3="wind四级行业",[1]!s_info_industry_gics(W3680,4),IF($Y$3="证监会门类行业",[1]!s_info_industry_csrc12_n(W3680,公司分析!D$5,1),""))))))))</f>
        <v>煤炭开采</v>
      </c>
      <c r="Z3680" s="302" t="str">
        <f ca="1">IF(Y3680=行业比较!$E$6,ROW(),"")</f>
        <v/>
      </c>
    </row>
    <row r="3681" spans="22:26">
      <c r="V3681" s="260">
        <f t="shared" ca="1" si="65"/>
        <v>0</v>
      </c>
      <c r="W3681" s="348" t="str">
        <f>IF(板块成分!B3683="","",板块成分!B3683)</f>
        <v>601106.SH</v>
      </c>
      <c r="X3681" s="276" t="str">
        <f>[1]!S_Info_Name(W3681)</f>
        <v>中国一重</v>
      </c>
      <c r="Y3681" s="276" t="str">
        <f ca="1">IF($Y$3="申万一级行业",[1]!s_info_industry_sw_2021(W3681,公司分析!D$5,1),IF($Y$3="申万二级行业",[1]!s_info_industry_sw_2021(W3681,公司分析!D$5,2),IF($Y$3="申万三级行业",[1]!s_info_industry_sw_2021(W3681,公司分析!D$5,3),IF($Y$3="wind一级行业",[1]!s_info_industry_gics(W3681,1),IF($Y$3="wind二级行业",[1]!s_info_industry_gics(W3681,2),IF($Y$3="wind三级行业",[1]!s_info_industry_gics(W3681,3),IF($Y$3="wind四级行业",[1]!s_info_industry_gics(W3681,4),IF($Y$3="证监会门类行业",[1]!s_info_industry_csrc12_n(W3681,公司分析!D$5,1),""))))))))</f>
        <v>专用设备</v>
      </c>
      <c r="Z3681" s="302" t="str">
        <f ca="1">IF(Y3681=行业比较!$E$6,ROW(),"")</f>
        <v/>
      </c>
    </row>
    <row r="3682" spans="22:26">
      <c r="V3682" s="260">
        <f t="shared" ca="1" si="65"/>
        <v>0</v>
      </c>
      <c r="W3682" s="348" t="str">
        <f>IF(板块成分!B3684="","",板块成分!B3684)</f>
        <v>601107.SH</v>
      </c>
      <c r="X3682" s="276" t="str">
        <f>[1]!S_Info_Name(W3682)</f>
        <v>四川成渝</v>
      </c>
      <c r="Y3682" s="276" t="str">
        <f ca="1">IF($Y$3="申万一级行业",[1]!s_info_industry_sw_2021(W3682,公司分析!D$5,1),IF($Y$3="申万二级行业",[1]!s_info_industry_sw_2021(W3682,公司分析!D$5,2),IF($Y$3="申万三级行业",[1]!s_info_industry_sw_2021(W3682,公司分析!D$5,3),IF($Y$3="wind一级行业",[1]!s_info_industry_gics(W3682,1),IF($Y$3="wind二级行业",[1]!s_info_industry_gics(W3682,2),IF($Y$3="wind三级行业",[1]!s_info_industry_gics(W3682,3),IF($Y$3="wind四级行业",[1]!s_info_industry_gics(W3682,4),IF($Y$3="证监会门类行业",[1]!s_info_industry_csrc12_n(W3682,公司分析!D$5,1),""))))))))</f>
        <v>铁路公路</v>
      </c>
      <c r="Z3682" s="302" t="str">
        <f ca="1">IF(Y3682=行业比较!$E$6,ROW(),"")</f>
        <v/>
      </c>
    </row>
    <row r="3683" spans="22:26">
      <c r="V3683" s="260">
        <f t="shared" ca="1" si="65"/>
        <v>0</v>
      </c>
      <c r="W3683" s="348" t="str">
        <f>IF(板块成分!B3685="","",板块成分!B3685)</f>
        <v>601108.SH</v>
      </c>
      <c r="X3683" s="276" t="str">
        <f>[1]!S_Info_Name(W3683)</f>
        <v>财通证券</v>
      </c>
      <c r="Y3683" s="276" t="str">
        <f ca="1">IF($Y$3="申万一级行业",[1]!s_info_industry_sw_2021(W3683,公司分析!D$5,1),IF($Y$3="申万二级行业",[1]!s_info_industry_sw_2021(W3683,公司分析!D$5,2),IF($Y$3="申万三级行业",[1]!s_info_industry_sw_2021(W3683,公司分析!D$5,3),IF($Y$3="wind一级行业",[1]!s_info_industry_gics(W3683,1),IF($Y$3="wind二级行业",[1]!s_info_industry_gics(W3683,2),IF($Y$3="wind三级行业",[1]!s_info_industry_gics(W3683,3),IF($Y$3="wind四级行业",[1]!s_info_industry_gics(W3683,4),IF($Y$3="证监会门类行业",[1]!s_info_industry_csrc12_n(W3683,公司分析!D$5,1),""))))))))</f>
        <v>证券Ⅱ</v>
      </c>
      <c r="Z3683" s="302" t="str">
        <f ca="1">IF(Y3683=行业比较!$E$6,ROW(),"")</f>
        <v/>
      </c>
    </row>
    <row r="3684" spans="22:26">
      <c r="V3684" s="260">
        <f t="shared" ca="1" si="65"/>
        <v>0</v>
      </c>
      <c r="W3684" s="348" t="str">
        <f>IF(板块成分!B3686="","",板块成分!B3686)</f>
        <v>601111.SH</v>
      </c>
      <c r="X3684" s="276" t="str">
        <f>[1]!S_Info_Name(W3684)</f>
        <v>中国国航</v>
      </c>
      <c r="Y3684" s="276" t="str">
        <f ca="1">IF($Y$3="申万一级行业",[1]!s_info_industry_sw_2021(W3684,公司分析!D$5,1),IF($Y$3="申万二级行业",[1]!s_info_industry_sw_2021(W3684,公司分析!D$5,2),IF($Y$3="申万三级行业",[1]!s_info_industry_sw_2021(W3684,公司分析!D$5,3),IF($Y$3="wind一级行业",[1]!s_info_industry_gics(W3684,1),IF($Y$3="wind二级行业",[1]!s_info_industry_gics(W3684,2),IF($Y$3="wind三级行业",[1]!s_info_industry_gics(W3684,3),IF($Y$3="wind四级行业",[1]!s_info_industry_gics(W3684,4),IF($Y$3="证监会门类行业",[1]!s_info_industry_csrc12_n(W3684,公司分析!D$5,1),""))))))))</f>
        <v>航空机场</v>
      </c>
      <c r="Z3684" s="302" t="str">
        <f ca="1">IF(Y3684=行业比较!$E$6,ROW(),"")</f>
        <v/>
      </c>
    </row>
    <row r="3685" spans="22:26">
      <c r="V3685" s="260">
        <f t="shared" ca="1" si="65"/>
        <v>0</v>
      </c>
      <c r="W3685" s="348" t="str">
        <f>IF(板块成分!B3687="","",板块成分!B3687)</f>
        <v>601112.SH</v>
      </c>
      <c r="X3685" s="276" t="str">
        <f>[1]!S_Info_Name(W3685)</f>
        <v>振石股份</v>
      </c>
      <c r="Y3685" s="276" t="str">
        <f ca="1">IF($Y$3="申万一级行业",[1]!s_info_industry_sw_2021(W3685,公司分析!D$5,1),IF($Y$3="申万二级行业",[1]!s_info_industry_sw_2021(W3685,公司分析!D$5,2),IF($Y$3="申万三级行业",[1]!s_info_industry_sw_2021(W3685,公司分析!D$5,3),IF($Y$3="wind一级行业",[1]!s_info_industry_gics(W3685,1),IF($Y$3="wind二级行业",[1]!s_info_industry_gics(W3685,2),IF($Y$3="wind三级行业",[1]!s_info_industry_gics(W3685,3),IF($Y$3="wind四级行业",[1]!s_info_industry_gics(W3685,4),IF($Y$3="证监会门类行业",[1]!s_info_industry_csrc12_n(W3685,公司分析!D$5,1),""))))))))</f>
        <v>玻璃玻纤</v>
      </c>
      <c r="Z3685" s="302" t="str">
        <f ca="1">IF(Y3685=行业比较!$E$6,ROW(),"")</f>
        <v/>
      </c>
    </row>
    <row r="3686" spans="22:26">
      <c r="V3686" s="260">
        <f t="shared" ca="1" si="65"/>
        <v>0</v>
      </c>
      <c r="W3686" s="348" t="str">
        <f>IF(板块成分!B3688="","",板块成分!B3688)</f>
        <v>601113.SH</v>
      </c>
      <c r="X3686" s="276" t="str">
        <f>[1]!S_Info_Name(W3686)</f>
        <v>华鼎股份</v>
      </c>
      <c r="Y3686" s="276" t="str">
        <f ca="1">IF($Y$3="申万一级行业",[1]!s_info_industry_sw_2021(W3686,公司分析!D$5,1),IF($Y$3="申万二级行业",[1]!s_info_industry_sw_2021(W3686,公司分析!D$5,2),IF($Y$3="申万三级行业",[1]!s_info_industry_sw_2021(W3686,公司分析!D$5,3),IF($Y$3="wind一级行业",[1]!s_info_industry_gics(W3686,1),IF($Y$3="wind二级行业",[1]!s_info_industry_gics(W3686,2),IF($Y$3="wind三级行业",[1]!s_info_industry_gics(W3686,3),IF($Y$3="wind四级行业",[1]!s_info_industry_gics(W3686,4),IF($Y$3="证监会门类行业",[1]!s_info_industry_csrc12_n(W3686,公司分析!D$5,1),""))))))))</f>
        <v>化学纤维</v>
      </c>
      <c r="Z3686" s="302" t="str">
        <f ca="1">IF(Y3686=行业比较!$E$6,ROW(),"")</f>
        <v/>
      </c>
    </row>
    <row r="3687" spans="22:26">
      <c r="V3687" s="260">
        <f t="shared" ca="1" si="65"/>
        <v>0</v>
      </c>
      <c r="W3687" s="348" t="str">
        <f>IF(板块成分!B3689="","",板块成分!B3689)</f>
        <v>601116.SH</v>
      </c>
      <c r="X3687" s="276" t="str">
        <f>[1]!S_Info_Name(W3687)</f>
        <v>三江购物</v>
      </c>
      <c r="Y3687" s="276" t="str">
        <f ca="1">IF($Y$3="申万一级行业",[1]!s_info_industry_sw_2021(W3687,公司分析!D$5,1),IF($Y$3="申万二级行业",[1]!s_info_industry_sw_2021(W3687,公司分析!D$5,2),IF($Y$3="申万三级行业",[1]!s_info_industry_sw_2021(W3687,公司分析!D$5,3),IF($Y$3="wind一级行业",[1]!s_info_industry_gics(W3687,1),IF($Y$3="wind二级行业",[1]!s_info_industry_gics(W3687,2),IF($Y$3="wind三级行业",[1]!s_info_industry_gics(W3687,3),IF($Y$3="wind四级行业",[1]!s_info_industry_gics(W3687,4),IF($Y$3="证监会门类行业",[1]!s_info_industry_csrc12_n(W3687,公司分析!D$5,1),""))))))))</f>
        <v>一般零售</v>
      </c>
      <c r="Z3687" s="302" t="str">
        <f ca="1">IF(Y3687=行业比较!$E$6,ROW(),"")</f>
        <v/>
      </c>
    </row>
    <row r="3688" spans="22:26">
      <c r="V3688" s="260">
        <f t="shared" ca="1" si="65"/>
        <v>0</v>
      </c>
      <c r="W3688" s="348" t="str">
        <f>IF(板块成分!B3690="","",板块成分!B3690)</f>
        <v>601117.SH</v>
      </c>
      <c r="X3688" s="276" t="str">
        <f>[1]!S_Info_Name(W3688)</f>
        <v>中国化学</v>
      </c>
      <c r="Y3688" s="276" t="str">
        <f ca="1">IF($Y$3="申万一级行业",[1]!s_info_industry_sw_2021(W3688,公司分析!D$5,1),IF($Y$3="申万二级行业",[1]!s_info_industry_sw_2021(W3688,公司分析!D$5,2),IF($Y$3="申万三级行业",[1]!s_info_industry_sw_2021(W3688,公司分析!D$5,3),IF($Y$3="wind一级行业",[1]!s_info_industry_gics(W3688,1),IF($Y$3="wind二级行业",[1]!s_info_industry_gics(W3688,2),IF($Y$3="wind三级行业",[1]!s_info_industry_gics(W3688,3),IF($Y$3="wind四级行业",[1]!s_info_industry_gics(W3688,4),IF($Y$3="证监会门类行业",[1]!s_info_industry_csrc12_n(W3688,公司分析!D$5,1),""))))))))</f>
        <v>专业工程</v>
      </c>
      <c r="Z3688" s="302" t="str">
        <f ca="1">IF(Y3688=行业比较!$E$6,ROW(),"")</f>
        <v/>
      </c>
    </row>
    <row r="3689" spans="22:26">
      <c r="V3689" s="260">
        <f t="shared" ca="1" si="65"/>
        <v>0</v>
      </c>
      <c r="W3689" s="348" t="str">
        <f>IF(板块成分!B3691="","",板块成分!B3691)</f>
        <v>601118.SH</v>
      </c>
      <c r="X3689" s="276" t="str">
        <f>[1]!S_Info_Name(W3689)</f>
        <v>海南橡胶</v>
      </c>
      <c r="Y3689" s="276" t="str">
        <f ca="1">IF($Y$3="申万一级行业",[1]!s_info_industry_sw_2021(W3689,公司分析!D$5,1),IF($Y$3="申万二级行业",[1]!s_info_industry_sw_2021(W3689,公司分析!D$5,2),IF($Y$3="申万三级行业",[1]!s_info_industry_sw_2021(W3689,公司分析!D$5,3),IF($Y$3="wind一级行业",[1]!s_info_industry_gics(W3689,1),IF($Y$3="wind二级行业",[1]!s_info_industry_gics(W3689,2),IF($Y$3="wind三级行业",[1]!s_info_industry_gics(W3689,3),IF($Y$3="wind四级行业",[1]!s_info_industry_gics(W3689,4),IF($Y$3="证监会门类行业",[1]!s_info_industry_csrc12_n(W3689,公司分析!D$5,1),""))))))))</f>
        <v>种植业</v>
      </c>
      <c r="Z3689" s="302" t="str">
        <f ca="1">IF(Y3689=行业比较!$E$6,ROW(),"")</f>
        <v/>
      </c>
    </row>
    <row r="3690" spans="22:26">
      <c r="V3690" s="260">
        <f t="shared" ca="1" si="65"/>
        <v>0</v>
      </c>
      <c r="W3690" s="348" t="str">
        <f>IF(板块成分!B3692="","",板块成分!B3692)</f>
        <v>601121.SH</v>
      </c>
      <c r="X3690" s="276" t="str">
        <f>[1]!S_Info_Name(W3690)</f>
        <v>宝地矿业</v>
      </c>
      <c r="Y3690" s="276" t="str">
        <f ca="1">IF($Y$3="申万一级行业",[1]!s_info_industry_sw_2021(W3690,公司分析!D$5,1),IF($Y$3="申万二级行业",[1]!s_info_industry_sw_2021(W3690,公司分析!D$5,2),IF($Y$3="申万三级行业",[1]!s_info_industry_sw_2021(W3690,公司分析!D$5,3),IF($Y$3="wind一级行业",[1]!s_info_industry_gics(W3690,1),IF($Y$3="wind二级行业",[1]!s_info_industry_gics(W3690,2),IF($Y$3="wind三级行业",[1]!s_info_industry_gics(W3690,3),IF($Y$3="wind四级行业",[1]!s_info_industry_gics(W3690,4),IF($Y$3="证监会门类行业",[1]!s_info_industry_csrc12_n(W3690,公司分析!D$5,1),""))))))))</f>
        <v>冶钢原料</v>
      </c>
      <c r="Z3690" s="302" t="str">
        <f ca="1">IF(Y3690=行业比较!$E$6,ROW(),"")</f>
        <v/>
      </c>
    </row>
    <row r="3691" spans="22:26">
      <c r="V3691" s="260">
        <f t="shared" ca="1" si="65"/>
        <v>0</v>
      </c>
      <c r="W3691" s="348" t="str">
        <f>IF(板块成分!B3693="","",板块成分!B3693)</f>
        <v>601126.SH</v>
      </c>
      <c r="X3691" s="276" t="str">
        <f>[1]!S_Info_Name(W3691)</f>
        <v>四方股份</v>
      </c>
      <c r="Y3691" s="276" t="str">
        <f ca="1">IF($Y$3="申万一级行业",[1]!s_info_industry_sw_2021(W3691,公司分析!D$5,1),IF($Y$3="申万二级行业",[1]!s_info_industry_sw_2021(W3691,公司分析!D$5,2),IF($Y$3="申万三级行业",[1]!s_info_industry_sw_2021(W3691,公司分析!D$5,3),IF($Y$3="wind一级行业",[1]!s_info_industry_gics(W3691,1),IF($Y$3="wind二级行业",[1]!s_info_industry_gics(W3691,2),IF($Y$3="wind三级行业",[1]!s_info_industry_gics(W3691,3),IF($Y$3="wind四级行业",[1]!s_info_industry_gics(W3691,4),IF($Y$3="证监会门类行业",[1]!s_info_industry_csrc12_n(W3691,公司分析!D$5,1),""))))))))</f>
        <v>电网设备</v>
      </c>
      <c r="Z3691" s="302" t="str">
        <f ca="1">IF(Y3691=行业比较!$E$6,ROW(),"")</f>
        <v/>
      </c>
    </row>
    <row r="3692" spans="22:26">
      <c r="V3692" s="260">
        <f t="shared" ca="1" si="65"/>
        <v>0</v>
      </c>
      <c r="W3692" s="348" t="str">
        <f>IF(板块成分!B3694="","",板块成分!B3694)</f>
        <v>601127.SH</v>
      </c>
      <c r="X3692" s="276" t="str">
        <f>[1]!S_Info_Name(W3692)</f>
        <v>赛力斯</v>
      </c>
      <c r="Y3692" s="276" t="str">
        <f ca="1">IF($Y$3="申万一级行业",[1]!s_info_industry_sw_2021(W3692,公司分析!D$5,1),IF($Y$3="申万二级行业",[1]!s_info_industry_sw_2021(W3692,公司分析!D$5,2),IF($Y$3="申万三级行业",[1]!s_info_industry_sw_2021(W3692,公司分析!D$5,3),IF($Y$3="wind一级行业",[1]!s_info_industry_gics(W3692,1),IF($Y$3="wind二级行业",[1]!s_info_industry_gics(W3692,2),IF($Y$3="wind三级行业",[1]!s_info_industry_gics(W3692,3),IF($Y$3="wind四级行业",[1]!s_info_industry_gics(W3692,4),IF($Y$3="证监会门类行业",[1]!s_info_industry_csrc12_n(W3692,公司分析!D$5,1),""))))))))</f>
        <v>乘用车</v>
      </c>
      <c r="Z3692" s="302" t="str">
        <f ca="1">IF(Y3692=行业比较!$E$6,ROW(),"")</f>
        <v/>
      </c>
    </row>
    <row r="3693" spans="22:26">
      <c r="V3693" s="260">
        <f t="shared" ca="1" si="65"/>
        <v>0</v>
      </c>
      <c r="W3693" s="348" t="str">
        <f>IF(板块成分!B3695="","",板块成分!B3695)</f>
        <v>601128.SH</v>
      </c>
      <c r="X3693" s="276" t="str">
        <f>[1]!S_Info_Name(W3693)</f>
        <v>常熟银行</v>
      </c>
      <c r="Y3693" s="276" t="str">
        <f ca="1">IF($Y$3="申万一级行业",[1]!s_info_industry_sw_2021(W3693,公司分析!D$5,1),IF($Y$3="申万二级行业",[1]!s_info_industry_sw_2021(W3693,公司分析!D$5,2),IF($Y$3="申万三级行业",[1]!s_info_industry_sw_2021(W3693,公司分析!D$5,3),IF($Y$3="wind一级行业",[1]!s_info_industry_gics(W3693,1),IF($Y$3="wind二级行业",[1]!s_info_industry_gics(W3693,2),IF($Y$3="wind三级行业",[1]!s_info_industry_gics(W3693,3),IF($Y$3="wind四级行业",[1]!s_info_industry_gics(W3693,4),IF($Y$3="证监会门类行业",[1]!s_info_industry_csrc12_n(W3693,公司分析!D$5,1),""))))))))</f>
        <v>农商行Ⅱ</v>
      </c>
      <c r="Z3693" s="302" t="str">
        <f ca="1">IF(Y3693=行业比较!$E$6,ROW(),"")</f>
        <v/>
      </c>
    </row>
    <row r="3694" spans="22:26">
      <c r="V3694" s="260">
        <f t="shared" ca="1" si="65"/>
        <v>0</v>
      </c>
      <c r="W3694" s="348" t="str">
        <f>IF(板块成分!B3696="","",板块成分!B3696)</f>
        <v>601133.SH</v>
      </c>
      <c r="X3694" s="276" t="str">
        <f>[1]!S_Info_Name(W3694)</f>
        <v>柏诚股份</v>
      </c>
      <c r="Y3694" s="276" t="str">
        <f ca="1">IF($Y$3="申万一级行业",[1]!s_info_industry_sw_2021(W3694,公司分析!D$5,1),IF($Y$3="申万二级行业",[1]!s_info_industry_sw_2021(W3694,公司分析!D$5,2),IF($Y$3="申万三级行业",[1]!s_info_industry_sw_2021(W3694,公司分析!D$5,3),IF($Y$3="wind一级行业",[1]!s_info_industry_gics(W3694,1),IF($Y$3="wind二级行业",[1]!s_info_industry_gics(W3694,2),IF($Y$3="wind三级行业",[1]!s_info_industry_gics(W3694,3),IF($Y$3="wind四级行业",[1]!s_info_industry_gics(W3694,4),IF($Y$3="证监会门类行业",[1]!s_info_industry_csrc12_n(W3694,公司分析!D$5,1),""))))))))</f>
        <v>专业工程</v>
      </c>
      <c r="Z3694" s="302" t="str">
        <f ca="1">IF(Y3694=行业比较!$E$6,ROW(),"")</f>
        <v/>
      </c>
    </row>
    <row r="3695" spans="22:26">
      <c r="V3695" s="260">
        <f t="shared" ca="1" si="65"/>
        <v>0</v>
      </c>
      <c r="W3695" s="348" t="str">
        <f>IF(板块成分!B3697="","",板块成分!B3697)</f>
        <v>601136.SH</v>
      </c>
      <c r="X3695" s="276" t="str">
        <f>[1]!S_Info_Name(W3695)</f>
        <v>首创证券</v>
      </c>
      <c r="Y3695" s="276" t="str">
        <f ca="1">IF($Y$3="申万一级行业",[1]!s_info_industry_sw_2021(W3695,公司分析!D$5,1),IF($Y$3="申万二级行业",[1]!s_info_industry_sw_2021(W3695,公司分析!D$5,2),IF($Y$3="申万三级行业",[1]!s_info_industry_sw_2021(W3695,公司分析!D$5,3),IF($Y$3="wind一级行业",[1]!s_info_industry_gics(W3695,1),IF($Y$3="wind二级行业",[1]!s_info_industry_gics(W3695,2),IF($Y$3="wind三级行业",[1]!s_info_industry_gics(W3695,3),IF($Y$3="wind四级行业",[1]!s_info_industry_gics(W3695,4),IF($Y$3="证监会门类行业",[1]!s_info_industry_csrc12_n(W3695,公司分析!D$5,1),""))))))))</f>
        <v>证券Ⅱ</v>
      </c>
      <c r="Z3695" s="302" t="str">
        <f ca="1">IF(Y3695=行业比较!$E$6,ROW(),"")</f>
        <v/>
      </c>
    </row>
    <row r="3696" spans="22:26">
      <c r="V3696" s="260">
        <f t="shared" ca="1" si="65"/>
        <v>0</v>
      </c>
      <c r="W3696" s="348" t="str">
        <f>IF(板块成分!B3698="","",板块成分!B3698)</f>
        <v>601137.SH</v>
      </c>
      <c r="X3696" s="276" t="str">
        <f>[1]!S_Info_Name(W3696)</f>
        <v>博威合金</v>
      </c>
      <c r="Y3696" s="276" t="str">
        <f ca="1">IF($Y$3="申万一级行业",[1]!s_info_industry_sw_2021(W3696,公司分析!D$5,1),IF($Y$3="申万二级行业",[1]!s_info_industry_sw_2021(W3696,公司分析!D$5,2),IF($Y$3="申万三级行业",[1]!s_info_industry_sw_2021(W3696,公司分析!D$5,3),IF($Y$3="wind一级行业",[1]!s_info_industry_gics(W3696,1),IF($Y$3="wind二级行业",[1]!s_info_industry_gics(W3696,2),IF($Y$3="wind三级行业",[1]!s_info_industry_gics(W3696,3),IF($Y$3="wind四级行业",[1]!s_info_industry_gics(W3696,4),IF($Y$3="证监会门类行业",[1]!s_info_industry_csrc12_n(W3696,公司分析!D$5,1),""))))))))</f>
        <v>金属新材料</v>
      </c>
      <c r="Z3696" s="302" t="str">
        <f ca="1">IF(Y3696=行业比较!$E$6,ROW(),"")</f>
        <v/>
      </c>
    </row>
    <row r="3697" spans="22:26">
      <c r="V3697" s="260">
        <f t="shared" ca="1" si="65"/>
        <v>0</v>
      </c>
      <c r="W3697" s="348" t="str">
        <f>IF(板块成分!B3699="","",板块成分!B3699)</f>
        <v>601138.SH</v>
      </c>
      <c r="X3697" s="276" t="str">
        <f>[1]!S_Info_Name(W3697)</f>
        <v>工业富联</v>
      </c>
      <c r="Y3697" s="276" t="str">
        <f ca="1">IF($Y$3="申万一级行业",[1]!s_info_industry_sw_2021(W3697,公司分析!D$5,1),IF($Y$3="申万二级行业",[1]!s_info_industry_sw_2021(W3697,公司分析!D$5,2),IF($Y$3="申万三级行业",[1]!s_info_industry_sw_2021(W3697,公司分析!D$5,3),IF($Y$3="wind一级行业",[1]!s_info_industry_gics(W3697,1),IF($Y$3="wind二级行业",[1]!s_info_industry_gics(W3697,2),IF($Y$3="wind三级行业",[1]!s_info_industry_gics(W3697,3),IF($Y$3="wind四级行业",[1]!s_info_industry_gics(W3697,4),IF($Y$3="证监会门类行业",[1]!s_info_industry_csrc12_n(W3697,公司分析!D$5,1),""))))))))</f>
        <v>消费电子</v>
      </c>
      <c r="Z3697" s="302" t="str">
        <f ca="1">IF(Y3697=行业比较!$E$6,ROW(),"")</f>
        <v/>
      </c>
    </row>
    <row r="3698" spans="22:26">
      <c r="V3698" s="260">
        <f t="shared" ca="1" si="65"/>
        <v>0</v>
      </c>
      <c r="W3698" s="348" t="str">
        <f>IF(板块成分!B3700="","",板块成分!B3700)</f>
        <v>601139.SH</v>
      </c>
      <c r="X3698" s="276" t="str">
        <f>[1]!S_Info_Name(W3698)</f>
        <v>深圳燃气</v>
      </c>
      <c r="Y3698" s="276" t="str">
        <f ca="1">IF($Y$3="申万一级行业",[1]!s_info_industry_sw_2021(W3698,公司分析!D$5,1),IF($Y$3="申万二级行业",[1]!s_info_industry_sw_2021(W3698,公司分析!D$5,2),IF($Y$3="申万三级行业",[1]!s_info_industry_sw_2021(W3698,公司分析!D$5,3),IF($Y$3="wind一级行业",[1]!s_info_industry_gics(W3698,1),IF($Y$3="wind二级行业",[1]!s_info_industry_gics(W3698,2),IF($Y$3="wind三级行业",[1]!s_info_industry_gics(W3698,3),IF($Y$3="wind四级行业",[1]!s_info_industry_gics(W3698,4),IF($Y$3="证监会门类行业",[1]!s_info_industry_csrc12_n(W3698,公司分析!D$5,1),""))))))))</f>
        <v>燃气Ⅱ</v>
      </c>
      <c r="Z3698" s="302" t="str">
        <f ca="1">IF(Y3698=行业比较!$E$6,ROW(),"")</f>
        <v/>
      </c>
    </row>
    <row r="3699" spans="22:26">
      <c r="V3699" s="260">
        <f t="shared" ca="1" si="65"/>
        <v>0</v>
      </c>
      <c r="W3699" s="348" t="str">
        <f>IF(板块成分!B3701="","",板块成分!B3701)</f>
        <v>601155.SH</v>
      </c>
      <c r="X3699" s="276" t="str">
        <f>[1]!S_Info_Name(W3699)</f>
        <v>新城控股</v>
      </c>
      <c r="Y3699" s="276" t="str">
        <f ca="1">IF($Y$3="申万一级行业",[1]!s_info_industry_sw_2021(W3699,公司分析!D$5,1),IF($Y$3="申万二级行业",[1]!s_info_industry_sw_2021(W3699,公司分析!D$5,2),IF($Y$3="申万三级行业",[1]!s_info_industry_sw_2021(W3699,公司分析!D$5,3),IF($Y$3="wind一级行业",[1]!s_info_industry_gics(W3699,1),IF($Y$3="wind二级行业",[1]!s_info_industry_gics(W3699,2),IF($Y$3="wind三级行业",[1]!s_info_industry_gics(W3699,3),IF($Y$3="wind四级行业",[1]!s_info_industry_gics(W3699,4),IF($Y$3="证监会门类行业",[1]!s_info_industry_csrc12_n(W3699,公司分析!D$5,1),""))))))))</f>
        <v>房地产开发</v>
      </c>
      <c r="Z3699" s="302" t="str">
        <f ca="1">IF(Y3699=行业比较!$E$6,ROW(),"")</f>
        <v/>
      </c>
    </row>
    <row r="3700" spans="22:26">
      <c r="V3700" s="260">
        <f t="shared" ca="1" si="65"/>
        <v>0</v>
      </c>
      <c r="W3700" s="348" t="str">
        <f>IF(板块成分!B3702="","",板块成分!B3702)</f>
        <v>601156.SH</v>
      </c>
      <c r="X3700" s="276" t="str">
        <f>[1]!S_Info_Name(W3700)</f>
        <v>东航物流</v>
      </c>
      <c r="Y3700" s="276" t="str">
        <f ca="1">IF($Y$3="申万一级行业",[1]!s_info_industry_sw_2021(W3700,公司分析!D$5,1),IF($Y$3="申万二级行业",[1]!s_info_industry_sw_2021(W3700,公司分析!D$5,2),IF($Y$3="申万三级行业",[1]!s_info_industry_sw_2021(W3700,公司分析!D$5,3),IF($Y$3="wind一级行业",[1]!s_info_industry_gics(W3700,1),IF($Y$3="wind二级行业",[1]!s_info_industry_gics(W3700,2),IF($Y$3="wind三级行业",[1]!s_info_industry_gics(W3700,3),IF($Y$3="wind四级行业",[1]!s_info_industry_gics(W3700,4),IF($Y$3="证监会门类行业",[1]!s_info_industry_csrc12_n(W3700,公司分析!D$5,1),""))))))))</f>
        <v>物流</v>
      </c>
      <c r="Z3700" s="302" t="str">
        <f ca="1">IF(Y3700=行业比较!$E$6,ROW(),"")</f>
        <v/>
      </c>
    </row>
    <row r="3701" spans="22:26">
      <c r="V3701" s="260">
        <f t="shared" ca="1" si="65"/>
        <v>0</v>
      </c>
      <c r="W3701" s="348" t="str">
        <f>IF(板块成分!B3703="","",板块成分!B3703)</f>
        <v>601158.SH</v>
      </c>
      <c r="X3701" s="276" t="str">
        <f>[1]!S_Info_Name(W3701)</f>
        <v>重庆水务</v>
      </c>
      <c r="Y3701" s="276" t="str">
        <f ca="1">IF($Y$3="申万一级行业",[1]!s_info_industry_sw_2021(W3701,公司分析!D$5,1),IF($Y$3="申万二级行业",[1]!s_info_industry_sw_2021(W3701,公司分析!D$5,2),IF($Y$3="申万三级行业",[1]!s_info_industry_sw_2021(W3701,公司分析!D$5,3),IF($Y$3="wind一级行业",[1]!s_info_industry_gics(W3701,1),IF($Y$3="wind二级行业",[1]!s_info_industry_gics(W3701,2),IF($Y$3="wind三级行业",[1]!s_info_industry_gics(W3701,3),IF($Y$3="wind四级行业",[1]!s_info_industry_gics(W3701,4),IF($Y$3="证监会门类行业",[1]!s_info_industry_csrc12_n(W3701,公司分析!D$5,1),""))))))))</f>
        <v>环境治理</v>
      </c>
      <c r="Z3701" s="302" t="str">
        <f ca="1">IF(Y3701=行业比较!$E$6,ROW(),"")</f>
        <v/>
      </c>
    </row>
    <row r="3702" spans="22:26">
      <c r="V3702" s="260">
        <f t="shared" ca="1" si="65"/>
        <v>0</v>
      </c>
      <c r="W3702" s="348" t="str">
        <f>IF(板块成分!B3704="","",板块成分!B3704)</f>
        <v>601162.SH</v>
      </c>
      <c r="X3702" s="276" t="str">
        <f>[1]!S_Info_Name(W3702)</f>
        <v>天风证券</v>
      </c>
      <c r="Y3702" s="276" t="str">
        <f ca="1">IF($Y$3="申万一级行业",[1]!s_info_industry_sw_2021(W3702,公司分析!D$5,1),IF($Y$3="申万二级行业",[1]!s_info_industry_sw_2021(W3702,公司分析!D$5,2),IF($Y$3="申万三级行业",[1]!s_info_industry_sw_2021(W3702,公司分析!D$5,3),IF($Y$3="wind一级行业",[1]!s_info_industry_gics(W3702,1),IF($Y$3="wind二级行业",[1]!s_info_industry_gics(W3702,2),IF($Y$3="wind三级行业",[1]!s_info_industry_gics(W3702,3),IF($Y$3="wind四级行业",[1]!s_info_industry_gics(W3702,4),IF($Y$3="证监会门类行业",[1]!s_info_industry_csrc12_n(W3702,公司分析!D$5,1),""))))))))</f>
        <v>证券Ⅱ</v>
      </c>
      <c r="Z3702" s="302" t="str">
        <f ca="1">IF(Y3702=行业比较!$E$6,ROW(),"")</f>
        <v/>
      </c>
    </row>
    <row r="3703" spans="22:26">
      <c r="V3703" s="260">
        <f t="shared" ca="1" si="65"/>
        <v>0</v>
      </c>
      <c r="W3703" s="348" t="str">
        <f>IF(板块成分!B3705="","",板块成分!B3705)</f>
        <v>601163.SH</v>
      </c>
      <c r="X3703" s="276" t="str">
        <f>[1]!S_Info_Name(W3703)</f>
        <v>三角轮胎</v>
      </c>
      <c r="Y3703" s="276" t="str">
        <f ca="1">IF($Y$3="申万一级行业",[1]!s_info_industry_sw_2021(W3703,公司分析!D$5,1),IF($Y$3="申万二级行业",[1]!s_info_industry_sw_2021(W3703,公司分析!D$5,2),IF($Y$3="申万三级行业",[1]!s_info_industry_sw_2021(W3703,公司分析!D$5,3),IF($Y$3="wind一级行业",[1]!s_info_industry_gics(W3703,1),IF($Y$3="wind二级行业",[1]!s_info_industry_gics(W3703,2),IF($Y$3="wind三级行业",[1]!s_info_industry_gics(W3703,3),IF($Y$3="wind四级行业",[1]!s_info_industry_gics(W3703,4),IF($Y$3="证监会门类行业",[1]!s_info_industry_csrc12_n(W3703,公司分析!D$5,1),""))))))))</f>
        <v>汽车零部件</v>
      </c>
      <c r="Z3703" s="302" t="str">
        <f ca="1">IF(Y3703=行业比较!$E$6,ROW(),"")</f>
        <v/>
      </c>
    </row>
    <row r="3704" spans="22:26">
      <c r="V3704" s="260">
        <f t="shared" ca="1" si="65"/>
        <v>0</v>
      </c>
      <c r="W3704" s="348" t="str">
        <f>IF(板块成分!B3706="","",板块成分!B3706)</f>
        <v>601166.SH</v>
      </c>
      <c r="X3704" s="276" t="str">
        <f>[1]!S_Info_Name(W3704)</f>
        <v>兴业银行</v>
      </c>
      <c r="Y3704" s="276" t="str">
        <f ca="1">IF($Y$3="申万一级行业",[1]!s_info_industry_sw_2021(W3704,公司分析!D$5,1),IF($Y$3="申万二级行业",[1]!s_info_industry_sw_2021(W3704,公司分析!D$5,2),IF($Y$3="申万三级行业",[1]!s_info_industry_sw_2021(W3704,公司分析!D$5,3),IF($Y$3="wind一级行业",[1]!s_info_industry_gics(W3704,1),IF($Y$3="wind二级行业",[1]!s_info_industry_gics(W3704,2),IF($Y$3="wind三级行业",[1]!s_info_industry_gics(W3704,3),IF($Y$3="wind四级行业",[1]!s_info_industry_gics(W3704,4),IF($Y$3="证监会门类行业",[1]!s_info_industry_csrc12_n(W3704,公司分析!D$5,1),""))))))))</f>
        <v>股份制银行Ⅱ</v>
      </c>
      <c r="Z3704" s="302" t="str">
        <f ca="1">IF(Y3704=行业比较!$E$6,ROW(),"")</f>
        <v/>
      </c>
    </row>
    <row r="3705" spans="22:26">
      <c r="V3705" s="260">
        <f t="shared" ca="1" si="65"/>
        <v>44</v>
      </c>
      <c r="W3705" s="348" t="str">
        <f>IF(板块成分!B3707="","",板块成分!B3707)</f>
        <v>601168.SH</v>
      </c>
      <c r="X3705" s="276" t="str">
        <f>[1]!S_Info_Name(W3705)</f>
        <v>西部矿业</v>
      </c>
      <c r="Y3705" s="276" t="str">
        <f ca="1">IF($Y$3="申万一级行业",[1]!s_info_industry_sw_2021(W3705,公司分析!D$5,1),IF($Y$3="申万二级行业",[1]!s_info_industry_sw_2021(W3705,公司分析!D$5,2),IF($Y$3="申万三级行业",[1]!s_info_industry_sw_2021(W3705,公司分析!D$5,3),IF($Y$3="wind一级行业",[1]!s_info_industry_gics(W3705,1),IF($Y$3="wind二级行业",[1]!s_info_industry_gics(W3705,2),IF($Y$3="wind三级行业",[1]!s_info_industry_gics(W3705,3),IF($Y$3="wind四级行业",[1]!s_info_industry_gics(W3705,4),IF($Y$3="证监会门类行业",[1]!s_info_industry_csrc12_n(W3705,公司分析!D$5,1),""))))))))</f>
        <v>工业金属</v>
      </c>
      <c r="Z3705" s="302">
        <f ca="1">IF(Y3705=行业比较!$E$6,ROW(),"")</f>
        <v>3705</v>
      </c>
    </row>
    <row r="3706" spans="22:26">
      <c r="V3706" s="260">
        <f t="shared" ca="1" si="65"/>
        <v>0</v>
      </c>
      <c r="W3706" s="348" t="str">
        <f>IF(板块成分!B3708="","",板块成分!B3708)</f>
        <v>601169.SH</v>
      </c>
      <c r="X3706" s="276" t="str">
        <f>[1]!S_Info_Name(W3706)</f>
        <v>北京银行</v>
      </c>
      <c r="Y3706" s="276" t="str">
        <f ca="1">IF($Y$3="申万一级行业",[1]!s_info_industry_sw_2021(W3706,公司分析!D$5,1),IF($Y$3="申万二级行业",[1]!s_info_industry_sw_2021(W3706,公司分析!D$5,2),IF($Y$3="申万三级行业",[1]!s_info_industry_sw_2021(W3706,公司分析!D$5,3),IF($Y$3="wind一级行业",[1]!s_info_industry_gics(W3706,1),IF($Y$3="wind二级行业",[1]!s_info_industry_gics(W3706,2),IF($Y$3="wind三级行业",[1]!s_info_industry_gics(W3706,3),IF($Y$3="wind四级行业",[1]!s_info_industry_gics(W3706,4),IF($Y$3="证监会门类行业",[1]!s_info_industry_csrc12_n(W3706,公司分析!D$5,1),""))))))))</f>
        <v>城商行Ⅱ</v>
      </c>
      <c r="Z3706" s="302" t="str">
        <f ca="1">IF(Y3706=行业比较!$E$6,ROW(),"")</f>
        <v/>
      </c>
    </row>
    <row r="3707" spans="22:26">
      <c r="V3707" s="260">
        <f t="shared" ca="1" si="65"/>
        <v>0</v>
      </c>
      <c r="W3707" s="348" t="str">
        <f>IF(板块成分!B3709="","",板块成分!B3709)</f>
        <v>601177.SH</v>
      </c>
      <c r="X3707" s="276" t="str">
        <f>[1]!S_Info_Name(W3707)</f>
        <v>杭齿前进</v>
      </c>
      <c r="Y3707" s="276" t="str">
        <f ca="1">IF($Y$3="申万一级行业",[1]!s_info_industry_sw_2021(W3707,公司分析!D$5,1),IF($Y$3="申万二级行业",[1]!s_info_industry_sw_2021(W3707,公司分析!D$5,2),IF($Y$3="申万三级行业",[1]!s_info_industry_sw_2021(W3707,公司分析!D$5,3),IF($Y$3="wind一级行业",[1]!s_info_industry_gics(W3707,1),IF($Y$3="wind二级行业",[1]!s_info_industry_gics(W3707,2),IF($Y$3="wind三级行业",[1]!s_info_industry_gics(W3707,3),IF($Y$3="wind四级行业",[1]!s_info_industry_gics(W3707,4),IF($Y$3="证监会门类行业",[1]!s_info_industry_csrc12_n(W3707,公司分析!D$5,1),""))))))))</f>
        <v>通用设备</v>
      </c>
      <c r="Z3707" s="302" t="str">
        <f ca="1">IF(Y3707=行业比较!$E$6,ROW(),"")</f>
        <v/>
      </c>
    </row>
    <row r="3708" spans="22:26">
      <c r="V3708" s="260">
        <f t="shared" ca="1" si="65"/>
        <v>0</v>
      </c>
      <c r="W3708" s="348" t="str">
        <f>IF(板块成分!B3710="","",板块成分!B3710)</f>
        <v>601179.SH</v>
      </c>
      <c r="X3708" s="276" t="str">
        <f>[1]!S_Info_Name(W3708)</f>
        <v>中国西电</v>
      </c>
      <c r="Y3708" s="276" t="str">
        <f ca="1">IF($Y$3="申万一级行业",[1]!s_info_industry_sw_2021(W3708,公司分析!D$5,1),IF($Y$3="申万二级行业",[1]!s_info_industry_sw_2021(W3708,公司分析!D$5,2),IF($Y$3="申万三级行业",[1]!s_info_industry_sw_2021(W3708,公司分析!D$5,3),IF($Y$3="wind一级行业",[1]!s_info_industry_gics(W3708,1),IF($Y$3="wind二级行业",[1]!s_info_industry_gics(W3708,2),IF($Y$3="wind三级行业",[1]!s_info_industry_gics(W3708,3),IF($Y$3="wind四级行业",[1]!s_info_industry_gics(W3708,4),IF($Y$3="证监会门类行业",[1]!s_info_industry_csrc12_n(W3708,公司分析!D$5,1),""))))))))</f>
        <v>电网设备</v>
      </c>
      <c r="Z3708" s="302" t="str">
        <f ca="1">IF(Y3708=行业比较!$E$6,ROW(),"")</f>
        <v/>
      </c>
    </row>
    <row r="3709" spans="22:26">
      <c r="V3709" s="260">
        <f t="shared" ca="1" si="65"/>
        <v>0</v>
      </c>
      <c r="W3709" s="348" t="str">
        <f>IF(板块成分!B3711="","",板块成分!B3711)</f>
        <v>601186.SH</v>
      </c>
      <c r="X3709" s="276" t="str">
        <f>[1]!S_Info_Name(W3709)</f>
        <v>中国铁建</v>
      </c>
      <c r="Y3709" s="276" t="str">
        <f ca="1">IF($Y$3="申万一级行业",[1]!s_info_industry_sw_2021(W3709,公司分析!D$5,1),IF($Y$3="申万二级行业",[1]!s_info_industry_sw_2021(W3709,公司分析!D$5,2),IF($Y$3="申万三级行业",[1]!s_info_industry_sw_2021(W3709,公司分析!D$5,3),IF($Y$3="wind一级行业",[1]!s_info_industry_gics(W3709,1),IF($Y$3="wind二级行业",[1]!s_info_industry_gics(W3709,2),IF($Y$3="wind三级行业",[1]!s_info_industry_gics(W3709,3),IF($Y$3="wind四级行业",[1]!s_info_industry_gics(W3709,4),IF($Y$3="证监会门类行业",[1]!s_info_industry_csrc12_n(W3709,公司分析!D$5,1),""))))))))</f>
        <v>基础建设</v>
      </c>
      <c r="Z3709" s="302" t="str">
        <f ca="1">IF(Y3709=行业比较!$E$6,ROW(),"")</f>
        <v/>
      </c>
    </row>
    <row r="3710" spans="22:26">
      <c r="V3710" s="260">
        <f t="shared" ca="1" si="65"/>
        <v>0</v>
      </c>
      <c r="W3710" s="348" t="str">
        <f>IF(板块成分!B3712="","",板块成分!B3712)</f>
        <v>601187.SH</v>
      </c>
      <c r="X3710" s="276" t="str">
        <f>[1]!S_Info_Name(W3710)</f>
        <v>厦门银行</v>
      </c>
      <c r="Y3710" s="276" t="str">
        <f ca="1">IF($Y$3="申万一级行业",[1]!s_info_industry_sw_2021(W3710,公司分析!D$5,1),IF($Y$3="申万二级行业",[1]!s_info_industry_sw_2021(W3710,公司分析!D$5,2),IF($Y$3="申万三级行业",[1]!s_info_industry_sw_2021(W3710,公司分析!D$5,3),IF($Y$3="wind一级行业",[1]!s_info_industry_gics(W3710,1),IF($Y$3="wind二级行业",[1]!s_info_industry_gics(W3710,2),IF($Y$3="wind三级行业",[1]!s_info_industry_gics(W3710,3),IF($Y$3="wind四级行业",[1]!s_info_industry_gics(W3710,4),IF($Y$3="证监会门类行业",[1]!s_info_industry_csrc12_n(W3710,公司分析!D$5,1),""))))))))</f>
        <v>城商行Ⅱ</v>
      </c>
      <c r="Z3710" s="302" t="str">
        <f ca="1">IF(Y3710=行业比较!$E$6,ROW(),"")</f>
        <v/>
      </c>
    </row>
    <row r="3711" spans="22:26">
      <c r="V3711" s="260">
        <f t="shared" ca="1" si="65"/>
        <v>0</v>
      </c>
      <c r="W3711" s="348" t="str">
        <f>IF(板块成分!B3713="","",板块成分!B3713)</f>
        <v>601188.SH</v>
      </c>
      <c r="X3711" s="276" t="str">
        <f>[1]!S_Info_Name(W3711)</f>
        <v>龙江交通</v>
      </c>
      <c r="Y3711" s="276" t="str">
        <f ca="1">IF($Y$3="申万一级行业",[1]!s_info_industry_sw_2021(W3711,公司分析!D$5,1),IF($Y$3="申万二级行业",[1]!s_info_industry_sw_2021(W3711,公司分析!D$5,2),IF($Y$3="申万三级行业",[1]!s_info_industry_sw_2021(W3711,公司分析!D$5,3),IF($Y$3="wind一级行业",[1]!s_info_industry_gics(W3711,1),IF($Y$3="wind二级行业",[1]!s_info_industry_gics(W3711,2),IF($Y$3="wind三级行业",[1]!s_info_industry_gics(W3711,3),IF($Y$3="wind四级行业",[1]!s_info_industry_gics(W3711,4),IF($Y$3="证监会门类行业",[1]!s_info_industry_csrc12_n(W3711,公司分析!D$5,1),""))))))))</f>
        <v>铁路公路</v>
      </c>
      <c r="Z3711" s="302" t="str">
        <f ca="1">IF(Y3711=行业比较!$E$6,ROW(),"")</f>
        <v/>
      </c>
    </row>
    <row r="3712" spans="22:26">
      <c r="V3712" s="260">
        <f t="shared" ca="1" si="65"/>
        <v>0</v>
      </c>
      <c r="W3712" s="348" t="str">
        <f>IF(板块成分!B3714="","",板块成分!B3714)</f>
        <v>601198.SH</v>
      </c>
      <c r="X3712" s="276" t="str">
        <f>[1]!S_Info_Name(W3712)</f>
        <v>东兴证券</v>
      </c>
      <c r="Y3712" s="276" t="str">
        <f ca="1">IF($Y$3="申万一级行业",[1]!s_info_industry_sw_2021(W3712,公司分析!D$5,1),IF($Y$3="申万二级行业",[1]!s_info_industry_sw_2021(W3712,公司分析!D$5,2),IF($Y$3="申万三级行业",[1]!s_info_industry_sw_2021(W3712,公司分析!D$5,3),IF($Y$3="wind一级行业",[1]!s_info_industry_gics(W3712,1),IF($Y$3="wind二级行业",[1]!s_info_industry_gics(W3712,2),IF($Y$3="wind三级行业",[1]!s_info_industry_gics(W3712,3),IF($Y$3="wind四级行业",[1]!s_info_industry_gics(W3712,4),IF($Y$3="证监会门类行业",[1]!s_info_industry_csrc12_n(W3712,公司分析!D$5,1),""))))))))</f>
        <v>证券Ⅱ</v>
      </c>
      <c r="Z3712" s="302" t="str">
        <f ca="1">IF(Y3712=行业比较!$E$6,ROW(),"")</f>
        <v/>
      </c>
    </row>
    <row r="3713" spans="22:26">
      <c r="V3713" s="260">
        <f t="shared" ca="1" si="65"/>
        <v>0</v>
      </c>
      <c r="W3713" s="348" t="str">
        <f>IF(板块成分!B3715="","",板块成分!B3715)</f>
        <v>601199.SH</v>
      </c>
      <c r="X3713" s="276" t="str">
        <f>[1]!S_Info_Name(W3713)</f>
        <v>江南水务</v>
      </c>
      <c r="Y3713" s="276" t="str">
        <f ca="1">IF($Y$3="申万一级行业",[1]!s_info_industry_sw_2021(W3713,公司分析!D$5,1),IF($Y$3="申万二级行业",[1]!s_info_industry_sw_2021(W3713,公司分析!D$5,2),IF($Y$3="申万三级行业",[1]!s_info_industry_sw_2021(W3713,公司分析!D$5,3),IF($Y$3="wind一级行业",[1]!s_info_industry_gics(W3713,1),IF($Y$3="wind二级行业",[1]!s_info_industry_gics(W3713,2),IF($Y$3="wind三级行业",[1]!s_info_industry_gics(W3713,3),IF($Y$3="wind四级行业",[1]!s_info_industry_gics(W3713,4),IF($Y$3="证监会门类行业",[1]!s_info_industry_csrc12_n(W3713,公司分析!D$5,1),""))))))))</f>
        <v>环境治理</v>
      </c>
      <c r="Z3713" s="302" t="str">
        <f ca="1">IF(Y3713=行业比较!$E$6,ROW(),"")</f>
        <v/>
      </c>
    </row>
    <row r="3714" spans="22:26">
      <c r="V3714" s="260">
        <f t="shared" ca="1" si="65"/>
        <v>0</v>
      </c>
      <c r="W3714" s="348" t="str">
        <f>IF(板块成分!B3716="","",板块成分!B3716)</f>
        <v>601200.SH</v>
      </c>
      <c r="X3714" s="276" t="str">
        <f>[1]!S_Info_Name(W3714)</f>
        <v>上海环境</v>
      </c>
      <c r="Y3714" s="276" t="str">
        <f ca="1">IF($Y$3="申万一级行业",[1]!s_info_industry_sw_2021(W3714,公司分析!D$5,1),IF($Y$3="申万二级行业",[1]!s_info_industry_sw_2021(W3714,公司分析!D$5,2),IF($Y$3="申万三级行业",[1]!s_info_industry_sw_2021(W3714,公司分析!D$5,3),IF($Y$3="wind一级行业",[1]!s_info_industry_gics(W3714,1),IF($Y$3="wind二级行业",[1]!s_info_industry_gics(W3714,2),IF($Y$3="wind三级行业",[1]!s_info_industry_gics(W3714,3),IF($Y$3="wind四级行业",[1]!s_info_industry_gics(W3714,4),IF($Y$3="证监会门类行业",[1]!s_info_industry_csrc12_n(W3714,公司分析!D$5,1),""))))))))</f>
        <v>环境治理</v>
      </c>
      <c r="Z3714" s="302" t="str">
        <f ca="1">IF(Y3714=行业比较!$E$6,ROW(),"")</f>
        <v/>
      </c>
    </row>
    <row r="3715" spans="22:26">
      <c r="V3715" s="260">
        <f t="shared" ca="1" si="65"/>
        <v>0</v>
      </c>
      <c r="W3715" s="348" t="str">
        <f>IF(板块成分!B3717="","",板块成分!B3717)</f>
        <v>601208.SH</v>
      </c>
      <c r="X3715" s="276" t="str">
        <f>[1]!S_Info_Name(W3715)</f>
        <v>东材科技</v>
      </c>
      <c r="Y3715" s="276" t="str">
        <f ca="1">IF($Y$3="申万一级行业",[1]!s_info_industry_sw_2021(W3715,公司分析!D$5,1),IF($Y$3="申万二级行业",[1]!s_info_industry_sw_2021(W3715,公司分析!D$5,2),IF($Y$3="申万三级行业",[1]!s_info_industry_sw_2021(W3715,公司分析!D$5,3),IF($Y$3="wind一级行业",[1]!s_info_industry_gics(W3715,1),IF($Y$3="wind二级行业",[1]!s_info_industry_gics(W3715,2),IF($Y$3="wind三级行业",[1]!s_info_industry_gics(W3715,3),IF($Y$3="wind四级行业",[1]!s_info_industry_gics(W3715,4),IF($Y$3="证监会门类行业",[1]!s_info_industry_csrc12_n(W3715,公司分析!D$5,1),""))))))))</f>
        <v>塑料</v>
      </c>
      <c r="Z3715" s="302" t="str">
        <f ca="1">IF(Y3715=行业比较!$E$6,ROW(),"")</f>
        <v/>
      </c>
    </row>
    <row r="3716" spans="22:26">
      <c r="V3716" s="260">
        <f t="shared" ca="1" si="65"/>
        <v>0</v>
      </c>
      <c r="W3716" s="348" t="str">
        <f>IF(板块成分!B3718="","",板块成分!B3718)</f>
        <v>601211.SH</v>
      </c>
      <c r="X3716" s="276" t="str">
        <f>[1]!S_Info_Name(W3716)</f>
        <v>国泰海通</v>
      </c>
      <c r="Y3716" s="276" t="str">
        <f ca="1">IF($Y$3="申万一级行业",[1]!s_info_industry_sw_2021(W3716,公司分析!D$5,1),IF($Y$3="申万二级行业",[1]!s_info_industry_sw_2021(W3716,公司分析!D$5,2),IF($Y$3="申万三级行业",[1]!s_info_industry_sw_2021(W3716,公司分析!D$5,3),IF($Y$3="wind一级行业",[1]!s_info_industry_gics(W3716,1),IF($Y$3="wind二级行业",[1]!s_info_industry_gics(W3716,2),IF($Y$3="wind三级行业",[1]!s_info_industry_gics(W3716,3),IF($Y$3="wind四级行业",[1]!s_info_industry_gics(W3716,4),IF($Y$3="证监会门类行业",[1]!s_info_industry_csrc12_n(W3716,公司分析!D$5,1),""))))))))</f>
        <v>证券Ⅱ</v>
      </c>
      <c r="Z3716" s="302" t="str">
        <f ca="1">IF(Y3716=行业比较!$E$6,ROW(),"")</f>
        <v/>
      </c>
    </row>
    <row r="3717" spans="22:26">
      <c r="V3717" s="260">
        <f t="shared" ref="V3717:V3780" ca="1" si="66">IF(Z3717="",0,RANK(Z3717,Z:Z,1))</f>
        <v>45</v>
      </c>
      <c r="W3717" s="348" t="str">
        <f>IF(板块成分!B3719="","",板块成分!B3719)</f>
        <v>601212.SH</v>
      </c>
      <c r="X3717" s="276" t="str">
        <f>[1]!S_Info_Name(W3717)</f>
        <v>白银有色</v>
      </c>
      <c r="Y3717" s="276" t="str">
        <f ca="1">IF($Y$3="申万一级行业",[1]!s_info_industry_sw_2021(W3717,公司分析!D$5,1),IF($Y$3="申万二级行业",[1]!s_info_industry_sw_2021(W3717,公司分析!D$5,2),IF($Y$3="申万三级行业",[1]!s_info_industry_sw_2021(W3717,公司分析!D$5,3),IF($Y$3="wind一级行业",[1]!s_info_industry_gics(W3717,1),IF($Y$3="wind二级行业",[1]!s_info_industry_gics(W3717,2),IF($Y$3="wind三级行业",[1]!s_info_industry_gics(W3717,3),IF($Y$3="wind四级行业",[1]!s_info_industry_gics(W3717,4),IF($Y$3="证监会门类行业",[1]!s_info_industry_csrc12_n(W3717,公司分析!D$5,1),""))))))))</f>
        <v>工业金属</v>
      </c>
      <c r="Z3717" s="302">
        <f ca="1">IF(Y3717=行业比较!$E$6,ROW(),"")</f>
        <v>3717</v>
      </c>
    </row>
    <row r="3718" spans="22:26">
      <c r="V3718" s="260">
        <f t="shared" ca="1" si="66"/>
        <v>0</v>
      </c>
      <c r="W3718" s="348" t="str">
        <f>IF(板块成分!B3720="","",板块成分!B3720)</f>
        <v>601216.SH</v>
      </c>
      <c r="X3718" s="276" t="str">
        <f>[1]!S_Info_Name(W3718)</f>
        <v>君正集团</v>
      </c>
      <c r="Y3718" s="276" t="str">
        <f ca="1">IF($Y$3="申万一级行业",[1]!s_info_industry_sw_2021(W3718,公司分析!D$5,1),IF($Y$3="申万二级行业",[1]!s_info_industry_sw_2021(W3718,公司分析!D$5,2),IF($Y$3="申万三级行业",[1]!s_info_industry_sw_2021(W3718,公司分析!D$5,3),IF($Y$3="wind一级行业",[1]!s_info_industry_gics(W3718,1),IF($Y$3="wind二级行业",[1]!s_info_industry_gics(W3718,2),IF($Y$3="wind三级行业",[1]!s_info_industry_gics(W3718,3),IF($Y$3="wind四级行业",[1]!s_info_industry_gics(W3718,4),IF($Y$3="证监会门类行业",[1]!s_info_industry_csrc12_n(W3718,公司分析!D$5,1),""))))))))</f>
        <v>化学原料</v>
      </c>
      <c r="Z3718" s="302" t="str">
        <f ca="1">IF(Y3718=行业比较!$E$6,ROW(),"")</f>
        <v/>
      </c>
    </row>
    <row r="3719" spans="22:26">
      <c r="V3719" s="260">
        <f t="shared" ca="1" si="66"/>
        <v>0</v>
      </c>
      <c r="W3719" s="348" t="str">
        <f>IF(板块成分!B3721="","",板块成分!B3721)</f>
        <v>601218.SH</v>
      </c>
      <c r="X3719" s="276" t="str">
        <f>[1]!S_Info_Name(W3719)</f>
        <v>吉鑫科技</v>
      </c>
      <c r="Y3719" s="276" t="str">
        <f ca="1">IF($Y$3="申万一级行业",[1]!s_info_industry_sw_2021(W3719,公司分析!D$5,1),IF($Y$3="申万二级行业",[1]!s_info_industry_sw_2021(W3719,公司分析!D$5,2),IF($Y$3="申万三级行业",[1]!s_info_industry_sw_2021(W3719,公司分析!D$5,3),IF($Y$3="wind一级行业",[1]!s_info_industry_gics(W3719,1),IF($Y$3="wind二级行业",[1]!s_info_industry_gics(W3719,2),IF($Y$3="wind三级行业",[1]!s_info_industry_gics(W3719,3),IF($Y$3="wind四级行业",[1]!s_info_industry_gics(W3719,4),IF($Y$3="证监会门类行业",[1]!s_info_industry_csrc12_n(W3719,公司分析!D$5,1),""))))))))</f>
        <v>风电设备</v>
      </c>
      <c r="Z3719" s="302" t="str">
        <f ca="1">IF(Y3719=行业比较!$E$6,ROW(),"")</f>
        <v/>
      </c>
    </row>
    <row r="3720" spans="22:26">
      <c r="V3720" s="260">
        <f t="shared" ca="1" si="66"/>
        <v>0</v>
      </c>
      <c r="W3720" s="348" t="str">
        <f>IF(板块成分!B3722="","",板块成分!B3722)</f>
        <v>601222.SH</v>
      </c>
      <c r="X3720" s="276" t="str">
        <f>[1]!S_Info_Name(W3720)</f>
        <v>林洋能源</v>
      </c>
      <c r="Y3720" s="276" t="str">
        <f ca="1">IF($Y$3="申万一级行业",[1]!s_info_industry_sw_2021(W3720,公司分析!D$5,1),IF($Y$3="申万二级行业",[1]!s_info_industry_sw_2021(W3720,公司分析!D$5,2),IF($Y$3="申万三级行业",[1]!s_info_industry_sw_2021(W3720,公司分析!D$5,3),IF($Y$3="wind一级行业",[1]!s_info_industry_gics(W3720,1),IF($Y$3="wind二级行业",[1]!s_info_industry_gics(W3720,2),IF($Y$3="wind三级行业",[1]!s_info_industry_gics(W3720,3),IF($Y$3="wind四级行业",[1]!s_info_industry_gics(W3720,4),IF($Y$3="证监会门类行业",[1]!s_info_industry_csrc12_n(W3720,公司分析!D$5,1),""))))))))</f>
        <v>电力</v>
      </c>
      <c r="Z3720" s="302" t="str">
        <f ca="1">IF(Y3720=行业比较!$E$6,ROW(),"")</f>
        <v/>
      </c>
    </row>
    <row r="3721" spans="22:26">
      <c r="V3721" s="260">
        <f t="shared" ca="1" si="66"/>
        <v>0</v>
      </c>
      <c r="W3721" s="348" t="str">
        <f>IF(板块成分!B3723="","",板块成分!B3723)</f>
        <v>601225.SH</v>
      </c>
      <c r="X3721" s="276" t="str">
        <f>[1]!S_Info_Name(W3721)</f>
        <v>陕西煤业</v>
      </c>
      <c r="Y3721" s="276" t="str">
        <f ca="1">IF($Y$3="申万一级行业",[1]!s_info_industry_sw_2021(W3721,公司分析!D$5,1),IF($Y$3="申万二级行业",[1]!s_info_industry_sw_2021(W3721,公司分析!D$5,2),IF($Y$3="申万三级行业",[1]!s_info_industry_sw_2021(W3721,公司分析!D$5,3),IF($Y$3="wind一级行业",[1]!s_info_industry_gics(W3721,1),IF($Y$3="wind二级行业",[1]!s_info_industry_gics(W3721,2),IF($Y$3="wind三级行业",[1]!s_info_industry_gics(W3721,3),IF($Y$3="wind四级行业",[1]!s_info_industry_gics(W3721,4),IF($Y$3="证监会门类行业",[1]!s_info_industry_csrc12_n(W3721,公司分析!D$5,1),""))))))))</f>
        <v>煤炭开采</v>
      </c>
      <c r="Z3721" s="302" t="str">
        <f ca="1">IF(Y3721=行业比较!$E$6,ROW(),"")</f>
        <v/>
      </c>
    </row>
    <row r="3722" spans="22:26">
      <c r="V3722" s="260">
        <f t="shared" ca="1" si="66"/>
        <v>0</v>
      </c>
      <c r="W3722" s="348" t="str">
        <f>IF(板块成分!B3724="","",板块成分!B3724)</f>
        <v>601226.SH</v>
      </c>
      <c r="X3722" s="276" t="str">
        <f>[1]!S_Info_Name(W3722)</f>
        <v>华电科工</v>
      </c>
      <c r="Y3722" s="276" t="str">
        <f ca="1">IF($Y$3="申万一级行业",[1]!s_info_industry_sw_2021(W3722,公司分析!D$5,1),IF($Y$3="申万二级行业",[1]!s_info_industry_sw_2021(W3722,公司分析!D$5,2),IF($Y$3="申万三级行业",[1]!s_info_industry_sw_2021(W3722,公司分析!D$5,3),IF($Y$3="wind一级行业",[1]!s_info_industry_gics(W3722,1),IF($Y$3="wind二级行业",[1]!s_info_industry_gics(W3722,2),IF($Y$3="wind三级行业",[1]!s_info_industry_gics(W3722,3),IF($Y$3="wind四级行业",[1]!s_info_industry_gics(W3722,4),IF($Y$3="证监会门类行业",[1]!s_info_industry_csrc12_n(W3722,公司分析!D$5,1),""))))))))</f>
        <v>专业工程</v>
      </c>
      <c r="Z3722" s="302" t="str">
        <f ca="1">IF(Y3722=行业比较!$E$6,ROW(),"")</f>
        <v/>
      </c>
    </row>
    <row r="3723" spans="22:26">
      <c r="V3723" s="260">
        <f t="shared" ca="1" si="66"/>
        <v>0</v>
      </c>
      <c r="W3723" s="348" t="str">
        <f>IF(板块成分!B3725="","",板块成分!B3725)</f>
        <v>601228.SH</v>
      </c>
      <c r="X3723" s="276" t="str">
        <f>[1]!S_Info_Name(W3723)</f>
        <v>广州港</v>
      </c>
      <c r="Y3723" s="276" t="str">
        <f ca="1">IF($Y$3="申万一级行业",[1]!s_info_industry_sw_2021(W3723,公司分析!D$5,1),IF($Y$3="申万二级行业",[1]!s_info_industry_sw_2021(W3723,公司分析!D$5,2),IF($Y$3="申万三级行业",[1]!s_info_industry_sw_2021(W3723,公司分析!D$5,3),IF($Y$3="wind一级行业",[1]!s_info_industry_gics(W3723,1),IF($Y$3="wind二级行业",[1]!s_info_industry_gics(W3723,2),IF($Y$3="wind三级行业",[1]!s_info_industry_gics(W3723,3),IF($Y$3="wind四级行业",[1]!s_info_industry_gics(W3723,4),IF($Y$3="证监会门类行业",[1]!s_info_industry_csrc12_n(W3723,公司分析!D$5,1),""))))))))</f>
        <v>航运港口</v>
      </c>
      <c r="Z3723" s="302" t="str">
        <f ca="1">IF(Y3723=行业比较!$E$6,ROW(),"")</f>
        <v/>
      </c>
    </row>
    <row r="3724" spans="22:26">
      <c r="V3724" s="260">
        <f t="shared" ca="1" si="66"/>
        <v>0</v>
      </c>
      <c r="W3724" s="348" t="str">
        <f>IF(板块成分!B3726="","",板块成分!B3726)</f>
        <v>601229.SH</v>
      </c>
      <c r="X3724" s="276" t="str">
        <f>[1]!S_Info_Name(W3724)</f>
        <v>上海银行</v>
      </c>
      <c r="Y3724" s="276" t="str">
        <f ca="1">IF($Y$3="申万一级行业",[1]!s_info_industry_sw_2021(W3724,公司分析!D$5,1),IF($Y$3="申万二级行业",[1]!s_info_industry_sw_2021(W3724,公司分析!D$5,2),IF($Y$3="申万三级行业",[1]!s_info_industry_sw_2021(W3724,公司分析!D$5,3),IF($Y$3="wind一级行业",[1]!s_info_industry_gics(W3724,1),IF($Y$3="wind二级行业",[1]!s_info_industry_gics(W3724,2),IF($Y$3="wind三级行业",[1]!s_info_industry_gics(W3724,3),IF($Y$3="wind四级行业",[1]!s_info_industry_gics(W3724,4),IF($Y$3="证监会门类行业",[1]!s_info_industry_csrc12_n(W3724,公司分析!D$5,1),""))))))))</f>
        <v>城商行Ⅱ</v>
      </c>
      <c r="Z3724" s="302" t="str">
        <f ca="1">IF(Y3724=行业比较!$E$6,ROW(),"")</f>
        <v/>
      </c>
    </row>
    <row r="3725" spans="22:26">
      <c r="V3725" s="260">
        <f t="shared" ca="1" si="66"/>
        <v>0</v>
      </c>
      <c r="W3725" s="348" t="str">
        <f>IF(板块成分!B3727="","",板块成分!B3727)</f>
        <v>601231.SH</v>
      </c>
      <c r="X3725" s="276" t="str">
        <f>[1]!S_Info_Name(W3725)</f>
        <v>环旭电子</v>
      </c>
      <c r="Y3725" s="276" t="str">
        <f ca="1">IF($Y$3="申万一级行业",[1]!s_info_industry_sw_2021(W3725,公司分析!D$5,1),IF($Y$3="申万二级行业",[1]!s_info_industry_sw_2021(W3725,公司分析!D$5,2),IF($Y$3="申万三级行业",[1]!s_info_industry_sw_2021(W3725,公司分析!D$5,3),IF($Y$3="wind一级行业",[1]!s_info_industry_gics(W3725,1),IF($Y$3="wind二级行业",[1]!s_info_industry_gics(W3725,2),IF($Y$3="wind三级行业",[1]!s_info_industry_gics(W3725,3),IF($Y$3="wind四级行业",[1]!s_info_industry_gics(W3725,4),IF($Y$3="证监会门类行业",[1]!s_info_industry_csrc12_n(W3725,公司分析!D$5,1),""))))))))</f>
        <v>消费电子</v>
      </c>
      <c r="Z3725" s="302" t="str">
        <f ca="1">IF(Y3725=行业比较!$E$6,ROW(),"")</f>
        <v/>
      </c>
    </row>
    <row r="3726" spans="22:26">
      <c r="V3726" s="260">
        <f t="shared" ca="1" si="66"/>
        <v>0</v>
      </c>
      <c r="W3726" s="348" t="str">
        <f>IF(板块成分!B3728="","",板块成分!B3728)</f>
        <v>601233.SH</v>
      </c>
      <c r="X3726" s="276" t="str">
        <f>[1]!S_Info_Name(W3726)</f>
        <v>桐昆股份</v>
      </c>
      <c r="Y3726" s="276" t="str">
        <f ca="1">IF($Y$3="申万一级行业",[1]!s_info_industry_sw_2021(W3726,公司分析!D$5,1),IF($Y$3="申万二级行业",[1]!s_info_industry_sw_2021(W3726,公司分析!D$5,2),IF($Y$3="申万三级行业",[1]!s_info_industry_sw_2021(W3726,公司分析!D$5,3),IF($Y$3="wind一级行业",[1]!s_info_industry_gics(W3726,1),IF($Y$3="wind二级行业",[1]!s_info_industry_gics(W3726,2),IF($Y$3="wind三级行业",[1]!s_info_industry_gics(W3726,3),IF($Y$3="wind四级行业",[1]!s_info_industry_gics(W3726,4),IF($Y$3="证监会门类行业",[1]!s_info_industry_csrc12_n(W3726,公司分析!D$5,1),""))))))))</f>
        <v>炼化及贸易</v>
      </c>
      <c r="Z3726" s="302" t="str">
        <f ca="1">IF(Y3726=行业比较!$E$6,ROW(),"")</f>
        <v/>
      </c>
    </row>
    <row r="3727" spans="22:26">
      <c r="V3727" s="260">
        <f t="shared" ca="1" si="66"/>
        <v>0</v>
      </c>
      <c r="W3727" s="348" t="str">
        <f>IF(板块成分!B3729="","",板块成分!B3729)</f>
        <v>601236.SH</v>
      </c>
      <c r="X3727" s="276" t="str">
        <f>[1]!S_Info_Name(W3727)</f>
        <v>红塔证券</v>
      </c>
      <c r="Y3727" s="276" t="str">
        <f ca="1">IF($Y$3="申万一级行业",[1]!s_info_industry_sw_2021(W3727,公司分析!D$5,1),IF($Y$3="申万二级行业",[1]!s_info_industry_sw_2021(W3727,公司分析!D$5,2),IF($Y$3="申万三级行业",[1]!s_info_industry_sw_2021(W3727,公司分析!D$5,3),IF($Y$3="wind一级行业",[1]!s_info_industry_gics(W3727,1),IF($Y$3="wind二级行业",[1]!s_info_industry_gics(W3727,2),IF($Y$3="wind三级行业",[1]!s_info_industry_gics(W3727,3),IF($Y$3="wind四级行业",[1]!s_info_industry_gics(W3727,4),IF($Y$3="证监会门类行业",[1]!s_info_industry_csrc12_n(W3727,公司分析!D$5,1),""))))))))</f>
        <v>证券Ⅱ</v>
      </c>
      <c r="Z3727" s="302" t="str">
        <f ca="1">IF(Y3727=行业比较!$E$6,ROW(),"")</f>
        <v/>
      </c>
    </row>
    <row r="3728" spans="22:26">
      <c r="V3728" s="260">
        <f t="shared" ca="1" si="66"/>
        <v>0</v>
      </c>
      <c r="W3728" s="348" t="str">
        <f>IF(板块成分!B3730="","",板块成分!B3730)</f>
        <v>601238.SH</v>
      </c>
      <c r="X3728" s="276" t="str">
        <f>[1]!S_Info_Name(W3728)</f>
        <v>广汽集团</v>
      </c>
      <c r="Y3728" s="276" t="str">
        <f ca="1">IF($Y$3="申万一级行业",[1]!s_info_industry_sw_2021(W3728,公司分析!D$5,1),IF($Y$3="申万二级行业",[1]!s_info_industry_sw_2021(W3728,公司分析!D$5,2),IF($Y$3="申万三级行业",[1]!s_info_industry_sw_2021(W3728,公司分析!D$5,3),IF($Y$3="wind一级行业",[1]!s_info_industry_gics(W3728,1),IF($Y$3="wind二级行业",[1]!s_info_industry_gics(W3728,2),IF($Y$3="wind三级行业",[1]!s_info_industry_gics(W3728,3),IF($Y$3="wind四级行业",[1]!s_info_industry_gics(W3728,4),IF($Y$3="证监会门类行业",[1]!s_info_industry_csrc12_n(W3728,公司分析!D$5,1),""))))))))</f>
        <v>乘用车</v>
      </c>
      <c r="Z3728" s="302" t="str">
        <f ca="1">IF(Y3728=行业比较!$E$6,ROW(),"")</f>
        <v/>
      </c>
    </row>
    <row r="3729" spans="22:26">
      <c r="V3729" s="260">
        <f t="shared" ca="1" si="66"/>
        <v>0</v>
      </c>
      <c r="W3729" s="348" t="str">
        <f>IF(板块成分!B3731="","",板块成分!B3731)</f>
        <v>601279.SH</v>
      </c>
      <c r="X3729" s="276" t="str">
        <f>[1]!S_Info_Name(W3729)</f>
        <v>英利汽车</v>
      </c>
      <c r="Y3729" s="276" t="str">
        <f ca="1">IF($Y$3="申万一级行业",[1]!s_info_industry_sw_2021(W3729,公司分析!D$5,1),IF($Y$3="申万二级行业",[1]!s_info_industry_sw_2021(W3729,公司分析!D$5,2),IF($Y$3="申万三级行业",[1]!s_info_industry_sw_2021(W3729,公司分析!D$5,3),IF($Y$3="wind一级行业",[1]!s_info_industry_gics(W3729,1),IF($Y$3="wind二级行业",[1]!s_info_industry_gics(W3729,2),IF($Y$3="wind三级行业",[1]!s_info_industry_gics(W3729,3),IF($Y$3="wind四级行业",[1]!s_info_industry_gics(W3729,4),IF($Y$3="证监会门类行业",[1]!s_info_industry_csrc12_n(W3729,公司分析!D$5,1),""))))))))</f>
        <v>汽车零部件</v>
      </c>
      <c r="Z3729" s="302" t="str">
        <f ca="1">IF(Y3729=行业比较!$E$6,ROW(),"")</f>
        <v/>
      </c>
    </row>
    <row r="3730" spans="22:26">
      <c r="V3730" s="260">
        <f t="shared" ca="1" si="66"/>
        <v>0</v>
      </c>
      <c r="W3730" s="348" t="str">
        <f>IF(板块成分!B3732="","",板块成分!B3732)</f>
        <v>601288.SH</v>
      </c>
      <c r="X3730" s="276" t="str">
        <f>[1]!S_Info_Name(W3730)</f>
        <v>农业银行</v>
      </c>
      <c r="Y3730" s="276" t="str">
        <f ca="1">IF($Y$3="申万一级行业",[1]!s_info_industry_sw_2021(W3730,公司分析!D$5,1),IF($Y$3="申万二级行业",[1]!s_info_industry_sw_2021(W3730,公司分析!D$5,2),IF($Y$3="申万三级行业",[1]!s_info_industry_sw_2021(W3730,公司分析!D$5,3),IF($Y$3="wind一级行业",[1]!s_info_industry_gics(W3730,1),IF($Y$3="wind二级行业",[1]!s_info_industry_gics(W3730,2),IF($Y$3="wind三级行业",[1]!s_info_industry_gics(W3730,3),IF($Y$3="wind四级行业",[1]!s_info_industry_gics(W3730,4),IF($Y$3="证监会门类行业",[1]!s_info_industry_csrc12_n(W3730,公司分析!D$5,1),""))))))))</f>
        <v>国有大型银行Ⅱ</v>
      </c>
      <c r="Z3730" s="302" t="str">
        <f ca="1">IF(Y3730=行业比较!$E$6,ROW(),"")</f>
        <v/>
      </c>
    </row>
    <row r="3731" spans="22:26">
      <c r="V3731" s="260">
        <f t="shared" ca="1" si="66"/>
        <v>0</v>
      </c>
      <c r="W3731" s="348" t="str">
        <f>IF(板块成分!B3733="","",板块成分!B3733)</f>
        <v>601298.SH</v>
      </c>
      <c r="X3731" s="276" t="str">
        <f>[1]!S_Info_Name(W3731)</f>
        <v>青岛港</v>
      </c>
      <c r="Y3731" s="276" t="str">
        <f ca="1">IF($Y$3="申万一级行业",[1]!s_info_industry_sw_2021(W3731,公司分析!D$5,1),IF($Y$3="申万二级行业",[1]!s_info_industry_sw_2021(W3731,公司分析!D$5,2),IF($Y$3="申万三级行业",[1]!s_info_industry_sw_2021(W3731,公司分析!D$5,3),IF($Y$3="wind一级行业",[1]!s_info_industry_gics(W3731,1),IF($Y$3="wind二级行业",[1]!s_info_industry_gics(W3731,2),IF($Y$3="wind三级行业",[1]!s_info_industry_gics(W3731,3),IF($Y$3="wind四级行业",[1]!s_info_industry_gics(W3731,4),IF($Y$3="证监会门类行业",[1]!s_info_industry_csrc12_n(W3731,公司分析!D$5,1),""))))))))</f>
        <v>航运港口</v>
      </c>
      <c r="Z3731" s="302" t="str">
        <f ca="1">IF(Y3731=行业比较!$E$6,ROW(),"")</f>
        <v/>
      </c>
    </row>
    <row r="3732" spans="22:26">
      <c r="V3732" s="260">
        <f t="shared" ca="1" si="66"/>
        <v>0</v>
      </c>
      <c r="W3732" s="348" t="str">
        <f>IF(板块成分!B3734="","",板块成分!B3734)</f>
        <v>601311.SH</v>
      </c>
      <c r="X3732" s="276" t="str">
        <f>[1]!S_Info_Name(W3732)</f>
        <v>骆驼股份</v>
      </c>
      <c r="Y3732" s="276" t="str">
        <f ca="1">IF($Y$3="申万一级行业",[1]!s_info_industry_sw_2021(W3732,公司分析!D$5,1),IF($Y$3="申万二级行业",[1]!s_info_industry_sw_2021(W3732,公司分析!D$5,2),IF($Y$3="申万三级行业",[1]!s_info_industry_sw_2021(W3732,公司分析!D$5,3),IF($Y$3="wind一级行业",[1]!s_info_industry_gics(W3732,1),IF($Y$3="wind二级行业",[1]!s_info_industry_gics(W3732,2),IF($Y$3="wind三级行业",[1]!s_info_industry_gics(W3732,3),IF($Y$3="wind四级行业",[1]!s_info_industry_gics(W3732,4),IF($Y$3="证监会门类行业",[1]!s_info_industry_csrc12_n(W3732,公司分析!D$5,1),""))))))))</f>
        <v>电池</v>
      </c>
      <c r="Z3732" s="302" t="str">
        <f ca="1">IF(Y3732=行业比较!$E$6,ROW(),"")</f>
        <v/>
      </c>
    </row>
    <row r="3733" spans="22:26">
      <c r="V3733" s="260">
        <f t="shared" ca="1" si="66"/>
        <v>0</v>
      </c>
      <c r="W3733" s="348" t="str">
        <f>IF(板块成分!B3735="","",板块成分!B3735)</f>
        <v>601318.SH</v>
      </c>
      <c r="X3733" s="276" t="str">
        <f>[1]!S_Info_Name(W3733)</f>
        <v>中国平安</v>
      </c>
      <c r="Y3733" s="276" t="str">
        <f ca="1">IF($Y$3="申万一级行业",[1]!s_info_industry_sw_2021(W3733,公司分析!D$5,1),IF($Y$3="申万二级行业",[1]!s_info_industry_sw_2021(W3733,公司分析!D$5,2),IF($Y$3="申万三级行业",[1]!s_info_industry_sw_2021(W3733,公司分析!D$5,3),IF($Y$3="wind一级行业",[1]!s_info_industry_gics(W3733,1),IF($Y$3="wind二级行业",[1]!s_info_industry_gics(W3733,2),IF($Y$3="wind三级行业",[1]!s_info_industry_gics(W3733,3),IF($Y$3="wind四级行业",[1]!s_info_industry_gics(W3733,4),IF($Y$3="证监会门类行业",[1]!s_info_industry_csrc12_n(W3733,公司分析!D$5,1),""))))))))</f>
        <v>保险Ⅱ</v>
      </c>
      <c r="Z3733" s="302" t="str">
        <f ca="1">IF(Y3733=行业比较!$E$6,ROW(),"")</f>
        <v/>
      </c>
    </row>
    <row r="3734" spans="22:26">
      <c r="V3734" s="260">
        <f t="shared" ca="1" si="66"/>
        <v>0</v>
      </c>
      <c r="W3734" s="348" t="str">
        <f>IF(板块成分!B3736="","",板块成分!B3736)</f>
        <v>601319.SH</v>
      </c>
      <c r="X3734" s="276" t="str">
        <f>[1]!S_Info_Name(W3734)</f>
        <v>中国人保</v>
      </c>
      <c r="Y3734" s="276" t="str">
        <f ca="1">IF($Y$3="申万一级行业",[1]!s_info_industry_sw_2021(W3734,公司分析!D$5,1),IF($Y$3="申万二级行业",[1]!s_info_industry_sw_2021(W3734,公司分析!D$5,2),IF($Y$3="申万三级行业",[1]!s_info_industry_sw_2021(W3734,公司分析!D$5,3),IF($Y$3="wind一级行业",[1]!s_info_industry_gics(W3734,1),IF($Y$3="wind二级行业",[1]!s_info_industry_gics(W3734,2),IF($Y$3="wind三级行业",[1]!s_info_industry_gics(W3734,3),IF($Y$3="wind四级行业",[1]!s_info_industry_gics(W3734,4),IF($Y$3="证监会门类行业",[1]!s_info_industry_csrc12_n(W3734,公司分析!D$5,1),""))))))))</f>
        <v>保险Ⅱ</v>
      </c>
      <c r="Z3734" s="302" t="str">
        <f ca="1">IF(Y3734=行业比较!$E$6,ROW(),"")</f>
        <v/>
      </c>
    </row>
    <row r="3735" spans="22:26">
      <c r="V3735" s="260">
        <f t="shared" ca="1" si="66"/>
        <v>0</v>
      </c>
      <c r="W3735" s="348" t="str">
        <f>IF(板块成分!B3737="","",板块成分!B3737)</f>
        <v>601326.SH</v>
      </c>
      <c r="X3735" s="276" t="str">
        <f>[1]!S_Info_Name(W3735)</f>
        <v>秦港股份</v>
      </c>
      <c r="Y3735" s="276" t="str">
        <f ca="1">IF($Y$3="申万一级行业",[1]!s_info_industry_sw_2021(W3735,公司分析!D$5,1),IF($Y$3="申万二级行业",[1]!s_info_industry_sw_2021(W3735,公司分析!D$5,2),IF($Y$3="申万三级行业",[1]!s_info_industry_sw_2021(W3735,公司分析!D$5,3),IF($Y$3="wind一级行业",[1]!s_info_industry_gics(W3735,1),IF($Y$3="wind二级行业",[1]!s_info_industry_gics(W3735,2),IF($Y$3="wind三级行业",[1]!s_info_industry_gics(W3735,3),IF($Y$3="wind四级行业",[1]!s_info_industry_gics(W3735,4),IF($Y$3="证监会门类行业",[1]!s_info_industry_csrc12_n(W3735,公司分析!D$5,1),""))))))))</f>
        <v>航运港口</v>
      </c>
      <c r="Z3735" s="302" t="str">
        <f ca="1">IF(Y3735=行业比较!$E$6,ROW(),"")</f>
        <v/>
      </c>
    </row>
    <row r="3736" spans="22:26">
      <c r="V3736" s="260">
        <f t="shared" ca="1" si="66"/>
        <v>0</v>
      </c>
      <c r="W3736" s="348" t="str">
        <f>IF(板块成分!B3738="","",板块成分!B3738)</f>
        <v>601328.SH</v>
      </c>
      <c r="X3736" s="276" t="str">
        <f>[1]!S_Info_Name(W3736)</f>
        <v>交通银行</v>
      </c>
      <c r="Y3736" s="276" t="str">
        <f ca="1">IF($Y$3="申万一级行业",[1]!s_info_industry_sw_2021(W3736,公司分析!D$5,1),IF($Y$3="申万二级行业",[1]!s_info_industry_sw_2021(W3736,公司分析!D$5,2),IF($Y$3="申万三级行业",[1]!s_info_industry_sw_2021(W3736,公司分析!D$5,3),IF($Y$3="wind一级行业",[1]!s_info_industry_gics(W3736,1),IF($Y$3="wind二级行业",[1]!s_info_industry_gics(W3736,2),IF($Y$3="wind三级行业",[1]!s_info_industry_gics(W3736,3),IF($Y$3="wind四级行业",[1]!s_info_industry_gics(W3736,4),IF($Y$3="证监会门类行业",[1]!s_info_industry_csrc12_n(W3736,公司分析!D$5,1),""))))))))</f>
        <v>国有大型银行Ⅱ</v>
      </c>
      <c r="Z3736" s="302" t="str">
        <f ca="1">IF(Y3736=行业比较!$E$6,ROW(),"")</f>
        <v/>
      </c>
    </row>
    <row r="3737" spans="22:26">
      <c r="V3737" s="260">
        <f t="shared" ca="1" si="66"/>
        <v>0</v>
      </c>
      <c r="W3737" s="348" t="str">
        <f>IF(板块成分!B3739="","",板块成分!B3739)</f>
        <v>601330.SH</v>
      </c>
      <c r="X3737" s="276" t="str">
        <f>[1]!S_Info_Name(W3737)</f>
        <v>绿色动力</v>
      </c>
      <c r="Y3737" s="276" t="str">
        <f ca="1">IF($Y$3="申万一级行业",[1]!s_info_industry_sw_2021(W3737,公司分析!D$5,1),IF($Y$3="申万二级行业",[1]!s_info_industry_sw_2021(W3737,公司分析!D$5,2),IF($Y$3="申万三级行业",[1]!s_info_industry_sw_2021(W3737,公司分析!D$5,3),IF($Y$3="wind一级行业",[1]!s_info_industry_gics(W3737,1),IF($Y$3="wind二级行业",[1]!s_info_industry_gics(W3737,2),IF($Y$3="wind三级行业",[1]!s_info_industry_gics(W3737,3),IF($Y$3="wind四级行业",[1]!s_info_industry_gics(W3737,4),IF($Y$3="证监会门类行业",[1]!s_info_industry_csrc12_n(W3737,公司分析!D$5,1),""))))))))</f>
        <v>环境治理</v>
      </c>
      <c r="Z3737" s="302" t="str">
        <f ca="1">IF(Y3737=行业比较!$E$6,ROW(),"")</f>
        <v/>
      </c>
    </row>
    <row r="3738" spans="22:26">
      <c r="V3738" s="260">
        <f t="shared" ca="1" si="66"/>
        <v>0</v>
      </c>
      <c r="W3738" s="348" t="str">
        <f>IF(板块成分!B3740="","",板块成分!B3740)</f>
        <v>601333.SH</v>
      </c>
      <c r="X3738" s="276" t="str">
        <f>[1]!S_Info_Name(W3738)</f>
        <v>广深铁路</v>
      </c>
      <c r="Y3738" s="276" t="str">
        <f ca="1">IF($Y$3="申万一级行业",[1]!s_info_industry_sw_2021(W3738,公司分析!D$5,1),IF($Y$3="申万二级行业",[1]!s_info_industry_sw_2021(W3738,公司分析!D$5,2),IF($Y$3="申万三级行业",[1]!s_info_industry_sw_2021(W3738,公司分析!D$5,3),IF($Y$3="wind一级行业",[1]!s_info_industry_gics(W3738,1),IF($Y$3="wind二级行业",[1]!s_info_industry_gics(W3738,2),IF($Y$3="wind三级行业",[1]!s_info_industry_gics(W3738,3),IF($Y$3="wind四级行业",[1]!s_info_industry_gics(W3738,4),IF($Y$3="证监会门类行业",[1]!s_info_industry_csrc12_n(W3738,公司分析!D$5,1),""))))))))</f>
        <v>铁路公路</v>
      </c>
      <c r="Z3738" s="302" t="str">
        <f ca="1">IF(Y3738=行业比较!$E$6,ROW(),"")</f>
        <v/>
      </c>
    </row>
    <row r="3739" spans="22:26">
      <c r="V3739" s="260">
        <f t="shared" ca="1" si="66"/>
        <v>0</v>
      </c>
      <c r="W3739" s="348" t="str">
        <f>IF(板块成分!B3741="","",板块成分!B3741)</f>
        <v>601336.SH</v>
      </c>
      <c r="X3739" s="276" t="str">
        <f>[1]!S_Info_Name(W3739)</f>
        <v>新华保险</v>
      </c>
      <c r="Y3739" s="276" t="str">
        <f ca="1">IF($Y$3="申万一级行业",[1]!s_info_industry_sw_2021(W3739,公司分析!D$5,1),IF($Y$3="申万二级行业",[1]!s_info_industry_sw_2021(W3739,公司分析!D$5,2),IF($Y$3="申万三级行业",[1]!s_info_industry_sw_2021(W3739,公司分析!D$5,3),IF($Y$3="wind一级行业",[1]!s_info_industry_gics(W3739,1),IF($Y$3="wind二级行业",[1]!s_info_industry_gics(W3739,2),IF($Y$3="wind三级行业",[1]!s_info_industry_gics(W3739,3),IF($Y$3="wind四级行业",[1]!s_info_industry_gics(W3739,4),IF($Y$3="证监会门类行业",[1]!s_info_industry_csrc12_n(W3739,公司分析!D$5,1),""))))))))</f>
        <v>保险Ⅱ</v>
      </c>
      <c r="Z3739" s="302" t="str">
        <f ca="1">IF(Y3739=行业比较!$E$6,ROW(),"")</f>
        <v/>
      </c>
    </row>
    <row r="3740" spans="22:26">
      <c r="V3740" s="260">
        <f t="shared" ca="1" si="66"/>
        <v>0</v>
      </c>
      <c r="W3740" s="348" t="str">
        <f>IF(板块成分!B3742="","",板块成分!B3742)</f>
        <v>601339.SH</v>
      </c>
      <c r="X3740" s="276" t="str">
        <f>[1]!S_Info_Name(W3740)</f>
        <v>百隆东方</v>
      </c>
      <c r="Y3740" s="276" t="str">
        <f ca="1">IF($Y$3="申万一级行业",[1]!s_info_industry_sw_2021(W3740,公司分析!D$5,1),IF($Y$3="申万二级行业",[1]!s_info_industry_sw_2021(W3740,公司分析!D$5,2),IF($Y$3="申万三级行业",[1]!s_info_industry_sw_2021(W3740,公司分析!D$5,3),IF($Y$3="wind一级行业",[1]!s_info_industry_gics(W3740,1),IF($Y$3="wind二级行业",[1]!s_info_industry_gics(W3740,2),IF($Y$3="wind三级行业",[1]!s_info_industry_gics(W3740,3),IF($Y$3="wind四级行业",[1]!s_info_industry_gics(W3740,4),IF($Y$3="证监会门类行业",[1]!s_info_industry_csrc12_n(W3740,公司分析!D$5,1),""))))))))</f>
        <v>纺织制造</v>
      </c>
      <c r="Z3740" s="302" t="str">
        <f ca="1">IF(Y3740=行业比较!$E$6,ROW(),"")</f>
        <v/>
      </c>
    </row>
    <row r="3741" spans="22:26">
      <c r="V3741" s="260">
        <f t="shared" ca="1" si="66"/>
        <v>0</v>
      </c>
      <c r="W3741" s="348" t="str">
        <f>IF(板块成分!B3743="","",板块成分!B3743)</f>
        <v>601360.SH</v>
      </c>
      <c r="X3741" s="276" t="str">
        <f>[1]!S_Info_Name(W3741)</f>
        <v>三六零</v>
      </c>
      <c r="Y3741" s="276" t="str">
        <f ca="1">IF($Y$3="申万一级行业",[1]!s_info_industry_sw_2021(W3741,公司分析!D$5,1),IF($Y$3="申万二级行业",[1]!s_info_industry_sw_2021(W3741,公司分析!D$5,2),IF($Y$3="申万三级行业",[1]!s_info_industry_sw_2021(W3741,公司分析!D$5,3),IF($Y$3="wind一级行业",[1]!s_info_industry_gics(W3741,1),IF($Y$3="wind二级行业",[1]!s_info_industry_gics(W3741,2),IF($Y$3="wind三级行业",[1]!s_info_industry_gics(W3741,3),IF($Y$3="wind四级行业",[1]!s_info_industry_gics(W3741,4),IF($Y$3="证监会门类行业",[1]!s_info_industry_csrc12_n(W3741,公司分析!D$5,1),""))))))))</f>
        <v>软件开发</v>
      </c>
      <c r="Z3741" s="302" t="str">
        <f ca="1">IF(Y3741=行业比较!$E$6,ROW(),"")</f>
        <v/>
      </c>
    </row>
    <row r="3742" spans="22:26">
      <c r="V3742" s="260">
        <f t="shared" ca="1" si="66"/>
        <v>0</v>
      </c>
      <c r="W3742" s="348" t="str">
        <f>IF(板块成分!B3744="","",板块成分!B3744)</f>
        <v>601366.SH</v>
      </c>
      <c r="X3742" s="276" t="str">
        <f>[1]!S_Info_Name(W3742)</f>
        <v>利群股份</v>
      </c>
      <c r="Y3742" s="276" t="str">
        <f ca="1">IF($Y$3="申万一级行业",[1]!s_info_industry_sw_2021(W3742,公司分析!D$5,1),IF($Y$3="申万二级行业",[1]!s_info_industry_sw_2021(W3742,公司分析!D$5,2),IF($Y$3="申万三级行业",[1]!s_info_industry_sw_2021(W3742,公司分析!D$5,3),IF($Y$3="wind一级行业",[1]!s_info_industry_gics(W3742,1),IF($Y$3="wind二级行业",[1]!s_info_industry_gics(W3742,2),IF($Y$3="wind三级行业",[1]!s_info_industry_gics(W3742,3),IF($Y$3="wind四级行业",[1]!s_info_industry_gics(W3742,4),IF($Y$3="证监会门类行业",[1]!s_info_industry_csrc12_n(W3742,公司分析!D$5,1),""))))))))</f>
        <v>一般零售</v>
      </c>
      <c r="Z3742" s="302" t="str">
        <f ca="1">IF(Y3742=行业比较!$E$6,ROW(),"")</f>
        <v/>
      </c>
    </row>
    <row r="3743" spans="22:26">
      <c r="V3743" s="260">
        <f t="shared" ca="1" si="66"/>
        <v>0</v>
      </c>
      <c r="W3743" s="348" t="str">
        <f>IF(板块成分!B3745="","",板块成分!B3745)</f>
        <v>601368.SH</v>
      </c>
      <c r="X3743" s="276" t="str">
        <f>[1]!S_Info_Name(W3743)</f>
        <v>绿城水务</v>
      </c>
      <c r="Y3743" s="276" t="str">
        <f ca="1">IF($Y$3="申万一级行业",[1]!s_info_industry_sw_2021(W3743,公司分析!D$5,1),IF($Y$3="申万二级行业",[1]!s_info_industry_sw_2021(W3743,公司分析!D$5,2),IF($Y$3="申万三级行业",[1]!s_info_industry_sw_2021(W3743,公司分析!D$5,3),IF($Y$3="wind一级行业",[1]!s_info_industry_gics(W3743,1),IF($Y$3="wind二级行业",[1]!s_info_industry_gics(W3743,2),IF($Y$3="wind三级行业",[1]!s_info_industry_gics(W3743,3),IF($Y$3="wind四级行业",[1]!s_info_industry_gics(W3743,4),IF($Y$3="证监会门类行业",[1]!s_info_industry_csrc12_n(W3743,公司分析!D$5,1),""))))))))</f>
        <v>环境治理</v>
      </c>
      <c r="Z3743" s="302" t="str">
        <f ca="1">IF(Y3743=行业比较!$E$6,ROW(),"")</f>
        <v/>
      </c>
    </row>
    <row r="3744" spans="22:26">
      <c r="V3744" s="260">
        <f t="shared" ca="1" si="66"/>
        <v>0</v>
      </c>
      <c r="W3744" s="348" t="str">
        <f>IF(板块成分!B3746="","",板块成分!B3746)</f>
        <v>601369.SH</v>
      </c>
      <c r="X3744" s="276" t="str">
        <f>[1]!S_Info_Name(W3744)</f>
        <v>陕鼓动力</v>
      </c>
      <c r="Y3744" s="276" t="str">
        <f ca="1">IF($Y$3="申万一级行业",[1]!s_info_industry_sw_2021(W3744,公司分析!D$5,1),IF($Y$3="申万二级行业",[1]!s_info_industry_sw_2021(W3744,公司分析!D$5,2),IF($Y$3="申万三级行业",[1]!s_info_industry_sw_2021(W3744,公司分析!D$5,3),IF($Y$3="wind一级行业",[1]!s_info_industry_gics(W3744,1),IF($Y$3="wind二级行业",[1]!s_info_industry_gics(W3744,2),IF($Y$3="wind三级行业",[1]!s_info_industry_gics(W3744,3),IF($Y$3="wind四级行业",[1]!s_info_industry_gics(W3744,4),IF($Y$3="证监会门类行业",[1]!s_info_industry_csrc12_n(W3744,公司分析!D$5,1),""))))))))</f>
        <v>专用设备</v>
      </c>
      <c r="Z3744" s="302" t="str">
        <f ca="1">IF(Y3744=行业比较!$E$6,ROW(),"")</f>
        <v/>
      </c>
    </row>
    <row r="3745" spans="22:26">
      <c r="V3745" s="260">
        <f t="shared" ca="1" si="66"/>
        <v>0</v>
      </c>
      <c r="W3745" s="348" t="str">
        <f>IF(板块成分!B3747="","",板块成分!B3747)</f>
        <v>601375.SH</v>
      </c>
      <c r="X3745" s="276" t="str">
        <f>[1]!S_Info_Name(W3745)</f>
        <v>中原证券</v>
      </c>
      <c r="Y3745" s="276" t="str">
        <f ca="1">IF($Y$3="申万一级行业",[1]!s_info_industry_sw_2021(W3745,公司分析!D$5,1),IF($Y$3="申万二级行业",[1]!s_info_industry_sw_2021(W3745,公司分析!D$5,2),IF($Y$3="申万三级行业",[1]!s_info_industry_sw_2021(W3745,公司分析!D$5,3),IF($Y$3="wind一级行业",[1]!s_info_industry_gics(W3745,1),IF($Y$3="wind二级行业",[1]!s_info_industry_gics(W3745,2),IF($Y$3="wind三级行业",[1]!s_info_industry_gics(W3745,3),IF($Y$3="wind四级行业",[1]!s_info_industry_gics(W3745,4),IF($Y$3="证监会门类行业",[1]!s_info_industry_csrc12_n(W3745,公司分析!D$5,1),""))))))))</f>
        <v>证券Ⅱ</v>
      </c>
      <c r="Z3745" s="302" t="str">
        <f ca="1">IF(Y3745=行业比较!$E$6,ROW(),"")</f>
        <v/>
      </c>
    </row>
    <row r="3746" spans="22:26">
      <c r="V3746" s="260">
        <f t="shared" ca="1" si="66"/>
        <v>0</v>
      </c>
      <c r="W3746" s="348" t="str">
        <f>IF(板块成分!B3748="","",板块成分!B3748)</f>
        <v>601377.SH</v>
      </c>
      <c r="X3746" s="276" t="str">
        <f>[1]!S_Info_Name(W3746)</f>
        <v>兴业证券</v>
      </c>
      <c r="Y3746" s="276" t="str">
        <f ca="1">IF($Y$3="申万一级行业",[1]!s_info_industry_sw_2021(W3746,公司分析!D$5,1),IF($Y$3="申万二级行业",[1]!s_info_industry_sw_2021(W3746,公司分析!D$5,2),IF($Y$3="申万三级行业",[1]!s_info_industry_sw_2021(W3746,公司分析!D$5,3),IF($Y$3="wind一级行业",[1]!s_info_industry_gics(W3746,1),IF($Y$3="wind二级行业",[1]!s_info_industry_gics(W3746,2),IF($Y$3="wind三级行业",[1]!s_info_industry_gics(W3746,3),IF($Y$3="wind四级行业",[1]!s_info_industry_gics(W3746,4),IF($Y$3="证监会门类行业",[1]!s_info_industry_csrc12_n(W3746,公司分析!D$5,1),""))))))))</f>
        <v>证券Ⅱ</v>
      </c>
      <c r="Z3746" s="302" t="str">
        <f ca="1">IF(Y3746=行业比较!$E$6,ROW(),"")</f>
        <v/>
      </c>
    </row>
    <row r="3747" spans="22:26">
      <c r="V3747" s="260">
        <f t="shared" ca="1" si="66"/>
        <v>46</v>
      </c>
      <c r="W3747" s="348" t="str">
        <f>IF(板块成分!B3749="","",板块成分!B3749)</f>
        <v>601388.SH</v>
      </c>
      <c r="X3747" s="276" t="str">
        <f>[1]!S_Info_Name(W3747)</f>
        <v>怡球资源</v>
      </c>
      <c r="Y3747" s="276" t="str">
        <f ca="1">IF($Y$3="申万一级行业",[1]!s_info_industry_sw_2021(W3747,公司分析!D$5,1),IF($Y$3="申万二级行业",[1]!s_info_industry_sw_2021(W3747,公司分析!D$5,2),IF($Y$3="申万三级行业",[1]!s_info_industry_sw_2021(W3747,公司分析!D$5,3),IF($Y$3="wind一级行业",[1]!s_info_industry_gics(W3747,1),IF($Y$3="wind二级行业",[1]!s_info_industry_gics(W3747,2),IF($Y$3="wind三级行业",[1]!s_info_industry_gics(W3747,3),IF($Y$3="wind四级行业",[1]!s_info_industry_gics(W3747,4),IF($Y$3="证监会门类行业",[1]!s_info_industry_csrc12_n(W3747,公司分析!D$5,1),""))))))))</f>
        <v>工业金属</v>
      </c>
      <c r="Z3747" s="302">
        <f ca="1">IF(Y3747=行业比较!$E$6,ROW(),"")</f>
        <v>3747</v>
      </c>
    </row>
    <row r="3748" spans="22:26">
      <c r="V3748" s="260">
        <f t="shared" ca="1" si="66"/>
        <v>0</v>
      </c>
      <c r="W3748" s="348" t="str">
        <f>IF(板块成分!B3750="","",板块成分!B3750)</f>
        <v>601390.SH</v>
      </c>
      <c r="X3748" s="276" t="str">
        <f>[1]!S_Info_Name(W3748)</f>
        <v>中国中铁</v>
      </c>
      <c r="Y3748" s="276" t="str">
        <f ca="1">IF($Y$3="申万一级行业",[1]!s_info_industry_sw_2021(W3748,公司分析!D$5,1),IF($Y$3="申万二级行业",[1]!s_info_industry_sw_2021(W3748,公司分析!D$5,2),IF($Y$3="申万三级行业",[1]!s_info_industry_sw_2021(W3748,公司分析!D$5,3),IF($Y$3="wind一级行业",[1]!s_info_industry_gics(W3748,1),IF($Y$3="wind二级行业",[1]!s_info_industry_gics(W3748,2),IF($Y$3="wind三级行业",[1]!s_info_industry_gics(W3748,3),IF($Y$3="wind四级行业",[1]!s_info_industry_gics(W3748,4),IF($Y$3="证监会门类行业",[1]!s_info_industry_csrc12_n(W3748,公司分析!D$5,1),""))))))))</f>
        <v>基础建设</v>
      </c>
      <c r="Z3748" s="302" t="str">
        <f ca="1">IF(Y3748=行业比较!$E$6,ROW(),"")</f>
        <v/>
      </c>
    </row>
    <row r="3749" spans="22:26">
      <c r="V3749" s="260">
        <f t="shared" ca="1" si="66"/>
        <v>0</v>
      </c>
      <c r="W3749" s="348" t="str">
        <f>IF(板块成分!B3751="","",板块成分!B3751)</f>
        <v>601398.SH</v>
      </c>
      <c r="X3749" s="276" t="str">
        <f>[1]!S_Info_Name(W3749)</f>
        <v>工商银行</v>
      </c>
      <c r="Y3749" s="276" t="str">
        <f ca="1">IF($Y$3="申万一级行业",[1]!s_info_industry_sw_2021(W3749,公司分析!D$5,1),IF($Y$3="申万二级行业",[1]!s_info_industry_sw_2021(W3749,公司分析!D$5,2),IF($Y$3="申万三级行业",[1]!s_info_industry_sw_2021(W3749,公司分析!D$5,3),IF($Y$3="wind一级行业",[1]!s_info_industry_gics(W3749,1),IF($Y$3="wind二级行业",[1]!s_info_industry_gics(W3749,2),IF($Y$3="wind三级行业",[1]!s_info_industry_gics(W3749,3),IF($Y$3="wind四级行业",[1]!s_info_industry_gics(W3749,4),IF($Y$3="证监会门类行业",[1]!s_info_industry_csrc12_n(W3749,公司分析!D$5,1),""))))))))</f>
        <v>国有大型银行Ⅱ</v>
      </c>
      <c r="Z3749" s="302" t="str">
        <f ca="1">IF(Y3749=行业比较!$E$6,ROW(),"")</f>
        <v/>
      </c>
    </row>
    <row r="3750" spans="22:26">
      <c r="V3750" s="260">
        <f t="shared" ca="1" si="66"/>
        <v>0</v>
      </c>
      <c r="W3750" s="348" t="str">
        <f>IF(板块成分!B3752="","",板块成分!B3752)</f>
        <v>601399.SH</v>
      </c>
      <c r="X3750" s="276" t="str">
        <f>[1]!S_Info_Name(W3750)</f>
        <v>国机重装</v>
      </c>
      <c r="Y3750" s="276" t="str">
        <f ca="1">IF($Y$3="申万一级行业",[1]!s_info_industry_sw_2021(W3750,公司分析!D$5,1),IF($Y$3="申万二级行业",[1]!s_info_industry_sw_2021(W3750,公司分析!D$5,2),IF($Y$3="申万三级行业",[1]!s_info_industry_sw_2021(W3750,公司分析!D$5,3),IF($Y$3="wind一级行业",[1]!s_info_industry_gics(W3750,1),IF($Y$3="wind二级行业",[1]!s_info_industry_gics(W3750,2),IF($Y$3="wind三级行业",[1]!s_info_industry_gics(W3750,3),IF($Y$3="wind四级行业",[1]!s_info_industry_gics(W3750,4),IF($Y$3="证监会门类行业",[1]!s_info_industry_csrc12_n(W3750,公司分析!D$5,1),""))))))))</f>
        <v>专用设备</v>
      </c>
      <c r="Z3750" s="302" t="str">
        <f ca="1">IF(Y3750=行业比较!$E$6,ROW(),"")</f>
        <v/>
      </c>
    </row>
    <row r="3751" spans="22:26">
      <c r="V3751" s="260">
        <f t="shared" ca="1" si="66"/>
        <v>0</v>
      </c>
      <c r="W3751" s="348" t="str">
        <f>IF(板块成分!B3753="","",板块成分!B3753)</f>
        <v>601456.SH</v>
      </c>
      <c r="X3751" s="276" t="str">
        <f>[1]!S_Info_Name(W3751)</f>
        <v>国联民生</v>
      </c>
      <c r="Y3751" s="276" t="str">
        <f ca="1">IF($Y$3="申万一级行业",[1]!s_info_industry_sw_2021(W3751,公司分析!D$5,1),IF($Y$3="申万二级行业",[1]!s_info_industry_sw_2021(W3751,公司分析!D$5,2),IF($Y$3="申万三级行业",[1]!s_info_industry_sw_2021(W3751,公司分析!D$5,3),IF($Y$3="wind一级行业",[1]!s_info_industry_gics(W3751,1),IF($Y$3="wind二级行业",[1]!s_info_industry_gics(W3751,2),IF($Y$3="wind三级行业",[1]!s_info_industry_gics(W3751,3),IF($Y$3="wind四级行业",[1]!s_info_industry_gics(W3751,4),IF($Y$3="证监会门类行业",[1]!s_info_industry_csrc12_n(W3751,公司分析!D$5,1),""))))))))</f>
        <v>证券Ⅱ</v>
      </c>
      <c r="Z3751" s="302" t="str">
        <f ca="1">IF(Y3751=行业比较!$E$6,ROW(),"")</f>
        <v/>
      </c>
    </row>
    <row r="3752" spans="22:26">
      <c r="V3752" s="260">
        <f t="shared" ca="1" si="66"/>
        <v>0</v>
      </c>
      <c r="W3752" s="348" t="str">
        <f>IF(板块成分!B3754="","",板块成分!B3754)</f>
        <v>601500.SH</v>
      </c>
      <c r="X3752" s="276" t="str">
        <f>[1]!S_Info_Name(W3752)</f>
        <v>通用股份</v>
      </c>
      <c r="Y3752" s="276" t="str">
        <f ca="1">IF($Y$3="申万一级行业",[1]!s_info_industry_sw_2021(W3752,公司分析!D$5,1),IF($Y$3="申万二级行业",[1]!s_info_industry_sw_2021(W3752,公司分析!D$5,2),IF($Y$3="申万三级行业",[1]!s_info_industry_sw_2021(W3752,公司分析!D$5,3),IF($Y$3="wind一级行业",[1]!s_info_industry_gics(W3752,1),IF($Y$3="wind二级行业",[1]!s_info_industry_gics(W3752,2),IF($Y$3="wind三级行业",[1]!s_info_industry_gics(W3752,3),IF($Y$3="wind四级行业",[1]!s_info_industry_gics(W3752,4),IF($Y$3="证监会门类行业",[1]!s_info_industry_csrc12_n(W3752,公司分析!D$5,1),""))))))))</f>
        <v>汽车零部件</v>
      </c>
      <c r="Z3752" s="302" t="str">
        <f ca="1">IF(Y3752=行业比较!$E$6,ROW(),"")</f>
        <v/>
      </c>
    </row>
    <row r="3753" spans="22:26">
      <c r="V3753" s="260">
        <f t="shared" ca="1" si="66"/>
        <v>0</v>
      </c>
      <c r="W3753" s="348" t="str">
        <f>IF(板块成分!B3755="","",板块成分!B3755)</f>
        <v>601512.SH</v>
      </c>
      <c r="X3753" s="276" t="str">
        <f>[1]!S_Info_Name(W3753)</f>
        <v>中新集团</v>
      </c>
      <c r="Y3753" s="276" t="str">
        <f ca="1">IF($Y$3="申万一级行业",[1]!s_info_industry_sw_2021(W3753,公司分析!D$5,1),IF($Y$3="申万二级行业",[1]!s_info_industry_sw_2021(W3753,公司分析!D$5,2),IF($Y$3="申万三级行业",[1]!s_info_industry_sw_2021(W3753,公司分析!D$5,3),IF($Y$3="wind一级行业",[1]!s_info_industry_gics(W3753,1),IF($Y$3="wind二级行业",[1]!s_info_industry_gics(W3753,2),IF($Y$3="wind三级行业",[1]!s_info_industry_gics(W3753,3),IF($Y$3="wind四级行业",[1]!s_info_industry_gics(W3753,4),IF($Y$3="证监会门类行业",[1]!s_info_industry_csrc12_n(W3753,公司分析!D$5,1),""))))))))</f>
        <v>房地产开发</v>
      </c>
      <c r="Z3753" s="302" t="str">
        <f ca="1">IF(Y3753=行业比较!$E$6,ROW(),"")</f>
        <v/>
      </c>
    </row>
    <row r="3754" spans="22:26">
      <c r="V3754" s="260">
        <f t="shared" ca="1" si="66"/>
        <v>0</v>
      </c>
      <c r="W3754" s="348" t="str">
        <f>IF(板块成分!B3756="","",板块成分!B3756)</f>
        <v>601515.SH</v>
      </c>
      <c r="X3754" s="276" t="str">
        <f>[1]!S_Info_Name(W3754)</f>
        <v>衢州东峰</v>
      </c>
      <c r="Y3754" s="276" t="str">
        <f ca="1">IF($Y$3="申万一级行业",[1]!s_info_industry_sw_2021(W3754,公司分析!D$5,1),IF($Y$3="申万二级行业",[1]!s_info_industry_sw_2021(W3754,公司分析!D$5,2),IF($Y$3="申万三级行业",[1]!s_info_industry_sw_2021(W3754,公司分析!D$5,3),IF($Y$3="wind一级行业",[1]!s_info_industry_gics(W3754,1),IF($Y$3="wind二级行业",[1]!s_info_industry_gics(W3754,2),IF($Y$3="wind三级行业",[1]!s_info_industry_gics(W3754,3),IF($Y$3="wind四级行业",[1]!s_info_industry_gics(W3754,4),IF($Y$3="证监会门类行业",[1]!s_info_industry_csrc12_n(W3754,公司分析!D$5,1),""))))))))</f>
        <v>包装印刷</v>
      </c>
      <c r="Z3754" s="302" t="str">
        <f ca="1">IF(Y3754=行业比较!$E$6,ROW(),"")</f>
        <v/>
      </c>
    </row>
    <row r="3755" spans="22:26">
      <c r="V3755" s="260">
        <f t="shared" ca="1" si="66"/>
        <v>0</v>
      </c>
      <c r="W3755" s="348" t="str">
        <f>IF(板块成分!B3757="","",板块成分!B3757)</f>
        <v>601518.SH</v>
      </c>
      <c r="X3755" s="276" t="str">
        <f>[1]!S_Info_Name(W3755)</f>
        <v>吉林高速</v>
      </c>
      <c r="Y3755" s="276" t="str">
        <f ca="1">IF($Y$3="申万一级行业",[1]!s_info_industry_sw_2021(W3755,公司分析!D$5,1),IF($Y$3="申万二级行业",[1]!s_info_industry_sw_2021(W3755,公司分析!D$5,2),IF($Y$3="申万三级行业",[1]!s_info_industry_sw_2021(W3755,公司分析!D$5,3),IF($Y$3="wind一级行业",[1]!s_info_industry_gics(W3755,1),IF($Y$3="wind二级行业",[1]!s_info_industry_gics(W3755,2),IF($Y$3="wind三级行业",[1]!s_info_industry_gics(W3755,3),IF($Y$3="wind四级行业",[1]!s_info_industry_gics(W3755,4),IF($Y$3="证监会门类行业",[1]!s_info_industry_csrc12_n(W3755,公司分析!D$5,1),""))))))))</f>
        <v>铁路公路</v>
      </c>
      <c r="Z3755" s="302" t="str">
        <f ca="1">IF(Y3755=行业比较!$E$6,ROW(),"")</f>
        <v/>
      </c>
    </row>
    <row r="3756" spans="22:26">
      <c r="V3756" s="260">
        <f t="shared" ca="1" si="66"/>
        <v>0</v>
      </c>
      <c r="W3756" s="348" t="str">
        <f>IF(板块成分!B3758="","",板块成分!B3758)</f>
        <v>601519.SH</v>
      </c>
      <c r="X3756" s="276" t="str">
        <f>[1]!S_Info_Name(W3756)</f>
        <v>大智慧</v>
      </c>
      <c r="Y3756" s="276" t="str">
        <f ca="1">IF($Y$3="申万一级行业",[1]!s_info_industry_sw_2021(W3756,公司分析!D$5,1),IF($Y$3="申万二级行业",[1]!s_info_industry_sw_2021(W3756,公司分析!D$5,2),IF($Y$3="申万三级行业",[1]!s_info_industry_sw_2021(W3756,公司分析!D$5,3),IF($Y$3="wind一级行业",[1]!s_info_industry_gics(W3756,1),IF($Y$3="wind二级行业",[1]!s_info_industry_gics(W3756,2),IF($Y$3="wind三级行业",[1]!s_info_industry_gics(W3756,3),IF($Y$3="wind四级行业",[1]!s_info_industry_gics(W3756,4),IF($Y$3="证监会门类行业",[1]!s_info_industry_csrc12_n(W3756,公司分析!D$5,1),""))))))))</f>
        <v>软件开发</v>
      </c>
      <c r="Z3756" s="302" t="str">
        <f ca="1">IF(Y3756=行业比较!$E$6,ROW(),"")</f>
        <v/>
      </c>
    </row>
    <row r="3757" spans="22:26">
      <c r="V3757" s="260">
        <f t="shared" ca="1" si="66"/>
        <v>0</v>
      </c>
      <c r="W3757" s="348" t="str">
        <f>IF(板块成分!B3759="","",板块成分!B3759)</f>
        <v>601528.SH</v>
      </c>
      <c r="X3757" s="276" t="str">
        <f>[1]!S_Info_Name(W3757)</f>
        <v>瑞丰银行</v>
      </c>
      <c r="Y3757" s="276" t="str">
        <f ca="1">IF($Y$3="申万一级行业",[1]!s_info_industry_sw_2021(W3757,公司分析!D$5,1),IF($Y$3="申万二级行业",[1]!s_info_industry_sw_2021(W3757,公司分析!D$5,2),IF($Y$3="申万三级行业",[1]!s_info_industry_sw_2021(W3757,公司分析!D$5,3),IF($Y$3="wind一级行业",[1]!s_info_industry_gics(W3757,1),IF($Y$3="wind二级行业",[1]!s_info_industry_gics(W3757,2),IF($Y$3="wind三级行业",[1]!s_info_industry_gics(W3757,3),IF($Y$3="wind四级行业",[1]!s_info_industry_gics(W3757,4),IF($Y$3="证监会门类行业",[1]!s_info_industry_csrc12_n(W3757,公司分析!D$5,1),""))))))))</f>
        <v>农商行Ⅱ</v>
      </c>
      <c r="Z3757" s="302" t="str">
        <f ca="1">IF(Y3757=行业比较!$E$6,ROW(),"")</f>
        <v/>
      </c>
    </row>
    <row r="3758" spans="22:26">
      <c r="V3758" s="260">
        <f t="shared" ca="1" si="66"/>
        <v>0</v>
      </c>
      <c r="W3758" s="348" t="str">
        <f>IF(板块成分!B3760="","",板块成分!B3760)</f>
        <v>601555.SH</v>
      </c>
      <c r="X3758" s="276" t="str">
        <f>[1]!S_Info_Name(W3758)</f>
        <v>东吴证券</v>
      </c>
      <c r="Y3758" s="276" t="str">
        <f ca="1">IF($Y$3="申万一级行业",[1]!s_info_industry_sw_2021(W3758,公司分析!D$5,1),IF($Y$3="申万二级行业",[1]!s_info_industry_sw_2021(W3758,公司分析!D$5,2),IF($Y$3="申万三级行业",[1]!s_info_industry_sw_2021(W3758,公司分析!D$5,3),IF($Y$3="wind一级行业",[1]!s_info_industry_gics(W3758,1),IF($Y$3="wind二级行业",[1]!s_info_industry_gics(W3758,2),IF($Y$3="wind三级行业",[1]!s_info_industry_gics(W3758,3),IF($Y$3="wind四级行业",[1]!s_info_industry_gics(W3758,4),IF($Y$3="证监会门类行业",[1]!s_info_industry_csrc12_n(W3758,公司分析!D$5,1),""))))))))</f>
        <v>证券Ⅱ</v>
      </c>
      <c r="Z3758" s="302" t="str">
        <f ca="1">IF(Y3758=行业比较!$E$6,ROW(),"")</f>
        <v/>
      </c>
    </row>
    <row r="3759" spans="22:26">
      <c r="V3759" s="260">
        <f t="shared" ca="1" si="66"/>
        <v>0</v>
      </c>
      <c r="W3759" s="348" t="str">
        <f>IF(板块成分!B3761="","",板块成分!B3761)</f>
        <v>601566.SH</v>
      </c>
      <c r="X3759" s="276" t="str">
        <f>[1]!S_Info_Name(W3759)</f>
        <v>九牧王</v>
      </c>
      <c r="Y3759" s="276" t="str">
        <f ca="1">IF($Y$3="申万一级行业",[1]!s_info_industry_sw_2021(W3759,公司分析!D$5,1),IF($Y$3="申万二级行业",[1]!s_info_industry_sw_2021(W3759,公司分析!D$5,2),IF($Y$3="申万三级行业",[1]!s_info_industry_sw_2021(W3759,公司分析!D$5,3),IF($Y$3="wind一级行业",[1]!s_info_industry_gics(W3759,1),IF($Y$3="wind二级行业",[1]!s_info_industry_gics(W3759,2),IF($Y$3="wind三级行业",[1]!s_info_industry_gics(W3759,3),IF($Y$3="wind四级行业",[1]!s_info_industry_gics(W3759,4),IF($Y$3="证监会门类行业",[1]!s_info_industry_csrc12_n(W3759,公司分析!D$5,1),""))))))))</f>
        <v>服装家纺</v>
      </c>
      <c r="Z3759" s="302" t="str">
        <f ca="1">IF(Y3759=行业比较!$E$6,ROW(),"")</f>
        <v/>
      </c>
    </row>
    <row r="3760" spans="22:26">
      <c r="V3760" s="260">
        <f t="shared" ca="1" si="66"/>
        <v>0</v>
      </c>
      <c r="W3760" s="348" t="str">
        <f>IF(板块成分!B3762="","",板块成分!B3762)</f>
        <v>601567.SH</v>
      </c>
      <c r="X3760" s="276" t="str">
        <f>[1]!S_Info_Name(W3760)</f>
        <v>三星医疗</v>
      </c>
      <c r="Y3760" s="276" t="str">
        <f ca="1">IF($Y$3="申万一级行业",[1]!s_info_industry_sw_2021(W3760,公司分析!D$5,1),IF($Y$3="申万二级行业",[1]!s_info_industry_sw_2021(W3760,公司分析!D$5,2),IF($Y$3="申万三级行业",[1]!s_info_industry_sw_2021(W3760,公司分析!D$5,3),IF($Y$3="wind一级行业",[1]!s_info_industry_gics(W3760,1),IF($Y$3="wind二级行业",[1]!s_info_industry_gics(W3760,2),IF($Y$3="wind三级行业",[1]!s_info_industry_gics(W3760,3),IF($Y$3="wind四级行业",[1]!s_info_industry_gics(W3760,4),IF($Y$3="证监会门类行业",[1]!s_info_industry_csrc12_n(W3760,公司分析!D$5,1),""))))))))</f>
        <v>电网设备</v>
      </c>
      <c r="Z3760" s="302" t="str">
        <f ca="1">IF(Y3760=行业比较!$E$6,ROW(),"")</f>
        <v/>
      </c>
    </row>
    <row r="3761" spans="22:26">
      <c r="V3761" s="260">
        <f t="shared" ca="1" si="66"/>
        <v>0</v>
      </c>
      <c r="W3761" s="348" t="str">
        <f>IF(板块成分!B3763="","",板块成分!B3763)</f>
        <v>601568.SH</v>
      </c>
      <c r="X3761" s="276" t="str">
        <f>[1]!S_Info_Name(W3761)</f>
        <v>北元集团</v>
      </c>
      <c r="Y3761" s="276" t="str">
        <f ca="1">IF($Y$3="申万一级行业",[1]!s_info_industry_sw_2021(W3761,公司分析!D$5,1),IF($Y$3="申万二级行业",[1]!s_info_industry_sw_2021(W3761,公司分析!D$5,2),IF($Y$3="申万三级行业",[1]!s_info_industry_sw_2021(W3761,公司分析!D$5,3),IF($Y$3="wind一级行业",[1]!s_info_industry_gics(W3761,1),IF($Y$3="wind二级行业",[1]!s_info_industry_gics(W3761,2),IF($Y$3="wind三级行业",[1]!s_info_industry_gics(W3761,3),IF($Y$3="wind四级行业",[1]!s_info_industry_gics(W3761,4),IF($Y$3="证监会门类行业",[1]!s_info_industry_csrc12_n(W3761,公司分析!D$5,1),""))))))))</f>
        <v>化学原料</v>
      </c>
      <c r="Z3761" s="302" t="str">
        <f ca="1">IF(Y3761=行业比较!$E$6,ROW(),"")</f>
        <v/>
      </c>
    </row>
    <row r="3762" spans="22:26">
      <c r="V3762" s="260">
        <f t="shared" ca="1" si="66"/>
        <v>0</v>
      </c>
      <c r="W3762" s="348" t="str">
        <f>IF(板块成分!B3764="","",板块成分!B3764)</f>
        <v>601577.SH</v>
      </c>
      <c r="X3762" s="276" t="str">
        <f>[1]!S_Info_Name(W3762)</f>
        <v>长沙银行</v>
      </c>
      <c r="Y3762" s="276" t="str">
        <f ca="1">IF($Y$3="申万一级行业",[1]!s_info_industry_sw_2021(W3762,公司分析!D$5,1),IF($Y$3="申万二级行业",[1]!s_info_industry_sw_2021(W3762,公司分析!D$5,2),IF($Y$3="申万三级行业",[1]!s_info_industry_sw_2021(W3762,公司分析!D$5,3),IF($Y$3="wind一级行业",[1]!s_info_industry_gics(W3762,1),IF($Y$3="wind二级行业",[1]!s_info_industry_gics(W3762,2),IF($Y$3="wind三级行业",[1]!s_info_industry_gics(W3762,3),IF($Y$3="wind四级行业",[1]!s_info_industry_gics(W3762,4),IF($Y$3="证监会门类行业",[1]!s_info_industry_csrc12_n(W3762,公司分析!D$5,1),""))))))))</f>
        <v>城商行Ⅱ</v>
      </c>
      <c r="Z3762" s="302" t="str">
        <f ca="1">IF(Y3762=行业比较!$E$6,ROW(),"")</f>
        <v/>
      </c>
    </row>
    <row r="3763" spans="22:26">
      <c r="V3763" s="260">
        <f t="shared" ca="1" si="66"/>
        <v>0</v>
      </c>
      <c r="W3763" s="348" t="str">
        <f>IF(板块成分!B3765="","",板块成分!B3765)</f>
        <v>601579.SH</v>
      </c>
      <c r="X3763" s="276" t="str">
        <f>[1]!S_Info_Name(W3763)</f>
        <v>会稽山</v>
      </c>
      <c r="Y3763" s="276" t="str">
        <f ca="1">IF($Y$3="申万一级行业",[1]!s_info_industry_sw_2021(W3763,公司分析!D$5,1),IF($Y$3="申万二级行业",[1]!s_info_industry_sw_2021(W3763,公司分析!D$5,2),IF($Y$3="申万三级行业",[1]!s_info_industry_sw_2021(W3763,公司分析!D$5,3),IF($Y$3="wind一级行业",[1]!s_info_industry_gics(W3763,1),IF($Y$3="wind二级行业",[1]!s_info_industry_gics(W3763,2),IF($Y$3="wind三级行业",[1]!s_info_industry_gics(W3763,3),IF($Y$3="wind四级行业",[1]!s_info_industry_gics(W3763,4),IF($Y$3="证监会门类行业",[1]!s_info_industry_csrc12_n(W3763,公司分析!D$5,1),""))))))))</f>
        <v>非白酒</v>
      </c>
      <c r="Z3763" s="302" t="str">
        <f ca="1">IF(Y3763=行业比较!$E$6,ROW(),"")</f>
        <v/>
      </c>
    </row>
    <row r="3764" spans="22:26">
      <c r="V3764" s="260">
        <f t="shared" ca="1" si="66"/>
        <v>0</v>
      </c>
      <c r="W3764" s="348" t="str">
        <f>IF(板块成分!B3766="","",板块成分!B3766)</f>
        <v>601588.SH</v>
      </c>
      <c r="X3764" s="276" t="str">
        <f>[1]!S_Info_Name(W3764)</f>
        <v>北辰实业</v>
      </c>
      <c r="Y3764" s="276" t="str">
        <f ca="1">IF($Y$3="申万一级行业",[1]!s_info_industry_sw_2021(W3764,公司分析!D$5,1),IF($Y$3="申万二级行业",[1]!s_info_industry_sw_2021(W3764,公司分析!D$5,2),IF($Y$3="申万三级行业",[1]!s_info_industry_sw_2021(W3764,公司分析!D$5,3),IF($Y$3="wind一级行业",[1]!s_info_industry_gics(W3764,1),IF($Y$3="wind二级行业",[1]!s_info_industry_gics(W3764,2),IF($Y$3="wind三级行业",[1]!s_info_industry_gics(W3764,3),IF($Y$3="wind四级行业",[1]!s_info_industry_gics(W3764,4),IF($Y$3="证监会门类行业",[1]!s_info_industry_csrc12_n(W3764,公司分析!D$5,1),""))))))))</f>
        <v>房地产开发</v>
      </c>
      <c r="Z3764" s="302" t="str">
        <f ca="1">IF(Y3764=行业比较!$E$6,ROW(),"")</f>
        <v/>
      </c>
    </row>
    <row r="3765" spans="22:26">
      <c r="V3765" s="260">
        <f t="shared" ca="1" si="66"/>
        <v>0</v>
      </c>
      <c r="W3765" s="348" t="str">
        <f>IF(板块成分!B3767="","",板块成分!B3767)</f>
        <v>601595.SH</v>
      </c>
      <c r="X3765" s="276" t="str">
        <f>[1]!S_Info_Name(W3765)</f>
        <v>上海电影</v>
      </c>
      <c r="Y3765" s="276" t="str">
        <f ca="1">IF($Y$3="申万一级行业",[1]!s_info_industry_sw_2021(W3765,公司分析!D$5,1),IF($Y$3="申万二级行业",[1]!s_info_industry_sw_2021(W3765,公司分析!D$5,2),IF($Y$3="申万三级行业",[1]!s_info_industry_sw_2021(W3765,公司分析!D$5,3),IF($Y$3="wind一级行业",[1]!s_info_industry_gics(W3765,1),IF($Y$3="wind二级行业",[1]!s_info_industry_gics(W3765,2),IF($Y$3="wind三级行业",[1]!s_info_industry_gics(W3765,3),IF($Y$3="wind四级行业",[1]!s_info_industry_gics(W3765,4),IF($Y$3="证监会门类行业",[1]!s_info_industry_csrc12_n(W3765,公司分析!D$5,1),""))))))))</f>
        <v>影视院线</v>
      </c>
      <c r="Z3765" s="302" t="str">
        <f ca="1">IF(Y3765=行业比较!$E$6,ROW(),"")</f>
        <v/>
      </c>
    </row>
    <row r="3766" spans="22:26">
      <c r="V3766" s="260">
        <f t="shared" ca="1" si="66"/>
        <v>0</v>
      </c>
      <c r="W3766" s="348" t="str">
        <f>IF(板块成分!B3768="","",板块成分!B3768)</f>
        <v>601598.SH</v>
      </c>
      <c r="X3766" s="276" t="str">
        <f>[1]!S_Info_Name(W3766)</f>
        <v>中国外运</v>
      </c>
      <c r="Y3766" s="276" t="str">
        <f ca="1">IF($Y$3="申万一级行业",[1]!s_info_industry_sw_2021(W3766,公司分析!D$5,1),IF($Y$3="申万二级行业",[1]!s_info_industry_sw_2021(W3766,公司分析!D$5,2),IF($Y$3="申万三级行业",[1]!s_info_industry_sw_2021(W3766,公司分析!D$5,3),IF($Y$3="wind一级行业",[1]!s_info_industry_gics(W3766,1),IF($Y$3="wind二级行业",[1]!s_info_industry_gics(W3766,2),IF($Y$3="wind三级行业",[1]!s_info_industry_gics(W3766,3),IF($Y$3="wind四级行业",[1]!s_info_industry_gics(W3766,4),IF($Y$3="证监会门类行业",[1]!s_info_industry_csrc12_n(W3766,公司分析!D$5,1),""))))))))</f>
        <v>物流</v>
      </c>
      <c r="Z3766" s="302" t="str">
        <f ca="1">IF(Y3766=行业比较!$E$6,ROW(),"")</f>
        <v/>
      </c>
    </row>
    <row r="3767" spans="22:26">
      <c r="V3767" s="260">
        <f t="shared" ca="1" si="66"/>
        <v>0</v>
      </c>
      <c r="W3767" s="348" t="str">
        <f>IF(板块成分!B3769="","",板块成分!B3769)</f>
        <v>601599.SH</v>
      </c>
      <c r="X3767" s="276" t="str">
        <f>[1]!S_Info_Name(W3767)</f>
        <v>浙文影业</v>
      </c>
      <c r="Y3767" s="276" t="str">
        <f ca="1">IF($Y$3="申万一级行业",[1]!s_info_industry_sw_2021(W3767,公司分析!D$5,1),IF($Y$3="申万二级行业",[1]!s_info_industry_sw_2021(W3767,公司分析!D$5,2),IF($Y$3="申万三级行业",[1]!s_info_industry_sw_2021(W3767,公司分析!D$5,3),IF($Y$3="wind一级行业",[1]!s_info_industry_gics(W3767,1),IF($Y$3="wind二级行业",[1]!s_info_industry_gics(W3767,2),IF($Y$3="wind三级行业",[1]!s_info_industry_gics(W3767,3),IF($Y$3="wind四级行业",[1]!s_info_industry_gics(W3767,4),IF($Y$3="证监会门类行业",[1]!s_info_industry_csrc12_n(W3767,公司分析!D$5,1),""))))))))</f>
        <v>纺织制造</v>
      </c>
      <c r="Z3767" s="302" t="str">
        <f ca="1">IF(Y3767=行业比较!$E$6,ROW(),"")</f>
        <v/>
      </c>
    </row>
    <row r="3768" spans="22:26">
      <c r="V3768" s="260">
        <f t="shared" ca="1" si="66"/>
        <v>47</v>
      </c>
      <c r="W3768" s="348" t="str">
        <f>IF(板块成分!B3770="","",板块成分!B3770)</f>
        <v>601600.SH</v>
      </c>
      <c r="X3768" s="276" t="str">
        <f>[1]!S_Info_Name(W3768)</f>
        <v>中国铝业</v>
      </c>
      <c r="Y3768" s="276" t="str">
        <f ca="1">IF($Y$3="申万一级行业",[1]!s_info_industry_sw_2021(W3768,公司分析!D$5,1),IF($Y$3="申万二级行业",[1]!s_info_industry_sw_2021(W3768,公司分析!D$5,2),IF($Y$3="申万三级行业",[1]!s_info_industry_sw_2021(W3768,公司分析!D$5,3),IF($Y$3="wind一级行业",[1]!s_info_industry_gics(W3768,1),IF($Y$3="wind二级行业",[1]!s_info_industry_gics(W3768,2),IF($Y$3="wind三级行业",[1]!s_info_industry_gics(W3768,3),IF($Y$3="wind四级行业",[1]!s_info_industry_gics(W3768,4),IF($Y$3="证监会门类行业",[1]!s_info_industry_csrc12_n(W3768,公司分析!D$5,1),""))))))))</f>
        <v>工业金属</v>
      </c>
      <c r="Z3768" s="302">
        <f ca="1">IF(Y3768=行业比较!$E$6,ROW(),"")</f>
        <v>3768</v>
      </c>
    </row>
    <row r="3769" spans="22:26">
      <c r="V3769" s="260">
        <f t="shared" ca="1" si="66"/>
        <v>0</v>
      </c>
      <c r="W3769" s="348" t="str">
        <f>IF(板块成分!B3771="","",板块成分!B3771)</f>
        <v>601601.SH</v>
      </c>
      <c r="X3769" s="276" t="str">
        <f>[1]!S_Info_Name(W3769)</f>
        <v>中国太保</v>
      </c>
      <c r="Y3769" s="276" t="str">
        <f ca="1">IF($Y$3="申万一级行业",[1]!s_info_industry_sw_2021(W3769,公司分析!D$5,1),IF($Y$3="申万二级行业",[1]!s_info_industry_sw_2021(W3769,公司分析!D$5,2),IF($Y$3="申万三级行业",[1]!s_info_industry_sw_2021(W3769,公司分析!D$5,3),IF($Y$3="wind一级行业",[1]!s_info_industry_gics(W3769,1),IF($Y$3="wind二级行业",[1]!s_info_industry_gics(W3769,2),IF($Y$3="wind三级行业",[1]!s_info_industry_gics(W3769,3),IF($Y$3="wind四级行业",[1]!s_info_industry_gics(W3769,4),IF($Y$3="证监会门类行业",[1]!s_info_industry_csrc12_n(W3769,公司分析!D$5,1),""))))))))</f>
        <v>保险Ⅱ</v>
      </c>
      <c r="Z3769" s="302" t="str">
        <f ca="1">IF(Y3769=行业比较!$E$6,ROW(),"")</f>
        <v/>
      </c>
    </row>
    <row r="3770" spans="22:26">
      <c r="V3770" s="260">
        <f t="shared" ca="1" si="66"/>
        <v>0</v>
      </c>
      <c r="W3770" s="348" t="str">
        <f>IF(板块成分!B3772="","",板块成分!B3772)</f>
        <v>601606.SH</v>
      </c>
      <c r="X3770" s="276" t="str">
        <f>[1]!S_Info_Name(W3770)</f>
        <v>长城军工</v>
      </c>
      <c r="Y3770" s="276" t="str">
        <f ca="1">IF($Y$3="申万一级行业",[1]!s_info_industry_sw_2021(W3770,公司分析!D$5,1),IF($Y$3="申万二级行业",[1]!s_info_industry_sw_2021(W3770,公司分析!D$5,2),IF($Y$3="申万三级行业",[1]!s_info_industry_sw_2021(W3770,公司分析!D$5,3),IF($Y$3="wind一级行业",[1]!s_info_industry_gics(W3770,1),IF($Y$3="wind二级行业",[1]!s_info_industry_gics(W3770,2),IF($Y$3="wind三级行业",[1]!s_info_industry_gics(W3770,3),IF($Y$3="wind四级行业",[1]!s_info_industry_gics(W3770,4),IF($Y$3="证监会门类行业",[1]!s_info_industry_csrc12_n(W3770,公司分析!D$5,1),""))))))))</f>
        <v>地面兵装Ⅱ</v>
      </c>
      <c r="Z3770" s="302" t="str">
        <f ca="1">IF(Y3770=行业比较!$E$6,ROW(),"")</f>
        <v/>
      </c>
    </row>
    <row r="3771" spans="22:26">
      <c r="V3771" s="260">
        <f t="shared" ca="1" si="66"/>
        <v>0</v>
      </c>
      <c r="W3771" s="348" t="str">
        <f>IF(板块成分!B3773="","",板块成分!B3773)</f>
        <v>601607.SH</v>
      </c>
      <c r="X3771" s="276" t="str">
        <f>[1]!S_Info_Name(W3771)</f>
        <v>上海医药</v>
      </c>
      <c r="Y3771" s="276" t="str">
        <f ca="1">IF($Y$3="申万一级行业",[1]!s_info_industry_sw_2021(W3771,公司分析!D$5,1),IF($Y$3="申万二级行业",[1]!s_info_industry_sw_2021(W3771,公司分析!D$5,2),IF($Y$3="申万三级行业",[1]!s_info_industry_sw_2021(W3771,公司分析!D$5,3),IF($Y$3="wind一级行业",[1]!s_info_industry_gics(W3771,1),IF($Y$3="wind二级行业",[1]!s_info_industry_gics(W3771,2),IF($Y$3="wind三级行业",[1]!s_info_industry_gics(W3771,3),IF($Y$3="wind四级行业",[1]!s_info_industry_gics(W3771,4),IF($Y$3="证监会门类行业",[1]!s_info_industry_csrc12_n(W3771,公司分析!D$5,1),""))))))))</f>
        <v>医药商业</v>
      </c>
      <c r="Z3771" s="302" t="str">
        <f ca="1">IF(Y3771=行业比较!$E$6,ROW(),"")</f>
        <v/>
      </c>
    </row>
    <row r="3772" spans="22:26">
      <c r="V3772" s="260">
        <f t="shared" ca="1" si="66"/>
        <v>0</v>
      </c>
      <c r="W3772" s="348" t="str">
        <f>IF(板块成分!B3774="","",板块成分!B3774)</f>
        <v>601608.SH</v>
      </c>
      <c r="X3772" s="276" t="str">
        <f>[1]!S_Info_Name(W3772)</f>
        <v>中信重工</v>
      </c>
      <c r="Y3772" s="276" t="str">
        <f ca="1">IF($Y$3="申万一级行业",[1]!s_info_industry_sw_2021(W3772,公司分析!D$5,1),IF($Y$3="申万二级行业",[1]!s_info_industry_sw_2021(W3772,公司分析!D$5,2),IF($Y$3="申万三级行业",[1]!s_info_industry_sw_2021(W3772,公司分析!D$5,3),IF($Y$3="wind一级行业",[1]!s_info_industry_gics(W3772,1),IF($Y$3="wind二级行业",[1]!s_info_industry_gics(W3772,2),IF($Y$3="wind三级行业",[1]!s_info_industry_gics(W3772,3),IF($Y$3="wind四级行业",[1]!s_info_industry_gics(W3772,4),IF($Y$3="证监会门类行业",[1]!s_info_industry_csrc12_n(W3772,公司分析!D$5,1),""))))))))</f>
        <v>专用设备</v>
      </c>
      <c r="Z3772" s="302" t="str">
        <f ca="1">IF(Y3772=行业比较!$E$6,ROW(),"")</f>
        <v/>
      </c>
    </row>
    <row r="3773" spans="22:26">
      <c r="V3773" s="260">
        <f t="shared" ca="1" si="66"/>
        <v>48</v>
      </c>
      <c r="W3773" s="348" t="str">
        <f>IF(板块成分!B3775="","",板块成分!B3775)</f>
        <v>601609.SH</v>
      </c>
      <c r="X3773" s="276" t="str">
        <f>[1]!S_Info_Name(W3773)</f>
        <v>金田股份</v>
      </c>
      <c r="Y3773" s="276" t="str">
        <f ca="1">IF($Y$3="申万一级行业",[1]!s_info_industry_sw_2021(W3773,公司分析!D$5,1),IF($Y$3="申万二级行业",[1]!s_info_industry_sw_2021(W3773,公司分析!D$5,2),IF($Y$3="申万三级行业",[1]!s_info_industry_sw_2021(W3773,公司分析!D$5,3),IF($Y$3="wind一级行业",[1]!s_info_industry_gics(W3773,1),IF($Y$3="wind二级行业",[1]!s_info_industry_gics(W3773,2),IF($Y$3="wind三级行业",[1]!s_info_industry_gics(W3773,3),IF($Y$3="wind四级行业",[1]!s_info_industry_gics(W3773,4),IF($Y$3="证监会门类行业",[1]!s_info_industry_csrc12_n(W3773,公司分析!D$5,1),""))))))))</f>
        <v>工业金属</v>
      </c>
      <c r="Z3773" s="302">
        <f ca="1">IF(Y3773=行业比较!$E$6,ROW(),"")</f>
        <v>3773</v>
      </c>
    </row>
    <row r="3774" spans="22:26">
      <c r="V3774" s="260">
        <f t="shared" ca="1" si="66"/>
        <v>0</v>
      </c>
      <c r="W3774" s="348" t="str">
        <f>IF(板块成分!B3776="","",板块成分!B3776)</f>
        <v>601611.SH</v>
      </c>
      <c r="X3774" s="276" t="str">
        <f>[1]!S_Info_Name(W3774)</f>
        <v>中国核建</v>
      </c>
      <c r="Y3774" s="276" t="str">
        <f ca="1">IF($Y$3="申万一级行业",[1]!s_info_industry_sw_2021(W3774,公司分析!D$5,1),IF($Y$3="申万二级行业",[1]!s_info_industry_sw_2021(W3774,公司分析!D$5,2),IF($Y$3="申万三级行业",[1]!s_info_industry_sw_2021(W3774,公司分析!D$5,3),IF($Y$3="wind一级行业",[1]!s_info_industry_gics(W3774,1),IF($Y$3="wind二级行业",[1]!s_info_industry_gics(W3774,2),IF($Y$3="wind三级行业",[1]!s_info_industry_gics(W3774,3),IF($Y$3="wind四级行业",[1]!s_info_industry_gics(W3774,4),IF($Y$3="证监会门类行业",[1]!s_info_industry_csrc12_n(W3774,公司分析!D$5,1),""))))))))</f>
        <v>基础建设</v>
      </c>
      <c r="Z3774" s="302" t="str">
        <f ca="1">IF(Y3774=行业比较!$E$6,ROW(),"")</f>
        <v/>
      </c>
    </row>
    <row r="3775" spans="22:26">
      <c r="V3775" s="260">
        <f t="shared" ca="1" si="66"/>
        <v>0</v>
      </c>
      <c r="W3775" s="348" t="str">
        <f>IF(板块成分!B3777="","",板块成分!B3777)</f>
        <v>601615.SH</v>
      </c>
      <c r="X3775" s="276" t="str">
        <f>[1]!S_Info_Name(W3775)</f>
        <v>明阳智能</v>
      </c>
      <c r="Y3775" s="276" t="str">
        <f ca="1">IF($Y$3="申万一级行业",[1]!s_info_industry_sw_2021(W3775,公司分析!D$5,1),IF($Y$3="申万二级行业",[1]!s_info_industry_sw_2021(W3775,公司分析!D$5,2),IF($Y$3="申万三级行业",[1]!s_info_industry_sw_2021(W3775,公司分析!D$5,3),IF($Y$3="wind一级行业",[1]!s_info_industry_gics(W3775,1),IF($Y$3="wind二级行业",[1]!s_info_industry_gics(W3775,2),IF($Y$3="wind三级行业",[1]!s_info_industry_gics(W3775,3),IF($Y$3="wind四级行业",[1]!s_info_industry_gics(W3775,4),IF($Y$3="证监会门类行业",[1]!s_info_industry_csrc12_n(W3775,公司分析!D$5,1),""))))))))</f>
        <v>风电设备</v>
      </c>
      <c r="Z3775" s="302" t="str">
        <f ca="1">IF(Y3775=行业比较!$E$6,ROW(),"")</f>
        <v/>
      </c>
    </row>
    <row r="3776" spans="22:26">
      <c r="V3776" s="260">
        <f t="shared" ca="1" si="66"/>
        <v>0</v>
      </c>
      <c r="W3776" s="348" t="str">
        <f>IF(板块成分!B3778="","",板块成分!B3778)</f>
        <v>601616.SH</v>
      </c>
      <c r="X3776" s="276" t="str">
        <f>[1]!S_Info_Name(W3776)</f>
        <v>广电电气</v>
      </c>
      <c r="Y3776" s="276" t="str">
        <f ca="1">IF($Y$3="申万一级行业",[1]!s_info_industry_sw_2021(W3776,公司分析!D$5,1),IF($Y$3="申万二级行业",[1]!s_info_industry_sw_2021(W3776,公司分析!D$5,2),IF($Y$3="申万三级行业",[1]!s_info_industry_sw_2021(W3776,公司分析!D$5,3),IF($Y$3="wind一级行业",[1]!s_info_industry_gics(W3776,1),IF($Y$3="wind二级行业",[1]!s_info_industry_gics(W3776,2),IF($Y$3="wind三级行业",[1]!s_info_industry_gics(W3776,3),IF($Y$3="wind四级行业",[1]!s_info_industry_gics(W3776,4),IF($Y$3="证监会门类行业",[1]!s_info_industry_csrc12_n(W3776,公司分析!D$5,1),""))))))))</f>
        <v>电网设备</v>
      </c>
      <c r="Z3776" s="302" t="str">
        <f ca="1">IF(Y3776=行业比较!$E$6,ROW(),"")</f>
        <v/>
      </c>
    </row>
    <row r="3777" spans="22:26">
      <c r="V3777" s="260">
        <f t="shared" ca="1" si="66"/>
        <v>0</v>
      </c>
      <c r="W3777" s="348" t="str">
        <f>IF(板块成分!B3779="","",板块成分!B3779)</f>
        <v>601618.SH</v>
      </c>
      <c r="X3777" s="276" t="str">
        <f>[1]!S_Info_Name(W3777)</f>
        <v>中国中冶</v>
      </c>
      <c r="Y3777" s="276" t="str">
        <f ca="1">IF($Y$3="申万一级行业",[1]!s_info_industry_sw_2021(W3777,公司分析!D$5,1),IF($Y$3="申万二级行业",[1]!s_info_industry_sw_2021(W3777,公司分析!D$5,2),IF($Y$3="申万三级行业",[1]!s_info_industry_sw_2021(W3777,公司分析!D$5,3),IF($Y$3="wind一级行业",[1]!s_info_industry_gics(W3777,1),IF($Y$3="wind二级行业",[1]!s_info_industry_gics(W3777,2),IF($Y$3="wind三级行业",[1]!s_info_industry_gics(W3777,3),IF($Y$3="wind四级行业",[1]!s_info_industry_gics(W3777,4),IF($Y$3="证监会门类行业",[1]!s_info_industry_csrc12_n(W3777,公司分析!D$5,1),""))))))))</f>
        <v>专业工程</v>
      </c>
      <c r="Z3777" s="302" t="str">
        <f ca="1">IF(Y3777=行业比较!$E$6,ROW(),"")</f>
        <v/>
      </c>
    </row>
    <row r="3778" spans="22:26">
      <c r="V3778" s="260">
        <f t="shared" ca="1" si="66"/>
        <v>0</v>
      </c>
      <c r="W3778" s="348" t="str">
        <f>IF(板块成分!B3780="","",板块成分!B3780)</f>
        <v>601619.SH</v>
      </c>
      <c r="X3778" s="276" t="str">
        <f>[1]!S_Info_Name(W3778)</f>
        <v>嘉泽新能</v>
      </c>
      <c r="Y3778" s="276" t="str">
        <f ca="1">IF($Y$3="申万一级行业",[1]!s_info_industry_sw_2021(W3778,公司分析!D$5,1),IF($Y$3="申万二级行业",[1]!s_info_industry_sw_2021(W3778,公司分析!D$5,2),IF($Y$3="申万三级行业",[1]!s_info_industry_sw_2021(W3778,公司分析!D$5,3),IF($Y$3="wind一级行业",[1]!s_info_industry_gics(W3778,1),IF($Y$3="wind二级行业",[1]!s_info_industry_gics(W3778,2),IF($Y$3="wind三级行业",[1]!s_info_industry_gics(W3778,3),IF($Y$3="wind四级行业",[1]!s_info_industry_gics(W3778,4),IF($Y$3="证监会门类行业",[1]!s_info_industry_csrc12_n(W3778,公司分析!D$5,1),""))))))))</f>
        <v>电力</v>
      </c>
      <c r="Z3778" s="302" t="str">
        <f ca="1">IF(Y3778=行业比较!$E$6,ROW(),"")</f>
        <v/>
      </c>
    </row>
    <row r="3779" spans="22:26">
      <c r="V3779" s="260">
        <f t="shared" ca="1" si="66"/>
        <v>0</v>
      </c>
      <c r="W3779" s="348" t="str">
        <f>IF(板块成分!B3781="","",板块成分!B3781)</f>
        <v>601628.SH</v>
      </c>
      <c r="X3779" s="276" t="str">
        <f>[1]!S_Info_Name(W3779)</f>
        <v>中国人寿</v>
      </c>
      <c r="Y3779" s="276" t="str">
        <f ca="1">IF($Y$3="申万一级行业",[1]!s_info_industry_sw_2021(W3779,公司分析!D$5,1),IF($Y$3="申万二级行业",[1]!s_info_industry_sw_2021(W3779,公司分析!D$5,2),IF($Y$3="申万三级行业",[1]!s_info_industry_sw_2021(W3779,公司分析!D$5,3),IF($Y$3="wind一级行业",[1]!s_info_industry_gics(W3779,1),IF($Y$3="wind二级行业",[1]!s_info_industry_gics(W3779,2),IF($Y$3="wind三级行业",[1]!s_info_industry_gics(W3779,3),IF($Y$3="wind四级行业",[1]!s_info_industry_gics(W3779,4),IF($Y$3="证监会门类行业",[1]!s_info_industry_csrc12_n(W3779,公司分析!D$5,1),""))))))))</f>
        <v>保险Ⅱ</v>
      </c>
      <c r="Z3779" s="302" t="str">
        <f ca="1">IF(Y3779=行业比较!$E$6,ROW(),"")</f>
        <v/>
      </c>
    </row>
    <row r="3780" spans="22:26">
      <c r="V3780" s="260">
        <f t="shared" ca="1" si="66"/>
        <v>0</v>
      </c>
      <c r="W3780" s="348" t="str">
        <f>IF(板块成分!B3782="","",板块成分!B3782)</f>
        <v>601633.SH</v>
      </c>
      <c r="X3780" s="276" t="str">
        <f>[1]!S_Info_Name(W3780)</f>
        <v>长城汽车</v>
      </c>
      <c r="Y3780" s="276" t="str">
        <f ca="1">IF($Y$3="申万一级行业",[1]!s_info_industry_sw_2021(W3780,公司分析!D$5,1),IF($Y$3="申万二级行业",[1]!s_info_industry_sw_2021(W3780,公司分析!D$5,2),IF($Y$3="申万三级行业",[1]!s_info_industry_sw_2021(W3780,公司分析!D$5,3),IF($Y$3="wind一级行业",[1]!s_info_industry_gics(W3780,1),IF($Y$3="wind二级行业",[1]!s_info_industry_gics(W3780,2),IF($Y$3="wind三级行业",[1]!s_info_industry_gics(W3780,3),IF($Y$3="wind四级行业",[1]!s_info_industry_gics(W3780,4),IF($Y$3="证监会门类行业",[1]!s_info_industry_csrc12_n(W3780,公司分析!D$5,1),""))))))))</f>
        <v>乘用车</v>
      </c>
      <c r="Z3780" s="302" t="str">
        <f ca="1">IF(Y3780=行业比较!$E$6,ROW(),"")</f>
        <v/>
      </c>
    </row>
    <row r="3781" spans="22:26">
      <c r="V3781" s="260">
        <f t="shared" ref="V3781:V3844" ca="1" si="67">IF(Z3781="",0,RANK(Z3781,Z:Z,1))</f>
        <v>0</v>
      </c>
      <c r="W3781" s="348" t="str">
        <f>IF(板块成分!B3783="","",板块成分!B3783)</f>
        <v>601636.SH</v>
      </c>
      <c r="X3781" s="276" t="str">
        <f>[1]!S_Info_Name(W3781)</f>
        <v>旗滨集团</v>
      </c>
      <c r="Y3781" s="276" t="str">
        <f ca="1">IF($Y$3="申万一级行业",[1]!s_info_industry_sw_2021(W3781,公司分析!D$5,1),IF($Y$3="申万二级行业",[1]!s_info_industry_sw_2021(W3781,公司分析!D$5,2),IF($Y$3="申万三级行业",[1]!s_info_industry_sw_2021(W3781,公司分析!D$5,3),IF($Y$3="wind一级行业",[1]!s_info_industry_gics(W3781,1),IF($Y$3="wind二级行业",[1]!s_info_industry_gics(W3781,2),IF($Y$3="wind三级行业",[1]!s_info_industry_gics(W3781,3),IF($Y$3="wind四级行业",[1]!s_info_industry_gics(W3781,4),IF($Y$3="证监会门类行业",[1]!s_info_industry_csrc12_n(W3781,公司分析!D$5,1),""))))))))</f>
        <v>玻璃玻纤</v>
      </c>
      <c r="Z3781" s="302" t="str">
        <f ca="1">IF(Y3781=行业比较!$E$6,ROW(),"")</f>
        <v/>
      </c>
    </row>
    <row r="3782" spans="22:26">
      <c r="V3782" s="260">
        <f t="shared" ca="1" si="67"/>
        <v>0</v>
      </c>
      <c r="W3782" s="348" t="str">
        <f>IF(板块成分!B3784="","",板块成分!B3784)</f>
        <v>601658.SH</v>
      </c>
      <c r="X3782" s="276" t="str">
        <f>[1]!S_Info_Name(W3782)</f>
        <v>邮储银行</v>
      </c>
      <c r="Y3782" s="276" t="str">
        <f ca="1">IF($Y$3="申万一级行业",[1]!s_info_industry_sw_2021(W3782,公司分析!D$5,1),IF($Y$3="申万二级行业",[1]!s_info_industry_sw_2021(W3782,公司分析!D$5,2),IF($Y$3="申万三级行业",[1]!s_info_industry_sw_2021(W3782,公司分析!D$5,3),IF($Y$3="wind一级行业",[1]!s_info_industry_gics(W3782,1),IF($Y$3="wind二级行业",[1]!s_info_industry_gics(W3782,2),IF($Y$3="wind三级行业",[1]!s_info_industry_gics(W3782,3),IF($Y$3="wind四级行业",[1]!s_info_industry_gics(W3782,4),IF($Y$3="证监会门类行业",[1]!s_info_industry_csrc12_n(W3782,公司分析!D$5,1),""))))))))</f>
        <v>国有大型银行Ⅱ</v>
      </c>
      <c r="Z3782" s="302" t="str">
        <f ca="1">IF(Y3782=行业比较!$E$6,ROW(),"")</f>
        <v/>
      </c>
    </row>
    <row r="3783" spans="22:26">
      <c r="V3783" s="260">
        <f t="shared" ca="1" si="67"/>
        <v>0</v>
      </c>
      <c r="W3783" s="348" t="str">
        <f>IF(板块成分!B3785="","",板块成分!B3785)</f>
        <v>601665.SH</v>
      </c>
      <c r="X3783" s="276" t="str">
        <f>[1]!S_Info_Name(W3783)</f>
        <v>齐鲁银行</v>
      </c>
      <c r="Y3783" s="276" t="str">
        <f ca="1">IF($Y$3="申万一级行业",[1]!s_info_industry_sw_2021(W3783,公司分析!D$5,1),IF($Y$3="申万二级行业",[1]!s_info_industry_sw_2021(W3783,公司分析!D$5,2),IF($Y$3="申万三级行业",[1]!s_info_industry_sw_2021(W3783,公司分析!D$5,3),IF($Y$3="wind一级行业",[1]!s_info_industry_gics(W3783,1),IF($Y$3="wind二级行业",[1]!s_info_industry_gics(W3783,2),IF($Y$3="wind三级行业",[1]!s_info_industry_gics(W3783,3),IF($Y$3="wind四级行业",[1]!s_info_industry_gics(W3783,4),IF($Y$3="证监会门类行业",[1]!s_info_industry_csrc12_n(W3783,公司分析!D$5,1),""))))))))</f>
        <v>城商行Ⅱ</v>
      </c>
      <c r="Z3783" s="302" t="str">
        <f ca="1">IF(Y3783=行业比较!$E$6,ROW(),"")</f>
        <v/>
      </c>
    </row>
    <row r="3784" spans="22:26">
      <c r="V3784" s="260">
        <f t="shared" ca="1" si="67"/>
        <v>0</v>
      </c>
      <c r="W3784" s="348" t="str">
        <f>IF(板块成分!B3786="","",板块成分!B3786)</f>
        <v>601666.SH</v>
      </c>
      <c r="X3784" s="276" t="str">
        <f>[1]!S_Info_Name(W3784)</f>
        <v>平煤股份</v>
      </c>
      <c r="Y3784" s="276" t="str">
        <f ca="1">IF($Y$3="申万一级行业",[1]!s_info_industry_sw_2021(W3784,公司分析!D$5,1),IF($Y$3="申万二级行业",[1]!s_info_industry_sw_2021(W3784,公司分析!D$5,2),IF($Y$3="申万三级行业",[1]!s_info_industry_sw_2021(W3784,公司分析!D$5,3),IF($Y$3="wind一级行业",[1]!s_info_industry_gics(W3784,1),IF($Y$3="wind二级行业",[1]!s_info_industry_gics(W3784,2),IF($Y$3="wind三级行业",[1]!s_info_industry_gics(W3784,3),IF($Y$3="wind四级行业",[1]!s_info_industry_gics(W3784,4),IF($Y$3="证监会门类行业",[1]!s_info_industry_csrc12_n(W3784,公司分析!D$5,1),""))))))))</f>
        <v>煤炭开采</v>
      </c>
      <c r="Z3784" s="302" t="str">
        <f ca="1">IF(Y3784=行业比较!$E$6,ROW(),"")</f>
        <v/>
      </c>
    </row>
    <row r="3785" spans="22:26">
      <c r="V3785" s="260">
        <f t="shared" ca="1" si="67"/>
        <v>0</v>
      </c>
      <c r="W3785" s="348" t="str">
        <f>IF(板块成分!B3787="","",板块成分!B3787)</f>
        <v>601668.SH</v>
      </c>
      <c r="X3785" s="276" t="str">
        <f>[1]!S_Info_Name(W3785)</f>
        <v>中国建筑</v>
      </c>
      <c r="Y3785" s="276" t="str">
        <f ca="1">IF($Y$3="申万一级行业",[1]!s_info_industry_sw_2021(W3785,公司分析!D$5,1),IF($Y$3="申万二级行业",[1]!s_info_industry_sw_2021(W3785,公司分析!D$5,2),IF($Y$3="申万三级行业",[1]!s_info_industry_sw_2021(W3785,公司分析!D$5,3),IF($Y$3="wind一级行业",[1]!s_info_industry_gics(W3785,1),IF($Y$3="wind二级行业",[1]!s_info_industry_gics(W3785,2),IF($Y$3="wind三级行业",[1]!s_info_industry_gics(W3785,3),IF($Y$3="wind四级行业",[1]!s_info_industry_gics(W3785,4),IF($Y$3="证监会门类行业",[1]!s_info_industry_csrc12_n(W3785,公司分析!D$5,1),""))))))))</f>
        <v>房屋建设Ⅱ</v>
      </c>
      <c r="Z3785" s="302" t="str">
        <f ca="1">IF(Y3785=行业比较!$E$6,ROW(),"")</f>
        <v/>
      </c>
    </row>
    <row r="3786" spans="22:26">
      <c r="V3786" s="260">
        <f t="shared" ca="1" si="67"/>
        <v>0</v>
      </c>
      <c r="W3786" s="348" t="str">
        <f>IF(板块成分!B3788="","",板块成分!B3788)</f>
        <v>601669.SH</v>
      </c>
      <c r="X3786" s="276" t="str">
        <f>[1]!S_Info_Name(W3786)</f>
        <v>中国电建</v>
      </c>
      <c r="Y3786" s="276" t="str">
        <f ca="1">IF($Y$3="申万一级行业",[1]!s_info_industry_sw_2021(W3786,公司分析!D$5,1),IF($Y$3="申万二级行业",[1]!s_info_industry_sw_2021(W3786,公司分析!D$5,2),IF($Y$3="申万三级行业",[1]!s_info_industry_sw_2021(W3786,公司分析!D$5,3),IF($Y$3="wind一级行业",[1]!s_info_industry_gics(W3786,1),IF($Y$3="wind二级行业",[1]!s_info_industry_gics(W3786,2),IF($Y$3="wind三级行业",[1]!s_info_industry_gics(W3786,3),IF($Y$3="wind四级行业",[1]!s_info_industry_gics(W3786,4),IF($Y$3="证监会门类行业",[1]!s_info_industry_csrc12_n(W3786,公司分析!D$5,1),""))))))))</f>
        <v>基础建设</v>
      </c>
      <c r="Z3786" s="302" t="str">
        <f ca="1">IF(Y3786=行业比较!$E$6,ROW(),"")</f>
        <v/>
      </c>
    </row>
    <row r="3787" spans="22:26">
      <c r="V3787" s="260">
        <f t="shared" ca="1" si="67"/>
        <v>49</v>
      </c>
      <c r="W3787" s="348" t="str">
        <f>IF(板块成分!B3789="","",板块成分!B3789)</f>
        <v>601677.SH</v>
      </c>
      <c r="X3787" s="276" t="str">
        <f>[1]!S_Info_Name(W3787)</f>
        <v>明泰铝业</v>
      </c>
      <c r="Y3787" s="276" t="str">
        <f ca="1">IF($Y$3="申万一级行业",[1]!s_info_industry_sw_2021(W3787,公司分析!D$5,1),IF($Y$3="申万二级行业",[1]!s_info_industry_sw_2021(W3787,公司分析!D$5,2),IF($Y$3="申万三级行业",[1]!s_info_industry_sw_2021(W3787,公司分析!D$5,3),IF($Y$3="wind一级行业",[1]!s_info_industry_gics(W3787,1),IF($Y$3="wind二级行业",[1]!s_info_industry_gics(W3787,2),IF($Y$3="wind三级行业",[1]!s_info_industry_gics(W3787,3),IF($Y$3="wind四级行业",[1]!s_info_industry_gics(W3787,4),IF($Y$3="证监会门类行业",[1]!s_info_industry_csrc12_n(W3787,公司分析!D$5,1),""))))))))</f>
        <v>工业金属</v>
      </c>
      <c r="Z3787" s="302">
        <f ca="1">IF(Y3787=行业比较!$E$6,ROW(),"")</f>
        <v>3787</v>
      </c>
    </row>
    <row r="3788" spans="22:26">
      <c r="V3788" s="260">
        <f t="shared" ca="1" si="67"/>
        <v>0</v>
      </c>
      <c r="W3788" s="348" t="str">
        <f>IF(板块成分!B3790="","",板块成分!B3790)</f>
        <v>601678.SH</v>
      </c>
      <c r="X3788" s="276" t="str">
        <f>[1]!S_Info_Name(W3788)</f>
        <v>滨化股份</v>
      </c>
      <c r="Y3788" s="276" t="str">
        <f ca="1">IF($Y$3="申万一级行业",[1]!s_info_industry_sw_2021(W3788,公司分析!D$5,1),IF($Y$3="申万二级行业",[1]!s_info_industry_sw_2021(W3788,公司分析!D$5,2),IF($Y$3="申万三级行业",[1]!s_info_industry_sw_2021(W3788,公司分析!D$5,3),IF($Y$3="wind一级行业",[1]!s_info_industry_gics(W3788,1),IF($Y$3="wind二级行业",[1]!s_info_industry_gics(W3788,2),IF($Y$3="wind三级行业",[1]!s_info_industry_gics(W3788,3),IF($Y$3="wind四级行业",[1]!s_info_industry_gics(W3788,4),IF($Y$3="证监会门类行业",[1]!s_info_industry_csrc12_n(W3788,公司分析!D$5,1),""))))))))</f>
        <v>化学原料</v>
      </c>
      <c r="Z3788" s="302" t="str">
        <f ca="1">IF(Y3788=行业比较!$E$6,ROW(),"")</f>
        <v/>
      </c>
    </row>
    <row r="3789" spans="22:26">
      <c r="V3789" s="260">
        <f t="shared" ca="1" si="67"/>
        <v>0</v>
      </c>
      <c r="W3789" s="348" t="str">
        <f>IF(板块成分!B3791="","",板块成分!B3791)</f>
        <v>601686.SH</v>
      </c>
      <c r="X3789" s="276" t="str">
        <f>[1]!S_Info_Name(W3789)</f>
        <v>友发集团</v>
      </c>
      <c r="Y3789" s="276" t="str">
        <f ca="1">IF($Y$3="申万一级行业",[1]!s_info_industry_sw_2021(W3789,公司分析!D$5,1),IF($Y$3="申万二级行业",[1]!s_info_industry_sw_2021(W3789,公司分析!D$5,2),IF($Y$3="申万三级行业",[1]!s_info_industry_sw_2021(W3789,公司分析!D$5,3),IF($Y$3="wind一级行业",[1]!s_info_industry_gics(W3789,1),IF($Y$3="wind二级行业",[1]!s_info_industry_gics(W3789,2),IF($Y$3="wind三级行业",[1]!s_info_industry_gics(W3789,3),IF($Y$3="wind四级行业",[1]!s_info_industry_gics(W3789,4),IF($Y$3="证监会门类行业",[1]!s_info_industry_csrc12_n(W3789,公司分析!D$5,1),""))))))))</f>
        <v>普钢</v>
      </c>
      <c r="Z3789" s="302" t="str">
        <f ca="1">IF(Y3789=行业比较!$E$6,ROW(),"")</f>
        <v/>
      </c>
    </row>
    <row r="3790" spans="22:26">
      <c r="V3790" s="260">
        <f t="shared" ca="1" si="67"/>
        <v>0</v>
      </c>
      <c r="W3790" s="348" t="str">
        <f>IF(板块成分!B3792="","",板块成分!B3792)</f>
        <v>601688.SH</v>
      </c>
      <c r="X3790" s="276" t="str">
        <f>[1]!S_Info_Name(W3790)</f>
        <v>华泰证券</v>
      </c>
      <c r="Y3790" s="276" t="str">
        <f ca="1">IF($Y$3="申万一级行业",[1]!s_info_industry_sw_2021(W3790,公司分析!D$5,1),IF($Y$3="申万二级行业",[1]!s_info_industry_sw_2021(W3790,公司分析!D$5,2),IF($Y$3="申万三级行业",[1]!s_info_industry_sw_2021(W3790,公司分析!D$5,3),IF($Y$3="wind一级行业",[1]!s_info_industry_gics(W3790,1),IF($Y$3="wind二级行业",[1]!s_info_industry_gics(W3790,2),IF($Y$3="wind三级行业",[1]!s_info_industry_gics(W3790,3),IF($Y$3="wind四级行业",[1]!s_info_industry_gics(W3790,4),IF($Y$3="证监会门类行业",[1]!s_info_industry_csrc12_n(W3790,公司分析!D$5,1),""))))))))</f>
        <v>证券Ⅱ</v>
      </c>
      <c r="Z3790" s="302" t="str">
        <f ca="1">IF(Y3790=行业比较!$E$6,ROW(),"")</f>
        <v/>
      </c>
    </row>
    <row r="3791" spans="22:26">
      <c r="V3791" s="260">
        <f t="shared" ca="1" si="67"/>
        <v>0</v>
      </c>
      <c r="W3791" s="348" t="str">
        <f>IF(板块成分!B3793="","",板块成分!B3793)</f>
        <v>601689.SH</v>
      </c>
      <c r="X3791" s="276" t="str">
        <f>[1]!S_Info_Name(W3791)</f>
        <v>拓普集团</v>
      </c>
      <c r="Y3791" s="276" t="str">
        <f ca="1">IF($Y$3="申万一级行业",[1]!s_info_industry_sw_2021(W3791,公司分析!D$5,1),IF($Y$3="申万二级行业",[1]!s_info_industry_sw_2021(W3791,公司分析!D$5,2),IF($Y$3="申万三级行业",[1]!s_info_industry_sw_2021(W3791,公司分析!D$5,3),IF($Y$3="wind一级行业",[1]!s_info_industry_gics(W3791,1),IF($Y$3="wind二级行业",[1]!s_info_industry_gics(W3791,2),IF($Y$3="wind三级行业",[1]!s_info_industry_gics(W3791,3),IF($Y$3="wind四级行业",[1]!s_info_industry_gics(W3791,4),IF($Y$3="证监会门类行业",[1]!s_info_industry_csrc12_n(W3791,公司分析!D$5,1),""))))))))</f>
        <v>汽车零部件</v>
      </c>
      <c r="Z3791" s="302" t="str">
        <f ca="1">IF(Y3791=行业比较!$E$6,ROW(),"")</f>
        <v/>
      </c>
    </row>
    <row r="3792" spans="22:26">
      <c r="V3792" s="260">
        <f t="shared" ca="1" si="67"/>
        <v>0</v>
      </c>
      <c r="W3792" s="348" t="str">
        <f>IF(板块成分!B3794="","",板块成分!B3794)</f>
        <v>601696.SH</v>
      </c>
      <c r="X3792" s="276" t="str">
        <f>[1]!S_Info_Name(W3792)</f>
        <v>中银证券</v>
      </c>
      <c r="Y3792" s="276" t="str">
        <f ca="1">IF($Y$3="申万一级行业",[1]!s_info_industry_sw_2021(W3792,公司分析!D$5,1),IF($Y$3="申万二级行业",[1]!s_info_industry_sw_2021(W3792,公司分析!D$5,2),IF($Y$3="申万三级行业",[1]!s_info_industry_sw_2021(W3792,公司分析!D$5,3),IF($Y$3="wind一级行业",[1]!s_info_industry_gics(W3792,1),IF($Y$3="wind二级行业",[1]!s_info_industry_gics(W3792,2),IF($Y$3="wind三级行业",[1]!s_info_industry_gics(W3792,3),IF($Y$3="wind四级行业",[1]!s_info_industry_gics(W3792,4),IF($Y$3="证监会门类行业",[1]!s_info_industry_csrc12_n(W3792,公司分析!D$5,1),""))))))))</f>
        <v>证券Ⅱ</v>
      </c>
      <c r="Z3792" s="302" t="str">
        <f ca="1">IF(Y3792=行业比较!$E$6,ROW(),"")</f>
        <v/>
      </c>
    </row>
    <row r="3793" spans="22:26">
      <c r="V3793" s="260">
        <f t="shared" ca="1" si="67"/>
        <v>0</v>
      </c>
      <c r="W3793" s="348" t="str">
        <f>IF(板块成分!B3795="","",板块成分!B3795)</f>
        <v>601698.SH</v>
      </c>
      <c r="X3793" s="276" t="str">
        <f>[1]!S_Info_Name(W3793)</f>
        <v>中国卫通</v>
      </c>
      <c r="Y3793" s="276" t="str">
        <f ca="1">IF($Y$3="申万一级行业",[1]!s_info_industry_sw_2021(W3793,公司分析!D$5,1),IF($Y$3="申万二级行业",[1]!s_info_industry_sw_2021(W3793,公司分析!D$5,2),IF($Y$3="申万三级行业",[1]!s_info_industry_sw_2021(W3793,公司分析!D$5,3),IF($Y$3="wind一级行业",[1]!s_info_industry_gics(W3793,1),IF($Y$3="wind二级行业",[1]!s_info_industry_gics(W3793,2),IF($Y$3="wind三级行业",[1]!s_info_industry_gics(W3793,3),IF($Y$3="wind四级行业",[1]!s_info_industry_gics(W3793,4),IF($Y$3="证监会门类行业",[1]!s_info_industry_csrc12_n(W3793,公司分析!D$5,1),""))))))))</f>
        <v>航天装备Ⅱ</v>
      </c>
      <c r="Z3793" s="302" t="str">
        <f ca="1">IF(Y3793=行业比较!$E$6,ROW(),"")</f>
        <v/>
      </c>
    </row>
    <row r="3794" spans="22:26">
      <c r="V3794" s="260">
        <f t="shared" ca="1" si="67"/>
        <v>0</v>
      </c>
      <c r="W3794" s="348" t="str">
        <f>IF(板块成分!B3796="","",板块成分!B3796)</f>
        <v>601699.SH</v>
      </c>
      <c r="X3794" s="276" t="str">
        <f>[1]!S_Info_Name(W3794)</f>
        <v>潞安环能</v>
      </c>
      <c r="Y3794" s="276" t="str">
        <f ca="1">IF($Y$3="申万一级行业",[1]!s_info_industry_sw_2021(W3794,公司分析!D$5,1),IF($Y$3="申万二级行业",[1]!s_info_industry_sw_2021(W3794,公司分析!D$5,2),IF($Y$3="申万三级行业",[1]!s_info_industry_sw_2021(W3794,公司分析!D$5,3),IF($Y$3="wind一级行业",[1]!s_info_industry_gics(W3794,1),IF($Y$3="wind二级行业",[1]!s_info_industry_gics(W3794,2),IF($Y$3="wind三级行业",[1]!s_info_industry_gics(W3794,3),IF($Y$3="wind四级行业",[1]!s_info_industry_gics(W3794,4),IF($Y$3="证监会门类行业",[1]!s_info_industry_csrc12_n(W3794,公司分析!D$5,1),""))))))))</f>
        <v>煤炭开采</v>
      </c>
      <c r="Z3794" s="302" t="str">
        <f ca="1">IF(Y3794=行业比较!$E$6,ROW(),"")</f>
        <v/>
      </c>
    </row>
    <row r="3795" spans="22:26">
      <c r="V3795" s="260">
        <f t="shared" ca="1" si="67"/>
        <v>0</v>
      </c>
      <c r="W3795" s="348" t="str">
        <f>IF(板块成分!B3797="","",板块成分!B3797)</f>
        <v>601700.SH</v>
      </c>
      <c r="X3795" s="276" t="str">
        <f>[1]!S_Info_Name(W3795)</f>
        <v>风范股份</v>
      </c>
      <c r="Y3795" s="276" t="str">
        <f ca="1">IF($Y$3="申万一级行业",[1]!s_info_industry_sw_2021(W3795,公司分析!D$5,1),IF($Y$3="申万二级行业",[1]!s_info_industry_sw_2021(W3795,公司分析!D$5,2),IF($Y$3="申万三级行业",[1]!s_info_industry_sw_2021(W3795,公司分析!D$5,3),IF($Y$3="wind一级行业",[1]!s_info_industry_gics(W3795,1),IF($Y$3="wind二级行业",[1]!s_info_industry_gics(W3795,2),IF($Y$3="wind三级行业",[1]!s_info_industry_gics(W3795,3),IF($Y$3="wind四级行业",[1]!s_info_industry_gics(W3795,4),IF($Y$3="证监会门类行业",[1]!s_info_industry_csrc12_n(W3795,公司分析!D$5,1),""))))))))</f>
        <v>电网设备</v>
      </c>
      <c r="Z3795" s="302" t="str">
        <f ca="1">IF(Y3795=行业比较!$E$6,ROW(),"")</f>
        <v/>
      </c>
    </row>
    <row r="3796" spans="22:26">
      <c r="V3796" s="260">
        <f t="shared" ca="1" si="67"/>
        <v>50</v>
      </c>
      <c r="W3796" s="348" t="str">
        <f>IF(板块成分!B3798="","",板块成分!B3798)</f>
        <v>601702.SH</v>
      </c>
      <c r="X3796" s="276" t="str">
        <f>[1]!S_Info_Name(W3796)</f>
        <v>华峰铝业</v>
      </c>
      <c r="Y3796" s="276" t="str">
        <f ca="1">IF($Y$3="申万一级行业",[1]!s_info_industry_sw_2021(W3796,公司分析!D$5,1),IF($Y$3="申万二级行业",[1]!s_info_industry_sw_2021(W3796,公司分析!D$5,2),IF($Y$3="申万三级行业",[1]!s_info_industry_sw_2021(W3796,公司分析!D$5,3),IF($Y$3="wind一级行业",[1]!s_info_industry_gics(W3796,1),IF($Y$3="wind二级行业",[1]!s_info_industry_gics(W3796,2),IF($Y$3="wind三级行业",[1]!s_info_industry_gics(W3796,3),IF($Y$3="wind四级行业",[1]!s_info_industry_gics(W3796,4),IF($Y$3="证监会门类行业",[1]!s_info_industry_csrc12_n(W3796,公司分析!D$5,1),""))))))))</f>
        <v>工业金属</v>
      </c>
      <c r="Z3796" s="302">
        <f ca="1">IF(Y3796=行业比较!$E$6,ROW(),"")</f>
        <v>3796</v>
      </c>
    </row>
    <row r="3797" spans="22:26">
      <c r="V3797" s="260">
        <f t="shared" ca="1" si="67"/>
        <v>0</v>
      </c>
      <c r="W3797" s="348" t="str">
        <f>IF(板块成分!B3799="","",板块成分!B3799)</f>
        <v>601717.SH</v>
      </c>
      <c r="X3797" s="276" t="str">
        <f>[1]!S_Info_Name(W3797)</f>
        <v>中创智领</v>
      </c>
      <c r="Y3797" s="276" t="str">
        <f ca="1">IF($Y$3="申万一级行业",[1]!s_info_industry_sw_2021(W3797,公司分析!D$5,1),IF($Y$3="申万二级行业",[1]!s_info_industry_sw_2021(W3797,公司分析!D$5,2),IF($Y$3="申万三级行业",[1]!s_info_industry_sw_2021(W3797,公司分析!D$5,3),IF($Y$3="wind一级行业",[1]!s_info_industry_gics(W3797,1),IF($Y$3="wind二级行业",[1]!s_info_industry_gics(W3797,2),IF($Y$3="wind三级行业",[1]!s_info_industry_gics(W3797,3),IF($Y$3="wind四级行业",[1]!s_info_industry_gics(W3797,4),IF($Y$3="证监会门类行业",[1]!s_info_industry_csrc12_n(W3797,公司分析!D$5,1),""))))))))</f>
        <v>专用设备</v>
      </c>
      <c r="Z3797" s="302" t="str">
        <f ca="1">IF(Y3797=行业比较!$E$6,ROW(),"")</f>
        <v/>
      </c>
    </row>
    <row r="3798" spans="22:26">
      <c r="V3798" s="260">
        <f t="shared" ca="1" si="67"/>
        <v>0</v>
      </c>
      <c r="W3798" s="348" t="str">
        <f>IF(板块成分!B3800="","",板块成分!B3800)</f>
        <v>601718.SH</v>
      </c>
      <c r="X3798" s="276" t="str">
        <f>[1]!S_Info_Name(W3798)</f>
        <v>际华集团</v>
      </c>
      <c r="Y3798" s="276" t="str">
        <f ca="1">IF($Y$3="申万一级行业",[1]!s_info_industry_sw_2021(W3798,公司分析!D$5,1),IF($Y$3="申万二级行业",[1]!s_info_industry_sw_2021(W3798,公司分析!D$5,2),IF($Y$3="申万三级行业",[1]!s_info_industry_sw_2021(W3798,公司分析!D$5,3),IF($Y$3="wind一级行业",[1]!s_info_industry_gics(W3798,1),IF($Y$3="wind二级行业",[1]!s_info_industry_gics(W3798,2),IF($Y$3="wind三级行业",[1]!s_info_industry_gics(W3798,3),IF($Y$3="wind四级行业",[1]!s_info_industry_gics(W3798,4),IF($Y$3="证监会门类行业",[1]!s_info_industry_csrc12_n(W3798,公司分析!D$5,1),""))))))))</f>
        <v>服装家纺</v>
      </c>
      <c r="Z3798" s="302" t="str">
        <f ca="1">IF(Y3798=行业比较!$E$6,ROW(),"")</f>
        <v/>
      </c>
    </row>
    <row r="3799" spans="22:26">
      <c r="V3799" s="260">
        <f t="shared" ca="1" si="67"/>
        <v>0</v>
      </c>
      <c r="W3799" s="348" t="str">
        <f>IF(板块成分!B3801="","",板块成分!B3801)</f>
        <v>601727.SH</v>
      </c>
      <c r="X3799" s="276" t="str">
        <f>[1]!S_Info_Name(W3799)</f>
        <v>上海电气</v>
      </c>
      <c r="Y3799" s="276" t="str">
        <f ca="1">IF($Y$3="申万一级行业",[1]!s_info_industry_sw_2021(W3799,公司分析!D$5,1),IF($Y$3="申万二级行业",[1]!s_info_industry_sw_2021(W3799,公司分析!D$5,2),IF($Y$3="申万三级行业",[1]!s_info_industry_sw_2021(W3799,公司分析!D$5,3),IF($Y$3="wind一级行业",[1]!s_info_industry_gics(W3799,1),IF($Y$3="wind二级行业",[1]!s_info_industry_gics(W3799,2),IF($Y$3="wind三级行业",[1]!s_info_industry_gics(W3799,3),IF($Y$3="wind四级行业",[1]!s_info_industry_gics(W3799,4),IF($Y$3="证监会门类行业",[1]!s_info_industry_csrc12_n(W3799,公司分析!D$5,1),""))))))))</f>
        <v>其他电源设备Ⅱ</v>
      </c>
      <c r="Z3799" s="302" t="str">
        <f ca="1">IF(Y3799=行业比较!$E$6,ROW(),"")</f>
        <v/>
      </c>
    </row>
    <row r="3800" spans="22:26">
      <c r="V3800" s="260">
        <f t="shared" ca="1" si="67"/>
        <v>0</v>
      </c>
      <c r="W3800" s="348" t="str">
        <f>IF(板块成分!B3802="","",板块成分!B3802)</f>
        <v>601728.SH</v>
      </c>
      <c r="X3800" s="276" t="str">
        <f>[1]!S_Info_Name(W3800)</f>
        <v>中国电信</v>
      </c>
      <c r="Y3800" s="276" t="str">
        <f ca="1">IF($Y$3="申万一级行业",[1]!s_info_industry_sw_2021(W3800,公司分析!D$5,1),IF($Y$3="申万二级行业",[1]!s_info_industry_sw_2021(W3800,公司分析!D$5,2),IF($Y$3="申万三级行业",[1]!s_info_industry_sw_2021(W3800,公司分析!D$5,3),IF($Y$3="wind一级行业",[1]!s_info_industry_gics(W3800,1),IF($Y$3="wind二级行业",[1]!s_info_industry_gics(W3800,2),IF($Y$3="wind三级行业",[1]!s_info_industry_gics(W3800,3),IF($Y$3="wind四级行业",[1]!s_info_industry_gics(W3800,4),IF($Y$3="证监会门类行业",[1]!s_info_industry_csrc12_n(W3800,公司分析!D$5,1),""))))))))</f>
        <v>通信服务</v>
      </c>
      <c r="Z3800" s="302" t="str">
        <f ca="1">IF(Y3800=行业比较!$E$6,ROW(),"")</f>
        <v/>
      </c>
    </row>
    <row r="3801" spans="22:26">
      <c r="V3801" s="260">
        <f t="shared" ca="1" si="67"/>
        <v>0</v>
      </c>
      <c r="W3801" s="348" t="str">
        <f>IF(板块成分!B3803="","",板块成分!B3803)</f>
        <v>601766.SH</v>
      </c>
      <c r="X3801" s="276" t="str">
        <f>[1]!S_Info_Name(W3801)</f>
        <v>中国中车</v>
      </c>
      <c r="Y3801" s="276" t="str">
        <f ca="1">IF($Y$3="申万一级行业",[1]!s_info_industry_sw_2021(W3801,公司分析!D$5,1),IF($Y$3="申万二级行业",[1]!s_info_industry_sw_2021(W3801,公司分析!D$5,2),IF($Y$3="申万三级行业",[1]!s_info_industry_sw_2021(W3801,公司分析!D$5,3),IF($Y$3="wind一级行业",[1]!s_info_industry_gics(W3801,1),IF($Y$3="wind二级行业",[1]!s_info_industry_gics(W3801,2),IF($Y$3="wind三级行业",[1]!s_info_industry_gics(W3801,3),IF($Y$3="wind四级行业",[1]!s_info_industry_gics(W3801,4),IF($Y$3="证监会门类行业",[1]!s_info_industry_csrc12_n(W3801,公司分析!D$5,1),""))))))))</f>
        <v>轨交设备Ⅱ</v>
      </c>
      <c r="Z3801" s="302" t="str">
        <f ca="1">IF(Y3801=行业比较!$E$6,ROW(),"")</f>
        <v/>
      </c>
    </row>
    <row r="3802" spans="22:26">
      <c r="V3802" s="260">
        <f t="shared" ca="1" si="67"/>
        <v>0</v>
      </c>
      <c r="W3802" s="348" t="str">
        <f>IF(板块成分!B3804="","",板块成分!B3804)</f>
        <v>601777.SH</v>
      </c>
      <c r="X3802" s="276" t="str">
        <f>[1]!S_Info_Name(W3802)</f>
        <v>千里科技</v>
      </c>
      <c r="Y3802" s="276" t="str">
        <f ca="1">IF($Y$3="申万一级行业",[1]!s_info_industry_sw_2021(W3802,公司分析!D$5,1),IF($Y$3="申万二级行业",[1]!s_info_industry_sw_2021(W3802,公司分析!D$5,2),IF($Y$3="申万三级行业",[1]!s_info_industry_sw_2021(W3802,公司分析!D$5,3),IF($Y$3="wind一级行业",[1]!s_info_industry_gics(W3802,1),IF($Y$3="wind二级行业",[1]!s_info_industry_gics(W3802,2),IF($Y$3="wind三级行业",[1]!s_info_industry_gics(W3802,3),IF($Y$3="wind四级行业",[1]!s_info_industry_gics(W3802,4),IF($Y$3="证监会门类行业",[1]!s_info_industry_csrc12_n(W3802,公司分析!D$5,1),""))))))))</f>
        <v>摩托车及其他</v>
      </c>
      <c r="Z3802" s="302" t="str">
        <f ca="1">IF(Y3802=行业比较!$E$6,ROW(),"")</f>
        <v/>
      </c>
    </row>
    <row r="3803" spans="22:26">
      <c r="V3803" s="260">
        <f t="shared" ca="1" si="67"/>
        <v>0</v>
      </c>
      <c r="W3803" s="348" t="str">
        <f>IF(板块成分!B3805="","",板块成分!B3805)</f>
        <v>601778.SH</v>
      </c>
      <c r="X3803" s="276" t="str">
        <f>[1]!S_Info_Name(W3803)</f>
        <v>晶科科技</v>
      </c>
      <c r="Y3803" s="276" t="str">
        <f ca="1">IF($Y$3="申万一级行业",[1]!s_info_industry_sw_2021(W3803,公司分析!D$5,1),IF($Y$3="申万二级行业",[1]!s_info_industry_sw_2021(W3803,公司分析!D$5,2),IF($Y$3="申万三级行业",[1]!s_info_industry_sw_2021(W3803,公司分析!D$5,3),IF($Y$3="wind一级行业",[1]!s_info_industry_gics(W3803,1),IF($Y$3="wind二级行业",[1]!s_info_industry_gics(W3803,2),IF($Y$3="wind三级行业",[1]!s_info_industry_gics(W3803,3),IF($Y$3="wind四级行业",[1]!s_info_industry_gics(W3803,4),IF($Y$3="证监会门类行业",[1]!s_info_industry_csrc12_n(W3803,公司分析!D$5,1),""))))))))</f>
        <v>电力</v>
      </c>
      <c r="Z3803" s="302" t="str">
        <f ca="1">IF(Y3803=行业比较!$E$6,ROW(),"")</f>
        <v/>
      </c>
    </row>
    <row r="3804" spans="22:26">
      <c r="V3804" s="260">
        <f t="shared" ca="1" si="67"/>
        <v>0</v>
      </c>
      <c r="W3804" s="348" t="str">
        <f>IF(板块成分!B3806="","",板块成分!B3806)</f>
        <v>601788.SH</v>
      </c>
      <c r="X3804" s="276" t="str">
        <f>[1]!S_Info_Name(W3804)</f>
        <v>光大证券</v>
      </c>
      <c r="Y3804" s="276" t="str">
        <f ca="1">IF($Y$3="申万一级行业",[1]!s_info_industry_sw_2021(W3804,公司分析!D$5,1),IF($Y$3="申万二级行业",[1]!s_info_industry_sw_2021(W3804,公司分析!D$5,2),IF($Y$3="申万三级行业",[1]!s_info_industry_sw_2021(W3804,公司分析!D$5,3),IF($Y$3="wind一级行业",[1]!s_info_industry_gics(W3804,1),IF($Y$3="wind二级行业",[1]!s_info_industry_gics(W3804,2),IF($Y$3="wind三级行业",[1]!s_info_industry_gics(W3804,3),IF($Y$3="wind四级行业",[1]!s_info_industry_gics(W3804,4),IF($Y$3="证监会门类行业",[1]!s_info_industry_csrc12_n(W3804,公司分析!D$5,1),""))))))))</f>
        <v>证券Ⅱ</v>
      </c>
      <c r="Z3804" s="302" t="str">
        <f ca="1">IF(Y3804=行业比较!$E$6,ROW(),"")</f>
        <v/>
      </c>
    </row>
    <row r="3805" spans="22:26">
      <c r="V3805" s="260">
        <f t="shared" ca="1" si="67"/>
        <v>0</v>
      </c>
      <c r="W3805" s="348" t="str">
        <f>IF(板块成分!B3807="","",板块成分!B3807)</f>
        <v>601789.SH</v>
      </c>
      <c r="X3805" s="276" t="str">
        <f>[1]!S_Info_Name(W3805)</f>
        <v>宁波建工</v>
      </c>
      <c r="Y3805" s="276" t="str">
        <f ca="1">IF($Y$3="申万一级行业",[1]!s_info_industry_sw_2021(W3805,公司分析!D$5,1),IF($Y$3="申万二级行业",[1]!s_info_industry_sw_2021(W3805,公司分析!D$5,2),IF($Y$3="申万三级行业",[1]!s_info_industry_sw_2021(W3805,公司分析!D$5,3),IF($Y$3="wind一级行业",[1]!s_info_industry_gics(W3805,1),IF($Y$3="wind二级行业",[1]!s_info_industry_gics(W3805,2),IF($Y$3="wind三级行业",[1]!s_info_industry_gics(W3805,3),IF($Y$3="wind四级行业",[1]!s_info_industry_gics(W3805,4),IF($Y$3="证监会门类行业",[1]!s_info_industry_csrc12_n(W3805,公司分析!D$5,1),""))))))))</f>
        <v>房屋建设Ⅱ</v>
      </c>
      <c r="Z3805" s="302" t="str">
        <f ca="1">IF(Y3805=行业比较!$E$6,ROW(),"")</f>
        <v/>
      </c>
    </row>
    <row r="3806" spans="22:26">
      <c r="V3806" s="260">
        <f t="shared" ca="1" si="67"/>
        <v>0</v>
      </c>
      <c r="W3806" s="348" t="str">
        <f>IF(板块成分!B3808="","",板块成分!B3808)</f>
        <v>601798.SH</v>
      </c>
      <c r="X3806" s="276" t="str">
        <f>[1]!S_Info_Name(W3806)</f>
        <v>蓝科高新</v>
      </c>
      <c r="Y3806" s="276" t="str">
        <f ca="1">IF($Y$3="申万一级行业",[1]!s_info_industry_sw_2021(W3806,公司分析!D$5,1),IF($Y$3="申万二级行业",[1]!s_info_industry_sw_2021(W3806,公司分析!D$5,2),IF($Y$3="申万三级行业",[1]!s_info_industry_sw_2021(W3806,公司分析!D$5,3),IF($Y$3="wind一级行业",[1]!s_info_industry_gics(W3806,1),IF($Y$3="wind二级行业",[1]!s_info_industry_gics(W3806,2),IF($Y$3="wind三级行业",[1]!s_info_industry_gics(W3806,3),IF($Y$3="wind四级行业",[1]!s_info_industry_gics(W3806,4),IF($Y$3="证监会门类行业",[1]!s_info_industry_csrc12_n(W3806,公司分析!D$5,1),""))))))))</f>
        <v>专用设备</v>
      </c>
      <c r="Z3806" s="302" t="str">
        <f ca="1">IF(Y3806=行业比较!$E$6,ROW(),"")</f>
        <v/>
      </c>
    </row>
    <row r="3807" spans="22:26">
      <c r="V3807" s="260">
        <f t="shared" ca="1" si="67"/>
        <v>0</v>
      </c>
      <c r="W3807" s="348" t="str">
        <f>IF(板块成分!B3809="","",板块成分!B3809)</f>
        <v>601799.SH</v>
      </c>
      <c r="X3807" s="276" t="str">
        <f>[1]!S_Info_Name(W3807)</f>
        <v>星宇股份</v>
      </c>
      <c r="Y3807" s="276" t="str">
        <f ca="1">IF($Y$3="申万一级行业",[1]!s_info_industry_sw_2021(W3807,公司分析!D$5,1),IF($Y$3="申万二级行业",[1]!s_info_industry_sw_2021(W3807,公司分析!D$5,2),IF($Y$3="申万三级行业",[1]!s_info_industry_sw_2021(W3807,公司分析!D$5,3),IF($Y$3="wind一级行业",[1]!s_info_industry_gics(W3807,1),IF($Y$3="wind二级行业",[1]!s_info_industry_gics(W3807,2),IF($Y$3="wind三级行业",[1]!s_info_industry_gics(W3807,3),IF($Y$3="wind四级行业",[1]!s_info_industry_gics(W3807,4),IF($Y$3="证监会门类行业",[1]!s_info_industry_csrc12_n(W3807,公司分析!D$5,1),""))))))))</f>
        <v>汽车零部件</v>
      </c>
      <c r="Z3807" s="302" t="str">
        <f ca="1">IF(Y3807=行业比较!$E$6,ROW(),"")</f>
        <v/>
      </c>
    </row>
    <row r="3808" spans="22:26">
      <c r="V3808" s="260">
        <f t="shared" ca="1" si="67"/>
        <v>0</v>
      </c>
      <c r="W3808" s="348" t="str">
        <f>IF(板块成分!B3810="","",板块成分!B3810)</f>
        <v>601800.SH</v>
      </c>
      <c r="X3808" s="276" t="str">
        <f>[1]!S_Info_Name(W3808)</f>
        <v>中国交建</v>
      </c>
      <c r="Y3808" s="276" t="str">
        <f ca="1">IF($Y$3="申万一级行业",[1]!s_info_industry_sw_2021(W3808,公司分析!D$5,1),IF($Y$3="申万二级行业",[1]!s_info_industry_sw_2021(W3808,公司分析!D$5,2),IF($Y$3="申万三级行业",[1]!s_info_industry_sw_2021(W3808,公司分析!D$5,3),IF($Y$3="wind一级行业",[1]!s_info_industry_gics(W3808,1),IF($Y$3="wind二级行业",[1]!s_info_industry_gics(W3808,2),IF($Y$3="wind三级行业",[1]!s_info_industry_gics(W3808,3),IF($Y$3="wind四级行业",[1]!s_info_industry_gics(W3808,4),IF($Y$3="证监会门类行业",[1]!s_info_industry_csrc12_n(W3808,公司分析!D$5,1),""))))))))</f>
        <v>基础建设</v>
      </c>
      <c r="Z3808" s="302" t="str">
        <f ca="1">IF(Y3808=行业比较!$E$6,ROW(),"")</f>
        <v/>
      </c>
    </row>
    <row r="3809" spans="22:26">
      <c r="V3809" s="260">
        <f t="shared" ca="1" si="67"/>
        <v>0</v>
      </c>
      <c r="W3809" s="348" t="str">
        <f>IF(板块成分!B3811="","",板块成分!B3811)</f>
        <v>601801.SH</v>
      </c>
      <c r="X3809" s="276" t="str">
        <f>[1]!S_Info_Name(W3809)</f>
        <v>皖新传媒</v>
      </c>
      <c r="Y3809" s="276" t="str">
        <f ca="1">IF($Y$3="申万一级行业",[1]!s_info_industry_sw_2021(W3809,公司分析!D$5,1),IF($Y$3="申万二级行业",[1]!s_info_industry_sw_2021(W3809,公司分析!D$5,2),IF($Y$3="申万三级行业",[1]!s_info_industry_sw_2021(W3809,公司分析!D$5,3),IF($Y$3="wind一级行业",[1]!s_info_industry_gics(W3809,1),IF($Y$3="wind二级行业",[1]!s_info_industry_gics(W3809,2),IF($Y$3="wind三级行业",[1]!s_info_industry_gics(W3809,3),IF($Y$3="wind四级行业",[1]!s_info_industry_gics(W3809,4),IF($Y$3="证监会门类行业",[1]!s_info_industry_csrc12_n(W3809,公司分析!D$5,1),""))))))))</f>
        <v>出版</v>
      </c>
      <c r="Z3809" s="302" t="str">
        <f ca="1">IF(Y3809=行业比较!$E$6,ROW(),"")</f>
        <v/>
      </c>
    </row>
    <row r="3810" spans="22:26">
      <c r="V3810" s="260">
        <f t="shared" ca="1" si="67"/>
        <v>0</v>
      </c>
      <c r="W3810" s="348" t="str">
        <f>IF(板块成分!B3812="","",板块成分!B3812)</f>
        <v>601808.SH</v>
      </c>
      <c r="X3810" s="276" t="str">
        <f>[1]!S_Info_Name(W3810)</f>
        <v>中海油服</v>
      </c>
      <c r="Y3810" s="276" t="str">
        <f ca="1">IF($Y$3="申万一级行业",[1]!s_info_industry_sw_2021(W3810,公司分析!D$5,1),IF($Y$3="申万二级行业",[1]!s_info_industry_sw_2021(W3810,公司分析!D$5,2),IF($Y$3="申万三级行业",[1]!s_info_industry_sw_2021(W3810,公司分析!D$5,3),IF($Y$3="wind一级行业",[1]!s_info_industry_gics(W3810,1),IF($Y$3="wind二级行业",[1]!s_info_industry_gics(W3810,2),IF($Y$3="wind三级行业",[1]!s_info_industry_gics(W3810,3),IF($Y$3="wind四级行业",[1]!s_info_industry_gics(W3810,4),IF($Y$3="证监会门类行业",[1]!s_info_industry_csrc12_n(W3810,公司分析!D$5,1),""))))))))</f>
        <v>油服工程</v>
      </c>
      <c r="Z3810" s="302" t="str">
        <f ca="1">IF(Y3810=行业比较!$E$6,ROW(),"")</f>
        <v/>
      </c>
    </row>
    <row r="3811" spans="22:26">
      <c r="V3811" s="260">
        <f t="shared" ca="1" si="67"/>
        <v>0</v>
      </c>
      <c r="W3811" s="348" t="str">
        <f>IF(板块成分!B3813="","",板块成分!B3813)</f>
        <v>601811.SH</v>
      </c>
      <c r="X3811" s="276" t="str">
        <f>[1]!S_Info_Name(W3811)</f>
        <v>新华文轩</v>
      </c>
      <c r="Y3811" s="276" t="str">
        <f ca="1">IF($Y$3="申万一级行业",[1]!s_info_industry_sw_2021(W3811,公司分析!D$5,1),IF($Y$3="申万二级行业",[1]!s_info_industry_sw_2021(W3811,公司分析!D$5,2),IF($Y$3="申万三级行业",[1]!s_info_industry_sw_2021(W3811,公司分析!D$5,3),IF($Y$3="wind一级行业",[1]!s_info_industry_gics(W3811,1),IF($Y$3="wind二级行业",[1]!s_info_industry_gics(W3811,2),IF($Y$3="wind三级行业",[1]!s_info_industry_gics(W3811,3),IF($Y$3="wind四级行业",[1]!s_info_industry_gics(W3811,4),IF($Y$3="证监会门类行业",[1]!s_info_industry_csrc12_n(W3811,公司分析!D$5,1),""))))))))</f>
        <v>出版</v>
      </c>
      <c r="Z3811" s="302" t="str">
        <f ca="1">IF(Y3811=行业比较!$E$6,ROW(),"")</f>
        <v/>
      </c>
    </row>
    <row r="3812" spans="22:26">
      <c r="V3812" s="260">
        <f t="shared" ca="1" si="67"/>
        <v>0</v>
      </c>
      <c r="W3812" s="348" t="str">
        <f>IF(板块成分!B3814="","",板块成分!B3814)</f>
        <v>601816.SH</v>
      </c>
      <c r="X3812" s="276" t="str">
        <f>[1]!S_Info_Name(W3812)</f>
        <v>京沪高铁</v>
      </c>
      <c r="Y3812" s="276" t="str">
        <f ca="1">IF($Y$3="申万一级行业",[1]!s_info_industry_sw_2021(W3812,公司分析!D$5,1),IF($Y$3="申万二级行业",[1]!s_info_industry_sw_2021(W3812,公司分析!D$5,2),IF($Y$3="申万三级行业",[1]!s_info_industry_sw_2021(W3812,公司分析!D$5,3),IF($Y$3="wind一级行业",[1]!s_info_industry_gics(W3812,1),IF($Y$3="wind二级行业",[1]!s_info_industry_gics(W3812,2),IF($Y$3="wind三级行业",[1]!s_info_industry_gics(W3812,3),IF($Y$3="wind四级行业",[1]!s_info_industry_gics(W3812,4),IF($Y$3="证监会门类行业",[1]!s_info_industry_csrc12_n(W3812,公司分析!D$5,1),""))))))))</f>
        <v>铁路公路</v>
      </c>
      <c r="Z3812" s="302" t="str">
        <f ca="1">IF(Y3812=行业比较!$E$6,ROW(),"")</f>
        <v/>
      </c>
    </row>
    <row r="3813" spans="22:26">
      <c r="V3813" s="260">
        <f t="shared" ca="1" si="67"/>
        <v>0</v>
      </c>
      <c r="W3813" s="348" t="str">
        <f>IF(板块成分!B3815="","",板块成分!B3815)</f>
        <v>601818.SH</v>
      </c>
      <c r="X3813" s="276" t="str">
        <f>[1]!S_Info_Name(W3813)</f>
        <v>光大银行</v>
      </c>
      <c r="Y3813" s="276" t="str">
        <f ca="1">IF($Y$3="申万一级行业",[1]!s_info_industry_sw_2021(W3813,公司分析!D$5,1),IF($Y$3="申万二级行业",[1]!s_info_industry_sw_2021(W3813,公司分析!D$5,2),IF($Y$3="申万三级行业",[1]!s_info_industry_sw_2021(W3813,公司分析!D$5,3),IF($Y$3="wind一级行业",[1]!s_info_industry_gics(W3813,1),IF($Y$3="wind二级行业",[1]!s_info_industry_gics(W3813,2),IF($Y$3="wind三级行业",[1]!s_info_industry_gics(W3813,3),IF($Y$3="wind四级行业",[1]!s_info_industry_gics(W3813,4),IF($Y$3="证监会门类行业",[1]!s_info_industry_csrc12_n(W3813,公司分析!D$5,1),""))))))))</f>
        <v>股份制银行Ⅱ</v>
      </c>
      <c r="Z3813" s="302" t="str">
        <f ca="1">IF(Y3813=行业比较!$E$6,ROW(),"")</f>
        <v/>
      </c>
    </row>
    <row r="3814" spans="22:26">
      <c r="V3814" s="260">
        <f t="shared" ca="1" si="67"/>
        <v>0</v>
      </c>
      <c r="W3814" s="348" t="str">
        <f>IF(板块成分!B3816="","",板块成分!B3816)</f>
        <v>601825.SH</v>
      </c>
      <c r="X3814" s="276" t="str">
        <f>[1]!S_Info_Name(W3814)</f>
        <v>沪农商行</v>
      </c>
      <c r="Y3814" s="276" t="str">
        <f ca="1">IF($Y$3="申万一级行业",[1]!s_info_industry_sw_2021(W3814,公司分析!D$5,1),IF($Y$3="申万二级行业",[1]!s_info_industry_sw_2021(W3814,公司分析!D$5,2),IF($Y$3="申万三级行业",[1]!s_info_industry_sw_2021(W3814,公司分析!D$5,3),IF($Y$3="wind一级行业",[1]!s_info_industry_gics(W3814,1),IF($Y$3="wind二级行业",[1]!s_info_industry_gics(W3814,2),IF($Y$3="wind三级行业",[1]!s_info_industry_gics(W3814,3),IF($Y$3="wind四级行业",[1]!s_info_industry_gics(W3814,4),IF($Y$3="证监会门类行业",[1]!s_info_industry_csrc12_n(W3814,公司分析!D$5,1),""))))))))</f>
        <v>农商行Ⅱ</v>
      </c>
      <c r="Z3814" s="302" t="str">
        <f ca="1">IF(Y3814=行业比较!$E$6,ROW(),"")</f>
        <v/>
      </c>
    </row>
    <row r="3815" spans="22:26">
      <c r="V3815" s="260">
        <f t="shared" ca="1" si="67"/>
        <v>0</v>
      </c>
      <c r="W3815" s="348" t="str">
        <f>IF(板块成分!B3817="","",板块成分!B3817)</f>
        <v>601827.SH</v>
      </c>
      <c r="X3815" s="276" t="str">
        <f>[1]!S_Info_Name(W3815)</f>
        <v>三峰环境</v>
      </c>
      <c r="Y3815" s="276" t="str">
        <f ca="1">IF($Y$3="申万一级行业",[1]!s_info_industry_sw_2021(W3815,公司分析!D$5,1),IF($Y$3="申万二级行业",[1]!s_info_industry_sw_2021(W3815,公司分析!D$5,2),IF($Y$3="申万三级行业",[1]!s_info_industry_sw_2021(W3815,公司分析!D$5,3),IF($Y$3="wind一级行业",[1]!s_info_industry_gics(W3815,1),IF($Y$3="wind二级行业",[1]!s_info_industry_gics(W3815,2),IF($Y$3="wind三级行业",[1]!s_info_industry_gics(W3815,3),IF($Y$3="wind四级行业",[1]!s_info_industry_gics(W3815,4),IF($Y$3="证监会门类行业",[1]!s_info_industry_csrc12_n(W3815,公司分析!D$5,1),""))))))))</f>
        <v>环境治理</v>
      </c>
      <c r="Z3815" s="302" t="str">
        <f ca="1">IF(Y3815=行业比较!$E$6,ROW(),"")</f>
        <v/>
      </c>
    </row>
    <row r="3816" spans="22:26">
      <c r="V3816" s="260">
        <f t="shared" ca="1" si="67"/>
        <v>0</v>
      </c>
      <c r="W3816" s="348" t="str">
        <f>IF(板块成分!B3818="","",板块成分!B3818)</f>
        <v>601828.SH</v>
      </c>
      <c r="X3816" s="276" t="str">
        <f>[1]!S_Info_Name(W3816)</f>
        <v>美凯龙</v>
      </c>
      <c r="Y3816" s="276" t="str">
        <f ca="1">IF($Y$3="申万一级行业",[1]!s_info_industry_sw_2021(W3816,公司分析!D$5,1),IF($Y$3="申万二级行业",[1]!s_info_industry_sw_2021(W3816,公司分析!D$5,2),IF($Y$3="申万三级行业",[1]!s_info_industry_sw_2021(W3816,公司分析!D$5,3),IF($Y$3="wind一级行业",[1]!s_info_industry_gics(W3816,1),IF($Y$3="wind二级行业",[1]!s_info_industry_gics(W3816,2),IF($Y$3="wind三级行业",[1]!s_info_industry_gics(W3816,3),IF($Y$3="wind四级行业",[1]!s_info_industry_gics(W3816,4),IF($Y$3="证监会门类行业",[1]!s_info_industry_csrc12_n(W3816,公司分析!D$5,1),""))))))))</f>
        <v>一般零售</v>
      </c>
      <c r="Z3816" s="302" t="str">
        <f ca="1">IF(Y3816=行业比较!$E$6,ROW(),"")</f>
        <v/>
      </c>
    </row>
    <row r="3817" spans="22:26">
      <c r="V3817" s="260">
        <f t="shared" ca="1" si="67"/>
        <v>0</v>
      </c>
      <c r="W3817" s="348" t="str">
        <f>IF(板块成分!B3819="","",板块成分!B3819)</f>
        <v>601838.SH</v>
      </c>
      <c r="X3817" s="276" t="str">
        <f>[1]!S_Info_Name(W3817)</f>
        <v>成都银行</v>
      </c>
      <c r="Y3817" s="276" t="str">
        <f ca="1">IF($Y$3="申万一级行业",[1]!s_info_industry_sw_2021(W3817,公司分析!D$5,1),IF($Y$3="申万二级行业",[1]!s_info_industry_sw_2021(W3817,公司分析!D$5,2),IF($Y$3="申万三级行业",[1]!s_info_industry_sw_2021(W3817,公司分析!D$5,3),IF($Y$3="wind一级行业",[1]!s_info_industry_gics(W3817,1),IF($Y$3="wind二级行业",[1]!s_info_industry_gics(W3817,2),IF($Y$3="wind三级行业",[1]!s_info_industry_gics(W3817,3),IF($Y$3="wind四级行业",[1]!s_info_industry_gics(W3817,4),IF($Y$3="证监会门类行业",[1]!s_info_industry_csrc12_n(W3817,公司分析!D$5,1),""))))))))</f>
        <v>城商行Ⅱ</v>
      </c>
      <c r="Z3817" s="302" t="str">
        <f ca="1">IF(Y3817=行业比较!$E$6,ROW(),"")</f>
        <v/>
      </c>
    </row>
    <row r="3818" spans="22:26">
      <c r="V3818" s="260">
        <f t="shared" ca="1" si="67"/>
        <v>0</v>
      </c>
      <c r="W3818" s="348" t="str">
        <f>IF(板块成分!B3820="","",板块成分!B3820)</f>
        <v>601857.SH</v>
      </c>
      <c r="X3818" s="276" t="str">
        <f>[1]!S_Info_Name(W3818)</f>
        <v>中国石油</v>
      </c>
      <c r="Y3818" s="276" t="str">
        <f ca="1">IF($Y$3="申万一级行业",[1]!s_info_industry_sw_2021(W3818,公司分析!D$5,1),IF($Y$3="申万二级行业",[1]!s_info_industry_sw_2021(W3818,公司分析!D$5,2),IF($Y$3="申万三级行业",[1]!s_info_industry_sw_2021(W3818,公司分析!D$5,3),IF($Y$3="wind一级行业",[1]!s_info_industry_gics(W3818,1),IF($Y$3="wind二级行业",[1]!s_info_industry_gics(W3818,2),IF($Y$3="wind三级行业",[1]!s_info_industry_gics(W3818,3),IF($Y$3="wind四级行业",[1]!s_info_industry_gics(W3818,4),IF($Y$3="证监会门类行业",[1]!s_info_industry_csrc12_n(W3818,公司分析!D$5,1),""))))))))</f>
        <v>炼化及贸易</v>
      </c>
      <c r="Z3818" s="302" t="str">
        <f ca="1">IF(Y3818=行业比较!$E$6,ROW(),"")</f>
        <v/>
      </c>
    </row>
    <row r="3819" spans="22:26">
      <c r="V3819" s="260">
        <f t="shared" ca="1" si="67"/>
        <v>0</v>
      </c>
      <c r="W3819" s="348" t="str">
        <f>IF(板块成分!B3821="","",板块成分!B3821)</f>
        <v>601858.SH</v>
      </c>
      <c r="X3819" s="276" t="str">
        <f>[1]!S_Info_Name(W3819)</f>
        <v>中国科传</v>
      </c>
      <c r="Y3819" s="276" t="str">
        <f ca="1">IF($Y$3="申万一级行业",[1]!s_info_industry_sw_2021(W3819,公司分析!D$5,1),IF($Y$3="申万二级行业",[1]!s_info_industry_sw_2021(W3819,公司分析!D$5,2),IF($Y$3="申万三级行业",[1]!s_info_industry_sw_2021(W3819,公司分析!D$5,3),IF($Y$3="wind一级行业",[1]!s_info_industry_gics(W3819,1),IF($Y$3="wind二级行业",[1]!s_info_industry_gics(W3819,2),IF($Y$3="wind三级行业",[1]!s_info_industry_gics(W3819,3),IF($Y$3="wind四级行业",[1]!s_info_industry_gics(W3819,4),IF($Y$3="证监会门类行业",[1]!s_info_industry_csrc12_n(W3819,公司分析!D$5,1),""))))))))</f>
        <v>出版</v>
      </c>
      <c r="Z3819" s="302" t="str">
        <f ca="1">IF(Y3819=行业比较!$E$6,ROW(),"")</f>
        <v/>
      </c>
    </row>
    <row r="3820" spans="22:26">
      <c r="V3820" s="260">
        <f t="shared" ca="1" si="67"/>
        <v>0</v>
      </c>
      <c r="W3820" s="348" t="str">
        <f>IF(板块成分!B3822="","",板块成分!B3822)</f>
        <v>601860.SH</v>
      </c>
      <c r="X3820" s="276" t="str">
        <f>[1]!S_Info_Name(W3820)</f>
        <v>紫金银行</v>
      </c>
      <c r="Y3820" s="276" t="str">
        <f ca="1">IF($Y$3="申万一级行业",[1]!s_info_industry_sw_2021(W3820,公司分析!D$5,1),IF($Y$3="申万二级行业",[1]!s_info_industry_sw_2021(W3820,公司分析!D$5,2),IF($Y$3="申万三级行业",[1]!s_info_industry_sw_2021(W3820,公司分析!D$5,3),IF($Y$3="wind一级行业",[1]!s_info_industry_gics(W3820,1),IF($Y$3="wind二级行业",[1]!s_info_industry_gics(W3820,2),IF($Y$3="wind三级行业",[1]!s_info_industry_gics(W3820,3),IF($Y$3="wind四级行业",[1]!s_info_industry_gics(W3820,4),IF($Y$3="证监会门类行业",[1]!s_info_industry_csrc12_n(W3820,公司分析!D$5,1),""))))))))</f>
        <v>农商行Ⅱ</v>
      </c>
      <c r="Z3820" s="302" t="str">
        <f ca="1">IF(Y3820=行业比较!$E$6,ROW(),"")</f>
        <v/>
      </c>
    </row>
    <row r="3821" spans="22:26">
      <c r="V3821" s="260">
        <f t="shared" ca="1" si="67"/>
        <v>0</v>
      </c>
      <c r="W3821" s="348" t="str">
        <f>IF(板块成分!B3823="","",板块成分!B3823)</f>
        <v>601865.SH</v>
      </c>
      <c r="X3821" s="276" t="str">
        <f>[1]!S_Info_Name(W3821)</f>
        <v>福莱特</v>
      </c>
      <c r="Y3821" s="276" t="str">
        <f ca="1">IF($Y$3="申万一级行业",[1]!s_info_industry_sw_2021(W3821,公司分析!D$5,1),IF($Y$3="申万二级行业",[1]!s_info_industry_sw_2021(W3821,公司分析!D$5,2),IF($Y$3="申万三级行业",[1]!s_info_industry_sw_2021(W3821,公司分析!D$5,3),IF($Y$3="wind一级行业",[1]!s_info_industry_gics(W3821,1),IF($Y$3="wind二级行业",[1]!s_info_industry_gics(W3821,2),IF($Y$3="wind三级行业",[1]!s_info_industry_gics(W3821,3),IF($Y$3="wind四级行业",[1]!s_info_industry_gics(W3821,4),IF($Y$3="证监会门类行业",[1]!s_info_industry_csrc12_n(W3821,公司分析!D$5,1),""))))))))</f>
        <v>光伏设备</v>
      </c>
      <c r="Z3821" s="302" t="str">
        <f ca="1">IF(Y3821=行业比较!$E$6,ROW(),"")</f>
        <v/>
      </c>
    </row>
    <row r="3822" spans="22:26">
      <c r="V3822" s="260">
        <f t="shared" ca="1" si="67"/>
        <v>0</v>
      </c>
      <c r="W3822" s="348" t="str">
        <f>IF(板块成分!B3824="","",板块成分!B3824)</f>
        <v>601866.SH</v>
      </c>
      <c r="X3822" s="276" t="str">
        <f>[1]!S_Info_Name(W3822)</f>
        <v>中远海发</v>
      </c>
      <c r="Y3822" s="276" t="str">
        <f ca="1">IF($Y$3="申万一级行业",[1]!s_info_industry_sw_2021(W3822,公司分析!D$5,1),IF($Y$3="申万二级行业",[1]!s_info_industry_sw_2021(W3822,公司分析!D$5,2),IF($Y$3="申万三级行业",[1]!s_info_industry_sw_2021(W3822,公司分析!D$5,3),IF($Y$3="wind一级行业",[1]!s_info_industry_gics(W3822,1),IF($Y$3="wind二级行业",[1]!s_info_industry_gics(W3822,2),IF($Y$3="wind三级行业",[1]!s_info_industry_gics(W3822,3),IF($Y$3="wind四级行业",[1]!s_info_industry_gics(W3822,4),IF($Y$3="证监会门类行业",[1]!s_info_industry_csrc12_n(W3822,公司分析!D$5,1),""))))))))</f>
        <v>航运港口</v>
      </c>
      <c r="Z3822" s="302" t="str">
        <f ca="1">IF(Y3822=行业比较!$E$6,ROW(),"")</f>
        <v/>
      </c>
    </row>
    <row r="3823" spans="22:26">
      <c r="V3823" s="260">
        <f t="shared" ca="1" si="67"/>
        <v>0</v>
      </c>
      <c r="W3823" s="348" t="str">
        <f>IF(板块成分!B3825="","",板块成分!B3825)</f>
        <v>601868.SH</v>
      </c>
      <c r="X3823" s="276" t="str">
        <f>[1]!S_Info_Name(W3823)</f>
        <v>中国能建</v>
      </c>
      <c r="Y3823" s="276" t="str">
        <f ca="1">IF($Y$3="申万一级行业",[1]!s_info_industry_sw_2021(W3823,公司分析!D$5,1),IF($Y$3="申万二级行业",[1]!s_info_industry_sw_2021(W3823,公司分析!D$5,2),IF($Y$3="申万三级行业",[1]!s_info_industry_sw_2021(W3823,公司分析!D$5,3),IF($Y$3="wind一级行业",[1]!s_info_industry_gics(W3823,1),IF($Y$3="wind二级行业",[1]!s_info_industry_gics(W3823,2),IF($Y$3="wind三级行业",[1]!s_info_industry_gics(W3823,3),IF($Y$3="wind四级行业",[1]!s_info_industry_gics(W3823,4),IF($Y$3="证监会门类行业",[1]!s_info_industry_csrc12_n(W3823,公司分析!D$5,1),""))))))))</f>
        <v>基础建设</v>
      </c>
      <c r="Z3823" s="302" t="str">
        <f ca="1">IF(Y3823=行业比较!$E$6,ROW(),"")</f>
        <v/>
      </c>
    </row>
    <row r="3824" spans="22:26">
      <c r="V3824" s="260">
        <f t="shared" ca="1" si="67"/>
        <v>0</v>
      </c>
      <c r="W3824" s="348" t="str">
        <f>IF(板块成分!B3826="","",板块成分!B3826)</f>
        <v>601869.SH</v>
      </c>
      <c r="X3824" s="276" t="str">
        <f>[1]!S_Info_Name(W3824)</f>
        <v>长飞光纤</v>
      </c>
      <c r="Y3824" s="276" t="str">
        <f ca="1">IF($Y$3="申万一级行业",[1]!s_info_industry_sw_2021(W3824,公司分析!D$5,1),IF($Y$3="申万二级行业",[1]!s_info_industry_sw_2021(W3824,公司分析!D$5,2),IF($Y$3="申万三级行业",[1]!s_info_industry_sw_2021(W3824,公司分析!D$5,3),IF($Y$3="wind一级行业",[1]!s_info_industry_gics(W3824,1),IF($Y$3="wind二级行业",[1]!s_info_industry_gics(W3824,2),IF($Y$3="wind三级行业",[1]!s_info_industry_gics(W3824,3),IF($Y$3="wind四级行业",[1]!s_info_industry_gics(W3824,4),IF($Y$3="证监会门类行业",[1]!s_info_industry_csrc12_n(W3824,公司分析!D$5,1),""))))))))</f>
        <v>通信设备</v>
      </c>
      <c r="Z3824" s="302" t="str">
        <f ca="1">IF(Y3824=行业比较!$E$6,ROW(),"")</f>
        <v/>
      </c>
    </row>
    <row r="3825" spans="22:26">
      <c r="V3825" s="260">
        <f t="shared" ca="1" si="67"/>
        <v>0</v>
      </c>
      <c r="W3825" s="348" t="str">
        <f>IF(板块成分!B3827="","",板块成分!B3827)</f>
        <v>601872.SH</v>
      </c>
      <c r="X3825" s="276" t="str">
        <f>[1]!S_Info_Name(W3825)</f>
        <v>招商轮船</v>
      </c>
      <c r="Y3825" s="276" t="str">
        <f ca="1">IF($Y$3="申万一级行业",[1]!s_info_industry_sw_2021(W3825,公司分析!D$5,1),IF($Y$3="申万二级行业",[1]!s_info_industry_sw_2021(W3825,公司分析!D$5,2),IF($Y$3="申万三级行业",[1]!s_info_industry_sw_2021(W3825,公司分析!D$5,3),IF($Y$3="wind一级行业",[1]!s_info_industry_gics(W3825,1),IF($Y$3="wind二级行业",[1]!s_info_industry_gics(W3825,2),IF($Y$3="wind三级行业",[1]!s_info_industry_gics(W3825,3),IF($Y$3="wind四级行业",[1]!s_info_industry_gics(W3825,4),IF($Y$3="证监会门类行业",[1]!s_info_industry_csrc12_n(W3825,公司分析!D$5,1),""))))))))</f>
        <v>航运港口</v>
      </c>
      <c r="Z3825" s="302" t="str">
        <f ca="1">IF(Y3825=行业比较!$E$6,ROW(),"")</f>
        <v/>
      </c>
    </row>
    <row r="3826" spans="22:26">
      <c r="V3826" s="260">
        <f t="shared" ca="1" si="67"/>
        <v>0</v>
      </c>
      <c r="W3826" s="348" t="str">
        <f>IF(板块成分!B3828="","",板块成分!B3828)</f>
        <v>601877.SH</v>
      </c>
      <c r="X3826" s="276" t="str">
        <f>[1]!S_Info_Name(W3826)</f>
        <v>正泰电器</v>
      </c>
      <c r="Y3826" s="276" t="str">
        <f ca="1">IF($Y$3="申万一级行业",[1]!s_info_industry_sw_2021(W3826,公司分析!D$5,1),IF($Y$3="申万二级行业",[1]!s_info_industry_sw_2021(W3826,公司分析!D$5,2),IF($Y$3="申万三级行业",[1]!s_info_industry_sw_2021(W3826,公司分析!D$5,3),IF($Y$3="wind一级行业",[1]!s_info_industry_gics(W3826,1),IF($Y$3="wind二级行业",[1]!s_info_industry_gics(W3826,2),IF($Y$3="wind三级行业",[1]!s_info_industry_gics(W3826,3),IF($Y$3="wind四级行业",[1]!s_info_industry_gics(W3826,4),IF($Y$3="证监会门类行业",[1]!s_info_industry_csrc12_n(W3826,公司分析!D$5,1),""))))))))</f>
        <v>电网设备</v>
      </c>
      <c r="Z3826" s="302" t="str">
        <f ca="1">IF(Y3826=行业比较!$E$6,ROW(),"")</f>
        <v/>
      </c>
    </row>
    <row r="3827" spans="22:26">
      <c r="V3827" s="260">
        <f t="shared" ca="1" si="67"/>
        <v>0</v>
      </c>
      <c r="W3827" s="348" t="str">
        <f>IF(板块成分!B3829="","",板块成分!B3829)</f>
        <v>601878.SH</v>
      </c>
      <c r="X3827" s="276" t="str">
        <f>[1]!S_Info_Name(W3827)</f>
        <v>浙商证券</v>
      </c>
      <c r="Y3827" s="276" t="str">
        <f ca="1">IF($Y$3="申万一级行业",[1]!s_info_industry_sw_2021(W3827,公司分析!D$5,1),IF($Y$3="申万二级行业",[1]!s_info_industry_sw_2021(W3827,公司分析!D$5,2),IF($Y$3="申万三级行业",[1]!s_info_industry_sw_2021(W3827,公司分析!D$5,3),IF($Y$3="wind一级行业",[1]!s_info_industry_gics(W3827,1),IF($Y$3="wind二级行业",[1]!s_info_industry_gics(W3827,2),IF($Y$3="wind三级行业",[1]!s_info_industry_gics(W3827,3),IF($Y$3="wind四级行业",[1]!s_info_industry_gics(W3827,4),IF($Y$3="证监会门类行业",[1]!s_info_industry_csrc12_n(W3827,公司分析!D$5,1),""))))))))</f>
        <v>证券Ⅱ</v>
      </c>
      <c r="Z3827" s="302" t="str">
        <f ca="1">IF(Y3827=行业比较!$E$6,ROW(),"")</f>
        <v/>
      </c>
    </row>
    <row r="3828" spans="22:26">
      <c r="V3828" s="260">
        <f t="shared" ca="1" si="67"/>
        <v>0</v>
      </c>
      <c r="W3828" s="348" t="str">
        <f>IF(板块成分!B3830="","",板块成分!B3830)</f>
        <v>601880.SH</v>
      </c>
      <c r="X3828" s="276" t="str">
        <f>[1]!S_Info_Name(W3828)</f>
        <v>辽港股份</v>
      </c>
      <c r="Y3828" s="276" t="str">
        <f ca="1">IF($Y$3="申万一级行业",[1]!s_info_industry_sw_2021(W3828,公司分析!D$5,1),IF($Y$3="申万二级行业",[1]!s_info_industry_sw_2021(W3828,公司分析!D$5,2),IF($Y$3="申万三级行业",[1]!s_info_industry_sw_2021(W3828,公司分析!D$5,3),IF($Y$3="wind一级行业",[1]!s_info_industry_gics(W3828,1),IF($Y$3="wind二级行业",[1]!s_info_industry_gics(W3828,2),IF($Y$3="wind三级行业",[1]!s_info_industry_gics(W3828,3),IF($Y$3="wind四级行业",[1]!s_info_industry_gics(W3828,4),IF($Y$3="证监会门类行业",[1]!s_info_industry_csrc12_n(W3828,公司分析!D$5,1),""))))))))</f>
        <v>航运港口</v>
      </c>
      <c r="Z3828" s="302" t="str">
        <f ca="1">IF(Y3828=行业比较!$E$6,ROW(),"")</f>
        <v/>
      </c>
    </row>
    <row r="3829" spans="22:26">
      <c r="V3829" s="260">
        <f t="shared" ca="1" si="67"/>
        <v>0</v>
      </c>
      <c r="W3829" s="348" t="str">
        <f>IF(板块成分!B3831="","",板块成分!B3831)</f>
        <v>601881.SH</v>
      </c>
      <c r="X3829" s="276" t="str">
        <f>[1]!S_Info_Name(W3829)</f>
        <v>中国银河</v>
      </c>
      <c r="Y3829" s="276" t="str">
        <f ca="1">IF($Y$3="申万一级行业",[1]!s_info_industry_sw_2021(W3829,公司分析!D$5,1),IF($Y$3="申万二级行业",[1]!s_info_industry_sw_2021(W3829,公司分析!D$5,2),IF($Y$3="申万三级行业",[1]!s_info_industry_sw_2021(W3829,公司分析!D$5,3),IF($Y$3="wind一级行业",[1]!s_info_industry_gics(W3829,1),IF($Y$3="wind二级行业",[1]!s_info_industry_gics(W3829,2),IF($Y$3="wind三级行业",[1]!s_info_industry_gics(W3829,3),IF($Y$3="wind四级行业",[1]!s_info_industry_gics(W3829,4),IF($Y$3="证监会门类行业",[1]!s_info_industry_csrc12_n(W3829,公司分析!D$5,1),""))))))))</f>
        <v>证券Ⅱ</v>
      </c>
      <c r="Z3829" s="302" t="str">
        <f ca="1">IF(Y3829=行业比较!$E$6,ROW(),"")</f>
        <v/>
      </c>
    </row>
    <row r="3830" spans="22:26">
      <c r="V3830" s="260">
        <f t="shared" ca="1" si="67"/>
        <v>0</v>
      </c>
      <c r="W3830" s="348" t="str">
        <f>IF(板块成分!B3832="","",板块成分!B3832)</f>
        <v>601882.SH</v>
      </c>
      <c r="X3830" s="276" t="str">
        <f>[1]!S_Info_Name(W3830)</f>
        <v>海天精工</v>
      </c>
      <c r="Y3830" s="276" t="str">
        <f ca="1">IF($Y$3="申万一级行业",[1]!s_info_industry_sw_2021(W3830,公司分析!D$5,1),IF($Y$3="申万二级行业",[1]!s_info_industry_sw_2021(W3830,公司分析!D$5,2),IF($Y$3="申万三级行业",[1]!s_info_industry_sw_2021(W3830,公司分析!D$5,3),IF($Y$3="wind一级行业",[1]!s_info_industry_gics(W3830,1),IF($Y$3="wind二级行业",[1]!s_info_industry_gics(W3830,2),IF($Y$3="wind三级行业",[1]!s_info_industry_gics(W3830,3),IF($Y$3="wind四级行业",[1]!s_info_industry_gics(W3830,4),IF($Y$3="证监会门类行业",[1]!s_info_industry_csrc12_n(W3830,公司分析!D$5,1),""))))))))</f>
        <v>通用设备</v>
      </c>
      <c r="Z3830" s="302" t="str">
        <f ca="1">IF(Y3830=行业比较!$E$6,ROW(),"")</f>
        <v/>
      </c>
    </row>
    <row r="3831" spans="22:26">
      <c r="V3831" s="260">
        <f t="shared" ca="1" si="67"/>
        <v>0</v>
      </c>
      <c r="W3831" s="348" t="str">
        <f>IF(板块成分!B3833="","",板块成分!B3833)</f>
        <v>601886.SH</v>
      </c>
      <c r="X3831" s="276" t="str">
        <f>[1]!S_Info_Name(W3831)</f>
        <v>江河集团</v>
      </c>
      <c r="Y3831" s="276" t="str">
        <f ca="1">IF($Y$3="申万一级行业",[1]!s_info_industry_sw_2021(W3831,公司分析!D$5,1),IF($Y$3="申万二级行业",[1]!s_info_industry_sw_2021(W3831,公司分析!D$5,2),IF($Y$3="申万三级行业",[1]!s_info_industry_sw_2021(W3831,公司分析!D$5,3),IF($Y$3="wind一级行业",[1]!s_info_industry_gics(W3831,1),IF($Y$3="wind二级行业",[1]!s_info_industry_gics(W3831,2),IF($Y$3="wind三级行业",[1]!s_info_industry_gics(W3831,3),IF($Y$3="wind四级行业",[1]!s_info_industry_gics(W3831,4),IF($Y$3="证监会门类行业",[1]!s_info_industry_csrc12_n(W3831,公司分析!D$5,1),""))))))))</f>
        <v>装修装饰Ⅱ</v>
      </c>
      <c r="Z3831" s="302" t="str">
        <f ca="1">IF(Y3831=行业比较!$E$6,ROW(),"")</f>
        <v/>
      </c>
    </row>
    <row r="3832" spans="22:26">
      <c r="V3832" s="260">
        <f t="shared" ca="1" si="67"/>
        <v>0</v>
      </c>
      <c r="W3832" s="348" t="str">
        <f>IF(板块成分!B3834="","",板块成分!B3834)</f>
        <v>601888.SH</v>
      </c>
      <c r="X3832" s="276" t="str">
        <f>[1]!S_Info_Name(W3832)</f>
        <v>中国中免</v>
      </c>
      <c r="Y3832" s="276" t="str">
        <f ca="1">IF($Y$3="申万一级行业",[1]!s_info_industry_sw_2021(W3832,公司分析!D$5,1),IF($Y$3="申万二级行业",[1]!s_info_industry_sw_2021(W3832,公司分析!D$5,2),IF($Y$3="申万三级行业",[1]!s_info_industry_sw_2021(W3832,公司分析!D$5,3),IF($Y$3="wind一级行业",[1]!s_info_industry_gics(W3832,1),IF($Y$3="wind二级行业",[1]!s_info_industry_gics(W3832,2),IF($Y$3="wind三级行业",[1]!s_info_industry_gics(W3832,3),IF($Y$3="wind四级行业",[1]!s_info_industry_gics(W3832,4),IF($Y$3="证监会门类行业",[1]!s_info_industry_csrc12_n(W3832,公司分析!D$5,1),""))))))))</f>
        <v>旅游零售Ⅱ</v>
      </c>
      <c r="Z3832" s="302" t="str">
        <f ca="1">IF(Y3832=行业比较!$E$6,ROW(),"")</f>
        <v/>
      </c>
    </row>
    <row r="3833" spans="22:26">
      <c r="V3833" s="260">
        <f t="shared" ca="1" si="67"/>
        <v>0</v>
      </c>
      <c r="W3833" s="348" t="str">
        <f>IF(板块成分!B3835="","",板块成分!B3835)</f>
        <v>601890.SH</v>
      </c>
      <c r="X3833" s="276" t="str">
        <f>[1]!S_Info_Name(W3833)</f>
        <v>亚星锚链</v>
      </c>
      <c r="Y3833" s="276" t="str">
        <f ca="1">IF($Y$3="申万一级行业",[1]!s_info_industry_sw_2021(W3833,公司分析!D$5,1),IF($Y$3="申万二级行业",[1]!s_info_industry_sw_2021(W3833,公司分析!D$5,2),IF($Y$3="申万三级行业",[1]!s_info_industry_sw_2021(W3833,公司分析!D$5,3),IF($Y$3="wind一级行业",[1]!s_info_industry_gics(W3833,1),IF($Y$3="wind二级行业",[1]!s_info_industry_gics(W3833,2),IF($Y$3="wind三级行业",[1]!s_info_industry_gics(W3833,3),IF($Y$3="wind四级行业",[1]!s_info_industry_gics(W3833,4),IF($Y$3="证监会门类行业",[1]!s_info_industry_csrc12_n(W3833,公司分析!D$5,1),""))))))))</f>
        <v>航海装备Ⅱ</v>
      </c>
      <c r="Z3833" s="302" t="str">
        <f ca="1">IF(Y3833=行业比较!$E$6,ROW(),"")</f>
        <v/>
      </c>
    </row>
    <row r="3834" spans="22:26">
      <c r="V3834" s="260">
        <f t="shared" ca="1" si="67"/>
        <v>0</v>
      </c>
      <c r="W3834" s="348" t="str">
        <f>IF(板块成分!B3836="","",板块成分!B3836)</f>
        <v>601898.SH</v>
      </c>
      <c r="X3834" s="276" t="str">
        <f>[1]!S_Info_Name(W3834)</f>
        <v>中煤能源</v>
      </c>
      <c r="Y3834" s="276" t="str">
        <f ca="1">IF($Y$3="申万一级行业",[1]!s_info_industry_sw_2021(W3834,公司分析!D$5,1),IF($Y$3="申万二级行业",[1]!s_info_industry_sw_2021(W3834,公司分析!D$5,2),IF($Y$3="申万三级行业",[1]!s_info_industry_sw_2021(W3834,公司分析!D$5,3),IF($Y$3="wind一级行业",[1]!s_info_industry_gics(W3834,1),IF($Y$3="wind二级行业",[1]!s_info_industry_gics(W3834,2),IF($Y$3="wind三级行业",[1]!s_info_industry_gics(W3834,3),IF($Y$3="wind四级行业",[1]!s_info_industry_gics(W3834,4),IF($Y$3="证监会门类行业",[1]!s_info_industry_csrc12_n(W3834,公司分析!D$5,1),""))))))))</f>
        <v>煤炭开采</v>
      </c>
      <c r="Z3834" s="302" t="str">
        <f ca="1">IF(Y3834=行业比较!$E$6,ROW(),"")</f>
        <v/>
      </c>
    </row>
    <row r="3835" spans="22:26">
      <c r="V3835" s="260">
        <f t="shared" ca="1" si="67"/>
        <v>51</v>
      </c>
      <c r="W3835" s="348" t="str">
        <f>IF(板块成分!B3837="","",板块成分!B3837)</f>
        <v>601899.SH</v>
      </c>
      <c r="X3835" s="276" t="str">
        <f>[1]!S_Info_Name(W3835)</f>
        <v>紫金矿业</v>
      </c>
      <c r="Y3835" s="276" t="str">
        <f ca="1">IF($Y$3="申万一级行业",[1]!s_info_industry_sw_2021(W3835,公司分析!D$5,1),IF($Y$3="申万二级行业",[1]!s_info_industry_sw_2021(W3835,公司分析!D$5,2),IF($Y$3="申万三级行业",[1]!s_info_industry_sw_2021(W3835,公司分析!D$5,3),IF($Y$3="wind一级行业",[1]!s_info_industry_gics(W3835,1),IF($Y$3="wind二级行业",[1]!s_info_industry_gics(W3835,2),IF($Y$3="wind三级行业",[1]!s_info_industry_gics(W3835,3),IF($Y$3="wind四级行业",[1]!s_info_industry_gics(W3835,4),IF($Y$3="证监会门类行业",[1]!s_info_industry_csrc12_n(W3835,公司分析!D$5,1),""))))))))</f>
        <v>工业金属</v>
      </c>
      <c r="Z3835" s="302">
        <f ca="1">IF(Y3835=行业比较!$E$6,ROW(),"")</f>
        <v>3835</v>
      </c>
    </row>
    <row r="3836" spans="22:26">
      <c r="V3836" s="260">
        <f t="shared" ca="1" si="67"/>
        <v>0</v>
      </c>
      <c r="W3836" s="348" t="str">
        <f>IF(板块成分!B3838="","",板块成分!B3838)</f>
        <v>601900.SH</v>
      </c>
      <c r="X3836" s="276" t="str">
        <f>[1]!S_Info_Name(W3836)</f>
        <v>南方传媒</v>
      </c>
      <c r="Y3836" s="276" t="str">
        <f ca="1">IF($Y$3="申万一级行业",[1]!s_info_industry_sw_2021(W3836,公司分析!D$5,1),IF($Y$3="申万二级行业",[1]!s_info_industry_sw_2021(W3836,公司分析!D$5,2),IF($Y$3="申万三级行业",[1]!s_info_industry_sw_2021(W3836,公司分析!D$5,3),IF($Y$3="wind一级行业",[1]!s_info_industry_gics(W3836,1),IF($Y$3="wind二级行业",[1]!s_info_industry_gics(W3836,2),IF($Y$3="wind三级行业",[1]!s_info_industry_gics(W3836,3),IF($Y$3="wind四级行业",[1]!s_info_industry_gics(W3836,4),IF($Y$3="证监会门类行业",[1]!s_info_industry_csrc12_n(W3836,公司分析!D$5,1),""))))))))</f>
        <v>出版</v>
      </c>
      <c r="Z3836" s="302" t="str">
        <f ca="1">IF(Y3836=行业比较!$E$6,ROW(),"")</f>
        <v/>
      </c>
    </row>
    <row r="3837" spans="22:26">
      <c r="V3837" s="260">
        <f t="shared" ca="1" si="67"/>
        <v>0</v>
      </c>
      <c r="W3837" s="348" t="str">
        <f>IF(板块成分!B3839="","",板块成分!B3839)</f>
        <v>601901.SH</v>
      </c>
      <c r="X3837" s="276" t="str">
        <f>[1]!S_Info_Name(W3837)</f>
        <v>方正证券</v>
      </c>
      <c r="Y3837" s="276" t="str">
        <f ca="1">IF($Y$3="申万一级行业",[1]!s_info_industry_sw_2021(W3837,公司分析!D$5,1),IF($Y$3="申万二级行业",[1]!s_info_industry_sw_2021(W3837,公司分析!D$5,2),IF($Y$3="申万三级行业",[1]!s_info_industry_sw_2021(W3837,公司分析!D$5,3),IF($Y$3="wind一级行业",[1]!s_info_industry_gics(W3837,1),IF($Y$3="wind二级行业",[1]!s_info_industry_gics(W3837,2),IF($Y$3="wind三级行业",[1]!s_info_industry_gics(W3837,3),IF($Y$3="wind四级行业",[1]!s_info_industry_gics(W3837,4),IF($Y$3="证监会门类行业",[1]!s_info_industry_csrc12_n(W3837,公司分析!D$5,1),""))))))))</f>
        <v>证券Ⅱ</v>
      </c>
      <c r="Z3837" s="302" t="str">
        <f ca="1">IF(Y3837=行业比较!$E$6,ROW(),"")</f>
        <v/>
      </c>
    </row>
    <row r="3838" spans="22:26">
      <c r="V3838" s="260">
        <f t="shared" ca="1" si="67"/>
        <v>0</v>
      </c>
      <c r="W3838" s="348" t="str">
        <f>IF(板块成分!B3840="","",板块成分!B3840)</f>
        <v>601908.SH</v>
      </c>
      <c r="X3838" s="276" t="str">
        <f>[1]!S_Info_Name(W3838)</f>
        <v>京运通</v>
      </c>
      <c r="Y3838" s="276" t="str">
        <f ca="1">IF($Y$3="申万一级行业",[1]!s_info_industry_sw_2021(W3838,公司分析!D$5,1),IF($Y$3="申万二级行业",[1]!s_info_industry_sw_2021(W3838,公司分析!D$5,2),IF($Y$3="申万三级行业",[1]!s_info_industry_sw_2021(W3838,公司分析!D$5,3),IF($Y$3="wind一级行业",[1]!s_info_industry_gics(W3838,1),IF($Y$3="wind二级行业",[1]!s_info_industry_gics(W3838,2),IF($Y$3="wind三级行业",[1]!s_info_industry_gics(W3838,3),IF($Y$3="wind四级行业",[1]!s_info_industry_gics(W3838,4),IF($Y$3="证监会门类行业",[1]!s_info_industry_csrc12_n(W3838,公司分析!D$5,1),""))))))))</f>
        <v>电力</v>
      </c>
      <c r="Z3838" s="302" t="str">
        <f ca="1">IF(Y3838=行业比较!$E$6,ROW(),"")</f>
        <v/>
      </c>
    </row>
    <row r="3839" spans="22:26">
      <c r="V3839" s="260">
        <f t="shared" ca="1" si="67"/>
        <v>0</v>
      </c>
      <c r="W3839" s="348" t="str">
        <f>IF(板块成分!B3841="","",板块成分!B3841)</f>
        <v>601916.SH</v>
      </c>
      <c r="X3839" s="276" t="str">
        <f>[1]!S_Info_Name(W3839)</f>
        <v>浙商银行</v>
      </c>
      <c r="Y3839" s="276" t="str">
        <f ca="1">IF($Y$3="申万一级行业",[1]!s_info_industry_sw_2021(W3839,公司分析!D$5,1),IF($Y$3="申万二级行业",[1]!s_info_industry_sw_2021(W3839,公司分析!D$5,2),IF($Y$3="申万三级行业",[1]!s_info_industry_sw_2021(W3839,公司分析!D$5,3),IF($Y$3="wind一级行业",[1]!s_info_industry_gics(W3839,1),IF($Y$3="wind二级行业",[1]!s_info_industry_gics(W3839,2),IF($Y$3="wind三级行业",[1]!s_info_industry_gics(W3839,3),IF($Y$3="wind四级行业",[1]!s_info_industry_gics(W3839,4),IF($Y$3="证监会门类行业",[1]!s_info_industry_csrc12_n(W3839,公司分析!D$5,1),""))))))))</f>
        <v>股份制银行Ⅱ</v>
      </c>
      <c r="Z3839" s="302" t="str">
        <f ca="1">IF(Y3839=行业比较!$E$6,ROW(),"")</f>
        <v/>
      </c>
    </row>
    <row r="3840" spans="22:26">
      <c r="V3840" s="260">
        <f t="shared" ca="1" si="67"/>
        <v>0</v>
      </c>
      <c r="W3840" s="348" t="str">
        <f>IF(板块成分!B3842="","",板块成分!B3842)</f>
        <v>601918.SH</v>
      </c>
      <c r="X3840" s="276" t="str">
        <f>[1]!S_Info_Name(W3840)</f>
        <v>新集能源</v>
      </c>
      <c r="Y3840" s="276" t="str">
        <f ca="1">IF($Y$3="申万一级行业",[1]!s_info_industry_sw_2021(W3840,公司分析!D$5,1),IF($Y$3="申万二级行业",[1]!s_info_industry_sw_2021(W3840,公司分析!D$5,2),IF($Y$3="申万三级行业",[1]!s_info_industry_sw_2021(W3840,公司分析!D$5,3),IF($Y$3="wind一级行业",[1]!s_info_industry_gics(W3840,1),IF($Y$3="wind二级行业",[1]!s_info_industry_gics(W3840,2),IF($Y$3="wind三级行业",[1]!s_info_industry_gics(W3840,3),IF($Y$3="wind四级行业",[1]!s_info_industry_gics(W3840,4),IF($Y$3="证监会门类行业",[1]!s_info_industry_csrc12_n(W3840,公司分析!D$5,1),""))))))))</f>
        <v>煤炭开采</v>
      </c>
      <c r="Z3840" s="302" t="str">
        <f ca="1">IF(Y3840=行业比较!$E$6,ROW(),"")</f>
        <v/>
      </c>
    </row>
    <row r="3841" spans="22:26">
      <c r="V3841" s="260">
        <f t="shared" ca="1" si="67"/>
        <v>0</v>
      </c>
      <c r="W3841" s="348" t="str">
        <f>IF(板块成分!B3843="","",板块成分!B3843)</f>
        <v>601919.SH</v>
      </c>
      <c r="X3841" s="276" t="str">
        <f>[1]!S_Info_Name(W3841)</f>
        <v>中远海控</v>
      </c>
      <c r="Y3841" s="276" t="str">
        <f ca="1">IF($Y$3="申万一级行业",[1]!s_info_industry_sw_2021(W3841,公司分析!D$5,1),IF($Y$3="申万二级行业",[1]!s_info_industry_sw_2021(W3841,公司分析!D$5,2),IF($Y$3="申万三级行业",[1]!s_info_industry_sw_2021(W3841,公司分析!D$5,3),IF($Y$3="wind一级行业",[1]!s_info_industry_gics(W3841,1),IF($Y$3="wind二级行业",[1]!s_info_industry_gics(W3841,2),IF($Y$3="wind三级行业",[1]!s_info_industry_gics(W3841,3),IF($Y$3="wind四级行业",[1]!s_info_industry_gics(W3841,4),IF($Y$3="证监会门类行业",[1]!s_info_industry_csrc12_n(W3841,公司分析!D$5,1),""))))))))</f>
        <v>航运港口</v>
      </c>
      <c r="Z3841" s="302" t="str">
        <f ca="1">IF(Y3841=行业比较!$E$6,ROW(),"")</f>
        <v/>
      </c>
    </row>
    <row r="3842" spans="22:26">
      <c r="V3842" s="260">
        <f t="shared" ca="1" si="67"/>
        <v>0</v>
      </c>
      <c r="W3842" s="348" t="str">
        <f>IF(板块成分!B3844="","",板块成分!B3844)</f>
        <v>601921.SH</v>
      </c>
      <c r="X3842" s="276" t="str">
        <f>[1]!S_Info_Name(W3842)</f>
        <v>浙版传媒</v>
      </c>
      <c r="Y3842" s="276" t="str">
        <f ca="1">IF($Y$3="申万一级行业",[1]!s_info_industry_sw_2021(W3842,公司分析!D$5,1),IF($Y$3="申万二级行业",[1]!s_info_industry_sw_2021(W3842,公司分析!D$5,2),IF($Y$3="申万三级行业",[1]!s_info_industry_sw_2021(W3842,公司分析!D$5,3),IF($Y$3="wind一级行业",[1]!s_info_industry_gics(W3842,1),IF($Y$3="wind二级行业",[1]!s_info_industry_gics(W3842,2),IF($Y$3="wind三级行业",[1]!s_info_industry_gics(W3842,3),IF($Y$3="wind四级行业",[1]!s_info_industry_gics(W3842,4),IF($Y$3="证监会门类行业",[1]!s_info_industry_csrc12_n(W3842,公司分析!D$5,1),""))))))))</f>
        <v>出版</v>
      </c>
      <c r="Z3842" s="302" t="str">
        <f ca="1">IF(Y3842=行业比较!$E$6,ROW(),"")</f>
        <v/>
      </c>
    </row>
    <row r="3843" spans="22:26">
      <c r="V3843" s="260">
        <f t="shared" ca="1" si="67"/>
        <v>0</v>
      </c>
      <c r="W3843" s="348" t="str">
        <f>IF(板块成分!B3845="","",板块成分!B3845)</f>
        <v>601928.SH</v>
      </c>
      <c r="X3843" s="276" t="str">
        <f>[1]!S_Info_Name(W3843)</f>
        <v>凤凰传媒</v>
      </c>
      <c r="Y3843" s="276" t="str">
        <f ca="1">IF($Y$3="申万一级行业",[1]!s_info_industry_sw_2021(W3843,公司分析!D$5,1),IF($Y$3="申万二级行业",[1]!s_info_industry_sw_2021(W3843,公司分析!D$5,2),IF($Y$3="申万三级行业",[1]!s_info_industry_sw_2021(W3843,公司分析!D$5,3),IF($Y$3="wind一级行业",[1]!s_info_industry_gics(W3843,1),IF($Y$3="wind二级行业",[1]!s_info_industry_gics(W3843,2),IF($Y$3="wind三级行业",[1]!s_info_industry_gics(W3843,3),IF($Y$3="wind四级行业",[1]!s_info_industry_gics(W3843,4),IF($Y$3="证监会门类行业",[1]!s_info_industry_csrc12_n(W3843,公司分析!D$5,1),""))))))))</f>
        <v>出版</v>
      </c>
      <c r="Z3843" s="302" t="str">
        <f ca="1">IF(Y3843=行业比较!$E$6,ROW(),"")</f>
        <v/>
      </c>
    </row>
    <row r="3844" spans="22:26">
      <c r="V3844" s="260">
        <f t="shared" ca="1" si="67"/>
        <v>0</v>
      </c>
      <c r="W3844" s="348" t="str">
        <f>IF(板块成分!B3846="","",板块成分!B3846)</f>
        <v>601929.SH</v>
      </c>
      <c r="X3844" s="276" t="str">
        <f>[1]!S_Info_Name(W3844)</f>
        <v>吉视传媒</v>
      </c>
      <c r="Y3844" s="276" t="str">
        <f ca="1">IF($Y$3="申万一级行业",[1]!s_info_industry_sw_2021(W3844,公司分析!D$5,1),IF($Y$3="申万二级行业",[1]!s_info_industry_sw_2021(W3844,公司分析!D$5,2),IF($Y$3="申万三级行业",[1]!s_info_industry_sw_2021(W3844,公司分析!D$5,3),IF($Y$3="wind一级行业",[1]!s_info_industry_gics(W3844,1),IF($Y$3="wind二级行业",[1]!s_info_industry_gics(W3844,2),IF($Y$3="wind三级行业",[1]!s_info_industry_gics(W3844,3),IF($Y$3="wind四级行业",[1]!s_info_industry_gics(W3844,4),IF($Y$3="证监会门类行业",[1]!s_info_industry_csrc12_n(W3844,公司分析!D$5,1),""))))))))</f>
        <v>电视广播Ⅱ</v>
      </c>
      <c r="Z3844" s="302" t="str">
        <f ca="1">IF(Y3844=行业比较!$E$6,ROW(),"")</f>
        <v/>
      </c>
    </row>
    <row r="3845" spans="22:26">
      <c r="V3845" s="260">
        <f t="shared" ref="V3845:V3908" ca="1" si="68">IF(Z3845="",0,RANK(Z3845,Z:Z,1))</f>
        <v>0</v>
      </c>
      <c r="W3845" s="348" t="str">
        <f>IF(板块成分!B3847="","",板块成分!B3847)</f>
        <v>601933.SH</v>
      </c>
      <c r="X3845" s="276" t="str">
        <f>[1]!S_Info_Name(W3845)</f>
        <v>永辉超市</v>
      </c>
      <c r="Y3845" s="276" t="str">
        <f ca="1">IF($Y$3="申万一级行业",[1]!s_info_industry_sw_2021(W3845,公司分析!D$5,1),IF($Y$3="申万二级行业",[1]!s_info_industry_sw_2021(W3845,公司分析!D$5,2),IF($Y$3="申万三级行业",[1]!s_info_industry_sw_2021(W3845,公司分析!D$5,3),IF($Y$3="wind一级行业",[1]!s_info_industry_gics(W3845,1),IF($Y$3="wind二级行业",[1]!s_info_industry_gics(W3845,2),IF($Y$3="wind三级行业",[1]!s_info_industry_gics(W3845,3),IF($Y$3="wind四级行业",[1]!s_info_industry_gics(W3845,4),IF($Y$3="证监会门类行业",[1]!s_info_industry_csrc12_n(W3845,公司分析!D$5,1),""))))))))</f>
        <v>一般零售</v>
      </c>
      <c r="Z3845" s="302" t="str">
        <f ca="1">IF(Y3845=行业比较!$E$6,ROW(),"")</f>
        <v/>
      </c>
    </row>
    <row r="3846" spans="22:26">
      <c r="V3846" s="260">
        <f t="shared" ca="1" si="68"/>
        <v>0</v>
      </c>
      <c r="W3846" s="348" t="str">
        <f>IF(板块成分!B3848="","",板块成分!B3848)</f>
        <v>601939.SH</v>
      </c>
      <c r="X3846" s="276" t="str">
        <f>[1]!S_Info_Name(W3846)</f>
        <v>建设银行</v>
      </c>
      <c r="Y3846" s="276" t="str">
        <f ca="1">IF($Y$3="申万一级行业",[1]!s_info_industry_sw_2021(W3846,公司分析!D$5,1),IF($Y$3="申万二级行业",[1]!s_info_industry_sw_2021(W3846,公司分析!D$5,2),IF($Y$3="申万三级行业",[1]!s_info_industry_sw_2021(W3846,公司分析!D$5,3),IF($Y$3="wind一级行业",[1]!s_info_industry_gics(W3846,1),IF($Y$3="wind二级行业",[1]!s_info_industry_gics(W3846,2),IF($Y$3="wind三级行业",[1]!s_info_industry_gics(W3846,3),IF($Y$3="wind四级行业",[1]!s_info_industry_gics(W3846,4),IF($Y$3="证监会门类行业",[1]!s_info_industry_csrc12_n(W3846,公司分析!D$5,1),""))))))))</f>
        <v>国有大型银行Ⅱ</v>
      </c>
      <c r="Z3846" s="302" t="str">
        <f ca="1">IF(Y3846=行业比较!$E$6,ROW(),"")</f>
        <v/>
      </c>
    </row>
    <row r="3847" spans="22:26">
      <c r="V3847" s="260">
        <f t="shared" ca="1" si="68"/>
        <v>0</v>
      </c>
      <c r="W3847" s="348" t="str">
        <f>IF(板块成分!B3849="","",板块成分!B3849)</f>
        <v>601949.SH</v>
      </c>
      <c r="X3847" s="276" t="str">
        <f>[1]!S_Info_Name(W3847)</f>
        <v>中国出版</v>
      </c>
      <c r="Y3847" s="276" t="str">
        <f ca="1">IF($Y$3="申万一级行业",[1]!s_info_industry_sw_2021(W3847,公司分析!D$5,1),IF($Y$3="申万二级行业",[1]!s_info_industry_sw_2021(W3847,公司分析!D$5,2),IF($Y$3="申万三级行业",[1]!s_info_industry_sw_2021(W3847,公司分析!D$5,3),IF($Y$3="wind一级行业",[1]!s_info_industry_gics(W3847,1),IF($Y$3="wind二级行业",[1]!s_info_industry_gics(W3847,2),IF($Y$3="wind三级行业",[1]!s_info_industry_gics(W3847,3),IF($Y$3="wind四级行业",[1]!s_info_industry_gics(W3847,4),IF($Y$3="证监会门类行业",[1]!s_info_industry_csrc12_n(W3847,公司分析!D$5,1),""))))))))</f>
        <v>出版</v>
      </c>
      <c r="Z3847" s="302" t="str">
        <f ca="1">IF(Y3847=行业比较!$E$6,ROW(),"")</f>
        <v/>
      </c>
    </row>
    <row r="3848" spans="22:26">
      <c r="V3848" s="260">
        <f t="shared" ca="1" si="68"/>
        <v>0</v>
      </c>
      <c r="W3848" s="348" t="str">
        <f>IF(板块成分!B3850="","",板块成分!B3850)</f>
        <v>601952.SH</v>
      </c>
      <c r="X3848" s="276" t="str">
        <f>[1]!S_Info_Name(W3848)</f>
        <v>苏垦农发</v>
      </c>
      <c r="Y3848" s="276" t="str">
        <f ca="1">IF($Y$3="申万一级行业",[1]!s_info_industry_sw_2021(W3848,公司分析!D$5,1),IF($Y$3="申万二级行业",[1]!s_info_industry_sw_2021(W3848,公司分析!D$5,2),IF($Y$3="申万三级行业",[1]!s_info_industry_sw_2021(W3848,公司分析!D$5,3),IF($Y$3="wind一级行业",[1]!s_info_industry_gics(W3848,1),IF($Y$3="wind二级行业",[1]!s_info_industry_gics(W3848,2),IF($Y$3="wind三级行业",[1]!s_info_industry_gics(W3848,3),IF($Y$3="wind四级行业",[1]!s_info_industry_gics(W3848,4),IF($Y$3="证监会门类行业",[1]!s_info_industry_csrc12_n(W3848,公司分析!D$5,1),""))))))))</f>
        <v>种植业</v>
      </c>
      <c r="Z3848" s="302" t="str">
        <f ca="1">IF(Y3848=行业比较!$E$6,ROW(),"")</f>
        <v/>
      </c>
    </row>
    <row r="3849" spans="22:26">
      <c r="V3849" s="260">
        <f t="shared" ca="1" si="68"/>
        <v>0</v>
      </c>
      <c r="W3849" s="348" t="str">
        <f>IF(板块成分!B3851="","",板块成分!B3851)</f>
        <v>601956.SH</v>
      </c>
      <c r="X3849" s="276" t="str">
        <f>[1]!S_Info_Name(W3849)</f>
        <v>东贝集团</v>
      </c>
      <c r="Y3849" s="276" t="str">
        <f ca="1">IF($Y$3="申万一级行业",[1]!s_info_industry_sw_2021(W3849,公司分析!D$5,1),IF($Y$3="申万二级行业",[1]!s_info_industry_sw_2021(W3849,公司分析!D$5,2),IF($Y$3="申万三级行业",[1]!s_info_industry_sw_2021(W3849,公司分析!D$5,3),IF($Y$3="wind一级行业",[1]!s_info_industry_gics(W3849,1),IF($Y$3="wind二级行业",[1]!s_info_industry_gics(W3849,2),IF($Y$3="wind三级行业",[1]!s_info_industry_gics(W3849,3),IF($Y$3="wind四级行业",[1]!s_info_industry_gics(W3849,4),IF($Y$3="证监会门类行业",[1]!s_info_industry_csrc12_n(W3849,公司分析!D$5,1),""))))))))</f>
        <v>家电零部件Ⅱ</v>
      </c>
      <c r="Z3849" s="302" t="str">
        <f ca="1">IF(Y3849=行业比较!$E$6,ROW(),"")</f>
        <v/>
      </c>
    </row>
    <row r="3850" spans="22:26">
      <c r="V3850" s="260">
        <f t="shared" ca="1" si="68"/>
        <v>0</v>
      </c>
      <c r="W3850" s="348" t="str">
        <f>IF(板块成分!B3852="","",板块成分!B3852)</f>
        <v>601958.SH</v>
      </c>
      <c r="X3850" s="276" t="str">
        <f>[1]!S_Info_Name(W3850)</f>
        <v>金钼股份</v>
      </c>
      <c r="Y3850" s="276" t="str">
        <f ca="1">IF($Y$3="申万一级行业",[1]!s_info_industry_sw_2021(W3850,公司分析!D$5,1),IF($Y$3="申万二级行业",[1]!s_info_industry_sw_2021(W3850,公司分析!D$5,2),IF($Y$3="申万三级行业",[1]!s_info_industry_sw_2021(W3850,公司分析!D$5,3),IF($Y$3="wind一级行业",[1]!s_info_industry_gics(W3850,1),IF($Y$3="wind二级行业",[1]!s_info_industry_gics(W3850,2),IF($Y$3="wind三级行业",[1]!s_info_industry_gics(W3850,3),IF($Y$3="wind四级行业",[1]!s_info_industry_gics(W3850,4),IF($Y$3="证监会门类行业",[1]!s_info_industry_csrc12_n(W3850,公司分析!D$5,1),""))))))))</f>
        <v>小金属</v>
      </c>
      <c r="Z3850" s="302" t="str">
        <f ca="1">IF(Y3850=行业比较!$E$6,ROW(),"")</f>
        <v/>
      </c>
    </row>
    <row r="3851" spans="22:26">
      <c r="V3851" s="260">
        <f t="shared" ca="1" si="68"/>
        <v>0</v>
      </c>
      <c r="W3851" s="348" t="str">
        <f>IF(板块成分!B3853="","",板块成分!B3853)</f>
        <v>601963.SH</v>
      </c>
      <c r="X3851" s="276" t="str">
        <f>[1]!S_Info_Name(W3851)</f>
        <v>重庆银行</v>
      </c>
      <c r="Y3851" s="276" t="str">
        <f ca="1">IF($Y$3="申万一级行业",[1]!s_info_industry_sw_2021(W3851,公司分析!D$5,1),IF($Y$3="申万二级行业",[1]!s_info_industry_sw_2021(W3851,公司分析!D$5,2),IF($Y$3="申万三级行业",[1]!s_info_industry_sw_2021(W3851,公司分析!D$5,3),IF($Y$3="wind一级行业",[1]!s_info_industry_gics(W3851,1),IF($Y$3="wind二级行业",[1]!s_info_industry_gics(W3851,2),IF($Y$3="wind三级行业",[1]!s_info_industry_gics(W3851,3),IF($Y$3="wind四级行业",[1]!s_info_industry_gics(W3851,4),IF($Y$3="证监会门类行业",[1]!s_info_industry_csrc12_n(W3851,公司分析!D$5,1),""))))))))</f>
        <v>城商行Ⅱ</v>
      </c>
      <c r="Z3851" s="302" t="str">
        <f ca="1">IF(Y3851=行业比较!$E$6,ROW(),"")</f>
        <v/>
      </c>
    </row>
    <row r="3852" spans="22:26">
      <c r="V3852" s="260">
        <f t="shared" ca="1" si="68"/>
        <v>0</v>
      </c>
      <c r="W3852" s="348" t="str">
        <f>IF(板块成分!B3854="","",板块成分!B3854)</f>
        <v>601965.SH</v>
      </c>
      <c r="X3852" s="276" t="str">
        <f>[1]!S_Info_Name(W3852)</f>
        <v>中国汽研</v>
      </c>
      <c r="Y3852" s="276" t="str">
        <f ca="1">IF($Y$3="申万一级行业",[1]!s_info_industry_sw_2021(W3852,公司分析!D$5,1),IF($Y$3="申万二级行业",[1]!s_info_industry_sw_2021(W3852,公司分析!D$5,2),IF($Y$3="申万三级行业",[1]!s_info_industry_sw_2021(W3852,公司分析!D$5,3),IF($Y$3="wind一级行业",[1]!s_info_industry_gics(W3852,1),IF($Y$3="wind二级行业",[1]!s_info_industry_gics(W3852,2),IF($Y$3="wind三级行业",[1]!s_info_industry_gics(W3852,3),IF($Y$3="wind四级行业",[1]!s_info_industry_gics(W3852,4),IF($Y$3="证监会门类行业",[1]!s_info_industry_csrc12_n(W3852,公司分析!D$5,1),""))))))))</f>
        <v>汽车服务</v>
      </c>
      <c r="Z3852" s="302" t="str">
        <f ca="1">IF(Y3852=行业比较!$E$6,ROW(),"")</f>
        <v/>
      </c>
    </row>
    <row r="3853" spans="22:26">
      <c r="V3853" s="260">
        <f t="shared" ca="1" si="68"/>
        <v>0</v>
      </c>
      <c r="W3853" s="348" t="str">
        <f>IF(板块成分!B3855="","",板块成分!B3855)</f>
        <v>601966.SH</v>
      </c>
      <c r="X3853" s="276" t="str">
        <f>[1]!S_Info_Name(W3853)</f>
        <v>玲珑轮胎</v>
      </c>
      <c r="Y3853" s="276" t="str">
        <f ca="1">IF($Y$3="申万一级行业",[1]!s_info_industry_sw_2021(W3853,公司分析!D$5,1),IF($Y$3="申万二级行业",[1]!s_info_industry_sw_2021(W3853,公司分析!D$5,2),IF($Y$3="申万三级行业",[1]!s_info_industry_sw_2021(W3853,公司分析!D$5,3),IF($Y$3="wind一级行业",[1]!s_info_industry_gics(W3853,1),IF($Y$3="wind二级行业",[1]!s_info_industry_gics(W3853,2),IF($Y$3="wind三级行业",[1]!s_info_industry_gics(W3853,3),IF($Y$3="wind四级行业",[1]!s_info_industry_gics(W3853,4),IF($Y$3="证监会门类行业",[1]!s_info_industry_csrc12_n(W3853,公司分析!D$5,1),""))))))))</f>
        <v>汽车零部件</v>
      </c>
      <c r="Z3853" s="302" t="str">
        <f ca="1">IF(Y3853=行业比较!$E$6,ROW(),"")</f>
        <v/>
      </c>
    </row>
    <row r="3854" spans="22:26">
      <c r="V3854" s="260">
        <f t="shared" ca="1" si="68"/>
        <v>0</v>
      </c>
      <c r="W3854" s="348" t="str">
        <f>IF(板块成分!B3856="","",板块成分!B3856)</f>
        <v>601968.SH</v>
      </c>
      <c r="X3854" s="276" t="str">
        <f>[1]!S_Info_Name(W3854)</f>
        <v>宝钢包装</v>
      </c>
      <c r="Y3854" s="276" t="str">
        <f ca="1">IF($Y$3="申万一级行业",[1]!s_info_industry_sw_2021(W3854,公司分析!D$5,1),IF($Y$3="申万二级行业",[1]!s_info_industry_sw_2021(W3854,公司分析!D$5,2),IF($Y$3="申万三级行业",[1]!s_info_industry_sw_2021(W3854,公司分析!D$5,3),IF($Y$3="wind一级行业",[1]!s_info_industry_gics(W3854,1),IF($Y$3="wind二级行业",[1]!s_info_industry_gics(W3854,2),IF($Y$3="wind三级行业",[1]!s_info_industry_gics(W3854,3),IF($Y$3="wind四级行业",[1]!s_info_industry_gics(W3854,4),IF($Y$3="证监会门类行业",[1]!s_info_industry_csrc12_n(W3854,公司分析!D$5,1),""))))))))</f>
        <v>包装印刷</v>
      </c>
      <c r="Z3854" s="302" t="str">
        <f ca="1">IF(Y3854=行业比较!$E$6,ROW(),"")</f>
        <v/>
      </c>
    </row>
    <row r="3855" spans="22:26">
      <c r="V3855" s="260">
        <f t="shared" ca="1" si="68"/>
        <v>0</v>
      </c>
      <c r="W3855" s="348" t="str">
        <f>IF(板块成分!B3857="","",板块成分!B3857)</f>
        <v>601969.SH</v>
      </c>
      <c r="X3855" s="276" t="str">
        <f>[1]!S_Info_Name(W3855)</f>
        <v>海南矿业</v>
      </c>
      <c r="Y3855" s="276" t="str">
        <f ca="1">IF($Y$3="申万一级行业",[1]!s_info_industry_sw_2021(W3855,公司分析!D$5,1),IF($Y$3="申万二级行业",[1]!s_info_industry_sw_2021(W3855,公司分析!D$5,2),IF($Y$3="申万三级行业",[1]!s_info_industry_sw_2021(W3855,公司分析!D$5,3),IF($Y$3="wind一级行业",[1]!s_info_industry_gics(W3855,1),IF($Y$3="wind二级行业",[1]!s_info_industry_gics(W3855,2),IF($Y$3="wind三级行业",[1]!s_info_industry_gics(W3855,3),IF($Y$3="wind四级行业",[1]!s_info_industry_gics(W3855,4),IF($Y$3="证监会门类行业",[1]!s_info_industry_csrc12_n(W3855,公司分析!D$5,1),""))))))))</f>
        <v>冶钢原料</v>
      </c>
      <c r="Z3855" s="302" t="str">
        <f ca="1">IF(Y3855=行业比较!$E$6,ROW(),"")</f>
        <v/>
      </c>
    </row>
    <row r="3856" spans="22:26">
      <c r="V3856" s="260">
        <f t="shared" ca="1" si="68"/>
        <v>0</v>
      </c>
      <c r="W3856" s="348" t="str">
        <f>IF(板块成分!B3858="","",板块成分!B3858)</f>
        <v>601975.SH</v>
      </c>
      <c r="X3856" s="276" t="str">
        <f>[1]!S_Info_Name(W3856)</f>
        <v>招商南油</v>
      </c>
      <c r="Y3856" s="276" t="str">
        <f ca="1">IF($Y$3="申万一级行业",[1]!s_info_industry_sw_2021(W3856,公司分析!D$5,1),IF($Y$3="申万二级行业",[1]!s_info_industry_sw_2021(W3856,公司分析!D$5,2),IF($Y$3="申万三级行业",[1]!s_info_industry_sw_2021(W3856,公司分析!D$5,3),IF($Y$3="wind一级行业",[1]!s_info_industry_gics(W3856,1),IF($Y$3="wind二级行业",[1]!s_info_industry_gics(W3856,2),IF($Y$3="wind三级行业",[1]!s_info_industry_gics(W3856,3),IF($Y$3="wind四级行业",[1]!s_info_industry_gics(W3856,4),IF($Y$3="证监会门类行业",[1]!s_info_industry_csrc12_n(W3856,公司分析!D$5,1),""))))))))</f>
        <v>航运港口</v>
      </c>
      <c r="Z3856" s="302" t="str">
        <f ca="1">IF(Y3856=行业比较!$E$6,ROW(),"")</f>
        <v/>
      </c>
    </row>
    <row r="3857" spans="22:26">
      <c r="V3857" s="260">
        <f t="shared" ca="1" si="68"/>
        <v>0</v>
      </c>
      <c r="W3857" s="348" t="str">
        <f>IF(板块成分!B3859="","",板块成分!B3859)</f>
        <v>601985.SH</v>
      </c>
      <c r="X3857" s="276" t="str">
        <f>[1]!S_Info_Name(W3857)</f>
        <v>中国核电</v>
      </c>
      <c r="Y3857" s="276" t="str">
        <f ca="1">IF($Y$3="申万一级行业",[1]!s_info_industry_sw_2021(W3857,公司分析!D$5,1),IF($Y$3="申万二级行业",[1]!s_info_industry_sw_2021(W3857,公司分析!D$5,2),IF($Y$3="申万三级行业",[1]!s_info_industry_sw_2021(W3857,公司分析!D$5,3),IF($Y$3="wind一级行业",[1]!s_info_industry_gics(W3857,1),IF($Y$3="wind二级行业",[1]!s_info_industry_gics(W3857,2),IF($Y$3="wind三级行业",[1]!s_info_industry_gics(W3857,3),IF($Y$3="wind四级行业",[1]!s_info_industry_gics(W3857,4),IF($Y$3="证监会门类行业",[1]!s_info_industry_csrc12_n(W3857,公司分析!D$5,1),""))))))))</f>
        <v>电力</v>
      </c>
      <c r="Z3857" s="302" t="str">
        <f ca="1">IF(Y3857=行业比较!$E$6,ROW(),"")</f>
        <v/>
      </c>
    </row>
    <row r="3858" spans="22:26">
      <c r="V3858" s="260">
        <f t="shared" ca="1" si="68"/>
        <v>0</v>
      </c>
      <c r="W3858" s="348" t="str">
        <f>IF(板块成分!B3860="","",板块成分!B3860)</f>
        <v>601988.SH</v>
      </c>
      <c r="X3858" s="276" t="str">
        <f>[1]!S_Info_Name(W3858)</f>
        <v>中国银行</v>
      </c>
      <c r="Y3858" s="276" t="str">
        <f ca="1">IF($Y$3="申万一级行业",[1]!s_info_industry_sw_2021(W3858,公司分析!D$5,1),IF($Y$3="申万二级行业",[1]!s_info_industry_sw_2021(W3858,公司分析!D$5,2),IF($Y$3="申万三级行业",[1]!s_info_industry_sw_2021(W3858,公司分析!D$5,3),IF($Y$3="wind一级行业",[1]!s_info_industry_gics(W3858,1),IF($Y$3="wind二级行业",[1]!s_info_industry_gics(W3858,2),IF($Y$3="wind三级行业",[1]!s_info_industry_gics(W3858,3),IF($Y$3="wind四级行业",[1]!s_info_industry_gics(W3858,4),IF($Y$3="证监会门类行业",[1]!s_info_industry_csrc12_n(W3858,公司分析!D$5,1),""))))))))</f>
        <v>国有大型银行Ⅱ</v>
      </c>
      <c r="Z3858" s="302" t="str">
        <f ca="1">IF(Y3858=行业比较!$E$6,ROW(),"")</f>
        <v/>
      </c>
    </row>
    <row r="3859" spans="22:26">
      <c r="V3859" s="260">
        <f t="shared" ca="1" si="68"/>
        <v>0</v>
      </c>
      <c r="W3859" s="348" t="str">
        <f>IF(板块成分!B3861="","",板块成分!B3861)</f>
        <v>601990.SH</v>
      </c>
      <c r="X3859" s="276" t="str">
        <f>[1]!S_Info_Name(W3859)</f>
        <v>南京证券</v>
      </c>
      <c r="Y3859" s="276" t="str">
        <f ca="1">IF($Y$3="申万一级行业",[1]!s_info_industry_sw_2021(W3859,公司分析!D$5,1),IF($Y$3="申万二级行业",[1]!s_info_industry_sw_2021(W3859,公司分析!D$5,2),IF($Y$3="申万三级行业",[1]!s_info_industry_sw_2021(W3859,公司分析!D$5,3),IF($Y$3="wind一级行业",[1]!s_info_industry_gics(W3859,1),IF($Y$3="wind二级行业",[1]!s_info_industry_gics(W3859,2),IF($Y$3="wind三级行业",[1]!s_info_industry_gics(W3859,3),IF($Y$3="wind四级行业",[1]!s_info_industry_gics(W3859,4),IF($Y$3="证监会门类行业",[1]!s_info_industry_csrc12_n(W3859,公司分析!D$5,1),""))))))))</f>
        <v>证券Ⅱ</v>
      </c>
      <c r="Z3859" s="302" t="str">
        <f ca="1">IF(Y3859=行业比较!$E$6,ROW(),"")</f>
        <v/>
      </c>
    </row>
    <row r="3860" spans="22:26">
      <c r="V3860" s="260">
        <f t="shared" ca="1" si="68"/>
        <v>0</v>
      </c>
      <c r="W3860" s="348" t="str">
        <f>IF(板块成分!B3862="","",板块成分!B3862)</f>
        <v>601991.SH</v>
      </c>
      <c r="X3860" s="276" t="str">
        <f>[1]!S_Info_Name(W3860)</f>
        <v>大唐发电</v>
      </c>
      <c r="Y3860" s="276" t="str">
        <f ca="1">IF($Y$3="申万一级行业",[1]!s_info_industry_sw_2021(W3860,公司分析!D$5,1),IF($Y$3="申万二级行业",[1]!s_info_industry_sw_2021(W3860,公司分析!D$5,2),IF($Y$3="申万三级行业",[1]!s_info_industry_sw_2021(W3860,公司分析!D$5,3),IF($Y$3="wind一级行业",[1]!s_info_industry_gics(W3860,1),IF($Y$3="wind二级行业",[1]!s_info_industry_gics(W3860,2),IF($Y$3="wind三级行业",[1]!s_info_industry_gics(W3860,3),IF($Y$3="wind四级行业",[1]!s_info_industry_gics(W3860,4),IF($Y$3="证监会门类行业",[1]!s_info_industry_csrc12_n(W3860,公司分析!D$5,1),""))))))))</f>
        <v>电力</v>
      </c>
      <c r="Z3860" s="302" t="str">
        <f ca="1">IF(Y3860=行业比较!$E$6,ROW(),"")</f>
        <v/>
      </c>
    </row>
    <row r="3861" spans="22:26">
      <c r="V3861" s="260">
        <f t="shared" ca="1" si="68"/>
        <v>0</v>
      </c>
      <c r="W3861" s="348" t="str">
        <f>IF(板块成分!B3863="","",板块成分!B3863)</f>
        <v>601992.SH</v>
      </c>
      <c r="X3861" s="276" t="str">
        <f>[1]!S_Info_Name(W3861)</f>
        <v>金隅集团</v>
      </c>
      <c r="Y3861" s="276" t="str">
        <f ca="1">IF($Y$3="申万一级行业",[1]!s_info_industry_sw_2021(W3861,公司分析!D$5,1),IF($Y$3="申万二级行业",[1]!s_info_industry_sw_2021(W3861,公司分析!D$5,2),IF($Y$3="申万三级行业",[1]!s_info_industry_sw_2021(W3861,公司分析!D$5,3),IF($Y$3="wind一级行业",[1]!s_info_industry_gics(W3861,1),IF($Y$3="wind二级行业",[1]!s_info_industry_gics(W3861,2),IF($Y$3="wind三级行业",[1]!s_info_industry_gics(W3861,3),IF($Y$3="wind四级行业",[1]!s_info_industry_gics(W3861,4),IF($Y$3="证监会门类行业",[1]!s_info_industry_csrc12_n(W3861,公司分析!D$5,1),""))))))))</f>
        <v>水泥</v>
      </c>
      <c r="Z3861" s="302" t="str">
        <f ca="1">IF(Y3861=行业比较!$E$6,ROW(),"")</f>
        <v/>
      </c>
    </row>
    <row r="3862" spans="22:26">
      <c r="V3862" s="260">
        <f t="shared" ca="1" si="68"/>
        <v>0</v>
      </c>
      <c r="W3862" s="348" t="str">
        <f>IF(板块成分!B3864="","",板块成分!B3864)</f>
        <v>601995.SH</v>
      </c>
      <c r="X3862" s="276" t="str">
        <f>[1]!S_Info_Name(W3862)</f>
        <v>中金公司</v>
      </c>
      <c r="Y3862" s="276" t="str">
        <f ca="1">IF($Y$3="申万一级行业",[1]!s_info_industry_sw_2021(W3862,公司分析!D$5,1),IF($Y$3="申万二级行业",[1]!s_info_industry_sw_2021(W3862,公司分析!D$5,2),IF($Y$3="申万三级行业",[1]!s_info_industry_sw_2021(W3862,公司分析!D$5,3),IF($Y$3="wind一级行业",[1]!s_info_industry_gics(W3862,1),IF($Y$3="wind二级行业",[1]!s_info_industry_gics(W3862,2),IF($Y$3="wind三级行业",[1]!s_info_industry_gics(W3862,3),IF($Y$3="wind四级行业",[1]!s_info_industry_gics(W3862,4),IF($Y$3="证监会门类行业",[1]!s_info_industry_csrc12_n(W3862,公司分析!D$5,1),""))))))))</f>
        <v>证券Ⅱ</v>
      </c>
      <c r="Z3862" s="302" t="str">
        <f ca="1">IF(Y3862=行业比较!$E$6,ROW(),"")</f>
        <v/>
      </c>
    </row>
    <row r="3863" spans="22:26">
      <c r="V3863" s="260">
        <f t="shared" ca="1" si="68"/>
        <v>0</v>
      </c>
      <c r="W3863" s="348" t="str">
        <f>IF(板块成分!B3865="","",板块成分!B3865)</f>
        <v>601996.SH</v>
      </c>
      <c r="X3863" s="276" t="str">
        <f>[1]!S_Info_Name(W3863)</f>
        <v>丰林集团</v>
      </c>
      <c r="Y3863" s="276" t="str">
        <f ca="1">IF($Y$3="申万一级行业",[1]!s_info_industry_sw_2021(W3863,公司分析!D$5,1),IF($Y$3="申万二级行业",[1]!s_info_industry_sw_2021(W3863,公司分析!D$5,2),IF($Y$3="申万三级行业",[1]!s_info_industry_sw_2021(W3863,公司分析!D$5,3),IF($Y$3="wind一级行业",[1]!s_info_industry_gics(W3863,1),IF($Y$3="wind二级行业",[1]!s_info_industry_gics(W3863,2),IF($Y$3="wind三级行业",[1]!s_info_industry_gics(W3863,3),IF($Y$3="wind四级行业",[1]!s_info_industry_gics(W3863,4),IF($Y$3="证监会门类行业",[1]!s_info_industry_csrc12_n(W3863,公司分析!D$5,1),""))))))))</f>
        <v>家居用品</v>
      </c>
      <c r="Z3863" s="302" t="str">
        <f ca="1">IF(Y3863=行业比较!$E$6,ROW(),"")</f>
        <v/>
      </c>
    </row>
    <row r="3864" spans="22:26">
      <c r="V3864" s="260">
        <f t="shared" ca="1" si="68"/>
        <v>0</v>
      </c>
      <c r="W3864" s="348" t="str">
        <f>IF(板块成分!B3866="","",板块成分!B3866)</f>
        <v>601997.SH</v>
      </c>
      <c r="X3864" s="276" t="str">
        <f>[1]!S_Info_Name(W3864)</f>
        <v>贵阳银行</v>
      </c>
      <c r="Y3864" s="276" t="str">
        <f ca="1">IF($Y$3="申万一级行业",[1]!s_info_industry_sw_2021(W3864,公司分析!D$5,1),IF($Y$3="申万二级行业",[1]!s_info_industry_sw_2021(W3864,公司分析!D$5,2),IF($Y$3="申万三级行业",[1]!s_info_industry_sw_2021(W3864,公司分析!D$5,3),IF($Y$3="wind一级行业",[1]!s_info_industry_gics(W3864,1),IF($Y$3="wind二级行业",[1]!s_info_industry_gics(W3864,2),IF($Y$3="wind三级行业",[1]!s_info_industry_gics(W3864,3),IF($Y$3="wind四级行业",[1]!s_info_industry_gics(W3864,4),IF($Y$3="证监会门类行业",[1]!s_info_industry_csrc12_n(W3864,公司分析!D$5,1),""))))))))</f>
        <v>城商行Ⅱ</v>
      </c>
      <c r="Z3864" s="302" t="str">
        <f ca="1">IF(Y3864=行业比较!$E$6,ROW(),"")</f>
        <v/>
      </c>
    </row>
    <row r="3865" spans="22:26">
      <c r="V3865" s="260">
        <f t="shared" ca="1" si="68"/>
        <v>0</v>
      </c>
      <c r="W3865" s="348" t="str">
        <f>IF(板块成分!B3867="","",板块成分!B3867)</f>
        <v>601998.SH</v>
      </c>
      <c r="X3865" s="276" t="str">
        <f>[1]!S_Info_Name(W3865)</f>
        <v>中信银行</v>
      </c>
      <c r="Y3865" s="276" t="str">
        <f ca="1">IF($Y$3="申万一级行业",[1]!s_info_industry_sw_2021(W3865,公司分析!D$5,1),IF($Y$3="申万二级行业",[1]!s_info_industry_sw_2021(W3865,公司分析!D$5,2),IF($Y$3="申万三级行业",[1]!s_info_industry_sw_2021(W3865,公司分析!D$5,3),IF($Y$3="wind一级行业",[1]!s_info_industry_gics(W3865,1),IF($Y$3="wind二级行业",[1]!s_info_industry_gics(W3865,2),IF($Y$3="wind三级行业",[1]!s_info_industry_gics(W3865,3),IF($Y$3="wind四级行业",[1]!s_info_industry_gics(W3865,4),IF($Y$3="证监会门类行业",[1]!s_info_industry_csrc12_n(W3865,公司分析!D$5,1),""))))))))</f>
        <v>股份制银行Ⅱ</v>
      </c>
      <c r="Z3865" s="302" t="str">
        <f ca="1">IF(Y3865=行业比较!$E$6,ROW(),"")</f>
        <v/>
      </c>
    </row>
    <row r="3866" spans="22:26">
      <c r="V3866" s="260">
        <f t="shared" ca="1" si="68"/>
        <v>0</v>
      </c>
      <c r="W3866" s="348" t="str">
        <f>IF(板块成分!B3868="","",板块成分!B3868)</f>
        <v>601999.SH</v>
      </c>
      <c r="X3866" s="276" t="str">
        <f>[1]!S_Info_Name(W3866)</f>
        <v>出版传媒</v>
      </c>
      <c r="Y3866" s="276" t="str">
        <f ca="1">IF($Y$3="申万一级行业",[1]!s_info_industry_sw_2021(W3866,公司分析!D$5,1),IF($Y$3="申万二级行业",[1]!s_info_industry_sw_2021(W3866,公司分析!D$5,2),IF($Y$3="申万三级行业",[1]!s_info_industry_sw_2021(W3866,公司分析!D$5,3),IF($Y$3="wind一级行业",[1]!s_info_industry_gics(W3866,1),IF($Y$3="wind二级行业",[1]!s_info_industry_gics(W3866,2),IF($Y$3="wind三级行业",[1]!s_info_industry_gics(W3866,3),IF($Y$3="wind四级行业",[1]!s_info_industry_gics(W3866,4),IF($Y$3="证监会门类行业",[1]!s_info_industry_csrc12_n(W3866,公司分析!D$5,1),""))))))))</f>
        <v>出版</v>
      </c>
      <c r="Z3866" s="302" t="str">
        <f ca="1">IF(Y3866=行业比较!$E$6,ROW(),"")</f>
        <v/>
      </c>
    </row>
    <row r="3867" spans="22:26">
      <c r="V3867" s="260">
        <f t="shared" ca="1" si="68"/>
        <v>0</v>
      </c>
      <c r="W3867" s="348" t="str">
        <f>IF(板块成分!B3869="","",板块成分!B3869)</f>
        <v>603000.SH</v>
      </c>
      <c r="X3867" s="276" t="str">
        <f>[1]!S_Info_Name(W3867)</f>
        <v>人民网</v>
      </c>
      <c r="Y3867" s="276" t="str">
        <f ca="1">IF($Y$3="申万一级行业",[1]!s_info_industry_sw_2021(W3867,公司分析!D$5,1),IF($Y$3="申万二级行业",[1]!s_info_industry_sw_2021(W3867,公司分析!D$5,2),IF($Y$3="申万三级行业",[1]!s_info_industry_sw_2021(W3867,公司分析!D$5,3),IF($Y$3="wind一级行业",[1]!s_info_industry_gics(W3867,1),IF($Y$3="wind二级行业",[1]!s_info_industry_gics(W3867,2),IF($Y$3="wind三级行业",[1]!s_info_industry_gics(W3867,3),IF($Y$3="wind四级行业",[1]!s_info_industry_gics(W3867,4),IF($Y$3="证监会门类行业",[1]!s_info_industry_csrc12_n(W3867,公司分析!D$5,1),""))))))))</f>
        <v>数字媒体</v>
      </c>
      <c r="Z3867" s="302" t="str">
        <f ca="1">IF(Y3867=行业比较!$E$6,ROW(),"")</f>
        <v/>
      </c>
    </row>
    <row r="3868" spans="22:26">
      <c r="V3868" s="260">
        <f t="shared" ca="1" si="68"/>
        <v>0</v>
      </c>
      <c r="W3868" s="348" t="str">
        <f>IF(板块成分!B3870="","",板块成分!B3870)</f>
        <v>603001.SH</v>
      </c>
      <c r="X3868" s="276" t="str">
        <f>[1]!S_Info_Name(W3868)</f>
        <v>奥康国际</v>
      </c>
      <c r="Y3868" s="276" t="str">
        <f ca="1">IF($Y$3="申万一级行业",[1]!s_info_industry_sw_2021(W3868,公司分析!D$5,1),IF($Y$3="申万二级行业",[1]!s_info_industry_sw_2021(W3868,公司分析!D$5,2),IF($Y$3="申万三级行业",[1]!s_info_industry_sw_2021(W3868,公司分析!D$5,3),IF($Y$3="wind一级行业",[1]!s_info_industry_gics(W3868,1),IF($Y$3="wind二级行业",[1]!s_info_industry_gics(W3868,2),IF($Y$3="wind三级行业",[1]!s_info_industry_gics(W3868,3),IF($Y$3="wind四级行业",[1]!s_info_industry_gics(W3868,4),IF($Y$3="证监会门类行业",[1]!s_info_industry_csrc12_n(W3868,公司分析!D$5,1),""))))))))</f>
        <v>服装家纺</v>
      </c>
      <c r="Z3868" s="302" t="str">
        <f ca="1">IF(Y3868=行业比较!$E$6,ROW(),"")</f>
        <v/>
      </c>
    </row>
    <row r="3869" spans="22:26">
      <c r="V3869" s="260">
        <f t="shared" ca="1" si="68"/>
        <v>0</v>
      </c>
      <c r="W3869" s="348" t="str">
        <f>IF(板块成分!B3871="","",板块成分!B3871)</f>
        <v>603002.SH</v>
      </c>
      <c r="X3869" s="276" t="str">
        <f>[1]!S_Info_Name(W3869)</f>
        <v>宏昌电子</v>
      </c>
      <c r="Y3869" s="276" t="str">
        <f ca="1">IF($Y$3="申万一级行业",[1]!s_info_industry_sw_2021(W3869,公司分析!D$5,1),IF($Y$3="申万二级行业",[1]!s_info_industry_sw_2021(W3869,公司分析!D$5,2),IF($Y$3="申万三级行业",[1]!s_info_industry_sw_2021(W3869,公司分析!D$5,3),IF($Y$3="wind一级行业",[1]!s_info_industry_gics(W3869,1),IF($Y$3="wind二级行业",[1]!s_info_industry_gics(W3869,2),IF($Y$3="wind三级行业",[1]!s_info_industry_gics(W3869,3),IF($Y$3="wind四级行业",[1]!s_info_industry_gics(W3869,4),IF($Y$3="证监会门类行业",[1]!s_info_industry_csrc12_n(W3869,公司分析!D$5,1),""))))))))</f>
        <v>电子化学品Ⅱ</v>
      </c>
      <c r="Z3869" s="302" t="str">
        <f ca="1">IF(Y3869=行业比较!$E$6,ROW(),"")</f>
        <v/>
      </c>
    </row>
    <row r="3870" spans="22:26">
      <c r="V3870" s="260">
        <f t="shared" ca="1" si="68"/>
        <v>0</v>
      </c>
      <c r="W3870" s="348" t="str">
        <f>IF(板块成分!B3872="","",板块成分!B3872)</f>
        <v>603004.SH</v>
      </c>
      <c r="X3870" s="276" t="str">
        <f>[1]!S_Info_Name(W3870)</f>
        <v>鼎龙科技</v>
      </c>
      <c r="Y3870" s="276" t="str">
        <f ca="1">IF($Y$3="申万一级行业",[1]!s_info_industry_sw_2021(W3870,公司分析!D$5,1),IF($Y$3="申万二级行业",[1]!s_info_industry_sw_2021(W3870,公司分析!D$5,2),IF($Y$3="申万三级行业",[1]!s_info_industry_sw_2021(W3870,公司分析!D$5,3),IF($Y$3="wind一级行业",[1]!s_info_industry_gics(W3870,1),IF($Y$3="wind二级行业",[1]!s_info_industry_gics(W3870,2),IF($Y$3="wind三级行业",[1]!s_info_industry_gics(W3870,3),IF($Y$3="wind四级行业",[1]!s_info_industry_gics(W3870,4),IF($Y$3="证监会门类行业",[1]!s_info_industry_csrc12_n(W3870,公司分析!D$5,1),""))))))))</f>
        <v>化学制品</v>
      </c>
      <c r="Z3870" s="302" t="str">
        <f ca="1">IF(Y3870=行业比较!$E$6,ROW(),"")</f>
        <v/>
      </c>
    </row>
    <row r="3871" spans="22:26">
      <c r="V3871" s="260">
        <f t="shared" ca="1" si="68"/>
        <v>0</v>
      </c>
      <c r="W3871" s="348" t="str">
        <f>IF(板块成分!B3873="","",板块成分!B3873)</f>
        <v>603005.SH</v>
      </c>
      <c r="X3871" s="276" t="str">
        <f>[1]!S_Info_Name(W3871)</f>
        <v>晶方科技</v>
      </c>
      <c r="Y3871" s="276" t="str">
        <f ca="1">IF($Y$3="申万一级行业",[1]!s_info_industry_sw_2021(W3871,公司分析!D$5,1),IF($Y$3="申万二级行业",[1]!s_info_industry_sw_2021(W3871,公司分析!D$5,2),IF($Y$3="申万三级行业",[1]!s_info_industry_sw_2021(W3871,公司分析!D$5,3),IF($Y$3="wind一级行业",[1]!s_info_industry_gics(W3871,1),IF($Y$3="wind二级行业",[1]!s_info_industry_gics(W3871,2),IF($Y$3="wind三级行业",[1]!s_info_industry_gics(W3871,3),IF($Y$3="wind四级行业",[1]!s_info_industry_gics(W3871,4),IF($Y$3="证监会门类行业",[1]!s_info_industry_csrc12_n(W3871,公司分析!D$5,1),""))))))))</f>
        <v>半导体</v>
      </c>
      <c r="Z3871" s="302" t="str">
        <f ca="1">IF(Y3871=行业比较!$E$6,ROW(),"")</f>
        <v/>
      </c>
    </row>
    <row r="3872" spans="22:26">
      <c r="V3872" s="260">
        <f t="shared" ca="1" si="68"/>
        <v>0</v>
      </c>
      <c r="W3872" s="348" t="str">
        <f>IF(板块成分!B3874="","",板块成分!B3874)</f>
        <v>603006.SH</v>
      </c>
      <c r="X3872" s="276" t="str">
        <f>[1]!S_Info_Name(W3872)</f>
        <v>联明股份</v>
      </c>
      <c r="Y3872" s="276" t="str">
        <f ca="1">IF($Y$3="申万一级行业",[1]!s_info_industry_sw_2021(W3872,公司分析!D$5,1),IF($Y$3="申万二级行业",[1]!s_info_industry_sw_2021(W3872,公司分析!D$5,2),IF($Y$3="申万三级行业",[1]!s_info_industry_sw_2021(W3872,公司分析!D$5,3),IF($Y$3="wind一级行业",[1]!s_info_industry_gics(W3872,1),IF($Y$3="wind二级行业",[1]!s_info_industry_gics(W3872,2),IF($Y$3="wind三级行业",[1]!s_info_industry_gics(W3872,3),IF($Y$3="wind四级行业",[1]!s_info_industry_gics(W3872,4),IF($Y$3="证监会门类行业",[1]!s_info_industry_csrc12_n(W3872,公司分析!D$5,1),""))))))))</f>
        <v>汽车零部件</v>
      </c>
      <c r="Z3872" s="302" t="str">
        <f ca="1">IF(Y3872=行业比较!$E$6,ROW(),"")</f>
        <v/>
      </c>
    </row>
    <row r="3873" spans="22:26">
      <c r="V3873" s="260">
        <f t="shared" ca="1" si="68"/>
        <v>0</v>
      </c>
      <c r="W3873" s="348" t="str">
        <f>IF(板块成分!B3875="","",板块成分!B3875)</f>
        <v>603007.SH</v>
      </c>
      <c r="X3873" s="276" t="str">
        <f>[1]!S_Info_Name(W3873)</f>
        <v>*ST花王</v>
      </c>
      <c r="Y3873" s="276" t="str">
        <f ca="1">IF($Y$3="申万一级行业",[1]!s_info_industry_sw_2021(W3873,公司分析!D$5,1),IF($Y$3="申万二级行业",[1]!s_info_industry_sw_2021(W3873,公司分析!D$5,2),IF($Y$3="申万三级行业",[1]!s_info_industry_sw_2021(W3873,公司分析!D$5,3),IF($Y$3="wind一级行业",[1]!s_info_industry_gics(W3873,1),IF($Y$3="wind二级行业",[1]!s_info_industry_gics(W3873,2),IF($Y$3="wind三级行业",[1]!s_info_industry_gics(W3873,3),IF($Y$3="wind四级行业",[1]!s_info_industry_gics(W3873,4),IF($Y$3="证监会门类行业",[1]!s_info_industry_csrc12_n(W3873,公司分析!D$5,1),""))))))))</f>
        <v>基础建设</v>
      </c>
      <c r="Z3873" s="302" t="str">
        <f ca="1">IF(Y3873=行业比较!$E$6,ROW(),"")</f>
        <v/>
      </c>
    </row>
    <row r="3874" spans="22:26">
      <c r="V3874" s="260">
        <f t="shared" ca="1" si="68"/>
        <v>0</v>
      </c>
      <c r="W3874" s="348" t="str">
        <f>IF(板块成分!B3876="","",板块成分!B3876)</f>
        <v>603008.SH</v>
      </c>
      <c r="X3874" s="276" t="str">
        <f>[1]!S_Info_Name(W3874)</f>
        <v>喜临门</v>
      </c>
      <c r="Y3874" s="276" t="str">
        <f ca="1">IF($Y$3="申万一级行业",[1]!s_info_industry_sw_2021(W3874,公司分析!D$5,1),IF($Y$3="申万二级行业",[1]!s_info_industry_sw_2021(W3874,公司分析!D$5,2),IF($Y$3="申万三级行业",[1]!s_info_industry_sw_2021(W3874,公司分析!D$5,3),IF($Y$3="wind一级行业",[1]!s_info_industry_gics(W3874,1),IF($Y$3="wind二级行业",[1]!s_info_industry_gics(W3874,2),IF($Y$3="wind三级行业",[1]!s_info_industry_gics(W3874,3),IF($Y$3="wind四级行业",[1]!s_info_industry_gics(W3874,4),IF($Y$3="证监会门类行业",[1]!s_info_industry_csrc12_n(W3874,公司分析!D$5,1),""))))))))</f>
        <v>家居用品</v>
      </c>
      <c r="Z3874" s="302" t="str">
        <f ca="1">IF(Y3874=行业比较!$E$6,ROW(),"")</f>
        <v/>
      </c>
    </row>
    <row r="3875" spans="22:26">
      <c r="V3875" s="260">
        <f t="shared" ca="1" si="68"/>
        <v>0</v>
      </c>
      <c r="W3875" s="348" t="str">
        <f>IF(板块成分!B3877="","",板块成分!B3877)</f>
        <v>603009.SH</v>
      </c>
      <c r="X3875" s="276" t="str">
        <f>[1]!S_Info_Name(W3875)</f>
        <v>北特科技</v>
      </c>
      <c r="Y3875" s="276" t="str">
        <f ca="1">IF($Y$3="申万一级行业",[1]!s_info_industry_sw_2021(W3875,公司分析!D$5,1),IF($Y$3="申万二级行业",[1]!s_info_industry_sw_2021(W3875,公司分析!D$5,2),IF($Y$3="申万三级行业",[1]!s_info_industry_sw_2021(W3875,公司分析!D$5,3),IF($Y$3="wind一级行业",[1]!s_info_industry_gics(W3875,1),IF($Y$3="wind二级行业",[1]!s_info_industry_gics(W3875,2),IF($Y$3="wind三级行业",[1]!s_info_industry_gics(W3875,3),IF($Y$3="wind四级行业",[1]!s_info_industry_gics(W3875,4),IF($Y$3="证监会门类行业",[1]!s_info_industry_csrc12_n(W3875,公司分析!D$5,1),""))))))))</f>
        <v>汽车零部件</v>
      </c>
      <c r="Z3875" s="302" t="str">
        <f ca="1">IF(Y3875=行业比较!$E$6,ROW(),"")</f>
        <v/>
      </c>
    </row>
    <row r="3876" spans="22:26">
      <c r="V3876" s="260">
        <f t="shared" ca="1" si="68"/>
        <v>0</v>
      </c>
      <c r="W3876" s="348" t="str">
        <f>IF(板块成分!B3878="","",板块成分!B3878)</f>
        <v>603010.SH</v>
      </c>
      <c r="X3876" s="276" t="str">
        <f>[1]!S_Info_Name(W3876)</f>
        <v>万盛股份</v>
      </c>
      <c r="Y3876" s="276" t="str">
        <f ca="1">IF($Y$3="申万一级行业",[1]!s_info_industry_sw_2021(W3876,公司分析!D$5,1),IF($Y$3="申万二级行业",[1]!s_info_industry_sw_2021(W3876,公司分析!D$5,2),IF($Y$3="申万三级行业",[1]!s_info_industry_sw_2021(W3876,公司分析!D$5,3),IF($Y$3="wind一级行业",[1]!s_info_industry_gics(W3876,1),IF($Y$3="wind二级行业",[1]!s_info_industry_gics(W3876,2),IF($Y$3="wind三级行业",[1]!s_info_industry_gics(W3876,3),IF($Y$3="wind四级行业",[1]!s_info_industry_gics(W3876,4),IF($Y$3="证监会门类行业",[1]!s_info_industry_csrc12_n(W3876,公司分析!D$5,1),""))))))))</f>
        <v>化学制品</v>
      </c>
      <c r="Z3876" s="302" t="str">
        <f ca="1">IF(Y3876=行业比较!$E$6,ROW(),"")</f>
        <v/>
      </c>
    </row>
    <row r="3877" spans="22:26">
      <c r="V3877" s="260">
        <f t="shared" ca="1" si="68"/>
        <v>0</v>
      </c>
      <c r="W3877" s="348" t="str">
        <f>IF(板块成分!B3879="","",板块成分!B3879)</f>
        <v>603011.SH</v>
      </c>
      <c r="X3877" s="276" t="str">
        <f>[1]!S_Info_Name(W3877)</f>
        <v>合锻智能</v>
      </c>
      <c r="Y3877" s="276" t="str">
        <f ca="1">IF($Y$3="申万一级行业",[1]!s_info_industry_sw_2021(W3877,公司分析!D$5,1),IF($Y$3="申万二级行业",[1]!s_info_industry_sw_2021(W3877,公司分析!D$5,2),IF($Y$3="申万三级行业",[1]!s_info_industry_sw_2021(W3877,公司分析!D$5,3),IF($Y$3="wind一级行业",[1]!s_info_industry_gics(W3877,1),IF($Y$3="wind二级行业",[1]!s_info_industry_gics(W3877,2),IF($Y$3="wind三级行业",[1]!s_info_industry_gics(W3877,3),IF($Y$3="wind四级行业",[1]!s_info_industry_gics(W3877,4),IF($Y$3="证监会门类行业",[1]!s_info_industry_csrc12_n(W3877,公司分析!D$5,1),""))))))))</f>
        <v>专用设备</v>
      </c>
      <c r="Z3877" s="302" t="str">
        <f ca="1">IF(Y3877=行业比较!$E$6,ROW(),"")</f>
        <v/>
      </c>
    </row>
    <row r="3878" spans="22:26">
      <c r="V3878" s="260">
        <f t="shared" ca="1" si="68"/>
        <v>0</v>
      </c>
      <c r="W3878" s="348" t="str">
        <f>IF(板块成分!B3880="","",板块成分!B3880)</f>
        <v>603012.SH</v>
      </c>
      <c r="X3878" s="276" t="str">
        <f>[1]!S_Info_Name(W3878)</f>
        <v>创力集团</v>
      </c>
      <c r="Y3878" s="276" t="str">
        <f ca="1">IF($Y$3="申万一级行业",[1]!s_info_industry_sw_2021(W3878,公司分析!D$5,1),IF($Y$3="申万二级行业",[1]!s_info_industry_sw_2021(W3878,公司分析!D$5,2),IF($Y$3="申万三级行业",[1]!s_info_industry_sw_2021(W3878,公司分析!D$5,3),IF($Y$3="wind一级行业",[1]!s_info_industry_gics(W3878,1),IF($Y$3="wind二级行业",[1]!s_info_industry_gics(W3878,2),IF($Y$3="wind三级行业",[1]!s_info_industry_gics(W3878,3),IF($Y$3="wind四级行业",[1]!s_info_industry_gics(W3878,4),IF($Y$3="证监会门类行业",[1]!s_info_industry_csrc12_n(W3878,公司分析!D$5,1),""))))))))</f>
        <v>专用设备</v>
      </c>
      <c r="Z3878" s="302" t="str">
        <f ca="1">IF(Y3878=行业比较!$E$6,ROW(),"")</f>
        <v/>
      </c>
    </row>
    <row r="3879" spans="22:26">
      <c r="V3879" s="260">
        <f t="shared" ca="1" si="68"/>
        <v>0</v>
      </c>
      <c r="W3879" s="348" t="str">
        <f>IF(板块成分!B3881="","",板块成分!B3881)</f>
        <v>603013.SH</v>
      </c>
      <c r="X3879" s="276" t="str">
        <f>[1]!S_Info_Name(W3879)</f>
        <v>亚普股份</v>
      </c>
      <c r="Y3879" s="276" t="str">
        <f ca="1">IF($Y$3="申万一级行业",[1]!s_info_industry_sw_2021(W3879,公司分析!D$5,1),IF($Y$3="申万二级行业",[1]!s_info_industry_sw_2021(W3879,公司分析!D$5,2),IF($Y$3="申万三级行业",[1]!s_info_industry_sw_2021(W3879,公司分析!D$5,3),IF($Y$3="wind一级行业",[1]!s_info_industry_gics(W3879,1),IF($Y$3="wind二级行业",[1]!s_info_industry_gics(W3879,2),IF($Y$3="wind三级行业",[1]!s_info_industry_gics(W3879,3),IF($Y$3="wind四级行业",[1]!s_info_industry_gics(W3879,4),IF($Y$3="证监会门类行业",[1]!s_info_industry_csrc12_n(W3879,公司分析!D$5,1),""))))))))</f>
        <v>汽车零部件</v>
      </c>
      <c r="Z3879" s="302" t="str">
        <f ca="1">IF(Y3879=行业比较!$E$6,ROW(),"")</f>
        <v/>
      </c>
    </row>
    <row r="3880" spans="22:26">
      <c r="V3880" s="260">
        <f t="shared" ca="1" si="68"/>
        <v>0</v>
      </c>
      <c r="W3880" s="348" t="str">
        <f>IF(板块成分!B3882="","",板块成分!B3882)</f>
        <v>603014.SH</v>
      </c>
      <c r="X3880" s="276" t="str">
        <f>[1]!S_Info_Name(W3880)</f>
        <v>威高血净</v>
      </c>
      <c r="Y3880" s="276" t="str">
        <f ca="1">IF($Y$3="申万一级行业",[1]!s_info_industry_sw_2021(W3880,公司分析!D$5,1),IF($Y$3="申万二级行业",[1]!s_info_industry_sw_2021(W3880,公司分析!D$5,2),IF($Y$3="申万三级行业",[1]!s_info_industry_sw_2021(W3880,公司分析!D$5,3),IF($Y$3="wind一级行业",[1]!s_info_industry_gics(W3880,1),IF($Y$3="wind二级行业",[1]!s_info_industry_gics(W3880,2),IF($Y$3="wind三级行业",[1]!s_info_industry_gics(W3880,3),IF($Y$3="wind四级行业",[1]!s_info_industry_gics(W3880,4),IF($Y$3="证监会门类行业",[1]!s_info_industry_csrc12_n(W3880,公司分析!D$5,1),""))))))))</f>
        <v>医疗器械</v>
      </c>
      <c r="Z3880" s="302" t="str">
        <f ca="1">IF(Y3880=行业比较!$E$6,ROW(),"")</f>
        <v/>
      </c>
    </row>
    <row r="3881" spans="22:26">
      <c r="V3881" s="260">
        <f t="shared" ca="1" si="68"/>
        <v>0</v>
      </c>
      <c r="W3881" s="348" t="str">
        <f>IF(板块成分!B3883="","",板块成分!B3883)</f>
        <v>603015.SH</v>
      </c>
      <c r="X3881" s="276" t="str">
        <f>[1]!S_Info_Name(W3881)</f>
        <v>弘讯科技</v>
      </c>
      <c r="Y3881" s="276" t="str">
        <f ca="1">IF($Y$3="申万一级行业",[1]!s_info_industry_sw_2021(W3881,公司分析!D$5,1),IF($Y$3="申万二级行业",[1]!s_info_industry_sw_2021(W3881,公司分析!D$5,2),IF($Y$3="申万三级行业",[1]!s_info_industry_sw_2021(W3881,公司分析!D$5,3),IF($Y$3="wind一级行业",[1]!s_info_industry_gics(W3881,1),IF($Y$3="wind二级行业",[1]!s_info_industry_gics(W3881,2),IF($Y$3="wind三级行业",[1]!s_info_industry_gics(W3881,3),IF($Y$3="wind四级行业",[1]!s_info_industry_gics(W3881,4),IF($Y$3="证监会门类行业",[1]!s_info_industry_csrc12_n(W3881,公司分析!D$5,1),""))))))))</f>
        <v>自动化设备</v>
      </c>
      <c r="Z3881" s="302" t="str">
        <f ca="1">IF(Y3881=行业比较!$E$6,ROW(),"")</f>
        <v/>
      </c>
    </row>
    <row r="3882" spans="22:26">
      <c r="V3882" s="260">
        <f t="shared" ca="1" si="68"/>
        <v>0</v>
      </c>
      <c r="W3882" s="348" t="str">
        <f>IF(板块成分!B3884="","",板块成分!B3884)</f>
        <v>603016.SH</v>
      </c>
      <c r="X3882" s="276" t="str">
        <f>[1]!S_Info_Name(W3882)</f>
        <v>新宏泰</v>
      </c>
      <c r="Y3882" s="276" t="str">
        <f ca="1">IF($Y$3="申万一级行业",[1]!s_info_industry_sw_2021(W3882,公司分析!D$5,1),IF($Y$3="申万二级行业",[1]!s_info_industry_sw_2021(W3882,公司分析!D$5,2),IF($Y$3="申万三级行业",[1]!s_info_industry_sw_2021(W3882,公司分析!D$5,3),IF($Y$3="wind一级行业",[1]!s_info_industry_gics(W3882,1),IF($Y$3="wind二级行业",[1]!s_info_industry_gics(W3882,2),IF($Y$3="wind三级行业",[1]!s_info_industry_gics(W3882,3),IF($Y$3="wind四级行业",[1]!s_info_industry_gics(W3882,4),IF($Y$3="证监会门类行业",[1]!s_info_industry_csrc12_n(W3882,公司分析!D$5,1),""))))))))</f>
        <v>电网设备</v>
      </c>
      <c r="Z3882" s="302" t="str">
        <f ca="1">IF(Y3882=行业比较!$E$6,ROW(),"")</f>
        <v/>
      </c>
    </row>
    <row r="3883" spans="22:26">
      <c r="V3883" s="260">
        <f t="shared" ca="1" si="68"/>
        <v>0</v>
      </c>
      <c r="W3883" s="348" t="str">
        <f>IF(板块成分!B3885="","",板块成分!B3885)</f>
        <v>603017.SH</v>
      </c>
      <c r="X3883" s="276" t="str">
        <f>[1]!S_Info_Name(W3883)</f>
        <v>中衡设计</v>
      </c>
      <c r="Y3883" s="276" t="str">
        <f ca="1">IF($Y$3="申万一级行业",[1]!s_info_industry_sw_2021(W3883,公司分析!D$5,1),IF($Y$3="申万二级行业",[1]!s_info_industry_sw_2021(W3883,公司分析!D$5,2),IF($Y$3="申万三级行业",[1]!s_info_industry_sw_2021(W3883,公司分析!D$5,3),IF($Y$3="wind一级行业",[1]!s_info_industry_gics(W3883,1),IF($Y$3="wind二级行业",[1]!s_info_industry_gics(W3883,2),IF($Y$3="wind三级行业",[1]!s_info_industry_gics(W3883,3),IF($Y$3="wind四级行业",[1]!s_info_industry_gics(W3883,4),IF($Y$3="证监会门类行业",[1]!s_info_industry_csrc12_n(W3883,公司分析!D$5,1),""))))))))</f>
        <v>工程咨询服务Ⅱ</v>
      </c>
      <c r="Z3883" s="302" t="str">
        <f ca="1">IF(Y3883=行业比较!$E$6,ROW(),"")</f>
        <v/>
      </c>
    </row>
    <row r="3884" spans="22:26">
      <c r="V3884" s="260">
        <f t="shared" ca="1" si="68"/>
        <v>0</v>
      </c>
      <c r="W3884" s="348" t="str">
        <f>IF(板块成分!B3886="","",板块成分!B3886)</f>
        <v>603018.SH</v>
      </c>
      <c r="X3884" s="276" t="str">
        <f>[1]!S_Info_Name(W3884)</f>
        <v>华设集团</v>
      </c>
      <c r="Y3884" s="276" t="str">
        <f ca="1">IF($Y$3="申万一级行业",[1]!s_info_industry_sw_2021(W3884,公司分析!D$5,1),IF($Y$3="申万二级行业",[1]!s_info_industry_sw_2021(W3884,公司分析!D$5,2),IF($Y$3="申万三级行业",[1]!s_info_industry_sw_2021(W3884,公司分析!D$5,3),IF($Y$3="wind一级行业",[1]!s_info_industry_gics(W3884,1),IF($Y$3="wind二级行业",[1]!s_info_industry_gics(W3884,2),IF($Y$3="wind三级行业",[1]!s_info_industry_gics(W3884,3),IF($Y$3="wind四级行业",[1]!s_info_industry_gics(W3884,4),IF($Y$3="证监会门类行业",[1]!s_info_industry_csrc12_n(W3884,公司分析!D$5,1),""))))))))</f>
        <v>工程咨询服务Ⅱ</v>
      </c>
      <c r="Z3884" s="302" t="str">
        <f ca="1">IF(Y3884=行业比较!$E$6,ROW(),"")</f>
        <v/>
      </c>
    </row>
    <row r="3885" spans="22:26">
      <c r="V3885" s="260">
        <f t="shared" ca="1" si="68"/>
        <v>0</v>
      </c>
      <c r="W3885" s="348" t="str">
        <f>IF(板块成分!B3887="","",板块成分!B3887)</f>
        <v>603019.SH</v>
      </c>
      <c r="X3885" s="276" t="str">
        <f>[1]!S_Info_Name(W3885)</f>
        <v>中科曙光</v>
      </c>
      <c r="Y3885" s="276" t="str">
        <f ca="1">IF($Y$3="申万一级行业",[1]!s_info_industry_sw_2021(W3885,公司分析!D$5,1),IF($Y$3="申万二级行业",[1]!s_info_industry_sw_2021(W3885,公司分析!D$5,2),IF($Y$3="申万三级行业",[1]!s_info_industry_sw_2021(W3885,公司分析!D$5,3),IF($Y$3="wind一级行业",[1]!s_info_industry_gics(W3885,1),IF($Y$3="wind二级行业",[1]!s_info_industry_gics(W3885,2),IF($Y$3="wind三级行业",[1]!s_info_industry_gics(W3885,3),IF($Y$3="wind四级行业",[1]!s_info_industry_gics(W3885,4),IF($Y$3="证监会门类行业",[1]!s_info_industry_csrc12_n(W3885,公司分析!D$5,1),""))))))))</f>
        <v>计算机设备</v>
      </c>
      <c r="Z3885" s="302" t="str">
        <f ca="1">IF(Y3885=行业比较!$E$6,ROW(),"")</f>
        <v/>
      </c>
    </row>
    <row r="3886" spans="22:26">
      <c r="V3886" s="260">
        <f t="shared" ca="1" si="68"/>
        <v>0</v>
      </c>
      <c r="W3886" s="348" t="str">
        <f>IF(板块成分!B3888="","",板块成分!B3888)</f>
        <v>603020.SH</v>
      </c>
      <c r="X3886" s="276" t="str">
        <f>[1]!S_Info_Name(W3886)</f>
        <v>爱普股份</v>
      </c>
      <c r="Y3886" s="276" t="str">
        <f ca="1">IF($Y$3="申万一级行业",[1]!s_info_industry_sw_2021(W3886,公司分析!D$5,1),IF($Y$3="申万二级行业",[1]!s_info_industry_sw_2021(W3886,公司分析!D$5,2),IF($Y$3="申万三级行业",[1]!s_info_industry_sw_2021(W3886,公司分析!D$5,3),IF($Y$3="wind一级行业",[1]!s_info_industry_gics(W3886,1),IF($Y$3="wind二级行业",[1]!s_info_industry_gics(W3886,2),IF($Y$3="wind三级行业",[1]!s_info_industry_gics(W3886,3),IF($Y$3="wind四级行业",[1]!s_info_industry_gics(W3886,4),IF($Y$3="证监会门类行业",[1]!s_info_industry_csrc12_n(W3886,公司分析!D$5,1),""))))))))</f>
        <v>化学制品</v>
      </c>
      <c r="Z3886" s="302" t="str">
        <f ca="1">IF(Y3886=行业比较!$E$6,ROW(),"")</f>
        <v/>
      </c>
    </row>
    <row r="3887" spans="22:26">
      <c r="V3887" s="260">
        <f t="shared" ca="1" si="68"/>
        <v>0</v>
      </c>
      <c r="W3887" s="348" t="str">
        <f>IF(板块成分!B3889="","",板块成分!B3889)</f>
        <v>603021.SH</v>
      </c>
      <c r="X3887" s="276" t="str">
        <f>[1]!S_Info_Name(W3887)</f>
        <v>ST华鹏</v>
      </c>
      <c r="Y3887" s="276" t="str">
        <f ca="1">IF($Y$3="申万一级行业",[1]!s_info_industry_sw_2021(W3887,公司分析!D$5,1),IF($Y$3="申万二级行业",[1]!s_info_industry_sw_2021(W3887,公司分析!D$5,2),IF($Y$3="申万三级行业",[1]!s_info_industry_sw_2021(W3887,公司分析!D$5,3),IF($Y$3="wind一级行业",[1]!s_info_industry_gics(W3887,1),IF($Y$3="wind二级行业",[1]!s_info_industry_gics(W3887,2),IF($Y$3="wind三级行业",[1]!s_info_industry_gics(W3887,3),IF($Y$3="wind四级行业",[1]!s_info_industry_gics(W3887,4),IF($Y$3="证监会门类行业",[1]!s_info_industry_csrc12_n(W3887,公司分析!D$5,1),""))))))))</f>
        <v>家居用品</v>
      </c>
      <c r="Z3887" s="302" t="str">
        <f ca="1">IF(Y3887=行业比较!$E$6,ROW(),"")</f>
        <v/>
      </c>
    </row>
    <row r="3888" spans="22:26">
      <c r="V3888" s="260">
        <f t="shared" ca="1" si="68"/>
        <v>0</v>
      </c>
      <c r="W3888" s="348" t="str">
        <f>IF(板块成分!B3890="","",板块成分!B3890)</f>
        <v>603022.SH</v>
      </c>
      <c r="X3888" s="276" t="str">
        <f>[1]!S_Info_Name(W3888)</f>
        <v>新通联</v>
      </c>
      <c r="Y3888" s="276" t="str">
        <f ca="1">IF($Y$3="申万一级行业",[1]!s_info_industry_sw_2021(W3888,公司分析!D$5,1),IF($Y$3="申万二级行业",[1]!s_info_industry_sw_2021(W3888,公司分析!D$5,2),IF($Y$3="申万三级行业",[1]!s_info_industry_sw_2021(W3888,公司分析!D$5,3),IF($Y$3="wind一级行业",[1]!s_info_industry_gics(W3888,1),IF($Y$3="wind二级行业",[1]!s_info_industry_gics(W3888,2),IF($Y$3="wind三级行业",[1]!s_info_industry_gics(W3888,3),IF($Y$3="wind四级行业",[1]!s_info_industry_gics(W3888,4),IF($Y$3="证监会门类行业",[1]!s_info_industry_csrc12_n(W3888,公司分析!D$5,1),""))))))))</f>
        <v>包装印刷</v>
      </c>
      <c r="Z3888" s="302" t="str">
        <f ca="1">IF(Y3888=行业比较!$E$6,ROW(),"")</f>
        <v/>
      </c>
    </row>
    <row r="3889" spans="22:26">
      <c r="V3889" s="260">
        <f t="shared" ca="1" si="68"/>
        <v>0</v>
      </c>
      <c r="W3889" s="348" t="str">
        <f>IF(板块成分!B3891="","",板块成分!B3891)</f>
        <v>603023.SH</v>
      </c>
      <c r="X3889" s="276" t="str">
        <f>[1]!S_Info_Name(W3889)</f>
        <v>威帝股份</v>
      </c>
      <c r="Y3889" s="276" t="str">
        <f ca="1">IF($Y$3="申万一级行业",[1]!s_info_industry_sw_2021(W3889,公司分析!D$5,1),IF($Y$3="申万二级行业",[1]!s_info_industry_sw_2021(W3889,公司分析!D$5,2),IF($Y$3="申万三级行业",[1]!s_info_industry_sw_2021(W3889,公司分析!D$5,3),IF($Y$3="wind一级行业",[1]!s_info_industry_gics(W3889,1),IF($Y$3="wind二级行业",[1]!s_info_industry_gics(W3889,2),IF($Y$3="wind三级行业",[1]!s_info_industry_gics(W3889,3),IF($Y$3="wind四级行业",[1]!s_info_industry_gics(W3889,4),IF($Y$3="证监会门类行业",[1]!s_info_industry_csrc12_n(W3889,公司分析!D$5,1),""))))))))</f>
        <v>汽车零部件</v>
      </c>
      <c r="Z3889" s="302" t="str">
        <f ca="1">IF(Y3889=行业比较!$E$6,ROW(),"")</f>
        <v/>
      </c>
    </row>
    <row r="3890" spans="22:26">
      <c r="V3890" s="260">
        <f t="shared" ca="1" si="68"/>
        <v>0</v>
      </c>
      <c r="W3890" s="348" t="str">
        <f>IF(板块成分!B3892="","",板块成分!B3892)</f>
        <v>603025.SH</v>
      </c>
      <c r="X3890" s="276" t="str">
        <f>[1]!S_Info_Name(W3890)</f>
        <v>大豪科技</v>
      </c>
      <c r="Y3890" s="276" t="str">
        <f ca="1">IF($Y$3="申万一级行业",[1]!s_info_industry_sw_2021(W3890,公司分析!D$5,1),IF($Y$3="申万二级行业",[1]!s_info_industry_sw_2021(W3890,公司分析!D$5,2),IF($Y$3="申万三级行业",[1]!s_info_industry_sw_2021(W3890,公司分析!D$5,3),IF($Y$3="wind一级行业",[1]!s_info_industry_gics(W3890,1),IF($Y$3="wind二级行业",[1]!s_info_industry_gics(W3890,2),IF($Y$3="wind三级行业",[1]!s_info_industry_gics(W3890,3),IF($Y$3="wind四级行业",[1]!s_info_industry_gics(W3890,4),IF($Y$3="证监会门类行业",[1]!s_info_industry_csrc12_n(W3890,公司分析!D$5,1),""))))))))</f>
        <v>自动化设备</v>
      </c>
      <c r="Z3890" s="302" t="str">
        <f ca="1">IF(Y3890=行业比较!$E$6,ROW(),"")</f>
        <v/>
      </c>
    </row>
    <row r="3891" spans="22:26">
      <c r="V3891" s="260">
        <f t="shared" ca="1" si="68"/>
        <v>0</v>
      </c>
      <c r="W3891" s="348" t="str">
        <f>IF(板块成分!B3893="","",板块成分!B3893)</f>
        <v>603026.SH</v>
      </c>
      <c r="X3891" s="276" t="str">
        <f>[1]!S_Info_Name(W3891)</f>
        <v>石大胜华</v>
      </c>
      <c r="Y3891" s="276" t="str">
        <f ca="1">IF($Y$3="申万一级行业",[1]!s_info_industry_sw_2021(W3891,公司分析!D$5,1),IF($Y$3="申万二级行业",[1]!s_info_industry_sw_2021(W3891,公司分析!D$5,2),IF($Y$3="申万三级行业",[1]!s_info_industry_sw_2021(W3891,公司分析!D$5,3),IF($Y$3="wind一级行业",[1]!s_info_industry_gics(W3891,1),IF($Y$3="wind二级行业",[1]!s_info_industry_gics(W3891,2),IF($Y$3="wind三级行业",[1]!s_info_industry_gics(W3891,3),IF($Y$3="wind四级行业",[1]!s_info_industry_gics(W3891,4),IF($Y$3="证监会门类行业",[1]!s_info_industry_csrc12_n(W3891,公司分析!D$5,1),""))))))))</f>
        <v>电池</v>
      </c>
      <c r="Z3891" s="302" t="str">
        <f ca="1">IF(Y3891=行业比较!$E$6,ROW(),"")</f>
        <v/>
      </c>
    </row>
    <row r="3892" spans="22:26">
      <c r="V3892" s="260">
        <f t="shared" ca="1" si="68"/>
        <v>0</v>
      </c>
      <c r="W3892" s="348" t="str">
        <f>IF(板块成分!B3894="","",板块成分!B3894)</f>
        <v>603027.SH</v>
      </c>
      <c r="X3892" s="276" t="str">
        <f>[1]!S_Info_Name(W3892)</f>
        <v>千禾味业</v>
      </c>
      <c r="Y3892" s="276" t="str">
        <f ca="1">IF($Y$3="申万一级行业",[1]!s_info_industry_sw_2021(W3892,公司分析!D$5,1),IF($Y$3="申万二级行业",[1]!s_info_industry_sw_2021(W3892,公司分析!D$5,2),IF($Y$3="申万三级行业",[1]!s_info_industry_sw_2021(W3892,公司分析!D$5,3),IF($Y$3="wind一级行业",[1]!s_info_industry_gics(W3892,1),IF($Y$3="wind二级行业",[1]!s_info_industry_gics(W3892,2),IF($Y$3="wind三级行业",[1]!s_info_industry_gics(W3892,3),IF($Y$3="wind四级行业",[1]!s_info_industry_gics(W3892,4),IF($Y$3="证监会门类行业",[1]!s_info_industry_csrc12_n(W3892,公司分析!D$5,1),""))))))))</f>
        <v>调味发酵品Ⅱ</v>
      </c>
      <c r="Z3892" s="302" t="str">
        <f ca="1">IF(Y3892=行业比较!$E$6,ROW(),"")</f>
        <v/>
      </c>
    </row>
    <row r="3893" spans="22:26">
      <c r="V3893" s="260">
        <f t="shared" ca="1" si="68"/>
        <v>0</v>
      </c>
      <c r="W3893" s="348" t="str">
        <f>IF(板块成分!B3895="","",板块成分!B3895)</f>
        <v>603028.SH</v>
      </c>
      <c r="X3893" s="276" t="str">
        <f>[1]!S_Info_Name(W3893)</f>
        <v>赛福天</v>
      </c>
      <c r="Y3893" s="276" t="str">
        <f ca="1">IF($Y$3="申万一级行业",[1]!s_info_industry_sw_2021(W3893,公司分析!D$5,1),IF($Y$3="申万二级行业",[1]!s_info_industry_sw_2021(W3893,公司分析!D$5,2),IF($Y$3="申万三级行业",[1]!s_info_industry_sw_2021(W3893,公司分析!D$5,3),IF($Y$3="wind一级行业",[1]!s_info_industry_gics(W3893,1),IF($Y$3="wind二级行业",[1]!s_info_industry_gics(W3893,2),IF($Y$3="wind三级行业",[1]!s_info_industry_gics(W3893,3),IF($Y$3="wind四级行业",[1]!s_info_industry_gics(W3893,4),IF($Y$3="证监会门类行业",[1]!s_info_industry_csrc12_n(W3893,公司分析!D$5,1),""))))))))</f>
        <v>通用设备</v>
      </c>
      <c r="Z3893" s="302" t="str">
        <f ca="1">IF(Y3893=行业比较!$E$6,ROW(),"")</f>
        <v/>
      </c>
    </row>
    <row r="3894" spans="22:26">
      <c r="V3894" s="260">
        <f t="shared" ca="1" si="68"/>
        <v>0</v>
      </c>
      <c r="W3894" s="348" t="str">
        <f>IF(板块成分!B3896="","",板块成分!B3896)</f>
        <v>603029.SH</v>
      </c>
      <c r="X3894" s="276" t="str">
        <f>[1]!S_Info_Name(W3894)</f>
        <v>天鹅股份</v>
      </c>
      <c r="Y3894" s="276" t="str">
        <f ca="1">IF($Y$3="申万一级行业",[1]!s_info_industry_sw_2021(W3894,公司分析!D$5,1),IF($Y$3="申万二级行业",[1]!s_info_industry_sw_2021(W3894,公司分析!D$5,2),IF($Y$3="申万三级行业",[1]!s_info_industry_sw_2021(W3894,公司分析!D$5,3),IF($Y$3="wind一级行业",[1]!s_info_industry_gics(W3894,1),IF($Y$3="wind二级行业",[1]!s_info_industry_gics(W3894,2),IF($Y$3="wind三级行业",[1]!s_info_industry_gics(W3894,3),IF($Y$3="wind四级行业",[1]!s_info_industry_gics(W3894,4),IF($Y$3="证监会门类行业",[1]!s_info_industry_csrc12_n(W3894,公司分析!D$5,1),""))))))))</f>
        <v>专用设备</v>
      </c>
      <c r="Z3894" s="302" t="str">
        <f ca="1">IF(Y3894=行业比较!$E$6,ROW(),"")</f>
        <v/>
      </c>
    </row>
    <row r="3895" spans="22:26">
      <c r="V3895" s="260">
        <f t="shared" ca="1" si="68"/>
        <v>0</v>
      </c>
      <c r="W3895" s="348" t="str">
        <f>IF(板块成分!B3897="","",板块成分!B3897)</f>
        <v>603030.SH</v>
      </c>
      <c r="X3895" s="276" t="str">
        <f>[1]!S_Info_Name(W3895)</f>
        <v>全筑股份</v>
      </c>
      <c r="Y3895" s="276" t="str">
        <f ca="1">IF($Y$3="申万一级行业",[1]!s_info_industry_sw_2021(W3895,公司分析!D$5,1),IF($Y$3="申万二级行业",[1]!s_info_industry_sw_2021(W3895,公司分析!D$5,2),IF($Y$3="申万三级行业",[1]!s_info_industry_sw_2021(W3895,公司分析!D$5,3),IF($Y$3="wind一级行业",[1]!s_info_industry_gics(W3895,1),IF($Y$3="wind二级行业",[1]!s_info_industry_gics(W3895,2),IF($Y$3="wind三级行业",[1]!s_info_industry_gics(W3895,3),IF($Y$3="wind四级行业",[1]!s_info_industry_gics(W3895,4),IF($Y$3="证监会门类行业",[1]!s_info_industry_csrc12_n(W3895,公司分析!D$5,1),""))))))))</f>
        <v>装修装饰Ⅱ</v>
      </c>
      <c r="Z3895" s="302" t="str">
        <f ca="1">IF(Y3895=行业比较!$E$6,ROW(),"")</f>
        <v/>
      </c>
    </row>
    <row r="3896" spans="22:26">
      <c r="V3896" s="260">
        <f t="shared" ca="1" si="68"/>
        <v>0</v>
      </c>
      <c r="W3896" s="348" t="str">
        <f>IF(板块成分!B3898="","",板块成分!B3898)</f>
        <v>603031.SH</v>
      </c>
      <c r="X3896" s="276" t="str">
        <f>[1]!S_Info_Name(W3896)</f>
        <v>安孚科技</v>
      </c>
      <c r="Y3896" s="276" t="str">
        <f ca="1">IF($Y$3="申万一级行业",[1]!s_info_industry_sw_2021(W3896,公司分析!D$5,1),IF($Y$3="申万二级行业",[1]!s_info_industry_sw_2021(W3896,公司分析!D$5,2),IF($Y$3="申万三级行业",[1]!s_info_industry_sw_2021(W3896,公司分析!D$5,3),IF($Y$3="wind一级行业",[1]!s_info_industry_gics(W3896,1),IF($Y$3="wind二级行业",[1]!s_info_industry_gics(W3896,2),IF($Y$3="wind三级行业",[1]!s_info_industry_gics(W3896,3),IF($Y$3="wind四级行业",[1]!s_info_industry_gics(W3896,4),IF($Y$3="证监会门类行业",[1]!s_info_industry_csrc12_n(W3896,公司分析!D$5,1),""))))))))</f>
        <v>电池</v>
      </c>
      <c r="Z3896" s="302" t="str">
        <f ca="1">IF(Y3896=行业比较!$E$6,ROW(),"")</f>
        <v/>
      </c>
    </row>
    <row r="3897" spans="22:26">
      <c r="V3897" s="260">
        <f t="shared" ca="1" si="68"/>
        <v>0</v>
      </c>
      <c r="W3897" s="348" t="str">
        <f>IF(板块成分!B3899="","",板块成分!B3899)</f>
        <v>603032.SH</v>
      </c>
      <c r="X3897" s="276" t="str">
        <f>[1]!S_Info_Name(W3897)</f>
        <v>德新科技</v>
      </c>
      <c r="Y3897" s="276" t="str">
        <f ca="1">IF($Y$3="申万一级行业",[1]!s_info_industry_sw_2021(W3897,公司分析!D$5,1),IF($Y$3="申万二级行业",[1]!s_info_industry_sw_2021(W3897,公司分析!D$5,2),IF($Y$3="申万三级行业",[1]!s_info_industry_sw_2021(W3897,公司分析!D$5,3),IF($Y$3="wind一级行业",[1]!s_info_industry_gics(W3897,1),IF($Y$3="wind二级行业",[1]!s_info_industry_gics(W3897,2),IF($Y$3="wind三级行业",[1]!s_info_industry_gics(W3897,3),IF($Y$3="wind四级行业",[1]!s_info_industry_gics(W3897,4),IF($Y$3="证监会门类行业",[1]!s_info_industry_csrc12_n(W3897,公司分析!D$5,1),""))))))))</f>
        <v>电池</v>
      </c>
      <c r="Z3897" s="302" t="str">
        <f ca="1">IF(Y3897=行业比较!$E$6,ROW(),"")</f>
        <v/>
      </c>
    </row>
    <row r="3898" spans="22:26">
      <c r="V3898" s="260">
        <f t="shared" ca="1" si="68"/>
        <v>0</v>
      </c>
      <c r="W3898" s="348" t="str">
        <f>IF(板块成分!B3900="","",板块成分!B3900)</f>
        <v>603033.SH</v>
      </c>
      <c r="X3898" s="276" t="str">
        <f>[1]!S_Info_Name(W3898)</f>
        <v>三维股份</v>
      </c>
      <c r="Y3898" s="276" t="str">
        <f ca="1">IF($Y$3="申万一级行业",[1]!s_info_industry_sw_2021(W3898,公司分析!D$5,1),IF($Y$3="申万二级行业",[1]!s_info_industry_sw_2021(W3898,公司分析!D$5,2),IF($Y$3="申万三级行业",[1]!s_info_industry_sw_2021(W3898,公司分析!D$5,3),IF($Y$3="wind一级行业",[1]!s_info_industry_gics(W3898,1),IF($Y$3="wind二级行业",[1]!s_info_industry_gics(W3898,2),IF($Y$3="wind三级行业",[1]!s_info_industry_gics(W3898,3),IF($Y$3="wind四级行业",[1]!s_info_industry_gics(W3898,4),IF($Y$3="证监会门类行业",[1]!s_info_industry_csrc12_n(W3898,公司分析!D$5,1),""))))))))</f>
        <v>橡胶</v>
      </c>
      <c r="Z3898" s="302" t="str">
        <f ca="1">IF(Y3898=行业比较!$E$6,ROW(),"")</f>
        <v/>
      </c>
    </row>
    <row r="3899" spans="22:26">
      <c r="V3899" s="260">
        <f t="shared" ca="1" si="68"/>
        <v>0</v>
      </c>
      <c r="W3899" s="348" t="str">
        <f>IF(板块成分!B3901="","",板块成分!B3901)</f>
        <v>603035.SH</v>
      </c>
      <c r="X3899" s="276" t="str">
        <f>[1]!S_Info_Name(W3899)</f>
        <v>常熟汽饰</v>
      </c>
      <c r="Y3899" s="276" t="str">
        <f ca="1">IF($Y$3="申万一级行业",[1]!s_info_industry_sw_2021(W3899,公司分析!D$5,1),IF($Y$3="申万二级行业",[1]!s_info_industry_sw_2021(W3899,公司分析!D$5,2),IF($Y$3="申万三级行业",[1]!s_info_industry_sw_2021(W3899,公司分析!D$5,3),IF($Y$3="wind一级行业",[1]!s_info_industry_gics(W3899,1),IF($Y$3="wind二级行业",[1]!s_info_industry_gics(W3899,2),IF($Y$3="wind三级行业",[1]!s_info_industry_gics(W3899,3),IF($Y$3="wind四级行业",[1]!s_info_industry_gics(W3899,4),IF($Y$3="证监会门类行业",[1]!s_info_industry_csrc12_n(W3899,公司分析!D$5,1),""))))))))</f>
        <v>汽车零部件</v>
      </c>
      <c r="Z3899" s="302" t="str">
        <f ca="1">IF(Y3899=行业比较!$E$6,ROW(),"")</f>
        <v/>
      </c>
    </row>
    <row r="3900" spans="22:26">
      <c r="V3900" s="260">
        <f t="shared" ca="1" si="68"/>
        <v>0</v>
      </c>
      <c r="W3900" s="348" t="str">
        <f>IF(板块成分!B3902="","",板块成分!B3902)</f>
        <v>603036.SH</v>
      </c>
      <c r="X3900" s="276" t="str">
        <f>[1]!S_Info_Name(W3900)</f>
        <v>如通股份</v>
      </c>
      <c r="Y3900" s="276" t="str">
        <f ca="1">IF($Y$3="申万一级行业",[1]!s_info_industry_sw_2021(W3900,公司分析!D$5,1),IF($Y$3="申万二级行业",[1]!s_info_industry_sw_2021(W3900,公司分析!D$5,2),IF($Y$3="申万三级行业",[1]!s_info_industry_sw_2021(W3900,公司分析!D$5,3),IF($Y$3="wind一级行业",[1]!s_info_industry_gics(W3900,1),IF($Y$3="wind二级行业",[1]!s_info_industry_gics(W3900,2),IF($Y$3="wind三级行业",[1]!s_info_industry_gics(W3900,3),IF($Y$3="wind四级行业",[1]!s_info_industry_gics(W3900,4),IF($Y$3="证监会门类行业",[1]!s_info_industry_csrc12_n(W3900,公司分析!D$5,1),""))))))))</f>
        <v>专用设备</v>
      </c>
      <c r="Z3900" s="302" t="str">
        <f ca="1">IF(Y3900=行业比较!$E$6,ROW(),"")</f>
        <v/>
      </c>
    </row>
    <row r="3901" spans="22:26">
      <c r="V3901" s="260">
        <f t="shared" ca="1" si="68"/>
        <v>0</v>
      </c>
      <c r="W3901" s="348" t="str">
        <f>IF(板块成分!B3903="","",板块成分!B3903)</f>
        <v>603037.SH</v>
      </c>
      <c r="X3901" s="276" t="str">
        <f>[1]!S_Info_Name(W3901)</f>
        <v>凯众股份</v>
      </c>
      <c r="Y3901" s="276" t="str">
        <f ca="1">IF($Y$3="申万一级行业",[1]!s_info_industry_sw_2021(W3901,公司分析!D$5,1),IF($Y$3="申万二级行业",[1]!s_info_industry_sw_2021(W3901,公司分析!D$5,2),IF($Y$3="申万三级行业",[1]!s_info_industry_sw_2021(W3901,公司分析!D$5,3),IF($Y$3="wind一级行业",[1]!s_info_industry_gics(W3901,1),IF($Y$3="wind二级行业",[1]!s_info_industry_gics(W3901,2),IF($Y$3="wind三级行业",[1]!s_info_industry_gics(W3901,3),IF($Y$3="wind四级行业",[1]!s_info_industry_gics(W3901,4),IF($Y$3="证监会门类行业",[1]!s_info_industry_csrc12_n(W3901,公司分析!D$5,1),""))))))))</f>
        <v>汽车零部件</v>
      </c>
      <c r="Z3901" s="302" t="str">
        <f ca="1">IF(Y3901=行业比较!$E$6,ROW(),"")</f>
        <v/>
      </c>
    </row>
    <row r="3902" spans="22:26">
      <c r="V3902" s="260">
        <f t="shared" ca="1" si="68"/>
        <v>0</v>
      </c>
      <c r="W3902" s="348" t="str">
        <f>IF(板块成分!B3904="","",板块成分!B3904)</f>
        <v>603038.SH</v>
      </c>
      <c r="X3902" s="276" t="str">
        <f>[1]!S_Info_Name(W3902)</f>
        <v>华立股份</v>
      </c>
      <c r="Y3902" s="276" t="str">
        <f ca="1">IF($Y$3="申万一级行业",[1]!s_info_industry_sw_2021(W3902,公司分析!D$5,1),IF($Y$3="申万二级行业",[1]!s_info_industry_sw_2021(W3902,公司分析!D$5,2),IF($Y$3="申万三级行业",[1]!s_info_industry_sw_2021(W3902,公司分析!D$5,3),IF($Y$3="wind一级行业",[1]!s_info_industry_gics(W3902,1),IF($Y$3="wind二级行业",[1]!s_info_industry_gics(W3902,2),IF($Y$3="wind三级行业",[1]!s_info_industry_gics(W3902,3),IF($Y$3="wind四级行业",[1]!s_info_industry_gics(W3902,4),IF($Y$3="证监会门类行业",[1]!s_info_industry_csrc12_n(W3902,公司分析!D$5,1),""))))))))</f>
        <v>装修建材</v>
      </c>
      <c r="Z3902" s="302" t="str">
        <f ca="1">IF(Y3902=行业比较!$E$6,ROW(),"")</f>
        <v/>
      </c>
    </row>
    <row r="3903" spans="22:26">
      <c r="V3903" s="260">
        <f t="shared" ca="1" si="68"/>
        <v>0</v>
      </c>
      <c r="W3903" s="348" t="str">
        <f>IF(板块成分!B3905="","",板块成分!B3905)</f>
        <v>603039.SH</v>
      </c>
      <c r="X3903" s="276" t="str">
        <f>[1]!S_Info_Name(W3903)</f>
        <v>泛微网络</v>
      </c>
      <c r="Y3903" s="276" t="str">
        <f ca="1">IF($Y$3="申万一级行业",[1]!s_info_industry_sw_2021(W3903,公司分析!D$5,1),IF($Y$3="申万二级行业",[1]!s_info_industry_sw_2021(W3903,公司分析!D$5,2),IF($Y$3="申万三级行业",[1]!s_info_industry_sw_2021(W3903,公司分析!D$5,3),IF($Y$3="wind一级行业",[1]!s_info_industry_gics(W3903,1),IF($Y$3="wind二级行业",[1]!s_info_industry_gics(W3903,2),IF($Y$3="wind三级行业",[1]!s_info_industry_gics(W3903,3),IF($Y$3="wind四级行业",[1]!s_info_industry_gics(W3903,4),IF($Y$3="证监会门类行业",[1]!s_info_industry_csrc12_n(W3903,公司分析!D$5,1),""))))))))</f>
        <v>软件开发</v>
      </c>
      <c r="Z3903" s="302" t="str">
        <f ca="1">IF(Y3903=行业比较!$E$6,ROW(),"")</f>
        <v/>
      </c>
    </row>
    <row r="3904" spans="22:26">
      <c r="V3904" s="260">
        <f t="shared" ca="1" si="68"/>
        <v>0</v>
      </c>
      <c r="W3904" s="348" t="str">
        <f>IF(板块成分!B3906="","",板块成分!B3906)</f>
        <v>603040.SH</v>
      </c>
      <c r="X3904" s="276" t="str">
        <f>[1]!S_Info_Name(W3904)</f>
        <v>新坐标</v>
      </c>
      <c r="Y3904" s="276" t="str">
        <f ca="1">IF($Y$3="申万一级行业",[1]!s_info_industry_sw_2021(W3904,公司分析!D$5,1),IF($Y$3="申万二级行业",[1]!s_info_industry_sw_2021(W3904,公司分析!D$5,2),IF($Y$3="申万三级行业",[1]!s_info_industry_sw_2021(W3904,公司分析!D$5,3),IF($Y$3="wind一级行业",[1]!s_info_industry_gics(W3904,1),IF($Y$3="wind二级行业",[1]!s_info_industry_gics(W3904,2),IF($Y$3="wind三级行业",[1]!s_info_industry_gics(W3904,3),IF($Y$3="wind四级行业",[1]!s_info_industry_gics(W3904,4),IF($Y$3="证监会门类行业",[1]!s_info_industry_csrc12_n(W3904,公司分析!D$5,1),""))))))))</f>
        <v>汽车零部件</v>
      </c>
      <c r="Z3904" s="302" t="str">
        <f ca="1">IF(Y3904=行业比较!$E$6,ROW(),"")</f>
        <v/>
      </c>
    </row>
    <row r="3905" spans="22:26">
      <c r="V3905" s="260">
        <f t="shared" ca="1" si="68"/>
        <v>0</v>
      </c>
      <c r="W3905" s="348" t="str">
        <f>IF(板块成分!B3907="","",板块成分!B3907)</f>
        <v>603041.SH</v>
      </c>
      <c r="X3905" s="276" t="str">
        <f>[1]!S_Info_Name(W3905)</f>
        <v>美思德</v>
      </c>
      <c r="Y3905" s="276" t="str">
        <f ca="1">IF($Y$3="申万一级行业",[1]!s_info_industry_sw_2021(W3905,公司分析!D$5,1),IF($Y$3="申万二级行业",[1]!s_info_industry_sw_2021(W3905,公司分析!D$5,2),IF($Y$3="申万三级行业",[1]!s_info_industry_sw_2021(W3905,公司分析!D$5,3),IF($Y$3="wind一级行业",[1]!s_info_industry_gics(W3905,1),IF($Y$3="wind二级行业",[1]!s_info_industry_gics(W3905,2),IF($Y$3="wind三级行业",[1]!s_info_industry_gics(W3905,3),IF($Y$3="wind四级行业",[1]!s_info_industry_gics(W3905,4),IF($Y$3="证监会门类行业",[1]!s_info_industry_csrc12_n(W3905,公司分析!D$5,1),""))))))))</f>
        <v>化学制品</v>
      </c>
      <c r="Z3905" s="302" t="str">
        <f ca="1">IF(Y3905=行业比较!$E$6,ROW(),"")</f>
        <v/>
      </c>
    </row>
    <row r="3906" spans="22:26">
      <c r="V3906" s="260">
        <f t="shared" ca="1" si="68"/>
        <v>0</v>
      </c>
      <c r="W3906" s="348" t="str">
        <f>IF(板块成分!B3908="","",板块成分!B3908)</f>
        <v>603042.SH</v>
      </c>
      <c r="X3906" s="276" t="str">
        <f>[1]!S_Info_Name(W3906)</f>
        <v>华脉科技</v>
      </c>
      <c r="Y3906" s="276" t="str">
        <f ca="1">IF($Y$3="申万一级行业",[1]!s_info_industry_sw_2021(W3906,公司分析!D$5,1),IF($Y$3="申万二级行业",[1]!s_info_industry_sw_2021(W3906,公司分析!D$5,2),IF($Y$3="申万三级行业",[1]!s_info_industry_sw_2021(W3906,公司分析!D$5,3),IF($Y$3="wind一级行业",[1]!s_info_industry_gics(W3906,1),IF($Y$3="wind二级行业",[1]!s_info_industry_gics(W3906,2),IF($Y$3="wind三级行业",[1]!s_info_industry_gics(W3906,3),IF($Y$3="wind四级行业",[1]!s_info_industry_gics(W3906,4),IF($Y$3="证监会门类行业",[1]!s_info_industry_csrc12_n(W3906,公司分析!D$5,1),""))))))))</f>
        <v>通信设备</v>
      </c>
      <c r="Z3906" s="302" t="str">
        <f ca="1">IF(Y3906=行业比较!$E$6,ROW(),"")</f>
        <v/>
      </c>
    </row>
    <row r="3907" spans="22:26">
      <c r="V3907" s="260">
        <f t="shared" ca="1" si="68"/>
        <v>0</v>
      </c>
      <c r="W3907" s="348" t="str">
        <f>IF(板块成分!B3909="","",板块成分!B3909)</f>
        <v>603043.SH</v>
      </c>
      <c r="X3907" s="276" t="str">
        <f>[1]!S_Info_Name(W3907)</f>
        <v>广州酒家</v>
      </c>
      <c r="Y3907" s="276" t="str">
        <f ca="1">IF($Y$3="申万一级行业",[1]!s_info_industry_sw_2021(W3907,公司分析!D$5,1),IF($Y$3="申万二级行业",[1]!s_info_industry_sw_2021(W3907,公司分析!D$5,2),IF($Y$3="申万三级行业",[1]!s_info_industry_sw_2021(W3907,公司分析!D$5,3),IF($Y$3="wind一级行业",[1]!s_info_industry_gics(W3907,1),IF($Y$3="wind二级行业",[1]!s_info_industry_gics(W3907,2),IF($Y$3="wind三级行业",[1]!s_info_industry_gics(W3907,3),IF($Y$3="wind四级行业",[1]!s_info_industry_gics(W3907,4),IF($Y$3="证监会门类行业",[1]!s_info_industry_csrc12_n(W3907,公司分析!D$5,1),""))))))))</f>
        <v>休闲食品</v>
      </c>
      <c r="Z3907" s="302" t="str">
        <f ca="1">IF(Y3907=行业比较!$E$6,ROW(),"")</f>
        <v/>
      </c>
    </row>
    <row r="3908" spans="22:26">
      <c r="V3908" s="260">
        <f t="shared" ca="1" si="68"/>
        <v>0</v>
      </c>
      <c r="W3908" s="348" t="str">
        <f>IF(板块成分!B3910="","",板块成分!B3910)</f>
        <v>603045.SH</v>
      </c>
      <c r="X3908" s="276" t="str">
        <f>[1]!S_Info_Name(W3908)</f>
        <v>福达合金</v>
      </c>
      <c r="Y3908" s="276" t="str">
        <f ca="1">IF($Y$3="申万一级行业",[1]!s_info_industry_sw_2021(W3908,公司分析!D$5,1),IF($Y$3="申万二级行业",[1]!s_info_industry_sw_2021(W3908,公司分析!D$5,2),IF($Y$3="申万三级行业",[1]!s_info_industry_sw_2021(W3908,公司分析!D$5,3),IF($Y$3="wind一级行业",[1]!s_info_industry_gics(W3908,1),IF($Y$3="wind二级行业",[1]!s_info_industry_gics(W3908,2),IF($Y$3="wind三级行业",[1]!s_info_industry_gics(W3908,3),IF($Y$3="wind四级行业",[1]!s_info_industry_gics(W3908,4),IF($Y$3="证监会门类行业",[1]!s_info_industry_csrc12_n(W3908,公司分析!D$5,1),""))))))))</f>
        <v>金属新材料</v>
      </c>
      <c r="Z3908" s="302" t="str">
        <f ca="1">IF(Y3908=行业比较!$E$6,ROW(),"")</f>
        <v/>
      </c>
    </row>
    <row r="3909" spans="22:26">
      <c r="V3909" s="260">
        <f t="shared" ref="V3909:V3972" ca="1" si="69">IF(Z3909="",0,RANK(Z3909,Z:Z,1))</f>
        <v>0</v>
      </c>
      <c r="W3909" s="348" t="str">
        <f>IF(板块成分!B3911="","",板块成分!B3911)</f>
        <v>603048.SH</v>
      </c>
      <c r="X3909" s="276" t="str">
        <f>[1]!S_Info_Name(W3909)</f>
        <v>浙江黎明</v>
      </c>
      <c r="Y3909" s="276" t="str">
        <f ca="1">IF($Y$3="申万一级行业",[1]!s_info_industry_sw_2021(W3909,公司分析!D$5,1),IF($Y$3="申万二级行业",[1]!s_info_industry_sw_2021(W3909,公司分析!D$5,2),IF($Y$3="申万三级行业",[1]!s_info_industry_sw_2021(W3909,公司分析!D$5,3),IF($Y$3="wind一级行业",[1]!s_info_industry_gics(W3909,1),IF($Y$3="wind二级行业",[1]!s_info_industry_gics(W3909,2),IF($Y$3="wind三级行业",[1]!s_info_industry_gics(W3909,3),IF($Y$3="wind四级行业",[1]!s_info_industry_gics(W3909,4),IF($Y$3="证监会门类行业",[1]!s_info_industry_csrc12_n(W3909,公司分析!D$5,1),""))))))))</f>
        <v>汽车零部件</v>
      </c>
      <c r="Z3909" s="302" t="str">
        <f ca="1">IF(Y3909=行业比较!$E$6,ROW(),"")</f>
        <v/>
      </c>
    </row>
    <row r="3910" spans="22:26">
      <c r="V3910" s="260">
        <f t="shared" ca="1" si="69"/>
        <v>0</v>
      </c>
      <c r="W3910" s="348" t="str">
        <f>IF(板块成分!B3912="","",板块成分!B3912)</f>
        <v>603049.SH</v>
      </c>
      <c r="X3910" s="276" t="str">
        <f>[1]!S_Info_Name(W3910)</f>
        <v>中策橡胶</v>
      </c>
      <c r="Y3910" s="276" t="str">
        <f ca="1">IF($Y$3="申万一级行业",[1]!s_info_industry_sw_2021(W3910,公司分析!D$5,1),IF($Y$3="申万二级行业",[1]!s_info_industry_sw_2021(W3910,公司分析!D$5,2),IF($Y$3="申万三级行业",[1]!s_info_industry_sw_2021(W3910,公司分析!D$5,3),IF($Y$3="wind一级行业",[1]!s_info_industry_gics(W3910,1),IF($Y$3="wind二级行业",[1]!s_info_industry_gics(W3910,2),IF($Y$3="wind三级行业",[1]!s_info_industry_gics(W3910,3),IF($Y$3="wind四级行业",[1]!s_info_industry_gics(W3910,4),IF($Y$3="证监会门类行业",[1]!s_info_industry_csrc12_n(W3910,公司分析!D$5,1),""))))))))</f>
        <v>汽车零部件</v>
      </c>
      <c r="Z3910" s="302" t="str">
        <f ca="1">IF(Y3910=行业比较!$E$6,ROW(),"")</f>
        <v/>
      </c>
    </row>
    <row r="3911" spans="22:26">
      <c r="V3911" s="260">
        <f t="shared" ca="1" si="69"/>
        <v>0</v>
      </c>
      <c r="W3911" s="348" t="str">
        <f>IF(板块成分!B3913="","",板块成分!B3913)</f>
        <v>603050.SH</v>
      </c>
      <c r="X3911" s="276" t="str">
        <f>[1]!S_Info_Name(W3911)</f>
        <v>科林电气</v>
      </c>
      <c r="Y3911" s="276" t="str">
        <f ca="1">IF($Y$3="申万一级行业",[1]!s_info_industry_sw_2021(W3911,公司分析!D$5,1),IF($Y$3="申万二级行业",[1]!s_info_industry_sw_2021(W3911,公司分析!D$5,2),IF($Y$3="申万三级行业",[1]!s_info_industry_sw_2021(W3911,公司分析!D$5,3),IF($Y$3="wind一级行业",[1]!s_info_industry_gics(W3911,1),IF($Y$3="wind二级行业",[1]!s_info_industry_gics(W3911,2),IF($Y$3="wind三级行业",[1]!s_info_industry_gics(W3911,3),IF($Y$3="wind四级行业",[1]!s_info_industry_gics(W3911,4),IF($Y$3="证监会门类行业",[1]!s_info_industry_csrc12_n(W3911,公司分析!D$5,1),""))))))))</f>
        <v>电网设备</v>
      </c>
      <c r="Z3911" s="302" t="str">
        <f ca="1">IF(Y3911=行业比较!$E$6,ROW(),"")</f>
        <v/>
      </c>
    </row>
    <row r="3912" spans="22:26">
      <c r="V3912" s="260">
        <f t="shared" ca="1" si="69"/>
        <v>0</v>
      </c>
      <c r="W3912" s="348" t="str">
        <f>IF(板块成分!B3914="","",板块成分!B3914)</f>
        <v>603051.SH</v>
      </c>
      <c r="X3912" s="276" t="str">
        <f>[1]!S_Info_Name(W3912)</f>
        <v>鹿山新材</v>
      </c>
      <c r="Y3912" s="276" t="str">
        <f ca="1">IF($Y$3="申万一级行业",[1]!s_info_industry_sw_2021(W3912,公司分析!D$5,1),IF($Y$3="申万二级行业",[1]!s_info_industry_sw_2021(W3912,公司分析!D$5,2),IF($Y$3="申万三级行业",[1]!s_info_industry_sw_2021(W3912,公司分析!D$5,3),IF($Y$3="wind一级行业",[1]!s_info_industry_gics(W3912,1),IF($Y$3="wind二级行业",[1]!s_info_industry_gics(W3912,2),IF($Y$3="wind三级行业",[1]!s_info_industry_gics(W3912,3),IF($Y$3="wind四级行业",[1]!s_info_industry_gics(W3912,4),IF($Y$3="证监会门类行业",[1]!s_info_industry_csrc12_n(W3912,公司分析!D$5,1),""))))))))</f>
        <v>化学制品</v>
      </c>
      <c r="Z3912" s="302" t="str">
        <f ca="1">IF(Y3912=行业比较!$E$6,ROW(),"")</f>
        <v/>
      </c>
    </row>
    <row r="3913" spans="22:26">
      <c r="V3913" s="260">
        <f t="shared" ca="1" si="69"/>
        <v>0</v>
      </c>
      <c r="W3913" s="348" t="str">
        <f>IF(板块成分!B3915="","",板块成分!B3915)</f>
        <v>603052.SH</v>
      </c>
      <c r="X3913" s="276" t="str">
        <f>[1]!S_Info_Name(W3913)</f>
        <v>可川科技</v>
      </c>
      <c r="Y3913" s="276" t="str">
        <f ca="1">IF($Y$3="申万一级行业",[1]!s_info_industry_sw_2021(W3913,公司分析!D$5,1),IF($Y$3="申万二级行业",[1]!s_info_industry_sw_2021(W3913,公司分析!D$5,2),IF($Y$3="申万三级行业",[1]!s_info_industry_sw_2021(W3913,公司分析!D$5,3),IF($Y$3="wind一级行业",[1]!s_info_industry_gics(W3913,1),IF($Y$3="wind二级行业",[1]!s_info_industry_gics(W3913,2),IF($Y$3="wind三级行业",[1]!s_info_industry_gics(W3913,3),IF($Y$3="wind四级行业",[1]!s_info_industry_gics(W3913,4),IF($Y$3="证监会门类行业",[1]!s_info_industry_csrc12_n(W3913,公司分析!D$5,1),""))))))))</f>
        <v>消费电子</v>
      </c>
      <c r="Z3913" s="302" t="str">
        <f ca="1">IF(Y3913=行业比较!$E$6,ROW(),"")</f>
        <v/>
      </c>
    </row>
    <row r="3914" spans="22:26">
      <c r="V3914" s="260">
        <f t="shared" ca="1" si="69"/>
        <v>0</v>
      </c>
      <c r="W3914" s="348" t="str">
        <f>IF(板块成分!B3916="","",板块成分!B3916)</f>
        <v>603053.SH</v>
      </c>
      <c r="X3914" s="276" t="str">
        <f>[1]!S_Info_Name(W3914)</f>
        <v>成都燃气</v>
      </c>
      <c r="Y3914" s="276" t="str">
        <f ca="1">IF($Y$3="申万一级行业",[1]!s_info_industry_sw_2021(W3914,公司分析!D$5,1),IF($Y$3="申万二级行业",[1]!s_info_industry_sw_2021(W3914,公司分析!D$5,2),IF($Y$3="申万三级行业",[1]!s_info_industry_sw_2021(W3914,公司分析!D$5,3),IF($Y$3="wind一级行业",[1]!s_info_industry_gics(W3914,1),IF($Y$3="wind二级行业",[1]!s_info_industry_gics(W3914,2),IF($Y$3="wind三级行业",[1]!s_info_industry_gics(W3914,3),IF($Y$3="wind四级行业",[1]!s_info_industry_gics(W3914,4),IF($Y$3="证监会门类行业",[1]!s_info_industry_csrc12_n(W3914,公司分析!D$5,1),""))))))))</f>
        <v>燃气Ⅱ</v>
      </c>
      <c r="Z3914" s="302" t="str">
        <f ca="1">IF(Y3914=行业比较!$E$6,ROW(),"")</f>
        <v/>
      </c>
    </row>
    <row r="3915" spans="22:26">
      <c r="V3915" s="260">
        <f t="shared" ca="1" si="69"/>
        <v>0</v>
      </c>
      <c r="W3915" s="348" t="str">
        <f>IF(板块成分!B3917="","",板块成分!B3917)</f>
        <v>603055.SH</v>
      </c>
      <c r="X3915" s="276" t="str">
        <f>[1]!S_Info_Name(W3915)</f>
        <v>台华新材</v>
      </c>
      <c r="Y3915" s="276" t="str">
        <f ca="1">IF($Y$3="申万一级行业",[1]!s_info_industry_sw_2021(W3915,公司分析!D$5,1),IF($Y$3="申万二级行业",[1]!s_info_industry_sw_2021(W3915,公司分析!D$5,2),IF($Y$3="申万三级行业",[1]!s_info_industry_sw_2021(W3915,公司分析!D$5,3),IF($Y$3="wind一级行业",[1]!s_info_industry_gics(W3915,1),IF($Y$3="wind二级行业",[1]!s_info_industry_gics(W3915,2),IF($Y$3="wind三级行业",[1]!s_info_industry_gics(W3915,3),IF($Y$3="wind四级行业",[1]!s_info_industry_gics(W3915,4),IF($Y$3="证监会门类行业",[1]!s_info_industry_csrc12_n(W3915,公司分析!D$5,1),""))))))))</f>
        <v>纺织制造</v>
      </c>
      <c r="Z3915" s="302" t="str">
        <f ca="1">IF(Y3915=行业比较!$E$6,ROW(),"")</f>
        <v/>
      </c>
    </row>
    <row r="3916" spans="22:26">
      <c r="V3916" s="260">
        <f t="shared" ca="1" si="69"/>
        <v>0</v>
      </c>
      <c r="W3916" s="348" t="str">
        <f>IF(板块成分!B3918="","",板块成分!B3918)</f>
        <v>603056.SH</v>
      </c>
      <c r="X3916" s="276" t="str">
        <f>[1]!S_Info_Name(W3916)</f>
        <v>德邦股份</v>
      </c>
      <c r="Y3916" s="276" t="str">
        <f ca="1">IF($Y$3="申万一级行业",[1]!s_info_industry_sw_2021(W3916,公司分析!D$5,1),IF($Y$3="申万二级行业",[1]!s_info_industry_sw_2021(W3916,公司分析!D$5,2),IF($Y$3="申万三级行业",[1]!s_info_industry_sw_2021(W3916,公司分析!D$5,3),IF($Y$3="wind一级行业",[1]!s_info_industry_gics(W3916,1),IF($Y$3="wind二级行业",[1]!s_info_industry_gics(W3916,2),IF($Y$3="wind三级行业",[1]!s_info_industry_gics(W3916,3),IF($Y$3="wind四级行业",[1]!s_info_industry_gics(W3916,4),IF($Y$3="证监会门类行业",[1]!s_info_industry_csrc12_n(W3916,公司分析!D$5,1),""))))))))</f>
        <v>物流</v>
      </c>
      <c r="Z3916" s="302" t="str">
        <f ca="1">IF(Y3916=行业比较!$E$6,ROW(),"")</f>
        <v/>
      </c>
    </row>
    <row r="3917" spans="22:26">
      <c r="V3917" s="260">
        <f t="shared" ca="1" si="69"/>
        <v>0</v>
      </c>
      <c r="W3917" s="348" t="str">
        <f>IF(板块成分!B3919="","",板块成分!B3919)</f>
        <v>603057.SH</v>
      </c>
      <c r="X3917" s="276" t="str">
        <f>[1]!S_Info_Name(W3917)</f>
        <v>紫燕食品</v>
      </c>
      <c r="Y3917" s="276" t="str">
        <f ca="1">IF($Y$3="申万一级行业",[1]!s_info_industry_sw_2021(W3917,公司分析!D$5,1),IF($Y$3="申万二级行业",[1]!s_info_industry_sw_2021(W3917,公司分析!D$5,2),IF($Y$3="申万三级行业",[1]!s_info_industry_sw_2021(W3917,公司分析!D$5,3),IF($Y$3="wind一级行业",[1]!s_info_industry_gics(W3917,1),IF($Y$3="wind二级行业",[1]!s_info_industry_gics(W3917,2),IF($Y$3="wind三级行业",[1]!s_info_industry_gics(W3917,3),IF($Y$3="wind四级行业",[1]!s_info_industry_gics(W3917,4),IF($Y$3="证监会门类行业",[1]!s_info_industry_csrc12_n(W3917,公司分析!D$5,1),""))))))))</f>
        <v>休闲食品</v>
      </c>
      <c r="Z3917" s="302" t="str">
        <f ca="1">IF(Y3917=行业比较!$E$6,ROW(),"")</f>
        <v/>
      </c>
    </row>
    <row r="3918" spans="22:26">
      <c r="V3918" s="260">
        <f t="shared" ca="1" si="69"/>
        <v>0</v>
      </c>
      <c r="W3918" s="348" t="str">
        <f>IF(板块成分!B3920="","",板块成分!B3920)</f>
        <v>603058.SH</v>
      </c>
      <c r="X3918" s="276" t="str">
        <f>[1]!S_Info_Name(W3918)</f>
        <v>永吉股份</v>
      </c>
      <c r="Y3918" s="276" t="str">
        <f ca="1">IF($Y$3="申万一级行业",[1]!s_info_industry_sw_2021(W3918,公司分析!D$5,1),IF($Y$3="申万二级行业",[1]!s_info_industry_sw_2021(W3918,公司分析!D$5,2),IF($Y$3="申万三级行业",[1]!s_info_industry_sw_2021(W3918,公司分析!D$5,3),IF($Y$3="wind一级行业",[1]!s_info_industry_gics(W3918,1),IF($Y$3="wind二级行业",[1]!s_info_industry_gics(W3918,2),IF($Y$3="wind三级行业",[1]!s_info_industry_gics(W3918,3),IF($Y$3="wind四级行业",[1]!s_info_industry_gics(W3918,4),IF($Y$3="证监会门类行业",[1]!s_info_industry_csrc12_n(W3918,公司分析!D$5,1),""))))))))</f>
        <v>包装印刷</v>
      </c>
      <c r="Z3918" s="302" t="str">
        <f ca="1">IF(Y3918=行业比较!$E$6,ROW(),"")</f>
        <v/>
      </c>
    </row>
    <row r="3919" spans="22:26">
      <c r="V3919" s="260">
        <f t="shared" ca="1" si="69"/>
        <v>0</v>
      </c>
      <c r="W3919" s="348" t="str">
        <f>IF(板块成分!B3921="","",板块成分!B3921)</f>
        <v>603059.SH</v>
      </c>
      <c r="X3919" s="276" t="str">
        <f>[1]!S_Info_Name(W3919)</f>
        <v>倍加洁</v>
      </c>
      <c r="Y3919" s="276" t="str">
        <f ca="1">IF($Y$3="申万一级行业",[1]!s_info_industry_sw_2021(W3919,公司分析!D$5,1),IF($Y$3="申万二级行业",[1]!s_info_industry_sw_2021(W3919,公司分析!D$5,2),IF($Y$3="申万三级行业",[1]!s_info_industry_sw_2021(W3919,公司分析!D$5,3),IF($Y$3="wind一级行业",[1]!s_info_industry_gics(W3919,1),IF($Y$3="wind二级行业",[1]!s_info_industry_gics(W3919,2),IF($Y$3="wind三级行业",[1]!s_info_industry_gics(W3919,3),IF($Y$3="wind四级行业",[1]!s_info_industry_gics(W3919,4),IF($Y$3="证监会门类行业",[1]!s_info_industry_csrc12_n(W3919,公司分析!D$5,1),""))))))))</f>
        <v>个护用品</v>
      </c>
      <c r="Z3919" s="302" t="str">
        <f ca="1">IF(Y3919=行业比较!$E$6,ROW(),"")</f>
        <v/>
      </c>
    </row>
    <row r="3920" spans="22:26">
      <c r="V3920" s="260">
        <f t="shared" ca="1" si="69"/>
        <v>0</v>
      </c>
      <c r="W3920" s="348" t="str">
        <f>IF(板块成分!B3922="","",板块成分!B3922)</f>
        <v>603060.SH</v>
      </c>
      <c r="X3920" s="276" t="str">
        <f>[1]!S_Info_Name(W3920)</f>
        <v>国检集团</v>
      </c>
      <c r="Y3920" s="276" t="str">
        <f ca="1">IF($Y$3="申万一级行业",[1]!s_info_industry_sw_2021(W3920,公司分析!D$5,1),IF($Y$3="申万二级行业",[1]!s_info_industry_sw_2021(W3920,公司分析!D$5,2),IF($Y$3="申万三级行业",[1]!s_info_industry_sw_2021(W3920,公司分析!D$5,3),IF($Y$3="wind一级行业",[1]!s_info_industry_gics(W3920,1),IF($Y$3="wind二级行业",[1]!s_info_industry_gics(W3920,2),IF($Y$3="wind三级行业",[1]!s_info_industry_gics(W3920,3),IF($Y$3="wind四级行业",[1]!s_info_industry_gics(W3920,4),IF($Y$3="证监会门类行业",[1]!s_info_industry_csrc12_n(W3920,公司分析!D$5,1),""))))))))</f>
        <v>专业服务</v>
      </c>
      <c r="Z3920" s="302" t="str">
        <f ca="1">IF(Y3920=行业比较!$E$6,ROW(),"")</f>
        <v/>
      </c>
    </row>
    <row r="3921" spans="22:26">
      <c r="V3921" s="260">
        <f t="shared" ca="1" si="69"/>
        <v>0</v>
      </c>
      <c r="W3921" s="348" t="str">
        <f>IF(板块成分!B3923="","",板块成分!B3923)</f>
        <v>603061.SH</v>
      </c>
      <c r="X3921" s="276" t="str">
        <f>[1]!S_Info_Name(W3921)</f>
        <v>金海通</v>
      </c>
      <c r="Y3921" s="276" t="str">
        <f ca="1">IF($Y$3="申万一级行业",[1]!s_info_industry_sw_2021(W3921,公司分析!D$5,1),IF($Y$3="申万二级行业",[1]!s_info_industry_sw_2021(W3921,公司分析!D$5,2),IF($Y$3="申万三级行业",[1]!s_info_industry_sw_2021(W3921,公司分析!D$5,3),IF($Y$3="wind一级行业",[1]!s_info_industry_gics(W3921,1),IF($Y$3="wind二级行业",[1]!s_info_industry_gics(W3921,2),IF($Y$3="wind三级行业",[1]!s_info_industry_gics(W3921,3),IF($Y$3="wind四级行业",[1]!s_info_industry_gics(W3921,4),IF($Y$3="证监会门类行业",[1]!s_info_industry_csrc12_n(W3921,公司分析!D$5,1),""))))))))</f>
        <v>半导体</v>
      </c>
      <c r="Z3921" s="302" t="str">
        <f ca="1">IF(Y3921=行业比较!$E$6,ROW(),"")</f>
        <v/>
      </c>
    </row>
    <row r="3922" spans="22:26">
      <c r="V3922" s="260">
        <f t="shared" ca="1" si="69"/>
        <v>0</v>
      </c>
      <c r="W3922" s="348" t="str">
        <f>IF(板块成分!B3924="","",板块成分!B3924)</f>
        <v>603062.SH</v>
      </c>
      <c r="X3922" s="276" t="str">
        <f>[1]!S_Info_Name(W3922)</f>
        <v>麦加芯彩</v>
      </c>
      <c r="Y3922" s="276" t="str">
        <f ca="1">IF($Y$3="申万一级行业",[1]!s_info_industry_sw_2021(W3922,公司分析!D$5,1),IF($Y$3="申万二级行业",[1]!s_info_industry_sw_2021(W3922,公司分析!D$5,2),IF($Y$3="申万三级行业",[1]!s_info_industry_sw_2021(W3922,公司分析!D$5,3),IF($Y$3="wind一级行业",[1]!s_info_industry_gics(W3922,1),IF($Y$3="wind二级行业",[1]!s_info_industry_gics(W3922,2),IF($Y$3="wind三级行业",[1]!s_info_industry_gics(W3922,3),IF($Y$3="wind四级行业",[1]!s_info_industry_gics(W3922,4),IF($Y$3="证监会门类行业",[1]!s_info_industry_csrc12_n(W3922,公司分析!D$5,1),""))))))))</f>
        <v>化学制品</v>
      </c>
      <c r="Z3922" s="302" t="str">
        <f ca="1">IF(Y3922=行业比较!$E$6,ROW(),"")</f>
        <v/>
      </c>
    </row>
    <row r="3923" spans="22:26">
      <c r="V3923" s="260">
        <f t="shared" ca="1" si="69"/>
        <v>0</v>
      </c>
      <c r="W3923" s="348" t="str">
        <f>IF(板块成分!B3925="","",板块成分!B3925)</f>
        <v>603063.SH</v>
      </c>
      <c r="X3923" s="276" t="str">
        <f>[1]!S_Info_Name(W3923)</f>
        <v>禾望电气</v>
      </c>
      <c r="Y3923" s="276" t="str">
        <f ca="1">IF($Y$3="申万一级行业",[1]!s_info_industry_sw_2021(W3923,公司分析!D$5,1),IF($Y$3="申万二级行业",[1]!s_info_industry_sw_2021(W3923,公司分析!D$5,2),IF($Y$3="申万三级行业",[1]!s_info_industry_sw_2021(W3923,公司分析!D$5,3),IF($Y$3="wind一级行业",[1]!s_info_industry_gics(W3923,1),IF($Y$3="wind二级行业",[1]!s_info_industry_gics(W3923,2),IF($Y$3="wind三级行业",[1]!s_info_industry_gics(W3923,3),IF($Y$3="wind四级行业",[1]!s_info_industry_gics(W3923,4),IF($Y$3="证监会门类行业",[1]!s_info_industry_csrc12_n(W3923,公司分析!D$5,1),""))))))))</f>
        <v>风电设备</v>
      </c>
      <c r="Z3923" s="302" t="str">
        <f ca="1">IF(Y3923=行业比较!$E$6,ROW(),"")</f>
        <v/>
      </c>
    </row>
    <row r="3924" spans="22:26">
      <c r="V3924" s="260">
        <f t="shared" ca="1" si="69"/>
        <v>0</v>
      </c>
      <c r="W3924" s="348" t="str">
        <f>IF(板块成分!B3926="","",板块成分!B3926)</f>
        <v>603065.SH</v>
      </c>
      <c r="X3924" s="276" t="str">
        <f>[1]!S_Info_Name(W3924)</f>
        <v>宿迁联盛</v>
      </c>
      <c r="Y3924" s="276" t="str">
        <f ca="1">IF($Y$3="申万一级行业",[1]!s_info_industry_sw_2021(W3924,公司分析!D$5,1),IF($Y$3="申万二级行业",[1]!s_info_industry_sw_2021(W3924,公司分析!D$5,2),IF($Y$3="申万三级行业",[1]!s_info_industry_sw_2021(W3924,公司分析!D$5,3),IF($Y$3="wind一级行业",[1]!s_info_industry_gics(W3924,1),IF($Y$3="wind二级行业",[1]!s_info_industry_gics(W3924,2),IF($Y$3="wind三级行业",[1]!s_info_industry_gics(W3924,3),IF($Y$3="wind四级行业",[1]!s_info_industry_gics(W3924,4),IF($Y$3="证监会门类行业",[1]!s_info_industry_csrc12_n(W3924,公司分析!D$5,1),""))))))))</f>
        <v>化学制品</v>
      </c>
      <c r="Z3924" s="302" t="str">
        <f ca="1">IF(Y3924=行业比较!$E$6,ROW(),"")</f>
        <v/>
      </c>
    </row>
    <row r="3925" spans="22:26">
      <c r="V3925" s="260">
        <f t="shared" ca="1" si="69"/>
        <v>0</v>
      </c>
      <c r="W3925" s="348" t="str">
        <f>IF(板块成分!B3927="","",板块成分!B3927)</f>
        <v>603066.SH</v>
      </c>
      <c r="X3925" s="276" t="str">
        <f>[1]!S_Info_Name(W3925)</f>
        <v>音飞储存</v>
      </c>
      <c r="Y3925" s="276" t="str">
        <f ca="1">IF($Y$3="申万一级行业",[1]!s_info_industry_sw_2021(W3925,公司分析!D$5,1),IF($Y$3="申万二级行业",[1]!s_info_industry_sw_2021(W3925,公司分析!D$5,2),IF($Y$3="申万三级行业",[1]!s_info_industry_sw_2021(W3925,公司分析!D$5,3),IF($Y$3="wind一级行业",[1]!s_info_industry_gics(W3925,1),IF($Y$3="wind二级行业",[1]!s_info_industry_gics(W3925,2),IF($Y$3="wind三级行业",[1]!s_info_industry_gics(W3925,3),IF($Y$3="wind四级行业",[1]!s_info_industry_gics(W3925,4),IF($Y$3="证监会门类行业",[1]!s_info_industry_csrc12_n(W3925,公司分析!D$5,1),""))))))))</f>
        <v>物流</v>
      </c>
      <c r="Z3925" s="302" t="str">
        <f ca="1">IF(Y3925=行业比较!$E$6,ROW(),"")</f>
        <v/>
      </c>
    </row>
    <row r="3926" spans="22:26">
      <c r="V3926" s="260">
        <f t="shared" ca="1" si="69"/>
        <v>0</v>
      </c>
      <c r="W3926" s="348" t="str">
        <f>IF(板块成分!B3928="","",板块成分!B3928)</f>
        <v>603067.SH</v>
      </c>
      <c r="X3926" s="276" t="str">
        <f>[1]!S_Info_Name(W3926)</f>
        <v>振华股份</v>
      </c>
      <c r="Y3926" s="276" t="str">
        <f ca="1">IF($Y$3="申万一级行业",[1]!s_info_industry_sw_2021(W3926,公司分析!D$5,1),IF($Y$3="申万二级行业",[1]!s_info_industry_sw_2021(W3926,公司分析!D$5,2),IF($Y$3="申万三级行业",[1]!s_info_industry_sw_2021(W3926,公司分析!D$5,3),IF($Y$3="wind一级行业",[1]!s_info_industry_gics(W3926,1),IF($Y$3="wind二级行业",[1]!s_info_industry_gics(W3926,2),IF($Y$3="wind三级行业",[1]!s_info_industry_gics(W3926,3),IF($Y$3="wind四级行业",[1]!s_info_industry_gics(W3926,4),IF($Y$3="证监会门类行业",[1]!s_info_industry_csrc12_n(W3926,公司分析!D$5,1),""))))))))</f>
        <v>化学原料</v>
      </c>
      <c r="Z3926" s="302" t="str">
        <f ca="1">IF(Y3926=行业比较!$E$6,ROW(),"")</f>
        <v/>
      </c>
    </row>
    <row r="3927" spans="22:26">
      <c r="V3927" s="260">
        <f t="shared" ca="1" si="69"/>
        <v>0</v>
      </c>
      <c r="W3927" s="348" t="str">
        <f>IF(板块成分!B3929="","",板块成分!B3929)</f>
        <v>603068.SH</v>
      </c>
      <c r="X3927" s="276" t="str">
        <f>[1]!S_Info_Name(W3927)</f>
        <v>博通集成</v>
      </c>
      <c r="Y3927" s="276" t="str">
        <f ca="1">IF($Y$3="申万一级行业",[1]!s_info_industry_sw_2021(W3927,公司分析!D$5,1),IF($Y$3="申万二级行业",[1]!s_info_industry_sw_2021(W3927,公司分析!D$5,2),IF($Y$3="申万三级行业",[1]!s_info_industry_sw_2021(W3927,公司分析!D$5,3),IF($Y$3="wind一级行业",[1]!s_info_industry_gics(W3927,1),IF($Y$3="wind二级行业",[1]!s_info_industry_gics(W3927,2),IF($Y$3="wind三级行业",[1]!s_info_industry_gics(W3927,3),IF($Y$3="wind四级行业",[1]!s_info_industry_gics(W3927,4),IF($Y$3="证监会门类行业",[1]!s_info_industry_csrc12_n(W3927,公司分析!D$5,1),""))))))))</f>
        <v>半导体</v>
      </c>
      <c r="Z3927" s="302" t="str">
        <f ca="1">IF(Y3927=行业比较!$E$6,ROW(),"")</f>
        <v/>
      </c>
    </row>
    <row r="3928" spans="22:26">
      <c r="V3928" s="260">
        <f t="shared" ca="1" si="69"/>
        <v>0</v>
      </c>
      <c r="W3928" s="348" t="str">
        <f>IF(板块成分!B3930="","",板块成分!B3930)</f>
        <v>603069.SH</v>
      </c>
      <c r="X3928" s="276" t="str">
        <f>[1]!S_Info_Name(W3928)</f>
        <v>海汽集团</v>
      </c>
      <c r="Y3928" s="276" t="str">
        <f ca="1">IF($Y$3="申万一级行业",[1]!s_info_industry_sw_2021(W3928,公司分析!D$5,1),IF($Y$3="申万二级行业",[1]!s_info_industry_sw_2021(W3928,公司分析!D$5,2),IF($Y$3="申万三级行业",[1]!s_info_industry_sw_2021(W3928,公司分析!D$5,3),IF($Y$3="wind一级行业",[1]!s_info_industry_gics(W3928,1),IF($Y$3="wind二级行业",[1]!s_info_industry_gics(W3928,2),IF($Y$3="wind三级行业",[1]!s_info_industry_gics(W3928,3),IF($Y$3="wind四级行业",[1]!s_info_industry_gics(W3928,4),IF($Y$3="证监会门类行业",[1]!s_info_industry_csrc12_n(W3928,公司分析!D$5,1),""))))))))</f>
        <v>铁路公路</v>
      </c>
      <c r="Z3928" s="302" t="str">
        <f ca="1">IF(Y3928=行业比较!$E$6,ROW(),"")</f>
        <v/>
      </c>
    </row>
    <row r="3929" spans="22:26">
      <c r="V3929" s="260">
        <f t="shared" ca="1" si="69"/>
        <v>0</v>
      </c>
      <c r="W3929" s="348" t="str">
        <f>IF(板块成分!B3931="","",板块成分!B3931)</f>
        <v>603070.SH</v>
      </c>
      <c r="X3929" s="276" t="str">
        <f>[1]!S_Info_Name(W3929)</f>
        <v>万控智造</v>
      </c>
      <c r="Y3929" s="276" t="str">
        <f ca="1">IF($Y$3="申万一级行业",[1]!s_info_industry_sw_2021(W3929,公司分析!D$5,1),IF($Y$3="申万二级行业",[1]!s_info_industry_sw_2021(W3929,公司分析!D$5,2),IF($Y$3="申万三级行业",[1]!s_info_industry_sw_2021(W3929,公司分析!D$5,3),IF($Y$3="wind一级行业",[1]!s_info_industry_gics(W3929,1),IF($Y$3="wind二级行业",[1]!s_info_industry_gics(W3929,2),IF($Y$3="wind三级行业",[1]!s_info_industry_gics(W3929,3),IF($Y$3="wind四级行业",[1]!s_info_industry_gics(W3929,4),IF($Y$3="证监会门类行业",[1]!s_info_industry_csrc12_n(W3929,公司分析!D$5,1),""))))))))</f>
        <v>电网设备</v>
      </c>
      <c r="Z3929" s="302" t="str">
        <f ca="1">IF(Y3929=行业比较!$E$6,ROW(),"")</f>
        <v/>
      </c>
    </row>
    <row r="3930" spans="22:26">
      <c r="V3930" s="260">
        <f t="shared" ca="1" si="69"/>
        <v>0</v>
      </c>
      <c r="W3930" s="348" t="str">
        <f>IF(板块成分!B3932="","",板块成分!B3932)</f>
        <v>603071.SH</v>
      </c>
      <c r="X3930" s="276" t="str">
        <f>[1]!S_Info_Name(W3930)</f>
        <v>物产环能</v>
      </c>
      <c r="Y3930" s="276" t="str">
        <f ca="1">IF($Y$3="申万一级行业",[1]!s_info_industry_sw_2021(W3930,公司分析!D$5,1),IF($Y$3="申万二级行业",[1]!s_info_industry_sw_2021(W3930,公司分析!D$5,2),IF($Y$3="申万三级行业",[1]!s_info_industry_sw_2021(W3930,公司分析!D$5,3),IF($Y$3="wind一级行业",[1]!s_info_industry_gics(W3930,1),IF($Y$3="wind二级行业",[1]!s_info_industry_gics(W3930,2),IF($Y$3="wind三级行业",[1]!s_info_industry_gics(W3930,3),IF($Y$3="wind四级行业",[1]!s_info_industry_gics(W3930,4),IF($Y$3="证监会门类行业",[1]!s_info_industry_csrc12_n(W3930,公司分析!D$5,1),""))))))))</f>
        <v>煤炭开采</v>
      </c>
      <c r="Z3930" s="302" t="str">
        <f ca="1">IF(Y3930=行业比较!$E$6,ROW(),"")</f>
        <v/>
      </c>
    </row>
    <row r="3931" spans="22:26">
      <c r="V3931" s="260">
        <f t="shared" ca="1" si="69"/>
        <v>0</v>
      </c>
      <c r="W3931" s="348" t="str">
        <f>IF(板块成分!B3933="","",板块成分!B3933)</f>
        <v>603072.SH</v>
      </c>
      <c r="X3931" s="276" t="str">
        <f>[1]!S_Info_Name(W3931)</f>
        <v>天和磁材</v>
      </c>
      <c r="Y3931" s="276" t="str">
        <f ca="1">IF($Y$3="申万一级行业",[1]!s_info_industry_sw_2021(W3931,公司分析!D$5,1),IF($Y$3="申万二级行业",[1]!s_info_industry_sw_2021(W3931,公司分析!D$5,2),IF($Y$3="申万三级行业",[1]!s_info_industry_sw_2021(W3931,公司分析!D$5,3),IF($Y$3="wind一级行业",[1]!s_info_industry_gics(W3931,1),IF($Y$3="wind二级行业",[1]!s_info_industry_gics(W3931,2),IF($Y$3="wind三级行业",[1]!s_info_industry_gics(W3931,3),IF($Y$3="wind四级行业",[1]!s_info_industry_gics(W3931,4),IF($Y$3="证监会门类行业",[1]!s_info_industry_csrc12_n(W3931,公司分析!D$5,1),""))))))))</f>
        <v>金属新材料</v>
      </c>
      <c r="Z3931" s="302" t="str">
        <f ca="1">IF(Y3931=行业比较!$E$6,ROW(),"")</f>
        <v/>
      </c>
    </row>
    <row r="3932" spans="22:26">
      <c r="V3932" s="260">
        <f t="shared" ca="1" si="69"/>
        <v>0</v>
      </c>
      <c r="W3932" s="348" t="str">
        <f>IF(板块成分!B3934="","",板块成分!B3934)</f>
        <v>603073.SH</v>
      </c>
      <c r="X3932" s="276" t="str">
        <f>[1]!S_Info_Name(W3932)</f>
        <v>彩蝶实业</v>
      </c>
      <c r="Y3932" s="276" t="str">
        <f ca="1">IF($Y$3="申万一级行业",[1]!s_info_industry_sw_2021(W3932,公司分析!D$5,1),IF($Y$3="申万二级行业",[1]!s_info_industry_sw_2021(W3932,公司分析!D$5,2),IF($Y$3="申万三级行业",[1]!s_info_industry_sw_2021(W3932,公司分析!D$5,3),IF($Y$3="wind一级行业",[1]!s_info_industry_gics(W3932,1),IF($Y$3="wind二级行业",[1]!s_info_industry_gics(W3932,2),IF($Y$3="wind三级行业",[1]!s_info_industry_gics(W3932,3),IF($Y$3="wind四级行业",[1]!s_info_industry_gics(W3932,4),IF($Y$3="证监会门类行业",[1]!s_info_industry_csrc12_n(W3932,公司分析!D$5,1),""))))))))</f>
        <v>化学纤维</v>
      </c>
      <c r="Z3932" s="302" t="str">
        <f ca="1">IF(Y3932=行业比较!$E$6,ROW(),"")</f>
        <v/>
      </c>
    </row>
    <row r="3933" spans="22:26">
      <c r="V3933" s="260">
        <f t="shared" ca="1" si="69"/>
        <v>0</v>
      </c>
      <c r="W3933" s="348" t="str">
        <f>IF(板块成分!B3935="","",板块成分!B3935)</f>
        <v>603075.SH</v>
      </c>
      <c r="X3933" s="276" t="str">
        <f>[1]!S_Info_Name(W3933)</f>
        <v>热威股份</v>
      </c>
      <c r="Y3933" s="276" t="str">
        <f ca="1">IF($Y$3="申万一级行业",[1]!s_info_industry_sw_2021(W3933,公司分析!D$5,1),IF($Y$3="申万二级行业",[1]!s_info_industry_sw_2021(W3933,公司分析!D$5,2),IF($Y$3="申万三级行业",[1]!s_info_industry_sw_2021(W3933,公司分析!D$5,3),IF($Y$3="wind一级行业",[1]!s_info_industry_gics(W3933,1),IF($Y$3="wind二级行业",[1]!s_info_industry_gics(W3933,2),IF($Y$3="wind三级行业",[1]!s_info_industry_gics(W3933,3),IF($Y$3="wind四级行业",[1]!s_info_industry_gics(W3933,4),IF($Y$3="证监会门类行业",[1]!s_info_industry_csrc12_n(W3933,公司分析!D$5,1),""))))))))</f>
        <v>家电零部件Ⅱ</v>
      </c>
      <c r="Z3933" s="302" t="str">
        <f ca="1">IF(Y3933=行业比较!$E$6,ROW(),"")</f>
        <v/>
      </c>
    </row>
    <row r="3934" spans="22:26">
      <c r="V3934" s="260">
        <f t="shared" ca="1" si="69"/>
        <v>0</v>
      </c>
      <c r="W3934" s="348" t="str">
        <f>IF(板块成分!B3936="","",板块成分!B3936)</f>
        <v>603076.SH</v>
      </c>
      <c r="X3934" s="276" t="str">
        <f>[1]!S_Info_Name(W3934)</f>
        <v>乐惠国际</v>
      </c>
      <c r="Y3934" s="276" t="str">
        <f ca="1">IF($Y$3="申万一级行业",[1]!s_info_industry_sw_2021(W3934,公司分析!D$5,1),IF($Y$3="申万二级行业",[1]!s_info_industry_sw_2021(W3934,公司分析!D$5,2),IF($Y$3="申万三级行业",[1]!s_info_industry_sw_2021(W3934,公司分析!D$5,3),IF($Y$3="wind一级行业",[1]!s_info_industry_gics(W3934,1),IF($Y$3="wind二级行业",[1]!s_info_industry_gics(W3934,2),IF($Y$3="wind三级行业",[1]!s_info_industry_gics(W3934,3),IF($Y$3="wind四级行业",[1]!s_info_industry_gics(W3934,4),IF($Y$3="证监会门类行业",[1]!s_info_industry_csrc12_n(W3934,公司分析!D$5,1),""))))))))</f>
        <v>专用设备</v>
      </c>
      <c r="Z3934" s="302" t="str">
        <f ca="1">IF(Y3934=行业比较!$E$6,ROW(),"")</f>
        <v/>
      </c>
    </row>
    <row r="3935" spans="22:26">
      <c r="V3935" s="260">
        <f t="shared" ca="1" si="69"/>
        <v>0</v>
      </c>
      <c r="W3935" s="348" t="str">
        <f>IF(板块成分!B3937="","",板块成分!B3937)</f>
        <v>603077.SH</v>
      </c>
      <c r="X3935" s="276" t="str">
        <f>[1]!S_Info_Name(W3935)</f>
        <v>和邦生物</v>
      </c>
      <c r="Y3935" s="276" t="str">
        <f ca="1">IF($Y$3="申万一级行业",[1]!s_info_industry_sw_2021(W3935,公司分析!D$5,1),IF($Y$3="申万二级行业",[1]!s_info_industry_sw_2021(W3935,公司分析!D$5,2),IF($Y$3="申万三级行业",[1]!s_info_industry_sw_2021(W3935,公司分析!D$5,3),IF($Y$3="wind一级行业",[1]!s_info_industry_gics(W3935,1),IF($Y$3="wind二级行业",[1]!s_info_industry_gics(W3935,2),IF($Y$3="wind三级行业",[1]!s_info_industry_gics(W3935,3),IF($Y$3="wind四级行业",[1]!s_info_industry_gics(W3935,4),IF($Y$3="证监会门类行业",[1]!s_info_industry_csrc12_n(W3935,公司分析!D$5,1),""))))))))</f>
        <v>农化制品</v>
      </c>
      <c r="Z3935" s="302" t="str">
        <f ca="1">IF(Y3935=行业比较!$E$6,ROW(),"")</f>
        <v/>
      </c>
    </row>
    <row r="3936" spans="22:26">
      <c r="V3936" s="260">
        <f t="shared" ca="1" si="69"/>
        <v>0</v>
      </c>
      <c r="W3936" s="348" t="str">
        <f>IF(板块成分!B3938="","",板块成分!B3938)</f>
        <v>603078.SH</v>
      </c>
      <c r="X3936" s="276" t="str">
        <f>[1]!S_Info_Name(W3936)</f>
        <v>江化微</v>
      </c>
      <c r="Y3936" s="276" t="str">
        <f ca="1">IF($Y$3="申万一级行业",[1]!s_info_industry_sw_2021(W3936,公司分析!D$5,1),IF($Y$3="申万二级行业",[1]!s_info_industry_sw_2021(W3936,公司分析!D$5,2),IF($Y$3="申万三级行业",[1]!s_info_industry_sw_2021(W3936,公司分析!D$5,3),IF($Y$3="wind一级行业",[1]!s_info_industry_gics(W3936,1),IF($Y$3="wind二级行业",[1]!s_info_industry_gics(W3936,2),IF($Y$3="wind三级行业",[1]!s_info_industry_gics(W3936,3),IF($Y$3="wind四级行业",[1]!s_info_industry_gics(W3936,4),IF($Y$3="证监会门类行业",[1]!s_info_industry_csrc12_n(W3936,公司分析!D$5,1),""))))))))</f>
        <v>电子化学品Ⅱ</v>
      </c>
      <c r="Z3936" s="302" t="str">
        <f ca="1">IF(Y3936=行业比较!$E$6,ROW(),"")</f>
        <v/>
      </c>
    </row>
    <row r="3937" spans="22:26">
      <c r="V3937" s="260">
        <f t="shared" ca="1" si="69"/>
        <v>0</v>
      </c>
      <c r="W3937" s="348" t="str">
        <f>IF(板块成分!B3939="","",板块成分!B3939)</f>
        <v>603079.SH</v>
      </c>
      <c r="X3937" s="276" t="str">
        <f>[1]!S_Info_Name(W3937)</f>
        <v>圣达生物</v>
      </c>
      <c r="Y3937" s="276" t="str">
        <f ca="1">IF($Y$3="申万一级行业",[1]!s_info_industry_sw_2021(W3937,公司分析!D$5,1),IF($Y$3="申万二级行业",[1]!s_info_industry_sw_2021(W3937,公司分析!D$5,2),IF($Y$3="申万三级行业",[1]!s_info_industry_sw_2021(W3937,公司分析!D$5,3),IF($Y$3="wind一级行业",[1]!s_info_industry_gics(W3937,1),IF($Y$3="wind二级行业",[1]!s_info_industry_gics(W3937,2),IF($Y$3="wind三级行业",[1]!s_info_industry_gics(W3937,3),IF($Y$3="wind四级行业",[1]!s_info_industry_gics(W3937,4),IF($Y$3="证监会门类行业",[1]!s_info_industry_csrc12_n(W3937,公司分析!D$5,1),""))))))))</f>
        <v>化学制品</v>
      </c>
      <c r="Z3937" s="302" t="str">
        <f ca="1">IF(Y3937=行业比较!$E$6,ROW(),"")</f>
        <v/>
      </c>
    </row>
    <row r="3938" spans="22:26">
      <c r="V3938" s="260">
        <f t="shared" ca="1" si="69"/>
        <v>0</v>
      </c>
      <c r="W3938" s="348" t="str">
        <f>IF(板块成分!B3940="","",板块成分!B3940)</f>
        <v>603080.SH</v>
      </c>
      <c r="X3938" s="276" t="str">
        <f>[1]!S_Info_Name(W3938)</f>
        <v>新疆火炬</v>
      </c>
      <c r="Y3938" s="276" t="str">
        <f ca="1">IF($Y$3="申万一级行业",[1]!s_info_industry_sw_2021(W3938,公司分析!D$5,1),IF($Y$3="申万二级行业",[1]!s_info_industry_sw_2021(W3938,公司分析!D$5,2),IF($Y$3="申万三级行业",[1]!s_info_industry_sw_2021(W3938,公司分析!D$5,3),IF($Y$3="wind一级行业",[1]!s_info_industry_gics(W3938,1),IF($Y$3="wind二级行业",[1]!s_info_industry_gics(W3938,2),IF($Y$3="wind三级行业",[1]!s_info_industry_gics(W3938,3),IF($Y$3="wind四级行业",[1]!s_info_industry_gics(W3938,4),IF($Y$3="证监会门类行业",[1]!s_info_industry_csrc12_n(W3938,公司分析!D$5,1),""))))))))</f>
        <v>燃气Ⅱ</v>
      </c>
      <c r="Z3938" s="302" t="str">
        <f ca="1">IF(Y3938=行业比较!$E$6,ROW(),"")</f>
        <v/>
      </c>
    </row>
    <row r="3939" spans="22:26">
      <c r="V3939" s="260">
        <f t="shared" ca="1" si="69"/>
        <v>0</v>
      </c>
      <c r="W3939" s="348" t="str">
        <f>IF(板块成分!B3941="","",板块成分!B3941)</f>
        <v>603081.SH</v>
      </c>
      <c r="X3939" s="276" t="str">
        <f>[1]!S_Info_Name(W3939)</f>
        <v>大丰实业</v>
      </c>
      <c r="Y3939" s="276" t="str">
        <f ca="1">IF($Y$3="申万一级行业",[1]!s_info_industry_sw_2021(W3939,公司分析!D$5,1),IF($Y$3="申万二级行业",[1]!s_info_industry_sw_2021(W3939,公司分析!D$5,2),IF($Y$3="申万三级行业",[1]!s_info_industry_sw_2021(W3939,公司分析!D$5,3),IF($Y$3="wind一级行业",[1]!s_info_industry_gics(W3939,1),IF($Y$3="wind二级行业",[1]!s_info_industry_gics(W3939,2),IF($Y$3="wind三级行业",[1]!s_info_industry_gics(W3939,3),IF($Y$3="wind四级行业",[1]!s_info_industry_gics(W3939,4),IF($Y$3="证监会门类行业",[1]!s_info_industry_csrc12_n(W3939,公司分析!D$5,1),""))))))))</f>
        <v>专用设备</v>
      </c>
      <c r="Z3939" s="302" t="str">
        <f ca="1">IF(Y3939=行业比较!$E$6,ROW(),"")</f>
        <v/>
      </c>
    </row>
    <row r="3940" spans="22:26">
      <c r="V3940" s="260">
        <f t="shared" ca="1" si="69"/>
        <v>0</v>
      </c>
      <c r="W3940" s="348" t="str">
        <f>IF(板块成分!B3942="","",板块成分!B3942)</f>
        <v>603082.SH</v>
      </c>
      <c r="X3940" s="276" t="str">
        <f>[1]!S_Info_Name(W3940)</f>
        <v>北自科技</v>
      </c>
      <c r="Y3940" s="276" t="str">
        <f ca="1">IF($Y$3="申万一级行业",[1]!s_info_industry_sw_2021(W3940,公司分析!D$5,1),IF($Y$3="申万二级行业",[1]!s_info_industry_sw_2021(W3940,公司分析!D$5,2),IF($Y$3="申万三级行业",[1]!s_info_industry_sw_2021(W3940,公司分析!D$5,3),IF($Y$3="wind一级行业",[1]!s_info_industry_gics(W3940,1),IF($Y$3="wind二级行业",[1]!s_info_industry_gics(W3940,2),IF($Y$3="wind三级行业",[1]!s_info_industry_gics(W3940,3),IF($Y$3="wind四级行业",[1]!s_info_industry_gics(W3940,4),IF($Y$3="证监会门类行业",[1]!s_info_industry_csrc12_n(W3940,公司分析!D$5,1),""))))))))</f>
        <v>自动化设备</v>
      </c>
      <c r="Z3940" s="302" t="str">
        <f ca="1">IF(Y3940=行业比较!$E$6,ROW(),"")</f>
        <v/>
      </c>
    </row>
    <row r="3941" spans="22:26">
      <c r="V3941" s="260">
        <f t="shared" ca="1" si="69"/>
        <v>0</v>
      </c>
      <c r="W3941" s="348" t="str">
        <f>IF(板块成分!B3943="","",板块成分!B3943)</f>
        <v>603083.SH</v>
      </c>
      <c r="X3941" s="276" t="str">
        <f>[1]!S_Info_Name(W3941)</f>
        <v>剑桥科技</v>
      </c>
      <c r="Y3941" s="276" t="str">
        <f ca="1">IF($Y$3="申万一级行业",[1]!s_info_industry_sw_2021(W3941,公司分析!D$5,1),IF($Y$3="申万二级行业",[1]!s_info_industry_sw_2021(W3941,公司分析!D$5,2),IF($Y$3="申万三级行业",[1]!s_info_industry_sw_2021(W3941,公司分析!D$5,3),IF($Y$3="wind一级行业",[1]!s_info_industry_gics(W3941,1),IF($Y$3="wind二级行业",[1]!s_info_industry_gics(W3941,2),IF($Y$3="wind三级行业",[1]!s_info_industry_gics(W3941,3),IF($Y$3="wind四级行业",[1]!s_info_industry_gics(W3941,4),IF($Y$3="证监会门类行业",[1]!s_info_industry_csrc12_n(W3941,公司分析!D$5,1),""))))))))</f>
        <v>通信设备</v>
      </c>
      <c r="Z3941" s="302" t="str">
        <f ca="1">IF(Y3941=行业比较!$E$6,ROW(),"")</f>
        <v/>
      </c>
    </row>
    <row r="3942" spans="22:26">
      <c r="V3942" s="260">
        <f t="shared" ca="1" si="69"/>
        <v>0</v>
      </c>
      <c r="W3942" s="348" t="str">
        <f>IF(板块成分!B3944="","",板块成分!B3944)</f>
        <v>603085.SH</v>
      </c>
      <c r="X3942" s="276" t="str">
        <f>[1]!S_Info_Name(W3942)</f>
        <v>天成自控</v>
      </c>
      <c r="Y3942" s="276" t="str">
        <f ca="1">IF($Y$3="申万一级行业",[1]!s_info_industry_sw_2021(W3942,公司分析!D$5,1),IF($Y$3="申万二级行业",[1]!s_info_industry_sw_2021(W3942,公司分析!D$5,2),IF($Y$3="申万三级行业",[1]!s_info_industry_sw_2021(W3942,公司分析!D$5,3),IF($Y$3="wind一级行业",[1]!s_info_industry_gics(W3942,1),IF($Y$3="wind二级行业",[1]!s_info_industry_gics(W3942,2),IF($Y$3="wind三级行业",[1]!s_info_industry_gics(W3942,3),IF($Y$3="wind四级行业",[1]!s_info_industry_gics(W3942,4),IF($Y$3="证监会门类行业",[1]!s_info_industry_csrc12_n(W3942,公司分析!D$5,1),""))))))))</f>
        <v>汽车零部件</v>
      </c>
      <c r="Z3942" s="302" t="str">
        <f ca="1">IF(Y3942=行业比较!$E$6,ROW(),"")</f>
        <v/>
      </c>
    </row>
    <row r="3943" spans="22:26">
      <c r="V3943" s="260">
        <f t="shared" ca="1" si="69"/>
        <v>0</v>
      </c>
      <c r="W3943" s="348" t="str">
        <f>IF(板块成分!B3945="","",板块成分!B3945)</f>
        <v>603086.SH</v>
      </c>
      <c r="X3943" s="276" t="str">
        <f>[1]!S_Info_Name(W3943)</f>
        <v>先达股份</v>
      </c>
      <c r="Y3943" s="276" t="str">
        <f ca="1">IF($Y$3="申万一级行业",[1]!s_info_industry_sw_2021(W3943,公司分析!D$5,1),IF($Y$3="申万二级行业",[1]!s_info_industry_sw_2021(W3943,公司分析!D$5,2),IF($Y$3="申万三级行业",[1]!s_info_industry_sw_2021(W3943,公司分析!D$5,3),IF($Y$3="wind一级行业",[1]!s_info_industry_gics(W3943,1),IF($Y$3="wind二级行业",[1]!s_info_industry_gics(W3943,2),IF($Y$3="wind三级行业",[1]!s_info_industry_gics(W3943,3),IF($Y$3="wind四级行业",[1]!s_info_industry_gics(W3943,4),IF($Y$3="证监会门类行业",[1]!s_info_industry_csrc12_n(W3943,公司分析!D$5,1),""))))))))</f>
        <v>农化制品</v>
      </c>
      <c r="Z3943" s="302" t="str">
        <f ca="1">IF(Y3943=行业比较!$E$6,ROW(),"")</f>
        <v/>
      </c>
    </row>
    <row r="3944" spans="22:26">
      <c r="V3944" s="260">
        <f t="shared" ca="1" si="69"/>
        <v>0</v>
      </c>
      <c r="W3944" s="348" t="str">
        <f>IF(板块成分!B3946="","",板块成分!B3946)</f>
        <v>603087.SH</v>
      </c>
      <c r="X3944" s="276" t="str">
        <f>[1]!S_Info_Name(W3944)</f>
        <v>甘李药业</v>
      </c>
      <c r="Y3944" s="276" t="str">
        <f ca="1">IF($Y$3="申万一级行业",[1]!s_info_industry_sw_2021(W3944,公司分析!D$5,1),IF($Y$3="申万二级行业",[1]!s_info_industry_sw_2021(W3944,公司分析!D$5,2),IF($Y$3="申万三级行业",[1]!s_info_industry_sw_2021(W3944,公司分析!D$5,3),IF($Y$3="wind一级行业",[1]!s_info_industry_gics(W3944,1),IF($Y$3="wind二级行业",[1]!s_info_industry_gics(W3944,2),IF($Y$3="wind三级行业",[1]!s_info_industry_gics(W3944,3),IF($Y$3="wind四级行业",[1]!s_info_industry_gics(W3944,4),IF($Y$3="证监会门类行业",[1]!s_info_industry_csrc12_n(W3944,公司分析!D$5,1),""))))))))</f>
        <v>生物制品</v>
      </c>
      <c r="Z3944" s="302" t="str">
        <f ca="1">IF(Y3944=行业比较!$E$6,ROW(),"")</f>
        <v/>
      </c>
    </row>
    <row r="3945" spans="22:26">
      <c r="V3945" s="260">
        <f t="shared" ca="1" si="69"/>
        <v>0</v>
      </c>
      <c r="W3945" s="348" t="str">
        <f>IF(板块成分!B3947="","",板块成分!B3947)</f>
        <v>603088.SH</v>
      </c>
      <c r="X3945" s="276" t="str">
        <f>[1]!S_Info_Name(W3945)</f>
        <v>宁波精达</v>
      </c>
      <c r="Y3945" s="276" t="str">
        <f ca="1">IF($Y$3="申万一级行业",[1]!s_info_industry_sw_2021(W3945,公司分析!D$5,1),IF($Y$3="申万二级行业",[1]!s_info_industry_sw_2021(W3945,公司分析!D$5,2),IF($Y$3="申万三级行业",[1]!s_info_industry_sw_2021(W3945,公司分析!D$5,3),IF($Y$3="wind一级行业",[1]!s_info_industry_gics(W3945,1),IF($Y$3="wind二级行业",[1]!s_info_industry_gics(W3945,2),IF($Y$3="wind三级行业",[1]!s_info_industry_gics(W3945,3),IF($Y$3="wind四级行业",[1]!s_info_industry_gics(W3945,4),IF($Y$3="证监会门类行业",[1]!s_info_industry_csrc12_n(W3945,公司分析!D$5,1),""))))))))</f>
        <v>通用设备</v>
      </c>
      <c r="Z3945" s="302" t="str">
        <f ca="1">IF(Y3945=行业比较!$E$6,ROW(),"")</f>
        <v/>
      </c>
    </row>
    <row r="3946" spans="22:26">
      <c r="V3946" s="260">
        <f t="shared" ca="1" si="69"/>
        <v>0</v>
      </c>
      <c r="W3946" s="348" t="str">
        <f>IF(板块成分!B3948="","",板块成分!B3948)</f>
        <v>603089.SH</v>
      </c>
      <c r="X3946" s="276" t="str">
        <f>[1]!S_Info_Name(W3946)</f>
        <v>正裕工业</v>
      </c>
      <c r="Y3946" s="276" t="str">
        <f ca="1">IF($Y$3="申万一级行业",[1]!s_info_industry_sw_2021(W3946,公司分析!D$5,1),IF($Y$3="申万二级行业",[1]!s_info_industry_sw_2021(W3946,公司分析!D$5,2),IF($Y$3="申万三级行业",[1]!s_info_industry_sw_2021(W3946,公司分析!D$5,3),IF($Y$3="wind一级行业",[1]!s_info_industry_gics(W3946,1),IF($Y$3="wind二级行业",[1]!s_info_industry_gics(W3946,2),IF($Y$3="wind三级行业",[1]!s_info_industry_gics(W3946,3),IF($Y$3="wind四级行业",[1]!s_info_industry_gics(W3946,4),IF($Y$3="证监会门类行业",[1]!s_info_industry_csrc12_n(W3946,公司分析!D$5,1),""))))))))</f>
        <v>汽车零部件</v>
      </c>
      <c r="Z3946" s="302" t="str">
        <f ca="1">IF(Y3946=行业比较!$E$6,ROW(),"")</f>
        <v/>
      </c>
    </row>
    <row r="3947" spans="22:26">
      <c r="V3947" s="260">
        <f t="shared" ca="1" si="69"/>
        <v>0</v>
      </c>
      <c r="W3947" s="348" t="str">
        <f>IF(板块成分!B3949="","",板块成分!B3949)</f>
        <v>603090.SH</v>
      </c>
      <c r="X3947" s="276" t="str">
        <f>[1]!S_Info_Name(W3947)</f>
        <v>宏盛股份</v>
      </c>
      <c r="Y3947" s="276" t="str">
        <f ca="1">IF($Y$3="申万一级行业",[1]!s_info_industry_sw_2021(W3947,公司分析!D$5,1),IF($Y$3="申万二级行业",[1]!s_info_industry_sw_2021(W3947,公司分析!D$5,2),IF($Y$3="申万三级行业",[1]!s_info_industry_sw_2021(W3947,公司分析!D$5,3),IF($Y$3="wind一级行业",[1]!s_info_industry_gics(W3947,1),IF($Y$3="wind二级行业",[1]!s_info_industry_gics(W3947,2),IF($Y$3="wind三级行业",[1]!s_info_industry_gics(W3947,3),IF($Y$3="wind四级行业",[1]!s_info_industry_gics(W3947,4),IF($Y$3="证监会门类行业",[1]!s_info_industry_csrc12_n(W3947,公司分析!D$5,1),""))))))))</f>
        <v>通用设备</v>
      </c>
      <c r="Z3947" s="302" t="str">
        <f ca="1">IF(Y3947=行业比较!$E$6,ROW(),"")</f>
        <v/>
      </c>
    </row>
    <row r="3948" spans="22:26">
      <c r="V3948" s="260">
        <f t="shared" ca="1" si="69"/>
        <v>0</v>
      </c>
      <c r="W3948" s="348" t="str">
        <f>IF(板块成分!B3950="","",板块成分!B3950)</f>
        <v>603091.SH</v>
      </c>
      <c r="X3948" s="276" t="str">
        <f>[1]!S_Info_Name(W3948)</f>
        <v>众鑫股份</v>
      </c>
      <c r="Y3948" s="276" t="str">
        <f ca="1">IF($Y$3="申万一级行业",[1]!s_info_industry_sw_2021(W3948,公司分析!D$5,1),IF($Y$3="申万二级行业",[1]!s_info_industry_sw_2021(W3948,公司分析!D$5,2),IF($Y$3="申万三级行业",[1]!s_info_industry_sw_2021(W3948,公司分析!D$5,3),IF($Y$3="wind一级行业",[1]!s_info_industry_gics(W3948,1),IF($Y$3="wind二级行业",[1]!s_info_industry_gics(W3948,2),IF($Y$3="wind三级行业",[1]!s_info_industry_gics(W3948,3),IF($Y$3="wind四级行业",[1]!s_info_industry_gics(W3948,4),IF($Y$3="证监会门类行业",[1]!s_info_industry_csrc12_n(W3948,公司分析!D$5,1),""))))))))</f>
        <v>包装印刷</v>
      </c>
      <c r="Z3948" s="302" t="str">
        <f ca="1">IF(Y3948=行业比较!$E$6,ROW(),"")</f>
        <v/>
      </c>
    </row>
    <row r="3949" spans="22:26">
      <c r="V3949" s="260">
        <f t="shared" ca="1" si="69"/>
        <v>0</v>
      </c>
      <c r="W3949" s="348" t="str">
        <f>IF(板块成分!B3951="","",板块成分!B3951)</f>
        <v>603092.SH</v>
      </c>
      <c r="X3949" s="276" t="str">
        <f>[1]!S_Info_Name(W3949)</f>
        <v>德力佳</v>
      </c>
      <c r="Y3949" s="276" t="str">
        <f ca="1">IF($Y$3="申万一级行业",[1]!s_info_industry_sw_2021(W3949,公司分析!D$5,1),IF($Y$3="申万二级行业",[1]!s_info_industry_sw_2021(W3949,公司分析!D$5,2),IF($Y$3="申万三级行业",[1]!s_info_industry_sw_2021(W3949,公司分析!D$5,3),IF($Y$3="wind一级行业",[1]!s_info_industry_gics(W3949,1),IF($Y$3="wind二级行业",[1]!s_info_industry_gics(W3949,2),IF($Y$3="wind三级行业",[1]!s_info_industry_gics(W3949,3),IF($Y$3="wind四级行业",[1]!s_info_industry_gics(W3949,4),IF($Y$3="证监会门类行业",[1]!s_info_industry_csrc12_n(W3949,公司分析!D$5,1),""))))))))</f>
        <v>风电设备</v>
      </c>
      <c r="Z3949" s="302" t="str">
        <f ca="1">IF(Y3949=行业比较!$E$6,ROW(),"")</f>
        <v/>
      </c>
    </row>
    <row r="3950" spans="22:26">
      <c r="V3950" s="260">
        <f t="shared" ca="1" si="69"/>
        <v>0</v>
      </c>
      <c r="W3950" s="348" t="str">
        <f>IF(板块成分!B3952="","",板块成分!B3952)</f>
        <v>603093.SH</v>
      </c>
      <c r="X3950" s="276" t="str">
        <f>[1]!S_Info_Name(W3950)</f>
        <v>南华期货</v>
      </c>
      <c r="Y3950" s="276" t="str">
        <f ca="1">IF($Y$3="申万一级行业",[1]!s_info_industry_sw_2021(W3950,公司分析!D$5,1),IF($Y$3="申万二级行业",[1]!s_info_industry_sw_2021(W3950,公司分析!D$5,2),IF($Y$3="申万三级行业",[1]!s_info_industry_sw_2021(W3950,公司分析!D$5,3),IF($Y$3="wind一级行业",[1]!s_info_industry_gics(W3950,1),IF($Y$3="wind二级行业",[1]!s_info_industry_gics(W3950,2),IF($Y$3="wind三级行业",[1]!s_info_industry_gics(W3950,3),IF($Y$3="wind四级行业",[1]!s_info_industry_gics(W3950,4),IF($Y$3="证监会门类行业",[1]!s_info_industry_csrc12_n(W3950,公司分析!D$5,1),""))))))))</f>
        <v>多元金融</v>
      </c>
      <c r="Z3950" s="302" t="str">
        <f ca="1">IF(Y3950=行业比较!$E$6,ROW(),"")</f>
        <v/>
      </c>
    </row>
    <row r="3951" spans="22:26">
      <c r="V3951" s="260">
        <f t="shared" ca="1" si="69"/>
        <v>0</v>
      </c>
      <c r="W3951" s="348" t="str">
        <f>IF(板块成分!B3953="","",板块成分!B3953)</f>
        <v>603095.SH</v>
      </c>
      <c r="X3951" s="276" t="str">
        <f>[1]!S_Info_Name(W3951)</f>
        <v>越剑智能</v>
      </c>
      <c r="Y3951" s="276" t="str">
        <f ca="1">IF($Y$3="申万一级行业",[1]!s_info_industry_sw_2021(W3951,公司分析!D$5,1),IF($Y$3="申万二级行业",[1]!s_info_industry_sw_2021(W3951,公司分析!D$5,2),IF($Y$3="申万三级行业",[1]!s_info_industry_sw_2021(W3951,公司分析!D$5,3),IF($Y$3="wind一级行业",[1]!s_info_industry_gics(W3951,1),IF($Y$3="wind二级行业",[1]!s_info_industry_gics(W3951,2),IF($Y$3="wind三级行业",[1]!s_info_industry_gics(W3951,3),IF($Y$3="wind四级行业",[1]!s_info_industry_gics(W3951,4),IF($Y$3="证监会门类行业",[1]!s_info_industry_csrc12_n(W3951,公司分析!D$5,1),""))))))))</f>
        <v>专用设备</v>
      </c>
      <c r="Z3951" s="302" t="str">
        <f ca="1">IF(Y3951=行业比较!$E$6,ROW(),"")</f>
        <v/>
      </c>
    </row>
    <row r="3952" spans="22:26">
      <c r="V3952" s="260">
        <f t="shared" ca="1" si="69"/>
        <v>0</v>
      </c>
      <c r="W3952" s="348" t="str">
        <f>IF(板块成分!B3954="","",板块成分!B3954)</f>
        <v>603096.SH</v>
      </c>
      <c r="X3952" s="276" t="str">
        <f>[1]!S_Info_Name(W3952)</f>
        <v>新经典</v>
      </c>
      <c r="Y3952" s="276" t="str">
        <f ca="1">IF($Y$3="申万一级行业",[1]!s_info_industry_sw_2021(W3952,公司分析!D$5,1),IF($Y$3="申万二级行业",[1]!s_info_industry_sw_2021(W3952,公司分析!D$5,2),IF($Y$3="申万三级行业",[1]!s_info_industry_sw_2021(W3952,公司分析!D$5,3),IF($Y$3="wind一级行业",[1]!s_info_industry_gics(W3952,1),IF($Y$3="wind二级行业",[1]!s_info_industry_gics(W3952,2),IF($Y$3="wind三级行业",[1]!s_info_industry_gics(W3952,3),IF($Y$3="wind四级行业",[1]!s_info_industry_gics(W3952,4),IF($Y$3="证监会门类行业",[1]!s_info_industry_csrc12_n(W3952,公司分析!D$5,1),""))))))))</f>
        <v>出版</v>
      </c>
      <c r="Z3952" s="302" t="str">
        <f ca="1">IF(Y3952=行业比较!$E$6,ROW(),"")</f>
        <v/>
      </c>
    </row>
    <row r="3953" spans="22:26">
      <c r="V3953" s="260">
        <f t="shared" ca="1" si="69"/>
        <v>0</v>
      </c>
      <c r="W3953" s="348" t="str">
        <f>IF(板块成分!B3955="","",板块成分!B3955)</f>
        <v>603097.SH</v>
      </c>
      <c r="X3953" s="276" t="str">
        <f>[1]!S_Info_Name(W3953)</f>
        <v>江苏华辰</v>
      </c>
      <c r="Y3953" s="276" t="str">
        <f ca="1">IF($Y$3="申万一级行业",[1]!s_info_industry_sw_2021(W3953,公司分析!D$5,1),IF($Y$3="申万二级行业",[1]!s_info_industry_sw_2021(W3953,公司分析!D$5,2),IF($Y$3="申万三级行业",[1]!s_info_industry_sw_2021(W3953,公司分析!D$5,3),IF($Y$3="wind一级行业",[1]!s_info_industry_gics(W3953,1),IF($Y$3="wind二级行业",[1]!s_info_industry_gics(W3953,2),IF($Y$3="wind三级行业",[1]!s_info_industry_gics(W3953,3),IF($Y$3="wind四级行业",[1]!s_info_industry_gics(W3953,4),IF($Y$3="证监会门类行业",[1]!s_info_industry_csrc12_n(W3953,公司分析!D$5,1),""))))))))</f>
        <v>电网设备</v>
      </c>
      <c r="Z3953" s="302" t="str">
        <f ca="1">IF(Y3953=行业比较!$E$6,ROW(),"")</f>
        <v/>
      </c>
    </row>
    <row r="3954" spans="22:26">
      <c r="V3954" s="260">
        <f t="shared" ca="1" si="69"/>
        <v>0</v>
      </c>
      <c r="W3954" s="348" t="str">
        <f>IF(板块成分!B3956="","",板块成分!B3956)</f>
        <v>603098.SH</v>
      </c>
      <c r="X3954" s="276" t="str">
        <f>[1]!S_Info_Name(W3954)</f>
        <v>森特股份</v>
      </c>
      <c r="Y3954" s="276" t="str">
        <f ca="1">IF($Y$3="申万一级行业",[1]!s_info_industry_sw_2021(W3954,公司分析!D$5,1),IF($Y$3="申万二级行业",[1]!s_info_industry_sw_2021(W3954,公司分析!D$5,2),IF($Y$3="申万三级行业",[1]!s_info_industry_sw_2021(W3954,公司分析!D$5,3),IF($Y$3="wind一级行业",[1]!s_info_industry_gics(W3954,1),IF($Y$3="wind二级行业",[1]!s_info_industry_gics(W3954,2),IF($Y$3="wind三级行业",[1]!s_info_industry_gics(W3954,3),IF($Y$3="wind四级行业",[1]!s_info_industry_gics(W3954,4),IF($Y$3="证监会门类行业",[1]!s_info_industry_csrc12_n(W3954,公司分析!D$5,1),""))))))))</f>
        <v>专业工程</v>
      </c>
      <c r="Z3954" s="302" t="str">
        <f ca="1">IF(Y3954=行业比较!$E$6,ROW(),"")</f>
        <v/>
      </c>
    </row>
    <row r="3955" spans="22:26">
      <c r="V3955" s="260">
        <f t="shared" ca="1" si="69"/>
        <v>0</v>
      </c>
      <c r="W3955" s="348" t="str">
        <f>IF(板块成分!B3957="","",板块成分!B3957)</f>
        <v>603099.SH</v>
      </c>
      <c r="X3955" s="276" t="str">
        <f>[1]!S_Info_Name(W3955)</f>
        <v>长白山</v>
      </c>
      <c r="Y3955" s="276" t="str">
        <f ca="1">IF($Y$3="申万一级行业",[1]!s_info_industry_sw_2021(W3955,公司分析!D$5,1),IF($Y$3="申万二级行业",[1]!s_info_industry_sw_2021(W3955,公司分析!D$5,2),IF($Y$3="申万三级行业",[1]!s_info_industry_sw_2021(W3955,公司分析!D$5,3),IF($Y$3="wind一级行业",[1]!s_info_industry_gics(W3955,1),IF($Y$3="wind二级行业",[1]!s_info_industry_gics(W3955,2),IF($Y$3="wind三级行业",[1]!s_info_industry_gics(W3955,3),IF($Y$3="wind四级行业",[1]!s_info_industry_gics(W3955,4),IF($Y$3="证监会门类行业",[1]!s_info_industry_csrc12_n(W3955,公司分析!D$5,1),""))))))))</f>
        <v>旅游及景区</v>
      </c>
      <c r="Z3955" s="302" t="str">
        <f ca="1">IF(Y3955=行业比较!$E$6,ROW(),"")</f>
        <v/>
      </c>
    </row>
    <row r="3956" spans="22:26">
      <c r="V3956" s="260">
        <f t="shared" ca="1" si="69"/>
        <v>0</v>
      </c>
      <c r="W3956" s="348" t="str">
        <f>IF(板块成分!B3958="","",板块成分!B3958)</f>
        <v>603100.SH</v>
      </c>
      <c r="X3956" s="276" t="str">
        <f>[1]!S_Info_Name(W3956)</f>
        <v>川仪股份</v>
      </c>
      <c r="Y3956" s="276" t="str">
        <f ca="1">IF($Y$3="申万一级行业",[1]!s_info_industry_sw_2021(W3956,公司分析!D$5,1),IF($Y$3="申万二级行业",[1]!s_info_industry_sw_2021(W3956,公司分析!D$5,2),IF($Y$3="申万三级行业",[1]!s_info_industry_sw_2021(W3956,公司分析!D$5,3),IF($Y$3="wind一级行业",[1]!s_info_industry_gics(W3956,1),IF($Y$3="wind二级行业",[1]!s_info_industry_gics(W3956,2),IF($Y$3="wind三级行业",[1]!s_info_industry_gics(W3956,3),IF($Y$3="wind四级行业",[1]!s_info_industry_gics(W3956,4),IF($Y$3="证监会门类行业",[1]!s_info_industry_csrc12_n(W3956,公司分析!D$5,1),""))))))))</f>
        <v>通用设备</v>
      </c>
      <c r="Z3956" s="302" t="str">
        <f ca="1">IF(Y3956=行业比较!$E$6,ROW(),"")</f>
        <v/>
      </c>
    </row>
    <row r="3957" spans="22:26">
      <c r="V3957" s="260">
        <f t="shared" ca="1" si="69"/>
        <v>0</v>
      </c>
      <c r="W3957" s="348" t="str">
        <f>IF(板块成分!B3959="","",板块成分!B3959)</f>
        <v>603101.SH</v>
      </c>
      <c r="X3957" s="276" t="str">
        <f>[1]!S_Info_Name(W3957)</f>
        <v>汇嘉时代</v>
      </c>
      <c r="Y3957" s="276" t="str">
        <f ca="1">IF($Y$3="申万一级行业",[1]!s_info_industry_sw_2021(W3957,公司分析!D$5,1),IF($Y$3="申万二级行业",[1]!s_info_industry_sw_2021(W3957,公司分析!D$5,2),IF($Y$3="申万三级行业",[1]!s_info_industry_sw_2021(W3957,公司分析!D$5,3),IF($Y$3="wind一级行业",[1]!s_info_industry_gics(W3957,1),IF($Y$3="wind二级行业",[1]!s_info_industry_gics(W3957,2),IF($Y$3="wind三级行业",[1]!s_info_industry_gics(W3957,3),IF($Y$3="wind四级行业",[1]!s_info_industry_gics(W3957,4),IF($Y$3="证监会门类行业",[1]!s_info_industry_csrc12_n(W3957,公司分析!D$5,1),""))))))))</f>
        <v>一般零售</v>
      </c>
      <c r="Z3957" s="302" t="str">
        <f ca="1">IF(Y3957=行业比较!$E$6,ROW(),"")</f>
        <v/>
      </c>
    </row>
    <row r="3958" spans="22:26">
      <c r="V3958" s="260">
        <f t="shared" ca="1" si="69"/>
        <v>0</v>
      </c>
      <c r="W3958" s="348" t="str">
        <f>IF(板块成分!B3960="","",板块成分!B3960)</f>
        <v>603102.SH</v>
      </c>
      <c r="X3958" s="276" t="str">
        <f>[1]!S_Info_Name(W3958)</f>
        <v>百合股份</v>
      </c>
      <c r="Y3958" s="276" t="str">
        <f ca="1">IF($Y$3="申万一级行业",[1]!s_info_industry_sw_2021(W3958,公司分析!D$5,1),IF($Y$3="申万二级行业",[1]!s_info_industry_sw_2021(W3958,公司分析!D$5,2),IF($Y$3="申万三级行业",[1]!s_info_industry_sw_2021(W3958,公司分析!D$5,3),IF($Y$3="wind一级行业",[1]!s_info_industry_gics(W3958,1),IF($Y$3="wind二级行业",[1]!s_info_industry_gics(W3958,2),IF($Y$3="wind三级行业",[1]!s_info_industry_gics(W3958,3),IF($Y$3="wind四级行业",[1]!s_info_industry_gics(W3958,4),IF($Y$3="证监会门类行业",[1]!s_info_industry_csrc12_n(W3958,公司分析!D$5,1),""))))))))</f>
        <v>食品加工</v>
      </c>
      <c r="Z3958" s="302" t="str">
        <f ca="1">IF(Y3958=行业比较!$E$6,ROW(),"")</f>
        <v/>
      </c>
    </row>
    <row r="3959" spans="22:26">
      <c r="V3959" s="260">
        <f t="shared" ca="1" si="69"/>
        <v>0</v>
      </c>
      <c r="W3959" s="348" t="str">
        <f>IF(板块成分!B3961="","",板块成分!B3961)</f>
        <v>603103.SH</v>
      </c>
      <c r="X3959" s="276" t="str">
        <f>[1]!S_Info_Name(W3959)</f>
        <v>横店影视</v>
      </c>
      <c r="Y3959" s="276" t="str">
        <f ca="1">IF($Y$3="申万一级行业",[1]!s_info_industry_sw_2021(W3959,公司分析!D$5,1),IF($Y$3="申万二级行业",[1]!s_info_industry_sw_2021(W3959,公司分析!D$5,2),IF($Y$3="申万三级行业",[1]!s_info_industry_sw_2021(W3959,公司分析!D$5,3),IF($Y$3="wind一级行业",[1]!s_info_industry_gics(W3959,1),IF($Y$3="wind二级行业",[1]!s_info_industry_gics(W3959,2),IF($Y$3="wind三级行业",[1]!s_info_industry_gics(W3959,3),IF($Y$3="wind四级行业",[1]!s_info_industry_gics(W3959,4),IF($Y$3="证监会门类行业",[1]!s_info_industry_csrc12_n(W3959,公司分析!D$5,1),""))))))))</f>
        <v>影视院线</v>
      </c>
      <c r="Z3959" s="302" t="str">
        <f ca="1">IF(Y3959=行业比较!$E$6,ROW(),"")</f>
        <v/>
      </c>
    </row>
    <row r="3960" spans="22:26">
      <c r="V3960" s="260">
        <f t="shared" ca="1" si="69"/>
        <v>0</v>
      </c>
      <c r="W3960" s="348" t="str">
        <f>IF(板块成分!B3962="","",板块成分!B3962)</f>
        <v>603105.SH</v>
      </c>
      <c r="X3960" s="276" t="str">
        <f>[1]!S_Info_Name(W3960)</f>
        <v>芯能科技</v>
      </c>
      <c r="Y3960" s="276" t="str">
        <f ca="1">IF($Y$3="申万一级行业",[1]!s_info_industry_sw_2021(W3960,公司分析!D$5,1),IF($Y$3="申万二级行业",[1]!s_info_industry_sw_2021(W3960,公司分析!D$5,2),IF($Y$3="申万三级行业",[1]!s_info_industry_sw_2021(W3960,公司分析!D$5,3),IF($Y$3="wind一级行业",[1]!s_info_industry_gics(W3960,1),IF($Y$3="wind二级行业",[1]!s_info_industry_gics(W3960,2),IF($Y$3="wind三级行业",[1]!s_info_industry_gics(W3960,3),IF($Y$3="wind四级行业",[1]!s_info_industry_gics(W3960,4),IF($Y$3="证监会门类行业",[1]!s_info_industry_csrc12_n(W3960,公司分析!D$5,1),""))))))))</f>
        <v>电力</v>
      </c>
      <c r="Z3960" s="302" t="str">
        <f ca="1">IF(Y3960=行业比较!$E$6,ROW(),"")</f>
        <v/>
      </c>
    </row>
    <row r="3961" spans="22:26">
      <c r="V3961" s="260">
        <f t="shared" ca="1" si="69"/>
        <v>0</v>
      </c>
      <c r="W3961" s="348" t="str">
        <f>IF(板块成分!B3963="","",板块成分!B3963)</f>
        <v>603106.SH</v>
      </c>
      <c r="X3961" s="276" t="str">
        <f>[1]!S_Info_Name(W3961)</f>
        <v>恒银科技</v>
      </c>
      <c r="Y3961" s="276" t="str">
        <f ca="1">IF($Y$3="申万一级行业",[1]!s_info_industry_sw_2021(W3961,公司分析!D$5,1),IF($Y$3="申万二级行业",[1]!s_info_industry_sw_2021(W3961,公司分析!D$5,2),IF($Y$3="申万三级行业",[1]!s_info_industry_sw_2021(W3961,公司分析!D$5,3),IF($Y$3="wind一级行业",[1]!s_info_industry_gics(W3961,1),IF($Y$3="wind二级行业",[1]!s_info_industry_gics(W3961,2),IF($Y$3="wind三级行业",[1]!s_info_industry_gics(W3961,3),IF($Y$3="wind四级行业",[1]!s_info_industry_gics(W3961,4),IF($Y$3="证监会门类行业",[1]!s_info_industry_csrc12_n(W3961,公司分析!D$5,1),""))))))))</f>
        <v>计算机设备</v>
      </c>
      <c r="Z3961" s="302" t="str">
        <f ca="1">IF(Y3961=行业比较!$E$6,ROW(),"")</f>
        <v/>
      </c>
    </row>
    <row r="3962" spans="22:26">
      <c r="V3962" s="260">
        <f t="shared" ca="1" si="69"/>
        <v>0</v>
      </c>
      <c r="W3962" s="348" t="str">
        <f>IF(板块成分!B3964="","",板块成分!B3964)</f>
        <v>603107.SH</v>
      </c>
      <c r="X3962" s="276" t="str">
        <f>[1]!S_Info_Name(W3962)</f>
        <v>上海汽配</v>
      </c>
      <c r="Y3962" s="276" t="str">
        <f ca="1">IF($Y$3="申万一级行业",[1]!s_info_industry_sw_2021(W3962,公司分析!D$5,1),IF($Y$3="申万二级行业",[1]!s_info_industry_sw_2021(W3962,公司分析!D$5,2),IF($Y$3="申万三级行业",[1]!s_info_industry_sw_2021(W3962,公司分析!D$5,3),IF($Y$3="wind一级行业",[1]!s_info_industry_gics(W3962,1),IF($Y$3="wind二级行业",[1]!s_info_industry_gics(W3962,2),IF($Y$3="wind三级行业",[1]!s_info_industry_gics(W3962,3),IF($Y$3="wind四级行业",[1]!s_info_industry_gics(W3962,4),IF($Y$3="证监会门类行业",[1]!s_info_industry_csrc12_n(W3962,公司分析!D$5,1),""))))))))</f>
        <v>汽车零部件</v>
      </c>
      <c r="Z3962" s="302" t="str">
        <f ca="1">IF(Y3962=行业比较!$E$6,ROW(),"")</f>
        <v/>
      </c>
    </row>
    <row r="3963" spans="22:26">
      <c r="V3963" s="260">
        <f t="shared" ca="1" si="69"/>
        <v>0</v>
      </c>
      <c r="W3963" s="348" t="str">
        <f>IF(板块成分!B3965="","",板块成分!B3965)</f>
        <v>603108.SH</v>
      </c>
      <c r="X3963" s="276" t="str">
        <f>[1]!S_Info_Name(W3963)</f>
        <v>润达医疗</v>
      </c>
      <c r="Y3963" s="276" t="str">
        <f ca="1">IF($Y$3="申万一级行业",[1]!s_info_industry_sw_2021(W3963,公司分析!D$5,1),IF($Y$3="申万二级行业",[1]!s_info_industry_sw_2021(W3963,公司分析!D$5,2),IF($Y$3="申万三级行业",[1]!s_info_industry_sw_2021(W3963,公司分析!D$5,3),IF($Y$3="wind一级行业",[1]!s_info_industry_gics(W3963,1),IF($Y$3="wind二级行业",[1]!s_info_industry_gics(W3963,2),IF($Y$3="wind三级行业",[1]!s_info_industry_gics(W3963,3),IF($Y$3="wind四级行业",[1]!s_info_industry_gics(W3963,4),IF($Y$3="证监会门类行业",[1]!s_info_industry_csrc12_n(W3963,公司分析!D$5,1),""))))))))</f>
        <v>医药商业</v>
      </c>
      <c r="Z3963" s="302" t="str">
        <f ca="1">IF(Y3963=行业比较!$E$6,ROW(),"")</f>
        <v/>
      </c>
    </row>
    <row r="3964" spans="22:26">
      <c r="V3964" s="260">
        <f t="shared" ca="1" si="69"/>
        <v>0</v>
      </c>
      <c r="W3964" s="348" t="str">
        <f>IF(板块成分!B3966="","",板块成分!B3966)</f>
        <v>603109.SH</v>
      </c>
      <c r="X3964" s="276" t="str">
        <f>[1]!S_Info_Name(W3964)</f>
        <v>神驰机电</v>
      </c>
      <c r="Y3964" s="276" t="str">
        <f ca="1">IF($Y$3="申万一级行业",[1]!s_info_industry_sw_2021(W3964,公司分析!D$5,1),IF($Y$3="申万二级行业",[1]!s_info_industry_sw_2021(W3964,公司分析!D$5,2),IF($Y$3="申万三级行业",[1]!s_info_industry_sw_2021(W3964,公司分析!D$5,3),IF($Y$3="wind一级行业",[1]!s_info_industry_gics(W3964,1),IF($Y$3="wind二级行业",[1]!s_info_industry_gics(W3964,2),IF($Y$3="wind三级行业",[1]!s_info_industry_gics(W3964,3),IF($Y$3="wind四级行业",[1]!s_info_industry_gics(W3964,4),IF($Y$3="证监会门类行业",[1]!s_info_industry_csrc12_n(W3964,公司分析!D$5,1),""))))))))</f>
        <v>汽车零部件</v>
      </c>
      <c r="Z3964" s="302" t="str">
        <f ca="1">IF(Y3964=行业比较!$E$6,ROW(),"")</f>
        <v/>
      </c>
    </row>
    <row r="3965" spans="22:26">
      <c r="V3965" s="260">
        <f t="shared" ca="1" si="69"/>
        <v>0</v>
      </c>
      <c r="W3965" s="348" t="str">
        <f>IF(板块成分!B3967="","",板块成分!B3967)</f>
        <v>603110.SH</v>
      </c>
      <c r="X3965" s="276" t="str">
        <f>[1]!S_Info_Name(W3965)</f>
        <v>东方材料</v>
      </c>
      <c r="Y3965" s="276" t="str">
        <f ca="1">IF($Y$3="申万一级行业",[1]!s_info_industry_sw_2021(W3965,公司分析!D$5,1),IF($Y$3="申万二级行业",[1]!s_info_industry_sw_2021(W3965,公司分析!D$5,2),IF($Y$3="申万三级行业",[1]!s_info_industry_sw_2021(W3965,公司分析!D$5,3),IF($Y$3="wind一级行业",[1]!s_info_industry_gics(W3965,1),IF($Y$3="wind二级行业",[1]!s_info_industry_gics(W3965,2),IF($Y$3="wind三级行业",[1]!s_info_industry_gics(W3965,3),IF($Y$3="wind四级行业",[1]!s_info_industry_gics(W3965,4),IF($Y$3="证监会门类行业",[1]!s_info_industry_csrc12_n(W3965,公司分析!D$5,1),""))))))))</f>
        <v>化学制品</v>
      </c>
      <c r="Z3965" s="302" t="str">
        <f ca="1">IF(Y3965=行业比较!$E$6,ROW(),"")</f>
        <v/>
      </c>
    </row>
    <row r="3966" spans="22:26">
      <c r="V3966" s="260">
        <f t="shared" ca="1" si="69"/>
        <v>0</v>
      </c>
      <c r="W3966" s="348" t="str">
        <f>IF(板块成分!B3968="","",板块成分!B3968)</f>
        <v>603111.SH</v>
      </c>
      <c r="X3966" s="276" t="str">
        <f>[1]!S_Info_Name(W3966)</f>
        <v>康尼机电</v>
      </c>
      <c r="Y3966" s="276" t="str">
        <f ca="1">IF($Y$3="申万一级行业",[1]!s_info_industry_sw_2021(W3966,公司分析!D$5,1),IF($Y$3="申万二级行业",[1]!s_info_industry_sw_2021(W3966,公司分析!D$5,2),IF($Y$3="申万三级行业",[1]!s_info_industry_sw_2021(W3966,公司分析!D$5,3),IF($Y$3="wind一级行业",[1]!s_info_industry_gics(W3966,1),IF($Y$3="wind二级行业",[1]!s_info_industry_gics(W3966,2),IF($Y$3="wind三级行业",[1]!s_info_industry_gics(W3966,3),IF($Y$3="wind四级行业",[1]!s_info_industry_gics(W3966,4),IF($Y$3="证监会门类行业",[1]!s_info_industry_csrc12_n(W3966,公司分析!D$5,1),""))))))))</f>
        <v>轨交设备Ⅱ</v>
      </c>
      <c r="Z3966" s="302" t="str">
        <f ca="1">IF(Y3966=行业比较!$E$6,ROW(),"")</f>
        <v/>
      </c>
    </row>
    <row r="3967" spans="22:26">
      <c r="V3967" s="260">
        <f t="shared" ca="1" si="69"/>
        <v>0</v>
      </c>
      <c r="W3967" s="348" t="str">
        <f>IF(板块成分!B3969="","",板块成分!B3969)</f>
        <v>603112.SH</v>
      </c>
      <c r="X3967" s="276" t="str">
        <f>[1]!S_Info_Name(W3967)</f>
        <v>华翔股份</v>
      </c>
      <c r="Y3967" s="276" t="str">
        <f ca="1">IF($Y$3="申万一级行业",[1]!s_info_industry_sw_2021(W3967,公司分析!D$5,1),IF($Y$3="申万二级行业",[1]!s_info_industry_sw_2021(W3967,公司分析!D$5,2),IF($Y$3="申万三级行业",[1]!s_info_industry_sw_2021(W3967,公司分析!D$5,3),IF($Y$3="wind一级行业",[1]!s_info_industry_gics(W3967,1),IF($Y$3="wind二级行业",[1]!s_info_industry_gics(W3967,2),IF($Y$3="wind三级行业",[1]!s_info_industry_gics(W3967,3),IF($Y$3="wind四级行业",[1]!s_info_industry_gics(W3967,4),IF($Y$3="证监会门类行业",[1]!s_info_industry_csrc12_n(W3967,公司分析!D$5,1),""))))))))</f>
        <v>家电零部件Ⅱ</v>
      </c>
      <c r="Z3967" s="302" t="str">
        <f ca="1">IF(Y3967=行业比较!$E$6,ROW(),"")</f>
        <v/>
      </c>
    </row>
    <row r="3968" spans="22:26">
      <c r="V3968" s="260">
        <f t="shared" ca="1" si="69"/>
        <v>0</v>
      </c>
      <c r="W3968" s="348" t="str">
        <f>IF(板块成分!B3970="","",板块成分!B3970)</f>
        <v>603113.SH</v>
      </c>
      <c r="X3968" s="276" t="str">
        <f>[1]!S_Info_Name(W3968)</f>
        <v>金能科技</v>
      </c>
      <c r="Y3968" s="276" t="str">
        <f ca="1">IF($Y$3="申万一级行业",[1]!s_info_industry_sw_2021(W3968,公司分析!D$5,1),IF($Y$3="申万二级行业",[1]!s_info_industry_sw_2021(W3968,公司分析!D$5,2),IF($Y$3="申万三级行业",[1]!s_info_industry_sw_2021(W3968,公司分析!D$5,3),IF($Y$3="wind一级行业",[1]!s_info_industry_gics(W3968,1),IF($Y$3="wind二级行业",[1]!s_info_industry_gics(W3968,2),IF($Y$3="wind三级行业",[1]!s_info_industry_gics(W3968,3),IF($Y$3="wind四级行业",[1]!s_info_industry_gics(W3968,4),IF($Y$3="证监会门类行业",[1]!s_info_industry_csrc12_n(W3968,公司分析!D$5,1),""))))))))</f>
        <v>化学原料</v>
      </c>
      <c r="Z3968" s="302" t="str">
        <f ca="1">IF(Y3968=行业比较!$E$6,ROW(),"")</f>
        <v/>
      </c>
    </row>
    <row r="3969" spans="22:26">
      <c r="V3969" s="260">
        <f t="shared" ca="1" si="69"/>
        <v>52</v>
      </c>
      <c r="W3969" s="348" t="str">
        <f>IF(板块成分!B3971="","",板块成分!B3971)</f>
        <v>603115.SH</v>
      </c>
      <c r="X3969" s="276" t="str">
        <f>[1]!S_Info_Name(W3969)</f>
        <v>海星股份</v>
      </c>
      <c r="Y3969" s="276" t="str">
        <f ca="1">IF($Y$3="申万一级行业",[1]!s_info_industry_sw_2021(W3969,公司分析!D$5,1),IF($Y$3="申万二级行业",[1]!s_info_industry_sw_2021(W3969,公司分析!D$5,2),IF($Y$3="申万三级行业",[1]!s_info_industry_sw_2021(W3969,公司分析!D$5,3),IF($Y$3="wind一级行业",[1]!s_info_industry_gics(W3969,1),IF($Y$3="wind二级行业",[1]!s_info_industry_gics(W3969,2),IF($Y$3="wind三级行业",[1]!s_info_industry_gics(W3969,3),IF($Y$3="wind四级行业",[1]!s_info_industry_gics(W3969,4),IF($Y$3="证监会门类行业",[1]!s_info_industry_csrc12_n(W3969,公司分析!D$5,1),""))))))))</f>
        <v>工业金属</v>
      </c>
      <c r="Z3969" s="302">
        <f ca="1">IF(Y3969=行业比较!$E$6,ROW(),"")</f>
        <v>3969</v>
      </c>
    </row>
    <row r="3970" spans="22:26">
      <c r="V3970" s="260">
        <f t="shared" ca="1" si="69"/>
        <v>0</v>
      </c>
      <c r="W3970" s="348" t="str">
        <f>IF(板块成分!B3972="","",板块成分!B3972)</f>
        <v>603116.SH</v>
      </c>
      <c r="X3970" s="276" t="str">
        <f>[1]!S_Info_Name(W3970)</f>
        <v>红蜻蜓</v>
      </c>
      <c r="Y3970" s="276" t="str">
        <f ca="1">IF($Y$3="申万一级行业",[1]!s_info_industry_sw_2021(W3970,公司分析!D$5,1),IF($Y$3="申万二级行业",[1]!s_info_industry_sw_2021(W3970,公司分析!D$5,2),IF($Y$3="申万三级行业",[1]!s_info_industry_sw_2021(W3970,公司分析!D$5,3),IF($Y$3="wind一级行业",[1]!s_info_industry_gics(W3970,1),IF($Y$3="wind二级行业",[1]!s_info_industry_gics(W3970,2),IF($Y$3="wind三级行业",[1]!s_info_industry_gics(W3970,3),IF($Y$3="wind四级行业",[1]!s_info_industry_gics(W3970,4),IF($Y$3="证监会门类行业",[1]!s_info_industry_csrc12_n(W3970,公司分析!D$5,1),""))))))))</f>
        <v>服装家纺</v>
      </c>
      <c r="Z3970" s="302" t="str">
        <f ca="1">IF(Y3970=行业比较!$E$6,ROW(),"")</f>
        <v/>
      </c>
    </row>
    <row r="3971" spans="22:26">
      <c r="V3971" s="260">
        <f t="shared" ca="1" si="69"/>
        <v>0</v>
      </c>
      <c r="W3971" s="348" t="str">
        <f>IF(板块成分!B3973="","",板块成分!B3973)</f>
        <v>603117.SH</v>
      </c>
      <c r="X3971" s="276" t="str">
        <f>[1]!S_Info_Name(W3971)</f>
        <v>万林物流</v>
      </c>
      <c r="Y3971" s="276" t="str">
        <f ca="1">IF($Y$3="申万一级行业",[1]!s_info_industry_sw_2021(W3971,公司分析!D$5,1),IF($Y$3="申万二级行业",[1]!s_info_industry_sw_2021(W3971,公司分析!D$5,2),IF($Y$3="申万三级行业",[1]!s_info_industry_sw_2021(W3971,公司分析!D$5,3),IF($Y$3="wind一级行业",[1]!s_info_industry_gics(W3971,1),IF($Y$3="wind二级行业",[1]!s_info_industry_gics(W3971,2),IF($Y$3="wind三级行业",[1]!s_info_industry_gics(W3971,3),IF($Y$3="wind四级行业",[1]!s_info_industry_gics(W3971,4),IF($Y$3="证监会门类行业",[1]!s_info_industry_csrc12_n(W3971,公司分析!D$5,1),""))))))))</f>
        <v>物流</v>
      </c>
      <c r="Z3971" s="302" t="str">
        <f ca="1">IF(Y3971=行业比较!$E$6,ROW(),"")</f>
        <v/>
      </c>
    </row>
    <row r="3972" spans="22:26">
      <c r="V3972" s="260">
        <f t="shared" ca="1" si="69"/>
        <v>0</v>
      </c>
      <c r="W3972" s="348" t="str">
        <f>IF(板块成分!B3974="","",板块成分!B3974)</f>
        <v>603118.SH</v>
      </c>
      <c r="X3972" s="276" t="str">
        <f>[1]!S_Info_Name(W3972)</f>
        <v>共进股份</v>
      </c>
      <c r="Y3972" s="276" t="str">
        <f ca="1">IF($Y$3="申万一级行业",[1]!s_info_industry_sw_2021(W3972,公司分析!D$5,1),IF($Y$3="申万二级行业",[1]!s_info_industry_sw_2021(W3972,公司分析!D$5,2),IF($Y$3="申万三级行业",[1]!s_info_industry_sw_2021(W3972,公司分析!D$5,3),IF($Y$3="wind一级行业",[1]!s_info_industry_gics(W3972,1),IF($Y$3="wind二级行业",[1]!s_info_industry_gics(W3972,2),IF($Y$3="wind三级行业",[1]!s_info_industry_gics(W3972,3),IF($Y$3="wind四级行业",[1]!s_info_industry_gics(W3972,4),IF($Y$3="证监会门类行业",[1]!s_info_industry_csrc12_n(W3972,公司分析!D$5,1),""))))))))</f>
        <v>通信设备</v>
      </c>
      <c r="Z3972" s="302" t="str">
        <f ca="1">IF(Y3972=行业比较!$E$6,ROW(),"")</f>
        <v/>
      </c>
    </row>
    <row r="3973" spans="22:26">
      <c r="V3973" s="260">
        <f t="shared" ref="V3973:V4036" ca="1" si="70">IF(Z3973="",0,RANK(Z3973,Z:Z,1))</f>
        <v>0</v>
      </c>
      <c r="W3973" s="348" t="str">
        <f>IF(板块成分!B3975="","",板块成分!B3975)</f>
        <v>603119.SH</v>
      </c>
      <c r="X3973" s="276" t="str">
        <f>[1]!S_Info_Name(W3973)</f>
        <v>浙江荣泰</v>
      </c>
      <c r="Y3973" s="276" t="str">
        <f ca="1">IF($Y$3="申万一级行业",[1]!s_info_industry_sw_2021(W3973,公司分析!D$5,1),IF($Y$3="申万二级行业",[1]!s_info_industry_sw_2021(W3973,公司分析!D$5,2),IF($Y$3="申万三级行业",[1]!s_info_industry_sw_2021(W3973,公司分析!D$5,3),IF($Y$3="wind一级行业",[1]!s_info_industry_gics(W3973,1),IF($Y$3="wind二级行业",[1]!s_info_industry_gics(W3973,2),IF($Y$3="wind三级行业",[1]!s_info_industry_gics(W3973,3),IF($Y$3="wind四级行业",[1]!s_info_industry_gics(W3973,4),IF($Y$3="证监会门类行业",[1]!s_info_industry_csrc12_n(W3973,公司分析!D$5,1),""))))))))</f>
        <v>汽车零部件</v>
      </c>
      <c r="Z3973" s="302" t="str">
        <f ca="1">IF(Y3973=行业比较!$E$6,ROW(),"")</f>
        <v/>
      </c>
    </row>
    <row r="3974" spans="22:26">
      <c r="V3974" s="260">
        <f t="shared" ca="1" si="70"/>
        <v>0</v>
      </c>
      <c r="W3974" s="348" t="str">
        <f>IF(板块成分!B3976="","",板块成分!B3976)</f>
        <v>603120.SH</v>
      </c>
      <c r="X3974" s="276" t="str">
        <f>[1]!S_Info_Name(W3974)</f>
        <v>肯特催化</v>
      </c>
      <c r="Y3974" s="276" t="str">
        <f ca="1">IF($Y$3="申万一级行业",[1]!s_info_industry_sw_2021(W3974,公司分析!D$5,1),IF($Y$3="申万二级行业",[1]!s_info_industry_sw_2021(W3974,公司分析!D$5,2),IF($Y$3="申万三级行业",[1]!s_info_industry_sw_2021(W3974,公司分析!D$5,3),IF($Y$3="wind一级行业",[1]!s_info_industry_gics(W3974,1),IF($Y$3="wind二级行业",[1]!s_info_industry_gics(W3974,2),IF($Y$3="wind三级行业",[1]!s_info_industry_gics(W3974,3),IF($Y$3="wind四级行业",[1]!s_info_industry_gics(W3974,4),IF($Y$3="证监会门类行业",[1]!s_info_industry_csrc12_n(W3974,公司分析!D$5,1),""))))))))</f>
        <v>化学制品</v>
      </c>
      <c r="Z3974" s="302" t="str">
        <f ca="1">IF(Y3974=行业比较!$E$6,ROW(),"")</f>
        <v/>
      </c>
    </row>
    <row r="3975" spans="22:26">
      <c r="V3975" s="260">
        <f t="shared" ca="1" si="70"/>
        <v>0</v>
      </c>
      <c r="W3975" s="348" t="str">
        <f>IF(板块成分!B3977="","",板块成分!B3977)</f>
        <v>603121.SH</v>
      </c>
      <c r="X3975" s="276" t="str">
        <f>[1]!S_Info_Name(W3975)</f>
        <v>华培动力</v>
      </c>
      <c r="Y3975" s="276" t="str">
        <f ca="1">IF($Y$3="申万一级行业",[1]!s_info_industry_sw_2021(W3975,公司分析!D$5,1),IF($Y$3="申万二级行业",[1]!s_info_industry_sw_2021(W3975,公司分析!D$5,2),IF($Y$3="申万三级行业",[1]!s_info_industry_sw_2021(W3975,公司分析!D$5,3),IF($Y$3="wind一级行业",[1]!s_info_industry_gics(W3975,1),IF($Y$3="wind二级行业",[1]!s_info_industry_gics(W3975,2),IF($Y$3="wind三级行业",[1]!s_info_industry_gics(W3975,3),IF($Y$3="wind四级行业",[1]!s_info_industry_gics(W3975,4),IF($Y$3="证监会门类行业",[1]!s_info_industry_csrc12_n(W3975,公司分析!D$5,1),""))))))))</f>
        <v>汽车零部件</v>
      </c>
      <c r="Z3975" s="302" t="str">
        <f ca="1">IF(Y3975=行业比较!$E$6,ROW(),"")</f>
        <v/>
      </c>
    </row>
    <row r="3976" spans="22:26">
      <c r="V3976" s="260">
        <f t="shared" ca="1" si="70"/>
        <v>0</v>
      </c>
      <c r="W3976" s="348" t="str">
        <f>IF(板块成分!B3978="","",板块成分!B3978)</f>
        <v>603122.SH</v>
      </c>
      <c r="X3976" s="276" t="str">
        <f>[1]!S_Info_Name(W3976)</f>
        <v>合富中国</v>
      </c>
      <c r="Y3976" s="276" t="str">
        <f ca="1">IF($Y$3="申万一级行业",[1]!s_info_industry_sw_2021(W3976,公司分析!D$5,1),IF($Y$3="申万二级行业",[1]!s_info_industry_sw_2021(W3976,公司分析!D$5,2),IF($Y$3="申万三级行业",[1]!s_info_industry_sw_2021(W3976,公司分析!D$5,3),IF($Y$3="wind一级行业",[1]!s_info_industry_gics(W3976,1),IF($Y$3="wind二级行业",[1]!s_info_industry_gics(W3976,2),IF($Y$3="wind三级行业",[1]!s_info_industry_gics(W3976,3),IF($Y$3="wind四级行业",[1]!s_info_industry_gics(W3976,4),IF($Y$3="证监会门类行业",[1]!s_info_industry_csrc12_n(W3976,公司分析!D$5,1),""))))))))</f>
        <v>医药商业</v>
      </c>
      <c r="Z3976" s="302" t="str">
        <f ca="1">IF(Y3976=行业比较!$E$6,ROW(),"")</f>
        <v/>
      </c>
    </row>
    <row r="3977" spans="22:26">
      <c r="V3977" s="260">
        <f t="shared" ca="1" si="70"/>
        <v>0</v>
      </c>
      <c r="W3977" s="348" t="str">
        <f>IF(板块成分!B3979="","",板块成分!B3979)</f>
        <v>603123.SH</v>
      </c>
      <c r="X3977" s="276" t="str">
        <f>[1]!S_Info_Name(W3977)</f>
        <v>翠微股份</v>
      </c>
      <c r="Y3977" s="276" t="str">
        <f ca="1">IF($Y$3="申万一级行业",[1]!s_info_industry_sw_2021(W3977,公司分析!D$5,1),IF($Y$3="申万二级行业",[1]!s_info_industry_sw_2021(W3977,公司分析!D$5,2),IF($Y$3="申万三级行业",[1]!s_info_industry_sw_2021(W3977,公司分析!D$5,3),IF($Y$3="wind一级行业",[1]!s_info_industry_gics(W3977,1),IF($Y$3="wind二级行业",[1]!s_info_industry_gics(W3977,2),IF($Y$3="wind三级行业",[1]!s_info_industry_gics(W3977,3),IF($Y$3="wind四级行业",[1]!s_info_industry_gics(W3977,4),IF($Y$3="证监会门类行业",[1]!s_info_industry_csrc12_n(W3977,公司分析!D$5,1),""))))))))</f>
        <v>一般零售</v>
      </c>
      <c r="Z3977" s="302" t="str">
        <f ca="1">IF(Y3977=行业比较!$E$6,ROW(),"")</f>
        <v/>
      </c>
    </row>
    <row r="3978" spans="22:26">
      <c r="V3978" s="260">
        <f t="shared" ca="1" si="70"/>
        <v>0</v>
      </c>
      <c r="W3978" s="348" t="str">
        <f>IF(板块成分!B3980="","",板块成分!B3980)</f>
        <v>603124.SH</v>
      </c>
      <c r="X3978" s="276" t="str">
        <f>[1]!S_Info_Name(W3978)</f>
        <v>江南新材</v>
      </c>
      <c r="Y3978" s="276" t="str">
        <f ca="1">IF($Y$3="申万一级行业",[1]!s_info_industry_sw_2021(W3978,公司分析!D$5,1),IF($Y$3="申万二级行业",[1]!s_info_industry_sw_2021(W3978,公司分析!D$5,2),IF($Y$3="申万三级行业",[1]!s_info_industry_sw_2021(W3978,公司分析!D$5,3),IF($Y$3="wind一级行业",[1]!s_info_industry_gics(W3978,1),IF($Y$3="wind二级行业",[1]!s_info_industry_gics(W3978,2),IF($Y$3="wind三级行业",[1]!s_info_industry_gics(W3978,3),IF($Y$3="wind四级行业",[1]!s_info_industry_gics(W3978,4),IF($Y$3="证监会门类行业",[1]!s_info_industry_csrc12_n(W3978,公司分析!D$5,1),""))))))))</f>
        <v>金属新材料</v>
      </c>
      <c r="Z3978" s="302" t="str">
        <f ca="1">IF(Y3978=行业比较!$E$6,ROW(),"")</f>
        <v/>
      </c>
    </row>
    <row r="3979" spans="22:26">
      <c r="V3979" s="260">
        <f t="shared" ca="1" si="70"/>
        <v>0</v>
      </c>
      <c r="W3979" s="348" t="str">
        <f>IF(板块成分!B3981="","",板块成分!B3981)</f>
        <v>603125.SH</v>
      </c>
      <c r="X3979" s="276" t="str">
        <f>[1]!S_Info_Name(W3979)</f>
        <v>常青科技</v>
      </c>
      <c r="Y3979" s="276" t="str">
        <f ca="1">IF($Y$3="申万一级行业",[1]!s_info_industry_sw_2021(W3979,公司分析!D$5,1),IF($Y$3="申万二级行业",[1]!s_info_industry_sw_2021(W3979,公司分析!D$5,2),IF($Y$3="申万三级行业",[1]!s_info_industry_sw_2021(W3979,公司分析!D$5,3),IF($Y$3="wind一级行业",[1]!s_info_industry_gics(W3979,1),IF($Y$3="wind二级行业",[1]!s_info_industry_gics(W3979,2),IF($Y$3="wind三级行业",[1]!s_info_industry_gics(W3979,3),IF($Y$3="wind四级行业",[1]!s_info_industry_gics(W3979,4),IF($Y$3="证监会门类行业",[1]!s_info_industry_csrc12_n(W3979,公司分析!D$5,1),""))))))))</f>
        <v>化学制品</v>
      </c>
      <c r="Z3979" s="302" t="str">
        <f ca="1">IF(Y3979=行业比较!$E$6,ROW(),"")</f>
        <v/>
      </c>
    </row>
    <row r="3980" spans="22:26">
      <c r="V3980" s="260">
        <f t="shared" ca="1" si="70"/>
        <v>0</v>
      </c>
      <c r="W3980" s="348" t="str">
        <f>IF(板块成分!B3982="","",板块成分!B3982)</f>
        <v>603126.SH</v>
      </c>
      <c r="X3980" s="276" t="str">
        <f>[1]!S_Info_Name(W3980)</f>
        <v>中材节能</v>
      </c>
      <c r="Y3980" s="276" t="str">
        <f ca="1">IF($Y$3="申万一级行业",[1]!s_info_industry_sw_2021(W3980,公司分析!D$5,1),IF($Y$3="申万二级行业",[1]!s_info_industry_sw_2021(W3980,公司分析!D$5,2),IF($Y$3="申万三级行业",[1]!s_info_industry_sw_2021(W3980,公司分析!D$5,3),IF($Y$3="wind一级行业",[1]!s_info_industry_gics(W3980,1),IF($Y$3="wind二级行业",[1]!s_info_industry_gics(W3980,2),IF($Y$3="wind三级行业",[1]!s_info_industry_gics(W3980,3),IF($Y$3="wind四级行业",[1]!s_info_industry_gics(W3980,4),IF($Y$3="证监会门类行业",[1]!s_info_industry_csrc12_n(W3980,公司分析!D$5,1),""))))))))</f>
        <v>环保设备Ⅱ</v>
      </c>
      <c r="Z3980" s="302" t="str">
        <f ca="1">IF(Y3980=行业比较!$E$6,ROW(),"")</f>
        <v/>
      </c>
    </row>
    <row r="3981" spans="22:26">
      <c r="V3981" s="260">
        <f t="shared" ca="1" si="70"/>
        <v>0</v>
      </c>
      <c r="W3981" s="348" t="str">
        <f>IF(板块成分!B3983="","",板块成分!B3983)</f>
        <v>603127.SH</v>
      </c>
      <c r="X3981" s="276" t="str">
        <f>[1]!S_Info_Name(W3981)</f>
        <v>昭衍新药</v>
      </c>
      <c r="Y3981" s="276" t="str">
        <f ca="1">IF($Y$3="申万一级行业",[1]!s_info_industry_sw_2021(W3981,公司分析!D$5,1),IF($Y$3="申万二级行业",[1]!s_info_industry_sw_2021(W3981,公司分析!D$5,2),IF($Y$3="申万三级行业",[1]!s_info_industry_sw_2021(W3981,公司分析!D$5,3),IF($Y$3="wind一级行业",[1]!s_info_industry_gics(W3981,1),IF($Y$3="wind二级行业",[1]!s_info_industry_gics(W3981,2),IF($Y$3="wind三级行业",[1]!s_info_industry_gics(W3981,3),IF($Y$3="wind四级行业",[1]!s_info_industry_gics(W3981,4),IF($Y$3="证监会门类行业",[1]!s_info_industry_csrc12_n(W3981,公司分析!D$5,1),""))))))))</f>
        <v>医疗服务</v>
      </c>
      <c r="Z3981" s="302" t="str">
        <f ca="1">IF(Y3981=行业比较!$E$6,ROW(),"")</f>
        <v/>
      </c>
    </row>
    <row r="3982" spans="22:26">
      <c r="V3982" s="260">
        <f t="shared" ca="1" si="70"/>
        <v>0</v>
      </c>
      <c r="W3982" s="348" t="str">
        <f>IF(板块成分!B3984="","",板块成分!B3984)</f>
        <v>603128.SH</v>
      </c>
      <c r="X3982" s="276" t="str">
        <f>[1]!S_Info_Name(W3982)</f>
        <v>华贸物流</v>
      </c>
      <c r="Y3982" s="276" t="str">
        <f ca="1">IF($Y$3="申万一级行业",[1]!s_info_industry_sw_2021(W3982,公司分析!D$5,1),IF($Y$3="申万二级行业",[1]!s_info_industry_sw_2021(W3982,公司分析!D$5,2),IF($Y$3="申万三级行业",[1]!s_info_industry_sw_2021(W3982,公司分析!D$5,3),IF($Y$3="wind一级行业",[1]!s_info_industry_gics(W3982,1),IF($Y$3="wind二级行业",[1]!s_info_industry_gics(W3982,2),IF($Y$3="wind三级行业",[1]!s_info_industry_gics(W3982,3),IF($Y$3="wind四级行业",[1]!s_info_industry_gics(W3982,4),IF($Y$3="证监会门类行业",[1]!s_info_industry_csrc12_n(W3982,公司分析!D$5,1),""))))))))</f>
        <v>物流</v>
      </c>
      <c r="Z3982" s="302" t="str">
        <f ca="1">IF(Y3982=行业比较!$E$6,ROW(),"")</f>
        <v/>
      </c>
    </row>
    <row r="3983" spans="22:26">
      <c r="V3983" s="260">
        <f t="shared" ca="1" si="70"/>
        <v>0</v>
      </c>
      <c r="W3983" s="348" t="str">
        <f>IF(板块成分!B3985="","",板块成分!B3985)</f>
        <v>603129.SH</v>
      </c>
      <c r="X3983" s="276" t="str">
        <f>[1]!S_Info_Name(W3983)</f>
        <v>春风动力</v>
      </c>
      <c r="Y3983" s="276" t="str">
        <f ca="1">IF($Y$3="申万一级行业",[1]!s_info_industry_sw_2021(W3983,公司分析!D$5,1),IF($Y$3="申万二级行业",[1]!s_info_industry_sw_2021(W3983,公司分析!D$5,2),IF($Y$3="申万三级行业",[1]!s_info_industry_sw_2021(W3983,公司分析!D$5,3),IF($Y$3="wind一级行业",[1]!s_info_industry_gics(W3983,1),IF($Y$3="wind二级行业",[1]!s_info_industry_gics(W3983,2),IF($Y$3="wind三级行业",[1]!s_info_industry_gics(W3983,3),IF($Y$3="wind四级行业",[1]!s_info_industry_gics(W3983,4),IF($Y$3="证监会门类行业",[1]!s_info_industry_csrc12_n(W3983,公司分析!D$5,1),""))))))))</f>
        <v>摩托车及其他</v>
      </c>
      <c r="Z3983" s="302" t="str">
        <f ca="1">IF(Y3983=行业比较!$E$6,ROW(),"")</f>
        <v/>
      </c>
    </row>
    <row r="3984" spans="22:26">
      <c r="V3984" s="260">
        <f t="shared" ca="1" si="70"/>
        <v>0</v>
      </c>
      <c r="W3984" s="348" t="str">
        <f>IF(板块成分!B3986="","",板块成分!B3986)</f>
        <v>603130.SH</v>
      </c>
      <c r="X3984" s="276" t="str">
        <f>[1]!S_Info_Name(W3984)</f>
        <v>云中马</v>
      </c>
      <c r="Y3984" s="276" t="str">
        <f ca="1">IF($Y$3="申万一级行业",[1]!s_info_industry_sw_2021(W3984,公司分析!D$5,1),IF($Y$3="申万二级行业",[1]!s_info_industry_sw_2021(W3984,公司分析!D$5,2),IF($Y$3="申万三级行业",[1]!s_info_industry_sw_2021(W3984,公司分析!D$5,3),IF($Y$3="wind一级行业",[1]!s_info_industry_gics(W3984,1),IF($Y$3="wind二级行业",[1]!s_info_industry_gics(W3984,2),IF($Y$3="wind三级行业",[1]!s_info_industry_gics(W3984,3),IF($Y$3="wind四级行业",[1]!s_info_industry_gics(W3984,4),IF($Y$3="证监会门类行业",[1]!s_info_industry_csrc12_n(W3984,公司分析!D$5,1),""))))))))</f>
        <v>纺织制造</v>
      </c>
      <c r="Z3984" s="302" t="str">
        <f ca="1">IF(Y3984=行业比较!$E$6,ROW(),"")</f>
        <v/>
      </c>
    </row>
    <row r="3985" spans="22:26">
      <c r="V3985" s="260">
        <f t="shared" ca="1" si="70"/>
        <v>0</v>
      </c>
      <c r="W3985" s="348" t="str">
        <f>IF(板块成分!B3987="","",板块成分!B3987)</f>
        <v>603131.SH</v>
      </c>
      <c r="X3985" s="276" t="str">
        <f>[1]!S_Info_Name(W3985)</f>
        <v>上海沪工</v>
      </c>
      <c r="Y3985" s="276" t="str">
        <f ca="1">IF($Y$3="申万一级行业",[1]!s_info_industry_sw_2021(W3985,公司分析!D$5,1),IF($Y$3="申万二级行业",[1]!s_info_industry_sw_2021(W3985,公司分析!D$5,2),IF($Y$3="申万三级行业",[1]!s_info_industry_sw_2021(W3985,公司分析!D$5,3),IF($Y$3="wind一级行业",[1]!s_info_industry_gics(W3985,1),IF($Y$3="wind二级行业",[1]!s_info_industry_gics(W3985,2),IF($Y$3="wind三级行业",[1]!s_info_industry_gics(W3985,3),IF($Y$3="wind四级行业",[1]!s_info_industry_gics(W3985,4),IF($Y$3="证监会门类行业",[1]!s_info_industry_csrc12_n(W3985,公司分析!D$5,1),""))))))))</f>
        <v>通用设备</v>
      </c>
      <c r="Z3985" s="302" t="str">
        <f ca="1">IF(Y3985=行业比较!$E$6,ROW(),"")</f>
        <v/>
      </c>
    </row>
    <row r="3986" spans="22:26">
      <c r="V3986" s="260">
        <f t="shared" ca="1" si="70"/>
        <v>53</v>
      </c>
      <c r="W3986" s="348" t="str">
        <f>IF(板块成分!B3988="","",板块成分!B3988)</f>
        <v>603132.SH</v>
      </c>
      <c r="X3986" s="276" t="str">
        <f>[1]!S_Info_Name(W3986)</f>
        <v>金徽股份</v>
      </c>
      <c r="Y3986" s="276" t="str">
        <f ca="1">IF($Y$3="申万一级行业",[1]!s_info_industry_sw_2021(W3986,公司分析!D$5,1),IF($Y$3="申万二级行业",[1]!s_info_industry_sw_2021(W3986,公司分析!D$5,2),IF($Y$3="申万三级行业",[1]!s_info_industry_sw_2021(W3986,公司分析!D$5,3),IF($Y$3="wind一级行业",[1]!s_info_industry_gics(W3986,1),IF($Y$3="wind二级行业",[1]!s_info_industry_gics(W3986,2),IF($Y$3="wind三级行业",[1]!s_info_industry_gics(W3986,3),IF($Y$3="wind四级行业",[1]!s_info_industry_gics(W3986,4),IF($Y$3="证监会门类行业",[1]!s_info_industry_csrc12_n(W3986,公司分析!D$5,1),""))))))))</f>
        <v>工业金属</v>
      </c>
      <c r="Z3986" s="302">
        <f ca="1">IF(Y3986=行业比较!$E$6,ROW(),"")</f>
        <v>3986</v>
      </c>
    </row>
    <row r="3987" spans="22:26">
      <c r="V3987" s="260">
        <f t="shared" ca="1" si="70"/>
        <v>0</v>
      </c>
      <c r="W3987" s="348" t="str">
        <f>IF(板块成分!B3989="","",板块成分!B3989)</f>
        <v>603135.SH</v>
      </c>
      <c r="X3987" s="276" t="str">
        <f>[1]!S_Info_Name(W3987)</f>
        <v>中重科技</v>
      </c>
      <c r="Y3987" s="276" t="str">
        <f ca="1">IF($Y$3="申万一级行业",[1]!s_info_industry_sw_2021(W3987,公司分析!D$5,1),IF($Y$3="申万二级行业",[1]!s_info_industry_sw_2021(W3987,公司分析!D$5,2),IF($Y$3="申万三级行业",[1]!s_info_industry_sw_2021(W3987,公司分析!D$5,3),IF($Y$3="wind一级行业",[1]!s_info_industry_gics(W3987,1),IF($Y$3="wind二级行业",[1]!s_info_industry_gics(W3987,2),IF($Y$3="wind三级行业",[1]!s_info_industry_gics(W3987,3),IF($Y$3="wind四级行业",[1]!s_info_industry_gics(W3987,4),IF($Y$3="证监会门类行业",[1]!s_info_industry_csrc12_n(W3987,公司分析!D$5,1),""))))))))</f>
        <v>专用设备</v>
      </c>
      <c r="Z3987" s="302" t="str">
        <f ca="1">IF(Y3987=行业比较!$E$6,ROW(),"")</f>
        <v/>
      </c>
    </row>
    <row r="3988" spans="22:26">
      <c r="V3988" s="260">
        <f t="shared" ca="1" si="70"/>
        <v>0</v>
      </c>
      <c r="W3988" s="348" t="str">
        <f>IF(板块成分!B3990="","",板块成分!B3990)</f>
        <v>603136.SH</v>
      </c>
      <c r="X3988" s="276" t="str">
        <f>[1]!S_Info_Name(W3988)</f>
        <v>天目湖</v>
      </c>
      <c r="Y3988" s="276" t="str">
        <f ca="1">IF($Y$3="申万一级行业",[1]!s_info_industry_sw_2021(W3988,公司分析!D$5,1),IF($Y$3="申万二级行业",[1]!s_info_industry_sw_2021(W3988,公司分析!D$5,2),IF($Y$3="申万三级行业",[1]!s_info_industry_sw_2021(W3988,公司分析!D$5,3),IF($Y$3="wind一级行业",[1]!s_info_industry_gics(W3988,1),IF($Y$3="wind二级行业",[1]!s_info_industry_gics(W3988,2),IF($Y$3="wind三级行业",[1]!s_info_industry_gics(W3988,3),IF($Y$3="wind四级行业",[1]!s_info_industry_gics(W3988,4),IF($Y$3="证监会门类行业",[1]!s_info_industry_csrc12_n(W3988,公司分析!D$5,1),""))))))))</f>
        <v>旅游及景区</v>
      </c>
      <c r="Z3988" s="302" t="str">
        <f ca="1">IF(Y3988=行业比较!$E$6,ROW(),"")</f>
        <v/>
      </c>
    </row>
    <row r="3989" spans="22:26">
      <c r="V3989" s="260">
        <f t="shared" ca="1" si="70"/>
        <v>0</v>
      </c>
      <c r="W3989" s="348" t="str">
        <f>IF(板块成分!B3991="","",板块成分!B3991)</f>
        <v>603137.SH</v>
      </c>
      <c r="X3989" s="276" t="str">
        <f>[1]!S_Info_Name(W3989)</f>
        <v>恒尚节能</v>
      </c>
      <c r="Y3989" s="276" t="str">
        <f ca="1">IF($Y$3="申万一级行业",[1]!s_info_industry_sw_2021(W3989,公司分析!D$5,1),IF($Y$3="申万二级行业",[1]!s_info_industry_sw_2021(W3989,公司分析!D$5,2),IF($Y$3="申万三级行业",[1]!s_info_industry_sw_2021(W3989,公司分析!D$5,3),IF($Y$3="wind一级行业",[1]!s_info_industry_gics(W3989,1),IF($Y$3="wind二级行业",[1]!s_info_industry_gics(W3989,2),IF($Y$3="wind三级行业",[1]!s_info_industry_gics(W3989,3),IF($Y$3="wind四级行业",[1]!s_info_industry_gics(W3989,4),IF($Y$3="证监会门类行业",[1]!s_info_industry_csrc12_n(W3989,公司分析!D$5,1),""))))))))</f>
        <v>装修装饰Ⅱ</v>
      </c>
      <c r="Z3989" s="302" t="str">
        <f ca="1">IF(Y3989=行业比较!$E$6,ROW(),"")</f>
        <v/>
      </c>
    </row>
    <row r="3990" spans="22:26">
      <c r="V3990" s="260">
        <f t="shared" ca="1" si="70"/>
        <v>0</v>
      </c>
      <c r="W3990" s="348" t="str">
        <f>IF(板块成分!B3992="","",板块成分!B3992)</f>
        <v>603138.SH</v>
      </c>
      <c r="X3990" s="276" t="str">
        <f>[1]!S_Info_Name(W3990)</f>
        <v>海量数据</v>
      </c>
      <c r="Y3990" s="276" t="str">
        <f ca="1">IF($Y$3="申万一级行业",[1]!s_info_industry_sw_2021(W3990,公司分析!D$5,1),IF($Y$3="申万二级行业",[1]!s_info_industry_sw_2021(W3990,公司分析!D$5,2),IF($Y$3="申万三级行业",[1]!s_info_industry_sw_2021(W3990,公司分析!D$5,3),IF($Y$3="wind一级行业",[1]!s_info_industry_gics(W3990,1),IF($Y$3="wind二级行业",[1]!s_info_industry_gics(W3990,2),IF($Y$3="wind三级行业",[1]!s_info_industry_gics(W3990,3),IF($Y$3="wind四级行业",[1]!s_info_industry_gics(W3990,4),IF($Y$3="证监会门类行业",[1]!s_info_industry_csrc12_n(W3990,公司分析!D$5,1),""))))))))</f>
        <v>IT服务Ⅱ</v>
      </c>
      <c r="Z3990" s="302" t="str">
        <f ca="1">IF(Y3990=行业比较!$E$6,ROW(),"")</f>
        <v/>
      </c>
    </row>
    <row r="3991" spans="22:26">
      <c r="V3991" s="260">
        <f t="shared" ca="1" si="70"/>
        <v>0</v>
      </c>
      <c r="W3991" s="348" t="str">
        <f>IF(板块成分!B3993="","",板块成分!B3993)</f>
        <v>603139.SH</v>
      </c>
      <c r="X3991" s="276" t="str">
        <f>[1]!S_Info_Name(W3991)</f>
        <v>康惠股份</v>
      </c>
      <c r="Y3991" s="276" t="str">
        <f ca="1">IF($Y$3="申万一级行业",[1]!s_info_industry_sw_2021(W3991,公司分析!D$5,1),IF($Y$3="申万二级行业",[1]!s_info_industry_sw_2021(W3991,公司分析!D$5,2),IF($Y$3="申万三级行业",[1]!s_info_industry_sw_2021(W3991,公司分析!D$5,3),IF($Y$3="wind一级行业",[1]!s_info_industry_gics(W3991,1),IF($Y$3="wind二级行业",[1]!s_info_industry_gics(W3991,2),IF($Y$3="wind三级行业",[1]!s_info_industry_gics(W3991,3),IF($Y$3="wind四级行业",[1]!s_info_industry_gics(W3991,4),IF($Y$3="证监会门类行业",[1]!s_info_industry_csrc12_n(W3991,公司分析!D$5,1),""))))))))</f>
        <v>中药Ⅱ</v>
      </c>
      <c r="Z3991" s="302" t="str">
        <f ca="1">IF(Y3991=行业比较!$E$6,ROW(),"")</f>
        <v/>
      </c>
    </row>
    <row r="3992" spans="22:26">
      <c r="V3992" s="260">
        <f t="shared" ca="1" si="70"/>
        <v>0</v>
      </c>
      <c r="W3992" s="348" t="str">
        <f>IF(板块成分!B3994="","",板块成分!B3994)</f>
        <v>603150.SH</v>
      </c>
      <c r="X3992" s="276" t="str">
        <f>[1]!S_Info_Name(W3992)</f>
        <v>万朗磁塑</v>
      </c>
      <c r="Y3992" s="276" t="str">
        <f ca="1">IF($Y$3="申万一级行业",[1]!s_info_industry_sw_2021(W3992,公司分析!D$5,1),IF($Y$3="申万二级行业",[1]!s_info_industry_sw_2021(W3992,公司分析!D$5,2),IF($Y$3="申万三级行业",[1]!s_info_industry_sw_2021(W3992,公司分析!D$5,3),IF($Y$3="wind一级行业",[1]!s_info_industry_gics(W3992,1),IF($Y$3="wind二级行业",[1]!s_info_industry_gics(W3992,2),IF($Y$3="wind三级行业",[1]!s_info_industry_gics(W3992,3),IF($Y$3="wind四级行业",[1]!s_info_industry_gics(W3992,4),IF($Y$3="证监会门类行业",[1]!s_info_industry_csrc12_n(W3992,公司分析!D$5,1),""))))))))</f>
        <v>塑料</v>
      </c>
      <c r="Z3992" s="302" t="str">
        <f ca="1">IF(Y3992=行业比较!$E$6,ROW(),"")</f>
        <v/>
      </c>
    </row>
    <row r="3993" spans="22:26">
      <c r="V3993" s="260">
        <f t="shared" ca="1" si="70"/>
        <v>0</v>
      </c>
      <c r="W3993" s="348" t="str">
        <f>IF(板块成分!B3995="","",板块成分!B3995)</f>
        <v>603151.SH</v>
      </c>
      <c r="X3993" s="276" t="str">
        <f>[1]!S_Info_Name(W3993)</f>
        <v>邦基科技</v>
      </c>
      <c r="Y3993" s="276" t="str">
        <f ca="1">IF($Y$3="申万一级行业",[1]!s_info_industry_sw_2021(W3993,公司分析!D$5,1),IF($Y$3="申万二级行业",[1]!s_info_industry_sw_2021(W3993,公司分析!D$5,2),IF($Y$3="申万三级行业",[1]!s_info_industry_sw_2021(W3993,公司分析!D$5,3),IF($Y$3="wind一级行业",[1]!s_info_industry_gics(W3993,1),IF($Y$3="wind二级行业",[1]!s_info_industry_gics(W3993,2),IF($Y$3="wind三级行业",[1]!s_info_industry_gics(W3993,3),IF($Y$3="wind四级行业",[1]!s_info_industry_gics(W3993,4),IF($Y$3="证监会门类行业",[1]!s_info_industry_csrc12_n(W3993,公司分析!D$5,1),""))))))))</f>
        <v>饲料</v>
      </c>
      <c r="Z3993" s="302" t="str">
        <f ca="1">IF(Y3993=行业比较!$E$6,ROW(),"")</f>
        <v/>
      </c>
    </row>
    <row r="3994" spans="22:26">
      <c r="V3994" s="260">
        <f t="shared" ca="1" si="70"/>
        <v>0</v>
      </c>
      <c r="W3994" s="348" t="str">
        <f>IF(板块成分!B3996="","",板块成分!B3996)</f>
        <v>603153.SH</v>
      </c>
      <c r="X3994" s="276" t="str">
        <f>[1]!S_Info_Name(W3994)</f>
        <v>上海建科</v>
      </c>
      <c r="Y3994" s="276" t="str">
        <f ca="1">IF($Y$3="申万一级行业",[1]!s_info_industry_sw_2021(W3994,公司分析!D$5,1),IF($Y$3="申万二级行业",[1]!s_info_industry_sw_2021(W3994,公司分析!D$5,2),IF($Y$3="申万三级行业",[1]!s_info_industry_sw_2021(W3994,公司分析!D$5,3),IF($Y$3="wind一级行业",[1]!s_info_industry_gics(W3994,1),IF($Y$3="wind二级行业",[1]!s_info_industry_gics(W3994,2),IF($Y$3="wind三级行业",[1]!s_info_industry_gics(W3994,3),IF($Y$3="wind四级行业",[1]!s_info_industry_gics(W3994,4),IF($Y$3="证监会门类行业",[1]!s_info_industry_csrc12_n(W3994,公司分析!D$5,1),""))))))))</f>
        <v>工程咨询服务Ⅱ</v>
      </c>
      <c r="Z3994" s="302" t="str">
        <f ca="1">IF(Y3994=行业比较!$E$6,ROW(),"")</f>
        <v/>
      </c>
    </row>
    <row r="3995" spans="22:26">
      <c r="V3995" s="260">
        <f t="shared" ca="1" si="70"/>
        <v>0</v>
      </c>
      <c r="W3995" s="348" t="str">
        <f>IF(板块成分!B3997="","",板块成分!B3997)</f>
        <v>603155.SH</v>
      </c>
      <c r="X3995" s="276" t="str">
        <f>[1]!S_Info_Name(W3995)</f>
        <v>新亚强</v>
      </c>
      <c r="Y3995" s="276" t="str">
        <f ca="1">IF($Y$3="申万一级行业",[1]!s_info_industry_sw_2021(W3995,公司分析!D$5,1),IF($Y$3="申万二级行业",[1]!s_info_industry_sw_2021(W3995,公司分析!D$5,2),IF($Y$3="申万三级行业",[1]!s_info_industry_sw_2021(W3995,公司分析!D$5,3),IF($Y$3="wind一级行业",[1]!s_info_industry_gics(W3995,1),IF($Y$3="wind二级行业",[1]!s_info_industry_gics(W3995,2),IF($Y$3="wind三级行业",[1]!s_info_industry_gics(W3995,3),IF($Y$3="wind四级行业",[1]!s_info_industry_gics(W3995,4),IF($Y$3="证监会门类行业",[1]!s_info_industry_csrc12_n(W3995,公司分析!D$5,1),""))))))))</f>
        <v>化学制品</v>
      </c>
      <c r="Z3995" s="302" t="str">
        <f ca="1">IF(Y3995=行业比较!$E$6,ROW(),"")</f>
        <v/>
      </c>
    </row>
    <row r="3996" spans="22:26">
      <c r="V3996" s="260">
        <f t="shared" ca="1" si="70"/>
        <v>0</v>
      </c>
      <c r="W3996" s="348" t="str">
        <f>IF(板块成分!B3998="","",板块成分!B3998)</f>
        <v>603156.SH</v>
      </c>
      <c r="X3996" s="276" t="str">
        <f>[1]!S_Info_Name(W3996)</f>
        <v>养元饮品</v>
      </c>
      <c r="Y3996" s="276" t="str">
        <f ca="1">IF($Y$3="申万一级行业",[1]!s_info_industry_sw_2021(W3996,公司分析!D$5,1),IF($Y$3="申万二级行业",[1]!s_info_industry_sw_2021(W3996,公司分析!D$5,2),IF($Y$3="申万三级行业",[1]!s_info_industry_sw_2021(W3996,公司分析!D$5,3),IF($Y$3="wind一级行业",[1]!s_info_industry_gics(W3996,1),IF($Y$3="wind二级行业",[1]!s_info_industry_gics(W3996,2),IF($Y$3="wind三级行业",[1]!s_info_industry_gics(W3996,3),IF($Y$3="wind四级行业",[1]!s_info_industry_gics(W3996,4),IF($Y$3="证监会门类行业",[1]!s_info_industry_csrc12_n(W3996,公司分析!D$5,1),""))))))))</f>
        <v>饮料乳品</v>
      </c>
      <c r="Z3996" s="302" t="str">
        <f ca="1">IF(Y3996=行业比较!$E$6,ROW(),"")</f>
        <v/>
      </c>
    </row>
    <row r="3997" spans="22:26">
      <c r="V3997" s="260">
        <f t="shared" ca="1" si="70"/>
        <v>0</v>
      </c>
      <c r="W3997" s="348" t="str">
        <f>IF(板块成分!B3999="","",板块成分!B3999)</f>
        <v>603158.SH</v>
      </c>
      <c r="X3997" s="276" t="str">
        <f>[1]!S_Info_Name(W3997)</f>
        <v>腾龙股份</v>
      </c>
      <c r="Y3997" s="276" t="str">
        <f ca="1">IF($Y$3="申万一级行业",[1]!s_info_industry_sw_2021(W3997,公司分析!D$5,1),IF($Y$3="申万二级行业",[1]!s_info_industry_sw_2021(W3997,公司分析!D$5,2),IF($Y$3="申万三级行业",[1]!s_info_industry_sw_2021(W3997,公司分析!D$5,3),IF($Y$3="wind一级行业",[1]!s_info_industry_gics(W3997,1),IF($Y$3="wind二级行业",[1]!s_info_industry_gics(W3997,2),IF($Y$3="wind三级行业",[1]!s_info_industry_gics(W3997,3),IF($Y$3="wind四级行业",[1]!s_info_industry_gics(W3997,4),IF($Y$3="证监会门类行业",[1]!s_info_industry_csrc12_n(W3997,公司分析!D$5,1),""))))))))</f>
        <v>汽车零部件</v>
      </c>
      <c r="Z3997" s="302" t="str">
        <f ca="1">IF(Y3997=行业比较!$E$6,ROW(),"")</f>
        <v/>
      </c>
    </row>
    <row r="3998" spans="22:26">
      <c r="V3998" s="260">
        <f t="shared" ca="1" si="70"/>
        <v>0</v>
      </c>
      <c r="W3998" s="348" t="str">
        <f>IF(板块成分!B4000="","",板块成分!B4000)</f>
        <v>603159.SH</v>
      </c>
      <c r="X3998" s="276" t="str">
        <f>[1]!S_Info_Name(W3998)</f>
        <v>上海亚虹</v>
      </c>
      <c r="Y3998" s="276" t="str">
        <f ca="1">IF($Y$3="申万一级行业",[1]!s_info_industry_sw_2021(W3998,公司分析!D$5,1),IF($Y$3="申万二级行业",[1]!s_info_industry_sw_2021(W3998,公司分析!D$5,2),IF($Y$3="申万三级行业",[1]!s_info_industry_sw_2021(W3998,公司分析!D$5,3),IF($Y$3="wind一级行业",[1]!s_info_industry_gics(W3998,1),IF($Y$3="wind二级行业",[1]!s_info_industry_gics(W3998,2),IF($Y$3="wind三级行业",[1]!s_info_industry_gics(W3998,3),IF($Y$3="wind四级行业",[1]!s_info_industry_gics(W3998,4),IF($Y$3="证监会门类行业",[1]!s_info_industry_csrc12_n(W3998,公司分析!D$5,1),""))))))))</f>
        <v>专用设备</v>
      </c>
      <c r="Z3998" s="302" t="str">
        <f ca="1">IF(Y3998=行业比较!$E$6,ROW(),"")</f>
        <v/>
      </c>
    </row>
    <row r="3999" spans="22:26">
      <c r="V3999" s="260">
        <f t="shared" ca="1" si="70"/>
        <v>0</v>
      </c>
      <c r="W3999" s="348" t="str">
        <f>IF(板块成分!B4001="","",板块成分!B4001)</f>
        <v>603160.SH</v>
      </c>
      <c r="X3999" s="276" t="str">
        <f>[1]!S_Info_Name(W3999)</f>
        <v>汇顶科技</v>
      </c>
      <c r="Y3999" s="276" t="str">
        <f ca="1">IF($Y$3="申万一级行业",[1]!s_info_industry_sw_2021(W3999,公司分析!D$5,1),IF($Y$3="申万二级行业",[1]!s_info_industry_sw_2021(W3999,公司分析!D$5,2),IF($Y$3="申万三级行业",[1]!s_info_industry_sw_2021(W3999,公司分析!D$5,3),IF($Y$3="wind一级行业",[1]!s_info_industry_gics(W3999,1),IF($Y$3="wind二级行业",[1]!s_info_industry_gics(W3999,2),IF($Y$3="wind三级行业",[1]!s_info_industry_gics(W3999,3),IF($Y$3="wind四级行业",[1]!s_info_industry_gics(W3999,4),IF($Y$3="证监会门类行业",[1]!s_info_industry_csrc12_n(W3999,公司分析!D$5,1),""))))))))</f>
        <v>半导体</v>
      </c>
      <c r="Z3999" s="302" t="str">
        <f ca="1">IF(Y3999=行业比较!$E$6,ROW(),"")</f>
        <v/>
      </c>
    </row>
    <row r="4000" spans="22:26">
      <c r="V4000" s="260">
        <f t="shared" ca="1" si="70"/>
        <v>0</v>
      </c>
      <c r="W4000" s="348" t="str">
        <f>IF(板块成分!B4002="","",板块成分!B4002)</f>
        <v>603161.SH</v>
      </c>
      <c r="X4000" s="276" t="str">
        <f>[1]!S_Info_Name(W4000)</f>
        <v>科华控股</v>
      </c>
      <c r="Y4000" s="276" t="str">
        <f ca="1">IF($Y$3="申万一级行业",[1]!s_info_industry_sw_2021(W4000,公司分析!D$5,1),IF($Y$3="申万二级行业",[1]!s_info_industry_sw_2021(W4000,公司分析!D$5,2),IF($Y$3="申万三级行业",[1]!s_info_industry_sw_2021(W4000,公司分析!D$5,3),IF($Y$3="wind一级行业",[1]!s_info_industry_gics(W4000,1),IF($Y$3="wind二级行业",[1]!s_info_industry_gics(W4000,2),IF($Y$3="wind三级行业",[1]!s_info_industry_gics(W4000,3),IF($Y$3="wind四级行业",[1]!s_info_industry_gics(W4000,4),IF($Y$3="证监会门类行业",[1]!s_info_industry_csrc12_n(W4000,公司分析!D$5,1),""))))))))</f>
        <v>汽车零部件</v>
      </c>
      <c r="Z4000" s="302" t="str">
        <f ca="1">IF(Y4000=行业比较!$E$6,ROW(),"")</f>
        <v/>
      </c>
    </row>
    <row r="4001" spans="22:26">
      <c r="V4001" s="260">
        <f t="shared" ca="1" si="70"/>
        <v>0</v>
      </c>
      <c r="W4001" s="348" t="str">
        <f>IF(板块成分!B4003="","",板块成分!B4003)</f>
        <v>603162.SH</v>
      </c>
      <c r="X4001" s="276" t="str">
        <f>[1]!S_Info_Name(W4001)</f>
        <v>海通发展</v>
      </c>
      <c r="Y4001" s="276" t="str">
        <f ca="1">IF($Y$3="申万一级行业",[1]!s_info_industry_sw_2021(W4001,公司分析!D$5,1),IF($Y$3="申万二级行业",[1]!s_info_industry_sw_2021(W4001,公司分析!D$5,2),IF($Y$3="申万三级行业",[1]!s_info_industry_sw_2021(W4001,公司分析!D$5,3),IF($Y$3="wind一级行业",[1]!s_info_industry_gics(W4001,1),IF($Y$3="wind二级行业",[1]!s_info_industry_gics(W4001,2),IF($Y$3="wind三级行业",[1]!s_info_industry_gics(W4001,3),IF($Y$3="wind四级行业",[1]!s_info_industry_gics(W4001,4),IF($Y$3="证监会门类行业",[1]!s_info_industry_csrc12_n(W4001,公司分析!D$5,1),""))))))))</f>
        <v>航运港口</v>
      </c>
      <c r="Z4001" s="302" t="str">
        <f ca="1">IF(Y4001=行业比较!$E$6,ROW(),"")</f>
        <v/>
      </c>
    </row>
    <row r="4002" spans="22:26">
      <c r="V4002" s="260">
        <f t="shared" ca="1" si="70"/>
        <v>0</v>
      </c>
      <c r="W4002" s="348" t="str">
        <f>IF(板块成分!B4004="","",板块成分!B4004)</f>
        <v>603163.SH</v>
      </c>
      <c r="X4002" s="276" t="str">
        <f>[1]!S_Info_Name(W4002)</f>
        <v>圣晖集成</v>
      </c>
      <c r="Y4002" s="276" t="str">
        <f ca="1">IF($Y$3="申万一级行业",[1]!s_info_industry_sw_2021(W4002,公司分析!D$5,1),IF($Y$3="申万二级行业",[1]!s_info_industry_sw_2021(W4002,公司分析!D$5,2),IF($Y$3="申万三级行业",[1]!s_info_industry_sw_2021(W4002,公司分析!D$5,3),IF($Y$3="wind一级行业",[1]!s_info_industry_gics(W4002,1),IF($Y$3="wind二级行业",[1]!s_info_industry_gics(W4002,2),IF($Y$3="wind三级行业",[1]!s_info_industry_gics(W4002,3),IF($Y$3="wind四级行业",[1]!s_info_industry_gics(W4002,4),IF($Y$3="证监会门类行业",[1]!s_info_industry_csrc12_n(W4002,公司分析!D$5,1),""))))))))</f>
        <v>专业工程</v>
      </c>
      <c r="Z4002" s="302" t="str">
        <f ca="1">IF(Y4002=行业比较!$E$6,ROW(),"")</f>
        <v/>
      </c>
    </row>
    <row r="4003" spans="22:26">
      <c r="V4003" s="260">
        <f t="shared" ca="1" si="70"/>
        <v>0</v>
      </c>
      <c r="W4003" s="348" t="str">
        <f>IF(板块成分!B4005="","",板块成分!B4005)</f>
        <v>603165.SH</v>
      </c>
      <c r="X4003" s="276" t="str">
        <f>[1]!S_Info_Name(W4003)</f>
        <v>荣晟环保</v>
      </c>
      <c r="Y4003" s="276" t="str">
        <f ca="1">IF($Y$3="申万一级行业",[1]!s_info_industry_sw_2021(W4003,公司分析!D$5,1),IF($Y$3="申万二级行业",[1]!s_info_industry_sw_2021(W4003,公司分析!D$5,2),IF($Y$3="申万三级行业",[1]!s_info_industry_sw_2021(W4003,公司分析!D$5,3),IF($Y$3="wind一级行业",[1]!s_info_industry_gics(W4003,1),IF($Y$3="wind二级行业",[1]!s_info_industry_gics(W4003,2),IF($Y$3="wind三级行业",[1]!s_info_industry_gics(W4003,3),IF($Y$3="wind四级行业",[1]!s_info_industry_gics(W4003,4),IF($Y$3="证监会门类行业",[1]!s_info_industry_csrc12_n(W4003,公司分析!D$5,1),""))))))))</f>
        <v>造纸</v>
      </c>
      <c r="Z4003" s="302" t="str">
        <f ca="1">IF(Y4003=行业比较!$E$6,ROW(),"")</f>
        <v/>
      </c>
    </row>
    <row r="4004" spans="22:26">
      <c r="V4004" s="260">
        <f t="shared" ca="1" si="70"/>
        <v>0</v>
      </c>
      <c r="W4004" s="348" t="str">
        <f>IF(板块成分!B4006="","",板块成分!B4006)</f>
        <v>603166.SH</v>
      </c>
      <c r="X4004" s="276" t="str">
        <f>[1]!S_Info_Name(W4004)</f>
        <v>福达股份</v>
      </c>
      <c r="Y4004" s="276" t="str">
        <f ca="1">IF($Y$3="申万一级行业",[1]!s_info_industry_sw_2021(W4004,公司分析!D$5,1),IF($Y$3="申万二级行业",[1]!s_info_industry_sw_2021(W4004,公司分析!D$5,2),IF($Y$3="申万三级行业",[1]!s_info_industry_sw_2021(W4004,公司分析!D$5,3),IF($Y$3="wind一级行业",[1]!s_info_industry_gics(W4004,1),IF($Y$3="wind二级行业",[1]!s_info_industry_gics(W4004,2),IF($Y$3="wind三级行业",[1]!s_info_industry_gics(W4004,3),IF($Y$3="wind四级行业",[1]!s_info_industry_gics(W4004,4),IF($Y$3="证监会门类行业",[1]!s_info_industry_csrc12_n(W4004,公司分析!D$5,1),""))))))))</f>
        <v>汽车零部件</v>
      </c>
      <c r="Z4004" s="302" t="str">
        <f ca="1">IF(Y4004=行业比较!$E$6,ROW(),"")</f>
        <v/>
      </c>
    </row>
    <row r="4005" spans="22:26">
      <c r="V4005" s="260">
        <f t="shared" ca="1" si="70"/>
        <v>0</v>
      </c>
      <c r="W4005" s="348" t="str">
        <f>IF(板块成分!B4007="","",板块成分!B4007)</f>
        <v>603167.SH</v>
      </c>
      <c r="X4005" s="276" t="str">
        <f>[1]!S_Info_Name(W4005)</f>
        <v>渤海轮渡</v>
      </c>
      <c r="Y4005" s="276" t="str">
        <f ca="1">IF($Y$3="申万一级行业",[1]!s_info_industry_sw_2021(W4005,公司分析!D$5,1),IF($Y$3="申万二级行业",[1]!s_info_industry_sw_2021(W4005,公司分析!D$5,2),IF($Y$3="申万三级行业",[1]!s_info_industry_sw_2021(W4005,公司分析!D$5,3),IF($Y$3="wind一级行业",[1]!s_info_industry_gics(W4005,1),IF($Y$3="wind二级行业",[1]!s_info_industry_gics(W4005,2),IF($Y$3="wind三级行业",[1]!s_info_industry_gics(W4005,3),IF($Y$3="wind四级行业",[1]!s_info_industry_gics(W4005,4),IF($Y$3="证监会门类行业",[1]!s_info_industry_csrc12_n(W4005,公司分析!D$5,1),""))))))))</f>
        <v>航运港口</v>
      </c>
      <c r="Z4005" s="302" t="str">
        <f ca="1">IF(Y4005=行业比较!$E$6,ROW(),"")</f>
        <v/>
      </c>
    </row>
    <row r="4006" spans="22:26">
      <c r="V4006" s="260">
        <f t="shared" ca="1" si="70"/>
        <v>0</v>
      </c>
      <c r="W4006" s="348" t="str">
        <f>IF(板块成分!B4008="","",板块成分!B4008)</f>
        <v>603168.SH</v>
      </c>
      <c r="X4006" s="276" t="str">
        <f>[1]!S_Info_Name(W4006)</f>
        <v>莎普爱思</v>
      </c>
      <c r="Y4006" s="276" t="str">
        <f ca="1">IF($Y$3="申万一级行业",[1]!s_info_industry_sw_2021(W4006,公司分析!D$5,1),IF($Y$3="申万二级行业",[1]!s_info_industry_sw_2021(W4006,公司分析!D$5,2),IF($Y$3="申万三级行业",[1]!s_info_industry_sw_2021(W4006,公司分析!D$5,3),IF($Y$3="wind一级行业",[1]!s_info_industry_gics(W4006,1),IF($Y$3="wind二级行业",[1]!s_info_industry_gics(W4006,2),IF($Y$3="wind三级行业",[1]!s_info_industry_gics(W4006,3),IF($Y$3="wind四级行业",[1]!s_info_industry_gics(W4006,4),IF($Y$3="证监会门类行业",[1]!s_info_industry_csrc12_n(W4006,公司分析!D$5,1),""))))))))</f>
        <v>化学制药</v>
      </c>
      <c r="Z4006" s="302" t="str">
        <f ca="1">IF(Y4006=行业比较!$E$6,ROW(),"")</f>
        <v/>
      </c>
    </row>
    <row r="4007" spans="22:26">
      <c r="V4007" s="260">
        <f t="shared" ca="1" si="70"/>
        <v>0</v>
      </c>
      <c r="W4007" s="348" t="str">
        <f>IF(板块成分!B4009="","",板块成分!B4009)</f>
        <v>603169.SH</v>
      </c>
      <c r="X4007" s="276" t="str">
        <f>[1]!S_Info_Name(W4007)</f>
        <v>兰石重装</v>
      </c>
      <c r="Y4007" s="276" t="str">
        <f ca="1">IF($Y$3="申万一级行业",[1]!s_info_industry_sw_2021(W4007,公司分析!D$5,1),IF($Y$3="申万二级行业",[1]!s_info_industry_sw_2021(W4007,公司分析!D$5,2),IF($Y$3="申万三级行业",[1]!s_info_industry_sw_2021(W4007,公司分析!D$5,3),IF($Y$3="wind一级行业",[1]!s_info_industry_gics(W4007,1),IF($Y$3="wind二级行业",[1]!s_info_industry_gics(W4007,2),IF($Y$3="wind三级行业",[1]!s_info_industry_gics(W4007,3),IF($Y$3="wind四级行业",[1]!s_info_industry_gics(W4007,4),IF($Y$3="证监会门类行业",[1]!s_info_industry_csrc12_n(W4007,公司分析!D$5,1),""))))))))</f>
        <v>专用设备</v>
      </c>
      <c r="Z4007" s="302" t="str">
        <f ca="1">IF(Y4007=行业比较!$E$6,ROW(),"")</f>
        <v/>
      </c>
    </row>
    <row r="4008" spans="22:26">
      <c r="V4008" s="260">
        <f t="shared" ca="1" si="70"/>
        <v>0</v>
      </c>
      <c r="W4008" s="348" t="str">
        <f>IF(板块成分!B4010="","",板块成分!B4010)</f>
        <v>603170.SH</v>
      </c>
      <c r="X4008" s="276" t="str">
        <f>[1]!S_Info_Name(W4008)</f>
        <v>宝立食品</v>
      </c>
      <c r="Y4008" s="276" t="str">
        <f ca="1">IF($Y$3="申万一级行业",[1]!s_info_industry_sw_2021(W4008,公司分析!D$5,1),IF($Y$3="申万二级行业",[1]!s_info_industry_sw_2021(W4008,公司分析!D$5,2),IF($Y$3="申万三级行业",[1]!s_info_industry_sw_2021(W4008,公司分析!D$5,3),IF($Y$3="wind一级行业",[1]!s_info_industry_gics(W4008,1),IF($Y$3="wind二级行业",[1]!s_info_industry_gics(W4008,2),IF($Y$3="wind三级行业",[1]!s_info_industry_gics(W4008,3),IF($Y$3="wind四级行业",[1]!s_info_industry_gics(W4008,4),IF($Y$3="证监会门类行业",[1]!s_info_industry_csrc12_n(W4008,公司分析!D$5,1),""))))))))</f>
        <v>调味发酵品Ⅱ</v>
      </c>
      <c r="Z4008" s="302" t="str">
        <f ca="1">IF(Y4008=行业比较!$E$6,ROW(),"")</f>
        <v/>
      </c>
    </row>
    <row r="4009" spans="22:26">
      <c r="V4009" s="260">
        <f t="shared" ca="1" si="70"/>
        <v>0</v>
      </c>
      <c r="W4009" s="348" t="str">
        <f>IF(板块成分!B4011="","",板块成分!B4011)</f>
        <v>603171.SH</v>
      </c>
      <c r="X4009" s="276" t="str">
        <f>[1]!S_Info_Name(W4009)</f>
        <v>税友股份</v>
      </c>
      <c r="Y4009" s="276" t="str">
        <f ca="1">IF($Y$3="申万一级行业",[1]!s_info_industry_sw_2021(W4009,公司分析!D$5,1),IF($Y$3="申万二级行业",[1]!s_info_industry_sw_2021(W4009,公司分析!D$5,2),IF($Y$3="申万三级行业",[1]!s_info_industry_sw_2021(W4009,公司分析!D$5,3),IF($Y$3="wind一级行业",[1]!s_info_industry_gics(W4009,1),IF($Y$3="wind二级行业",[1]!s_info_industry_gics(W4009,2),IF($Y$3="wind三级行业",[1]!s_info_industry_gics(W4009,3),IF($Y$3="wind四级行业",[1]!s_info_industry_gics(W4009,4),IF($Y$3="证监会门类行业",[1]!s_info_industry_csrc12_n(W4009,公司分析!D$5,1),""))))))))</f>
        <v>IT服务Ⅱ</v>
      </c>
      <c r="Z4009" s="302" t="str">
        <f ca="1">IF(Y4009=行业比较!$E$6,ROW(),"")</f>
        <v/>
      </c>
    </row>
    <row r="4010" spans="22:26">
      <c r="V4010" s="260">
        <f t="shared" ca="1" si="70"/>
        <v>0</v>
      </c>
      <c r="W4010" s="348" t="str">
        <f>IF(板块成分!B4012="","",板块成分!B4012)</f>
        <v>603172.SH</v>
      </c>
      <c r="X4010" s="276" t="str">
        <f>[1]!S_Info_Name(W4010)</f>
        <v>万丰股份</v>
      </c>
      <c r="Y4010" s="276" t="str">
        <f ca="1">IF($Y$3="申万一级行业",[1]!s_info_industry_sw_2021(W4010,公司分析!D$5,1),IF($Y$3="申万二级行业",[1]!s_info_industry_sw_2021(W4010,公司分析!D$5,2),IF($Y$3="申万三级行业",[1]!s_info_industry_sw_2021(W4010,公司分析!D$5,3),IF($Y$3="wind一级行业",[1]!s_info_industry_gics(W4010,1),IF($Y$3="wind二级行业",[1]!s_info_industry_gics(W4010,2),IF($Y$3="wind三级行业",[1]!s_info_industry_gics(W4010,3),IF($Y$3="wind四级行业",[1]!s_info_industry_gics(W4010,4),IF($Y$3="证监会门类行业",[1]!s_info_industry_csrc12_n(W4010,公司分析!D$5,1),""))))))))</f>
        <v>化学制品</v>
      </c>
      <c r="Z4010" s="302" t="str">
        <f ca="1">IF(Y4010=行业比较!$E$6,ROW(),"")</f>
        <v/>
      </c>
    </row>
    <row r="4011" spans="22:26">
      <c r="V4011" s="260">
        <f t="shared" ca="1" si="70"/>
        <v>0</v>
      </c>
      <c r="W4011" s="348" t="str">
        <f>IF(板块成分!B4013="","",板块成分!B4013)</f>
        <v>603173.SH</v>
      </c>
      <c r="X4011" s="276" t="str">
        <f>[1]!S_Info_Name(W4011)</f>
        <v>福斯达</v>
      </c>
      <c r="Y4011" s="276" t="str">
        <f ca="1">IF($Y$3="申万一级行业",[1]!s_info_industry_sw_2021(W4011,公司分析!D$5,1),IF($Y$3="申万二级行业",[1]!s_info_industry_sw_2021(W4011,公司分析!D$5,2),IF($Y$3="申万三级行业",[1]!s_info_industry_sw_2021(W4011,公司分析!D$5,3),IF($Y$3="wind一级行业",[1]!s_info_industry_gics(W4011,1),IF($Y$3="wind二级行业",[1]!s_info_industry_gics(W4011,2),IF($Y$3="wind三级行业",[1]!s_info_industry_gics(W4011,3),IF($Y$3="wind四级行业",[1]!s_info_industry_gics(W4011,4),IF($Y$3="证监会门类行业",[1]!s_info_industry_csrc12_n(W4011,公司分析!D$5,1),""))))))))</f>
        <v>专用设备</v>
      </c>
      <c r="Z4011" s="302" t="str">
        <f ca="1">IF(Y4011=行业比较!$E$6,ROW(),"")</f>
        <v/>
      </c>
    </row>
    <row r="4012" spans="22:26">
      <c r="V4012" s="260">
        <f t="shared" ca="1" si="70"/>
        <v>0</v>
      </c>
      <c r="W4012" s="348" t="str">
        <f>IF(板块成分!B4014="","",板块成分!B4014)</f>
        <v>603175.SH</v>
      </c>
      <c r="X4012" s="276" t="str">
        <f>[1]!S_Info_Name(W4012)</f>
        <v>超颖电子</v>
      </c>
      <c r="Y4012" s="276" t="str">
        <f ca="1">IF($Y$3="申万一级行业",[1]!s_info_industry_sw_2021(W4012,公司分析!D$5,1),IF($Y$3="申万二级行业",[1]!s_info_industry_sw_2021(W4012,公司分析!D$5,2),IF($Y$3="申万三级行业",[1]!s_info_industry_sw_2021(W4012,公司分析!D$5,3),IF($Y$3="wind一级行业",[1]!s_info_industry_gics(W4012,1),IF($Y$3="wind二级行业",[1]!s_info_industry_gics(W4012,2),IF($Y$3="wind三级行业",[1]!s_info_industry_gics(W4012,3),IF($Y$3="wind四级行业",[1]!s_info_industry_gics(W4012,4),IF($Y$3="证监会门类行业",[1]!s_info_industry_csrc12_n(W4012,公司分析!D$5,1),""))))))))</f>
        <v>元件</v>
      </c>
      <c r="Z4012" s="302" t="str">
        <f ca="1">IF(Y4012=行业比较!$E$6,ROW(),"")</f>
        <v/>
      </c>
    </row>
    <row r="4013" spans="22:26">
      <c r="V4013" s="260">
        <f t="shared" ca="1" si="70"/>
        <v>0</v>
      </c>
      <c r="W4013" s="348" t="str">
        <f>IF(板块成分!B4015="","",板块成分!B4015)</f>
        <v>603176.SH</v>
      </c>
      <c r="X4013" s="276" t="str">
        <f>[1]!S_Info_Name(W4013)</f>
        <v>汇通集团</v>
      </c>
      <c r="Y4013" s="276" t="str">
        <f ca="1">IF($Y$3="申万一级行业",[1]!s_info_industry_sw_2021(W4013,公司分析!D$5,1),IF($Y$3="申万二级行业",[1]!s_info_industry_sw_2021(W4013,公司分析!D$5,2),IF($Y$3="申万三级行业",[1]!s_info_industry_sw_2021(W4013,公司分析!D$5,3),IF($Y$3="wind一级行业",[1]!s_info_industry_gics(W4013,1),IF($Y$3="wind二级行业",[1]!s_info_industry_gics(W4013,2),IF($Y$3="wind三级行业",[1]!s_info_industry_gics(W4013,3),IF($Y$3="wind四级行业",[1]!s_info_industry_gics(W4013,4),IF($Y$3="证监会门类行业",[1]!s_info_industry_csrc12_n(W4013,公司分析!D$5,1),""))))))))</f>
        <v>基础建设</v>
      </c>
      <c r="Z4013" s="302" t="str">
        <f ca="1">IF(Y4013=行业比较!$E$6,ROW(),"")</f>
        <v/>
      </c>
    </row>
    <row r="4014" spans="22:26">
      <c r="V4014" s="260">
        <f t="shared" ca="1" si="70"/>
        <v>0</v>
      </c>
      <c r="W4014" s="348" t="str">
        <f>IF(板块成分!B4016="","",板块成分!B4016)</f>
        <v>603177.SH</v>
      </c>
      <c r="X4014" s="276" t="str">
        <f>[1]!S_Info_Name(W4014)</f>
        <v>德创环保</v>
      </c>
      <c r="Y4014" s="276" t="str">
        <f ca="1">IF($Y$3="申万一级行业",[1]!s_info_industry_sw_2021(W4014,公司分析!D$5,1),IF($Y$3="申万二级行业",[1]!s_info_industry_sw_2021(W4014,公司分析!D$5,2),IF($Y$3="申万三级行业",[1]!s_info_industry_sw_2021(W4014,公司分析!D$5,3),IF($Y$3="wind一级行业",[1]!s_info_industry_gics(W4014,1),IF($Y$3="wind二级行业",[1]!s_info_industry_gics(W4014,2),IF($Y$3="wind三级行业",[1]!s_info_industry_gics(W4014,3),IF($Y$3="wind四级行业",[1]!s_info_industry_gics(W4014,4),IF($Y$3="证监会门类行业",[1]!s_info_industry_csrc12_n(W4014,公司分析!D$5,1),""))))))))</f>
        <v>环境治理</v>
      </c>
      <c r="Z4014" s="302" t="str">
        <f ca="1">IF(Y4014=行业比较!$E$6,ROW(),"")</f>
        <v/>
      </c>
    </row>
    <row r="4015" spans="22:26">
      <c r="V4015" s="260">
        <f t="shared" ca="1" si="70"/>
        <v>0</v>
      </c>
      <c r="W4015" s="348" t="str">
        <f>IF(板块成分!B4017="","",板块成分!B4017)</f>
        <v>603178.SH</v>
      </c>
      <c r="X4015" s="276" t="str">
        <f>[1]!S_Info_Name(W4015)</f>
        <v>圣龙股份</v>
      </c>
      <c r="Y4015" s="276" t="str">
        <f ca="1">IF($Y$3="申万一级行业",[1]!s_info_industry_sw_2021(W4015,公司分析!D$5,1),IF($Y$3="申万二级行业",[1]!s_info_industry_sw_2021(W4015,公司分析!D$5,2),IF($Y$3="申万三级行业",[1]!s_info_industry_sw_2021(W4015,公司分析!D$5,3),IF($Y$3="wind一级行业",[1]!s_info_industry_gics(W4015,1),IF($Y$3="wind二级行业",[1]!s_info_industry_gics(W4015,2),IF($Y$3="wind三级行业",[1]!s_info_industry_gics(W4015,3),IF($Y$3="wind四级行业",[1]!s_info_industry_gics(W4015,4),IF($Y$3="证监会门类行业",[1]!s_info_industry_csrc12_n(W4015,公司分析!D$5,1),""))))))))</f>
        <v>汽车零部件</v>
      </c>
      <c r="Z4015" s="302" t="str">
        <f ca="1">IF(Y4015=行业比较!$E$6,ROW(),"")</f>
        <v/>
      </c>
    </row>
    <row r="4016" spans="22:26">
      <c r="V4016" s="260">
        <f t="shared" ca="1" si="70"/>
        <v>0</v>
      </c>
      <c r="W4016" s="348" t="str">
        <f>IF(板块成分!B4018="","",板块成分!B4018)</f>
        <v>603179.SH</v>
      </c>
      <c r="X4016" s="276" t="str">
        <f>[1]!S_Info_Name(W4016)</f>
        <v>新泉股份</v>
      </c>
      <c r="Y4016" s="276" t="str">
        <f ca="1">IF($Y$3="申万一级行业",[1]!s_info_industry_sw_2021(W4016,公司分析!D$5,1),IF($Y$3="申万二级行业",[1]!s_info_industry_sw_2021(W4016,公司分析!D$5,2),IF($Y$3="申万三级行业",[1]!s_info_industry_sw_2021(W4016,公司分析!D$5,3),IF($Y$3="wind一级行业",[1]!s_info_industry_gics(W4016,1),IF($Y$3="wind二级行业",[1]!s_info_industry_gics(W4016,2),IF($Y$3="wind三级行业",[1]!s_info_industry_gics(W4016,3),IF($Y$3="wind四级行业",[1]!s_info_industry_gics(W4016,4),IF($Y$3="证监会门类行业",[1]!s_info_industry_csrc12_n(W4016,公司分析!D$5,1),""))))))))</f>
        <v>汽车零部件</v>
      </c>
      <c r="Z4016" s="302" t="str">
        <f ca="1">IF(Y4016=行业比较!$E$6,ROW(),"")</f>
        <v/>
      </c>
    </row>
    <row r="4017" spans="22:26">
      <c r="V4017" s="260">
        <f t="shared" ca="1" si="70"/>
        <v>0</v>
      </c>
      <c r="W4017" s="348" t="str">
        <f>IF(板块成分!B4019="","",板块成分!B4019)</f>
        <v>603180.SH</v>
      </c>
      <c r="X4017" s="276" t="str">
        <f>[1]!S_Info_Name(W4017)</f>
        <v>金牌家居</v>
      </c>
      <c r="Y4017" s="276" t="str">
        <f ca="1">IF($Y$3="申万一级行业",[1]!s_info_industry_sw_2021(W4017,公司分析!D$5,1),IF($Y$3="申万二级行业",[1]!s_info_industry_sw_2021(W4017,公司分析!D$5,2),IF($Y$3="申万三级行业",[1]!s_info_industry_sw_2021(W4017,公司分析!D$5,3),IF($Y$3="wind一级行业",[1]!s_info_industry_gics(W4017,1),IF($Y$3="wind二级行业",[1]!s_info_industry_gics(W4017,2),IF($Y$3="wind三级行业",[1]!s_info_industry_gics(W4017,3),IF($Y$3="wind四级行业",[1]!s_info_industry_gics(W4017,4),IF($Y$3="证监会门类行业",[1]!s_info_industry_csrc12_n(W4017,公司分析!D$5,1),""))))))))</f>
        <v>家居用品</v>
      </c>
      <c r="Z4017" s="302" t="str">
        <f ca="1">IF(Y4017=行业比较!$E$6,ROW(),"")</f>
        <v/>
      </c>
    </row>
    <row r="4018" spans="22:26">
      <c r="V4018" s="260">
        <f t="shared" ca="1" si="70"/>
        <v>0</v>
      </c>
      <c r="W4018" s="348" t="str">
        <f>IF(板块成分!B4020="","",板块成分!B4020)</f>
        <v>603181.SH</v>
      </c>
      <c r="X4018" s="276" t="str">
        <f>[1]!S_Info_Name(W4018)</f>
        <v>皇马科技</v>
      </c>
      <c r="Y4018" s="276" t="str">
        <f ca="1">IF($Y$3="申万一级行业",[1]!s_info_industry_sw_2021(W4018,公司分析!D$5,1),IF($Y$3="申万二级行业",[1]!s_info_industry_sw_2021(W4018,公司分析!D$5,2),IF($Y$3="申万三级行业",[1]!s_info_industry_sw_2021(W4018,公司分析!D$5,3),IF($Y$3="wind一级行业",[1]!s_info_industry_gics(W4018,1),IF($Y$3="wind二级行业",[1]!s_info_industry_gics(W4018,2),IF($Y$3="wind三级行业",[1]!s_info_industry_gics(W4018,3),IF($Y$3="wind四级行业",[1]!s_info_industry_gics(W4018,4),IF($Y$3="证监会门类行业",[1]!s_info_industry_csrc12_n(W4018,公司分析!D$5,1),""))))))))</f>
        <v>化学制品</v>
      </c>
      <c r="Z4018" s="302" t="str">
        <f ca="1">IF(Y4018=行业比较!$E$6,ROW(),"")</f>
        <v/>
      </c>
    </row>
    <row r="4019" spans="22:26">
      <c r="V4019" s="260">
        <f t="shared" ca="1" si="70"/>
        <v>0</v>
      </c>
      <c r="W4019" s="348" t="str">
        <f>IF(板块成分!B4021="","",板块成分!B4021)</f>
        <v>603182.SH</v>
      </c>
      <c r="X4019" s="276" t="str">
        <f>[1]!S_Info_Name(W4019)</f>
        <v>嘉华股份</v>
      </c>
      <c r="Y4019" s="276" t="str">
        <f ca="1">IF($Y$3="申万一级行业",[1]!s_info_industry_sw_2021(W4019,公司分析!D$5,1),IF($Y$3="申万二级行业",[1]!s_info_industry_sw_2021(W4019,公司分析!D$5,2),IF($Y$3="申万三级行业",[1]!s_info_industry_sw_2021(W4019,公司分析!D$5,3),IF($Y$3="wind一级行业",[1]!s_info_industry_gics(W4019,1),IF($Y$3="wind二级行业",[1]!s_info_industry_gics(W4019,2),IF($Y$3="wind三级行业",[1]!s_info_industry_gics(W4019,3),IF($Y$3="wind四级行业",[1]!s_info_industry_gics(W4019,4),IF($Y$3="证监会门类行业",[1]!s_info_industry_csrc12_n(W4019,公司分析!D$5,1),""))))))))</f>
        <v>农产品加工</v>
      </c>
      <c r="Z4019" s="302" t="str">
        <f ca="1">IF(Y4019=行业比较!$E$6,ROW(),"")</f>
        <v/>
      </c>
    </row>
    <row r="4020" spans="22:26">
      <c r="V4020" s="260">
        <f t="shared" ca="1" si="70"/>
        <v>0</v>
      </c>
      <c r="W4020" s="348" t="str">
        <f>IF(板块成分!B4022="","",板块成分!B4022)</f>
        <v>603183.SH</v>
      </c>
      <c r="X4020" s="276" t="str">
        <f>[1]!S_Info_Name(W4020)</f>
        <v>建研院</v>
      </c>
      <c r="Y4020" s="276" t="str">
        <f ca="1">IF($Y$3="申万一级行业",[1]!s_info_industry_sw_2021(W4020,公司分析!D$5,1),IF($Y$3="申万二级行业",[1]!s_info_industry_sw_2021(W4020,公司分析!D$5,2),IF($Y$3="申万三级行业",[1]!s_info_industry_sw_2021(W4020,公司分析!D$5,3),IF($Y$3="wind一级行业",[1]!s_info_industry_gics(W4020,1),IF($Y$3="wind二级行业",[1]!s_info_industry_gics(W4020,2),IF($Y$3="wind三级行业",[1]!s_info_industry_gics(W4020,3),IF($Y$3="wind四级行业",[1]!s_info_industry_gics(W4020,4),IF($Y$3="证监会门类行业",[1]!s_info_industry_csrc12_n(W4020,公司分析!D$5,1),""))))))))</f>
        <v>专业服务</v>
      </c>
      <c r="Z4020" s="302" t="str">
        <f ca="1">IF(Y4020=行业比较!$E$6,ROW(),"")</f>
        <v/>
      </c>
    </row>
    <row r="4021" spans="22:26">
      <c r="V4021" s="260">
        <f t="shared" ca="1" si="70"/>
        <v>0</v>
      </c>
      <c r="W4021" s="348" t="str">
        <f>IF(板块成分!B4023="","",板块成分!B4023)</f>
        <v>603185.SH</v>
      </c>
      <c r="X4021" s="276" t="str">
        <f>[1]!S_Info_Name(W4021)</f>
        <v>弘元绿能</v>
      </c>
      <c r="Y4021" s="276" t="str">
        <f ca="1">IF($Y$3="申万一级行业",[1]!s_info_industry_sw_2021(W4021,公司分析!D$5,1),IF($Y$3="申万二级行业",[1]!s_info_industry_sw_2021(W4021,公司分析!D$5,2),IF($Y$3="申万三级行业",[1]!s_info_industry_sw_2021(W4021,公司分析!D$5,3),IF($Y$3="wind一级行业",[1]!s_info_industry_gics(W4021,1),IF($Y$3="wind二级行业",[1]!s_info_industry_gics(W4021,2),IF($Y$3="wind三级行业",[1]!s_info_industry_gics(W4021,3),IF($Y$3="wind四级行业",[1]!s_info_industry_gics(W4021,4),IF($Y$3="证监会门类行业",[1]!s_info_industry_csrc12_n(W4021,公司分析!D$5,1),""))))))))</f>
        <v>光伏设备</v>
      </c>
      <c r="Z4021" s="302" t="str">
        <f ca="1">IF(Y4021=行业比较!$E$6,ROW(),"")</f>
        <v/>
      </c>
    </row>
    <row r="4022" spans="22:26">
      <c r="V4022" s="260">
        <f t="shared" ca="1" si="70"/>
        <v>0</v>
      </c>
      <c r="W4022" s="348" t="str">
        <f>IF(板块成分!B4024="","",板块成分!B4024)</f>
        <v>603186.SH</v>
      </c>
      <c r="X4022" s="276" t="str">
        <f>[1]!S_Info_Name(W4022)</f>
        <v>华正新材</v>
      </c>
      <c r="Y4022" s="276" t="str">
        <f ca="1">IF($Y$3="申万一级行业",[1]!s_info_industry_sw_2021(W4022,公司分析!D$5,1),IF($Y$3="申万二级行业",[1]!s_info_industry_sw_2021(W4022,公司分析!D$5,2),IF($Y$3="申万三级行业",[1]!s_info_industry_sw_2021(W4022,公司分析!D$5,3),IF($Y$3="wind一级行业",[1]!s_info_industry_gics(W4022,1),IF($Y$3="wind二级行业",[1]!s_info_industry_gics(W4022,2),IF($Y$3="wind三级行业",[1]!s_info_industry_gics(W4022,3),IF($Y$3="wind四级行业",[1]!s_info_industry_gics(W4022,4),IF($Y$3="证监会门类行业",[1]!s_info_industry_csrc12_n(W4022,公司分析!D$5,1),""))))))))</f>
        <v>元件</v>
      </c>
      <c r="Z4022" s="302" t="str">
        <f ca="1">IF(Y4022=行业比较!$E$6,ROW(),"")</f>
        <v/>
      </c>
    </row>
    <row r="4023" spans="22:26">
      <c r="V4023" s="260">
        <f t="shared" ca="1" si="70"/>
        <v>0</v>
      </c>
      <c r="W4023" s="348" t="str">
        <f>IF(板块成分!B4025="","",板块成分!B4025)</f>
        <v>603187.SH</v>
      </c>
      <c r="X4023" s="276" t="str">
        <f>[1]!S_Info_Name(W4023)</f>
        <v>海容冷链</v>
      </c>
      <c r="Y4023" s="276" t="str">
        <f ca="1">IF($Y$3="申万一级行业",[1]!s_info_industry_sw_2021(W4023,公司分析!D$5,1),IF($Y$3="申万二级行业",[1]!s_info_industry_sw_2021(W4023,公司分析!D$5,2),IF($Y$3="申万三级行业",[1]!s_info_industry_sw_2021(W4023,公司分析!D$5,3),IF($Y$3="wind一级行业",[1]!s_info_industry_gics(W4023,1),IF($Y$3="wind二级行业",[1]!s_info_industry_gics(W4023,2),IF($Y$3="wind三级行业",[1]!s_info_industry_gics(W4023,3),IF($Y$3="wind四级行业",[1]!s_info_industry_gics(W4023,4),IF($Y$3="证监会门类行业",[1]!s_info_industry_csrc12_n(W4023,公司分析!D$5,1),""))))))))</f>
        <v>通用设备</v>
      </c>
      <c r="Z4023" s="302" t="str">
        <f ca="1">IF(Y4023=行业比较!$E$6,ROW(),"")</f>
        <v/>
      </c>
    </row>
    <row r="4024" spans="22:26">
      <c r="V4024" s="260">
        <f t="shared" ca="1" si="70"/>
        <v>0</v>
      </c>
      <c r="W4024" s="348" t="str">
        <f>IF(板块成分!B4026="","",板块成分!B4026)</f>
        <v>603188.SH</v>
      </c>
      <c r="X4024" s="276" t="str">
        <f>[1]!S_Info_Name(W4024)</f>
        <v>亚邦股份</v>
      </c>
      <c r="Y4024" s="276" t="str">
        <f ca="1">IF($Y$3="申万一级行业",[1]!s_info_industry_sw_2021(W4024,公司分析!D$5,1),IF($Y$3="申万二级行业",[1]!s_info_industry_sw_2021(W4024,公司分析!D$5,2),IF($Y$3="申万三级行业",[1]!s_info_industry_sw_2021(W4024,公司分析!D$5,3),IF($Y$3="wind一级行业",[1]!s_info_industry_gics(W4024,1),IF($Y$3="wind二级行业",[1]!s_info_industry_gics(W4024,2),IF($Y$3="wind三级行业",[1]!s_info_industry_gics(W4024,3),IF($Y$3="wind四级行业",[1]!s_info_industry_gics(W4024,4),IF($Y$3="证监会门类行业",[1]!s_info_industry_csrc12_n(W4024,公司分析!D$5,1),""))))))))</f>
        <v>化学制品</v>
      </c>
      <c r="Z4024" s="302" t="str">
        <f ca="1">IF(Y4024=行业比较!$E$6,ROW(),"")</f>
        <v/>
      </c>
    </row>
    <row r="4025" spans="22:26">
      <c r="V4025" s="260">
        <f t="shared" ca="1" si="70"/>
        <v>0</v>
      </c>
      <c r="W4025" s="348" t="str">
        <f>IF(板块成分!B4027="","",板块成分!B4027)</f>
        <v>603189.SH</v>
      </c>
      <c r="X4025" s="276" t="str">
        <f>[1]!S_Info_Name(W4025)</f>
        <v>网达软件</v>
      </c>
      <c r="Y4025" s="276" t="str">
        <f ca="1">IF($Y$3="申万一级行业",[1]!s_info_industry_sw_2021(W4025,公司分析!D$5,1),IF($Y$3="申万二级行业",[1]!s_info_industry_sw_2021(W4025,公司分析!D$5,2),IF($Y$3="申万三级行业",[1]!s_info_industry_sw_2021(W4025,公司分析!D$5,3),IF($Y$3="wind一级行业",[1]!s_info_industry_gics(W4025,1),IF($Y$3="wind二级行业",[1]!s_info_industry_gics(W4025,2),IF($Y$3="wind三级行业",[1]!s_info_industry_gics(W4025,3),IF($Y$3="wind四级行业",[1]!s_info_industry_gics(W4025,4),IF($Y$3="证监会门类行业",[1]!s_info_industry_csrc12_n(W4025,公司分析!D$5,1),""))))))))</f>
        <v>软件开发</v>
      </c>
      <c r="Z4025" s="302" t="str">
        <f ca="1">IF(Y4025=行业比较!$E$6,ROW(),"")</f>
        <v/>
      </c>
    </row>
    <row r="4026" spans="22:26">
      <c r="V4026" s="260">
        <f t="shared" ca="1" si="70"/>
        <v>0</v>
      </c>
      <c r="W4026" s="348" t="str">
        <f>IF(板块成分!B4028="","",板块成分!B4028)</f>
        <v>603190.SH</v>
      </c>
      <c r="X4026" s="276" t="str">
        <f>[1]!S_Info_Name(W4026)</f>
        <v>亚通精工</v>
      </c>
      <c r="Y4026" s="276" t="str">
        <f ca="1">IF($Y$3="申万一级行业",[1]!s_info_industry_sw_2021(W4026,公司分析!D$5,1),IF($Y$3="申万二级行业",[1]!s_info_industry_sw_2021(W4026,公司分析!D$5,2),IF($Y$3="申万三级行业",[1]!s_info_industry_sw_2021(W4026,公司分析!D$5,3),IF($Y$3="wind一级行业",[1]!s_info_industry_gics(W4026,1),IF($Y$3="wind二级行业",[1]!s_info_industry_gics(W4026,2),IF($Y$3="wind三级行业",[1]!s_info_industry_gics(W4026,3),IF($Y$3="wind四级行业",[1]!s_info_industry_gics(W4026,4),IF($Y$3="证监会门类行业",[1]!s_info_industry_csrc12_n(W4026,公司分析!D$5,1),""))))))))</f>
        <v>汽车零部件</v>
      </c>
      <c r="Z4026" s="302" t="str">
        <f ca="1">IF(Y4026=行业比较!$E$6,ROW(),"")</f>
        <v/>
      </c>
    </row>
    <row r="4027" spans="22:26">
      <c r="V4027" s="260">
        <f t="shared" ca="1" si="70"/>
        <v>0</v>
      </c>
      <c r="W4027" s="348" t="str">
        <f>IF(板块成分!B4029="","",板块成分!B4029)</f>
        <v>603191.SH</v>
      </c>
      <c r="X4027" s="276" t="str">
        <f>[1]!S_Info_Name(W4027)</f>
        <v>望变电气</v>
      </c>
      <c r="Y4027" s="276" t="str">
        <f ca="1">IF($Y$3="申万一级行业",[1]!s_info_industry_sw_2021(W4027,公司分析!D$5,1),IF($Y$3="申万二级行业",[1]!s_info_industry_sw_2021(W4027,公司分析!D$5,2),IF($Y$3="申万三级行业",[1]!s_info_industry_sw_2021(W4027,公司分析!D$5,3),IF($Y$3="wind一级行业",[1]!s_info_industry_gics(W4027,1),IF($Y$3="wind二级行业",[1]!s_info_industry_gics(W4027,2),IF($Y$3="wind三级行业",[1]!s_info_industry_gics(W4027,3),IF($Y$3="wind四级行业",[1]!s_info_industry_gics(W4027,4),IF($Y$3="证监会门类行业",[1]!s_info_industry_csrc12_n(W4027,公司分析!D$5,1),""))))))))</f>
        <v>电网设备</v>
      </c>
      <c r="Z4027" s="302" t="str">
        <f ca="1">IF(Y4027=行业比较!$E$6,ROW(),"")</f>
        <v/>
      </c>
    </row>
    <row r="4028" spans="22:26">
      <c r="V4028" s="260">
        <f t="shared" ca="1" si="70"/>
        <v>0</v>
      </c>
      <c r="W4028" s="348" t="str">
        <f>IF(板块成分!B4030="","",板块成分!B4030)</f>
        <v>603192.SH</v>
      </c>
      <c r="X4028" s="276" t="str">
        <f>[1]!S_Info_Name(W4028)</f>
        <v>汇得科技</v>
      </c>
      <c r="Y4028" s="276" t="str">
        <f ca="1">IF($Y$3="申万一级行业",[1]!s_info_industry_sw_2021(W4028,公司分析!D$5,1),IF($Y$3="申万二级行业",[1]!s_info_industry_sw_2021(W4028,公司分析!D$5,2),IF($Y$3="申万三级行业",[1]!s_info_industry_sw_2021(W4028,公司分析!D$5,3),IF($Y$3="wind一级行业",[1]!s_info_industry_gics(W4028,1),IF($Y$3="wind二级行业",[1]!s_info_industry_gics(W4028,2),IF($Y$3="wind三级行业",[1]!s_info_industry_gics(W4028,3),IF($Y$3="wind四级行业",[1]!s_info_industry_gics(W4028,4),IF($Y$3="证监会门类行业",[1]!s_info_industry_csrc12_n(W4028,公司分析!D$5,1),""))))))))</f>
        <v>化学制品</v>
      </c>
      <c r="Z4028" s="302" t="str">
        <f ca="1">IF(Y4028=行业比较!$E$6,ROW(),"")</f>
        <v/>
      </c>
    </row>
    <row r="4029" spans="22:26">
      <c r="V4029" s="260">
        <f t="shared" ca="1" si="70"/>
        <v>0</v>
      </c>
      <c r="W4029" s="348" t="str">
        <f>IF(板块成分!B4031="","",板块成分!B4031)</f>
        <v>603193.SH</v>
      </c>
      <c r="X4029" s="276" t="str">
        <f>[1]!S_Info_Name(W4029)</f>
        <v>润本股份</v>
      </c>
      <c r="Y4029" s="276" t="str">
        <f ca="1">IF($Y$3="申万一级行业",[1]!s_info_industry_sw_2021(W4029,公司分析!D$5,1),IF($Y$3="申万二级行业",[1]!s_info_industry_sw_2021(W4029,公司分析!D$5,2),IF($Y$3="申万三级行业",[1]!s_info_industry_sw_2021(W4029,公司分析!D$5,3),IF($Y$3="wind一级行业",[1]!s_info_industry_gics(W4029,1),IF($Y$3="wind二级行业",[1]!s_info_industry_gics(W4029,2),IF($Y$3="wind三级行业",[1]!s_info_industry_gics(W4029,3),IF($Y$3="wind四级行业",[1]!s_info_industry_gics(W4029,4),IF($Y$3="证监会门类行业",[1]!s_info_industry_csrc12_n(W4029,公司分析!D$5,1),""))))))))</f>
        <v>个护用品</v>
      </c>
      <c r="Z4029" s="302" t="str">
        <f ca="1">IF(Y4029=行业比较!$E$6,ROW(),"")</f>
        <v/>
      </c>
    </row>
    <row r="4030" spans="22:26">
      <c r="V4030" s="260">
        <f t="shared" ca="1" si="70"/>
        <v>0</v>
      </c>
      <c r="W4030" s="348" t="str">
        <f>IF(板块成分!B4032="","",板块成分!B4032)</f>
        <v>603194.SH</v>
      </c>
      <c r="X4030" s="276" t="str">
        <f>[1]!S_Info_Name(W4030)</f>
        <v>中力股份</v>
      </c>
      <c r="Y4030" s="276" t="str">
        <f ca="1">IF($Y$3="申万一级行业",[1]!s_info_industry_sw_2021(W4030,公司分析!D$5,1),IF($Y$3="申万二级行业",[1]!s_info_industry_sw_2021(W4030,公司分析!D$5,2),IF($Y$3="申万三级行业",[1]!s_info_industry_sw_2021(W4030,公司分析!D$5,3),IF($Y$3="wind一级行业",[1]!s_info_industry_gics(W4030,1),IF($Y$3="wind二级行业",[1]!s_info_industry_gics(W4030,2),IF($Y$3="wind三级行业",[1]!s_info_industry_gics(W4030,3),IF($Y$3="wind四级行业",[1]!s_info_industry_gics(W4030,4),IF($Y$3="证监会门类行业",[1]!s_info_industry_csrc12_n(W4030,公司分析!D$5,1),""))))))))</f>
        <v>工程机械</v>
      </c>
      <c r="Z4030" s="302" t="str">
        <f ca="1">IF(Y4030=行业比较!$E$6,ROW(),"")</f>
        <v/>
      </c>
    </row>
    <row r="4031" spans="22:26">
      <c r="V4031" s="260">
        <f t="shared" ca="1" si="70"/>
        <v>0</v>
      </c>
      <c r="W4031" s="348" t="str">
        <f>IF(板块成分!B4033="","",板块成分!B4033)</f>
        <v>603195.SH</v>
      </c>
      <c r="X4031" s="276" t="str">
        <f>[1]!S_Info_Name(W4031)</f>
        <v>公牛集团</v>
      </c>
      <c r="Y4031" s="276" t="str">
        <f ca="1">IF($Y$3="申万一级行业",[1]!s_info_industry_sw_2021(W4031,公司分析!D$5,1),IF($Y$3="申万二级行业",[1]!s_info_industry_sw_2021(W4031,公司分析!D$5,2),IF($Y$3="申万三级行业",[1]!s_info_industry_sw_2021(W4031,公司分析!D$5,3),IF($Y$3="wind一级行业",[1]!s_info_industry_gics(W4031,1),IF($Y$3="wind二级行业",[1]!s_info_industry_gics(W4031,2),IF($Y$3="wind三级行业",[1]!s_info_industry_gics(W4031,3),IF($Y$3="wind四级行业",[1]!s_info_industry_gics(W4031,4),IF($Y$3="证监会门类行业",[1]!s_info_industry_csrc12_n(W4031,公司分析!D$5,1),""))))))))</f>
        <v>家居用品</v>
      </c>
      <c r="Z4031" s="302" t="str">
        <f ca="1">IF(Y4031=行业比较!$E$6,ROW(),"")</f>
        <v/>
      </c>
    </row>
    <row r="4032" spans="22:26">
      <c r="V4032" s="260">
        <f t="shared" ca="1" si="70"/>
        <v>0</v>
      </c>
      <c r="W4032" s="348" t="str">
        <f>IF(板块成分!B4034="","",板块成分!B4034)</f>
        <v>603196.SH</v>
      </c>
      <c r="X4032" s="276" t="str">
        <f>[1]!S_Info_Name(W4032)</f>
        <v>日播时尚</v>
      </c>
      <c r="Y4032" s="276" t="str">
        <f ca="1">IF($Y$3="申万一级行业",[1]!s_info_industry_sw_2021(W4032,公司分析!D$5,1),IF($Y$3="申万二级行业",[1]!s_info_industry_sw_2021(W4032,公司分析!D$5,2),IF($Y$3="申万三级行业",[1]!s_info_industry_sw_2021(W4032,公司分析!D$5,3),IF($Y$3="wind一级行业",[1]!s_info_industry_gics(W4032,1),IF($Y$3="wind二级行业",[1]!s_info_industry_gics(W4032,2),IF($Y$3="wind三级行业",[1]!s_info_industry_gics(W4032,3),IF($Y$3="wind四级行业",[1]!s_info_industry_gics(W4032,4),IF($Y$3="证监会门类行业",[1]!s_info_industry_csrc12_n(W4032,公司分析!D$5,1),""))))))))</f>
        <v>服装家纺</v>
      </c>
      <c r="Z4032" s="302" t="str">
        <f ca="1">IF(Y4032=行业比较!$E$6,ROW(),"")</f>
        <v/>
      </c>
    </row>
    <row r="4033" spans="22:26">
      <c r="V4033" s="260">
        <f t="shared" ca="1" si="70"/>
        <v>0</v>
      </c>
      <c r="W4033" s="348" t="str">
        <f>IF(板块成分!B4035="","",板块成分!B4035)</f>
        <v>603197.SH</v>
      </c>
      <c r="X4033" s="276" t="str">
        <f>[1]!S_Info_Name(W4033)</f>
        <v>保隆科技</v>
      </c>
      <c r="Y4033" s="276" t="str">
        <f ca="1">IF($Y$3="申万一级行业",[1]!s_info_industry_sw_2021(W4033,公司分析!D$5,1),IF($Y$3="申万二级行业",[1]!s_info_industry_sw_2021(W4033,公司分析!D$5,2),IF($Y$3="申万三级行业",[1]!s_info_industry_sw_2021(W4033,公司分析!D$5,3),IF($Y$3="wind一级行业",[1]!s_info_industry_gics(W4033,1),IF($Y$3="wind二级行业",[1]!s_info_industry_gics(W4033,2),IF($Y$3="wind三级行业",[1]!s_info_industry_gics(W4033,3),IF($Y$3="wind四级行业",[1]!s_info_industry_gics(W4033,4),IF($Y$3="证监会门类行业",[1]!s_info_industry_csrc12_n(W4033,公司分析!D$5,1),""))))))))</f>
        <v>汽车零部件</v>
      </c>
      <c r="Z4033" s="302" t="str">
        <f ca="1">IF(Y4033=行业比较!$E$6,ROW(),"")</f>
        <v/>
      </c>
    </row>
    <row r="4034" spans="22:26">
      <c r="V4034" s="260">
        <f t="shared" ca="1" si="70"/>
        <v>0</v>
      </c>
      <c r="W4034" s="348" t="str">
        <f>IF(板块成分!B4036="","",板块成分!B4036)</f>
        <v>603198.SH</v>
      </c>
      <c r="X4034" s="276" t="str">
        <f>[1]!S_Info_Name(W4034)</f>
        <v>迎驾贡酒</v>
      </c>
      <c r="Y4034" s="276" t="str">
        <f ca="1">IF($Y$3="申万一级行业",[1]!s_info_industry_sw_2021(W4034,公司分析!D$5,1),IF($Y$3="申万二级行业",[1]!s_info_industry_sw_2021(W4034,公司分析!D$5,2),IF($Y$3="申万三级行业",[1]!s_info_industry_sw_2021(W4034,公司分析!D$5,3),IF($Y$3="wind一级行业",[1]!s_info_industry_gics(W4034,1),IF($Y$3="wind二级行业",[1]!s_info_industry_gics(W4034,2),IF($Y$3="wind三级行业",[1]!s_info_industry_gics(W4034,3),IF($Y$3="wind四级行业",[1]!s_info_industry_gics(W4034,4),IF($Y$3="证监会门类行业",[1]!s_info_industry_csrc12_n(W4034,公司分析!D$5,1),""))))))))</f>
        <v>白酒Ⅱ</v>
      </c>
      <c r="Z4034" s="302" t="str">
        <f ca="1">IF(Y4034=行业比较!$E$6,ROW(),"")</f>
        <v/>
      </c>
    </row>
    <row r="4035" spans="22:26">
      <c r="V4035" s="260">
        <f t="shared" ca="1" si="70"/>
        <v>0</v>
      </c>
      <c r="W4035" s="348" t="str">
        <f>IF(板块成分!B4037="","",板块成分!B4037)</f>
        <v>603199.SH</v>
      </c>
      <c r="X4035" s="276" t="str">
        <f>[1]!S_Info_Name(W4035)</f>
        <v>九华旅游</v>
      </c>
      <c r="Y4035" s="276" t="str">
        <f ca="1">IF($Y$3="申万一级行业",[1]!s_info_industry_sw_2021(W4035,公司分析!D$5,1),IF($Y$3="申万二级行业",[1]!s_info_industry_sw_2021(W4035,公司分析!D$5,2),IF($Y$3="申万三级行业",[1]!s_info_industry_sw_2021(W4035,公司分析!D$5,3),IF($Y$3="wind一级行业",[1]!s_info_industry_gics(W4035,1),IF($Y$3="wind二级行业",[1]!s_info_industry_gics(W4035,2),IF($Y$3="wind三级行业",[1]!s_info_industry_gics(W4035,3),IF($Y$3="wind四级行业",[1]!s_info_industry_gics(W4035,4),IF($Y$3="证监会门类行业",[1]!s_info_industry_csrc12_n(W4035,公司分析!D$5,1),""))))))))</f>
        <v>旅游及景区</v>
      </c>
      <c r="Z4035" s="302" t="str">
        <f ca="1">IF(Y4035=行业比较!$E$6,ROW(),"")</f>
        <v/>
      </c>
    </row>
    <row r="4036" spans="22:26">
      <c r="V4036" s="260">
        <f t="shared" ca="1" si="70"/>
        <v>0</v>
      </c>
      <c r="W4036" s="348" t="str">
        <f>IF(板块成分!B4038="","",板块成分!B4038)</f>
        <v>603200.SH</v>
      </c>
      <c r="X4036" s="276" t="str">
        <f>[1]!S_Info_Name(W4036)</f>
        <v>上海洗霸</v>
      </c>
      <c r="Y4036" s="276" t="str">
        <f ca="1">IF($Y$3="申万一级行业",[1]!s_info_industry_sw_2021(W4036,公司分析!D$5,1),IF($Y$3="申万二级行业",[1]!s_info_industry_sw_2021(W4036,公司分析!D$5,2),IF($Y$3="申万三级行业",[1]!s_info_industry_sw_2021(W4036,公司分析!D$5,3),IF($Y$3="wind一级行业",[1]!s_info_industry_gics(W4036,1),IF($Y$3="wind二级行业",[1]!s_info_industry_gics(W4036,2),IF($Y$3="wind三级行业",[1]!s_info_industry_gics(W4036,3),IF($Y$3="wind四级行业",[1]!s_info_industry_gics(W4036,4),IF($Y$3="证监会门类行业",[1]!s_info_industry_csrc12_n(W4036,公司分析!D$5,1),""))))))))</f>
        <v>环境治理</v>
      </c>
      <c r="Z4036" s="302" t="str">
        <f ca="1">IF(Y4036=行业比较!$E$6,ROW(),"")</f>
        <v/>
      </c>
    </row>
    <row r="4037" spans="22:26">
      <c r="V4037" s="260">
        <f t="shared" ref="V4037:V4100" ca="1" si="71">IF(Z4037="",0,RANK(Z4037,Z:Z,1))</f>
        <v>0</v>
      </c>
      <c r="W4037" s="348" t="str">
        <f>IF(板块成分!B4039="","",板块成分!B4039)</f>
        <v>603201.SH</v>
      </c>
      <c r="X4037" s="276" t="str">
        <f>[1]!S_Info_Name(W4037)</f>
        <v>常润股份</v>
      </c>
      <c r="Y4037" s="276" t="str">
        <f ca="1">IF($Y$3="申万一级行业",[1]!s_info_industry_sw_2021(W4037,公司分析!D$5,1),IF($Y$3="申万二级行业",[1]!s_info_industry_sw_2021(W4037,公司分析!D$5,2),IF($Y$3="申万三级行业",[1]!s_info_industry_sw_2021(W4037,公司分析!D$5,3),IF($Y$3="wind一级行业",[1]!s_info_industry_gics(W4037,1),IF($Y$3="wind二级行业",[1]!s_info_industry_gics(W4037,2),IF($Y$3="wind三级行业",[1]!s_info_industry_gics(W4037,3),IF($Y$3="wind四级行业",[1]!s_info_industry_gics(W4037,4),IF($Y$3="证监会门类行业",[1]!s_info_industry_csrc12_n(W4037,公司分析!D$5,1),""))))))))</f>
        <v>汽车零部件</v>
      </c>
      <c r="Z4037" s="302" t="str">
        <f ca="1">IF(Y4037=行业比较!$E$6,ROW(),"")</f>
        <v/>
      </c>
    </row>
    <row r="4038" spans="22:26">
      <c r="V4038" s="260">
        <f t="shared" ca="1" si="71"/>
        <v>0</v>
      </c>
      <c r="W4038" s="348" t="str">
        <f>IF(板块成分!B4040="","",板块成分!B4040)</f>
        <v>603202.SH</v>
      </c>
      <c r="X4038" s="276" t="str">
        <f>[1]!S_Info_Name(W4038)</f>
        <v>天有为</v>
      </c>
      <c r="Y4038" s="276" t="str">
        <f ca="1">IF($Y$3="申万一级行业",[1]!s_info_industry_sw_2021(W4038,公司分析!D$5,1),IF($Y$3="申万二级行业",[1]!s_info_industry_sw_2021(W4038,公司分析!D$5,2),IF($Y$3="申万三级行业",[1]!s_info_industry_sw_2021(W4038,公司分析!D$5,3),IF($Y$3="wind一级行业",[1]!s_info_industry_gics(W4038,1),IF($Y$3="wind二级行业",[1]!s_info_industry_gics(W4038,2),IF($Y$3="wind三级行业",[1]!s_info_industry_gics(W4038,3),IF($Y$3="wind四级行业",[1]!s_info_industry_gics(W4038,4),IF($Y$3="证监会门类行业",[1]!s_info_industry_csrc12_n(W4038,公司分析!D$5,1),""))))))))</f>
        <v>汽车零部件</v>
      </c>
      <c r="Z4038" s="302" t="str">
        <f ca="1">IF(Y4038=行业比较!$E$6,ROW(),"")</f>
        <v/>
      </c>
    </row>
    <row r="4039" spans="22:26">
      <c r="V4039" s="260">
        <f t="shared" ca="1" si="71"/>
        <v>0</v>
      </c>
      <c r="W4039" s="348" t="str">
        <f>IF(板块成分!B4041="","",板块成分!B4041)</f>
        <v>603203.SH</v>
      </c>
      <c r="X4039" s="276" t="str">
        <f>[1]!S_Info_Name(W4039)</f>
        <v>快克智能</v>
      </c>
      <c r="Y4039" s="276" t="str">
        <f ca="1">IF($Y$3="申万一级行业",[1]!s_info_industry_sw_2021(W4039,公司分析!D$5,1),IF($Y$3="申万二级行业",[1]!s_info_industry_sw_2021(W4039,公司分析!D$5,2),IF($Y$3="申万三级行业",[1]!s_info_industry_sw_2021(W4039,公司分析!D$5,3),IF($Y$3="wind一级行业",[1]!s_info_industry_gics(W4039,1),IF($Y$3="wind二级行业",[1]!s_info_industry_gics(W4039,2),IF($Y$3="wind三级行业",[1]!s_info_industry_gics(W4039,3),IF($Y$3="wind四级行业",[1]!s_info_industry_gics(W4039,4),IF($Y$3="证监会门类行业",[1]!s_info_industry_csrc12_n(W4039,公司分析!D$5,1),""))))))))</f>
        <v>自动化设备</v>
      </c>
      <c r="Z4039" s="302" t="str">
        <f ca="1">IF(Y4039=行业比较!$E$6,ROW(),"")</f>
        <v/>
      </c>
    </row>
    <row r="4040" spans="22:26">
      <c r="V4040" s="260">
        <f t="shared" ca="1" si="71"/>
        <v>0</v>
      </c>
      <c r="W4040" s="348" t="str">
        <f>IF(板块成分!B4042="","",板块成分!B4042)</f>
        <v>603205.SH</v>
      </c>
      <c r="X4040" s="276" t="str">
        <f>[1]!S_Info_Name(W4040)</f>
        <v>健尔康</v>
      </c>
      <c r="Y4040" s="276" t="str">
        <f ca="1">IF($Y$3="申万一级行业",[1]!s_info_industry_sw_2021(W4040,公司分析!D$5,1),IF($Y$3="申万二级行业",[1]!s_info_industry_sw_2021(W4040,公司分析!D$5,2),IF($Y$3="申万三级行业",[1]!s_info_industry_sw_2021(W4040,公司分析!D$5,3),IF($Y$3="wind一级行业",[1]!s_info_industry_gics(W4040,1),IF($Y$3="wind二级行业",[1]!s_info_industry_gics(W4040,2),IF($Y$3="wind三级行业",[1]!s_info_industry_gics(W4040,3),IF($Y$3="wind四级行业",[1]!s_info_industry_gics(W4040,4),IF($Y$3="证监会门类行业",[1]!s_info_industry_csrc12_n(W4040,公司分析!D$5,1),""))))))))</f>
        <v>医疗器械</v>
      </c>
      <c r="Z4040" s="302" t="str">
        <f ca="1">IF(Y4040=行业比较!$E$6,ROW(),"")</f>
        <v/>
      </c>
    </row>
    <row r="4041" spans="22:26">
      <c r="V4041" s="260">
        <f t="shared" ca="1" si="71"/>
        <v>0</v>
      </c>
      <c r="W4041" s="348" t="str">
        <f>IF(板块成分!B4043="","",板块成分!B4043)</f>
        <v>603206.SH</v>
      </c>
      <c r="X4041" s="276" t="str">
        <f>[1]!S_Info_Name(W4041)</f>
        <v>嘉环科技</v>
      </c>
      <c r="Y4041" s="276" t="str">
        <f ca="1">IF($Y$3="申万一级行业",[1]!s_info_industry_sw_2021(W4041,公司分析!D$5,1),IF($Y$3="申万二级行业",[1]!s_info_industry_sw_2021(W4041,公司分析!D$5,2),IF($Y$3="申万三级行业",[1]!s_info_industry_sw_2021(W4041,公司分析!D$5,3),IF($Y$3="wind一级行业",[1]!s_info_industry_gics(W4041,1),IF($Y$3="wind二级行业",[1]!s_info_industry_gics(W4041,2),IF($Y$3="wind三级行业",[1]!s_info_industry_gics(W4041,3),IF($Y$3="wind四级行业",[1]!s_info_industry_gics(W4041,4),IF($Y$3="证监会门类行业",[1]!s_info_industry_csrc12_n(W4041,公司分析!D$5,1),""))))))))</f>
        <v>通信服务</v>
      </c>
      <c r="Z4041" s="302" t="str">
        <f ca="1">IF(Y4041=行业比较!$E$6,ROW(),"")</f>
        <v/>
      </c>
    </row>
    <row r="4042" spans="22:26">
      <c r="V4042" s="260">
        <f t="shared" ca="1" si="71"/>
        <v>0</v>
      </c>
      <c r="W4042" s="348" t="str">
        <f>IF(板块成分!B4044="","",板块成分!B4044)</f>
        <v>603207.SH</v>
      </c>
      <c r="X4042" s="276" t="str">
        <f>[1]!S_Info_Name(W4042)</f>
        <v>小方制药</v>
      </c>
      <c r="Y4042" s="276" t="str">
        <f ca="1">IF($Y$3="申万一级行业",[1]!s_info_industry_sw_2021(W4042,公司分析!D$5,1),IF($Y$3="申万二级行业",[1]!s_info_industry_sw_2021(W4042,公司分析!D$5,2),IF($Y$3="申万三级行业",[1]!s_info_industry_sw_2021(W4042,公司分析!D$5,3),IF($Y$3="wind一级行业",[1]!s_info_industry_gics(W4042,1),IF($Y$3="wind二级行业",[1]!s_info_industry_gics(W4042,2),IF($Y$3="wind三级行业",[1]!s_info_industry_gics(W4042,3),IF($Y$3="wind四级行业",[1]!s_info_industry_gics(W4042,4),IF($Y$3="证监会门类行业",[1]!s_info_industry_csrc12_n(W4042,公司分析!D$5,1),""))))))))</f>
        <v>化学制药</v>
      </c>
      <c r="Z4042" s="302" t="str">
        <f ca="1">IF(Y4042=行业比较!$E$6,ROW(),"")</f>
        <v/>
      </c>
    </row>
    <row r="4043" spans="22:26">
      <c r="V4043" s="260">
        <f t="shared" ca="1" si="71"/>
        <v>0</v>
      </c>
      <c r="W4043" s="348" t="str">
        <f>IF(板块成分!B4045="","",板块成分!B4045)</f>
        <v>603208.SH</v>
      </c>
      <c r="X4043" s="276" t="str">
        <f>[1]!S_Info_Name(W4043)</f>
        <v>江山欧派</v>
      </c>
      <c r="Y4043" s="276" t="str">
        <f ca="1">IF($Y$3="申万一级行业",[1]!s_info_industry_sw_2021(W4043,公司分析!D$5,1),IF($Y$3="申万二级行业",[1]!s_info_industry_sw_2021(W4043,公司分析!D$5,2),IF($Y$3="申万三级行业",[1]!s_info_industry_sw_2021(W4043,公司分析!D$5,3),IF($Y$3="wind一级行业",[1]!s_info_industry_gics(W4043,1),IF($Y$3="wind二级行业",[1]!s_info_industry_gics(W4043,2),IF($Y$3="wind三级行业",[1]!s_info_industry_gics(W4043,3),IF($Y$3="wind四级行业",[1]!s_info_industry_gics(W4043,4),IF($Y$3="证监会门类行业",[1]!s_info_industry_csrc12_n(W4043,公司分析!D$5,1),""))))))))</f>
        <v>家居用品</v>
      </c>
      <c r="Z4043" s="302" t="str">
        <f ca="1">IF(Y4043=行业比较!$E$6,ROW(),"")</f>
        <v/>
      </c>
    </row>
    <row r="4044" spans="22:26">
      <c r="V4044" s="260">
        <f t="shared" ca="1" si="71"/>
        <v>0</v>
      </c>
      <c r="W4044" s="348" t="str">
        <f>IF(板块成分!B4046="","",板块成分!B4046)</f>
        <v>603209.SH</v>
      </c>
      <c r="X4044" s="276" t="str">
        <f>[1]!S_Info_Name(W4044)</f>
        <v>兴通股份</v>
      </c>
      <c r="Y4044" s="276" t="str">
        <f ca="1">IF($Y$3="申万一级行业",[1]!s_info_industry_sw_2021(W4044,公司分析!D$5,1),IF($Y$3="申万二级行业",[1]!s_info_industry_sw_2021(W4044,公司分析!D$5,2),IF($Y$3="申万三级行业",[1]!s_info_industry_sw_2021(W4044,公司分析!D$5,3),IF($Y$3="wind一级行业",[1]!s_info_industry_gics(W4044,1),IF($Y$3="wind二级行业",[1]!s_info_industry_gics(W4044,2),IF($Y$3="wind三级行业",[1]!s_info_industry_gics(W4044,3),IF($Y$3="wind四级行业",[1]!s_info_industry_gics(W4044,4),IF($Y$3="证监会门类行业",[1]!s_info_industry_csrc12_n(W4044,公司分析!D$5,1),""))))))))</f>
        <v>航运港口</v>
      </c>
      <c r="Z4044" s="302" t="str">
        <f ca="1">IF(Y4044=行业比较!$E$6,ROW(),"")</f>
        <v/>
      </c>
    </row>
    <row r="4045" spans="22:26">
      <c r="V4045" s="260">
        <f t="shared" ca="1" si="71"/>
        <v>0</v>
      </c>
      <c r="W4045" s="348" t="str">
        <f>IF(板块成分!B4047="","",板块成分!B4047)</f>
        <v>603210.SH</v>
      </c>
      <c r="X4045" s="276" t="str">
        <f>[1]!S_Info_Name(W4045)</f>
        <v>泰鸿万立</v>
      </c>
      <c r="Y4045" s="276" t="str">
        <f ca="1">IF($Y$3="申万一级行业",[1]!s_info_industry_sw_2021(W4045,公司分析!D$5,1),IF($Y$3="申万二级行业",[1]!s_info_industry_sw_2021(W4045,公司分析!D$5,2),IF($Y$3="申万三级行业",[1]!s_info_industry_sw_2021(W4045,公司分析!D$5,3),IF($Y$3="wind一级行业",[1]!s_info_industry_gics(W4045,1),IF($Y$3="wind二级行业",[1]!s_info_industry_gics(W4045,2),IF($Y$3="wind三级行业",[1]!s_info_industry_gics(W4045,3),IF($Y$3="wind四级行业",[1]!s_info_industry_gics(W4045,4),IF($Y$3="证监会门类行业",[1]!s_info_industry_csrc12_n(W4045,公司分析!D$5,1),""))))))))</f>
        <v>汽车零部件</v>
      </c>
      <c r="Z4045" s="302" t="str">
        <f ca="1">IF(Y4045=行业比较!$E$6,ROW(),"")</f>
        <v/>
      </c>
    </row>
    <row r="4046" spans="22:26">
      <c r="V4046" s="260">
        <f t="shared" ca="1" si="71"/>
        <v>0</v>
      </c>
      <c r="W4046" s="348" t="str">
        <f>IF(板块成分!B4048="","",板块成分!B4048)</f>
        <v>603211.SH</v>
      </c>
      <c r="X4046" s="276" t="str">
        <f>[1]!S_Info_Name(W4046)</f>
        <v>晋拓股份</v>
      </c>
      <c r="Y4046" s="276" t="str">
        <f ca="1">IF($Y$3="申万一级行业",[1]!s_info_industry_sw_2021(W4046,公司分析!D$5,1),IF($Y$3="申万二级行业",[1]!s_info_industry_sw_2021(W4046,公司分析!D$5,2),IF($Y$3="申万三级行业",[1]!s_info_industry_sw_2021(W4046,公司分析!D$5,3),IF($Y$3="wind一级行业",[1]!s_info_industry_gics(W4046,1),IF($Y$3="wind二级行业",[1]!s_info_industry_gics(W4046,2),IF($Y$3="wind三级行业",[1]!s_info_industry_gics(W4046,3),IF($Y$3="wind四级行业",[1]!s_info_industry_gics(W4046,4),IF($Y$3="证监会门类行业",[1]!s_info_industry_csrc12_n(W4046,公司分析!D$5,1),""))))))))</f>
        <v>汽车零部件</v>
      </c>
      <c r="Z4046" s="302" t="str">
        <f ca="1">IF(Y4046=行业比较!$E$6,ROW(),"")</f>
        <v/>
      </c>
    </row>
    <row r="4047" spans="22:26">
      <c r="V4047" s="260">
        <f t="shared" ca="1" si="71"/>
        <v>0</v>
      </c>
      <c r="W4047" s="348" t="str">
        <f>IF(板块成分!B4049="","",板块成分!B4049)</f>
        <v>603212.SH</v>
      </c>
      <c r="X4047" s="276" t="str">
        <f>[1]!S_Info_Name(W4047)</f>
        <v>赛伍技术</v>
      </c>
      <c r="Y4047" s="276" t="str">
        <f ca="1">IF($Y$3="申万一级行业",[1]!s_info_industry_sw_2021(W4047,公司分析!D$5,1),IF($Y$3="申万二级行业",[1]!s_info_industry_sw_2021(W4047,公司分析!D$5,2),IF($Y$3="申万三级行业",[1]!s_info_industry_sw_2021(W4047,公司分析!D$5,3),IF($Y$3="wind一级行业",[1]!s_info_industry_gics(W4047,1),IF($Y$3="wind二级行业",[1]!s_info_industry_gics(W4047,2),IF($Y$3="wind三级行业",[1]!s_info_industry_gics(W4047,3),IF($Y$3="wind四级行业",[1]!s_info_industry_gics(W4047,4),IF($Y$3="证监会门类行业",[1]!s_info_industry_csrc12_n(W4047,公司分析!D$5,1),""))))))))</f>
        <v>光伏设备</v>
      </c>
      <c r="Z4047" s="302" t="str">
        <f ca="1">IF(Y4047=行业比较!$E$6,ROW(),"")</f>
        <v/>
      </c>
    </row>
    <row r="4048" spans="22:26">
      <c r="V4048" s="260">
        <f t="shared" ca="1" si="71"/>
        <v>0</v>
      </c>
      <c r="W4048" s="348" t="str">
        <f>IF(板块成分!B4050="","",板块成分!B4050)</f>
        <v>603213.SH</v>
      </c>
      <c r="X4048" s="276" t="str">
        <f>[1]!S_Info_Name(W4048)</f>
        <v>镇洋发展</v>
      </c>
      <c r="Y4048" s="276" t="str">
        <f ca="1">IF($Y$3="申万一级行业",[1]!s_info_industry_sw_2021(W4048,公司分析!D$5,1),IF($Y$3="申万二级行业",[1]!s_info_industry_sw_2021(W4048,公司分析!D$5,2),IF($Y$3="申万三级行业",[1]!s_info_industry_sw_2021(W4048,公司分析!D$5,3),IF($Y$3="wind一级行业",[1]!s_info_industry_gics(W4048,1),IF($Y$3="wind二级行业",[1]!s_info_industry_gics(W4048,2),IF($Y$3="wind三级行业",[1]!s_info_industry_gics(W4048,3),IF($Y$3="wind四级行业",[1]!s_info_industry_gics(W4048,4),IF($Y$3="证监会门类行业",[1]!s_info_industry_csrc12_n(W4048,公司分析!D$5,1),""))))))))</f>
        <v>化学原料</v>
      </c>
      <c r="Z4048" s="302" t="str">
        <f ca="1">IF(Y4048=行业比较!$E$6,ROW(),"")</f>
        <v/>
      </c>
    </row>
    <row r="4049" spans="22:26">
      <c r="V4049" s="260">
        <f t="shared" ca="1" si="71"/>
        <v>0</v>
      </c>
      <c r="W4049" s="348" t="str">
        <f>IF(板块成分!B4051="","",板块成分!B4051)</f>
        <v>603214.SH</v>
      </c>
      <c r="X4049" s="276" t="str">
        <f>[1]!S_Info_Name(W4049)</f>
        <v>爱婴室</v>
      </c>
      <c r="Y4049" s="276" t="str">
        <f ca="1">IF($Y$3="申万一级行业",[1]!s_info_industry_sw_2021(W4049,公司分析!D$5,1),IF($Y$3="申万二级行业",[1]!s_info_industry_sw_2021(W4049,公司分析!D$5,2),IF($Y$3="申万三级行业",[1]!s_info_industry_sw_2021(W4049,公司分析!D$5,3),IF($Y$3="wind一级行业",[1]!s_info_industry_gics(W4049,1),IF($Y$3="wind二级行业",[1]!s_info_industry_gics(W4049,2),IF($Y$3="wind三级行业",[1]!s_info_industry_gics(W4049,3),IF($Y$3="wind四级行业",[1]!s_info_industry_gics(W4049,4),IF($Y$3="证监会门类行业",[1]!s_info_industry_csrc12_n(W4049,公司分析!D$5,1),""))))))))</f>
        <v>专业连锁Ⅱ</v>
      </c>
      <c r="Z4049" s="302" t="str">
        <f ca="1">IF(Y4049=行业比较!$E$6,ROW(),"")</f>
        <v/>
      </c>
    </row>
    <row r="4050" spans="22:26">
      <c r="V4050" s="260">
        <f t="shared" ca="1" si="71"/>
        <v>0</v>
      </c>
      <c r="W4050" s="348" t="str">
        <f>IF(板块成分!B4052="","",板块成分!B4052)</f>
        <v>603215.SH</v>
      </c>
      <c r="X4050" s="276" t="str">
        <f>[1]!S_Info_Name(W4050)</f>
        <v>比依股份</v>
      </c>
      <c r="Y4050" s="276" t="str">
        <f ca="1">IF($Y$3="申万一级行业",[1]!s_info_industry_sw_2021(W4050,公司分析!D$5,1),IF($Y$3="申万二级行业",[1]!s_info_industry_sw_2021(W4050,公司分析!D$5,2),IF($Y$3="申万三级行业",[1]!s_info_industry_sw_2021(W4050,公司分析!D$5,3),IF($Y$3="wind一级行业",[1]!s_info_industry_gics(W4050,1),IF($Y$3="wind二级行业",[1]!s_info_industry_gics(W4050,2),IF($Y$3="wind三级行业",[1]!s_info_industry_gics(W4050,3),IF($Y$3="wind四级行业",[1]!s_info_industry_gics(W4050,4),IF($Y$3="证监会门类行业",[1]!s_info_industry_csrc12_n(W4050,公司分析!D$5,1),""))))))))</f>
        <v>小家电</v>
      </c>
      <c r="Z4050" s="302" t="str">
        <f ca="1">IF(Y4050=行业比较!$E$6,ROW(),"")</f>
        <v/>
      </c>
    </row>
    <row r="4051" spans="22:26">
      <c r="V4051" s="260">
        <f t="shared" ca="1" si="71"/>
        <v>0</v>
      </c>
      <c r="W4051" s="348" t="str">
        <f>IF(板块成分!B4053="","",板块成分!B4053)</f>
        <v>603216.SH</v>
      </c>
      <c r="X4051" s="276" t="str">
        <f>[1]!S_Info_Name(W4051)</f>
        <v>梦天家居</v>
      </c>
      <c r="Y4051" s="276" t="str">
        <f ca="1">IF($Y$3="申万一级行业",[1]!s_info_industry_sw_2021(W4051,公司分析!D$5,1),IF($Y$3="申万二级行业",[1]!s_info_industry_sw_2021(W4051,公司分析!D$5,2),IF($Y$3="申万三级行业",[1]!s_info_industry_sw_2021(W4051,公司分析!D$5,3),IF($Y$3="wind一级行业",[1]!s_info_industry_gics(W4051,1),IF($Y$3="wind二级行业",[1]!s_info_industry_gics(W4051,2),IF($Y$3="wind三级行业",[1]!s_info_industry_gics(W4051,3),IF($Y$3="wind四级行业",[1]!s_info_industry_gics(W4051,4),IF($Y$3="证监会门类行业",[1]!s_info_industry_csrc12_n(W4051,公司分析!D$5,1),""))))))))</f>
        <v>家居用品</v>
      </c>
      <c r="Z4051" s="302" t="str">
        <f ca="1">IF(Y4051=行业比较!$E$6,ROW(),"")</f>
        <v/>
      </c>
    </row>
    <row r="4052" spans="22:26">
      <c r="V4052" s="260">
        <f t="shared" ca="1" si="71"/>
        <v>0</v>
      </c>
      <c r="W4052" s="348" t="str">
        <f>IF(板块成分!B4054="","",板块成分!B4054)</f>
        <v>603217.SH</v>
      </c>
      <c r="X4052" s="276" t="str">
        <f>[1]!S_Info_Name(W4052)</f>
        <v>元利科技</v>
      </c>
      <c r="Y4052" s="276" t="str">
        <f ca="1">IF($Y$3="申万一级行业",[1]!s_info_industry_sw_2021(W4052,公司分析!D$5,1),IF($Y$3="申万二级行业",[1]!s_info_industry_sw_2021(W4052,公司分析!D$5,2),IF($Y$3="申万三级行业",[1]!s_info_industry_sw_2021(W4052,公司分析!D$5,3),IF($Y$3="wind一级行业",[1]!s_info_industry_gics(W4052,1),IF($Y$3="wind二级行业",[1]!s_info_industry_gics(W4052,2),IF($Y$3="wind三级行业",[1]!s_info_industry_gics(W4052,3),IF($Y$3="wind四级行业",[1]!s_info_industry_gics(W4052,4),IF($Y$3="证监会门类行业",[1]!s_info_industry_csrc12_n(W4052,公司分析!D$5,1),""))))))))</f>
        <v>化学制品</v>
      </c>
      <c r="Z4052" s="302" t="str">
        <f ca="1">IF(Y4052=行业比较!$E$6,ROW(),"")</f>
        <v/>
      </c>
    </row>
    <row r="4053" spans="22:26">
      <c r="V4053" s="260">
        <f t="shared" ca="1" si="71"/>
        <v>0</v>
      </c>
      <c r="W4053" s="348" t="str">
        <f>IF(板块成分!B4055="","",板块成分!B4055)</f>
        <v>603218.SH</v>
      </c>
      <c r="X4053" s="276" t="str">
        <f>[1]!S_Info_Name(W4053)</f>
        <v>日月股份</v>
      </c>
      <c r="Y4053" s="276" t="str">
        <f ca="1">IF($Y$3="申万一级行业",[1]!s_info_industry_sw_2021(W4053,公司分析!D$5,1),IF($Y$3="申万二级行业",[1]!s_info_industry_sw_2021(W4053,公司分析!D$5,2),IF($Y$3="申万三级行业",[1]!s_info_industry_sw_2021(W4053,公司分析!D$5,3),IF($Y$3="wind一级行业",[1]!s_info_industry_gics(W4053,1),IF($Y$3="wind二级行业",[1]!s_info_industry_gics(W4053,2),IF($Y$3="wind三级行业",[1]!s_info_industry_gics(W4053,3),IF($Y$3="wind四级行业",[1]!s_info_industry_gics(W4053,4),IF($Y$3="证监会门类行业",[1]!s_info_industry_csrc12_n(W4053,公司分析!D$5,1),""))))))))</f>
        <v>风电设备</v>
      </c>
      <c r="Z4053" s="302" t="str">
        <f ca="1">IF(Y4053=行业比较!$E$6,ROW(),"")</f>
        <v/>
      </c>
    </row>
    <row r="4054" spans="22:26">
      <c r="V4054" s="260">
        <f t="shared" ca="1" si="71"/>
        <v>0</v>
      </c>
      <c r="W4054" s="348" t="str">
        <f>IF(板块成分!B4056="","",板块成分!B4056)</f>
        <v>603219.SH</v>
      </c>
      <c r="X4054" s="276" t="str">
        <f>[1]!S_Info_Name(W4054)</f>
        <v>富佳股份</v>
      </c>
      <c r="Y4054" s="276" t="str">
        <f ca="1">IF($Y$3="申万一级行业",[1]!s_info_industry_sw_2021(W4054,公司分析!D$5,1),IF($Y$3="申万二级行业",[1]!s_info_industry_sw_2021(W4054,公司分析!D$5,2),IF($Y$3="申万三级行业",[1]!s_info_industry_sw_2021(W4054,公司分析!D$5,3),IF($Y$3="wind一级行业",[1]!s_info_industry_gics(W4054,1),IF($Y$3="wind二级行业",[1]!s_info_industry_gics(W4054,2),IF($Y$3="wind三级行业",[1]!s_info_industry_gics(W4054,3),IF($Y$3="wind四级行业",[1]!s_info_industry_gics(W4054,4),IF($Y$3="证监会门类行业",[1]!s_info_industry_csrc12_n(W4054,公司分析!D$5,1),""))))))))</f>
        <v>小家电</v>
      </c>
      <c r="Z4054" s="302" t="str">
        <f ca="1">IF(Y4054=行业比较!$E$6,ROW(),"")</f>
        <v/>
      </c>
    </row>
    <row r="4055" spans="22:26">
      <c r="V4055" s="260">
        <f t="shared" ca="1" si="71"/>
        <v>0</v>
      </c>
      <c r="W4055" s="348" t="str">
        <f>IF(板块成分!B4057="","",板块成分!B4057)</f>
        <v>603220.SH</v>
      </c>
      <c r="X4055" s="276" t="str">
        <f>[1]!S_Info_Name(W4055)</f>
        <v>中贝通信</v>
      </c>
      <c r="Y4055" s="276" t="str">
        <f ca="1">IF($Y$3="申万一级行业",[1]!s_info_industry_sw_2021(W4055,公司分析!D$5,1),IF($Y$3="申万二级行业",[1]!s_info_industry_sw_2021(W4055,公司分析!D$5,2),IF($Y$3="申万三级行业",[1]!s_info_industry_sw_2021(W4055,公司分析!D$5,3),IF($Y$3="wind一级行业",[1]!s_info_industry_gics(W4055,1),IF($Y$3="wind二级行业",[1]!s_info_industry_gics(W4055,2),IF($Y$3="wind三级行业",[1]!s_info_industry_gics(W4055,3),IF($Y$3="wind四级行业",[1]!s_info_industry_gics(W4055,4),IF($Y$3="证监会门类行业",[1]!s_info_industry_csrc12_n(W4055,公司分析!D$5,1),""))))))))</f>
        <v>通信服务</v>
      </c>
      <c r="Z4055" s="302" t="str">
        <f ca="1">IF(Y4055=行业比较!$E$6,ROW(),"")</f>
        <v/>
      </c>
    </row>
    <row r="4056" spans="22:26">
      <c r="V4056" s="260">
        <f t="shared" ca="1" si="71"/>
        <v>0</v>
      </c>
      <c r="W4056" s="348" t="str">
        <f>IF(板块成分!B4058="","",板块成分!B4058)</f>
        <v>603221.SH</v>
      </c>
      <c r="X4056" s="276" t="str">
        <f>[1]!S_Info_Name(W4056)</f>
        <v>爱丽家居</v>
      </c>
      <c r="Y4056" s="276" t="str">
        <f ca="1">IF($Y$3="申万一级行业",[1]!s_info_industry_sw_2021(W4056,公司分析!D$5,1),IF($Y$3="申万二级行业",[1]!s_info_industry_sw_2021(W4056,公司分析!D$5,2),IF($Y$3="申万三级行业",[1]!s_info_industry_sw_2021(W4056,公司分析!D$5,3),IF($Y$3="wind一级行业",[1]!s_info_industry_gics(W4056,1),IF($Y$3="wind二级行业",[1]!s_info_industry_gics(W4056,2),IF($Y$3="wind三级行业",[1]!s_info_industry_gics(W4056,3),IF($Y$3="wind四级行业",[1]!s_info_industry_gics(W4056,4),IF($Y$3="证监会门类行业",[1]!s_info_industry_csrc12_n(W4056,公司分析!D$5,1),""))))))))</f>
        <v>家居用品</v>
      </c>
      <c r="Z4056" s="302" t="str">
        <f ca="1">IF(Y4056=行业比较!$E$6,ROW(),"")</f>
        <v/>
      </c>
    </row>
    <row r="4057" spans="22:26">
      <c r="V4057" s="260">
        <f t="shared" ca="1" si="71"/>
        <v>0</v>
      </c>
      <c r="W4057" s="348" t="str">
        <f>IF(板块成分!B4059="","",板块成分!B4059)</f>
        <v>603222.SH</v>
      </c>
      <c r="X4057" s="276" t="str">
        <f>[1]!S_Info_Name(W4057)</f>
        <v>济民健康</v>
      </c>
      <c r="Y4057" s="276" t="str">
        <f ca="1">IF($Y$3="申万一级行业",[1]!s_info_industry_sw_2021(W4057,公司分析!D$5,1),IF($Y$3="申万二级行业",[1]!s_info_industry_sw_2021(W4057,公司分析!D$5,2),IF($Y$3="申万三级行业",[1]!s_info_industry_sw_2021(W4057,公司分析!D$5,3),IF($Y$3="wind一级行业",[1]!s_info_industry_gics(W4057,1),IF($Y$3="wind二级行业",[1]!s_info_industry_gics(W4057,2),IF($Y$3="wind三级行业",[1]!s_info_industry_gics(W4057,3),IF($Y$3="wind四级行业",[1]!s_info_industry_gics(W4057,4),IF($Y$3="证监会门类行业",[1]!s_info_industry_csrc12_n(W4057,公司分析!D$5,1),""))))))))</f>
        <v>医疗器械</v>
      </c>
      <c r="Z4057" s="302" t="str">
        <f ca="1">IF(Y4057=行业比较!$E$6,ROW(),"")</f>
        <v/>
      </c>
    </row>
    <row r="4058" spans="22:26">
      <c r="V4058" s="260">
        <f t="shared" ca="1" si="71"/>
        <v>0</v>
      </c>
      <c r="W4058" s="348" t="str">
        <f>IF(板块成分!B4060="","",板块成分!B4060)</f>
        <v>603223.SH</v>
      </c>
      <c r="X4058" s="276" t="str">
        <f>[1]!S_Info_Name(W4058)</f>
        <v>恒通股份</v>
      </c>
      <c r="Y4058" s="276" t="str">
        <f ca="1">IF($Y$3="申万一级行业",[1]!s_info_industry_sw_2021(W4058,公司分析!D$5,1),IF($Y$3="申万二级行业",[1]!s_info_industry_sw_2021(W4058,公司分析!D$5,2),IF($Y$3="申万三级行业",[1]!s_info_industry_sw_2021(W4058,公司分析!D$5,3),IF($Y$3="wind一级行业",[1]!s_info_industry_gics(W4058,1),IF($Y$3="wind二级行业",[1]!s_info_industry_gics(W4058,2),IF($Y$3="wind三级行业",[1]!s_info_industry_gics(W4058,3),IF($Y$3="wind四级行业",[1]!s_info_industry_gics(W4058,4),IF($Y$3="证监会门类行业",[1]!s_info_industry_csrc12_n(W4058,公司分析!D$5,1),""))))))))</f>
        <v>炼化及贸易</v>
      </c>
      <c r="Z4058" s="302" t="str">
        <f ca="1">IF(Y4058=行业比较!$E$6,ROW(),"")</f>
        <v/>
      </c>
    </row>
    <row r="4059" spans="22:26">
      <c r="V4059" s="260">
        <f t="shared" ca="1" si="71"/>
        <v>0</v>
      </c>
      <c r="W4059" s="348" t="str">
        <f>IF(板块成分!B4061="","",板块成分!B4061)</f>
        <v>603225.SH</v>
      </c>
      <c r="X4059" s="276" t="str">
        <f>[1]!S_Info_Name(W4059)</f>
        <v>新凤鸣</v>
      </c>
      <c r="Y4059" s="276" t="str">
        <f ca="1">IF($Y$3="申万一级行业",[1]!s_info_industry_sw_2021(W4059,公司分析!D$5,1),IF($Y$3="申万二级行业",[1]!s_info_industry_sw_2021(W4059,公司分析!D$5,2),IF($Y$3="申万三级行业",[1]!s_info_industry_sw_2021(W4059,公司分析!D$5,3),IF($Y$3="wind一级行业",[1]!s_info_industry_gics(W4059,1),IF($Y$3="wind二级行业",[1]!s_info_industry_gics(W4059,2),IF($Y$3="wind三级行业",[1]!s_info_industry_gics(W4059,3),IF($Y$3="wind四级行业",[1]!s_info_industry_gics(W4059,4),IF($Y$3="证监会门类行业",[1]!s_info_industry_csrc12_n(W4059,公司分析!D$5,1),""))))))))</f>
        <v>化学纤维</v>
      </c>
      <c r="Z4059" s="302" t="str">
        <f ca="1">IF(Y4059=行业比较!$E$6,ROW(),"")</f>
        <v/>
      </c>
    </row>
    <row r="4060" spans="22:26">
      <c r="V4060" s="260">
        <f t="shared" ca="1" si="71"/>
        <v>0</v>
      </c>
      <c r="W4060" s="348" t="str">
        <f>IF(板块成分!B4062="","",板块成分!B4062)</f>
        <v>603226.SH</v>
      </c>
      <c r="X4060" s="276" t="str">
        <f>[1]!S_Info_Name(W4060)</f>
        <v>菲林格尔</v>
      </c>
      <c r="Y4060" s="276" t="str">
        <f ca="1">IF($Y$3="申万一级行业",[1]!s_info_industry_sw_2021(W4060,公司分析!D$5,1),IF($Y$3="申万二级行业",[1]!s_info_industry_sw_2021(W4060,公司分析!D$5,2),IF($Y$3="申万三级行业",[1]!s_info_industry_sw_2021(W4060,公司分析!D$5,3),IF($Y$3="wind一级行业",[1]!s_info_industry_gics(W4060,1),IF($Y$3="wind二级行业",[1]!s_info_industry_gics(W4060,2),IF($Y$3="wind三级行业",[1]!s_info_industry_gics(W4060,3),IF($Y$3="wind四级行业",[1]!s_info_industry_gics(W4060,4),IF($Y$3="证监会门类行业",[1]!s_info_industry_csrc12_n(W4060,公司分析!D$5,1),""))))))))</f>
        <v>家居用品</v>
      </c>
      <c r="Z4060" s="302" t="str">
        <f ca="1">IF(Y4060=行业比较!$E$6,ROW(),"")</f>
        <v/>
      </c>
    </row>
    <row r="4061" spans="22:26">
      <c r="V4061" s="260">
        <f t="shared" ca="1" si="71"/>
        <v>0</v>
      </c>
      <c r="W4061" s="348" t="str">
        <f>IF(板块成分!B4063="","",板块成分!B4063)</f>
        <v>603227.SH</v>
      </c>
      <c r="X4061" s="276" t="str">
        <f>[1]!S_Info_Name(W4061)</f>
        <v>雪峰科技</v>
      </c>
      <c r="Y4061" s="276" t="str">
        <f ca="1">IF($Y$3="申万一级行业",[1]!s_info_industry_sw_2021(W4061,公司分析!D$5,1),IF($Y$3="申万二级行业",[1]!s_info_industry_sw_2021(W4061,公司分析!D$5,2),IF($Y$3="申万三级行业",[1]!s_info_industry_sw_2021(W4061,公司分析!D$5,3),IF($Y$3="wind一级行业",[1]!s_info_industry_gics(W4061,1),IF($Y$3="wind二级行业",[1]!s_info_industry_gics(W4061,2),IF($Y$3="wind三级行业",[1]!s_info_industry_gics(W4061,3),IF($Y$3="wind四级行业",[1]!s_info_industry_gics(W4061,4),IF($Y$3="证监会门类行业",[1]!s_info_industry_csrc12_n(W4061,公司分析!D$5,1),""))))))))</f>
        <v>化学制品</v>
      </c>
      <c r="Z4061" s="302" t="str">
        <f ca="1">IF(Y4061=行业比较!$E$6,ROW(),"")</f>
        <v/>
      </c>
    </row>
    <row r="4062" spans="22:26">
      <c r="V4062" s="260">
        <f t="shared" ca="1" si="71"/>
        <v>0</v>
      </c>
      <c r="W4062" s="348" t="str">
        <f>IF(板块成分!B4064="","",板块成分!B4064)</f>
        <v>603228.SH</v>
      </c>
      <c r="X4062" s="276" t="str">
        <f>[1]!S_Info_Name(W4062)</f>
        <v>景旺电子</v>
      </c>
      <c r="Y4062" s="276" t="str">
        <f ca="1">IF($Y$3="申万一级行业",[1]!s_info_industry_sw_2021(W4062,公司分析!D$5,1),IF($Y$3="申万二级行业",[1]!s_info_industry_sw_2021(W4062,公司分析!D$5,2),IF($Y$3="申万三级行业",[1]!s_info_industry_sw_2021(W4062,公司分析!D$5,3),IF($Y$3="wind一级行业",[1]!s_info_industry_gics(W4062,1),IF($Y$3="wind二级行业",[1]!s_info_industry_gics(W4062,2),IF($Y$3="wind三级行业",[1]!s_info_industry_gics(W4062,3),IF($Y$3="wind四级行业",[1]!s_info_industry_gics(W4062,4),IF($Y$3="证监会门类行业",[1]!s_info_industry_csrc12_n(W4062,公司分析!D$5,1),""))))))))</f>
        <v>元件</v>
      </c>
      <c r="Z4062" s="302" t="str">
        <f ca="1">IF(Y4062=行业比较!$E$6,ROW(),"")</f>
        <v/>
      </c>
    </row>
    <row r="4063" spans="22:26">
      <c r="V4063" s="260">
        <f t="shared" ca="1" si="71"/>
        <v>0</v>
      </c>
      <c r="W4063" s="348" t="str">
        <f>IF(板块成分!B4065="","",板块成分!B4065)</f>
        <v>603229.SH</v>
      </c>
      <c r="X4063" s="276" t="str">
        <f>[1]!S_Info_Name(W4063)</f>
        <v>奥翔药业</v>
      </c>
      <c r="Y4063" s="276" t="str">
        <f ca="1">IF($Y$3="申万一级行业",[1]!s_info_industry_sw_2021(W4063,公司分析!D$5,1),IF($Y$3="申万二级行业",[1]!s_info_industry_sw_2021(W4063,公司分析!D$5,2),IF($Y$3="申万三级行业",[1]!s_info_industry_sw_2021(W4063,公司分析!D$5,3),IF($Y$3="wind一级行业",[1]!s_info_industry_gics(W4063,1),IF($Y$3="wind二级行业",[1]!s_info_industry_gics(W4063,2),IF($Y$3="wind三级行业",[1]!s_info_industry_gics(W4063,3),IF($Y$3="wind四级行业",[1]!s_info_industry_gics(W4063,4),IF($Y$3="证监会门类行业",[1]!s_info_industry_csrc12_n(W4063,公司分析!D$5,1),""))))))))</f>
        <v>化学制药</v>
      </c>
      <c r="Z4063" s="302" t="str">
        <f ca="1">IF(Y4063=行业比较!$E$6,ROW(),"")</f>
        <v/>
      </c>
    </row>
    <row r="4064" spans="22:26">
      <c r="V4064" s="260">
        <f t="shared" ca="1" si="71"/>
        <v>0</v>
      </c>
      <c r="W4064" s="348" t="str">
        <f>IF(板块成分!B4066="","",板块成分!B4066)</f>
        <v>603230.SH</v>
      </c>
      <c r="X4064" s="276" t="str">
        <f>[1]!S_Info_Name(W4064)</f>
        <v>内蒙新华</v>
      </c>
      <c r="Y4064" s="276" t="str">
        <f ca="1">IF($Y$3="申万一级行业",[1]!s_info_industry_sw_2021(W4064,公司分析!D$5,1),IF($Y$3="申万二级行业",[1]!s_info_industry_sw_2021(W4064,公司分析!D$5,2),IF($Y$3="申万三级行业",[1]!s_info_industry_sw_2021(W4064,公司分析!D$5,3),IF($Y$3="wind一级行业",[1]!s_info_industry_gics(W4064,1),IF($Y$3="wind二级行业",[1]!s_info_industry_gics(W4064,2),IF($Y$3="wind三级行业",[1]!s_info_industry_gics(W4064,3),IF($Y$3="wind四级行业",[1]!s_info_industry_gics(W4064,4),IF($Y$3="证监会门类行业",[1]!s_info_industry_csrc12_n(W4064,公司分析!D$5,1),""))))))))</f>
        <v>出版</v>
      </c>
      <c r="Z4064" s="302" t="str">
        <f ca="1">IF(Y4064=行业比较!$E$6,ROW(),"")</f>
        <v/>
      </c>
    </row>
    <row r="4065" spans="22:26">
      <c r="V4065" s="260">
        <f t="shared" ca="1" si="71"/>
        <v>0</v>
      </c>
      <c r="W4065" s="348" t="str">
        <f>IF(板块成分!B4067="","",板块成分!B4067)</f>
        <v>603231.SH</v>
      </c>
      <c r="X4065" s="276" t="str">
        <f>[1]!S_Info_Name(W4065)</f>
        <v>索宝蛋白</v>
      </c>
      <c r="Y4065" s="276" t="str">
        <f ca="1">IF($Y$3="申万一级行业",[1]!s_info_industry_sw_2021(W4065,公司分析!D$5,1),IF($Y$3="申万二级行业",[1]!s_info_industry_sw_2021(W4065,公司分析!D$5,2),IF($Y$3="申万三级行业",[1]!s_info_industry_sw_2021(W4065,公司分析!D$5,3),IF($Y$3="wind一级行业",[1]!s_info_industry_gics(W4065,1),IF($Y$3="wind二级行业",[1]!s_info_industry_gics(W4065,2),IF($Y$3="wind三级行业",[1]!s_info_industry_gics(W4065,3),IF($Y$3="wind四级行业",[1]!s_info_industry_gics(W4065,4),IF($Y$3="证监会门类行业",[1]!s_info_industry_csrc12_n(W4065,公司分析!D$5,1),""))))))))</f>
        <v>农产品加工</v>
      </c>
      <c r="Z4065" s="302" t="str">
        <f ca="1">IF(Y4065=行业比较!$E$6,ROW(),"")</f>
        <v/>
      </c>
    </row>
    <row r="4066" spans="22:26">
      <c r="V4066" s="260">
        <f t="shared" ca="1" si="71"/>
        <v>0</v>
      </c>
      <c r="W4066" s="348" t="str">
        <f>IF(板块成分!B4068="","",板块成分!B4068)</f>
        <v>603232.SH</v>
      </c>
      <c r="X4066" s="276" t="str">
        <f>[1]!S_Info_Name(W4066)</f>
        <v>格尔软件</v>
      </c>
      <c r="Y4066" s="276" t="str">
        <f ca="1">IF($Y$3="申万一级行业",[1]!s_info_industry_sw_2021(W4066,公司分析!D$5,1),IF($Y$3="申万二级行业",[1]!s_info_industry_sw_2021(W4066,公司分析!D$5,2),IF($Y$3="申万三级行业",[1]!s_info_industry_sw_2021(W4066,公司分析!D$5,3),IF($Y$3="wind一级行业",[1]!s_info_industry_gics(W4066,1),IF($Y$3="wind二级行业",[1]!s_info_industry_gics(W4066,2),IF($Y$3="wind三级行业",[1]!s_info_industry_gics(W4066,3),IF($Y$3="wind四级行业",[1]!s_info_industry_gics(W4066,4),IF($Y$3="证监会门类行业",[1]!s_info_industry_csrc12_n(W4066,公司分析!D$5,1),""))))))))</f>
        <v>软件开发</v>
      </c>
      <c r="Z4066" s="302" t="str">
        <f ca="1">IF(Y4066=行业比较!$E$6,ROW(),"")</f>
        <v/>
      </c>
    </row>
    <row r="4067" spans="22:26">
      <c r="V4067" s="260">
        <f t="shared" ca="1" si="71"/>
        <v>0</v>
      </c>
      <c r="W4067" s="348" t="str">
        <f>IF(板块成分!B4069="","",板块成分!B4069)</f>
        <v>603233.SH</v>
      </c>
      <c r="X4067" s="276" t="str">
        <f>[1]!S_Info_Name(W4067)</f>
        <v>大参林</v>
      </c>
      <c r="Y4067" s="276" t="str">
        <f ca="1">IF($Y$3="申万一级行业",[1]!s_info_industry_sw_2021(W4067,公司分析!D$5,1),IF($Y$3="申万二级行业",[1]!s_info_industry_sw_2021(W4067,公司分析!D$5,2),IF($Y$3="申万三级行业",[1]!s_info_industry_sw_2021(W4067,公司分析!D$5,3),IF($Y$3="wind一级行业",[1]!s_info_industry_gics(W4067,1),IF($Y$3="wind二级行业",[1]!s_info_industry_gics(W4067,2),IF($Y$3="wind三级行业",[1]!s_info_industry_gics(W4067,3),IF($Y$3="wind四级行业",[1]!s_info_industry_gics(W4067,4),IF($Y$3="证监会门类行业",[1]!s_info_industry_csrc12_n(W4067,公司分析!D$5,1),""))))))))</f>
        <v>医药商业</v>
      </c>
      <c r="Z4067" s="302" t="str">
        <f ca="1">IF(Y4067=行业比较!$E$6,ROW(),"")</f>
        <v/>
      </c>
    </row>
    <row r="4068" spans="22:26">
      <c r="V4068" s="260">
        <f t="shared" ca="1" si="71"/>
        <v>0</v>
      </c>
      <c r="W4068" s="348" t="str">
        <f>IF(板块成分!B4070="","",板块成分!B4070)</f>
        <v>603235.SH</v>
      </c>
      <c r="X4068" s="276" t="str">
        <f>[1]!S_Info_Name(W4068)</f>
        <v>天新药业</v>
      </c>
      <c r="Y4068" s="276" t="str">
        <f ca="1">IF($Y$3="申万一级行业",[1]!s_info_industry_sw_2021(W4068,公司分析!D$5,1),IF($Y$3="申万二级行业",[1]!s_info_industry_sw_2021(W4068,公司分析!D$5,2),IF($Y$3="申万三级行业",[1]!s_info_industry_sw_2021(W4068,公司分析!D$5,3),IF($Y$3="wind一级行业",[1]!s_info_industry_gics(W4068,1),IF($Y$3="wind二级行业",[1]!s_info_industry_gics(W4068,2),IF($Y$3="wind三级行业",[1]!s_info_industry_gics(W4068,3),IF($Y$3="wind四级行业",[1]!s_info_industry_gics(W4068,4),IF($Y$3="证监会门类行业",[1]!s_info_industry_csrc12_n(W4068,公司分析!D$5,1),""))))))))</f>
        <v>化学制品</v>
      </c>
      <c r="Z4068" s="302" t="str">
        <f ca="1">IF(Y4068=行业比较!$E$6,ROW(),"")</f>
        <v/>
      </c>
    </row>
    <row r="4069" spans="22:26">
      <c r="V4069" s="260">
        <f t="shared" ca="1" si="71"/>
        <v>0</v>
      </c>
      <c r="W4069" s="348" t="str">
        <f>IF(板块成分!B4071="","",板块成分!B4071)</f>
        <v>603236.SH</v>
      </c>
      <c r="X4069" s="276" t="str">
        <f>[1]!S_Info_Name(W4069)</f>
        <v>移远通信</v>
      </c>
      <c r="Y4069" s="276" t="str">
        <f ca="1">IF($Y$3="申万一级行业",[1]!s_info_industry_sw_2021(W4069,公司分析!D$5,1),IF($Y$3="申万二级行业",[1]!s_info_industry_sw_2021(W4069,公司分析!D$5,2),IF($Y$3="申万三级行业",[1]!s_info_industry_sw_2021(W4069,公司分析!D$5,3),IF($Y$3="wind一级行业",[1]!s_info_industry_gics(W4069,1),IF($Y$3="wind二级行业",[1]!s_info_industry_gics(W4069,2),IF($Y$3="wind三级行业",[1]!s_info_industry_gics(W4069,3),IF($Y$3="wind四级行业",[1]!s_info_industry_gics(W4069,4),IF($Y$3="证监会门类行业",[1]!s_info_industry_csrc12_n(W4069,公司分析!D$5,1),""))))))))</f>
        <v>通信设备</v>
      </c>
      <c r="Z4069" s="302" t="str">
        <f ca="1">IF(Y4069=行业比较!$E$6,ROW(),"")</f>
        <v/>
      </c>
    </row>
    <row r="4070" spans="22:26">
      <c r="V4070" s="260">
        <f t="shared" ca="1" si="71"/>
        <v>0</v>
      </c>
      <c r="W4070" s="348" t="str">
        <f>IF(板块成分!B4072="","",板块成分!B4072)</f>
        <v>603237.SH</v>
      </c>
      <c r="X4070" s="276" t="str">
        <f>[1]!S_Info_Name(W4070)</f>
        <v>五芳斋</v>
      </c>
      <c r="Y4070" s="276" t="str">
        <f ca="1">IF($Y$3="申万一级行业",[1]!s_info_industry_sw_2021(W4070,公司分析!D$5,1),IF($Y$3="申万二级行业",[1]!s_info_industry_sw_2021(W4070,公司分析!D$5,2),IF($Y$3="申万三级行业",[1]!s_info_industry_sw_2021(W4070,公司分析!D$5,3),IF($Y$3="wind一级行业",[1]!s_info_industry_gics(W4070,1),IF($Y$3="wind二级行业",[1]!s_info_industry_gics(W4070,2),IF($Y$3="wind三级行业",[1]!s_info_industry_gics(W4070,3),IF($Y$3="wind四级行业",[1]!s_info_industry_gics(W4070,4),IF($Y$3="证监会门类行业",[1]!s_info_industry_csrc12_n(W4070,公司分析!D$5,1),""))))))))</f>
        <v>食品加工</v>
      </c>
      <c r="Z4070" s="302" t="str">
        <f ca="1">IF(Y4070=行业比较!$E$6,ROW(),"")</f>
        <v/>
      </c>
    </row>
    <row r="4071" spans="22:26">
      <c r="V4071" s="260">
        <f t="shared" ca="1" si="71"/>
        <v>0</v>
      </c>
      <c r="W4071" s="348" t="str">
        <f>IF(板块成分!B4073="","",板块成分!B4073)</f>
        <v>603238.SH</v>
      </c>
      <c r="X4071" s="276" t="str">
        <f>[1]!S_Info_Name(W4071)</f>
        <v>诺邦股份</v>
      </c>
      <c r="Y4071" s="276" t="str">
        <f ca="1">IF($Y$3="申万一级行业",[1]!s_info_industry_sw_2021(W4071,公司分析!D$5,1),IF($Y$3="申万二级行业",[1]!s_info_industry_sw_2021(W4071,公司分析!D$5,2),IF($Y$3="申万三级行业",[1]!s_info_industry_sw_2021(W4071,公司分析!D$5,3),IF($Y$3="wind一级行业",[1]!s_info_industry_gics(W4071,1),IF($Y$3="wind二级行业",[1]!s_info_industry_gics(W4071,2),IF($Y$3="wind三级行业",[1]!s_info_industry_gics(W4071,3),IF($Y$3="wind四级行业",[1]!s_info_industry_gics(W4071,4),IF($Y$3="证监会门类行业",[1]!s_info_industry_csrc12_n(W4071,公司分析!D$5,1),""))))))))</f>
        <v>纺织制造</v>
      </c>
      <c r="Z4071" s="302" t="str">
        <f ca="1">IF(Y4071=行业比较!$E$6,ROW(),"")</f>
        <v/>
      </c>
    </row>
    <row r="4072" spans="22:26">
      <c r="V4072" s="260">
        <f t="shared" ca="1" si="71"/>
        <v>0</v>
      </c>
      <c r="W4072" s="348" t="str">
        <f>IF(板块成分!B4074="","",板块成分!B4074)</f>
        <v>603239.SH</v>
      </c>
      <c r="X4072" s="276" t="str">
        <f>[1]!S_Info_Name(W4072)</f>
        <v>浙江仙通</v>
      </c>
      <c r="Y4072" s="276" t="str">
        <f ca="1">IF($Y$3="申万一级行业",[1]!s_info_industry_sw_2021(W4072,公司分析!D$5,1),IF($Y$3="申万二级行业",[1]!s_info_industry_sw_2021(W4072,公司分析!D$5,2),IF($Y$3="申万三级行业",[1]!s_info_industry_sw_2021(W4072,公司分析!D$5,3),IF($Y$3="wind一级行业",[1]!s_info_industry_gics(W4072,1),IF($Y$3="wind二级行业",[1]!s_info_industry_gics(W4072,2),IF($Y$3="wind三级行业",[1]!s_info_industry_gics(W4072,3),IF($Y$3="wind四级行业",[1]!s_info_industry_gics(W4072,4),IF($Y$3="证监会门类行业",[1]!s_info_industry_csrc12_n(W4072,公司分析!D$5,1),""))))))))</f>
        <v>汽车零部件</v>
      </c>
      <c r="Z4072" s="302" t="str">
        <f ca="1">IF(Y4072=行业比较!$E$6,ROW(),"")</f>
        <v/>
      </c>
    </row>
    <row r="4073" spans="22:26">
      <c r="V4073" s="260">
        <f t="shared" ca="1" si="71"/>
        <v>0</v>
      </c>
      <c r="W4073" s="348" t="str">
        <f>IF(板块成分!B4075="","",板块成分!B4075)</f>
        <v>603248.SH</v>
      </c>
      <c r="X4073" s="276" t="str">
        <f>[1]!S_Info_Name(W4073)</f>
        <v>锡华科技</v>
      </c>
      <c r="Y4073" s="276" t="str">
        <f ca="1">IF($Y$3="申万一级行业",[1]!s_info_industry_sw_2021(W4073,公司分析!D$5,1),IF($Y$3="申万二级行业",[1]!s_info_industry_sw_2021(W4073,公司分析!D$5,2),IF($Y$3="申万三级行业",[1]!s_info_industry_sw_2021(W4073,公司分析!D$5,3),IF($Y$3="wind一级行业",[1]!s_info_industry_gics(W4073,1),IF($Y$3="wind二级行业",[1]!s_info_industry_gics(W4073,2),IF($Y$3="wind三级行业",[1]!s_info_industry_gics(W4073,3),IF($Y$3="wind四级行业",[1]!s_info_industry_gics(W4073,4),IF($Y$3="证监会门类行业",[1]!s_info_industry_csrc12_n(W4073,公司分析!D$5,1),""))))))))</f>
        <v>风电设备</v>
      </c>
      <c r="Z4073" s="302" t="str">
        <f ca="1">IF(Y4073=行业比较!$E$6,ROW(),"")</f>
        <v/>
      </c>
    </row>
    <row r="4074" spans="22:26">
      <c r="V4074" s="260">
        <f t="shared" ca="1" si="71"/>
        <v>0</v>
      </c>
      <c r="W4074" s="348" t="str">
        <f>IF(板块成分!B4076="","",板块成分!B4076)</f>
        <v>603255.SH</v>
      </c>
      <c r="X4074" s="276" t="str">
        <f>[1]!S_Info_Name(W4074)</f>
        <v>鼎际得</v>
      </c>
      <c r="Y4074" s="276" t="str">
        <f ca="1">IF($Y$3="申万一级行业",[1]!s_info_industry_sw_2021(W4074,公司分析!D$5,1),IF($Y$3="申万二级行业",[1]!s_info_industry_sw_2021(W4074,公司分析!D$5,2),IF($Y$3="申万三级行业",[1]!s_info_industry_sw_2021(W4074,公司分析!D$5,3),IF($Y$3="wind一级行业",[1]!s_info_industry_gics(W4074,1),IF($Y$3="wind二级行业",[1]!s_info_industry_gics(W4074,2),IF($Y$3="wind三级行业",[1]!s_info_industry_gics(W4074,3),IF($Y$3="wind四级行业",[1]!s_info_industry_gics(W4074,4),IF($Y$3="证监会门类行业",[1]!s_info_industry_csrc12_n(W4074,公司分析!D$5,1),""))))))))</f>
        <v>化学制品</v>
      </c>
      <c r="Z4074" s="302" t="str">
        <f ca="1">IF(Y4074=行业比较!$E$6,ROW(),"")</f>
        <v/>
      </c>
    </row>
    <row r="4075" spans="22:26">
      <c r="V4075" s="260">
        <f t="shared" ca="1" si="71"/>
        <v>0</v>
      </c>
      <c r="W4075" s="348" t="str">
        <f>IF(板块成分!B4077="","",板块成分!B4077)</f>
        <v>603256.SH</v>
      </c>
      <c r="X4075" s="276" t="str">
        <f>[1]!S_Info_Name(W4075)</f>
        <v>宏和科技</v>
      </c>
      <c r="Y4075" s="276" t="str">
        <f ca="1">IF($Y$3="申万一级行业",[1]!s_info_industry_sw_2021(W4075,公司分析!D$5,1),IF($Y$3="申万二级行业",[1]!s_info_industry_sw_2021(W4075,公司分析!D$5,2),IF($Y$3="申万三级行业",[1]!s_info_industry_sw_2021(W4075,公司分析!D$5,3),IF($Y$3="wind一级行业",[1]!s_info_industry_gics(W4075,1),IF($Y$3="wind二级行业",[1]!s_info_industry_gics(W4075,2),IF($Y$3="wind三级行业",[1]!s_info_industry_gics(W4075,3),IF($Y$3="wind四级行业",[1]!s_info_industry_gics(W4075,4),IF($Y$3="证监会门类行业",[1]!s_info_industry_csrc12_n(W4075,公司分析!D$5,1),""))))))))</f>
        <v>玻璃玻纤</v>
      </c>
      <c r="Z4075" s="302" t="str">
        <f ca="1">IF(Y4075=行业比较!$E$6,ROW(),"")</f>
        <v/>
      </c>
    </row>
    <row r="4076" spans="22:26">
      <c r="V4076" s="260">
        <f t="shared" ca="1" si="71"/>
        <v>0</v>
      </c>
      <c r="W4076" s="348" t="str">
        <f>IF(板块成分!B4078="","",板块成分!B4078)</f>
        <v>603257.SH</v>
      </c>
      <c r="X4076" s="276" t="str">
        <f>[1]!S_Info_Name(W4076)</f>
        <v>中国瑞林</v>
      </c>
      <c r="Y4076" s="276" t="str">
        <f ca="1">IF($Y$3="申万一级行业",[1]!s_info_industry_sw_2021(W4076,公司分析!D$5,1),IF($Y$3="申万二级行业",[1]!s_info_industry_sw_2021(W4076,公司分析!D$5,2),IF($Y$3="申万三级行业",[1]!s_info_industry_sw_2021(W4076,公司分析!D$5,3),IF($Y$3="wind一级行业",[1]!s_info_industry_gics(W4076,1),IF($Y$3="wind二级行业",[1]!s_info_industry_gics(W4076,2),IF($Y$3="wind三级行业",[1]!s_info_industry_gics(W4076,3),IF($Y$3="wind四级行业",[1]!s_info_industry_gics(W4076,4),IF($Y$3="证监会门类行业",[1]!s_info_industry_csrc12_n(W4076,公司分析!D$5,1),""))))))))</f>
        <v>工程咨询服务Ⅱ</v>
      </c>
      <c r="Z4076" s="302" t="str">
        <f ca="1">IF(Y4076=行业比较!$E$6,ROW(),"")</f>
        <v/>
      </c>
    </row>
    <row r="4077" spans="22:26">
      <c r="V4077" s="260">
        <f t="shared" ca="1" si="71"/>
        <v>0</v>
      </c>
      <c r="W4077" s="348" t="str">
        <f>IF(板块成分!B4079="","",板块成分!B4079)</f>
        <v>603258.SH</v>
      </c>
      <c r="X4077" s="276" t="str">
        <f>[1]!S_Info_Name(W4077)</f>
        <v>电魂网络</v>
      </c>
      <c r="Y4077" s="276" t="str">
        <f ca="1">IF($Y$3="申万一级行业",[1]!s_info_industry_sw_2021(W4077,公司分析!D$5,1),IF($Y$3="申万二级行业",[1]!s_info_industry_sw_2021(W4077,公司分析!D$5,2),IF($Y$3="申万三级行业",[1]!s_info_industry_sw_2021(W4077,公司分析!D$5,3),IF($Y$3="wind一级行业",[1]!s_info_industry_gics(W4077,1),IF($Y$3="wind二级行业",[1]!s_info_industry_gics(W4077,2),IF($Y$3="wind三级行业",[1]!s_info_industry_gics(W4077,3),IF($Y$3="wind四级行业",[1]!s_info_industry_gics(W4077,4),IF($Y$3="证监会门类行业",[1]!s_info_industry_csrc12_n(W4077,公司分析!D$5,1),""))))))))</f>
        <v>游戏Ⅱ</v>
      </c>
      <c r="Z4077" s="302" t="str">
        <f ca="1">IF(Y4077=行业比较!$E$6,ROW(),"")</f>
        <v/>
      </c>
    </row>
    <row r="4078" spans="22:26">
      <c r="V4078" s="260">
        <f t="shared" ca="1" si="71"/>
        <v>0</v>
      </c>
      <c r="W4078" s="348" t="str">
        <f>IF(板块成分!B4080="","",板块成分!B4080)</f>
        <v>603259.SH</v>
      </c>
      <c r="X4078" s="276" t="str">
        <f>[1]!S_Info_Name(W4078)</f>
        <v>药明康德</v>
      </c>
      <c r="Y4078" s="276" t="str">
        <f ca="1">IF($Y$3="申万一级行业",[1]!s_info_industry_sw_2021(W4078,公司分析!D$5,1),IF($Y$3="申万二级行业",[1]!s_info_industry_sw_2021(W4078,公司分析!D$5,2),IF($Y$3="申万三级行业",[1]!s_info_industry_sw_2021(W4078,公司分析!D$5,3),IF($Y$3="wind一级行业",[1]!s_info_industry_gics(W4078,1),IF($Y$3="wind二级行业",[1]!s_info_industry_gics(W4078,2),IF($Y$3="wind三级行业",[1]!s_info_industry_gics(W4078,3),IF($Y$3="wind四级行业",[1]!s_info_industry_gics(W4078,4),IF($Y$3="证监会门类行业",[1]!s_info_industry_csrc12_n(W4078,公司分析!D$5,1),""))))))))</f>
        <v>医疗服务</v>
      </c>
      <c r="Z4078" s="302" t="str">
        <f ca="1">IF(Y4078=行业比较!$E$6,ROW(),"")</f>
        <v/>
      </c>
    </row>
    <row r="4079" spans="22:26">
      <c r="V4079" s="260">
        <f t="shared" ca="1" si="71"/>
        <v>0</v>
      </c>
      <c r="W4079" s="348" t="str">
        <f>IF(板块成分!B4081="","",板块成分!B4081)</f>
        <v>603260.SH</v>
      </c>
      <c r="X4079" s="276" t="str">
        <f>[1]!S_Info_Name(W4079)</f>
        <v>合盛硅业</v>
      </c>
      <c r="Y4079" s="276" t="str">
        <f ca="1">IF($Y$3="申万一级行业",[1]!s_info_industry_sw_2021(W4079,公司分析!D$5,1),IF($Y$3="申万二级行业",[1]!s_info_industry_sw_2021(W4079,公司分析!D$5,2),IF($Y$3="申万三级行业",[1]!s_info_industry_sw_2021(W4079,公司分析!D$5,3),IF($Y$3="wind一级行业",[1]!s_info_industry_gics(W4079,1),IF($Y$3="wind二级行业",[1]!s_info_industry_gics(W4079,2),IF($Y$3="wind三级行业",[1]!s_info_industry_gics(W4079,3),IF($Y$3="wind四级行业",[1]!s_info_industry_gics(W4079,4),IF($Y$3="证监会门类行业",[1]!s_info_industry_csrc12_n(W4079,公司分析!D$5,1),""))))))))</f>
        <v>化学制品</v>
      </c>
      <c r="Z4079" s="302" t="str">
        <f ca="1">IF(Y4079=行业比较!$E$6,ROW(),"")</f>
        <v/>
      </c>
    </row>
    <row r="4080" spans="22:26">
      <c r="V4080" s="260">
        <f t="shared" ca="1" si="71"/>
        <v>0</v>
      </c>
      <c r="W4080" s="348" t="str">
        <f>IF(板块成分!B4082="","",板块成分!B4082)</f>
        <v>603261.SH</v>
      </c>
      <c r="X4080" s="276" t="str">
        <f>[1]!S_Info_Name(W4080)</f>
        <v>*ST立航</v>
      </c>
      <c r="Y4080" s="276" t="str">
        <f ca="1">IF($Y$3="申万一级行业",[1]!s_info_industry_sw_2021(W4080,公司分析!D$5,1),IF($Y$3="申万二级行业",[1]!s_info_industry_sw_2021(W4080,公司分析!D$5,2),IF($Y$3="申万三级行业",[1]!s_info_industry_sw_2021(W4080,公司分析!D$5,3),IF($Y$3="wind一级行业",[1]!s_info_industry_gics(W4080,1),IF($Y$3="wind二级行业",[1]!s_info_industry_gics(W4080,2),IF($Y$3="wind三级行业",[1]!s_info_industry_gics(W4080,3),IF($Y$3="wind四级行业",[1]!s_info_industry_gics(W4080,4),IF($Y$3="证监会门类行业",[1]!s_info_industry_csrc12_n(W4080,公司分析!D$5,1),""))))))))</f>
        <v>航空装备Ⅱ</v>
      </c>
      <c r="Z4080" s="302" t="str">
        <f ca="1">IF(Y4080=行业比较!$E$6,ROW(),"")</f>
        <v/>
      </c>
    </row>
    <row r="4081" spans="22:26">
      <c r="V4081" s="260">
        <f t="shared" ca="1" si="71"/>
        <v>0</v>
      </c>
      <c r="W4081" s="348" t="str">
        <f>IF(板块成分!B4083="","",板块成分!B4083)</f>
        <v>603262.SH</v>
      </c>
      <c r="X4081" s="276" t="str">
        <f>[1]!S_Info_Name(W4081)</f>
        <v>技源集团</v>
      </c>
      <c r="Y4081" s="276" t="str">
        <f ca="1">IF($Y$3="申万一级行业",[1]!s_info_industry_sw_2021(W4081,公司分析!D$5,1),IF($Y$3="申万二级行业",[1]!s_info_industry_sw_2021(W4081,公司分析!D$5,2),IF($Y$3="申万三级行业",[1]!s_info_industry_sw_2021(W4081,公司分析!D$5,3),IF($Y$3="wind一级行业",[1]!s_info_industry_gics(W4081,1),IF($Y$3="wind二级行业",[1]!s_info_industry_gics(W4081,2),IF($Y$3="wind三级行业",[1]!s_info_industry_gics(W4081,3),IF($Y$3="wind四级行业",[1]!s_info_industry_gics(W4081,4),IF($Y$3="证监会门类行业",[1]!s_info_industry_csrc12_n(W4081,公司分析!D$5,1),""))))))))</f>
        <v>食品加工</v>
      </c>
      <c r="Z4081" s="302" t="str">
        <f ca="1">IF(Y4081=行业比较!$E$6,ROW(),"")</f>
        <v/>
      </c>
    </row>
    <row r="4082" spans="22:26">
      <c r="V4082" s="260">
        <f t="shared" ca="1" si="71"/>
        <v>0</v>
      </c>
      <c r="W4082" s="348" t="str">
        <f>IF(板块成分!B4084="","",板块成分!B4084)</f>
        <v>603266.SH</v>
      </c>
      <c r="X4082" s="276" t="str">
        <f>[1]!S_Info_Name(W4082)</f>
        <v>天龙股份</v>
      </c>
      <c r="Y4082" s="276" t="str">
        <f ca="1">IF($Y$3="申万一级行业",[1]!s_info_industry_sw_2021(W4082,公司分析!D$5,1),IF($Y$3="申万二级行业",[1]!s_info_industry_sw_2021(W4082,公司分析!D$5,2),IF($Y$3="申万三级行业",[1]!s_info_industry_sw_2021(W4082,公司分析!D$5,3),IF($Y$3="wind一级行业",[1]!s_info_industry_gics(W4082,1),IF($Y$3="wind二级行业",[1]!s_info_industry_gics(W4082,2),IF($Y$3="wind三级行业",[1]!s_info_industry_gics(W4082,3),IF($Y$3="wind四级行业",[1]!s_info_industry_gics(W4082,4),IF($Y$3="证监会门类行业",[1]!s_info_industry_csrc12_n(W4082,公司分析!D$5,1),""))))))))</f>
        <v>汽车零部件</v>
      </c>
      <c r="Z4082" s="302" t="str">
        <f ca="1">IF(Y4082=行业比较!$E$6,ROW(),"")</f>
        <v/>
      </c>
    </row>
    <row r="4083" spans="22:26">
      <c r="V4083" s="260">
        <f t="shared" ca="1" si="71"/>
        <v>0</v>
      </c>
      <c r="W4083" s="348" t="str">
        <f>IF(板块成分!B4085="","",板块成分!B4085)</f>
        <v>603267.SH</v>
      </c>
      <c r="X4083" s="276" t="str">
        <f>[1]!S_Info_Name(W4083)</f>
        <v>鸿远电子</v>
      </c>
      <c r="Y4083" s="276" t="str">
        <f ca="1">IF($Y$3="申万一级行业",[1]!s_info_industry_sw_2021(W4083,公司分析!D$5,1),IF($Y$3="申万二级行业",[1]!s_info_industry_sw_2021(W4083,公司分析!D$5,2),IF($Y$3="申万三级行业",[1]!s_info_industry_sw_2021(W4083,公司分析!D$5,3),IF($Y$3="wind一级行业",[1]!s_info_industry_gics(W4083,1),IF($Y$3="wind二级行业",[1]!s_info_industry_gics(W4083,2),IF($Y$3="wind三级行业",[1]!s_info_industry_gics(W4083,3),IF($Y$3="wind四级行业",[1]!s_info_industry_gics(W4083,4),IF($Y$3="证监会门类行业",[1]!s_info_industry_csrc12_n(W4083,公司分析!D$5,1),""))))))))</f>
        <v>军工电子Ⅱ</v>
      </c>
      <c r="Z4083" s="302" t="str">
        <f ca="1">IF(Y4083=行业比较!$E$6,ROW(),"")</f>
        <v/>
      </c>
    </row>
    <row r="4084" spans="22:26">
      <c r="V4084" s="260">
        <f t="shared" ca="1" si="71"/>
        <v>0</v>
      </c>
      <c r="W4084" s="348" t="str">
        <f>IF(板块成分!B4086="","",板块成分!B4086)</f>
        <v>603268.SH</v>
      </c>
      <c r="X4084" s="276" t="str">
        <f>[1]!S_Info_Name(W4084)</f>
        <v>*ST松发</v>
      </c>
      <c r="Y4084" s="276" t="str">
        <f ca="1">IF($Y$3="申万一级行业",[1]!s_info_industry_sw_2021(W4084,公司分析!D$5,1),IF($Y$3="申万二级行业",[1]!s_info_industry_sw_2021(W4084,公司分析!D$5,2),IF($Y$3="申万三级行业",[1]!s_info_industry_sw_2021(W4084,公司分析!D$5,3),IF($Y$3="wind一级行业",[1]!s_info_industry_gics(W4084,1),IF($Y$3="wind二级行业",[1]!s_info_industry_gics(W4084,2),IF($Y$3="wind三级行业",[1]!s_info_industry_gics(W4084,3),IF($Y$3="wind四级行业",[1]!s_info_industry_gics(W4084,4),IF($Y$3="证监会门类行业",[1]!s_info_industry_csrc12_n(W4084,公司分析!D$5,1),""))))))))</f>
        <v>航海装备Ⅱ</v>
      </c>
      <c r="Z4084" s="302" t="str">
        <f ca="1">IF(Y4084=行业比较!$E$6,ROW(),"")</f>
        <v/>
      </c>
    </row>
    <row r="4085" spans="22:26">
      <c r="V4085" s="260">
        <f t="shared" ca="1" si="71"/>
        <v>0</v>
      </c>
      <c r="W4085" s="348" t="str">
        <f>IF(板块成分!B4087="","",板块成分!B4087)</f>
        <v>603269.SH</v>
      </c>
      <c r="X4085" s="276" t="str">
        <f>[1]!S_Info_Name(W4085)</f>
        <v>海鸥股份</v>
      </c>
      <c r="Y4085" s="276" t="str">
        <f ca="1">IF($Y$3="申万一级行业",[1]!s_info_industry_sw_2021(W4085,公司分析!D$5,1),IF($Y$3="申万二级行业",[1]!s_info_industry_sw_2021(W4085,公司分析!D$5,2),IF($Y$3="申万三级行业",[1]!s_info_industry_sw_2021(W4085,公司分析!D$5,3),IF($Y$3="wind一级行业",[1]!s_info_industry_gics(W4085,1),IF($Y$3="wind二级行业",[1]!s_info_industry_gics(W4085,2),IF($Y$3="wind三级行业",[1]!s_info_industry_gics(W4085,3),IF($Y$3="wind四级行业",[1]!s_info_industry_gics(W4085,4),IF($Y$3="证监会门类行业",[1]!s_info_industry_csrc12_n(W4085,公司分析!D$5,1),""))))))))</f>
        <v>通用设备</v>
      </c>
      <c r="Z4085" s="302" t="str">
        <f ca="1">IF(Y4085=行业比较!$E$6,ROW(),"")</f>
        <v/>
      </c>
    </row>
    <row r="4086" spans="22:26">
      <c r="V4086" s="260">
        <f t="shared" ca="1" si="71"/>
        <v>0</v>
      </c>
      <c r="W4086" s="348" t="str">
        <f>IF(板块成分!B4088="","",板块成分!B4088)</f>
        <v>603270.SH</v>
      </c>
      <c r="X4086" s="276" t="str">
        <f>[1]!S_Info_Name(W4086)</f>
        <v>金帝股份</v>
      </c>
      <c r="Y4086" s="276" t="str">
        <f ca="1">IF($Y$3="申万一级行业",[1]!s_info_industry_sw_2021(W4086,公司分析!D$5,1),IF($Y$3="申万二级行业",[1]!s_info_industry_sw_2021(W4086,公司分析!D$5,2),IF($Y$3="申万三级行业",[1]!s_info_industry_sw_2021(W4086,公司分析!D$5,3),IF($Y$3="wind一级行业",[1]!s_info_industry_gics(W4086,1),IF($Y$3="wind二级行业",[1]!s_info_industry_gics(W4086,2),IF($Y$3="wind三级行业",[1]!s_info_industry_gics(W4086,3),IF($Y$3="wind四级行业",[1]!s_info_industry_gics(W4086,4),IF($Y$3="证监会门类行业",[1]!s_info_industry_csrc12_n(W4086,公司分析!D$5,1),""))))))))</f>
        <v>通用设备</v>
      </c>
      <c r="Z4086" s="302" t="str">
        <f ca="1">IF(Y4086=行业比较!$E$6,ROW(),"")</f>
        <v/>
      </c>
    </row>
    <row r="4087" spans="22:26">
      <c r="V4087" s="260">
        <f t="shared" ca="1" si="71"/>
        <v>54</v>
      </c>
      <c r="W4087" s="348" t="str">
        <f>IF(板块成分!B4089="","",板块成分!B4089)</f>
        <v>603271.SH</v>
      </c>
      <c r="X4087" s="276" t="str">
        <f>[1]!S_Info_Name(W4087)</f>
        <v>永杰新材</v>
      </c>
      <c r="Y4087" s="276" t="str">
        <f ca="1">IF($Y$3="申万一级行业",[1]!s_info_industry_sw_2021(W4087,公司分析!D$5,1),IF($Y$3="申万二级行业",[1]!s_info_industry_sw_2021(W4087,公司分析!D$5,2),IF($Y$3="申万三级行业",[1]!s_info_industry_sw_2021(W4087,公司分析!D$5,3),IF($Y$3="wind一级行业",[1]!s_info_industry_gics(W4087,1),IF($Y$3="wind二级行业",[1]!s_info_industry_gics(W4087,2),IF($Y$3="wind三级行业",[1]!s_info_industry_gics(W4087,3),IF($Y$3="wind四级行业",[1]!s_info_industry_gics(W4087,4),IF($Y$3="证监会门类行业",[1]!s_info_industry_csrc12_n(W4087,公司分析!D$5,1),""))))))))</f>
        <v>工业金属</v>
      </c>
      <c r="Z4087" s="302">
        <f ca="1">IF(Y4087=行业比较!$E$6,ROW(),"")</f>
        <v>4087</v>
      </c>
    </row>
    <row r="4088" spans="22:26">
      <c r="V4088" s="260">
        <f t="shared" ca="1" si="71"/>
        <v>0</v>
      </c>
      <c r="W4088" s="348" t="str">
        <f>IF(板块成分!B4090="","",板块成分!B4090)</f>
        <v>603272.SH</v>
      </c>
      <c r="X4088" s="276" t="str">
        <f>[1]!S_Info_Name(W4088)</f>
        <v>联翔股份</v>
      </c>
      <c r="Y4088" s="276" t="str">
        <f ca="1">IF($Y$3="申万一级行业",[1]!s_info_industry_sw_2021(W4088,公司分析!D$5,1),IF($Y$3="申万二级行业",[1]!s_info_industry_sw_2021(W4088,公司分析!D$5,2),IF($Y$3="申万三级行业",[1]!s_info_industry_sw_2021(W4088,公司分析!D$5,3),IF($Y$3="wind一级行业",[1]!s_info_industry_gics(W4088,1),IF($Y$3="wind二级行业",[1]!s_info_industry_gics(W4088,2),IF($Y$3="wind三级行业",[1]!s_info_industry_gics(W4088,3),IF($Y$3="wind四级行业",[1]!s_info_industry_gics(W4088,4),IF($Y$3="证监会门类行业",[1]!s_info_industry_csrc12_n(W4088,公司分析!D$5,1),""))))))))</f>
        <v>家居用品</v>
      </c>
      <c r="Z4088" s="302" t="str">
        <f ca="1">IF(Y4088=行业比较!$E$6,ROW(),"")</f>
        <v/>
      </c>
    </row>
    <row r="4089" spans="22:26">
      <c r="V4089" s="260">
        <f t="shared" ca="1" si="71"/>
        <v>0</v>
      </c>
      <c r="W4089" s="348" t="str">
        <f>IF(板块成分!B4091="","",板块成分!B4091)</f>
        <v>603273.SH</v>
      </c>
      <c r="X4089" s="276" t="str">
        <f>[1]!S_Info_Name(W4089)</f>
        <v>天元智能</v>
      </c>
      <c r="Y4089" s="276" t="str">
        <f ca="1">IF($Y$3="申万一级行业",[1]!s_info_industry_sw_2021(W4089,公司分析!D$5,1),IF($Y$3="申万二级行业",[1]!s_info_industry_sw_2021(W4089,公司分析!D$5,2),IF($Y$3="申万三级行业",[1]!s_info_industry_sw_2021(W4089,公司分析!D$5,3),IF($Y$3="wind一级行业",[1]!s_info_industry_gics(W4089,1),IF($Y$3="wind二级行业",[1]!s_info_industry_gics(W4089,2),IF($Y$3="wind三级行业",[1]!s_info_industry_gics(W4089,3),IF($Y$3="wind四级行业",[1]!s_info_industry_gics(W4089,4),IF($Y$3="证监会门类行业",[1]!s_info_industry_csrc12_n(W4089,公司分析!D$5,1),""))))))))</f>
        <v>工程机械</v>
      </c>
      <c r="Z4089" s="302" t="str">
        <f ca="1">IF(Y4089=行业比较!$E$6,ROW(),"")</f>
        <v/>
      </c>
    </row>
    <row r="4090" spans="22:26">
      <c r="V4090" s="260">
        <f t="shared" ca="1" si="71"/>
        <v>0</v>
      </c>
      <c r="W4090" s="348" t="str">
        <f>IF(板块成分!B4092="","",板块成分!B4092)</f>
        <v>603275.SH</v>
      </c>
      <c r="X4090" s="276" t="str">
        <f>[1]!S_Info_Name(W4090)</f>
        <v>众辰科技</v>
      </c>
      <c r="Y4090" s="276" t="str">
        <f ca="1">IF($Y$3="申万一级行业",[1]!s_info_industry_sw_2021(W4090,公司分析!D$5,1),IF($Y$3="申万二级行业",[1]!s_info_industry_sw_2021(W4090,公司分析!D$5,2),IF($Y$3="申万三级行业",[1]!s_info_industry_sw_2021(W4090,公司分析!D$5,3),IF($Y$3="wind一级行业",[1]!s_info_industry_gics(W4090,1),IF($Y$3="wind二级行业",[1]!s_info_industry_gics(W4090,2),IF($Y$3="wind三级行业",[1]!s_info_industry_gics(W4090,3),IF($Y$3="wind四级行业",[1]!s_info_industry_gics(W4090,4),IF($Y$3="证监会门类行业",[1]!s_info_industry_csrc12_n(W4090,公司分析!D$5,1),""))))))))</f>
        <v>自动化设备</v>
      </c>
      <c r="Z4090" s="302" t="str">
        <f ca="1">IF(Y4090=行业比较!$E$6,ROW(),"")</f>
        <v/>
      </c>
    </row>
    <row r="4091" spans="22:26">
      <c r="V4091" s="260">
        <f t="shared" ca="1" si="71"/>
        <v>0</v>
      </c>
      <c r="W4091" s="348" t="str">
        <f>IF(板块成分!B4093="","",板块成分!B4093)</f>
        <v>603276.SH</v>
      </c>
      <c r="X4091" s="276" t="str">
        <f>[1]!S_Info_Name(W4091)</f>
        <v>恒兴新材</v>
      </c>
      <c r="Y4091" s="276" t="str">
        <f ca="1">IF($Y$3="申万一级行业",[1]!s_info_industry_sw_2021(W4091,公司分析!D$5,1),IF($Y$3="申万二级行业",[1]!s_info_industry_sw_2021(W4091,公司分析!D$5,2),IF($Y$3="申万三级行业",[1]!s_info_industry_sw_2021(W4091,公司分析!D$5,3),IF($Y$3="wind一级行业",[1]!s_info_industry_gics(W4091,1),IF($Y$3="wind二级行业",[1]!s_info_industry_gics(W4091,2),IF($Y$3="wind三级行业",[1]!s_info_industry_gics(W4091,3),IF($Y$3="wind四级行业",[1]!s_info_industry_gics(W4091,4),IF($Y$3="证监会门类行业",[1]!s_info_industry_csrc12_n(W4091,公司分析!D$5,1),""))))))))</f>
        <v>化学制品</v>
      </c>
      <c r="Z4091" s="302" t="str">
        <f ca="1">IF(Y4091=行业比较!$E$6,ROW(),"")</f>
        <v/>
      </c>
    </row>
    <row r="4092" spans="22:26">
      <c r="V4092" s="260">
        <f t="shared" ca="1" si="71"/>
        <v>0</v>
      </c>
      <c r="W4092" s="348" t="str">
        <f>IF(板块成分!B4094="","",板块成分!B4094)</f>
        <v>603277.SH</v>
      </c>
      <c r="X4092" s="276" t="str">
        <f>[1]!S_Info_Name(W4092)</f>
        <v>银都股份</v>
      </c>
      <c r="Y4092" s="276" t="str">
        <f ca="1">IF($Y$3="申万一级行业",[1]!s_info_industry_sw_2021(W4092,公司分析!D$5,1),IF($Y$3="申万二级行业",[1]!s_info_industry_sw_2021(W4092,公司分析!D$5,2),IF($Y$3="申万三级行业",[1]!s_info_industry_sw_2021(W4092,公司分析!D$5,3),IF($Y$3="wind一级行业",[1]!s_info_industry_gics(W4092,1),IF($Y$3="wind二级行业",[1]!s_info_industry_gics(W4092,2),IF($Y$3="wind三级行业",[1]!s_info_industry_gics(W4092,3),IF($Y$3="wind四级行业",[1]!s_info_industry_gics(W4092,4),IF($Y$3="证监会门类行业",[1]!s_info_industry_csrc12_n(W4092,公司分析!D$5,1),""))))))))</f>
        <v>通用设备</v>
      </c>
      <c r="Z4092" s="302" t="str">
        <f ca="1">IF(Y4092=行业比较!$E$6,ROW(),"")</f>
        <v/>
      </c>
    </row>
    <row r="4093" spans="22:26">
      <c r="V4093" s="260">
        <f t="shared" ca="1" si="71"/>
        <v>0</v>
      </c>
      <c r="W4093" s="348" t="str">
        <f>IF(板块成分!B4095="","",板块成分!B4095)</f>
        <v>603278.SH</v>
      </c>
      <c r="X4093" s="276" t="str">
        <f>[1]!S_Info_Name(W4093)</f>
        <v>大业股份</v>
      </c>
      <c r="Y4093" s="276" t="str">
        <f ca="1">IF($Y$3="申万一级行业",[1]!s_info_industry_sw_2021(W4093,公司分析!D$5,1),IF($Y$3="申万二级行业",[1]!s_info_industry_sw_2021(W4093,公司分析!D$5,2),IF($Y$3="申万三级行业",[1]!s_info_industry_sw_2021(W4093,公司分析!D$5,3),IF($Y$3="wind一级行业",[1]!s_info_industry_gics(W4093,1),IF($Y$3="wind二级行业",[1]!s_info_industry_gics(W4093,2),IF($Y$3="wind三级行业",[1]!s_info_industry_gics(W4093,3),IF($Y$3="wind四级行业",[1]!s_info_industry_gics(W4093,4),IF($Y$3="证监会门类行业",[1]!s_info_industry_csrc12_n(W4093,公司分析!D$5,1),""))))))))</f>
        <v>通用设备</v>
      </c>
      <c r="Z4093" s="302" t="str">
        <f ca="1">IF(Y4093=行业比较!$E$6,ROW(),"")</f>
        <v/>
      </c>
    </row>
    <row r="4094" spans="22:26">
      <c r="V4094" s="260">
        <f t="shared" ca="1" si="71"/>
        <v>0</v>
      </c>
      <c r="W4094" s="348" t="str">
        <f>IF(板块成分!B4096="","",板块成分!B4096)</f>
        <v>603279.SH</v>
      </c>
      <c r="X4094" s="276" t="str">
        <f>[1]!S_Info_Name(W4094)</f>
        <v>景津装备</v>
      </c>
      <c r="Y4094" s="276" t="str">
        <f ca="1">IF($Y$3="申万一级行业",[1]!s_info_industry_sw_2021(W4094,公司分析!D$5,1),IF($Y$3="申万二级行业",[1]!s_info_industry_sw_2021(W4094,公司分析!D$5,2),IF($Y$3="申万三级行业",[1]!s_info_industry_sw_2021(W4094,公司分析!D$5,3),IF($Y$3="wind一级行业",[1]!s_info_industry_gics(W4094,1),IF($Y$3="wind二级行业",[1]!s_info_industry_gics(W4094,2),IF($Y$3="wind三级行业",[1]!s_info_industry_gics(W4094,3),IF($Y$3="wind四级行业",[1]!s_info_industry_gics(W4094,4),IF($Y$3="证监会门类行业",[1]!s_info_industry_csrc12_n(W4094,公司分析!D$5,1),""))))))))</f>
        <v>通用设备</v>
      </c>
      <c r="Z4094" s="302" t="str">
        <f ca="1">IF(Y4094=行业比较!$E$6,ROW(),"")</f>
        <v/>
      </c>
    </row>
    <row r="4095" spans="22:26">
      <c r="V4095" s="260">
        <f t="shared" ca="1" si="71"/>
        <v>0</v>
      </c>
      <c r="W4095" s="348" t="str">
        <f>IF(板块成分!B4097="","",板块成分!B4097)</f>
        <v>603280.SH</v>
      </c>
      <c r="X4095" s="276" t="str">
        <f>[1]!S_Info_Name(W4095)</f>
        <v>南方路机</v>
      </c>
      <c r="Y4095" s="276" t="str">
        <f ca="1">IF($Y$3="申万一级行业",[1]!s_info_industry_sw_2021(W4095,公司分析!D$5,1),IF($Y$3="申万二级行业",[1]!s_info_industry_sw_2021(W4095,公司分析!D$5,2),IF($Y$3="申万三级行业",[1]!s_info_industry_sw_2021(W4095,公司分析!D$5,3),IF($Y$3="wind一级行业",[1]!s_info_industry_gics(W4095,1),IF($Y$3="wind二级行业",[1]!s_info_industry_gics(W4095,2),IF($Y$3="wind三级行业",[1]!s_info_industry_gics(W4095,3),IF($Y$3="wind四级行业",[1]!s_info_industry_gics(W4095,4),IF($Y$3="证监会门类行业",[1]!s_info_industry_csrc12_n(W4095,公司分析!D$5,1),""))))))))</f>
        <v>工程机械</v>
      </c>
      <c r="Z4095" s="302" t="str">
        <f ca="1">IF(Y4095=行业比较!$E$6,ROW(),"")</f>
        <v/>
      </c>
    </row>
    <row r="4096" spans="22:26">
      <c r="V4096" s="260">
        <f t="shared" ca="1" si="71"/>
        <v>0</v>
      </c>
      <c r="W4096" s="348" t="str">
        <f>IF(板块成分!B4098="","",板块成分!B4098)</f>
        <v>603281.SH</v>
      </c>
      <c r="X4096" s="276" t="str">
        <f>[1]!S_Info_Name(W4096)</f>
        <v>江瀚新材</v>
      </c>
      <c r="Y4096" s="276" t="str">
        <f ca="1">IF($Y$3="申万一级行业",[1]!s_info_industry_sw_2021(W4096,公司分析!D$5,1),IF($Y$3="申万二级行业",[1]!s_info_industry_sw_2021(W4096,公司分析!D$5,2),IF($Y$3="申万三级行业",[1]!s_info_industry_sw_2021(W4096,公司分析!D$5,3),IF($Y$3="wind一级行业",[1]!s_info_industry_gics(W4096,1),IF($Y$3="wind二级行业",[1]!s_info_industry_gics(W4096,2),IF($Y$3="wind三级行业",[1]!s_info_industry_gics(W4096,3),IF($Y$3="wind四级行业",[1]!s_info_industry_gics(W4096,4),IF($Y$3="证监会门类行业",[1]!s_info_industry_csrc12_n(W4096,公司分析!D$5,1),""))))))))</f>
        <v>化学制品</v>
      </c>
      <c r="Z4096" s="302" t="str">
        <f ca="1">IF(Y4096=行业比较!$E$6,ROW(),"")</f>
        <v/>
      </c>
    </row>
    <row r="4097" spans="22:26">
      <c r="V4097" s="260">
        <f t="shared" ca="1" si="71"/>
        <v>0</v>
      </c>
      <c r="W4097" s="348" t="str">
        <f>IF(板块成分!B4099="","",板块成分!B4099)</f>
        <v>603282.SH</v>
      </c>
      <c r="X4097" s="276" t="str">
        <f>[1]!S_Info_Name(W4097)</f>
        <v>亚光股份</v>
      </c>
      <c r="Y4097" s="276" t="str">
        <f ca="1">IF($Y$3="申万一级行业",[1]!s_info_industry_sw_2021(W4097,公司分析!D$5,1),IF($Y$3="申万二级行业",[1]!s_info_industry_sw_2021(W4097,公司分析!D$5,2),IF($Y$3="申万三级行业",[1]!s_info_industry_sw_2021(W4097,公司分析!D$5,3),IF($Y$3="wind一级行业",[1]!s_info_industry_gics(W4097,1),IF($Y$3="wind二级行业",[1]!s_info_industry_gics(W4097,2),IF($Y$3="wind三级行业",[1]!s_info_industry_gics(W4097,3),IF($Y$3="wind四级行业",[1]!s_info_industry_gics(W4097,4),IF($Y$3="证监会门类行业",[1]!s_info_industry_csrc12_n(W4097,公司分析!D$5,1),""))))))))</f>
        <v>环保设备Ⅱ</v>
      </c>
      <c r="Z4097" s="302" t="str">
        <f ca="1">IF(Y4097=行业比较!$E$6,ROW(),"")</f>
        <v/>
      </c>
    </row>
    <row r="4098" spans="22:26">
      <c r="V4098" s="260">
        <f t="shared" ca="1" si="71"/>
        <v>0</v>
      </c>
      <c r="W4098" s="348" t="str">
        <f>IF(板块成分!B4100="","",板块成分!B4100)</f>
        <v>603283.SH</v>
      </c>
      <c r="X4098" s="276" t="str">
        <f>[1]!S_Info_Name(W4098)</f>
        <v>赛腾股份</v>
      </c>
      <c r="Y4098" s="276" t="str">
        <f ca="1">IF($Y$3="申万一级行业",[1]!s_info_industry_sw_2021(W4098,公司分析!D$5,1),IF($Y$3="申万二级行业",[1]!s_info_industry_sw_2021(W4098,公司分析!D$5,2),IF($Y$3="申万三级行业",[1]!s_info_industry_sw_2021(W4098,公司分析!D$5,3),IF($Y$3="wind一级行业",[1]!s_info_industry_gics(W4098,1),IF($Y$3="wind二级行业",[1]!s_info_industry_gics(W4098,2),IF($Y$3="wind三级行业",[1]!s_info_industry_gics(W4098,3),IF($Y$3="wind四级行业",[1]!s_info_industry_gics(W4098,4),IF($Y$3="证监会门类行业",[1]!s_info_industry_csrc12_n(W4098,公司分析!D$5,1),""))))))))</f>
        <v>自动化设备</v>
      </c>
      <c r="Z4098" s="302" t="str">
        <f ca="1">IF(Y4098=行业比较!$E$6,ROW(),"")</f>
        <v/>
      </c>
    </row>
    <row r="4099" spans="22:26">
      <c r="V4099" s="260">
        <f t="shared" ca="1" si="71"/>
        <v>0</v>
      </c>
      <c r="W4099" s="348" t="str">
        <f>IF(板块成分!B4101="","",板块成分!B4101)</f>
        <v>603284.SH</v>
      </c>
      <c r="X4099" s="276" t="str">
        <f>[1]!S_Info_Name(W4099)</f>
        <v>林平发展</v>
      </c>
      <c r="Y4099" s="276" t="str">
        <f ca="1">IF($Y$3="申万一级行业",[1]!s_info_industry_sw_2021(W4099,公司分析!D$5,1),IF($Y$3="申万二级行业",[1]!s_info_industry_sw_2021(W4099,公司分析!D$5,2),IF($Y$3="申万三级行业",[1]!s_info_industry_sw_2021(W4099,公司分析!D$5,3),IF($Y$3="wind一级行业",[1]!s_info_industry_gics(W4099,1),IF($Y$3="wind二级行业",[1]!s_info_industry_gics(W4099,2),IF($Y$3="wind三级行业",[1]!s_info_industry_gics(W4099,3),IF($Y$3="wind四级行业",[1]!s_info_industry_gics(W4099,4),IF($Y$3="证监会门类行业",[1]!s_info_industry_csrc12_n(W4099,公司分析!D$5,1),""))))))))</f>
        <v>造纸</v>
      </c>
      <c r="Z4099" s="302" t="str">
        <f ca="1">IF(Y4099=行业比较!$E$6,ROW(),"")</f>
        <v/>
      </c>
    </row>
    <row r="4100" spans="22:26">
      <c r="V4100" s="260">
        <f t="shared" ca="1" si="71"/>
        <v>0</v>
      </c>
      <c r="W4100" s="348" t="str">
        <f>IF(板块成分!B4102="","",板块成分!B4102)</f>
        <v>603285.SH</v>
      </c>
      <c r="X4100" s="276" t="str">
        <f>[1]!S_Info_Name(W4100)</f>
        <v>键邦股份</v>
      </c>
      <c r="Y4100" s="276" t="str">
        <f ca="1">IF($Y$3="申万一级行业",[1]!s_info_industry_sw_2021(W4100,公司分析!D$5,1),IF($Y$3="申万二级行业",[1]!s_info_industry_sw_2021(W4100,公司分析!D$5,2),IF($Y$3="申万三级行业",[1]!s_info_industry_sw_2021(W4100,公司分析!D$5,3),IF($Y$3="wind一级行业",[1]!s_info_industry_gics(W4100,1),IF($Y$3="wind二级行业",[1]!s_info_industry_gics(W4100,2),IF($Y$3="wind三级行业",[1]!s_info_industry_gics(W4100,3),IF($Y$3="wind四级行业",[1]!s_info_industry_gics(W4100,4),IF($Y$3="证监会门类行业",[1]!s_info_industry_csrc12_n(W4100,公司分析!D$5,1),""))))))))</f>
        <v>化学制品</v>
      </c>
      <c r="Z4100" s="302" t="str">
        <f ca="1">IF(Y4100=行业比较!$E$6,ROW(),"")</f>
        <v/>
      </c>
    </row>
    <row r="4101" spans="22:26">
      <c r="V4101" s="260">
        <f t="shared" ref="V4101:V4164" ca="1" si="72">IF(Z4101="",0,RANK(Z4101,Z:Z,1))</f>
        <v>0</v>
      </c>
      <c r="W4101" s="348" t="str">
        <f>IF(板块成分!B4103="","",板块成分!B4103)</f>
        <v>603286.SH</v>
      </c>
      <c r="X4101" s="276" t="str">
        <f>[1]!S_Info_Name(W4101)</f>
        <v>日盈电子</v>
      </c>
      <c r="Y4101" s="276" t="str">
        <f ca="1">IF($Y$3="申万一级行业",[1]!s_info_industry_sw_2021(W4101,公司分析!D$5,1),IF($Y$3="申万二级行业",[1]!s_info_industry_sw_2021(W4101,公司分析!D$5,2),IF($Y$3="申万三级行业",[1]!s_info_industry_sw_2021(W4101,公司分析!D$5,3),IF($Y$3="wind一级行业",[1]!s_info_industry_gics(W4101,1),IF($Y$3="wind二级行业",[1]!s_info_industry_gics(W4101,2),IF($Y$3="wind三级行业",[1]!s_info_industry_gics(W4101,3),IF($Y$3="wind四级行业",[1]!s_info_industry_gics(W4101,4),IF($Y$3="证监会门类行业",[1]!s_info_industry_csrc12_n(W4101,公司分析!D$5,1),""))))))))</f>
        <v>汽车零部件</v>
      </c>
      <c r="Z4101" s="302" t="str">
        <f ca="1">IF(Y4101=行业比较!$E$6,ROW(),"")</f>
        <v/>
      </c>
    </row>
    <row r="4102" spans="22:26">
      <c r="V4102" s="260">
        <f t="shared" ca="1" si="72"/>
        <v>0</v>
      </c>
      <c r="W4102" s="348" t="str">
        <f>IF(板块成分!B4104="","",板块成分!B4104)</f>
        <v>603288.SH</v>
      </c>
      <c r="X4102" s="276" t="str">
        <f>[1]!S_Info_Name(W4102)</f>
        <v>海天味业</v>
      </c>
      <c r="Y4102" s="276" t="str">
        <f ca="1">IF($Y$3="申万一级行业",[1]!s_info_industry_sw_2021(W4102,公司分析!D$5,1),IF($Y$3="申万二级行业",[1]!s_info_industry_sw_2021(W4102,公司分析!D$5,2),IF($Y$3="申万三级行业",[1]!s_info_industry_sw_2021(W4102,公司分析!D$5,3),IF($Y$3="wind一级行业",[1]!s_info_industry_gics(W4102,1),IF($Y$3="wind二级行业",[1]!s_info_industry_gics(W4102,2),IF($Y$3="wind三级行业",[1]!s_info_industry_gics(W4102,3),IF($Y$3="wind四级行业",[1]!s_info_industry_gics(W4102,4),IF($Y$3="证监会门类行业",[1]!s_info_industry_csrc12_n(W4102,公司分析!D$5,1),""))))))))</f>
        <v>调味发酵品Ⅱ</v>
      </c>
      <c r="Z4102" s="302" t="str">
        <f ca="1">IF(Y4102=行业比较!$E$6,ROW(),"")</f>
        <v/>
      </c>
    </row>
    <row r="4103" spans="22:26">
      <c r="V4103" s="260">
        <f t="shared" ca="1" si="72"/>
        <v>0</v>
      </c>
      <c r="W4103" s="348" t="str">
        <f>IF(板块成分!B4105="","",板块成分!B4105)</f>
        <v>603289.SH</v>
      </c>
      <c r="X4103" s="276" t="str">
        <f>[1]!S_Info_Name(W4103)</f>
        <v>泰瑞机器</v>
      </c>
      <c r="Y4103" s="276" t="str">
        <f ca="1">IF($Y$3="申万一级行业",[1]!s_info_industry_sw_2021(W4103,公司分析!D$5,1),IF($Y$3="申万二级行业",[1]!s_info_industry_sw_2021(W4103,公司分析!D$5,2),IF($Y$3="申万三级行业",[1]!s_info_industry_sw_2021(W4103,公司分析!D$5,3),IF($Y$3="wind一级行业",[1]!s_info_industry_gics(W4103,1),IF($Y$3="wind二级行业",[1]!s_info_industry_gics(W4103,2),IF($Y$3="wind三级行业",[1]!s_info_industry_gics(W4103,3),IF($Y$3="wind四级行业",[1]!s_info_industry_gics(W4103,4),IF($Y$3="证监会门类行业",[1]!s_info_industry_csrc12_n(W4103,公司分析!D$5,1),""))))))))</f>
        <v>专用设备</v>
      </c>
      <c r="Z4103" s="302" t="str">
        <f ca="1">IF(Y4103=行业比较!$E$6,ROW(),"")</f>
        <v/>
      </c>
    </row>
    <row r="4104" spans="22:26">
      <c r="V4104" s="260">
        <f t="shared" ca="1" si="72"/>
        <v>0</v>
      </c>
      <c r="W4104" s="348" t="str">
        <f>IF(板块成分!B4106="","",板块成分!B4106)</f>
        <v>603290.SH</v>
      </c>
      <c r="X4104" s="276" t="str">
        <f>[1]!S_Info_Name(W4104)</f>
        <v>斯达半导</v>
      </c>
      <c r="Y4104" s="276" t="str">
        <f ca="1">IF($Y$3="申万一级行业",[1]!s_info_industry_sw_2021(W4104,公司分析!D$5,1),IF($Y$3="申万二级行业",[1]!s_info_industry_sw_2021(W4104,公司分析!D$5,2),IF($Y$3="申万三级行业",[1]!s_info_industry_sw_2021(W4104,公司分析!D$5,3),IF($Y$3="wind一级行业",[1]!s_info_industry_gics(W4104,1),IF($Y$3="wind二级行业",[1]!s_info_industry_gics(W4104,2),IF($Y$3="wind三级行业",[1]!s_info_industry_gics(W4104,3),IF($Y$3="wind四级行业",[1]!s_info_industry_gics(W4104,4),IF($Y$3="证监会门类行业",[1]!s_info_industry_csrc12_n(W4104,公司分析!D$5,1),""))))))))</f>
        <v>半导体</v>
      </c>
      <c r="Z4104" s="302" t="str">
        <f ca="1">IF(Y4104=行业比较!$E$6,ROW(),"")</f>
        <v/>
      </c>
    </row>
    <row r="4105" spans="22:26">
      <c r="V4105" s="260">
        <f t="shared" ca="1" si="72"/>
        <v>0</v>
      </c>
      <c r="W4105" s="348" t="str">
        <f>IF(板块成分!B4107="","",板块成分!B4107)</f>
        <v>603291.SH</v>
      </c>
      <c r="X4105" s="276" t="str">
        <f>[1]!S_Info_Name(W4105)</f>
        <v>联合水务</v>
      </c>
      <c r="Y4105" s="276" t="str">
        <f ca="1">IF($Y$3="申万一级行业",[1]!s_info_industry_sw_2021(W4105,公司分析!D$5,1),IF($Y$3="申万二级行业",[1]!s_info_industry_sw_2021(W4105,公司分析!D$5,2),IF($Y$3="申万三级行业",[1]!s_info_industry_sw_2021(W4105,公司分析!D$5,3),IF($Y$3="wind一级行业",[1]!s_info_industry_gics(W4105,1),IF($Y$3="wind二级行业",[1]!s_info_industry_gics(W4105,2),IF($Y$3="wind三级行业",[1]!s_info_industry_gics(W4105,3),IF($Y$3="wind四级行业",[1]!s_info_industry_gics(W4105,4),IF($Y$3="证监会门类行业",[1]!s_info_industry_csrc12_n(W4105,公司分析!D$5,1),""))))))))</f>
        <v>环境治理</v>
      </c>
      <c r="Z4105" s="302" t="str">
        <f ca="1">IF(Y4105=行业比较!$E$6,ROW(),"")</f>
        <v/>
      </c>
    </row>
    <row r="4106" spans="22:26">
      <c r="V4106" s="260">
        <f t="shared" ca="1" si="72"/>
        <v>0</v>
      </c>
      <c r="W4106" s="348" t="str">
        <f>IF(板块成分!B4108="","",板块成分!B4108)</f>
        <v>603296.SH</v>
      </c>
      <c r="X4106" s="276" t="str">
        <f>[1]!S_Info_Name(W4106)</f>
        <v>华勤技术</v>
      </c>
      <c r="Y4106" s="276" t="str">
        <f ca="1">IF($Y$3="申万一级行业",[1]!s_info_industry_sw_2021(W4106,公司分析!D$5,1),IF($Y$3="申万二级行业",[1]!s_info_industry_sw_2021(W4106,公司分析!D$5,2),IF($Y$3="申万三级行业",[1]!s_info_industry_sw_2021(W4106,公司分析!D$5,3),IF($Y$3="wind一级行业",[1]!s_info_industry_gics(W4106,1),IF($Y$3="wind二级行业",[1]!s_info_industry_gics(W4106,2),IF($Y$3="wind三级行业",[1]!s_info_industry_gics(W4106,3),IF($Y$3="wind四级行业",[1]!s_info_industry_gics(W4106,4),IF($Y$3="证监会门类行业",[1]!s_info_industry_csrc12_n(W4106,公司分析!D$5,1),""))))))))</f>
        <v>消费电子</v>
      </c>
      <c r="Z4106" s="302" t="str">
        <f ca="1">IF(Y4106=行业比较!$E$6,ROW(),"")</f>
        <v/>
      </c>
    </row>
    <row r="4107" spans="22:26">
      <c r="V4107" s="260">
        <f t="shared" ca="1" si="72"/>
        <v>0</v>
      </c>
      <c r="W4107" s="348" t="str">
        <f>IF(板块成分!B4109="","",板块成分!B4109)</f>
        <v>603297.SH</v>
      </c>
      <c r="X4107" s="276" t="str">
        <f>[1]!S_Info_Name(W4107)</f>
        <v>永新光学</v>
      </c>
      <c r="Y4107" s="276" t="str">
        <f ca="1">IF($Y$3="申万一级行业",[1]!s_info_industry_sw_2021(W4107,公司分析!D$5,1),IF($Y$3="申万二级行业",[1]!s_info_industry_sw_2021(W4107,公司分析!D$5,2),IF($Y$3="申万三级行业",[1]!s_info_industry_sw_2021(W4107,公司分析!D$5,3),IF($Y$3="wind一级行业",[1]!s_info_industry_gics(W4107,1),IF($Y$3="wind二级行业",[1]!s_info_industry_gics(W4107,2),IF($Y$3="wind三级行业",[1]!s_info_industry_gics(W4107,3),IF($Y$3="wind四级行业",[1]!s_info_industry_gics(W4107,4),IF($Y$3="证监会门类行业",[1]!s_info_industry_csrc12_n(W4107,公司分析!D$5,1),""))))))))</f>
        <v>光学光电子</v>
      </c>
      <c r="Z4107" s="302" t="str">
        <f ca="1">IF(Y4107=行业比较!$E$6,ROW(),"")</f>
        <v/>
      </c>
    </row>
    <row r="4108" spans="22:26">
      <c r="V4108" s="260">
        <f t="shared" ca="1" si="72"/>
        <v>0</v>
      </c>
      <c r="W4108" s="348" t="str">
        <f>IF(板块成分!B4110="","",板块成分!B4110)</f>
        <v>603298.SH</v>
      </c>
      <c r="X4108" s="276" t="str">
        <f>[1]!S_Info_Name(W4108)</f>
        <v>杭叉集团</v>
      </c>
      <c r="Y4108" s="276" t="str">
        <f ca="1">IF($Y$3="申万一级行业",[1]!s_info_industry_sw_2021(W4108,公司分析!D$5,1),IF($Y$3="申万二级行业",[1]!s_info_industry_sw_2021(W4108,公司分析!D$5,2),IF($Y$3="申万三级行业",[1]!s_info_industry_sw_2021(W4108,公司分析!D$5,3),IF($Y$3="wind一级行业",[1]!s_info_industry_gics(W4108,1),IF($Y$3="wind二级行业",[1]!s_info_industry_gics(W4108,2),IF($Y$3="wind三级行业",[1]!s_info_industry_gics(W4108,3),IF($Y$3="wind四级行业",[1]!s_info_industry_gics(W4108,4),IF($Y$3="证监会门类行业",[1]!s_info_industry_csrc12_n(W4108,公司分析!D$5,1),""))))))))</f>
        <v>工程机械</v>
      </c>
      <c r="Z4108" s="302" t="str">
        <f ca="1">IF(Y4108=行业比较!$E$6,ROW(),"")</f>
        <v/>
      </c>
    </row>
    <row r="4109" spans="22:26">
      <c r="V4109" s="260">
        <f t="shared" ca="1" si="72"/>
        <v>0</v>
      </c>
      <c r="W4109" s="348" t="str">
        <f>IF(板块成分!B4111="","",板块成分!B4111)</f>
        <v>603299.SH</v>
      </c>
      <c r="X4109" s="276" t="str">
        <f>[1]!S_Info_Name(W4109)</f>
        <v>苏盐井神</v>
      </c>
      <c r="Y4109" s="276" t="str">
        <f ca="1">IF($Y$3="申万一级行业",[1]!s_info_industry_sw_2021(W4109,公司分析!D$5,1),IF($Y$3="申万二级行业",[1]!s_info_industry_sw_2021(W4109,公司分析!D$5,2),IF($Y$3="申万三级行业",[1]!s_info_industry_sw_2021(W4109,公司分析!D$5,3),IF($Y$3="wind一级行业",[1]!s_info_industry_gics(W4109,1),IF($Y$3="wind二级行业",[1]!s_info_industry_gics(W4109,2),IF($Y$3="wind三级行业",[1]!s_info_industry_gics(W4109,3),IF($Y$3="wind四级行业",[1]!s_info_industry_gics(W4109,4),IF($Y$3="证监会门类行业",[1]!s_info_industry_csrc12_n(W4109,公司分析!D$5,1),""))))))))</f>
        <v>化学原料</v>
      </c>
      <c r="Z4109" s="302" t="str">
        <f ca="1">IF(Y4109=行业比较!$E$6,ROW(),"")</f>
        <v/>
      </c>
    </row>
    <row r="4110" spans="22:26">
      <c r="V4110" s="260">
        <f t="shared" ca="1" si="72"/>
        <v>0</v>
      </c>
      <c r="W4110" s="348" t="str">
        <f>IF(板块成分!B4112="","",板块成分!B4112)</f>
        <v>603300.SH</v>
      </c>
      <c r="X4110" s="276" t="str">
        <f>[1]!S_Info_Name(W4110)</f>
        <v>海南华铁</v>
      </c>
      <c r="Y4110" s="276" t="str">
        <f ca="1">IF($Y$3="申万一级行业",[1]!s_info_industry_sw_2021(W4110,公司分析!D$5,1),IF($Y$3="申万二级行业",[1]!s_info_industry_sw_2021(W4110,公司分析!D$5,2),IF($Y$3="申万三级行业",[1]!s_info_industry_sw_2021(W4110,公司分析!D$5,3),IF($Y$3="wind一级行业",[1]!s_info_industry_gics(W4110,1),IF($Y$3="wind二级行业",[1]!s_info_industry_gics(W4110,2),IF($Y$3="wind三级行业",[1]!s_info_industry_gics(W4110,3),IF($Y$3="wind四级行业",[1]!s_info_industry_gics(W4110,4),IF($Y$3="证监会门类行业",[1]!s_info_industry_csrc12_n(W4110,公司分析!D$5,1),""))))))))</f>
        <v>多元金融</v>
      </c>
      <c r="Z4110" s="302" t="str">
        <f ca="1">IF(Y4110=行业比较!$E$6,ROW(),"")</f>
        <v/>
      </c>
    </row>
    <row r="4111" spans="22:26">
      <c r="V4111" s="260">
        <f t="shared" ca="1" si="72"/>
        <v>0</v>
      </c>
      <c r="W4111" s="348" t="str">
        <f>IF(板块成分!B4113="","",板块成分!B4113)</f>
        <v>603301.SH</v>
      </c>
      <c r="X4111" s="276" t="str">
        <f>[1]!S_Info_Name(W4111)</f>
        <v>振德医疗</v>
      </c>
      <c r="Y4111" s="276" t="str">
        <f ca="1">IF($Y$3="申万一级行业",[1]!s_info_industry_sw_2021(W4111,公司分析!D$5,1),IF($Y$3="申万二级行业",[1]!s_info_industry_sw_2021(W4111,公司分析!D$5,2),IF($Y$3="申万三级行业",[1]!s_info_industry_sw_2021(W4111,公司分析!D$5,3),IF($Y$3="wind一级行业",[1]!s_info_industry_gics(W4111,1),IF($Y$3="wind二级行业",[1]!s_info_industry_gics(W4111,2),IF($Y$3="wind三级行业",[1]!s_info_industry_gics(W4111,3),IF($Y$3="wind四级行业",[1]!s_info_industry_gics(W4111,4),IF($Y$3="证监会门类行业",[1]!s_info_industry_csrc12_n(W4111,公司分析!D$5,1),""))))))))</f>
        <v>医疗器械</v>
      </c>
      <c r="Z4111" s="302" t="str">
        <f ca="1">IF(Y4111=行业比较!$E$6,ROW(),"")</f>
        <v/>
      </c>
    </row>
    <row r="4112" spans="22:26">
      <c r="V4112" s="260">
        <f t="shared" ca="1" si="72"/>
        <v>0</v>
      </c>
      <c r="W4112" s="348" t="str">
        <f>IF(板块成分!B4114="","",板块成分!B4114)</f>
        <v>603303.SH</v>
      </c>
      <c r="X4112" s="276" t="str">
        <f>[1]!S_Info_Name(W4112)</f>
        <v>得邦照明</v>
      </c>
      <c r="Y4112" s="276" t="str">
        <f ca="1">IF($Y$3="申万一级行业",[1]!s_info_industry_sw_2021(W4112,公司分析!D$5,1),IF($Y$3="申万二级行业",[1]!s_info_industry_sw_2021(W4112,公司分析!D$5,2),IF($Y$3="申万三级行业",[1]!s_info_industry_sw_2021(W4112,公司分析!D$5,3),IF($Y$3="wind一级行业",[1]!s_info_industry_gics(W4112,1),IF($Y$3="wind二级行业",[1]!s_info_industry_gics(W4112,2),IF($Y$3="wind三级行业",[1]!s_info_industry_gics(W4112,3),IF($Y$3="wind四级行业",[1]!s_info_industry_gics(W4112,4),IF($Y$3="证监会门类行业",[1]!s_info_industry_csrc12_n(W4112,公司分析!D$5,1),""))))))))</f>
        <v>照明设备Ⅱ</v>
      </c>
      <c r="Z4112" s="302" t="str">
        <f ca="1">IF(Y4112=行业比较!$E$6,ROW(),"")</f>
        <v/>
      </c>
    </row>
    <row r="4113" spans="22:26">
      <c r="V4113" s="260">
        <f t="shared" ca="1" si="72"/>
        <v>0</v>
      </c>
      <c r="W4113" s="348" t="str">
        <f>IF(板块成分!B4115="","",板块成分!B4115)</f>
        <v>603305.SH</v>
      </c>
      <c r="X4113" s="276" t="str">
        <f>[1]!S_Info_Name(W4113)</f>
        <v>旭升集团</v>
      </c>
      <c r="Y4113" s="276" t="str">
        <f ca="1">IF($Y$3="申万一级行业",[1]!s_info_industry_sw_2021(W4113,公司分析!D$5,1),IF($Y$3="申万二级行业",[1]!s_info_industry_sw_2021(W4113,公司分析!D$5,2),IF($Y$3="申万三级行业",[1]!s_info_industry_sw_2021(W4113,公司分析!D$5,3),IF($Y$3="wind一级行业",[1]!s_info_industry_gics(W4113,1),IF($Y$3="wind二级行业",[1]!s_info_industry_gics(W4113,2),IF($Y$3="wind三级行业",[1]!s_info_industry_gics(W4113,3),IF($Y$3="wind四级行业",[1]!s_info_industry_gics(W4113,4),IF($Y$3="证监会门类行业",[1]!s_info_industry_csrc12_n(W4113,公司分析!D$5,1),""))))))))</f>
        <v>汽车零部件</v>
      </c>
      <c r="Z4113" s="302" t="str">
        <f ca="1">IF(Y4113=行业比较!$E$6,ROW(),"")</f>
        <v/>
      </c>
    </row>
    <row r="4114" spans="22:26">
      <c r="V4114" s="260">
        <f t="shared" ca="1" si="72"/>
        <v>0</v>
      </c>
      <c r="W4114" s="348" t="str">
        <f>IF(板块成分!B4116="","",板块成分!B4116)</f>
        <v>603306.SH</v>
      </c>
      <c r="X4114" s="276" t="str">
        <f>[1]!S_Info_Name(W4114)</f>
        <v>华懋科技</v>
      </c>
      <c r="Y4114" s="276" t="str">
        <f ca="1">IF($Y$3="申万一级行业",[1]!s_info_industry_sw_2021(W4114,公司分析!D$5,1),IF($Y$3="申万二级行业",[1]!s_info_industry_sw_2021(W4114,公司分析!D$5,2),IF($Y$3="申万三级行业",[1]!s_info_industry_sw_2021(W4114,公司分析!D$5,3),IF($Y$3="wind一级行业",[1]!s_info_industry_gics(W4114,1),IF($Y$3="wind二级行业",[1]!s_info_industry_gics(W4114,2),IF($Y$3="wind三级行业",[1]!s_info_industry_gics(W4114,3),IF($Y$3="wind四级行业",[1]!s_info_industry_gics(W4114,4),IF($Y$3="证监会门类行业",[1]!s_info_industry_csrc12_n(W4114,公司分析!D$5,1),""))))))))</f>
        <v>汽车零部件</v>
      </c>
      <c r="Z4114" s="302" t="str">
        <f ca="1">IF(Y4114=行业比较!$E$6,ROW(),"")</f>
        <v/>
      </c>
    </row>
    <row r="4115" spans="22:26">
      <c r="V4115" s="260">
        <f t="shared" ca="1" si="72"/>
        <v>0</v>
      </c>
      <c r="W4115" s="348" t="str">
        <f>IF(板块成分!B4117="","",板块成分!B4117)</f>
        <v>603307.SH</v>
      </c>
      <c r="X4115" s="276" t="str">
        <f>[1]!S_Info_Name(W4115)</f>
        <v>扬州金泉</v>
      </c>
      <c r="Y4115" s="276" t="str">
        <f ca="1">IF($Y$3="申万一级行业",[1]!s_info_industry_sw_2021(W4115,公司分析!D$5,1),IF($Y$3="申万二级行业",[1]!s_info_industry_sw_2021(W4115,公司分析!D$5,2),IF($Y$3="申万三级行业",[1]!s_info_industry_sw_2021(W4115,公司分析!D$5,3),IF($Y$3="wind一级行业",[1]!s_info_industry_gics(W4115,1),IF($Y$3="wind二级行业",[1]!s_info_industry_gics(W4115,2),IF($Y$3="wind三级行业",[1]!s_info_industry_gics(W4115,3),IF($Y$3="wind四级行业",[1]!s_info_industry_gics(W4115,4),IF($Y$3="证监会门类行业",[1]!s_info_industry_csrc12_n(W4115,公司分析!D$5,1),""))))))))</f>
        <v>服装家纺</v>
      </c>
      <c r="Z4115" s="302" t="str">
        <f ca="1">IF(Y4115=行业比较!$E$6,ROW(),"")</f>
        <v/>
      </c>
    </row>
    <row r="4116" spans="22:26">
      <c r="V4116" s="260">
        <f t="shared" ca="1" si="72"/>
        <v>0</v>
      </c>
      <c r="W4116" s="348" t="str">
        <f>IF(板块成分!B4118="","",板块成分!B4118)</f>
        <v>603308.SH</v>
      </c>
      <c r="X4116" s="276" t="str">
        <f>[1]!S_Info_Name(W4116)</f>
        <v>应流股份</v>
      </c>
      <c r="Y4116" s="276" t="str">
        <f ca="1">IF($Y$3="申万一级行业",[1]!s_info_industry_sw_2021(W4116,公司分析!D$5,1),IF($Y$3="申万二级行业",[1]!s_info_industry_sw_2021(W4116,公司分析!D$5,2),IF($Y$3="申万三级行业",[1]!s_info_industry_sw_2021(W4116,公司分析!D$5,3),IF($Y$3="wind一级行业",[1]!s_info_industry_gics(W4116,1),IF($Y$3="wind二级行业",[1]!s_info_industry_gics(W4116,2),IF($Y$3="wind三级行业",[1]!s_info_industry_gics(W4116,3),IF($Y$3="wind四级行业",[1]!s_info_industry_gics(W4116,4),IF($Y$3="证监会门类行业",[1]!s_info_industry_csrc12_n(W4116,公司分析!D$5,1),""))))))))</f>
        <v>通用设备</v>
      </c>
      <c r="Z4116" s="302" t="str">
        <f ca="1">IF(Y4116=行业比较!$E$6,ROW(),"")</f>
        <v/>
      </c>
    </row>
    <row r="4117" spans="22:26">
      <c r="V4117" s="260">
        <f t="shared" ca="1" si="72"/>
        <v>0</v>
      </c>
      <c r="W4117" s="348" t="str">
        <f>IF(板块成分!B4119="","",板块成分!B4119)</f>
        <v>603309.SH</v>
      </c>
      <c r="X4117" s="276" t="str">
        <f>[1]!S_Info_Name(W4117)</f>
        <v>维力医疗</v>
      </c>
      <c r="Y4117" s="276" t="str">
        <f ca="1">IF($Y$3="申万一级行业",[1]!s_info_industry_sw_2021(W4117,公司分析!D$5,1),IF($Y$3="申万二级行业",[1]!s_info_industry_sw_2021(W4117,公司分析!D$5,2),IF($Y$3="申万三级行业",[1]!s_info_industry_sw_2021(W4117,公司分析!D$5,3),IF($Y$3="wind一级行业",[1]!s_info_industry_gics(W4117,1),IF($Y$3="wind二级行业",[1]!s_info_industry_gics(W4117,2),IF($Y$3="wind三级行业",[1]!s_info_industry_gics(W4117,3),IF($Y$3="wind四级行业",[1]!s_info_industry_gics(W4117,4),IF($Y$3="证监会门类行业",[1]!s_info_industry_csrc12_n(W4117,公司分析!D$5,1),""))))))))</f>
        <v>医疗器械</v>
      </c>
      <c r="Z4117" s="302" t="str">
        <f ca="1">IF(Y4117=行业比较!$E$6,ROW(),"")</f>
        <v/>
      </c>
    </row>
    <row r="4118" spans="22:26">
      <c r="V4118" s="260">
        <f t="shared" ca="1" si="72"/>
        <v>0</v>
      </c>
      <c r="W4118" s="348" t="str">
        <f>IF(板块成分!B4120="","",板块成分!B4120)</f>
        <v>603310.SH</v>
      </c>
      <c r="X4118" s="276" t="str">
        <f>[1]!S_Info_Name(W4118)</f>
        <v>巍华新材</v>
      </c>
      <c r="Y4118" s="276" t="str">
        <f ca="1">IF($Y$3="申万一级行业",[1]!s_info_industry_sw_2021(W4118,公司分析!D$5,1),IF($Y$3="申万二级行业",[1]!s_info_industry_sw_2021(W4118,公司分析!D$5,2),IF($Y$3="申万三级行业",[1]!s_info_industry_sw_2021(W4118,公司分析!D$5,3),IF($Y$3="wind一级行业",[1]!s_info_industry_gics(W4118,1),IF($Y$3="wind二级行业",[1]!s_info_industry_gics(W4118,2),IF($Y$3="wind三级行业",[1]!s_info_industry_gics(W4118,3),IF($Y$3="wind四级行业",[1]!s_info_industry_gics(W4118,4),IF($Y$3="证监会门类行业",[1]!s_info_industry_csrc12_n(W4118,公司分析!D$5,1),""))))))))</f>
        <v>化学制品</v>
      </c>
      <c r="Z4118" s="302" t="str">
        <f ca="1">IF(Y4118=行业比较!$E$6,ROW(),"")</f>
        <v/>
      </c>
    </row>
    <row r="4119" spans="22:26">
      <c r="V4119" s="260">
        <f t="shared" ca="1" si="72"/>
        <v>0</v>
      </c>
      <c r="W4119" s="348" t="str">
        <f>IF(板块成分!B4121="","",板块成分!B4121)</f>
        <v>603311.SH</v>
      </c>
      <c r="X4119" s="276" t="str">
        <f>[1]!S_Info_Name(W4119)</f>
        <v>金海高科</v>
      </c>
      <c r="Y4119" s="276" t="str">
        <f ca="1">IF($Y$3="申万一级行业",[1]!s_info_industry_sw_2021(W4119,公司分析!D$5,1),IF($Y$3="申万二级行业",[1]!s_info_industry_sw_2021(W4119,公司分析!D$5,2),IF($Y$3="申万三级行业",[1]!s_info_industry_sw_2021(W4119,公司分析!D$5,3),IF($Y$3="wind一级行业",[1]!s_info_industry_gics(W4119,1),IF($Y$3="wind二级行业",[1]!s_info_industry_gics(W4119,2),IF($Y$3="wind三级行业",[1]!s_info_industry_gics(W4119,3),IF($Y$3="wind四级行业",[1]!s_info_industry_gics(W4119,4),IF($Y$3="证监会门类行业",[1]!s_info_industry_csrc12_n(W4119,公司分析!D$5,1),""))))))))</f>
        <v>家电零部件Ⅱ</v>
      </c>
      <c r="Z4119" s="302" t="str">
        <f ca="1">IF(Y4119=行业比较!$E$6,ROW(),"")</f>
        <v/>
      </c>
    </row>
    <row r="4120" spans="22:26">
      <c r="V4120" s="260">
        <f t="shared" ca="1" si="72"/>
        <v>0</v>
      </c>
      <c r="W4120" s="348" t="str">
        <f>IF(板块成分!B4122="","",板块成分!B4122)</f>
        <v>603312.SH</v>
      </c>
      <c r="X4120" s="276" t="str">
        <f>[1]!S_Info_Name(W4120)</f>
        <v>西典新能</v>
      </c>
      <c r="Y4120" s="276" t="str">
        <f ca="1">IF($Y$3="申万一级行业",[1]!s_info_industry_sw_2021(W4120,公司分析!D$5,1),IF($Y$3="申万二级行业",[1]!s_info_industry_sw_2021(W4120,公司分析!D$5,2),IF($Y$3="申万三级行业",[1]!s_info_industry_sw_2021(W4120,公司分析!D$5,3),IF($Y$3="wind一级行业",[1]!s_info_industry_gics(W4120,1),IF($Y$3="wind二级行业",[1]!s_info_industry_gics(W4120,2),IF($Y$3="wind三级行业",[1]!s_info_industry_gics(W4120,3),IF($Y$3="wind四级行业",[1]!s_info_industry_gics(W4120,4),IF($Y$3="证监会门类行业",[1]!s_info_industry_csrc12_n(W4120,公司分析!D$5,1),""))))))))</f>
        <v>电网设备</v>
      </c>
      <c r="Z4120" s="302" t="str">
        <f ca="1">IF(Y4120=行业比较!$E$6,ROW(),"")</f>
        <v/>
      </c>
    </row>
    <row r="4121" spans="22:26">
      <c r="V4121" s="260">
        <f t="shared" ca="1" si="72"/>
        <v>0</v>
      </c>
      <c r="W4121" s="348" t="str">
        <f>IF(板块成分!B4123="","",板块成分!B4123)</f>
        <v>603313.SH</v>
      </c>
      <c r="X4121" s="276" t="str">
        <f>[1]!S_Info_Name(W4121)</f>
        <v>梦百合</v>
      </c>
      <c r="Y4121" s="276" t="str">
        <f ca="1">IF($Y$3="申万一级行业",[1]!s_info_industry_sw_2021(W4121,公司分析!D$5,1),IF($Y$3="申万二级行业",[1]!s_info_industry_sw_2021(W4121,公司分析!D$5,2),IF($Y$3="申万三级行业",[1]!s_info_industry_sw_2021(W4121,公司分析!D$5,3),IF($Y$3="wind一级行业",[1]!s_info_industry_gics(W4121,1),IF($Y$3="wind二级行业",[1]!s_info_industry_gics(W4121,2),IF($Y$3="wind三级行业",[1]!s_info_industry_gics(W4121,3),IF($Y$3="wind四级行业",[1]!s_info_industry_gics(W4121,4),IF($Y$3="证监会门类行业",[1]!s_info_industry_csrc12_n(W4121,公司分析!D$5,1),""))))))))</f>
        <v>家居用品</v>
      </c>
      <c r="Z4121" s="302" t="str">
        <f ca="1">IF(Y4121=行业比较!$E$6,ROW(),"")</f>
        <v/>
      </c>
    </row>
    <row r="4122" spans="22:26">
      <c r="V4122" s="260">
        <f t="shared" ca="1" si="72"/>
        <v>0</v>
      </c>
      <c r="W4122" s="348" t="str">
        <f>IF(板块成分!B4124="","",板块成分!B4124)</f>
        <v>603315.SH</v>
      </c>
      <c r="X4122" s="276" t="str">
        <f>[1]!S_Info_Name(W4122)</f>
        <v>福鞍股份</v>
      </c>
      <c r="Y4122" s="276" t="str">
        <f ca="1">IF($Y$3="申万一级行业",[1]!s_info_industry_sw_2021(W4122,公司分析!D$5,1),IF($Y$3="申万二级行业",[1]!s_info_industry_sw_2021(W4122,公司分析!D$5,2),IF($Y$3="申万三级行业",[1]!s_info_industry_sw_2021(W4122,公司分析!D$5,3),IF($Y$3="wind一级行业",[1]!s_info_industry_gics(W4122,1),IF($Y$3="wind二级行业",[1]!s_info_industry_gics(W4122,2),IF($Y$3="wind三级行业",[1]!s_info_industry_gics(W4122,3),IF($Y$3="wind四级行业",[1]!s_info_industry_gics(W4122,4),IF($Y$3="证监会门类行业",[1]!s_info_industry_csrc12_n(W4122,公司分析!D$5,1),""))))))))</f>
        <v>环境治理</v>
      </c>
      <c r="Z4122" s="302" t="str">
        <f ca="1">IF(Y4122=行业比较!$E$6,ROW(),"")</f>
        <v/>
      </c>
    </row>
    <row r="4123" spans="22:26">
      <c r="V4123" s="260">
        <f t="shared" ca="1" si="72"/>
        <v>0</v>
      </c>
      <c r="W4123" s="348" t="str">
        <f>IF(板块成分!B4125="","",板块成分!B4125)</f>
        <v>603316.SH</v>
      </c>
      <c r="X4123" s="276" t="str">
        <f>[1]!S_Info_Name(W4123)</f>
        <v>诚邦股份</v>
      </c>
      <c r="Y4123" s="276" t="str">
        <f ca="1">IF($Y$3="申万一级行业",[1]!s_info_industry_sw_2021(W4123,公司分析!D$5,1),IF($Y$3="申万二级行业",[1]!s_info_industry_sw_2021(W4123,公司分析!D$5,2),IF($Y$3="申万三级行业",[1]!s_info_industry_sw_2021(W4123,公司分析!D$5,3),IF($Y$3="wind一级行业",[1]!s_info_industry_gics(W4123,1),IF($Y$3="wind二级行业",[1]!s_info_industry_gics(W4123,2),IF($Y$3="wind三级行业",[1]!s_info_industry_gics(W4123,3),IF($Y$3="wind四级行业",[1]!s_info_industry_gics(W4123,4),IF($Y$3="证监会门类行业",[1]!s_info_industry_csrc12_n(W4123,公司分析!D$5,1),""))))))))</f>
        <v>基础建设</v>
      </c>
      <c r="Z4123" s="302" t="str">
        <f ca="1">IF(Y4123=行业比较!$E$6,ROW(),"")</f>
        <v/>
      </c>
    </row>
    <row r="4124" spans="22:26">
      <c r="V4124" s="260">
        <f t="shared" ca="1" si="72"/>
        <v>0</v>
      </c>
      <c r="W4124" s="348" t="str">
        <f>IF(板块成分!B4126="","",板块成分!B4126)</f>
        <v>603317.SH</v>
      </c>
      <c r="X4124" s="276" t="str">
        <f>[1]!S_Info_Name(W4124)</f>
        <v>天味食品</v>
      </c>
      <c r="Y4124" s="276" t="str">
        <f ca="1">IF($Y$3="申万一级行业",[1]!s_info_industry_sw_2021(W4124,公司分析!D$5,1),IF($Y$3="申万二级行业",[1]!s_info_industry_sw_2021(W4124,公司分析!D$5,2),IF($Y$3="申万三级行业",[1]!s_info_industry_sw_2021(W4124,公司分析!D$5,3),IF($Y$3="wind一级行业",[1]!s_info_industry_gics(W4124,1),IF($Y$3="wind二级行业",[1]!s_info_industry_gics(W4124,2),IF($Y$3="wind三级行业",[1]!s_info_industry_gics(W4124,3),IF($Y$3="wind四级行业",[1]!s_info_industry_gics(W4124,4),IF($Y$3="证监会门类行业",[1]!s_info_industry_csrc12_n(W4124,公司分析!D$5,1),""))))))))</f>
        <v>调味发酵品Ⅱ</v>
      </c>
      <c r="Z4124" s="302" t="str">
        <f ca="1">IF(Y4124=行业比较!$E$6,ROW(),"")</f>
        <v/>
      </c>
    </row>
    <row r="4125" spans="22:26">
      <c r="V4125" s="260">
        <f t="shared" ca="1" si="72"/>
        <v>0</v>
      </c>
      <c r="W4125" s="348" t="str">
        <f>IF(板块成分!B4127="","",板块成分!B4127)</f>
        <v>603318.SH</v>
      </c>
      <c r="X4125" s="276" t="str">
        <f>[1]!S_Info_Name(W4125)</f>
        <v>水发燃气</v>
      </c>
      <c r="Y4125" s="276" t="str">
        <f ca="1">IF($Y$3="申万一级行业",[1]!s_info_industry_sw_2021(W4125,公司分析!D$5,1),IF($Y$3="申万二级行业",[1]!s_info_industry_sw_2021(W4125,公司分析!D$5,2),IF($Y$3="申万三级行业",[1]!s_info_industry_sw_2021(W4125,公司分析!D$5,3),IF($Y$3="wind一级行业",[1]!s_info_industry_gics(W4125,1),IF($Y$3="wind二级行业",[1]!s_info_industry_gics(W4125,2),IF($Y$3="wind三级行业",[1]!s_info_industry_gics(W4125,3),IF($Y$3="wind四级行业",[1]!s_info_industry_gics(W4125,4),IF($Y$3="证监会门类行业",[1]!s_info_industry_csrc12_n(W4125,公司分析!D$5,1),""))))))))</f>
        <v>燃气Ⅱ</v>
      </c>
      <c r="Z4125" s="302" t="str">
        <f ca="1">IF(Y4125=行业比较!$E$6,ROW(),"")</f>
        <v/>
      </c>
    </row>
    <row r="4126" spans="22:26">
      <c r="V4126" s="260">
        <f t="shared" ca="1" si="72"/>
        <v>0</v>
      </c>
      <c r="W4126" s="348" t="str">
        <f>IF(板块成分!B4128="","",板块成分!B4128)</f>
        <v>603319.SH</v>
      </c>
      <c r="X4126" s="276" t="str">
        <f>[1]!S_Info_Name(W4126)</f>
        <v>美湖股份</v>
      </c>
      <c r="Y4126" s="276" t="str">
        <f ca="1">IF($Y$3="申万一级行业",[1]!s_info_industry_sw_2021(W4126,公司分析!D$5,1),IF($Y$3="申万二级行业",[1]!s_info_industry_sw_2021(W4126,公司分析!D$5,2),IF($Y$3="申万三级行业",[1]!s_info_industry_sw_2021(W4126,公司分析!D$5,3),IF($Y$3="wind一级行业",[1]!s_info_industry_gics(W4126,1),IF($Y$3="wind二级行业",[1]!s_info_industry_gics(W4126,2),IF($Y$3="wind三级行业",[1]!s_info_industry_gics(W4126,3),IF($Y$3="wind四级行业",[1]!s_info_industry_gics(W4126,4),IF($Y$3="证监会门类行业",[1]!s_info_industry_csrc12_n(W4126,公司分析!D$5,1),""))))))))</f>
        <v>汽车零部件</v>
      </c>
      <c r="Z4126" s="302" t="str">
        <f ca="1">IF(Y4126=行业比较!$E$6,ROW(),"")</f>
        <v/>
      </c>
    </row>
    <row r="4127" spans="22:26">
      <c r="V4127" s="260">
        <f t="shared" ca="1" si="72"/>
        <v>0</v>
      </c>
      <c r="W4127" s="348" t="str">
        <f>IF(板块成分!B4129="","",板块成分!B4129)</f>
        <v>603320.SH</v>
      </c>
      <c r="X4127" s="276" t="str">
        <f>[1]!S_Info_Name(W4127)</f>
        <v>迪贝电气</v>
      </c>
      <c r="Y4127" s="276" t="str">
        <f ca="1">IF($Y$3="申万一级行业",[1]!s_info_industry_sw_2021(W4127,公司分析!D$5,1),IF($Y$3="申万二级行业",[1]!s_info_industry_sw_2021(W4127,公司分析!D$5,2),IF($Y$3="申万三级行业",[1]!s_info_industry_sw_2021(W4127,公司分析!D$5,3),IF($Y$3="wind一级行业",[1]!s_info_industry_gics(W4127,1),IF($Y$3="wind二级行业",[1]!s_info_industry_gics(W4127,2),IF($Y$3="wind三级行业",[1]!s_info_industry_gics(W4127,3),IF($Y$3="wind四级行业",[1]!s_info_industry_gics(W4127,4),IF($Y$3="证监会门类行业",[1]!s_info_industry_csrc12_n(W4127,公司分析!D$5,1),""))))))))</f>
        <v>电机Ⅱ</v>
      </c>
      <c r="Z4127" s="302" t="str">
        <f ca="1">IF(Y4127=行业比较!$E$6,ROW(),"")</f>
        <v/>
      </c>
    </row>
    <row r="4128" spans="22:26">
      <c r="V4128" s="260">
        <f t="shared" ca="1" si="72"/>
        <v>0</v>
      </c>
      <c r="W4128" s="348" t="str">
        <f>IF(板块成分!B4130="","",板块成分!B4130)</f>
        <v>603321.SH</v>
      </c>
      <c r="X4128" s="276" t="str">
        <f>[1]!S_Info_Name(W4128)</f>
        <v>梅轮电梯</v>
      </c>
      <c r="Y4128" s="276" t="str">
        <f ca="1">IF($Y$3="申万一级行业",[1]!s_info_industry_sw_2021(W4128,公司分析!D$5,1),IF($Y$3="申万二级行业",[1]!s_info_industry_sw_2021(W4128,公司分析!D$5,2),IF($Y$3="申万三级行业",[1]!s_info_industry_sw_2021(W4128,公司分析!D$5,3),IF($Y$3="wind一级行业",[1]!s_info_industry_gics(W4128,1),IF($Y$3="wind二级行业",[1]!s_info_industry_gics(W4128,2),IF($Y$3="wind三级行业",[1]!s_info_industry_gics(W4128,3),IF($Y$3="wind四级行业",[1]!s_info_industry_gics(W4128,4),IF($Y$3="证监会门类行业",[1]!s_info_industry_csrc12_n(W4128,公司分析!D$5,1),""))))))))</f>
        <v>专用设备</v>
      </c>
      <c r="Z4128" s="302" t="str">
        <f ca="1">IF(Y4128=行业比较!$E$6,ROW(),"")</f>
        <v/>
      </c>
    </row>
    <row r="4129" spans="22:26">
      <c r="V4129" s="260">
        <f t="shared" ca="1" si="72"/>
        <v>0</v>
      </c>
      <c r="W4129" s="348" t="str">
        <f>IF(板块成分!B4131="","",板块成分!B4131)</f>
        <v>603322.SH</v>
      </c>
      <c r="X4129" s="276" t="str">
        <f>[1]!S_Info_Name(W4129)</f>
        <v>超讯通信</v>
      </c>
      <c r="Y4129" s="276" t="str">
        <f ca="1">IF($Y$3="申万一级行业",[1]!s_info_industry_sw_2021(W4129,公司分析!D$5,1),IF($Y$3="申万二级行业",[1]!s_info_industry_sw_2021(W4129,公司分析!D$5,2),IF($Y$3="申万三级行业",[1]!s_info_industry_sw_2021(W4129,公司分析!D$5,3),IF($Y$3="wind一级行业",[1]!s_info_industry_gics(W4129,1),IF($Y$3="wind二级行业",[1]!s_info_industry_gics(W4129,2),IF($Y$3="wind三级行业",[1]!s_info_industry_gics(W4129,3),IF($Y$3="wind四级行业",[1]!s_info_industry_gics(W4129,4),IF($Y$3="证监会门类行业",[1]!s_info_industry_csrc12_n(W4129,公司分析!D$5,1),""))))))))</f>
        <v>通信服务</v>
      </c>
      <c r="Z4129" s="302" t="str">
        <f ca="1">IF(Y4129=行业比较!$E$6,ROW(),"")</f>
        <v/>
      </c>
    </row>
    <row r="4130" spans="22:26">
      <c r="V4130" s="260">
        <f t="shared" ca="1" si="72"/>
        <v>0</v>
      </c>
      <c r="W4130" s="348" t="str">
        <f>IF(板块成分!B4132="","",板块成分!B4132)</f>
        <v>603323.SH</v>
      </c>
      <c r="X4130" s="276" t="str">
        <f>[1]!S_Info_Name(W4130)</f>
        <v>苏农银行</v>
      </c>
      <c r="Y4130" s="276" t="str">
        <f ca="1">IF($Y$3="申万一级行业",[1]!s_info_industry_sw_2021(W4130,公司分析!D$5,1),IF($Y$3="申万二级行业",[1]!s_info_industry_sw_2021(W4130,公司分析!D$5,2),IF($Y$3="申万三级行业",[1]!s_info_industry_sw_2021(W4130,公司分析!D$5,3),IF($Y$3="wind一级行业",[1]!s_info_industry_gics(W4130,1),IF($Y$3="wind二级行业",[1]!s_info_industry_gics(W4130,2),IF($Y$3="wind三级行业",[1]!s_info_industry_gics(W4130,3),IF($Y$3="wind四级行业",[1]!s_info_industry_gics(W4130,4),IF($Y$3="证监会门类行业",[1]!s_info_industry_csrc12_n(W4130,公司分析!D$5,1),""))))))))</f>
        <v>农商行Ⅱ</v>
      </c>
      <c r="Z4130" s="302" t="str">
        <f ca="1">IF(Y4130=行业比较!$E$6,ROW(),"")</f>
        <v/>
      </c>
    </row>
    <row r="4131" spans="22:26">
      <c r="V4131" s="260">
        <f t="shared" ca="1" si="72"/>
        <v>0</v>
      </c>
      <c r="W4131" s="348" t="str">
        <f>IF(板块成分!B4133="","",板块成分!B4133)</f>
        <v>603324.SH</v>
      </c>
      <c r="X4131" s="276" t="str">
        <f>[1]!S_Info_Name(W4131)</f>
        <v>盛剑科技</v>
      </c>
      <c r="Y4131" s="276" t="str">
        <f ca="1">IF($Y$3="申万一级行业",[1]!s_info_industry_sw_2021(W4131,公司分析!D$5,1),IF($Y$3="申万二级行业",[1]!s_info_industry_sw_2021(W4131,公司分析!D$5,2),IF($Y$3="申万三级行业",[1]!s_info_industry_sw_2021(W4131,公司分析!D$5,3),IF($Y$3="wind一级行业",[1]!s_info_industry_gics(W4131,1),IF($Y$3="wind二级行业",[1]!s_info_industry_gics(W4131,2),IF($Y$3="wind三级行业",[1]!s_info_industry_gics(W4131,3),IF($Y$3="wind四级行业",[1]!s_info_industry_gics(W4131,4),IF($Y$3="证监会门类行业",[1]!s_info_industry_csrc12_n(W4131,公司分析!D$5,1),""))))))))</f>
        <v>环保设备Ⅱ</v>
      </c>
      <c r="Z4131" s="302" t="str">
        <f ca="1">IF(Y4131=行业比较!$E$6,ROW(),"")</f>
        <v/>
      </c>
    </row>
    <row r="4132" spans="22:26">
      <c r="V4132" s="260">
        <f t="shared" ca="1" si="72"/>
        <v>0</v>
      </c>
      <c r="W4132" s="348" t="str">
        <f>IF(板块成分!B4134="","",板块成分!B4134)</f>
        <v>603325.SH</v>
      </c>
      <c r="X4132" s="276" t="str">
        <f>[1]!S_Info_Name(W4132)</f>
        <v>博隆技术</v>
      </c>
      <c r="Y4132" s="276" t="str">
        <f ca="1">IF($Y$3="申万一级行业",[1]!s_info_industry_sw_2021(W4132,公司分析!D$5,1),IF($Y$3="申万二级行业",[1]!s_info_industry_sw_2021(W4132,公司分析!D$5,2),IF($Y$3="申万三级行业",[1]!s_info_industry_sw_2021(W4132,公司分析!D$5,3),IF($Y$3="wind一级行业",[1]!s_info_industry_gics(W4132,1),IF($Y$3="wind二级行业",[1]!s_info_industry_gics(W4132,2),IF($Y$3="wind三级行业",[1]!s_info_industry_gics(W4132,3),IF($Y$3="wind四级行业",[1]!s_info_industry_gics(W4132,4),IF($Y$3="证监会门类行业",[1]!s_info_industry_csrc12_n(W4132,公司分析!D$5,1),""))))))))</f>
        <v>专用设备</v>
      </c>
      <c r="Z4132" s="302" t="str">
        <f ca="1">IF(Y4132=行业比较!$E$6,ROW(),"")</f>
        <v/>
      </c>
    </row>
    <row r="4133" spans="22:26">
      <c r="V4133" s="260">
        <f t="shared" ca="1" si="72"/>
        <v>0</v>
      </c>
      <c r="W4133" s="348" t="str">
        <f>IF(板块成分!B4135="","",板块成分!B4135)</f>
        <v>603326.SH</v>
      </c>
      <c r="X4133" s="276" t="str">
        <f>[1]!S_Info_Name(W4133)</f>
        <v>我乐家居</v>
      </c>
      <c r="Y4133" s="276" t="str">
        <f ca="1">IF($Y$3="申万一级行业",[1]!s_info_industry_sw_2021(W4133,公司分析!D$5,1),IF($Y$3="申万二级行业",[1]!s_info_industry_sw_2021(W4133,公司分析!D$5,2),IF($Y$3="申万三级行业",[1]!s_info_industry_sw_2021(W4133,公司分析!D$5,3),IF($Y$3="wind一级行业",[1]!s_info_industry_gics(W4133,1),IF($Y$3="wind二级行业",[1]!s_info_industry_gics(W4133,2),IF($Y$3="wind三级行业",[1]!s_info_industry_gics(W4133,3),IF($Y$3="wind四级行业",[1]!s_info_industry_gics(W4133,4),IF($Y$3="证监会门类行业",[1]!s_info_industry_csrc12_n(W4133,公司分析!D$5,1),""))))))))</f>
        <v>家居用品</v>
      </c>
      <c r="Z4133" s="302" t="str">
        <f ca="1">IF(Y4133=行业比较!$E$6,ROW(),"")</f>
        <v/>
      </c>
    </row>
    <row r="4134" spans="22:26">
      <c r="V4134" s="260">
        <f t="shared" ca="1" si="72"/>
        <v>0</v>
      </c>
      <c r="W4134" s="348" t="str">
        <f>IF(板块成分!B4136="","",板块成分!B4136)</f>
        <v>603327.SH</v>
      </c>
      <c r="X4134" s="276" t="str">
        <f>[1]!S_Info_Name(W4134)</f>
        <v>福蓉科技</v>
      </c>
      <c r="Y4134" s="276" t="str">
        <f ca="1">IF($Y$3="申万一级行业",[1]!s_info_industry_sw_2021(W4134,公司分析!D$5,1),IF($Y$3="申万二级行业",[1]!s_info_industry_sw_2021(W4134,公司分析!D$5,2),IF($Y$3="申万三级行业",[1]!s_info_industry_sw_2021(W4134,公司分析!D$5,3),IF($Y$3="wind一级行业",[1]!s_info_industry_gics(W4134,1),IF($Y$3="wind二级行业",[1]!s_info_industry_gics(W4134,2),IF($Y$3="wind三级行业",[1]!s_info_industry_gics(W4134,3),IF($Y$3="wind四级行业",[1]!s_info_industry_gics(W4134,4),IF($Y$3="证监会门类行业",[1]!s_info_industry_csrc12_n(W4134,公司分析!D$5,1),""))))))))</f>
        <v>消费电子</v>
      </c>
      <c r="Z4134" s="302" t="str">
        <f ca="1">IF(Y4134=行业比较!$E$6,ROW(),"")</f>
        <v/>
      </c>
    </row>
    <row r="4135" spans="22:26">
      <c r="V4135" s="260">
        <f t="shared" ca="1" si="72"/>
        <v>0</v>
      </c>
      <c r="W4135" s="348" t="str">
        <f>IF(板块成分!B4137="","",板块成分!B4137)</f>
        <v>603328.SH</v>
      </c>
      <c r="X4135" s="276" t="str">
        <f>[1]!S_Info_Name(W4135)</f>
        <v>依顿电子</v>
      </c>
      <c r="Y4135" s="276" t="str">
        <f ca="1">IF($Y$3="申万一级行业",[1]!s_info_industry_sw_2021(W4135,公司分析!D$5,1),IF($Y$3="申万二级行业",[1]!s_info_industry_sw_2021(W4135,公司分析!D$5,2),IF($Y$3="申万三级行业",[1]!s_info_industry_sw_2021(W4135,公司分析!D$5,3),IF($Y$3="wind一级行业",[1]!s_info_industry_gics(W4135,1),IF($Y$3="wind二级行业",[1]!s_info_industry_gics(W4135,2),IF($Y$3="wind三级行业",[1]!s_info_industry_gics(W4135,3),IF($Y$3="wind四级行业",[1]!s_info_industry_gics(W4135,4),IF($Y$3="证监会门类行业",[1]!s_info_industry_csrc12_n(W4135,公司分析!D$5,1),""))))))))</f>
        <v>元件</v>
      </c>
      <c r="Z4135" s="302" t="str">
        <f ca="1">IF(Y4135=行业比较!$E$6,ROW(),"")</f>
        <v/>
      </c>
    </row>
    <row r="4136" spans="22:26">
      <c r="V4136" s="260">
        <f t="shared" ca="1" si="72"/>
        <v>0</v>
      </c>
      <c r="W4136" s="348" t="str">
        <f>IF(板块成分!B4138="","",板块成分!B4138)</f>
        <v>603329.SH</v>
      </c>
      <c r="X4136" s="276" t="str">
        <f>[1]!S_Info_Name(W4136)</f>
        <v>上海雅仕</v>
      </c>
      <c r="Y4136" s="276" t="str">
        <f ca="1">IF($Y$3="申万一级行业",[1]!s_info_industry_sw_2021(W4136,公司分析!D$5,1),IF($Y$3="申万二级行业",[1]!s_info_industry_sw_2021(W4136,公司分析!D$5,2),IF($Y$3="申万三级行业",[1]!s_info_industry_sw_2021(W4136,公司分析!D$5,3),IF($Y$3="wind一级行业",[1]!s_info_industry_gics(W4136,1),IF($Y$3="wind二级行业",[1]!s_info_industry_gics(W4136,2),IF($Y$3="wind三级行业",[1]!s_info_industry_gics(W4136,3),IF($Y$3="wind四级行业",[1]!s_info_industry_gics(W4136,4),IF($Y$3="证监会门类行业",[1]!s_info_industry_csrc12_n(W4136,公司分析!D$5,1),""))))))))</f>
        <v>物流</v>
      </c>
      <c r="Z4136" s="302" t="str">
        <f ca="1">IF(Y4136=行业比较!$E$6,ROW(),"")</f>
        <v/>
      </c>
    </row>
    <row r="4137" spans="22:26">
      <c r="V4137" s="260">
        <f t="shared" ca="1" si="72"/>
        <v>0</v>
      </c>
      <c r="W4137" s="348" t="str">
        <f>IF(板块成分!B4139="","",板块成分!B4139)</f>
        <v>603330.SH</v>
      </c>
      <c r="X4137" s="276" t="str">
        <f>[1]!S_Info_Name(W4137)</f>
        <v>天洋新材</v>
      </c>
      <c r="Y4137" s="276" t="str">
        <f ca="1">IF($Y$3="申万一级行业",[1]!s_info_industry_sw_2021(W4137,公司分析!D$5,1),IF($Y$3="申万二级行业",[1]!s_info_industry_sw_2021(W4137,公司分析!D$5,2),IF($Y$3="申万三级行业",[1]!s_info_industry_sw_2021(W4137,公司分析!D$5,3),IF($Y$3="wind一级行业",[1]!s_info_industry_gics(W4137,1),IF($Y$3="wind二级行业",[1]!s_info_industry_gics(W4137,2),IF($Y$3="wind三级行业",[1]!s_info_industry_gics(W4137,3),IF($Y$3="wind四级行业",[1]!s_info_industry_gics(W4137,4),IF($Y$3="证监会门类行业",[1]!s_info_industry_csrc12_n(W4137,公司分析!D$5,1),""))))))))</f>
        <v>塑料</v>
      </c>
      <c r="Z4137" s="302" t="str">
        <f ca="1">IF(Y4137=行业比较!$E$6,ROW(),"")</f>
        <v/>
      </c>
    </row>
    <row r="4138" spans="22:26">
      <c r="V4138" s="260">
        <f t="shared" ca="1" si="72"/>
        <v>0</v>
      </c>
      <c r="W4138" s="348" t="str">
        <f>IF(板块成分!B4140="","",板块成分!B4140)</f>
        <v>603331.SH</v>
      </c>
      <c r="X4138" s="276" t="str">
        <f>[1]!S_Info_Name(W4138)</f>
        <v>百达精工</v>
      </c>
      <c r="Y4138" s="276" t="str">
        <f ca="1">IF($Y$3="申万一级行业",[1]!s_info_industry_sw_2021(W4138,公司分析!D$5,1),IF($Y$3="申万二级行业",[1]!s_info_industry_sw_2021(W4138,公司分析!D$5,2),IF($Y$3="申万三级行业",[1]!s_info_industry_sw_2021(W4138,公司分析!D$5,3),IF($Y$3="wind一级行业",[1]!s_info_industry_gics(W4138,1),IF($Y$3="wind二级行业",[1]!s_info_industry_gics(W4138,2),IF($Y$3="wind三级行业",[1]!s_info_industry_gics(W4138,3),IF($Y$3="wind四级行业",[1]!s_info_industry_gics(W4138,4),IF($Y$3="证监会门类行业",[1]!s_info_industry_csrc12_n(W4138,公司分析!D$5,1),""))))))))</f>
        <v>通用设备</v>
      </c>
      <c r="Z4138" s="302" t="str">
        <f ca="1">IF(Y4138=行业比较!$E$6,ROW(),"")</f>
        <v/>
      </c>
    </row>
    <row r="4139" spans="22:26">
      <c r="V4139" s="260">
        <f t="shared" ca="1" si="72"/>
        <v>0</v>
      </c>
      <c r="W4139" s="348" t="str">
        <f>IF(板块成分!B4141="","",板块成分!B4141)</f>
        <v>603332.SH</v>
      </c>
      <c r="X4139" s="276" t="str">
        <f>[1]!S_Info_Name(W4139)</f>
        <v>苏州龙杰</v>
      </c>
      <c r="Y4139" s="276" t="str">
        <f ca="1">IF($Y$3="申万一级行业",[1]!s_info_industry_sw_2021(W4139,公司分析!D$5,1),IF($Y$3="申万二级行业",[1]!s_info_industry_sw_2021(W4139,公司分析!D$5,2),IF($Y$3="申万三级行业",[1]!s_info_industry_sw_2021(W4139,公司分析!D$5,3),IF($Y$3="wind一级行业",[1]!s_info_industry_gics(W4139,1),IF($Y$3="wind二级行业",[1]!s_info_industry_gics(W4139,2),IF($Y$3="wind三级行业",[1]!s_info_industry_gics(W4139,3),IF($Y$3="wind四级行业",[1]!s_info_industry_gics(W4139,4),IF($Y$3="证监会门类行业",[1]!s_info_industry_csrc12_n(W4139,公司分析!D$5,1),""))))))))</f>
        <v>化学纤维</v>
      </c>
      <c r="Z4139" s="302" t="str">
        <f ca="1">IF(Y4139=行业比较!$E$6,ROW(),"")</f>
        <v/>
      </c>
    </row>
    <row r="4140" spans="22:26">
      <c r="V4140" s="260">
        <f t="shared" ca="1" si="72"/>
        <v>0</v>
      </c>
      <c r="W4140" s="348" t="str">
        <f>IF(板块成分!B4142="","",板块成分!B4142)</f>
        <v>603333.SH</v>
      </c>
      <c r="X4140" s="276" t="str">
        <f>[1]!S_Info_Name(W4140)</f>
        <v>尚纬股份</v>
      </c>
      <c r="Y4140" s="276" t="str">
        <f ca="1">IF($Y$3="申万一级行业",[1]!s_info_industry_sw_2021(W4140,公司分析!D$5,1),IF($Y$3="申万二级行业",[1]!s_info_industry_sw_2021(W4140,公司分析!D$5,2),IF($Y$3="申万三级行业",[1]!s_info_industry_sw_2021(W4140,公司分析!D$5,3),IF($Y$3="wind一级行业",[1]!s_info_industry_gics(W4140,1),IF($Y$3="wind二级行业",[1]!s_info_industry_gics(W4140,2),IF($Y$3="wind三级行业",[1]!s_info_industry_gics(W4140,3),IF($Y$3="wind四级行业",[1]!s_info_industry_gics(W4140,4),IF($Y$3="证监会门类行业",[1]!s_info_industry_csrc12_n(W4140,公司分析!D$5,1),""))))))))</f>
        <v>电网设备</v>
      </c>
      <c r="Z4140" s="302" t="str">
        <f ca="1">IF(Y4140=行业比较!$E$6,ROW(),"")</f>
        <v/>
      </c>
    </row>
    <row r="4141" spans="22:26">
      <c r="V4141" s="260">
        <f t="shared" ca="1" si="72"/>
        <v>0</v>
      </c>
      <c r="W4141" s="348" t="str">
        <f>IF(板块成分!B4143="","",板块成分!B4143)</f>
        <v>603334.SH</v>
      </c>
      <c r="X4141" s="276" t="str">
        <f>[1]!S_Info_Name(W4141)</f>
        <v>丰倍生物</v>
      </c>
      <c r="Y4141" s="276" t="str">
        <f ca="1">IF($Y$3="申万一级行业",[1]!s_info_industry_sw_2021(W4141,公司分析!D$5,1),IF($Y$3="申万二级行业",[1]!s_info_industry_sw_2021(W4141,公司分析!D$5,2),IF($Y$3="申万三级行业",[1]!s_info_industry_sw_2021(W4141,公司分析!D$5,3),IF($Y$3="wind一级行业",[1]!s_info_industry_gics(W4141,1),IF($Y$3="wind二级行业",[1]!s_info_industry_gics(W4141,2),IF($Y$3="wind三级行业",[1]!s_info_industry_gics(W4141,3),IF($Y$3="wind四级行业",[1]!s_info_industry_gics(W4141,4),IF($Y$3="证监会门类行业",[1]!s_info_industry_csrc12_n(W4141,公司分析!D$5,1),""))))))))</f>
        <v>化学制品</v>
      </c>
      <c r="Z4141" s="302" t="str">
        <f ca="1">IF(Y4141=行业比较!$E$6,ROW(),"")</f>
        <v/>
      </c>
    </row>
    <row r="4142" spans="22:26">
      <c r="V4142" s="260">
        <f t="shared" ca="1" si="72"/>
        <v>0</v>
      </c>
      <c r="W4142" s="348" t="str">
        <f>IF(板块成分!B4144="","",板块成分!B4144)</f>
        <v>603335.SH</v>
      </c>
      <c r="X4142" s="276" t="str">
        <f>[1]!S_Info_Name(W4142)</f>
        <v>迪生力</v>
      </c>
      <c r="Y4142" s="276" t="str">
        <f ca="1">IF($Y$3="申万一级行业",[1]!s_info_industry_sw_2021(W4142,公司分析!D$5,1),IF($Y$3="申万二级行业",[1]!s_info_industry_sw_2021(W4142,公司分析!D$5,2),IF($Y$3="申万三级行业",[1]!s_info_industry_sw_2021(W4142,公司分析!D$5,3),IF($Y$3="wind一级行业",[1]!s_info_industry_gics(W4142,1),IF($Y$3="wind二级行业",[1]!s_info_industry_gics(W4142,2),IF($Y$3="wind三级行业",[1]!s_info_industry_gics(W4142,3),IF($Y$3="wind四级行业",[1]!s_info_industry_gics(W4142,4),IF($Y$3="证监会门类行业",[1]!s_info_industry_csrc12_n(W4142,公司分析!D$5,1),""))))))))</f>
        <v>汽车零部件</v>
      </c>
      <c r="Z4142" s="302" t="str">
        <f ca="1">IF(Y4142=行业比较!$E$6,ROW(),"")</f>
        <v/>
      </c>
    </row>
    <row r="4143" spans="22:26">
      <c r="V4143" s="260">
        <f t="shared" ca="1" si="72"/>
        <v>0</v>
      </c>
      <c r="W4143" s="348" t="str">
        <f>IF(板块成分!B4145="","",板块成分!B4145)</f>
        <v>603336.SH</v>
      </c>
      <c r="X4143" s="276" t="str">
        <f>[1]!S_Info_Name(W4143)</f>
        <v>宏辉果蔬</v>
      </c>
      <c r="Y4143" s="276" t="str">
        <f ca="1">IF($Y$3="申万一级行业",[1]!s_info_industry_sw_2021(W4143,公司分析!D$5,1),IF($Y$3="申万二级行业",[1]!s_info_industry_sw_2021(W4143,公司分析!D$5,2),IF($Y$3="申万三级行业",[1]!s_info_industry_sw_2021(W4143,公司分析!D$5,3),IF($Y$3="wind一级行业",[1]!s_info_industry_gics(W4143,1),IF($Y$3="wind二级行业",[1]!s_info_industry_gics(W4143,2),IF($Y$3="wind三级行业",[1]!s_info_industry_gics(W4143,3),IF($Y$3="wind四级行业",[1]!s_info_industry_gics(W4143,4),IF($Y$3="证监会门类行业",[1]!s_info_industry_csrc12_n(W4143,公司分析!D$5,1),""))))))))</f>
        <v>种植业</v>
      </c>
      <c r="Z4143" s="302" t="str">
        <f ca="1">IF(Y4143=行业比较!$E$6,ROW(),"")</f>
        <v/>
      </c>
    </row>
    <row r="4144" spans="22:26">
      <c r="V4144" s="260">
        <f t="shared" ca="1" si="72"/>
        <v>0</v>
      </c>
      <c r="W4144" s="348" t="str">
        <f>IF(板块成分!B4146="","",板块成分!B4146)</f>
        <v>603337.SH</v>
      </c>
      <c r="X4144" s="276" t="str">
        <f>[1]!S_Info_Name(W4144)</f>
        <v>杰克科技</v>
      </c>
      <c r="Y4144" s="276" t="str">
        <f ca="1">IF($Y$3="申万一级行业",[1]!s_info_industry_sw_2021(W4144,公司分析!D$5,1),IF($Y$3="申万二级行业",[1]!s_info_industry_sw_2021(W4144,公司分析!D$5,2),IF($Y$3="申万三级行业",[1]!s_info_industry_sw_2021(W4144,公司分析!D$5,3),IF($Y$3="wind一级行业",[1]!s_info_industry_gics(W4144,1),IF($Y$3="wind二级行业",[1]!s_info_industry_gics(W4144,2),IF($Y$3="wind三级行业",[1]!s_info_industry_gics(W4144,3),IF($Y$3="wind四级行业",[1]!s_info_industry_gics(W4144,4),IF($Y$3="证监会门类行业",[1]!s_info_industry_csrc12_n(W4144,公司分析!D$5,1),""))))))))</f>
        <v>专用设备</v>
      </c>
      <c r="Z4144" s="302" t="str">
        <f ca="1">IF(Y4144=行业比较!$E$6,ROW(),"")</f>
        <v/>
      </c>
    </row>
    <row r="4145" spans="22:26">
      <c r="V4145" s="260">
        <f t="shared" ca="1" si="72"/>
        <v>0</v>
      </c>
      <c r="W4145" s="348" t="str">
        <f>IF(板块成分!B4147="","",板块成分!B4147)</f>
        <v>603338.SH</v>
      </c>
      <c r="X4145" s="276" t="str">
        <f>[1]!S_Info_Name(W4145)</f>
        <v>浙江鼎力</v>
      </c>
      <c r="Y4145" s="276" t="str">
        <f ca="1">IF($Y$3="申万一级行业",[1]!s_info_industry_sw_2021(W4145,公司分析!D$5,1),IF($Y$3="申万二级行业",[1]!s_info_industry_sw_2021(W4145,公司分析!D$5,2),IF($Y$3="申万三级行业",[1]!s_info_industry_sw_2021(W4145,公司分析!D$5,3),IF($Y$3="wind一级行业",[1]!s_info_industry_gics(W4145,1),IF($Y$3="wind二级行业",[1]!s_info_industry_gics(W4145,2),IF($Y$3="wind三级行业",[1]!s_info_industry_gics(W4145,3),IF($Y$3="wind四级行业",[1]!s_info_industry_gics(W4145,4),IF($Y$3="证监会门类行业",[1]!s_info_industry_csrc12_n(W4145,公司分析!D$5,1),""))))))))</f>
        <v>工程机械</v>
      </c>
      <c r="Z4145" s="302" t="str">
        <f ca="1">IF(Y4145=行业比较!$E$6,ROW(),"")</f>
        <v/>
      </c>
    </row>
    <row r="4146" spans="22:26">
      <c r="V4146" s="260">
        <f t="shared" ca="1" si="72"/>
        <v>0</v>
      </c>
      <c r="W4146" s="348" t="str">
        <f>IF(板块成分!B4148="","",板块成分!B4148)</f>
        <v>603339.SH</v>
      </c>
      <c r="X4146" s="276" t="str">
        <f>[1]!S_Info_Name(W4146)</f>
        <v>四方科技</v>
      </c>
      <c r="Y4146" s="276" t="str">
        <f ca="1">IF($Y$3="申万一级行业",[1]!s_info_industry_sw_2021(W4146,公司分析!D$5,1),IF($Y$3="申万二级行业",[1]!s_info_industry_sw_2021(W4146,公司分析!D$5,2),IF($Y$3="申万三级行业",[1]!s_info_industry_sw_2021(W4146,公司分析!D$5,3),IF($Y$3="wind一级行业",[1]!s_info_industry_gics(W4146,1),IF($Y$3="wind二级行业",[1]!s_info_industry_gics(W4146,2),IF($Y$3="wind三级行业",[1]!s_info_industry_gics(W4146,3),IF($Y$3="wind四级行业",[1]!s_info_industry_gics(W4146,4),IF($Y$3="证监会门类行业",[1]!s_info_industry_csrc12_n(W4146,公司分析!D$5,1),""))))))))</f>
        <v>通用设备</v>
      </c>
      <c r="Z4146" s="302" t="str">
        <f ca="1">IF(Y4146=行业比较!$E$6,ROW(),"")</f>
        <v/>
      </c>
    </row>
    <row r="4147" spans="22:26">
      <c r="V4147" s="260">
        <f t="shared" ca="1" si="72"/>
        <v>0</v>
      </c>
      <c r="W4147" s="348" t="str">
        <f>IF(板块成分!B4149="","",板块成分!B4149)</f>
        <v>603341.SH</v>
      </c>
      <c r="X4147" s="276" t="str">
        <f>[1]!S_Info_Name(W4147)</f>
        <v>龙旗科技</v>
      </c>
      <c r="Y4147" s="276" t="str">
        <f ca="1">IF($Y$3="申万一级行业",[1]!s_info_industry_sw_2021(W4147,公司分析!D$5,1),IF($Y$3="申万二级行业",[1]!s_info_industry_sw_2021(W4147,公司分析!D$5,2),IF($Y$3="申万三级行业",[1]!s_info_industry_sw_2021(W4147,公司分析!D$5,3),IF($Y$3="wind一级行业",[1]!s_info_industry_gics(W4147,1),IF($Y$3="wind二级行业",[1]!s_info_industry_gics(W4147,2),IF($Y$3="wind三级行业",[1]!s_info_industry_gics(W4147,3),IF($Y$3="wind四级行业",[1]!s_info_industry_gics(W4147,4),IF($Y$3="证监会门类行业",[1]!s_info_industry_csrc12_n(W4147,公司分析!D$5,1),""))))))))</f>
        <v>消费电子</v>
      </c>
      <c r="Z4147" s="302" t="str">
        <f ca="1">IF(Y4147=行业比较!$E$6,ROW(),"")</f>
        <v/>
      </c>
    </row>
    <row r="4148" spans="22:26">
      <c r="V4148" s="260">
        <f t="shared" ca="1" si="72"/>
        <v>0</v>
      </c>
      <c r="W4148" s="348" t="str">
        <f>IF(板块成分!B4150="","",板块成分!B4150)</f>
        <v>603344.SH</v>
      </c>
      <c r="X4148" s="276" t="str">
        <f>[1]!S_Info_Name(W4148)</f>
        <v>星德胜</v>
      </c>
      <c r="Y4148" s="276" t="str">
        <f ca="1">IF($Y$3="申万一级行业",[1]!s_info_industry_sw_2021(W4148,公司分析!D$5,1),IF($Y$3="申万二级行业",[1]!s_info_industry_sw_2021(W4148,公司分析!D$5,2),IF($Y$3="申万三级行业",[1]!s_info_industry_sw_2021(W4148,公司分析!D$5,3),IF($Y$3="wind一级行业",[1]!s_info_industry_gics(W4148,1),IF($Y$3="wind二级行业",[1]!s_info_industry_gics(W4148,2),IF($Y$3="wind三级行业",[1]!s_info_industry_gics(W4148,3),IF($Y$3="wind四级行业",[1]!s_info_industry_gics(W4148,4),IF($Y$3="证监会门类行业",[1]!s_info_industry_csrc12_n(W4148,公司分析!D$5,1),""))))))))</f>
        <v>电机Ⅱ</v>
      </c>
      <c r="Z4148" s="302" t="str">
        <f ca="1">IF(Y4148=行业比较!$E$6,ROW(),"")</f>
        <v/>
      </c>
    </row>
    <row r="4149" spans="22:26">
      <c r="V4149" s="260">
        <f t="shared" ca="1" si="72"/>
        <v>0</v>
      </c>
      <c r="W4149" s="348" t="str">
        <f>IF(板块成分!B4151="","",板块成分!B4151)</f>
        <v>603345.SH</v>
      </c>
      <c r="X4149" s="276" t="str">
        <f>[1]!S_Info_Name(W4149)</f>
        <v>安井食品</v>
      </c>
      <c r="Y4149" s="276" t="str">
        <f ca="1">IF($Y$3="申万一级行业",[1]!s_info_industry_sw_2021(W4149,公司分析!D$5,1),IF($Y$3="申万二级行业",[1]!s_info_industry_sw_2021(W4149,公司分析!D$5,2),IF($Y$3="申万三级行业",[1]!s_info_industry_sw_2021(W4149,公司分析!D$5,3),IF($Y$3="wind一级行业",[1]!s_info_industry_gics(W4149,1),IF($Y$3="wind二级行业",[1]!s_info_industry_gics(W4149,2),IF($Y$3="wind三级行业",[1]!s_info_industry_gics(W4149,3),IF($Y$3="wind四级行业",[1]!s_info_industry_gics(W4149,4),IF($Y$3="证监会门类行业",[1]!s_info_industry_csrc12_n(W4149,公司分析!D$5,1),""))))))))</f>
        <v>食品加工</v>
      </c>
      <c r="Z4149" s="302" t="str">
        <f ca="1">IF(Y4149=行业比较!$E$6,ROW(),"")</f>
        <v/>
      </c>
    </row>
    <row r="4150" spans="22:26">
      <c r="V4150" s="260">
        <f t="shared" ca="1" si="72"/>
        <v>0</v>
      </c>
      <c r="W4150" s="348" t="str">
        <f>IF(板块成分!B4152="","",板块成分!B4152)</f>
        <v>603348.SH</v>
      </c>
      <c r="X4150" s="276" t="str">
        <f>[1]!S_Info_Name(W4150)</f>
        <v>文灿股份</v>
      </c>
      <c r="Y4150" s="276" t="str">
        <f ca="1">IF($Y$3="申万一级行业",[1]!s_info_industry_sw_2021(W4150,公司分析!D$5,1),IF($Y$3="申万二级行业",[1]!s_info_industry_sw_2021(W4150,公司分析!D$5,2),IF($Y$3="申万三级行业",[1]!s_info_industry_sw_2021(W4150,公司分析!D$5,3),IF($Y$3="wind一级行业",[1]!s_info_industry_gics(W4150,1),IF($Y$3="wind二级行业",[1]!s_info_industry_gics(W4150,2),IF($Y$3="wind三级行业",[1]!s_info_industry_gics(W4150,3),IF($Y$3="wind四级行业",[1]!s_info_industry_gics(W4150,4),IF($Y$3="证监会门类行业",[1]!s_info_industry_csrc12_n(W4150,公司分析!D$5,1),""))))))))</f>
        <v>汽车零部件</v>
      </c>
      <c r="Z4150" s="302" t="str">
        <f ca="1">IF(Y4150=行业比较!$E$6,ROW(),"")</f>
        <v/>
      </c>
    </row>
    <row r="4151" spans="22:26">
      <c r="V4151" s="260">
        <f t="shared" ca="1" si="72"/>
        <v>0</v>
      </c>
      <c r="W4151" s="348" t="str">
        <f>IF(板块成分!B4153="","",板块成分!B4153)</f>
        <v>603350.SH</v>
      </c>
      <c r="X4151" s="276" t="str">
        <f>[1]!S_Info_Name(W4151)</f>
        <v>安乃达</v>
      </c>
      <c r="Y4151" s="276" t="str">
        <f ca="1">IF($Y$3="申万一级行业",[1]!s_info_industry_sw_2021(W4151,公司分析!D$5,1),IF($Y$3="申万二级行业",[1]!s_info_industry_sw_2021(W4151,公司分析!D$5,2),IF($Y$3="申万三级行业",[1]!s_info_industry_sw_2021(W4151,公司分析!D$5,3),IF($Y$3="wind一级行业",[1]!s_info_industry_gics(W4151,1),IF($Y$3="wind二级行业",[1]!s_info_industry_gics(W4151,2),IF($Y$3="wind三级行业",[1]!s_info_industry_gics(W4151,3),IF($Y$3="wind四级行业",[1]!s_info_industry_gics(W4151,4),IF($Y$3="证监会门类行业",[1]!s_info_industry_csrc12_n(W4151,公司分析!D$5,1),""))))))))</f>
        <v>电机Ⅱ</v>
      </c>
      <c r="Z4151" s="302" t="str">
        <f ca="1">IF(Y4151=行业比较!$E$6,ROW(),"")</f>
        <v/>
      </c>
    </row>
    <row r="4152" spans="22:26">
      <c r="V4152" s="260">
        <f t="shared" ca="1" si="72"/>
        <v>0</v>
      </c>
      <c r="W4152" s="348" t="str">
        <f>IF(板块成分!B4154="","",板块成分!B4154)</f>
        <v>603351.SH</v>
      </c>
      <c r="X4152" s="276" t="str">
        <f>[1]!S_Info_Name(W4152)</f>
        <v>威尔药业</v>
      </c>
      <c r="Y4152" s="276" t="str">
        <f ca="1">IF($Y$3="申万一级行业",[1]!s_info_industry_sw_2021(W4152,公司分析!D$5,1),IF($Y$3="申万二级行业",[1]!s_info_industry_sw_2021(W4152,公司分析!D$5,2),IF($Y$3="申万三级行业",[1]!s_info_industry_sw_2021(W4152,公司分析!D$5,3),IF($Y$3="wind一级行业",[1]!s_info_industry_gics(W4152,1),IF($Y$3="wind二级行业",[1]!s_info_industry_gics(W4152,2),IF($Y$3="wind三级行业",[1]!s_info_industry_gics(W4152,3),IF($Y$3="wind四级行业",[1]!s_info_industry_gics(W4152,4),IF($Y$3="证监会门类行业",[1]!s_info_industry_csrc12_n(W4152,公司分析!D$5,1),""))))))))</f>
        <v>化学制药</v>
      </c>
      <c r="Z4152" s="302" t="str">
        <f ca="1">IF(Y4152=行业比较!$E$6,ROW(),"")</f>
        <v/>
      </c>
    </row>
    <row r="4153" spans="22:26">
      <c r="V4153" s="260">
        <f t="shared" ca="1" si="72"/>
        <v>0</v>
      </c>
      <c r="W4153" s="348" t="str">
        <f>IF(板块成分!B4155="","",板块成分!B4155)</f>
        <v>603352.SH</v>
      </c>
      <c r="X4153" s="276" t="str">
        <f>[1]!S_Info_Name(W4153)</f>
        <v>至信股份</v>
      </c>
      <c r="Y4153" s="276" t="str">
        <f ca="1">IF($Y$3="申万一级行业",[1]!s_info_industry_sw_2021(W4153,公司分析!D$5,1),IF($Y$3="申万二级行业",[1]!s_info_industry_sw_2021(W4153,公司分析!D$5,2),IF($Y$3="申万三级行业",[1]!s_info_industry_sw_2021(W4153,公司分析!D$5,3),IF($Y$3="wind一级行业",[1]!s_info_industry_gics(W4153,1),IF($Y$3="wind二级行业",[1]!s_info_industry_gics(W4153,2),IF($Y$3="wind三级行业",[1]!s_info_industry_gics(W4153,3),IF($Y$3="wind四级行业",[1]!s_info_industry_gics(W4153,4),IF($Y$3="证监会门类行业",[1]!s_info_industry_csrc12_n(W4153,公司分析!D$5,1),""))))))))</f>
        <v>汽车零部件</v>
      </c>
      <c r="Z4153" s="302" t="str">
        <f ca="1">IF(Y4153=行业比较!$E$6,ROW(),"")</f>
        <v/>
      </c>
    </row>
    <row r="4154" spans="22:26">
      <c r="V4154" s="260">
        <f t="shared" ca="1" si="72"/>
        <v>0</v>
      </c>
      <c r="W4154" s="348" t="str">
        <f>IF(板块成分!B4156="","",板块成分!B4156)</f>
        <v>603353.SH</v>
      </c>
      <c r="X4154" s="276" t="str">
        <f>[1]!S_Info_Name(W4154)</f>
        <v>和顺石油</v>
      </c>
      <c r="Y4154" s="276" t="str">
        <f ca="1">IF($Y$3="申万一级行业",[1]!s_info_industry_sw_2021(W4154,公司分析!D$5,1),IF($Y$3="申万二级行业",[1]!s_info_industry_sw_2021(W4154,公司分析!D$5,2),IF($Y$3="申万三级行业",[1]!s_info_industry_sw_2021(W4154,公司分析!D$5,3),IF($Y$3="wind一级行业",[1]!s_info_industry_gics(W4154,1),IF($Y$3="wind二级行业",[1]!s_info_industry_gics(W4154,2),IF($Y$3="wind三级行业",[1]!s_info_industry_gics(W4154,3),IF($Y$3="wind四级行业",[1]!s_info_industry_gics(W4154,4),IF($Y$3="证监会门类行业",[1]!s_info_industry_csrc12_n(W4154,公司分析!D$5,1),""))))))))</f>
        <v>炼化及贸易</v>
      </c>
      <c r="Z4154" s="302" t="str">
        <f ca="1">IF(Y4154=行业比较!$E$6,ROW(),"")</f>
        <v/>
      </c>
    </row>
    <row r="4155" spans="22:26">
      <c r="V4155" s="260">
        <f t="shared" ca="1" si="72"/>
        <v>0</v>
      </c>
      <c r="W4155" s="348" t="str">
        <f>IF(板块成分!B4157="","",板块成分!B4157)</f>
        <v>603355.SH</v>
      </c>
      <c r="X4155" s="276" t="str">
        <f>[1]!S_Info_Name(W4155)</f>
        <v>莱克电气</v>
      </c>
      <c r="Y4155" s="276" t="str">
        <f ca="1">IF($Y$3="申万一级行业",[1]!s_info_industry_sw_2021(W4155,公司分析!D$5,1),IF($Y$3="申万二级行业",[1]!s_info_industry_sw_2021(W4155,公司分析!D$5,2),IF($Y$3="申万三级行业",[1]!s_info_industry_sw_2021(W4155,公司分析!D$5,3),IF($Y$3="wind一级行业",[1]!s_info_industry_gics(W4155,1),IF($Y$3="wind二级行业",[1]!s_info_industry_gics(W4155,2),IF($Y$3="wind三级行业",[1]!s_info_industry_gics(W4155,3),IF($Y$3="wind四级行业",[1]!s_info_industry_gics(W4155,4),IF($Y$3="证监会门类行业",[1]!s_info_industry_csrc12_n(W4155,公司分析!D$5,1),""))))))))</f>
        <v>小家电</v>
      </c>
      <c r="Z4155" s="302" t="str">
        <f ca="1">IF(Y4155=行业比较!$E$6,ROW(),"")</f>
        <v/>
      </c>
    </row>
    <row r="4156" spans="22:26">
      <c r="V4156" s="260">
        <f t="shared" ca="1" si="72"/>
        <v>0</v>
      </c>
      <c r="W4156" s="348" t="str">
        <f>IF(板块成分!B4158="","",板块成分!B4158)</f>
        <v>603356.SH</v>
      </c>
      <c r="X4156" s="276" t="str">
        <f>[1]!S_Info_Name(W4156)</f>
        <v>华菱精工</v>
      </c>
      <c r="Y4156" s="276" t="str">
        <f ca="1">IF($Y$3="申万一级行业",[1]!s_info_industry_sw_2021(W4156,公司分析!D$5,1),IF($Y$3="申万二级行业",[1]!s_info_industry_sw_2021(W4156,公司分析!D$5,2),IF($Y$3="申万三级行业",[1]!s_info_industry_sw_2021(W4156,公司分析!D$5,3),IF($Y$3="wind一级行业",[1]!s_info_industry_gics(W4156,1),IF($Y$3="wind二级行业",[1]!s_info_industry_gics(W4156,2),IF($Y$3="wind三级行业",[1]!s_info_industry_gics(W4156,3),IF($Y$3="wind四级行业",[1]!s_info_industry_gics(W4156,4),IF($Y$3="证监会门类行业",[1]!s_info_industry_csrc12_n(W4156,公司分析!D$5,1),""))))))))</f>
        <v>专用设备</v>
      </c>
      <c r="Z4156" s="302" t="str">
        <f ca="1">IF(Y4156=行业比较!$E$6,ROW(),"")</f>
        <v/>
      </c>
    </row>
    <row r="4157" spans="22:26">
      <c r="V4157" s="260">
        <f t="shared" ca="1" si="72"/>
        <v>0</v>
      </c>
      <c r="W4157" s="348" t="str">
        <f>IF(板块成分!B4159="","",板块成分!B4159)</f>
        <v>603357.SH</v>
      </c>
      <c r="X4157" s="276" t="str">
        <f>[1]!S_Info_Name(W4157)</f>
        <v>设计总院</v>
      </c>
      <c r="Y4157" s="276" t="str">
        <f ca="1">IF($Y$3="申万一级行业",[1]!s_info_industry_sw_2021(W4157,公司分析!D$5,1),IF($Y$3="申万二级行业",[1]!s_info_industry_sw_2021(W4157,公司分析!D$5,2),IF($Y$3="申万三级行业",[1]!s_info_industry_sw_2021(W4157,公司分析!D$5,3),IF($Y$3="wind一级行业",[1]!s_info_industry_gics(W4157,1),IF($Y$3="wind二级行业",[1]!s_info_industry_gics(W4157,2),IF($Y$3="wind三级行业",[1]!s_info_industry_gics(W4157,3),IF($Y$3="wind四级行业",[1]!s_info_industry_gics(W4157,4),IF($Y$3="证监会门类行业",[1]!s_info_industry_csrc12_n(W4157,公司分析!D$5,1),""))))))))</f>
        <v>工程咨询服务Ⅱ</v>
      </c>
      <c r="Z4157" s="302" t="str">
        <f ca="1">IF(Y4157=行业比较!$E$6,ROW(),"")</f>
        <v/>
      </c>
    </row>
    <row r="4158" spans="22:26">
      <c r="V4158" s="260">
        <f t="shared" ca="1" si="72"/>
        <v>0</v>
      </c>
      <c r="W4158" s="348" t="str">
        <f>IF(板块成分!B4160="","",板块成分!B4160)</f>
        <v>603358.SH</v>
      </c>
      <c r="X4158" s="276" t="str">
        <f>[1]!S_Info_Name(W4158)</f>
        <v>华达科技</v>
      </c>
      <c r="Y4158" s="276" t="str">
        <f ca="1">IF($Y$3="申万一级行业",[1]!s_info_industry_sw_2021(W4158,公司分析!D$5,1),IF($Y$3="申万二级行业",[1]!s_info_industry_sw_2021(W4158,公司分析!D$5,2),IF($Y$3="申万三级行业",[1]!s_info_industry_sw_2021(W4158,公司分析!D$5,3),IF($Y$3="wind一级行业",[1]!s_info_industry_gics(W4158,1),IF($Y$3="wind二级行业",[1]!s_info_industry_gics(W4158,2),IF($Y$3="wind三级行业",[1]!s_info_industry_gics(W4158,3),IF($Y$3="wind四级行业",[1]!s_info_industry_gics(W4158,4),IF($Y$3="证监会门类行业",[1]!s_info_industry_csrc12_n(W4158,公司分析!D$5,1),""))))))))</f>
        <v>汽车零部件</v>
      </c>
      <c r="Z4158" s="302" t="str">
        <f ca="1">IF(Y4158=行业比较!$E$6,ROW(),"")</f>
        <v/>
      </c>
    </row>
    <row r="4159" spans="22:26">
      <c r="V4159" s="260">
        <f t="shared" ca="1" si="72"/>
        <v>0</v>
      </c>
      <c r="W4159" s="348" t="str">
        <f>IF(板块成分!B4161="","",板块成分!B4161)</f>
        <v>603359.SH</v>
      </c>
      <c r="X4159" s="276" t="str">
        <f>[1]!S_Info_Name(W4159)</f>
        <v>东珠生态</v>
      </c>
      <c r="Y4159" s="276" t="str">
        <f ca="1">IF($Y$3="申万一级行业",[1]!s_info_industry_sw_2021(W4159,公司分析!D$5,1),IF($Y$3="申万二级行业",[1]!s_info_industry_sw_2021(W4159,公司分析!D$5,2),IF($Y$3="申万三级行业",[1]!s_info_industry_sw_2021(W4159,公司分析!D$5,3),IF($Y$3="wind一级行业",[1]!s_info_industry_gics(W4159,1),IF($Y$3="wind二级行业",[1]!s_info_industry_gics(W4159,2),IF($Y$3="wind三级行业",[1]!s_info_industry_gics(W4159,3),IF($Y$3="wind四级行业",[1]!s_info_industry_gics(W4159,4),IF($Y$3="证监会门类行业",[1]!s_info_industry_csrc12_n(W4159,公司分析!D$5,1),""))))))))</f>
        <v>基础建设</v>
      </c>
      <c r="Z4159" s="302" t="str">
        <f ca="1">IF(Y4159=行业比较!$E$6,ROW(),"")</f>
        <v/>
      </c>
    </row>
    <row r="4160" spans="22:26">
      <c r="V4160" s="260">
        <f t="shared" ca="1" si="72"/>
        <v>0</v>
      </c>
      <c r="W4160" s="348" t="str">
        <f>IF(板块成分!B4162="","",板块成分!B4162)</f>
        <v>603360.SH</v>
      </c>
      <c r="X4160" s="276" t="str">
        <f>[1]!S_Info_Name(W4160)</f>
        <v>百傲化学</v>
      </c>
      <c r="Y4160" s="276" t="str">
        <f ca="1">IF($Y$3="申万一级行业",[1]!s_info_industry_sw_2021(W4160,公司分析!D$5,1),IF($Y$3="申万二级行业",[1]!s_info_industry_sw_2021(W4160,公司分析!D$5,2),IF($Y$3="申万三级行业",[1]!s_info_industry_sw_2021(W4160,公司分析!D$5,3),IF($Y$3="wind一级行业",[1]!s_info_industry_gics(W4160,1),IF($Y$3="wind二级行业",[1]!s_info_industry_gics(W4160,2),IF($Y$3="wind三级行业",[1]!s_info_industry_gics(W4160,3),IF($Y$3="wind四级行业",[1]!s_info_industry_gics(W4160,4),IF($Y$3="证监会门类行业",[1]!s_info_industry_csrc12_n(W4160,公司分析!D$5,1),""))))))))</f>
        <v>农化制品</v>
      </c>
      <c r="Z4160" s="302" t="str">
        <f ca="1">IF(Y4160=行业比较!$E$6,ROW(),"")</f>
        <v/>
      </c>
    </row>
    <row r="4161" spans="22:26">
      <c r="V4161" s="260">
        <f t="shared" ca="1" si="72"/>
        <v>0</v>
      </c>
      <c r="W4161" s="348" t="str">
        <f>IF(板块成分!B4163="","",板块成分!B4163)</f>
        <v>603363.SH</v>
      </c>
      <c r="X4161" s="276" t="str">
        <f>[1]!S_Info_Name(W4161)</f>
        <v>傲农生物</v>
      </c>
      <c r="Y4161" s="276" t="str">
        <f ca="1">IF($Y$3="申万一级行业",[1]!s_info_industry_sw_2021(W4161,公司分析!D$5,1),IF($Y$3="申万二级行业",[1]!s_info_industry_sw_2021(W4161,公司分析!D$5,2),IF($Y$3="申万三级行业",[1]!s_info_industry_sw_2021(W4161,公司分析!D$5,3),IF($Y$3="wind一级行业",[1]!s_info_industry_gics(W4161,1),IF($Y$3="wind二级行业",[1]!s_info_industry_gics(W4161,2),IF($Y$3="wind三级行业",[1]!s_info_industry_gics(W4161,3),IF($Y$3="wind四级行业",[1]!s_info_industry_gics(W4161,4),IF($Y$3="证监会门类行业",[1]!s_info_industry_csrc12_n(W4161,公司分析!D$5,1),""))))))))</f>
        <v>饲料</v>
      </c>
      <c r="Z4161" s="302" t="str">
        <f ca="1">IF(Y4161=行业比较!$E$6,ROW(),"")</f>
        <v/>
      </c>
    </row>
    <row r="4162" spans="22:26">
      <c r="V4162" s="260">
        <f t="shared" ca="1" si="72"/>
        <v>0</v>
      </c>
      <c r="W4162" s="348" t="str">
        <f>IF(板块成分!B4164="","",板块成分!B4164)</f>
        <v>603365.SH</v>
      </c>
      <c r="X4162" s="276" t="str">
        <f>[1]!S_Info_Name(W4162)</f>
        <v>水星家纺</v>
      </c>
      <c r="Y4162" s="276" t="str">
        <f ca="1">IF($Y$3="申万一级行业",[1]!s_info_industry_sw_2021(W4162,公司分析!D$5,1),IF($Y$3="申万二级行业",[1]!s_info_industry_sw_2021(W4162,公司分析!D$5,2),IF($Y$3="申万三级行业",[1]!s_info_industry_sw_2021(W4162,公司分析!D$5,3),IF($Y$3="wind一级行业",[1]!s_info_industry_gics(W4162,1),IF($Y$3="wind二级行业",[1]!s_info_industry_gics(W4162,2),IF($Y$3="wind三级行业",[1]!s_info_industry_gics(W4162,3),IF($Y$3="wind四级行业",[1]!s_info_industry_gics(W4162,4),IF($Y$3="证监会门类行业",[1]!s_info_industry_csrc12_n(W4162,公司分析!D$5,1),""))))))))</f>
        <v>服装家纺</v>
      </c>
      <c r="Z4162" s="302" t="str">
        <f ca="1">IF(Y4162=行业比较!$E$6,ROW(),"")</f>
        <v/>
      </c>
    </row>
    <row r="4163" spans="22:26">
      <c r="V4163" s="260">
        <f t="shared" ca="1" si="72"/>
        <v>0</v>
      </c>
      <c r="W4163" s="348" t="str">
        <f>IF(板块成分!B4165="","",板块成分!B4165)</f>
        <v>603366.SH</v>
      </c>
      <c r="X4163" s="276" t="str">
        <f>[1]!S_Info_Name(W4163)</f>
        <v>日出东方</v>
      </c>
      <c r="Y4163" s="276" t="str">
        <f ca="1">IF($Y$3="申万一级行业",[1]!s_info_industry_sw_2021(W4163,公司分析!D$5,1),IF($Y$3="申万二级行业",[1]!s_info_industry_sw_2021(W4163,公司分析!D$5,2),IF($Y$3="申万三级行业",[1]!s_info_industry_sw_2021(W4163,公司分析!D$5,3),IF($Y$3="wind一级行业",[1]!s_info_industry_gics(W4163,1),IF($Y$3="wind二级行业",[1]!s_info_industry_gics(W4163,2),IF($Y$3="wind三级行业",[1]!s_info_industry_gics(W4163,3),IF($Y$3="wind四级行业",[1]!s_info_industry_gics(W4163,4),IF($Y$3="证监会门类行业",[1]!s_info_industry_csrc12_n(W4163,公司分析!D$5,1),""))))))))</f>
        <v>厨卫电器</v>
      </c>
      <c r="Z4163" s="302" t="str">
        <f ca="1">IF(Y4163=行业比较!$E$6,ROW(),"")</f>
        <v/>
      </c>
    </row>
    <row r="4164" spans="22:26">
      <c r="V4164" s="260">
        <f t="shared" ca="1" si="72"/>
        <v>0</v>
      </c>
      <c r="W4164" s="348" t="str">
        <f>IF(板块成分!B4166="","",板块成分!B4166)</f>
        <v>603367.SH</v>
      </c>
      <c r="X4164" s="276" t="str">
        <f>[1]!S_Info_Name(W4164)</f>
        <v>辰欣药业</v>
      </c>
      <c r="Y4164" s="276" t="str">
        <f ca="1">IF($Y$3="申万一级行业",[1]!s_info_industry_sw_2021(W4164,公司分析!D$5,1),IF($Y$3="申万二级行业",[1]!s_info_industry_sw_2021(W4164,公司分析!D$5,2),IF($Y$3="申万三级行业",[1]!s_info_industry_sw_2021(W4164,公司分析!D$5,3),IF($Y$3="wind一级行业",[1]!s_info_industry_gics(W4164,1),IF($Y$3="wind二级行业",[1]!s_info_industry_gics(W4164,2),IF($Y$3="wind三级行业",[1]!s_info_industry_gics(W4164,3),IF($Y$3="wind四级行业",[1]!s_info_industry_gics(W4164,4),IF($Y$3="证监会门类行业",[1]!s_info_industry_csrc12_n(W4164,公司分析!D$5,1),""))))))))</f>
        <v>化学制药</v>
      </c>
      <c r="Z4164" s="302" t="str">
        <f ca="1">IF(Y4164=行业比较!$E$6,ROW(),"")</f>
        <v/>
      </c>
    </row>
    <row r="4165" spans="22:26">
      <c r="V4165" s="260">
        <f t="shared" ref="V4165:V4228" ca="1" si="73">IF(Z4165="",0,RANK(Z4165,Z:Z,1))</f>
        <v>0</v>
      </c>
      <c r="W4165" s="348" t="str">
        <f>IF(板块成分!B4167="","",板块成分!B4167)</f>
        <v>603368.SH</v>
      </c>
      <c r="X4165" s="276" t="str">
        <f>[1]!S_Info_Name(W4165)</f>
        <v>柳药集团</v>
      </c>
      <c r="Y4165" s="276" t="str">
        <f ca="1">IF($Y$3="申万一级行业",[1]!s_info_industry_sw_2021(W4165,公司分析!D$5,1),IF($Y$3="申万二级行业",[1]!s_info_industry_sw_2021(W4165,公司分析!D$5,2),IF($Y$3="申万三级行业",[1]!s_info_industry_sw_2021(W4165,公司分析!D$5,3),IF($Y$3="wind一级行业",[1]!s_info_industry_gics(W4165,1),IF($Y$3="wind二级行业",[1]!s_info_industry_gics(W4165,2),IF($Y$3="wind三级行业",[1]!s_info_industry_gics(W4165,3),IF($Y$3="wind四级行业",[1]!s_info_industry_gics(W4165,4),IF($Y$3="证监会门类行业",[1]!s_info_industry_csrc12_n(W4165,公司分析!D$5,1),""))))))))</f>
        <v>医药商业</v>
      </c>
      <c r="Z4165" s="302" t="str">
        <f ca="1">IF(Y4165=行业比较!$E$6,ROW(),"")</f>
        <v/>
      </c>
    </row>
    <row r="4166" spans="22:26">
      <c r="V4166" s="260">
        <f t="shared" ca="1" si="73"/>
        <v>0</v>
      </c>
      <c r="W4166" s="348" t="str">
        <f>IF(板块成分!B4168="","",板块成分!B4168)</f>
        <v>603369.SH</v>
      </c>
      <c r="X4166" s="276" t="str">
        <f>[1]!S_Info_Name(W4166)</f>
        <v>今世缘</v>
      </c>
      <c r="Y4166" s="276" t="str">
        <f ca="1">IF($Y$3="申万一级行业",[1]!s_info_industry_sw_2021(W4166,公司分析!D$5,1),IF($Y$3="申万二级行业",[1]!s_info_industry_sw_2021(W4166,公司分析!D$5,2),IF($Y$3="申万三级行业",[1]!s_info_industry_sw_2021(W4166,公司分析!D$5,3),IF($Y$3="wind一级行业",[1]!s_info_industry_gics(W4166,1),IF($Y$3="wind二级行业",[1]!s_info_industry_gics(W4166,2),IF($Y$3="wind三级行业",[1]!s_info_industry_gics(W4166,3),IF($Y$3="wind四级行业",[1]!s_info_industry_gics(W4166,4),IF($Y$3="证监会门类行业",[1]!s_info_industry_csrc12_n(W4166,公司分析!D$5,1),""))))))))</f>
        <v>白酒Ⅱ</v>
      </c>
      <c r="Z4166" s="302" t="str">
        <f ca="1">IF(Y4166=行业比较!$E$6,ROW(),"")</f>
        <v/>
      </c>
    </row>
    <row r="4167" spans="22:26">
      <c r="V4167" s="260">
        <f t="shared" ca="1" si="73"/>
        <v>0</v>
      </c>
      <c r="W4167" s="348" t="str">
        <f>IF(板块成分!B4169="","",板块成分!B4169)</f>
        <v>603370.SH</v>
      </c>
      <c r="X4167" s="276" t="str">
        <f>[1]!S_Info_Name(W4167)</f>
        <v>华新精科</v>
      </c>
      <c r="Y4167" s="276" t="str">
        <f ca="1">IF($Y$3="申万一级行业",[1]!s_info_industry_sw_2021(W4167,公司分析!D$5,1),IF($Y$3="申万二级行业",[1]!s_info_industry_sw_2021(W4167,公司分析!D$5,2),IF($Y$3="申万三级行业",[1]!s_info_industry_sw_2021(W4167,公司分析!D$5,3),IF($Y$3="wind一级行业",[1]!s_info_industry_gics(W4167,1),IF($Y$3="wind二级行业",[1]!s_info_industry_gics(W4167,2),IF($Y$3="wind三级行业",[1]!s_info_industry_gics(W4167,3),IF($Y$3="wind四级行业",[1]!s_info_industry_gics(W4167,4),IF($Y$3="证监会门类行业",[1]!s_info_industry_csrc12_n(W4167,公司分析!D$5,1),""))))))))</f>
        <v>电机Ⅱ</v>
      </c>
      <c r="Z4167" s="302" t="str">
        <f ca="1">IF(Y4167=行业比较!$E$6,ROW(),"")</f>
        <v/>
      </c>
    </row>
    <row r="4168" spans="22:26">
      <c r="V4168" s="260">
        <f t="shared" ca="1" si="73"/>
        <v>0</v>
      </c>
      <c r="W4168" s="348" t="str">
        <f>IF(板块成分!B4170="","",板块成分!B4170)</f>
        <v>603373.SH</v>
      </c>
      <c r="X4168" s="276" t="str">
        <f>[1]!S_Info_Name(W4168)</f>
        <v>安邦护卫</v>
      </c>
      <c r="Y4168" s="276" t="str">
        <f ca="1">IF($Y$3="申万一级行业",[1]!s_info_industry_sw_2021(W4168,公司分析!D$5,1),IF($Y$3="申万二级行业",[1]!s_info_industry_sw_2021(W4168,公司分析!D$5,2),IF($Y$3="申万三级行业",[1]!s_info_industry_sw_2021(W4168,公司分析!D$5,3),IF($Y$3="wind一级行业",[1]!s_info_industry_gics(W4168,1),IF($Y$3="wind二级行业",[1]!s_info_industry_gics(W4168,2),IF($Y$3="wind三级行业",[1]!s_info_industry_gics(W4168,3),IF($Y$3="wind四级行业",[1]!s_info_industry_gics(W4168,4),IF($Y$3="证监会门类行业",[1]!s_info_industry_csrc12_n(W4168,公司分析!D$5,1),""))))))))</f>
        <v>专业服务</v>
      </c>
      <c r="Z4168" s="302" t="str">
        <f ca="1">IF(Y4168=行业比较!$E$6,ROW(),"")</f>
        <v/>
      </c>
    </row>
    <row r="4169" spans="22:26">
      <c r="V4169" s="260">
        <f t="shared" ca="1" si="73"/>
        <v>0</v>
      </c>
      <c r="W4169" s="348" t="str">
        <f>IF(板块成分!B4171="","",板块成分!B4171)</f>
        <v>603375.SH</v>
      </c>
      <c r="X4169" s="276" t="str">
        <f>[1]!S_Info_Name(W4169)</f>
        <v>盛景微</v>
      </c>
      <c r="Y4169" s="276" t="str">
        <f ca="1">IF($Y$3="申万一级行业",[1]!s_info_industry_sw_2021(W4169,公司分析!D$5,1),IF($Y$3="申万二级行业",[1]!s_info_industry_sw_2021(W4169,公司分析!D$5,2),IF($Y$3="申万三级行业",[1]!s_info_industry_sw_2021(W4169,公司分析!D$5,3),IF($Y$3="wind一级行业",[1]!s_info_industry_gics(W4169,1),IF($Y$3="wind二级行业",[1]!s_info_industry_gics(W4169,2),IF($Y$3="wind三级行业",[1]!s_info_industry_gics(W4169,3),IF($Y$3="wind四级行业",[1]!s_info_industry_gics(W4169,4),IF($Y$3="证监会门类行业",[1]!s_info_industry_csrc12_n(W4169,公司分析!D$5,1),""))))))))</f>
        <v>半导体</v>
      </c>
      <c r="Z4169" s="302" t="str">
        <f ca="1">IF(Y4169=行业比较!$E$6,ROW(),"")</f>
        <v/>
      </c>
    </row>
    <row r="4170" spans="22:26">
      <c r="V4170" s="260">
        <f t="shared" ca="1" si="73"/>
        <v>0</v>
      </c>
      <c r="W4170" s="348" t="str">
        <f>IF(板块成分!B4172="","",板块成分!B4172)</f>
        <v>603376.SH</v>
      </c>
      <c r="X4170" s="276" t="str">
        <f>[1]!S_Info_Name(W4170)</f>
        <v>大明电子</v>
      </c>
      <c r="Y4170" s="276" t="str">
        <f ca="1">IF($Y$3="申万一级行业",[1]!s_info_industry_sw_2021(W4170,公司分析!D$5,1),IF($Y$3="申万二级行业",[1]!s_info_industry_sw_2021(W4170,公司分析!D$5,2),IF($Y$3="申万三级行业",[1]!s_info_industry_sw_2021(W4170,公司分析!D$5,3),IF($Y$3="wind一级行业",[1]!s_info_industry_gics(W4170,1),IF($Y$3="wind二级行业",[1]!s_info_industry_gics(W4170,2),IF($Y$3="wind三级行业",[1]!s_info_industry_gics(W4170,3),IF($Y$3="wind四级行业",[1]!s_info_industry_gics(W4170,4),IF($Y$3="证监会门类行业",[1]!s_info_industry_csrc12_n(W4170,公司分析!D$5,1),""))))))))</f>
        <v>汽车零部件</v>
      </c>
      <c r="Z4170" s="302" t="str">
        <f ca="1">IF(Y4170=行业比较!$E$6,ROW(),"")</f>
        <v/>
      </c>
    </row>
    <row r="4171" spans="22:26">
      <c r="V4171" s="260">
        <f t="shared" ca="1" si="73"/>
        <v>0</v>
      </c>
      <c r="W4171" s="348" t="str">
        <f>IF(板块成分!B4173="","",板块成分!B4173)</f>
        <v>603377.SH</v>
      </c>
      <c r="X4171" s="276" t="str">
        <f>[1]!S_Info_Name(W4171)</f>
        <v>ST东时</v>
      </c>
      <c r="Y4171" s="276" t="str">
        <f ca="1">IF($Y$3="申万一级行业",[1]!s_info_industry_sw_2021(W4171,公司分析!D$5,1),IF($Y$3="申万二级行业",[1]!s_info_industry_sw_2021(W4171,公司分析!D$5,2),IF($Y$3="申万三级行业",[1]!s_info_industry_sw_2021(W4171,公司分析!D$5,3),IF($Y$3="wind一级行业",[1]!s_info_industry_gics(W4171,1),IF($Y$3="wind二级行业",[1]!s_info_industry_gics(W4171,2),IF($Y$3="wind三级行业",[1]!s_info_industry_gics(W4171,3),IF($Y$3="wind四级行业",[1]!s_info_industry_gics(W4171,4),IF($Y$3="证监会门类行业",[1]!s_info_industry_csrc12_n(W4171,公司分析!D$5,1),""))))))))</f>
        <v>教育</v>
      </c>
      <c r="Z4171" s="302" t="str">
        <f ca="1">IF(Y4171=行业比较!$E$6,ROW(),"")</f>
        <v/>
      </c>
    </row>
    <row r="4172" spans="22:26">
      <c r="V4172" s="260">
        <f t="shared" ca="1" si="73"/>
        <v>0</v>
      </c>
      <c r="W4172" s="348" t="str">
        <f>IF(板块成分!B4174="","",板块成分!B4174)</f>
        <v>603378.SH</v>
      </c>
      <c r="X4172" s="276" t="str">
        <f>[1]!S_Info_Name(W4172)</f>
        <v>亚士创能</v>
      </c>
      <c r="Y4172" s="276" t="str">
        <f ca="1">IF($Y$3="申万一级行业",[1]!s_info_industry_sw_2021(W4172,公司分析!D$5,1),IF($Y$3="申万二级行业",[1]!s_info_industry_sw_2021(W4172,公司分析!D$5,2),IF($Y$3="申万三级行业",[1]!s_info_industry_sw_2021(W4172,公司分析!D$5,3),IF($Y$3="wind一级行业",[1]!s_info_industry_gics(W4172,1),IF($Y$3="wind二级行业",[1]!s_info_industry_gics(W4172,2),IF($Y$3="wind三级行业",[1]!s_info_industry_gics(W4172,3),IF($Y$3="wind四级行业",[1]!s_info_industry_gics(W4172,4),IF($Y$3="证监会门类行业",[1]!s_info_industry_csrc12_n(W4172,公司分析!D$5,1),""))))))))</f>
        <v>装修建材</v>
      </c>
      <c r="Z4172" s="302" t="str">
        <f ca="1">IF(Y4172=行业比较!$E$6,ROW(),"")</f>
        <v/>
      </c>
    </row>
    <row r="4173" spans="22:26">
      <c r="V4173" s="260">
        <f t="shared" ca="1" si="73"/>
        <v>0</v>
      </c>
      <c r="W4173" s="348" t="str">
        <f>IF(板块成分!B4175="","",板块成分!B4175)</f>
        <v>603379.SH</v>
      </c>
      <c r="X4173" s="276" t="str">
        <f>[1]!S_Info_Name(W4173)</f>
        <v>三美股份</v>
      </c>
      <c r="Y4173" s="276" t="str">
        <f ca="1">IF($Y$3="申万一级行业",[1]!s_info_industry_sw_2021(W4173,公司分析!D$5,1),IF($Y$3="申万二级行业",[1]!s_info_industry_sw_2021(W4173,公司分析!D$5,2),IF($Y$3="申万三级行业",[1]!s_info_industry_sw_2021(W4173,公司分析!D$5,3),IF($Y$3="wind一级行业",[1]!s_info_industry_gics(W4173,1),IF($Y$3="wind二级行业",[1]!s_info_industry_gics(W4173,2),IF($Y$3="wind三级行业",[1]!s_info_industry_gics(W4173,3),IF($Y$3="wind四级行业",[1]!s_info_industry_gics(W4173,4),IF($Y$3="证监会门类行业",[1]!s_info_industry_csrc12_n(W4173,公司分析!D$5,1),""))))))))</f>
        <v>化学制品</v>
      </c>
      <c r="Z4173" s="302" t="str">
        <f ca="1">IF(Y4173=行业比较!$E$6,ROW(),"")</f>
        <v/>
      </c>
    </row>
    <row r="4174" spans="22:26">
      <c r="V4174" s="260">
        <f t="shared" ca="1" si="73"/>
        <v>0</v>
      </c>
      <c r="W4174" s="348" t="str">
        <f>IF(板块成分!B4176="","",板块成分!B4176)</f>
        <v>603380.SH</v>
      </c>
      <c r="X4174" s="276" t="str">
        <f>[1]!S_Info_Name(W4174)</f>
        <v>易德龙</v>
      </c>
      <c r="Y4174" s="276" t="str">
        <f ca="1">IF($Y$3="申万一级行业",[1]!s_info_industry_sw_2021(W4174,公司分析!D$5,1),IF($Y$3="申万二级行业",[1]!s_info_industry_sw_2021(W4174,公司分析!D$5,2),IF($Y$3="申万三级行业",[1]!s_info_industry_sw_2021(W4174,公司分析!D$5,3),IF($Y$3="wind一级行业",[1]!s_info_industry_gics(W4174,1),IF($Y$3="wind二级行业",[1]!s_info_industry_gics(W4174,2),IF($Y$3="wind三级行业",[1]!s_info_industry_gics(W4174,3),IF($Y$3="wind四级行业",[1]!s_info_industry_gics(W4174,4),IF($Y$3="证监会门类行业",[1]!s_info_industry_csrc12_n(W4174,公司分析!D$5,1),""))))))))</f>
        <v>消费电子</v>
      </c>
      <c r="Z4174" s="302" t="str">
        <f ca="1">IF(Y4174=行业比较!$E$6,ROW(),"")</f>
        <v/>
      </c>
    </row>
    <row r="4175" spans="22:26">
      <c r="V4175" s="260">
        <f t="shared" ca="1" si="73"/>
        <v>0</v>
      </c>
      <c r="W4175" s="348" t="str">
        <f>IF(板块成分!B4177="","",板块成分!B4177)</f>
        <v>603381.SH</v>
      </c>
      <c r="X4175" s="276" t="str">
        <f>[1]!S_Info_Name(W4175)</f>
        <v>永臻股份</v>
      </c>
      <c r="Y4175" s="276" t="str">
        <f ca="1">IF($Y$3="申万一级行业",[1]!s_info_industry_sw_2021(W4175,公司分析!D$5,1),IF($Y$3="申万二级行业",[1]!s_info_industry_sw_2021(W4175,公司分析!D$5,2),IF($Y$3="申万三级行业",[1]!s_info_industry_sw_2021(W4175,公司分析!D$5,3),IF($Y$3="wind一级行业",[1]!s_info_industry_gics(W4175,1),IF($Y$3="wind二级行业",[1]!s_info_industry_gics(W4175,2),IF($Y$3="wind三级行业",[1]!s_info_industry_gics(W4175,3),IF($Y$3="wind四级行业",[1]!s_info_industry_gics(W4175,4),IF($Y$3="证监会门类行业",[1]!s_info_industry_csrc12_n(W4175,公司分析!D$5,1),""))))))))</f>
        <v>光伏设备</v>
      </c>
      <c r="Z4175" s="302" t="str">
        <f ca="1">IF(Y4175=行业比较!$E$6,ROW(),"")</f>
        <v/>
      </c>
    </row>
    <row r="4176" spans="22:26">
      <c r="V4176" s="260">
        <f t="shared" ca="1" si="73"/>
        <v>0</v>
      </c>
      <c r="W4176" s="348" t="str">
        <f>IF(板块成分!B4178="","",板块成分!B4178)</f>
        <v>603382.SH</v>
      </c>
      <c r="X4176" s="276" t="str">
        <f>[1]!S_Info_Name(W4176)</f>
        <v>海阳科技</v>
      </c>
      <c r="Y4176" s="276" t="str">
        <f ca="1">IF($Y$3="申万一级行业",[1]!s_info_industry_sw_2021(W4176,公司分析!D$5,1),IF($Y$3="申万二级行业",[1]!s_info_industry_sw_2021(W4176,公司分析!D$5,2),IF($Y$3="申万三级行业",[1]!s_info_industry_sw_2021(W4176,公司分析!D$5,3),IF($Y$3="wind一级行业",[1]!s_info_industry_gics(W4176,1),IF($Y$3="wind二级行业",[1]!s_info_industry_gics(W4176,2),IF($Y$3="wind三级行业",[1]!s_info_industry_gics(W4176,3),IF($Y$3="wind四级行业",[1]!s_info_industry_gics(W4176,4),IF($Y$3="证监会门类行业",[1]!s_info_industry_csrc12_n(W4176,公司分析!D$5,1),""))))))))</f>
        <v>化学纤维</v>
      </c>
      <c r="Z4176" s="302" t="str">
        <f ca="1">IF(Y4176=行业比较!$E$6,ROW(),"")</f>
        <v/>
      </c>
    </row>
    <row r="4177" spans="22:26">
      <c r="V4177" s="260">
        <f t="shared" ca="1" si="73"/>
        <v>0</v>
      </c>
      <c r="W4177" s="348" t="str">
        <f>IF(板块成分!B4179="","",板块成分!B4179)</f>
        <v>603383.SH</v>
      </c>
      <c r="X4177" s="276" t="str">
        <f>[1]!S_Info_Name(W4177)</f>
        <v>顶点软件</v>
      </c>
      <c r="Y4177" s="276" t="str">
        <f ca="1">IF($Y$3="申万一级行业",[1]!s_info_industry_sw_2021(W4177,公司分析!D$5,1),IF($Y$3="申万二级行业",[1]!s_info_industry_sw_2021(W4177,公司分析!D$5,2),IF($Y$3="申万三级行业",[1]!s_info_industry_sw_2021(W4177,公司分析!D$5,3),IF($Y$3="wind一级行业",[1]!s_info_industry_gics(W4177,1),IF($Y$3="wind二级行业",[1]!s_info_industry_gics(W4177,2),IF($Y$3="wind三级行业",[1]!s_info_industry_gics(W4177,3),IF($Y$3="wind四级行业",[1]!s_info_industry_gics(W4177,4),IF($Y$3="证监会门类行业",[1]!s_info_industry_csrc12_n(W4177,公司分析!D$5,1),""))))))))</f>
        <v>软件开发</v>
      </c>
      <c r="Z4177" s="302" t="str">
        <f ca="1">IF(Y4177=行业比较!$E$6,ROW(),"")</f>
        <v/>
      </c>
    </row>
    <row r="4178" spans="22:26">
      <c r="V4178" s="260">
        <f t="shared" ca="1" si="73"/>
        <v>0</v>
      </c>
      <c r="W4178" s="348" t="str">
        <f>IF(板块成分!B4180="","",板块成分!B4180)</f>
        <v>603385.SH</v>
      </c>
      <c r="X4178" s="276" t="str">
        <f>[1]!S_Info_Name(W4178)</f>
        <v>惠达卫浴</v>
      </c>
      <c r="Y4178" s="276" t="str">
        <f ca="1">IF($Y$3="申万一级行业",[1]!s_info_industry_sw_2021(W4178,公司分析!D$5,1),IF($Y$3="申万二级行业",[1]!s_info_industry_sw_2021(W4178,公司分析!D$5,2),IF($Y$3="申万三级行业",[1]!s_info_industry_sw_2021(W4178,公司分析!D$5,3),IF($Y$3="wind一级行业",[1]!s_info_industry_gics(W4178,1),IF($Y$3="wind二级行业",[1]!s_info_industry_gics(W4178,2),IF($Y$3="wind三级行业",[1]!s_info_industry_gics(W4178,3),IF($Y$3="wind四级行业",[1]!s_info_industry_gics(W4178,4),IF($Y$3="证监会门类行业",[1]!s_info_industry_csrc12_n(W4178,公司分析!D$5,1),""))))))))</f>
        <v>家居用品</v>
      </c>
      <c r="Z4178" s="302" t="str">
        <f ca="1">IF(Y4178=行业比较!$E$6,ROW(),"")</f>
        <v/>
      </c>
    </row>
    <row r="4179" spans="22:26">
      <c r="V4179" s="260">
        <f t="shared" ca="1" si="73"/>
        <v>0</v>
      </c>
      <c r="W4179" s="348" t="str">
        <f>IF(板块成分!B4181="","",板块成分!B4181)</f>
        <v>603386.SH</v>
      </c>
      <c r="X4179" s="276" t="str">
        <f>[1]!S_Info_Name(W4179)</f>
        <v>骏亚科技</v>
      </c>
      <c r="Y4179" s="276" t="str">
        <f ca="1">IF($Y$3="申万一级行业",[1]!s_info_industry_sw_2021(W4179,公司分析!D$5,1),IF($Y$3="申万二级行业",[1]!s_info_industry_sw_2021(W4179,公司分析!D$5,2),IF($Y$3="申万三级行业",[1]!s_info_industry_sw_2021(W4179,公司分析!D$5,3),IF($Y$3="wind一级行业",[1]!s_info_industry_gics(W4179,1),IF($Y$3="wind二级行业",[1]!s_info_industry_gics(W4179,2),IF($Y$3="wind三级行业",[1]!s_info_industry_gics(W4179,3),IF($Y$3="wind四级行业",[1]!s_info_industry_gics(W4179,4),IF($Y$3="证监会门类行业",[1]!s_info_industry_csrc12_n(W4179,公司分析!D$5,1),""))))))))</f>
        <v>元件</v>
      </c>
      <c r="Z4179" s="302" t="str">
        <f ca="1">IF(Y4179=行业比较!$E$6,ROW(),"")</f>
        <v/>
      </c>
    </row>
    <row r="4180" spans="22:26">
      <c r="V4180" s="260">
        <f t="shared" ca="1" si="73"/>
        <v>0</v>
      </c>
      <c r="W4180" s="348" t="str">
        <f>IF(板块成分!B4182="","",板块成分!B4182)</f>
        <v>603387.SH</v>
      </c>
      <c r="X4180" s="276" t="str">
        <f>[1]!S_Info_Name(W4180)</f>
        <v>基蛋生物</v>
      </c>
      <c r="Y4180" s="276" t="str">
        <f ca="1">IF($Y$3="申万一级行业",[1]!s_info_industry_sw_2021(W4180,公司分析!D$5,1),IF($Y$3="申万二级行业",[1]!s_info_industry_sw_2021(W4180,公司分析!D$5,2),IF($Y$3="申万三级行业",[1]!s_info_industry_sw_2021(W4180,公司分析!D$5,3),IF($Y$3="wind一级行业",[1]!s_info_industry_gics(W4180,1),IF($Y$3="wind二级行业",[1]!s_info_industry_gics(W4180,2),IF($Y$3="wind三级行业",[1]!s_info_industry_gics(W4180,3),IF($Y$3="wind四级行业",[1]!s_info_industry_gics(W4180,4),IF($Y$3="证监会门类行业",[1]!s_info_industry_csrc12_n(W4180,公司分析!D$5,1),""))))))))</f>
        <v>医疗器械</v>
      </c>
      <c r="Z4180" s="302" t="str">
        <f ca="1">IF(Y4180=行业比较!$E$6,ROW(),"")</f>
        <v/>
      </c>
    </row>
    <row r="4181" spans="22:26">
      <c r="V4181" s="260">
        <f t="shared" ca="1" si="73"/>
        <v>0</v>
      </c>
      <c r="W4181" s="348" t="str">
        <f>IF(板块成分!B4183="","",板块成分!B4183)</f>
        <v>603389.SH</v>
      </c>
      <c r="X4181" s="276" t="str">
        <f>[1]!S_Info_Name(W4181)</f>
        <v>*ST亚振</v>
      </c>
      <c r="Y4181" s="276" t="str">
        <f ca="1">IF($Y$3="申万一级行业",[1]!s_info_industry_sw_2021(W4181,公司分析!D$5,1),IF($Y$3="申万二级行业",[1]!s_info_industry_sw_2021(W4181,公司分析!D$5,2),IF($Y$3="申万三级行业",[1]!s_info_industry_sw_2021(W4181,公司分析!D$5,3),IF($Y$3="wind一级行业",[1]!s_info_industry_gics(W4181,1),IF($Y$3="wind二级行业",[1]!s_info_industry_gics(W4181,2),IF($Y$3="wind三级行业",[1]!s_info_industry_gics(W4181,3),IF($Y$3="wind四级行业",[1]!s_info_industry_gics(W4181,4),IF($Y$3="证监会门类行业",[1]!s_info_industry_csrc12_n(W4181,公司分析!D$5,1),""))))))))</f>
        <v>家居用品</v>
      </c>
      <c r="Z4181" s="302" t="str">
        <f ca="1">IF(Y4181=行业比较!$E$6,ROW(),"")</f>
        <v/>
      </c>
    </row>
    <row r="4182" spans="22:26">
      <c r="V4182" s="260">
        <f t="shared" ca="1" si="73"/>
        <v>0</v>
      </c>
      <c r="W4182" s="348" t="str">
        <f>IF(板块成分!B4184="","",板块成分!B4184)</f>
        <v>603390.SH</v>
      </c>
      <c r="X4182" s="276" t="str">
        <f>[1]!S_Info_Name(W4182)</f>
        <v>通达电气</v>
      </c>
      <c r="Y4182" s="276" t="str">
        <f ca="1">IF($Y$3="申万一级行业",[1]!s_info_industry_sw_2021(W4182,公司分析!D$5,1),IF($Y$3="申万二级行业",[1]!s_info_industry_sw_2021(W4182,公司分析!D$5,2),IF($Y$3="申万三级行业",[1]!s_info_industry_sw_2021(W4182,公司分析!D$5,3),IF($Y$3="wind一级行业",[1]!s_info_industry_gics(W4182,1),IF($Y$3="wind二级行业",[1]!s_info_industry_gics(W4182,2),IF($Y$3="wind三级行业",[1]!s_info_industry_gics(W4182,3),IF($Y$3="wind四级行业",[1]!s_info_industry_gics(W4182,4),IF($Y$3="证监会门类行业",[1]!s_info_industry_csrc12_n(W4182,公司分析!D$5,1),""))))))))</f>
        <v>汽车零部件</v>
      </c>
      <c r="Z4182" s="302" t="str">
        <f ca="1">IF(Y4182=行业比较!$E$6,ROW(),"")</f>
        <v/>
      </c>
    </row>
    <row r="4183" spans="22:26">
      <c r="V4183" s="260">
        <f t="shared" ca="1" si="73"/>
        <v>0</v>
      </c>
      <c r="W4183" s="348" t="str">
        <f>IF(板块成分!B4185="","",板块成分!B4185)</f>
        <v>603391.SH</v>
      </c>
      <c r="X4183" s="276" t="str">
        <f>[1]!S_Info_Name(W4183)</f>
        <v>力聚热能</v>
      </c>
      <c r="Y4183" s="276" t="str">
        <f ca="1">IF($Y$3="申万一级行业",[1]!s_info_industry_sw_2021(W4183,公司分析!D$5,1),IF($Y$3="申万二级行业",[1]!s_info_industry_sw_2021(W4183,公司分析!D$5,2),IF($Y$3="申万三级行业",[1]!s_info_industry_sw_2021(W4183,公司分析!D$5,3),IF($Y$3="wind一级行业",[1]!s_info_industry_gics(W4183,1),IF($Y$3="wind二级行业",[1]!s_info_industry_gics(W4183,2),IF($Y$3="wind三级行业",[1]!s_info_industry_gics(W4183,3),IF($Y$3="wind四级行业",[1]!s_info_industry_gics(W4183,4),IF($Y$3="证监会门类行业",[1]!s_info_industry_csrc12_n(W4183,公司分析!D$5,1),""))))))))</f>
        <v>专用设备</v>
      </c>
      <c r="Z4183" s="302" t="str">
        <f ca="1">IF(Y4183=行业比较!$E$6,ROW(),"")</f>
        <v/>
      </c>
    </row>
    <row r="4184" spans="22:26">
      <c r="V4184" s="260">
        <f t="shared" ca="1" si="73"/>
        <v>0</v>
      </c>
      <c r="W4184" s="348" t="str">
        <f>IF(板块成分!B4186="","",板块成分!B4186)</f>
        <v>603392.SH</v>
      </c>
      <c r="X4184" s="276" t="str">
        <f>[1]!S_Info_Name(W4184)</f>
        <v>万泰生物</v>
      </c>
      <c r="Y4184" s="276" t="str">
        <f ca="1">IF($Y$3="申万一级行业",[1]!s_info_industry_sw_2021(W4184,公司分析!D$5,1),IF($Y$3="申万二级行业",[1]!s_info_industry_sw_2021(W4184,公司分析!D$5,2),IF($Y$3="申万三级行业",[1]!s_info_industry_sw_2021(W4184,公司分析!D$5,3),IF($Y$3="wind一级行业",[1]!s_info_industry_gics(W4184,1),IF($Y$3="wind二级行业",[1]!s_info_industry_gics(W4184,2),IF($Y$3="wind三级行业",[1]!s_info_industry_gics(W4184,3),IF($Y$3="wind四级行业",[1]!s_info_industry_gics(W4184,4),IF($Y$3="证监会门类行业",[1]!s_info_industry_csrc12_n(W4184,公司分析!D$5,1),""))))))))</f>
        <v>生物制品</v>
      </c>
      <c r="Z4184" s="302" t="str">
        <f ca="1">IF(Y4184=行业比较!$E$6,ROW(),"")</f>
        <v/>
      </c>
    </row>
    <row r="4185" spans="22:26">
      <c r="V4185" s="260">
        <f t="shared" ca="1" si="73"/>
        <v>0</v>
      </c>
      <c r="W4185" s="348" t="str">
        <f>IF(板块成分!B4187="","",板块成分!B4187)</f>
        <v>603393.SH</v>
      </c>
      <c r="X4185" s="276" t="str">
        <f>[1]!S_Info_Name(W4185)</f>
        <v>新天然气</v>
      </c>
      <c r="Y4185" s="276" t="str">
        <f ca="1">IF($Y$3="申万一级行业",[1]!s_info_industry_sw_2021(W4185,公司分析!D$5,1),IF($Y$3="申万二级行业",[1]!s_info_industry_sw_2021(W4185,公司分析!D$5,2),IF($Y$3="申万三级行业",[1]!s_info_industry_sw_2021(W4185,公司分析!D$5,3),IF($Y$3="wind一级行业",[1]!s_info_industry_gics(W4185,1),IF($Y$3="wind二级行业",[1]!s_info_industry_gics(W4185,2),IF($Y$3="wind三级行业",[1]!s_info_industry_gics(W4185,3),IF($Y$3="wind四级行业",[1]!s_info_industry_gics(W4185,4),IF($Y$3="证监会门类行业",[1]!s_info_industry_csrc12_n(W4185,公司分析!D$5,1),""))))))))</f>
        <v>燃气Ⅱ</v>
      </c>
      <c r="Z4185" s="302" t="str">
        <f ca="1">IF(Y4185=行业比较!$E$6,ROW(),"")</f>
        <v/>
      </c>
    </row>
    <row r="4186" spans="22:26">
      <c r="V4186" s="260">
        <f t="shared" ca="1" si="73"/>
        <v>0</v>
      </c>
      <c r="W4186" s="348" t="str">
        <f>IF(板块成分!B4188="","",板块成分!B4188)</f>
        <v>603395.SH</v>
      </c>
      <c r="X4186" s="276" t="str">
        <f>[1]!S_Info_Name(W4186)</f>
        <v>红四方</v>
      </c>
      <c r="Y4186" s="276" t="str">
        <f ca="1">IF($Y$3="申万一级行业",[1]!s_info_industry_sw_2021(W4186,公司分析!D$5,1),IF($Y$3="申万二级行业",[1]!s_info_industry_sw_2021(W4186,公司分析!D$5,2),IF($Y$3="申万三级行业",[1]!s_info_industry_sw_2021(W4186,公司分析!D$5,3),IF($Y$3="wind一级行业",[1]!s_info_industry_gics(W4186,1),IF($Y$3="wind二级行业",[1]!s_info_industry_gics(W4186,2),IF($Y$3="wind三级行业",[1]!s_info_industry_gics(W4186,3),IF($Y$3="wind四级行业",[1]!s_info_industry_gics(W4186,4),IF($Y$3="证监会门类行业",[1]!s_info_industry_csrc12_n(W4186,公司分析!D$5,1),""))))))))</f>
        <v>农化制品</v>
      </c>
      <c r="Z4186" s="302" t="str">
        <f ca="1">IF(Y4186=行业比较!$E$6,ROW(),"")</f>
        <v/>
      </c>
    </row>
    <row r="4187" spans="22:26">
      <c r="V4187" s="260">
        <f t="shared" ca="1" si="73"/>
        <v>0</v>
      </c>
      <c r="W4187" s="348" t="str">
        <f>IF(板块成分!B4189="","",板块成分!B4189)</f>
        <v>603396.SH</v>
      </c>
      <c r="X4187" s="276" t="str">
        <f>[1]!S_Info_Name(W4187)</f>
        <v>金辰股份</v>
      </c>
      <c r="Y4187" s="276" t="str">
        <f ca="1">IF($Y$3="申万一级行业",[1]!s_info_industry_sw_2021(W4187,公司分析!D$5,1),IF($Y$3="申万二级行业",[1]!s_info_industry_sw_2021(W4187,公司分析!D$5,2),IF($Y$3="申万三级行业",[1]!s_info_industry_sw_2021(W4187,公司分析!D$5,3),IF($Y$3="wind一级行业",[1]!s_info_industry_gics(W4187,1),IF($Y$3="wind二级行业",[1]!s_info_industry_gics(W4187,2),IF($Y$3="wind三级行业",[1]!s_info_industry_gics(W4187,3),IF($Y$3="wind四级行业",[1]!s_info_industry_gics(W4187,4),IF($Y$3="证监会门类行业",[1]!s_info_industry_csrc12_n(W4187,公司分析!D$5,1),""))))))))</f>
        <v>光伏设备</v>
      </c>
      <c r="Z4187" s="302" t="str">
        <f ca="1">IF(Y4187=行业比较!$E$6,ROW(),"")</f>
        <v/>
      </c>
    </row>
    <row r="4188" spans="22:26">
      <c r="V4188" s="260">
        <f t="shared" ca="1" si="73"/>
        <v>0</v>
      </c>
      <c r="W4188" s="348" t="str">
        <f>IF(板块成分!B4190="","",板块成分!B4190)</f>
        <v>603398.SH</v>
      </c>
      <c r="X4188" s="276" t="str">
        <f>[1]!S_Info_Name(W4188)</f>
        <v>*ST沐邦</v>
      </c>
      <c r="Y4188" s="276" t="str">
        <f ca="1">IF($Y$3="申万一级行业",[1]!s_info_industry_sw_2021(W4188,公司分析!D$5,1),IF($Y$3="申万二级行业",[1]!s_info_industry_sw_2021(W4188,公司分析!D$5,2),IF($Y$3="申万三级行业",[1]!s_info_industry_sw_2021(W4188,公司分析!D$5,3),IF($Y$3="wind一级行业",[1]!s_info_industry_gics(W4188,1),IF($Y$3="wind二级行业",[1]!s_info_industry_gics(W4188,2),IF($Y$3="wind三级行业",[1]!s_info_industry_gics(W4188,3),IF($Y$3="wind四级行业",[1]!s_info_industry_gics(W4188,4),IF($Y$3="证监会门类行业",[1]!s_info_industry_csrc12_n(W4188,公司分析!D$5,1),""))))))))</f>
        <v>光伏设备</v>
      </c>
      <c r="Z4188" s="302" t="str">
        <f ca="1">IF(Y4188=行业比较!$E$6,ROW(),"")</f>
        <v/>
      </c>
    </row>
    <row r="4189" spans="22:26">
      <c r="V4189" s="260">
        <f t="shared" ca="1" si="73"/>
        <v>0</v>
      </c>
      <c r="W4189" s="348" t="str">
        <f>IF(板块成分!B4191="","",板块成分!B4191)</f>
        <v>603399.SH</v>
      </c>
      <c r="X4189" s="276" t="str">
        <f>[1]!S_Info_Name(W4189)</f>
        <v>永杉锂业</v>
      </c>
      <c r="Y4189" s="276" t="str">
        <f ca="1">IF($Y$3="申万一级行业",[1]!s_info_industry_sw_2021(W4189,公司分析!D$5,1),IF($Y$3="申万二级行业",[1]!s_info_industry_sw_2021(W4189,公司分析!D$5,2),IF($Y$3="申万三级行业",[1]!s_info_industry_sw_2021(W4189,公司分析!D$5,3),IF($Y$3="wind一级行业",[1]!s_info_industry_gics(W4189,1),IF($Y$3="wind二级行业",[1]!s_info_industry_gics(W4189,2),IF($Y$3="wind三级行业",[1]!s_info_industry_gics(W4189,3),IF($Y$3="wind四级行业",[1]!s_info_industry_gics(W4189,4),IF($Y$3="证监会门类行业",[1]!s_info_industry_csrc12_n(W4189,公司分析!D$5,1),""))))))))</f>
        <v>能源金属</v>
      </c>
      <c r="Z4189" s="302" t="str">
        <f ca="1">IF(Y4189=行业比较!$E$6,ROW(),"")</f>
        <v/>
      </c>
    </row>
    <row r="4190" spans="22:26">
      <c r="V4190" s="260">
        <f t="shared" ca="1" si="73"/>
        <v>0</v>
      </c>
      <c r="W4190" s="348" t="str">
        <f>IF(板块成分!B4192="","",板块成分!B4192)</f>
        <v>603400.SH</v>
      </c>
      <c r="X4190" s="276" t="str">
        <f>[1]!S_Info_Name(W4190)</f>
        <v>华之杰</v>
      </c>
      <c r="Y4190" s="276" t="str">
        <f ca="1">IF($Y$3="申万一级行业",[1]!s_info_industry_sw_2021(W4190,公司分析!D$5,1),IF($Y$3="申万二级行业",[1]!s_info_industry_sw_2021(W4190,公司分析!D$5,2),IF($Y$3="申万三级行业",[1]!s_info_industry_sw_2021(W4190,公司分析!D$5,3),IF($Y$3="wind一级行业",[1]!s_info_industry_gics(W4190,1),IF($Y$3="wind二级行业",[1]!s_info_industry_gics(W4190,2),IF($Y$3="wind三级行业",[1]!s_info_industry_gics(W4190,3),IF($Y$3="wind四级行业",[1]!s_info_industry_gics(W4190,4),IF($Y$3="证监会门类行业",[1]!s_info_industry_csrc12_n(W4190,公司分析!D$5,1),""))))))))</f>
        <v>通用设备</v>
      </c>
      <c r="Z4190" s="302" t="str">
        <f ca="1">IF(Y4190=行业比较!$E$6,ROW(),"")</f>
        <v/>
      </c>
    </row>
    <row r="4191" spans="22:26">
      <c r="V4191" s="260">
        <f t="shared" ca="1" si="73"/>
        <v>0</v>
      </c>
      <c r="W4191" s="348" t="str">
        <f>IF(板块成分!B4193="","",板块成分!B4193)</f>
        <v>603402.SH</v>
      </c>
      <c r="X4191" s="276" t="str">
        <f>[1]!S_Info_Name(W4191)</f>
        <v>陕西旅游</v>
      </c>
      <c r="Y4191" s="276" t="str">
        <f ca="1">IF($Y$3="申万一级行业",[1]!s_info_industry_sw_2021(W4191,公司分析!D$5,1),IF($Y$3="申万二级行业",[1]!s_info_industry_sw_2021(W4191,公司分析!D$5,2),IF($Y$3="申万三级行业",[1]!s_info_industry_sw_2021(W4191,公司分析!D$5,3),IF($Y$3="wind一级行业",[1]!s_info_industry_gics(W4191,1),IF($Y$3="wind二级行业",[1]!s_info_industry_gics(W4191,2),IF($Y$3="wind三级行业",[1]!s_info_industry_gics(W4191,3),IF($Y$3="wind四级行业",[1]!s_info_industry_gics(W4191,4),IF($Y$3="证监会门类行业",[1]!s_info_industry_csrc12_n(W4191,公司分析!D$5,1),""))))))))</f>
        <v>旅游及景区</v>
      </c>
      <c r="Z4191" s="302" t="str">
        <f ca="1">IF(Y4191=行业比较!$E$6,ROW(),"")</f>
        <v/>
      </c>
    </row>
    <row r="4192" spans="22:26">
      <c r="V4192" s="260">
        <f t="shared" ca="1" si="73"/>
        <v>0</v>
      </c>
      <c r="W4192" s="348" t="str">
        <f>IF(板块成分!B4194="","",板块成分!B4194)</f>
        <v>603406.SH</v>
      </c>
      <c r="X4192" s="276" t="str">
        <f>[1]!S_Info_Name(W4192)</f>
        <v>天富龙</v>
      </c>
      <c r="Y4192" s="276" t="str">
        <f ca="1">IF($Y$3="申万一级行业",[1]!s_info_industry_sw_2021(W4192,公司分析!D$5,1),IF($Y$3="申万二级行业",[1]!s_info_industry_sw_2021(W4192,公司分析!D$5,2),IF($Y$3="申万三级行业",[1]!s_info_industry_sw_2021(W4192,公司分析!D$5,3),IF($Y$3="wind一级行业",[1]!s_info_industry_gics(W4192,1),IF($Y$3="wind二级行业",[1]!s_info_industry_gics(W4192,2),IF($Y$3="wind三级行业",[1]!s_info_industry_gics(W4192,3),IF($Y$3="wind四级行业",[1]!s_info_industry_gics(W4192,4),IF($Y$3="证监会门类行业",[1]!s_info_industry_csrc12_n(W4192,公司分析!D$5,1),""))))))))</f>
        <v>化学纤维</v>
      </c>
      <c r="Z4192" s="302" t="str">
        <f ca="1">IF(Y4192=行业比较!$E$6,ROW(),"")</f>
        <v/>
      </c>
    </row>
    <row r="4193" spans="22:26">
      <c r="V4193" s="260">
        <f t="shared" ca="1" si="73"/>
        <v>0</v>
      </c>
      <c r="W4193" s="348" t="str">
        <f>IF(板块成分!B4195="","",板块成分!B4195)</f>
        <v>603408.SH</v>
      </c>
      <c r="X4193" s="276" t="str">
        <f>[1]!S_Info_Name(W4193)</f>
        <v>建霖家居</v>
      </c>
      <c r="Y4193" s="276" t="str">
        <f ca="1">IF($Y$3="申万一级行业",[1]!s_info_industry_sw_2021(W4193,公司分析!D$5,1),IF($Y$3="申万二级行业",[1]!s_info_industry_sw_2021(W4193,公司分析!D$5,2),IF($Y$3="申万三级行业",[1]!s_info_industry_sw_2021(W4193,公司分析!D$5,3),IF($Y$3="wind一级行业",[1]!s_info_industry_gics(W4193,1),IF($Y$3="wind二级行业",[1]!s_info_industry_gics(W4193,2),IF($Y$3="wind三级行业",[1]!s_info_industry_gics(W4193,3),IF($Y$3="wind四级行业",[1]!s_info_industry_gics(W4193,4),IF($Y$3="证监会门类行业",[1]!s_info_industry_csrc12_n(W4193,公司分析!D$5,1),""))))))))</f>
        <v>家居用品</v>
      </c>
      <c r="Z4193" s="302" t="str">
        <f ca="1">IF(Y4193=行业比较!$E$6,ROW(),"")</f>
        <v/>
      </c>
    </row>
    <row r="4194" spans="22:26">
      <c r="V4194" s="260">
        <f t="shared" ca="1" si="73"/>
        <v>0</v>
      </c>
      <c r="W4194" s="348" t="str">
        <f>IF(板块成分!B4196="","",板块成分!B4196)</f>
        <v>603409.SH</v>
      </c>
      <c r="X4194" s="276" t="str">
        <f>[1]!S_Info_Name(W4194)</f>
        <v>汇通控股</v>
      </c>
      <c r="Y4194" s="276" t="str">
        <f ca="1">IF($Y$3="申万一级行业",[1]!s_info_industry_sw_2021(W4194,公司分析!D$5,1),IF($Y$3="申万二级行业",[1]!s_info_industry_sw_2021(W4194,公司分析!D$5,2),IF($Y$3="申万三级行业",[1]!s_info_industry_sw_2021(W4194,公司分析!D$5,3),IF($Y$3="wind一级行业",[1]!s_info_industry_gics(W4194,1),IF($Y$3="wind二级行业",[1]!s_info_industry_gics(W4194,2),IF($Y$3="wind三级行业",[1]!s_info_industry_gics(W4194,3),IF($Y$3="wind四级行业",[1]!s_info_industry_gics(W4194,4),IF($Y$3="证监会门类行业",[1]!s_info_industry_csrc12_n(W4194,公司分析!D$5,1),""))))))))</f>
        <v>汽车零部件</v>
      </c>
      <c r="Z4194" s="302" t="str">
        <f ca="1">IF(Y4194=行业比较!$E$6,ROW(),"")</f>
        <v/>
      </c>
    </row>
    <row r="4195" spans="22:26">
      <c r="V4195" s="260">
        <f t="shared" ca="1" si="73"/>
        <v>0</v>
      </c>
      <c r="W4195" s="348" t="str">
        <f>IF(板块成分!B4197="","",板块成分!B4197)</f>
        <v>603416.SH</v>
      </c>
      <c r="X4195" s="276" t="str">
        <f>[1]!S_Info_Name(W4195)</f>
        <v>信捷电气</v>
      </c>
      <c r="Y4195" s="276" t="str">
        <f ca="1">IF($Y$3="申万一级行业",[1]!s_info_industry_sw_2021(W4195,公司分析!D$5,1),IF($Y$3="申万二级行业",[1]!s_info_industry_sw_2021(W4195,公司分析!D$5,2),IF($Y$3="申万三级行业",[1]!s_info_industry_sw_2021(W4195,公司分析!D$5,3),IF($Y$3="wind一级行业",[1]!s_info_industry_gics(W4195,1),IF($Y$3="wind二级行业",[1]!s_info_industry_gics(W4195,2),IF($Y$3="wind三级行业",[1]!s_info_industry_gics(W4195,3),IF($Y$3="wind四级行业",[1]!s_info_industry_gics(W4195,4),IF($Y$3="证监会门类行业",[1]!s_info_industry_csrc12_n(W4195,公司分析!D$5,1),""))))))))</f>
        <v>自动化设备</v>
      </c>
      <c r="Z4195" s="302" t="str">
        <f ca="1">IF(Y4195=行业比较!$E$6,ROW(),"")</f>
        <v/>
      </c>
    </row>
    <row r="4196" spans="22:26">
      <c r="V4196" s="260">
        <f t="shared" ca="1" si="73"/>
        <v>0</v>
      </c>
      <c r="W4196" s="348" t="str">
        <f>IF(板块成分!B4198="","",板块成分!B4198)</f>
        <v>603418.SH</v>
      </c>
      <c r="X4196" s="276" t="str">
        <f>[1]!S_Info_Name(W4196)</f>
        <v>友升股份</v>
      </c>
      <c r="Y4196" s="276" t="str">
        <f ca="1">IF($Y$3="申万一级行业",[1]!s_info_industry_sw_2021(W4196,公司分析!D$5,1),IF($Y$3="申万二级行业",[1]!s_info_industry_sw_2021(W4196,公司分析!D$5,2),IF($Y$3="申万三级行业",[1]!s_info_industry_sw_2021(W4196,公司分析!D$5,3),IF($Y$3="wind一级行业",[1]!s_info_industry_gics(W4196,1),IF($Y$3="wind二级行业",[1]!s_info_industry_gics(W4196,2),IF($Y$3="wind三级行业",[1]!s_info_industry_gics(W4196,3),IF($Y$3="wind四级行业",[1]!s_info_industry_gics(W4196,4),IF($Y$3="证监会门类行业",[1]!s_info_industry_csrc12_n(W4196,公司分析!D$5,1),""))))))))</f>
        <v>汽车零部件</v>
      </c>
      <c r="Z4196" s="302" t="str">
        <f ca="1">IF(Y4196=行业比较!$E$6,ROW(),"")</f>
        <v/>
      </c>
    </row>
    <row r="4197" spans="22:26">
      <c r="V4197" s="260">
        <f t="shared" ca="1" si="73"/>
        <v>0</v>
      </c>
      <c r="W4197" s="348" t="str">
        <f>IF(板块成分!B4199="","",板块成分!B4199)</f>
        <v>603421.SH</v>
      </c>
      <c r="X4197" s="276" t="str">
        <f>[1]!S_Info_Name(W4197)</f>
        <v>鼎信通讯</v>
      </c>
      <c r="Y4197" s="276" t="str">
        <f ca="1">IF($Y$3="申万一级行业",[1]!s_info_industry_sw_2021(W4197,公司分析!D$5,1),IF($Y$3="申万二级行业",[1]!s_info_industry_sw_2021(W4197,公司分析!D$5,2),IF($Y$3="申万三级行业",[1]!s_info_industry_sw_2021(W4197,公司分析!D$5,3),IF($Y$3="wind一级行业",[1]!s_info_industry_gics(W4197,1),IF($Y$3="wind二级行业",[1]!s_info_industry_gics(W4197,2),IF($Y$3="wind三级行业",[1]!s_info_industry_gics(W4197,3),IF($Y$3="wind四级行业",[1]!s_info_industry_gics(W4197,4),IF($Y$3="证监会门类行业",[1]!s_info_industry_csrc12_n(W4197,公司分析!D$5,1),""))))))))</f>
        <v>通信设备</v>
      </c>
      <c r="Z4197" s="302" t="str">
        <f ca="1">IF(Y4197=行业比较!$E$6,ROW(),"")</f>
        <v/>
      </c>
    </row>
    <row r="4198" spans="22:26">
      <c r="V4198" s="260">
        <f t="shared" ca="1" si="73"/>
        <v>0</v>
      </c>
      <c r="W4198" s="348" t="str">
        <f>IF(板块成分!B4200="","",板块成分!B4200)</f>
        <v>603429.SH</v>
      </c>
      <c r="X4198" s="276" t="str">
        <f>[1]!S_Info_Name(W4198)</f>
        <v>集友股份</v>
      </c>
      <c r="Y4198" s="276" t="str">
        <f ca="1">IF($Y$3="申万一级行业",[1]!s_info_industry_sw_2021(W4198,公司分析!D$5,1),IF($Y$3="申万二级行业",[1]!s_info_industry_sw_2021(W4198,公司分析!D$5,2),IF($Y$3="申万三级行业",[1]!s_info_industry_sw_2021(W4198,公司分析!D$5,3),IF($Y$3="wind一级行业",[1]!s_info_industry_gics(W4198,1),IF($Y$3="wind二级行业",[1]!s_info_industry_gics(W4198,2),IF($Y$3="wind三级行业",[1]!s_info_industry_gics(W4198,3),IF($Y$3="wind四级行业",[1]!s_info_industry_gics(W4198,4),IF($Y$3="证监会门类行业",[1]!s_info_industry_csrc12_n(W4198,公司分析!D$5,1),""))))))))</f>
        <v>包装印刷</v>
      </c>
      <c r="Z4198" s="302" t="str">
        <f ca="1">IF(Y4198=行业比较!$E$6,ROW(),"")</f>
        <v/>
      </c>
    </row>
    <row r="4199" spans="22:26">
      <c r="V4199" s="260">
        <f t="shared" ca="1" si="73"/>
        <v>0</v>
      </c>
      <c r="W4199" s="348" t="str">
        <f>IF(板块成分!B4201="","",板块成分!B4201)</f>
        <v>603439.SH</v>
      </c>
      <c r="X4199" s="276" t="str">
        <f>[1]!S_Info_Name(W4199)</f>
        <v>三力制药</v>
      </c>
      <c r="Y4199" s="276" t="str">
        <f ca="1">IF($Y$3="申万一级行业",[1]!s_info_industry_sw_2021(W4199,公司分析!D$5,1),IF($Y$3="申万二级行业",[1]!s_info_industry_sw_2021(W4199,公司分析!D$5,2),IF($Y$3="申万三级行业",[1]!s_info_industry_sw_2021(W4199,公司分析!D$5,3),IF($Y$3="wind一级行业",[1]!s_info_industry_gics(W4199,1),IF($Y$3="wind二级行业",[1]!s_info_industry_gics(W4199,2),IF($Y$3="wind三级行业",[1]!s_info_industry_gics(W4199,3),IF($Y$3="wind四级行业",[1]!s_info_industry_gics(W4199,4),IF($Y$3="证监会门类行业",[1]!s_info_industry_csrc12_n(W4199,公司分析!D$5,1),""))))))))</f>
        <v>中药Ⅱ</v>
      </c>
      <c r="Z4199" s="302" t="str">
        <f ca="1">IF(Y4199=行业比较!$E$6,ROW(),"")</f>
        <v/>
      </c>
    </row>
    <row r="4200" spans="22:26">
      <c r="V4200" s="260">
        <f t="shared" ca="1" si="73"/>
        <v>0</v>
      </c>
      <c r="W4200" s="348" t="str">
        <f>IF(板块成分!B4202="","",板块成分!B4202)</f>
        <v>603444.SH</v>
      </c>
      <c r="X4200" s="276" t="str">
        <f>[1]!S_Info_Name(W4200)</f>
        <v>吉比特</v>
      </c>
      <c r="Y4200" s="276" t="str">
        <f ca="1">IF($Y$3="申万一级行业",[1]!s_info_industry_sw_2021(W4200,公司分析!D$5,1),IF($Y$3="申万二级行业",[1]!s_info_industry_sw_2021(W4200,公司分析!D$5,2),IF($Y$3="申万三级行业",[1]!s_info_industry_sw_2021(W4200,公司分析!D$5,3),IF($Y$3="wind一级行业",[1]!s_info_industry_gics(W4200,1),IF($Y$3="wind二级行业",[1]!s_info_industry_gics(W4200,2),IF($Y$3="wind三级行业",[1]!s_info_industry_gics(W4200,3),IF($Y$3="wind四级行业",[1]!s_info_industry_gics(W4200,4),IF($Y$3="证监会门类行业",[1]!s_info_industry_csrc12_n(W4200,公司分析!D$5,1),""))))))))</f>
        <v>游戏Ⅱ</v>
      </c>
      <c r="Z4200" s="302" t="str">
        <f ca="1">IF(Y4200=行业比较!$E$6,ROW(),"")</f>
        <v/>
      </c>
    </row>
    <row r="4201" spans="22:26">
      <c r="V4201" s="260">
        <f t="shared" ca="1" si="73"/>
        <v>0</v>
      </c>
      <c r="W4201" s="348" t="str">
        <f>IF(板块成分!B4203="","",板块成分!B4203)</f>
        <v>603456.SH</v>
      </c>
      <c r="X4201" s="276" t="str">
        <f>[1]!S_Info_Name(W4201)</f>
        <v>九洲药业</v>
      </c>
      <c r="Y4201" s="276" t="str">
        <f ca="1">IF($Y$3="申万一级行业",[1]!s_info_industry_sw_2021(W4201,公司分析!D$5,1),IF($Y$3="申万二级行业",[1]!s_info_industry_sw_2021(W4201,公司分析!D$5,2),IF($Y$3="申万三级行业",[1]!s_info_industry_sw_2021(W4201,公司分析!D$5,3),IF($Y$3="wind一级行业",[1]!s_info_industry_gics(W4201,1),IF($Y$3="wind二级行业",[1]!s_info_industry_gics(W4201,2),IF($Y$3="wind三级行业",[1]!s_info_industry_gics(W4201,3),IF($Y$3="wind四级行业",[1]!s_info_industry_gics(W4201,4),IF($Y$3="证监会门类行业",[1]!s_info_industry_csrc12_n(W4201,公司分析!D$5,1),""))))))))</f>
        <v>医疗服务</v>
      </c>
      <c r="Z4201" s="302" t="str">
        <f ca="1">IF(Y4201=行业比较!$E$6,ROW(),"")</f>
        <v/>
      </c>
    </row>
    <row r="4202" spans="22:26">
      <c r="V4202" s="260">
        <f t="shared" ca="1" si="73"/>
        <v>0</v>
      </c>
      <c r="W4202" s="348" t="str">
        <f>IF(板块成分!B4204="","",板块成分!B4204)</f>
        <v>603458.SH</v>
      </c>
      <c r="X4202" s="276" t="str">
        <f>[1]!S_Info_Name(W4202)</f>
        <v>勘设股份</v>
      </c>
      <c r="Y4202" s="276" t="str">
        <f ca="1">IF($Y$3="申万一级行业",[1]!s_info_industry_sw_2021(W4202,公司分析!D$5,1),IF($Y$3="申万二级行业",[1]!s_info_industry_sw_2021(W4202,公司分析!D$5,2),IF($Y$3="申万三级行业",[1]!s_info_industry_sw_2021(W4202,公司分析!D$5,3),IF($Y$3="wind一级行业",[1]!s_info_industry_gics(W4202,1),IF($Y$3="wind二级行业",[1]!s_info_industry_gics(W4202,2),IF($Y$3="wind三级行业",[1]!s_info_industry_gics(W4202,3),IF($Y$3="wind四级行业",[1]!s_info_industry_gics(W4202,4),IF($Y$3="证监会门类行业",[1]!s_info_industry_csrc12_n(W4202,公司分析!D$5,1),""))))))))</f>
        <v>工程咨询服务Ⅱ</v>
      </c>
      <c r="Z4202" s="302" t="str">
        <f ca="1">IF(Y4202=行业比较!$E$6,ROW(),"")</f>
        <v/>
      </c>
    </row>
    <row r="4203" spans="22:26">
      <c r="V4203" s="260">
        <f t="shared" ca="1" si="73"/>
        <v>0</v>
      </c>
      <c r="W4203" s="348" t="str">
        <f>IF(板块成分!B4205="","",板块成分!B4205)</f>
        <v>603466.SH</v>
      </c>
      <c r="X4203" s="276" t="str">
        <f>[1]!S_Info_Name(W4203)</f>
        <v>风语筑</v>
      </c>
      <c r="Y4203" s="276" t="str">
        <f ca="1">IF($Y$3="申万一级行业",[1]!s_info_industry_sw_2021(W4203,公司分析!D$5,1),IF($Y$3="申万二级行业",[1]!s_info_industry_sw_2021(W4203,公司分析!D$5,2),IF($Y$3="申万三级行业",[1]!s_info_industry_sw_2021(W4203,公司分析!D$5,3),IF($Y$3="wind一级行业",[1]!s_info_industry_gics(W4203,1),IF($Y$3="wind二级行业",[1]!s_info_industry_gics(W4203,2),IF($Y$3="wind三级行业",[1]!s_info_industry_gics(W4203,3),IF($Y$3="wind四级行业",[1]!s_info_industry_gics(W4203,4),IF($Y$3="证监会门类行业",[1]!s_info_industry_csrc12_n(W4203,公司分析!D$5,1),""))))))))</f>
        <v>数字媒体</v>
      </c>
      <c r="Z4203" s="302" t="str">
        <f ca="1">IF(Y4203=行业比较!$E$6,ROW(),"")</f>
        <v/>
      </c>
    </row>
    <row r="4204" spans="22:26">
      <c r="V4204" s="260">
        <f t="shared" ca="1" si="73"/>
        <v>0</v>
      </c>
      <c r="W4204" s="348" t="str">
        <f>IF(板块成分!B4206="","",板块成分!B4206)</f>
        <v>603477.SH</v>
      </c>
      <c r="X4204" s="276" t="str">
        <f>[1]!S_Info_Name(W4204)</f>
        <v>巨星农牧</v>
      </c>
      <c r="Y4204" s="276" t="str">
        <f ca="1">IF($Y$3="申万一级行业",[1]!s_info_industry_sw_2021(W4204,公司分析!D$5,1),IF($Y$3="申万二级行业",[1]!s_info_industry_sw_2021(W4204,公司分析!D$5,2),IF($Y$3="申万三级行业",[1]!s_info_industry_sw_2021(W4204,公司分析!D$5,3),IF($Y$3="wind一级行业",[1]!s_info_industry_gics(W4204,1),IF($Y$3="wind二级行业",[1]!s_info_industry_gics(W4204,2),IF($Y$3="wind三级行业",[1]!s_info_industry_gics(W4204,3),IF($Y$3="wind四级行业",[1]!s_info_industry_gics(W4204,4),IF($Y$3="证监会门类行业",[1]!s_info_industry_csrc12_n(W4204,公司分析!D$5,1),""))))))))</f>
        <v>养殖业</v>
      </c>
      <c r="Z4204" s="302" t="str">
        <f ca="1">IF(Y4204=行业比较!$E$6,ROW(),"")</f>
        <v/>
      </c>
    </row>
    <row r="4205" spans="22:26">
      <c r="V4205" s="260">
        <f t="shared" ca="1" si="73"/>
        <v>0</v>
      </c>
      <c r="W4205" s="348" t="str">
        <f>IF(板块成分!B4207="","",板块成分!B4207)</f>
        <v>603486.SH</v>
      </c>
      <c r="X4205" s="276" t="str">
        <f>[1]!S_Info_Name(W4205)</f>
        <v>科沃斯</v>
      </c>
      <c r="Y4205" s="276" t="str">
        <f ca="1">IF($Y$3="申万一级行业",[1]!s_info_industry_sw_2021(W4205,公司分析!D$5,1),IF($Y$3="申万二级行业",[1]!s_info_industry_sw_2021(W4205,公司分析!D$5,2),IF($Y$3="申万三级行业",[1]!s_info_industry_sw_2021(W4205,公司分析!D$5,3),IF($Y$3="wind一级行业",[1]!s_info_industry_gics(W4205,1),IF($Y$3="wind二级行业",[1]!s_info_industry_gics(W4205,2),IF($Y$3="wind三级行业",[1]!s_info_industry_gics(W4205,3),IF($Y$3="wind四级行业",[1]!s_info_industry_gics(W4205,4),IF($Y$3="证监会门类行业",[1]!s_info_industry_csrc12_n(W4205,公司分析!D$5,1),""))))))))</f>
        <v>小家电</v>
      </c>
      <c r="Z4205" s="302" t="str">
        <f ca="1">IF(Y4205=行业比较!$E$6,ROW(),"")</f>
        <v/>
      </c>
    </row>
    <row r="4206" spans="22:26">
      <c r="V4206" s="260">
        <f t="shared" ca="1" si="73"/>
        <v>0</v>
      </c>
      <c r="W4206" s="348" t="str">
        <f>IF(板块成分!B4208="","",板块成分!B4208)</f>
        <v>603488.SH</v>
      </c>
      <c r="X4206" s="276" t="str">
        <f>[1]!S_Info_Name(W4206)</f>
        <v>展鹏科技</v>
      </c>
      <c r="Y4206" s="276" t="str">
        <f ca="1">IF($Y$3="申万一级行业",[1]!s_info_industry_sw_2021(W4206,公司分析!D$5,1),IF($Y$3="申万二级行业",[1]!s_info_industry_sw_2021(W4206,公司分析!D$5,2),IF($Y$3="申万三级行业",[1]!s_info_industry_sw_2021(W4206,公司分析!D$5,3),IF($Y$3="wind一级行业",[1]!s_info_industry_gics(W4206,1),IF($Y$3="wind二级行业",[1]!s_info_industry_gics(W4206,2),IF($Y$3="wind三级行业",[1]!s_info_industry_gics(W4206,3),IF($Y$3="wind四级行业",[1]!s_info_industry_gics(W4206,4),IF($Y$3="证监会门类行业",[1]!s_info_industry_csrc12_n(W4206,公司分析!D$5,1),""))))))))</f>
        <v>专用设备</v>
      </c>
      <c r="Z4206" s="302" t="str">
        <f ca="1">IF(Y4206=行业比较!$E$6,ROW(),"")</f>
        <v/>
      </c>
    </row>
    <row r="4207" spans="22:26">
      <c r="V4207" s="260">
        <f t="shared" ca="1" si="73"/>
        <v>0</v>
      </c>
      <c r="W4207" s="348" t="str">
        <f>IF(板块成分!B4209="","",板块成分!B4209)</f>
        <v>603489.SH</v>
      </c>
      <c r="X4207" s="276" t="str">
        <f>[1]!S_Info_Name(W4207)</f>
        <v>八方股份</v>
      </c>
      <c r="Y4207" s="276" t="str">
        <f ca="1">IF($Y$3="申万一级行业",[1]!s_info_industry_sw_2021(W4207,公司分析!D$5,1),IF($Y$3="申万二级行业",[1]!s_info_industry_sw_2021(W4207,公司分析!D$5,2),IF($Y$3="申万三级行业",[1]!s_info_industry_sw_2021(W4207,公司分析!D$5,3),IF($Y$3="wind一级行业",[1]!s_info_industry_gics(W4207,1),IF($Y$3="wind二级行业",[1]!s_info_industry_gics(W4207,2),IF($Y$3="wind三级行业",[1]!s_info_industry_gics(W4207,3),IF($Y$3="wind四级行业",[1]!s_info_industry_gics(W4207,4),IF($Y$3="证监会门类行业",[1]!s_info_industry_csrc12_n(W4207,公司分析!D$5,1),""))))))))</f>
        <v>电机Ⅱ</v>
      </c>
      <c r="Z4207" s="302" t="str">
        <f ca="1">IF(Y4207=行业比较!$E$6,ROW(),"")</f>
        <v/>
      </c>
    </row>
    <row r="4208" spans="22:26">
      <c r="V4208" s="260">
        <f t="shared" ca="1" si="73"/>
        <v>0</v>
      </c>
      <c r="W4208" s="348" t="str">
        <f>IF(板块成分!B4210="","",板块成分!B4210)</f>
        <v>603496.SH</v>
      </c>
      <c r="X4208" s="276" t="str">
        <f>[1]!S_Info_Name(W4208)</f>
        <v>恒为科技</v>
      </c>
      <c r="Y4208" s="276" t="str">
        <f ca="1">IF($Y$3="申万一级行业",[1]!s_info_industry_sw_2021(W4208,公司分析!D$5,1),IF($Y$3="申万二级行业",[1]!s_info_industry_sw_2021(W4208,公司分析!D$5,2),IF($Y$3="申万三级行业",[1]!s_info_industry_sw_2021(W4208,公司分析!D$5,3),IF($Y$3="wind一级行业",[1]!s_info_industry_gics(W4208,1),IF($Y$3="wind二级行业",[1]!s_info_industry_gics(W4208,2),IF($Y$3="wind三级行业",[1]!s_info_industry_gics(W4208,3),IF($Y$3="wind四级行业",[1]!s_info_industry_gics(W4208,4),IF($Y$3="证监会门类行业",[1]!s_info_industry_csrc12_n(W4208,公司分析!D$5,1),""))))))))</f>
        <v>计算机设备</v>
      </c>
      <c r="Z4208" s="302" t="str">
        <f ca="1">IF(Y4208=行业比较!$E$6,ROW(),"")</f>
        <v/>
      </c>
    </row>
    <row r="4209" spans="22:26">
      <c r="V4209" s="260">
        <f t="shared" ca="1" si="73"/>
        <v>0</v>
      </c>
      <c r="W4209" s="348" t="str">
        <f>IF(板块成分!B4211="","",板块成分!B4211)</f>
        <v>603499.SH</v>
      </c>
      <c r="X4209" s="276" t="str">
        <f>[1]!S_Info_Name(W4209)</f>
        <v>翔港科技</v>
      </c>
      <c r="Y4209" s="276" t="str">
        <f ca="1">IF($Y$3="申万一级行业",[1]!s_info_industry_sw_2021(W4209,公司分析!D$5,1),IF($Y$3="申万二级行业",[1]!s_info_industry_sw_2021(W4209,公司分析!D$5,2),IF($Y$3="申万三级行业",[1]!s_info_industry_sw_2021(W4209,公司分析!D$5,3),IF($Y$3="wind一级行业",[1]!s_info_industry_gics(W4209,1),IF($Y$3="wind二级行业",[1]!s_info_industry_gics(W4209,2),IF($Y$3="wind三级行业",[1]!s_info_industry_gics(W4209,3),IF($Y$3="wind四级行业",[1]!s_info_industry_gics(W4209,4),IF($Y$3="证监会门类行业",[1]!s_info_industry_csrc12_n(W4209,公司分析!D$5,1),""))))))))</f>
        <v>包装印刷</v>
      </c>
      <c r="Z4209" s="302" t="str">
        <f ca="1">IF(Y4209=行业比较!$E$6,ROW(),"")</f>
        <v/>
      </c>
    </row>
    <row r="4210" spans="22:26">
      <c r="V4210" s="260">
        <f t="shared" ca="1" si="73"/>
        <v>0</v>
      </c>
      <c r="W4210" s="348" t="str">
        <f>IF(板块成分!B4212="","",板块成分!B4212)</f>
        <v>603500.SH</v>
      </c>
      <c r="X4210" s="276" t="str">
        <f>[1]!S_Info_Name(W4210)</f>
        <v>祥和实业</v>
      </c>
      <c r="Y4210" s="276" t="str">
        <f ca="1">IF($Y$3="申万一级行业",[1]!s_info_industry_sw_2021(W4210,公司分析!D$5,1),IF($Y$3="申万二级行业",[1]!s_info_industry_sw_2021(W4210,公司分析!D$5,2),IF($Y$3="申万三级行业",[1]!s_info_industry_sw_2021(W4210,公司分析!D$5,3),IF($Y$3="wind一级行业",[1]!s_info_industry_gics(W4210,1),IF($Y$3="wind二级行业",[1]!s_info_industry_gics(W4210,2),IF($Y$3="wind三级行业",[1]!s_info_industry_gics(W4210,3),IF($Y$3="wind四级行业",[1]!s_info_industry_gics(W4210,4),IF($Y$3="证监会门类行业",[1]!s_info_industry_csrc12_n(W4210,公司分析!D$5,1),""))))))))</f>
        <v>轨交设备Ⅱ</v>
      </c>
      <c r="Z4210" s="302" t="str">
        <f ca="1">IF(Y4210=行业比较!$E$6,ROW(),"")</f>
        <v/>
      </c>
    </row>
    <row r="4211" spans="22:26">
      <c r="V4211" s="260">
        <f t="shared" ca="1" si="73"/>
        <v>0</v>
      </c>
      <c r="W4211" s="348" t="str">
        <f>IF(板块成分!B4213="","",板块成分!B4213)</f>
        <v>603501.SH</v>
      </c>
      <c r="X4211" s="276" t="str">
        <f>[1]!S_Info_Name(W4211)</f>
        <v>豪威集团</v>
      </c>
      <c r="Y4211" s="276" t="str">
        <f ca="1">IF($Y$3="申万一级行业",[1]!s_info_industry_sw_2021(W4211,公司分析!D$5,1),IF($Y$3="申万二级行业",[1]!s_info_industry_sw_2021(W4211,公司分析!D$5,2),IF($Y$3="申万三级行业",[1]!s_info_industry_sw_2021(W4211,公司分析!D$5,3),IF($Y$3="wind一级行业",[1]!s_info_industry_gics(W4211,1),IF($Y$3="wind二级行业",[1]!s_info_industry_gics(W4211,2),IF($Y$3="wind三级行业",[1]!s_info_industry_gics(W4211,3),IF($Y$3="wind四级行业",[1]!s_info_industry_gics(W4211,4),IF($Y$3="证监会门类行业",[1]!s_info_industry_csrc12_n(W4211,公司分析!D$5,1),""))))))))</f>
        <v>半导体</v>
      </c>
      <c r="Z4211" s="302" t="str">
        <f ca="1">IF(Y4211=行业比较!$E$6,ROW(),"")</f>
        <v/>
      </c>
    </row>
    <row r="4212" spans="22:26">
      <c r="V4212" s="260">
        <f t="shared" ca="1" si="73"/>
        <v>0</v>
      </c>
      <c r="W4212" s="348" t="str">
        <f>IF(板块成分!B4214="","",板块成分!B4214)</f>
        <v>603505.SH</v>
      </c>
      <c r="X4212" s="276" t="str">
        <f>[1]!S_Info_Name(W4212)</f>
        <v>金石资源</v>
      </c>
      <c r="Y4212" s="276" t="str">
        <f ca="1">IF($Y$3="申万一级行业",[1]!s_info_industry_sw_2021(W4212,公司分析!D$5,1),IF($Y$3="申万二级行业",[1]!s_info_industry_sw_2021(W4212,公司分析!D$5,2),IF($Y$3="申万三级行业",[1]!s_info_industry_sw_2021(W4212,公司分析!D$5,3),IF($Y$3="wind一级行业",[1]!s_info_industry_gics(W4212,1),IF($Y$3="wind二级行业",[1]!s_info_industry_gics(W4212,2),IF($Y$3="wind三级行业",[1]!s_info_industry_gics(W4212,3),IF($Y$3="wind四级行业",[1]!s_info_industry_gics(W4212,4),IF($Y$3="证监会门类行业",[1]!s_info_industry_csrc12_n(W4212,公司分析!D$5,1),""))))))))</f>
        <v>化学制品</v>
      </c>
      <c r="Z4212" s="302" t="str">
        <f ca="1">IF(Y4212=行业比较!$E$6,ROW(),"")</f>
        <v/>
      </c>
    </row>
    <row r="4213" spans="22:26">
      <c r="V4213" s="260">
        <f t="shared" ca="1" si="73"/>
        <v>0</v>
      </c>
      <c r="W4213" s="348" t="str">
        <f>IF(板块成分!B4215="","",板块成分!B4215)</f>
        <v>603506.SH</v>
      </c>
      <c r="X4213" s="276" t="str">
        <f>[1]!S_Info_Name(W4213)</f>
        <v>南都物业</v>
      </c>
      <c r="Y4213" s="276" t="str">
        <f ca="1">IF($Y$3="申万一级行业",[1]!s_info_industry_sw_2021(W4213,公司分析!D$5,1),IF($Y$3="申万二级行业",[1]!s_info_industry_sw_2021(W4213,公司分析!D$5,2),IF($Y$3="申万三级行业",[1]!s_info_industry_sw_2021(W4213,公司分析!D$5,3),IF($Y$3="wind一级行业",[1]!s_info_industry_gics(W4213,1),IF($Y$3="wind二级行业",[1]!s_info_industry_gics(W4213,2),IF($Y$3="wind三级行业",[1]!s_info_industry_gics(W4213,3),IF($Y$3="wind四级行业",[1]!s_info_industry_gics(W4213,4),IF($Y$3="证监会门类行业",[1]!s_info_industry_csrc12_n(W4213,公司分析!D$5,1),""))))))))</f>
        <v>房地产服务</v>
      </c>
      <c r="Z4213" s="302" t="str">
        <f ca="1">IF(Y4213=行业比较!$E$6,ROW(),"")</f>
        <v/>
      </c>
    </row>
    <row r="4214" spans="22:26">
      <c r="V4214" s="260">
        <f t="shared" ca="1" si="73"/>
        <v>0</v>
      </c>
      <c r="W4214" s="348" t="str">
        <f>IF(板块成分!B4216="","",板块成分!B4216)</f>
        <v>603507.SH</v>
      </c>
      <c r="X4214" s="276" t="str">
        <f>[1]!S_Info_Name(W4214)</f>
        <v>振江股份</v>
      </c>
      <c r="Y4214" s="276" t="str">
        <f ca="1">IF($Y$3="申万一级行业",[1]!s_info_industry_sw_2021(W4214,公司分析!D$5,1),IF($Y$3="申万二级行业",[1]!s_info_industry_sw_2021(W4214,公司分析!D$5,2),IF($Y$3="申万三级行业",[1]!s_info_industry_sw_2021(W4214,公司分析!D$5,3),IF($Y$3="wind一级行业",[1]!s_info_industry_gics(W4214,1),IF($Y$3="wind二级行业",[1]!s_info_industry_gics(W4214,2),IF($Y$3="wind三级行业",[1]!s_info_industry_gics(W4214,3),IF($Y$3="wind四级行业",[1]!s_info_industry_gics(W4214,4),IF($Y$3="证监会门类行业",[1]!s_info_industry_csrc12_n(W4214,公司分析!D$5,1),""))))))))</f>
        <v>风电设备</v>
      </c>
      <c r="Z4214" s="302" t="str">
        <f ca="1">IF(Y4214=行业比较!$E$6,ROW(),"")</f>
        <v/>
      </c>
    </row>
    <row r="4215" spans="22:26">
      <c r="V4215" s="260">
        <f t="shared" ca="1" si="73"/>
        <v>0</v>
      </c>
      <c r="W4215" s="348" t="str">
        <f>IF(板块成分!B4217="","",板块成分!B4217)</f>
        <v>603508.SH</v>
      </c>
      <c r="X4215" s="276" t="str">
        <f>[1]!S_Info_Name(W4215)</f>
        <v>思维列控</v>
      </c>
      <c r="Y4215" s="276" t="str">
        <f ca="1">IF($Y$3="申万一级行业",[1]!s_info_industry_sw_2021(W4215,公司分析!D$5,1),IF($Y$3="申万二级行业",[1]!s_info_industry_sw_2021(W4215,公司分析!D$5,2),IF($Y$3="申万三级行业",[1]!s_info_industry_sw_2021(W4215,公司分析!D$5,3),IF($Y$3="wind一级行业",[1]!s_info_industry_gics(W4215,1),IF($Y$3="wind二级行业",[1]!s_info_industry_gics(W4215,2),IF($Y$3="wind三级行业",[1]!s_info_industry_gics(W4215,3),IF($Y$3="wind四级行业",[1]!s_info_industry_gics(W4215,4),IF($Y$3="证监会门类行业",[1]!s_info_industry_csrc12_n(W4215,公司分析!D$5,1),""))))))))</f>
        <v>计算机设备</v>
      </c>
      <c r="Z4215" s="302" t="str">
        <f ca="1">IF(Y4215=行业比较!$E$6,ROW(),"")</f>
        <v/>
      </c>
    </row>
    <row r="4216" spans="22:26">
      <c r="V4216" s="260">
        <f t="shared" ca="1" si="73"/>
        <v>0</v>
      </c>
      <c r="W4216" s="348" t="str">
        <f>IF(板块成分!B4218="","",板块成分!B4218)</f>
        <v>603511.SH</v>
      </c>
      <c r="X4216" s="276" t="str">
        <f>[1]!S_Info_Name(W4216)</f>
        <v>爱慕股份</v>
      </c>
      <c r="Y4216" s="276" t="str">
        <f ca="1">IF($Y$3="申万一级行业",[1]!s_info_industry_sw_2021(W4216,公司分析!D$5,1),IF($Y$3="申万二级行业",[1]!s_info_industry_sw_2021(W4216,公司分析!D$5,2),IF($Y$3="申万三级行业",[1]!s_info_industry_sw_2021(W4216,公司分析!D$5,3),IF($Y$3="wind一级行业",[1]!s_info_industry_gics(W4216,1),IF($Y$3="wind二级行业",[1]!s_info_industry_gics(W4216,2),IF($Y$3="wind三级行业",[1]!s_info_industry_gics(W4216,3),IF($Y$3="wind四级行业",[1]!s_info_industry_gics(W4216,4),IF($Y$3="证监会门类行业",[1]!s_info_industry_csrc12_n(W4216,公司分析!D$5,1),""))))))))</f>
        <v>服装家纺</v>
      </c>
      <c r="Z4216" s="302" t="str">
        <f ca="1">IF(Y4216=行业比较!$E$6,ROW(),"")</f>
        <v/>
      </c>
    </row>
    <row r="4217" spans="22:26">
      <c r="V4217" s="260">
        <f t="shared" ca="1" si="73"/>
        <v>0</v>
      </c>
      <c r="W4217" s="348" t="str">
        <f>IF(板块成分!B4219="","",板块成分!B4219)</f>
        <v>603515.SH</v>
      </c>
      <c r="X4217" s="276" t="str">
        <f>[1]!S_Info_Name(W4217)</f>
        <v>欧普照明</v>
      </c>
      <c r="Y4217" s="276" t="str">
        <f ca="1">IF($Y$3="申万一级行业",[1]!s_info_industry_sw_2021(W4217,公司分析!D$5,1),IF($Y$3="申万二级行业",[1]!s_info_industry_sw_2021(W4217,公司分析!D$5,2),IF($Y$3="申万三级行业",[1]!s_info_industry_sw_2021(W4217,公司分析!D$5,3),IF($Y$3="wind一级行业",[1]!s_info_industry_gics(W4217,1),IF($Y$3="wind二级行业",[1]!s_info_industry_gics(W4217,2),IF($Y$3="wind三级行业",[1]!s_info_industry_gics(W4217,3),IF($Y$3="wind四级行业",[1]!s_info_industry_gics(W4217,4),IF($Y$3="证监会门类行业",[1]!s_info_industry_csrc12_n(W4217,公司分析!D$5,1),""))))))))</f>
        <v>照明设备Ⅱ</v>
      </c>
      <c r="Z4217" s="302" t="str">
        <f ca="1">IF(Y4217=行业比较!$E$6,ROW(),"")</f>
        <v/>
      </c>
    </row>
    <row r="4218" spans="22:26">
      <c r="V4218" s="260">
        <f t="shared" ca="1" si="73"/>
        <v>0</v>
      </c>
      <c r="W4218" s="348" t="str">
        <f>IF(板块成分!B4220="","",板块成分!B4220)</f>
        <v>603516.SH</v>
      </c>
      <c r="X4218" s="276" t="str">
        <f>[1]!S_Info_Name(W4218)</f>
        <v>淳中科技</v>
      </c>
      <c r="Y4218" s="276" t="str">
        <f ca="1">IF($Y$3="申万一级行业",[1]!s_info_industry_sw_2021(W4218,公司分析!D$5,1),IF($Y$3="申万二级行业",[1]!s_info_industry_sw_2021(W4218,公司分析!D$5,2),IF($Y$3="申万三级行业",[1]!s_info_industry_sw_2021(W4218,公司分析!D$5,3),IF($Y$3="wind一级行业",[1]!s_info_industry_gics(W4218,1),IF($Y$3="wind二级行业",[1]!s_info_industry_gics(W4218,2),IF($Y$3="wind三级行业",[1]!s_info_industry_gics(W4218,3),IF($Y$3="wind四级行业",[1]!s_info_industry_gics(W4218,4),IF($Y$3="证监会门类行业",[1]!s_info_industry_csrc12_n(W4218,公司分析!D$5,1),""))))))))</f>
        <v>计算机设备</v>
      </c>
      <c r="Z4218" s="302" t="str">
        <f ca="1">IF(Y4218=行业比较!$E$6,ROW(),"")</f>
        <v/>
      </c>
    </row>
    <row r="4219" spans="22:26">
      <c r="V4219" s="260">
        <f t="shared" ca="1" si="73"/>
        <v>0</v>
      </c>
      <c r="W4219" s="348" t="str">
        <f>IF(板块成分!B4221="","",板块成分!B4221)</f>
        <v>603517.SH</v>
      </c>
      <c r="X4219" s="276" t="str">
        <f>[1]!S_Info_Name(W4219)</f>
        <v>ST绝味</v>
      </c>
      <c r="Y4219" s="276" t="str">
        <f ca="1">IF($Y$3="申万一级行业",[1]!s_info_industry_sw_2021(W4219,公司分析!D$5,1),IF($Y$3="申万二级行业",[1]!s_info_industry_sw_2021(W4219,公司分析!D$5,2),IF($Y$3="申万三级行业",[1]!s_info_industry_sw_2021(W4219,公司分析!D$5,3),IF($Y$3="wind一级行业",[1]!s_info_industry_gics(W4219,1),IF($Y$3="wind二级行业",[1]!s_info_industry_gics(W4219,2),IF($Y$3="wind三级行业",[1]!s_info_industry_gics(W4219,3),IF($Y$3="wind四级行业",[1]!s_info_industry_gics(W4219,4),IF($Y$3="证监会门类行业",[1]!s_info_industry_csrc12_n(W4219,公司分析!D$5,1),""))))))))</f>
        <v>休闲食品</v>
      </c>
      <c r="Z4219" s="302" t="str">
        <f ca="1">IF(Y4219=行业比较!$E$6,ROW(),"")</f>
        <v/>
      </c>
    </row>
    <row r="4220" spans="22:26">
      <c r="V4220" s="260">
        <f t="shared" ca="1" si="73"/>
        <v>0</v>
      </c>
      <c r="W4220" s="348" t="str">
        <f>IF(板块成分!B4222="","",板块成分!B4222)</f>
        <v>603518.SH</v>
      </c>
      <c r="X4220" s="276" t="str">
        <f>[1]!S_Info_Name(W4220)</f>
        <v>锦泓集团</v>
      </c>
      <c r="Y4220" s="276" t="str">
        <f ca="1">IF($Y$3="申万一级行业",[1]!s_info_industry_sw_2021(W4220,公司分析!D$5,1),IF($Y$3="申万二级行业",[1]!s_info_industry_sw_2021(W4220,公司分析!D$5,2),IF($Y$3="申万三级行业",[1]!s_info_industry_sw_2021(W4220,公司分析!D$5,3),IF($Y$3="wind一级行业",[1]!s_info_industry_gics(W4220,1),IF($Y$3="wind二级行业",[1]!s_info_industry_gics(W4220,2),IF($Y$3="wind三级行业",[1]!s_info_industry_gics(W4220,3),IF($Y$3="wind四级行业",[1]!s_info_industry_gics(W4220,4),IF($Y$3="证监会门类行业",[1]!s_info_industry_csrc12_n(W4220,公司分析!D$5,1),""))))))))</f>
        <v>服装家纺</v>
      </c>
      <c r="Z4220" s="302" t="str">
        <f ca="1">IF(Y4220=行业比较!$E$6,ROW(),"")</f>
        <v/>
      </c>
    </row>
    <row r="4221" spans="22:26">
      <c r="V4221" s="260">
        <f t="shared" ca="1" si="73"/>
        <v>0</v>
      </c>
      <c r="W4221" s="348" t="str">
        <f>IF(板块成分!B4223="","",板块成分!B4223)</f>
        <v>603519.SH</v>
      </c>
      <c r="X4221" s="276" t="str">
        <f>[1]!S_Info_Name(W4221)</f>
        <v>立霸股份</v>
      </c>
      <c r="Y4221" s="276" t="str">
        <f ca="1">IF($Y$3="申万一级行业",[1]!s_info_industry_sw_2021(W4221,公司分析!D$5,1),IF($Y$3="申万二级行业",[1]!s_info_industry_sw_2021(W4221,公司分析!D$5,2),IF($Y$3="申万三级行业",[1]!s_info_industry_sw_2021(W4221,公司分析!D$5,3),IF($Y$3="wind一级行业",[1]!s_info_industry_gics(W4221,1),IF($Y$3="wind二级行业",[1]!s_info_industry_gics(W4221,2),IF($Y$3="wind三级行业",[1]!s_info_industry_gics(W4221,3),IF($Y$3="wind四级行业",[1]!s_info_industry_gics(W4221,4),IF($Y$3="证监会门类行业",[1]!s_info_industry_csrc12_n(W4221,公司分析!D$5,1),""))))))))</f>
        <v>家电零部件Ⅱ</v>
      </c>
      <c r="Z4221" s="302" t="str">
        <f ca="1">IF(Y4221=行业比较!$E$6,ROW(),"")</f>
        <v/>
      </c>
    </row>
    <row r="4222" spans="22:26">
      <c r="V4222" s="260">
        <f t="shared" ca="1" si="73"/>
        <v>0</v>
      </c>
      <c r="W4222" s="348" t="str">
        <f>IF(板块成分!B4224="","",板块成分!B4224)</f>
        <v>603520.SH</v>
      </c>
      <c r="X4222" s="276" t="str">
        <f>[1]!S_Info_Name(W4222)</f>
        <v>司太立</v>
      </c>
      <c r="Y4222" s="276" t="str">
        <f ca="1">IF($Y$3="申万一级行业",[1]!s_info_industry_sw_2021(W4222,公司分析!D$5,1),IF($Y$3="申万二级行业",[1]!s_info_industry_sw_2021(W4222,公司分析!D$5,2),IF($Y$3="申万三级行业",[1]!s_info_industry_sw_2021(W4222,公司分析!D$5,3),IF($Y$3="wind一级行业",[1]!s_info_industry_gics(W4222,1),IF($Y$3="wind二级行业",[1]!s_info_industry_gics(W4222,2),IF($Y$3="wind三级行业",[1]!s_info_industry_gics(W4222,3),IF($Y$3="wind四级行业",[1]!s_info_industry_gics(W4222,4),IF($Y$3="证监会门类行业",[1]!s_info_industry_csrc12_n(W4222,公司分析!D$5,1),""))))))))</f>
        <v>化学制药</v>
      </c>
      <c r="Z4222" s="302" t="str">
        <f ca="1">IF(Y4222=行业比较!$E$6,ROW(),"")</f>
        <v/>
      </c>
    </row>
    <row r="4223" spans="22:26">
      <c r="V4223" s="260">
        <f t="shared" ca="1" si="73"/>
        <v>55</v>
      </c>
      <c r="W4223" s="348" t="str">
        <f>IF(板块成分!B4225="","",板块成分!B4225)</f>
        <v>603527.SH</v>
      </c>
      <c r="X4223" s="276" t="str">
        <f>[1]!S_Info_Name(W4223)</f>
        <v>众源新材</v>
      </c>
      <c r="Y4223" s="276" t="str">
        <f ca="1">IF($Y$3="申万一级行业",[1]!s_info_industry_sw_2021(W4223,公司分析!D$5,1),IF($Y$3="申万二级行业",[1]!s_info_industry_sw_2021(W4223,公司分析!D$5,2),IF($Y$3="申万三级行业",[1]!s_info_industry_sw_2021(W4223,公司分析!D$5,3),IF($Y$3="wind一级行业",[1]!s_info_industry_gics(W4223,1),IF($Y$3="wind二级行业",[1]!s_info_industry_gics(W4223,2),IF($Y$3="wind三级行业",[1]!s_info_industry_gics(W4223,3),IF($Y$3="wind四级行业",[1]!s_info_industry_gics(W4223,4),IF($Y$3="证监会门类行业",[1]!s_info_industry_csrc12_n(W4223,公司分析!D$5,1),""))))))))</f>
        <v>工业金属</v>
      </c>
      <c r="Z4223" s="302">
        <f ca="1">IF(Y4223=行业比较!$E$6,ROW(),"")</f>
        <v>4223</v>
      </c>
    </row>
    <row r="4224" spans="22:26">
      <c r="V4224" s="260">
        <f t="shared" ca="1" si="73"/>
        <v>0</v>
      </c>
      <c r="W4224" s="348" t="str">
        <f>IF(板块成分!B4226="","",板块成分!B4226)</f>
        <v>603528.SH</v>
      </c>
      <c r="X4224" s="276" t="str">
        <f>[1]!S_Info_Name(W4224)</f>
        <v>多伦科技</v>
      </c>
      <c r="Y4224" s="276" t="str">
        <f ca="1">IF($Y$3="申万一级行业",[1]!s_info_industry_sw_2021(W4224,公司分析!D$5,1),IF($Y$3="申万二级行业",[1]!s_info_industry_sw_2021(W4224,公司分析!D$5,2),IF($Y$3="申万三级行业",[1]!s_info_industry_sw_2021(W4224,公司分析!D$5,3),IF($Y$3="wind一级行业",[1]!s_info_industry_gics(W4224,1),IF($Y$3="wind二级行业",[1]!s_info_industry_gics(W4224,2),IF($Y$3="wind三级行业",[1]!s_info_industry_gics(W4224,3),IF($Y$3="wind四级行业",[1]!s_info_industry_gics(W4224,4),IF($Y$3="证监会门类行业",[1]!s_info_industry_csrc12_n(W4224,公司分析!D$5,1),""))))))))</f>
        <v>软件开发</v>
      </c>
      <c r="Z4224" s="302" t="str">
        <f ca="1">IF(Y4224=行业比较!$E$6,ROW(),"")</f>
        <v/>
      </c>
    </row>
    <row r="4225" spans="22:26">
      <c r="V4225" s="260">
        <f t="shared" ca="1" si="73"/>
        <v>0</v>
      </c>
      <c r="W4225" s="348" t="str">
        <f>IF(板块成分!B4227="","",板块成分!B4227)</f>
        <v>603529.SH</v>
      </c>
      <c r="X4225" s="276" t="str">
        <f>[1]!S_Info_Name(W4225)</f>
        <v>爱玛科技</v>
      </c>
      <c r="Y4225" s="276" t="str">
        <f ca="1">IF($Y$3="申万一级行业",[1]!s_info_industry_sw_2021(W4225,公司分析!D$5,1),IF($Y$3="申万二级行业",[1]!s_info_industry_sw_2021(W4225,公司分析!D$5,2),IF($Y$3="申万三级行业",[1]!s_info_industry_sw_2021(W4225,公司分析!D$5,3),IF($Y$3="wind一级行业",[1]!s_info_industry_gics(W4225,1),IF($Y$3="wind二级行业",[1]!s_info_industry_gics(W4225,2),IF($Y$3="wind三级行业",[1]!s_info_industry_gics(W4225,3),IF($Y$3="wind四级行业",[1]!s_info_industry_gics(W4225,4),IF($Y$3="证监会门类行业",[1]!s_info_industry_csrc12_n(W4225,公司分析!D$5,1),""))))))))</f>
        <v>摩托车及其他</v>
      </c>
      <c r="Z4225" s="302" t="str">
        <f ca="1">IF(Y4225=行业比较!$E$6,ROW(),"")</f>
        <v/>
      </c>
    </row>
    <row r="4226" spans="22:26">
      <c r="V4226" s="260">
        <f t="shared" ca="1" si="73"/>
        <v>0</v>
      </c>
      <c r="W4226" s="348" t="str">
        <f>IF(板块成分!B4228="","",板块成分!B4228)</f>
        <v>603530.SH</v>
      </c>
      <c r="X4226" s="276" t="str">
        <f>[1]!S_Info_Name(W4226)</f>
        <v>神马电力</v>
      </c>
      <c r="Y4226" s="276" t="str">
        <f ca="1">IF($Y$3="申万一级行业",[1]!s_info_industry_sw_2021(W4226,公司分析!D$5,1),IF($Y$3="申万二级行业",[1]!s_info_industry_sw_2021(W4226,公司分析!D$5,2),IF($Y$3="申万三级行业",[1]!s_info_industry_sw_2021(W4226,公司分析!D$5,3),IF($Y$3="wind一级行业",[1]!s_info_industry_gics(W4226,1),IF($Y$3="wind二级行业",[1]!s_info_industry_gics(W4226,2),IF($Y$3="wind三级行业",[1]!s_info_industry_gics(W4226,3),IF($Y$3="wind四级行业",[1]!s_info_industry_gics(W4226,4),IF($Y$3="证监会门类行业",[1]!s_info_industry_csrc12_n(W4226,公司分析!D$5,1),""))))))))</f>
        <v>电网设备</v>
      </c>
      <c r="Z4226" s="302" t="str">
        <f ca="1">IF(Y4226=行业比较!$E$6,ROW(),"")</f>
        <v/>
      </c>
    </row>
    <row r="4227" spans="22:26">
      <c r="V4227" s="260">
        <f t="shared" ca="1" si="73"/>
        <v>0</v>
      </c>
      <c r="W4227" s="348" t="str">
        <f>IF(板块成分!B4229="","",板块成分!B4229)</f>
        <v>603533.SH</v>
      </c>
      <c r="X4227" s="276" t="str">
        <f>[1]!S_Info_Name(W4227)</f>
        <v>掌阅科技</v>
      </c>
      <c r="Y4227" s="276" t="str">
        <f ca="1">IF($Y$3="申万一级行业",[1]!s_info_industry_sw_2021(W4227,公司分析!D$5,1),IF($Y$3="申万二级行业",[1]!s_info_industry_sw_2021(W4227,公司分析!D$5,2),IF($Y$3="申万三级行业",[1]!s_info_industry_sw_2021(W4227,公司分析!D$5,3),IF($Y$3="wind一级行业",[1]!s_info_industry_gics(W4227,1),IF($Y$3="wind二级行业",[1]!s_info_industry_gics(W4227,2),IF($Y$3="wind三级行业",[1]!s_info_industry_gics(W4227,3),IF($Y$3="wind四级行业",[1]!s_info_industry_gics(W4227,4),IF($Y$3="证监会门类行业",[1]!s_info_industry_csrc12_n(W4227,公司分析!D$5,1),""))))))))</f>
        <v>数字媒体</v>
      </c>
      <c r="Z4227" s="302" t="str">
        <f ca="1">IF(Y4227=行业比较!$E$6,ROW(),"")</f>
        <v/>
      </c>
    </row>
    <row r="4228" spans="22:26">
      <c r="V4228" s="260">
        <f t="shared" ca="1" si="73"/>
        <v>0</v>
      </c>
      <c r="W4228" s="348" t="str">
        <f>IF(板块成分!B4230="","",板块成分!B4230)</f>
        <v>603535.SH</v>
      </c>
      <c r="X4228" s="276" t="str">
        <f>[1]!S_Info_Name(W4228)</f>
        <v>嘉诚国际</v>
      </c>
      <c r="Y4228" s="276" t="str">
        <f ca="1">IF($Y$3="申万一级行业",[1]!s_info_industry_sw_2021(W4228,公司分析!D$5,1),IF($Y$3="申万二级行业",[1]!s_info_industry_sw_2021(W4228,公司分析!D$5,2),IF($Y$3="申万三级行业",[1]!s_info_industry_sw_2021(W4228,公司分析!D$5,3),IF($Y$3="wind一级行业",[1]!s_info_industry_gics(W4228,1),IF($Y$3="wind二级行业",[1]!s_info_industry_gics(W4228,2),IF($Y$3="wind三级行业",[1]!s_info_industry_gics(W4228,3),IF($Y$3="wind四级行业",[1]!s_info_industry_gics(W4228,4),IF($Y$3="证监会门类行业",[1]!s_info_industry_csrc12_n(W4228,公司分析!D$5,1),""))))))))</f>
        <v>物流</v>
      </c>
      <c r="Z4228" s="302" t="str">
        <f ca="1">IF(Y4228=行业比较!$E$6,ROW(),"")</f>
        <v/>
      </c>
    </row>
    <row r="4229" spans="22:26">
      <c r="V4229" s="260">
        <f t="shared" ref="V4229:V4292" ca="1" si="74">IF(Z4229="",0,RANK(Z4229,Z:Z,1))</f>
        <v>0</v>
      </c>
      <c r="W4229" s="348" t="str">
        <f>IF(板块成分!B4231="","",板块成分!B4231)</f>
        <v>603536.SH</v>
      </c>
      <c r="X4229" s="276" t="str">
        <f>[1]!S_Info_Name(W4229)</f>
        <v>惠发食品</v>
      </c>
      <c r="Y4229" s="276" t="str">
        <f ca="1">IF($Y$3="申万一级行业",[1]!s_info_industry_sw_2021(W4229,公司分析!D$5,1),IF($Y$3="申万二级行业",[1]!s_info_industry_sw_2021(W4229,公司分析!D$5,2),IF($Y$3="申万三级行业",[1]!s_info_industry_sw_2021(W4229,公司分析!D$5,3),IF($Y$3="wind一级行业",[1]!s_info_industry_gics(W4229,1),IF($Y$3="wind二级行业",[1]!s_info_industry_gics(W4229,2),IF($Y$3="wind三级行业",[1]!s_info_industry_gics(W4229,3),IF($Y$3="wind四级行业",[1]!s_info_industry_gics(W4229,4),IF($Y$3="证监会门类行业",[1]!s_info_industry_csrc12_n(W4229,公司分析!D$5,1),""))))))))</f>
        <v>食品加工</v>
      </c>
      <c r="Z4229" s="302" t="str">
        <f ca="1">IF(Y4229=行业比较!$E$6,ROW(),"")</f>
        <v/>
      </c>
    </row>
    <row r="4230" spans="22:26">
      <c r="V4230" s="260">
        <f t="shared" ca="1" si="74"/>
        <v>0</v>
      </c>
      <c r="W4230" s="348" t="str">
        <f>IF(板块成分!B4232="","",板块成分!B4232)</f>
        <v>603538.SH</v>
      </c>
      <c r="X4230" s="276" t="str">
        <f>[1]!S_Info_Name(W4230)</f>
        <v>美诺华</v>
      </c>
      <c r="Y4230" s="276" t="str">
        <f ca="1">IF($Y$3="申万一级行业",[1]!s_info_industry_sw_2021(W4230,公司分析!D$5,1),IF($Y$3="申万二级行业",[1]!s_info_industry_sw_2021(W4230,公司分析!D$5,2),IF($Y$3="申万三级行业",[1]!s_info_industry_sw_2021(W4230,公司分析!D$5,3),IF($Y$3="wind一级行业",[1]!s_info_industry_gics(W4230,1),IF($Y$3="wind二级行业",[1]!s_info_industry_gics(W4230,2),IF($Y$3="wind三级行业",[1]!s_info_industry_gics(W4230,3),IF($Y$3="wind四级行业",[1]!s_info_industry_gics(W4230,4),IF($Y$3="证监会门类行业",[1]!s_info_industry_csrc12_n(W4230,公司分析!D$5,1),""))))))))</f>
        <v>化学制药</v>
      </c>
      <c r="Z4230" s="302" t="str">
        <f ca="1">IF(Y4230=行业比较!$E$6,ROW(),"")</f>
        <v/>
      </c>
    </row>
    <row r="4231" spans="22:26">
      <c r="V4231" s="260">
        <f t="shared" ca="1" si="74"/>
        <v>0</v>
      </c>
      <c r="W4231" s="348" t="str">
        <f>IF(板块成分!B4233="","",板块成分!B4233)</f>
        <v>603551.SH</v>
      </c>
      <c r="X4231" s="276" t="str">
        <f>[1]!S_Info_Name(W4231)</f>
        <v>奥普科技</v>
      </c>
      <c r="Y4231" s="276" t="str">
        <f ca="1">IF($Y$3="申万一级行业",[1]!s_info_industry_sw_2021(W4231,公司分析!D$5,1),IF($Y$3="申万二级行业",[1]!s_info_industry_sw_2021(W4231,公司分析!D$5,2),IF($Y$3="申万三级行业",[1]!s_info_industry_sw_2021(W4231,公司分析!D$5,3),IF($Y$3="wind一级行业",[1]!s_info_industry_gics(W4231,1),IF($Y$3="wind二级行业",[1]!s_info_industry_gics(W4231,2),IF($Y$3="wind三级行业",[1]!s_info_industry_gics(W4231,3),IF($Y$3="wind四级行业",[1]!s_info_industry_gics(W4231,4),IF($Y$3="证监会门类行业",[1]!s_info_industry_csrc12_n(W4231,公司分析!D$5,1),""))))))))</f>
        <v>厨卫电器</v>
      </c>
      <c r="Z4231" s="302" t="str">
        <f ca="1">IF(Y4231=行业比较!$E$6,ROW(),"")</f>
        <v/>
      </c>
    </row>
    <row r="4232" spans="22:26">
      <c r="V4232" s="260">
        <f t="shared" ca="1" si="74"/>
        <v>0</v>
      </c>
      <c r="W4232" s="348" t="str">
        <f>IF(板块成分!B4234="","",板块成分!B4234)</f>
        <v>603556.SH</v>
      </c>
      <c r="X4232" s="276" t="str">
        <f>[1]!S_Info_Name(W4232)</f>
        <v>海兴电力</v>
      </c>
      <c r="Y4232" s="276" t="str">
        <f ca="1">IF($Y$3="申万一级行业",[1]!s_info_industry_sw_2021(W4232,公司分析!D$5,1),IF($Y$3="申万二级行业",[1]!s_info_industry_sw_2021(W4232,公司分析!D$5,2),IF($Y$3="申万三级行业",[1]!s_info_industry_sw_2021(W4232,公司分析!D$5,3),IF($Y$3="wind一级行业",[1]!s_info_industry_gics(W4232,1),IF($Y$3="wind二级行业",[1]!s_info_industry_gics(W4232,2),IF($Y$3="wind三级行业",[1]!s_info_industry_gics(W4232,3),IF($Y$3="wind四级行业",[1]!s_info_industry_gics(W4232,4),IF($Y$3="证监会门类行业",[1]!s_info_industry_csrc12_n(W4232,公司分析!D$5,1),""))))))))</f>
        <v>电网设备</v>
      </c>
      <c r="Z4232" s="302" t="str">
        <f ca="1">IF(Y4232=行业比较!$E$6,ROW(),"")</f>
        <v/>
      </c>
    </row>
    <row r="4233" spans="22:26">
      <c r="V4233" s="260">
        <f t="shared" ca="1" si="74"/>
        <v>0</v>
      </c>
      <c r="W4233" s="348" t="str">
        <f>IF(板块成分!B4235="","",板块成分!B4235)</f>
        <v>603557.SH</v>
      </c>
      <c r="X4233" s="276" t="str">
        <f>[1]!S_Info_Name(W4233)</f>
        <v>ST起步</v>
      </c>
      <c r="Y4233" s="276" t="str">
        <f ca="1">IF($Y$3="申万一级行业",[1]!s_info_industry_sw_2021(W4233,公司分析!D$5,1),IF($Y$3="申万二级行业",[1]!s_info_industry_sw_2021(W4233,公司分析!D$5,2),IF($Y$3="申万三级行业",[1]!s_info_industry_sw_2021(W4233,公司分析!D$5,3),IF($Y$3="wind一级行业",[1]!s_info_industry_gics(W4233,1),IF($Y$3="wind二级行业",[1]!s_info_industry_gics(W4233,2),IF($Y$3="wind三级行业",[1]!s_info_industry_gics(W4233,3),IF($Y$3="wind四级行业",[1]!s_info_industry_gics(W4233,4),IF($Y$3="证监会门类行业",[1]!s_info_industry_csrc12_n(W4233,公司分析!D$5,1),""))))))))</f>
        <v>服装家纺</v>
      </c>
      <c r="Z4233" s="302" t="str">
        <f ca="1">IF(Y4233=行业比较!$E$6,ROW(),"")</f>
        <v/>
      </c>
    </row>
    <row r="4234" spans="22:26">
      <c r="V4234" s="260">
        <f t="shared" ca="1" si="74"/>
        <v>0</v>
      </c>
      <c r="W4234" s="348" t="str">
        <f>IF(板块成分!B4236="","",板块成分!B4236)</f>
        <v>603558.SH</v>
      </c>
      <c r="X4234" s="276" t="str">
        <f>[1]!S_Info_Name(W4234)</f>
        <v>健盛集团</v>
      </c>
      <c r="Y4234" s="276" t="str">
        <f ca="1">IF($Y$3="申万一级行业",[1]!s_info_industry_sw_2021(W4234,公司分析!D$5,1),IF($Y$3="申万二级行业",[1]!s_info_industry_sw_2021(W4234,公司分析!D$5,2),IF($Y$3="申万三级行业",[1]!s_info_industry_sw_2021(W4234,公司分析!D$5,3),IF($Y$3="wind一级行业",[1]!s_info_industry_gics(W4234,1),IF($Y$3="wind二级行业",[1]!s_info_industry_gics(W4234,2),IF($Y$3="wind三级行业",[1]!s_info_industry_gics(W4234,3),IF($Y$3="wind四级行业",[1]!s_info_industry_gics(W4234,4),IF($Y$3="证监会门类行业",[1]!s_info_industry_csrc12_n(W4234,公司分析!D$5,1),""))))))))</f>
        <v>纺织制造</v>
      </c>
      <c r="Z4234" s="302" t="str">
        <f ca="1">IF(Y4234=行业比较!$E$6,ROW(),"")</f>
        <v/>
      </c>
    </row>
    <row r="4235" spans="22:26">
      <c r="V4235" s="260">
        <f t="shared" ca="1" si="74"/>
        <v>0</v>
      </c>
      <c r="W4235" s="348" t="str">
        <f>IF(板块成分!B4237="","",板块成分!B4237)</f>
        <v>603559.SH</v>
      </c>
      <c r="X4235" s="276" t="str">
        <f>[1]!S_Info_Name(W4235)</f>
        <v>ST通脉</v>
      </c>
      <c r="Y4235" s="276" t="str">
        <f ca="1">IF($Y$3="申万一级行业",[1]!s_info_industry_sw_2021(W4235,公司分析!D$5,1),IF($Y$3="申万二级行业",[1]!s_info_industry_sw_2021(W4235,公司分析!D$5,2),IF($Y$3="申万三级行业",[1]!s_info_industry_sw_2021(W4235,公司分析!D$5,3),IF($Y$3="wind一级行业",[1]!s_info_industry_gics(W4235,1),IF($Y$3="wind二级行业",[1]!s_info_industry_gics(W4235,2),IF($Y$3="wind三级行业",[1]!s_info_industry_gics(W4235,3),IF($Y$3="wind四级行业",[1]!s_info_industry_gics(W4235,4),IF($Y$3="证监会门类行业",[1]!s_info_industry_csrc12_n(W4235,公司分析!D$5,1),""))))))))</f>
        <v>通信服务</v>
      </c>
      <c r="Z4235" s="302" t="str">
        <f ca="1">IF(Y4235=行业比较!$E$6,ROW(),"")</f>
        <v/>
      </c>
    </row>
    <row r="4236" spans="22:26">
      <c r="V4236" s="260">
        <f t="shared" ca="1" si="74"/>
        <v>0</v>
      </c>
      <c r="W4236" s="348" t="str">
        <f>IF(板块成分!B4238="","",板块成分!B4238)</f>
        <v>603565.SH</v>
      </c>
      <c r="X4236" s="276" t="str">
        <f>[1]!S_Info_Name(W4236)</f>
        <v>中谷物流</v>
      </c>
      <c r="Y4236" s="276" t="str">
        <f ca="1">IF($Y$3="申万一级行业",[1]!s_info_industry_sw_2021(W4236,公司分析!D$5,1),IF($Y$3="申万二级行业",[1]!s_info_industry_sw_2021(W4236,公司分析!D$5,2),IF($Y$3="申万三级行业",[1]!s_info_industry_sw_2021(W4236,公司分析!D$5,3),IF($Y$3="wind一级行业",[1]!s_info_industry_gics(W4236,1),IF($Y$3="wind二级行业",[1]!s_info_industry_gics(W4236,2),IF($Y$3="wind三级行业",[1]!s_info_industry_gics(W4236,3),IF($Y$3="wind四级行业",[1]!s_info_industry_gics(W4236,4),IF($Y$3="证监会门类行业",[1]!s_info_industry_csrc12_n(W4236,公司分析!D$5,1),""))))))))</f>
        <v>航运港口</v>
      </c>
      <c r="Z4236" s="302" t="str">
        <f ca="1">IF(Y4236=行业比较!$E$6,ROW(),"")</f>
        <v/>
      </c>
    </row>
    <row r="4237" spans="22:26">
      <c r="V4237" s="260">
        <f t="shared" ca="1" si="74"/>
        <v>0</v>
      </c>
      <c r="W4237" s="348" t="str">
        <f>IF(板块成分!B4239="","",板块成分!B4239)</f>
        <v>603566.SH</v>
      </c>
      <c r="X4237" s="276" t="str">
        <f>[1]!S_Info_Name(W4237)</f>
        <v>普莱柯</v>
      </c>
      <c r="Y4237" s="276" t="str">
        <f ca="1">IF($Y$3="申万一级行业",[1]!s_info_industry_sw_2021(W4237,公司分析!D$5,1),IF($Y$3="申万二级行业",[1]!s_info_industry_sw_2021(W4237,公司分析!D$5,2),IF($Y$3="申万三级行业",[1]!s_info_industry_sw_2021(W4237,公司分析!D$5,3),IF($Y$3="wind一级行业",[1]!s_info_industry_gics(W4237,1),IF($Y$3="wind二级行业",[1]!s_info_industry_gics(W4237,2),IF($Y$3="wind三级行业",[1]!s_info_industry_gics(W4237,3),IF($Y$3="wind四级行业",[1]!s_info_industry_gics(W4237,4),IF($Y$3="证监会门类行业",[1]!s_info_industry_csrc12_n(W4237,公司分析!D$5,1),""))))))))</f>
        <v>动物保健Ⅱ</v>
      </c>
      <c r="Z4237" s="302" t="str">
        <f ca="1">IF(Y4237=行业比较!$E$6,ROW(),"")</f>
        <v/>
      </c>
    </row>
    <row r="4238" spans="22:26">
      <c r="V4238" s="260">
        <f t="shared" ca="1" si="74"/>
        <v>0</v>
      </c>
      <c r="W4238" s="348" t="str">
        <f>IF(板块成分!B4240="","",板块成分!B4240)</f>
        <v>603567.SH</v>
      </c>
      <c r="X4238" s="276" t="str">
        <f>[1]!S_Info_Name(W4238)</f>
        <v>珍宝岛</v>
      </c>
      <c r="Y4238" s="276" t="str">
        <f ca="1">IF($Y$3="申万一级行业",[1]!s_info_industry_sw_2021(W4238,公司分析!D$5,1),IF($Y$3="申万二级行业",[1]!s_info_industry_sw_2021(W4238,公司分析!D$5,2),IF($Y$3="申万三级行业",[1]!s_info_industry_sw_2021(W4238,公司分析!D$5,3),IF($Y$3="wind一级行业",[1]!s_info_industry_gics(W4238,1),IF($Y$3="wind二级行业",[1]!s_info_industry_gics(W4238,2),IF($Y$3="wind三级行业",[1]!s_info_industry_gics(W4238,3),IF($Y$3="wind四级行业",[1]!s_info_industry_gics(W4238,4),IF($Y$3="证监会门类行业",[1]!s_info_industry_csrc12_n(W4238,公司分析!D$5,1),""))))))))</f>
        <v>中药Ⅱ</v>
      </c>
      <c r="Z4238" s="302" t="str">
        <f ca="1">IF(Y4238=行业比较!$E$6,ROW(),"")</f>
        <v/>
      </c>
    </row>
    <row r="4239" spans="22:26">
      <c r="V4239" s="260">
        <f t="shared" ca="1" si="74"/>
        <v>0</v>
      </c>
      <c r="W4239" s="348" t="str">
        <f>IF(板块成分!B4241="","",板块成分!B4241)</f>
        <v>603568.SH</v>
      </c>
      <c r="X4239" s="276" t="str">
        <f>[1]!S_Info_Name(W4239)</f>
        <v>伟明环保</v>
      </c>
      <c r="Y4239" s="276" t="str">
        <f ca="1">IF($Y$3="申万一级行业",[1]!s_info_industry_sw_2021(W4239,公司分析!D$5,1),IF($Y$3="申万二级行业",[1]!s_info_industry_sw_2021(W4239,公司分析!D$5,2),IF($Y$3="申万三级行业",[1]!s_info_industry_sw_2021(W4239,公司分析!D$5,3),IF($Y$3="wind一级行业",[1]!s_info_industry_gics(W4239,1),IF($Y$3="wind二级行业",[1]!s_info_industry_gics(W4239,2),IF($Y$3="wind三级行业",[1]!s_info_industry_gics(W4239,3),IF($Y$3="wind四级行业",[1]!s_info_industry_gics(W4239,4),IF($Y$3="证监会门类行业",[1]!s_info_industry_csrc12_n(W4239,公司分析!D$5,1),""))))))))</f>
        <v>环境治理</v>
      </c>
      <c r="Z4239" s="302" t="str">
        <f ca="1">IF(Y4239=行业比较!$E$6,ROW(),"")</f>
        <v/>
      </c>
    </row>
    <row r="4240" spans="22:26">
      <c r="V4240" s="260">
        <f t="shared" ca="1" si="74"/>
        <v>0</v>
      </c>
      <c r="W4240" s="348" t="str">
        <f>IF(板块成分!B4242="","",板块成分!B4242)</f>
        <v>603569.SH</v>
      </c>
      <c r="X4240" s="276" t="str">
        <f>[1]!S_Info_Name(W4240)</f>
        <v>长久物流</v>
      </c>
      <c r="Y4240" s="276" t="str">
        <f ca="1">IF($Y$3="申万一级行业",[1]!s_info_industry_sw_2021(W4240,公司分析!D$5,1),IF($Y$3="申万二级行业",[1]!s_info_industry_sw_2021(W4240,公司分析!D$5,2),IF($Y$3="申万三级行业",[1]!s_info_industry_sw_2021(W4240,公司分析!D$5,3),IF($Y$3="wind一级行业",[1]!s_info_industry_gics(W4240,1),IF($Y$3="wind二级行业",[1]!s_info_industry_gics(W4240,2),IF($Y$3="wind三级行业",[1]!s_info_industry_gics(W4240,3),IF($Y$3="wind四级行业",[1]!s_info_industry_gics(W4240,4),IF($Y$3="证监会门类行业",[1]!s_info_industry_csrc12_n(W4240,公司分析!D$5,1),""))))))))</f>
        <v>物流</v>
      </c>
      <c r="Z4240" s="302" t="str">
        <f ca="1">IF(Y4240=行业比较!$E$6,ROW(),"")</f>
        <v/>
      </c>
    </row>
    <row r="4241" spans="22:26">
      <c r="V4241" s="260">
        <f t="shared" ca="1" si="74"/>
        <v>0</v>
      </c>
      <c r="W4241" s="348" t="str">
        <f>IF(板块成分!B4243="","",板块成分!B4243)</f>
        <v>603577.SH</v>
      </c>
      <c r="X4241" s="276" t="str">
        <f>[1]!S_Info_Name(W4241)</f>
        <v>汇金通</v>
      </c>
      <c r="Y4241" s="276" t="str">
        <f ca="1">IF($Y$3="申万一级行业",[1]!s_info_industry_sw_2021(W4241,公司分析!D$5,1),IF($Y$3="申万二级行业",[1]!s_info_industry_sw_2021(W4241,公司分析!D$5,2),IF($Y$3="申万三级行业",[1]!s_info_industry_sw_2021(W4241,公司分析!D$5,3),IF($Y$3="wind一级行业",[1]!s_info_industry_gics(W4241,1),IF($Y$3="wind二级行业",[1]!s_info_industry_gics(W4241,2),IF($Y$3="wind三级行业",[1]!s_info_industry_gics(W4241,3),IF($Y$3="wind四级行业",[1]!s_info_industry_gics(W4241,4),IF($Y$3="证监会门类行业",[1]!s_info_industry_csrc12_n(W4241,公司分析!D$5,1),""))))))))</f>
        <v>电网设备</v>
      </c>
      <c r="Z4241" s="302" t="str">
        <f ca="1">IF(Y4241=行业比较!$E$6,ROW(),"")</f>
        <v/>
      </c>
    </row>
    <row r="4242" spans="22:26">
      <c r="V4242" s="260">
        <f t="shared" ca="1" si="74"/>
        <v>0</v>
      </c>
      <c r="W4242" s="348" t="str">
        <f>IF(板块成分!B4244="","",板块成分!B4244)</f>
        <v>603578.SH</v>
      </c>
      <c r="X4242" s="276" t="str">
        <f>[1]!S_Info_Name(W4242)</f>
        <v>三星新材</v>
      </c>
      <c r="Y4242" s="276" t="str">
        <f ca="1">IF($Y$3="申万一级行业",[1]!s_info_industry_sw_2021(W4242,公司分析!D$5,1),IF($Y$3="申万二级行业",[1]!s_info_industry_sw_2021(W4242,公司分析!D$5,2),IF($Y$3="申万三级行业",[1]!s_info_industry_sw_2021(W4242,公司分析!D$5,3),IF($Y$3="wind一级行业",[1]!s_info_industry_gics(W4242,1),IF($Y$3="wind二级行业",[1]!s_info_industry_gics(W4242,2),IF($Y$3="wind三级行业",[1]!s_info_industry_gics(W4242,3),IF($Y$3="wind四级行业",[1]!s_info_industry_gics(W4242,4),IF($Y$3="证监会门类行业",[1]!s_info_industry_csrc12_n(W4242,公司分析!D$5,1),""))))))))</f>
        <v>家电零部件Ⅱ</v>
      </c>
      <c r="Z4242" s="302" t="str">
        <f ca="1">IF(Y4242=行业比较!$E$6,ROW(),"")</f>
        <v/>
      </c>
    </row>
    <row r="4243" spans="22:26">
      <c r="V4243" s="260">
        <f t="shared" ca="1" si="74"/>
        <v>0</v>
      </c>
      <c r="W4243" s="348" t="str">
        <f>IF(板块成分!B4245="","",板块成分!B4245)</f>
        <v>603579.SH</v>
      </c>
      <c r="X4243" s="276" t="str">
        <f>[1]!S_Info_Name(W4243)</f>
        <v>荣泰健康</v>
      </c>
      <c r="Y4243" s="276" t="str">
        <f ca="1">IF($Y$3="申万一级行业",[1]!s_info_industry_sw_2021(W4243,公司分析!D$5,1),IF($Y$3="申万二级行业",[1]!s_info_industry_sw_2021(W4243,公司分析!D$5,2),IF($Y$3="申万三级行业",[1]!s_info_industry_sw_2021(W4243,公司分析!D$5,3),IF($Y$3="wind一级行业",[1]!s_info_industry_gics(W4243,1),IF($Y$3="wind二级行业",[1]!s_info_industry_gics(W4243,2),IF($Y$3="wind三级行业",[1]!s_info_industry_gics(W4243,3),IF($Y$3="wind四级行业",[1]!s_info_industry_gics(W4243,4),IF($Y$3="证监会门类行业",[1]!s_info_industry_csrc12_n(W4243,公司分析!D$5,1),""))))))))</f>
        <v>其他家电Ⅱ</v>
      </c>
      <c r="Z4243" s="302" t="str">
        <f ca="1">IF(Y4243=行业比较!$E$6,ROW(),"")</f>
        <v/>
      </c>
    </row>
    <row r="4244" spans="22:26">
      <c r="V4244" s="260">
        <f t="shared" ca="1" si="74"/>
        <v>0</v>
      </c>
      <c r="W4244" s="348" t="str">
        <f>IF(板块成分!B4246="","",板块成分!B4246)</f>
        <v>603580.SH</v>
      </c>
      <c r="X4244" s="276" t="str">
        <f>[1]!S_Info_Name(W4244)</f>
        <v>*ST艾艾</v>
      </c>
      <c r="Y4244" s="276" t="str">
        <f ca="1">IF($Y$3="申万一级行业",[1]!s_info_industry_sw_2021(W4244,公司分析!D$5,1),IF($Y$3="申万二级行业",[1]!s_info_industry_sw_2021(W4244,公司分析!D$5,2),IF($Y$3="申万三级行业",[1]!s_info_industry_sw_2021(W4244,公司分析!D$5,3),IF($Y$3="wind一级行业",[1]!s_info_industry_gics(W4244,1),IF($Y$3="wind二级行业",[1]!s_info_industry_gics(W4244,2),IF($Y$3="wind三级行业",[1]!s_info_industry_gics(W4244,3),IF($Y$3="wind四级行业",[1]!s_info_industry_gics(W4244,4),IF($Y$3="证监会门类行业",[1]!s_info_industry_csrc12_n(W4244,公司分析!D$5,1),""))))))))</f>
        <v>塑料</v>
      </c>
      <c r="Z4244" s="302" t="str">
        <f ca="1">IF(Y4244=行业比较!$E$6,ROW(),"")</f>
        <v/>
      </c>
    </row>
    <row r="4245" spans="22:26">
      <c r="V4245" s="260">
        <f t="shared" ca="1" si="74"/>
        <v>0</v>
      </c>
      <c r="W4245" s="348" t="str">
        <f>IF(板块成分!B4247="","",板块成分!B4247)</f>
        <v>603583.SH</v>
      </c>
      <c r="X4245" s="276" t="str">
        <f>[1]!S_Info_Name(W4245)</f>
        <v>捷昌驱动</v>
      </c>
      <c r="Y4245" s="276" t="str">
        <f ca="1">IF($Y$3="申万一级行业",[1]!s_info_industry_sw_2021(W4245,公司分析!D$5,1),IF($Y$3="申万二级行业",[1]!s_info_industry_sw_2021(W4245,公司分析!D$5,2),IF($Y$3="申万三级行业",[1]!s_info_industry_sw_2021(W4245,公司分析!D$5,3),IF($Y$3="wind一级行业",[1]!s_info_industry_gics(W4245,1),IF($Y$3="wind二级行业",[1]!s_info_industry_gics(W4245,2),IF($Y$3="wind三级行业",[1]!s_info_industry_gics(W4245,3),IF($Y$3="wind四级行业",[1]!s_info_industry_gics(W4245,4),IF($Y$3="证监会门类行业",[1]!s_info_industry_csrc12_n(W4245,公司分析!D$5,1),""))))))))</f>
        <v>自动化设备</v>
      </c>
      <c r="Z4245" s="302" t="str">
        <f ca="1">IF(Y4245=行业比较!$E$6,ROW(),"")</f>
        <v/>
      </c>
    </row>
    <row r="4246" spans="22:26">
      <c r="V4246" s="260">
        <f t="shared" ca="1" si="74"/>
        <v>0</v>
      </c>
      <c r="W4246" s="348" t="str">
        <f>IF(板块成分!B4248="","",板块成分!B4248)</f>
        <v>603585.SH</v>
      </c>
      <c r="X4246" s="276" t="str">
        <f>[1]!S_Info_Name(W4246)</f>
        <v>苏利股份</v>
      </c>
      <c r="Y4246" s="276" t="str">
        <f ca="1">IF($Y$3="申万一级行业",[1]!s_info_industry_sw_2021(W4246,公司分析!D$5,1),IF($Y$3="申万二级行业",[1]!s_info_industry_sw_2021(W4246,公司分析!D$5,2),IF($Y$3="申万三级行业",[1]!s_info_industry_sw_2021(W4246,公司分析!D$5,3),IF($Y$3="wind一级行业",[1]!s_info_industry_gics(W4246,1),IF($Y$3="wind二级行业",[1]!s_info_industry_gics(W4246,2),IF($Y$3="wind三级行业",[1]!s_info_industry_gics(W4246,3),IF($Y$3="wind四级行业",[1]!s_info_industry_gics(W4246,4),IF($Y$3="证监会门类行业",[1]!s_info_industry_csrc12_n(W4246,公司分析!D$5,1),""))))))))</f>
        <v>农化制品</v>
      </c>
      <c r="Z4246" s="302" t="str">
        <f ca="1">IF(Y4246=行业比较!$E$6,ROW(),"")</f>
        <v/>
      </c>
    </row>
    <row r="4247" spans="22:26">
      <c r="V4247" s="260">
        <f t="shared" ca="1" si="74"/>
        <v>0</v>
      </c>
      <c r="W4247" s="348" t="str">
        <f>IF(板块成分!B4249="","",板块成分!B4249)</f>
        <v>603586.SH</v>
      </c>
      <c r="X4247" s="276" t="str">
        <f>[1]!S_Info_Name(W4247)</f>
        <v>金麒麟</v>
      </c>
      <c r="Y4247" s="276" t="str">
        <f ca="1">IF($Y$3="申万一级行业",[1]!s_info_industry_sw_2021(W4247,公司分析!D$5,1),IF($Y$3="申万二级行业",[1]!s_info_industry_sw_2021(W4247,公司分析!D$5,2),IF($Y$3="申万三级行业",[1]!s_info_industry_sw_2021(W4247,公司分析!D$5,3),IF($Y$3="wind一级行业",[1]!s_info_industry_gics(W4247,1),IF($Y$3="wind二级行业",[1]!s_info_industry_gics(W4247,2),IF($Y$3="wind三级行业",[1]!s_info_industry_gics(W4247,3),IF($Y$3="wind四级行业",[1]!s_info_industry_gics(W4247,4),IF($Y$3="证监会门类行业",[1]!s_info_industry_csrc12_n(W4247,公司分析!D$5,1),""))))))))</f>
        <v>汽车零部件</v>
      </c>
      <c r="Z4247" s="302" t="str">
        <f ca="1">IF(Y4247=行业比较!$E$6,ROW(),"")</f>
        <v/>
      </c>
    </row>
    <row r="4248" spans="22:26">
      <c r="V4248" s="260">
        <f t="shared" ca="1" si="74"/>
        <v>0</v>
      </c>
      <c r="W4248" s="348" t="str">
        <f>IF(板块成分!B4250="","",板块成分!B4250)</f>
        <v>603587.SH</v>
      </c>
      <c r="X4248" s="276" t="str">
        <f>[1]!S_Info_Name(W4248)</f>
        <v>地素时尚</v>
      </c>
      <c r="Y4248" s="276" t="str">
        <f ca="1">IF($Y$3="申万一级行业",[1]!s_info_industry_sw_2021(W4248,公司分析!D$5,1),IF($Y$3="申万二级行业",[1]!s_info_industry_sw_2021(W4248,公司分析!D$5,2),IF($Y$3="申万三级行业",[1]!s_info_industry_sw_2021(W4248,公司分析!D$5,3),IF($Y$3="wind一级行业",[1]!s_info_industry_gics(W4248,1),IF($Y$3="wind二级行业",[1]!s_info_industry_gics(W4248,2),IF($Y$3="wind三级行业",[1]!s_info_industry_gics(W4248,3),IF($Y$3="wind四级行业",[1]!s_info_industry_gics(W4248,4),IF($Y$3="证监会门类行业",[1]!s_info_industry_csrc12_n(W4248,公司分析!D$5,1),""))))))))</f>
        <v>服装家纺</v>
      </c>
      <c r="Z4248" s="302" t="str">
        <f ca="1">IF(Y4248=行业比较!$E$6,ROW(),"")</f>
        <v/>
      </c>
    </row>
    <row r="4249" spans="22:26">
      <c r="V4249" s="260">
        <f t="shared" ca="1" si="74"/>
        <v>0</v>
      </c>
      <c r="W4249" s="348" t="str">
        <f>IF(板块成分!B4251="","",板块成分!B4251)</f>
        <v>603588.SH</v>
      </c>
      <c r="X4249" s="276" t="str">
        <f>[1]!S_Info_Name(W4249)</f>
        <v>高能环境</v>
      </c>
      <c r="Y4249" s="276" t="str">
        <f ca="1">IF($Y$3="申万一级行业",[1]!s_info_industry_sw_2021(W4249,公司分析!D$5,1),IF($Y$3="申万二级行业",[1]!s_info_industry_sw_2021(W4249,公司分析!D$5,2),IF($Y$3="申万三级行业",[1]!s_info_industry_sw_2021(W4249,公司分析!D$5,3),IF($Y$3="wind一级行业",[1]!s_info_industry_gics(W4249,1),IF($Y$3="wind二级行业",[1]!s_info_industry_gics(W4249,2),IF($Y$3="wind三级行业",[1]!s_info_industry_gics(W4249,3),IF($Y$3="wind四级行业",[1]!s_info_industry_gics(W4249,4),IF($Y$3="证监会门类行业",[1]!s_info_industry_csrc12_n(W4249,公司分析!D$5,1),""))))))))</f>
        <v>环境治理</v>
      </c>
      <c r="Z4249" s="302" t="str">
        <f ca="1">IF(Y4249=行业比较!$E$6,ROW(),"")</f>
        <v/>
      </c>
    </row>
    <row r="4250" spans="22:26">
      <c r="V4250" s="260">
        <f t="shared" ca="1" si="74"/>
        <v>0</v>
      </c>
      <c r="W4250" s="348" t="str">
        <f>IF(板块成分!B4252="","",板块成分!B4252)</f>
        <v>603589.SH</v>
      </c>
      <c r="X4250" s="276" t="str">
        <f>[1]!S_Info_Name(W4250)</f>
        <v>口子窖</v>
      </c>
      <c r="Y4250" s="276" t="str">
        <f ca="1">IF($Y$3="申万一级行业",[1]!s_info_industry_sw_2021(W4250,公司分析!D$5,1),IF($Y$3="申万二级行业",[1]!s_info_industry_sw_2021(W4250,公司分析!D$5,2),IF($Y$3="申万三级行业",[1]!s_info_industry_sw_2021(W4250,公司分析!D$5,3),IF($Y$3="wind一级行业",[1]!s_info_industry_gics(W4250,1),IF($Y$3="wind二级行业",[1]!s_info_industry_gics(W4250,2),IF($Y$3="wind三级行业",[1]!s_info_industry_gics(W4250,3),IF($Y$3="wind四级行业",[1]!s_info_industry_gics(W4250,4),IF($Y$3="证监会门类行业",[1]!s_info_industry_csrc12_n(W4250,公司分析!D$5,1),""))))))))</f>
        <v>白酒Ⅱ</v>
      </c>
      <c r="Z4250" s="302" t="str">
        <f ca="1">IF(Y4250=行业比较!$E$6,ROW(),"")</f>
        <v/>
      </c>
    </row>
    <row r="4251" spans="22:26">
      <c r="V4251" s="260">
        <f t="shared" ca="1" si="74"/>
        <v>0</v>
      </c>
      <c r="W4251" s="348" t="str">
        <f>IF(板块成分!B4253="","",板块成分!B4253)</f>
        <v>603590.SH</v>
      </c>
      <c r="X4251" s="276" t="str">
        <f>[1]!S_Info_Name(W4251)</f>
        <v>康辰药业</v>
      </c>
      <c r="Y4251" s="276" t="str">
        <f ca="1">IF($Y$3="申万一级行业",[1]!s_info_industry_sw_2021(W4251,公司分析!D$5,1),IF($Y$3="申万二级行业",[1]!s_info_industry_sw_2021(W4251,公司分析!D$5,2),IF($Y$3="申万三级行业",[1]!s_info_industry_sw_2021(W4251,公司分析!D$5,3),IF($Y$3="wind一级行业",[1]!s_info_industry_gics(W4251,1),IF($Y$3="wind二级行业",[1]!s_info_industry_gics(W4251,2),IF($Y$3="wind三级行业",[1]!s_info_industry_gics(W4251,3),IF($Y$3="wind四级行业",[1]!s_info_industry_gics(W4251,4),IF($Y$3="证监会门类行业",[1]!s_info_industry_csrc12_n(W4251,公司分析!D$5,1),""))))))))</f>
        <v>生物制品</v>
      </c>
      <c r="Z4251" s="302" t="str">
        <f ca="1">IF(Y4251=行业比较!$E$6,ROW(),"")</f>
        <v/>
      </c>
    </row>
    <row r="4252" spans="22:26">
      <c r="V4252" s="260">
        <f t="shared" ca="1" si="74"/>
        <v>0</v>
      </c>
      <c r="W4252" s="348" t="str">
        <f>IF(板块成分!B4254="","",板块成分!B4254)</f>
        <v>603595.SH</v>
      </c>
      <c r="X4252" s="276" t="str">
        <f>[1]!S_Info_Name(W4252)</f>
        <v>ST东尼</v>
      </c>
      <c r="Y4252" s="276" t="str">
        <f ca="1">IF($Y$3="申万一级行业",[1]!s_info_industry_sw_2021(W4252,公司分析!D$5,1),IF($Y$3="申万二级行业",[1]!s_info_industry_sw_2021(W4252,公司分析!D$5,2),IF($Y$3="申万三级行业",[1]!s_info_industry_sw_2021(W4252,公司分析!D$5,3),IF($Y$3="wind一级行业",[1]!s_info_industry_gics(W4252,1),IF($Y$3="wind二级行业",[1]!s_info_industry_gics(W4252,2),IF($Y$3="wind三级行业",[1]!s_info_industry_gics(W4252,3),IF($Y$3="wind四级行业",[1]!s_info_industry_gics(W4252,4),IF($Y$3="证监会门类行业",[1]!s_info_industry_csrc12_n(W4252,公司分析!D$5,1),""))))))))</f>
        <v>消费电子</v>
      </c>
      <c r="Z4252" s="302" t="str">
        <f ca="1">IF(Y4252=行业比较!$E$6,ROW(),"")</f>
        <v/>
      </c>
    </row>
    <row r="4253" spans="22:26">
      <c r="V4253" s="260">
        <f t="shared" ca="1" si="74"/>
        <v>0</v>
      </c>
      <c r="W4253" s="348" t="str">
        <f>IF(板块成分!B4255="","",板块成分!B4255)</f>
        <v>603596.SH</v>
      </c>
      <c r="X4253" s="276" t="str">
        <f>[1]!S_Info_Name(W4253)</f>
        <v>伯特利</v>
      </c>
      <c r="Y4253" s="276" t="str">
        <f ca="1">IF($Y$3="申万一级行业",[1]!s_info_industry_sw_2021(W4253,公司分析!D$5,1),IF($Y$3="申万二级行业",[1]!s_info_industry_sw_2021(W4253,公司分析!D$5,2),IF($Y$3="申万三级行业",[1]!s_info_industry_sw_2021(W4253,公司分析!D$5,3),IF($Y$3="wind一级行业",[1]!s_info_industry_gics(W4253,1),IF($Y$3="wind二级行业",[1]!s_info_industry_gics(W4253,2),IF($Y$3="wind三级行业",[1]!s_info_industry_gics(W4253,3),IF($Y$3="wind四级行业",[1]!s_info_industry_gics(W4253,4),IF($Y$3="证监会门类行业",[1]!s_info_industry_csrc12_n(W4253,公司分析!D$5,1),""))))))))</f>
        <v>汽车零部件</v>
      </c>
      <c r="Z4253" s="302" t="str">
        <f ca="1">IF(Y4253=行业比较!$E$6,ROW(),"")</f>
        <v/>
      </c>
    </row>
    <row r="4254" spans="22:26">
      <c r="V4254" s="260">
        <f t="shared" ca="1" si="74"/>
        <v>0</v>
      </c>
      <c r="W4254" s="348" t="str">
        <f>IF(板块成分!B4256="","",板块成分!B4256)</f>
        <v>603598.SH</v>
      </c>
      <c r="X4254" s="276" t="str">
        <f>[1]!S_Info_Name(W4254)</f>
        <v>引力传媒</v>
      </c>
      <c r="Y4254" s="276" t="str">
        <f ca="1">IF($Y$3="申万一级行业",[1]!s_info_industry_sw_2021(W4254,公司分析!D$5,1),IF($Y$3="申万二级行业",[1]!s_info_industry_sw_2021(W4254,公司分析!D$5,2),IF($Y$3="申万三级行业",[1]!s_info_industry_sw_2021(W4254,公司分析!D$5,3),IF($Y$3="wind一级行业",[1]!s_info_industry_gics(W4254,1),IF($Y$3="wind二级行业",[1]!s_info_industry_gics(W4254,2),IF($Y$3="wind三级行业",[1]!s_info_industry_gics(W4254,3),IF($Y$3="wind四级行业",[1]!s_info_industry_gics(W4254,4),IF($Y$3="证监会门类行业",[1]!s_info_industry_csrc12_n(W4254,公司分析!D$5,1),""))))))))</f>
        <v>广告营销</v>
      </c>
      <c r="Z4254" s="302" t="str">
        <f ca="1">IF(Y4254=行业比较!$E$6,ROW(),"")</f>
        <v/>
      </c>
    </row>
    <row r="4255" spans="22:26">
      <c r="V4255" s="260">
        <f t="shared" ca="1" si="74"/>
        <v>0</v>
      </c>
      <c r="W4255" s="348" t="str">
        <f>IF(板块成分!B4257="","",板块成分!B4257)</f>
        <v>603599.SH</v>
      </c>
      <c r="X4255" s="276" t="str">
        <f>[1]!S_Info_Name(W4255)</f>
        <v>广信股份</v>
      </c>
      <c r="Y4255" s="276" t="str">
        <f ca="1">IF($Y$3="申万一级行业",[1]!s_info_industry_sw_2021(W4255,公司分析!D$5,1),IF($Y$3="申万二级行业",[1]!s_info_industry_sw_2021(W4255,公司分析!D$5,2),IF($Y$3="申万三级行业",[1]!s_info_industry_sw_2021(W4255,公司分析!D$5,3),IF($Y$3="wind一级行业",[1]!s_info_industry_gics(W4255,1),IF($Y$3="wind二级行业",[1]!s_info_industry_gics(W4255,2),IF($Y$3="wind三级行业",[1]!s_info_industry_gics(W4255,3),IF($Y$3="wind四级行业",[1]!s_info_industry_gics(W4255,4),IF($Y$3="证监会门类行业",[1]!s_info_industry_csrc12_n(W4255,公司分析!D$5,1),""))))))))</f>
        <v>农化制品</v>
      </c>
      <c r="Z4255" s="302" t="str">
        <f ca="1">IF(Y4255=行业比较!$E$6,ROW(),"")</f>
        <v/>
      </c>
    </row>
    <row r="4256" spans="22:26">
      <c r="V4256" s="260">
        <f t="shared" ca="1" si="74"/>
        <v>0</v>
      </c>
      <c r="W4256" s="348" t="str">
        <f>IF(板块成分!B4258="","",板块成分!B4258)</f>
        <v>603600.SH</v>
      </c>
      <c r="X4256" s="276" t="str">
        <f>[1]!S_Info_Name(W4256)</f>
        <v>永艺股份</v>
      </c>
      <c r="Y4256" s="276" t="str">
        <f ca="1">IF($Y$3="申万一级行业",[1]!s_info_industry_sw_2021(W4256,公司分析!D$5,1),IF($Y$3="申万二级行业",[1]!s_info_industry_sw_2021(W4256,公司分析!D$5,2),IF($Y$3="申万三级行业",[1]!s_info_industry_sw_2021(W4256,公司分析!D$5,3),IF($Y$3="wind一级行业",[1]!s_info_industry_gics(W4256,1),IF($Y$3="wind二级行业",[1]!s_info_industry_gics(W4256,2),IF($Y$3="wind三级行业",[1]!s_info_industry_gics(W4256,3),IF($Y$3="wind四级行业",[1]!s_info_industry_gics(W4256,4),IF($Y$3="证监会门类行业",[1]!s_info_industry_csrc12_n(W4256,公司分析!D$5,1),""))))))))</f>
        <v>家居用品</v>
      </c>
      <c r="Z4256" s="302" t="str">
        <f ca="1">IF(Y4256=行业比较!$E$6,ROW(),"")</f>
        <v/>
      </c>
    </row>
    <row r="4257" spans="22:26">
      <c r="V4257" s="260">
        <f t="shared" ca="1" si="74"/>
        <v>0</v>
      </c>
      <c r="W4257" s="348" t="str">
        <f>IF(板块成分!B4259="","",板块成分!B4259)</f>
        <v>603601.SH</v>
      </c>
      <c r="X4257" s="276" t="str">
        <f>[1]!S_Info_Name(W4257)</f>
        <v>再升科技</v>
      </c>
      <c r="Y4257" s="276" t="str">
        <f ca="1">IF($Y$3="申万一级行业",[1]!s_info_industry_sw_2021(W4257,公司分析!D$5,1),IF($Y$3="申万二级行业",[1]!s_info_industry_sw_2021(W4257,公司分析!D$5,2),IF($Y$3="申万三级行业",[1]!s_info_industry_sw_2021(W4257,公司分析!D$5,3),IF($Y$3="wind一级行业",[1]!s_info_industry_gics(W4257,1),IF($Y$3="wind二级行业",[1]!s_info_industry_gics(W4257,2),IF($Y$3="wind三级行业",[1]!s_info_industry_gics(W4257,3),IF($Y$3="wind四级行业",[1]!s_info_industry_gics(W4257,4),IF($Y$3="证监会门类行业",[1]!s_info_industry_csrc12_n(W4257,公司分析!D$5,1),""))))))))</f>
        <v>玻璃玻纤</v>
      </c>
      <c r="Z4257" s="302" t="str">
        <f ca="1">IF(Y4257=行业比较!$E$6,ROW(),"")</f>
        <v/>
      </c>
    </row>
    <row r="4258" spans="22:26">
      <c r="V4258" s="260">
        <f t="shared" ca="1" si="74"/>
        <v>0</v>
      </c>
      <c r="W4258" s="348" t="str">
        <f>IF(板块成分!B4260="","",板块成分!B4260)</f>
        <v>603602.SH</v>
      </c>
      <c r="X4258" s="276" t="str">
        <f>[1]!S_Info_Name(W4258)</f>
        <v>纵横通信</v>
      </c>
      <c r="Y4258" s="276" t="str">
        <f ca="1">IF($Y$3="申万一级行业",[1]!s_info_industry_sw_2021(W4258,公司分析!D$5,1),IF($Y$3="申万二级行业",[1]!s_info_industry_sw_2021(W4258,公司分析!D$5,2),IF($Y$3="申万三级行业",[1]!s_info_industry_sw_2021(W4258,公司分析!D$5,3),IF($Y$3="wind一级行业",[1]!s_info_industry_gics(W4258,1),IF($Y$3="wind二级行业",[1]!s_info_industry_gics(W4258,2),IF($Y$3="wind三级行业",[1]!s_info_industry_gics(W4258,3),IF($Y$3="wind四级行业",[1]!s_info_industry_gics(W4258,4),IF($Y$3="证监会门类行业",[1]!s_info_industry_csrc12_n(W4258,公司分析!D$5,1),""))))))))</f>
        <v>广告营销</v>
      </c>
      <c r="Z4258" s="302" t="str">
        <f ca="1">IF(Y4258=行业比较!$E$6,ROW(),"")</f>
        <v/>
      </c>
    </row>
    <row r="4259" spans="22:26">
      <c r="V4259" s="260">
        <f t="shared" ca="1" si="74"/>
        <v>0</v>
      </c>
      <c r="W4259" s="348" t="str">
        <f>IF(板块成分!B4261="","",板块成分!B4261)</f>
        <v>603605.SH</v>
      </c>
      <c r="X4259" s="276" t="str">
        <f>[1]!S_Info_Name(W4259)</f>
        <v>珀莱雅</v>
      </c>
      <c r="Y4259" s="276" t="str">
        <f ca="1">IF($Y$3="申万一级行业",[1]!s_info_industry_sw_2021(W4259,公司分析!D$5,1),IF($Y$3="申万二级行业",[1]!s_info_industry_sw_2021(W4259,公司分析!D$5,2),IF($Y$3="申万三级行业",[1]!s_info_industry_sw_2021(W4259,公司分析!D$5,3),IF($Y$3="wind一级行业",[1]!s_info_industry_gics(W4259,1),IF($Y$3="wind二级行业",[1]!s_info_industry_gics(W4259,2),IF($Y$3="wind三级行业",[1]!s_info_industry_gics(W4259,3),IF($Y$3="wind四级行业",[1]!s_info_industry_gics(W4259,4),IF($Y$3="证监会门类行业",[1]!s_info_industry_csrc12_n(W4259,公司分析!D$5,1),""))))))))</f>
        <v>化妆品</v>
      </c>
      <c r="Z4259" s="302" t="str">
        <f ca="1">IF(Y4259=行业比较!$E$6,ROW(),"")</f>
        <v/>
      </c>
    </row>
    <row r="4260" spans="22:26">
      <c r="V4260" s="260">
        <f t="shared" ca="1" si="74"/>
        <v>0</v>
      </c>
      <c r="W4260" s="348" t="str">
        <f>IF(板块成分!B4262="","",板块成分!B4262)</f>
        <v>603606.SH</v>
      </c>
      <c r="X4260" s="276" t="str">
        <f>[1]!S_Info_Name(W4260)</f>
        <v>东方电缆</v>
      </c>
      <c r="Y4260" s="276" t="str">
        <f ca="1">IF($Y$3="申万一级行业",[1]!s_info_industry_sw_2021(W4260,公司分析!D$5,1),IF($Y$3="申万二级行业",[1]!s_info_industry_sw_2021(W4260,公司分析!D$5,2),IF($Y$3="申万三级行业",[1]!s_info_industry_sw_2021(W4260,公司分析!D$5,3),IF($Y$3="wind一级行业",[1]!s_info_industry_gics(W4260,1),IF($Y$3="wind二级行业",[1]!s_info_industry_gics(W4260,2),IF($Y$3="wind三级行业",[1]!s_info_industry_gics(W4260,3),IF($Y$3="wind四级行业",[1]!s_info_industry_gics(W4260,4),IF($Y$3="证监会门类行业",[1]!s_info_industry_csrc12_n(W4260,公司分析!D$5,1),""))))))))</f>
        <v>电网设备</v>
      </c>
      <c r="Z4260" s="302" t="str">
        <f ca="1">IF(Y4260=行业比较!$E$6,ROW(),"")</f>
        <v/>
      </c>
    </row>
    <row r="4261" spans="22:26">
      <c r="V4261" s="260">
        <f t="shared" ca="1" si="74"/>
        <v>0</v>
      </c>
      <c r="W4261" s="348" t="str">
        <f>IF(板块成分!B4263="","",板块成分!B4263)</f>
        <v>603607.SH</v>
      </c>
      <c r="X4261" s="276" t="str">
        <f>[1]!S_Info_Name(W4261)</f>
        <v>京华激光</v>
      </c>
      <c r="Y4261" s="276" t="str">
        <f ca="1">IF($Y$3="申万一级行业",[1]!s_info_industry_sw_2021(W4261,公司分析!D$5,1),IF($Y$3="申万二级行业",[1]!s_info_industry_sw_2021(W4261,公司分析!D$5,2),IF($Y$3="申万三级行业",[1]!s_info_industry_sw_2021(W4261,公司分析!D$5,3),IF($Y$3="wind一级行业",[1]!s_info_industry_gics(W4261,1),IF($Y$3="wind二级行业",[1]!s_info_industry_gics(W4261,2),IF($Y$3="wind三级行业",[1]!s_info_industry_gics(W4261,3),IF($Y$3="wind四级行业",[1]!s_info_industry_gics(W4261,4),IF($Y$3="证监会门类行业",[1]!s_info_industry_csrc12_n(W4261,公司分析!D$5,1),""))))))))</f>
        <v>包装印刷</v>
      </c>
      <c r="Z4261" s="302" t="str">
        <f ca="1">IF(Y4261=行业比较!$E$6,ROW(),"")</f>
        <v/>
      </c>
    </row>
    <row r="4262" spans="22:26">
      <c r="V4262" s="260">
        <f t="shared" ca="1" si="74"/>
        <v>0</v>
      </c>
      <c r="W4262" s="348" t="str">
        <f>IF(板块成分!B4264="","",板块成分!B4264)</f>
        <v>603608.SH</v>
      </c>
      <c r="X4262" s="276" t="str">
        <f>[1]!S_Info_Name(W4262)</f>
        <v>天创时尚</v>
      </c>
      <c r="Y4262" s="276" t="str">
        <f ca="1">IF($Y$3="申万一级行业",[1]!s_info_industry_sw_2021(W4262,公司分析!D$5,1),IF($Y$3="申万二级行业",[1]!s_info_industry_sw_2021(W4262,公司分析!D$5,2),IF($Y$3="申万三级行业",[1]!s_info_industry_sw_2021(W4262,公司分析!D$5,3),IF($Y$3="wind一级行业",[1]!s_info_industry_gics(W4262,1),IF($Y$3="wind二级行业",[1]!s_info_industry_gics(W4262,2),IF($Y$3="wind三级行业",[1]!s_info_industry_gics(W4262,3),IF($Y$3="wind四级行业",[1]!s_info_industry_gics(W4262,4),IF($Y$3="证监会门类行业",[1]!s_info_industry_csrc12_n(W4262,公司分析!D$5,1),""))))))))</f>
        <v>服装家纺</v>
      </c>
      <c r="Z4262" s="302" t="str">
        <f ca="1">IF(Y4262=行业比较!$E$6,ROW(),"")</f>
        <v/>
      </c>
    </row>
    <row r="4263" spans="22:26">
      <c r="V4263" s="260">
        <f t="shared" ca="1" si="74"/>
        <v>0</v>
      </c>
      <c r="W4263" s="348" t="str">
        <f>IF(板块成分!B4265="","",板块成分!B4265)</f>
        <v>603609.SH</v>
      </c>
      <c r="X4263" s="276" t="str">
        <f>[1]!S_Info_Name(W4263)</f>
        <v>禾丰股份</v>
      </c>
      <c r="Y4263" s="276" t="str">
        <f ca="1">IF($Y$3="申万一级行业",[1]!s_info_industry_sw_2021(W4263,公司分析!D$5,1),IF($Y$3="申万二级行业",[1]!s_info_industry_sw_2021(W4263,公司分析!D$5,2),IF($Y$3="申万三级行业",[1]!s_info_industry_sw_2021(W4263,公司分析!D$5,3),IF($Y$3="wind一级行业",[1]!s_info_industry_gics(W4263,1),IF($Y$3="wind二级行业",[1]!s_info_industry_gics(W4263,2),IF($Y$3="wind三级行业",[1]!s_info_industry_gics(W4263,3),IF($Y$3="wind四级行业",[1]!s_info_industry_gics(W4263,4),IF($Y$3="证监会门类行业",[1]!s_info_industry_csrc12_n(W4263,公司分析!D$5,1),""))))))))</f>
        <v>饲料</v>
      </c>
      <c r="Z4263" s="302" t="str">
        <f ca="1">IF(Y4263=行业比较!$E$6,ROW(),"")</f>
        <v/>
      </c>
    </row>
    <row r="4264" spans="22:26">
      <c r="V4264" s="260">
        <f t="shared" ca="1" si="74"/>
        <v>0</v>
      </c>
      <c r="W4264" s="348" t="str">
        <f>IF(板块成分!B4266="","",板块成分!B4266)</f>
        <v>603610.SH</v>
      </c>
      <c r="X4264" s="276" t="str">
        <f>[1]!S_Info_Name(W4264)</f>
        <v>麒盛科技</v>
      </c>
      <c r="Y4264" s="276" t="str">
        <f ca="1">IF($Y$3="申万一级行业",[1]!s_info_industry_sw_2021(W4264,公司分析!D$5,1),IF($Y$3="申万二级行业",[1]!s_info_industry_sw_2021(W4264,公司分析!D$5,2),IF($Y$3="申万三级行业",[1]!s_info_industry_sw_2021(W4264,公司分析!D$5,3),IF($Y$3="wind一级行业",[1]!s_info_industry_gics(W4264,1),IF($Y$3="wind二级行业",[1]!s_info_industry_gics(W4264,2),IF($Y$3="wind三级行业",[1]!s_info_industry_gics(W4264,3),IF($Y$3="wind四级行业",[1]!s_info_industry_gics(W4264,4),IF($Y$3="证监会门类行业",[1]!s_info_industry_csrc12_n(W4264,公司分析!D$5,1),""))))))))</f>
        <v>家居用品</v>
      </c>
      <c r="Z4264" s="302" t="str">
        <f ca="1">IF(Y4264=行业比较!$E$6,ROW(),"")</f>
        <v/>
      </c>
    </row>
    <row r="4265" spans="22:26">
      <c r="V4265" s="260">
        <f t="shared" ca="1" si="74"/>
        <v>0</v>
      </c>
      <c r="W4265" s="348" t="str">
        <f>IF(板块成分!B4267="","",板块成分!B4267)</f>
        <v>603611.SH</v>
      </c>
      <c r="X4265" s="276" t="str">
        <f>[1]!S_Info_Name(W4265)</f>
        <v>诺力股份</v>
      </c>
      <c r="Y4265" s="276" t="str">
        <f ca="1">IF($Y$3="申万一级行业",[1]!s_info_industry_sw_2021(W4265,公司分析!D$5,1),IF($Y$3="申万二级行业",[1]!s_info_industry_sw_2021(W4265,公司分析!D$5,2),IF($Y$3="申万三级行业",[1]!s_info_industry_sw_2021(W4265,公司分析!D$5,3),IF($Y$3="wind一级行业",[1]!s_info_industry_gics(W4265,1),IF($Y$3="wind二级行业",[1]!s_info_industry_gics(W4265,2),IF($Y$3="wind三级行业",[1]!s_info_industry_gics(W4265,3),IF($Y$3="wind四级行业",[1]!s_info_industry_gics(W4265,4),IF($Y$3="证监会门类行业",[1]!s_info_industry_csrc12_n(W4265,公司分析!D$5,1),""))))))))</f>
        <v>工程机械</v>
      </c>
      <c r="Z4265" s="302" t="str">
        <f ca="1">IF(Y4265=行业比较!$E$6,ROW(),"")</f>
        <v/>
      </c>
    </row>
    <row r="4266" spans="22:26">
      <c r="V4266" s="260">
        <f t="shared" ca="1" si="74"/>
        <v>0</v>
      </c>
      <c r="W4266" s="348" t="str">
        <f>IF(板块成分!B4268="","",板块成分!B4268)</f>
        <v>603612.SH</v>
      </c>
      <c r="X4266" s="276" t="str">
        <f>[1]!S_Info_Name(W4266)</f>
        <v>索通发展</v>
      </c>
      <c r="Y4266" s="276" t="str">
        <f ca="1">IF($Y$3="申万一级行业",[1]!s_info_industry_sw_2021(W4266,公司分析!D$5,1),IF($Y$3="申万二级行业",[1]!s_info_industry_sw_2021(W4266,公司分析!D$5,2),IF($Y$3="申万三级行业",[1]!s_info_industry_sw_2021(W4266,公司分析!D$5,3),IF($Y$3="wind一级行业",[1]!s_info_industry_gics(W4266,1),IF($Y$3="wind二级行业",[1]!s_info_industry_gics(W4266,2),IF($Y$3="wind三级行业",[1]!s_info_industry_gics(W4266,3),IF($Y$3="wind四级行业",[1]!s_info_industry_gics(W4266,4),IF($Y$3="证监会门类行业",[1]!s_info_industry_csrc12_n(W4266,公司分析!D$5,1),""))))))))</f>
        <v>非金属材料Ⅱ</v>
      </c>
      <c r="Z4266" s="302" t="str">
        <f ca="1">IF(Y4266=行业比较!$E$6,ROW(),"")</f>
        <v/>
      </c>
    </row>
    <row r="4267" spans="22:26">
      <c r="V4267" s="260">
        <f t="shared" ca="1" si="74"/>
        <v>0</v>
      </c>
      <c r="W4267" s="348" t="str">
        <f>IF(板块成分!B4269="","",板块成分!B4269)</f>
        <v>603613.SH</v>
      </c>
      <c r="X4267" s="276" t="str">
        <f>[1]!S_Info_Name(W4267)</f>
        <v>国联股份</v>
      </c>
      <c r="Y4267" s="276" t="str">
        <f ca="1">IF($Y$3="申万一级行业",[1]!s_info_industry_sw_2021(W4267,公司分析!D$5,1),IF($Y$3="申万二级行业",[1]!s_info_industry_sw_2021(W4267,公司分析!D$5,2),IF($Y$3="申万三级行业",[1]!s_info_industry_sw_2021(W4267,公司分析!D$5,3),IF($Y$3="wind一级行业",[1]!s_info_industry_gics(W4267,1),IF($Y$3="wind二级行业",[1]!s_info_industry_gics(W4267,2),IF($Y$3="wind三级行业",[1]!s_info_industry_gics(W4267,3),IF($Y$3="wind四级行业",[1]!s_info_industry_gics(W4267,4),IF($Y$3="证监会门类行业",[1]!s_info_industry_csrc12_n(W4267,公司分析!D$5,1),""))))))))</f>
        <v>互联网电商</v>
      </c>
      <c r="Z4267" s="302" t="str">
        <f ca="1">IF(Y4267=行业比较!$E$6,ROW(),"")</f>
        <v/>
      </c>
    </row>
    <row r="4268" spans="22:26">
      <c r="V4268" s="260">
        <f t="shared" ca="1" si="74"/>
        <v>0</v>
      </c>
      <c r="W4268" s="348" t="str">
        <f>IF(板块成分!B4270="","",板块成分!B4270)</f>
        <v>603615.SH</v>
      </c>
      <c r="X4268" s="276" t="str">
        <f>[1]!S_Info_Name(W4268)</f>
        <v>茶花股份</v>
      </c>
      <c r="Y4268" s="276" t="str">
        <f ca="1">IF($Y$3="申万一级行业",[1]!s_info_industry_sw_2021(W4268,公司分析!D$5,1),IF($Y$3="申万二级行业",[1]!s_info_industry_sw_2021(W4268,公司分析!D$5,2),IF($Y$3="申万三级行业",[1]!s_info_industry_sw_2021(W4268,公司分析!D$5,3),IF($Y$3="wind一级行业",[1]!s_info_industry_gics(W4268,1),IF($Y$3="wind二级行业",[1]!s_info_industry_gics(W4268,2),IF($Y$3="wind三级行业",[1]!s_info_industry_gics(W4268,3),IF($Y$3="wind四级行业",[1]!s_info_industry_gics(W4268,4),IF($Y$3="证监会门类行业",[1]!s_info_industry_csrc12_n(W4268,公司分析!D$5,1),""))))))))</f>
        <v>家居用品</v>
      </c>
      <c r="Z4268" s="302" t="str">
        <f ca="1">IF(Y4268=行业比较!$E$6,ROW(),"")</f>
        <v/>
      </c>
    </row>
    <row r="4269" spans="22:26">
      <c r="V4269" s="260">
        <f t="shared" ca="1" si="74"/>
        <v>0</v>
      </c>
      <c r="W4269" s="348" t="str">
        <f>IF(板块成分!B4271="","",板块成分!B4271)</f>
        <v>603616.SH</v>
      </c>
      <c r="X4269" s="276" t="str">
        <f>[1]!S_Info_Name(W4269)</f>
        <v>韩建河山</v>
      </c>
      <c r="Y4269" s="276" t="str">
        <f ca="1">IF($Y$3="申万一级行业",[1]!s_info_industry_sw_2021(W4269,公司分析!D$5,1),IF($Y$3="申万二级行业",[1]!s_info_industry_sw_2021(W4269,公司分析!D$5,2),IF($Y$3="申万三级行业",[1]!s_info_industry_sw_2021(W4269,公司分析!D$5,3),IF($Y$3="wind一级行业",[1]!s_info_industry_gics(W4269,1),IF($Y$3="wind二级行业",[1]!s_info_industry_gics(W4269,2),IF($Y$3="wind三级行业",[1]!s_info_industry_gics(W4269,3),IF($Y$3="wind四级行业",[1]!s_info_industry_gics(W4269,4),IF($Y$3="证监会门类行业",[1]!s_info_industry_csrc12_n(W4269,公司分析!D$5,1),""))))))))</f>
        <v>水泥</v>
      </c>
      <c r="Z4269" s="302" t="str">
        <f ca="1">IF(Y4269=行业比较!$E$6,ROW(),"")</f>
        <v/>
      </c>
    </row>
    <row r="4270" spans="22:26">
      <c r="V4270" s="260">
        <f t="shared" ca="1" si="74"/>
        <v>0</v>
      </c>
      <c r="W4270" s="348" t="str">
        <f>IF(板块成分!B4272="","",板块成分!B4272)</f>
        <v>603617.SH</v>
      </c>
      <c r="X4270" s="276" t="str">
        <f>[1]!S_Info_Name(W4270)</f>
        <v>君禾股份</v>
      </c>
      <c r="Y4270" s="276" t="str">
        <f ca="1">IF($Y$3="申万一级行业",[1]!s_info_industry_sw_2021(W4270,公司分析!D$5,1),IF($Y$3="申万二级行业",[1]!s_info_industry_sw_2021(W4270,公司分析!D$5,2),IF($Y$3="申万三级行业",[1]!s_info_industry_sw_2021(W4270,公司分析!D$5,3),IF($Y$3="wind一级行业",[1]!s_info_industry_gics(W4270,1),IF($Y$3="wind二级行业",[1]!s_info_industry_gics(W4270,2),IF($Y$3="wind三级行业",[1]!s_info_industry_gics(W4270,3),IF($Y$3="wind四级行业",[1]!s_info_industry_gics(W4270,4),IF($Y$3="证监会门类行业",[1]!s_info_industry_csrc12_n(W4270,公司分析!D$5,1),""))))))))</f>
        <v>通用设备</v>
      </c>
      <c r="Z4270" s="302" t="str">
        <f ca="1">IF(Y4270=行业比较!$E$6,ROW(),"")</f>
        <v/>
      </c>
    </row>
    <row r="4271" spans="22:26">
      <c r="V4271" s="260">
        <f t="shared" ca="1" si="74"/>
        <v>0</v>
      </c>
      <c r="W4271" s="348" t="str">
        <f>IF(板块成分!B4273="","",板块成分!B4273)</f>
        <v>603618.SH</v>
      </c>
      <c r="X4271" s="276" t="str">
        <f>[1]!S_Info_Name(W4271)</f>
        <v>杭电股份</v>
      </c>
      <c r="Y4271" s="276" t="str">
        <f ca="1">IF($Y$3="申万一级行业",[1]!s_info_industry_sw_2021(W4271,公司分析!D$5,1),IF($Y$3="申万二级行业",[1]!s_info_industry_sw_2021(W4271,公司分析!D$5,2),IF($Y$3="申万三级行业",[1]!s_info_industry_sw_2021(W4271,公司分析!D$5,3),IF($Y$3="wind一级行业",[1]!s_info_industry_gics(W4271,1),IF($Y$3="wind二级行业",[1]!s_info_industry_gics(W4271,2),IF($Y$3="wind三级行业",[1]!s_info_industry_gics(W4271,3),IF($Y$3="wind四级行业",[1]!s_info_industry_gics(W4271,4),IF($Y$3="证监会门类行业",[1]!s_info_industry_csrc12_n(W4271,公司分析!D$5,1),""))))))))</f>
        <v>电网设备</v>
      </c>
      <c r="Z4271" s="302" t="str">
        <f ca="1">IF(Y4271=行业比较!$E$6,ROW(),"")</f>
        <v/>
      </c>
    </row>
    <row r="4272" spans="22:26">
      <c r="V4272" s="260">
        <f t="shared" ca="1" si="74"/>
        <v>0</v>
      </c>
      <c r="W4272" s="348" t="str">
        <f>IF(板块成分!B4274="","",板块成分!B4274)</f>
        <v>603619.SH</v>
      </c>
      <c r="X4272" s="276" t="str">
        <f>[1]!S_Info_Name(W4272)</f>
        <v>中曼石油</v>
      </c>
      <c r="Y4272" s="276" t="str">
        <f ca="1">IF($Y$3="申万一级行业",[1]!s_info_industry_sw_2021(W4272,公司分析!D$5,1),IF($Y$3="申万二级行业",[1]!s_info_industry_sw_2021(W4272,公司分析!D$5,2),IF($Y$3="申万三级行业",[1]!s_info_industry_sw_2021(W4272,公司分析!D$5,3),IF($Y$3="wind一级行业",[1]!s_info_industry_gics(W4272,1),IF($Y$3="wind二级行业",[1]!s_info_industry_gics(W4272,2),IF($Y$3="wind三级行业",[1]!s_info_industry_gics(W4272,3),IF($Y$3="wind四级行业",[1]!s_info_industry_gics(W4272,4),IF($Y$3="证监会门类行业",[1]!s_info_industry_csrc12_n(W4272,公司分析!D$5,1),""))))))))</f>
        <v>油服工程</v>
      </c>
      <c r="Z4272" s="302" t="str">
        <f ca="1">IF(Y4272=行业比较!$E$6,ROW(),"")</f>
        <v/>
      </c>
    </row>
    <row r="4273" spans="22:26">
      <c r="V4273" s="260">
        <f t="shared" ca="1" si="74"/>
        <v>0</v>
      </c>
      <c r="W4273" s="348" t="str">
        <f>IF(板块成分!B4275="","",板块成分!B4275)</f>
        <v>603626.SH</v>
      </c>
      <c r="X4273" s="276" t="str">
        <f>[1]!S_Info_Name(W4273)</f>
        <v>科森科技</v>
      </c>
      <c r="Y4273" s="276" t="str">
        <f ca="1">IF($Y$3="申万一级行业",[1]!s_info_industry_sw_2021(W4273,公司分析!D$5,1),IF($Y$3="申万二级行业",[1]!s_info_industry_sw_2021(W4273,公司分析!D$5,2),IF($Y$3="申万三级行业",[1]!s_info_industry_sw_2021(W4273,公司分析!D$5,3),IF($Y$3="wind一级行业",[1]!s_info_industry_gics(W4273,1),IF($Y$3="wind二级行业",[1]!s_info_industry_gics(W4273,2),IF($Y$3="wind三级行业",[1]!s_info_industry_gics(W4273,3),IF($Y$3="wind四级行业",[1]!s_info_industry_gics(W4273,4),IF($Y$3="证监会门类行业",[1]!s_info_industry_csrc12_n(W4273,公司分析!D$5,1),""))))))))</f>
        <v>消费电子</v>
      </c>
      <c r="Z4273" s="302" t="str">
        <f ca="1">IF(Y4273=行业比较!$E$6,ROW(),"")</f>
        <v/>
      </c>
    </row>
    <row r="4274" spans="22:26">
      <c r="V4274" s="260">
        <f t="shared" ca="1" si="74"/>
        <v>0</v>
      </c>
      <c r="W4274" s="348" t="str">
        <f>IF(板块成分!B4276="","",板块成分!B4276)</f>
        <v>603628.SH</v>
      </c>
      <c r="X4274" s="276" t="str">
        <f>[1]!S_Info_Name(W4274)</f>
        <v>清源股份</v>
      </c>
      <c r="Y4274" s="276" t="str">
        <f ca="1">IF($Y$3="申万一级行业",[1]!s_info_industry_sw_2021(W4274,公司分析!D$5,1),IF($Y$3="申万二级行业",[1]!s_info_industry_sw_2021(W4274,公司分析!D$5,2),IF($Y$3="申万三级行业",[1]!s_info_industry_sw_2021(W4274,公司分析!D$5,3),IF($Y$3="wind一级行业",[1]!s_info_industry_gics(W4274,1),IF($Y$3="wind二级行业",[1]!s_info_industry_gics(W4274,2),IF($Y$3="wind三级行业",[1]!s_info_industry_gics(W4274,3),IF($Y$3="wind四级行业",[1]!s_info_industry_gics(W4274,4),IF($Y$3="证监会门类行业",[1]!s_info_industry_csrc12_n(W4274,公司分析!D$5,1),""))))))))</f>
        <v>光伏设备</v>
      </c>
      <c r="Z4274" s="302" t="str">
        <f ca="1">IF(Y4274=行业比较!$E$6,ROW(),"")</f>
        <v/>
      </c>
    </row>
    <row r="4275" spans="22:26">
      <c r="V4275" s="260">
        <f t="shared" ca="1" si="74"/>
        <v>0</v>
      </c>
      <c r="W4275" s="348" t="str">
        <f>IF(板块成分!B4277="","",板块成分!B4277)</f>
        <v>603629.SH</v>
      </c>
      <c r="X4275" s="276" t="str">
        <f>[1]!S_Info_Name(W4275)</f>
        <v>利通电子</v>
      </c>
      <c r="Y4275" s="276" t="str">
        <f ca="1">IF($Y$3="申万一级行业",[1]!s_info_industry_sw_2021(W4275,公司分析!D$5,1),IF($Y$3="申万二级行业",[1]!s_info_industry_sw_2021(W4275,公司分析!D$5,2),IF($Y$3="申万三级行业",[1]!s_info_industry_sw_2021(W4275,公司分析!D$5,3),IF($Y$3="wind一级行业",[1]!s_info_industry_gics(W4275,1),IF($Y$3="wind二级行业",[1]!s_info_industry_gics(W4275,2),IF($Y$3="wind三级行业",[1]!s_info_industry_gics(W4275,3),IF($Y$3="wind四级行业",[1]!s_info_industry_gics(W4275,4),IF($Y$3="证监会门类行业",[1]!s_info_industry_csrc12_n(W4275,公司分析!D$5,1),""))))))))</f>
        <v>消费电子</v>
      </c>
      <c r="Z4275" s="302" t="str">
        <f ca="1">IF(Y4275=行业比较!$E$6,ROW(),"")</f>
        <v/>
      </c>
    </row>
    <row r="4276" spans="22:26">
      <c r="V4276" s="260">
        <f t="shared" ca="1" si="74"/>
        <v>0</v>
      </c>
      <c r="W4276" s="348" t="str">
        <f>IF(板块成分!B4278="","",板块成分!B4278)</f>
        <v>603630.SH</v>
      </c>
      <c r="X4276" s="276" t="str">
        <f>[1]!S_Info_Name(W4276)</f>
        <v>拉芳家化</v>
      </c>
      <c r="Y4276" s="276" t="str">
        <f ca="1">IF($Y$3="申万一级行业",[1]!s_info_industry_sw_2021(W4276,公司分析!D$5,1),IF($Y$3="申万二级行业",[1]!s_info_industry_sw_2021(W4276,公司分析!D$5,2),IF($Y$3="申万三级行业",[1]!s_info_industry_sw_2021(W4276,公司分析!D$5,3),IF($Y$3="wind一级行业",[1]!s_info_industry_gics(W4276,1),IF($Y$3="wind二级行业",[1]!s_info_industry_gics(W4276,2),IF($Y$3="wind三级行业",[1]!s_info_industry_gics(W4276,3),IF($Y$3="wind四级行业",[1]!s_info_industry_gics(W4276,4),IF($Y$3="证监会门类行业",[1]!s_info_industry_csrc12_n(W4276,公司分析!D$5,1),""))))))))</f>
        <v>化妆品</v>
      </c>
      <c r="Z4276" s="302" t="str">
        <f ca="1">IF(Y4276=行业比较!$E$6,ROW(),"")</f>
        <v/>
      </c>
    </row>
    <row r="4277" spans="22:26">
      <c r="V4277" s="260">
        <f t="shared" ca="1" si="74"/>
        <v>0</v>
      </c>
      <c r="W4277" s="348" t="str">
        <f>IF(板块成分!B4279="","",板块成分!B4279)</f>
        <v>603633.SH</v>
      </c>
      <c r="X4277" s="276" t="str">
        <f>[1]!S_Info_Name(W4277)</f>
        <v>徕木股份</v>
      </c>
      <c r="Y4277" s="276" t="str">
        <f ca="1">IF($Y$3="申万一级行业",[1]!s_info_industry_sw_2021(W4277,公司分析!D$5,1),IF($Y$3="申万二级行业",[1]!s_info_industry_sw_2021(W4277,公司分析!D$5,2),IF($Y$3="申万三级行业",[1]!s_info_industry_sw_2021(W4277,公司分析!D$5,3),IF($Y$3="wind一级行业",[1]!s_info_industry_gics(W4277,1),IF($Y$3="wind二级行业",[1]!s_info_industry_gics(W4277,2),IF($Y$3="wind三级行业",[1]!s_info_industry_gics(W4277,3),IF($Y$3="wind四级行业",[1]!s_info_industry_gics(W4277,4),IF($Y$3="证监会门类行业",[1]!s_info_industry_csrc12_n(W4277,公司分析!D$5,1),""))))))))</f>
        <v>消费电子</v>
      </c>
      <c r="Z4277" s="302" t="str">
        <f ca="1">IF(Y4277=行业比较!$E$6,ROW(),"")</f>
        <v/>
      </c>
    </row>
    <row r="4278" spans="22:26">
      <c r="V4278" s="260">
        <f t="shared" ca="1" si="74"/>
        <v>0</v>
      </c>
      <c r="W4278" s="348" t="str">
        <f>IF(板块成分!B4280="","",板块成分!B4280)</f>
        <v>603636.SH</v>
      </c>
      <c r="X4278" s="276" t="str">
        <f>[1]!S_Info_Name(W4278)</f>
        <v>南威软件</v>
      </c>
      <c r="Y4278" s="276" t="str">
        <f ca="1">IF($Y$3="申万一级行业",[1]!s_info_industry_sw_2021(W4278,公司分析!D$5,1),IF($Y$3="申万二级行业",[1]!s_info_industry_sw_2021(W4278,公司分析!D$5,2),IF($Y$3="申万三级行业",[1]!s_info_industry_sw_2021(W4278,公司分析!D$5,3),IF($Y$3="wind一级行业",[1]!s_info_industry_gics(W4278,1),IF($Y$3="wind二级行业",[1]!s_info_industry_gics(W4278,2),IF($Y$3="wind三级行业",[1]!s_info_industry_gics(W4278,3),IF($Y$3="wind四级行业",[1]!s_info_industry_gics(W4278,4),IF($Y$3="证监会门类行业",[1]!s_info_industry_csrc12_n(W4278,公司分析!D$5,1),""))))))))</f>
        <v>IT服务Ⅱ</v>
      </c>
      <c r="Z4278" s="302" t="str">
        <f ca="1">IF(Y4278=行业比较!$E$6,ROW(),"")</f>
        <v/>
      </c>
    </row>
    <row r="4279" spans="22:26">
      <c r="V4279" s="260">
        <f t="shared" ca="1" si="74"/>
        <v>0</v>
      </c>
      <c r="W4279" s="348" t="str">
        <f>IF(板块成分!B4281="","",板块成分!B4281)</f>
        <v>603637.SH</v>
      </c>
      <c r="X4279" s="276" t="str">
        <f>[1]!S_Info_Name(W4279)</f>
        <v>镇海股份</v>
      </c>
      <c r="Y4279" s="276" t="str">
        <f ca="1">IF($Y$3="申万一级行业",[1]!s_info_industry_sw_2021(W4279,公司分析!D$5,1),IF($Y$3="申万二级行业",[1]!s_info_industry_sw_2021(W4279,公司分析!D$5,2),IF($Y$3="申万三级行业",[1]!s_info_industry_sw_2021(W4279,公司分析!D$5,3),IF($Y$3="wind一级行业",[1]!s_info_industry_gics(W4279,1),IF($Y$3="wind二级行业",[1]!s_info_industry_gics(W4279,2),IF($Y$3="wind三级行业",[1]!s_info_industry_gics(W4279,3),IF($Y$3="wind四级行业",[1]!s_info_industry_gics(W4279,4),IF($Y$3="证监会门类行业",[1]!s_info_industry_csrc12_n(W4279,公司分析!D$5,1),""))))))))</f>
        <v>专业工程</v>
      </c>
      <c r="Z4279" s="302" t="str">
        <f ca="1">IF(Y4279=行业比较!$E$6,ROW(),"")</f>
        <v/>
      </c>
    </row>
    <row r="4280" spans="22:26">
      <c r="V4280" s="260">
        <f t="shared" ca="1" si="74"/>
        <v>0</v>
      </c>
      <c r="W4280" s="348" t="str">
        <f>IF(板块成分!B4282="","",板块成分!B4282)</f>
        <v>603638.SH</v>
      </c>
      <c r="X4280" s="276" t="str">
        <f>[1]!S_Info_Name(W4280)</f>
        <v>艾迪精密</v>
      </c>
      <c r="Y4280" s="276" t="str">
        <f ca="1">IF($Y$3="申万一级行业",[1]!s_info_industry_sw_2021(W4280,公司分析!D$5,1),IF($Y$3="申万二级行业",[1]!s_info_industry_sw_2021(W4280,公司分析!D$5,2),IF($Y$3="申万三级行业",[1]!s_info_industry_sw_2021(W4280,公司分析!D$5,3),IF($Y$3="wind一级行业",[1]!s_info_industry_gics(W4280,1),IF($Y$3="wind二级行业",[1]!s_info_industry_gics(W4280,2),IF($Y$3="wind三级行业",[1]!s_info_industry_gics(W4280,3),IF($Y$3="wind四级行业",[1]!s_info_industry_gics(W4280,4),IF($Y$3="证监会门类行业",[1]!s_info_industry_csrc12_n(W4280,公司分析!D$5,1),""))))))))</f>
        <v>工程机械</v>
      </c>
      <c r="Z4280" s="302" t="str">
        <f ca="1">IF(Y4280=行业比较!$E$6,ROW(),"")</f>
        <v/>
      </c>
    </row>
    <row r="4281" spans="22:26">
      <c r="V4281" s="260">
        <f t="shared" ca="1" si="74"/>
        <v>0</v>
      </c>
      <c r="W4281" s="348" t="str">
        <f>IF(板块成分!B4283="","",板块成分!B4283)</f>
        <v>603639.SH</v>
      </c>
      <c r="X4281" s="276" t="str">
        <f>[1]!S_Info_Name(W4281)</f>
        <v>海利尔</v>
      </c>
      <c r="Y4281" s="276" t="str">
        <f ca="1">IF($Y$3="申万一级行业",[1]!s_info_industry_sw_2021(W4281,公司分析!D$5,1),IF($Y$3="申万二级行业",[1]!s_info_industry_sw_2021(W4281,公司分析!D$5,2),IF($Y$3="申万三级行业",[1]!s_info_industry_sw_2021(W4281,公司分析!D$5,3),IF($Y$3="wind一级行业",[1]!s_info_industry_gics(W4281,1),IF($Y$3="wind二级行业",[1]!s_info_industry_gics(W4281,2),IF($Y$3="wind三级行业",[1]!s_info_industry_gics(W4281,3),IF($Y$3="wind四级行业",[1]!s_info_industry_gics(W4281,4),IF($Y$3="证监会门类行业",[1]!s_info_industry_csrc12_n(W4281,公司分析!D$5,1),""))))))))</f>
        <v>农化制品</v>
      </c>
      <c r="Z4281" s="302" t="str">
        <f ca="1">IF(Y4281=行业比较!$E$6,ROW(),"")</f>
        <v/>
      </c>
    </row>
    <row r="4282" spans="22:26">
      <c r="V4282" s="260">
        <f t="shared" ca="1" si="74"/>
        <v>0</v>
      </c>
      <c r="W4282" s="348" t="str">
        <f>IF(板块成分!B4284="","",板块成分!B4284)</f>
        <v>603648.SH</v>
      </c>
      <c r="X4282" s="276" t="str">
        <f>[1]!S_Info_Name(W4282)</f>
        <v>畅联股份</v>
      </c>
      <c r="Y4282" s="276" t="str">
        <f ca="1">IF($Y$3="申万一级行业",[1]!s_info_industry_sw_2021(W4282,公司分析!D$5,1),IF($Y$3="申万二级行业",[1]!s_info_industry_sw_2021(W4282,公司分析!D$5,2),IF($Y$3="申万三级行业",[1]!s_info_industry_sw_2021(W4282,公司分析!D$5,3),IF($Y$3="wind一级行业",[1]!s_info_industry_gics(W4282,1),IF($Y$3="wind二级行业",[1]!s_info_industry_gics(W4282,2),IF($Y$3="wind三级行业",[1]!s_info_industry_gics(W4282,3),IF($Y$3="wind四级行业",[1]!s_info_industry_gics(W4282,4),IF($Y$3="证监会门类行业",[1]!s_info_industry_csrc12_n(W4282,公司分析!D$5,1),""))))))))</f>
        <v>物流</v>
      </c>
      <c r="Z4282" s="302" t="str">
        <f ca="1">IF(Y4282=行业比较!$E$6,ROW(),"")</f>
        <v/>
      </c>
    </row>
    <row r="4283" spans="22:26">
      <c r="V4283" s="260">
        <f t="shared" ca="1" si="74"/>
        <v>0</v>
      </c>
      <c r="W4283" s="348" t="str">
        <f>IF(板块成分!B4285="","",板块成分!B4285)</f>
        <v>603650.SH</v>
      </c>
      <c r="X4283" s="276" t="str">
        <f>[1]!S_Info_Name(W4283)</f>
        <v>彤程新材</v>
      </c>
      <c r="Y4283" s="276" t="str">
        <f ca="1">IF($Y$3="申万一级行业",[1]!s_info_industry_sw_2021(W4283,公司分析!D$5,1),IF($Y$3="申万二级行业",[1]!s_info_industry_sw_2021(W4283,公司分析!D$5,2),IF($Y$3="申万三级行业",[1]!s_info_industry_sw_2021(W4283,公司分析!D$5,3),IF($Y$3="wind一级行业",[1]!s_info_industry_gics(W4283,1),IF($Y$3="wind二级行业",[1]!s_info_industry_gics(W4283,2),IF($Y$3="wind三级行业",[1]!s_info_industry_gics(W4283,3),IF($Y$3="wind四级行业",[1]!s_info_industry_gics(W4283,4),IF($Y$3="证监会门类行业",[1]!s_info_industry_csrc12_n(W4283,公司分析!D$5,1),""))))))))</f>
        <v>橡胶</v>
      </c>
      <c r="Z4283" s="302" t="str">
        <f ca="1">IF(Y4283=行业比较!$E$6,ROW(),"")</f>
        <v/>
      </c>
    </row>
    <row r="4284" spans="22:26">
      <c r="V4284" s="260">
        <f t="shared" ca="1" si="74"/>
        <v>0</v>
      </c>
      <c r="W4284" s="348" t="str">
        <f>IF(板块成分!B4286="","",板块成分!B4286)</f>
        <v>603655.SH</v>
      </c>
      <c r="X4284" s="276" t="str">
        <f>[1]!S_Info_Name(W4284)</f>
        <v>朗博科技</v>
      </c>
      <c r="Y4284" s="276" t="str">
        <f ca="1">IF($Y$3="申万一级行业",[1]!s_info_industry_sw_2021(W4284,公司分析!D$5,1),IF($Y$3="申万二级行业",[1]!s_info_industry_sw_2021(W4284,公司分析!D$5,2),IF($Y$3="申万三级行业",[1]!s_info_industry_sw_2021(W4284,公司分析!D$5,3),IF($Y$3="wind一级行业",[1]!s_info_industry_gics(W4284,1),IF($Y$3="wind二级行业",[1]!s_info_industry_gics(W4284,2),IF($Y$3="wind三级行业",[1]!s_info_industry_gics(W4284,3),IF($Y$3="wind四级行业",[1]!s_info_industry_gics(W4284,4),IF($Y$3="证监会门类行业",[1]!s_info_industry_csrc12_n(W4284,公司分析!D$5,1),""))))))))</f>
        <v>汽车零部件</v>
      </c>
      <c r="Z4284" s="302" t="str">
        <f ca="1">IF(Y4284=行业比较!$E$6,ROW(),"")</f>
        <v/>
      </c>
    </row>
    <row r="4285" spans="22:26">
      <c r="V4285" s="260">
        <f t="shared" ca="1" si="74"/>
        <v>0</v>
      </c>
      <c r="W4285" s="348" t="str">
        <f>IF(板块成分!B4287="","",板块成分!B4287)</f>
        <v>603656.SH</v>
      </c>
      <c r="X4285" s="276" t="str">
        <f>[1]!S_Info_Name(W4285)</f>
        <v>泰禾智能</v>
      </c>
      <c r="Y4285" s="276" t="str">
        <f ca="1">IF($Y$3="申万一级行业",[1]!s_info_industry_sw_2021(W4285,公司分析!D$5,1),IF($Y$3="申万二级行业",[1]!s_info_industry_sw_2021(W4285,公司分析!D$5,2),IF($Y$3="申万三级行业",[1]!s_info_industry_sw_2021(W4285,公司分析!D$5,3),IF($Y$3="wind一级行业",[1]!s_info_industry_gics(W4285,1),IF($Y$3="wind二级行业",[1]!s_info_industry_gics(W4285,2),IF($Y$3="wind三级行业",[1]!s_info_industry_gics(W4285,3),IF($Y$3="wind四级行业",[1]!s_info_industry_gics(W4285,4),IF($Y$3="证监会门类行业",[1]!s_info_industry_csrc12_n(W4285,公司分析!D$5,1),""))))))))</f>
        <v>专用设备</v>
      </c>
      <c r="Z4285" s="302" t="str">
        <f ca="1">IF(Y4285=行业比较!$E$6,ROW(),"")</f>
        <v/>
      </c>
    </row>
    <row r="4286" spans="22:26">
      <c r="V4286" s="260">
        <f t="shared" ca="1" si="74"/>
        <v>0</v>
      </c>
      <c r="W4286" s="348" t="str">
        <f>IF(板块成分!B4288="","",板块成分!B4288)</f>
        <v>603657.SH</v>
      </c>
      <c r="X4286" s="276" t="str">
        <f>[1]!S_Info_Name(W4286)</f>
        <v>春光科技</v>
      </c>
      <c r="Y4286" s="276" t="str">
        <f ca="1">IF($Y$3="申万一级行业",[1]!s_info_industry_sw_2021(W4286,公司分析!D$5,1),IF($Y$3="申万二级行业",[1]!s_info_industry_sw_2021(W4286,公司分析!D$5,2),IF($Y$3="申万三级行业",[1]!s_info_industry_sw_2021(W4286,公司分析!D$5,3),IF($Y$3="wind一级行业",[1]!s_info_industry_gics(W4286,1),IF($Y$3="wind二级行业",[1]!s_info_industry_gics(W4286,2),IF($Y$3="wind三级行业",[1]!s_info_industry_gics(W4286,3),IF($Y$3="wind四级行业",[1]!s_info_industry_gics(W4286,4),IF($Y$3="证监会门类行业",[1]!s_info_industry_csrc12_n(W4286,公司分析!D$5,1),""))))))))</f>
        <v>家电零部件Ⅱ</v>
      </c>
      <c r="Z4286" s="302" t="str">
        <f ca="1">IF(Y4286=行业比较!$E$6,ROW(),"")</f>
        <v/>
      </c>
    </row>
    <row r="4287" spans="22:26">
      <c r="V4287" s="260">
        <f t="shared" ca="1" si="74"/>
        <v>0</v>
      </c>
      <c r="W4287" s="348" t="str">
        <f>IF(板块成分!B4289="","",板块成分!B4289)</f>
        <v>603658.SH</v>
      </c>
      <c r="X4287" s="276" t="str">
        <f>[1]!S_Info_Name(W4287)</f>
        <v>安图生物</v>
      </c>
      <c r="Y4287" s="276" t="str">
        <f ca="1">IF($Y$3="申万一级行业",[1]!s_info_industry_sw_2021(W4287,公司分析!D$5,1),IF($Y$3="申万二级行业",[1]!s_info_industry_sw_2021(W4287,公司分析!D$5,2),IF($Y$3="申万三级行业",[1]!s_info_industry_sw_2021(W4287,公司分析!D$5,3),IF($Y$3="wind一级行业",[1]!s_info_industry_gics(W4287,1),IF($Y$3="wind二级行业",[1]!s_info_industry_gics(W4287,2),IF($Y$3="wind三级行业",[1]!s_info_industry_gics(W4287,3),IF($Y$3="wind四级行业",[1]!s_info_industry_gics(W4287,4),IF($Y$3="证监会门类行业",[1]!s_info_industry_csrc12_n(W4287,公司分析!D$5,1),""))))))))</f>
        <v>医疗器械</v>
      </c>
      <c r="Z4287" s="302" t="str">
        <f ca="1">IF(Y4287=行业比较!$E$6,ROW(),"")</f>
        <v/>
      </c>
    </row>
    <row r="4288" spans="22:26">
      <c r="V4288" s="260">
        <f t="shared" ca="1" si="74"/>
        <v>0</v>
      </c>
      <c r="W4288" s="348" t="str">
        <f>IF(板块成分!B4290="","",板块成分!B4290)</f>
        <v>603659.SH</v>
      </c>
      <c r="X4288" s="276" t="str">
        <f>[1]!S_Info_Name(W4288)</f>
        <v>璞泰来</v>
      </c>
      <c r="Y4288" s="276" t="str">
        <f ca="1">IF($Y$3="申万一级行业",[1]!s_info_industry_sw_2021(W4288,公司分析!D$5,1),IF($Y$3="申万二级行业",[1]!s_info_industry_sw_2021(W4288,公司分析!D$5,2),IF($Y$3="申万三级行业",[1]!s_info_industry_sw_2021(W4288,公司分析!D$5,3),IF($Y$3="wind一级行业",[1]!s_info_industry_gics(W4288,1),IF($Y$3="wind二级行业",[1]!s_info_industry_gics(W4288,2),IF($Y$3="wind三级行业",[1]!s_info_industry_gics(W4288,3),IF($Y$3="wind四级行业",[1]!s_info_industry_gics(W4288,4),IF($Y$3="证监会门类行业",[1]!s_info_industry_csrc12_n(W4288,公司分析!D$5,1),""))))))))</f>
        <v>电池</v>
      </c>
      <c r="Z4288" s="302" t="str">
        <f ca="1">IF(Y4288=行业比较!$E$6,ROW(),"")</f>
        <v/>
      </c>
    </row>
    <row r="4289" spans="22:26">
      <c r="V4289" s="260">
        <f t="shared" ca="1" si="74"/>
        <v>0</v>
      </c>
      <c r="W4289" s="348" t="str">
        <f>IF(板块成分!B4291="","",板块成分!B4291)</f>
        <v>603660.SH</v>
      </c>
      <c r="X4289" s="276" t="str">
        <f>[1]!S_Info_Name(W4289)</f>
        <v>苏州科达</v>
      </c>
      <c r="Y4289" s="276" t="str">
        <f ca="1">IF($Y$3="申万一级行业",[1]!s_info_industry_sw_2021(W4289,公司分析!D$5,1),IF($Y$3="申万二级行业",[1]!s_info_industry_sw_2021(W4289,公司分析!D$5,2),IF($Y$3="申万三级行业",[1]!s_info_industry_sw_2021(W4289,公司分析!D$5,3),IF($Y$3="wind一级行业",[1]!s_info_industry_gics(W4289,1),IF($Y$3="wind二级行业",[1]!s_info_industry_gics(W4289,2),IF($Y$3="wind三级行业",[1]!s_info_industry_gics(W4289,3),IF($Y$3="wind四级行业",[1]!s_info_industry_gics(W4289,4),IF($Y$3="证监会门类行业",[1]!s_info_industry_csrc12_n(W4289,公司分析!D$5,1),""))))))))</f>
        <v>计算机设备</v>
      </c>
      <c r="Z4289" s="302" t="str">
        <f ca="1">IF(Y4289=行业比较!$E$6,ROW(),"")</f>
        <v/>
      </c>
    </row>
    <row r="4290" spans="22:26">
      <c r="V4290" s="260">
        <f t="shared" ca="1" si="74"/>
        <v>0</v>
      </c>
      <c r="W4290" s="348" t="str">
        <f>IF(板块成分!B4292="","",板块成分!B4292)</f>
        <v>603661.SH</v>
      </c>
      <c r="X4290" s="276" t="str">
        <f>[1]!S_Info_Name(W4290)</f>
        <v>恒林股份</v>
      </c>
      <c r="Y4290" s="276" t="str">
        <f ca="1">IF($Y$3="申万一级行业",[1]!s_info_industry_sw_2021(W4290,公司分析!D$5,1),IF($Y$3="申万二级行业",[1]!s_info_industry_sw_2021(W4290,公司分析!D$5,2),IF($Y$3="申万三级行业",[1]!s_info_industry_sw_2021(W4290,公司分析!D$5,3),IF($Y$3="wind一级行业",[1]!s_info_industry_gics(W4290,1),IF($Y$3="wind二级行业",[1]!s_info_industry_gics(W4290,2),IF($Y$3="wind三级行业",[1]!s_info_industry_gics(W4290,3),IF($Y$3="wind四级行业",[1]!s_info_industry_gics(W4290,4),IF($Y$3="证监会门类行业",[1]!s_info_industry_csrc12_n(W4290,公司分析!D$5,1),""))))))))</f>
        <v>家居用品</v>
      </c>
      <c r="Z4290" s="302" t="str">
        <f ca="1">IF(Y4290=行业比较!$E$6,ROW(),"")</f>
        <v/>
      </c>
    </row>
    <row r="4291" spans="22:26">
      <c r="V4291" s="260">
        <f t="shared" ca="1" si="74"/>
        <v>0</v>
      </c>
      <c r="W4291" s="348" t="str">
        <f>IF(板块成分!B4293="","",板块成分!B4293)</f>
        <v>603662.SH</v>
      </c>
      <c r="X4291" s="276" t="str">
        <f>[1]!S_Info_Name(W4291)</f>
        <v>柯力传感</v>
      </c>
      <c r="Y4291" s="276" t="str">
        <f ca="1">IF($Y$3="申万一级行业",[1]!s_info_industry_sw_2021(W4291,公司分析!D$5,1),IF($Y$3="申万二级行业",[1]!s_info_industry_sw_2021(W4291,公司分析!D$5,2),IF($Y$3="申万三级行业",[1]!s_info_industry_sw_2021(W4291,公司分析!D$5,3),IF($Y$3="wind一级行业",[1]!s_info_industry_gics(W4291,1),IF($Y$3="wind二级行业",[1]!s_info_industry_gics(W4291,2),IF($Y$3="wind三级行业",[1]!s_info_industry_gics(W4291,3),IF($Y$3="wind四级行业",[1]!s_info_industry_gics(W4291,4),IF($Y$3="证监会门类行业",[1]!s_info_industry_csrc12_n(W4291,公司分析!D$5,1),""))))))))</f>
        <v>通用设备</v>
      </c>
      <c r="Z4291" s="302" t="str">
        <f ca="1">IF(Y4291=行业比较!$E$6,ROW(),"")</f>
        <v/>
      </c>
    </row>
    <row r="4292" spans="22:26">
      <c r="V4292" s="260">
        <f t="shared" ca="1" si="74"/>
        <v>0</v>
      </c>
      <c r="W4292" s="348" t="str">
        <f>IF(板块成分!B4294="","",板块成分!B4294)</f>
        <v>603663.SH</v>
      </c>
      <c r="X4292" s="276" t="str">
        <f>[1]!S_Info_Name(W4292)</f>
        <v>三祥新材</v>
      </c>
      <c r="Y4292" s="276" t="str">
        <f ca="1">IF($Y$3="申万一级行业",[1]!s_info_industry_sw_2021(W4292,公司分析!D$5,1),IF($Y$3="申万二级行业",[1]!s_info_industry_sw_2021(W4292,公司分析!D$5,2),IF($Y$3="申万三级行业",[1]!s_info_industry_sw_2021(W4292,公司分析!D$5,3),IF($Y$3="wind一级行业",[1]!s_info_industry_gics(W4292,1),IF($Y$3="wind二级行业",[1]!s_info_industry_gics(W4292,2),IF($Y$3="wind三级行业",[1]!s_info_industry_gics(W4292,3),IF($Y$3="wind四级行业",[1]!s_info_industry_gics(W4292,4),IF($Y$3="证监会门类行业",[1]!s_info_industry_csrc12_n(W4292,公司分析!D$5,1),""))))))))</f>
        <v>化学原料</v>
      </c>
      <c r="Z4292" s="302" t="str">
        <f ca="1">IF(Y4292=行业比较!$E$6,ROW(),"")</f>
        <v/>
      </c>
    </row>
    <row r="4293" spans="22:26">
      <c r="V4293" s="260">
        <f t="shared" ref="V4293:V4356" ca="1" si="75">IF(Z4293="",0,RANK(Z4293,Z:Z,1))</f>
        <v>0</v>
      </c>
      <c r="W4293" s="348" t="str">
        <f>IF(板块成分!B4295="","",板块成分!B4295)</f>
        <v>603665.SH</v>
      </c>
      <c r="X4293" s="276" t="str">
        <f>[1]!S_Info_Name(W4293)</f>
        <v>康隆达</v>
      </c>
      <c r="Y4293" s="276" t="str">
        <f ca="1">IF($Y$3="申万一级行业",[1]!s_info_industry_sw_2021(W4293,公司分析!D$5,1),IF($Y$3="申万二级行业",[1]!s_info_industry_sw_2021(W4293,公司分析!D$5,2),IF($Y$3="申万三级行业",[1]!s_info_industry_sw_2021(W4293,公司分析!D$5,3),IF($Y$3="wind一级行业",[1]!s_info_industry_gics(W4293,1),IF($Y$3="wind二级行业",[1]!s_info_industry_gics(W4293,2),IF($Y$3="wind三级行业",[1]!s_info_industry_gics(W4293,3),IF($Y$3="wind四级行业",[1]!s_info_industry_gics(W4293,4),IF($Y$3="证监会门类行业",[1]!s_info_industry_csrc12_n(W4293,公司分析!D$5,1),""))))))))</f>
        <v>服装家纺</v>
      </c>
      <c r="Z4293" s="302" t="str">
        <f ca="1">IF(Y4293=行业比较!$E$6,ROW(),"")</f>
        <v/>
      </c>
    </row>
    <row r="4294" spans="22:26">
      <c r="V4294" s="260">
        <f t="shared" ca="1" si="75"/>
        <v>0</v>
      </c>
      <c r="W4294" s="348" t="str">
        <f>IF(板块成分!B4296="","",板块成分!B4296)</f>
        <v>603666.SH</v>
      </c>
      <c r="X4294" s="276" t="str">
        <f>[1]!S_Info_Name(W4294)</f>
        <v>亿嘉和</v>
      </c>
      <c r="Y4294" s="276" t="str">
        <f ca="1">IF($Y$3="申万一级行业",[1]!s_info_industry_sw_2021(W4294,公司分析!D$5,1),IF($Y$3="申万二级行业",[1]!s_info_industry_sw_2021(W4294,公司分析!D$5,2),IF($Y$3="申万三级行业",[1]!s_info_industry_sw_2021(W4294,公司分析!D$5,3),IF($Y$3="wind一级行业",[1]!s_info_industry_gics(W4294,1),IF($Y$3="wind二级行业",[1]!s_info_industry_gics(W4294,2),IF($Y$3="wind三级行业",[1]!s_info_industry_gics(W4294,3),IF($Y$3="wind四级行业",[1]!s_info_industry_gics(W4294,4),IF($Y$3="证监会门类行业",[1]!s_info_industry_csrc12_n(W4294,公司分析!D$5,1),""))))))))</f>
        <v>自动化设备</v>
      </c>
      <c r="Z4294" s="302" t="str">
        <f ca="1">IF(Y4294=行业比较!$E$6,ROW(),"")</f>
        <v/>
      </c>
    </row>
    <row r="4295" spans="22:26">
      <c r="V4295" s="260">
        <f t="shared" ca="1" si="75"/>
        <v>0</v>
      </c>
      <c r="W4295" s="348" t="str">
        <f>IF(板块成分!B4297="","",板块成分!B4297)</f>
        <v>603667.SH</v>
      </c>
      <c r="X4295" s="276" t="str">
        <f>[1]!S_Info_Name(W4295)</f>
        <v>五洲新春</v>
      </c>
      <c r="Y4295" s="276" t="str">
        <f ca="1">IF($Y$3="申万一级行业",[1]!s_info_industry_sw_2021(W4295,公司分析!D$5,1),IF($Y$3="申万二级行业",[1]!s_info_industry_sw_2021(W4295,公司分析!D$5,2),IF($Y$3="申万三级行业",[1]!s_info_industry_sw_2021(W4295,公司分析!D$5,3),IF($Y$3="wind一级行业",[1]!s_info_industry_gics(W4295,1),IF($Y$3="wind二级行业",[1]!s_info_industry_gics(W4295,2),IF($Y$3="wind三级行业",[1]!s_info_industry_gics(W4295,3),IF($Y$3="wind四级行业",[1]!s_info_industry_gics(W4295,4),IF($Y$3="证监会门类行业",[1]!s_info_industry_csrc12_n(W4295,公司分析!D$5,1),""))))))))</f>
        <v>通用设备</v>
      </c>
      <c r="Z4295" s="302" t="str">
        <f ca="1">IF(Y4295=行业比较!$E$6,ROW(),"")</f>
        <v/>
      </c>
    </row>
    <row r="4296" spans="22:26">
      <c r="V4296" s="260">
        <f t="shared" ca="1" si="75"/>
        <v>0</v>
      </c>
      <c r="W4296" s="348" t="str">
        <f>IF(板块成分!B4298="","",板块成分!B4298)</f>
        <v>603668.SH</v>
      </c>
      <c r="X4296" s="276" t="str">
        <f>[1]!S_Info_Name(W4296)</f>
        <v>天马科技</v>
      </c>
      <c r="Y4296" s="276" t="str">
        <f ca="1">IF($Y$3="申万一级行业",[1]!s_info_industry_sw_2021(W4296,公司分析!D$5,1),IF($Y$3="申万二级行业",[1]!s_info_industry_sw_2021(W4296,公司分析!D$5,2),IF($Y$3="申万三级行业",[1]!s_info_industry_sw_2021(W4296,公司分析!D$5,3),IF($Y$3="wind一级行业",[1]!s_info_industry_gics(W4296,1),IF($Y$3="wind二级行业",[1]!s_info_industry_gics(W4296,2),IF($Y$3="wind三级行业",[1]!s_info_industry_gics(W4296,3),IF($Y$3="wind四级行业",[1]!s_info_industry_gics(W4296,4),IF($Y$3="证监会门类行业",[1]!s_info_industry_csrc12_n(W4296,公司分析!D$5,1),""))))))))</f>
        <v>饲料</v>
      </c>
      <c r="Z4296" s="302" t="str">
        <f ca="1">IF(Y4296=行业比较!$E$6,ROW(),"")</f>
        <v/>
      </c>
    </row>
    <row r="4297" spans="22:26">
      <c r="V4297" s="260">
        <f t="shared" ca="1" si="75"/>
        <v>0</v>
      </c>
      <c r="W4297" s="348" t="str">
        <f>IF(板块成分!B4299="","",板块成分!B4299)</f>
        <v>603669.SH</v>
      </c>
      <c r="X4297" s="276" t="str">
        <f>[1]!S_Info_Name(W4297)</f>
        <v>灵康药业</v>
      </c>
      <c r="Y4297" s="276" t="str">
        <f ca="1">IF($Y$3="申万一级行业",[1]!s_info_industry_sw_2021(W4297,公司分析!D$5,1),IF($Y$3="申万二级行业",[1]!s_info_industry_sw_2021(W4297,公司分析!D$5,2),IF($Y$3="申万三级行业",[1]!s_info_industry_sw_2021(W4297,公司分析!D$5,3),IF($Y$3="wind一级行业",[1]!s_info_industry_gics(W4297,1),IF($Y$3="wind二级行业",[1]!s_info_industry_gics(W4297,2),IF($Y$3="wind三级行业",[1]!s_info_industry_gics(W4297,3),IF($Y$3="wind四级行业",[1]!s_info_industry_gics(W4297,4),IF($Y$3="证监会门类行业",[1]!s_info_industry_csrc12_n(W4297,公司分析!D$5,1),""))))))))</f>
        <v>化学制药</v>
      </c>
      <c r="Z4297" s="302" t="str">
        <f ca="1">IF(Y4297=行业比较!$E$6,ROW(),"")</f>
        <v/>
      </c>
    </row>
    <row r="4298" spans="22:26">
      <c r="V4298" s="260">
        <f t="shared" ca="1" si="75"/>
        <v>0</v>
      </c>
      <c r="W4298" s="348" t="str">
        <f>IF(板块成分!B4300="","",板块成分!B4300)</f>
        <v>603676.SH</v>
      </c>
      <c r="X4298" s="276" t="str">
        <f>[1]!S_Info_Name(W4298)</f>
        <v>卫信康</v>
      </c>
      <c r="Y4298" s="276" t="str">
        <f ca="1">IF($Y$3="申万一级行业",[1]!s_info_industry_sw_2021(W4298,公司分析!D$5,1),IF($Y$3="申万二级行业",[1]!s_info_industry_sw_2021(W4298,公司分析!D$5,2),IF($Y$3="申万三级行业",[1]!s_info_industry_sw_2021(W4298,公司分析!D$5,3),IF($Y$3="wind一级行业",[1]!s_info_industry_gics(W4298,1),IF($Y$3="wind二级行业",[1]!s_info_industry_gics(W4298,2),IF($Y$3="wind三级行业",[1]!s_info_industry_gics(W4298,3),IF($Y$3="wind四级行业",[1]!s_info_industry_gics(W4298,4),IF($Y$3="证监会门类行业",[1]!s_info_industry_csrc12_n(W4298,公司分析!D$5,1),""))))))))</f>
        <v>化学制药</v>
      </c>
      <c r="Z4298" s="302" t="str">
        <f ca="1">IF(Y4298=行业比较!$E$6,ROW(),"")</f>
        <v/>
      </c>
    </row>
    <row r="4299" spans="22:26">
      <c r="V4299" s="260">
        <f t="shared" ca="1" si="75"/>
        <v>0</v>
      </c>
      <c r="W4299" s="348" t="str">
        <f>IF(板块成分!B4301="","",板块成分!B4301)</f>
        <v>603677.SH</v>
      </c>
      <c r="X4299" s="276" t="str">
        <f>[1]!S_Info_Name(W4299)</f>
        <v>奇精机械</v>
      </c>
      <c r="Y4299" s="276" t="str">
        <f ca="1">IF($Y$3="申万一级行业",[1]!s_info_industry_sw_2021(W4299,公司分析!D$5,1),IF($Y$3="申万二级行业",[1]!s_info_industry_sw_2021(W4299,公司分析!D$5,2),IF($Y$3="申万三级行业",[1]!s_info_industry_sw_2021(W4299,公司分析!D$5,3),IF($Y$3="wind一级行业",[1]!s_info_industry_gics(W4299,1),IF($Y$3="wind二级行业",[1]!s_info_industry_gics(W4299,2),IF($Y$3="wind三级行业",[1]!s_info_industry_gics(W4299,3),IF($Y$3="wind四级行业",[1]!s_info_industry_gics(W4299,4),IF($Y$3="证监会门类行业",[1]!s_info_industry_csrc12_n(W4299,公司分析!D$5,1),""))))))))</f>
        <v>家电零部件Ⅱ</v>
      </c>
      <c r="Z4299" s="302" t="str">
        <f ca="1">IF(Y4299=行业比较!$E$6,ROW(),"")</f>
        <v/>
      </c>
    </row>
    <row r="4300" spans="22:26">
      <c r="V4300" s="260">
        <f t="shared" ca="1" si="75"/>
        <v>0</v>
      </c>
      <c r="W4300" s="348" t="str">
        <f>IF(板块成分!B4302="","",板块成分!B4302)</f>
        <v>603678.SH</v>
      </c>
      <c r="X4300" s="276" t="str">
        <f>[1]!S_Info_Name(W4300)</f>
        <v>火炬电子</v>
      </c>
      <c r="Y4300" s="276" t="str">
        <f ca="1">IF($Y$3="申万一级行业",[1]!s_info_industry_sw_2021(W4300,公司分析!D$5,1),IF($Y$3="申万二级行业",[1]!s_info_industry_sw_2021(W4300,公司分析!D$5,2),IF($Y$3="申万三级行业",[1]!s_info_industry_sw_2021(W4300,公司分析!D$5,3),IF($Y$3="wind一级行业",[1]!s_info_industry_gics(W4300,1),IF($Y$3="wind二级行业",[1]!s_info_industry_gics(W4300,2),IF($Y$3="wind三级行业",[1]!s_info_industry_gics(W4300,3),IF($Y$3="wind四级行业",[1]!s_info_industry_gics(W4300,4),IF($Y$3="证监会门类行业",[1]!s_info_industry_csrc12_n(W4300,公司分析!D$5,1),""))))))))</f>
        <v>军工电子Ⅱ</v>
      </c>
      <c r="Z4300" s="302" t="str">
        <f ca="1">IF(Y4300=行业比较!$E$6,ROW(),"")</f>
        <v/>
      </c>
    </row>
    <row r="4301" spans="22:26">
      <c r="V4301" s="260">
        <f t="shared" ca="1" si="75"/>
        <v>0</v>
      </c>
      <c r="W4301" s="348" t="str">
        <f>IF(板块成分!B4303="","",板块成分!B4303)</f>
        <v>603679.SH</v>
      </c>
      <c r="X4301" s="276" t="str">
        <f>[1]!S_Info_Name(W4301)</f>
        <v>华体科技</v>
      </c>
      <c r="Y4301" s="276" t="str">
        <f ca="1">IF($Y$3="申万一级行业",[1]!s_info_industry_sw_2021(W4301,公司分析!D$5,1),IF($Y$3="申万二级行业",[1]!s_info_industry_sw_2021(W4301,公司分析!D$5,2),IF($Y$3="申万三级行业",[1]!s_info_industry_sw_2021(W4301,公司分析!D$5,3),IF($Y$3="wind一级行业",[1]!s_info_industry_gics(W4301,1),IF($Y$3="wind二级行业",[1]!s_info_industry_gics(W4301,2),IF($Y$3="wind三级行业",[1]!s_info_industry_gics(W4301,3),IF($Y$3="wind四级行业",[1]!s_info_industry_gics(W4301,4),IF($Y$3="证监会门类行业",[1]!s_info_industry_csrc12_n(W4301,公司分析!D$5,1),""))))))))</f>
        <v>光学光电子</v>
      </c>
      <c r="Z4301" s="302" t="str">
        <f ca="1">IF(Y4301=行业比较!$E$6,ROW(),"")</f>
        <v/>
      </c>
    </row>
    <row r="4302" spans="22:26">
      <c r="V4302" s="260">
        <f t="shared" ca="1" si="75"/>
        <v>0</v>
      </c>
      <c r="W4302" s="348" t="str">
        <f>IF(板块成分!B4304="","",板块成分!B4304)</f>
        <v>603680.SH</v>
      </c>
      <c r="X4302" s="276" t="str">
        <f>[1]!S_Info_Name(W4302)</f>
        <v>今创集团</v>
      </c>
      <c r="Y4302" s="276" t="str">
        <f ca="1">IF($Y$3="申万一级行业",[1]!s_info_industry_sw_2021(W4302,公司分析!D$5,1),IF($Y$3="申万二级行业",[1]!s_info_industry_sw_2021(W4302,公司分析!D$5,2),IF($Y$3="申万三级行业",[1]!s_info_industry_sw_2021(W4302,公司分析!D$5,3),IF($Y$3="wind一级行业",[1]!s_info_industry_gics(W4302,1),IF($Y$3="wind二级行业",[1]!s_info_industry_gics(W4302,2),IF($Y$3="wind三级行业",[1]!s_info_industry_gics(W4302,3),IF($Y$3="wind四级行业",[1]!s_info_industry_gics(W4302,4),IF($Y$3="证监会门类行业",[1]!s_info_industry_csrc12_n(W4302,公司分析!D$5,1),""))))))))</f>
        <v>轨交设备Ⅱ</v>
      </c>
      <c r="Z4302" s="302" t="str">
        <f ca="1">IF(Y4302=行业比较!$E$6,ROW(),"")</f>
        <v/>
      </c>
    </row>
    <row r="4303" spans="22:26">
      <c r="V4303" s="260">
        <f t="shared" ca="1" si="75"/>
        <v>0</v>
      </c>
      <c r="W4303" s="348" t="str">
        <f>IF(板块成分!B4305="","",板块成分!B4305)</f>
        <v>603681.SH</v>
      </c>
      <c r="X4303" s="276" t="str">
        <f>[1]!S_Info_Name(W4303)</f>
        <v>永冠新材</v>
      </c>
      <c r="Y4303" s="276" t="str">
        <f ca="1">IF($Y$3="申万一级行业",[1]!s_info_industry_sw_2021(W4303,公司分析!D$5,1),IF($Y$3="申万二级行业",[1]!s_info_industry_sw_2021(W4303,公司分析!D$5,2),IF($Y$3="申万三级行业",[1]!s_info_industry_sw_2021(W4303,公司分析!D$5,3),IF($Y$3="wind一级行业",[1]!s_info_industry_gics(W4303,1),IF($Y$3="wind二级行业",[1]!s_info_industry_gics(W4303,2),IF($Y$3="wind三级行业",[1]!s_info_industry_gics(W4303,3),IF($Y$3="wind四级行业",[1]!s_info_industry_gics(W4303,4),IF($Y$3="证监会门类行业",[1]!s_info_industry_csrc12_n(W4303,公司分析!D$5,1),""))))))))</f>
        <v>化学制品</v>
      </c>
      <c r="Z4303" s="302" t="str">
        <f ca="1">IF(Y4303=行业比较!$E$6,ROW(),"")</f>
        <v/>
      </c>
    </row>
    <row r="4304" spans="22:26">
      <c r="V4304" s="260">
        <f t="shared" ca="1" si="75"/>
        <v>0</v>
      </c>
      <c r="W4304" s="348" t="str">
        <f>IF(板块成分!B4306="","",板块成分!B4306)</f>
        <v>603682.SH</v>
      </c>
      <c r="X4304" s="276" t="str">
        <f>[1]!S_Info_Name(W4304)</f>
        <v>锦和商管</v>
      </c>
      <c r="Y4304" s="276" t="str">
        <f ca="1">IF($Y$3="申万一级行业",[1]!s_info_industry_sw_2021(W4304,公司分析!D$5,1),IF($Y$3="申万二级行业",[1]!s_info_industry_sw_2021(W4304,公司分析!D$5,2),IF($Y$3="申万三级行业",[1]!s_info_industry_sw_2021(W4304,公司分析!D$5,3),IF($Y$3="wind一级行业",[1]!s_info_industry_gics(W4304,1),IF($Y$3="wind二级行业",[1]!s_info_industry_gics(W4304,2),IF($Y$3="wind三级行业",[1]!s_info_industry_gics(W4304,3),IF($Y$3="wind四级行业",[1]!s_info_industry_gics(W4304,4),IF($Y$3="证监会门类行业",[1]!s_info_industry_csrc12_n(W4304,公司分析!D$5,1),""))))))))</f>
        <v>一般零售</v>
      </c>
      <c r="Z4304" s="302" t="str">
        <f ca="1">IF(Y4304=行业比较!$E$6,ROW(),"")</f>
        <v/>
      </c>
    </row>
    <row r="4305" spans="22:26">
      <c r="V4305" s="260">
        <f t="shared" ca="1" si="75"/>
        <v>0</v>
      </c>
      <c r="W4305" s="348" t="str">
        <f>IF(板块成分!B4307="","",板块成分!B4307)</f>
        <v>603683.SH</v>
      </c>
      <c r="X4305" s="276" t="str">
        <f>[1]!S_Info_Name(W4305)</f>
        <v>晶华新材</v>
      </c>
      <c r="Y4305" s="276" t="str">
        <f ca="1">IF($Y$3="申万一级行业",[1]!s_info_industry_sw_2021(W4305,公司分析!D$5,1),IF($Y$3="申万二级行业",[1]!s_info_industry_sw_2021(W4305,公司分析!D$5,2),IF($Y$3="申万三级行业",[1]!s_info_industry_sw_2021(W4305,公司分析!D$5,3),IF($Y$3="wind一级行业",[1]!s_info_industry_gics(W4305,1),IF($Y$3="wind二级行业",[1]!s_info_industry_gics(W4305,2),IF($Y$3="wind三级行业",[1]!s_info_industry_gics(W4305,3),IF($Y$3="wind四级行业",[1]!s_info_industry_gics(W4305,4),IF($Y$3="证监会门类行业",[1]!s_info_industry_csrc12_n(W4305,公司分析!D$5,1),""))))))))</f>
        <v>化学制品</v>
      </c>
      <c r="Z4305" s="302" t="str">
        <f ca="1">IF(Y4305=行业比较!$E$6,ROW(),"")</f>
        <v/>
      </c>
    </row>
    <row r="4306" spans="22:26">
      <c r="V4306" s="260">
        <f t="shared" ca="1" si="75"/>
        <v>0</v>
      </c>
      <c r="W4306" s="348" t="str">
        <f>IF(板块成分!B4308="","",板块成分!B4308)</f>
        <v>603685.SH</v>
      </c>
      <c r="X4306" s="276" t="str">
        <f>[1]!S_Info_Name(W4306)</f>
        <v>晨丰科技</v>
      </c>
      <c r="Y4306" s="276" t="str">
        <f ca="1">IF($Y$3="申万一级行业",[1]!s_info_industry_sw_2021(W4306,公司分析!D$5,1),IF($Y$3="申万二级行业",[1]!s_info_industry_sw_2021(W4306,公司分析!D$5,2),IF($Y$3="申万三级行业",[1]!s_info_industry_sw_2021(W4306,公司分析!D$5,3),IF($Y$3="wind一级行业",[1]!s_info_industry_gics(W4306,1),IF($Y$3="wind二级行业",[1]!s_info_industry_gics(W4306,2),IF($Y$3="wind三级行业",[1]!s_info_industry_gics(W4306,3),IF($Y$3="wind四级行业",[1]!s_info_industry_gics(W4306,4),IF($Y$3="证监会门类行业",[1]!s_info_industry_csrc12_n(W4306,公司分析!D$5,1),""))))))))</f>
        <v>光学光电子</v>
      </c>
      <c r="Z4306" s="302" t="str">
        <f ca="1">IF(Y4306=行业比较!$E$6,ROW(),"")</f>
        <v/>
      </c>
    </row>
    <row r="4307" spans="22:26">
      <c r="V4307" s="260">
        <f t="shared" ca="1" si="75"/>
        <v>0</v>
      </c>
      <c r="W4307" s="348" t="str">
        <f>IF(板块成分!B4309="","",板块成分!B4309)</f>
        <v>603686.SH</v>
      </c>
      <c r="X4307" s="276" t="str">
        <f>[1]!S_Info_Name(W4307)</f>
        <v>福龙马</v>
      </c>
      <c r="Y4307" s="276" t="str">
        <f ca="1">IF($Y$3="申万一级行业",[1]!s_info_industry_sw_2021(W4307,公司分析!D$5,1),IF($Y$3="申万二级行业",[1]!s_info_industry_sw_2021(W4307,公司分析!D$5,2),IF($Y$3="申万三级行业",[1]!s_info_industry_sw_2021(W4307,公司分析!D$5,3),IF($Y$3="wind一级行业",[1]!s_info_industry_gics(W4307,1),IF($Y$3="wind二级行业",[1]!s_info_industry_gics(W4307,2),IF($Y$3="wind三级行业",[1]!s_info_industry_gics(W4307,3),IF($Y$3="wind四级行业",[1]!s_info_industry_gics(W4307,4),IF($Y$3="证监会门类行业",[1]!s_info_industry_csrc12_n(W4307,公司分析!D$5,1),""))))))))</f>
        <v>环境治理</v>
      </c>
      <c r="Z4307" s="302" t="str">
        <f ca="1">IF(Y4307=行业比较!$E$6,ROW(),"")</f>
        <v/>
      </c>
    </row>
    <row r="4308" spans="22:26">
      <c r="V4308" s="260">
        <f t="shared" ca="1" si="75"/>
        <v>0</v>
      </c>
      <c r="W4308" s="348" t="str">
        <f>IF(板块成分!B4310="","",板块成分!B4310)</f>
        <v>603687.SH</v>
      </c>
      <c r="X4308" s="276" t="str">
        <f>[1]!S_Info_Name(W4308)</f>
        <v>大胜达</v>
      </c>
      <c r="Y4308" s="276" t="str">
        <f ca="1">IF($Y$3="申万一级行业",[1]!s_info_industry_sw_2021(W4308,公司分析!D$5,1),IF($Y$3="申万二级行业",[1]!s_info_industry_sw_2021(W4308,公司分析!D$5,2),IF($Y$3="申万三级行业",[1]!s_info_industry_sw_2021(W4308,公司分析!D$5,3),IF($Y$3="wind一级行业",[1]!s_info_industry_gics(W4308,1),IF($Y$3="wind二级行业",[1]!s_info_industry_gics(W4308,2),IF($Y$3="wind三级行业",[1]!s_info_industry_gics(W4308,3),IF($Y$3="wind四级行业",[1]!s_info_industry_gics(W4308,4),IF($Y$3="证监会门类行业",[1]!s_info_industry_csrc12_n(W4308,公司分析!D$5,1),""))))))))</f>
        <v>包装印刷</v>
      </c>
      <c r="Z4308" s="302" t="str">
        <f ca="1">IF(Y4308=行业比较!$E$6,ROW(),"")</f>
        <v/>
      </c>
    </row>
    <row r="4309" spans="22:26">
      <c r="V4309" s="260">
        <f t="shared" ca="1" si="75"/>
        <v>0</v>
      </c>
      <c r="W4309" s="348" t="str">
        <f>IF(板块成分!B4311="","",板块成分!B4311)</f>
        <v>603688.SH</v>
      </c>
      <c r="X4309" s="276" t="str">
        <f>[1]!S_Info_Name(W4309)</f>
        <v>石英股份</v>
      </c>
      <c r="Y4309" s="276" t="str">
        <f ca="1">IF($Y$3="申万一级行业",[1]!s_info_industry_sw_2021(W4309,公司分析!D$5,1),IF($Y$3="申万二级行业",[1]!s_info_industry_sw_2021(W4309,公司分析!D$5,2),IF($Y$3="申万三级行业",[1]!s_info_industry_sw_2021(W4309,公司分析!D$5,3),IF($Y$3="wind一级行业",[1]!s_info_industry_gics(W4309,1),IF($Y$3="wind二级行业",[1]!s_info_industry_gics(W4309,2),IF($Y$3="wind三级行业",[1]!s_info_industry_gics(W4309,3),IF($Y$3="wind四级行业",[1]!s_info_industry_gics(W4309,4),IF($Y$3="证监会门类行业",[1]!s_info_industry_csrc12_n(W4309,公司分析!D$5,1),""))))))))</f>
        <v>非金属材料Ⅱ</v>
      </c>
      <c r="Z4309" s="302" t="str">
        <f ca="1">IF(Y4309=行业比较!$E$6,ROW(),"")</f>
        <v/>
      </c>
    </row>
    <row r="4310" spans="22:26">
      <c r="V4310" s="260">
        <f t="shared" ca="1" si="75"/>
        <v>0</v>
      </c>
      <c r="W4310" s="348" t="str">
        <f>IF(板块成分!B4312="","",板块成分!B4312)</f>
        <v>603689.SH</v>
      </c>
      <c r="X4310" s="276" t="str">
        <f>[1]!S_Info_Name(W4310)</f>
        <v>皖天然气</v>
      </c>
      <c r="Y4310" s="276" t="str">
        <f ca="1">IF($Y$3="申万一级行业",[1]!s_info_industry_sw_2021(W4310,公司分析!D$5,1),IF($Y$3="申万二级行业",[1]!s_info_industry_sw_2021(W4310,公司分析!D$5,2),IF($Y$3="申万三级行业",[1]!s_info_industry_sw_2021(W4310,公司分析!D$5,3),IF($Y$3="wind一级行业",[1]!s_info_industry_gics(W4310,1),IF($Y$3="wind二级行业",[1]!s_info_industry_gics(W4310,2),IF($Y$3="wind三级行业",[1]!s_info_industry_gics(W4310,3),IF($Y$3="wind四级行业",[1]!s_info_industry_gics(W4310,4),IF($Y$3="证监会门类行业",[1]!s_info_industry_csrc12_n(W4310,公司分析!D$5,1),""))))))))</f>
        <v>燃气Ⅱ</v>
      </c>
      <c r="Z4310" s="302" t="str">
        <f ca="1">IF(Y4310=行业比较!$E$6,ROW(),"")</f>
        <v/>
      </c>
    </row>
    <row r="4311" spans="22:26">
      <c r="V4311" s="260">
        <f t="shared" ca="1" si="75"/>
        <v>0</v>
      </c>
      <c r="W4311" s="348" t="str">
        <f>IF(板块成分!B4313="","",板块成分!B4313)</f>
        <v>603690.SH</v>
      </c>
      <c r="X4311" s="276" t="str">
        <f>[1]!S_Info_Name(W4311)</f>
        <v>至纯科技</v>
      </c>
      <c r="Y4311" s="276" t="str">
        <f ca="1">IF($Y$3="申万一级行业",[1]!s_info_industry_sw_2021(W4311,公司分析!D$5,1),IF($Y$3="申万二级行业",[1]!s_info_industry_sw_2021(W4311,公司分析!D$5,2),IF($Y$3="申万三级行业",[1]!s_info_industry_sw_2021(W4311,公司分析!D$5,3),IF($Y$3="wind一级行业",[1]!s_info_industry_gics(W4311,1),IF($Y$3="wind二级行业",[1]!s_info_industry_gics(W4311,2),IF($Y$3="wind三级行业",[1]!s_info_industry_gics(W4311,3),IF($Y$3="wind四级行业",[1]!s_info_industry_gics(W4311,4),IF($Y$3="证监会门类行业",[1]!s_info_industry_csrc12_n(W4311,公司分析!D$5,1),""))))))))</f>
        <v>半导体</v>
      </c>
      <c r="Z4311" s="302" t="str">
        <f ca="1">IF(Y4311=行业比较!$E$6,ROW(),"")</f>
        <v/>
      </c>
    </row>
    <row r="4312" spans="22:26">
      <c r="V4312" s="260">
        <f t="shared" ca="1" si="75"/>
        <v>0</v>
      </c>
      <c r="W4312" s="348" t="str">
        <f>IF(板块成分!B4314="","",板块成分!B4314)</f>
        <v>603693.SH</v>
      </c>
      <c r="X4312" s="276" t="str">
        <f>[1]!S_Info_Name(W4312)</f>
        <v>江苏新能</v>
      </c>
      <c r="Y4312" s="276" t="str">
        <f ca="1">IF($Y$3="申万一级行业",[1]!s_info_industry_sw_2021(W4312,公司分析!D$5,1),IF($Y$3="申万二级行业",[1]!s_info_industry_sw_2021(W4312,公司分析!D$5,2),IF($Y$3="申万三级行业",[1]!s_info_industry_sw_2021(W4312,公司分析!D$5,3),IF($Y$3="wind一级行业",[1]!s_info_industry_gics(W4312,1),IF($Y$3="wind二级行业",[1]!s_info_industry_gics(W4312,2),IF($Y$3="wind三级行业",[1]!s_info_industry_gics(W4312,3),IF($Y$3="wind四级行业",[1]!s_info_industry_gics(W4312,4),IF($Y$3="证监会门类行业",[1]!s_info_industry_csrc12_n(W4312,公司分析!D$5,1),""))))))))</f>
        <v>电力</v>
      </c>
      <c r="Z4312" s="302" t="str">
        <f ca="1">IF(Y4312=行业比较!$E$6,ROW(),"")</f>
        <v/>
      </c>
    </row>
    <row r="4313" spans="22:26">
      <c r="V4313" s="260">
        <f t="shared" ca="1" si="75"/>
        <v>0</v>
      </c>
      <c r="W4313" s="348" t="str">
        <f>IF(板块成分!B4315="","",板块成分!B4315)</f>
        <v>603696.SH</v>
      </c>
      <c r="X4313" s="276" t="str">
        <f>[1]!S_Info_Name(W4313)</f>
        <v>安记食品</v>
      </c>
      <c r="Y4313" s="276" t="str">
        <f ca="1">IF($Y$3="申万一级行业",[1]!s_info_industry_sw_2021(W4313,公司分析!D$5,1),IF($Y$3="申万二级行业",[1]!s_info_industry_sw_2021(W4313,公司分析!D$5,2),IF($Y$3="申万三级行业",[1]!s_info_industry_sw_2021(W4313,公司分析!D$5,3),IF($Y$3="wind一级行业",[1]!s_info_industry_gics(W4313,1),IF($Y$3="wind二级行业",[1]!s_info_industry_gics(W4313,2),IF($Y$3="wind三级行业",[1]!s_info_industry_gics(W4313,3),IF($Y$3="wind四级行业",[1]!s_info_industry_gics(W4313,4),IF($Y$3="证监会门类行业",[1]!s_info_industry_csrc12_n(W4313,公司分析!D$5,1),""))))))))</f>
        <v>调味发酵品Ⅱ</v>
      </c>
      <c r="Z4313" s="302" t="str">
        <f ca="1">IF(Y4313=行业比较!$E$6,ROW(),"")</f>
        <v/>
      </c>
    </row>
    <row r="4314" spans="22:26">
      <c r="V4314" s="260">
        <f t="shared" ca="1" si="75"/>
        <v>0</v>
      </c>
      <c r="W4314" s="348" t="str">
        <f>IF(板块成分!B4316="","",板块成分!B4316)</f>
        <v>603697.SH</v>
      </c>
      <c r="X4314" s="276" t="str">
        <f>[1]!S_Info_Name(W4314)</f>
        <v>有友食品</v>
      </c>
      <c r="Y4314" s="276" t="str">
        <f ca="1">IF($Y$3="申万一级行业",[1]!s_info_industry_sw_2021(W4314,公司分析!D$5,1),IF($Y$3="申万二级行业",[1]!s_info_industry_sw_2021(W4314,公司分析!D$5,2),IF($Y$3="申万三级行业",[1]!s_info_industry_sw_2021(W4314,公司分析!D$5,3),IF($Y$3="wind一级行业",[1]!s_info_industry_gics(W4314,1),IF($Y$3="wind二级行业",[1]!s_info_industry_gics(W4314,2),IF($Y$3="wind三级行业",[1]!s_info_industry_gics(W4314,3),IF($Y$3="wind四级行业",[1]!s_info_industry_gics(W4314,4),IF($Y$3="证监会门类行业",[1]!s_info_industry_csrc12_n(W4314,公司分析!D$5,1),""))))))))</f>
        <v>休闲食品</v>
      </c>
      <c r="Z4314" s="302" t="str">
        <f ca="1">IF(Y4314=行业比较!$E$6,ROW(),"")</f>
        <v/>
      </c>
    </row>
    <row r="4315" spans="22:26">
      <c r="V4315" s="260">
        <f t="shared" ca="1" si="75"/>
        <v>0</v>
      </c>
      <c r="W4315" s="348" t="str">
        <f>IF(板块成分!B4317="","",板块成分!B4317)</f>
        <v>603698.SH</v>
      </c>
      <c r="X4315" s="276" t="str">
        <f>[1]!S_Info_Name(W4315)</f>
        <v>航天工程</v>
      </c>
      <c r="Y4315" s="276" t="str">
        <f ca="1">IF($Y$3="申万一级行业",[1]!s_info_industry_sw_2021(W4315,公司分析!D$5,1),IF($Y$3="申万二级行业",[1]!s_info_industry_sw_2021(W4315,公司分析!D$5,2),IF($Y$3="申万三级行业",[1]!s_info_industry_sw_2021(W4315,公司分析!D$5,3),IF($Y$3="wind一级行业",[1]!s_info_industry_gics(W4315,1),IF($Y$3="wind二级行业",[1]!s_info_industry_gics(W4315,2),IF($Y$3="wind三级行业",[1]!s_info_industry_gics(W4315,3),IF($Y$3="wind四级行业",[1]!s_info_industry_gics(W4315,4),IF($Y$3="证监会门类行业",[1]!s_info_industry_csrc12_n(W4315,公司分析!D$5,1),""))))))))</f>
        <v>专用设备</v>
      </c>
      <c r="Z4315" s="302" t="str">
        <f ca="1">IF(Y4315=行业比较!$E$6,ROW(),"")</f>
        <v/>
      </c>
    </row>
    <row r="4316" spans="22:26">
      <c r="V4316" s="260">
        <f t="shared" ca="1" si="75"/>
        <v>0</v>
      </c>
      <c r="W4316" s="348" t="str">
        <f>IF(板块成分!B4318="","",板块成分!B4318)</f>
        <v>603699.SH</v>
      </c>
      <c r="X4316" s="276" t="str">
        <f>[1]!S_Info_Name(W4316)</f>
        <v>纽威股份</v>
      </c>
      <c r="Y4316" s="276" t="str">
        <f ca="1">IF($Y$3="申万一级行业",[1]!s_info_industry_sw_2021(W4316,公司分析!D$5,1),IF($Y$3="申万二级行业",[1]!s_info_industry_sw_2021(W4316,公司分析!D$5,2),IF($Y$3="申万三级行业",[1]!s_info_industry_sw_2021(W4316,公司分析!D$5,3),IF($Y$3="wind一级行业",[1]!s_info_industry_gics(W4316,1),IF($Y$3="wind二级行业",[1]!s_info_industry_gics(W4316,2),IF($Y$3="wind三级行业",[1]!s_info_industry_gics(W4316,3),IF($Y$3="wind四级行业",[1]!s_info_industry_gics(W4316,4),IF($Y$3="证监会门类行业",[1]!s_info_industry_csrc12_n(W4316,公司分析!D$5,1),""))))))))</f>
        <v>通用设备</v>
      </c>
      <c r="Z4316" s="302" t="str">
        <f ca="1">IF(Y4316=行业比较!$E$6,ROW(),"")</f>
        <v/>
      </c>
    </row>
    <row r="4317" spans="22:26">
      <c r="V4317" s="260">
        <f t="shared" ca="1" si="75"/>
        <v>0</v>
      </c>
      <c r="W4317" s="348" t="str">
        <f>IF(板块成分!B4319="","",板块成分!B4319)</f>
        <v>603700.SH</v>
      </c>
      <c r="X4317" s="276" t="str">
        <f>[1]!S_Info_Name(W4317)</f>
        <v>宁水集团</v>
      </c>
      <c r="Y4317" s="276" t="str">
        <f ca="1">IF($Y$3="申万一级行业",[1]!s_info_industry_sw_2021(W4317,公司分析!D$5,1),IF($Y$3="申万二级行业",[1]!s_info_industry_sw_2021(W4317,公司分析!D$5,2),IF($Y$3="申万三级行业",[1]!s_info_industry_sw_2021(W4317,公司分析!D$5,3),IF($Y$3="wind一级行业",[1]!s_info_industry_gics(W4317,1),IF($Y$3="wind二级行业",[1]!s_info_industry_gics(W4317,2),IF($Y$3="wind三级行业",[1]!s_info_industry_gics(W4317,3),IF($Y$3="wind四级行业",[1]!s_info_industry_gics(W4317,4),IF($Y$3="证监会门类行业",[1]!s_info_industry_csrc12_n(W4317,公司分析!D$5,1),""))))))))</f>
        <v>通用设备</v>
      </c>
      <c r="Z4317" s="302" t="str">
        <f ca="1">IF(Y4317=行业比较!$E$6,ROW(),"")</f>
        <v/>
      </c>
    </row>
    <row r="4318" spans="22:26">
      <c r="V4318" s="260">
        <f t="shared" ca="1" si="75"/>
        <v>0</v>
      </c>
      <c r="W4318" s="348" t="str">
        <f>IF(板块成分!B4320="","",板块成分!B4320)</f>
        <v>603701.SH</v>
      </c>
      <c r="X4318" s="276" t="str">
        <f>[1]!S_Info_Name(W4318)</f>
        <v>德宏股份</v>
      </c>
      <c r="Y4318" s="276" t="str">
        <f ca="1">IF($Y$3="申万一级行业",[1]!s_info_industry_sw_2021(W4318,公司分析!D$5,1),IF($Y$3="申万二级行业",[1]!s_info_industry_sw_2021(W4318,公司分析!D$5,2),IF($Y$3="申万三级行业",[1]!s_info_industry_sw_2021(W4318,公司分析!D$5,3),IF($Y$3="wind一级行业",[1]!s_info_industry_gics(W4318,1),IF($Y$3="wind二级行业",[1]!s_info_industry_gics(W4318,2),IF($Y$3="wind三级行业",[1]!s_info_industry_gics(W4318,3),IF($Y$3="wind四级行业",[1]!s_info_industry_gics(W4318,4),IF($Y$3="证监会门类行业",[1]!s_info_industry_csrc12_n(W4318,公司分析!D$5,1),""))))))))</f>
        <v>汽车零部件</v>
      </c>
      <c r="Z4318" s="302" t="str">
        <f ca="1">IF(Y4318=行业比较!$E$6,ROW(),"")</f>
        <v/>
      </c>
    </row>
    <row r="4319" spans="22:26">
      <c r="V4319" s="260">
        <f t="shared" ca="1" si="75"/>
        <v>0</v>
      </c>
      <c r="W4319" s="348" t="str">
        <f>IF(板块成分!B4321="","",板块成分!B4321)</f>
        <v>603703.SH</v>
      </c>
      <c r="X4319" s="276" t="str">
        <f>[1]!S_Info_Name(W4319)</f>
        <v>盛洋科技</v>
      </c>
      <c r="Y4319" s="276" t="str">
        <f ca="1">IF($Y$3="申万一级行业",[1]!s_info_industry_sw_2021(W4319,公司分析!D$5,1),IF($Y$3="申万二级行业",[1]!s_info_industry_sw_2021(W4319,公司分析!D$5,2),IF($Y$3="申万三级行业",[1]!s_info_industry_sw_2021(W4319,公司分析!D$5,3),IF($Y$3="wind一级行业",[1]!s_info_industry_gics(W4319,1),IF($Y$3="wind二级行业",[1]!s_info_industry_gics(W4319,2),IF($Y$3="wind三级行业",[1]!s_info_industry_gics(W4319,3),IF($Y$3="wind四级行业",[1]!s_info_industry_gics(W4319,4),IF($Y$3="证监会门类行业",[1]!s_info_industry_csrc12_n(W4319,公司分析!D$5,1),""))))))))</f>
        <v>光学光电子</v>
      </c>
      <c r="Z4319" s="302" t="str">
        <f ca="1">IF(Y4319=行业比较!$E$6,ROW(),"")</f>
        <v/>
      </c>
    </row>
    <row r="4320" spans="22:26">
      <c r="V4320" s="260">
        <f t="shared" ca="1" si="75"/>
        <v>0</v>
      </c>
      <c r="W4320" s="348" t="str">
        <f>IF(板块成分!B4322="","",板块成分!B4322)</f>
        <v>603706.SH</v>
      </c>
      <c r="X4320" s="276" t="str">
        <f>[1]!S_Info_Name(W4320)</f>
        <v>东方环宇</v>
      </c>
      <c r="Y4320" s="276" t="str">
        <f ca="1">IF($Y$3="申万一级行业",[1]!s_info_industry_sw_2021(W4320,公司分析!D$5,1),IF($Y$3="申万二级行业",[1]!s_info_industry_sw_2021(W4320,公司分析!D$5,2),IF($Y$3="申万三级行业",[1]!s_info_industry_sw_2021(W4320,公司分析!D$5,3),IF($Y$3="wind一级行业",[1]!s_info_industry_gics(W4320,1),IF($Y$3="wind二级行业",[1]!s_info_industry_gics(W4320,2),IF($Y$3="wind三级行业",[1]!s_info_industry_gics(W4320,3),IF($Y$3="wind四级行业",[1]!s_info_industry_gics(W4320,4),IF($Y$3="证监会门类行业",[1]!s_info_industry_csrc12_n(W4320,公司分析!D$5,1),""))))))))</f>
        <v>燃气Ⅱ</v>
      </c>
      <c r="Z4320" s="302" t="str">
        <f ca="1">IF(Y4320=行业比较!$E$6,ROW(),"")</f>
        <v/>
      </c>
    </row>
    <row r="4321" spans="22:26">
      <c r="V4321" s="260">
        <f t="shared" ca="1" si="75"/>
        <v>0</v>
      </c>
      <c r="W4321" s="348" t="str">
        <f>IF(板块成分!B4323="","",板块成分!B4323)</f>
        <v>603707.SH</v>
      </c>
      <c r="X4321" s="276" t="str">
        <f>[1]!S_Info_Name(W4321)</f>
        <v>健友股份</v>
      </c>
      <c r="Y4321" s="276" t="str">
        <f ca="1">IF($Y$3="申万一级行业",[1]!s_info_industry_sw_2021(W4321,公司分析!D$5,1),IF($Y$3="申万二级行业",[1]!s_info_industry_sw_2021(W4321,公司分析!D$5,2),IF($Y$3="申万三级行业",[1]!s_info_industry_sw_2021(W4321,公司分析!D$5,3),IF($Y$3="wind一级行业",[1]!s_info_industry_gics(W4321,1),IF($Y$3="wind二级行业",[1]!s_info_industry_gics(W4321,2),IF($Y$3="wind三级行业",[1]!s_info_industry_gics(W4321,3),IF($Y$3="wind四级行业",[1]!s_info_industry_gics(W4321,4),IF($Y$3="证监会门类行业",[1]!s_info_industry_csrc12_n(W4321,公司分析!D$5,1),""))))))))</f>
        <v>化学制药</v>
      </c>
      <c r="Z4321" s="302" t="str">
        <f ca="1">IF(Y4321=行业比较!$E$6,ROW(),"")</f>
        <v/>
      </c>
    </row>
    <row r="4322" spans="22:26">
      <c r="V4322" s="260">
        <f t="shared" ca="1" si="75"/>
        <v>0</v>
      </c>
      <c r="W4322" s="348" t="str">
        <f>IF(板块成分!B4324="","",板块成分!B4324)</f>
        <v>603708.SH</v>
      </c>
      <c r="X4322" s="276" t="str">
        <f>[1]!S_Info_Name(W4322)</f>
        <v>家家悦</v>
      </c>
      <c r="Y4322" s="276" t="str">
        <f ca="1">IF($Y$3="申万一级行业",[1]!s_info_industry_sw_2021(W4322,公司分析!D$5,1),IF($Y$3="申万二级行业",[1]!s_info_industry_sw_2021(W4322,公司分析!D$5,2),IF($Y$3="申万三级行业",[1]!s_info_industry_sw_2021(W4322,公司分析!D$5,3),IF($Y$3="wind一级行业",[1]!s_info_industry_gics(W4322,1),IF($Y$3="wind二级行业",[1]!s_info_industry_gics(W4322,2),IF($Y$3="wind三级行业",[1]!s_info_industry_gics(W4322,3),IF($Y$3="wind四级行业",[1]!s_info_industry_gics(W4322,4),IF($Y$3="证监会门类行业",[1]!s_info_industry_csrc12_n(W4322,公司分析!D$5,1),""))))))))</f>
        <v>一般零售</v>
      </c>
      <c r="Z4322" s="302" t="str">
        <f ca="1">IF(Y4322=行业比较!$E$6,ROW(),"")</f>
        <v/>
      </c>
    </row>
    <row r="4323" spans="22:26">
      <c r="V4323" s="260">
        <f t="shared" ca="1" si="75"/>
        <v>0</v>
      </c>
      <c r="W4323" s="348" t="str">
        <f>IF(板块成分!B4325="","",板块成分!B4325)</f>
        <v>603709.SH</v>
      </c>
      <c r="X4323" s="276" t="str">
        <f>[1]!S_Info_Name(W4323)</f>
        <v>中源家居</v>
      </c>
      <c r="Y4323" s="276" t="str">
        <f ca="1">IF($Y$3="申万一级行业",[1]!s_info_industry_sw_2021(W4323,公司分析!D$5,1),IF($Y$3="申万二级行业",[1]!s_info_industry_sw_2021(W4323,公司分析!D$5,2),IF($Y$3="申万三级行业",[1]!s_info_industry_sw_2021(W4323,公司分析!D$5,3),IF($Y$3="wind一级行业",[1]!s_info_industry_gics(W4323,1),IF($Y$3="wind二级行业",[1]!s_info_industry_gics(W4323,2),IF($Y$3="wind三级行业",[1]!s_info_industry_gics(W4323,3),IF($Y$3="wind四级行业",[1]!s_info_industry_gics(W4323,4),IF($Y$3="证监会门类行业",[1]!s_info_industry_csrc12_n(W4323,公司分析!D$5,1),""))))))))</f>
        <v>家居用品</v>
      </c>
      <c r="Z4323" s="302" t="str">
        <f ca="1">IF(Y4323=行业比较!$E$6,ROW(),"")</f>
        <v/>
      </c>
    </row>
    <row r="4324" spans="22:26">
      <c r="V4324" s="260">
        <f t="shared" ca="1" si="75"/>
        <v>0</v>
      </c>
      <c r="W4324" s="348" t="str">
        <f>IF(板块成分!B4326="","",板块成分!B4326)</f>
        <v>603711.SH</v>
      </c>
      <c r="X4324" s="276" t="str">
        <f>[1]!S_Info_Name(W4324)</f>
        <v>香飘飘</v>
      </c>
      <c r="Y4324" s="276" t="str">
        <f ca="1">IF($Y$3="申万一级行业",[1]!s_info_industry_sw_2021(W4324,公司分析!D$5,1),IF($Y$3="申万二级行业",[1]!s_info_industry_sw_2021(W4324,公司分析!D$5,2),IF($Y$3="申万三级行业",[1]!s_info_industry_sw_2021(W4324,公司分析!D$5,3),IF($Y$3="wind一级行业",[1]!s_info_industry_gics(W4324,1),IF($Y$3="wind二级行业",[1]!s_info_industry_gics(W4324,2),IF($Y$3="wind三级行业",[1]!s_info_industry_gics(W4324,3),IF($Y$3="wind四级行业",[1]!s_info_industry_gics(W4324,4),IF($Y$3="证监会门类行业",[1]!s_info_industry_csrc12_n(W4324,公司分析!D$5,1),""))))))))</f>
        <v>饮料乳品</v>
      </c>
      <c r="Z4324" s="302" t="str">
        <f ca="1">IF(Y4324=行业比较!$E$6,ROW(),"")</f>
        <v/>
      </c>
    </row>
    <row r="4325" spans="22:26">
      <c r="V4325" s="260">
        <f t="shared" ca="1" si="75"/>
        <v>0</v>
      </c>
      <c r="W4325" s="348" t="str">
        <f>IF(板块成分!B4327="","",板块成分!B4327)</f>
        <v>603712.SH</v>
      </c>
      <c r="X4325" s="276" t="str">
        <f>[1]!S_Info_Name(W4325)</f>
        <v>七一二</v>
      </c>
      <c r="Y4325" s="276" t="str">
        <f ca="1">IF($Y$3="申万一级行业",[1]!s_info_industry_sw_2021(W4325,公司分析!D$5,1),IF($Y$3="申万二级行业",[1]!s_info_industry_sw_2021(W4325,公司分析!D$5,2),IF($Y$3="申万三级行业",[1]!s_info_industry_sw_2021(W4325,公司分析!D$5,3),IF($Y$3="wind一级行业",[1]!s_info_industry_gics(W4325,1),IF($Y$3="wind二级行业",[1]!s_info_industry_gics(W4325,2),IF($Y$3="wind三级行业",[1]!s_info_industry_gics(W4325,3),IF($Y$3="wind四级行业",[1]!s_info_industry_gics(W4325,4),IF($Y$3="证监会门类行业",[1]!s_info_industry_csrc12_n(W4325,公司分析!D$5,1),""))))))))</f>
        <v>军工电子Ⅱ</v>
      </c>
      <c r="Z4325" s="302" t="str">
        <f ca="1">IF(Y4325=行业比较!$E$6,ROW(),"")</f>
        <v/>
      </c>
    </row>
    <row r="4326" spans="22:26">
      <c r="V4326" s="260">
        <f t="shared" ca="1" si="75"/>
        <v>0</v>
      </c>
      <c r="W4326" s="348" t="str">
        <f>IF(板块成分!B4328="","",板块成分!B4328)</f>
        <v>603713.SH</v>
      </c>
      <c r="X4326" s="276" t="str">
        <f>[1]!S_Info_Name(W4326)</f>
        <v>密尔克卫</v>
      </c>
      <c r="Y4326" s="276" t="str">
        <f ca="1">IF($Y$3="申万一级行业",[1]!s_info_industry_sw_2021(W4326,公司分析!D$5,1),IF($Y$3="申万二级行业",[1]!s_info_industry_sw_2021(W4326,公司分析!D$5,2),IF($Y$3="申万三级行业",[1]!s_info_industry_sw_2021(W4326,公司分析!D$5,3),IF($Y$3="wind一级行业",[1]!s_info_industry_gics(W4326,1),IF($Y$3="wind二级行业",[1]!s_info_industry_gics(W4326,2),IF($Y$3="wind三级行业",[1]!s_info_industry_gics(W4326,3),IF($Y$3="wind四级行业",[1]!s_info_industry_gics(W4326,4),IF($Y$3="证监会门类行业",[1]!s_info_industry_csrc12_n(W4326,公司分析!D$5,1),""))))))))</f>
        <v>物流</v>
      </c>
      <c r="Z4326" s="302" t="str">
        <f ca="1">IF(Y4326=行业比较!$E$6,ROW(),"")</f>
        <v/>
      </c>
    </row>
    <row r="4327" spans="22:26">
      <c r="V4327" s="260">
        <f t="shared" ca="1" si="75"/>
        <v>0</v>
      </c>
      <c r="W4327" s="348" t="str">
        <f>IF(板块成分!B4329="","",板块成分!B4329)</f>
        <v>603716.SH</v>
      </c>
      <c r="X4327" s="276" t="str">
        <f>[1]!S_Info_Name(W4327)</f>
        <v>塞力医疗</v>
      </c>
      <c r="Y4327" s="276" t="str">
        <f ca="1">IF($Y$3="申万一级行业",[1]!s_info_industry_sw_2021(W4327,公司分析!D$5,1),IF($Y$3="申万二级行业",[1]!s_info_industry_sw_2021(W4327,公司分析!D$5,2),IF($Y$3="申万三级行业",[1]!s_info_industry_sw_2021(W4327,公司分析!D$5,3),IF($Y$3="wind一级行业",[1]!s_info_industry_gics(W4327,1),IF($Y$3="wind二级行业",[1]!s_info_industry_gics(W4327,2),IF($Y$3="wind三级行业",[1]!s_info_industry_gics(W4327,3),IF($Y$3="wind四级行业",[1]!s_info_industry_gics(W4327,4),IF($Y$3="证监会门类行业",[1]!s_info_industry_csrc12_n(W4327,公司分析!D$5,1),""))))))))</f>
        <v>医药商业</v>
      </c>
      <c r="Z4327" s="302" t="str">
        <f ca="1">IF(Y4327=行业比较!$E$6,ROW(),"")</f>
        <v/>
      </c>
    </row>
    <row r="4328" spans="22:26">
      <c r="V4328" s="260">
        <f t="shared" ca="1" si="75"/>
        <v>0</v>
      </c>
      <c r="W4328" s="348" t="str">
        <f>IF(板块成分!B4330="","",板块成分!B4330)</f>
        <v>603717.SH</v>
      </c>
      <c r="X4328" s="276" t="str">
        <f>[1]!S_Info_Name(W4328)</f>
        <v>天域生物</v>
      </c>
      <c r="Y4328" s="276" t="str">
        <f ca="1">IF($Y$3="申万一级行业",[1]!s_info_industry_sw_2021(W4328,公司分析!D$5,1),IF($Y$3="申万二级行业",[1]!s_info_industry_sw_2021(W4328,公司分析!D$5,2),IF($Y$3="申万三级行业",[1]!s_info_industry_sw_2021(W4328,公司分析!D$5,3),IF($Y$3="wind一级行业",[1]!s_info_industry_gics(W4328,1),IF($Y$3="wind二级行业",[1]!s_info_industry_gics(W4328,2),IF($Y$3="wind三级行业",[1]!s_info_industry_gics(W4328,3),IF($Y$3="wind四级行业",[1]!s_info_industry_gics(W4328,4),IF($Y$3="证监会门类行业",[1]!s_info_industry_csrc12_n(W4328,公司分析!D$5,1),""))))))))</f>
        <v>养殖业</v>
      </c>
      <c r="Z4328" s="302" t="str">
        <f ca="1">IF(Y4328=行业比较!$E$6,ROW(),"")</f>
        <v/>
      </c>
    </row>
    <row r="4329" spans="22:26">
      <c r="V4329" s="260">
        <f t="shared" ca="1" si="75"/>
        <v>0</v>
      </c>
      <c r="W4329" s="348" t="str">
        <f>IF(板块成分!B4331="","",板块成分!B4331)</f>
        <v>603718.SH</v>
      </c>
      <c r="X4329" s="276" t="str">
        <f>[1]!S_Info_Name(W4329)</f>
        <v>海利生物</v>
      </c>
      <c r="Y4329" s="276" t="str">
        <f ca="1">IF($Y$3="申万一级行业",[1]!s_info_industry_sw_2021(W4329,公司分析!D$5,1),IF($Y$3="申万二级行业",[1]!s_info_industry_sw_2021(W4329,公司分析!D$5,2),IF($Y$3="申万三级行业",[1]!s_info_industry_sw_2021(W4329,公司分析!D$5,3),IF($Y$3="wind一级行业",[1]!s_info_industry_gics(W4329,1),IF($Y$3="wind二级行业",[1]!s_info_industry_gics(W4329,2),IF($Y$3="wind三级行业",[1]!s_info_industry_gics(W4329,3),IF($Y$3="wind四级行业",[1]!s_info_industry_gics(W4329,4),IF($Y$3="证监会门类行业",[1]!s_info_industry_csrc12_n(W4329,公司分析!D$5,1),""))))))))</f>
        <v>医疗器械</v>
      </c>
      <c r="Z4329" s="302" t="str">
        <f ca="1">IF(Y4329=行业比较!$E$6,ROW(),"")</f>
        <v/>
      </c>
    </row>
    <row r="4330" spans="22:26">
      <c r="V4330" s="260">
        <f t="shared" ca="1" si="75"/>
        <v>0</v>
      </c>
      <c r="W4330" s="348" t="str">
        <f>IF(板块成分!B4332="","",板块成分!B4332)</f>
        <v>603719.SH</v>
      </c>
      <c r="X4330" s="276" t="str">
        <f>[1]!S_Info_Name(W4330)</f>
        <v>良品铺子</v>
      </c>
      <c r="Y4330" s="276" t="str">
        <f ca="1">IF($Y$3="申万一级行业",[1]!s_info_industry_sw_2021(W4330,公司分析!D$5,1),IF($Y$3="申万二级行业",[1]!s_info_industry_sw_2021(W4330,公司分析!D$5,2),IF($Y$3="申万三级行业",[1]!s_info_industry_sw_2021(W4330,公司分析!D$5,3),IF($Y$3="wind一级行业",[1]!s_info_industry_gics(W4330,1),IF($Y$3="wind二级行业",[1]!s_info_industry_gics(W4330,2),IF($Y$3="wind三级行业",[1]!s_info_industry_gics(W4330,3),IF($Y$3="wind四级行业",[1]!s_info_industry_gics(W4330,4),IF($Y$3="证监会门类行业",[1]!s_info_industry_csrc12_n(W4330,公司分析!D$5,1),""))))))))</f>
        <v>休闲食品</v>
      </c>
      <c r="Z4330" s="302" t="str">
        <f ca="1">IF(Y4330=行业比较!$E$6,ROW(),"")</f>
        <v/>
      </c>
    </row>
    <row r="4331" spans="22:26">
      <c r="V4331" s="260">
        <f t="shared" ca="1" si="75"/>
        <v>0</v>
      </c>
      <c r="W4331" s="348" t="str">
        <f>IF(板块成分!B4333="","",板块成分!B4333)</f>
        <v>603721.SH</v>
      </c>
      <c r="X4331" s="276" t="str">
        <f>[1]!S_Info_Name(W4331)</f>
        <v>*ST天择</v>
      </c>
      <c r="Y4331" s="276" t="str">
        <f ca="1">IF($Y$3="申万一级行业",[1]!s_info_industry_sw_2021(W4331,公司分析!D$5,1),IF($Y$3="申万二级行业",[1]!s_info_industry_sw_2021(W4331,公司分析!D$5,2),IF($Y$3="申万三级行业",[1]!s_info_industry_sw_2021(W4331,公司分析!D$5,3),IF($Y$3="wind一级行业",[1]!s_info_industry_gics(W4331,1),IF($Y$3="wind二级行业",[1]!s_info_industry_gics(W4331,2),IF($Y$3="wind三级行业",[1]!s_info_industry_gics(W4331,3),IF($Y$3="wind四级行业",[1]!s_info_industry_gics(W4331,4),IF($Y$3="证监会门类行业",[1]!s_info_industry_csrc12_n(W4331,公司分析!D$5,1),""))))))))</f>
        <v>影视院线</v>
      </c>
      <c r="Z4331" s="302" t="str">
        <f ca="1">IF(Y4331=行业比较!$E$6,ROW(),"")</f>
        <v/>
      </c>
    </row>
    <row r="4332" spans="22:26">
      <c r="V4332" s="260">
        <f t="shared" ca="1" si="75"/>
        <v>0</v>
      </c>
      <c r="W4332" s="348" t="str">
        <f>IF(板块成分!B4334="","",板块成分!B4334)</f>
        <v>603722.SH</v>
      </c>
      <c r="X4332" s="276" t="str">
        <f>[1]!S_Info_Name(W4332)</f>
        <v>阿科力</v>
      </c>
      <c r="Y4332" s="276" t="str">
        <f ca="1">IF($Y$3="申万一级行业",[1]!s_info_industry_sw_2021(W4332,公司分析!D$5,1),IF($Y$3="申万二级行业",[1]!s_info_industry_sw_2021(W4332,公司分析!D$5,2),IF($Y$3="申万三级行业",[1]!s_info_industry_sw_2021(W4332,公司分析!D$5,3),IF($Y$3="wind一级行业",[1]!s_info_industry_gics(W4332,1),IF($Y$3="wind二级行业",[1]!s_info_industry_gics(W4332,2),IF($Y$3="wind三级行业",[1]!s_info_industry_gics(W4332,3),IF($Y$3="wind四级行业",[1]!s_info_industry_gics(W4332,4),IF($Y$3="证监会门类行业",[1]!s_info_industry_csrc12_n(W4332,公司分析!D$5,1),""))))))))</f>
        <v>化学制品</v>
      </c>
      <c r="Z4332" s="302" t="str">
        <f ca="1">IF(Y4332=行业比较!$E$6,ROW(),"")</f>
        <v/>
      </c>
    </row>
    <row r="4333" spans="22:26">
      <c r="V4333" s="260">
        <f t="shared" ca="1" si="75"/>
        <v>0</v>
      </c>
      <c r="W4333" s="348" t="str">
        <f>IF(板块成分!B4335="","",板块成分!B4335)</f>
        <v>603725.SH</v>
      </c>
      <c r="X4333" s="276" t="str">
        <f>[1]!S_Info_Name(W4333)</f>
        <v>天安新材</v>
      </c>
      <c r="Y4333" s="276" t="str">
        <f ca="1">IF($Y$3="申万一级行业",[1]!s_info_industry_sw_2021(W4333,公司分析!D$5,1),IF($Y$3="申万二级行业",[1]!s_info_industry_sw_2021(W4333,公司分析!D$5,2),IF($Y$3="申万三级行业",[1]!s_info_industry_sw_2021(W4333,公司分析!D$5,3),IF($Y$3="wind一级行业",[1]!s_info_industry_gics(W4333,1),IF($Y$3="wind二级行业",[1]!s_info_industry_gics(W4333,2),IF($Y$3="wind三级行业",[1]!s_info_industry_gics(W4333,3),IF($Y$3="wind四级行业",[1]!s_info_industry_gics(W4333,4),IF($Y$3="证监会门类行业",[1]!s_info_industry_csrc12_n(W4333,公司分析!D$5,1),""))))))))</f>
        <v>家居用品</v>
      </c>
      <c r="Z4333" s="302" t="str">
        <f ca="1">IF(Y4333=行业比较!$E$6,ROW(),"")</f>
        <v/>
      </c>
    </row>
    <row r="4334" spans="22:26">
      <c r="V4334" s="260">
        <f t="shared" ca="1" si="75"/>
        <v>0</v>
      </c>
      <c r="W4334" s="348" t="str">
        <f>IF(板块成分!B4336="","",板块成分!B4336)</f>
        <v>603726.SH</v>
      </c>
      <c r="X4334" s="276" t="str">
        <f>[1]!S_Info_Name(W4334)</f>
        <v>朗迪集团</v>
      </c>
      <c r="Y4334" s="276" t="str">
        <f ca="1">IF($Y$3="申万一级行业",[1]!s_info_industry_sw_2021(W4334,公司分析!D$5,1),IF($Y$3="申万二级行业",[1]!s_info_industry_sw_2021(W4334,公司分析!D$5,2),IF($Y$3="申万三级行业",[1]!s_info_industry_sw_2021(W4334,公司分析!D$5,3),IF($Y$3="wind一级行业",[1]!s_info_industry_gics(W4334,1),IF($Y$3="wind二级行业",[1]!s_info_industry_gics(W4334,2),IF($Y$3="wind三级行业",[1]!s_info_industry_gics(W4334,3),IF($Y$3="wind四级行业",[1]!s_info_industry_gics(W4334,4),IF($Y$3="证监会门类行业",[1]!s_info_industry_csrc12_n(W4334,公司分析!D$5,1),""))))))))</f>
        <v>家电零部件Ⅱ</v>
      </c>
      <c r="Z4334" s="302" t="str">
        <f ca="1">IF(Y4334=行业比较!$E$6,ROW(),"")</f>
        <v/>
      </c>
    </row>
    <row r="4335" spans="22:26">
      <c r="V4335" s="260">
        <f t="shared" ca="1" si="75"/>
        <v>0</v>
      </c>
      <c r="W4335" s="348" t="str">
        <f>IF(板块成分!B4337="","",板块成分!B4337)</f>
        <v>603727.SH</v>
      </c>
      <c r="X4335" s="276" t="str">
        <f>[1]!S_Info_Name(W4335)</f>
        <v>博迈科</v>
      </c>
      <c r="Y4335" s="276" t="str">
        <f ca="1">IF($Y$3="申万一级行业",[1]!s_info_industry_sw_2021(W4335,公司分析!D$5,1),IF($Y$3="申万二级行业",[1]!s_info_industry_sw_2021(W4335,公司分析!D$5,2),IF($Y$3="申万三级行业",[1]!s_info_industry_sw_2021(W4335,公司分析!D$5,3),IF($Y$3="wind一级行业",[1]!s_info_industry_gics(W4335,1),IF($Y$3="wind二级行业",[1]!s_info_industry_gics(W4335,2),IF($Y$3="wind三级行业",[1]!s_info_industry_gics(W4335,3),IF($Y$3="wind四级行业",[1]!s_info_industry_gics(W4335,4),IF($Y$3="证监会门类行业",[1]!s_info_industry_csrc12_n(W4335,公司分析!D$5,1),""))))))))</f>
        <v>油服工程</v>
      </c>
      <c r="Z4335" s="302" t="str">
        <f ca="1">IF(Y4335=行业比较!$E$6,ROW(),"")</f>
        <v/>
      </c>
    </row>
    <row r="4336" spans="22:26">
      <c r="V4336" s="260">
        <f t="shared" ca="1" si="75"/>
        <v>0</v>
      </c>
      <c r="W4336" s="348" t="str">
        <f>IF(板块成分!B4338="","",板块成分!B4338)</f>
        <v>603728.SH</v>
      </c>
      <c r="X4336" s="276" t="str">
        <f>[1]!S_Info_Name(W4336)</f>
        <v>鸣志电器</v>
      </c>
      <c r="Y4336" s="276" t="str">
        <f ca="1">IF($Y$3="申万一级行业",[1]!s_info_industry_sw_2021(W4336,公司分析!D$5,1),IF($Y$3="申万二级行业",[1]!s_info_industry_sw_2021(W4336,公司分析!D$5,2),IF($Y$3="申万三级行业",[1]!s_info_industry_sw_2021(W4336,公司分析!D$5,3),IF($Y$3="wind一级行业",[1]!s_info_industry_gics(W4336,1),IF($Y$3="wind二级行业",[1]!s_info_industry_gics(W4336,2),IF($Y$3="wind三级行业",[1]!s_info_industry_gics(W4336,3),IF($Y$3="wind四级行业",[1]!s_info_industry_gics(W4336,4),IF($Y$3="证监会门类行业",[1]!s_info_industry_csrc12_n(W4336,公司分析!D$5,1),""))))))))</f>
        <v>电机Ⅱ</v>
      </c>
      <c r="Z4336" s="302" t="str">
        <f ca="1">IF(Y4336=行业比较!$E$6,ROW(),"")</f>
        <v/>
      </c>
    </row>
    <row r="4337" spans="22:26">
      <c r="V4337" s="260">
        <f t="shared" ca="1" si="75"/>
        <v>0</v>
      </c>
      <c r="W4337" s="348" t="str">
        <f>IF(板块成分!B4339="","",板块成分!B4339)</f>
        <v>603729.SH</v>
      </c>
      <c r="X4337" s="276" t="str">
        <f>[1]!S_Info_Name(W4337)</f>
        <v>龙韵股份</v>
      </c>
      <c r="Y4337" s="276" t="str">
        <f ca="1">IF($Y$3="申万一级行业",[1]!s_info_industry_sw_2021(W4337,公司分析!D$5,1),IF($Y$3="申万二级行业",[1]!s_info_industry_sw_2021(W4337,公司分析!D$5,2),IF($Y$3="申万三级行业",[1]!s_info_industry_sw_2021(W4337,公司分析!D$5,3),IF($Y$3="wind一级行业",[1]!s_info_industry_gics(W4337,1),IF($Y$3="wind二级行业",[1]!s_info_industry_gics(W4337,2),IF($Y$3="wind三级行业",[1]!s_info_industry_gics(W4337,3),IF($Y$3="wind四级行业",[1]!s_info_industry_gics(W4337,4),IF($Y$3="证监会门类行业",[1]!s_info_industry_csrc12_n(W4337,公司分析!D$5,1),""))))))))</f>
        <v>广告营销</v>
      </c>
      <c r="Z4337" s="302" t="str">
        <f ca="1">IF(Y4337=行业比较!$E$6,ROW(),"")</f>
        <v/>
      </c>
    </row>
    <row r="4338" spans="22:26">
      <c r="V4338" s="260">
        <f t="shared" ca="1" si="75"/>
        <v>0</v>
      </c>
      <c r="W4338" s="348" t="str">
        <f>IF(板块成分!B4340="","",板块成分!B4340)</f>
        <v>603730.SH</v>
      </c>
      <c r="X4338" s="276" t="str">
        <f>[1]!S_Info_Name(W4338)</f>
        <v>岱美股份</v>
      </c>
      <c r="Y4338" s="276" t="str">
        <f ca="1">IF($Y$3="申万一级行业",[1]!s_info_industry_sw_2021(W4338,公司分析!D$5,1),IF($Y$3="申万二级行业",[1]!s_info_industry_sw_2021(W4338,公司分析!D$5,2),IF($Y$3="申万三级行业",[1]!s_info_industry_sw_2021(W4338,公司分析!D$5,3),IF($Y$3="wind一级行业",[1]!s_info_industry_gics(W4338,1),IF($Y$3="wind二级行业",[1]!s_info_industry_gics(W4338,2),IF($Y$3="wind三级行业",[1]!s_info_industry_gics(W4338,3),IF($Y$3="wind四级行业",[1]!s_info_industry_gics(W4338,4),IF($Y$3="证监会门类行业",[1]!s_info_industry_csrc12_n(W4338,公司分析!D$5,1),""))))))))</f>
        <v>汽车零部件</v>
      </c>
      <c r="Z4338" s="302" t="str">
        <f ca="1">IF(Y4338=行业比较!$E$6,ROW(),"")</f>
        <v/>
      </c>
    </row>
    <row r="4339" spans="22:26">
      <c r="V4339" s="260">
        <f t="shared" ca="1" si="75"/>
        <v>0</v>
      </c>
      <c r="W4339" s="348" t="str">
        <f>IF(板块成分!B4341="","",板块成分!B4341)</f>
        <v>603733.SH</v>
      </c>
      <c r="X4339" s="276" t="str">
        <f>[1]!S_Info_Name(W4339)</f>
        <v>仙鹤股份</v>
      </c>
      <c r="Y4339" s="276" t="str">
        <f ca="1">IF($Y$3="申万一级行业",[1]!s_info_industry_sw_2021(W4339,公司分析!D$5,1),IF($Y$3="申万二级行业",[1]!s_info_industry_sw_2021(W4339,公司分析!D$5,2),IF($Y$3="申万三级行业",[1]!s_info_industry_sw_2021(W4339,公司分析!D$5,3),IF($Y$3="wind一级行业",[1]!s_info_industry_gics(W4339,1),IF($Y$3="wind二级行业",[1]!s_info_industry_gics(W4339,2),IF($Y$3="wind三级行业",[1]!s_info_industry_gics(W4339,3),IF($Y$3="wind四级行业",[1]!s_info_industry_gics(W4339,4),IF($Y$3="证监会门类行业",[1]!s_info_industry_csrc12_n(W4339,公司分析!D$5,1),""))))))))</f>
        <v>造纸</v>
      </c>
      <c r="Z4339" s="302" t="str">
        <f ca="1">IF(Y4339=行业比较!$E$6,ROW(),"")</f>
        <v/>
      </c>
    </row>
    <row r="4340" spans="22:26">
      <c r="V4340" s="260">
        <f t="shared" ca="1" si="75"/>
        <v>0</v>
      </c>
      <c r="W4340" s="348" t="str">
        <f>IF(板块成分!B4342="","",板块成分!B4342)</f>
        <v>603737.SH</v>
      </c>
      <c r="X4340" s="276" t="str">
        <f>[1]!S_Info_Name(W4340)</f>
        <v>三棵树</v>
      </c>
      <c r="Y4340" s="276" t="str">
        <f ca="1">IF($Y$3="申万一级行业",[1]!s_info_industry_sw_2021(W4340,公司分析!D$5,1),IF($Y$3="申万二级行业",[1]!s_info_industry_sw_2021(W4340,公司分析!D$5,2),IF($Y$3="申万三级行业",[1]!s_info_industry_sw_2021(W4340,公司分析!D$5,3),IF($Y$3="wind一级行业",[1]!s_info_industry_gics(W4340,1),IF($Y$3="wind二级行业",[1]!s_info_industry_gics(W4340,2),IF($Y$3="wind三级行业",[1]!s_info_industry_gics(W4340,3),IF($Y$3="wind四级行业",[1]!s_info_industry_gics(W4340,4),IF($Y$3="证监会门类行业",[1]!s_info_industry_csrc12_n(W4340,公司分析!D$5,1),""))))))))</f>
        <v>装修建材</v>
      </c>
      <c r="Z4340" s="302" t="str">
        <f ca="1">IF(Y4340=行业比较!$E$6,ROW(),"")</f>
        <v/>
      </c>
    </row>
    <row r="4341" spans="22:26">
      <c r="V4341" s="260">
        <f t="shared" ca="1" si="75"/>
        <v>0</v>
      </c>
      <c r="W4341" s="348" t="str">
        <f>IF(板块成分!B4343="","",板块成分!B4343)</f>
        <v>603738.SH</v>
      </c>
      <c r="X4341" s="276" t="str">
        <f>[1]!S_Info_Name(W4341)</f>
        <v>泰晶科技</v>
      </c>
      <c r="Y4341" s="276" t="str">
        <f ca="1">IF($Y$3="申万一级行业",[1]!s_info_industry_sw_2021(W4341,公司分析!D$5,1),IF($Y$3="申万二级行业",[1]!s_info_industry_sw_2021(W4341,公司分析!D$5,2),IF($Y$3="申万三级行业",[1]!s_info_industry_sw_2021(W4341,公司分析!D$5,3),IF($Y$3="wind一级行业",[1]!s_info_industry_gics(W4341,1),IF($Y$3="wind二级行业",[1]!s_info_industry_gics(W4341,2),IF($Y$3="wind三级行业",[1]!s_info_industry_gics(W4341,3),IF($Y$3="wind四级行业",[1]!s_info_industry_gics(W4341,4),IF($Y$3="证监会门类行业",[1]!s_info_industry_csrc12_n(W4341,公司分析!D$5,1),""))))))))</f>
        <v>元件</v>
      </c>
      <c r="Z4341" s="302" t="str">
        <f ca="1">IF(Y4341=行业比较!$E$6,ROW(),"")</f>
        <v/>
      </c>
    </row>
    <row r="4342" spans="22:26">
      <c r="V4342" s="260">
        <f t="shared" ca="1" si="75"/>
        <v>0</v>
      </c>
      <c r="W4342" s="348" t="str">
        <f>IF(板块成分!B4344="","",板块成分!B4344)</f>
        <v>603739.SH</v>
      </c>
      <c r="X4342" s="276" t="str">
        <f>[1]!S_Info_Name(W4342)</f>
        <v>蔚蓝生物</v>
      </c>
      <c r="Y4342" s="276" t="str">
        <f ca="1">IF($Y$3="申万一级行业",[1]!s_info_industry_sw_2021(W4342,公司分析!D$5,1),IF($Y$3="申万二级行业",[1]!s_info_industry_sw_2021(W4342,公司分析!D$5,2),IF($Y$3="申万三级行业",[1]!s_info_industry_sw_2021(W4342,公司分析!D$5,3),IF($Y$3="wind一级行业",[1]!s_info_industry_gics(W4342,1),IF($Y$3="wind二级行业",[1]!s_info_industry_gics(W4342,2),IF($Y$3="wind三级行业",[1]!s_info_industry_gics(W4342,3),IF($Y$3="wind四级行业",[1]!s_info_industry_gics(W4342,4),IF($Y$3="证监会门类行业",[1]!s_info_industry_csrc12_n(W4342,公司分析!D$5,1),""))))))))</f>
        <v>化学制品</v>
      </c>
      <c r="Z4342" s="302" t="str">
        <f ca="1">IF(Y4342=行业比较!$E$6,ROW(),"")</f>
        <v/>
      </c>
    </row>
    <row r="4343" spans="22:26">
      <c r="V4343" s="260">
        <f t="shared" ca="1" si="75"/>
        <v>0</v>
      </c>
      <c r="W4343" s="348" t="str">
        <f>IF(板块成分!B4345="","",板块成分!B4345)</f>
        <v>603755.SH</v>
      </c>
      <c r="X4343" s="276" t="str">
        <f>[1]!S_Info_Name(W4343)</f>
        <v>日辰股份</v>
      </c>
      <c r="Y4343" s="276" t="str">
        <f ca="1">IF($Y$3="申万一级行业",[1]!s_info_industry_sw_2021(W4343,公司分析!D$5,1),IF($Y$3="申万二级行业",[1]!s_info_industry_sw_2021(W4343,公司分析!D$5,2),IF($Y$3="申万三级行业",[1]!s_info_industry_sw_2021(W4343,公司分析!D$5,3),IF($Y$3="wind一级行业",[1]!s_info_industry_gics(W4343,1),IF($Y$3="wind二级行业",[1]!s_info_industry_gics(W4343,2),IF($Y$3="wind三级行业",[1]!s_info_industry_gics(W4343,3),IF($Y$3="wind四级行业",[1]!s_info_industry_gics(W4343,4),IF($Y$3="证监会门类行业",[1]!s_info_industry_csrc12_n(W4343,公司分析!D$5,1),""))))))))</f>
        <v>调味发酵品Ⅱ</v>
      </c>
      <c r="Z4343" s="302" t="str">
        <f ca="1">IF(Y4343=行业比较!$E$6,ROW(),"")</f>
        <v/>
      </c>
    </row>
    <row r="4344" spans="22:26">
      <c r="V4344" s="260">
        <f t="shared" ca="1" si="75"/>
        <v>0</v>
      </c>
      <c r="W4344" s="348" t="str">
        <f>IF(板块成分!B4346="","",板块成分!B4346)</f>
        <v>603757.SH</v>
      </c>
      <c r="X4344" s="276" t="str">
        <f>[1]!S_Info_Name(W4344)</f>
        <v>大元泵业</v>
      </c>
      <c r="Y4344" s="276" t="str">
        <f ca="1">IF($Y$3="申万一级行业",[1]!s_info_industry_sw_2021(W4344,公司分析!D$5,1),IF($Y$3="申万二级行业",[1]!s_info_industry_sw_2021(W4344,公司分析!D$5,2),IF($Y$3="申万三级行业",[1]!s_info_industry_sw_2021(W4344,公司分析!D$5,3),IF($Y$3="wind一级行业",[1]!s_info_industry_gics(W4344,1),IF($Y$3="wind二级行业",[1]!s_info_industry_gics(W4344,2),IF($Y$3="wind三级行业",[1]!s_info_industry_gics(W4344,3),IF($Y$3="wind四级行业",[1]!s_info_industry_gics(W4344,4),IF($Y$3="证监会门类行业",[1]!s_info_industry_csrc12_n(W4344,公司分析!D$5,1),""))))))))</f>
        <v>通用设备</v>
      </c>
      <c r="Z4344" s="302" t="str">
        <f ca="1">IF(Y4344=行业比较!$E$6,ROW(),"")</f>
        <v/>
      </c>
    </row>
    <row r="4345" spans="22:26">
      <c r="V4345" s="260">
        <f t="shared" ca="1" si="75"/>
        <v>0</v>
      </c>
      <c r="W4345" s="348" t="str">
        <f>IF(板块成分!B4347="","",板块成分!B4347)</f>
        <v>603758.SH</v>
      </c>
      <c r="X4345" s="276" t="str">
        <f>[1]!S_Info_Name(W4345)</f>
        <v>秦安股份</v>
      </c>
      <c r="Y4345" s="276" t="str">
        <f ca="1">IF($Y$3="申万一级行业",[1]!s_info_industry_sw_2021(W4345,公司分析!D$5,1),IF($Y$3="申万二级行业",[1]!s_info_industry_sw_2021(W4345,公司分析!D$5,2),IF($Y$3="申万三级行业",[1]!s_info_industry_sw_2021(W4345,公司分析!D$5,3),IF($Y$3="wind一级行业",[1]!s_info_industry_gics(W4345,1),IF($Y$3="wind二级行业",[1]!s_info_industry_gics(W4345,2),IF($Y$3="wind三级行业",[1]!s_info_industry_gics(W4345,3),IF($Y$3="wind四级行业",[1]!s_info_industry_gics(W4345,4),IF($Y$3="证监会门类行业",[1]!s_info_industry_csrc12_n(W4345,公司分析!D$5,1),""))))))))</f>
        <v>汽车零部件</v>
      </c>
      <c r="Z4345" s="302" t="str">
        <f ca="1">IF(Y4345=行业比较!$E$6,ROW(),"")</f>
        <v/>
      </c>
    </row>
    <row r="4346" spans="22:26">
      <c r="V4346" s="260">
        <f t="shared" ca="1" si="75"/>
        <v>0</v>
      </c>
      <c r="W4346" s="348" t="str">
        <f>IF(板块成分!B4348="","",板块成分!B4348)</f>
        <v>603759.SH</v>
      </c>
      <c r="X4346" s="276" t="str">
        <f>[1]!S_Info_Name(W4346)</f>
        <v>海天股份</v>
      </c>
      <c r="Y4346" s="276" t="str">
        <f ca="1">IF($Y$3="申万一级行业",[1]!s_info_industry_sw_2021(W4346,公司分析!D$5,1),IF($Y$3="申万二级行业",[1]!s_info_industry_sw_2021(W4346,公司分析!D$5,2),IF($Y$3="申万三级行业",[1]!s_info_industry_sw_2021(W4346,公司分析!D$5,3),IF($Y$3="wind一级行业",[1]!s_info_industry_gics(W4346,1),IF($Y$3="wind二级行业",[1]!s_info_industry_gics(W4346,2),IF($Y$3="wind三级行业",[1]!s_info_industry_gics(W4346,3),IF($Y$3="wind四级行业",[1]!s_info_industry_gics(W4346,4),IF($Y$3="证监会门类行业",[1]!s_info_industry_csrc12_n(W4346,公司分析!D$5,1),""))))))))</f>
        <v>环境治理</v>
      </c>
      <c r="Z4346" s="302" t="str">
        <f ca="1">IF(Y4346=行业比较!$E$6,ROW(),"")</f>
        <v/>
      </c>
    </row>
    <row r="4347" spans="22:26">
      <c r="V4347" s="260">
        <f t="shared" ca="1" si="75"/>
        <v>0</v>
      </c>
      <c r="W4347" s="348" t="str">
        <f>IF(板块成分!B4349="","",板块成分!B4349)</f>
        <v>603766.SH</v>
      </c>
      <c r="X4347" s="276" t="str">
        <f>[1]!S_Info_Name(W4347)</f>
        <v>隆鑫通用</v>
      </c>
      <c r="Y4347" s="276" t="str">
        <f ca="1">IF($Y$3="申万一级行业",[1]!s_info_industry_sw_2021(W4347,公司分析!D$5,1),IF($Y$3="申万二级行业",[1]!s_info_industry_sw_2021(W4347,公司分析!D$5,2),IF($Y$3="申万三级行业",[1]!s_info_industry_sw_2021(W4347,公司分析!D$5,3),IF($Y$3="wind一级行业",[1]!s_info_industry_gics(W4347,1),IF($Y$3="wind二级行业",[1]!s_info_industry_gics(W4347,2),IF($Y$3="wind三级行业",[1]!s_info_industry_gics(W4347,3),IF($Y$3="wind四级行业",[1]!s_info_industry_gics(W4347,4),IF($Y$3="证监会门类行业",[1]!s_info_industry_csrc12_n(W4347,公司分析!D$5,1),""))))))))</f>
        <v>摩托车及其他</v>
      </c>
      <c r="Z4347" s="302" t="str">
        <f ca="1">IF(Y4347=行业比较!$E$6,ROW(),"")</f>
        <v/>
      </c>
    </row>
    <row r="4348" spans="22:26">
      <c r="V4348" s="260">
        <f t="shared" ca="1" si="75"/>
        <v>0</v>
      </c>
      <c r="W4348" s="348" t="str">
        <f>IF(板块成分!B4350="","",板块成分!B4350)</f>
        <v>603767.SH</v>
      </c>
      <c r="X4348" s="276" t="str">
        <f>[1]!S_Info_Name(W4348)</f>
        <v>中马传动</v>
      </c>
      <c r="Y4348" s="276" t="str">
        <f ca="1">IF($Y$3="申万一级行业",[1]!s_info_industry_sw_2021(W4348,公司分析!D$5,1),IF($Y$3="申万二级行业",[1]!s_info_industry_sw_2021(W4348,公司分析!D$5,2),IF($Y$3="申万三级行业",[1]!s_info_industry_sw_2021(W4348,公司分析!D$5,3),IF($Y$3="wind一级行业",[1]!s_info_industry_gics(W4348,1),IF($Y$3="wind二级行业",[1]!s_info_industry_gics(W4348,2),IF($Y$3="wind三级行业",[1]!s_info_industry_gics(W4348,3),IF($Y$3="wind四级行业",[1]!s_info_industry_gics(W4348,4),IF($Y$3="证监会门类行业",[1]!s_info_industry_csrc12_n(W4348,公司分析!D$5,1),""))))))))</f>
        <v>汽车零部件</v>
      </c>
      <c r="Z4348" s="302" t="str">
        <f ca="1">IF(Y4348=行业比较!$E$6,ROW(),"")</f>
        <v/>
      </c>
    </row>
    <row r="4349" spans="22:26">
      <c r="V4349" s="260">
        <f t="shared" ca="1" si="75"/>
        <v>0</v>
      </c>
      <c r="W4349" s="348" t="str">
        <f>IF(板块成分!B4351="","",板块成分!B4351)</f>
        <v>603768.SH</v>
      </c>
      <c r="X4349" s="276" t="str">
        <f>[1]!S_Info_Name(W4349)</f>
        <v>常青股份</v>
      </c>
      <c r="Y4349" s="276" t="str">
        <f ca="1">IF($Y$3="申万一级行业",[1]!s_info_industry_sw_2021(W4349,公司分析!D$5,1),IF($Y$3="申万二级行业",[1]!s_info_industry_sw_2021(W4349,公司分析!D$5,2),IF($Y$3="申万三级行业",[1]!s_info_industry_sw_2021(W4349,公司分析!D$5,3),IF($Y$3="wind一级行业",[1]!s_info_industry_gics(W4349,1),IF($Y$3="wind二级行业",[1]!s_info_industry_gics(W4349,2),IF($Y$3="wind三级行业",[1]!s_info_industry_gics(W4349,3),IF($Y$3="wind四级行业",[1]!s_info_industry_gics(W4349,4),IF($Y$3="证监会门类行业",[1]!s_info_industry_csrc12_n(W4349,公司分析!D$5,1),""))))))))</f>
        <v>汽车零部件</v>
      </c>
      <c r="Z4349" s="302" t="str">
        <f ca="1">IF(Y4349=行业比较!$E$6,ROW(),"")</f>
        <v/>
      </c>
    </row>
    <row r="4350" spans="22:26">
      <c r="V4350" s="260">
        <f t="shared" ca="1" si="75"/>
        <v>0</v>
      </c>
      <c r="W4350" s="348" t="str">
        <f>IF(板块成分!B4352="","",板块成分!B4352)</f>
        <v>603773.SH</v>
      </c>
      <c r="X4350" s="276" t="str">
        <f>[1]!S_Info_Name(W4350)</f>
        <v>沃格光电</v>
      </c>
      <c r="Y4350" s="276" t="str">
        <f ca="1">IF($Y$3="申万一级行业",[1]!s_info_industry_sw_2021(W4350,公司分析!D$5,1),IF($Y$3="申万二级行业",[1]!s_info_industry_sw_2021(W4350,公司分析!D$5,2),IF($Y$3="申万三级行业",[1]!s_info_industry_sw_2021(W4350,公司分析!D$5,3),IF($Y$3="wind一级行业",[1]!s_info_industry_gics(W4350,1),IF($Y$3="wind二级行业",[1]!s_info_industry_gics(W4350,2),IF($Y$3="wind三级行业",[1]!s_info_industry_gics(W4350,3),IF($Y$3="wind四级行业",[1]!s_info_industry_gics(W4350,4),IF($Y$3="证监会门类行业",[1]!s_info_industry_csrc12_n(W4350,公司分析!D$5,1),""))))))))</f>
        <v>光学光电子</v>
      </c>
      <c r="Z4350" s="302" t="str">
        <f ca="1">IF(Y4350=行业比较!$E$6,ROW(),"")</f>
        <v/>
      </c>
    </row>
    <row r="4351" spans="22:26">
      <c r="V4351" s="260">
        <f t="shared" ca="1" si="75"/>
        <v>0</v>
      </c>
      <c r="W4351" s="348" t="str">
        <f>IF(板块成分!B4353="","",板块成分!B4353)</f>
        <v>603776.SH</v>
      </c>
      <c r="X4351" s="276" t="str">
        <f>[1]!S_Info_Name(W4351)</f>
        <v>永安行</v>
      </c>
      <c r="Y4351" s="276" t="str">
        <f ca="1">IF($Y$3="申万一级行业",[1]!s_info_industry_sw_2021(W4351,公司分析!D$5,1),IF($Y$3="申万二级行业",[1]!s_info_industry_sw_2021(W4351,公司分析!D$5,2),IF($Y$3="申万三级行业",[1]!s_info_industry_sw_2021(W4351,公司分析!D$5,3),IF($Y$3="wind一级行业",[1]!s_info_industry_gics(W4351,1),IF($Y$3="wind二级行业",[1]!s_info_industry_gics(W4351,2),IF($Y$3="wind三级行业",[1]!s_info_industry_gics(W4351,3),IF($Y$3="wind四级行业",[1]!s_info_industry_gics(W4351,4),IF($Y$3="证监会门类行业",[1]!s_info_industry_csrc12_n(W4351,公司分析!D$5,1),""))))))))</f>
        <v>摩托车及其他</v>
      </c>
      <c r="Z4351" s="302" t="str">
        <f ca="1">IF(Y4351=行业比较!$E$6,ROW(),"")</f>
        <v/>
      </c>
    </row>
    <row r="4352" spans="22:26">
      <c r="V4352" s="260">
        <f t="shared" ca="1" si="75"/>
        <v>0</v>
      </c>
      <c r="W4352" s="348" t="str">
        <f>IF(板块成分!B4354="","",板块成分!B4354)</f>
        <v>603777.SH</v>
      </c>
      <c r="X4352" s="276" t="str">
        <f>[1]!S_Info_Name(W4352)</f>
        <v>来伊份</v>
      </c>
      <c r="Y4352" s="276" t="str">
        <f ca="1">IF($Y$3="申万一级行业",[1]!s_info_industry_sw_2021(W4352,公司分析!D$5,1),IF($Y$3="申万二级行业",[1]!s_info_industry_sw_2021(W4352,公司分析!D$5,2),IF($Y$3="申万三级行业",[1]!s_info_industry_sw_2021(W4352,公司分析!D$5,3),IF($Y$3="wind一级行业",[1]!s_info_industry_gics(W4352,1),IF($Y$3="wind二级行业",[1]!s_info_industry_gics(W4352,2),IF($Y$3="wind三级行业",[1]!s_info_industry_gics(W4352,3),IF($Y$3="wind四级行业",[1]!s_info_industry_gics(W4352,4),IF($Y$3="证监会门类行业",[1]!s_info_industry_csrc12_n(W4352,公司分析!D$5,1),""))))))))</f>
        <v>休闲食品</v>
      </c>
      <c r="Z4352" s="302" t="str">
        <f ca="1">IF(Y4352=行业比较!$E$6,ROW(),"")</f>
        <v/>
      </c>
    </row>
    <row r="4353" spans="22:26">
      <c r="V4353" s="260">
        <f t="shared" ca="1" si="75"/>
        <v>0</v>
      </c>
      <c r="W4353" s="348" t="str">
        <f>IF(板块成分!B4355="","",板块成分!B4355)</f>
        <v>603778.SH</v>
      </c>
      <c r="X4353" s="276" t="str">
        <f>[1]!S_Info_Name(W4353)</f>
        <v>国晟科技</v>
      </c>
      <c r="Y4353" s="276" t="str">
        <f ca="1">IF($Y$3="申万一级行业",[1]!s_info_industry_sw_2021(W4353,公司分析!D$5,1),IF($Y$3="申万二级行业",[1]!s_info_industry_sw_2021(W4353,公司分析!D$5,2),IF($Y$3="申万三级行业",[1]!s_info_industry_sw_2021(W4353,公司分析!D$5,3),IF($Y$3="wind一级行业",[1]!s_info_industry_gics(W4353,1),IF($Y$3="wind二级行业",[1]!s_info_industry_gics(W4353,2),IF($Y$3="wind三级行业",[1]!s_info_industry_gics(W4353,3),IF($Y$3="wind四级行业",[1]!s_info_industry_gics(W4353,4),IF($Y$3="证监会门类行业",[1]!s_info_industry_csrc12_n(W4353,公司分析!D$5,1),""))))))))</f>
        <v>基础建设</v>
      </c>
      <c r="Z4353" s="302" t="str">
        <f ca="1">IF(Y4353=行业比较!$E$6,ROW(),"")</f>
        <v/>
      </c>
    </row>
    <row r="4354" spans="22:26">
      <c r="V4354" s="260">
        <f t="shared" ca="1" si="75"/>
        <v>0</v>
      </c>
      <c r="W4354" s="348" t="str">
        <f>IF(板块成分!B4356="","",板块成分!B4356)</f>
        <v>603779.SH</v>
      </c>
      <c r="X4354" s="276" t="str">
        <f>[1]!S_Info_Name(W4354)</f>
        <v>威龙股份</v>
      </c>
      <c r="Y4354" s="276" t="str">
        <f ca="1">IF($Y$3="申万一级行业",[1]!s_info_industry_sw_2021(W4354,公司分析!D$5,1),IF($Y$3="申万二级行业",[1]!s_info_industry_sw_2021(W4354,公司分析!D$5,2),IF($Y$3="申万三级行业",[1]!s_info_industry_sw_2021(W4354,公司分析!D$5,3),IF($Y$3="wind一级行业",[1]!s_info_industry_gics(W4354,1),IF($Y$3="wind二级行业",[1]!s_info_industry_gics(W4354,2),IF($Y$3="wind三级行业",[1]!s_info_industry_gics(W4354,3),IF($Y$3="wind四级行业",[1]!s_info_industry_gics(W4354,4),IF($Y$3="证监会门类行业",[1]!s_info_industry_csrc12_n(W4354,公司分析!D$5,1),""))))))))</f>
        <v>非白酒</v>
      </c>
      <c r="Z4354" s="302" t="str">
        <f ca="1">IF(Y4354=行业比较!$E$6,ROW(),"")</f>
        <v/>
      </c>
    </row>
    <row r="4355" spans="22:26">
      <c r="V4355" s="260">
        <f t="shared" ca="1" si="75"/>
        <v>0</v>
      </c>
      <c r="W4355" s="348" t="str">
        <f>IF(板块成分!B4357="","",板块成分!B4357)</f>
        <v>603786.SH</v>
      </c>
      <c r="X4355" s="276" t="str">
        <f>[1]!S_Info_Name(W4355)</f>
        <v>科博达</v>
      </c>
      <c r="Y4355" s="276" t="str">
        <f ca="1">IF($Y$3="申万一级行业",[1]!s_info_industry_sw_2021(W4355,公司分析!D$5,1),IF($Y$3="申万二级行业",[1]!s_info_industry_sw_2021(W4355,公司分析!D$5,2),IF($Y$3="申万三级行业",[1]!s_info_industry_sw_2021(W4355,公司分析!D$5,3),IF($Y$3="wind一级行业",[1]!s_info_industry_gics(W4355,1),IF($Y$3="wind二级行业",[1]!s_info_industry_gics(W4355,2),IF($Y$3="wind三级行业",[1]!s_info_industry_gics(W4355,3),IF($Y$3="wind四级行业",[1]!s_info_industry_gics(W4355,4),IF($Y$3="证监会门类行业",[1]!s_info_industry_csrc12_n(W4355,公司分析!D$5,1),""))))))))</f>
        <v>汽车零部件</v>
      </c>
      <c r="Z4355" s="302" t="str">
        <f ca="1">IF(Y4355=行业比较!$E$6,ROW(),"")</f>
        <v/>
      </c>
    </row>
    <row r="4356" spans="22:26">
      <c r="V4356" s="260">
        <f t="shared" ca="1" si="75"/>
        <v>0</v>
      </c>
      <c r="W4356" s="348" t="str">
        <f>IF(板块成分!B4358="","",板块成分!B4358)</f>
        <v>603787.SH</v>
      </c>
      <c r="X4356" s="276" t="str">
        <f>[1]!S_Info_Name(W4356)</f>
        <v>新日股份</v>
      </c>
      <c r="Y4356" s="276" t="str">
        <f ca="1">IF($Y$3="申万一级行业",[1]!s_info_industry_sw_2021(W4356,公司分析!D$5,1),IF($Y$3="申万二级行业",[1]!s_info_industry_sw_2021(W4356,公司分析!D$5,2),IF($Y$3="申万三级行业",[1]!s_info_industry_sw_2021(W4356,公司分析!D$5,3),IF($Y$3="wind一级行业",[1]!s_info_industry_gics(W4356,1),IF($Y$3="wind二级行业",[1]!s_info_industry_gics(W4356,2),IF($Y$3="wind三级行业",[1]!s_info_industry_gics(W4356,3),IF($Y$3="wind四级行业",[1]!s_info_industry_gics(W4356,4),IF($Y$3="证监会门类行业",[1]!s_info_industry_csrc12_n(W4356,公司分析!D$5,1),""))))))))</f>
        <v>摩托车及其他</v>
      </c>
      <c r="Z4356" s="302" t="str">
        <f ca="1">IF(Y4356=行业比较!$E$6,ROW(),"")</f>
        <v/>
      </c>
    </row>
    <row r="4357" spans="22:26">
      <c r="V4357" s="260">
        <f t="shared" ref="V4357:V4420" ca="1" si="76">IF(Z4357="",0,RANK(Z4357,Z:Z,1))</f>
        <v>0</v>
      </c>
      <c r="W4357" s="348" t="str">
        <f>IF(板块成分!B4359="","",板块成分!B4359)</f>
        <v>603788.SH</v>
      </c>
      <c r="X4357" s="276" t="str">
        <f>[1]!S_Info_Name(W4357)</f>
        <v>宁波高发</v>
      </c>
      <c r="Y4357" s="276" t="str">
        <f ca="1">IF($Y$3="申万一级行业",[1]!s_info_industry_sw_2021(W4357,公司分析!D$5,1),IF($Y$3="申万二级行业",[1]!s_info_industry_sw_2021(W4357,公司分析!D$5,2),IF($Y$3="申万三级行业",[1]!s_info_industry_sw_2021(W4357,公司分析!D$5,3),IF($Y$3="wind一级行业",[1]!s_info_industry_gics(W4357,1),IF($Y$3="wind二级行业",[1]!s_info_industry_gics(W4357,2),IF($Y$3="wind三级行业",[1]!s_info_industry_gics(W4357,3),IF($Y$3="wind四级行业",[1]!s_info_industry_gics(W4357,4),IF($Y$3="证监会门类行业",[1]!s_info_industry_csrc12_n(W4357,公司分析!D$5,1),""))))))))</f>
        <v>汽车零部件</v>
      </c>
      <c r="Z4357" s="302" t="str">
        <f ca="1">IF(Y4357=行业比较!$E$6,ROW(),"")</f>
        <v/>
      </c>
    </row>
    <row r="4358" spans="22:26">
      <c r="V4358" s="260">
        <f t="shared" ca="1" si="76"/>
        <v>0</v>
      </c>
      <c r="W4358" s="348" t="str">
        <f>IF(板块成分!B4360="","",板块成分!B4360)</f>
        <v>603789.SH</v>
      </c>
      <c r="X4358" s="276" t="str">
        <f>[1]!S_Info_Name(W4358)</f>
        <v>*ST星农</v>
      </c>
      <c r="Y4358" s="276" t="str">
        <f ca="1">IF($Y$3="申万一级行业",[1]!s_info_industry_sw_2021(W4358,公司分析!D$5,1),IF($Y$3="申万二级行业",[1]!s_info_industry_sw_2021(W4358,公司分析!D$5,2),IF($Y$3="申万三级行业",[1]!s_info_industry_sw_2021(W4358,公司分析!D$5,3),IF($Y$3="wind一级行业",[1]!s_info_industry_gics(W4358,1),IF($Y$3="wind二级行业",[1]!s_info_industry_gics(W4358,2),IF($Y$3="wind三级行业",[1]!s_info_industry_gics(W4358,3),IF($Y$3="wind四级行业",[1]!s_info_industry_gics(W4358,4),IF($Y$3="证监会门类行业",[1]!s_info_industry_csrc12_n(W4358,公司分析!D$5,1),""))))))))</f>
        <v>专用设备</v>
      </c>
      <c r="Z4358" s="302" t="str">
        <f ca="1">IF(Y4358=行业比较!$E$6,ROW(),"")</f>
        <v/>
      </c>
    </row>
    <row r="4359" spans="22:26">
      <c r="V4359" s="260">
        <f t="shared" ca="1" si="76"/>
        <v>0</v>
      </c>
      <c r="W4359" s="348" t="str">
        <f>IF(板块成分!B4361="","",板块成分!B4361)</f>
        <v>603790.SH</v>
      </c>
      <c r="X4359" s="276" t="str">
        <f>[1]!S_Info_Name(W4359)</f>
        <v>雅运股份</v>
      </c>
      <c r="Y4359" s="276" t="str">
        <f ca="1">IF($Y$3="申万一级行业",[1]!s_info_industry_sw_2021(W4359,公司分析!D$5,1),IF($Y$3="申万二级行业",[1]!s_info_industry_sw_2021(W4359,公司分析!D$5,2),IF($Y$3="申万三级行业",[1]!s_info_industry_sw_2021(W4359,公司分析!D$5,3),IF($Y$3="wind一级行业",[1]!s_info_industry_gics(W4359,1),IF($Y$3="wind二级行业",[1]!s_info_industry_gics(W4359,2),IF($Y$3="wind三级行业",[1]!s_info_industry_gics(W4359,3),IF($Y$3="wind四级行业",[1]!s_info_industry_gics(W4359,4),IF($Y$3="证监会门类行业",[1]!s_info_industry_csrc12_n(W4359,公司分析!D$5,1),""))))))))</f>
        <v>化学制品</v>
      </c>
      <c r="Z4359" s="302" t="str">
        <f ca="1">IF(Y4359=行业比较!$E$6,ROW(),"")</f>
        <v/>
      </c>
    </row>
    <row r="4360" spans="22:26">
      <c r="V4360" s="260">
        <f t="shared" ca="1" si="76"/>
        <v>0</v>
      </c>
      <c r="W4360" s="348" t="str">
        <f>IF(板块成分!B4362="","",板块成分!B4362)</f>
        <v>603797.SH</v>
      </c>
      <c r="X4360" s="276" t="str">
        <f>[1]!S_Info_Name(W4360)</f>
        <v>联泰环保</v>
      </c>
      <c r="Y4360" s="276" t="str">
        <f ca="1">IF($Y$3="申万一级行业",[1]!s_info_industry_sw_2021(W4360,公司分析!D$5,1),IF($Y$3="申万二级行业",[1]!s_info_industry_sw_2021(W4360,公司分析!D$5,2),IF($Y$3="申万三级行业",[1]!s_info_industry_sw_2021(W4360,公司分析!D$5,3),IF($Y$3="wind一级行业",[1]!s_info_industry_gics(W4360,1),IF($Y$3="wind二级行业",[1]!s_info_industry_gics(W4360,2),IF($Y$3="wind三级行业",[1]!s_info_industry_gics(W4360,3),IF($Y$3="wind四级行业",[1]!s_info_industry_gics(W4360,4),IF($Y$3="证监会门类行业",[1]!s_info_industry_csrc12_n(W4360,公司分析!D$5,1),""))))))))</f>
        <v>环境治理</v>
      </c>
      <c r="Z4360" s="302" t="str">
        <f ca="1">IF(Y4360=行业比较!$E$6,ROW(),"")</f>
        <v/>
      </c>
    </row>
    <row r="4361" spans="22:26">
      <c r="V4361" s="260">
        <f t="shared" ca="1" si="76"/>
        <v>0</v>
      </c>
      <c r="W4361" s="348" t="str">
        <f>IF(板块成分!B4363="","",板块成分!B4363)</f>
        <v>603798.SH</v>
      </c>
      <c r="X4361" s="276" t="str">
        <f>[1]!S_Info_Name(W4361)</f>
        <v>康普顿</v>
      </c>
      <c r="Y4361" s="276" t="str">
        <f ca="1">IF($Y$3="申万一级行业",[1]!s_info_industry_sw_2021(W4361,公司分析!D$5,1),IF($Y$3="申万二级行业",[1]!s_info_industry_sw_2021(W4361,公司分析!D$5,2),IF($Y$3="申万三级行业",[1]!s_info_industry_sw_2021(W4361,公司分析!D$5,3),IF($Y$3="wind一级行业",[1]!s_info_industry_gics(W4361,1),IF($Y$3="wind二级行业",[1]!s_info_industry_gics(W4361,2),IF($Y$3="wind三级行业",[1]!s_info_industry_gics(W4361,3),IF($Y$3="wind四级行业",[1]!s_info_industry_gics(W4361,4),IF($Y$3="证监会门类行业",[1]!s_info_industry_csrc12_n(W4361,公司分析!D$5,1),""))))))))</f>
        <v>炼化及贸易</v>
      </c>
      <c r="Z4361" s="302" t="str">
        <f ca="1">IF(Y4361=行业比较!$E$6,ROW(),"")</f>
        <v/>
      </c>
    </row>
    <row r="4362" spans="22:26">
      <c r="V4362" s="260">
        <f t="shared" ca="1" si="76"/>
        <v>0</v>
      </c>
      <c r="W4362" s="348" t="str">
        <f>IF(板块成分!B4364="","",板块成分!B4364)</f>
        <v>603799.SH</v>
      </c>
      <c r="X4362" s="276" t="str">
        <f>[1]!S_Info_Name(W4362)</f>
        <v>华友钴业</v>
      </c>
      <c r="Y4362" s="276" t="str">
        <f ca="1">IF($Y$3="申万一级行业",[1]!s_info_industry_sw_2021(W4362,公司分析!D$5,1),IF($Y$3="申万二级行业",[1]!s_info_industry_sw_2021(W4362,公司分析!D$5,2),IF($Y$3="申万三级行业",[1]!s_info_industry_sw_2021(W4362,公司分析!D$5,3),IF($Y$3="wind一级行业",[1]!s_info_industry_gics(W4362,1),IF($Y$3="wind二级行业",[1]!s_info_industry_gics(W4362,2),IF($Y$3="wind三级行业",[1]!s_info_industry_gics(W4362,3),IF($Y$3="wind四级行业",[1]!s_info_industry_gics(W4362,4),IF($Y$3="证监会门类行业",[1]!s_info_industry_csrc12_n(W4362,公司分析!D$5,1),""))))))))</f>
        <v>能源金属</v>
      </c>
      <c r="Z4362" s="302" t="str">
        <f ca="1">IF(Y4362=行业比较!$E$6,ROW(),"")</f>
        <v/>
      </c>
    </row>
    <row r="4363" spans="22:26">
      <c r="V4363" s="260">
        <f t="shared" ca="1" si="76"/>
        <v>0</v>
      </c>
      <c r="W4363" s="348" t="str">
        <f>IF(板块成分!B4365="","",板块成分!B4365)</f>
        <v>603800.SH</v>
      </c>
      <c r="X4363" s="276" t="str">
        <f>[1]!S_Info_Name(W4363)</f>
        <v>洪田股份</v>
      </c>
      <c r="Y4363" s="276" t="str">
        <f ca="1">IF($Y$3="申万一级行业",[1]!s_info_industry_sw_2021(W4363,公司分析!D$5,1),IF($Y$3="申万二级行业",[1]!s_info_industry_sw_2021(W4363,公司分析!D$5,2),IF($Y$3="申万三级行业",[1]!s_info_industry_sw_2021(W4363,公司分析!D$5,3),IF($Y$3="wind一级行业",[1]!s_info_industry_gics(W4363,1),IF($Y$3="wind二级行业",[1]!s_info_industry_gics(W4363,2),IF($Y$3="wind三级行业",[1]!s_info_industry_gics(W4363,3),IF($Y$3="wind四级行业",[1]!s_info_industry_gics(W4363,4),IF($Y$3="证监会门类行业",[1]!s_info_industry_csrc12_n(W4363,公司分析!D$5,1),""))))))))</f>
        <v>专用设备</v>
      </c>
      <c r="Z4363" s="302" t="str">
        <f ca="1">IF(Y4363=行业比较!$E$6,ROW(),"")</f>
        <v/>
      </c>
    </row>
    <row r="4364" spans="22:26">
      <c r="V4364" s="260">
        <f t="shared" ca="1" si="76"/>
        <v>0</v>
      </c>
      <c r="W4364" s="348" t="str">
        <f>IF(板块成分!B4366="","",板块成分!B4366)</f>
        <v>603801.SH</v>
      </c>
      <c r="X4364" s="276" t="str">
        <f>[1]!S_Info_Name(W4364)</f>
        <v>志邦家居</v>
      </c>
      <c r="Y4364" s="276" t="str">
        <f ca="1">IF($Y$3="申万一级行业",[1]!s_info_industry_sw_2021(W4364,公司分析!D$5,1),IF($Y$3="申万二级行业",[1]!s_info_industry_sw_2021(W4364,公司分析!D$5,2),IF($Y$3="申万三级行业",[1]!s_info_industry_sw_2021(W4364,公司分析!D$5,3),IF($Y$3="wind一级行业",[1]!s_info_industry_gics(W4364,1),IF($Y$3="wind二级行业",[1]!s_info_industry_gics(W4364,2),IF($Y$3="wind三级行业",[1]!s_info_industry_gics(W4364,3),IF($Y$3="wind四级行业",[1]!s_info_industry_gics(W4364,4),IF($Y$3="证监会门类行业",[1]!s_info_industry_csrc12_n(W4364,公司分析!D$5,1),""))))))))</f>
        <v>家居用品</v>
      </c>
      <c r="Z4364" s="302" t="str">
        <f ca="1">IF(Y4364=行业比较!$E$6,ROW(),"")</f>
        <v/>
      </c>
    </row>
    <row r="4365" spans="22:26">
      <c r="V4365" s="260">
        <f t="shared" ca="1" si="76"/>
        <v>0</v>
      </c>
      <c r="W4365" s="348" t="str">
        <f>IF(板块成分!B4367="","",板块成分!B4367)</f>
        <v>603803.SH</v>
      </c>
      <c r="X4365" s="276" t="str">
        <f>[1]!S_Info_Name(W4365)</f>
        <v>瑞斯康达</v>
      </c>
      <c r="Y4365" s="276" t="str">
        <f ca="1">IF($Y$3="申万一级行业",[1]!s_info_industry_sw_2021(W4365,公司分析!D$5,1),IF($Y$3="申万二级行业",[1]!s_info_industry_sw_2021(W4365,公司分析!D$5,2),IF($Y$3="申万三级行业",[1]!s_info_industry_sw_2021(W4365,公司分析!D$5,3),IF($Y$3="wind一级行业",[1]!s_info_industry_gics(W4365,1),IF($Y$3="wind二级行业",[1]!s_info_industry_gics(W4365,2),IF($Y$3="wind三级行业",[1]!s_info_industry_gics(W4365,3),IF($Y$3="wind四级行业",[1]!s_info_industry_gics(W4365,4),IF($Y$3="证监会门类行业",[1]!s_info_industry_csrc12_n(W4365,公司分析!D$5,1),""))))))))</f>
        <v>通信设备</v>
      </c>
      <c r="Z4365" s="302" t="str">
        <f ca="1">IF(Y4365=行业比较!$E$6,ROW(),"")</f>
        <v/>
      </c>
    </row>
    <row r="4366" spans="22:26">
      <c r="V4366" s="260">
        <f t="shared" ca="1" si="76"/>
        <v>0</v>
      </c>
      <c r="W4366" s="348" t="str">
        <f>IF(板块成分!B4368="","",板块成分!B4368)</f>
        <v>603806.SH</v>
      </c>
      <c r="X4366" s="276" t="str">
        <f>[1]!S_Info_Name(W4366)</f>
        <v>福斯特</v>
      </c>
      <c r="Y4366" s="276" t="str">
        <f ca="1">IF($Y$3="申万一级行业",[1]!s_info_industry_sw_2021(W4366,公司分析!D$5,1),IF($Y$3="申万二级行业",[1]!s_info_industry_sw_2021(W4366,公司分析!D$5,2),IF($Y$3="申万三级行业",[1]!s_info_industry_sw_2021(W4366,公司分析!D$5,3),IF($Y$3="wind一级行业",[1]!s_info_industry_gics(W4366,1),IF($Y$3="wind二级行业",[1]!s_info_industry_gics(W4366,2),IF($Y$3="wind三级行业",[1]!s_info_industry_gics(W4366,3),IF($Y$3="wind四级行业",[1]!s_info_industry_gics(W4366,4),IF($Y$3="证监会门类行业",[1]!s_info_industry_csrc12_n(W4366,公司分析!D$5,1),""))))))))</f>
        <v>光伏设备</v>
      </c>
      <c r="Z4366" s="302" t="str">
        <f ca="1">IF(Y4366=行业比较!$E$6,ROW(),"")</f>
        <v/>
      </c>
    </row>
    <row r="4367" spans="22:26">
      <c r="V4367" s="260">
        <f t="shared" ca="1" si="76"/>
        <v>0</v>
      </c>
      <c r="W4367" s="348" t="str">
        <f>IF(板块成分!B4369="","",板块成分!B4369)</f>
        <v>603808.SH</v>
      </c>
      <c r="X4367" s="276" t="str">
        <f>[1]!S_Info_Name(W4367)</f>
        <v>歌力思</v>
      </c>
      <c r="Y4367" s="276" t="str">
        <f ca="1">IF($Y$3="申万一级行业",[1]!s_info_industry_sw_2021(W4367,公司分析!D$5,1),IF($Y$3="申万二级行业",[1]!s_info_industry_sw_2021(W4367,公司分析!D$5,2),IF($Y$3="申万三级行业",[1]!s_info_industry_sw_2021(W4367,公司分析!D$5,3),IF($Y$3="wind一级行业",[1]!s_info_industry_gics(W4367,1),IF($Y$3="wind二级行业",[1]!s_info_industry_gics(W4367,2),IF($Y$3="wind三级行业",[1]!s_info_industry_gics(W4367,3),IF($Y$3="wind四级行业",[1]!s_info_industry_gics(W4367,4),IF($Y$3="证监会门类行业",[1]!s_info_industry_csrc12_n(W4367,公司分析!D$5,1),""))))))))</f>
        <v>服装家纺</v>
      </c>
      <c r="Z4367" s="302" t="str">
        <f ca="1">IF(Y4367=行业比较!$E$6,ROW(),"")</f>
        <v/>
      </c>
    </row>
    <row r="4368" spans="22:26">
      <c r="V4368" s="260">
        <f t="shared" ca="1" si="76"/>
        <v>0</v>
      </c>
      <c r="W4368" s="348" t="str">
        <f>IF(板块成分!B4370="","",板块成分!B4370)</f>
        <v>603809.SH</v>
      </c>
      <c r="X4368" s="276" t="str">
        <f>[1]!S_Info_Name(W4368)</f>
        <v>豪能股份</v>
      </c>
      <c r="Y4368" s="276" t="str">
        <f ca="1">IF($Y$3="申万一级行业",[1]!s_info_industry_sw_2021(W4368,公司分析!D$5,1),IF($Y$3="申万二级行业",[1]!s_info_industry_sw_2021(W4368,公司分析!D$5,2),IF($Y$3="申万三级行业",[1]!s_info_industry_sw_2021(W4368,公司分析!D$5,3),IF($Y$3="wind一级行业",[1]!s_info_industry_gics(W4368,1),IF($Y$3="wind二级行业",[1]!s_info_industry_gics(W4368,2),IF($Y$3="wind三级行业",[1]!s_info_industry_gics(W4368,3),IF($Y$3="wind四级行业",[1]!s_info_industry_gics(W4368,4),IF($Y$3="证监会门类行业",[1]!s_info_industry_csrc12_n(W4368,公司分析!D$5,1),""))))))))</f>
        <v>汽车零部件</v>
      </c>
      <c r="Z4368" s="302" t="str">
        <f ca="1">IF(Y4368=行业比较!$E$6,ROW(),"")</f>
        <v/>
      </c>
    </row>
    <row r="4369" spans="22:26">
      <c r="V4369" s="260">
        <f t="shared" ca="1" si="76"/>
        <v>0</v>
      </c>
      <c r="W4369" s="348" t="str">
        <f>IF(板块成分!B4371="","",板块成分!B4371)</f>
        <v>603810.SH</v>
      </c>
      <c r="X4369" s="276" t="str">
        <f>[1]!S_Info_Name(W4369)</f>
        <v>丰山集团</v>
      </c>
      <c r="Y4369" s="276" t="str">
        <f ca="1">IF($Y$3="申万一级行业",[1]!s_info_industry_sw_2021(W4369,公司分析!D$5,1),IF($Y$3="申万二级行业",[1]!s_info_industry_sw_2021(W4369,公司分析!D$5,2),IF($Y$3="申万三级行业",[1]!s_info_industry_sw_2021(W4369,公司分析!D$5,3),IF($Y$3="wind一级行业",[1]!s_info_industry_gics(W4369,1),IF($Y$3="wind二级行业",[1]!s_info_industry_gics(W4369,2),IF($Y$3="wind三级行业",[1]!s_info_industry_gics(W4369,3),IF($Y$3="wind四级行业",[1]!s_info_industry_gics(W4369,4),IF($Y$3="证监会门类行业",[1]!s_info_industry_csrc12_n(W4369,公司分析!D$5,1),""))))))))</f>
        <v>农化制品</v>
      </c>
      <c r="Z4369" s="302" t="str">
        <f ca="1">IF(Y4369=行业比较!$E$6,ROW(),"")</f>
        <v/>
      </c>
    </row>
    <row r="4370" spans="22:26">
      <c r="V4370" s="260">
        <f t="shared" ca="1" si="76"/>
        <v>0</v>
      </c>
      <c r="W4370" s="348" t="str">
        <f>IF(板块成分!B4372="","",板块成分!B4372)</f>
        <v>603811.SH</v>
      </c>
      <c r="X4370" s="276" t="str">
        <f>[1]!S_Info_Name(W4370)</f>
        <v>诚意药业</v>
      </c>
      <c r="Y4370" s="276" t="str">
        <f ca="1">IF($Y$3="申万一级行业",[1]!s_info_industry_sw_2021(W4370,公司分析!D$5,1),IF($Y$3="申万二级行业",[1]!s_info_industry_sw_2021(W4370,公司分析!D$5,2),IF($Y$3="申万三级行业",[1]!s_info_industry_sw_2021(W4370,公司分析!D$5,3),IF($Y$3="wind一级行业",[1]!s_info_industry_gics(W4370,1),IF($Y$3="wind二级行业",[1]!s_info_industry_gics(W4370,2),IF($Y$3="wind三级行业",[1]!s_info_industry_gics(W4370,3),IF($Y$3="wind四级行业",[1]!s_info_industry_gics(W4370,4),IF($Y$3="证监会门类行业",[1]!s_info_industry_csrc12_n(W4370,公司分析!D$5,1),""))))))))</f>
        <v>化学制药</v>
      </c>
      <c r="Z4370" s="302" t="str">
        <f ca="1">IF(Y4370=行业比较!$E$6,ROW(),"")</f>
        <v/>
      </c>
    </row>
    <row r="4371" spans="22:26">
      <c r="V4371" s="260">
        <f t="shared" ca="1" si="76"/>
        <v>0</v>
      </c>
      <c r="W4371" s="348" t="str">
        <f>IF(板块成分!B4373="","",板块成分!B4373)</f>
        <v>603813.SH</v>
      </c>
      <c r="X4371" s="276" t="str">
        <f>[1]!S_Info_Name(W4371)</f>
        <v>*ST原尚</v>
      </c>
      <c r="Y4371" s="276" t="str">
        <f ca="1">IF($Y$3="申万一级行业",[1]!s_info_industry_sw_2021(W4371,公司分析!D$5,1),IF($Y$3="申万二级行业",[1]!s_info_industry_sw_2021(W4371,公司分析!D$5,2),IF($Y$3="申万三级行业",[1]!s_info_industry_sw_2021(W4371,公司分析!D$5,3),IF($Y$3="wind一级行业",[1]!s_info_industry_gics(W4371,1),IF($Y$3="wind二级行业",[1]!s_info_industry_gics(W4371,2),IF($Y$3="wind三级行业",[1]!s_info_industry_gics(W4371,3),IF($Y$3="wind四级行业",[1]!s_info_industry_gics(W4371,4),IF($Y$3="证监会门类行业",[1]!s_info_industry_csrc12_n(W4371,公司分析!D$5,1),""))))))))</f>
        <v>物流</v>
      </c>
      <c r="Z4371" s="302" t="str">
        <f ca="1">IF(Y4371=行业比较!$E$6,ROW(),"")</f>
        <v/>
      </c>
    </row>
    <row r="4372" spans="22:26">
      <c r="V4372" s="260">
        <f t="shared" ca="1" si="76"/>
        <v>0</v>
      </c>
      <c r="W4372" s="348" t="str">
        <f>IF(板块成分!B4374="","",板块成分!B4374)</f>
        <v>603815.SH</v>
      </c>
      <c r="X4372" s="276" t="str">
        <f>[1]!S_Info_Name(W4372)</f>
        <v>交建股份</v>
      </c>
      <c r="Y4372" s="276" t="str">
        <f ca="1">IF($Y$3="申万一级行业",[1]!s_info_industry_sw_2021(W4372,公司分析!D$5,1),IF($Y$3="申万二级行业",[1]!s_info_industry_sw_2021(W4372,公司分析!D$5,2),IF($Y$3="申万三级行业",[1]!s_info_industry_sw_2021(W4372,公司分析!D$5,3),IF($Y$3="wind一级行业",[1]!s_info_industry_gics(W4372,1),IF($Y$3="wind二级行业",[1]!s_info_industry_gics(W4372,2),IF($Y$3="wind三级行业",[1]!s_info_industry_gics(W4372,3),IF($Y$3="wind四级行业",[1]!s_info_industry_gics(W4372,4),IF($Y$3="证监会门类行业",[1]!s_info_industry_csrc12_n(W4372,公司分析!D$5,1),""))))))))</f>
        <v>基础建设</v>
      </c>
      <c r="Z4372" s="302" t="str">
        <f ca="1">IF(Y4372=行业比较!$E$6,ROW(),"")</f>
        <v/>
      </c>
    </row>
    <row r="4373" spans="22:26">
      <c r="V4373" s="260">
        <f t="shared" ca="1" si="76"/>
        <v>0</v>
      </c>
      <c r="W4373" s="348" t="str">
        <f>IF(板块成分!B4375="","",板块成分!B4375)</f>
        <v>603816.SH</v>
      </c>
      <c r="X4373" s="276" t="str">
        <f>[1]!S_Info_Name(W4373)</f>
        <v>顾家家居</v>
      </c>
      <c r="Y4373" s="276" t="str">
        <f ca="1">IF($Y$3="申万一级行业",[1]!s_info_industry_sw_2021(W4373,公司分析!D$5,1),IF($Y$3="申万二级行业",[1]!s_info_industry_sw_2021(W4373,公司分析!D$5,2),IF($Y$3="申万三级行业",[1]!s_info_industry_sw_2021(W4373,公司分析!D$5,3),IF($Y$3="wind一级行业",[1]!s_info_industry_gics(W4373,1),IF($Y$3="wind二级行业",[1]!s_info_industry_gics(W4373,2),IF($Y$3="wind三级行业",[1]!s_info_industry_gics(W4373,3),IF($Y$3="wind四级行业",[1]!s_info_industry_gics(W4373,4),IF($Y$3="证监会门类行业",[1]!s_info_industry_csrc12_n(W4373,公司分析!D$5,1),""))))))))</f>
        <v>家居用品</v>
      </c>
      <c r="Z4373" s="302" t="str">
        <f ca="1">IF(Y4373=行业比较!$E$6,ROW(),"")</f>
        <v/>
      </c>
    </row>
    <row r="4374" spans="22:26">
      <c r="V4374" s="260">
        <f t="shared" ca="1" si="76"/>
        <v>0</v>
      </c>
      <c r="W4374" s="348" t="str">
        <f>IF(板块成分!B4376="","",板块成分!B4376)</f>
        <v>603817.SH</v>
      </c>
      <c r="X4374" s="276" t="str">
        <f>[1]!S_Info_Name(W4374)</f>
        <v>海峡环保</v>
      </c>
      <c r="Y4374" s="276" t="str">
        <f ca="1">IF($Y$3="申万一级行业",[1]!s_info_industry_sw_2021(W4374,公司分析!D$5,1),IF($Y$3="申万二级行业",[1]!s_info_industry_sw_2021(W4374,公司分析!D$5,2),IF($Y$3="申万三级行业",[1]!s_info_industry_sw_2021(W4374,公司分析!D$5,3),IF($Y$3="wind一级行业",[1]!s_info_industry_gics(W4374,1),IF($Y$3="wind二级行业",[1]!s_info_industry_gics(W4374,2),IF($Y$3="wind三级行业",[1]!s_info_industry_gics(W4374,3),IF($Y$3="wind四级行业",[1]!s_info_industry_gics(W4374,4),IF($Y$3="证监会门类行业",[1]!s_info_industry_csrc12_n(W4374,公司分析!D$5,1),""))))))))</f>
        <v>环境治理</v>
      </c>
      <c r="Z4374" s="302" t="str">
        <f ca="1">IF(Y4374=行业比较!$E$6,ROW(),"")</f>
        <v/>
      </c>
    </row>
    <row r="4375" spans="22:26">
      <c r="V4375" s="260">
        <f t="shared" ca="1" si="76"/>
        <v>0</v>
      </c>
      <c r="W4375" s="348" t="str">
        <f>IF(板块成分!B4377="","",板块成分!B4377)</f>
        <v>603818.SH</v>
      </c>
      <c r="X4375" s="276" t="str">
        <f>[1]!S_Info_Name(W4375)</f>
        <v>曲美家居</v>
      </c>
      <c r="Y4375" s="276" t="str">
        <f ca="1">IF($Y$3="申万一级行业",[1]!s_info_industry_sw_2021(W4375,公司分析!D$5,1),IF($Y$3="申万二级行业",[1]!s_info_industry_sw_2021(W4375,公司分析!D$5,2),IF($Y$3="申万三级行业",[1]!s_info_industry_sw_2021(W4375,公司分析!D$5,3),IF($Y$3="wind一级行业",[1]!s_info_industry_gics(W4375,1),IF($Y$3="wind二级行业",[1]!s_info_industry_gics(W4375,2),IF($Y$3="wind三级行业",[1]!s_info_industry_gics(W4375,3),IF($Y$3="wind四级行业",[1]!s_info_industry_gics(W4375,4),IF($Y$3="证监会门类行业",[1]!s_info_industry_csrc12_n(W4375,公司分析!D$5,1),""))))))))</f>
        <v>家居用品</v>
      </c>
      <c r="Z4375" s="302" t="str">
        <f ca="1">IF(Y4375=行业比较!$E$6,ROW(),"")</f>
        <v/>
      </c>
    </row>
    <row r="4376" spans="22:26">
      <c r="V4376" s="260">
        <f t="shared" ca="1" si="76"/>
        <v>0</v>
      </c>
      <c r="W4376" s="348" t="str">
        <f>IF(板块成分!B4378="","",板块成分!B4378)</f>
        <v>603819.SH</v>
      </c>
      <c r="X4376" s="276" t="str">
        <f>[1]!S_Info_Name(W4376)</f>
        <v>神力股份</v>
      </c>
      <c r="Y4376" s="276" t="str">
        <f ca="1">IF($Y$3="申万一级行业",[1]!s_info_industry_sw_2021(W4376,公司分析!D$5,1),IF($Y$3="申万二级行业",[1]!s_info_industry_sw_2021(W4376,公司分析!D$5,2),IF($Y$3="申万三级行业",[1]!s_info_industry_sw_2021(W4376,公司分析!D$5,3),IF($Y$3="wind一级行业",[1]!s_info_industry_gics(W4376,1),IF($Y$3="wind二级行业",[1]!s_info_industry_gics(W4376,2),IF($Y$3="wind三级行业",[1]!s_info_industry_gics(W4376,3),IF($Y$3="wind四级行业",[1]!s_info_industry_gics(W4376,4),IF($Y$3="证监会门类行业",[1]!s_info_industry_csrc12_n(W4376,公司分析!D$5,1),""))))))))</f>
        <v>电机Ⅱ</v>
      </c>
      <c r="Z4376" s="302" t="str">
        <f ca="1">IF(Y4376=行业比较!$E$6,ROW(),"")</f>
        <v/>
      </c>
    </row>
    <row r="4377" spans="22:26">
      <c r="V4377" s="260">
        <f t="shared" ca="1" si="76"/>
        <v>0</v>
      </c>
      <c r="W4377" s="348" t="str">
        <f>IF(板块成分!B4379="","",板块成分!B4379)</f>
        <v>603822.SH</v>
      </c>
      <c r="X4377" s="276" t="str">
        <f>[1]!S_Info_Name(W4377)</f>
        <v>ST嘉澳</v>
      </c>
      <c r="Y4377" s="276" t="str">
        <f ca="1">IF($Y$3="申万一级行业",[1]!s_info_industry_sw_2021(W4377,公司分析!D$5,1),IF($Y$3="申万二级行业",[1]!s_info_industry_sw_2021(W4377,公司分析!D$5,2),IF($Y$3="申万三级行业",[1]!s_info_industry_sw_2021(W4377,公司分析!D$5,3),IF($Y$3="wind一级行业",[1]!s_info_industry_gics(W4377,1),IF($Y$3="wind二级行业",[1]!s_info_industry_gics(W4377,2),IF($Y$3="wind三级行业",[1]!s_info_industry_gics(W4377,3),IF($Y$3="wind四级行业",[1]!s_info_industry_gics(W4377,4),IF($Y$3="证监会门类行业",[1]!s_info_industry_csrc12_n(W4377,公司分析!D$5,1),""))))))))</f>
        <v>化学制品</v>
      </c>
      <c r="Z4377" s="302" t="str">
        <f ca="1">IF(Y4377=行业比较!$E$6,ROW(),"")</f>
        <v/>
      </c>
    </row>
    <row r="4378" spans="22:26">
      <c r="V4378" s="260">
        <f t="shared" ca="1" si="76"/>
        <v>0</v>
      </c>
      <c r="W4378" s="348" t="str">
        <f>IF(板块成分!B4380="","",板块成分!B4380)</f>
        <v>603823.SH</v>
      </c>
      <c r="X4378" s="276" t="str">
        <f>[1]!S_Info_Name(W4378)</f>
        <v>百合花</v>
      </c>
      <c r="Y4378" s="276" t="str">
        <f ca="1">IF($Y$3="申万一级行业",[1]!s_info_industry_sw_2021(W4378,公司分析!D$5,1),IF($Y$3="申万二级行业",[1]!s_info_industry_sw_2021(W4378,公司分析!D$5,2),IF($Y$3="申万三级行业",[1]!s_info_industry_sw_2021(W4378,公司分析!D$5,3),IF($Y$3="wind一级行业",[1]!s_info_industry_gics(W4378,1),IF($Y$3="wind二级行业",[1]!s_info_industry_gics(W4378,2),IF($Y$3="wind三级行业",[1]!s_info_industry_gics(W4378,3),IF($Y$3="wind四级行业",[1]!s_info_industry_gics(W4378,4),IF($Y$3="证监会门类行业",[1]!s_info_industry_csrc12_n(W4378,公司分析!D$5,1),""))))))))</f>
        <v>化学制品</v>
      </c>
      <c r="Z4378" s="302" t="str">
        <f ca="1">IF(Y4378=行业比较!$E$6,ROW(),"")</f>
        <v/>
      </c>
    </row>
    <row r="4379" spans="22:26">
      <c r="V4379" s="260">
        <f t="shared" ca="1" si="76"/>
        <v>0</v>
      </c>
      <c r="W4379" s="348" t="str">
        <f>IF(板块成分!B4381="","",板块成分!B4381)</f>
        <v>603825.SH</v>
      </c>
      <c r="X4379" s="276" t="str">
        <f>[1]!S_Info_Name(W4379)</f>
        <v>ST华扬</v>
      </c>
      <c r="Y4379" s="276" t="str">
        <f ca="1">IF($Y$3="申万一级行业",[1]!s_info_industry_sw_2021(W4379,公司分析!D$5,1),IF($Y$3="申万二级行业",[1]!s_info_industry_sw_2021(W4379,公司分析!D$5,2),IF($Y$3="申万三级行业",[1]!s_info_industry_sw_2021(W4379,公司分析!D$5,3),IF($Y$3="wind一级行业",[1]!s_info_industry_gics(W4379,1),IF($Y$3="wind二级行业",[1]!s_info_industry_gics(W4379,2),IF($Y$3="wind三级行业",[1]!s_info_industry_gics(W4379,3),IF($Y$3="wind四级行业",[1]!s_info_industry_gics(W4379,4),IF($Y$3="证监会门类行业",[1]!s_info_industry_csrc12_n(W4379,公司分析!D$5,1),""))))))))</f>
        <v>广告营销</v>
      </c>
      <c r="Z4379" s="302" t="str">
        <f ca="1">IF(Y4379=行业比较!$E$6,ROW(),"")</f>
        <v/>
      </c>
    </row>
    <row r="4380" spans="22:26">
      <c r="V4380" s="260">
        <f t="shared" ca="1" si="76"/>
        <v>0</v>
      </c>
      <c r="W4380" s="348" t="str">
        <f>IF(板块成分!B4382="","",板块成分!B4382)</f>
        <v>603826.SH</v>
      </c>
      <c r="X4380" s="276" t="str">
        <f>[1]!S_Info_Name(W4380)</f>
        <v>坤彩科技</v>
      </c>
      <c r="Y4380" s="276" t="str">
        <f ca="1">IF($Y$3="申万一级行业",[1]!s_info_industry_sw_2021(W4380,公司分析!D$5,1),IF($Y$3="申万二级行业",[1]!s_info_industry_sw_2021(W4380,公司分析!D$5,2),IF($Y$3="申万三级行业",[1]!s_info_industry_sw_2021(W4380,公司分析!D$5,3),IF($Y$3="wind一级行业",[1]!s_info_industry_gics(W4380,1),IF($Y$3="wind二级行业",[1]!s_info_industry_gics(W4380,2),IF($Y$3="wind三级行业",[1]!s_info_industry_gics(W4380,3),IF($Y$3="wind四级行业",[1]!s_info_industry_gics(W4380,4),IF($Y$3="证监会门类行业",[1]!s_info_industry_csrc12_n(W4380,公司分析!D$5,1),""))))))))</f>
        <v>非金属材料Ⅱ</v>
      </c>
      <c r="Z4380" s="302" t="str">
        <f ca="1">IF(Y4380=行业比较!$E$6,ROW(),"")</f>
        <v/>
      </c>
    </row>
    <row r="4381" spans="22:26">
      <c r="V4381" s="260">
        <f t="shared" ca="1" si="76"/>
        <v>0</v>
      </c>
      <c r="W4381" s="348" t="str">
        <f>IF(板块成分!B4383="","",板块成分!B4383)</f>
        <v>603828.SH</v>
      </c>
      <c r="X4381" s="276" t="str">
        <f>[1]!S_Info_Name(W4381)</f>
        <v>ST柯利达</v>
      </c>
      <c r="Y4381" s="276" t="str">
        <f ca="1">IF($Y$3="申万一级行业",[1]!s_info_industry_sw_2021(W4381,公司分析!D$5,1),IF($Y$3="申万二级行业",[1]!s_info_industry_sw_2021(W4381,公司分析!D$5,2),IF($Y$3="申万三级行业",[1]!s_info_industry_sw_2021(W4381,公司分析!D$5,3),IF($Y$3="wind一级行业",[1]!s_info_industry_gics(W4381,1),IF($Y$3="wind二级行业",[1]!s_info_industry_gics(W4381,2),IF($Y$3="wind三级行业",[1]!s_info_industry_gics(W4381,3),IF($Y$3="wind四级行业",[1]!s_info_industry_gics(W4381,4),IF($Y$3="证监会门类行业",[1]!s_info_industry_csrc12_n(W4381,公司分析!D$5,1),""))))))))</f>
        <v>装修装饰Ⅱ</v>
      </c>
      <c r="Z4381" s="302" t="str">
        <f ca="1">IF(Y4381=行业比较!$E$6,ROW(),"")</f>
        <v/>
      </c>
    </row>
    <row r="4382" spans="22:26">
      <c r="V4382" s="260">
        <f t="shared" ca="1" si="76"/>
        <v>0</v>
      </c>
      <c r="W4382" s="348" t="str">
        <f>IF(板块成分!B4384="","",板块成分!B4384)</f>
        <v>603829.SH</v>
      </c>
      <c r="X4382" s="276" t="str">
        <f>[1]!S_Info_Name(W4382)</f>
        <v>洛凯股份</v>
      </c>
      <c r="Y4382" s="276" t="str">
        <f ca="1">IF($Y$3="申万一级行业",[1]!s_info_industry_sw_2021(W4382,公司分析!D$5,1),IF($Y$3="申万二级行业",[1]!s_info_industry_sw_2021(W4382,公司分析!D$5,2),IF($Y$3="申万三级行业",[1]!s_info_industry_sw_2021(W4382,公司分析!D$5,3),IF($Y$3="wind一级行业",[1]!s_info_industry_gics(W4382,1),IF($Y$3="wind二级行业",[1]!s_info_industry_gics(W4382,2),IF($Y$3="wind三级行业",[1]!s_info_industry_gics(W4382,3),IF($Y$3="wind四级行业",[1]!s_info_industry_gics(W4382,4),IF($Y$3="证监会门类行业",[1]!s_info_industry_csrc12_n(W4382,公司分析!D$5,1),""))))))))</f>
        <v>电网设备</v>
      </c>
      <c r="Z4382" s="302" t="str">
        <f ca="1">IF(Y4382=行业比较!$E$6,ROW(),"")</f>
        <v/>
      </c>
    </row>
    <row r="4383" spans="22:26">
      <c r="V4383" s="260">
        <f t="shared" ca="1" si="76"/>
        <v>0</v>
      </c>
      <c r="W4383" s="348" t="str">
        <f>IF(板块成分!B4385="","",板块成分!B4385)</f>
        <v>603833.SH</v>
      </c>
      <c r="X4383" s="276" t="str">
        <f>[1]!S_Info_Name(W4383)</f>
        <v>欧派家居</v>
      </c>
      <c r="Y4383" s="276" t="str">
        <f ca="1">IF($Y$3="申万一级行业",[1]!s_info_industry_sw_2021(W4383,公司分析!D$5,1),IF($Y$3="申万二级行业",[1]!s_info_industry_sw_2021(W4383,公司分析!D$5,2),IF($Y$3="申万三级行业",[1]!s_info_industry_sw_2021(W4383,公司分析!D$5,3),IF($Y$3="wind一级行业",[1]!s_info_industry_gics(W4383,1),IF($Y$3="wind二级行业",[1]!s_info_industry_gics(W4383,2),IF($Y$3="wind三级行业",[1]!s_info_industry_gics(W4383,3),IF($Y$3="wind四级行业",[1]!s_info_industry_gics(W4383,4),IF($Y$3="证监会门类行业",[1]!s_info_industry_csrc12_n(W4383,公司分析!D$5,1),""))))))))</f>
        <v>家居用品</v>
      </c>
      <c r="Z4383" s="302" t="str">
        <f ca="1">IF(Y4383=行业比较!$E$6,ROW(),"")</f>
        <v/>
      </c>
    </row>
    <row r="4384" spans="22:26">
      <c r="V4384" s="260">
        <f t="shared" ca="1" si="76"/>
        <v>0</v>
      </c>
      <c r="W4384" s="348" t="str">
        <f>IF(板块成分!B4386="","",板块成分!B4386)</f>
        <v>603836.SH</v>
      </c>
      <c r="X4384" s="276" t="str">
        <f>[1]!S_Info_Name(W4384)</f>
        <v>海程邦达</v>
      </c>
      <c r="Y4384" s="276" t="str">
        <f ca="1">IF($Y$3="申万一级行业",[1]!s_info_industry_sw_2021(W4384,公司分析!D$5,1),IF($Y$3="申万二级行业",[1]!s_info_industry_sw_2021(W4384,公司分析!D$5,2),IF($Y$3="申万三级行业",[1]!s_info_industry_sw_2021(W4384,公司分析!D$5,3),IF($Y$3="wind一级行业",[1]!s_info_industry_gics(W4384,1),IF($Y$3="wind二级行业",[1]!s_info_industry_gics(W4384,2),IF($Y$3="wind三级行业",[1]!s_info_industry_gics(W4384,3),IF($Y$3="wind四级行业",[1]!s_info_industry_gics(W4384,4),IF($Y$3="证监会门类行业",[1]!s_info_industry_csrc12_n(W4384,公司分析!D$5,1),""))))))))</f>
        <v>物流</v>
      </c>
      <c r="Z4384" s="302" t="str">
        <f ca="1">IF(Y4384=行业比较!$E$6,ROW(),"")</f>
        <v/>
      </c>
    </row>
    <row r="4385" spans="22:26">
      <c r="V4385" s="260">
        <f t="shared" ca="1" si="76"/>
        <v>0</v>
      </c>
      <c r="W4385" s="348" t="str">
        <f>IF(板块成分!B4387="","",板块成分!B4387)</f>
        <v>603838.SH</v>
      </c>
      <c r="X4385" s="276" t="str">
        <f>[1]!S_Info_Name(W4385)</f>
        <v>*ST四通</v>
      </c>
      <c r="Y4385" s="276" t="str">
        <f ca="1">IF($Y$3="申万一级行业",[1]!s_info_industry_sw_2021(W4385,公司分析!D$5,1),IF($Y$3="申万二级行业",[1]!s_info_industry_sw_2021(W4385,公司分析!D$5,2),IF($Y$3="申万三级行业",[1]!s_info_industry_sw_2021(W4385,公司分析!D$5,3),IF($Y$3="wind一级行业",[1]!s_info_industry_gics(W4385,1),IF($Y$3="wind二级行业",[1]!s_info_industry_gics(W4385,2),IF($Y$3="wind三级行业",[1]!s_info_industry_gics(W4385,3),IF($Y$3="wind四级行业",[1]!s_info_industry_gics(W4385,4),IF($Y$3="证监会门类行业",[1]!s_info_industry_csrc12_n(W4385,公司分析!D$5,1),""))))))))</f>
        <v>家居用品</v>
      </c>
      <c r="Z4385" s="302" t="str">
        <f ca="1">IF(Y4385=行业比较!$E$6,ROW(),"")</f>
        <v/>
      </c>
    </row>
    <row r="4386" spans="22:26">
      <c r="V4386" s="260">
        <f t="shared" ca="1" si="76"/>
        <v>0</v>
      </c>
      <c r="W4386" s="348" t="str">
        <f>IF(板块成分!B4388="","",板块成分!B4388)</f>
        <v>603839.SH</v>
      </c>
      <c r="X4386" s="276" t="str">
        <f>[1]!S_Info_Name(W4386)</f>
        <v>安正时尚</v>
      </c>
      <c r="Y4386" s="276" t="str">
        <f ca="1">IF($Y$3="申万一级行业",[1]!s_info_industry_sw_2021(W4386,公司分析!D$5,1),IF($Y$3="申万二级行业",[1]!s_info_industry_sw_2021(W4386,公司分析!D$5,2),IF($Y$3="申万三级行业",[1]!s_info_industry_sw_2021(W4386,公司分析!D$5,3),IF($Y$3="wind一级行业",[1]!s_info_industry_gics(W4386,1),IF($Y$3="wind二级行业",[1]!s_info_industry_gics(W4386,2),IF($Y$3="wind三级行业",[1]!s_info_industry_gics(W4386,3),IF($Y$3="wind四级行业",[1]!s_info_industry_gics(W4386,4),IF($Y$3="证监会门类行业",[1]!s_info_industry_csrc12_n(W4386,公司分析!D$5,1),""))))))))</f>
        <v>服装家纺</v>
      </c>
      <c r="Z4386" s="302" t="str">
        <f ca="1">IF(Y4386=行业比较!$E$6,ROW(),"")</f>
        <v/>
      </c>
    </row>
    <row r="4387" spans="22:26">
      <c r="V4387" s="260">
        <f t="shared" ca="1" si="76"/>
        <v>0</v>
      </c>
      <c r="W4387" s="348" t="str">
        <f>IF(板块成分!B4389="","",板块成分!B4389)</f>
        <v>603843.SH</v>
      </c>
      <c r="X4387" s="276" t="str">
        <f>[1]!S_Info_Name(W4387)</f>
        <v>*ST正平</v>
      </c>
      <c r="Y4387" s="276" t="str">
        <f ca="1">IF($Y$3="申万一级行业",[1]!s_info_industry_sw_2021(W4387,公司分析!D$5,1),IF($Y$3="申万二级行业",[1]!s_info_industry_sw_2021(W4387,公司分析!D$5,2),IF($Y$3="申万三级行业",[1]!s_info_industry_sw_2021(W4387,公司分析!D$5,3),IF($Y$3="wind一级行业",[1]!s_info_industry_gics(W4387,1),IF($Y$3="wind二级行业",[1]!s_info_industry_gics(W4387,2),IF($Y$3="wind三级行业",[1]!s_info_industry_gics(W4387,3),IF($Y$3="wind四级行业",[1]!s_info_industry_gics(W4387,4),IF($Y$3="证监会门类行业",[1]!s_info_industry_csrc12_n(W4387,公司分析!D$5,1),""))))))))</f>
        <v>基础建设</v>
      </c>
      <c r="Z4387" s="302" t="str">
        <f ca="1">IF(Y4387=行业比较!$E$6,ROW(),"")</f>
        <v/>
      </c>
    </row>
    <row r="4388" spans="22:26">
      <c r="V4388" s="260">
        <f t="shared" ca="1" si="76"/>
        <v>0</v>
      </c>
      <c r="W4388" s="348" t="str">
        <f>IF(板块成分!B4390="","",板块成分!B4390)</f>
        <v>603848.SH</v>
      </c>
      <c r="X4388" s="276" t="str">
        <f>[1]!S_Info_Name(W4388)</f>
        <v>好太太</v>
      </c>
      <c r="Y4388" s="276" t="str">
        <f ca="1">IF($Y$3="申万一级行业",[1]!s_info_industry_sw_2021(W4388,公司分析!D$5,1),IF($Y$3="申万二级行业",[1]!s_info_industry_sw_2021(W4388,公司分析!D$5,2),IF($Y$3="申万三级行业",[1]!s_info_industry_sw_2021(W4388,公司分析!D$5,3),IF($Y$3="wind一级行业",[1]!s_info_industry_gics(W4388,1),IF($Y$3="wind二级行业",[1]!s_info_industry_gics(W4388,2),IF($Y$3="wind三级行业",[1]!s_info_industry_gics(W4388,3),IF($Y$3="wind四级行业",[1]!s_info_industry_gics(W4388,4),IF($Y$3="证监会门类行业",[1]!s_info_industry_csrc12_n(W4388,公司分析!D$5,1),""))))))))</f>
        <v>家居用品</v>
      </c>
      <c r="Z4388" s="302" t="str">
        <f ca="1">IF(Y4388=行业比较!$E$6,ROW(),"")</f>
        <v/>
      </c>
    </row>
    <row r="4389" spans="22:26">
      <c r="V4389" s="260">
        <f t="shared" ca="1" si="76"/>
        <v>0</v>
      </c>
      <c r="W4389" s="348" t="str">
        <f>IF(板块成分!B4391="","",板块成分!B4391)</f>
        <v>603855.SH</v>
      </c>
      <c r="X4389" s="276" t="str">
        <f>[1]!S_Info_Name(W4389)</f>
        <v>华荣股份</v>
      </c>
      <c r="Y4389" s="276" t="str">
        <f ca="1">IF($Y$3="申万一级行业",[1]!s_info_industry_sw_2021(W4389,公司分析!D$5,1),IF($Y$3="申万二级行业",[1]!s_info_industry_sw_2021(W4389,公司分析!D$5,2),IF($Y$3="申万三级行业",[1]!s_info_industry_sw_2021(W4389,公司分析!D$5,3),IF($Y$3="wind一级行业",[1]!s_info_industry_gics(W4389,1),IF($Y$3="wind二级行业",[1]!s_info_industry_gics(W4389,2),IF($Y$3="wind三级行业",[1]!s_info_industry_gics(W4389,3),IF($Y$3="wind四级行业",[1]!s_info_industry_gics(W4389,4),IF($Y$3="证监会门类行业",[1]!s_info_industry_csrc12_n(W4389,公司分析!D$5,1),""))))))))</f>
        <v>专用设备</v>
      </c>
      <c r="Z4389" s="302" t="str">
        <f ca="1">IF(Y4389=行业比较!$E$6,ROW(),"")</f>
        <v/>
      </c>
    </row>
    <row r="4390" spans="22:26">
      <c r="V4390" s="260">
        <f t="shared" ca="1" si="76"/>
        <v>0</v>
      </c>
      <c r="W4390" s="348" t="str">
        <f>IF(板块成分!B4392="","",板块成分!B4392)</f>
        <v>603856.SH</v>
      </c>
      <c r="X4390" s="276" t="str">
        <f>[1]!S_Info_Name(W4390)</f>
        <v>东宏股份</v>
      </c>
      <c r="Y4390" s="276" t="str">
        <f ca="1">IF($Y$3="申万一级行业",[1]!s_info_industry_sw_2021(W4390,公司分析!D$5,1),IF($Y$3="申万二级行业",[1]!s_info_industry_sw_2021(W4390,公司分析!D$5,2),IF($Y$3="申万三级行业",[1]!s_info_industry_sw_2021(W4390,公司分析!D$5,3),IF($Y$3="wind一级行业",[1]!s_info_industry_gics(W4390,1),IF($Y$3="wind二级行业",[1]!s_info_industry_gics(W4390,2),IF($Y$3="wind三级行业",[1]!s_info_industry_gics(W4390,3),IF($Y$3="wind四级行业",[1]!s_info_industry_gics(W4390,4),IF($Y$3="证监会门类行业",[1]!s_info_industry_csrc12_n(W4390,公司分析!D$5,1),""))))))))</f>
        <v>装修建材</v>
      </c>
      <c r="Z4390" s="302" t="str">
        <f ca="1">IF(Y4390=行业比较!$E$6,ROW(),"")</f>
        <v/>
      </c>
    </row>
    <row r="4391" spans="22:26">
      <c r="V4391" s="260">
        <f t="shared" ca="1" si="76"/>
        <v>0</v>
      </c>
      <c r="W4391" s="348" t="str">
        <f>IF(板块成分!B4393="","",板块成分!B4393)</f>
        <v>603858.SH</v>
      </c>
      <c r="X4391" s="276" t="str">
        <f>[1]!S_Info_Name(W4391)</f>
        <v>步长制药</v>
      </c>
      <c r="Y4391" s="276" t="str">
        <f ca="1">IF($Y$3="申万一级行业",[1]!s_info_industry_sw_2021(W4391,公司分析!D$5,1),IF($Y$3="申万二级行业",[1]!s_info_industry_sw_2021(W4391,公司分析!D$5,2),IF($Y$3="申万三级行业",[1]!s_info_industry_sw_2021(W4391,公司分析!D$5,3),IF($Y$3="wind一级行业",[1]!s_info_industry_gics(W4391,1),IF($Y$3="wind二级行业",[1]!s_info_industry_gics(W4391,2),IF($Y$3="wind三级行业",[1]!s_info_industry_gics(W4391,3),IF($Y$3="wind四级行业",[1]!s_info_industry_gics(W4391,4),IF($Y$3="证监会门类行业",[1]!s_info_industry_csrc12_n(W4391,公司分析!D$5,1),""))))))))</f>
        <v>中药Ⅱ</v>
      </c>
      <c r="Z4391" s="302" t="str">
        <f ca="1">IF(Y4391=行业比较!$E$6,ROW(),"")</f>
        <v/>
      </c>
    </row>
    <row r="4392" spans="22:26">
      <c r="V4392" s="260">
        <f t="shared" ca="1" si="76"/>
        <v>0</v>
      </c>
      <c r="W4392" s="348" t="str">
        <f>IF(板块成分!B4394="","",板块成分!B4394)</f>
        <v>603859.SH</v>
      </c>
      <c r="X4392" s="276" t="str">
        <f>[1]!S_Info_Name(W4392)</f>
        <v>能科科技</v>
      </c>
      <c r="Y4392" s="276" t="str">
        <f ca="1">IF($Y$3="申万一级行业",[1]!s_info_industry_sw_2021(W4392,公司分析!D$5,1),IF($Y$3="申万二级行业",[1]!s_info_industry_sw_2021(W4392,公司分析!D$5,2),IF($Y$3="申万三级行业",[1]!s_info_industry_sw_2021(W4392,公司分析!D$5,3),IF($Y$3="wind一级行业",[1]!s_info_industry_gics(W4392,1),IF($Y$3="wind二级行业",[1]!s_info_industry_gics(W4392,2),IF($Y$3="wind三级行业",[1]!s_info_industry_gics(W4392,3),IF($Y$3="wind四级行业",[1]!s_info_industry_gics(W4392,4),IF($Y$3="证监会门类行业",[1]!s_info_industry_csrc12_n(W4392,公司分析!D$5,1),""))))))))</f>
        <v>IT服务Ⅱ</v>
      </c>
      <c r="Z4392" s="302" t="str">
        <f ca="1">IF(Y4392=行业比较!$E$6,ROW(),"")</f>
        <v/>
      </c>
    </row>
    <row r="4393" spans="22:26">
      <c r="V4393" s="260">
        <f t="shared" ca="1" si="76"/>
        <v>0</v>
      </c>
      <c r="W4393" s="348" t="str">
        <f>IF(板块成分!B4395="","",板块成分!B4395)</f>
        <v>603860.SH</v>
      </c>
      <c r="X4393" s="276" t="str">
        <f>[1]!S_Info_Name(W4393)</f>
        <v>中公高科</v>
      </c>
      <c r="Y4393" s="276" t="str">
        <f ca="1">IF($Y$3="申万一级行业",[1]!s_info_industry_sw_2021(W4393,公司分析!D$5,1),IF($Y$3="申万二级行业",[1]!s_info_industry_sw_2021(W4393,公司分析!D$5,2),IF($Y$3="申万三级行业",[1]!s_info_industry_sw_2021(W4393,公司分析!D$5,3),IF($Y$3="wind一级行业",[1]!s_info_industry_gics(W4393,1),IF($Y$3="wind二级行业",[1]!s_info_industry_gics(W4393,2),IF($Y$3="wind三级行业",[1]!s_info_industry_gics(W4393,3),IF($Y$3="wind四级行业",[1]!s_info_industry_gics(W4393,4),IF($Y$3="证监会门类行业",[1]!s_info_industry_csrc12_n(W4393,公司分析!D$5,1),""))))))))</f>
        <v>工程咨询服务Ⅱ</v>
      </c>
      <c r="Z4393" s="302" t="str">
        <f ca="1">IF(Y4393=行业比较!$E$6,ROW(),"")</f>
        <v/>
      </c>
    </row>
    <row r="4394" spans="22:26">
      <c r="V4394" s="260">
        <f t="shared" ca="1" si="76"/>
        <v>0</v>
      </c>
      <c r="W4394" s="348" t="str">
        <f>IF(板块成分!B4396="","",板块成分!B4396)</f>
        <v>603861.SH</v>
      </c>
      <c r="X4394" s="276" t="str">
        <f>[1]!S_Info_Name(W4394)</f>
        <v>白云电器</v>
      </c>
      <c r="Y4394" s="276" t="str">
        <f ca="1">IF($Y$3="申万一级行业",[1]!s_info_industry_sw_2021(W4394,公司分析!D$5,1),IF($Y$3="申万二级行业",[1]!s_info_industry_sw_2021(W4394,公司分析!D$5,2),IF($Y$3="申万三级行业",[1]!s_info_industry_sw_2021(W4394,公司分析!D$5,3),IF($Y$3="wind一级行业",[1]!s_info_industry_gics(W4394,1),IF($Y$3="wind二级行业",[1]!s_info_industry_gics(W4394,2),IF($Y$3="wind三级行业",[1]!s_info_industry_gics(W4394,3),IF($Y$3="wind四级行业",[1]!s_info_industry_gics(W4394,4),IF($Y$3="证监会门类行业",[1]!s_info_industry_csrc12_n(W4394,公司分析!D$5,1),""))))))))</f>
        <v>电网设备</v>
      </c>
      <c r="Z4394" s="302" t="str">
        <f ca="1">IF(Y4394=行业比较!$E$6,ROW(),"")</f>
        <v/>
      </c>
    </row>
    <row r="4395" spans="22:26">
      <c r="V4395" s="260">
        <f t="shared" ca="1" si="76"/>
        <v>0</v>
      </c>
      <c r="W4395" s="348" t="str">
        <f>IF(板块成分!B4397="","",板块成分!B4397)</f>
        <v>603863.SH</v>
      </c>
      <c r="X4395" s="276" t="str">
        <f>[1]!S_Info_Name(W4395)</f>
        <v>松炀资源</v>
      </c>
      <c r="Y4395" s="276" t="str">
        <f ca="1">IF($Y$3="申万一级行业",[1]!s_info_industry_sw_2021(W4395,公司分析!D$5,1),IF($Y$3="申万二级行业",[1]!s_info_industry_sw_2021(W4395,公司分析!D$5,2),IF($Y$3="申万三级行业",[1]!s_info_industry_sw_2021(W4395,公司分析!D$5,3),IF($Y$3="wind一级行业",[1]!s_info_industry_gics(W4395,1),IF($Y$3="wind二级行业",[1]!s_info_industry_gics(W4395,2),IF($Y$3="wind三级行业",[1]!s_info_industry_gics(W4395,3),IF($Y$3="wind四级行业",[1]!s_info_industry_gics(W4395,4),IF($Y$3="证监会门类行业",[1]!s_info_industry_csrc12_n(W4395,公司分析!D$5,1),""))))))))</f>
        <v>造纸</v>
      </c>
      <c r="Z4395" s="302" t="str">
        <f ca="1">IF(Y4395=行业比较!$E$6,ROW(),"")</f>
        <v/>
      </c>
    </row>
    <row r="4396" spans="22:26">
      <c r="V4396" s="260">
        <f t="shared" ca="1" si="76"/>
        <v>0</v>
      </c>
      <c r="W4396" s="348" t="str">
        <f>IF(板块成分!B4398="","",板块成分!B4398)</f>
        <v>603866.SH</v>
      </c>
      <c r="X4396" s="276" t="str">
        <f>[1]!S_Info_Name(W4396)</f>
        <v>桃李面包</v>
      </c>
      <c r="Y4396" s="276" t="str">
        <f ca="1">IF($Y$3="申万一级行业",[1]!s_info_industry_sw_2021(W4396,公司分析!D$5,1),IF($Y$3="申万二级行业",[1]!s_info_industry_sw_2021(W4396,公司分析!D$5,2),IF($Y$3="申万三级行业",[1]!s_info_industry_sw_2021(W4396,公司分析!D$5,3),IF($Y$3="wind一级行业",[1]!s_info_industry_gics(W4396,1),IF($Y$3="wind二级行业",[1]!s_info_industry_gics(W4396,2),IF($Y$3="wind三级行业",[1]!s_info_industry_gics(W4396,3),IF($Y$3="wind四级行业",[1]!s_info_industry_gics(W4396,4),IF($Y$3="证监会门类行业",[1]!s_info_industry_csrc12_n(W4396,公司分析!D$5,1),""))))))))</f>
        <v>休闲食品</v>
      </c>
      <c r="Z4396" s="302" t="str">
        <f ca="1">IF(Y4396=行业比较!$E$6,ROW(),"")</f>
        <v/>
      </c>
    </row>
    <row r="4397" spans="22:26">
      <c r="V4397" s="260">
        <f t="shared" ca="1" si="76"/>
        <v>0</v>
      </c>
      <c r="W4397" s="348" t="str">
        <f>IF(板块成分!B4399="","",板块成分!B4399)</f>
        <v>603867.SH</v>
      </c>
      <c r="X4397" s="276" t="str">
        <f>[1]!S_Info_Name(W4397)</f>
        <v>新化股份</v>
      </c>
      <c r="Y4397" s="276" t="str">
        <f ca="1">IF($Y$3="申万一级行业",[1]!s_info_industry_sw_2021(W4397,公司分析!D$5,1),IF($Y$3="申万二级行业",[1]!s_info_industry_sw_2021(W4397,公司分析!D$5,2),IF($Y$3="申万三级行业",[1]!s_info_industry_sw_2021(W4397,公司分析!D$5,3),IF($Y$3="wind一级行业",[1]!s_info_industry_gics(W4397,1),IF($Y$3="wind二级行业",[1]!s_info_industry_gics(W4397,2),IF($Y$3="wind三级行业",[1]!s_info_industry_gics(W4397,3),IF($Y$3="wind四级行业",[1]!s_info_industry_gics(W4397,4),IF($Y$3="证监会门类行业",[1]!s_info_industry_csrc12_n(W4397,公司分析!D$5,1),""))))))))</f>
        <v>化学制品</v>
      </c>
      <c r="Z4397" s="302" t="str">
        <f ca="1">IF(Y4397=行业比较!$E$6,ROW(),"")</f>
        <v/>
      </c>
    </row>
    <row r="4398" spans="22:26">
      <c r="V4398" s="260">
        <f t="shared" ca="1" si="76"/>
        <v>0</v>
      </c>
      <c r="W4398" s="348" t="str">
        <f>IF(板块成分!B4400="","",板块成分!B4400)</f>
        <v>603868.SH</v>
      </c>
      <c r="X4398" s="276" t="str">
        <f>[1]!S_Info_Name(W4398)</f>
        <v>飞科电器</v>
      </c>
      <c r="Y4398" s="276" t="str">
        <f ca="1">IF($Y$3="申万一级行业",[1]!s_info_industry_sw_2021(W4398,公司分析!D$5,1),IF($Y$3="申万二级行业",[1]!s_info_industry_sw_2021(W4398,公司分析!D$5,2),IF($Y$3="申万三级行业",[1]!s_info_industry_sw_2021(W4398,公司分析!D$5,3),IF($Y$3="wind一级行业",[1]!s_info_industry_gics(W4398,1),IF($Y$3="wind二级行业",[1]!s_info_industry_gics(W4398,2),IF($Y$3="wind三级行业",[1]!s_info_industry_gics(W4398,3),IF($Y$3="wind四级行业",[1]!s_info_industry_gics(W4398,4),IF($Y$3="证监会门类行业",[1]!s_info_industry_csrc12_n(W4398,公司分析!D$5,1),""))))))))</f>
        <v>小家电</v>
      </c>
      <c r="Z4398" s="302" t="str">
        <f ca="1">IF(Y4398=行业比较!$E$6,ROW(),"")</f>
        <v/>
      </c>
    </row>
    <row r="4399" spans="22:26">
      <c r="V4399" s="260">
        <f t="shared" ca="1" si="76"/>
        <v>0</v>
      </c>
      <c r="W4399" s="348" t="str">
        <f>IF(板块成分!B4401="","",板块成分!B4401)</f>
        <v>603869.SH</v>
      </c>
      <c r="X4399" s="276" t="str">
        <f>[1]!S_Info_Name(W4399)</f>
        <v>ST智知</v>
      </c>
      <c r="Y4399" s="276" t="str">
        <f ca="1">IF($Y$3="申万一级行业",[1]!s_info_industry_sw_2021(W4399,公司分析!D$5,1),IF($Y$3="申万二级行业",[1]!s_info_industry_sw_2021(W4399,公司分析!D$5,2),IF($Y$3="申万三级行业",[1]!s_info_industry_sw_2021(W4399,公司分析!D$5,3),IF($Y$3="wind一级行业",[1]!s_info_industry_gics(W4399,1),IF($Y$3="wind二级行业",[1]!s_info_industry_gics(W4399,2),IF($Y$3="wind三级行业",[1]!s_info_industry_gics(W4399,3),IF($Y$3="wind四级行业",[1]!s_info_industry_gics(W4399,4),IF($Y$3="证监会门类行业",[1]!s_info_industry_csrc12_n(W4399,公司分析!D$5,1),""))))))))</f>
        <v>IT服务Ⅱ</v>
      </c>
      <c r="Z4399" s="302" t="str">
        <f ca="1">IF(Y4399=行业比较!$E$6,ROW(),"")</f>
        <v/>
      </c>
    </row>
    <row r="4400" spans="22:26">
      <c r="V4400" s="260">
        <f t="shared" ca="1" si="76"/>
        <v>0</v>
      </c>
      <c r="W4400" s="348" t="str">
        <f>IF(板块成分!B4402="","",板块成分!B4402)</f>
        <v>603871.SH</v>
      </c>
      <c r="X4400" s="276" t="str">
        <f>[1]!S_Info_Name(W4400)</f>
        <v>嘉友国际</v>
      </c>
      <c r="Y4400" s="276" t="str">
        <f ca="1">IF($Y$3="申万一级行业",[1]!s_info_industry_sw_2021(W4400,公司分析!D$5,1),IF($Y$3="申万二级行业",[1]!s_info_industry_sw_2021(W4400,公司分析!D$5,2),IF($Y$3="申万三级行业",[1]!s_info_industry_sw_2021(W4400,公司分析!D$5,3),IF($Y$3="wind一级行业",[1]!s_info_industry_gics(W4400,1),IF($Y$3="wind二级行业",[1]!s_info_industry_gics(W4400,2),IF($Y$3="wind三级行业",[1]!s_info_industry_gics(W4400,3),IF($Y$3="wind四级行业",[1]!s_info_industry_gics(W4400,4),IF($Y$3="证监会门类行业",[1]!s_info_industry_csrc12_n(W4400,公司分析!D$5,1),""))))))))</f>
        <v>物流</v>
      </c>
      <c r="Z4400" s="302" t="str">
        <f ca="1">IF(Y4400=行业比较!$E$6,ROW(),"")</f>
        <v/>
      </c>
    </row>
    <row r="4401" spans="22:26">
      <c r="V4401" s="260">
        <f t="shared" ca="1" si="76"/>
        <v>56</v>
      </c>
      <c r="W4401" s="348" t="str">
        <f>IF(板块成分!B4403="","",板块成分!B4403)</f>
        <v>603876.SH</v>
      </c>
      <c r="X4401" s="276" t="str">
        <f>[1]!S_Info_Name(W4401)</f>
        <v>鼎胜新材</v>
      </c>
      <c r="Y4401" s="276" t="str">
        <f ca="1">IF($Y$3="申万一级行业",[1]!s_info_industry_sw_2021(W4401,公司分析!D$5,1),IF($Y$3="申万二级行业",[1]!s_info_industry_sw_2021(W4401,公司分析!D$5,2),IF($Y$3="申万三级行业",[1]!s_info_industry_sw_2021(W4401,公司分析!D$5,3),IF($Y$3="wind一级行业",[1]!s_info_industry_gics(W4401,1),IF($Y$3="wind二级行业",[1]!s_info_industry_gics(W4401,2),IF($Y$3="wind三级行业",[1]!s_info_industry_gics(W4401,3),IF($Y$3="wind四级行业",[1]!s_info_industry_gics(W4401,4),IF($Y$3="证监会门类行业",[1]!s_info_industry_csrc12_n(W4401,公司分析!D$5,1),""))))))))</f>
        <v>工业金属</v>
      </c>
      <c r="Z4401" s="302">
        <f ca="1">IF(Y4401=行业比较!$E$6,ROW(),"")</f>
        <v>4401</v>
      </c>
    </row>
    <row r="4402" spans="22:26">
      <c r="V4402" s="260">
        <f t="shared" ca="1" si="76"/>
        <v>0</v>
      </c>
      <c r="W4402" s="348" t="str">
        <f>IF(板块成分!B4404="","",板块成分!B4404)</f>
        <v>603877.SH</v>
      </c>
      <c r="X4402" s="276" t="str">
        <f>[1]!S_Info_Name(W4402)</f>
        <v>太平鸟</v>
      </c>
      <c r="Y4402" s="276" t="str">
        <f ca="1">IF($Y$3="申万一级行业",[1]!s_info_industry_sw_2021(W4402,公司分析!D$5,1),IF($Y$3="申万二级行业",[1]!s_info_industry_sw_2021(W4402,公司分析!D$5,2),IF($Y$3="申万三级行业",[1]!s_info_industry_sw_2021(W4402,公司分析!D$5,3),IF($Y$3="wind一级行业",[1]!s_info_industry_gics(W4402,1),IF($Y$3="wind二级行业",[1]!s_info_industry_gics(W4402,2),IF($Y$3="wind三级行业",[1]!s_info_industry_gics(W4402,3),IF($Y$3="wind四级行业",[1]!s_info_industry_gics(W4402,4),IF($Y$3="证监会门类行业",[1]!s_info_industry_csrc12_n(W4402,公司分析!D$5,1),""))))))))</f>
        <v>服装家纺</v>
      </c>
      <c r="Z4402" s="302" t="str">
        <f ca="1">IF(Y4402=行业比较!$E$6,ROW(),"")</f>
        <v/>
      </c>
    </row>
    <row r="4403" spans="22:26">
      <c r="V4403" s="260">
        <f t="shared" ca="1" si="76"/>
        <v>0</v>
      </c>
      <c r="W4403" s="348" t="str">
        <f>IF(板块成分!B4405="","",板块成分!B4405)</f>
        <v>603878.SH</v>
      </c>
      <c r="X4403" s="276" t="str">
        <f>[1]!S_Info_Name(W4403)</f>
        <v>武进不锈</v>
      </c>
      <c r="Y4403" s="276" t="str">
        <f ca="1">IF($Y$3="申万一级行业",[1]!s_info_industry_sw_2021(W4403,公司分析!D$5,1),IF($Y$3="申万二级行业",[1]!s_info_industry_sw_2021(W4403,公司分析!D$5,2),IF($Y$3="申万三级行业",[1]!s_info_industry_sw_2021(W4403,公司分析!D$5,3),IF($Y$3="wind一级行业",[1]!s_info_industry_gics(W4403,1),IF($Y$3="wind二级行业",[1]!s_info_industry_gics(W4403,2),IF($Y$3="wind三级行业",[1]!s_info_industry_gics(W4403,3),IF($Y$3="wind四级行业",[1]!s_info_industry_gics(W4403,4),IF($Y$3="证监会门类行业",[1]!s_info_industry_csrc12_n(W4403,公司分析!D$5,1),""))))))))</f>
        <v>普钢</v>
      </c>
      <c r="Z4403" s="302" t="str">
        <f ca="1">IF(Y4403=行业比较!$E$6,ROW(),"")</f>
        <v/>
      </c>
    </row>
    <row r="4404" spans="22:26">
      <c r="V4404" s="260">
        <f t="shared" ca="1" si="76"/>
        <v>0</v>
      </c>
      <c r="W4404" s="348" t="str">
        <f>IF(板块成分!B4406="","",板块成分!B4406)</f>
        <v>603879.SH</v>
      </c>
      <c r="X4404" s="276" t="str">
        <f>[1]!S_Info_Name(W4404)</f>
        <v>永悦科技</v>
      </c>
      <c r="Y4404" s="276" t="str">
        <f ca="1">IF($Y$3="申万一级行业",[1]!s_info_industry_sw_2021(W4404,公司分析!D$5,1),IF($Y$3="申万二级行业",[1]!s_info_industry_sw_2021(W4404,公司分析!D$5,2),IF($Y$3="申万三级行业",[1]!s_info_industry_sw_2021(W4404,公司分析!D$5,3),IF($Y$3="wind一级行业",[1]!s_info_industry_gics(W4404,1),IF($Y$3="wind二级行业",[1]!s_info_industry_gics(W4404,2),IF($Y$3="wind三级行业",[1]!s_info_industry_gics(W4404,3),IF($Y$3="wind四级行业",[1]!s_info_industry_gics(W4404,4),IF($Y$3="证监会门类行业",[1]!s_info_industry_csrc12_n(W4404,公司分析!D$5,1),""))))))))</f>
        <v>塑料</v>
      </c>
      <c r="Z4404" s="302" t="str">
        <f ca="1">IF(Y4404=行业比较!$E$6,ROW(),"")</f>
        <v/>
      </c>
    </row>
    <row r="4405" spans="22:26">
      <c r="V4405" s="260">
        <f t="shared" ca="1" si="76"/>
        <v>0</v>
      </c>
      <c r="W4405" s="348" t="str">
        <f>IF(板块成分!B4407="","",板块成分!B4407)</f>
        <v>603880.SH</v>
      </c>
      <c r="X4405" s="276" t="str">
        <f>[1]!S_Info_Name(W4405)</f>
        <v>南卫股份</v>
      </c>
      <c r="Y4405" s="276" t="str">
        <f ca="1">IF($Y$3="申万一级行业",[1]!s_info_industry_sw_2021(W4405,公司分析!D$5,1),IF($Y$3="申万二级行业",[1]!s_info_industry_sw_2021(W4405,公司分析!D$5,2),IF($Y$3="申万三级行业",[1]!s_info_industry_sw_2021(W4405,公司分析!D$5,3),IF($Y$3="wind一级行业",[1]!s_info_industry_gics(W4405,1),IF($Y$3="wind二级行业",[1]!s_info_industry_gics(W4405,2),IF($Y$3="wind三级行业",[1]!s_info_industry_gics(W4405,3),IF($Y$3="wind四级行业",[1]!s_info_industry_gics(W4405,4),IF($Y$3="证监会门类行业",[1]!s_info_industry_csrc12_n(W4405,公司分析!D$5,1),""))))))))</f>
        <v>医疗器械</v>
      </c>
      <c r="Z4405" s="302" t="str">
        <f ca="1">IF(Y4405=行业比较!$E$6,ROW(),"")</f>
        <v/>
      </c>
    </row>
    <row r="4406" spans="22:26">
      <c r="V4406" s="260">
        <f t="shared" ca="1" si="76"/>
        <v>0</v>
      </c>
      <c r="W4406" s="348" t="str">
        <f>IF(板块成分!B4408="","",板块成分!B4408)</f>
        <v>603881.SH</v>
      </c>
      <c r="X4406" s="276" t="str">
        <f>[1]!S_Info_Name(W4406)</f>
        <v>数据港</v>
      </c>
      <c r="Y4406" s="276" t="str">
        <f ca="1">IF($Y$3="申万一级行业",[1]!s_info_industry_sw_2021(W4406,公司分析!D$5,1),IF($Y$3="申万二级行业",[1]!s_info_industry_sw_2021(W4406,公司分析!D$5,2),IF($Y$3="申万三级行业",[1]!s_info_industry_sw_2021(W4406,公司分析!D$5,3),IF($Y$3="wind一级行业",[1]!s_info_industry_gics(W4406,1),IF($Y$3="wind二级行业",[1]!s_info_industry_gics(W4406,2),IF($Y$3="wind三级行业",[1]!s_info_industry_gics(W4406,3),IF($Y$3="wind四级行业",[1]!s_info_industry_gics(W4406,4),IF($Y$3="证监会门类行业",[1]!s_info_industry_csrc12_n(W4406,公司分析!D$5,1),""))))))))</f>
        <v>通信服务</v>
      </c>
      <c r="Z4406" s="302" t="str">
        <f ca="1">IF(Y4406=行业比较!$E$6,ROW(),"")</f>
        <v/>
      </c>
    </row>
    <row r="4407" spans="22:26">
      <c r="V4407" s="260">
        <f t="shared" ca="1" si="76"/>
        <v>0</v>
      </c>
      <c r="W4407" s="348" t="str">
        <f>IF(板块成分!B4409="","",板块成分!B4409)</f>
        <v>603882.SH</v>
      </c>
      <c r="X4407" s="276" t="str">
        <f>[1]!S_Info_Name(W4407)</f>
        <v>金域医学</v>
      </c>
      <c r="Y4407" s="276" t="str">
        <f ca="1">IF($Y$3="申万一级行业",[1]!s_info_industry_sw_2021(W4407,公司分析!D$5,1),IF($Y$3="申万二级行业",[1]!s_info_industry_sw_2021(W4407,公司分析!D$5,2),IF($Y$3="申万三级行业",[1]!s_info_industry_sw_2021(W4407,公司分析!D$5,3),IF($Y$3="wind一级行业",[1]!s_info_industry_gics(W4407,1),IF($Y$3="wind二级行业",[1]!s_info_industry_gics(W4407,2),IF($Y$3="wind三级行业",[1]!s_info_industry_gics(W4407,3),IF($Y$3="wind四级行业",[1]!s_info_industry_gics(W4407,4),IF($Y$3="证监会门类行业",[1]!s_info_industry_csrc12_n(W4407,公司分析!D$5,1),""))))))))</f>
        <v>医疗服务</v>
      </c>
      <c r="Z4407" s="302" t="str">
        <f ca="1">IF(Y4407=行业比较!$E$6,ROW(),"")</f>
        <v/>
      </c>
    </row>
    <row r="4408" spans="22:26">
      <c r="V4408" s="260">
        <f t="shared" ca="1" si="76"/>
        <v>0</v>
      </c>
      <c r="W4408" s="348" t="str">
        <f>IF(板块成分!B4410="","",板块成分!B4410)</f>
        <v>603883.SH</v>
      </c>
      <c r="X4408" s="276" t="str">
        <f>[1]!S_Info_Name(W4408)</f>
        <v>老百姓</v>
      </c>
      <c r="Y4408" s="276" t="str">
        <f ca="1">IF($Y$3="申万一级行业",[1]!s_info_industry_sw_2021(W4408,公司分析!D$5,1),IF($Y$3="申万二级行业",[1]!s_info_industry_sw_2021(W4408,公司分析!D$5,2),IF($Y$3="申万三级行业",[1]!s_info_industry_sw_2021(W4408,公司分析!D$5,3),IF($Y$3="wind一级行业",[1]!s_info_industry_gics(W4408,1),IF($Y$3="wind二级行业",[1]!s_info_industry_gics(W4408,2),IF($Y$3="wind三级行业",[1]!s_info_industry_gics(W4408,3),IF($Y$3="wind四级行业",[1]!s_info_industry_gics(W4408,4),IF($Y$3="证监会门类行业",[1]!s_info_industry_csrc12_n(W4408,公司分析!D$5,1),""))))))))</f>
        <v>医药商业</v>
      </c>
      <c r="Z4408" s="302" t="str">
        <f ca="1">IF(Y4408=行业比较!$E$6,ROW(),"")</f>
        <v/>
      </c>
    </row>
    <row r="4409" spans="22:26">
      <c r="V4409" s="260">
        <f t="shared" ca="1" si="76"/>
        <v>0</v>
      </c>
      <c r="W4409" s="348" t="str">
        <f>IF(板块成分!B4411="","",板块成分!B4411)</f>
        <v>603885.SH</v>
      </c>
      <c r="X4409" s="276" t="str">
        <f>[1]!S_Info_Name(W4409)</f>
        <v>吉祥航空</v>
      </c>
      <c r="Y4409" s="276" t="str">
        <f ca="1">IF($Y$3="申万一级行业",[1]!s_info_industry_sw_2021(W4409,公司分析!D$5,1),IF($Y$3="申万二级行业",[1]!s_info_industry_sw_2021(W4409,公司分析!D$5,2),IF($Y$3="申万三级行业",[1]!s_info_industry_sw_2021(W4409,公司分析!D$5,3),IF($Y$3="wind一级行业",[1]!s_info_industry_gics(W4409,1),IF($Y$3="wind二级行业",[1]!s_info_industry_gics(W4409,2),IF($Y$3="wind三级行业",[1]!s_info_industry_gics(W4409,3),IF($Y$3="wind四级行业",[1]!s_info_industry_gics(W4409,4),IF($Y$3="证监会门类行业",[1]!s_info_industry_csrc12_n(W4409,公司分析!D$5,1),""))))))))</f>
        <v>航空机场</v>
      </c>
      <c r="Z4409" s="302" t="str">
        <f ca="1">IF(Y4409=行业比较!$E$6,ROW(),"")</f>
        <v/>
      </c>
    </row>
    <row r="4410" spans="22:26">
      <c r="V4410" s="260">
        <f t="shared" ca="1" si="76"/>
        <v>0</v>
      </c>
      <c r="W4410" s="348" t="str">
        <f>IF(板块成分!B4412="","",板块成分!B4412)</f>
        <v>603886.SH</v>
      </c>
      <c r="X4410" s="276" t="str">
        <f>[1]!S_Info_Name(W4410)</f>
        <v>元祖股份</v>
      </c>
      <c r="Y4410" s="276" t="str">
        <f ca="1">IF($Y$3="申万一级行业",[1]!s_info_industry_sw_2021(W4410,公司分析!D$5,1),IF($Y$3="申万二级行业",[1]!s_info_industry_sw_2021(W4410,公司分析!D$5,2),IF($Y$3="申万三级行业",[1]!s_info_industry_sw_2021(W4410,公司分析!D$5,3),IF($Y$3="wind一级行业",[1]!s_info_industry_gics(W4410,1),IF($Y$3="wind二级行业",[1]!s_info_industry_gics(W4410,2),IF($Y$3="wind三级行业",[1]!s_info_industry_gics(W4410,3),IF($Y$3="wind四级行业",[1]!s_info_industry_gics(W4410,4),IF($Y$3="证监会门类行业",[1]!s_info_industry_csrc12_n(W4410,公司分析!D$5,1),""))))))))</f>
        <v>休闲食品</v>
      </c>
      <c r="Z4410" s="302" t="str">
        <f ca="1">IF(Y4410=行业比较!$E$6,ROW(),"")</f>
        <v/>
      </c>
    </row>
    <row r="4411" spans="22:26">
      <c r="V4411" s="260">
        <f t="shared" ca="1" si="76"/>
        <v>0</v>
      </c>
      <c r="W4411" s="348" t="str">
        <f>IF(板块成分!B4413="","",板块成分!B4413)</f>
        <v>603887.SH</v>
      </c>
      <c r="X4411" s="276" t="str">
        <f>[1]!S_Info_Name(W4411)</f>
        <v>城地香江</v>
      </c>
      <c r="Y4411" s="276" t="str">
        <f ca="1">IF($Y$3="申万一级行业",[1]!s_info_industry_sw_2021(W4411,公司分析!D$5,1),IF($Y$3="申万二级行业",[1]!s_info_industry_sw_2021(W4411,公司分析!D$5,2),IF($Y$3="申万三级行业",[1]!s_info_industry_sw_2021(W4411,公司分析!D$5,3),IF($Y$3="wind一级行业",[1]!s_info_industry_gics(W4411,1),IF($Y$3="wind二级行业",[1]!s_info_industry_gics(W4411,2),IF($Y$3="wind三级行业",[1]!s_info_industry_gics(W4411,3),IF($Y$3="wind四级行业",[1]!s_info_industry_gics(W4411,4),IF($Y$3="证监会门类行业",[1]!s_info_industry_csrc12_n(W4411,公司分析!D$5,1),""))))))))</f>
        <v>IT服务Ⅱ</v>
      </c>
      <c r="Z4411" s="302" t="str">
        <f ca="1">IF(Y4411=行业比较!$E$6,ROW(),"")</f>
        <v/>
      </c>
    </row>
    <row r="4412" spans="22:26">
      <c r="V4412" s="260">
        <f t="shared" ca="1" si="76"/>
        <v>0</v>
      </c>
      <c r="W4412" s="348" t="str">
        <f>IF(板块成分!B4414="","",板块成分!B4414)</f>
        <v>603888.SH</v>
      </c>
      <c r="X4412" s="276" t="str">
        <f>[1]!S_Info_Name(W4412)</f>
        <v>新华网</v>
      </c>
      <c r="Y4412" s="276" t="str">
        <f ca="1">IF($Y$3="申万一级行业",[1]!s_info_industry_sw_2021(W4412,公司分析!D$5,1),IF($Y$3="申万二级行业",[1]!s_info_industry_sw_2021(W4412,公司分析!D$5,2),IF($Y$3="申万三级行业",[1]!s_info_industry_sw_2021(W4412,公司分析!D$5,3),IF($Y$3="wind一级行业",[1]!s_info_industry_gics(W4412,1),IF($Y$3="wind二级行业",[1]!s_info_industry_gics(W4412,2),IF($Y$3="wind三级行业",[1]!s_info_industry_gics(W4412,3),IF($Y$3="wind四级行业",[1]!s_info_industry_gics(W4412,4),IF($Y$3="证监会门类行业",[1]!s_info_industry_csrc12_n(W4412,公司分析!D$5,1),""))))))))</f>
        <v>数字媒体</v>
      </c>
      <c r="Z4412" s="302" t="str">
        <f ca="1">IF(Y4412=行业比较!$E$6,ROW(),"")</f>
        <v/>
      </c>
    </row>
    <row r="4413" spans="22:26">
      <c r="V4413" s="260">
        <f t="shared" ca="1" si="76"/>
        <v>0</v>
      </c>
      <c r="W4413" s="348" t="str">
        <f>IF(板块成分!B4415="","",板块成分!B4415)</f>
        <v>603889.SH</v>
      </c>
      <c r="X4413" s="276" t="str">
        <f>[1]!S_Info_Name(W4413)</f>
        <v>新澳股份</v>
      </c>
      <c r="Y4413" s="276" t="str">
        <f ca="1">IF($Y$3="申万一级行业",[1]!s_info_industry_sw_2021(W4413,公司分析!D$5,1),IF($Y$3="申万二级行业",[1]!s_info_industry_sw_2021(W4413,公司分析!D$5,2),IF($Y$3="申万三级行业",[1]!s_info_industry_sw_2021(W4413,公司分析!D$5,3),IF($Y$3="wind一级行业",[1]!s_info_industry_gics(W4413,1),IF($Y$3="wind二级行业",[1]!s_info_industry_gics(W4413,2),IF($Y$3="wind三级行业",[1]!s_info_industry_gics(W4413,3),IF($Y$3="wind四级行业",[1]!s_info_industry_gics(W4413,4),IF($Y$3="证监会门类行业",[1]!s_info_industry_csrc12_n(W4413,公司分析!D$5,1),""))))))))</f>
        <v>纺织制造</v>
      </c>
      <c r="Z4413" s="302" t="str">
        <f ca="1">IF(Y4413=行业比较!$E$6,ROW(),"")</f>
        <v/>
      </c>
    </row>
    <row r="4414" spans="22:26">
      <c r="V4414" s="260">
        <f t="shared" ca="1" si="76"/>
        <v>0</v>
      </c>
      <c r="W4414" s="348" t="str">
        <f>IF(板块成分!B4416="","",板块成分!B4416)</f>
        <v>603890.SH</v>
      </c>
      <c r="X4414" s="276" t="str">
        <f>[1]!S_Info_Name(W4414)</f>
        <v>春秋电子</v>
      </c>
      <c r="Y4414" s="276" t="str">
        <f ca="1">IF($Y$3="申万一级行业",[1]!s_info_industry_sw_2021(W4414,公司分析!D$5,1),IF($Y$3="申万二级行业",[1]!s_info_industry_sw_2021(W4414,公司分析!D$5,2),IF($Y$3="申万三级行业",[1]!s_info_industry_sw_2021(W4414,公司分析!D$5,3),IF($Y$3="wind一级行业",[1]!s_info_industry_gics(W4414,1),IF($Y$3="wind二级行业",[1]!s_info_industry_gics(W4414,2),IF($Y$3="wind三级行业",[1]!s_info_industry_gics(W4414,3),IF($Y$3="wind四级行业",[1]!s_info_industry_gics(W4414,4),IF($Y$3="证监会门类行业",[1]!s_info_industry_csrc12_n(W4414,公司分析!D$5,1),""))))))))</f>
        <v>消费电子</v>
      </c>
      <c r="Z4414" s="302" t="str">
        <f ca="1">IF(Y4414=行业比较!$E$6,ROW(),"")</f>
        <v/>
      </c>
    </row>
    <row r="4415" spans="22:26">
      <c r="V4415" s="260">
        <f t="shared" ca="1" si="76"/>
        <v>0</v>
      </c>
      <c r="W4415" s="348" t="str">
        <f>IF(板块成分!B4417="","",板块成分!B4417)</f>
        <v>603893.SH</v>
      </c>
      <c r="X4415" s="276" t="str">
        <f>[1]!S_Info_Name(W4415)</f>
        <v>瑞芯微</v>
      </c>
      <c r="Y4415" s="276" t="str">
        <f ca="1">IF($Y$3="申万一级行业",[1]!s_info_industry_sw_2021(W4415,公司分析!D$5,1),IF($Y$3="申万二级行业",[1]!s_info_industry_sw_2021(W4415,公司分析!D$5,2),IF($Y$3="申万三级行业",[1]!s_info_industry_sw_2021(W4415,公司分析!D$5,3),IF($Y$3="wind一级行业",[1]!s_info_industry_gics(W4415,1),IF($Y$3="wind二级行业",[1]!s_info_industry_gics(W4415,2),IF($Y$3="wind三级行业",[1]!s_info_industry_gics(W4415,3),IF($Y$3="wind四级行业",[1]!s_info_industry_gics(W4415,4),IF($Y$3="证监会门类行业",[1]!s_info_industry_csrc12_n(W4415,公司分析!D$5,1),""))))))))</f>
        <v>半导体</v>
      </c>
      <c r="Z4415" s="302" t="str">
        <f ca="1">IF(Y4415=行业比较!$E$6,ROW(),"")</f>
        <v/>
      </c>
    </row>
    <row r="4416" spans="22:26">
      <c r="V4416" s="260">
        <f t="shared" ca="1" si="76"/>
        <v>0</v>
      </c>
      <c r="W4416" s="348" t="str">
        <f>IF(板块成分!B4418="","",板块成分!B4418)</f>
        <v>603895.SH</v>
      </c>
      <c r="X4416" s="276" t="str">
        <f>[1]!S_Info_Name(W4416)</f>
        <v>天永智能</v>
      </c>
      <c r="Y4416" s="276" t="str">
        <f ca="1">IF($Y$3="申万一级行业",[1]!s_info_industry_sw_2021(W4416,公司分析!D$5,1),IF($Y$3="申万二级行业",[1]!s_info_industry_sw_2021(W4416,公司分析!D$5,2),IF($Y$3="申万三级行业",[1]!s_info_industry_sw_2021(W4416,公司分析!D$5,3),IF($Y$3="wind一级行业",[1]!s_info_industry_gics(W4416,1),IF($Y$3="wind二级行业",[1]!s_info_industry_gics(W4416,2),IF($Y$3="wind三级行业",[1]!s_info_industry_gics(W4416,3),IF($Y$3="wind四级行业",[1]!s_info_industry_gics(W4416,4),IF($Y$3="证监会门类行业",[1]!s_info_industry_csrc12_n(W4416,公司分析!D$5,1),""))))))))</f>
        <v>专用设备</v>
      </c>
      <c r="Z4416" s="302" t="str">
        <f ca="1">IF(Y4416=行业比较!$E$6,ROW(),"")</f>
        <v/>
      </c>
    </row>
    <row r="4417" spans="22:26">
      <c r="V4417" s="260">
        <f t="shared" ca="1" si="76"/>
        <v>0</v>
      </c>
      <c r="W4417" s="348" t="str">
        <f>IF(板块成分!B4419="","",板块成分!B4419)</f>
        <v>603896.SH</v>
      </c>
      <c r="X4417" s="276" t="str">
        <f>[1]!S_Info_Name(W4417)</f>
        <v>寿仙谷</v>
      </c>
      <c r="Y4417" s="276" t="str">
        <f ca="1">IF($Y$3="申万一级行业",[1]!s_info_industry_sw_2021(W4417,公司分析!D$5,1),IF($Y$3="申万二级行业",[1]!s_info_industry_sw_2021(W4417,公司分析!D$5,2),IF($Y$3="申万三级行业",[1]!s_info_industry_sw_2021(W4417,公司分析!D$5,3),IF($Y$3="wind一级行业",[1]!s_info_industry_gics(W4417,1),IF($Y$3="wind二级行业",[1]!s_info_industry_gics(W4417,2),IF($Y$3="wind三级行业",[1]!s_info_industry_gics(W4417,3),IF($Y$3="wind四级行业",[1]!s_info_industry_gics(W4417,4),IF($Y$3="证监会门类行业",[1]!s_info_industry_csrc12_n(W4417,公司分析!D$5,1),""))))))))</f>
        <v>中药Ⅱ</v>
      </c>
      <c r="Z4417" s="302" t="str">
        <f ca="1">IF(Y4417=行业比较!$E$6,ROW(),"")</f>
        <v/>
      </c>
    </row>
    <row r="4418" spans="22:26">
      <c r="V4418" s="260">
        <f t="shared" ca="1" si="76"/>
        <v>0</v>
      </c>
      <c r="W4418" s="348" t="str">
        <f>IF(板块成分!B4420="","",板块成分!B4420)</f>
        <v>603897.SH</v>
      </c>
      <c r="X4418" s="276" t="str">
        <f>[1]!S_Info_Name(W4418)</f>
        <v>长城科技</v>
      </c>
      <c r="Y4418" s="276" t="str">
        <f ca="1">IF($Y$3="申万一级行业",[1]!s_info_industry_sw_2021(W4418,公司分析!D$5,1),IF($Y$3="申万二级行业",[1]!s_info_industry_sw_2021(W4418,公司分析!D$5,2),IF($Y$3="申万三级行业",[1]!s_info_industry_sw_2021(W4418,公司分析!D$5,3),IF($Y$3="wind一级行业",[1]!s_info_industry_gics(W4418,1),IF($Y$3="wind二级行业",[1]!s_info_industry_gics(W4418,2),IF($Y$3="wind三级行业",[1]!s_info_industry_gics(W4418,3),IF($Y$3="wind四级行业",[1]!s_info_industry_gics(W4418,4),IF($Y$3="证监会门类行业",[1]!s_info_industry_csrc12_n(W4418,公司分析!D$5,1),""))))))))</f>
        <v>电网设备</v>
      </c>
      <c r="Z4418" s="302" t="str">
        <f ca="1">IF(Y4418=行业比较!$E$6,ROW(),"")</f>
        <v/>
      </c>
    </row>
    <row r="4419" spans="22:26">
      <c r="V4419" s="260">
        <f t="shared" ca="1" si="76"/>
        <v>0</v>
      </c>
      <c r="W4419" s="348" t="str">
        <f>IF(板块成分!B4421="","",板块成分!B4421)</f>
        <v>603898.SH</v>
      </c>
      <c r="X4419" s="276" t="str">
        <f>[1]!S_Info_Name(W4419)</f>
        <v>好莱客</v>
      </c>
      <c r="Y4419" s="276" t="str">
        <f ca="1">IF($Y$3="申万一级行业",[1]!s_info_industry_sw_2021(W4419,公司分析!D$5,1),IF($Y$3="申万二级行业",[1]!s_info_industry_sw_2021(W4419,公司分析!D$5,2),IF($Y$3="申万三级行业",[1]!s_info_industry_sw_2021(W4419,公司分析!D$5,3),IF($Y$3="wind一级行业",[1]!s_info_industry_gics(W4419,1),IF($Y$3="wind二级行业",[1]!s_info_industry_gics(W4419,2),IF($Y$3="wind三级行业",[1]!s_info_industry_gics(W4419,3),IF($Y$3="wind四级行业",[1]!s_info_industry_gics(W4419,4),IF($Y$3="证监会门类行业",[1]!s_info_industry_csrc12_n(W4419,公司分析!D$5,1),""))))))))</f>
        <v>家居用品</v>
      </c>
      <c r="Z4419" s="302" t="str">
        <f ca="1">IF(Y4419=行业比较!$E$6,ROW(),"")</f>
        <v/>
      </c>
    </row>
    <row r="4420" spans="22:26">
      <c r="V4420" s="260">
        <f t="shared" ca="1" si="76"/>
        <v>0</v>
      </c>
      <c r="W4420" s="348" t="str">
        <f>IF(板块成分!B4422="","",板块成分!B4422)</f>
        <v>603899.SH</v>
      </c>
      <c r="X4420" s="276" t="str">
        <f>[1]!S_Info_Name(W4420)</f>
        <v>晨光股份</v>
      </c>
      <c r="Y4420" s="276" t="str">
        <f ca="1">IF($Y$3="申万一级行业",[1]!s_info_industry_sw_2021(W4420,公司分析!D$5,1),IF($Y$3="申万二级行业",[1]!s_info_industry_sw_2021(W4420,公司分析!D$5,2),IF($Y$3="申万三级行业",[1]!s_info_industry_sw_2021(W4420,公司分析!D$5,3),IF($Y$3="wind一级行业",[1]!s_info_industry_gics(W4420,1),IF($Y$3="wind二级行业",[1]!s_info_industry_gics(W4420,2),IF($Y$3="wind三级行业",[1]!s_info_industry_gics(W4420,3),IF($Y$3="wind四级行业",[1]!s_info_industry_gics(W4420,4),IF($Y$3="证监会门类行业",[1]!s_info_industry_csrc12_n(W4420,公司分析!D$5,1),""))))))))</f>
        <v>文娱用品</v>
      </c>
      <c r="Z4420" s="302" t="str">
        <f ca="1">IF(Y4420=行业比较!$E$6,ROW(),"")</f>
        <v/>
      </c>
    </row>
    <row r="4421" spans="22:26">
      <c r="V4421" s="260">
        <f t="shared" ref="V4421:V4484" ca="1" si="77">IF(Z4421="",0,RANK(Z4421,Z:Z,1))</f>
        <v>0</v>
      </c>
      <c r="W4421" s="348" t="str">
        <f>IF(板块成分!B4423="","",板块成分!B4423)</f>
        <v>603900.SH</v>
      </c>
      <c r="X4421" s="276" t="str">
        <f>[1]!S_Info_Name(W4421)</f>
        <v>莱绅通灵</v>
      </c>
      <c r="Y4421" s="276" t="str">
        <f ca="1">IF($Y$3="申万一级行业",[1]!s_info_industry_sw_2021(W4421,公司分析!D$5,1),IF($Y$3="申万二级行业",[1]!s_info_industry_sw_2021(W4421,公司分析!D$5,2),IF($Y$3="申万三级行业",[1]!s_info_industry_sw_2021(W4421,公司分析!D$5,3),IF($Y$3="wind一级行业",[1]!s_info_industry_gics(W4421,1),IF($Y$3="wind二级行业",[1]!s_info_industry_gics(W4421,2),IF($Y$3="wind三级行业",[1]!s_info_industry_gics(W4421,3),IF($Y$3="wind四级行业",[1]!s_info_industry_gics(W4421,4),IF($Y$3="证监会门类行业",[1]!s_info_industry_csrc12_n(W4421,公司分析!D$5,1),""))))))))</f>
        <v>饰品</v>
      </c>
      <c r="Z4421" s="302" t="str">
        <f ca="1">IF(Y4421=行业比较!$E$6,ROW(),"")</f>
        <v/>
      </c>
    </row>
    <row r="4422" spans="22:26">
      <c r="V4422" s="260">
        <f t="shared" ca="1" si="77"/>
        <v>0</v>
      </c>
      <c r="W4422" s="348" t="str">
        <f>IF(板块成分!B4424="","",板块成分!B4424)</f>
        <v>603901.SH</v>
      </c>
      <c r="X4422" s="276" t="str">
        <f>[1]!S_Info_Name(W4422)</f>
        <v>永创智能</v>
      </c>
      <c r="Y4422" s="276" t="str">
        <f ca="1">IF($Y$3="申万一级行业",[1]!s_info_industry_sw_2021(W4422,公司分析!D$5,1),IF($Y$3="申万二级行业",[1]!s_info_industry_sw_2021(W4422,公司分析!D$5,2),IF($Y$3="申万三级行业",[1]!s_info_industry_sw_2021(W4422,公司分析!D$5,3),IF($Y$3="wind一级行业",[1]!s_info_industry_gics(W4422,1),IF($Y$3="wind二级行业",[1]!s_info_industry_gics(W4422,2),IF($Y$3="wind三级行业",[1]!s_info_industry_gics(W4422,3),IF($Y$3="wind四级行业",[1]!s_info_industry_gics(W4422,4),IF($Y$3="证监会门类行业",[1]!s_info_industry_csrc12_n(W4422,公司分析!D$5,1),""))))))))</f>
        <v>专用设备</v>
      </c>
      <c r="Z4422" s="302" t="str">
        <f ca="1">IF(Y4422=行业比较!$E$6,ROW(),"")</f>
        <v/>
      </c>
    </row>
    <row r="4423" spans="22:26">
      <c r="V4423" s="260">
        <f t="shared" ca="1" si="77"/>
        <v>0</v>
      </c>
      <c r="W4423" s="348" t="str">
        <f>IF(板块成分!B4425="","",板块成分!B4425)</f>
        <v>603903.SH</v>
      </c>
      <c r="X4423" s="276" t="str">
        <f>[1]!S_Info_Name(W4423)</f>
        <v>中持股份</v>
      </c>
      <c r="Y4423" s="276" t="str">
        <f ca="1">IF($Y$3="申万一级行业",[1]!s_info_industry_sw_2021(W4423,公司分析!D$5,1),IF($Y$3="申万二级行业",[1]!s_info_industry_sw_2021(W4423,公司分析!D$5,2),IF($Y$3="申万三级行业",[1]!s_info_industry_sw_2021(W4423,公司分析!D$5,3),IF($Y$3="wind一级行业",[1]!s_info_industry_gics(W4423,1),IF($Y$3="wind二级行业",[1]!s_info_industry_gics(W4423,2),IF($Y$3="wind三级行业",[1]!s_info_industry_gics(W4423,3),IF($Y$3="wind四级行业",[1]!s_info_industry_gics(W4423,4),IF($Y$3="证监会门类行业",[1]!s_info_industry_csrc12_n(W4423,公司分析!D$5,1),""))))))))</f>
        <v>环境治理</v>
      </c>
      <c r="Z4423" s="302" t="str">
        <f ca="1">IF(Y4423=行业比较!$E$6,ROW(),"")</f>
        <v/>
      </c>
    </row>
    <row r="4424" spans="22:26">
      <c r="V4424" s="260">
        <f t="shared" ca="1" si="77"/>
        <v>0</v>
      </c>
      <c r="W4424" s="348" t="str">
        <f>IF(板块成分!B4426="","",板块成分!B4426)</f>
        <v>603906.SH</v>
      </c>
      <c r="X4424" s="276" t="str">
        <f>[1]!S_Info_Name(W4424)</f>
        <v>龙蟠科技</v>
      </c>
      <c r="Y4424" s="276" t="str">
        <f ca="1">IF($Y$3="申万一级行业",[1]!s_info_industry_sw_2021(W4424,公司分析!D$5,1),IF($Y$3="申万二级行业",[1]!s_info_industry_sw_2021(W4424,公司分析!D$5,2),IF($Y$3="申万三级行业",[1]!s_info_industry_sw_2021(W4424,公司分析!D$5,3),IF($Y$3="wind一级行业",[1]!s_info_industry_gics(W4424,1),IF($Y$3="wind二级行业",[1]!s_info_industry_gics(W4424,2),IF($Y$3="wind三级行业",[1]!s_info_industry_gics(W4424,3),IF($Y$3="wind四级行业",[1]!s_info_industry_gics(W4424,4),IF($Y$3="证监会门类行业",[1]!s_info_industry_csrc12_n(W4424,公司分析!D$5,1),""))))))))</f>
        <v>电池</v>
      </c>
      <c r="Z4424" s="302" t="str">
        <f ca="1">IF(Y4424=行业比较!$E$6,ROW(),"")</f>
        <v/>
      </c>
    </row>
    <row r="4425" spans="22:26">
      <c r="V4425" s="260">
        <f t="shared" ca="1" si="77"/>
        <v>0</v>
      </c>
      <c r="W4425" s="348" t="str">
        <f>IF(板块成分!B4427="","",板块成分!B4427)</f>
        <v>603908.SH</v>
      </c>
      <c r="X4425" s="276" t="str">
        <f>[1]!S_Info_Name(W4425)</f>
        <v>牧高笛</v>
      </c>
      <c r="Y4425" s="276" t="str">
        <f ca="1">IF($Y$3="申万一级行业",[1]!s_info_industry_sw_2021(W4425,公司分析!D$5,1),IF($Y$3="申万二级行业",[1]!s_info_industry_sw_2021(W4425,公司分析!D$5,2),IF($Y$3="申万三级行业",[1]!s_info_industry_sw_2021(W4425,公司分析!D$5,3),IF($Y$3="wind一级行业",[1]!s_info_industry_gics(W4425,1),IF($Y$3="wind二级行业",[1]!s_info_industry_gics(W4425,2),IF($Y$3="wind三级行业",[1]!s_info_industry_gics(W4425,3),IF($Y$3="wind四级行业",[1]!s_info_industry_gics(W4425,4),IF($Y$3="证监会门类行业",[1]!s_info_industry_csrc12_n(W4425,公司分析!D$5,1),""))))))))</f>
        <v>服装家纺</v>
      </c>
      <c r="Z4425" s="302" t="str">
        <f ca="1">IF(Y4425=行业比较!$E$6,ROW(),"")</f>
        <v/>
      </c>
    </row>
    <row r="4426" spans="22:26">
      <c r="V4426" s="260">
        <f t="shared" ca="1" si="77"/>
        <v>0</v>
      </c>
      <c r="W4426" s="348" t="str">
        <f>IF(板块成分!B4428="","",板块成分!B4428)</f>
        <v>603909.SH</v>
      </c>
      <c r="X4426" s="276" t="str">
        <f>[1]!S_Info_Name(W4426)</f>
        <v>建发合诚</v>
      </c>
      <c r="Y4426" s="276" t="str">
        <f ca="1">IF($Y$3="申万一级行业",[1]!s_info_industry_sw_2021(W4426,公司分析!D$5,1),IF($Y$3="申万二级行业",[1]!s_info_industry_sw_2021(W4426,公司分析!D$5,2),IF($Y$3="申万三级行业",[1]!s_info_industry_sw_2021(W4426,公司分析!D$5,3),IF($Y$3="wind一级行业",[1]!s_info_industry_gics(W4426,1),IF($Y$3="wind二级行业",[1]!s_info_industry_gics(W4426,2),IF($Y$3="wind三级行业",[1]!s_info_industry_gics(W4426,3),IF($Y$3="wind四级行业",[1]!s_info_industry_gics(W4426,4),IF($Y$3="证监会门类行业",[1]!s_info_industry_csrc12_n(W4426,公司分析!D$5,1),""))))))))</f>
        <v>工程咨询服务Ⅱ</v>
      </c>
      <c r="Z4426" s="302" t="str">
        <f ca="1">IF(Y4426=行业比较!$E$6,ROW(),"")</f>
        <v/>
      </c>
    </row>
    <row r="4427" spans="22:26">
      <c r="V4427" s="260">
        <f t="shared" ca="1" si="77"/>
        <v>0</v>
      </c>
      <c r="W4427" s="348" t="str">
        <f>IF(板块成分!B4429="","",板块成分!B4429)</f>
        <v>603912.SH</v>
      </c>
      <c r="X4427" s="276" t="str">
        <f>[1]!S_Info_Name(W4427)</f>
        <v>佳力图</v>
      </c>
      <c r="Y4427" s="276" t="str">
        <f ca="1">IF($Y$3="申万一级行业",[1]!s_info_industry_sw_2021(W4427,公司分析!D$5,1),IF($Y$3="申万二级行业",[1]!s_info_industry_sw_2021(W4427,公司分析!D$5,2),IF($Y$3="申万三级行业",[1]!s_info_industry_sw_2021(W4427,公司分析!D$5,3),IF($Y$3="wind一级行业",[1]!s_info_industry_gics(W4427,1),IF($Y$3="wind二级行业",[1]!s_info_industry_gics(W4427,2),IF($Y$3="wind三级行业",[1]!s_info_industry_gics(W4427,3),IF($Y$3="wind四级行业",[1]!s_info_industry_gics(W4427,4),IF($Y$3="证监会门类行业",[1]!s_info_industry_csrc12_n(W4427,公司分析!D$5,1),""))))))))</f>
        <v>通用设备</v>
      </c>
      <c r="Z4427" s="302" t="str">
        <f ca="1">IF(Y4427=行业比较!$E$6,ROW(),"")</f>
        <v/>
      </c>
    </row>
    <row r="4428" spans="22:26">
      <c r="V4428" s="260">
        <f t="shared" ca="1" si="77"/>
        <v>0</v>
      </c>
      <c r="W4428" s="348" t="str">
        <f>IF(板块成分!B4430="","",板块成分!B4430)</f>
        <v>603915.SH</v>
      </c>
      <c r="X4428" s="276" t="str">
        <f>[1]!S_Info_Name(W4428)</f>
        <v>国茂股份</v>
      </c>
      <c r="Y4428" s="276" t="str">
        <f ca="1">IF($Y$3="申万一级行业",[1]!s_info_industry_sw_2021(W4428,公司分析!D$5,1),IF($Y$3="申万二级行业",[1]!s_info_industry_sw_2021(W4428,公司分析!D$5,2),IF($Y$3="申万三级行业",[1]!s_info_industry_sw_2021(W4428,公司分析!D$5,3),IF($Y$3="wind一级行业",[1]!s_info_industry_gics(W4428,1),IF($Y$3="wind二级行业",[1]!s_info_industry_gics(W4428,2),IF($Y$3="wind三级行业",[1]!s_info_industry_gics(W4428,3),IF($Y$3="wind四级行业",[1]!s_info_industry_gics(W4428,4),IF($Y$3="证监会门类行业",[1]!s_info_industry_csrc12_n(W4428,公司分析!D$5,1),""))))))))</f>
        <v>通用设备</v>
      </c>
      <c r="Z4428" s="302" t="str">
        <f ca="1">IF(Y4428=行业比较!$E$6,ROW(),"")</f>
        <v/>
      </c>
    </row>
    <row r="4429" spans="22:26">
      <c r="V4429" s="260">
        <f t="shared" ca="1" si="77"/>
        <v>0</v>
      </c>
      <c r="W4429" s="348" t="str">
        <f>IF(板块成分!B4431="","",板块成分!B4431)</f>
        <v>603916.SH</v>
      </c>
      <c r="X4429" s="276" t="str">
        <f>[1]!S_Info_Name(W4429)</f>
        <v>苏博特</v>
      </c>
      <c r="Y4429" s="276" t="str">
        <f ca="1">IF($Y$3="申万一级行业",[1]!s_info_industry_sw_2021(W4429,公司分析!D$5,1),IF($Y$3="申万二级行业",[1]!s_info_industry_sw_2021(W4429,公司分析!D$5,2),IF($Y$3="申万三级行业",[1]!s_info_industry_sw_2021(W4429,公司分析!D$5,3),IF($Y$3="wind一级行业",[1]!s_info_industry_gics(W4429,1),IF($Y$3="wind二级行业",[1]!s_info_industry_gics(W4429,2),IF($Y$3="wind三级行业",[1]!s_info_industry_gics(W4429,3),IF($Y$3="wind四级行业",[1]!s_info_industry_gics(W4429,4),IF($Y$3="证监会门类行业",[1]!s_info_industry_csrc12_n(W4429,公司分析!D$5,1),""))))))))</f>
        <v>化学制品</v>
      </c>
      <c r="Z4429" s="302" t="str">
        <f ca="1">IF(Y4429=行业比较!$E$6,ROW(),"")</f>
        <v/>
      </c>
    </row>
    <row r="4430" spans="22:26">
      <c r="V4430" s="260">
        <f t="shared" ca="1" si="77"/>
        <v>0</v>
      </c>
      <c r="W4430" s="348" t="str">
        <f>IF(板块成分!B4432="","",板块成分!B4432)</f>
        <v>603917.SH</v>
      </c>
      <c r="X4430" s="276" t="str">
        <f>[1]!S_Info_Name(W4430)</f>
        <v>合力科技</v>
      </c>
      <c r="Y4430" s="276" t="str">
        <f ca="1">IF($Y$3="申万一级行业",[1]!s_info_industry_sw_2021(W4430,公司分析!D$5,1),IF($Y$3="申万二级行业",[1]!s_info_industry_sw_2021(W4430,公司分析!D$5,2),IF($Y$3="申万三级行业",[1]!s_info_industry_sw_2021(W4430,公司分析!D$5,3),IF($Y$3="wind一级行业",[1]!s_info_industry_gics(W4430,1),IF($Y$3="wind二级行业",[1]!s_info_industry_gics(W4430,2),IF($Y$3="wind三级行业",[1]!s_info_industry_gics(W4430,3),IF($Y$3="wind四级行业",[1]!s_info_industry_gics(W4430,4),IF($Y$3="证监会门类行业",[1]!s_info_industry_csrc12_n(W4430,公司分析!D$5,1),""))))))))</f>
        <v>汽车零部件</v>
      </c>
      <c r="Z4430" s="302" t="str">
        <f ca="1">IF(Y4430=行业比较!$E$6,ROW(),"")</f>
        <v/>
      </c>
    </row>
    <row r="4431" spans="22:26">
      <c r="V4431" s="260">
        <f t="shared" ca="1" si="77"/>
        <v>0</v>
      </c>
      <c r="W4431" s="348" t="str">
        <f>IF(板块成分!B4433="","",板块成分!B4433)</f>
        <v>603918.SH</v>
      </c>
      <c r="X4431" s="276" t="str">
        <f>[1]!S_Info_Name(W4431)</f>
        <v>金桥信息</v>
      </c>
      <c r="Y4431" s="276" t="str">
        <f ca="1">IF($Y$3="申万一级行业",[1]!s_info_industry_sw_2021(W4431,公司分析!D$5,1),IF($Y$3="申万二级行业",[1]!s_info_industry_sw_2021(W4431,公司分析!D$5,2),IF($Y$3="申万三级行业",[1]!s_info_industry_sw_2021(W4431,公司分析!D$5,3),IF($Y$3="wind一级行业",[1]!s_info_industry_gics(W4431,1),IF($Y$3="wind二级行业",[1]!s_info_industry_gics(W4431,2),IF($Y$3="wind三级行业",[1]!s_info_industry_gics(W4431,3),IF($Y$3="wind四级行业",[1]!s_info_industry_gics(W4431,4),IF($Y$3="证监会门类行业",[1]!s_info_industry_csrc12_n(W4431,公司分析!D$5,1),""))))))))</f>
        <v>IT服务Ⅱ</v>
      </c>
      <c r="Z4431" s="302" t="str">
        <f ca="1">IF(Y4431=行业比较!$E$6,ROW(),"")</f>
        <v/>
      </c>
    </row>
    <row r="4432" spans="22:26">
      <c r="V4432" s="260">
        <f t="shared" ca="1" si="77"/>
        <v>0</v>
      </c>
      <c r="W4432" s="348" t="str">
        <f>IF(板块成分!B4434="","",板块成分!B4434)</f>
        <v>603919.SH</v>
      </c>
      <c r="X4432" s="276" t="str">
        <f>[1]!S_Info_Name(W4432)</f>
        <v>金徽酒</v>
      </c>
      <c r="Y4432" s="276" t="str">
        <f ca="1">IF($Y$3="申万一级行业",[1]!s_info_industry_sw_2021(W4432,公司分析!D$5,1),IF($Y$3="申万二级行业",[1]!s_info_industry_sw_2021(W4432,公司分析!D$5,2),IF($Y$3="申万三级行业",[1]!s_info_industry_sw_2021(W4432,公司分析!D$5,3),IF($Y$3="wind一级行业",[1]!s_info_industry_gics(W4432,1),IF($Y$3="wind二级行业",[1]!s_info_industry_gics(W4432,2),IF($Y$3="wind三级行业",[1]!s_info_industry_gics(W4432,3),IF($Y$3="wind四级行业",[1]!s_info_industry_gics(W4432,4),IF($Y$3="证监会门类行业",[1]!s_info_industry_csrc12_n(W4432,公司分析!D$5,1),""))))))))</f>
        <v>白酒Ⅱ</v>
      </c>
      <c r="Z4432" s="302" t="str">
        <f ca="1">IF(Y4432=行业比较!$E$6,ROW(),"")</f>
        <v/>
      </c>
    </row>
    <row r="4433" spans="22:26">
      <c r="V4433" s="260">
        <f t="shared" ca="1" si="77"/>
        <v>0</v>
      </c>
      <c r="W4433" s="348" t="str">
        <f>IF(板块成分!B4435="","",板块成分!B4435)</f>
        <v>603920.SH</v>
      </c>
      <c r="X4433" s="276" t="str">
        <f>[1]!S_Info_Name(W4433)</f>
        <v>世运电路</v>
      </c>
      <c r="Y4433" s="276" t="str">
        <f ca="1">IF($Y$3="申万一级行业",[1]!s_info_industry_sw_2021(W4433,公司分析!D$5,1),IF($Y$3="申万二级行业",[1]!s_info_industry_sw_2021(W4433,公司分析!D$5,2),IF($Y$3="申万三级行业",[1]!s_info_industry_sw_2021(W4433,公司分析!D$5,3),IF($Y$3="wind一级行业",[1]!s_info_industry_gics(W4433,1),IF($Y$3="wind二级行业",[1]!s_info_industry_gics(W4433,2),IF($Y$3="wind三级行业",[1]!s_info_industry_gics(W4433,3),IF($Y$3="wind四级行业",[1]!s_info_industry_gics(W4433,4),IF($Y$3="证监会门类行业",[1]!s_info_industry_csrc12_n(W4433,公司分析!D$5,1),""))))))))</f>
        <v>元件</v>
      </c>
      <c r="Z4433" s="302" t="str">
        <f ca="1">IF(Y4433=行业比较!$E$6,ROW(),"")</f>
        <v/>
      </c>
    </row>
    <row r="4434" spans="22:26">
      <c r="V4434" s="260">
        <f t="shared" ca="1" si="77"/>
        <v>0</v>
      </c>
      <c r="W4434" s="348" t="str">
        <f>IF(板块成分!B4436="","",板块成分!B4436)</f>
        <v>603922.SH</v>
      </c>
      <c r="X4434" s="276" t="str">
        <f>[1]!S_Info_Name(W4434)</f>
        <v>金鸿顺</v>
      </c>
      <c r="Y4434" s="276" t="str">
        <f ca="1">IF($Y$3="申万一级行业",[1]!s_info_industry_sw_2021(W4434,公司分析!D$5,1),IF($Y$3="申万二级行业",[1]!s_info_industry_sw_2021(W4434,公司分析!D$5,2),IF($Y$3="申万三级行业",[1]!s_info_industry_sw_2021(W4434,公司分析!D$5,3),IF($Y$3="wind一级行业",[1]!s_info_industry_gics(W4434,1),IF($Y$3="wind二级行业",[1]!s_info_industry_gics(W4434,2),IF($Y$3="wind三级行业",[1]!s_info_industry_gics(W4434,3),IF($Y$3="wind四级行业",[1]!s_info_industry_gics(W4434,4),IF($Y$3="证监会门类行业",[1]!s_info_industry_csrc12_n(W4434,公司分析!D$5,1),""))))))))</f>
        <v>汽车零部件</v>
      </c>
      <c r="Z4434" s="302" t="str">
        <f ca="1">IF(Y4434=行业比较!$E$6,ROW(),"")</f>
        <v/>
      </c>
    </row>
    <row r="4435" spans="22:26">
      <c r="V4435" s="260">
        <f t="shared" ca="1" si="77"/>
        <v>0</v>
      </c>
      <c r="W4435" s="348" t="str">
        <f>IF(板块成分!B4437="","",板块成分!B4437)</f>
        <v>603926.SH</v>
      </c>
      <c r="X4435" s="276" t="str">
        <f>[1]!S_Info_Name(W4435)</f>
        <v>铁流股份</v>
      </c>
      <c r="Y4435" s="276" t="str">
        <f ca="1">IF($Y$3="申万一级行业",[1]!s_info_industry_sw_2021(W4435,公司分析!D$5,1),IF($Y$3="申万二级行业",[1]!s_info_industry_sw_2021(W4435,公司分析!D$5,2),IF($Y$3="申万三级行业",[1]!s_info_industry_sw_2021(W4435,公司分析!D$5,3),IF($Y$3="wind一级行业",[1]!s_info_industry_gics(W4435,1),IF($Y$3="wind二级行业",[1]!s_info_industry_gics(W4435,2),IF($Y$3="wind三级行业",[1]!s_info_industry_gics(W4435,3),IF($Y$3="wind四级行业",[1]!s_info_industry_gics(W4435,4),IF($Y$3="证监会门类行业",[1]!s_info_industry_csrc12_n(W4435,公司分析!D$5,1),""))))))))</f>
        <v>汽车零部件</v>
      </c>
      <c r="Z4435" s="302" t="str">
        <f ca="1">IF(Y4435=行业比较!$E$6,ROW(),"")</f>
        <v/>
      </c>
    </row>
    <row r="4436" spans="22:26">
      <c r="V4436" s="260">
        <f t="shared" ca="1" si="77"/>
        <v>0</v>
      </c>
      <c r="W4436" s="348" t="str">
        <f>IF(板块成分!B4438="","",板块成分!B4438)</f>
        <v>603927.SH</v>
      </c>
      <c r="X4436" s="276" t="str">
        <f>[1]!S_Info_Name(W4436)</f>
        <v>中科软</v>
      </c>
      <c r="Y4436" s="276" t="str">
        <f ca="1">IF($Y$3="申万一级行业",[1]!s_info_industry_sw_2021(W4436,公司分析!D$5,1),IF($Y$3="申万二级行业",[1]!s_info_industry_sw_2021(W4436,公司分析!D$5,2),IF($Y$3="申万三级行业",[1]!s_info_industry_sw_2021(W4436,公司分析!D$5,3),IF($Y$3="wind一级行业",[1]!s_info_industry_gics(W4436,1),IF($Y$3="wind二级行业",[1]!s_info_industry_gics(W4436,2),IF($Y$3="wind三级行业",[1]!s_info_industry_gics(W4436,3),IF($Y$3="wind四级行业",[1]!s_info_industry_gics(W4436,4),IF($Y$3="证监会门类行业",[1]!s_info_industry_csrc12_n(W4436,公司分析!D$5,1),""))))))))</f>
        <v>软件开发</v>
      </c>
      <c r="Z4436" s="302" t="str">
        <f ca="1">IF(Y4436=行业比较!$E$6,ROW(),"")</f>
        <v/>
      </c>
    </row>
    <row r="4437" spans="22:26">
      <c r="V4437" s="260">
        <f t="shared" ca="1" si="77"/>
        <v>0</v>
      </c>
      <c r="W4437" s="348" t="str">
        <f>IF(板块成分!B4439="","",板块成分!B4439)</f>
        <v>603928.SH</v>
      </c>
      <c r="X4437" s="276" t="str">
        <f>[1]!S_Info_Name(W4437)</f>
        <v>兴业股份</v>
      </c>
      <c r="Y4437" s="276" t="str">
        <f ca="1">IF($Y$3="申万一级行业",[1]!s_info_industry_sw_2021(W4437,公司分析!D$5,1),IF($Y$3="申万二级行业",[1]!s_info_industry_sw_2021(W4437,公司分析!D$5,2),IF($Y$3="申万三级行业",[1]!s_info_industry_sw_2021(W4437,公司分析!D$5,3),IF($Y$3="wind一级行业",[1]!s_info_industry_gics(W4437,1),IF($Y$3="wind二级行业",[1]!s_info_industry_gics(W4437,2),IF($Y$3="wind三级行业",[1]!s_info_industry_gics(W4437,3),IF($Y$3="wind四级行业",[1]!s_info_industry_gics(W4437,4),IF($Y$3="证监会门类行业",[1]!s_info_industry_csrc12_n(W4437,公司分析!D$5,1),""))))))))</f>
        <v>塑料</v>
      </c>
      <c r="Z4437" s="302" t="str">
        <f ca="1">IF(Y4437=行业比较!$E$6,ROW(),"")</f>
        <v/>
      </c>
    </row>
    <row r="4438" spans="22:26">
      <c r="V4438" s="260">
        <f t="shared" ca="1" si="77"/>
        <v>0</v>
      </c>
      <c r="W4438" s="348" t="str">
        <f>IF(板块成分!B4440="","",板块成分!B4440)</f>
        <v>603929.SH</v>
      </c>
      <c r="X4438" s="276" t="str">
        <f>[1]!S_Info_Name(W4438)</f>
        <v>亚翔集成</v>
      </c>
      <c r="Y4438" s="276" t="str">
        <f ca="1">IF($Y$3="申万一级行业",[1]!s_info_industry_sw_2021(W4438,公司分析!D$5,1),IF($Y$3="申万二级行业",[1]!s_info_industry_sw_2021(W4438,公司分析!D$5,2),IF($Y$3="申万三级行业",[1]!s_info_industry_sw_2021(W4438,公司分析!D$5,3),IF($Y$3="wind一级行业",[1]!s_info_industry_gics(W4438,1),IF($Y$3="wind二级行业",[1]!s_info_industry_gics(W4438,2),IF($Y$3="wind三级行业",[1]!s_info_industry_gics(W4438,3),IF($Y$3="wind四级行业",[1]!s_info_industry_gics(W4438,4),IF($Y$3="证监会门类行业",[1]!s_info_industry_csrc12_n(W4438,公司分析!D$5,1),""))))))))</f>
        <v>专业工程</v>
      </c>
      <c r="Z4438" s="302" t="str">
        <f ca="1">IF(Y4438=行业比较!$E$6,ROW(),"")</f>
        <v/>
      </c>
    </row>
    <row r="4439" spans="22:26">
      <c r="V4439" s="260">
        <f t="shared" ca="1" si="77"/>
        <v>0</v>
      </c>
      <c r="W4439" s="348" t="str">
        <f>IF(板块成分!B4441="","",板块成分!B4441)</f>
        <v>603931.SH</v>
      </c>
      <c r="X4439" s="276" t="str">
        <f>[1]!S_Info_Name(W4439)</f>
        <v>格林达</v>
      </c>
      <c r="Y4439" s="276" t="str">
        <f ca="1">IF($Y$3="申万一级行业",[1]!s_info_industry_sw_2021(W4439,公司分析!D$5,1),IF($Y$3="申万二级行业",[1]!s_info_industry_sw_2021(W4439,公司分析!D$5,2),IF($Y$3="申万三级行业",[1]!s_info_industry_sw_2021(W4439,公司分析!D$5,3),IF($Y$3="wind一级行业",[1]!s_info_industry_gics(W4439,1),IF($Y$3="wind二级行业",[1]!s_info_industry_gics(W4439,2),IF($Y$3="wind三级行业",[1]!s_info_industry_gics(W4439,3),IF($Y$3="wind四级行业",[1]!s_info_industry_gics(W4439,4),IF($Y$3="证监会门类行业",[1]!s_info_industry_csrc12_n(W4439,公司分析!D$5,1),""))))))))</f>
        <v>电子化学品Ⅱ</v>
      </c>
      <c r="Z4439" s="302" t="str">
        <f ca="1">IF(Y4439=行业比较!$E$6,ROW(),"")</f>
        <v/>
      </c>
    </row>
    <row r="4440" spans="22:26">
      <c r="V4440" s="260">
        <f t="shared" ca="1" si="77"/>
        <v>0</v>
      </c>
      <c r="W4440" s="348" t="str">
        <f>IF(板块成分!B4442="","",板块成分!B4442)</f>
        <v>603933.SH</v>
      </c>
      <c r="X4440" s="276" t="str">
        <f>[1]!S_Info_Name(W4440)</f>
        <v>睿能科技</v>
      </c>
      <c r="Y4440" s="276" t="str">
        <f ca="1">IF($Y$3="申万一级行业",[1]!s_info_industry_sw_2021(W4440,公司分析!D$5,1),IF($Y$3="申万二级行业",[1]!s_info_industry_sw_2021(W4440,公司分析!D$5,2),IF($Y$3="申万三级行业",[1]!s_info_industry_sw_2021(W4440,公司分析!D$5,3),IF($Y$3="wind一级行业",[1]!s_info_industry_gics(W4440,1),IF($Y$3="wind二级行业",[1]!s_info_industry_gics(W4440,2),IF($Y$3="wind三级行业",[1]!s_info_industry_gics(W4440,3),IF($Y$3="wind四级行业",[1]!s_info_industry_gics(W4440,4),IF($Y$3="证监会门类行业",[1]!s_info_industry_csrc12_n(W4440,公司分析!D$5,1),""))))))))</f>
        <v>其他电子Ⅱ</v>
      </c>
      <c r="Z4440" s="302" t="str">
        <f ca="1">IF(Y4440=行业比较!$E$6,ROW(),"")</f>
        <v/>
      </c>
    </row>
    <row r="4441" spans="22:26">
      <c r="V4441" s="260">
        <f t="shared" ca="1" si="77"/>
        <v>0</v>
      </c>
      <c r="W4441" s="348" t="str">
        <f>IF(板块成分!B4443="","",板块成分!B4443)</f>
        <v>603936.SH</v>
      </c>
      <c r="X4441" s="276" t="str">
        <f>[1]!S_Info_Name(W4441)</f>
        <v>博敏电子</v>
      </c>
      <c r="Y4441" s="276" t="str">
        <f ca="1">IF($Y$3="申万一级行业",[1]!s_info_industry_sw_2021(W4441,公司分析!D$5,1),IF($Y$3="申万二级行业",[1]!s_info_industry_sw_2021(W4441,公司分析!D$5,2),IF($Y$3="申万三级行业",[1]!s_info_industry_sw_2021(W4441,公司分析!D$5,3),IF($Y$3="wind一级行业",[1]!s_info_industry_gics(W4441,1),IF($Y$3="wind二级行业",[1]!s_info_industry_gics(W4441,2),IF($Y$3="wind三级行业",[1]!s_info_industry_gics(W4441,3),IF($Y$3="wind四级行业",[1]!s_info_industry_gics(W4441,4),IF($Y$3="证监会门类行业",[1]!s_info_industry_csrc12_n(W4441,公司分析!D$5,1),""))))))))</f>
        <v>元件</v>
      </c>
      <c r="Z4441" s="302" t="str">
        <f ca="1">IF(Y4441=行业比较!$E$6,ROW(),"")</f>
        <v/>
      </c>
    </row>
    <row r="4442" spans="22:26">
      <c r="V4442" s="260">
        <f t="shared" ca="1" si="77"/>
        <v>57</v>
      </c>
      <c r="W4442" s="348" t="str">
        <f>IF(板块成分!B4444="","",板块成分!B4444)</f>
        <v>603937.SH</v>
      </c>
      <c r="X4442" s="276" t="str">
        <f>[1]!S_Info_Name(W4442)</f>
        <v>丽岛新材</v>
      </c>
      <c r="Y4442" s="276" t="str">
        <f ca="1">IF($Y$3="申万一级行业",[1]!s_info_industry_sw_2021(W4442,公司分析!D$5,1),IF($Y$3="申万二级行业",[1]!s_info_industry_sw_2021(W4442,公司分析!D$5,2),IF($Y$3="申万三级行业",[1]!s_info_industry_sw_2021(W4442,公司分析!D$5,3),IF($Y$3="wind一级行业",[1]!s_info_industry_gics(W4442,1),IF($Y$3="wind二级行业",[1]!s_info_industry_gics(W4442,2),IF($Y$3="wind三级行业",[1]!s_info_industry_gics(W4442,3),IF($Y$3="wind四级行业",[1]!s_info_industry_gics(W4442,4),IF($Y$3="证监会门类行业",[1]!s_info_industry_csrc12_n(W4442,公司分析!D$5,1),""))))))))</f>
        <v>工业金属</v>
      </c>
      <c r="Z4442" s="302">
        <f ca="1">IF(Y4442=行业比较!$E$6,ROW(),"")</f>
        <v>4442</v>
      </c>
    </row>
    <row r="4443" spans="22:26">
      <c r="V4443" s="260">
        <f t="shared" ca="1" si="77"/>
        <v>0</v>
      </c>
      <c r="W4443" s="348" t="str">
        <f>IF(板块成分!B4445="","",板块成分!B4445)</f>
        <v>603938.SH</v>
      </c>
      <c r="X4443" s="276" t="str">
        <f>[1]!S_Info_Name(W4443)</f>
        <v>三孚股份</v>
      </c>
      <c r="Y4443" s="276" t="str">
        <f ca="1">IF($Y$3="申万一级行业",[1]!s_info_industry_sw_2021(W4443,公司分析!D$5,1),IF($Y$3="申万二级行业",[1]!s_info_industry_sw_2021(W4443,公司分析!D$5,2),IF($Y$3="申万三级行业",[1]!s_info_industry_sw_2021(W4443,公司分析!D$5,3),IF($Y$3="wind一级行业",[1]!s_info_industry_gics(W4443,1),IF($Y$3="wind二级行业",[1]!s_info_industry_gics(W4443,2),IF($Y$3="wind三级行业",[1]!s_info_industry_gics(W4443,3),IF($Y$3="wind四级行业",[1]!s_info_industry_gics(W4443,4),IF($Y$3="证监会门类行业",[1]!s_info_industry_csrc12_n(W4443,公司分析!D$5,1),""))))))))</f>
        <v>化学原料</v>
      </c>
      <c r="Z4443" s="302" t="str">
        <f ca="1">IF(Y4443=行业比较!$E$6,ROW(),"")</f>
        <v/>
      </c>
    </row>
    <row r="4444" spans="22:26">
      <c r="V4444" s="260">
        <f t="shared" ca="1" si="77"/>
        <v>0</v>
      </c>
      <c r="W4444" s="348" t="str">
        <f>IF(板块成分!B4446="","",板块成分!B4446)</f>
        <v>603939.SH</v>
      </c>
      <c r="X4444" s="276" t="str">
        <f>[1]!S_Info_Name(W4444)</f>
        <v>益丰药房</v>
      </c>
      <c r="Y4444" s="276" t="str">
        <f ca="1">IF($Y$3="申万一级行业",[1]!s_info_industry_sw_2021(W4444,公司分析!D$5,1),IF($Y$3="申万二级行业",[1]!s_info_industry_sw_2021(W4444,公司分析!D$5,2),IF($Y$3="申万三级行业",[1]!s_info_industry_sw_2021(W4444,公司分析!D$5,3),IF($Y$3="wind一级行业",[1]!s_info_industry_gics(W4444,1),IF($Y$3="wind二级行业",[1]!s_info_industry_gics(W4444,2),IF($Y$3="wind三级行业",[1]!s_info_industry_gics(W4444,3),IF($Y$3="wind四级行业",[1]!s_info_industry_gics(W4444,4),IF($Y$3="证监会门类行业",[1]!s_info_industry_csrc12_n(W4444,公司分析!D$5,1),""))))))))</f>
        <v>医药商业</v>
      </c>
      <c r="Z4444" s="302" t="str">
        <f ca="1">IF(Y4444=行业比较!$E$6,ROW(),"")</f>
        <v/>
      </c>
    </row>
    <row r="4445" spans="22:26">
      <c r="V4445" s="260">
        <f t="shared" ca="1" si="77"/>
        <v>0</v>
      </c>
      <c r="W4445" s="348" t="str">
        <f>IF(板块成分!B4447="","",板块成分!B4447)</f>
        <v>603948.SH</v>
      </c>
      <c r="X4445" s="276" t="str">
        <f>[1]!S_Info_Name(W4445)</f>
        <v>建业股份</v>
      </c>
      <c r="Y4445" s="276" t="str">
        <f ca="1">IF($Y$3="申万一级行业",[1]!s_info_industry_sw_2021(W4445,公司分析!D$5,1),IF($Y$3="申万二级行业",[1]!s_info_industry_sw_2021(W4445,公司分析!D$5,2),IF($Y$3="申万三级行业",[1]!s_info_industry_sw_2021(W4445,公司分析!D$5,3),IF($Y$3="wind一级行业",[1]!s_info_industry_gics(W4445,1),IF($Y$3="wind二级行业",[1]!s_info_industry_gics(W4445,2),IF($Y$3="wind三级行业",[1]!s_info_industry_gics(W4445,3),IF($Y$3="wind四级行业",[1]!s_info_industry_gics(W4445,4),IF($Y$3="证监会门类行业",[1]!s_info_industry_csrc12_n(W4445,公司分析!D$5,1),""))))))))</f>
        <v>化学制品</v>
      </c>
      <c r="Z4445" s="302" t="str">
        <f ca="1">IF(Y4445=行业比较!$E$6,ROW(),"")</f>
        <v/>
      </c>
    </row>
    <row r="4446" spans="22:26">
      <c r="V4446" s="260">
        <f t="shared" ca="1" si="77"/>
        <v>0</v>
      </c>
      <c r="W4446" s="348" t="str">
        <f>IF(板块成分!B4448="","",板块成分!B4448)</f>
        <v>603949.SH</v>
      </c>
      <c r="X4446" s="276" t="str">
        <f>[1]!S_Info_Name(W4446)</f>
        <v>雪龙集团</v>
      </c>
      <c r="Y4446" s="276" t="str">
        <f ca="1">IF($Y$3="申万一级行业",[1]!s_info_industry_sw_2021(W4446,公司分析!D$5,1),IF($Y$3="申万二级行业",[1]!s_info_industry_sw_2021(W4446,公司分析!D$5,2),IF($Y$3="申万三级行业",[1]!s_info_industry_sw_2021(W4446,公司分析!D$5,3),IF($Y$3="wind一级行业",[1]!s_info_industry_gics(W4446,1),IF($Y$3="wind二级行业",[1]!s_info_industry_gics(W4446,2),IF($Y$3="wind三级行业",[1]!s_info_industry_gics(W4446,3),IF($Y$3="wind四级行业",[1]!s_info_industry_gics(W4446,4),IF($Y$3="证监会门类行业",[1]!s_info_industry_csrc12_n(W4446,公司分析!D$5,1),""))))))))</f>
        <v>汽车零部件</v>
      </c>
      <c r="Z4446" s="302" t="str">
        <f ca="1">IF(Y4446=行业比较!$E$6,ROW(),"")</f>
        <v/>
      </c>
    </row>
    <row r="4447" spans="22:26">
      <c r="V4447" s="260">
        <f t="shared" ca="1" si="77"/>
        <v>0</v>
      </c>
      <c r="W4447" s="348" t="str">
        <f>IF(板块成分!B4449="","",板块成分!B4449)</f>
        <v>603950.SH</v>
      </c>
      <c r="X4447" s="276" t="str">
        <f>[1]!S_Info_Name(W4447)</f>
        <v>长源东谷</v>
      </c>
      <c r="Y4447" s="276" t="str">
        <f ca="1">IF($Y$3="申万一级行业",[1]!s_info_industry_sw_2021(W4447,公司分析!D$5,1),IF($Y$3="申万二级行业",[1]!s_info_industry_sw_2021(W4447,公司分析!D$5,2),IF($Y$3="申万三级行业",[1]!s_info_industry_sw_2021(W4447,公司分析!D$5,3),IF($Y$3="wind一级行业",[1]!s_info_industry_gics(W4447,1),IF($Y$3="wind二级行业",[1]!s_info_industry_gics(W4447,2),IF($Y$3="wind三级行业",[1]!s_info_industry_gics(W4447,3),IF($Y$3="wind四级行业",[1]!s_info_industry_gics(W4447,4),IF($Y$3="证监会门类行业",[1]!s_info_industry_csrc12_n(W4447,公司分析!D$5,1),""))))))))</f>
        <v>汽车零部件</v>
      </c>
      <c r="Z4447" s="302" t="str">
        <f ca="1">IF(Y4447=行业比较!$E$6,ROW(),"")</f>
        <v/>
      </c>
    </row>
    <row r="4448" spans="22:26">
      <c r="V4448" s="260">
        <f t="shared" ca="1" si="77"/>
        <v>0</v>
      </c>
      <c r="W4448" s="348" t="str">
        <f>IF(板块成分!B4450="","",板块成分!B4450)</f>
        <v>603955.SH</v>
      </c>
      <c r="X4448" s="276" t="str">
        <f>[1]!S_Info_Name(W4448)</f>
        <v>大千生态</v>
      </c>
      <c r="Y4448" s="276" t="str">
        <f ca="1">IF($Y$3="申万一级行业",[1]!s_info_industry_sw_2021(W4448,公司分析!D$5,1),IF($Y$3="申万二级行业",[1]!s_info_industry_sw_2021(W4448,公司分析!D$5,2),IF($Y$3="申万三级行业",[1]!s_info_industry_sw_2021(W4448,公司分析!D$5,3),IF($Y$3="wind一级行业",[1]!s_info_industry_gics(W4448,1),IF($Y$3="wind二级行业",[1]!s_info_industry_gics(W4448,2),IF($Y$3="wind三级行业",[1]!s_info_industry_gics(W4448,3),IF($Y$3="wind四级行业",[1]!s_info_industry_gics(W4448,4),IF($Y$3="证监会门类行业",[1]!s_info_industry_csrc12_n(W4448,公司分析!D$5,1),""))))))))</f>
        <v>基础建设</v>
      </c>
      <c r="Z4448" s="302" t="str">
        <f ca="1">IF(Y4448=行业比较!$E$6,ROW(),"")</f>
        <v/>
      </c>
    </row>
    <row r="4449" spans="22:26">
      <c r="V4449" s="260">
        <f t="shared" ca="1" si="77"/>
        <v>0</v>
      </c>
      <c r="W4449" s="348" t="str">
        <f>IF(板块成分!B4451="","",板块成分!B4451)</f>
        <v>603956.SH</v>
      </c>
      <c r="X4449" s="276" t="str">
        <f>[1]!S_Info_Name(W4449)</f>
        <v>威派格</v>
      </c>
      <c r="Y4449" s="276" t="str">
        <f ca="1">IF($Y$3="申万一级行业",[1]!s_info_industry_sw_2021(W4449,公司分析!D$5,1),IF($Y$3="申万二级行业",[1]!s_info_industry_sw_2021(W4449,公司分析!D$5,2),IF($Y$3="申万三级行业",[1]!s_info_industry_sw_2021(W4449,公司分析!D$5,3),IF($Y$3="wind一级行业",[1]!s_info_industry_gics(W4449,1),IF($Y$3="wind二级行业",[1]!s_info_industry_gics(W4449,2),IF($Y$3="wind三级行业",[1]!s_info_industry_gics(W4449,3),IF($Y$3="wind四级行业",[1]!s_info_industry_gics(W4449,4),IF($Y$3="证监会门类行业",[1]!s_info_industry_csrc12_n(W4449,公司分析!D$5,1),""))))))))</f>
        <v>专用设备</v>
      </c>
      <c r="Z4449" s="302" t="str">
        <f ca="1">IF(Y4449=行业比较!$E$6,ROW(),"")</f>
        <v/>
      </c>
    </row>
    <row r="4450" spans="22:26">
      <c r="V4450" s="260">
        <f t="shared" ca="1" si="77"/>
        <v>0</v>
      </c>
      <c r="W4450" s="348" t="str">
        <f>IF(板块成分!B4452="","",板块成分!B4452)</f>
        <v>603958.SH</v>
      </c>
      <c r="X4450" s="276" t="str">
        <f>[1]!S_Info_Name(W4450)</f>
        <v>哈森股份</v>
      </c>
      <c r="Y4450" s="276" t="str">
        <f ca="1">IF($Y$3="申万一级行业",[1]!s_info_industry_sw_2021(W4450,公司分析!D$5,1),IF($Y$3="申万二级行业",[1]!s_info_industry_sw_2021(W4450,公司分析!D$5,2),IF($Y$3="申万三级行业",[1]!s_info_industry_sw_2021(W4450,公司分析!D$5,3),IF($Y$3="wind一级行业",[1]!s_info_industry_gics(W4450,1),IF($Y$3="wind二级行业",[1]!s_info_industry_gics(W4450,2),IF($Y$3="wind三级行业",[1]!s_info_industry_gics(W4450,3),IF($Y$3="wind四级行业",[1]!s_info_industry_gics(W4450,4),IF($Y$3="证监会门类行业",[1]!s_info_industry_csrc12_n(W4450,公司分析!D$5,1),""))))))))</f>
        <v>服装家纺</v>
      </c>
      <c r="Z4450" s="302" t="str">
        <f ca="1">IF(Y4450=行业比较!$E$6,ROW(),"")</f>
        <v/>
      </c>
    </row>
    <row r="4451" spans="22:26">
      <c r="V4451" s="260">
        <f t="shared" ca="1" si="77"/>
        <v>0</v>
      </c>
      <c r="W4451" s="348" t="str">
        <f>IF(板块成分!B4453="","",板块成分!B4453)</f>
        <v>603959.SH</v>
      </c>
      <c r="X4451" s="276" t="str">
        <f>[1]!S_Info_Name(W4451)</f>
        <v>百利科技</v>
      </c>
      <c r="Y4451" s="276" t="str">
        <f ca="1">IF($Y$3="申万一级行业",[1]!s_info_industry_sw_2021(W4451,公司分析!D$5,1),IF($Y$3="申万二级行业",[1]!s_info_industry_sw_2021(W4451,公司分析!D$5,2),IF($Y$3="申万三级行业",[1]!s_info_industry_sw_2021(W4451,公司分析!D$5,3),IF($Y$3="wind一级行业",[1]!s_info_industry_gics(W4451,1),IF($Y$3="wind二级行业",[1]!s_info_industry_gics(W4451,2),IF($Y$3="wind三级行业",[1]!s_info_industry_gics(W4451,3),IF($Y$3="wind四级行业",[1]!s_info_industry_gics(W4451,4),IF($Y$3="证监会门类行业",[1]!s_info_industry_csrc12_n(W4451,公司分析!D$5,1),""))))))))</f>
        <v>专业工程</v>
      </c>
      <c r="Z4451" s="302" t="str">
        <f ca="1">IF(Y4451=行业比较!$E$6,ROW(),"")</f>
        <v/>
      </c>
    </row>
    <row r="4452" spans="22:26">
      <c r="V4452" s="260">
        <f t="shared" ca="1" si="77"/>
        <v>0</v>
      </c>
      <c r="W4452" s="348" t="str">
        <f>IF(板块成分!B4454="","",板块成分!B4454)</f>
        <v>603960.SH</v>
      </c>
      <c r="X4452" s="276" t="str">
        <f>[1]!S_Info_Name(W4452)</f>
        <v>克来机电</v>
      </c>
      <c r="Y4452" s="276" t="str">
        <f ca="1">IF($Y$3="申万一级行业",[1]!s_info_industry_sw_2021(W4452,公司分析!D$5,1),IF($Y$3="申万二级行业",[1]!s_info_industry_sw_2021(W4452,公司分析!D$5,2),IF($Y$3="申万三级行业",[1]!s_info_industry_sw_2021(W4452,公司分析!D$5,3),IF($Y$3="wind一级行业",[1]!s_info_industry_gics(W4452,1),IF($Y$3="wind二级行业",[1]!s_info_industry_gics(W4452,2),IF($Y$3="wind三级行业",[1]!s_info_industry_gics(W4452,3),IF($Y$3="wind四级行业",[1]!s_info_industry_gics(W4452,4),IF($Y$3="证监会门类行业",[1]!s_info_industry_csrc12_n(W4452,公司分析!D$5,1),""))))))))</f>
        <v>自动化设备</v>
      </c>
      <c r="Z4452" s="302" t="str">
        <f ca="1">IF(Y4452=行业比较!$E$6,ROW(),"")</f>
        <v/>
      </c>
    </row>
    <row r="4453" spans="22:26">
      <c r="V4453" s="260">
        <f t="shared" ca="1" si="77"/>
        <v>0</v>
      </c>
      <c r="W4453" s="348" t="str">
        <f>IF(板块成分!B4455="","",板块成分!B4455)</f>
        <v>603966.SH</v>
      </c>
      <c r="X4453" s="276" t="str">
        <f>[1]!S_Info_Name(W4453)</f>
        <v>法兰泰克</v>
      </c>
      <c r="Y4453" s="276" t="str">
        <f ca="1">IF($Y$3="申万一级行业",[1]!s_info_industry_sw_2021(W4453,公司分析!D$5,1),IF($Y$3="申万二级行业",[1]!s_info_industry_sw_2021(W4453,公司分析!D$5,2),IF($Y$3="申万三级行业",[1]!s_info_industry_sw_2021(W4453,公司分析!D$5,3),IF($Y$3="wind一级行业",[1]!s_info_industry_gics(W4453,1),IF($Y$3="wind二级行业",[1]!s_info_industry_gics(W4453,2),IF($Y$3="wind三级行业",[1]!s_info_industry_gics(W4453,3),IF($Y$3="wind四级行业",[1]!s_info_industry_gics(W4453,4),IF($Y$3="证监会门类行业",[1]!s_info_industry_csrc12_n(W4453,公司分析!D$5,1),""))))))))</f>
        <v>专用设备</v>
      </c>
      <c r="Z4453" s="302" t="str">
        <f ca="1">IF(Y4453=行业比较!$E$6,ROW(),"")</f>
        <v/>
      </c>
    </row>
    <row r="4454" spans="22:26">
      <c r="V4454" s="260">
        <f t="shared" ca="1" si="77"/>
        <v>0</v>
      </c>
      <c r="W4454" s="348" t="str">
        <f>IF(板块成分!B4456="","",板块成分!B4456)</f>
        <v>603967.SH</v>
      </c>
      <c r="X4454" s="276" t="str">
        <f>[1]!S_Info_Name(W4454)</f>
        <v>中创物流</v>
      </c>
      <c r="Y4454" s="276" t="str">
        <f ca="1">IF($Y$3="申万一级行业",[1]!s_info_industry_sw_2021(W4454,公司分析!D$5,1),IF($Y$3="申万二级行业",[1]!s_info_industry_sw_2021(W4454,公司分析!D$5,2),IF($Y$3="申万三级行业",[1]!s_info_industry_sw_2021(W4454,公司分析!D$5,3),IF($Y$3="wind一级行业",[1]!s_info_industry_gics(W4454,1),IF($Y$3="wind二级行业",[1]!s_info_industry_gics(W4454,2),IF($Y$3="wind三级行业",[1]!s_info_industry_gics(W4454,3),IF($Y$3="wind四级行业",[1]!s_info_industry_gics(W4454,4),IF($Y$3="证监会门类行业",[1]!s_info_industry_csrc12_n(W4454,公司分析!D$5,1),""))))))))</f>
        <v>物流</v>
      </c>
      <c r="Z4454" s="302" t="str">
        <f ca="1">IF(Y4454=行业比较!$E$6,ROW(),"")</f>
        <v/>
      </c>
    </row>
    <row r="4455" spans="22:26">
      <c r="V4455" s="260">
        <f t="shared" ca="1" si="77"/>
        <v>0</v>
      </c>
      <c r="W4455" s="348" t="str">
        <f>IF(板块成分!B4457="","",板块成分!B4457)</f>
        <v>603968.SH</v>
      </c>
      <c r="X4455" s="276" t="str">
        <f>[1]!S_Info_Name(W4455)</f>
        <v>醋化股份</v>
      </c>
      <c r="Y4455" s="276" t="str">
        <f ca="1">IF($Y$3="申万一级行业",[1]!s_info_industry_sw_2021(W4455,公司分析!D$5,1),IF($Y$3="申万二级行业",[1]!s_info_industry_sw_2021(W4455,公司分析!D$5,2),IF($Y$3="申万三级行业",[1]!s_info_industry_sw_2021(W4455,公司分析!D$5,3),IF($Y$3="wind一级行业",[1]!s_info_industry_gics(W4455,1),IF($Y$3="wind二级行业",[1]!s_info_industry_gics(W4455,2),IF($Y$3="wind三级行业",[1]!s_info_industry_gics(W4455,3),IF($Y$3="wind四级行业",[1]!s_info_industry_gics(W4455,4),IF($Y$3="证监会门类行业",[1]!s_info_industry_csrc12_n(W4455,公司分析!D$5,1),""))))))))</f>
        <v>化学制品</v>
      </c>
      <c r="Z4455" s="302" t="str">
        <f ca="1">IF(Y4455=行业比较!$E$6,ROW(),"")</f>
        <v/>
      </c>
    </row>
    <row r="4456" spans="22:26">
      <c r="V4456" s="260">
        <f t="shared" ca="1" si="77"/>
        <v>0</v>
      </c>
      <c r="W4456" s="348" t="str">
        <f>IF(板块成分!B4458="","",板块成分!B4458)</f>
        <v>603969.SH</v>
      </c>
      <c r="X4456" s="276" t="str">
        <f>[1]!S_Info_Name(W4456)</f>
        <v>银龙股份</v>
      </c>
      <c r="Y4456" s="276" t="str">
        <f ca="1">IF($Y$3="申万一级行业",[1]!s_info_industry_sw_2021(W4456,公司分析!D$5,1),IF($Y$3="申万二级行业",[1]!s_info_industry_sw_2021(W4456,公司分析!D$5,2),IF($Y$3="申万三级行业",[1]!s_info_industry_sw_2021(W4456,公司分析!D$5,3),IF($Y$3="wind一级行业",[1]!s_info_industry_gics(W4456,1),IF($Y$3="wind二级行业",[1]!s_info_industry_gics(W4456,2),IF($Y$3="wind三级行业",[1]!s_info_industry_gics(W4456,3),IF($Y$3="wind四级行业",[1]!s_info_industry_gics(W4456,4),IF($Y$3="证监会门类行业",[1]!s_info_industry_csrc12_n(W4456,公司分析!D$5,1),""))))))))</f>
        <v>通用设备</v>
      </c>
      <c r="Z4456" s="302" t="str">
        <f ca="1">IF(Y4456=行业比较!$E$6,ROW(),"")</f>
        <v/>
      </c>
    </row>
    <row r="4457" spans="22:26">
      <c r="V4457" s="260">
        <f t="shared" ca="1" si="77"/>
        <v>0</v>
      </c>
      <c r="W4457" s="348" t="str">
        <f>IF(板块成分!B4459="","",板块成分!B4459)</f>
        <v>603970.SH</v>
      </c>
      <c r="X4457" s="276" t="str">
        <f>[1]!S_Info_Name(W4457)</f>
        <v>中农立华</v>
      </c>
      <c r="Y4457" s="276" t="str">
        <f ca="1">IF($Y$3="申万一级行业",[1]!s_info_industry_sw_2021(W4457,公司分析!D$5,1),IF($Y$3="申万二级行业",[1]!s_info_industry_sw_2021(W4457,公司分析!D$5,2),IF($Y$3="申万三级行业",[1]!s_info_industry_sw_2021(W4457,公司分析!D$5,3),IF($Y$3="wind一级行业",[1]!s_info_industry_gics(W4457,1),IF($Y$3="wind二级行业",[1]!s_info_industry_gics(W4457,2),IF($Y$3="wind三级行业",[1]!s_info_industry_gics(W4457,3),IF($Y$3="wind四级行业",[1]!s_info_industry_gics(W4457,4),IF($Y$3="证监会门类行业",[1]!s_info_industry_csrc12_n(W4457,公司分析!D$5,1),""))))))))</f>
        <v>农化制品</v>
      </c>
      <c r="Z4457" s="302" t="str">
        <f ca="1">IF(Y4457=行业比较!$E$6,ROW(),"")</f>
        <v/>
      </c>
    </row>
    <row r="4458" spans="22:26">
      <c r="V4458" s="260">
        <f t="shared" ca="1" si="77"/>
        <v>0</v>
      </c>
      <c r="W4458" s="348" t="str">
        <f>IF(板块成分!B4460="","",板块成分!B4460)</f>
        <v>603976.SH</v>
      </c>
      <c r="X4458" s="276" t="str">
        <f>[1]!S_Info_Name(W4458)</f>
        <v>正川股份</v>
      </c>
      <c r="Y4458" s="276" t="str">
        <f ca="1">IF($Y$3="申万一级行业",[1]!s_info_industry_sw_2021(W4458,公司分析!D$5,1),IF($Y$3="申万二级行业",[1]!s_info_industry_sw_2021(W4458,公司分析!D$5,2),IF($Y$3="申万三级行业",[1]!s_info_industry_sw_2021(W4458,公司分析!D$5,3),IF($Y$3="wind一级行业",[1]!s_info_industry_gics(W4458,1),IF($Y$3="wind二级行业",[1]!s_info_industry_gics(W4458,2),IF($Y$3="wind三级行业",[1]!s_info_industry_gics(W4458,3),IF($Y$3="wind四级行业",[1]!s_info_industry_gics(W4458,4),IF($Y$3="证监会门类行业",[1]!s_info_industry_csrc12_n(W4458,公司分析!D$5,1),""))))))))</f>
        <v>医疗器械</v>
      </c>
      <c r="Z4458" s="302" t="str">
        <f ca="1">IF(Y4458=行业比较!$E$6,ROW(),"")</f>
        <v/>
      </c>
    </row>
    <row r="4459" spans="22:26">
      <c r="V4459" s="260">
        <f t="shared" ca="1" si="77"/>
        <v>0</v>
      </c>
      <c r="W4459" s="348" t="str">
        <f>IF(板块成分!B4461="","",板块成分!B4461)</f>
        <v>603977.SH</v>
      </c>
      <c r="X4459" s="276" t="str">
        <f>[1]!S_Info_Name(W4459)</f>
        <v>国泰集团</v>
      </c>
      <c r="Y4459" s="276" t="str">
        <f ca="1">IF($Y$3="申万一级行业",[1]!s_info_industry_sw_2021(W4459,公司分析!D$5,1),IF($Y$3="申万二级行业",[1]!s_info_industry_sw_2021(W4459,公司分析!D$5,2),IF($Y$3="申万三级行业",[1]!s_info_industry_sw_2021(W4459,公司分析!D$5,3),IF($Y$3="wind一级行业",[1]!s_info_industry_gics(W4459,1),IF($Y$3="wind二级行业",[1]!s_info_industry_gics(W4459,2),IF($Y$3="wind三级行业",[1]!s_info_industry_gics(W4459,3),IF($Y$3="wind四级行业",[1]!s_info_industry_gics(W4459,4),IF($Y$3="证监会门类行业",[1]!s_info_industry_csrc12_n(W4459,公司分析!D$5,1),""))))))))</f>
        <v>化学制品</v>
      </c>
      <c r="Z4459" s="302" t="str">
        <f ca="1">IF(Y4459=行业比较!$E$6,ROW(),"")</f>
        <v/>
      </c>
    </row>
    <row r="4460" spans="22:26">
      <c r="V4460" s="260">
        <f t="shared" ca="1" si="77"/>
        <v>0</v>
      </c>
      <c r="W4460" s="348" t="str">
        <f>IF(板块成分!B4462="","",板块成分!B4462)</f>
        <v>603978.SH</v>
      </c>
      <c r="X4460" s="276" t="str">
        <f>[1]!S_Info_Name(W4460)</f>
        <v>深圳新星</v>
      </c>
      <c r="Y4460" s="276" t="str">
        <f ca="1">IF($Y$3="申万一级行业",[1]!s_info_industry_sw_2021(W4460,公司分析!D$5,1),IF($Y$3="申万二级行业",[1]!s_info_industry_sw_2021(W4460,公司分析!D$5,2),IF($Y$3="申万三级行业",[1]!s_info_industry_sw_2021(W4460,公司分析!D$5,3),IF($Y$3="wind一级行业",[1]!s_info_industry_gics(W4460,1),IF($Y$3="wind二级行业",[1]!s_info_industry_gics(W4460,2),IF($Y$3="wind三级行业",[1]!s_info_industry_gics(W4460,3),IF($Y$3="wind四级行业",[1]!s_info_industry_gics(W4460,4),IF($Y$3="证监会门类行业",[1]!s_info_industry_csrc12_n(W4460,公司分析!D$5,1),""))))))))</f>
        <v>金属新材料</v>
      </c>
      <c r="Z4460" s="302" t="str">
        <f ca="1">IF(Y4460=行业比较!$E$6,ROW(),"")</f>
        <v/>
      </c>
    </row>
    <row r="4461" spans="22:26">
      <c r="V4461" s="260">
        <f t="shared" ca="1" si="77"/>
        <v>58</v>
      </c>
      <c r="W4461" s="348" t="str">
        <f>IF(板块成分!B4463="","",板块成分!B4463)</f>
        <v>603979.SH</v>
      </c>
      <c r="X4461" s="276" t="str">
        <f>[1]!S_Info_Name(W4461)</f>
        <v>金诚信</v>
      </c>
      <c r="Y4461" s="276" t="str">
        <f ca="1">IF($Y$3="申万一级行业",[1]!s_info_industry_sw_2021(W4461,公司分析!D$5,1),IF($Y$3="申万二级行业",[1]!s_info_industry_sw_2021(W4461,公司分析!D$5,2),IF($Y$3="申万三级行业",[1]!s_info_industry_sw_2021(W4461,公司分析!D$5,3),IF($Y$3="wind一级行业",[1]!s_info_industry_gics(W4461,1),IF($Y$3="wind二级行业",[1]!s_info_industry_gics(W4461,2),IF($Y$3="wind三级行业",[1]!s_info_industry_gics(W4461,3),IF($Y$3="wind四级行业",[1]!s_info_industry_gics(W4461,4),IF($Y$3="证监会门类行业",[1]!s_info_industry_csrc12_n(W4461,公司分析!D$5,1),""))))))))</f>
        <v>工业金属</v>
      </c>
      <c r="Z4461" s="302">
        <f ca="1">IF(Y4461=行业比较!$E$6,ROW(),"")</f>
        <v>4461</v>
      </c>
    </row>
    <row r="4462" spans="22:26">
      <c r="V4462" s="260">
        <f t="shared" ca="1" si="77"/>
        <v>0</v>
      </c>
      <c r="W4462" s="348" t="str">
        <f>IF(板块成分!B4464="","",板块成分!B4464)</f>
        <v>603980.SH</v>
      </c>
      <c r="X4462" s="276" t="str">
        <f>[1]!S_Info_Name(W4462)</f>
        <v>吉华集团</v>
      </c>
      <c r="Y4462" s="276" t="str">
        <f ca="1">IF($Y$3="申万一级行业",[1]!s_info_industry_sw_2021(W4462,公司分析!D$5,1),IF($Y$3="申万二级行业",[1]!s_info_industry_sw_2021(W4462,公司分析!D$5,2),IF($Y$3="申万三级行业",[1]!s_info_industry_sw_2021(W4462,公司分析!D$5,3),IF($Y$3="wind一级行业",[1]!s_info_industry_gics(W4462,1),IF($Y$3="wind二级行业",[1]!s_info_industry_gics(W4462,2),IF($Y$3="wind三级行业",[1]!s_info_industry_gics(W4462,3),IF($Y$3="wind四级行业",[1]!s_info_industry_gics(W4462,4),IF($Y$3="证监会门类行业",[1]!s_info_industry_csrc12_n(W4462,公司分析!D$5,1),""))))))))</f>
        <v>化学制品</v>
      </c>
      <c r="Z4462" s="302" t="str">
        <f ca="1">IF(Y4462=行业比较!$E$6,ROW(),"")</f>
        <v/>
      </c>
    </row>
    <row r="4463" spans="22:26">
      <c r="V4463" s="260">
        <f t="shared" ca="1" si="77"/>
        <v>0</v>
      </c>
      <c r="W4463" s="348" t="str">
        <f>IF(板块成分!B4465="","",板块成分!B4465)</f>
        <v>603982.SH</v>
      </c>
      <c r="X4463" s="276" t="str">
        <f>[1]!S_Info_Name(W4463)</f>
        <v>泉峰汽车</v>
      </c>
      <c r="Y4463" s="276" t="str">
        <f ca="1">IF($Y$3="申万一级行业",[1]!s_info_industry_sw_2021(W4463,公司分析!D$5,1),IF($Y$3="申万二级行业",[1]!s_info_industry_sw_2021(W4463,公司分析!D$5,2),IF($Y$3="申万三级行业",[1]!s_info_industry_sw_2021(W4463,公司分析!D$5,3),IF($Y$3="wind一级行业",[1]!s_info_industry_gics(W4463,1),IF($Y$3="wind二级行业",[1]!s_info_industry_gics(W4463,2),IF($Y$3="wind三级行业",[1]!s_info_industry_gics(W4463,3),IF($Y$3="wind四级行业",[1]!s_info_industry_gics(W4463,4),IF($Y$3="证监会门类行业",[1]!s_info_industry_csrc12_n(W4463,公司分析!D$5,1),""))))))))</f>
        <v>汽车零部件</v>
      </c>
      <c r="Z4463" s="302" t="str">
        <f ca="1">IF(Y4463=行业比较!$E$6,ROW(),"")</f>
        <v/>
      </c>
    </row>
    <row r="4464" spans="22:26">
      <c r="V4464" s="260">
        <f t="shared" ca="1" si="77"/>
        <v>0</v>
      </c>
      <c r="W4464" s="348" t="str">
        <f>IF(板块成分!B4466="","",板块成分!B4466)</f>
        <v>603983.SH</v>
      </c>
      <c r="X4464" s="276" t="str">
        <f>[1]!S_Info_Name(W4464)</f>
        <v>丸美生物</v>
      </c>
      <c r="Y4464" s="276" t="str">
        <f ca="1">IF($Y$3="申万一级行业",[1]!s_info_industry_sw_2021(W4464,公司分析!D$5,1),IF($Y$3="申万二级行业",[1]!s_info_industry_sw_2021(W4464,公司分析!D$5,2),IF($Y$3="申万三级行业",[1]!s_info_industry_sw_2021(W4464,公司分析!D$5,3),IF($Y$3="wind一级行业",[1]!s_info_industry_gics(W4464,1),IF($Y$3="wind二级行业",[1]!s_info_industry_gics(W4464,2),IF($Y$3="wind三级行业",[1]!s_info_industry_gics(W4464,3),IF($Y$3="wind四级行业",[1]!s_info_industry_gics(W4464,4),IF($Y$3="证监会门类行业",[1]!s_info_industry_csrc12_n(W4464,公司分析!D$5,1),""))))))))</f>
        <v>化妆品</v>
      </c>
      <c r="Z4464" s="302" t="str">
        <f ca="1">IF(Y4464=行业比较!$E$6,ROW(),"")</f>
        <v/>
      </c>
    </row>
    <row r="4465" spans="22:26">
      <c r="V4465" s="260">
        <f t="shared" ca="1" si="77"/>
        <v>0</v>
      </c>
      <c r="W4465" s="348" t="str">
        <f>IF(板块成分!B4467="","",板块成分!B4467)</f>
        <v>603985.SH</v>
      </c>
      <c r="X4465" s="276" t="str">
        <f>[1]!S_Info_Name(W4465)</f>
        <v>恒润股份</v>
      </c>
      <c r="Y4465" s="276" t="str">
        <f ca="1">IF($Y$3="申万一级行业",[1]!s_info_industry_sw_2021(W4465,公司分析!D$5,1),IF($Y$3="申万二级行业",[1]!s_info_industry_sw_2021(W4465,公司分析!D$5,2),IF($Y$3="申万三级行业",[1]!s_info_industry_sw_2021(W4465,公司分析!D$5,3),IF($Y$3="wind一级行业",[1]!s_info_industry_gics(W4465,1),IF($Y$3="wind二级行业",[1]!s_info_industry_gics(W4465,2),IF($Y$3="wind三级行业",[1]!s_info_industry_gics(W4465,3),IF($Y$3="wind四级行业",[1]!s_info_industry_gics(W4465,4),IF($Y$3="证监会门类行业",[1]!s_info_industry_csrc12_n(W4465,公司分析!D$5,1),""))))))))</f>
        <v>风电设备</v>
      </c>
      <c r="Z4465" s="302" t="str">
        <f ca="1">IF(Y4465=行业比较!$E$6,ROW(),"")</f>
        <v/>
      </c>
    </row>
    <row r="4466" spans="22:26">
      <c r="V4466" s="260">
        <f t="shared" ca="1" si="77"/>
        <v>0</v>
      </c>
      <c r="W4466" s="348" t="str">
        <f>IF(板块成分!B4468="","",板块成分!B4468)</f>
        <v>603986.SH</v>
      </c>
      <c r="X4466" s="276" t="str">
        <f>[1]!S_Info_Name(W4466)</f>
        <v>兆易创新</v>
      </c>
      <c r="Y4466" s="276" t="str">
        <f ca="1">IF($Y$3="申万一级行业",[1]!s_info_industry_sw_2021(W4466,公司分析!D$5,1),IF($Y$3="申万二级行业",[1]!s_info_industry_sw_2021(W4466,公司分析!D$5,2),IF($Y$3="申万三级行业",[1]!s_info_industry_sw_2021(W4466,公司分析!D$5,3),IF($Y$3="wind一级行业",[1]!s_info_industry_gics(W4466,1),IF($Y$3="wind二级行业",[1]!s_info_industry_gics(W4466,2),IF($Y$3="wind三级行业",[1]!s_info_industry_gics(W4466,3),IF($Y$3="wind四级行业",[1]!s_info_industry_gics(W4466,4),IF($Y$3="证监会门类行业",[1]!s_info_industry_csrc12_n(W4466,公司分析!D$5,1),""))))))))</f>
        <v>半导体</v>
      </c>
      <c r="Z4466" s="302" t="str">
        <f ca="1">IF(Y4466=行业比较!$E$6,ROW(),"")</f>
        <v/>
      </c>
    </row>
    <row r="4467" spans="22:26">
      <c r="V4467" s="260">
        <f t="shared" ca="1" si="77"/>
        <v>0</v>
      </c>
      <c r="W4467" s="348" t="str">
        <f>IF(板块成分!B4469="","",板块成分!B4469)</f>
        <v>603987.SH</v>
      </c>
      <c r="X4467" s="276" t="str">
        <f>[1]!S_Info_Name(W4467)</f>
        <v>康德莱</v>
      </c>
      <c r="Y4467" s="276" t="str">
        <f ca="1">IF($Y$3="申万一级行业",[1]!s_info_industry_sw_2021(W4467,公司分析!D$5,1),IF($Y$3="申万二级行业",[1]!s_info_industry_sw_2021(W4467,公司分析!D$5,2),IF($Y$3="申万三级行业",[1]!s_info_industry_sw_2021(W4467,公司分析!D$5,3),IF($Y$3="wind一级行业",[1]!s_info_industry_gics(W4467,1),IF($Y$3="wind二级行业",[1]!s_info_industry_gics(W4467,2),IF($Y$3="wind三级行业",[1]!s_info_industry_gics(W4467,3),IF($Y$3="wind四级行业",[1]!s_info_industry_gics(W4467,4),IF($Y$3="证监会门类行业",[1]!s_info_industry_csrc12_n(W4467,公司分析!D$5,1),""))))))))</f>
        <v>医疗器械</v>
      </c>
      <c r="Z4467" s="302" t="str">
        <f ca="1">IF(Y4467=行业比较!$E$6,ROW(),"")</f>
        <v/>
      </c>
    </row>
    <row r="4468" spans="22:26">
      <c r="V4468" s="260">
        <f t="shared" ca="1" si="77"/>
        <v>0</v>
      </c>
      <c r="W4468" s="348" t="str">
        <f>IF(板块成分!B4470="","",板块成分!B4470)</f>
        <v>603988.SH</v>
      </c>
      <c r="X4468" s="276" t="str">
        <f>[1]!S_Info_Name(W4468)</f>
        <v>中电电机</v>
      </c>
      <c r="Y4468" s="276" t="str">
        <f ca="1">IF($Y$3="申万一级行业",[1]!s_info_industry_sw_2021(W4468,公司分析!D$5,1),IF($Y$3="申万二级行业",[1]!s_info_industry_sw_2021(W4468,公司分析!D$5,2),IF($Y$3="申万三级行业",[1]!s_info_industry_sw_2021(W4468,公司分析!D$5,3),IF($Y$3="wind一级行业",[1]!s_info_industry_gics(W4468,1),IF($Y$3="wind二级行业",[1]!s_info_industry_gics(W4468,2),IF($Y$3="wind三级行业",[1]!s_info_industry_gics(W4468,3),IF($Y$3="wind四级行业",[1]!s_info_industry_gics(W4468,4),IF($Y$3="证监会门类行业",[1]!s_info_industry_csrc12_n(W4468,公司分析!D$5,1),""))))))))</f>
        <v>电机Ⅱ</v>
      </c>
      <c r="Z4468" s="302" t="str">
        <f ca="1">IF(Y4468=行业比较!$E$6,ROW(),"")</f>
        <v/>
      </c>
    </row>
    <row r="4469" spans="22:26">
      <c r="V4469" s="260">
        <f t="shared" ca="1" si="77"/>
        <v>0</v>
      </c>
      <c r="W4469" s="348" t="str">
        <f>IF(板块成分!B4471="","",板块成分!B4471)</f>
        <v>603989.SH</v>
      </c>
      <c r="X4469" s="276" t="str">
        <f>[1]!S_Info_Name(W4469)</f>
        <v>艾华集团</v>
      </c>
      <c r="Y4469" s="276" t="str">
        <f ca="1">IF($Y$3="申万一级行业",[1]!s_info_industry_sw_2021(W4469,公司分析!D$5,1),IF($Y$3="申万二级行业",[1]!s_info_industry_sw_2021(W4469,公司分析!D$5,2),IF($Y$3="申万三级行业",[1]!s_info_industry_sw_2021(W4469,公司分析!D$5,3),IF($Y$3="wind一级行业",[1]!s_info_industry_gics(W4469,1),IF($Y$3="wind二级行业",[1]!s_info_industry_gics(W4469,2),IF($Y$3="wind三级行业",[1]!s_info_industry_gics(W4469,3),IF($Y$3="wind四级行业",[1]!s_info_industry_gics(W4469,4),IF($Y$3="证监会门类行业",[1]!s_info_industry_csrc12_n(W4469,公司分析!D$5,1),""))))))))</f>
        <v>元件</v>
      </c>
      <c r="Z4469" s="302" t="str">
        <f ca="1">IF(Y4469=行业比较!$E$6,ROW(),"")</f>
        <v/>
      </c>
    </row>
    <row r="4470" spans="22:26">
      <c r="V4470" s="260">
        <f t="shared" ca="1" si="77"/>
        <v>0</v>
      </c>
      <c r="W4470" s="348" t="str">
        <f>IF(板块成分!B4472="","",板块成分!B4472)</f>
        <v>603990.SH</v>
      </c>
      <c r="X4470" s="276" t="str">
        <f>[1]!S_Info_Name(W4470)</f>
        <v>麦迪科技</v>
      </c>
      <c r="Y4470" s="276" t="str">
        <f ca="1">IF($Y$3="申万一级行业",[1]!s_info_industry_sw_2021(W4470,公司分析!D$5,1),IF($Y$3="申万二级行业",[1]!s_info_industry_sw_2021(W4470,公司分析!D$5,2),IF($Y$3="申万三级行业",[1]!s_info_industry_sw_2021(W4470,公司分析!D$5,3),IF($Y$3="wind一级行业",[1]!s_info_industry_gics(W4470,1),IF($Y$3="wind二级行业",[1]!s_info_industry_gics(W4470,2),IF($Y$3="wind三级行业",[1]!s_info_industry_gics(W4470,3),IF($Y$3="wind四级行业",[1]!s_info_industry_gics(W4470,4),IF($Y$3="证监会门类行业",[1]!s_info_industry_csrc12_n(W4470,公司分析!D$5,1),""))))))))</f>
        <v>软件开发</v>
      </c>
      <c r="Z4470" s="302" t="str">
        <f ca="1">IF(Y4470=行业比较!$E$6,ROW(),"")</f>
        <v/>
      </c>
    </row>
    <row r="4471" spans="22:26">
      <c r="V4471" s="260">
        <f t="shared" ca="1" si="77"/>
        <v>0</v>
      </c>
      <c r="W4471" s="348" t="str">
        <f>IF(板块成分!B4473="","",板块成分!B4473)</f>
        <v>603991.SH</v>
      </c>
      <c r="X4471" s="276" t="str">
        <f>[1]!S_Info_Name(W4471)</f>
        <v>至正股份</v>
      </c>
      <c r="Y4471" s="276" t="str">
        <f ca="1">IF($Y$3="申万一级行业",[1]!s_info_industry_sw_2021(W4471,公司分析!D$5,1),IF($Y$3="申万二级行业",[1]!s_info_industry_sw_2021(W4471,公司分析!D$5,2),IF($Y$3="申万三级行业",[1]!s_info_industry_sw_2021(W4471,公司分析!D$5,3),IF($Y$3="wind一级行业",[1]!s_info_industry_gics(W4471,1),IF($Y$3="wind二级行业",[1]!s_info_industry_gics(W4471,2),IF($Y$3="wind三级行业",[1]!s_info_industry_gics(W4471,3),IF($Y$3="wind四级行业",[1]!s_info_industry_gics(W4471,4),IF($Y$3="证监会门类行业",[1]!s_info_industry_csrc12_n(W4471,公司分析!D$5,1),""))))))))</f>
        <v>半导体</v>
      </c>
      <c r="Z4471" s="302" t="str">
        <f ca="1">IF(Y4471=行业比较!$E$6,ROW(),"")</f>
        <v/>
      </c>
    </row>
    <row r="4472" spans="22:26">
      <c r="V4472" s="260">
        <f t="shared" ca="1" si="77"/>
        <v>0</v>
      </c>
      <c r="W4472" s="348" t="str">
        <f>IF(板块成分!B4474="","",板块成分!B4474)</f>
        <v>603992.SH</v>
      </c>
      <c r="X4472" s="276" t="str">
        <f>[1]!S_Info_Name(W4472)</f>
        <v>松霖科技</v>
      </c>
      <c r="Y4472" s="276" t="str">
        <f ca="1">IF($Y$3="申万一级行业",[1]!s_info_industry_sw_2021(W4472,公司分析!D$5,1),IF($Y$3="申万二级行业",[1]!s_info_industry_sw_2021(W4472,公司分析!D$5,2),IF($Y$3="申万三级行业",[1]!s_info_industry_sw_2021(W4472,公司分析!D$5,3),IF($Y$3="wind一级行业",[1]!s_info_industry_gics(W4472,1),IF($Y$3="wind二级行业",[1]!s_info_industry_gics(W4472,2),IF($Y$3="wind三级行业",[1]!s_info_industry_gics(W4472,3),IF($Y$3="wind四级行业",[1]!s_info_industry_gics(W4472,4),IF($Y$3="证监会门类行业",[1]!s_info_industry_csrc12_n(W4472,公司分析!D$5,1),""))))))))</f>
        <v>家居用品</v>
      </c>
      <c r="Z4472" s="302" t="str">
        <f ca="1">IF(Y4472=行业比较!$E$6,ROW(),"")</f>
        <v/>
      </c>
    </row>
    <row r="4473" spans="22:26">
      <c r="V4473" s="260">
        <f t="shared" ca="1" si="77"/>
        <v>59</v>
      </c>
      <c r="W4473" s="348" t="str">
        <f>IF(板块成分!B4475="","",板块成分!B4475)</f>
        <v>603993.SH</v>
      </c>
      <c r="X4473" s="276" t="str">
        <f>[1]!S_Info_Name(W4473)</f>
        <v>洛阳钼业</v>
      </c>
      <c r="Y4473" s="276" t="str">
        <f ca="1">IF($Y$3="申万一级行业",[1]!s_info_industry_sw_2021(W4473,公司分析!D$5,1),IF($Y$3="申万二级行业",[1]!s_info_industry_sw_2021(W4473,公司分析!D$5,2),IF($Y$3="申万三级行业",[1]!s_info_industry_sw_2021(W4473,公司分析!D$5,3),IF($Y$3="wind一级行业",[1]!s_info_industry_gics(W4473,1),IF($Y$3="wind二级行业",[1]!s_info_industry_gics(W4473,2),IF($Y$3="wind三级行业",[1]!s_info_industry_gics(W4473,3),IF($Y$3="wind四级行业",[1]!s_info_industry_gics(W4473,4),IF($Y$3="证监会门类行业",[1]!s_info_industry_csrc12_n(W4473,公司分析!D$5,1),""))))))))</f>
        <v>工业金属</v>
      </c>
      <c r="Z4473" s="302">
        <f ca="1">IF(Y4473=行业比较!$E$6,ROW(),"")</f>
        <v>4473</v>
      </c>
    </row>
    <row r="4474" spans="22:26">
      <c r="V4474" s="260">
        <f t="shared" ca="1" si="77"/>
        <v>0</v>
      </c>
      <c r="W4474" s="348" t="str">
        <f>IF(板块成分!B4476="","",板块成分!B4476)</f>
        <v>603995.SH</v>
      </c>
      <c r="X4474" s="276" t="str">
        <f>[1]!S_Info_Name(W4474)</f>
        <v>甬金股份</v>
      </c>
      <c r="Y4474" s="276" t="str">
        <f ca="1">IF($Y$3="申万一级行业",[1]!s_info_industry_sw_2021(W4474,公司分析!D$5,1),IF($Y$3="申万二级行业",[1]!s_info_industry_sw_2021(W4474,公司分析!D$5,2),IF($Y$3="申万三级行业",[1]!s_info_industry_sw_2021(W4474,公司分析!D$5,3),IF($Y$3="wind一级行业",[1]!s_info_industry_gics(W4474,1),IF($Y$3="wind二级行业",[1]!s_info_industry_gics(W4474,2),IF($Y$3="wind三级行业",[1]!s_info_industry_gics(W4474,3),IF($Y$3="wind四级行业",[1]!s_info_industry_gics(W4474,4),IF($Y$3="证监会门类行业",[1]!s_info_industry_csrc12_n(W4474,公司分析!D$5,1),""))))))))</f>
        <v>特钢Ⅱ</v>
      </c>
      <c r="Z4474" s="302" t="str">
        <f ca="1">IF(Y4474=行业比较!$E$6,ROW(),"")</f>
        <v/>
      </c>
    </row>
    <row r="4475" spans="22:26">
      <c r="V4475" s="260">
        <f t="shared" ca="1" si="77"/>
        <v>0</v>
      </c>
      <c r="W4475" s="348" t="str">
        <f>IF(板块成分!B4477="","",板块成分!B4477)</f>
        <v>603997.SH</v>
      </c>
      <c r="X4475" s="276" t="str">
        <f>[1]!S_Info_Name(W4475)</f>
        <v>继峰股份</v>
      </c>
      <c r="Y4475" s="276" t="str">
        <f ca="1">IF($Y$3="申万一级行业",[1]!s_info_industry_sw_2021(W4475,公司分析!D$5,1),IF($Y$3="申万二级行业",[1]!s_info_industry_sw_2021(W4475,公司分析!D$5,2),IF($Y$3="申万三级行业",[1]!s_info_industry_sw_2021(W4475,公司分析!D$5,3),IF($Y$3="wind一级行业",[1]!s_info_industry_gics(W4475,1),IF($Y$3="wind二级行业",[1]!s_info_industry_gics(W4475,2),IF($Y$3="wind三级行业",[1]!s_info_industry_gics(W4475,3),IF($Y$3="wind四级行业",[1]!s_info_industry_gics(W4475,4),IF($Y$3="证监会门类行业",[1]!s_info_industry_csrc12_n(W4475,公司分析!D$5,1),""))))))))</f>
        <v>汽车零部件</v>
      </c>
      <c r="Z4475" s="302" t="str">
        <f ca="1">IF(Y4475=行业比较!$E$6,ROW(),"")</f>
        <v/>
      </c>
    </row>
    <row r="4476" spans="22:26">
      <c r="V4476" s="260">
        <f t="shared" ca="1" si="77"/>
        <v>0</v>
      </c>
      <c r="W4476" s="348" t="str">
        <f>IF(板块成分!B4478="","",板块成分!B4478)</f>
        <v>603998.SH</v>
      </c>
      <c r="X4476" s="276" t="str">
        <f>[1]!S_Info_Name(W4476)</f>
        <v>方盛制药</v>
      </c>
      <c r="Y4476" s="276" t="str">
        <f ca="1">IF($Y$3="申万一级行业",[1]!s_info_industry_sw_2021(W4476,公司分析!D$5,1),IF($Y$3="申万二级行业",[1]!s_info_industry_sw_2021(W4476,公司分析!D$5,2),IF($Y$3="申万三级行业",[1]!s_info_industry_sw_2021(W4476,公司分析!D$5,3),IF($Y$3="wind一级行业",[1]!s_info_industry_gics(W4476,1),IF($Y$3="wind二级行业",[1]!s_info_industry_gics(W4476,2),IF($Y$3="wind三级行业",[1]!s_info_industry_gics(W4476,3),IF($Y$3="wind四级行业",[1]!s_info_industry_gics(W4476,4),IF($Y$3="证监会门类行业",[1]!s_info_industry_csrc12_n(W4476,公司分析!D$5,1),""))))))))</f>
        <v>中药Ⅱ</v>
      </c>
      <c r="Z4476" s="302" t="str">
        <f ca="1">IF(Y4476=行业比较!$E$6,ROW(),"")</f>
        <v/>
      </c>
    </row>
    <row r="4477" spans="22:26">
      <c r="V4477" s="260">
        <f t="shared" ca="1" si="77"/>
        <v>0</v>
      </c>
      <c r="W4477" s="348" t="str">
        <f>IF(板块成分!B4479="","",板块成分!B4479)</f>
        <v>603999.SH</v>
      </c>
      <c r="X4477" s="276" t="str">
        <f>[1]!S_Info_Name(W4477)</f>
        <v>读者传媒</v>
      </c>
      <c r="Y4477" s="276" t="str">
        <f ca="1">IF($Y$3="申万一级行业",[1]!s_info_industry_sw_2021(W4477,公司分析!D$5,1),IF($Y$3="申万二级行业",[1]!s_info_industry_sw_2021(W4477,公司分析!D$5,2),IF($Y$3="申万三级行业",[1]!s_info_industry_sw_2021(W4477,公司分析!D$5,3),IF($Y$3="wind一级行业",[1]!s_info_industry_gics(W4477,1),IF($Y$3="wind二级行业",[1]!s_info_industry_gics(W4477,2),IF($Y$3="wind三级行业",[1]!s_info_industry_gics(W4477,3),IF($Y$3="wind四级行业",[1]!s_info_industry_gics(W4477,4),IF($Y$3="证监会门类行业",[1]!s_info_industry_csrc12_n(W4477,公司分析!D$5,1),""))))))))</f>
        <v>出版</v>
      </c>
      <c r="Z4477" s="302" t="str">
        <f ca="1">IF(Y4477=行业比较!$E$6,ROW(),"")</f>
        <v/>
      </c>
    </row>
    <row r="4478" spans="22:26">
      <c r="V4478" s="260">
        <f t="shared" ca="1" si="77"/>
        <v>0</v>
      </c>
      <c r="W4478" s="348" t="str">
        <f>IF(板块成分!B4480="","",板块成分!B4480)</f>
        <v>605001.SH</v>
      </c>
      <c r="X4478" s="276" t="str">
        <f>[1]!S_Info_Name(W4478)</f>
        <v>威奥股份</v>
      </c>
      <c r="Y4478" s="276" t="str">
        <f ca="1">IF($Y$3="申万一级行业",[1]!s_info_industry_sw_2021(W4478,公司分析!D$5,1),IF($Y$3="申万二级行业",[1]!s_info_industry_sw_2021(W4478,公司分析!D$5,2),IF($Y$3="申万三级行业",[1]!s_info_industry_sw_2021(W4478,公司分析!D$5,3),IF($Y$3="wind一级行业",[1]!s_info_industry_gics(W4478,1),IF($Y$3="wind二级行业",[1]!s_info_industry_gics(W4478,2),IF($Y$3="wind三级行业",[1]!s_info_industry_gics(W4478,3),IF($Y$3="wind四级行业",[1]!s_info_industry_gics(W4478,4),IF($Y$3="证监会门类行业",[1]!s_info_industry_csrc12_n(W4478,公司分析!D$5,1),""))))))))</f>
        <v>轨交设备Ⅱ</v>
      </c>
      <c r="Z4478" s="302" t="str">
        <f ca="1">IF(Y4478=行业比较!$E$6,ROW(),"")</f>
        <v/>
      </c>
    </row>
    <row r="4479" spans="22:26">
      <c r="V4479" s="260">
        <f t="shared" ca="1" si="77"/>
        <v>0</v>
      </c>
      <c r="W4479" s="348" t="str">
        <f>IF(板块成分!B4481="","",板块成分!B4481)</f>
        <v>605003.SH</v>
      </c>
      <c r="X4479" s="276" t="str">
        <f>[1]!S_Info_Name(W4479)</f>
        <v>众望布艺</v>
      </c>
      <c r="Y4479" s="276" t="str">
        <f ca="1">IF($Y$3="申万一级行业",[1]!s_info_industry_sw_2021(W4479,公司分析!D$5,1),IF($Y$3="申万二级行业",[1]!s_info_industry_sw_2021(W4479,公司分析!D$5,2),IF($Y$3="申万三级行业",[1]!s_info_industry_sw_2021(W4479,公司分析!D$5,3),IF($Y$3="wind一级行业",[1]!s_info_industry_gics(W4479,1),IF($Y$3="wind二级行业",[1]!s_info_industry_gics(W4479,2),IF($Y$3="wind三级行业",[1]!s_info_industry_gics(W4479,3),IF($Y$3="wind四级行业",[1]!s_info_industry_gics(W4479,4),IF($Y$3="证监会门类行业",[1]!s_info_industry_csrc12_n(W4479,公司分析!D$5,1),""))))))))</f>
        <v>服装家纺</v>
      </c>
      <c r="Z4479" s="302" t="str">
        <f ca="1">IF(Y4479=行业比较!$E$6,ROW(),"")</f>
        <v/>
      </c>
    </row>
    <row r="4480" spans="22:26">
      <c r="V4480" s="260">
        <f t="shared" ca="1" si="77"/>
        <v>0</v>
      </c>
      <c r="W4480" s="348" t="str">
        <f>IF(板块成分!B4482="","",板块成分!B4482)</f>
        <v>605005.SH</v>
      </c>
      <c r="X4480" s="276" t="str">
        <f>[1]!S_Info_Name(W4480)</f>
        <v>合兴股份</v>
      </c>
      <c r="Y4480" s="276" t="str">
        <f ca="1">IF($Y$3="申万一级行业",[1]!s_info_industry_sw_2021(W4480,公司分析!D$5,1),IF($Y$3="申万二级行业",[1]!s_info_industry_sw_2021(W4480,公司分析!D$5,2),IF($Y$3="申万三级行业",[1]!s_info_industry_sw_2021(W4480,公司分析!D$5,3),IF($Y$3="wind一级行业",[1]!s_info_industry_gics(W4480,1),IF($Y$3="wind二级行业",[1]!s_info_industry_gics(W4480,2),IF($Y$3="wind三级行业",[1]!s_info_industry_gics(W4480,3),IF($Y$3="wind四级行业",[1]!s_info_industry_gics(W4480,4),IF($Y$3="证监会门类行业",[1]!s_info_industry_csrc12_n(W4480,公司分析!D$5,1),""))))))))</f>
        <v>汽车零部件</v>
      </c>
      <c r="Z4480" s="302" t="str">
        <f ca="1">IF(Y4480=行业比较!$E$6,ROW(),"")</f>
        <v/>
      </c>
    </row>
    <row r="4481" spans="22:26">
      <c r="V4481" s="260">
        <f t="shared" ca="1" si="77"/>
        <v>0</v>
      </c>
      <c r="W4481" s="348" t="str">
        <f>IF(板块成分!B4483="","",板块成分!B4483)</f>
        <v>605006.SH</v>
      </c>
      <c r="X4481" s="276" t="str">
        <f>[1]!S_Info_Name(W4481)</f>
        <v>山东玻纤</v>
      </c>
      <c r="Y4481" s="276" t="str">
        <f ca="1">IF($Y$3="申万一级行业",[1]!s_info_industry_sw_2021(W4481,公司分析!D$5,1),IF($Y$3="申万二级行业",[1]!s_info_industry_sw_2021(W4481,公司分析!D$5,2),IF($Y$3="申万三级行业",[1]!s_info_industry_sw_2021(W4481,公司分析!D$5,3),IF($Y$3="wind一级行业",[1]!s_info_industry_gics(W4481,1),IF($Y$3="wind二级行业",[1]!s_info_industry_gics(W4481,2),IF($Y$3="wind三级行业",[1]!s_info_industry_gics(W4481,3),IF($Y$3="wind四级行业",[1]!s_info_industry_gics(W4481,4),IF($Y$3="证监会门类行业",[1]!s_info_industry_csrc12_n(W4481,公司分析!D$5,1),""))))))))</f>
        <v>玻璃玻纤</v>
      </c>
      <c r="Z4481" s="302" t="str">
        <f ca="1">IF(Y4481=行业比较!$E$6,ROW(),"")</f>
        <v/>
      </c>
    </row>
    <row r="4482" spans="22:26">
      <c r="V4482" s="260">
        <f t="shared" ca="1" si="77"/>
        <v>0</v>
      </c>
      <c r="W4482" s="348" t="str">
        <f>IF(板块成分!B4484="","",板块成分!B4484)</f>
        <v>605007.SH</v>
      </c>
      <c r="X4482" s="276" t="str">
        <f>[1]!S_Info_Name(W4482)</f>
        <v>五洲特纸</v>
      </c>
      <c r="Y4482" s="276" t="str">
        <f ca="1">IF($Y$3="申万一级行业",[1]!s_info_industry_sw_2021(W4482,公司分析!D$5,1),IF($Y$3="申万二级行业",[1]!s_info_industry_sw_2021(W4482,公司分析!D$5,2),IF($Y$3="申万三级行业",[1]!s_info_industry_sw_2021(W4482,公司分析!D$5,3),IF($Y$3="wind一级行业",[1]!s_info_industry_gics(W4482,1),IF($Y$3="wind二级行业",[1]!s_info_industry_gics(W4482,2),IF($Y$3="wind三级行业",[1]!s_info_industry_gics(W4482,3),IF($Y$3="wind四级行业",[1]!s_info_industry_gics(W4482,4),IF($Y$3="证监会门类行业",[1]!s_info_industry_csrc12_n(W4482,公司分析!D$5,1),""))))))))</f>
        <v>造纸</v>
      </c>
      <c r="Z4482" s="302" t="str">
        <f ca="1">IF(Y4482=行业比较!$E$6,ROW(),"")</f>
        <v/>
      </c>
    </row>
    <row r="4483" spans="22:26">
      <c r="V4483" s="260">
        <f t="shared" ca="1" si="77"/>
        <v>0</v>
      </c>
      <c r="W4483" s="348" t="str">
        <f>IF(板块成分!B4485="","",板块成分!B4485)</f>
        <v>605008.SH</v>
      </c>
      <c r="X4483" s="276" t="str">
        <f>[1]!S_Info_Name(W4483)</f>
        <v>长鸿高科</v>
      </c>
      <c r="Y4483" s="276" t="str">
        <f ca="1">IF($Y$3="申万一级行业",[1]!s_info_industry_sw_2021(W4483,公司分析!D$5,1),IF($Y$3="申万二级行业",[1]!s_info_industry_sw_2021(W4483,公司分析!D$5,2),IF($Y$3="申万三级行业",[1]!s_info_industry_sw_2021(W4483,公司分析!D$5,3),IF($Y$3="wind一级行业",[1]!s_info_industry_gics(W4483,1),IF($Y$3="wind二级行业",[1]!s_info_industry_gics(W4483,2),IF($Y$3="wind三级行业",[1]!s_info_industry_gics(W4483,3),IF($Y$3="wind四级行业",[1]!s_info_industry_gics(W4483,4),IF($Y$3="证监会门类行业",[1]!s_info_industry_csrc12_n(W4483,公司分析!D$5,1),""))))))))</f>
        <v>塑料</v>
      </c>
      <c r="Z4483" s="302" t="str">
        <f ca="1">IF(Y4483=行业比较!$E$6,ROW(),"")</f>
        <v/>
      </c>
    </row>
    <row r="4484" spans="22:26">
      <c r="V4484" s="260">
        <f t="shared" ca="1" si="77"/>
        <v>0</v>
      </c>
      <c r="W4484" s="348" t="str">
        <f>IF(板块成分!B4486="","",板块成分!B4486)</f>
        <v>605009.SH</v>
      </c>
      <c r="X4484" s="276" t="str">
        <f>[1]!S_Info_Name(W4484)</f>
        <v>豪悦护理</v>
      </c>
      <c r="Y4484" s="276" t="str">
        <f ca="1">IF($Y$3="申万一级行业",[1]!s_info_industry_sw_2021(W4484,公司分析!D$5,1),IF($Y$3="申万二级行业",[1]!s_info_industry_sw_2021(W4484,公司分析!D$5,2),IF($Y$3="申万三级行业",[1]!s_info_industry_sw_2021(W4484,公司分析!D$5,3),IF($Y$3="wind一级行业",[1]!s_info_industry_gics(W4484,1),IF($Y$3="wind二级行业",[1]!s_info_industry_gics(W4484,2),IF($Y$3="wind三级行业",[1]!s_info_industry_gics(W4484,3),IF($Y$3="wind四级行业",[1]!s_info_industry_gics(W4484,4),IF($Y$3="证监会门类行业",[1]!s_info_industry_csrc12_n(W4484,公司分析!D$5,1),""))))))))</f>
        <v>个护用品</v>
      </c>
      <c r="Z4484" s="302" t="str">
        <f ca="1">IF(Y4484=行业比较!$E$6,ROW(),"")</f>
        <v/>
      </c>
    </row>
    <row r="4485" spans="22:26">
      <c r="V4485" s="260">
        <f t="shared" ref="V4485:V4548" ca="1" si="78">IF(Z4485="",0,RANK(Z4485,Z:Z,1))</f>
        <v>0</v>
      </c>
      <c r="W4485" s="348" t="str">
        <f>IF(板块成分!B4487="","",板块成分!B4487)</f>
        <v>605011.SH</v>
      </c>
      <c r="X4485" s="276" t="str">
        <f>[1]!S_Info_Name(W4485)</f>
        <v>杭州热电</v>
      </c>
      <c r="Y4485" s="276" t="str">
        <f ca="1">IF($Y$3="申万一级行业",[1]!s_info_industry_sw_2021(W4485,公司分析!D$5,1),IF($Y$3="申万二级行业",[1]!s_info_industry_sw_2021(W4485,公司分析!D$5,2),IF($Y$3="申万三级行业",[1]!s_info_industry_sw_2021(W4485,公司分析!D$5,3),IF($Y$3="wind一级行业",[1]!s_info_industry_gics(W4485,1),IF($Y$3="wind二级行业",[1]!s_info_industry_gics(W4485,2),IF($Y$3="wind三级行业",[1]!s_info_industry_gics(W4485,3),IF($Y$3="wind四级行业",[1]!s_info_industry_gics(W4485,4),IF($Y$3="证监会门类行业",[1]!s_info_industry_csrc12_n(W4485,公司分析!D$5,1),""))))))))</f>
        <v>电力</v>
      </c>
      <c r="Z4485" s="302" t="str">
        <f ca="1">IF(Y4485=行业比较!$E$6,ROW(),"")</f>
        <v/>
      </c>
    </row>
    <row r="4486" spans="22:26">
      <c r="V4486" s="260">
        <f t="shared" ca="1" si="78"/>
        <v>0</v>
      </c>
      <c r="W4486" s="348" t="str">
        <f>IF(板块成分!B4488="","",板块成分!B4488)</f>
        <v>605016.SH</v>
      </c>
      <c r="X4486" s="276" t="str">
        <f>[1]!S_Info_Name(W4486)</f>
        <v>百龙创园</v>
      </c>
      <c r="Y4486" s="276" t="str">
        <f ca="1">IF($Y$3="申万一级行业",[1]!s_info_industry_sw_2021(W4486,公司分析!D$5,1),IF($Y$3="申万二级行业",[1]!s_info_industry_sw_2021(W4486,公司分析!D$5,2),IF($Y$3="申万三级行业",[1]!s_info_industry_sw_2021(W4486,公司分析!D$5,3),IF($Y$3="wind一级行业",[1]!s_info_industry_gics(W4486,1),IF($Y$3="wind二级行业",[1]!s_info_industry_gics(W4486,2),IF($Y$3="wind三级行业",[1]!s_info_industry_gics(W4486,3),IF($Y$3="wind四级行业",[1]!s_info_industry_gics(W4486,4),IF($Y$3="证监会门类行业",[1]!s_info_industry_csrc12_n(W4486,公司分析!D$5,1),""))))))))</f>
        <v>化学制品</v>
      </c>
      <c r="Z4486" s="302" t="str">
        <f ca="1">IF(Y4486=行业比较!$E$6,ROW(),"")</f>
        <v/>
      </c>
    </row>
    <row r="4487" spans="22:26">
      <c r="V4487" s="260">
        <f t="shared" ca="1" si="78"/>
        <v>0</v>
      </c>
      <c r="W4487" s="348" t="str">
        <f>IF(板块成分!B4489="","",板块成分!B4489)</f>
        <v>605018.SH</v>
      </c>
      <c r="X4487" s="276" t="str">
        <f>[1]!S_Info_Name(W4487)</f>
        <v>长华集团</v>
      </c>
      <c r="Y4487" s="276" t="str">
        <f ca="1">IF($Y$3="申万一级行业",[1]!s_info_industry_sw_2021(W4487,公司分析!D$5,1),IF($Y$3="申万二级行业",[1]!s_info_industry_sw_2021(W4487,公司分析!D$5,2),IF($Y$3="申万三级行业",[1]!s_info_industry_sw_2021(W4487,公司分析!D$5,3),IF($Y$3="wind一级行业",[1]!s_info_industry_gics(W4487,1),IF($Y$3="wind二级行业",[1]!s_info_industry_gics(W4487,2),IF($Y$3="wind三级行业",[1]!s_info_industry_gics(W4487,3),IF($Y$3="wind四级行业",[1]!s_info_industry_gics(W4487,4),IF($Y$3="证监会门类行业",[1]!s_info_industry_csrc12_n(W4487,公司分析!D$5,1),""))))))))</f>
        <v>汽车零部件</v>
      </c>
      <c r="Z4487" s="302" t="str">
        <f ca="1">IF(Y4487=行业比较!$E$6,ROW(),"")</f>
        <v/>
      </c>
    </row>
    <row r="4488" spans="22:26">
      <c r="V4488" s="260">
        <f t="shared" ca="1" si="78"/>
        <v>0</v>
      </c>
      <c r="W4488" s="348" t="str">
        <f>IF(板块成分!B4490="","",板块成分!B4490)</f>
        <v>605020.SH</v>
      </c>
      <c r="X4488" s="276" t="str">
        <f>[1]!S_Info_Name(W4488)</f>
        <v>永和股份</v>
      </c>
      <c r="Y4488" s="276" t="str">
        <f ca="1">IF($Y$3="申万一级行业",[1]!s_info_industry_sw_2021(W4488,公司分析!D$5,1),IF($Y$3="申万二级行业",[1]!s_info_industry_sw_2021(W4488,公司分析!D$5,2),IF($Y$3="申万三级行业",[1]!s_info_industry_sw_2021(W4488,公司分析!D$5,3),IF($Y$3="wind一级行业",[1]!s_info_industry_gics(W4488,1),IF($Y$3="wind二级行业",[1]!s_info_industry_gics(W4488,2),IF($Y$3="wind三级行业",[1]!s_info_industry_gics(W4488,3),IF($Y$3="wind四级行业",[1]!s_info_industry_gics(W4488,4),IF($Y$3="证监会门类行业",[1]!s_info_industry_csrc12_n(W4488,公司分析!D$5,1),""))))))))</f>
        <v>化学制品</v>
      </c>
      <c r="Z4488" s="302" t="str">
        <f ca="1">IF(Y4488=行业比较!$E$6,ROW(),"")</f>
        <v/>
      </c>
    </row>
    <row r="4489" spans="22:26">
      <c r="V4489" s="260">
        <f t="shared" ca="1" si="78"/>
        <v>0</v>
      </c>
      <c r="W4489" s="348" t="str">
        <f>IF(板块成分!B4491="","",板块成分!B4491)</f>
        <v>605028.SH</v>
      </c>
      <c r="X4489" s="276" t="str">
        <f>[1]!S_Info_Name(W4489)</f>
        <v>世茂能源</v>
      </c>
      <c r="Y4489" s="276" t="str">
        <f ca="1">IF($Y$3="申万一级行业",[1]!s_info_industry_sw_2021(W4489,公司分析!D$5,1),IF($Y$3="申万二级行业",[1]!s_info_industry_sw_2021(W4489,公司分析!D$5,2),IF($Y$3="申万三级行业",[1]!s_info_industry_sw_2021(W4489,公司分析!D$5,3),IF($Y$3="wind一级行业",[1]!s_info_industry_gics(W4489,1),IF($Y$3="wind二级行业",[1]!s_info_industry_gics(W4489,2),IF($Y$3="wind三级行业",[1]!s_info_industry_gics(W4489,3),IF($Y$3="wind四级行业",[1]!s_info_industry_gics(W4489,4),IF($Y$3="证监会门类行业",[1]!s_info_industry_csrc12_n(W4489,公司分析!D$5,1),""))))))))</f>
        <v>电力</v>
      </c>
      <c r="Z4489" s="302" t="str">
        <f ca="1">IF(Y4489=行业比较!$E$6,ROW(),"")</f>
        <v/>
      </c>
    </row>
    <row r="4490" spans="22:26">
      <c r="V4490" s="260">
        <f t="shared" ca="1" si="78"/>
        <v>0</v>
      </c>
      <c r="W4490" s="348" t="str">
        <f>IF(板块成分!B4492="","",板块成分!B4492)</f>
        <v>605033.SH</v>
      </c>
      <c r="X4490" s="276" t="str">
        <f>[1]!S_Info_Name(W4490)</f>
        <v>美邦股份</v>
      </c>
      <c r="Y4490" s="276" t="str">
        <f ca="1">IF($Y$3="申万一级行业",[1]!s_info_industry_sw_2021(W4490,公司分析!D$5,1),IF($Y$3="申万二级行业",[1]!s_info_industry_sw_2021(W4490,公司分析!D$5,2),IF($Y$3="申万三级行业",[1]!s_info_industry_sw_2021(W4490,公司分析!D$5,3),IF($Y$3="wind一级行业",[1]!s_info_industry_gics(W4490,1),IF($Y$3="wind二级行业",[1]!s_info_industry_gics(W4490,2),IF($Y$3="wind三级行业",[1]!s_info_industry_gics(W4490,3),IF($Y$3="wind四级行业",[1]!s_info_industry_gics(W4490,4),IF($Y$3="证监会门类行业",[1]!s_info_industry_csrc12_n(W4490,公司分析!D$5,1),""))))))))</f>
        <v>农化制品</v>
      </c>
      <c r="Z4490" s="302" t="str">
        <f ca="1">IF(Y4490=行业比较!$E$6,ROW(),"")</f>
        <v/>
      </c>
    </row>
    <row r="4491" spans="22:26">
      <c r="V4491" s="260">
        <f t="shared" ca="1" si="78"/>
        <v>0</v>
      </c>
      <c r="W4491" s="348" t="str">
        <f>IF(板块成分!B4493="","",板块成分!B4493)</f>
        <v>605050.SH</v>
      </c>
      <c r="X4491" s="276" t="str">
        <f>[1]!S_Info_Name(W4491)</f>
        <v>福然德</v>
      </c>
      <c r="Y4491" s="276" t="str">
        <f ca="1">IF($Y$3="申万一级行业",[1]!s_info_industry_sw_2021(W4491,公司分析!D$5,1),IF($Y$3="申万二级行业",[1]!s_info_industry_sw_2021(W4491,公司分析!D$5,2),IF($Y$3="申万三级行业",[1]!s_info_industry_sw_2021(W4491,公司分析!D$5,3),IF($Y$3="wind一级行业",[1]!s_info_industry_gics(W4491,1),IF($Y$3="wind二级行业",[1]!s_info_industry_gics(W4491,2),IF($Y$3="wind三级行业",[1]!s_info_industry_gics(W4491,3),IF($Y$3="wind四级行业",[1]!s_info_industry_gics(W4491,4),IF($Y$3="证监会门类行业",[1]!s_info_industry_csrc12_n(W4491,公司分析!D$5,1),""))))))))</f>
        <v>物流</v>
      </c>
      <c r="Z4491" s="302" t="str">
        <f ca="1">IF(Y4491=行业比较!$E$6,ROW(),"")</f>
        <v/>
      </c>
    </row>
    <row r="4492" spans="22:26">
      <c r="V4492" s="260">
        <f t="shared" ca="1" si="78"/>
        <v>0</v>
      </c>
      <c r="W4492" s="348" t="str">
        <f>IF(板块成分!B4494="","",板块成分!B4494)</f>
        <v>605055.SH</v>
      </c>
      <c r="X4492" s="276" t="str">
        <f>[1]!S_Info_Name(W4492)</f>
        <v>迎丰股份</v>
      </c>
      <c r="Y4492" s="276" t="str">
        <f ca="1">IF($Y$3="申万一级行业",[1]!s_info_industry_sw_2021(W4492,公司分析!D$5,1),IF($Y$3="申万二级行业",[1]!s_info_industry_sw_2021(W4492,公司分析!D$5,2),IF($Y$3="申万三级行业",[1]!s_info_industry_sw_2021(W4492,公司分析!D$5,3),IF($Y$3="wind一级行业",[1]!s_info_industry_gics(W4492,1),IF($Y$3="wind二级行业",[1]!s_info_industry_gics(W4492,2),IF($Y$3="wind三级行业",[1]!s_info_industry_gics(W4492,3),IF($Y$3="wind四级行业",[1]!s_info_industry_gics(W4492,4),IF($Y$3="证监会门类行业",[1]!s_info_industry_csrc12_n(W4492,公司分析!D$5,1),""))))))))</f>
        <v>纺织制造</v>
      </c>
      <c r="Z4492" s="302" t="str">
        <f ca="1">IF(Y4492=行业比较!$E$6,ROW(),"")</f>
        <v/>
      </c>
    </row>
    <row r="4493" spans="22:26">
      <c r="V4493" s="260">
        <f t="shared" ca="1" si="78"/>
        <v>0</v>
      </c>
      <c r="W4493" s="348" t="str">
        <f>IF(板块成分!B4495="","",板块成分!B4495)</f>
        <v>605056.SH</v>
      </c>
      <c r="X4493" s="276" t="str">
        <f>[1]!S_Info_Name(W4493)</f>
        <v>咸亨国际</v>
      </c>
      <c r="Y4493" s="276" t="str">
        <f ca="1">IF($Y$3="申万一级行业",[1]!s_info_industry_sw_2021(W4493,公司分析!D$5,1),IF($Y$3="申万二级行业",[1]!s_info_industry_sw_2021(W4493,公司分析!D$5,2),IF($Y$3="申万三级行业",[1]!s_info_industry_sw_2021(W4493,公司分析!D$5,3),IF($Y$3="wind一级行业",[1]!s_info_industry_gics(W4493,1),IF($Y$3="wind二级行业",[1]!s_info_industry_gics(W4493,2),IF($Y$3="wind三级行业",[1]!s_info_industry_gics(W4493,3),IF($Y$3="wind四级行业",[1]!s_info_industry_gics(W4493,4),IF($Y$3="证监会门类行业",[1]!s_info_industry_csrc12_n(W4493,公司分析!D$5,1),""))))))))</f>
        <v>通用设备</v>
      </c>
      <c r="Z4493" s="302" t="str">
        <f ca="1">IF(Y4493=行业比较!$E$6,ROW(),"")</f>
        <v/>
      </c>
    </row>
    <row r="4494" spans="22:26">
      <c r="V4494" s="260">
        <f t="shared" ca="1" si="78"/>
        <v>0</v>
      </c>
      <c r="W4494" s="348" t="str">
        <f>IF(板块成分!B4496="","",板块成分!B4496)</f>
        <v>605058.SH</v>
      </c>
      <c r="X4494" s="276" t="str">
        <f>[1]!S_Info_Name(W4494)</f>
        <v>澳弘电子</v>
      </c>
      <c r="Y4494" s="276" t="str">
        <f ca="1">IF($Y$3="申万一级行业",[1]!s_info_industry_sw_2021(W4494,公司分析!D$5,1),IF($Y$3="申万二级行业",[1]!s_info_industry_sw_2021(W4494,公司分析!D$5,2),IF($Y$3="申万三级行业",[1]!s_info_industry_sw_2021(W4494,公司分析!D$5,3),IF($Y$3="wind一级行业",[1]!s_info_industry_gics(W4494,1),IF($Y$3="wind二级行业",[1]!s_info_industry_gics(W4494,2),IF($Y$3="wind三级行业",[1]!s_info_industry_gics(W4494,3),IF($Y$3="wind四级行业",[1]!s_info_industry_gics(W4494,4),IF($Y$3="证监会门类行业",[1]!s_info_industry_csrc12_n(W4494,公司分析!D$5,1),""))))))))</f>
        <v>元件</v>
      </c>
      <c r="Z4494" s="302" t="str">
        <f ca="1">IF(Y4494=行业比较!$E$6,ROW(),"")</f>
        <v/>
      </c>
    </row>
    <row r="4495" spans="22:26">
      <c r="V4495" s="260">
        <f t="shared" ca="1" si="78"/>
        <v>0</v>
      </c>
      <c r="W4495" s="348" t="str">
        <f>IF(板块成分!B4497="","",板块成分!B4497)</f>
        <v>605060.SH</v>
      </c>
      <c r="X4495" s="276" t="str">
        <f>[1]!S_Info_Name(W4495)</f>
        <v>联德股份</v>
      </c>
      <c r="Y4495" s="276" t="str">
        <f ca="1">IF($Y$3="申万一级行业",[1]!s_info_industry_sw_2021(W4495,公司分析!D$5,1),IF($Y$3="申万二级行业",[1]!s_info_industry_sw_2021(W4495,公司分析!D$5,2),IF($Y$3="申万三级行业",[1]!s_info_industry_sw_2021(W4495,公司分析!D$5,3),IF($Y$3="wind一级行业",[1]!s_info_industry_gics(W4495,1),IF($Y$3="wind二级行业",[1]!s_info_industry_gics(W4495,2),IF($Y$3="wind三级行业",[1]!s_info_industry_gics(W4495,3),IF($Y$3="wind四级行业",[1]!s_info_industry_gics(W4495,4),IF($Y$3="证监会门类行业",[1]!s_info_industry_csrc12_n(W4495,公司分析!D$5,1),""))))))))</f>
        <v>通用设备</v>
      </c>
      <c r="Z4495" s="302" t="str">
        <f ca="1">IF(Y4495=行业比较!$E$6,ROW(),"")</f>
        <v/>
      </c>
    </row>
    <row r="4496" spans="22:26">
      <c r="V4496" s="260">
        <f t="shared" ca="1" si="78"/>
        <v>0</v>
      </c>
      <c r="W4496" s="348" t="str">
        <f>IF(板块成分!B4498="","",板块成分!B4498)</f>
        <v>605066.SH</v>
      </c>
      <c r="X4496" s="276" t="str">
        <f>[1]!S_Info_Name(W4496)</f>
        <v>天正电气</v>
      </c>
      <c r="Y4496" s="276" t="str">
        <f ca="1">IF($Y$3="申万一级行业",[1]!s_info_industry_sw_2021(W4496,公司分析!D$5,1),IF($Y$3="申万二级行业",[1]!s_info_industry_sw_2021(W4496,公司分析!D$5,2),IF($Y$3="申万三级行业",[1]!s_info_industry_sw_2021(W4496,公司分析!D$5,3),IF($Y$3="wind一级行业",[1]!s_info_industry_gics(W4496,1),IF($Y$3="wind二级行业",[1]!s_info_industry_gics(W4496,2),IF($Y$3="wind三级行业",[1]!s_info_industry_gics(W4496,3),IF($Y$3="wind四级行业",[1]!s_info_industry_gics(W4496,4),IF($Y$3="证监会门类行业",[1]!s_info_industry_csrc12_n(W4496,公司分析!D$5,1),""))))))))</f>
        <v>电网设备</v>
      </c>
      <c r="Z4496" s="302" t="str">
        <f ca="1">IF(Y4496=行业比较!$E$6,ROW(),"")</f>
        <v/>
      </c>
    </row>
    <row r="4497" spans="22:26">
      <c r="V4497" s="260">
        <f t="shared" ca="1" si="78"/>
        <v>0</v>
      </c>
      <c r="W4497" s="348" t="str">
        <f>IF(板块成分!B4499="","",板块成分!B4499)</f>
        <v>605068.SH</v>
      </c>
      <c r="X4497" s="276" t="str">
        <f>[1]!S_Info_Name(W4497)</f>
        <v>明新旭腾</v>
      </c>
      <c r="Y4497" s="276" t="str">
        <f ca="1">IF($Y$3="申万一级行业",[1]!s_info_industry_sw_2021(W4497,公司分析!D$5,1),IF($Y$3="申万二级行业",[1]!s_info_industry_sw_2021(W4497,公司分析!D$5,2),IF($Y$3="申万三级行业",[1]!s_info_industry_sw_2021(W4497,公司分析!D$5,3),IF($Y$3="wind一级行业",[1]!s_info_industry_gics(W4497,1),IF($Y$3="wind二级行业",[1]!s_info_industry_gics(W4497,2),IF($Y$3="wind三级行业",[1]!s_info_industry_gics(W4497,3),IF($Y$3="wind四级行业",[1]!s_info_industry_gics(W4497,4),IF($Y$3="证监会门类行业",[1]!s_info_industry_csrc12_n(W4497,公司分析!D$5,1),""))))))))</f>
        <v>汽车零部件</v>
      </c>
      <c r="Z4497" s="302" t="str">
        <f ca="1">IF(Y4497=行业比较!$E$6,ROW(),"")</f>
        <v/>
      </c>
    </row>
    <row r="4498" spans="22:26">
      <c r="V4498" s="260">
        <f t="shared" ca="1" si="78"/>
        <v>0</v>
      </c>
      <c r="W4498" s="348" t="str">
        <f>IF(板块成分!B4500="","",板块成分!B4500)</f>
        <v>605069.SH</v>
      </c>
      <c r="X4498" s="276" t="str">
        <f>[1]!S_Info_Name(W4498)</f>
        <v>正和生态</v>
      </c>
      <c r="Y4498" s="276" t="str">
        <f ca="1">IF($Y$3="申万一级行业",[1]!s_info_industry_sw_2021(W4498,公司分析!D$5,1),IF($Y$3="申万二级行业",[1]!s_info_industry_sw_2021(W4498,公司分析!D$5,2),IF($Y$3="申万三级行业",[1]!s_info_industry_sw_2021(W4498,公司分析!D$5,3),IF($Y$3="wind一级行业",[1]!s_info_industry_gics(W4498,1),IF($Y$3="wind二级行业",[1]!s_info_industry_gics(W4498,2),IF($Y$3="wind三级行业",[1]!s_info_industry_gics(W4498,3),IF($Y$3="wind四级行业",[1]!s_info_industry_gics(W4498,4),IF($Y$3="证监会门类行业",[1]!s_info_industry_csrc12_n(W4498,公司分析!D$5,1),""))))))))</f>
        <v>环境治理</v>
      </c>
      <c r="Z4498" s="302" t="str">
        <f ca="1">IF(Y4498=行业比较!$E$6,ROW(),"")</f>
        <v/>
      </c>
    </row>
    <row r="4499" spans="22:26">
      <c r="V4499" s="260">
        <f t="shared" ca="1" si="78"/>
        <v>0</v>
      </c>
      <c r="W4499" s="348" t="str">
        <f>IF(板块成分!B4501="","",板块成分!B4501)</f>
        <v>605077.SH</v>
      </c>
      <c r="X4499" s="276" t="str">
        <f>[1]!S_Info_Name(W4499)</f>
        <v>华康股份</v>
      </c>
      <c r="Y4499" s="276" t="str">
        <f ca="1">IF($Y$3="申万一级行业",[1]!s_info_industry_sw_2021(W4499,公司分析!D$5,1),IF($Y$3="申万二级行业",[1]!s_info_industry_sw_2021(W4499,公司分析!D$5,2),IF($Y$3="申万三级行业",[1]!s_info_industry_sw_2021(W4499,公司分析!D$5,3),IF($Y$3="wind一级行业",[1]!s_info_industry_gics(W4499,1),IF($Y$3="wind二级行业",[1]!s_info_industry_gics(W4499,2),IF($Y$3="wind三级行业",[1]!s_info_industry_gics(W4499,3),IF($Y$3="wind四级行业",[1]!s_info_industry_gics(W4499,4),IF($Y$3="证监会门类行业",[1]!s_info_industry_csrc12_n(W4499,公司分析!D$5,1),""))))))))</f>
        <v>化学制品</v>
      </c>
      <c r="Z4499" s="302" t="str">
        <f ca="1">IF(Y4499=行业比较!$E$6,ROW(),"")</f>
        <v/>
      </c>
    </row>
    <row r="4500" spans="22:26">
      <c r="V4500" s="260">
        <f t="shared" ca="1" si="78"/>
        <v>0</v>
      </c>
      <c r="W4500" s="348" t="str">
        <f>IF(板块成分!B4502="","",板块成分!B4502)</f>
        <v>605080.SH</v>
      </c>
      <c r="X4500" s="276" t="str">
        <f>[1]!S_Info_Name(W4500)</f>
        <v>浙江自然</v>
      </c>
      <c r="Y4500" s="276" t="str">
        <f ca="1">IF($Y$3="申万一级行业",[1]!s_info_industry_sw_2021(W4500,公司分析!D$5,1),IF($Y$3="申万二级行业",[1]!s_info_industry_sw_2021(W4500,公司分析!D$5,2),IF($Y$3="申万三级行业",[1]!s_info_industry_sw_2021(W4500,公司分析!D$5,3),IF($Y$3="wind一级行业",[1]!s_info_industry_gics(W4500,1),IF($Y$3="wind二级行业",[1]!s_info_industry_gics(W4500,2),IF($Y$3="wind三级行业",[1]!s_info_industry_gics(W4500,3),IF($Y$3="wind四级行业",[1]!s_info_industry_gics(W4500,4),IF($Y$3="证监会门类行业",[1]!s_info_industry_csrc12_n(W4500,公司分析!D$5,1),""))))))))</f>
        <v>文娱用品</v>
      </c>
      <c r="Z4500" s="302" t="str">
        <f ca="1">IF(Y4500=行业比较!$E$6,ROW(),"")</f>
        <v/>
      </c>
    </row>
    <row r="4501" spans="22:26">
      <c r="V4501" s="260">
        <f t="shared" ca="1" si="78"/>
        <v>0</v>
      </c>
      <c r="W4501" s="348" t="str">
        <f>IF(板块成分!B4503="","",板块成分!B4503)</f>
        <v>605081.SH</v>
      </c>
      <c r="X4501" s="276" t="str">
        <f>[1]!S_Info_Name(W4501)</f>
        <v>*ST太和</v>
      </c>
      <c r="Y4501" s="276" t="str">
        <f ca="1">IF($Y$3="申万一级行业",[1]!s_info_industry_sw_2021(W4501,公司分析!D$5,1),IF($Y$3="申万二级行业",[1]!s_info_industry_sw_2021(W4501,公司分析!D$5,2),IF($Y$3="申万三级行业",[1]!s_info_industry_sw_2021(W4501,公司分析!D$5,3),IF($Y$3="wind一级行业",[1]!s_info_industry_gics(W4501,1),IF($Y$3="wind二级行业",[1]!s_info_industry_gics(W4501,2),IF($Y$3="wind三级行业",[1]!s_info_industry_gics(W4501,3),IF($Y$3="wind四级行业",[1]!s_info_industry_gics(W4501,4),IF($Y$3="证监会门类行业",[1]!s_info_industry_csrc12_n(W4501,公司分析!D$5,1),""))))))))</f>
        <v>环境治理</v>
      </c>
      <c r="Z4501" s="302" t="str">
        <f ca="1">IF(Y4501=行业比较!$E$6,ROW(),"")</f>
        <v/>
      </c>
    </row>
    <row r="4502" spans="22:26">
      <c r="V4502" s="260">
        <f t="shared" ca="1" si="78"/>
        <v>0</v>
      </c>
      <c r="W4502" s="348" t="str">
        <f>IF(板块成分!B4504="","",板块成分!B4504)</f>
        <v>605086.SH</v>
      </c>
      <c r="X4502" s="276" t="str">
        <f>[1]!S_Info_Name(W4502)</f>
        <v>龙高股份</v>
      </c>
      <c r="Y4502" s="276" t="str">
        <f ca="1">IF($Y$3="申万一级行业",[1]!s_info_industry_sw_2021(W4502,公司分析!D$5,1),IF($Y$3="申万二级行业",[1]!s_info_industry_sw_2021(W4502,公司分析!D$5,2),IF($Y$3="申万三级行业",[1]!s_info_industry_sw_2021(W4502,公司分析!D$5,3),IF($Y$3="wind一级行业",[1]!s_info_industry_gics(W4502,1),IF($Y$3="wind二级行业",[1]!s_info_industry_gics(W4502,2),IF($Y$3="wind三级行业",[1]!s_info_industry_gics(W4502,3),IF($Y$3="wind四级行业",[1]!s_info_industry_gics(W4502,4),IF($Y$3="证监会门类行业",[1]!s_info_industry_csrc12_n(W4502,公司分析!D$5,1),""))))))))</f>
        <v>非金属材料Ⅱ</v>
      </c>
      <c r="Z4502" s="302" t="str">
        <f ca="1">IF(Y4502=行业比较!$E$6,ROW(),"")</f>
        <v/>
      </c>
    </row>
    <row r="4503" spans="22:26">
      <c r="V4503" s="260">
        <f t="shared" ca="1" si="78"/>
        <v>0</v>
      </c>
      <c r="W4503" s="348" t="str">
        <f>IF(板块成分!B4505="","",板块成分!B4505)</f>
        <v>605088.SH</v>
      </c>
      <c r="X4503" s="276" t="str">
        <f>[1]!S_Info_Name(W4503)</f>
        <v>冠盛股份</v>
      </c>
      <c r="Y4503" s="276" t="str">
        <f ca="1">IF($Y$3="申万一级行业",[1]!s_info_industry_sw_2021(W4503,公司分析!D$5,1),IF($Y$3="申万二级行业",[1]!s_info_industry_sw_2021(W4503,公司分析!D$5,2),IF($Y$3="申万三级行业",[1]!s_info_industry_sw_2021(W4503,公司分析!D$5,3),IF($Y$3="wind一级行业",[1]!s_info_industry_gics(W4503,1),IF($Y$3="wind二级行业",[1]!s_info_industry_gics(W4503,2),IF($Y$3="wind三级行业",[1]!s_info_industry_gics(W4503,3),IF($Y$3="wind四级行业",[1]!s_info_industry_gics(W4503,4),IF($Y$3="证监会门类行业",[1]!s_info_industry_csrc12_n(W4503,公司分析!D$5,1),""))))))))</f>
        <v>汽车零部件</v>
      </c>
      <c r="Z4503" s="302" t="str">
        <f ca="1">IF(Y4503=行业比较!$E$6,ROW(),"")</f>
        <v/>
      </c>
    </row>
    <row r="4504" spans="22:26">
      <c r="V4504" s="260">
        <f t="shared" ca="1" si="78"/>
        <v>0</v>
      </c>
      <c r="W4504" s="348" t="str">
        <f>IF(板块成分!B4506="","",板块成分!B4506)</f>
        <v>605089.SH</v>
      </c>
      <c r="X4504" s="276" t="str">
        <f>[1]!S_Info_Name(W4504)</f>
        <v>味知香</v>
      </c>
      <c r="Y4504" s="276" t="str">
        <f ca="1">IF($Y$3="申万一级行业",[1]!s_info_industry_sw_2021(W4504,公司分析!D$5,1),IF($Y$3="申万二级行业",[1]!s_info_industry_sw_2021(W4504,公司分析!D$5,2),IF($Y$3="申万三级行业",[1]!s_info_industry_sw_2021(W4504,公司分析!D$5,3),IF($Y$3="wind一级行业",[1]!s_info_industry_gics(W4504,1),IF($Y$3="wind二级行业",[1]!s_info_industry_gics(W4504,2),IF($Y$3="wind三级行业",[1]!s_info_industry_gics(W4504,3),IF($Y$3="wind四级行业",[1]!s_info_industry_gics(W4504,4),IF($Y$3="证监会门类行业",[1]!s_info_industry_csrc12_n(W4504,公司分析!D$5,1),""))))))))</f>
        <v>食品加工</v>
      </c>
      <c r="Z4504" s="302" t="str">
        <f ca="1">IF(Y4504=行业比较!$E$6,ROW(),"")</f>
        <v/>
      </c>
    </row>
    <row r="4505" spans="22:26">
      <c r="V4505" s="260">
        <f t="shared" ca="1" si="78"/>
        <v>0</v>
      </c>
      <c r="W4505" s="348" t="str">
        <f>IF(板块成分!B4507="","",板块成分!B4507)</f>
        <v>605090.SH</v>
      </c>
      <c r="X4505" s="276" t="str">
        <f>[1]!S_Info_Name(W4505)</f>
        <v>九丰能源</v>
      </c>
      <c r="Y4505" s="276" t="str">
        <f ca="1">IF($Y$3="申万一级行业",[1]!s_info_industry_sw_2021(W4505,公司分析!D$5,1),IF($Y$3="申万二级行业",[1]!s_info_industry_sw_2021(W4505,公司分析!D$5,2),IF($Y$3="申万三级行业",[1]!s_info_industry_sw_2021(W4505,公司分析!D$5,3),IF($Y$3="wind一级行业",[1]!s_info_industry_gics(W4505,1),IF($Y$3="wind二级行业",[1]!s_info_industry_gics(W4505,2),IF($Y$3="wind三级行业",[1]!s_info_industry_gics(W4505,3),IF($Y$3="wind四级行业",[1]!s_info_industry_gics(W4505,4),IF($Y$3="证监会门类行业",[1]!s_info_industry_csrc12_n(W4505,公司分析!D$5,1),""))))))))</f>
        <v>燃气Ⅱ</v>
      </c>
      <c r="Z4505" s="302" t="str">
        <f ca="1">IF(Y4505=行业比较!$E$6,ROW(),"")</f>
        <v/>
      </c>
    </row>
    <row r="4506" spans="22:26">
      <c r="V4506" s="260">
        <f t="shared" ca="1" si="78"/>
        <v>0</v>
      </c>
      <c r="W4506" s="348" t="str">
        <f>IF(板块成分!B4508="","",板块成分!B4508)</f>
        <v>605098.SH</v>
      </c>
      <c r="X4506" s="276" t="str">
        <f>[1]!S_Info_Name(W4506)</f>
        <v>行动教育</v>
      </c>
      <c r="Y4506" s="276" t="str">
        <f ca="1">IF($Y$3="申万一级行业",[1]!s_info_industry_sw_2021(W4506,公司分析!D$5,1),IF($Y$3="申万二级行业",[1]!s_info_industry_sw_2021(W4506,公司分析!D$5,2),IF($Y$3="申万三级行业",[1]!s_info_industry_sw_2021(W4506,公司分析!D$5,3),IF($Y$3="wind一级行业",[1]!s_info_industry_gics(W4506,1),IF($Y$3="wind二级行业",[1]!s_info_industry_gics(W4506,2),IF($Y$3="wind三级行业",[1]!s_info_industry_gics(W4506,3),IF($Y$3="wind四级行业",[1]!s_info_industry_gics(W4506,4),IF($Y$3="证监会门类行业",[1]!s_info_industry_csrc12_n(W4506,公司分析!D$5,1),""))))))))</f>
        <v>教育</v>
      </c>
      <c r="Z4506" s="302" t="str">
        <f ca="1">IF(Y4506=行业比较!$E$6,ROW(),"")</f>
        <v/>
      </c>
    </row>
    <row r="4507" spans="22:26">
      <c r="V4507" s="260">
        <f t="shared" ca="1" si="78"/>
        <v>0</v>
      </c>
      <c r="W4507" s="348" t="str">
        <f>IF(板块成分!B4509="","",板块成分!B4509)</f>
        <v>605099.SH</v>
      </c>
      <c r="X4507" s="276" t="str">
        <f>[1]!S_Info_Name(W4507)</f>
        <v>共创草坪</v>
      </c>
      <c r="Y4507" s="276" t="str">
        <f ca="1">IF($Y$3="申万一级行业",[1]!s_info_industry_sw_2021(W4507,公司分析!D$5,1),IF($Y$3="申万二级行业",[1]!s_info_industry_sw_2021(W4507,公司分析!D$5,2),IF($Y$3="申万三级行业",[1]!s_info_industry_sw_2021(W4507,公司分析!D$5,3),IF($Y$3="wind一级行业",[1]!s_info_industry_gics(W4507,1),IF($Y$3="wind二级行业",[1]!s_info_industry_gics(W4507,2),IF($Y$3="wind三级行业",[1]!s_info_industry_gics(W4507,3),IF($Y$3="wind四级行业",[1]!s_info_industry_gics(W4507,4),IF($Y$3="证监会门类行业",[1]!s_info_industry_csrc12_n(W4507,公司分析!D$5,1),""))))))))</f>
        <v>家居用品</v>
      </c>
      <c r="Z4507" s="302" t="str">
        <f ca="1">IF(Y4507=行业比较!$E$6,ROW(),"")</f>
        <v/>
      </c>
    </row>
    <row r="4508" spans="22:26">
      <c r="V4508" s="260">
        <f t="shared" ca="1" si="78"/>
        <v>0</v>
      </c>
      <c r="W4508" s="348" t="str">
        <f>IF(板块成分!B4510="","",板块成分!B4510)</f>
        <v>605100.SH</v>
      </c>
      <c r="X4508" s="276" t="str">
        <f>[1]!S_Info_Name(W4508)</f>
        <v>华丰股份</v>
      </c>
      <c r="Y4508" s="276" t="str">
        <f ca="1">IF($Y$3="申万一级行业",[1]!s_info_industry_sw_2021(W4508,公司分析!D$5,1),IF($Y$3="申万二级行业",[1]!s_info_industry_sw_2021(W4508,公司分析!D$5,2),IF($Y$3="申万三级行业",[1]!s_info_industry_sw_2021(W4508,公司分析!D$5,3),IF($Y$3="wind一级行业",[1]!s_info_industry_gics(W4508,1),IF($Y$3="wind二级行业",[1]!s_info_industry_gics(W4508,2),IF($Y$3="wind三级行业",[1]!s_info_industry_gics(W4508,3),IF($Y$3="wind四级行业",[1]!s_info_industry_gics(W4508,4),IF($Y$3="证监会门类行业",[1]!s_info_industry_csrc12_n(W4508,公司分析!D$5,1),""))))))))</f>
        <v>通用设备</v>
      </c>
      <c r="Z4508" s="302" t="str">
        <f ca="1">IF(Y4508=行业比较!$E$6,ROW(),"")</f>
        <v/>
      </c>
    </row>
    <row r="4509" spans="22:26">
      <c r="V4509" s="260">
        <f t="shared" ca="1" si="78"/>
        <v>0</v>
      </c>
      <c r="W4509" s="348" t="str">
        <f>IF(板块成分!B4511="","",板块成分!B4511)</f>
        <v>605108.SH</v>
      </c>
      <c r="X4509" s="276" t="str">
        <f>[1]!S_Info_Name(W4509)</f>
        <v>同庆楼</v>
      </c>
      <c r="Y4509" s="276" t="str">
        <f ca="1">IF($Y$3="申万一级行业",[1]!s_info_industry_sw_2021(W4509,公司分析!D$5,1),IF($Y$3="申万二级行业",[1]!s_info_industry_sw_2021(W4509,公司分析!D$5,2),IF($Y$3="申万三级行业",[1]!s_info_industry_sw_2021(W4509,公司分析!D$5,3),IF($Y$3="wind一级行业",[1]!s_info_industry_gics(W4509,1),IF($Y$3="wind二级行业",[1]!s_info_industry_gics(W4509,2),IF($Y$3="wind三级行业",[1]!s_info_industry_gics(W4509,3),IF($Y$3="wind四级行业",[1]!s_info_industry_gics(W4509,4),IF($Y$3="证监会门类行业",[1]!s_info_industry_csrc12_n(W4509,公司分析!D$5,1),""))))))))</f>
        <v>酒店餐饮</v>
      </c>
      <c r="Z4509" s="302" t="str">
        <f ca="1">IF(Y4509=行业比较!$E$6,ROW(),"")</f>
        <v/>
      </c>
    </row>
    <row r="4510" spans="22:26">
      <c r="V4510" s="260">
        <f t="shared" ca="1" si="78"/>
        <v>0</v>
      </c>
      <c r="W4510" s="348" t="str">
        <f>IF(板块成分!B4512="","",板块成分!B4512)</f>
        <v>605111.SH</v>
      </c>
      <c r="X4510" s="276" t="str">
        <f>[1]!S_Info_Name(W4510)</f>
        <v>新洁能</v>
      </c>
      <c r="Y4510" s="276" t="str">
        <f ca="1">IF($Y$3="申万一级行业",[1]!s_info_industry_sw_2021(W4510,公司分析!D$5,1),IF($Y$3="申万二级行业",[1]!s_info_industry_sw_2021(W4510,公司分析!D$5,2),IF($Y$3="申万三级行业",[1]!s_info_industry_sw_2021(W4510,公司分析!D$5,3),IF($Y$3="wind一级行业",[1]!s_info_industry_gics(W4510,1),IF($Y$3="wind二级行业",[1]!s_info_industry_gics(W4510,2),IF($Y$3="wind三级行业",[1]!s_info_industry_gics(W4510,3),IF($Y$3="wind四级行业",[1]!s_info_industry_gics(W4510,4),IF($Y$3="证监会门类行业",[1]!s_info_industry_csrc12_n(W4510,公司分析!D$5,1),""))))))))</f>
        <v>半导体</v>
      </c>
      <c r="Z4510" s="302" t="str">
        <f ca="1">IF(Y4510=行业比较!$E$6,ROW(),"")</f>
        <v/>
      </c>
    </row>
    <row r="4511" spans="22:26">
      <c r="V4511" s="260">
        <f t="shared" ca="1" si="78"/>
        <v>0</v>
      </c>
      <c r="W4511" s="348" t="str">
        <f>IF(板块成分!B4513="","",板块成分!B4513)</f>
        <v>605116.SH</v>
      </c>
      <c r="X4511" s="276" t="str">
        <f>[1]!S_Info_Name(W4511)</f>
        <v>奥锐特</v>
      </c>
      <c r="Y4511" s="276" t="str">
        <f ca="1">IF($Y$3="申万一级行业",[1]!s_info_industry_sw_2021(W4511,公司分析!D$5,1),IF($Y$3="申万二级行业",[1]!s_info_industry_sw_2021(W4511,公司分析!D$5,2),IF($Y$3="申万三级行业",[1]!s_info_industry_sw_2021(W4511,公司分析!D$5,3),IF($Y$3="wind一级行业",[1]!s_info_industry_gics(W4511,1),IF($Y$3="wind二级行业",[1]!s_info_industry_gics(W4511,2),IF($Y$3="wind三级行业",[1]!s_info_industry_gics(W4511,3),IF($Y$3="wind四级行业",[1]!s_info_industry_gics(W4511,4),IF($Y$3="证监会门类行业",[1]!s_info_industry_csrc12_n(W4511,公司分析!D$5,1),""))))))))</f>
        <v>化学制药</v>
      </c>
      <c r="Z4511" s="302" t="str">
        <f ca="1">IF(Y4511=行业比较!$E$6,ROW(),"")</f>
        <v/>
      </c>
    </row>
    <row r="4512" spans="22:26">
      <c r="V4512" s="260">
        <f t="shared" ca="1" si="78"/>
        <v>0</v>
      </c>
      <c r="W4512" s="348" t="str">
        <f>IF(板块成分!B4514="","",板块成分!B4514)</f>
        <v>605117.SH</v>
      </c>
      <c r="X4512" s="276" t="str">
        <f>[1]!S_Info_Name(W4512)</f>
        <v>德业股份</v>
      </c>
      <c r="Y4512" s="276" t="str">
        <f ca="1">IF($Y$3="申万一级行业",[1]!s_info_industry_sw_2021(W4512,公司分析!D$5,1),IF($Y$3="申万二级行业",[1]!s_info_industry_sw_2021(W4512,公司分析!D$5,2),IF($Y$3="申万三级行业",[1]!s_info_industry_sw_2021(W4512,公司分析!D$5,3),IF($Y$3="wind一级行业",[1]!s_info_industry_gics(W4512,1),IF($Y$3="wind二级行业",[1]!s_info_industry_gics(W4512,2),IF($Y$3="wind三级行业",[1]!s_info_industry_gics(W4512,3),IF($Y$3="wind四级行业",[1]!s_info_industry_gics(W4512,4),IF($Y$3="证监会门类行业",[1]!s_info_industry_csrc12_n(W4512,公司分析!D$5,1),""))))))))</f>
        <v>光伏设备</v>
      </c>
      <c r="Z4512" s="302" t="str">
        <f ca="1">IF(Y4512=行业比较!$E$6,ROW(),"")</f>
        <v/>
      </c>
    </row>
    <row r="4513" spans="22:26">
      <c r="V4513" s="260">
        <f t="shared" ca="1" si="78"/>
        <v>0</v>
      </c>
      <c r="W4513" s="348" t="str">
        <f>IF(板块成分!B4515="","",板块成分!B4515)</f>
        <v>605118.SH</v>
      </c>
      <c r="X4513" s="276" t="str">
        <f>[1]!S_Info_Name(W4513)</f>
        <v>力鼎光电</v>
      </c>
      <c r="Y4513" s="276" t="str">
        <f ca="1">IF($Y$3="申万一级行业",[1]!s_info_industry_sw_2021(W4513,公司分析!D$5,1),IF($Y$3="申万二级行业",[1]!s_info_industry_sw_2021(W4513,公司分析!D$5,2),IF($Y$3="申万三级行业",[1]!s_info_industry_sw_2021(W4513,公司分析!D$5,3),IF($Y$3="wind一级行业",[1]!s_info_industry_gics(W4513,1),IF($Y$3="wind二级行业",[1]!s_info_industry_gics(W4513,2),IF($Y$3="wind三级行业",[1]!s_info_industry_gics(W4513,3),IF($Y$3="wind四级行业",[1]!s_info_industry_gics(W4513,4),IF($Y$3="证监会门类行业",[1]!s_info_industry_csrc12_n(W4513,公司分析!D$5,1),""))))))))</f>
        <v>计算机设备</v>
      </c>
      <c r="Z4513" s="302" t="str">
        <f ca="1">IF(Y4513=行业比较!$E$6,ROW(),"")</f>
        <v/>
      </c>
    </row>
    <row r="4514" spans="22:26">
      <c r="V4514" s="260">
        <f t="shared" ca="1" si="78"/>
        <v>0</v>
      </c>
      <c r="W4514" s="348" t="str">
        <f>IF(板块成分!B4516="","",板块成分!B4516)</f>
        <v>605122.SH</v>
      </c>
      <c r="X4514" s="276" t="str">
        <f>[1]!S_Info_Name(W4514)</f>
        <v>四方新材</v>
      </c>
      <c r="Y4514" s="276" t="str">
        <f ca="1">IF($Y$3="申万一级行业",[1]!s_info_industry_sw_2021(W4514,公司分析!D$5,1),IF($Y$3="申万二级行业",[1]!s_info_industry_sw_2021(W4514,公司分析!D$5,2),IF($Y$3="申万三级行业",[1]!s_info_industry_sw_2021(W4514,公司分析!D$5,3),IF($Y$3="wind一级行业",[1]!s_info_industry_gics(W4514,1),IF($Y$3="wind二级行业",[1]!s_info_industry_gics(W4514,2),IF($Y$3="wind三级行业",[1]!s_info_industry_gics(W4514,3),IF($Y$3="wind四级行业",[1]!s_info_industry_gics(W4514,4),IF($Y$3="证监会门类行业",[1]!s_info_industry_csrc12_n(W4514,公司分析!D$5,1),""))))))))</f>
        <v>水泥</v>
      </c>
      <c r="Z4514" s="302" t="str">
        <f ca="1">IF(Y4514=行业比较!$E$6,ROW(),"")</f>
        <v/>
      </c>
    </row>
    <row r="4515" spans="22:26">
      <c r="V4515" s="260">
        <f t="shared" ca="1" si="78"/>
        <v>0</v>
      </c>
      <c r="W4515" s="348" t="str">
        <f>IF(板块成分!B4517="","",板块成分!B4517)</f>
        <v>605123.SH</v>
      </c>
      <c r="X4515" s="276" t="str">
        <f>[1]!S_Info_Name(W4515)</f>
        <v>派克新材</v>
      </c>
      <c r="Y4515" s="276" t="str">
        <f ca="1">IF($Y$3="申万一级行业",[1]!s_info_industry_sw_2021(W4515,公司分析!D$5,1),IF($Y$3="申万二级行业",[1]!s_info_industry_sw_2021(W4515,公司分析!D$5,2),IF($Y$3="申万三级行业",[1]!s_info_industry_sw_2021(W4515,公司分析!D$5,3),IF($Y$3="wind一级行业",[1]!s_info_industry_gics(W4515,1),IF($Y$3="wind二级行业",[1]!s_info_industry_gics(W4515,2),IF($Y$3="wind三级行业",[1]!s_info_industry_gics(W4515,3),IF($Y$3="wind四级行业",[1]!s_info_industry_gics(W4515,4),IF($Y$3="证监会门类行业",[1]!s_info_industry_csrc12_n(W4515,公司分析!D$5,1),""))))))))</f>
        <v>航空装备Ⅱ</v>
      </c>
      <c r="Z4515" s="302" t="str">
        <f ca="1">IF(Y4515=行业比较!$E$6,ROW(),"")</f>
        <v/>
      </c>
    </row>
    <row r="4516" spans="22:26">
      <c r="V4516" s="260">
        <f t="shared" ca="1" si="78"/>
        <v>0</v>
      </c>
      <c r="W4516" s="348" t="str">
        <f>IF(板块成分!B4518="","",板块成分!B4518)</f>
        <v>605128.SH</v>
      </c>
      <c r="X4516" s="276" t="str">
        <f>[1]!S_Info_Name(W4516)</f>
        <v>上海沿浦</v>
      </c>
      <c r="Y4516" s="276" t="str">
        <f ca="1">IF($Y$3="申万一级行业",[1]!s_info_industry_sw_2021(W4516,公司分析!D$5,1),IF($Y$3="申万二级行业",[1]!s_info_industry_sw_2021(W4516,公司分析!D$5,2),IF($Y$3="申万三级行业",[1]!s_info_industry_sw_2021(W4516,公司分析!D$5,3),IF($Y$3="wind一级行业",[1]!s_info_industry_gics(W4516,1),IF($Y$3="wind二级行业",[1]!s_info_industry_gics(W4516,2),IF($Y$3="wind三级行业",[1]!s_info_industry_gics(W4516,3),IF($Y$3="wind四级行业",[1]!s_info_industry_gics(W4516,4),IF($Y$3="证监会门类行业",[1]!s_info_industry_csrc12_n(W4516,公司分析!D$5,1),""))))))))</f>
        <v>汽车零部件</v>
      </c>
      <c r="Z4516" s="302" t="str">
        <f ca="1">IF(Y4516=行业比较!$E$6,ROW(),"")</f>
        <v/>
      </c>
    </row>
    <row r="4517" spans="22:26">
      <c r="V4517" s="260">
        <f t="shared" ca="1" si="78"/>
        <v>0</v>
      </c>
      <c r="W4517" s="348" t="str">
        <f>IF(板块成分!B4519="","",板块成分!B4519)</f>
        <v>605133.SH</v>
      </c>
      <c r="X4517" s="276" t="str">
        <f>[1]!S_Info_Name(W4517)</f>
        <v>嵘泰股份</v>
      </c>
      <c r="Y4517" s="276" t="str">
        <f ca="1">IF($Y$3="申万一级行业",[1]!s_info_industry_sw_2021(W4517,公司分析!D$5,1),IF($Y$3="申万二级行业",[1]!s_info_industry_sw_2021(W4517,公司分析!D$5,2),IF($Y$3="申万三级行业",[1]!s_info_industry_sw_2021(W4517,公司分析!D$5,3),IF($Y$3="wind一级行业",[1]!s_info_industry_gics(W4517,1),IF($Y$3="wind二级行业",[1]!s_info_industry_gics(W4517,2),IF($Y$3="wind三级行业",[1]!s_info_industry_gics(W4517,3),IF($Y$3="wind四级行业",[1]!s_info_industry_gics(W4517,4),IF($Y$3="证监会门类行业",[1]!s_info_industry_csrc12_n(W4517,公司分析!D$5,1),""))))))))</f>
        <v>汽车零部件</v>
      </c>
      <c r="Z4517" s="302" t="str">
        <f ca="1">IF(Y4517=行业比较!$E$6,ROW(),"")</f>
        <v/>
      </c>
    </row>
    <row r="4518" spans="22:26">
      <c r="V4518" s="260">
        <f t="shared" ca="1" si="78"/>
        <v>0</v>
      </c>
      <c r="W4518" s="348" t="str">
        <f>IF(板块成分!B4520="","",板块成分!B4520)</f>
        <v>605136.SH</v>
      </c>
      <c r="X4518" s="276" t="str">
        <f>[1]!S_Info_Name(W4518)</f>
        <v>丽人丽妆</v>
      </c>
      <c r="Y4518" s="276" t="str">
        <f ca="1">IF($Y$3="申万一级行业",[1]!s_info_industry_sw_2021(W4518,公司分析!D$5,1),IF($Y$3="申万二级行业",[1]!s_info_industry_sw_2021(W4518,公司分析!D$5,2),IF($Y$3="申万三级行业",[1]!s_info_industry_sw_2021(W4518,公司分析!D$5,3),IF($Y$3="wind一级行业",[1]!s_info_industry_gics(W4518,1),IF($Y$3="wind二级行业",[1]!s_info_industry_gics(W4518,2),IF($Y$3="wind三级行业",[1]!s_info_industry_gics(W4518,3),IF($Y$3="wind四级行业",[1]!s_info_industry_gics(W4518,4),IF($Y$3="证监会门类行业",[1]!s_info_industry_csrc12_n(W4518,公司分析!D$5,1),""))))))))</f>
        <v>互联网电商</v>
      </c>
      <c r="Z4518" s="302" t="str">
        <f ca="1">IF(Y4518=行业比较!$E$6,ROW(),"")</f>
        <v/>
      </c>
    </row>
    <row r="4519" spans="22:26">
      <c r="V4519" s="260">
        <f t="shared" ca="1" si="78"/>
        <v>0</v>
      </c>
      <c r="W4519" s="348" t="str">
        <f>IF(板块成分!B4521="","",板块成分!B4521)</f>
        <v>605138.SH</v>
      </c>
      <c r="X4519" s="276" t="str">
        <f>[1]!S_Info_Name(W4519)</f>
        <v>盛泰集团</v>
      </c>
      <c r="Y4519" s="276" t="str">
        <f ca="1">IF($Y$3="申万一级行业",[1]!s_info_industry_sw_2021(W4519,公司分析!D$5,1),IF($Y$3="申万二级行业",[1]!s_info_industry_sw_2021(W4519,公司分析!D$5,2),IF($Y$3="申万三级行业",[1]!s_info_industry_sw_2021(W4519,公司分析!D$5,3),IF($Y$3="wind一级行业",[1]!s_info_industry_gics(W4519,1),IF($Y$3="wind二级行业",[1]!s_info_industry_gics(W4519,2),IF($Y$3="wind三级行业",[1]!s_info_industry_gics(W4519,3),IF($Y$3="wind四级行业",[1]!s_info_industry_gics(W4519,4),IF($Y$3="证监会门类行业",[1]!s_info_industry_csrc12_n(W4519,公司分析!D$5,1),""))))))))</f>
        <v>服装家纺</v>
      </c>
      <c r="Z4519" s="302" t="str">
        <f ca="1">IF(Y4519=行业比较!$E$6,ROW(),"")</f>
        <v/>
      </c>
    </row>
    <row r="4520" spans="22:26">
      <c r="V4520" s="260">
        <f t="shared" ca="1" si="78"/>
        <v>0</v>
      </c>
      <c r="W4520" s="348" t="str">
        <f>IF(板块成分!B4522="","",板块成分!B4522)</f>
        <v>605151.SH</v>
      </c>
      <c r="X4520" s="276" t="str">
        <f>[1]!S_Info_Name(W4520)</f>
        <v>西上海</v>
      </c>
      <c r="Y4520" s="276" t="str">
        <f ca="1">IF($Y$3="申万一级行业",[1]!s_info_industry_sw_2021(W4520,公司分析!D$5,1),IF($Y$3="申万二级行业",[1]!s_info_industry_sw_2021(W4520,公司分析!D$5,2),IF($Y$3="申万三级行业",[1]!s_info_industry_sw_2021(W4520,公司分析!D$5,3),IF($Y$3="wind一级行业",[1]!s_info_industry_gics(W4520,1),IF($Y$3="wind二级行业",[1]!s_info_industry_gics(W4520,2),IF($Y$3="wind三级行业",[1]!s_info_industry_gics(W4520,3),IF($Y$3="wind四级行业",[1]!s_info_industry_gics(W4520,4),IF($Y$3="证监会门类行业",[1]!s_info_industry_csrc12_n(W4520,公司分析!D$5,1),""))))))))</f>
        <v>汽车零部件</v>
      </c>
      <c r="Z4520" s="302" t="str">
        <f ca="1">IF(Y4520=行业比较!$E$6,ROW(),"")</f>
        <v/>
      </c>
    </row>
    <row r="4521" spans="22:26">
      <c r="V4521" s="260">
        <f t="shared" ca="1" si="78"/>
        <v>0</v>
      </c>
      <c r="W4521" s="348" t="str">
        <f>IF(板块成分!B4523="","",板块成分!B4523)</f>
        <v>605155.SH</v>
      </c>
      <c r="X4521" s="276" t="str">
        <f>[1]!S_Info_Name(W4521)</f>
        <v>西大门</v>
      </c>
      <c r="Y4521" s="276" t="str">
        <f ca="1">IF($Y$3="申万一级行业",[1]!s_info_industry_sw_2021(W4521,公司分析!D$5,1),IF($Y$3="申万二级行业",[1]!s_info_industry_sw_2021(W4521,公司分析!D$5,2),IF($Y$3="申万三级行业",[1]!s_info_industry_sw_2021(W4521,公司分析!D$5,3),IF($Y$3="wind一级行业",[1]!s_info_industry_gics(W4521,1),IF($Y$3="wind二级行业",[1]!s_info_industry_gics(W4521,2),IF($Y$3="wind三级行业",[1]!s_info_industry_gics(W4521,3),IF($Y$3="wind四级行业",[1]!s_info_industry_gics(W4521,4),IF($Y$3="证监会门类行业",[1]!s_info_industry_csrc12_n(W4521,公司分析!D$5,1),""))))))))</f>
        <v>家居用品</v>
      </c>
      <c r="Z4521" s="302" t="str">
        <f ca="1">IF(Y4521=行业比较!$E$6,ROW(),"")</f>
        <v/>
      </c>
    </row>
    <row r="4522" spans="22:26">
      <c r="V4522" s="260">
        <f t="shared" ca="1" si="78"/>
        <v>0</v>
      </c>
      <c r="W4522" s="348" t="str">
        <f>IF(板块成分!B4524="","",板块成分!B4524)</f>
        <v>605158.SH</v>
      </c>
      <c r="X4522" s="276" t="str">
        <f>[1]!S_Info_Name(W4522)</f>
        <v>华达新材</v>
      </c>
      <c r="Y4522" s="276" t="str">
        <f ca="1">IF($Y$3="申万一级行业",[1]!s_info_industry_sw_2021(W4522,公司分析!D$5,1),IF($Y$3="申万二级行业",[1]!s_info_industry_sw_2021(W4522,公司分析!D$5,2),IF($Y$3="申万三级行业",[1]!s_info_industry_sw_2021(W4522,公司分析!D$5,3),IF($Y$3="wind一级行业",[1]!s_info_industry_gics(W4522,1),IF($Y$3="wind二级行业",[1]!s_info_industry_gics(W4522,2),IF($Y$3="wind三级行业",[1]!s_info_industry_gics(W4522,3),IF($Y$3="wind四级行业",[1]!s_info_industry_gics(W4522,4),IF($Y$3="证监会门类行业",[1]!s_info_industry_csrc12_n(W4522,公司分析!D$5,1),""))))))))</f>
        <v>金属新材料</v>
      </c>
      <c r="Z4522" s="302" t="str">
        <f ca="1">IF(Y4522=行业比较!$E$6,ROW(),"")</f>
        <v/>
      </c>
    </row>
    <row r="4523" spans="22:26">
      <c r="V4523" s="260">
        <f t="shared" ca="1" si="78"/>
        <v>0</v>
      </c>
      <c r="W4523" s="348" t="str">
        <f>IF(板块成分!B4525="","",板块成分!B4525)</f>
        <v>605162.SH</v>
      </c>
      <c r="X4523" s="276" t="str">
        <f>[1]!S_Info_Name(W4523)</f>
        <v>新中港</v>
      </c>
      <c r="Y4523" s="276" t="str">
        <f ca="1">IF($Y$3="申万一级行业",[1]!s_info_industry_sw_2021(W4523,公司分析!D$5,1),IF($Y$3="申万二级行业",[1]!s_info_industry_sw_2021(W4523,公司分析!D$5,2),IF($Y$3="申万三级行业",[1]!s_info_industry_sw_2021(W4523,公司分析!D$5,3),IF($Y$3="wind一级行业",[1]!s_info_industry_gics(W4523,1),IF($Y$3="wind二级行业",[1]!s_info_industry_gics(W4523,2),IF($Y$3="wind三级行业",[1]!s_info_industry_gics(W4523,3),IF($Y$3="wind四级行业",[1]!s_info_industry_gics(W4523,4),IF($Y$3="证监会门类行业",[1]!s_info_industry_csrc12_n(W4523,公司分析!D$5,1),""))))))))</f>
        <v>电力</v>
      </c>
      <c r="Z4523" s="302" t="str">
        <f ca="1">IF(Y4523=行业比较!$E$6,ROW(),"")</f>
        <v/>
      </c>
    </row>
    <row r="4524" spans="22:26">
      <c r="V4524" s="260">
        <f t="shared" ca="1" si="78"/>
        <v>0</v>
      </c>
      <c r="W4524" s="348" t="str">
        <f>IF(板块成分!B4526="","",板块成分!B4526)</f>
        <v>605166.SH</v>
      </c>
      <c r="X4524" s="276" t="str">
        <f>[1]!S_Info_Name(W4524)</f>
        <v>聚合顺</v>
      </c>
      <c r="Y4524" s="276" t="str">
        <f ca="1">IF($Y$3="申万一级行业",[1]!s_info_industry_sw_2021(W4524,公司分析!D$5,1),IF($Y$3="申万二级行业",[1]!s_info_industry_sw_2021(W4524,公司分析!D$5,2),IF($Y$3="申万三级行业",[1]!s_info_industry_sw_2021(W4524,公司分析!D$5,3),IF($Y$3="wind一级行业",[1]!s_info_industry_gics(W4524,1),IF($Y$3="wind二级行业",[1]!s_info_industry_gics(W4524,2),IF($Y$3="wind三级行业",[1]!s_info_industry_gics(W4524,3),IF($Y$3="wind四级行业",[1]!s_info_industry_gics(W4524,4),IF($Y$3="证监会门类行业",[1]!s_info_industry_csrc12_n(W4524,公司分析!D$5,1),""))))))))</f>
        <v>化学纤维</v>
      </c>
      <c r="Z4524" s="302" t="str">
        <f ca="1">IF(Y4524=行业比较!$E$6,ROW(),"")</f>
        <v/>
      </c>
    </row>
    <row r="4525" spans="22:26">
      <c r="V4525" s="260">
        <f t="shared" ca="1" si="78"/>
        <v>0</v>
      </c>
      <c r="W4525" s="348" t="str">
        <f>IF(板块成分!B4527="","",板块成分!B4527)</f>
        <v>605167.SH</v>
      </c>
      <c r="X4525" s="276" t="str">
        <f>[1]!S_Info_Name(W4525)</f>
        <v>利柏特</v>
      </c>
      <c r="Y4525" s="276" t="str">
        <f ca="1">IF($Y$3="申万一级行业",[1]!s_info_industry_sw_2021(W4525,公司分析!D$5,1),IF($Y$3="申万二级行业",[1]!s_info_industry_sw_2021(W4525,公司分析!D$5,2),IF($Y$3="申万三级行业",[1]!s_info_industry_sw_2021(W4525,公司分析!D$5,3),IF($Y$3="wind一级行业",[1]!s_info_industry_gics(W4525,1),IF($Y$3="wind二级行业",[1]!s_info_industry_gics(W4525,2),IF($Y$3="wind三级行业",[1]!s_info_industry_gics(W4525,3),IF($Y$3="wind四级行业",[1]!s_info_industry_gics(W4525,4),IF($Y$3="证监会门类行业",[1]!s_info_industry_csrc12_n(W4525,公司分析!D$5,1),""))))))))</f>
        <v>专业工程</v>
      </c>
      <c r="Z4525" s="302" t="str">
        <f ca="1">IF(Y4525=行业比较!$E$6,ROW(),"")</f>
        <v/>
      </c>
    </row>
    <row r="4526" spans="22:26">
      <c r="V4526" s="260">
        <f t="shared" ca="1" si="78"/>
        <v>0</v>
      </c>
      <c r="W4526" s="348" t="str">
        <f>IF(板块成分!B4528="","",板块成分!B4528)</f>
        <v>605168.SH</v>
      </c>
      <c r="X4526" s="276" t="str">
        <f>[1]!S_Info_Name(W4526)</f>
        <v>三人行</v>
      </c>
      <c r="Y4526" s="276" t="str">
        <f ca="1">IF($Y$3="申万一级行业",[1]!s_info_industry_sw_2021(W4526,公司分析!D$5,1),IF($Y$3="申万二级行业",[1]!s_info_industry_sw_2021(W4526,公司分析!D$5,2),IF($Y$3="申万三级行业",[1]!s_info_industry_sw_2021(W4526,公司分析!D$5,3),IF($Y$3="wind一级行业",[1]!s_info_industry_gics(W4526,1),IF($Y$3="wind二级行业",[1]!s_info_industry_gics(W4526,2),IF($Y$3="wind三级行业",[1]!s_info_industry_gics(W4526,3),IF($Y$3="wind四级行业",[1]!s_info_industry_gics(W4526,4),IF($Y$3="证监会门类行业",[1]!s_info_industry_csrc12_n(W4526,公司分析!D$5,1),""))))))))</f>
        <v>广告营销</v>
      </c>
      <c r="Z4526" s="302" t="str">
        <f ca="1">IF(Y4526=行业比较!$E$6,ROW(),"")</f>
        <v/>
      </c>
    </row>
    <row r="4527" spans="22:26">
      <c r="V4527" s="260">
        <f t="shared" ca="1" si="78"/>
        <v>0</v>
      </c>
      <c r="W4527" s="348" t="str">
        <f>IF(板块成分!B4529="","",板块成分!B4529)</f>
        <v>605169.SH</v>
      </c>
      <c r="X4527" s="276" t="str">
        <f>[1]!S_Info_Name(W4527)</f>
        <v>洪通燃气</v>
      </c>
      <c r="Y4527" s="276" t="str">
        <f ca="1">IF($Y$3="申万一级行业",[1]!s_info_industry_sw_2021(W4527,公司分析!D$5,1),IF($Y$3="申万二级行业",[1]!s_info_industry_sw_2021(W4527,公司分析!D$5,2),IF($Y$3="申万三级行业",[1]!s_info_industry_sw_2021(W4527,公司分析!D$5,3),IF($Y$3="wind一级行业",[1]!s_info_industry_gics(W4527,1),IF($Y$3="wind二级行业",[1]!s_info_industry_gics(W4527,2),IF($Y$3="wind三级行业",[1]!s_info_industry_gics(W4527,3),IF($Y$3="wind四级行业",[1]!s_info_industry_gics(W4527,4),IF($Y$3="证监会门类行业",[1]!s_info_industry_csrc12_n(W4527,公司分析!D$5,1),""))))))))</f>
        <v>燃气Ⅱ</v>
      </c>
      <c r="Z4527" s="302" t="str">
        <f ca="1">IF(Y4527=行业比较!$E$6,ROW(),"")</f>
        <v/>
      </c>
    </row>
    <row r="4528" spans="22:26">
      <c r="V4528" s="260">
        <f t="shared" ca="1" si="78"/>
        <v>0</v>
      </c>
      <c r="W4528" s="348" t="str">
        <f>IF(板块成分!B4530="","",板块成分!B4530)</f>
        <v>605177.SH</v>
      </c>
      <c r="X4528" s="276" t="str">
        <f>[1]!S_Info_Name(W4528)</f>
        <v>东亚药业</v>
      </c>
      <c r="Y4528" s="276" t="str">
        <f ca="1">IF($Y$3="申万一级行业",[1]!s_info_industry_sw_2021(W4528,公司分析!D$5,1),IF($Y$3="申万二级行业",[1]!s_info_industry_sw_2021(W4528,公司分析!D$5,2),IF($Y$3="申万三级行业",[1]!s_info_industry_sw_2021(W4528,公司分析!D$5,3),IF($Y$3="wind一级行业",[1]!s_info_industry_gics(W4528,1),IF($Y$3="wind二级行业",[1]!s_info_industry_gics(W4528,2),IF($Y$3="wind三级行业",[1]!s_info_industry_gics(W4528,3),IF($Y$3="wind四级行业",[1]!s_info_industry_gics(W4528,4),IF($Y$3="证监会门类行业",[1]!s_info_industry_csrc12_n(W4528,公司分析!D$5,1),""))))))))</f>
        <v>化学制药</v>
      </c>
      <c r="Z4528" s="302" t="str">
        <f ca="1">IF(Y4528=行业比较!$E$6,ROW(),"")</f>
        <v/>
      </c>
    </row>
    <row r="4529" spans="22:26">
      <c r="V4529" s="260">
        <f t="shared" ca="1" si="78"/>
        <v>0</v>
      </c>
      <c r="W4529" s="348" t="str">
        <f>IF(板块成分!B4531="","",板块成分!B4531)</f>
        <v>605178.SH</v>
      </c>
      <c r="X4529" s="276" t="str">
        <f>[1]!S_Info_Name(W4529)</f>
        <v>时空科技</v>
      </c>
      <c r="Y4529" s="276" t="str">
        <f ca="1">IF($Y$3="申万一级行业",[1]!s_info_industry_sw_2021(W4529,公司分析!D$5,1),IF($Y$3="申万二级行业",[1]!s_info_industry_sw_2021(W4529,公司分析!D$5,2),IF($Y$3="申万三级行业",[1]!s_info_industry_sw_2021(W4529,公司分析!D$5,3),IF($Y$3="wind一级行业",[1]!s_info_industry_gics(W4529,1),IF($Y$3="wind二级行业",[1]!s_info_industry_gics(W4529,2),IF($Y$3="wind三级行业",[1]!s_info_industry_gics(W4529,3),IF($Y$3="wind四级行业",[1]!s_info_industry_gics(W4529,4),IF($Y$3="证监会门类行业",[1]!s_info_industry_csrc12_n(W4529,公司分析!D$5,1),""))))))))</f>
        <v>专业工程</v>
      </c>
      <c r="Z4529" s="302" t="str">
        <f ca="1">IF(Y4529=行业比较!$E$6,ROW(),"")</f>
        <v/>
      </c>
    </row>
    <row r="4530" spans="22:26">
      <c r="V4530" s="260">
        <f t="shared" ca="1" si="78"/>
        <v>0</v>
      </c>
      <c r="W4530" s="348" t="str">
        <f>IF(板块成分!B4532="","",板块成分!B4532)</f>
        <v>605179.SH</v>
      </c>
      <c r="X4530" s="276" t="str">
        <f>[1]!S_Info_Name(W4530)</f>
        <v>一鸣食品</v>
      </c>
      <c r="Y4530" s="276" t="str">
        <f ca="1">IF($Y$3="申万一级行业",[1]!s_info_industry_sw_2021(W4530,公司分析!D$5,1),IF($Y$3="申万二级行业",[1]!s_info_industry_sw_2021(W4530,公司分析!D$5,2),IF($Y$3="申万三级行业",[1]!s_info_industry_sw_2021(W4530,公司分析!D$5,3),IF($Y$3="wind一级行业",[1]!s_info_industry_gics(W4530,1),IF($Y$3="wind二级行业",[1]!s_info_industry_gics(W4530,2),IF($Y$3="wind三级行业",[1]!s_info_industry_gics(W4530,3),IF($Y$3="wind四级行业",[1]!s_info_industry_gics(W4530,4),IF($Y$3="证监会门类行业",[1]!s_info_industry_csrc12_n(W4530,公司分析!D$5,1),""))))))))</f>
        <v>饮料乳品</v>
      </c>
      <c r="Z4530" s="302" t="str">
        <f ca="1">IF(Y4530=行业比较!$E$6,ROW(),"")</f>
        <v/>
      </c>
    </row>
    <row r="4531" spans="22:26">
      <c r="V4531" s="260">
        <f t="shared" ca="1" si="78"/>
        <v>0</v>
      </c>
      <c r="W4531" s="348" t="str">
        <f>IF(板块成分!B4533="","",板块成分!B4533)</f>
        <v>605180.SH</v>
      </c>
      <c r="X4531" s="276" t="str">
        <f>[1]!S_Info_Name(W4531)</f>
        <v>华生科技</v>
      </c>
      <c r="Y4531" s="276" t="str">
        <f ca="1">IF($Y$3="申万一级行业",[1]!s_info_industry_sw_2021(W4531,公司分析!D$5,1),IF($Y$3="申万二级行业",[1]!s_info_industry_sw_2021(W4531,公司分析!D$5,2),IF($Y$3="申万三级行业",[1]!s_info_industry_sw_2021(W4531,公司分析!D$5,3),IF($Y$3="wind一级行业",[1]!s_info_industry_gics(W4531,1),IF($Y$3="wind二级行业",[1]!s_info_industry_gics(W4531,2),IF($Y$3="wind三级行业",[1]!s_info_industry_gics(W4531,3),IF($Y$3="wind四级行业",[1]!s_info_industry_gics(W4531,4),IF($Y$3="证监会门类行业",[1]!s_info_industry_csrc12_n(W4531,公司分析!D$5,1),""))))))))</f>
        <v>纺织制造</v>
      </c>
      <c r="Z4531" s="302" t="str">
        <f ca="1">IF(Y4531=行业比较!$E$6,ROW(),"")</f>
        <v/>
      </c>
    </row>
    <row r="4532" spans="22:26">
      <c r="V4532" s="260">
        <f t="shared" ca="1" si="78"/>
        <v>0</v>
      </c>
      <c r="W4532" s="348" t="str">
        <f>IF(板块成分!B4534="","",板块成分!B4534)</f>
        <v>605183.SH</v>
      </c>
      <c r="X4532" s="276" t="str">
        <f>[1]!S_Info_Name(W4532)</f>
        <v>确成股份</v>
      </c>
      <c r="Y4532" s="276" t="str">
        <f ca="1">IF($Y$3="申万一级行业",[1]!s_info_industry_sw_2021(W4532,公司分析!D$5,1),IF($Y$3="申万二级行业",[1]!s_info_industry_sw_2021(W4532,公司分析!D$5,2),IF($Y$3="申万三级行业",[1]!s_info_industry_sw_2021(W4532,公司分析!D$5,3),IF($Y$3="wind一级行业",[1]!s_info_industry_gics(W4532,1),IF($Y$3="wind二级行业",[1]!s_info_industry_gics(W4532,2),IF($Y$3="wind三级行业",[1]!s_info_industry_gics(W4532,3),IF($Y$3="wind四级行业",[1]!s_info_industry_gics(W4532,4),IF($Y$3="证监会门类行业",[1]!s_info_industry_csrc12_n(W4532,公司分析!D$5,1),""))))))))</f>
        <v>橡胶</v>
      </c>
      <c r="Z4532" s="302" t="str">
        <f ca="1">IF(Y4532=行业比较!$E$6,ROW(),"")</f>
        <v/>
      </c>
    </row>
    <row r="4533" spans="22:26">
      <c r="V4533" s="260">
        <f t="shared" ca="1" si="78"/>
        <v>0</v>
      </c>
      <c r="W4533" s="348" t="str">
        <f>IF(板块成分!B4535="","",板块成分!B4535)</f>
        <v>605186.SH</v>
      </c>
      <c r="X4533" s="276" t="str">
        <f>[1]!S_Info_Name(W4533)</f>
        <v>健麾信息</v>
      </c>
      <c r="Y4533" s="276" t="str">
        <f ca="1">IF($Y$3="申万一级行业",[1]!s_info_industry_sw_2021(W4533,公司分析!D$5,1),IF($Y$3="申万二级行业",[1]!s_info_industry_sw_2021(W4533,公司分析!D$5,2),IF($Y$3="申万三级行业",[1]!s_info_industry_sw_2021(W4533,公司分析!D$5,3),IF($Y$3="wind一级行业",[1]!s_info_industry_gics(W4533,1),IF($Y$3="wind二级行业",[1]!s_info_industry_gics(W4533,2),IF($Y$3="wind三级行业",[1]!s_info_industry_gics(W4533,3),IF($Y$3="wind四级行业",[1]!s_info_industry_gics(W4533,4),IF($Y$3="证监会门类行业",[1]!s_info_industry_csrc12_n(W4533,公司分析!D$5,1),""))))))))</f>
        <v>自动化设备</v>
      </c>
      <c r="Z4533" s="302" t="str">
        <f ca="1">IF(Y4533=行业比较!$E$6,ROW(),"")</f>
        <v/>
      </c>
    </row>
    <row r="4534" spans="22:26">
      <c r="V4534" s="260">
        <f t="shared" ca="1" si="78"/>
        <v>0</v>
      </c>
      <c r="W4534" s="348" t="str">
        <f>IF(板块成分!B4536="","",板块成分!B4536)</f>
        <v>605188.SH</v>
      </c>
      <c r="X4534" s="276" t="str">
        <f>[1]!S_Info_Name(W4534)</f>
        <v>国光连锁</v>
      </c>
      <c r="Y4534" s="276" t="str">
        <f ca="1">IF($Y$3="申万一级行业",[1]!s_info_industry_sw_2021(W4534,公司分析!D$5,1),IF($Y$3="申万二级行业",[1]!s_info_industry_sw_2021(W4534,公司分析!D$5,2),IF($Y$3="申万三级行业",[1]!s_info_industry_sw_2021(W4534,公司分析!D$5,3),IF($Y$3="wind一级行业",[1]!s_info_industry_gics(W4534,1),IF($Y$3="wind二级行业",[1]!s_info_industry_gics(W4534,2),IF($Y$3="wind三级行业",[1]!s_info_industry_gics(W4534,3),IF($Y$3="wind四级行业",[1]!s_info_industry_gics(W4534,4),IF($Y$3="证监会门类行业",[1]!s_info_industry_csrc12_n(W4534,公司分析!D$5,1),""))))))))</f>
        <v>一般零售</v>
      </c>
      <c r="Z4534" s="302" t="str">
        <f ca="1">IF(Y4534=行业比较!$E$6,ROW(),"")</f>
        <v/>
      </c>
    </row>
    <row r="4535" spans="22:26">
      <c r="V4535" s="260">
        <f t="shared" ca="1" si="78"/>
        <v>0</v>
      </c>
      <c r="W4535" s="348" t="str">
        <f>IF(板块成分!B4537="","",板块成分!B4537)</f>
        <v>605189.SH</v>
      </c>
      <c r="X4535" s="276" t="str">
        <f>[1]!S_Info_Name(W4535)</f>
        <v>富春染织</v>
      </c>
      <c r="Y4535" s="276" t="str">
        <f ca="1">IF($Y$3="申万一级行业",[1]!s_info_industry_sw_2021(W4535,公司分析!D$5,1),IF($Y$3="申万二级行业",[1]!s_info_industry_sw_2021(W4535,公司分析!D$5,2),IF($Y$3="申万三级行业",[1]!s_info_industry_sw_2021(W4535,公司分析!D$5,3),IF($Y$3="wind一级行业",[1]!s_info_industry_gics(W4535,1),IF($Y$3="wind二级行业",[1]!s_info_industry_gics(W4535,2),IF($Y$3="wind三级行业",[1]!s_info_industry_gics(W4535,3),IF($Y$3="wind四级行业",[1]!s_info_industry_gics(W4535,4),IF($Y$3="证监会门类行业",[1]!s_info_industry_csrc12_n(W4535,公司分析!D$5,1),""))))))))</f>
        <v>纺织制造</v>
      </c>
      <c r="Z4535" s="302" t="str">
        <f ca="1">IF(Y4535=行业比较!$E$6,ROW(),"")</f>
        <v/>
      </c>
    </row>
    <row r="4536" spans="22:26">
      <c r="V4536" s="260">
        <f t="shared" ca="1" si="78"/>
        <v>0</v>
      </c>
      <c r="W4536" s="348" t="str">
        <f>IF(板块成分!B4538="","",板块成分!B4538)</f>
        <v>605196.SH</v>
      </c>
      <c r="X4536" s="276" t="str">
        <f>[1]!S_Info_Name(W4536)</f>
        <v>华通线缆</v>
      </c>
      <c r="Y4536" s="276" t="str">
        <f ca="1">IF($Y$3="申万一级行业",[1]!s_info_industry_sw_2021(W4536,公司分析!D$5,1),IF($Y$3="申万二级行业",[1]!s_info_industry_sw_2021(W4536,公司分析!D$5,2),IF($Y$3="申万三级行业",[1]!s_info_industry_sw_2021(W4536,公司分析!D$5,3),IF($Y$3="wind一级行业",[1]!s_info_industry_gics(W4536,1),IF($Y$3="wind二级行业",[1]!s_info_industry_gics(W4536,2),IF($Y$3="wind三级行业",[1]!s_info_industry_gics(W4536,3),IF($Y$3="wind四级行业",[1]!s_info_industry_gics(W4536,4),IF($Y$3="证监会门类行业",[1]!s_info_industry_csrc12_n(W4536,公司分析!D$5,1),""))))))))</f>
        <v>电网设备</v>
      </c>
      <c r="Z4536" s="302" t="str">
        <f ca="1">IF(Y4536=行业比较!$E$6,ROW(),"")</f>
        <v/>
      </c>
    </row>
    <row r="4537" spans="22:26">
      <c r="V4537" s="260">
        <f t="shared" ca="1" si="78"/>
        <v>0</v>
      </c>
      <c r="W4537" s="348" t="str">
        <f>IF(板块成分!B4539="","",板块成分!B4539)</f>
        <v>605198.SH</v>
      </c>
      <c r="X4537" s="276" t="str">
        <f>[1]!S_Info_Name(W4537)</f>
        <v>安德利</v>
      </c>
      <c r="Y4537" s="276" t="str">
        <f ca="1">IF($Y$3="申万一级行业",[1]!s_info_industry_sw_2021(W4537,公司分析!D$5,1),IF($Y$3="申万二级行业",[1]!s_info_industry_sw_2021(W4537,公司分析!D$5,2),IF($Y$3="申万三级行业",[1]!s_info_industry_sw_2021(W4537,公司分析!D$5,3),IF($Y$3="wind一级行业",[1]!s_info_industry_gics(W4537,1),IF($Y$3="wind二级行业",[1]!s_info_industry_gics(W4537,2),IF($Y$3="wind三级行业",[1]!s_info_industry_gics(W4537,3),IF($Y$3="wind四级行业",[1]!s_info_industry_gics(W4537,4),IF($Y$3="证监会门类行业",[1]!s_info_industry_csrc12_n(W4537,公司分析!D$5,1),""))))))))</f>
        <v>农产品加工</v>
      </c>
      <c r="Z4537" s="302" t="str">
        <f ca="1">IF(Y4537=行业比较!$E$6,ROW(),"")</f>
        <v/>
      </c>
    </row>
    <row r="4538" spans="22:26">
      <c r="V4538" s="260">
        <f t="shared" ca="1" si="78"/>
        <v>0</v>
      </c>
      <c r="W4538" s="348" t="str">
        <f>IF(板块成分!B4540="","",板块成分!B4540)</f>
        <v>605199.SH</v>
      </c>
      <c r="X4538" s="276" t="str">
        <f>[1]!S_Info_Name(W4538)</f>
        <v>ST葫芦娃</v>
      </c>
      <c r="Y4538" s="276" t="str">
        <f ca="1">IF($Y$3="申万一级行业",[1]!s_info_industry_sw_2021(W4538,公司分析!D$5,1),IF($Y$3="申万二级行业",[1]!s_info_industry_sw_2021(W4538,公司分析!D$5,2),IF($Y$3="申万三级行业",[1]!s_info_industry_sw_2021(W4538,公司分析!D$5,3),IF($Y$3="wind一级行业",[1]!s_info_industry_gics(W4538,1),IF($Y$3="wind二级行业",[1]!s_info_industry_gics(W4538,2),IF($Y$3="wind三级行业",[1]!s_info_industry_gics(W4538,3),IF($Y$3="wind四级行业",[1]!s_info_industry_gics(W4538,4),IF($Y$3="证监会门类行业",[1]!s_info_industry_csrc12_n(W4538,公司分析!D$5,1),""))))))))</f>
        <v>中药Ⅱ</v>
      </c>
      <c r="Z4538" s="302" t="str">
        <f ca="1">IF(Y4538=行业比较!$E$6,ROW(),"")</f>
        <v/>
      </c>
    </row>
    <row r="4539" spans="22:26">
      <c r="V4539" s="260">
        <f t="shared" ca="1" si="78"/>
        <v>60</v>
      </c>
      <c r="W4539" s="348" t="str">
        <f>IF(板块成分!B4541="","",板块成分!B4541)</f>
        <v>605208.SH</v>
      </c>
      <c r="X4539" s="276" t="str">
        <f>[1]!S_Info_Name(W4539)</f>
        <v>永茂泰</v>
      </c>
      <c r="Y4539" s="276" t="str">
        <f ca="1">IF($Y$3="申万一级行业",[1]!s_info_industry_sw_2021(W4539,公司分析!D$5,1),IF($Y$3="申万二级行业",[1]!s_info_industry_sw_2021(W4539,公司分析!D$5,2),IF($Y$3="申万三级行业",[1]!s_info_industry_sw_2021(W4539,公司分析!D$5,3),IF($Y$3="wind一级行业",[1]!s_info_industry_gics(W4539,1),IF($Y$3="wind二级行业",[1]!s_info_industry_gics(W4539,2),IF($Y$3="wind三级行业",[1]!s_info_industry_gics(W4539,3),IF($Y$3="wind四级行业",[1]!s_info_industry_gics(W4539,4),IF($Y$3="证监会门类行业",[1]!s_info_industry_csrc12_n(W4539,公司分析!D$5,1),""))))))))</f>
        <v>工业金属</v>
      </c>
      <c r="Z4539" s="302">
        <f ca="1">IF(Y4539=行业比较!$E$6,ROW(),"")</f>
        <v>4539</v>
      </c>
    </row>
    <row r="4540" spans="22:26">
      <c r="V4540" s="260">
        <f t="shared" ca="1" si="78"/>
        <v>0</v>
      </c>
      <c r="W4540" s="348" t="str">
        <f>IF(板块成分!B4542="","",板块成分!B4542)</f>
        <v>605218.SH</v>
      </c>
      <c r="X4540" s="276" t="str">
        <f>[1]!S_Info_Name(W4540)</f>
        <v>伟时电子</v>
      </c>
      <c r="Y4540" s="276" t="str">
        <f ca="1">IF($Y$3="申万一级行业",[1]!s_info_industry_sw_2021(W4540,公司分析!D$5,1),IF($Y$3="申万二级行业",[1]!s_info_industry_sw_2021(W4540,公司分析!D$5,2),IF($Y$3="申万三级行业",[1]!s_info_industry_sw_2021(W4540,公司分析!D$5,3),IF($Y$3="wind一级行业",[1]!s_info_industry_gics(W4540,1),IF($Y$3="wind二级行业",[1]!s_info_industry_gics(W4540,2),IF($Y$3="wind三级行业",[1]!s_info_industry_gics(W4540,3),IF($Y$3="wind四级行业",[1]!s_info_industry_gics(W4540,4),IF($Y$3="证监会门类行业",[1]!s_info_industry_csrc12_n(W4540,公司分析!D$5,1),""))))))))</f>
        <v>光学光电子</v>
      </c>
      <c r="Z4540" s="302" t="str">
        <f ca="1">IF(Y4540=行业比较!$E$6,ROW(),"")</f>
        <v/>
      </c>
    </row>
    <row r="4541" spans="22:26">
      <c r="V4541" s="260">
        <f t="shared" ca="1" si="78"/>
        <v>0</v>
      </c>
      <c r="W4541" s="348" t="str">
        <f>IF(板块成分!B4543="","",板块成分!B4543)</f>
        <v>605222.SH</v>
      </c>
      <c r="X4541" s="276" t="str">
        <f>[1]!S_Info_Name(W4541)</f>
        <v>起帆电缆</v>
      </c>
      <c r="Y4541" s="276" t="str">
        <f ca="1">IF($Y$3="申万一级行业",[1]!s_info_industry_sw_2021(W4541,公司分析!D$5,1),IF($Y$3="申万二级行业",[1]!s_info_industry_sw_2021(W4541,公司分析!D$5,2),IF($Y$3="申万三级行业",[1]!s_info_industry_sw_2021(W4541,公司分析!D$5,3),IF($Y$3="wind一级行业",[1]!s_info_industry_gics(W4541,1),IF($Y$3="wind二级行业",[1]!s_info_industry_gics(W4541,2),IF($Y$3="wind三级行业",[1]!s_info_industry_gics(W4541,3),IF($Y$3="wind四级行业",[1]!s_info_industry_gics(W4541,4),IF($Y$3="证监会门类行业",[1]!s_info_industry_csrc12_n(W4541,公司分析!D$5,1),""))))))))</f>
        <v>电网设备</v>
      </c>
      <c r="Z4541" s="302" t="str">
        <f ca="1">IF(Y4541=行业比较!$E$6,ROW(),"")</f>
        <v/>
      </c>
    </row>
    <row r="4542" spans="22:26">
      <c r="V4542" s="260">
        <f t="shared" ca="1" si="78"/>
        <v>0</v>
      </c>
      <c r="W4542" s="348" t="str">
        <f>IF(板块成分!B4544="","",板块成分!B4544)</f>
        <v>605228.SH</v>
      </c>
      <c r="X4542" s="276" t="str">
        <f>[1]!S_Info_Name(W4542)</f>
        <v>神通科技</v>
      </c>
      <c r="Y4542" s="276" t="str">
        <f ca="1">IF($Y$3="申万一级行业",[1]!s_info_industry_sw_2021(W4542,公司分析!D$5,1),IF($Y$3="申万二级行业",[1]!s_info_industry_sw_2021(W4542,公司分析!D$5,2),IF($Y$3="申万三级行业",[1]!s_info_industry_sw_2021(W4542,公司分析!D$5,3),IF($Y$3="wind一级行业",[1]!s_info_industry_gics(W4542,1),IF($Y$3="wind二级行业",[1]!s_info_industry_gics(W4542,2),IF($Y$3="wind三级行业",[1]!s_info_industry_gics(W4542,3),IF($Y$3="wind四级行业",[1]!s_info_industry_gics(W4542,4),IF($Y$3="证监会门类行业",[1]!s_info_industry_csrc12_n(W4542,公司分析!D$5,1),""))))))))</f>
        <v>汽车零部件</v>
      </c>
      <c r="Z4542" s="302" t="str">
        <f ca="1">IF(Y4542=行业比较!$E$6,ROW(),"")</f>
        <v/>
      </c>
    </row>
    <row r="4543" spans="22:26">
      <c r="V4543" s="260">
        <f t="shared" ca="1" si="78"/>
        <v>0</v>
      </c>
      <c r="W4543" s="348" t="str">
        <f>IF(板块成分!B4545="","",板块成分!B4545)</f>
        <v>605255.SH</v>
      </c>
      <c r="X4543" s="276" t="str">
        <f>[1]!S_Info_Name(W4543)</f>
        <v>天普股份</v>
      </c>
      <c r="Y4543" s="276" t="str">
        <f ca="1">IF($Y$3="申万一级行业",[1]!s_info_industry_sw_2021(W4543,公司分析!D$5,1),IF($Y$3="申万二级行业",[1]!s_info_industry_sw_2021(W4543,公司分析!D$5,2),IF($Y$3="申万三级行业",[1]!s_info_industry_sw_2021(W4543,公司分析!D$5,3),IF($Y$3="wind一级行业",[1]!s_info_industry_gics(W4543,1),IF($Y$3="wind二级行业",[1]!s_info_industry_gics(W4543,2),IF($Y$3="wind三级行业",[1]!s_info_industry_gics(W4543,3),IF($Y$3="wind四级行业",[1]!s_info_industry_gics(W4543,4),IF($Y$3="证监会门类行业",[1]!s_info_industry_csrc12_n(W4543,公司分析!D$5,1),""))))))))</f>
        <v>汽车零部件</v>
      </c>
      <c r="Z4543" s="302" t="str">
        <f ca="1">IF(Y4543=行业比较!$E$6,ROW(),"")</f>
        <v/>
      </c>
    </row>
    <row r="4544" spans="22:26">
      <c r="V4544" s="260">
        <f t="shared" ca="1" si="78"/>
        <v>0</v>
      </c>
      <c r="W4544" s="348" t="str">
        <f>IF(板块成分!B4546="","",板块成分!B4546)</f>
        <v>605258.SH</v>
      </c>
      <c r="X4544" s="276" t="str">
        <f>[1]!S_Info_Name(W4544)</f>
        <v>协和电子</v>
      </c>
      <c r="Y4544" s="276" t="str">
        <f ca="1">IF($Y$3="申万一级行业",[1]!s_info_industry_sw_2021(W4544,公司分析!D$5,1),IF($Y$3="申万二级行业",[1]!s_info_industry_sw_2021(W4544,公司分析!D$5,2),IF($Y$3="申万三级行业",[1]!s_info_industry_sw_2021(W4544,公司分析!D$5,3),IF($Y$3="wind一级行业",[1]!s_info_industry_gics(W4544,1),IF($Y$3="wind二级行业",[1]!s_info_industry_gics(W4544,2),IF($Y$3="wind三级行业",[1]!s_info_industry_gics(W4544,3),IF($Y$3="wind四级行业",[1]!s_info_industry_gics(W4544,4),IF($Y$3="证监会门类行业",[1]!s_info_industry_csrc12_n(W4544,公司分析!D$5,1),""))))))))</f>
        <v>元件</v>
      </c>
      <c r="Z4544" s="302" t="str">
        <f ca="1">IF(Y4544=行业比较!$E$6,ROW(),"")</f>
        <v/>
      </c>
    </row>
    <row r="4545" spans="22:26">
      <c r="V4545" s="260">
        <f t="shared" ca="1" si="78"/>
        <v>0</v>
      </c>
      <c r="W4545" s="348" t="str">
        <f>IF(板块成分!B4547="","",板块成分!B4547)</f>
        <v>605259.SH</v>
      </c>
      <c r="X4545" s="276" t="str">
        <f>[1]!S_Info_Name(W4545)</f>
        <v>绿田机械</v>
      </c>
      <c r="Y4545" s="276" t="str">
        <f ca="1">IF($Y$3="申万一级行业",[1]!s_info_industry_sw_2021(W4545,公司分析!D$5,1),IF($Y$3="申万二级行业",[1]!s_info_industry_sw_2021(W4545,公司分析!D$5,2),IF($Y$3="申万三级行业",[1]!s_info_industry_sw_2021(W4545,公司分析!D$5,3),IF($Y$3="wind一级行业",[1]!s_info_industry_gics(W4545,1),IF($Y$3="wind二级行业",[1]!s_info_industry_gics(W4545,2),IF($Y$3="wind三级行业",[1]!s_info_industry_gics(W4545,3),IF($Y$3="wind四级行业",[1]!s_info_industry_gics(W4545,4),IF($Y$3="证监会门类行业",[1]!s_info_industry_csrc12_n(W4545,公司分析!D$5,1),""))))))))</f>
        <v>专用设备</v>
      </c>
      <c r="Z4545" s="302" t="str">
        <f ca="1">IF(Y4545=行业比较!$E$6,ROW(),"")</f>
        <v/>
      </c>
    </row>
    <row r="4546" spans="22:26">
      <c r="V4546" s="260">
        <f t="shared" ca="1" si="78"/>
        <v>0</v>
      </c>
      <c r="W4546" s="348" t="str">
        <f>IF(板块成分!B4548="","",板块成分!B4548)</f>
        <v>605266.SH</v>
      </c>
      <c r="X4546" s="276" t="str">
        <f>[1]!S_Info_Name(W4546)</f>
        <v>健之佳</v>
      </c>
      <c r="Y4546" s="276" t="str">
        <f ca="1">IF($Y$3="申万一级行业",[1]!s_info_industry_sw_2021(W4546,公司分析!D$5,1),IF($Y$3="申万二级行业",[1]!s_info_industry_sw_2021(W4546,公司分析!D$5,2),IF($Y$3="申万三级行业",[1]!s_info_industry_sw_2021(W4546,公司分析!D$5,3),IF($Y$3="wind一级行业",[1]!s_info_industry_gics(W4546,1),IF($Y$3="wind二级行业",[1]!s_info_industry_gics(W4546,2),IF($Y$3="wind三级行业",[1]!s_info_industry_gics(W4546,3),IF($Y$3="wind四级行业",[1]!s_info_industry_gics(W4546,4),IF($Y$3="证监会门类行业",[1]!s_info_industry_csrc12_n(W4546,公司分析!D$5,1),""))))))))</f>
        <v>医药商业</v>
      </c>
      <c r="Z4546" s="302" t="str">
        <f ca="1">IF(Y4546=行业比较!$E$6,ROW(),"")</f>
        <v/>
      </c>
    </row>
    <row r="4547" spans="22:26">
      <c r="V4547" s="260">
        <f t="shared" ca="1" si="78"/>
        <v>0</v>
      </c>
      <c r="W4547" s="348" t="str">
        <f>IF(板块成分!B4549="","",板块成分!B4549)</f>
        <v>605268.SH</v>
      </c>
      <c r="X4547" s="276" t="str">
        <f>[1]!S_Info_Name(W4547)</f>
        <v>王力安防</v>
      </c>
      <c r="Y4547" s="276" t="str">
        <f ca="1">IF($Y$3="申万一级行业",[1]!s_info_industry_sw_2021(W4547,公司分析!D$5,1),IF($Y$3="申万二级行业",[1]!s_info_industry_sw_2021(W4547,公司分析!D$5,2),IF($Y$3="申万三级行业",[1]!s_info_industry_sw_2021(W4547,公司分析!D$5,3),IF($Y$3="wind一级行业",[1]!s_info_industry_gics(W4547,1),IF($Y$3="wind二级行业",[1]!s_info_industry_gics(W4547,2),IF($Y$3="wind三级行业",[1]!s_info_industry_gics(W4547,3),IF($Y$3="wind四级行业",[1]!s_info_industry_gics(W4547,4),IF($Y$3="证监会门类行业",[1]!s_info_industry_csrc12_n(W4547,公司分析!D$5,1),""))))))))</f>
        <v>家居用品</v>
      </c>
      <c r="Z4547" s="302" t="str">
        <f ca="1">IF(Y4547=行业比较!$E$6,ROW(),"")</f>
        <v/>
      </c>
    </row>
    <row r="4548" spans="22:26">
      <c r="V4548" s="260">
        <f t="shared" ca="1" si="78"/>
        <v>0</v>
      </c>
      <c r="W4548" s="348" t="str">
        <f>IF(板块成分!B4550="","",板块成分!B4550)</f>
        <v>605277.SH</v>
      </c>
      <c r="X4548" s="276" t="str">
        <f>[1]!S_Info_Name(W4548)</f>
        <v>新亚电子</v>
      </c>
      <c r="Y4548" s="276" t="str">
        <f ca="1">IF($Y$3="申万一级行业",[1]!s_info_industry_sw_2021(W4548,公司分析!D$5,1),IF($Y$3="申万二级行业",[1]!s_info_industry_sw_2021(W4548,公司分析!D$5,2),IF($Y$3="申万三级行业",[1]!s_info_industry_sw_2021(W4548,公司分析!D$5,3),IF($Y$3="wind一级行业",[1]!s_info_industry_gics(W4548,1),IF($Y$3="wind二级行业",[1]!s_info_industry_gics(W4548,2),IF($Y$3="wind三级行业",[1]!s_info_industry_gics(W4548,3),IF($Y$3="wind四级行业",[1]!s_info_industry_gics(W4548,4),IF($Y$3="证监会门类行业",[1]!s_info_industry_csrc12_n(W4548,公司分析!D$5,1),""))))))))</f>
        <v>消费电子</v>
      </c>
      <c r="Z4548" s="302" t="str">
        <f ca="1">IF(Y4548=行业比较!$E$6,ROW(),"")</f>
        <v/>
      </c>
    </row>
    <row r="4549" spans="22:26">
      <c r="V4549" s="260">
        <f t="shared" ref="V4549:V4612" ca="1" si="79">IF(Z4549="",0,RANK(Z4549,Z:Z,1))</f>
        <v>0</v>
      </c>
      <c r="W4549" s="348" t="str">
        <f>IF(板块成分!B4551="","",板块成分!B4551)</f>
        <v>605286.SH</v>
      </c>
      <c r="X4549" s="276" t="str">
        <f>[1]!S_Info_Name(W4549)</f>
        <v>同力天启</v>
      </c>
      <c r="Y4549" s="276" t="str">
        <f ca="1">IF($Y$3="申万一级行业",[1]!s_info_industry_sw_2021(W4549,公司分析!D$5,1),IF($Y$3="申万二级行业",[1]!s_info_industry_sw_2021(W4549,公司分析!D$5,2),IF($Y$3="申万三级行业",[1]!s_info_industry_sw_2021(W4549,公司分析!D$5,3),IF($Y$3="wind一级行业",[1]!s_info_industry_gics(W4549,1),IF($Y$3="wind二级行业",[1]!s_info_industry_gics(W4549,2),IF($Y$3="wind三级行业",[1]!s_info_industry_gics(W4549,3),IF($Y$3="wind四级行业",[1]!s_info_industry_gics(W4549,4),IF($Y$3="证监会门类行业",[1]!s_info_industry_csrc12_n(W4549,公司分析!D$5,1),""))))))))</f>
        <v>专用设备</v>
      </c>
      <c r="Z4549" s="302" t="str">
        <f ca="1">IF(Y4549=行业比较!$E$6,ROW(),"")</f>
        <v/>
      </c>
    </row>
    <row r="4550" spans="22:26">
      <c r="V4550" s="260">
        <f t="shared" ca="1" si="79"/>
        <v>0</v>
      </c>
      <c r="W4550" s="348" t="str">
        <f>IF(板块成分!B4552="","",板块成分!B4552)</f>
        <v>605287.SH</v>
      </c>
      <c r="X4550" s="276" t="str">
        <f>[1]!S_Info_Name(W4550)</f>
        <v>德才股份</v>
      </c>
      <c r="Y4550" s="276" t="str">
        <f ca="1">IF($Y$3="申万一级行业",[1]!s_info_industry_sw_2021(W4550,公司分析!D$5,1),IF($Y$3="申万二级行业",[1]!s_info_industry_sw_2021(W4550,公司分析!D$5,2),IF($Y$3="申万三级行业",[1]!s_info_industry_sw_2021(W4550,公司分析!D$5,3),IF($Y$3="wind一级行业",[1]!s_info_industry_gics(W4550,1),IF($Y$3="wind二级行业",[1]!s_info_industry_gics(W4550,2),IF($Y$3="wind三级行业",[1]!s_info_industry_gics(W4550,3),IF($Y$3="wind四级行业",[1]!s_info_industry_gics(W4550,4),IF($Y$3="证监会门类行业",[1]!s_info_industry_csrc12_n(W4550,公司分析!D$5,1),""))))))))</f>
        <v>装修装饰Ⅱ</v>
      </c>
      <c r="Z4550" s="302" t="str">
        <f ca="1">IF(Y4550=行业比较!$E$6,ROW(),"")</f>
        <v/>
      </c>
    </row>
    <row r="4551" spans="22:26">
      <c r="V4551" s="260">
        <f t="shared" ca="1" si="79"/>
        <v>0</v>
      </c>
      <c r="W4551" s="348" t="str">
        <f>IF(板块成分!B4553="","",板块成分!B4553)</f>
        <v>605288.SH</v>
      </c>
      <c r="X4551" s="276" t="str">
        <f>[1]!S_Info_Name(W4551)</f>
        <v>凯迪股份</v>
      </c>
      <c r="Y4551" s="276" t="str">
        <f ca="1">IF($Y$3="申万一级行业",[1]!s_info_industry_sw_2021(W4551,公司分析!D$5,1),IF($Y$3="申万二级行业",[1]!s_info_industry_sw_2021(W4551,公司分析!D$5,2),IF($Y$3="申万三级行业",[1]!s_info_industry_sw_2021(W4551,公司分析!D$5,3),IF($Y$3="wind一级行业",[1]!s_info_industry_gics(W4551,1),IF($Y$3="wind二级行业",[1]!s_info_industry_gics(W4551,2),IF($Y$3="wind三级行业",[1]!s_info_industry_gics(W4551,3),IF($Y$3="wind四级行业",[1]!s_info_industry_gics(W4551,4),IF($Y$3="证监会门类行业",[1]!s_info_industry_csrc12_n(W4551,公司分析!D$5,1),""))))))))</f>
        <v>自动化设备</v>
      </c>
      <c r="Z4551" s="302" t="str">
        <f ca="1">IF(Y4551=行业比较!$E$6,ROW(),"")</f>
        <v/>
      </c>
    </row>
    <row r="4552" spans="22:26">
      <c r="V4552" s="260">
        <f t="shared" ca="1" si="79"/>
        <v>0</v>
      </c>
      <c r="W4552" s="348" t="str">
        <f>IF(板块成分!B4554="","",板块成分!B4554)</f>
        <v>605289.SH</v>
      </c>
      <c r="X4552" s="276" t="str">
        <f>[1]!S_Info_Name(W4552)</f>
        <v>罗曼股份</v>
      </c>
      <c r="Y4552" s="276" t="str">
        <f ca="1">IF($Y$3="申万一级行业",[1]!s_info_industry_sw_2021(W4552,公司分析!D$5,1),IF($Y$3="申万二级行业",[1]!s_info_industry_sw_2021(W4552,公司分析!D$5,2),IF($Y$3="申万三级行业",[1]!s_info_industry_sw_2021(W4552,公司分析!D$5,3),IF($Y$3="wind一级行业",[1]!s_info_industry_gics(W4552,1),IF($Y$3="wind二级行业",[1]!s_info_industry_gics(W4552,2),IF($Y$3="wind三级行业",[1]!s_info_industry_gics(W4552,3),IF($Y$3="wind四级行业",[1]!s_info_industry_gics(W4552,4),IF($Y$3="证监会门类行业",[1]!s_info_industry_csrc12_n(W4552,公司分析!D$5,1),""))))))))</f>
        <v>专业工程</v>
      </c>
      <c r="Z4552" s="302" t="str">
        <f ca="1">IF(Y4552=行业比较!$E$6,ROW(),"")</f>
        <v/>
      </c>
    </row>
    <row r="4553" spans="22:26">
      <c r="V4553" s="260">
        <f t="shared" ca="1" si="79"/>
        <v>0</v>
      </c>
      <c r="W4553" s="348" t="str">
        <f>IF(板块成分!B4555="","",板块成分!B4555)</f>
        <v>605296.SH</v>
      </c>
      <c r="X4553" s="276" t="str">
        <f>[1]!S_Info_Name(W4553)</f>
        <v>神农集团</v>
      </c>
      <c r="Y4553" s="276" t="str">
        <f ca="1">IF($Y$3="申万一级行业",[1]!s_info_industry_sw_2021(W4553,公司分析!D$5,1),IF($Y$3="申万二级行业",[1]!s_info_industry_sw_2021(W4553,公司分析!D$5,2),IF($Y$3="申万三级行业",[1]!s_info_industry_sw_2021(W4553,公司分析!D$5,3),IF($Y$3="wind一级行业",[1]!s_info_industry_gics(W4553,1),IF($Y$3="wind二级行业",[1]!s_info_industry_gics(W4553,2),IF($Y$3="wind三级行业",[1]!s_info_industry_gics(W4553,3),IF($Y$3="wind四级行业",[1]!s_info_industry_gics(W4553,4),IF($Y$3="证监会门类行业",[1]!s_info_industry_csrc12_n(W4553,公司分析!D$5,1),""))))))))</f>
        <v>养殖业</v>
      </c>
      <c r="Z4553" s="302" t="str">
        <f ca="1">IF(Y4553=行业比较!$E$6,ROW(),"")</f>
        <v/>
      </c>
    </row>
    <row r="4554" spans="22:26">
      <c r="V4554" s="260">
        <f t="shared" ca="1" si="79"/>
        <v>0</v>
      </c>
      <c r="W4554" s="348" t="str">
        <f>IF(板块成分!B4556="","",板块成分!B4556)</f>
        <v>605298.SH</v>
      </c>
      <c r="X4554" s="276" t="str">
        <f>[1]!S_Info_Name(W4554)</f>
        <v>必得科技</v>
      </c>
      <c r="Y4554" s="276" t="str">
        <f ca="1">IF($Y$3="申万一级行业",[1]!s_info_industry_sw_2021(W4554,公司分析!D$5,1),IF($Y$3="申万二级行业",[1]!s_info_industry_sw_2021(W4554,公司分析!D$5,2),IF($Y$3="申万三级行业",[1]!s_info_industry_sw_2021(W4554,公司分析!D$5,3),IF($Y$3="wind一级行业",[1]!s_info_industry_gics(W4554,1),IF($Y$3="wind二级行业",[1]!s_info_industry_gics(W4554,2),IF($Y$3="wind三级行业",[1]!s_info_industry_gics(W4554,3),IF($Y$3="wind四级行业",[1]!s_info_industry_gics(W4554,4),IF($Y$3="证监会门类行业",[1]!s_info_industry_csrc12_n(W4554,公司分析!D$5,1),""))))))))</f>
        <v>轨交设备Ⅱ</v>
      </c>
      <c r="Z4554" s="302" t="str">
        <f ca="1">IF(Y4554=行业比较!$E$6,ROW(),"")</f>
        <v/>
      </c>
    </row>
    <row r="4555" spans="22:26">
      <c r="V4555" s="260">
        <f t="shared" ca="1" si="79"/>
        <v>0</v>
      </c>
      <c r="W4555" s="348" t="str">
        <f>IF(板块成分!B4557="","",板块成分!B4557)</f>
        <v>605299.SH</v>
      </c>
      <c r="X4555" s="276" t="str">
        <f>[1]!S_Info_Name(W4555)</f>
        <v>舒华体育</v>
      </c>
      <c r="Y4555" s="276" t="str">
        <f ca="1">IF($Y$3="申万一级行业",[1]!s_info_industry_sw_2021(W4555,公司分析!D$5,1),IF($Y$3="申万二级行业",[1]!s_info_industry_sw_2021(W4555,公司分析!D$5,2),IF($Y$3="申万三级行业",[1]!s_info_industry_sw_2021(W4555,公司分析!D$5,3),IF($Y$3="wind一级行业",[1]!s_info_industry_gics(W4555,1),IF($Y$3="wind二级行业",[1]!s_info_industry_gics(W4555,2),IF($Y$3="wind三级行业",[1]!s_info_industry_gics(W4555,3),IF($Y$3="wind四级行业",[1]!s_info_industry_gics(W4555,4),IF($Y$3="证监会门类行业",[1]!s_info_industry_csrc12_n(W4555,公司分析!D$5,1),""))))))))</f>
        <v>文娱用品</v>
      </c>
      <c r="Z4555" s="302" t="str">
        <f ca="1">IF(Y4555=行业比较!$E$6,ROW(),"")</f>
        <v/>
      </c>
    </row>
    <row r="4556" spans="22:26">
      <c r="V4556" s="260">
        <f t="shared" ca="1" si="79"/>
        <v>0</v>
      </c>
      <c r="W4556" s="348" t="str">
        <f>IF(板块成分!B4558="","",板块成分!B4558)</f>
        <v>605300.SH</v>
      </c>
      <c r="X4556" s="276" t="str">
        <f>[1]!S_Info_Name(W4556)</f>
        <v>佳禾食品</v>
      </c>
      <c r="Y4556" s="276" t="str">
        <f ca="1">IF($Y$3="申万一级行业",[1]!s_info_industry_sw_2021(W4556,公司分析!D$5,1),IF($Y$3="申万二级行业",[1]!s_info_industry_sw_2021(W4556,公司分析!D$5,2),IF($Y$3="申万三级行业",[1]!s_info_industry_sw_2021(W4556,公司分析!D$5,3),IF($Y$3="wind一级行业",[1]!s_info_industry_gics(W4556,1),IF($Y$3="wind二级行业",[1]!s_info_industry_gics(W4556,2),IF($Y$3="wind三级行业",[1]!s_info_industry_gics(W4556,3),IF($Y$3="wind四级行业",[1]!s_info_industry_gics(W4556,4),IF($Y$3="证监会门类行业",[1]!s_info_industry_csrc12_n(W4556,公司分析!D$5,1),""))))))))</f>
        <v>饮料乳品</v>
      </c>
      <c r="Z4556" s="302" t="str">
        <f ca="1">IF(Y4556=行业比较!$E$6,ROW(),"")</f>
        <v/>
      </c>
    </row>
    <row r="4557" spans="22:26">
      <c r="V4557" s="260">
        <f t="shared" ca="1" si="79"/>
        <v>0</v>
      </c>
      <c r="W4557" s="348" t="str">
        <f>IF(板块成分!B4559="","",板块成分!B4559)</f>
        <v>605303.SH</v>
      </c>
      <c r="X4557" s="276" t="str">
        <f>[1]!S_Info_Name(W4557)</f>
        <v>园林股份</v>
      </c>
      <c r="Y4557" s="276" t="str">
        <f ca="1">IF($Y$3="申万一级行业",[1]!s_info_industry_sw_2021(W4557,公司分析!D$5,1),IF($Y$3="申万二级行业",[1]!s_info_industry_sw_2021(W4557,公司分析!D$5,2),IF($Y$3="申万三级行业",[1]!s_info_industry_sw_2021(W4557,公司分析!D$5,3),IF($Y$3="wind一级行业",[1]!s_info_industry_gics(W4557,1),IF($Y$3="wind二级行业",[1]!s_info_industry_gics(W4557,2),IF($Y$3="wind三级行业",[1]!s_info_industry_gics(W4557,3),IF($Y$3="wind四级行业",[1]!s_info_industry_gics(W4557,4),IF($Y$3="证监会门类行业",[1]!s_info_industry_csrc12_n(W4557,公司分析!D$5,1),""))))))))</f>
        <v>基础建设</v>
      </c>
      <c r="Z4557" s="302" t="str">
        <f ca="1">IF(Y4557=行业比较!$E$6,ROW(),"")</f>
        <v/>
      </c>
    </row>
    <row r="4558" spans="22:26">
      <c r="V4558" s="260">
        <f t="shared" ca="1" si="79"/>
        <v>0</v>
      </c>
      <c r="W4558" s="348" t="str">
        <f>IF(板块成分!B4560="","",板块成分!B4560)</f>
        <v>605305.SH</v>
      </c>
      <c r="X4558" s="276" t="str">
        <f>[1]!S_Info_Name(W4558)</f>
        <v>中际联合</v>
      </c>
      <c r="Y4558" s="276" t="str">
        <f ca="1">IF($Y$3="申万一级行业",[1]!s_info_industry_sw_2021(W4558,公司分析!D$5,1),IF($Y$3="申万二级行业",[1]!s_info_industry_sw_2021(W4558,公司分析!D$5,2),IF($Y$3="申万三级行业",[1]!s_info_industry_sw_2021(W4558,公司分析!D$5,3),IF($Y$3="wind一级行业",[1]!s_info_industry_gics(W4558,1),IF($Y$3="wind二级行业",[1]!s_info_industry_gics(W4558,2),IF($Y$3="wind三级行业",[1]!s_info_industry_gics(W4558,3),IF($Y$3="wind四级行业",[1]!s_info_industry_gics(W4558,4),IF($Y$3="证监会门类行业",[1]!s_info_industry_csrc12_n(W4558,公司分析!D$5,1),""))))))))</f>
        <v>工程机械</v>
      </c>
      <c r="Z4558" s="302" t="str">
        <f ca="1">IF(Y4558=行业比较!$E$6,ROW(),"")</f>
        <v/>
      </c>
    </row>
    <row r="4559" spans="22:26">
      <c r="V4559" s="260">
        <f t="shared" ca="1" si="79"/>
        <v>0</v>
      </c>
      <c r="W4559" s="348" t="str">
        <f>IF(板块成分!B4561="","",板块成分!B4561)</f>
        <v>605318.SH</v>
      </c>
      <c r="X4559" s="276" t="str">
        <f>[1]!S_Info_Name(W4559)</f>
        <v>法狮龙</v>
      </c>
      <c r="Y4559" s="276" t="str">
        <f ca="1">IF($Y$3="申万一级行业",[1]!s_info_industry_sw_2021(W4559,公司分析!D$5,1),IF($Y$3="申万二级行业",[1]!s_info_industry_sw_2021(W4559,公司分析!D$5,2),IF($Y$3="申万三级行业",[1]!s_info_industry_sw_2021(W4559,公司分析!D$5,3),IF($Y$3="wind一级行业",[1]!s_info_industry_gics(W4559,1),IF($Y$3="wind二级行业",[1]!s_info_industry_gics(W4559,2),IF($Y$3="wind三级行业",[1]!s_info_industry_gics(W4559,3),IF($Y$3="wind四级行业",[1]!s_info_industry_gics(W4559,4),IF($Y$3="证监会门类行业",[1]!s_info_industry_csrc12_n(W4559,公司分析!D$5,1),""))))))))</f>
        <v>装修建材</v>
      </c>
      <c r="Z4559" s="302" t="str">
        <f ca="1">IF(Y4559=行业比较!$E$6,ROW(),"")</f>
        <v/>
      </c>
    </row>
    <row r="4560" spans="22:26">
      <c r="V4560" s="260">
        <f t="shared" ca="1" si="79"/>
        <v>0</v>
      </c>
      <c r="W4560" s="348" t="str">
        <f>IF(板块成分!B4562="","",板块成分!B4562)</f>
        <v>605319.SH</v>
      </c>
      <c r="X4560" s="276" t="str">
        <f>[1]!S_Info_Name(W4560)</f>
        <v>无锡振华</v>
      </c>
      <c r="Y4560" s="276" t="str">
        <f ca="1">IF($Y$3="申万一级行业",[1]!s_info_industry_sw_2021(W4560,公司分析!D$5,1),IF($Y$3="申万二级行业",[1]!s_info_industry_sw_2021(W4560,公司分析!D$5,2),IF($Y$3="申万三级行业",[1]!s_info_industry_sw_2021(W4560,公司分析!D$5,3),IF($Y$3="wind一级行业",[1]!s_info_industry_gics(W4560,1),IF($Y$3="wind二级行业",[1]!s_info_industry_gics(W4560,2),IF($Y$3="wind三级行业",[1]!s_info_industry_gics(W4560,3),IF($Y$3="wind四级行业",[1]!s_info_industry_gics(W4560,4),IF($Y$3="证监会门类行业",[1]!s_info_industry_csrc12_n(W4560,公司分析!D$5,1),""))))))))</f>
        <v>汽车零部件</v>
      </c>
      <c r="Z4560" s="302" t="str">
        <f ca="1">IF(Y4560=行业比较!$E$6,ROW(),"")</f>
        <v/>
      </c>
    </row>
    <row r="4561" spans="22:26">
      <c r="V4561" s="260">
        <f t="shared" ca="1" si="79"/>
        <v>0</v>
      </c>
      <c r="W4561" s="348" t="str">
        <f>IF(板块成分!B4563="","",板块成分!B4563)</f>
        <v>605333.SH</v>
      </c>
      <c r="X4561" s="276" t="str">
        <f>[1]!S_Info_Name(W4561)</f>
        <v>沪光股份</v>
      </c>
      <c r="Y4561" s="276" t="str">
        <f ca="1">IF($Y$3="申万一级行业",[1]!s_info_industry_sw_2021(W4561,公司分析!D$5,1),IF($Y$3="申万二级行业",[1]!s_info_industry_sw_2021(W4561,公司分析!D$5,2),IF($Y$3="申万三级行业",[1]!s_info_industry_sw_2021(W4561,公司分析!D$5,3),IF($Y$3="wind一级行业",[1]!s_info_industry_gics(W4561,1),IF($Y$3="wind二级行业",[1]!s_info_industry_gics(W4561,2),IF($Y$3="wind三级行业",[1]!s_info_industry_gics(W4561,3),IF($Y$3="wind四级行业",[1]!s_info_industry_gics(W4561,4),IF($Y$3="证监会门类行业",[1]!s_info_industry_csrc12_n(W4561,公司分析!D$5,1),""))))))))</f>
        <v>汽车零部件</v>
      </c>
      <c r="Z4561" s="302" t="str">
        <f ca="1">IF(Y4561=行业比较!$E$6,ROW(),"")</f>
        <v/>
      </c>
    </row>
    <row r="4562" spans="22:26">
      <c r="V4562" s="260">
        <f t="shared" ca="1" si="79"/>
        <v>0</v>
      </c>
      <c r="W4562" s="348" t="str">
        <f>IF(板块成分!B4564="","",板块成分!B4564)</f>
        <v>605336.SH</v>
      </c>
      <c r="X4562" s="276" t="str">
        <f>[1]!S_Info_Name(W4562)</f>
        <v>帅丰电器</v>
      </c>
      <c r="Y4562" s="276" t="str">
        <f ca="1">IF($Y$3="申万一级行业",[1]!s_info_industry_sw_2021(W4562,公司分析!D$5,1),IF($Y$3="申万二级行业",[1]!s_info_industry_sw_2021(W4562,公司分析!D$5,2),IF($Y$3="申万三级行业",[1]!s_info_industry_sw_2021(W4562,公司分析!D$5,3),IF($Y$3="wind一级行业",[1]!s_info_industry_gics(W4562,1),IF($Y$3="wind二级行业",[1]!s_info_industry_gics(W4562,2),IF($Y$3="wind三级行业",[1]!s_info_industry_gics(W4562,3),IF($Y$3="wind四级行业",[1]!s_info_industry_gics(W4562,4),IF($Y$3="证监会门类行业",[1]!s_info_industry_csrc12_n(W4562,公司分析!D$5,1),""))))))))</f>
        <v>厨卫电器</v>
      </c>
      <c r="Z4562" s="302" t="str">
        <f ca="1">IF(Y4562=行业比较!$E$6,ROW(),"")</f>
        <v/>
      </c>
    </row>
    <row r="4563" spans="22:26">
      <c r="V4563" s="260">
        <f t="shared" ca="1" si="79"/>
        <v>0</v>
      </c>
      <c r="W4563" s="348" t="str">
        <f>IF(板块成分!B4565="","",板块成分!B4565)</f>
        <v>605337.SH</v>
      </c>
      <c r="X4563" s="276" t="str">
        <f>[1]!S_Info_Name(W4563)</f>
        <v>李子园</v>
      </c>
      <c r="Y4563" s="276" t="str">
        <f ca="1">IF($Y$3="申万一级行业",[1]!s_info_industry_sw_2021(W4563,公司分析!D$5,1),IF($Y$3="申万二级行业",[1]!s_info_industry_sw_2021(W4563,公司分析!D$5,2),IF($Y$3="申万三级行业",[1]!s_info_industry_sw_2021(W4563,公司分析!D$5,3),IF($Y$3="wind一级行业",[1]!s_info_industry_gics(W4563,1),IF($Y$3="wind二级行业",[1]!s_info_industry_gics(W4563,2),IF($Y$3="wind三级行业",[1]!s_info_industry_gics(W4563,3),IF($Y$3="wind四级行业",[1]!s_info_industry_gics(W4563,4),IF($Y$3="证监会门类行业",[1]!s_info_industry_csrc12_n(W4563,公司分析!D$5,1),""))))))))</f>
        <v>饮料乳品</v>
      </c>
      <c r="Z4563" s="302" t="str">
        <f ca="1">IF(Y4563=行业比较!$E$6,ROW(),"")</f>
        <v/>
      </c>
    </row>
    <row r="4564" spans="22:26">
      <c r="V4564" s="260">
        <f t="shared" ca="1" si="79"/>
        <v>0</v>
      </c>
      <c r="W4564" s="348" t="str">
        <f>IF(板块成分!B4566="","",板块成分!B4566)</f>
        <v>605338.SH</v>
      </c>
      <c r="X4564" s="276" t="str">
        <f>[1]!S_Info_Name(W4564)</f>
        <v>巴比食品</v>
      </c>
      <c r="Y4564" s="276" t="str">
        <f ca="1">IF($Y$3="申万一级行业",[1]!s_info_industry_sw_2021(W4564,公司分析!D$5,1),IF($Y$3="申万二级行业",[1]!s_info_industry_sw_2021(W4564,公司分析!D$5,2),IF($Y$3="申万三级行业",[1]!s_info_industry_sw_2021(W4564,公司分析!D$5,3),IF($Y$3="wind一级行业",[1]!s_info_industry_gics(W4564,1),IF($Y$3="wind二级行业",[1]!s_info_industry_gics(W4564,2),IF($Y$3="wind三级行业",[1]!s_info_industry_gics(W4564,3),IF($Y$3="wind四级行业",[1]!s_info_industry_gics(W4564,4),IF($Y$3="证监会门类行业",[1]!s_info_industry_csrc12_n(W4564,公司分析!D$5,1),""))))))))</f>
        <v>食品加工</v>
      </c>
      <c r="Z4564" s="302" t="str">
        <f ca="1">IF(Y4564=行业比较!$E$6,ROW(),"")</f>
        <v/>
      </c>
    </row>
    <row r="4565" spans="22:26">
      <c r="V4565" s="260">
        <f t="shared" ca="1" si="79"/>
        <v>0</v>
      </c>
      <c r="W4565" s="348" t="str">
        <f>IF(板块成分!B4567="","",板块成分!B4567)</f>
        <v>605339.SH</v>
      </c>
      <c r="X4565" s="276" t="str">
        <f>[1]!S_Info_Name(W4565)</f>
        <v>南侨食品</v>
      </c>
      <c r="Y4565" s="276" t="str">
        <f ca="1">IF($Y$3="申万一级行业",[1]!s_info_industry_sw_2021(W4565,公司分析!D$5,1),IF($Y$3="申万二级行业",[1]!s_info_industry_sw_2021(W4565,公司分析!D$5,2),IF($Y$3="申万三级行业",[1]!s_info_industry_sw_2021(W4565,公司分析!D$5,3),IF($Y$3="wind一级行业",[1]!s_info_industry_gics(W4565,1),IF($Y$3="wind二级行业",[1]!s_info_industry_gics(W4565,2),IF($Y$3="wind三级行业",[1]!s_info_industry_gics(W4565,3),IF($Y$3="wind四级行业",[1]!s_info_industry_gics(W4565,4),IF($Y$3="证监会门类行业",[1]!s_info_industry_csrc12_n(W4565,公司分析!D$5,1),""))))))))</f>
        <v>休闲食品</v>
      </c>
      <c r="Z4565" s="302" t="str">
        <f ca="1">IF(Y4565=行业比较!$E$6,ROW(),"")</f>
        <v/>
      </c>
    </row>
    <row r="4566" spans="22:26">
      <c r="V4566" s="260">
        <f t="shared" ca="1" si="79"/>
        <v>0</v>
      </c>
      <c r="W4566" s="348" t="str">
        <f>IF(板块成分!B4568="","",板块成分!B4568)</f>
        <v>605358.SH</v>
      </c>
      <c r="X4566" s="276" t="str">
        <f>[1]!S_Info_Name(W4566)</f>
        <v>立昂微</v>
      </c>
      <c r="Y4566" s="276" t="str">
        <f ca="1">IF($Y$3="申万一级行业",[1]!s_info_industry_sw_2021(W4566,公司分析!D$5,1),IF($Y$3="申万二级行业",[1]!s_info_industry_sw_2021(W4566,公司分析!D$5,2),IF($Y$3="申万三级行业",[1]!s_info_industry_sw_2021(W4566,公司分析!D$5,3),IF($Y$3="wind一级行业",[1]!s_info_industry_gics(W4566,1),IF($Y$3="wind二级行业",[1]!s_info_industry_gics(W4566,2),IF($Y$3="wind三级行业",[1]!s_info_industry_gics(W4566,3),IF($Y$3="wind四级行业",[1]!s_info_industry_gics(W4566,4),IF($Y$3="证监会门类行业",[1]!s_info_industry_csrc12_n(W4566,公司分析!D$5,1),""))))))))</f>
        <v>半导体</v>
      </c>
      <c r="Z4566" s="302" t="str">
        <f ca="1">IF(Y4566=行业比较!$E$6,ROW(),"")</f>
        <v/>
      </c>
    </row>
    <row r="4567" spans="22:26">
      <c r="V4567" s="260">
        <f t="shared" ca="1" si="79"/>
        <v>0</v>
      </c>
      <c r="W4567" s="348" t="str">
        <f>IF(板块成分!B4569="","",板块成分!B4569)</f>
        <v>605365.SH</v>
      </c>
      <c r="X4567" s="276" t="str">
        <f>[1]!S_Info_Name(W4567)</f>
        <v>立达信</v>
      </c>
      <c r="Y4567" s="276" t="str">
        <f ca="1">IF($Y$3="申万一级行业",[1]!s_info_industry_sw_2021(W4567,公司分析!D$5,1),IF($Y$3="申万二级行业",[1]!s_info_industry_sw_2021(W4567,公司分析!D$5,2),IF($Y$3="申万三级行业",[1]!s_info_industry_sw_2021(W4567,公司分析!D$5,3),IF($Y$3="wind一级行业",[1]!s_info_industry_gics(W4567,1),IF($Y$3="wind二级行业",[1]!s_info_industry_gics(W4567,2),IF($Y$3="wind三级行业",[1]!s_info_industry_gics(W4567,3),IF($Y$3="wind四级行业",[1]!s_info_industry_gics(W4567,4),IF($Y$3="证监会门类行业",[1]!s_info_industry_csrc12_n(W4567,公司分析!D$5,1),""))))))))</f>
        <v>照明设备Ⅱ</v>
      </c>
      <c r="Z4567" s="302" t="str">
        <f ca="1">IF(Y4567=行业比较!$E$6,ROW(),"")</f>
        <v/>
      </c>
    </row>
    <row r="4568" spans="22:26">
      <c r="V4568" s="260">
        <f t="shared" ca="1" si="79"/>
        <v>0</v>
      </c>
      <c r="W4568" s="348" t="str">
        <f>IF(板块成分!B4570="","",板块成分!B4570)</f>
        <v>605366.SH</v>
      </c>
      <c r="X4568" s="276" t="str">
        <f>[1]!S_Info_Name(W4568)</f>
        <v>宏柏新材</v>
      </c>
      <c r="Y4568" s="276" t="str">
        <f ca="1">IF($Y$3="申万一级行业",[1]!s_info_industry_sw_2021(W4568,公司分析!D$5,1),IF($Y$3="申万二级行业",[1]!s_info_industry_sw_2021(W4568,公司分析!D$5,2),IF($Y$3="申万三级行业",[1]!s_info_industry_sw_2021(W4568,公司分析!D$5,3),IF($Y$3="wind一级行业",[1]!s_info_industry_gics(W4568,1),IF($Y$3="wind二级行业",[1]!s_info_industry_gics(W4568,2),IF($Y$3="wind三级行业",[1]!s_info_industry_gics(W4568,3),IF($Y$3="wind四级行业",[1]!s_info_industry_gics(W4568,4),IF($Y$3="证监会门类行业",[1]!s_info_industry_csrc12_n(W4568,公司分析!D$5,1),""))))))))</f>
        <v>化学制品</v>
      </c>
      <c r="Z4568" s="302" t="str">
        <f ca="1">IF(Y4568=行业比较!$E$6,ROW(),"")</f>
        <v/>
      </c>
    </row>
    <row r="4569" spans="22:26">
      <c r="V4569" s="260">
        <f t="shared" ca="1" si="79"/>
        <v>0</v>
      </c>
      <c r="W4569" s="348" t="str">
        <f>IF(板块成分!B4571="","",板块成分!B4571)</f>
        <v>605368.SH</v>
      </c>
      <c r="X4569" s="276" t="str">
        <f>[1]!S_Info_Name(W4569)</f>
        <v>蓝天燃气</v>
      </c>
      <c r="Y4569" s="276" t="str">
        <f ca="1">IF($Y$3="申万一级行业",[1]!s_info_industry_sw_2021(W4569,公司分析!D$5,1),IF($Y$3="申万二级行业",[1]!s_info_industry_sw_2021(W4569,公司分析!D$5,2),IF($Y$3="申万三级行业",[1]!s_info_industry_sw_2021(W4569,公司分析!D$5,3),IF($Y$3="wind一级行业",[1]!s_info_industry_gics(W4569,1),IF($Y$3="wind二级行业",[1]!s_info_industry_gics(W4569,2),IF($Y$3="wind三级行业",[1]!s_info_industry_gics(W4569,3),IF($Y$3="wind四级行业",[1]!s_info_industry_gics(W4569,4),IF($Y$3="证监会门类行业",[1]!s_info_industry_csrc12_n(W4569,公司分析!D$5,1),""))))))))</f>
        <v>燃气Ⅱ</v>
      </c>
      <c r="Z4569" s="302" t="str">
        <f ca="1">IF(Y4569=行业比较!$E$6,ROW(),"")</f>
        <v/>
      </c>
    </row>
    <row r="4570" spans="22:26">
      <c r="V4570" s="260">
        <f t="shared" ca="1" si="79"/>
        <v>0</v>
      </c>
      <c r="W4570" s="348" t="str">
        <f>IF(板块成分!B4572="","",板块成分!B4572)</f>
        <v>605369.SH</v>
      </c>
      <c r="X4570" s="276" t="str">
        <f>[1]!S_Info_Name(W4570)</f>
        <v>拱东医疗</v>
      </c>
      <c r="Y4570" s="276" t="str">
        <f ca="1">IF($Y$3="申万一级行业",[1]!s_info_industry_sw_2021(W4570,公司分析!D$5,1),IF($Y$3="申万二级行业",[1]!s_info_industry_sw_2021(W4570,公司分析!D$5,2),IF($Y$3="申万三级行业",[1]!s_info_industry_sw_2021(W4570,公司分析!D$5,3),IF($Y$3="wind一级行业",[1]!s_info_industry_gics(W4570,1),IF($Y$3="wind二级行业",[1]!s_info_industry_gics(W4570,2),IF($Y$3="wind三级行业",[1]!s_info_industry_gics(W4570,3),IF($Y$3="wind四级行业",[1]!s_info_industry_gics(W4570,4),IF($Y$3="证监会门类行业",[1]!s_info_industry_csrc12_n(W4570,公司分析!D$5,1),""))))))))</f>
        <v>医疗器械</v>
      </c>
      <c r="Z4570" s="302" t="str">
        <f ca="1">IF(Y4570=行业比较!$E$6,ROW(),"")</f>
        <v/>
      </c>
    </row>
    <row r="4571" spans="22:26">
      <c r="V4571" s="260">
        <f t="shared" ca="1" si="79"/>
        <v>0</v>
      </c>
      <c r="W4571" s="348" t="str">
        <f>IF(板块成分!B4573="","",板块成分!B4573)</f>
        <v>605376.SH</v>
      </c>
      <c r="X4571" s="276" t="str">
        <f>[1]!S_Info_Name(W4571)</f>
        <v>博迁新材</v>
      </c>
      <c r="Y4571" s="276" t="str">
        <f ca="1">IF($Y$3="申万一级行业",[1]!s_info_industry_sw_2021(W4571,公司分析!D$5,1),IF($Y$3="申万二级行业",[1]!s_info_industry_sw_2021(W4571,公司分析!D$5,2),IF($Y$3="申万三级行业",[1]!s_info_industry_sw_2021(W4571,公司分析!D$5,3),IF($Y$3="wind一级行业",[1]!s_info_industry_gics(W4571,1),IF($Y$3="wind二级行业",[1]!s_info_industry_gics(W4571,2),IF($Y$3="wind三级行业",[1]!s_info_industry_gics(W4571,3),IF($Y$3="wind四级行业",[1]!s_info_industry_gics(W4571,4),IF($Y$3="证监会门类行业",[1]!s_info_industry_csrc12_n(W4571,公司分析!D$5,1),""))))))))</f>
        <v>能源金属</v>
      </c>
      <c r="Z4571" s="302" t="str">
        <f ca="1">IF(Y4571=行业比较!$E$6,ROW(),"")</f>
        <v/>
      </c>
    </row>
    <row r="4572" spans="22:26">
      <c r="V4572" s="260">
        <f t="shared" ca="1" si="79"/>
        <v>0</v>
      </c>
      <c r="W4572" s="348" t="str">
        <f>IF(板块成分!B4574="","",板块成分!B4574)</f>
        <v>605377.SH</v>
      </c>
      <c r="X4572" s="276" t="str">
        <f>[1]!S_Info_Name(W4572)</f>
        <v>华旺科技</v>
      </c>
      <c r="Y4572" s="276" t="str">
        <f ca="1">IF($Y$3="申万一级行业",[1]!s_info_industry_sw_2021(W4572,公司分析!D$5,1),IF($Y$3="申万二级行业",[1]!s_info_industry_sw_2021(W4572,公司分析!D$5,2),IF($Y$3="申万三级行业",[1]!s_info_industry_sw_2021(W4572,公司分析!D$5,3),IF($Y$3="wind一级行业",[1]!s_info_industry_gics(W4572,1),IF($Y$3="wind二级行业",[1]!s_info_industry_gics(W4572,2),IF($Y$3="wind三级行业",[1]!s_info_industry_gics(W4572,3),IF($Y$3="wind四级行业",[1]!s_info_industry_gics(W4572,4),IF($Y$3="证监会门类行业",[1]!s_info_industry_csrc12_n(W4572,公司分析!D$5,1),""))))))))</f>
        <v>造纸</v>
      </c>
      <c r="Z4572" s="302" t="str">
        <f ca="1">IF(Y4572=行业比较!$E$6,ROW(),"")</f>
        <v/>
      </c>
    </row>
    <row r="4573" spans="22:26">
      <c r="V4573" s="260">
        <f t="shared" ca="1" si="79"/>
        <v>0</v>
      </c>
      <c r="W4573" s="348" t="str">
        <f>IF(板块成分!B4575="","",板块成分!B4575)</f>
        <v>605378.SH</v>
      </c>
      <c r="X4573" s="276" t="str">
        <f>[1]!S_Info_Name(W4573)</f>
        <v>野马电池</v>
      </c>
      <c r="Y4573" s="276" t="str">
        <f ca="1">IF($Y$3="申万一级行业",[1]!s_info_industry_sw_2021(W4573,公司分析!D$5,1),IF($Y$3="申万二级行业",[1]!s_info_industry_sw_2021(W4573,公司分析!D$5,2),IF($Y$3="申万三级行业",[1]!s_info_industry_sw_2021(W4573,公司分析!D$5,3),IF($Y$3="wind一级行业",[1]!s_info_industry_gics(W4573,1),IF($Y$3="wind二级行业",[1]!s_info_industry_gics(W4573,2),IF($Y$3="wind三级行业",[1]!s_info_industry_gics(W4573,3),IF($Y$3="wind四级行业",[1]!s_info_industry_gics(W4573,4),IF($Y$3="证监会门类行业",[1]!s_info_industry_csrc12_n(W4573,公司分析!D$5,1),""))))))))</f>
        <v>电池</v>
      </c>
      <c r="Z4573" s="302" t="str">
        <f ca="1">IF(Y4573=行业比较!$E$6,ROW(),"")</f>
        <v/>
      </c>
    </row>
    <row r="4574" spans="22:26">
      <c r="V4574" s="260">
        <f t="shared" ca="1" si="79"/>
        <v>0</v>
      </c>
      <c r="W4574" s="348" t="str">
        <f>IF(板块成分!B4576="","",板块成分!B4576)</f>
        <v>605388.SH</v>
      </c>
      <c r="X4574" s="276" t="str">
        <f>[1]!S_Info_Name(W4574)</f>
        <v>均瑶健康</v>
      </c>
      <c r="Y4574" s="276" t="str">
        <f ca="1">IF($Y$3="申万一级行业",[1]!s_info_industry_sw_2021(W4574,公司分析!D$5,1),IF($Y$3="申万二级行业",[1]!s_info_industry_sw_2021(W4574,公司分析!D$5,2),IF($Y$3="申万三级行业",[1]!s_info_industry_sw_2021(W4574,公司分析!D$5,3),IF($Y$3="wind一级行业",[1]!s_info_industry_gics(W4574,1),IF($Y$3="wind二级行业",[1]!s_info_industry_gics(W4574,2),IF($Y$3="wind三级行业",[1]!s_info_industry_gics(W4574,3),IF($Y$3="wind四级行业",[1]!s_info_industry_gics(W4574,4),IF($Y$3="证监会门类行业",[1]!s_info_industry_csrc12_n(W4574,公司分析!D$5,1),""))))))))</f>
        <v>饮料乳品</v>
      </c>
      <c r="Z4574" s="302" t="str">
        <f ca="1">IF(Y4574=行业比较!$E$6,ROW(),"")</f>
        <v/>
      </c>
    </row>
    <row r="4575" spans="22:26">
      <c r="V4575" s="260">
        <f t="shared" ca="1" si="79"/>
        <v>0</v>
      </c>
      <c r="W4575" s="348" t="str">
        <f>IF(板块成分!B4577="","",板块成分!B4577)</f>
        <v>605389.SH</v>
      </c>
      <c r="X4575" s="276" t="str">
        <f>[1]!S_Info_Name(W4575)</f>
        <v>长龄液压</v>
      </c>
      <c r="Y4575" s="276" t="str">
        <f ca="1">IF($Y$3="申万一级行业",[1]!s_info_industry_sw_2021(W4575,公司分析!D$5,1),IF($Y$3="申万二级行业",[1]!s_info_industry_sw_2021(W4575,公司分析!D$5,2),IF($Y$3="申万三级行业",[1]!s_info_industry_sw_2021(W4575,公司分析!D$5,3),IF($Y$3="wind一级行业",[1]!s_info_industry_gics(W4575,1),IF($Y$3="wind二级行业",[1]!s_info_industry_gics(W4575,2),IF($Y$3="wind三级行业",[1]!s_info_industry_gics(W4575,3),IF($Y$3="wind四级行业",[1]!s_info_industry_gics(W4575,4),IF($Y$3="证监会门类行业",[1]!s_info_industry_csrc12_n(W4575,公司分析!D$5,1),""))))))))</f>
        <v>工程机械</v>
      </c>
      <c r="Z4575" s="302" t="str">
        <f ca="1">IF(Y4575=行业比较!$E$6,ROW(),"")</f>
        <v/>
      </c>
    </row>
    <row r="4576" spans="22:26">
      <c r="V4576" s="260">
        <f t="shared" ca="1" si="79"/>
        <v>0</v>
      </c>
      <c r="W4576" s="348" t="str">
        <f>IF(板块成分!B4578="","",板块成分!B4578)</f>
        <v>605398.SH</v>
      </c>
      <c r="X4576" s="276" t="str">
        <f>[1]!S_Info_Name(W4576)</f>
        <v>新炬网络</v>
      </c>
      <c r="Y4576" s="276" t="str">
        <f ca="1">IF($Y$3="申万一级行业",[1]!s_info_industry_sw_2021(W4576,公司分析!D$5,1),IF($Y$3="申万二级行业",[1]!s_info_industry_sw_2021(W4576,公司分析!D$5,2),IF($Y$3="申万三级行业",[1]!s_info_industry_sw_2021(W4576,公司分析!D$5,3),IF($Y$3="wind一级行业",[1]!s_info_industry_gics(W4576,1),IF($Y$3="wind二级行业",[1]!s_info_industry_gics(W4576,2),IF($Y$3="wind三级行业",[1]!s_info_industry_gics(W4576,3),IF($Y$3="wind四级行业",[1]!s_info_industry_gics(W4576,4),IF($Y$3="证监会门类行业",[1]!s_info_industry_csrc12_n(W4576,公司分析!D$5,1),""))))))))</f>
        <v>IT服务Ⅱ</v>
      </c>
      <c r="Z4576" s="302" t="str">
        <f ca="1">IF(Y4576=行业比较!$E$6,ROW(),"")</f>
        <v/>
      </c>
    </row>
    <row r="4577" spans="22:26">
      <c r="V4577" s="260">
        <f t="shared" ca="1" si="79"/>
        <v>0</v>
      </c>
      <c r="W4577" s="348" t="str">
        <f>IF(板块成分!B4579="","",板块成分!B4579)</f>
        <v>605399.SH</v>
      </c>
      <c r="X4577" s="276" t="str">
        <f>[1]!S_Info_Name(W4577)</f>
        <v>晨光新材</v>
      </c>
      <c r="Y4577" s="276" t="str">
        <f ca="1">IF($Y$3="申万一级行业",[1]!s_info_industry_sw_2021(W4577,公司分析!D$5,1),IF($Y$3="申万二级行业",[1]!s_info_industry_sw_2021(W4577,公司分析!D$5,2),IF($Y$3="申万三级行业",[1]!s_info_industry_sw_2021(W4577,公司分析!D$5,3),IF($Y$3="wind一级行业",[1]!s_info_industry_gics(W4577,1),IF($Y$3="wind二级行业",[1]!s_info_industry_gics(W4577,2),IF($Y$3="wind三级行业",[1]!s_info_industry_gics(W4577,3),IF($Y$3="wind四级行业",[1]!s_info_industry_gics(W4577,4),IF($Y$3="证监会门类行业",[1]!s_info_industry_csrc12_n(W4577,公司分析!D$5,1),""))))))))</f>
        <v>化学制品</v>
      </c>
      <c r="Z4577" s="302" t="str">
        <f ca="1">IF(Y4577=行业比较!$E$6,ROW(),"")</f>
        <v/>
      </c>
    </row>
    <row r="4578" spans="22:26">
      <c r="V4578" s="260">
        <f t="shared" ca="1" si="79"/>
        <v>0</v>
      </c>
      <c r="W4578" s="348" t="str">
        <f>IF(板块成分!B4580="","",板块成分!B4580)</f>
        <v>605488.SH</v>
      </c>
      <c r="X4578" s="276" t="str">
        <f>[1]!S_Info_Name(W4578)</f>
        <v>福莱新材</v>
      </c>
      <c r="Y4578" s="276" t="str">
        <f ca="1">IF($Y$3="申万一级行业",[1]!s_info_industry_sw_2021(W4578,公司分析!D$5,1),IF($Y$3="申万二级行业",[1]!s_info_industry_sw_2021(W4578,公司分析!D$5,2),IF($Y$3="申万三级行业",[1]!s_info_industry_sw_2021(W4578,公司分析!D$5,3),IF($Y$3="wind一级行业",[1]!s_info_industry_gics(W4578,1),IF($Y$3="wind二级行业",[1]!s_info_industry_gics(W4578,2),IF($Y$3="wind三级行业",[1]!s_info_industry_gics(W4578,3),IF($Y$3="wind四级行业",[1]!s_info_industry_gics(W4578,4),IF($Y$3="证监会门类行业",[1]!s_info_industry_csrc12_n(W4578,公司分析!D$5,1),""))))))))</f>
        <v>塑料</v>
      </c>
      <c r="Z4578" s="302" t="str">
        <f ca="1">IF(Y4578=行业比较!$E$6,ROW(),"")</f>
        <v/>
      </c>
    </row>
    <row r="4579" spans="22:26">
      <c r="V4579" s="260">
        <f t="shared" ca="1" si="79"/>
        <v>0</v>
      </c>
      <c r="W4579" s="348" t="str">
        <f>IF(板块成分!B4581="","",板块成分!B4581)</f>
        <v>605499.SH</v>
      </c>
      <c r="X4579" s="276" t="str">
        <f>[1]!S_Info_Name(W4579)</f>
        <v>东鹏饮料</v>
      </c>
      <c r="Y4579" s="276" t="str">
        <f ca="1">IF($Y$3="申万一级行业",[1]!s_info_industry_sw_2021(W4579,公司分析!D$5,1),IF($Y$3="申万二级行业",[1]!s_info_industry_sw_2021(W4579,公司分析!D$5,2),IF($Y$3="申万三级行业",[1]!s_info_industry_sw_2021(W4579,公司分析!D$5,3),IF($Y$3="wind一级行业",[1]!s_info_industry_gics(W4579,1),IF($Y$3="wind二级行业",[1]!s_info_industry_gics(W4579,2),IF($Y$3="wind三级行业",[1]!s_info_industry_gics(W4579,3),IF($Y$3="wind四级行业",[1]!s_info_industry_gics(W4579,4),IF($Y$3="证监会门类行业",[1]!s_info_industry_csrc12_n(W4579,公司分析!D$5,1),""))))))))</f>
        <v>饮料乳品</v>
      </c>
      <c r="Z4579" s="302" t="str">
        <f ca="1">IF(Y4579=行业比较!$E$6,ROW(),"")</f>
        <v/>
      </c>
    </row>
    <row r="4580" spans="22:26">
      <c r="V4580" s="260">
        <f t="shared" ca="1" si="79"/>
        <v>0</v>
      </c>
      <c r="W4580" s="348" t="str">
        <f>IF(板块成分!B4582="","",板块成分!B4582)</f>
        <v>605500.SH</v>
      </c>
      <c r="X4580" s="276" t="str">
        <f>[1]!S_Info_Name(W4580)</f>
        <v>森林包装</v>
      </c>
      <c r="Y4580" s="276" t="str">
        <f ca="1">IF($Y$3="申万一级行业",[1]!s_info_industry_sw_2021(W4580,公司分析!D$5,1),IF($Y$3="申万二级行业",[1]!s_info_industry_sw_2021(W4580,公司分析!D$5,2),IF($Y$3="申万三级行业",[1]!s_info_industry_sw_2021(W4580,公司分析!D$5,3),IF($Y$3="wind一级行业",[1]!s_info_industry_gics(W4580,1),IF($Y$3="wind二级行业",[1]!s_info_industry_gics(W4580,2),IF($Y$3="wind三级行业",[1]!s_info_industry_gics(W4580,3),IF($Y$3="wind四级行业",[1]!s_info_industry_gics(W4580,4),IF($Y$3="证监会门类行业",[1]!s_info_industry_csrc12_n(W4580,公司分析!D$5,1),""))))))))</f>
        <v>造纸</v>
      </c>
      <c r="Z4580" s="302" t="str">
        <f ca="1">IF(Y4580=行业比较!$E$6,ROW(),"")</f>
        <v/>
      </c>
    </row>
    <row r="4581" spans="22:26">
      <c r="V4581" s="260">
        <f t="shared" ca="1" si="79"/>
        <v>0</v>
      </c>
      <c r="W4581" s="348" t="str">
        <f>IF(板块成分!B4583="","",板块成分!B4583)</f>
        <v>605507.SH</v>
      </c>
      <c r="X4581" s="276" t="str">
        <f>[1]!S_Info_Name(W4581)</f>
        <v>国邦医药</v>
      </c>
      <c r="Y4581" s="276" t="str">
        <f ca="1">IF($Y$3="申万一级行业",[1]!s_info_industry_sw_2021(W4581,公司分析!D$5,1),IF($Y$3="申万二级行业",[1]!s_info_industry_sw_2021(W4581,公司分析!D$5,2),IF($Y$3="申万三级行业",[1]!s_info_industry_sw_2021(W4581,公司分析!D$5,3),IF($Y$3="wind一级行业",[1]!s_info_industry_gics(W4581,1),IF($Y$3="wind二级行业",[1]!s_info_industry_gics(W4581,2),IF($Y$3="wind三级行业",[1]!s_info_industry_gics(W4581,3),IF($Y$3="wind四级行业",[1]!s_info_industry_gics(W4581,4),IF($Y$3="证监会门类行业",[1]!s_info_industry_csrc12_n(W4581,公司分析!D$5,1),""))))))))</f>
        <v>化学制药</v>
      </c>
      <c r="Z4581" s="302" t="str">
        <f ca="1">IF(Y4581=行业比较!$E$6,ROW(),"")</f>
        <v/>
      </c>
    </row>
    <row r="4582" spans="22:26">
      <c r="V4582" s="260">
        <f t="shared" ca="1" si="79"/>
        <v>0</v>
      </c>
      <c r="W4582" s="348" t="str">
        <f>IF(板块成分!B4584="","",板块成分!B4584)</f>
        <v>605555.SH</v>
      </c>
      <c r="X4582" s="276" t="str">
        <f>[1]!S_Info_Name(W4582)</f>
        <v>德昌股份</v>
      </c>
      <c r="Y4582" s="276" t="str">
        <f ca="1">IF($Y$3="申万一级行业",[1]!s_info_industry_sw_2021(W4582,公司分析!D$5,1),IF($Y$3="申万二级行业",[1]!s_info_industry_sw_2021(W4582,公司分析!D$5,2),IF($Y$3="申万三级行业",[1]!s_info_industry_sw_2021(W4582,公司分析!D$5,3),IF($Y$3="wind一级行业",[1]!s_info_industry_gics(W4582,1),IF($Y$3="wind二级行业",[1]!s_info_industry_gics(W4582,2),IF($Y$3="wind三级行业",[1]!s_info_industry_gics(W4582,3),IF($Y$3="wind四级行业",[1]!s_info_industry_gics(W4582,4),IF($Y$3="证监会门类行业",[1]!s_info_industry_csrc12_n(W4582,公司分析!D$5,1),""))))))))</f>
        <v>小家电</v>
      </c>
      <c r="Z4582" s="302" t="str">
        <f ca="1">IF(Y4582=行业比较!$E$6,ROW(),"")</f>
        <v/>
      </c>
    </row>
    <row r="4583" spans="22:26">
      <c r="V4583" s="260">
        <f t="shared" ca="1" si="79"/>
        <v>0</v>
      </c>
      <c r="W4583" s="348" t="str">
        <f>IF(板块成分!B4585="","",板块成分!B4585)</f>
        <v>605566.SH</v>
      </c>
      <c r="X4583" s="276" t="str">
        <f>[1]!S_Info_Name(W4583)</f>
        <v>福莱蒽特</v>
      </c>
      <c r="Y4583" s="276" t="str">
        <f ca="1">IF($Y$3="申万一级行业",[1]!s_info_industry_sw_2021(W4583,公司分析!D$5,1),IF($Y$3="申万二级行业",[1]!s_info_industry_sw_2021(W4583,公司分析!D$5,2),IF($Y$3="申万三级行业",[1]!s_info_industry_sw_2021(W4583,公司分析!D$5,3),IF($Y$3="wind一级行业",[1]!s_info_industry_gics(W4583,1),IF($Y$3="wind二级行业",[1]!s_info_industry_gics(W4583,2),IF($Y$3="wind三级行业",[1]!s_info_industry_gics(W4583,3),IF($Y$3="wind四级行业",[1]!s_info_industry_gics(W4583,4),IF($Y$3="证监会门类行业",[1]!s_info_industry_csrc12_n(W4583,公司分析!D$5,1),""))))))))</f>
        <v>化学制品</v>
      </c>
      <c r="Z4583" s="302" t="str">
        <f ca="1">IF(Y4583=行业比较!$E$6,ROW(),"")</f>
        <v/>
      </c>
    </row>
    <row r="4584" spans="22:26">
      <c r="V4584" s="260">
        <f t="shared" ca="1" si="79"/>
        <v>0</v>
      </c>
      <c r="W4584" s="348" t="str">
        <f>IF(板块成分!B4586="","",板块成分!B4586)</f>
        <v>605567.SH</v>
      </c>
      <c r="X4584" s="276" t="str">
        <f>[1]!S_Info_Name(W4584)</f>
        <v>春雪食品</v>
      </c>
      <c r="Y4584" s="276" t="str">
        <f ca="1">IF($Y$3="申万一级行业",[1]!s_info_industry_sw_2021(W4584,公司分析!D$5,1),IF($Y$3="申万二级行业",[1]!s_info_industry_sw_2021(W4584,公司分析!D$5,2),IF($Y$3="申万三级行业",[1]!s_info_industry_sw_2021(W4584,公司分析!D$5,3),IF($Y$3="wind一级行业",[1]!s_info_industry_gics(W4584,1),IF($Y$3="wind二级行业",[1]!s_info_industry_gics(W4584,2),IF($Y$3="wind三级行业",[1]!s_info_industry_gics(W4584,3),IF($Y$3="wind四级行业",[1]!s_info_industry_gics(W4584,4),IF($Y$3="证监会门类行业",[1]!s_info_industry_csrc12_n(W4584,公司分析!D$5,1),""))))))))</f>
        <v>食品加工</v>
      </c>
      <c r="Z4584" s="302" t="str">
        <f ca="1">IF(Y4584=行业比较!$E$6,ROW(),"")</f>
        <v/>
      </c>
    </row>
    <row r="4585" spans="22:26">
      <c r="V4585" s="260">
        <f t="shared" ca="1" si="79"/>
        <v>0</v>
      </c>
      <c r="W4585" s="348" t="str">
        <f>IF(板块成分!B4587="","",板块成分!B4587)</f>
        <v>605577.SH</v>
      </c>
      <c r="X4585" s="276" t="str">
        <f>[1]!S_Info_Name(W4585)</f>
        <v>龙版传媒</v>
      </c>
      <c r="Y4585" s="276" t="str">
        <f ca="1">IF($Y$3="申万一级行业",[1]!s_info_industry_sw_2021(W4585,公司分析!D$5,1),IF($Y$3="申万二级行业",[1]!s_info_industry_sw_2021(W4585,公司分析!D$5,2),IF($Y$3="申万三级行业",[1]!s_info_industry_sw_2021(W4585,公司分析!D$5,3),IF($Y$3="wind一级行业",[1]!s_info_industry_gics(W4585,1),IF($Y$3="wind二级行业",[1]!s_info_industry_gics(W4585,2),IF($Y$3="wind三级行业",[1]!s_info_industry_gics(W4585,3),IF($Y$3="wind四级行业",[1]!s_info_industry_gics(W4585,4),IF($Y$3="证监会门类行业",[1]!s_info_industry_csrc12_n(W4585,公司分析!D$5,1),""))))))))</f>
        <v>出版</v>
      </c>
      <c r="Z4585" s="302" t="str">
        <f ca="1">IF(Y4585=行业比较!$E$6,ROW(),"")</f>
        <v/>
      </c>
    </row>
    <row r="4586" spans="22:26">
      <c r="V4586" s="260">
        <f t="shared" ca="1" si="79"/>
        <v>0</v>
      </c>
      <c r="W4586" s="348" t="str">
        <f>IF(板块成分!B4588="","",板块成分!B4588)</f>
        <v>605580.SH</v>
      </c>
      <c r="X4586" s="276" t="str">
        <f>[1]!S_Info_Name(W4586)</f>
        <v>恒盛能源</v>
      </c>
      <c r="Y4586" s="276" t="str">
        <f ca="1">IF($Y$3="申万一级行业",[1]!s_info_industry_sw_2021(W4586,公司分析!D$5,1),IF($Y$3="申万二级行业",[1]!s_info_industry_sw_2021(W4586,公司分析!D$5,2),IF($Y$3="申万三级行业",[1]!s_info_industry_sw_2021(W4586,公司分析!D$5,3),IF($Y$3="wind一级行业",[1]!s_info_industry_gics(W4586,1),IF($Y$3="wind二级行业",[1]!s_info_industry_gics(W4586,2),IF($Y$3="wind三级行业",[1]!s_info_industry_gics(W4586,3),IF($Y$3="wind四级行业",[1]!s_info_industry_gics(W4586,4),IF($Y$3="证监会门类行业",[1]!s_info_industry_csrc12_n(W4586,公司分析!D$5,1),""))))))))</f>
        <v>电力</v>
      </c>
      <c r="Z4586" s="302" t="str">
        <f ca="1">IF(Y4586=行业比较!$E$6,ROW(),"")</f>
        <v/>
      </c>
    </row>
    <row r="4587" spans="22:26">
      <c r="V4587" s="260">
        <f t="shared" ca="1" si="79"/>
        <v>0</v>
      </c>
      <c r="W4587" s="348" t="str">
        <f>IF(板块成分!B4589="","",板块成分!B4589)</f>
        <v>605588.SH</v>
      </c>
      <c r="X4587" s="276" t="str">
        <f>[1]!S_Info_Name(W4587)</f>
        <v>冠石科技</v>
      </c>
      <c r="Y4587" s="276" t="str">
        <f ca="1">IF($Y$3="申万一级行业",[1]!s_info_industry_sw_2021(W4587,公司分析!D$5,1),IF($Y$3="申万二级行业",[1]!s_info_industry_sw_2021(W4587,公司分析!D$5,2),IF($Y$3="申万三级行业",[1]!s_info_industry_sw_2021(W4587,公司分析!D$5,3),IF($Y$3="wind一级行业",[1]!s_info_industry_gics(W4587,1),IF($Y$3="wind二级行业",[1]!s_info_industry_gics(W4587,2),IF($Y$3="wind三级行业",[1]!s_info_industry_gics(W4587,3),IF($Y$3="wind四级行业",[1]!s_info_industry_gics(W4587,4),IF($Y$3="证监会门类行业",[1]!s_info_industry_csrc12_n(W4587,公司分析!D$5,1),""))))))))</f>
        <v>光学光电子</v>
      </c>
      <c r="Z4587" s="302" t="str">
        <f ca="1">IF(Y4587=行业比较!$E$6,ROW(),"")</f>
        <v/>
      </c>
    </row>
    <row r="4588" spans="22:26">
      <c r="V4588" s="260">
        <f t="shared" ca="1" si="79"/>
        <v>0</v>
      </c>
      <c r="W4588" s="348" t="str">
        <f>IF(板块成分!B4590="","",板块成分!B4590)</f>
        <v>605589.SH</v>
      </c>
      <c r="X4588" s="276" t="str">
        <f>[1]!S_Info_Name(W4588)</f>
        <v>圣泉集团</v>
      </c>
      <c r="Y4588" s="276" t="str">
        <f ca="1">IF($Y$3="申万一级行业",[1]!s_info_industry_sw_2021(W4588,公司分析!D$5,1),IF($Y$3="申万二级行业",[1]!s_info_industry_sw_2021(W4588,公司分析!D$5,2),IF($Y$3="申万三级行业",[1]!s_info_industry_sw_2021(W4588,公司分析!D$5,3),IF($Y$3="wind一级行业",[1]!s_info_industry_gics(W4588,1),IF($Y$3="wind二级行业",[1]!s_info_industry_gics(W4588,2),IF($Y$3="wind三级行业",[1]!s_info_industry_gics(W4588,3),IF($Y$3="wind四级行业",[1]!s_info_industry_gics(W4588,4),IF($Y$3="证监会门类行业",[1]!s_info_industry_csrc12_n(W4588,公司分析!D$5,1),""))))))))</f>
        <v>塑料</v>
      </c>
      <c r="Z4588" s="302" t="str">
        <f ca="1">IF(Y4588=行业比较!$E$6,ROW(),"")</f>
        <v/>
      </c>
    </row>
    <row r="4589" spans="22:26">
      <c r="V4589" s="260">
        <f t="shared" ca="1" si="79"/>
        <v>0</v>
      </c>
      <c r="W4589" s="348" t="str">
        <f>IF(板块成分!B4591="","",板块成分!B4591)</f>
        <v>605598.SH</v>
      </c>
      <c r="X4589" s="276" t="str">
        <f>[1]!S_Info_Name(W4589)</f>
        <v>上海港湾</v>
      </c>
      <c r="Y4589" s="276" t="str">
        <f ca="1">IF($Y$3="申万一级行业",[1]!s_info_industry_sw_2021(W4589,公司分析!D$5,1),IF($Y$3="申万二级行业",[1]!s_info_industry_sw_2021(W4589,公司分析!D$5,2),IF($Y$3="申万三级行业",[1]!s_info_industry_sw_2021(W4589,公司分析!D$5,3),IF($Y$3="wind一级行业",[1]!s_info_industry_gics(W4589,1),IF($Y$3="wind二级行业",[1]!s_info_industry_gics(W4589,2),IF($Y$3="wind三级行业",[1]!s_info_industry_gics(W4589,3),IF($Y$3="wind四级行业",[1]!s_info_industry_gics(W4589,4),IF($Y$3="证监会门类行业",[1]!s_info_industry_csrc12_n(W4589,公司分析!D$5,1),""))))))))</f>
        <v>专业工程</v>
      </c>
      <c r="Z4589" s="302" t="str">
        <f ca="1">IF(Y4589=行业比较!$E$6,ROW(),"")</f>
        <v/>
      </c>
    </row>
    <row r="4590" spans="22:26">
      <c r="V4590" s="260">
        <f t="shared" ca="1" si="79"/>
        <v>0</v>
      </c>
      <c r="W4590" s="348" t="str">
        <f>IF(板块成分!B4592="","",板块成分!B4592)</f>
        <v>605599.SH</v>
      </c>
      <c r="X4590" s="276" t="str">
        <f>[1]!S_Info_Name(W4590)</f>
        <v>菜百股份</v>
      </c>
      <c r="Y4590" s="276" t="str">
        <f ca="1">IF($Y$3="申万一级行业",[1]!s_info_industry_sw_2021(W4590,公司分析!D$5,1),IF($Y$3="申万二级行业",[1]!s_info_industry_sw_2021(W4590,公司分析!D$5,2),IF($Y$3="申万三级行业",[1]!s_info_industry_sw_2021(W4590,公司分析!D$5,3),IF($Y$3="wind一级行业",[1]!s_info_industry_gics(W4590,1),IF($Y$3="wind二级行业",[1]!s_info_industry_gics(W4590,2),IF($Y$3="wind三级行业",[1]!s_info_industry_gics(W4590,3),IF($Y$3="wind四级行业",[1]!s_info_industry_gics(W4590,4),IF($Y$3="证监会门类行业",[1]!s_info_industry_csrc12_n(W4590,公司分析!D$5,1),""))))))))</f>
        <v>饰品</v>
      </c>
      <c r="Z4590" s="302" t="str">
        <f ca="1">IF(Y4590=行业比较!$E$6,ROW(),"")</f>
        <v/>
      </c>
    </row>
    <row r="4591" spans="22:26">
      <c r="V4591" s="260">
        <f t="shared" ca="1" si="79"/>
        <v>0</v>
      </c>
      <c r="W4591" s="348" t="str">
        <f>IF(板块成分!B4593="","",板块成分!B4593)</f>
        <v>688001.SH</v>
      </c>
      <c r="X4591" s="276" t="str">
        <f>[1]!S_Info_Name(W4591)</f>
        <v>华兴源创</v>
      </c>
      <c r="Y4591" s="276" t="str">
        <f ca="1">IF($Y$3="申万一级行业",[1]!s_info_industry_sw_2021(W4591,公司分析!D$5,1),IF($Y$3="申万二级行业",[1]!s_info_industry_sw_2021(W4591,公司分析!D$5,2),IF($Y$3="申万三级行业",[1]!s_info_industry_sw_2021(W4591,公司分析!D$5,3),IF($Y$3="wind一级行业",[1]!s_info_industry_gics(W4591,1),IF($Y$3="wind二级行业",[1]!s_info_industry_gics(W4591,2),IF($Y$3="wind三级行业",[1]!s_info_industry_gics(W4591,3),IF($Y$3="wind四级行业",[1]!s_info_industry_gics(W4591,4),IF($Y$3="证监会门类行业",[1]!s_info_industry_csrc12_n(W4591,公司分析!D$5,1),""))))))))</f>
        <v>通用设备</v>
      </c>
      <c r="Z4591" s="302" t="str">
        <f ca="1">IF(Y4591=行业比较!$E$6,ROW(),"")</f>
        <v/>
      </c>
    </row>
    <row r="4592" spans="22:26">
      <c r="V4592" s="260">
        <f t="shared" ca="1" si="79"/>
        <v>0</v>
      </c>
      <c r="W4592" s="348" t="str">
        <f>IF(板块成分!B4594="","",板块成分!B4594)</f>
        <v>688002.SH</v>
      </c>
      <c r="X4592" s="276" t="str">
        <f>[1]!S_Info_Name(W4592)</f>
        <v>睿创微纳</v>
      </c>
      <c r="Y4592" s="276" t="str">
        <f ca="1">IF($Y$3="申万一级行业",[1]!s_info_industry_sw_2021(W4592,公司分析!D$5,1),IF($Y$3="申万二级行业",[1]!s_info_industry_sw_2021(W4592,公司分析!D$5,2),IF($Y$3="申万三级行业",[1]!s_info_industry_sw_2021(W4592,公司分析!D$5,3),IF($Y$3="wind一级行业",[1]!s_info_industry_gics(W4592,1),IF($Y$3="wind二级行业",[1]!s_info_industry_gics(W4592,2),IF($Y$3="wind三级行业",[1]!s_info_industry_gics(W4592,3),IF($Y$3="wind四级行业",[1]!s_info_industry_gics(W4592,4),IF($Y$3="证监会门类行业",[1]!s_info_industry_csrc12_n(W4592,公司分析!D$5,1),""))))))))</f>
        <v>军工电子Ⅱ</v>
      </c>
      <c r="Z4592" s="302" t="str">
        <f ca="1">IF(Y4592=行业比较!$E$6,ROW(),"")</f>
        <v/>
      </c>
    </row>
    <row r="4593" spans="22:26">
      <c r="V4593" s="260">
        <f t="shared" ca="1" si="79"/>
        <v>0</v>
      </c>
      <c r="W4593" s="348" t="str">
        <f>IF(板块成分!B4595="","",板块成分!B4595)</f>
        <v>688003.SH</v>
      </c>
      <c r="X4593" s="276" t="str">
        <f>[1]!S_Info_Name(W4593)</f>
        <v>天准科技</v>
      </c>
      <c r="Y4593" s="276" t="str">
        <f ca="1">IF($Y$3="申万一级行业",[1]!s_info_industry_sw_2021(W4593,公司分析!D$5,1),IF($Y$3="申万二级行业",[1]!s_info_industry_sw_2021(W4593,公司分析!D$5,2),IF($Y$3="申万三级行业",[1]!s_info_industry_sw_2021(W4593,公司分析!D$5,3),IF($Y$3="wind一级行业",[1]!s_info_industry_gics(W4593,1),IF($Y$3="wind二级行业",[1]!s_info_industry_gics(W4593,2),IF($Y$3="wind三级行业",[1]!s_info_industry_gics(W4593,3),IF($Y$3="wind四级行业",[1]!s_info_industry_gics(W4593,4),IF($Y$3="证监会门类行业",[1]!s_info_industry_csrc12_n(W4593,公司分析!D$5,1),""))))))))</f>
        <v>自动化设备</v>
      </c>
      <c r="Z4593" s="302" t="str">
        <f ca="1">IF(Y4593=行业比较!$E$6,ROW(),"")</f>
        <v/>
      </c>
    </row>
    <row r="4594" spans="22:26">
      <c r="V4594" s="260">
        <f t="shared" ca="1" si="79"/>
        <v>0</v>
      </c>
      <c r="W4594" s="348" t="str">
        <f>IF(板块成分!B4596="","",板块成分!B4596)</f>
        <v>688004.SH</v>
      </c>
      <c r="X4594" s="276" t="str">
        <f>[1]!S_Info_Name(W4594)</f>
        <v>博汇科技</v>
      </c>
      <c r="Y4594" s="276" t="str">
        <f ca="1">IF($Y$3="申万一级行业",[1]!s_info_industry_sw_2021(W4594,公司分析!D$5,1),IF($Y$3="申万二级行业",[1]!s_info_industry_sw_2021(W4594,公司分析!D$5,2),IF($Y$3="申万三级行业",[1]!s_info_industry_sw_2021(W4594,公司分析!D$5,3),IF($Y$3="wind一级行业",[1]!s_info_industry_gics(W4594,1),IF($Y$3="wind二级行业",[1]!s_info_industry_gics(W4594,2),IF($Y$3="wind三级行业",[1]!s_info_industry_gics(W4594,3),IF($Y$3="wind四级行业",[1]!s_info_industry_gics(W4594,4),IF($Y$3="证监会门类行业",[1]!s_info_industry_csrc12_n(W4594,公司分析!D$5,1),""))))))))</f>
        <v>IT服务Ⅱ</v>
      </c>
      <c r="Z4594" s="302" t="str">
        <f ca="1">IF(Y4594=行业比较!$E$6,ROW(),"")</f>
        <v/>
      </c>
    </row>
    <row r="4595" spans="22:26">
      <c r="V4595" s="260">
        <f t="shared" ca="1" si="79"/>
        <v>0</v>
      </c>
      <c r="W4595" s="348" t="str">
        <f>IF(板块成分!B4597="","",板块成分!B4597)</f>
        <v>688005.SH</v>
      </c>
      <c r="X4595" s="276" t="str">
        <f>[1]!S_Info_Name(W4595)</f>
        <v>容百科技</v>
      </c>
      <c r="Y4595" s="276" t="str">
        <f ca="1">IF($Y$3="申万一级行业",[1]!s_info_industry_sw_2021(W4595,公司分析!D$5,1),IF($Y$3="申万二级行业",[1]!s_info_industry_sw_2021(W4595,公司分析!D$5,2),IF($Y$3="申万三级行业",[1]!s_info_industry_sw_2021(W4595,公司分析!D$5,3),IF($Y$3="wind一级行业",[1]!s_info_industry_gics(W4595,1),IF($Y$3="wind二级行业",[1]!s_info_industry_gics(W4595,2),IF($Y$3="wind三级行业",[1]!s_info_industry_gics(W4595,3),IF($Y$3="wind四级行业",[1]!s_info_industry_gics(W4595,4),IF($Y$3="证监会门类行业",[1]!s_info_industry_csrc12_n(W4595,公司分析!D$5,1),""))))))))</f>
        <v>电池</v>
      </c>
      <c r="Z4595" s="302" t="str">
        <f ca="1">IF(Y4595=行业比较!$E$6,ROW(),"")</f>
        <v/>
      </c>
    </row>
    <row r="4596" spans="22:26">
      <c r="V4596" s="260">
        <f t="shared" ca="1" si="79"/>
        <v>0</v>
      </c>
      <c r="W4596" s="348" t="str">
        <f>IF(板块成分!B4598="","",板块成分!B4598)</f>
        <v>688006.SH</v>
      </c>
      <c r="X4596" s="276" t="str">
        <f>[1]!S_Info_Name(W4596)</f>
        <v>杭可科技</v>
      </c>
      <c r="Y4596" s="276" t="str">
        <f ca="1">IF($Y$3="申万一级行业",[1]!s_info_industry_sw_2021(W4596,公司分析!D$5,1),IF($Y$3="申万二级行业",[1]!s_info_industry_sw_2021(W4596,公司分析!D$5,2),IF($Y$3="申万三级行业",[1]!s_info_industry_sw_2021(W4596,公司分析!D$5,3),IF($Y$3="wind一级行业",[1]!s_info_industry_gics(W4596,1),IF($Y$3="wind二级行业",[1]!s_info_industry_gics(W4596,2),IF($Y$3="wind三级行业",[1]!s_info_industry_gics(W4596,3),IF($Y$3="wind四级行业",[1]!s_info_industry_gics(W4596,4),IF($Y$3="证监会门类行业",[1]!s_info_industry_csrc12_n(W4596,公司分析!D$5,1),""))))))))</f>
        <v>电池</v>
      </c>
      <c r="Z4596" s="302" t="str">
        <f ca="1">IF(Y4596=行业比较!$E$6,ROW(),"")</f>
        <v/>
      </c>
    </row>
    <row r="4597" spans="22:26">
      <c r="V4597" s="260">
        <f t="shared" ca="1" si="79"/>
        <v>0</v>
      </c>
      <c r="W4597" s="348" t="str">
        <f>IF(板块成分!B4599="","",板块成分!B4599)</f>
        <v>688007.SH</v>
      </c>
      <c r="X4597" s="276" t="str">
        <f>[1]!S_Info_Name(W4597)</f>
        <v>光峰科技</v>
      </c>
      <c r="Y4597" s="276" t="str">
        <f ca="1">IF($Y$3="申万一级行业",[1]!s_info_industry_sw_2021(W4597,公司分析!D$5,1),IF($Y$3="申万二级行业",[1]!s_info_industry_sw_2021(W4597,公司分析!D$5,2),IF($Y$3="申万三级行业",[1]!s_info_industry_sw_2021(W4597,公司分析!D$5,3),IF($Y$3="wind一级行业",[1]!s_info_industry_gics(W4597,1),IF($Y$3="wind二级行业",[1]!s_info_industry_gics(W4597,2),IF($Y$3="wind三级行业",[1]!s_info_industry_gics(W4597,3),IF($Y$3="wind四级行业",[1]!s_info_industry_gics(W4597,4),IF($Y$3="证监会门类行业",[1]!s_info_industry_csrc12_n(W4597,公司分析!D$5,1),""))))))))</f>
        <v>消费电子</v>
      </c>
      <c r="Z4597" s="302" t="str">
        <f ca="1">IF(Y4597=行业比较!$E$6,ROW(),"")</f>
        <v/>
      </c>
    </row>
    <row r="4598" spans="22:26">
      <c r="V4598" s="260">
        <f t="shared" ca="1" si="79"/>
        <v>0</v>
      </c>
      <c r="W4598" s="348" t="str">
        <f>IF(板块成分!B4600="","",板块成分!B4600)</f>
        <v>688008.SH</v>
      </c>
      <c r="X4598" s="276" t="str">
        <f>[1]!S_Info_Name(W4598)</f>
        <v>澜起科技</v>
      </c>
      <c r="Y4598" s="276" t="str">
        <f ca="1">IF($Y$3="申万一级行业",[1]!s_info_industry_sw_2021(W4598,公司分析!D$5,1),IF($Y$3="申万二级行业",[1]!s_info_industry_sw_2021(W4598,公司分析!D$5,2),IF($Y$3="申万三级行业",[1]!s_info_industry_sw_2021(W4598,公司分析!D$5,3),IF($Y$3="wind一级行业",[1]!s_info_industry_gics(W4598,1),IF($Y$3="wind二级行业",[1]!s_info_industry_gics(W4598,2),IF($Y$3="wind三级行业",[1]!s_info_industry_gics(W4598,3),IF($Y$3="wind四级行业",[1]!s_info_industry_gics(W4598,4),IF($Y$3="证监会门类行业",[1]!s_info_industry_csrc12_n(W4598,公司分析!D$5,1),""))))))))</f>
        <v>半导体</v>
      </c>
      <c r="Z4598" s="302" t="str">
        <f ca="1">IF(Y4598=行业比较!$E$6,ROW(),"")</f>
        <v/>
      </c>
    </row>
    <row r="4599" spans="22:26">
      <c r="V4599" s="260">
        <f t="shared" ca="1" si="79"/>
        <v>0</v>
      </c>
      <c r="W4599" s="348" t="str">
        <f>IF(板块成分!B4601="","",板块成分!B4601)</f>
        <v>688009.SH</v>
      </c>
      <c r="X4599" s="276" t="str">
        <f>[1]!S_Info_Name(W4599)</f>
        <v>中国通号</v>
      </c>
      <c r="Y4599" s="276" t="str">
        <f ca="1">IF($Y$3="申万一级行业",[1]!s_info_industry_sw_2021(W4599,公司分析!D$5,1),IF($Y$3="申万二级行业",[1]!s_info_industry_sw_2021(W4599,公司分析!D$5,2),IF($Y$3="申万三级行业",[1]!s_info_industry_sw_2021(W4599,公司分析!D$5,3),IF($Y$3="wind一级行业",[1]!s_info_industry_gics(W4599,1),IF($Y$3="wind二级行业",[1]!s_info_industry_gics(W4599,2),IF($Y$3="wind三级行业",[1]!s_info_industry_gics(W4599,3),IF($Y$3="wind四级行业",[1]!s_info_industry_gics(W4599,4),IF($Y$3="证监会门类行业",[1]!s_info_industry_csrc12_n(W4599,公司分析!D$5,1),""))))))))</f>
        <v>轨交设备Ⅱ</v>
      </c>
      <c r="Z4599" s="302" t="str">
        <f ca="1">IF(Y4599=行业比较!$E$6,ROW(),"")</f>
        <v/>
      </c>
    </row>
    <row r="4600" spans="22:26">
      <c r="V4600" s="260">
        <f t="shared" ca="1" si="79"/>
        <v>0</v>
      </c>
      <c r="W4600" s="348" t="str">
        <f>IF(板块成分!B4602="","",板块成分!B4602)</f>
        <v>688010.SH</v>
      </c>
      <c r="X4600" s="276" t="str">
        <f>[1]!S_Info_Name(W4600)</f>
        <v>福光股份</v>
      </c>
      <c r="Y4600" s="276" t="str">
        <f ca="1">IF($Y$3="申万一级行业",[1]!s_info_industry_sw_2021(W4600,公司分析!D$5,1),IF($Y$3="申万二级行业",[1]!s_info_industry_sw_2021(W4600,公司分析!D$5,2),IF($Y$3="申万三级行业",[1]!s_info_industry_sw_2021(W4600,公司分析!D$5,3),IF($Y$3="wind一级行业",[1]!s_info_industry_gics(W4600,1),IF($Y$3="wind二级行业",[1]!s_info_industry_gics(W4600,2),IF($Y$3="wind三级行业",[1]!s_info_industry_gics(W4600,3),IF($Y$3="wind四级行业",[1]!s_info_industry_gics(W4600,4),IF($Y$3="证监会门类行业",[1]!s_info_industry_csrc12_n(W4600,公司分析!D$5,1),""))))))))</f>
        <v>光学光电子</v>
      </c>
      <c r="Z4600" s="302" t="str">
        <f ca="1">IF(Y4600=行业比较!$E$6,ROW(),"")</f>
        <v/>
      </c>
    </row>
    <row r="4601" spans="22:26">
      <c r="V4601" s="260">
        <f t="shared" ca="1" si="79"/>
        <v>0</v>
      </c>
      <c r="W4601" s="348" t="str">
        <f>IF(板块成分!B4603="","",板块成分!B4603)</f>
        <v>688011.SH</v>
      </c>
      <c r="X4601" s="276" t="str">
        <f>[1]!S_Info_Name(W4601)</f>
        <v>新光光电</v>
      </c>
      <c r="Y4601" s="276" t="str">
        <f ca="1">IF($Y$3="申万一级行业",[1]!s_info_industry_sw_2021(W4601,公司分析!D$5,1),IF($Y$3="申万二级行业",[1]!s_info_industry_sw_2021(W4601,公司分析!D$5,2),IF($Y$3="申万三级行业",[1]!s_info_industry_sw_2021(W4601,公司分析!D$5,3),IF($Y$3="wind一级行业",[1]!s_info_industry_gics(W4601,1),IF($Y$3="wind二级行业",[1]!s_info_industry_gics(W4601,2),IF($Y$3="wind三级行业",[1]!s_info_industry_gics(W4601,3),IF($Y$3="wind四级行业",[1]!s_info_industry_gics(W4601,4),IF($Y$3="证监会门类行业",[1]!s_info_industry_csrc12_n(W4601,公司分析!D$5,1),""))))))))</f>
        <v>军工电子Ⅱ</v>
      </c>
      <c r="Z4601" s="302" t="str">
        <f ca="1">IF(Y4601=行业比较!$E$6,ROW(),"")</f>
        <v/>
      </c>
    </row>
    <row r="4602" spans="22:26">
      <c r="V4602" s="260">
        <f t="shared" ca="1" si="79"/>
        <v>0</v>
      </c>
      <c r="W4602" s="348" t="str">
        <f>IF(板块成分!B4604="","",板块成分!B4604)</f>
        <v>688012.SH</v>
      </c>
      <c r="X4602" s="276" t="str">
        <f>[1]!S_Info_Name(W4602)</f>
        <v>中微公司</v>
      </c>
      <c r="Y4602" s="276" t="str">
        <f ca="1">IF($Y$3="申万一级行业",[1]!s_info_industry_sw_2021(W4602,公司分析!D$5,1),IF($Y$3="申万二级行业",[1]!s_info_industry_sw_2021(W4602,公司分析!D$5,2),IF($Y$3="申万三级行业",[1]!s_info_industry_sw_2021(W4602,公司分析!D$5,3),IF($Y$3="wind一级行业",[1]!s_info_industry_gics(W4602,1),IF($Y$3="wind二级行业",[1]!s_info_industry_gics(W4602,2),IF($Y$3="wind三级行业",[1]!s_info_industry_gics(W4602,3),IF($Y$3="wind四级行业",[1]!s_info_industry_gics(W4602,4),IF($Y$3="证监会门类行业",[1]!s_info_industry_csrc12_n(W4602,公司分析!D$5,1),""))))))))</f>
        <v>半导体</v>
      </c>
      <c r="Z4602" s="302" t="str">
        <f ca="1">IF(Y4602=行业比较!$E$6,ROW(),"")</f>
        <v/>
      </c>
    </row>
    <row r="4603" spans="22:26">
      <c r="V4603" s="260">
        <f t="shared" ca="1" si="79"/>
        <v>0</v>
      </c>
      <c r="W4603" s="348" t="str">
        <f>IF(板块成分!B4605="","",板块成分!B4605)</f>
        <v>688013.SH</v>
      </c>
      <c r="X4603" s="276" t="str">
        <f>[1]!S_Info_Name(W4603)</f>
        <v>天臣医疗</v>
      </c>
      <c r="Y4603" s="276" t="str">
        <f ca="1">IF($Y$3="申万一级行业",[1]!s_info_industry_sw_2021(W4603,公司分析!D$5,1),IF($Y$3="申万二级行业",[1]!s_info_industry_sw_2021(W4603,公司分析!D$5,2),IF($Y$3="申万三级行业",[1]!s_info_industry_sw_2021(W4603,公司分析!D$5,3),IF($Y$3="wind一级行业",[1]!s_info_industry_gics(W4603,1),IF($Y$3="wind二级行业",[1]!s_info_industry_gics(W4603,2),IF($Y$3="wind三级行业",[1]!s_info_industry_gics(W4603,3),IF($Y$3="wind四级行业",[1]!s_info_industry_gics(W4603,4),IF($Y$3="证监会门类行业",[1]!s_info_industry_csrc12_n(W4603,公司分析!D$5,1),""))))))))</f>
        <v>医疗器械</v>
      </c>
      <c r="Z4603" s="302" t="str">
        <f ca="1">IF(Y4603=行业比较!$E$6,ROW(),"")</f>
        <v/>
      </c>
    </row>
    <row r="4604" spans="22:26">
      <c r="V4604" s="260">
        <f t="shared" ca="1" si="79"/>
        <v>0</v>
      </c>
      <c r="W4604" s="348" t="str">
        <f>IF(板块成分!B4606="","",板块成分!B4606)</f>
        <v>688015.SH</v>
      </c>
      <c r="X4604" s="276" t="str">
        <f>[1]!S_Info_Name(W4604)</f>
        <v>交控科技</v>
      </c>
      <c r="Y4604" s="276" t="str">
        <f ca="1">IF($Y$3="申万一级行业",[1]!s_info_industry_sw_2021(W4604,公司分析!D$5,1),IF($Y$3="申万二级行业",[1]!s_info_industry_sw_2021(W4604,公司分析!D$5,2),IF($Y$3="申万三级行业",[1]!s_info_industry_sw_2021(W4604,公司分析!D$5,3),IF($Y$3="wind一级行业",[1]!s_info_industry_gics(W4604,1),IF($Y$3="wind二级行业",[1]!s_info_industry_gics(W4604,2),IF($Y$3="wind三级行业",[1]!s_info_industry_gics(W4604,3),IF($Y$3="wind四级行业",[1]!s_info_industry_gics(W4604,4),IF($Y$3="证监会门类行业",[1]!s_info_industry_csrc12_n(W4604,公司分析!D$5,1),""))))))))</f>
        <v>轨交设备Ⅱ</v>
      </c>
      <c r="Z4604" s="302" t="str">
        <f ca="1">IF(Y4604=行业比较!$E$6,ROW(),"")</f>
        <v/>
      </c>
    </row>
    <row r="4605" spans="22:26">
      <c r="V4605" s="260">
        <f t="shared" ca="1" si="79"/>
        <v>0</v>
      </c>
      <c r="W4605" s="348" t="str">
        <f>IF(板块成分!B4607="","",板块成分!B4607)</f>
        <v>688016.SH</v>
      </c>
      <c r="X4605" s="276" t="str">
        <f>[1]!S_Info_Name(W4605)</f>
        <v>心脉医疗</v>
      </c>
      <c r="Y4605" s="276" t="str">
        <f ca="1">IF($Y$3="申万一级行业",[1]!s_info_industry_sw_2021(W4605,公司分析!D$5,1),IF($Y$3="申万二级行业",[1]!s_info_industry_sw_2021(W4605,公司分析!D$5,2),IF($Y$3="申万三级行业",[1]!s_info_industry_sw_2021(W4605,公司分析!D$5,3),IF($Y$3="wind一级行业",[1]!s_info_industry_gics(W4605,1),IF($Y$3="wind二级行业",[1]!s_info_industry_gics(W4605,2),IF($Y$3="wind三级行业",[1]!s_info_industry_gics(W4605,3),IF($Y$3="wind四级行业",[1]!s_info_industry_gics(W4605,4),IF($Y$3="证监会门类行业",[1]!s_info_industry_csrc12_n(W4605,公司分析!D$5,1),""))))))))</f>
        <v>医疗器械</v>
      </c>
      <c r="Z4605" s="302" t="str">
        <f ca="1">IF(Y4605=行业比较!$E$6,ROW(),"")</f>
        <v/>
      </c>
    </row>
    <row r="4606" spans="22:26">
      <c r="V4606" s="260">
        <f t="shared" ca="1" si="79"/>
        <v>0</v>
      </c>
      <c r="W4606" s="348" t="str">
        <f>IF(板块成分!B4608="","",板块成分!B4608)</f>
        <v>688017.SH</v>
      </c>
      <c r="X4606" s="276" t="str">
        <f>[1]!S_Info_Name(W4606)</f>
        <v>绿的谐波</v>
      </c>
      <c r="Y4606" s="276" t="str">
        <f ca="1">IF($Y$3="申万一级行业",[1]!s_info_industry_sw_2021(W4606,公司分析!D$5,1),IF($Y$3="申万二级行业",[1]!s_info_industry_sw_2021(W4606,公司分析!D$5,2),IF($Y$3="申万三级行业",[1]!s_info_industry_sw_2021(W4606,公司分析!D$5,3),IF($Y$3="wind一级行业",[1]!s_info_industry_gics(W4606,1),IF($Y$3="wind二级行业",[1]!s_info_industry_gics(W4606,2),IF($Y$3="wind三级行业",[1]!s_info_industry_gics(W4606,3),IF($Y$3="wind四级行业",[1]!s_info_industry_gics(W4606,4),IF($Y$3="证监会门类行业",[1]!s_info_industry_csrc12_n(W4606,公司分析!D$5,1),""))))))))</f>
        <v>自动化设备</v>
      </c>
      <c r="Z4606" s="302" t="str">
        <f ca="1">IF(Y4606=行业比较!$E$6,ROW(),"")</f>
        <v/>
      </c>
    </row>
    <row r="4607" spans="22:26">
      <c r="V4607" s="260">
        <f t="shared" ca="1" si="79"/>
        <v>0</v>
      </c>
      <c r="W4607" s="348" t="str">
        <f>IF(板块成分!B4609="","",板块成分!B4609)</f>
        <v>688018.SH</v>
      </c>
      <c r="X4607" s="276" t="str">
        <f>[1]!S_Info_Name(W4607)</f>
        <v>乐鑫科技</v>
      </c>
      <c r="Y4607" s="276" t="str">
        <f ca="1">IF($Y$3="申万一级行业",[1]!s_info_industry_sw_2021(W4607,公司分析!D$5,1),IF($Y$3="申万二级行业",[1]!s_info_industry_sw_2021(W4607,公司分析!D$5,2),IF($Y$3="申万三级行业",[1]!s_info_industry_sw_2021(W4607,公司分析!D$5,3),IF($Y$3="wind一级行业",[1]!s_info_industry_gics(W4607,1),IF($Y$3="wind二级行业",[1]!s_info_industry_gics(W4607,2),IF($Y$3="wind三级行业",[1]!s_info_industry_gics(W4607,3),IF($Y$3="wind四级行业",[1]!s_info_industry_gics(W4607,4),IF($Y$3="证监会门类行业",[1]!s_info_industry_csrc12_n(W4607,公司分析!D$5,1),""))))))))</f>
        <v>半导体</v>
      </c>
      <c r="Z4607" s="302" t="str">
        <f ca="1">IF(Y4607=行业比较!$E$6,ROW(),"")</f>
        <v/>
      </c>
    </row>
    <row r="4608" spans="22:26">
      <c r="V4608" s="260">
        <f t="shared" ca="1" si="79"/>
        <v>0</v>
      </c>
      <c r="W4608" s="348" t="str">
        <f>IF(板块成分!B4610="","",板块成分!B4610)</f>
        <v>688019.SH</v>
      </c>
      <c r="X4608" s="276" t="str">
        <f>[1]!S_Info_Name(W4608)</f>
        <v>安集科技</v>
      </c>
      <c r="Y4608" s="276" t="str">
        <f ca="1">IF($Y$3="申万一级行业",[1]!s_info_industry_sw_2021(W4608,公司分析!D$5,1),IF($Y$3="申万二级行业",[1]!s_info_industry_sw_2021(W4608,公司分析!D$5,2),IF($Y$3="申万三级行业",[1]!s_info_industry_sw_2021(W4608,公司分析!D$5,3),IF($Y$3="wind一级行业",[1]!s_info_industry_gics(W4608,1),IF($Y$3="wind二级行业",[1]!s_info_industry_gics(W4608,2),IF($Y$3="wind三级行业",[1]!s_info_industry_gics(W4608,3),IF($Y$3="wind四级行业",[1]!s_info_industry_gics(W4608,4),IF($Y$3="证监会门类行业",[1]!s_info_industry_csrc12_n(W4608,公司分析!D$5,1),""))))))))</f>
        <v>电子化学品Ⅱ</v>
      </c>
      <c r="Z4608" s="302" t="str">
        <f ca="1">IF(Y4608=行业比较!$E$6,ROW(),"")</f>
        <v/>
      </c>
    </row>
    <row r="4609" spans="22:26">
      <c r="V4609" s="260">
        <f t="shared" ca="1" si="79"/>
        <v>0</v>
      </c>
      <c r="W4609" s="348" t="str">
        <f>IF(板块成分!B4611="","",板块成分!B4611)</f>
        <v>688020.SH</v>
      </c>
      <c r="X4609" s="276" t="str">
        <f>[1]!S_Info_Name(W4609)</f>
        <v>方邦股份</v>
      </c>
      <c r="Y4609" s="276" t="str">
        <f ca="1">IF($Y$3="申万一级行业",[1]!s_info_industry_sw_2021(W4609,公司分析!D$5,1),IF($Y$3="申万二级行业",[1]!s_info_industry_sw_2021(W4609,公司分析!D$5,2),IF($Y$3="申万三级行业",[1]!s_info_industry_sw_2021(W4609,公司分析!D$5,3),IF($Y$3="wind一级行业",[1]!s_info_industry_gics(W4609,1),IF($Y$3="wind二级行业",[1]!s_info_industry_gics(W4609,2),IF($Y$3="wind三级行业",[1]!s_info_industry_gics(W4609,3),IF($Y$3="wind四级行业",[1]!s_info_industry_gics(W4609,4),IF($Y$3="证监会门类行业",[1]!s_info_industry_csrc12_n(W4609,公司分析!D$5,1),""))))))))</f>
        <v>元件</v>
      </c>
      <c r="Z4609" s="302" t="str">
        <f ca="1">IF(Y4609=行业比较!$E$6,ROW(),"")</f>
        <v/>
      </c>
    </row>
    <row r="4610" spans="22:26">
      <c r="V4610" s="260">
        <f t="shared" ca="1" si="79"/>
        <v>0</v>
      </c>
      <c r="W4610" s="348" t="str">
        <f>IF(板块成分!B4612="","",板块成分!B4612)</f>
        <v>688021.SH</v>
      </c>
      <c r="X4610" s="276" t="str">
        <f>[1]!S_Info_Name(W4610)</f>
        <v>奥福科技</v>
      </c>
      <c r="Y4610" s="276" t="str">
        <f ca="1">IF($Y$3="申万一级行业",[1]!s_info_industry_sw_2021(W4610,公司分析!D$5,1),IF($Y$3="申万二级行业",[1]!s_info_industry_sw_2021(W4610,公司分析!D$5,2),IF($Y$3="申万三级行业",[1]!s_info_industry_sw_2021(W4610,公司分析!D$5,3),IF($Y$3="wind一级行业",[1]!s_info_industry_gics(W4610,1),IF($Y$3="wind二级行业",[1]!s_info_industry_gics(W4610,2),IF($Y$3="wind三级行业",[1]!s_info_industry_gics(W4610,3),IF($Y$3="wind四级行业",[1]!s_info_industry_gics(W4610,4),IF($Y$3="证监会门类行业",[1]!s_info_industry_csrc12_n(W4610,公司分析!D$5,1),""))))))))</f>
        <v>汽车零部件</v>
      </c>
      <c r="Z4610" s="302" t="str">
        <f ca="1">IF(Y4610=行业比较!$E$6,ROW(),"")</f>
        <v/>
      </c>
    </row>
    <row r="4611" spans="22:26">
      <c r="V4611" s="260">
        <f t="shared" ca="1" si="79"/>
        <v>0</v>
      </c>
      <c r="W4611" s="348" t="str">
        <f>IF(板块成分!B4613="","",板块成分!B4613)</f>
        <v>688022.SH</v>
      </c>
      <c r="X4611" s="276" t="str">
        <f>[1]!S_Info_Name(W4611)</f>
        <v>瀚川智能</v>
      </c>
      <c r="Y4611" s="276" t="str">
        <f ca="1">IF($Y$3="申万一级行业",[1]!s_info_industry_sw_2021(W4611,公司分析!D$5,1),IF($Y$3="申万二级行业",[1]!s_info_industry_sw_2021(W4611,公司分析!D$5,2),IF($Y$3="申万三级行业",[1]!s_info_industry_sw_2021(W4611,公司分析!D$5,3),IF($Y$3="wind一级行业",[1]!s_info_industry_gics(W4611,1),IF($Y$3="wind二级行业",[1]!s_info_industry_gics(W4611,2),IF($Y$3="wind三级行业",[1]!s_info_industry_gics(W4611,3),IF($Y$3="wind四级行业",[1]!s_info_industry_gics(W4611,4),IF($Y$3="证监会门类行业",[1]!s_info_industry_csrc12_n(W4611,公司分析!D$5,1),""))))))))</f>
        <v>专用设备</v>
      </c>
      <c r="Z4611" s="302" t="str">
        <f ca="1">IF(Y4611=行业比较!$E$6,ROW(),"")</f>
        <v/>
      </c>
    </row>
    <row r="4612" spans="22:26">
      <c r="V4612" s="260">
        <f t="shared" ca="1" si="79"/>
        <v>0</v>
      </c>
      <c r="W4612" s="348" t="str">
        <f>IF(板块成分!B4614="","",板块成分!B4614)</f>
        <v>688023.SH</v>
      </c>
      <c r="X4612" s="276" t="str">
        <f>[1]!S_Info_Name(W4612)</f>
        <v>安恒信息</v>
      </c>
      <c r="Y4612" s="276" t="str">
        <f ca="1">IF($Y$3="申万一级行业",[1]!s_info_industry_sw_2021(W4612,公司分析!D$5,1),IF($Y$3="申万二级行业",[1]!s_info_industry_sw_2021(W4612,公司分析!D$5,2),IF($Y$3="申万三级行业",[1]!s_info_industry_sw_2021(W4612,公司分析!D$5,3),IF($Y$3="wind一级行业",[1]!s_info_industry_gics(W4612,1),IF($Y$3="wind二级行业",[1]!s_info_industry_gics(W4612,2),IF($Y$3="wind三级行业",[1]!s_info_industry_gics(W4612,3),IF($Y$3="wind四级行业",[1]!s_info_industry_gics(W4612,4),IF($Y$3="证监会门类行业",[1]!s_info_industry_csrc12_n(W4612,公司分析!D$5,1),""))))))))</f>
        <v>软件开发</v>
      </c>
      <c r="Z4612" s="302" t="str">
        <f ca="1">IF(Y4612=行业比较!$E$6,ROW(),"")</f>
        <v/>
      </c>
    </row>
    <row r="4613" spans="22:26">
      <c r="V4613" s="260">
        <f t="shared" ref="V4613:V4676" ca="1" si="80">IF(Z4613="",0,RANK(Z4613,Z:Z,1))</f>
        <v>0</v>
      </c>
      <c r="W4613" s="348" t="str">
        <f>IF(板块成分!B4615="","",板块成分!B4615)</f>
        <v>688025.SH</v>
      </c>
      <c r="X4613" s="276" t="str">
        <f>[1]!S_Info_Name(W4613)</f>
        <v>杰普特</v>
      </c>
      <c r="Y4613" s="276" t="str">
        <f ca="1">IF($Y$3="申万一级行业",[1]!s_info_industry_sw_2021(W4613,公司分析!D$5,1),IF($Y$3="申万二级行业",[1]!s_info_industry_sw_2021(W4613,公司分析!D$5,2),IF($Y$3="申万三级行业",[1]!s_info_industry_sw_2021(W4613,公司分析!D$5,3),IF($Y$3="wind一级行业",[1]!s_info_industry_gics(W4613,1),IF($Y$3="wind二级行业",[1]!s_info_industry_gics(W4613,2),IF($Y$3="wind三级行业",[1]!s_info_industry_gics(W4613,3),IF($Y$3="wind四级行业",[1]!s_info_industry_gics(W4613,4),IF($Y$3="证监会门类行业",[1]!s_info_industry_csrc12_n(W4613,公司分析!D$5,1),""))))))))</f>
        <v>自动化设备</v>
      </c>
      <c r="Z4613" s="302" t="str">
        <f ca="1">IF(Y4613=行业比较!$E$6,ROW(),"")</f>
        <v/>
      </c>
    </row>
    <row r="4614" spans="22:26">
      <c r="V4614" s="260">
        <f t="shared" ca="1" si="80"/>
        <v>0</v>
      </c>
      <c r="W4614" s="348" t="str">
        <f>IF(板块成分!B4616="","",板块成分!B4616)</f>
        <v>688026.SH</v>
      </c>
      <c r="X4614" s="276" t="str">
        <f>[1]!S_Info_Name(W4614)</f>
        <v>洁特生物</v>
      </c>
      <c r="Y4614" s="276" t="str">
        <f ca="1">IF($Y$3="申万一级行业",[1]!s_info_industry_sw_2021(W4614,公司分析!D$5,1),IF($Y$3="申万二级行业",[1]!s_info_industry_sw_2021(W4614,公司分析!D$5,2),IF($Y$3="申万三级行业",[1]!s_info_industry_sw_2021(W4614,公司分析!D$5,3),IF($Y$3="wind一级行业",[1]!s_info_industry_gics(W4614,1),IF($Y$3="wind二级行业",[1]!s_info_industry_gics(W4614,2),IF($Y$3="wind三级行业",[1]!s_info_industry_gics(W4614,3),IF($Y$3="wind四级行业",[1]!s_info_industry_gics(W4614,4),IF($Y$3="证监会门类行业",[1]!s_info_industry_csrc12_n(W4614,公司分析!D$5,1),""))))))))</f>
        <v>医疗器械</v>
      </c>
      <c r="Z4614" s="302" t="str">
        <f ca="1">IF(Y4614=行业比较!$E$6,ROW(),"")</f>
        <v/>
      </c>
    </row>
    <row r="4615" spans="22:26">
      <c r="V4615" s="260">
        <f t="shared" ca="1" si="80"/>
        <v>0</v>
      </c>
      <c r="W4615" s="348" t="str">
        <f>IF(板块成分!B4617="","",板块成分!B4617)</f>
        <v>688027.SH</v>
      </c>
      <c r="X4615" s="276" t="str">
        <f>[1]!S_Info_Name(W4615)</f>
        <v>国盾量子</v>
      </c>
      <c r="Y4615" s="276" t="str">
        <f ca="1">IF($Y$3="申万一级行业",[1]!s_info_industry_sw_2021(W4615,公司分析!D$5,1),IF($Y$3="申万二级行业",[1]!s_info_industry_sw_2021(W4615,公司分析!D$5,2),IF($Y$3="申万三级行业",[1]!s_info_industry_sw_2021(W4615,公司分析!D$5,3),IF($Y$3="wind一级行业",[1]!s_info_industry_gics(W4615,1),IF($Y$3="wind二级行业",[1]!s_info_industry_gics(W4615,2),IF($Y$3="wind三级行业",[1]!s_info_industry_gics(W4615,3),IF($Y$3="wind四级行业",[1]!s_info_industry_gics(W4615,4),IF($Y$3="证监会门类行业",[1]!s_info_industry_csrc12_n(W4615,公司分析!D$5,1),""))))))))</f>
        <v>通信设备</v>
      </c>
      <c r="Z4615" s="302" t="str">
        <f ca="1">IF(Y4615=行业比较!$E$6,ROW(),"")</f>
        <v/>
      </c>
    </row>
    <row r="4616" spans="22:26">
      <c r="V4616" s="260">
        <f t="shared" ca="1" si="80"/>
        <v>0</v>
      </c>
      <c r="W4616" s="348" t="str">
        <f>IF(板块成分!B4618="","",板块成分!B4618)</f>
        <v>688028.SH</v>
      </c>
      <c r="X4616" s="276" t="str">
        <f>[1]!S_Info_Name(W4616)</f>
        <v>沃尔德</v>
      </c>
      <c r="Y4616" s="276" t="str">
        <f ca="1">IF($Y$3="申万一级行业",[1]!s_info_industry_sw_2021(W4616,公司分析!D$5,1),IF($Y$3="申万二级行业",[1]!s_info_industry_sw_2021(W4616,公司分析!D$5,2),IF($Y$3="申万三级行业",[1]!s_info_industry_sw_2021(W4616,公司分析!D$5,3),IF($Y$3="wind一级行业",[1]!s_info_industry_gics(W4616,1),IF($Y$3="wind二级行业",[1]!s_info_industry_gics(W4616,2),IF($Y$3="wind三级行业",[1]!s_info_industry_gics(W4616,3),IF($Y$3="wind四级行业",[1]!s_info_industry_gics(W4616,4),IF($Y$3="证监会门类行业",[1]!s_info_industry_csrc12_n(W4616,公司分析!D$5,1),""))))))))</f>
        <v>通用设备</v>
      </c>
      <c r="Z4616" s="302" t="str">
        <f ca="1">IF(Y4616=行业比较!$E$6,ROW(),"")</f>
        <v/>
      </c>
    </row>
    <row r="4617" spans="22:26">
      <c r="V4617" s="260">
        <f t="shared" ca="1" si="80"/>
        <v>0</v>
      </c>
      <c r="W4617" s="348" t="str">
        <f>IF(板块成分!B4619="","",板块成分!B4619)</f>
        <v>688029.SH</v>
      </c>
      <c r="X4617" s="276" t="str">
        <f>[1]!S_Info_Name(W4617)</f>
        <v>南微医学</v>
      </c>
      <c r="Y4617" s="276" t="str">
        <f ca="1">IF($Y$3="申万一级行业",[1]!s_info_industry_sw_2021(W4617,公司分析!D$5,1),IF($Y$3="申万二级行业",[1]!s_info_industry_sw_2021(W4617,公司分析!D$5,2),IF($Y$3="申万三级行业",[1]!s_info_industry_sw_2021(W4617,公司分析!D$5,3),IF($Y$3="wind一级行业",[1]!s_info_industry_gics(W4617,1),IF($Y$3="wind二级行业",[1]!s_info_industry_gics(W4617,2),IF($Y$3="wind三级行业",[1]!s_info_industry_gics(W4617,3),IF($Y$3="wind四级行业",[1]!s_info_industry_gics(W4617,4),IF($Y$3="证监会门类行业",[1]!s_info_industry_csrc12_n(W4617,公司分析!D$5,1),""))))))))</f>
        <v>医疗器械</v>
      </c>
      <c r="Z4617" s="302" t="str">
        <f ca="1">IF(Y4617=行业比较!$E$6,ROW(),"")</f>
        <v/>
      </c>
    </row>
    <row r="4618" spans="22:26">
      <c r="V4618" s="260">
        <f t="shared" ca="1" si="80"/>
        <v>0</v>
      </c>
      <c r="W4618" s="348" t="str">
        <f>IF(板块成分!B4620="","",板块成分!B4620)</f>
        <v>688030.SH</v>
      </c>
      <c r="X4618" s="276" t="str">
        <f>[1]!S_Info_Name(W4618)</f>
        <v>山石网科</v>
      </c>
      <c r="Y4618" s="276" t="str">
        <f ca="1">IF($Y$3="申万一级行业",[1]!s_info_industry_sw_2021(W4618,公司分析!D$5,1),IF($Y$3="申万二级行业",[1]!s_info_industry_sw_2021(W4618,公司分析!D$5,2),IF($Y$3="申万三级行业",[1]!s_info_industry_sw_2021(W4618,公司分析!D$5,3),IF($Y$3="wind一级行业",[1]!s_info_industry_gics(W4618,1),IF($Y$3="wind二级行业",[1]!s_info_industry_gics(W4618,2),IF($Y$3="wind三级行业",[1]!s_info_industry_gics(W4618,3),IF($Y$3="wind四级行业",[1]!s_info_industry_gics(W4618,4),IF($Y$3="证监会门类行业",[1]!s_info_industry_csrc12_n(W4618,公司分析!D$5,1),""))))))))</f>
        <v>软件开发</v>
      </c>
      <c r="Z4618" s="302" t="str">
        <f ca="1">IF(Y4618=行业比较!$E$6,ROW(),"")</f>
        <v/>
      </c>
    </row>
    <row r="4619" spans="22:26">
      <c r="V4619" s="260">
        <f t="shared" ca="1" si="80"/>
        <v>0</v>
      </c>
      <c r="W4619" s="348" t="str">
        <f>IF(板块成分!B4621="","",板块成分!B4621)</f>
        <v>688031.SH</v>
      </c>
      <c r="X4619" s="276" t="str">
        <f>[1]!S_Info_Name(W4619)</f>
        <v>星环科技-U</v>
      </c>
      <c r="Y4619" s="276" t="str">
        <f ca="1">IF($Y$3="申万一级行业",[1]!s_info_industry_sw_2021(W4619,公司分析!D$5,1),IF($Y$3="申万二级行业",[1]!s_info_industry_sw_2021(W4619,公司分析!D$5,2),IF($Y$3="申万三级行业",[1]!s_info_industry_sw_2021(W4619,公司分析!D$5,3),IF($Y$3="wind一级行业",[1]!s_info_industry_gics(W4619,1),IF($Y$3="wind二级行业",[1]!s_info_industry_gics(W4619,2),IF($Y$3="wind三级行业",[1]!s_info_industry_gics(W4619,3),IF($Y$3="wind四级行业",[1]!s_info_industry_gics(W4619,4),IF($Y$3="证监会门类行业",[1]!s_info_industry_csrc12_n(W4619,公司分析!D$5,1),""))))))))</f>
        <v>软件开发</v>
      </c>
      <c r="Z4619" s="302" t="str">
        <f ca="1">IF(Y4619=行业比较!$E$6,ROW(),"")</f>
        <v/>
      </c>
    </row>
    <row r="4620" spans="22:26">
      <c r="V4620" s="260">
        <f t="shared" ca="1" si="80"/>
        <v>0</v>
      </c>
      <c r="W4620" s="348" t="str">
        <f>IF(板块成分!B4622="","",板块成分!B4622)</f>
        <v>688032.SH</v>
      </c>
      <c r="X4620" s="276" t="str">
        <f>[1]!S_Info_Name(W4620)</f>
        <v>禾迈股份</v>
      </c>
      <c r="Y4620" s="276" t="str">
        <f ca="1">IF($Y$3="申万一级行业",[1]!s_info_industry_sw_2021(W4620,公司分析!D$5,1),IF($Y$3="申万二级行业",[1]!s_info_industry_sw_2021(W4620,公司分析!D$5,2),IF($Y$3="申万三级行业",[1]!s_info_industry_sw_2021(W4620,公司分析!D$5,3),IF($Y$3="wind一级行业",[1]!s_info_industry_gics(W4620,1),IF($Y$3="wind二级行业",[1]!s_info_industry_gics(W4620,2),IF($Y$3="wind三级行业",[1]!s_info_industry_gics(W4620,3),IF($Y$3="wind四级行业",[1]!s_info_industry_gics(W4620,4),IF($Y$3="证监会门类行业",[1]!s_info_industry_csrc12_n(W4620,公司分析!D$5,1),""))))))))</f>
        <v>光伏设备</v>
      </c>
      <c r="Z4620" s="302" t="str">
        <f ca="1">IF(Y4620=行业比较!$E$6,ROW(),"")</f>
        <v/>
      </c>
    </row>
    <row r="4621" spans="22:26">
      <c r="V4621" s="260">
        <f t="shared" ca="1" si="80"/>
        <v>0</v>
      </c>
      <c r="W4621" s="348" t="str">
        <f>IF(板块成分!B4623="","",板块成分!B4623)</f>
        <v>688033.SH</v>
      </c>
      <c r="X4621" s="276" t="str">
        <f>[1]!S_Info_Name(W4621)</f>
        <v>天宜新材</v>
      </c>
      <c r="Y4621" s="276" t="str">
        <f ca="1">IF($Y$3="申万一级行业",[1]!s_info_industry_sw_2021(W4621,公司分析!D$5,1),IF($Y$3="申万二级行业",[1]!s_info_industry_sw_2021(W4621,公司分析!D$5,2),IF($Y$3="申万三级行业",[1]!s_info_industry_sw_2021(W4621,公司分析!D$5,3),IF($Y$3="wind一级行业",[1]!s_info_industry_gics(W4621,1),IF($Y$3="wind二级行业",[1]!s_info_industry_gics(W4621,2),IF($Y$3="wind三级行业",[1]!s_info_industry_gics(W4621,3),IF($Y$3="wind四级行业",[1]!s_info_industry_gics(W4621,4),IF($Y$3="证监会门类行业",[1]!s_info_industry_csrc12_n(W4621,公司分析!D$5,1),""))))))))</f>
        <v>轨交设备Ⅱ</v>
      </c>
      <c r="Z4621" s="302" t="str">
        <f ca="1">IF(Y4621=行业比较!$E$6,ROW(),"")</f>
        <v/>
      </c>
    </row>
    <row r="4622" spans="22:26">
      <c r="V4622" s="260">
        <f t="shared" ca="1" si="80"/>
        <v>0</v>
      </c>
      <c r="W4622" s="348" t="str">
        <f>IF(板块成分!B4624="","",板块成分!B4624)</f>
        <v>688035.SH</v>
      </c>
      <c r="X4622" s="276" t="str">
        <f>[1]!S_Info_Name(W4622)</f>
        <v>德邦科技</v>
      </c>
      <c r="Y4622" s="276" t="str">
        <f ca="1">IF($Y$3="申万一级行业",[1]!s_info_industry_sw_2021(W4622,公司分析!D$5,1),IF($Y$3="申万二级行业",[1]!s_info_industry_sw_2021(W4622,公司分析!D$5,2),IF($Y$3="申万三级行业",[1]!s_info_industry_sw_2021(W4622,公司分析!D$5,3),IF($Y$3="wind一级行业",[1]!s_info_industry_gics(W4622,1),IF($Y$3="wind二级行业",[1]!s_info_industry_gics(W4622,2),IF($Y$3="wind三级行业",[1]!s_info_industry_gics(W4622,3),IF($Y$3="wind四级行业",[1]!s_info_industry_gics(W4622,4),IF($Y$3="证监会门类行业",[1]!s_info_industry_csrc12_n(W4622,公司分析!D$5,1),""))))))))</f>
        <v>电子化学品Ⅱ</v>
      </c>
      <c r="Z4622" s="302" t="str">
        <f ca="1">IF(Y4622=行业比较!$E$6,ROW(),"")</f>
        <v/>
      </c>
    </row>
    <row r="4623" spans="22:26">
      <c r="V4623" s="260">
        <f t="shared" ca="1" si="80"/>
        <v>0</v>
      </c>
      <c r="W4623" s="348" t="str">
        <f>IF(板块成分!B4625="","",板块成分!B4625)</f>
        <v>688036.SH</v>
      </c>
      <c r="X4623" s="276" t="str">
        <f>[1]!S_Info_Name(W4623)</f>
        <v>传音控股</v>
      </c>
      <c r="Y4623" s="276" t="str">
        <f ca="1">IF($Y$3="申万一级行业",[1]!s_info_industry_sw_2021(W4623,公司分析!D$5,1),IF($Y$3="申万二级行业",[1]!s_info_industry_sw_2021(W4623,公司分析!D$5,2),IF($Y$3="申万三级行业",[1]!s_info_industry_sw_2021(W4623,公司分析!D$5,3),IF($Y$3="wind一级行业",[1]!s_info_industry_gics(W4623,1),IF($Y$3="wind二级行业",[1]!s_info_industry_gics(W4623,2),IF($Y$3="wind三级行业",[1]!s_info_industry_gics(W4623,3),IF($Y$3="wind四级行业",[1]!s_info_industry_gics(W4623,4),IF($Y$3="证监会门类行业",[1]!s_info_industry_csrc12_n(W4623,公司分析!D$5,1),""))))))))</f>
        <v>消费电子</v>
      </c>
      <c r="Z4623" s="302" t="str">
        <f ca="1">IF(Y4623=行业比较!$E$6,ROW(),"")</f>
        <v/>
      </c>
    </row>
    <row r="4624" spans="22:26">
      <c r="V4624" s="260">
        <f t="shared" ca="1" si="80"/>
        <v>0</v>
      </c>
      <c r="W4624" s="348" t="str">
        <f>IF(板块成分!B4626="","",板块成分!B4626)</f>
        <v>688037.SH</v>
      </c>
      <c r="X4624" s="276" t="str">
        <f>[1]!S_Info_Name(W4624)</f>
        <v>芯源微</v>
      </c>
      <c r="Y4624" s="276" t="str">
        <f ca="1">IF($Y$3="申万一级行业",[1]!s_info_industry_sw_2021(W4624,公司分析!D$5,1),IF($Y$3="申万二级行业",[1]!s_info_industry_sw_2021(W4624,公司分析!D$5,2),IF($Y$3="申万三级行业",[1]!s_info_industry_sw_2021(W4624,公司分析!D$5,3),IF($Y$3="wind一级行业",[1]!s_info_industry_gics(W4624,1),IF($Y$3="wind二级行业",[1]!s_info_industry_gics(W4624,2),IF($Y$3="wind三级行业",[1]!s_info_industry_gics(W4624,3),IF($Y$3="wind四级行业",[1]!s_info_industry_gics(W4624,4),IF($Y$3="证监会门类行业",[1]!s_info_industry_csrc12_n(W4624,公司分析!D$5,1),""))))))))</f>
        <v>半导体</v>
      </c>
      <c r="Z4624" s="302" t="str">
        <f ca="1">IF(Y4624=行业比较!$E$6,ROW(),"")</f>
        <v/>
      </c>
    </row>
    <row r="4625" spans="22:26">
      <c r="V4625" s="260">
        <f t="shared" ca="1" si="80"/>
        <v>0</v>
      </c>
      <c r="W4625" s="348" t="str">
        <f>IF(板块成分!B4627="","",板块成分!B4627)</f>
        <v>688038.SH</v>
      </c>
      <c r="X4625" s="276" t="str">
        <f>[1]!S_Info_Name(W4625)</f>
        <v>中科通达</v>
      </c>
      <c r="Y4625" s="276" t="str">
        <f ca="1">IF($Y$3="申万一级行业",[1]!s_info_industry_sw_2021(W4625,公司分析!D$5,1),IF($Y$3="申万二级行业",[1]!s_info_industry_sw_2021(W4625,公司分析!D$5,2),IF($Y$3="申万三级行业",[1]!s_info_industry_sw_2021(W4625,公司分析!D$5,3),IF($Y$3="wind一级行业",[1]!s_info_industry_gics(W4625,1),IF($Y$3="wind二级行业",[1]!s_info_industry_gics(W4625,2),IF($Y$3="wind三级行业",[1]!s_info_industry_gics(W4625,3),IF($Y$3="wind四级行业",[1]!s_info_industry_gics(W4625,4),IF($Y$3="证监会门类行业",[1]!s_info_industry_csrc12_n(W4625,公司分析!D$5,1),""))))))))</f>
        <v>软件开发</v>
      </c>
      <c r="Z4625" s="302" t="str">
        <f ca="1">IF(Y4625=行业比较!$E$6,ROW(),"")</f>
        <v/>
      </c>
    </row>
    <row r="4626" spans="22:26">
      <c r="V4626" s="260">
        <f t="shared" ca="1" si="80"/>
        <v>0</v>
      </c>
      <c r="W4626" s="348" t="str">
        <f>IF(板块成分!B4628="","",板块成分!B4628)</f>
        <v>688039.SH</v>
      </c>
      <c r="X4626" s="276" t="str">
        <f>[1]!S_Info_Name(W4626)</f>
        <v>当虹科技</v>
      </c>
      <c r="Y4626" s="276" t="str">
        <f ca="1">IF($Y$3="申万一级行业",[1]!s_info_industry_sw_2021(W4626,公司分析!D$5,1),IF($Y$3="申万二级行业",[1]!s_info_industry_sw_2021(W4626,公司分析!D$5,2),IF($Y$3="申万三级行业",[1]!s_info_industry_sw_2021(W4626,公司分析!D$5,3),IF($Y$3="wind一级行业",[1]!s_info_industry_gics(W4626,1),IF($Y$3="wind二级行业",[1]!s_info_industry_gics(W4626,2),IF($Y$3="wind三级行业",[1]!s_info_industry_gics(W4626,3),IF($Y$3="wind四级行业",[1]!s_info_industry_gics(W4626,4),IF($Y$3="证监会门类行业",[1]!s_info_industry_csrc12_n(W4626,公司分析!D$5,1),""))))))))</f>
        <v>IT服务Ⅱ</v>
      </c>
      <c r="Z4626" s="302" t="str">
        <f ca="1">IF(Y4626=行业比较!$E$6,ROW(),"")</f>
        <v/>
      </c>
    </row>
    <row r="4627" spans="22:26">
      <c r="V4627" s="260">
        <f t="shared" ca="1" si="80"/>
        <v>0</v>
      </c>
      <c r="W4627" s="348" t="str">
        <f>IF(板块成分!B4629="","",板块成分!B4629)</f>
        <v>688041.SH</v>
      </c>
      <c r="X4627" s="276" t="str">
        <f>[1]!S_Info_Name(W4627)</f>
        <v>海光信息</v>
      </c>
      <c r="Y4627" s="276" t="str">
        <f ca="1">IF($Y$3="申万一级行业",[1]!s_info_industry_sw_2021(W4627,公司分析!D$5,1),IF($Y$3="申万二级行业",[1]!s_info_industry_sw_2021(W4627,公司分析!D$5,2),IF($Y$3="申万三级行业",[1]!s_info_industry_sw_2021(W4627,公司分析!D$5,3),IF($Y$3="wind一级行业",[1]!s_info_industry_gics(W4627,1),IF($Y$3="wind二级行业",[1]!s_info_industry_gics(W4627,2),IF($Y$3="wind三级行业",[1]!s_info_industry_gics(W4627,3),IF($Y$3="wind四级行业",[1]!s_info_industry_gics(W4627,4),IF($Y$3="证监会门类行业",[1]!s_info_industry_csrc12_n(W4627,公司分析!D$5,1),""))))))))</f>
        <v>半导体</v>
      </c>
      <c r="Z4627" s="302" t="str">
        <f ca="1">IF(Y4627=行业比较!$E$6,ROW(),"")</f>
        <v/>
      </c>
    </row>
    <row r="4628" spans="22:26">
      <c r="V4628" s="260">
        <f t="shared" ca="1" si="80"/>
        <v>0</v>
      </c>
      <c r="W4628" s="348" t="str">
        <f>IF(板块成分!B4630="","",板块成分!B4630)</f>
        <v>688045.SH</v>
      </c>
      <c r="X4628" s="276" t="str">
        <f>[1]!S_Info_Name(W4628)</f>
        <v>必易微</v>
      </c>
      <c r="Y4628" s="276" t="str">
        <f ca="1">IF($Y$3="申万一级行业",[1]!s_info_industry_sw_2021(W4628,公司分析!D$5,1),IF($Y$3="申万二级行业",[1]!s_info_industry_sw_2021(W4628,公司分析!D$5,2),IF($Y$3="申万三级行业",[1]!s_info_industry_sw_2021(W4628,公司分析!D$5,3),IF($Y$3="wind一级行业",[1]!s_info_industry_gics(W4628,1),IF($Y$3="wind二级行业",[1]!s_info_industry_gics(W4628,2),IF($Y$3="wind三级行业",[1]!s_info_industry_gics(W4628,3),IF($Y$3="wind四级行业",[1]!s_info_industry_gics(W4628,4),IF($Y$3="证监会门类行业",[1]!s_info_industry_csrc12_n(W4628,公司分析!D$5,1),""))))))))</f>
        <v>半导体</v>
      </c>
      <c r="Z4628" s="302" t="str">
        <f ca="1">IF(Y4628=行业比较!$E$6,ROW(),"")</f>
        <v/>
      </c>
    </row>
    <row r="4629" spans="22:26">
      <c r="V4629" s="260">
        <f t="shared" ca="1" si="80"/>
        <v>0</v>
      </c>
      <c r="W4629" s="348" t="str">
        <f>IF(板块成分!B4631="","",板块成分!B4631)</f>
        <v>688046.SH</v>
      </c>
      <c r="X4629" s="276" t="str">
        <f>[1]!S_Info_Name(W4629)</f>
        <v>药康生物</v>
      </c>
      <c r="Y4629" s="276" t="str">
        <f ca="1">IF($Y$3="申万一级行业",[1]!s_info_industry_sw_2021(W4629,公司分析!D$5,1),IF($Y$3="申万二级行业",[1]!s_info_industry_sw_2021(W4629,公司分析!D$5,2),IF($Y$3="申万三级行业",[1]!s_info_industry_sw_2021(W4629,公司分析!D$5,3),IF($Y$3="wind一级行业",[1]!s_info_industry_gics(W4629,1),IF($Y$3="wind二级行业",[1]!s_info_industry_gics(W4629,2),IF($Y$3="wind三级行业",[1]!s_info_industry_gics(W4629,3),IF($Y$3="wind四级行业",[1]!s_info_industry_gics(W4629,4),IF($Y$3="证监会门类行业",[1]!s_info_industry_csrc12_n(W4629,公司分析!D$5,1),""))))))))</f>
        <v>医疗服务</v>
      </c>
      <c r="Z4629" s="302" t="str">
        <f ca="1">IF(Y4629=行业比较!$E$6,ROW(),"")</f>
        <v/>
      </c>
    </row>
    <row r="4630" spans="22:26">
      <c r="V4630" s="260">
        <f t="shared" ca="1" si="80"/>
        <v>0</v>
      </c>
      <c r="W4630" s="348" t="str">
        <f>IF(板块成分!B4632="","",板块成分!B4632)</f>
        <v>688047.SH</v>
      </c>
      <c r="X4630" s="276" t="str">
        <f>[1]!S_Info_Name(W4630)</f>
        <v>龙芯中科</v>
      </c>
      <c r="Y4630" s="276" t="str">
        <f ca="1">IF($Y$3="申万一级行业",[1]!s_info_industry_sw_2021(W4630,公司分析!D$5,1),IF($Y$3="申万二级行业",[1]!s_info_industry_sw_2021(W4630,公司分析!D$5,2),IF($Y$3="申万三级行业",[1]!s_info_industry_sw_2021(W4630,公司分析!D$5,3),IF($Y$3="wind一级行业",[1]!s_info_industry_gics(W4630,1),IF($Y$3="wind二级行业",[1]!s_info_industry_gics(W4630,2),IF($Y$3="wind三级行业",[1]!s_info_industry_gics(W4630,3),IF($Y$3="wind四级行业",[1]!s_info_industry_gics(W4630,4),IF($Y$3="证监会门类行业",[1]!s_info_industry_csrc12_n(W4630,公司分析!D$5,1),""))))))))</f>
        <v>半导体</v>
      </c>
      <c r="Z4630" s="302" t="str">
        <f ca="1">IF(Y4630=行业比较!$E$6,ROW(),"")</f>
        <v/>
      </c>
    </row>
    <row r="4631" spans="22:26">
      <c r="V4631" s="260">
        <f t="shared" ca="1" si="80"/>
        <v>0</v>
      </c>
      <c r="W4631" s="348" t="str">
        <f>IF(板块成分!B4633="","",板块成分!B4633)</f>
        <v>688048.SH</v>
      </c>
      <c r="X4631" s="276" t="str">
        <f>[1]!S_Info_Name(W4631)</f>
        <v>长光华芯</v>
      </c>
      <c r="Y4631" s="276" t="str">
        <f ca="1">IF($Y$3="申万一级行业",[1]!s_info_industry_sw_2021(W4631,公司分析!D$5,1),IF($Y$3="申万二级行业",[1]!s_info_industry_sw_2021(W4631,公司分析!D$5,2),IF($Y$3="申万三级行业",[1]!s_info_industry_sw_2021(W4631,公司分析!D$5,3),IF($Y$3="wind一级行业",[1]!s_info_industry_gics(W4631,1),IF($Y$3="wind二级行业",[1]!s_info_industry_gics(W4631,2),IF($Y$3="wind三级行业",[1]!s_info_industry_gics(W4631,3),IF($Y$3="wind四级行业",[1]!s_info_industry_gics(W4631,4),IF($Y$3="证监会门类行业",[1]!s_info_industry_csrc12_n(W4631,公司分析!D$5,1),""))))))))</f>
        <v>半导体</v>
      </c>
      <c r="Z4631" s="302" t="str">
        <f ca="1">IF(Y4631=行业比较!$E$6,ROW(),"")</f>
        <v/>
      </c>
    </row>
    <row r="4632" spans="22:26">
      <c r="V4632" s="260">
        <f t="shared" ca="1" si="80"/>
        <v>0</v>
      </c>
      <c r="W4632" s="348" t="str">
        <f>IF(板块成分!B4634="","",板块成分!B4634)</f>
        <v>688049.SH</v>
      </c>
      <c r="X4632" s="276" t="str">
        <f>[1]!S_Info_Name(W4632)</f>
        <v>炬芯科技</v>
      </c>
      <c r="Y4632" s="276" t="str">
        <f ca="1">IF($Y$3="申万一级行业",[1]!s_info_industry_sw_2021(W4632,公司分析!D$5,1),IF($Y$3="申万二级行业",[1]!s_info_industry_sw_2021(W4632,公司分析!D$5,2),IF($Y$3="申万三级行业",[1]!s_info_industry_sw_2021(W4632,公司分析!D$5,3),IF($Y$3="wind一级行业",[1]!s_info_industry_gics(W4632,1),IF($Y$3="wind二级行业",[1]!s_info_industry_gics(W4632,2),IF($Y$3="wind三级行业",[1]!s_info_industry_gics(W4632,3),IF($Y$3="wind四级行业",[1]!s_info_industry_gics(W4632,4),IF($Y$3="证监会门类行业",[1]!s_info_industry_csrc12_n(W4632,公司分析!D$5,1),""))))))))</f>
        <v>半导体</v>
      </c>
      <c r="Z4632" s="302" t="str">
        <f ca="1">IF(Y4632=行业比较!$E$6,ROW(),"")</f>
        <v/>
      </c>
    </row>
    <row r="4633" spans="22:26">
      <c r="V4633" s="260">
        <f t="shared" ca="1" si="80"/>
        <v>0</v>
      </c>
      <c r="W4633" s="348" t="str">
        <f>IF(板块成分!B4635="","",板块成分!B4635)</f>
        <v>688050.SH</v>
      </c>
      <c r="X4633" s="276" t="str">
        <f>[1]!S_Info_Name(W4633)</f>
        <v>爱博医疗</v>
      </c>
      <c r="Y4633" s="276" t="str">
        <f ca="1">IF($Y$3="申万一级行业",[1]!s_info_industry_sw_2021(W4633,公司分析!D$5,1),IF($Y$3="申万二级行业",[1]!s_info_industry_sw_2021(W4633,公司分析!D$5,2),IF($Y$3="申万三级行业",[1]!s_info_industry_sw_2021(W4633,公司分析!D$5,3),IF($Y$3="wind一级行业",[1]!s_info_industry_gics(W4633,1),IF($Y$3="wind二级行业",[1]!s_info_industry_gics(W4633,2),IF($Y$3="wind三级行业",[1]!s_info_industry_gics(W4633,3),IF($Y$3="wind四级行业",[1]!s_info_industry_gics(W4633,4),IF($Y$3="证监会门类行业",[1]!s_info_industry_csrc12_n(W4633,公司分析!D$5,1),""))))))))</f>
        <v>医疗器械</v>
      </c>
      <c r="Z4633" s="302" t="str">
        <f ca="1">IF(Y4633=行业比较!$E$6,ROW(),"")</f>
        <v/>
      </c>
    </row>
    <row r="4634" spans="22:26">
      <c r="V4634" s="260">
        <f t="shared" ca="1" si="80"/>
        <v>0</v>
      </c>
      <c r="W4634" s="348" t="str">
        <f>IF(板块成分!B4636="","",板块成分!B4636)</f>
        <v>688051.SH</v>
      </c>
      <c r="X4634" s="276" t="str">
        <f>[1]!S_Info_Name(W4634)</f>
        <v>佳华科技</v>
      </c>
      <c r="Y4634" s="276" t="str">
        <f ca="1">IF($Y$3="申万一级行业",[1]!s_info_industry_sw_2021(W4634,公司分析!D$5,1),IF($Y$3="申万二级行业",[1]!s_info_industry_sw_2021(W4634,公司分析!D$5,2),IF($Y$3="申万三级行业",[1]!s_info_industry_sw_2021(W4634,公司分析!D$5,3),IF($Y$3="wind一级行业",[1]!s_info_industry_gics(W4634,1),IF($Y$3="wind二级行业",[1]!s_info_industry_gics(W4634,2),IF($Y$3="wind三级行业",[1]!s_info_industry_gics(W4634,3),IF($Y$3="wind四级行业",[1]!s_info_industry_gics(W4634,4),IF($Y$3="证监会门类行业",[1]!s_info_industry_csrc12_n(W4634,公司分析!D$5,1),""))))))))</f>
        <v>IT服务Ⅱ</v>
      </c>
      <c r="Z4634" s="302" t="str">
        <f ca="1">IF(Y4634=行业比较!$E$6,ROW(),"")</f>
        <v/>
      </c>
    </row>
    <row r="4635" spans="22:26">
      <c r="V4635" s="260">
        <f t="shared" ca="1" si="80"/>
        <v>0</v>
      </c>
      <c r="W4635" s="348" t="str">
        <f>IF(板块成分!B4637="","",板块成分!B4637)</f>
        <v>688052.SH</v>
      </c>
      <c r="X4635" s="276" t="str">
        <f>[1]!S_Info_Name(W4635)</f>
        <v>纳芯微</v>
      </c>
      <c r="Y4635" s="276" t="str">
        <f ca="1">IF($Y$3="申万一级行业",[1]!s_info_industry_sw_2021(W4635,公司分析!D$5,1),IF($Y$3="申万二级行业",[1]!s_info_industry_sw_2021(W4635,公司分析!D$5,2),IF($Y$3="申万三级行业",[1]!s_info_industry_sw_2021(W4635,公司分析!D$5,3),IF($Y$3="wind一级行业",[1]!s_info_industry_gics(W4635,1),IF($Y$3="wind二级行业",[1]!s_info_industry_gics(W4635,2),IF($Y$3="wind三级行业",[1]!s_info_industry_gics(W4635,3),IF($Y$3="wind四级行业",[1]!s_info_industry_gics(W4635,4),IF($Y$3="证监会门类行业",[1]!s_info_industry_csrc12_n(W4635,公司分析!D$5,1),""))))))))</f>
        <v>半导体</v>
      </c>
      <c r="Z4635" s="302" t="str">
        <f ca="1">IF(Y4635=行业比较!$E$6,ROW(),"")</f>
        <v/>
      </c>
    </row>
    <row r="4636" spans="22:26">
      <c r="V4636" s="260">
        <f t="shared" ca="1" si="80"/>
        <v>0</v>
      </c>
      <c r="W4636" s="348" t="str">
        <f>IF(板块成分!B4638="","",板块成分!B4638)</f>
        <v>688053.SH</v>
      </c>
      <c r="X4636" s="276" t="str">
        <f>[1]!S_Info_Name(W4636)</f>
        <v>ST思科瑞</v>
      </c>
      <c r="Y4636" s="276" t="str">
        <f ca="1">IF($Y$3="申万一级行业",[1]!s_info_industry_sw_2021(W4636,公司分析!D$5,1),IF($Y$3="申万二级行业",[1]!s_info_industry_sw_2021(W4636,公司分析!D$5,2),IF($Y$3="申万三级行业",[1]!s_info_industry_sw_2021(W4636,公司分析!D$5,3),IF($Y$3="wind一级行业",[1]!s_info_industry_gics(W4636,1),IF($Y$3="wind二级行业",[1]!s_info_industry_gics(W4636,2),IF($Y$3="wind三级行业",[1]!s_info_industry_gics(W4636,3),IF($Y$3="wind四级行业",[1]!s_info_industry_gics(W4636,4),IF($Y$3="证监会门类行业",[1]!s_info_industry_csrc12_n(W4636,公司分析!D$5,1),""))))))))</f>
        <v>军工电子Ⅱ</v>
      </c>
      <c r="Z4636" s="302" t="str">
        <f ca="1">IF(Y4636=行业比较!$E$6,ROW(),"")</f>
        <v/>
      </c>
    </row>
    <row r="4637" spans="22:26">
      <c r="V4637" s="260">
        <f t="shared" ca="1" si="80"/>
        <v>0</v>
      </c>
      <c r="W4637" s="348" t="str">
        <f>IF(板块成分!B4639="","",板块成分!B4639)</f>
        <v>688055.SH</v>
      </c>
      <c r="X4637" s="276" t="str">
        <f>[1]!S_Info_Name(W4637)</f>
        <v>龙腾光电</v>
      </c>
      <c r="Y4637" s="276" t="str">
        <f ca="1">IF($Y$3="申万一级行业",[1]!s_info_industry_sw_2021(W4637,公司分析!D$5,1),IF($Y$3="申万二级行业",[1]!s_info_industry_sw_2021(W4637,公司分析!D$5,2),IF($Y$3="申万三级行业",[1]!s_info_industry_sw_2021(W4637,公司分析!D$5,3),IF($Y$3="wind一级行业",[1]!s_info_industry_gics(W4637,1),IF($Y$3="wind二级行业",[1]!s_info_industry_gics(W4637,2),IF($Y$3="wind三级行业",[1]!s_info_industry_gics(W4637,3),IF($Y$3="wind四级行业",[1]!s_info_industry_gics(W4637,4),IF($Y$3="证监会门类行业",[1]!s_info_industry_csrc12_n(W4637,公司分析!D$5,1),""))))))))</f>
        <v>光学光电子</v>
      </c>
      <c r="Z4637" s="302" t="str">
        <f ca="1">IF(Y4637=行业比较!$E$6,ROW(),"")</f>
        <v/>
      </c>
    </row>
    <row r="4638" spans="22:26">
      <c r="V4638" s="260">
        <f t="shared" ca="1" si="80"/>
        <v>0</v>
      </c>
      <c r="W4638" s="348" t="str">
        <f>IF(板块成分!B4640="","",板块成分!B4640)</f>
        <v>688056.SH</v>
      </c>
      <c r="X4638" s="276" t="str">
        <f>[1]!S_Info_Name(W4638)</f>
        <v>莱伯泰科</v>
      </c>
      <c r="Y4638" s="276" t="str">
        <f ca="1">IF($Y$3="申万一级行业",[1]!s_info_industry_sw_2021(W4638,公司分析!D$5,1),IF($Y$3="申万二级行业",[1]!s_info_industry_sw_2021(W4638,公司分析!D$5,2),IF($Y$3="申万三级行业",[1]!s_info_industry_sw_2021(W4638,公司分析!D$5,3),IF($Y$3="wind一级行业",[1]!s_info_industry_gics(W4638,1),IF($Y$3="wind二级行业",[1]!s_info_industry_gics(W4638,2),IF($Y$3="wind三级行业",[1]!s_info_industry_gics(W4638,3),IF($Y$3="wind四级行业",[1]!s_info_industry_gics(W4638,4),IF($Y$3="证监会门类行业",[1]!s_info_industry_csrc12_n(W4638,公司分析!D$5,1),""))))))))</f>
        <v>通用设备</v>
      </c>
      <c r="Z4638" s="302" t="str">
        <f ca="1">IF(Y4638=行业比较!$E$6,ROW(),"")</f>
        <v/>
      </c>
    </row>
    <row r="4639" spans="22:26">
      <c r="V4639" s="260">
        <f t="shared" ca="1" si="80"/>
        <v>0</v>
      </c>
      <c r="W4639" s="348" t="str">
        <f>IF(板块成分!B4641="","",板块成分!B4641)</f>
        <v>688057.SH</v>
      </c>
      <c r="X4639" s="276" t="str">
        <f>[1]!S_Info_Name(W4639)</f>
        <v>金达莱</v>
      </c>
      <c r="Y4639" s="276" t="str">
        <f ca="1">IF($Y$3="申万一级行业",[1]!s_info_industry_sw_2021(W4639,公司分析!D$5,1),IF($Y$3="申万二级行业",[1]!s_info_industry_sw_2021(W4639,公司分析!D$5,2),IF($Y$3="申万三级行业",[1]!s_info_industry_sw_2021(W4639,公司分析!D$5,3),IF($Y$3="wind一级行业",[1]!s_info_industry_gics(W4639,1),IF($Y$3="wind二级行业",[1]!s_info_industry_gics(W4639,2),IF($Y$3="wind三级行业",[1]!s_info_industry_gics(W4639,3),IF($Y$3="wind四级行业",[1]!s_info_industry_gics(W4639,4),IF($Y$3="证监会门类行业",[1]!s_info_industry_csrc12_n(W4639,公司分析!D$5,1),""))))))))</f>
        <v>环境治理</v>
      </c>
      <c r="Z4639" s="302" t="str">
        <f ca="1">IF(Y4639=行业比较!$E$6,ROW(),"")</f>
        <v/>
      </c>
    </row>
    <row r="4640" spans="22:26">
      <c r="V4640" s="260">
        <f t="shared" ca="1" si="80"/>
        <v>0</v>
      </c>
      <c r="W4640" s="348" t="str">
        <f>IF(板块成分!B4642="","",板块成分!B4642)</f>
        <v>688058.SH</v>
      </c>
      <c r="X4640" s="276" t="str">
        <f>[1]!S_Info_Name(W4640)</f>
        <v>宝兰德</v>
      </c>
      <c r="Y4640" s="276" t="str">
        <f ca="1">IF($Y$3="申万一级行业",[1]!s_info_industry_sw_2021(W4640,公司分析!D$5,1),IF($Y$3="申万二级行业",[1]!s_info_industry_sw_2021(W4640,公司分析!D$5,2),IF($Y$3="申万三级行业",[1]!s_info_industry_sw_2021(W4640,公司分析!D$5,3),IF($Y$3="wind一级行业",[1]!s_info_industry_gics(W4640,1),IF($Y$3="wind二级行业",[1]!s_info_industry_gics(W4640,2),IF($Y$3="wind三级行业",[1]!s_info_industry_gics(W4640,3),IF($Y$3="wind四级行业",[1]!s_info_industry_gics(W4640,4),IF($Y$3="证监会门类行业",[1]!s_info_industry_csrc12_n(W4640,公司分析!D$5,1),""))))))))</f>
        <v>软件开发</v>
      </c>
      <c r="Z4640" s="302" t="str">
        <f ca="1">IF(Y4640=行业比较!$E$6,ROW(),"")</f>
        <v/>
      </c>
    </row>
    <row r="4641" spans="22:26">
      <c r="V4641" s="260">
        <f t="shared" ca="1" si="80"/>
        <v>0</v>
      </c>
      <c r="W4641" s="348" t="str">
        <f>IF(板块成分!B4643="","",板块成分!B4643)</f>
        <v>688059.SH</v>
      </c>
      <c r="X4641" s="276" t="str">
        <f>[1]!S_Info_Name(W4641)</f>
        <v>华锐精密</v>
      </c>
      <c r="Y4641" s="276" t="str">
        <f ca="1">IF($Y$3="申万一级行业",[1]!s_info_industry_sw_2021(W4641,公司分析!D$5,1),IF($Y$3="申万二级行业",[1]!s_info_industry_sw_2021(W4641,公司分析!D$5,2),IF($Y$3="申万三级行业",[1]!s_info_industry_sw_2021(W4641,公司分析!D$5,3),IF($Y$3="wind一级行业",[1]!s_info_industry_gics(W4641,1),IF($Y$3="wind二级行业",[1]!s_info_industry_gics(W4641,2),IF($Y$3="wind三级行业",[1]!s_info_industry_gics(W4641,3),IF($Y$3="wind四级行业",[1]!s_info_industry_gics(W4641,4),IF($Y$3="证监会门类行业",[1]!s_info_industry_csrc12_n(W4641,公司分析!D$5,1),""))))))))</f>
        <v>通用设备</v>
      </c>
      <c r="Z4641" s="302" t="str">
        <f ca="1">IF(Y4641=行业比较!$E$6,ROW(),"")</f>
        <v/>
      </c>
    </row>
    <row r="4642" spans="22:26">
      <c r="V4642" s="260">
        <f t="shared" ca="1" si="80"/>
        <v>0</v>
      </c>
      <c r="W4642" s="348" t="str">
        <f>IF(板块成分!B4644="","",板块成分!B4644)</f>
        <v>688060.SH</v>
      </c>
      <c r="X4642" s="276" t="str">
        <f>[1]!S_Info_Name(W4642)</f>
        <v>云涌科技</v>
      </c>
      <c r="Y4642" s="276" t="str">
        <f ca="1">IF($Y$3="申万一级行业",[1]!s_info_industry_sw_2021(W4642,公司分析!D$5,1),IF($Y$3="申万二级行业",[1]!s_info_industry_sw_2021(W4642,公司分析!D$5,2),IF($Y$3="申万三级行业",[1]!s_info_industry_sw_2021(W4642,公司分析!D$5,3),IF($Y$3="wind一级行业",[1]!s_info_industry_gics(W4642,1),IF($Y$3="wind二级行业",[1]!s_info_industry_gics(W4642,2),IF($Y$3="wind三级行业",[1]!s_info_industry_gics(W4642,3),IF($Y$3="wind四级行业",[1]!s_info_industry_gics(W4642,4),IF($Y$3="证监会门类行业",[1]!s_info_industry_csrc12_n(W4642,公司分析!D$5,1),""))))))))</f>
        <v>计算机设备</v>
      </c>
      <c r="Z4642" s="302" t="str">
        <f ca="1">IF(Y4642=行业比较!$E$6,ROW(),"")</f>
        <v/>
      </c>
    </row>
    <row r="4643" spans="22:26">
      <c r="V4643" s="260">
        <f t="shared" ca="1" si="80"/>
        <v>0</v>
      </c>
      <c r="W4643" s="348" t="str">
        <f>IF(板块成分!B4645="","",板块成分!B4645)</f>
        <v>688061.SH</v>
      </c>
      <c r="X4643" s="276" t="str">
        <f>[1]!S_Info_Name(W4643)</f>
        <v>灿瑞科技</v>
      </c>
      <c r="Y4643" s="276" t="str">
        <f ca="1">IF($Y$3="申万一级行业",[1]!s_info_industry_sw_2021(W4643,公司分析!D$5,1),IF($Y$3="申万二级行业",[1]!s_info_industry_sw_2021(W4643,公司分析!D$5,2),IF($Y$3="申万三级行业",[1]!s_info_industry_sw_2021(W4643,公司分析!D$5,3),IF($Y$3="wind一级行业",[1]!s_info_industry_gics(W4643,1),IF($Y$3="wind二级行业",[1]!s_info_industry_gics(W4643,2),IF($Y$3="wind三级行业",[1]!s_info_industry_gics(W4643,3),IF($Y$3="wind四级行业",[1]!s_info_industry_gics(W4643,4),IF($Y$3="证监会门类行业",[1]!s_info_industry_csrc12_n(W4643,公司分析!D$5,1),""))))))))</f>
        <v>半导体</v>
      </c>
      <c r="Z4643" s="302" t="str">
        <f ca="1">IF(Y4643=行业比较!$E$6,ROW(),"")</f>
        <v/>
      </c>
    </row>
    <row r="4644" spans="22:26">
      <c r="V4644" s="260">
        <f t="shared" ca="1" si="80"/>
        <v>0</v>
      </c>
      <c r="W4644" s="348" t="str">
        <f>IF(板块成分!B4646="","",板块成分!B4646)</f>
        <v>688062.SH</v>
      </c>
      <c r="X4644" s="276" t="str">
        <f>[1]!S_Info_Name(W4644)</f>
        <v>迈威生物-U</v>
      </c>
      <c r="Y4644" s="276" t="str">
        <f ca="1">IF($Y$3="申万一级行业",[1]!s_info_industry_sw_2021(W4644,公司分析!D$5,1),IF($Y$3="申万二级行业",[1]!s_info_industry_sw_2021(W4644,公司分析!D$5,2),IF($Y$3="申万三级行业",[1]!s_info_industry_sw_2021(W4644,公司分析!D$5,3),IF($Y$3="wind一级行业",[1]!s_info_industry_gics(W4644,1),IF($Y$3="wind二级行业",[1]!s_info_industry_gics(W4644,2),IF($Y$3="wind三级行业",[1]!s_info_industry_gics(W4644,3),IF($Y$3="wind四级行业",[1]!s_info_industry_gics(W4644,4),IF($Y$3="证监会门类行业",[1]!s_info_industry_csrc12_n(W4644,公司分析!D$5,1),""))))))))</f>
        <v>化学制药</v>
      </c>
      <c r="Z4644" s="302" t="str">
        <f ca="1">IF(Y4644=行业比较!$E$6,ROW(),"")</f>
        <v/>
      </c>
    </row>
    <row r="4645" spans="22:26">
      <c r="V4645" s="260">
        <f t="shared" ca="1" si="80"/>
        <v>0</v>
      </c>
      <c r="W4645" s="348" t="str">
        <f>IF(板块成分!B4647="","",板块成分!B4647)</f>
        <v>688063.SH</v>
      </c>
      <c r="X4645" s="276" t="str">
        <f>[1]!S_Info_Name(W4645)</f>
        <v>派能科技</v>
      </c>
      <c r="Y4645" s="276" t="str">
        <f ca="1">IF($Y$3="申万一级行业",[1]!s_info_industry_sw_2021(W4645,公司分析!D$5,1),IF($Y$3="申万二级行业",[1]!s_info_industry_sw_2021(W4645,公司分析!D$5,2),IF($Y$3="申万三级行业",[1]!s_info_industry_sw_2021(W4645,公司分析!D$5,3),IF($Y$3="wind一级行业",[1]!s_info_industry_gics(W4645,1),IF($Y$3="wind二级行业",[1]!s_info_industry_gics(W4645,2),IF($Y$3="wind三级行业",[1]!s_info_industry_gics(W4645,3),IF($Y$3="wind四级行业",[1]!s_info_industry_gics(W4645,4),IF($Y$3="证监会门类行业",[1]!s_info_industry_csrc12_n(W4645,公司分析!D$5,1),""))))))))</f>
        <v>电池</v>
      </c>
      <c r="Z4645" s="302" t="str">
        <f ca="1">IF(Y4645=行业比较!$E$6,ROW(),"")</f>
        <v/>
      </c>
    </row>
    <row r="4646" spans="22:26">
      <c r="V4646" s="260">
        <f t="shared" ca="1" si="80"/>
        <v>0</v>
      </c>
      <c r="W4646" s="348" t="str">
        <f>IF(板块成分!B4648="","",板块成分!B4648)</f>
        <v>688065.SH</v>
      </c>
      <c r="X4646" s="276" t="str">
        <f>[1]!S_Info_Name(W4646)</f>
        <v>凯赛生物</v>
      </c>
      <c r="Y4646" s="276" t="str">
        <f ca="1">IF($Y$3="申万一级行业",[1]!s_info_industry_sw_2021(W4646,公司分析!D$5,1),IF($Y$3="申万二级行业",[1]!s_info_industry_sw_2021(W4646,公司分析!D$5,2),IF($Y$3="申万三级行业",[1]!s_info_industry_sw_2021(W4646,公司分析!D$5,3),IF($Y$3="wind一级行业",[1]!s_info_industry_gics(W4646,1),IF($Y$3="wind二级行业",[1]!s_info_industry_gics(W4646,2),IF($Y$3="wind三级行业",[1]!s_info_industry_gics(W4646,3),IF($Y$3="wind四级行业",[1]!s_info_industry_gics(W4646,4),IF($Y$3="证监会门类行业",[1]!s_info_industry_csrc12_n(W4646,公司分析!D$5,1),""))))))))</f>
        <v>化学制品</v>
      </c>
      <c r="Z4646" s="302" t="str">
        <f ca="1">IF(Y4646=行业比较!$E$6,ROW(),"")</f>
        <v/>
      </c>
    </row>
    <row r="4647" spans="22:26">
      <c r="V4647" s="260">
        <f t="shared" ca="1" si="80"/>
        <v>0</v>
      </c>
      <c r="W4647" s="348" t="str">
        <f>IF(板块成分!B4649="","",板块成分!B4649)</f>
        <v>688066.SH</v>
      </c>
      <c r="X4647" s="276" t="str">
        <f>[1]!S_Info_Name(W4647)</f>
        <v>航天宏图</v>
      </c>
      <c r="Y4647" s="276" t="str">
        <f ca="1">IF($Y$3="申万一级行业",[1]!s_info_industry_sw_2021(W4647,公司分析!D$5,1),IF($Y$3="申万二级行业",[1]!s_info_industry_sw_2021(W4647,公司分析!D$5,2),IF($Y$3="申万三级行业",[1]!s_info_industry_sw_2021(W4647,公司分析!D$5,3),IF($Y$3="wind一级行业",[1]!s_info_industry_gics(W4647,1),IF($Y$3="wind二级行业",[1]!s_info_industry_gics(W4647,2),IF($Y$3="wind三级行业",[1]!s_info_industry_gics(W4647,3),IF($Y$3="wind四级行业",[1]!s_info_industry_gics(W4647,4),IF($Y$3="证监会门类行业",[1]!s_info_industry_csrc12_n(W4647,公司分析!D$5,1),""))))))))</f>
        <v>IT服务Ⅱ</v>
      </c>
      <c r="Z4647" s="302" t="str">
        <f ca="1">IF(Y4647=行业比较!$E$6,ROW(),"")</f>
        <v/>
      </c>
    </row>
    <row r="4648" spans="22:26">
      <c r="V4648" s="260">
        <f t="shared" ca="1" si="80"/>
        <v>0</v>
      </c>
      <c r="W4648" s="348" t="str">
        <f>IF(板块成分!B4650="","",板块成分!B4650)</f>
        <v>688067.SH</v>
      </c>
      <c r="X4648" s="276" t="str">
        <f>[1]!S_Info_Name(W4648)</f>
        <v>爱威科技</v>
      </c>
      <c r="Y4648" s="276" t="str">
        <f ca="1">IF($Y$3="申万一级行业",[1]!s_info_industry_sw_2021(W4648,公司分析!D$5,1),IF($Y$3="申万二级行业",[1]!s_info_industry_sw_2021(W4648,公司分析!D$5,2),IF($Y$3="申万三级行业",[1]!s_info_industry_sw_2021(W4648,公司分析!D$5,3),IF($Y$3="wind一级行业",[1]!s_info_industry_gics(W4648,1),IF($Y$3="wind二级行业",[1]!s_info_industry_gics(W4648,2),IF($Y$3="wind三级行业",[1]!s_info_industry_gics(W4648,3),IF($Y$3="wind四级行业",[1]!s_info_industry_gics(W4648,4),IF($Y$3="证监会门类行业",[1]!s_info_industry_csrc12_n(W4648,公司分析!D$5,1),""))))))))</f>
        <v>医疗器械</v>
      </c>
      <c r="Z4648" s="302" t="str">
        <f ca="1">IF(Y4648=行业比较!$E$6,ROW(),"")</f>
        <v/>
      </c>
    </row>
    <row r="4649" spans="22:26">
      <c r="V4649" s="260">
        <f t="shared" ca="1" si="80"/>
        <v>0</v>
      </c>
      <c r="W4649" s="348" t="str">
        <f>IF(板块成分!B4651="","",板块成分!B4651)</f>
        <v>688068.SH</v>
      </c>
      <c r="X4649" s="276" t="str">
        <f>[1]!S_Info_Name(W4649)</f>
        <v>热景生物</v>
      </c>
      <c r="Y4649" s="276" t="str">
        <f ca="1">IF($Y$3="申万一级行业",[1]!s_info_industry_sw_2021(W4649,公司分析!D$5,1),IF($Y$3="申万二级行业",[1]!s_info_industry_sw_2021(W4649,公司分析!D$5,2),IF($Y$3="申万三级行业",[1]!s_info_industry_sw_2021(W4649,公司分析!D$5,3),IF($Y$3="wind一级行业",[1]!s_info_industry_gics(W4649,1),IF($Y$3="wind二级行业",[1]!s_info_industry_gics(W4649,2),IF($Y$3="wind三级行业",[1]!s_info_industry_gics(W4649,3),IF($Y$3="wind四级行业",[1]!s_info_industry_gics(W4649,4),IF($Y$3="证监会门类行业",[1]!s_info_industry_csrc12_n(W4649,公司分析!D$5,1),""))))))))</f>
        <v>医疗器械</v>
      </c>
      <c r="Z4649" s="302" t="str">
        <f ca="1">IF(Y4649=行业比较!$E$6,ROW(),"")</f>
        <v/>
      </c>
    </row>
    <row r="4650" spans="22:26">
      <c r="V4650" s="260">
        <f t="shared" ca="1" si="80"/>
        <v>0</v>
      </c>
      <c r="W4650" s="348" t="str">
        <f>IF(板块成分!B4652="","",板块成分!B4652)</f>
        <v>688069.SH</v>
      </c>
      <c r="X4650" s="276" t="str">
        <f>[1]!S_Info_Name(W4650)</f>
        <v>德林海</v>
      </c>
      <c r="Y4650" s="276" t="str">
        <f ca="1">IF($Y$3="申万一级行业",[1]!s_info_industry_sw_2021(W4650,公司分析!D$5,1),IF($Y$3="申万二级行业",[1]!s_info_industry_sw_2021(W4650,公司分析!D$5,2),IF($Y$3="申万三级行业",[1]!s_info_industry_sw_2021(W4650,公司分析!D$5,3),IF($Y$3="wind一级行业",[1]!s_info_industry_gics(W4650,1),IF($Y$3="wind二级行业",[1]!s_info_industry_gics(W4650,2),IF($Y$3="wind三级行业",[1]!s_info_industry_gics(W4650,3),IF($Y$3="wind四级行业",[1]!s_info_industry_gics(W4650,4),IF($Y$3="证监会门类行业",[1]!s_info_industry_csrc12_n(W4650,公司分析!D$5,1),""))))))))</f>
        <v>环境治理</v>
      </c>
      <c r="Z4650" s="302" t="str">
        <f ca="1">IF(Y4650=行业比较!$E$6,ROW(),"")</f>
        <v/>
      </c>
    </row>
    <row r="4651" spans="22:26">
      <c r="V4651" s="260">
        <f t="shared" ca="1" si="80"/>
        <v>0</v>
      </c>
      <c r="W4651" s="348" t="str">
        <f>IF(板块成分!B4653="","",板块成分!B4653)</f>
        <v>688070.SH</v>
      </c>
      <c r="X4651" s="276" t="str">
        <f>[1]!S_Info_Name(W4651)</f>
        <v>纵横股份</v>
      </c>
      <c r="Y4651" s="276" t="str">
        <f ca="1">IF($Y$3="申万一级行业",[1]!s_info_industry_sw_2021(W4651,公司分析!D$5,1),IF($Y$3="申万二级行业",[1]!s_info_industry_sw_2021(W4651,公司分析!D$5,2),IF($Y$3="申万三级行业",[1]!s_info_industry_sw_2021(W4651,公司分析!D$5,3),IF($Y$3="wind一级行业",[1]!s_info_industry_gics(W4651,1),IF($Y$3="wind二级行业",[1]!s_info_industry_gics(W4651,2),IF($Y$3="wind三级行业",[1]!s_info_industry_gics(W4651,3),IF($Y$3="wind四级行业",[1]!s_info_industry_gics(W4651,4),IF($Y$3="证监会门类行业",[1]!s_info_industry_csrc12_n(W4651,公司分析!D$5,1),""))))))))</f>
        <v>航空装备Ⅱ</v>
      </c>
      <c r="Z4651" s="302" t="str">
        <f ca="1">IF(Y4651=行业比较!$E$6,ROW(),"")</f>
        <v/>
      </c>
    </row>
    <row r="4652" spans="22:26">
      <c r="V4652" s="260">
        <f t="shared" ca="1" si="80"/>
        <v>0</v>
      </c>
      <c r="W4652" s="348" t="str">
        <f>IF(板块成分!B4654="","",板块成分!B4654)</f>
        <v>688071.SH</v>
      </c>
      <c r="X4652" s="276" t="str">
        <f>[1]!S_Info_Name(W4652)</f>
        <v>华依科技</v>
      </c>
      <c r="Y4652" s="276" t="str">
        <f ca="1">IF($Y$3="申万一级行业",[1]!s_info_industry_sw_2021(W4652,公司分析!D$5,1),IF($Y$3="申万二级行业",[1]!s_info_industry_sw_2021(W4652,公司分析!D$5,2),IF($Y$3="申万三级行业",[1]!s_info_industry_sw_2021(W4652,公司分析!D$5,3),IF($Y$3="wind一级行业",[1]!s_info_industry_gics(W4652,1),IF($Y$3="wind二级行业",[1]!s_info_industry_gics(W4652,2),IF($Y$3="wind三级行业",[1]!s_info_industry_gics(W4652,3),IF($Y$3="wind四级行业",[1]!s_info_industry_gics(W4652,4),IF($Y$3="证监会门类行业",[1]!s_info_industry_csrc12_n(W4652,公司分析!D$5,1),""))))))))</f>
        <v>专用设备</v>
      </c>
      <c r="Z4652" s="302" t="str">
        <f ca="1">IF(Y4652=行业比较!$E$6,ROW(),"")</f>
        <v/>
      </c>
    </row>
    <row r="4653" spans="22:26">
      <c r="V4653" s="260">
        <f t="shared" ca="1" si="80"/>
        <v>0</v>
      </c>
      <c r="W4653" s="348" t="str">
        <f>IF(板块成分!B4655="","",板块成分!B4655)</f>
        <v>688072.SH</v>
      </c>
      <c r="X4653" s="276" t="str">
        <f>[1]!S_Info_Name(W4653)</f>
        <v>拓荆科技</v>
      </c>
      <c r="Y4653" s="276" t="str">
        <f ca="1">IF($Y$3="申万一级行业",[1]!s_info_industry_sw_2021(W4653,公司分析!D$5,1),IF($Y$3="申万二级行业",[1]!s_info_industry_sw_2021(W4653,公司分析!D$5,2),IF($Y$3="申万三级行业",[1]!s_info_industry_sw_2021(W4653,公司分析!D$5,3),IF($Y$3="wind一级行业",[1]!s_info_industry_gics(W4653,1),IF($Y$3="wind二级行业",[1]!s_info_industry_gics(W4653,2),IF($Y$3="wind三级行业",[1]!s_info_industry_gics(W4653,3),IF($Y$3="wind四级行业",[1]!s_info_industry_gics(W4653,4),IF($Y$3="证监会门类行业",[1]!s_info_industry_csrc12_n(W4653,公司分析!D$5,1),""))))))))</f>
        <v>半导体</v>
      </c>
      <c r="Z4653" s="302" t="str">
        <f ca="1">IF(Y4653=行业比较!$E$6,ROW(),"")</f>
        <v/>
      </c>
    </row>
    <row r="4654" spans="22:26">
      <c r="V4654" s="260">
        <f t="shared" ca="1" si="80"/>
        <v>0</v>
      </c>
      <c r="W4654" s="348" t="str">
        <f>IF(板块成分!B4656="","",板块成分!B4656)</f>
        <v>688073.SH</v>
      </c>
      <c r="X4654" s="276" t="str">
        <f>[1]!S_Info_Name(W4654)</f>
        <v>毕得医药</v>
      </c>
      <c r="Y4654" s="276" t="str">
        <f ca="1">IF($Y$3="申万一级行业",[1]!s_info_industry_sw_2021(W4654,公司分析!D$5,1),IF($Y$3="申万二级行业",[1]!s_info_industry_sw_2021(W4654,公司分析!D$5,2),IF($Y$3="申万三级行业",[1]!s_info_industry_sw_2021(W4654,公司分析!D$5,3),IF($Y$3="wind一级行业",[1]!s_info_industry_gics(W4654,1),IF($Y$3="wind二级行业",[1]!s_info_industry_gics(W4654,2),IF($Y$3="wind三级行业",[1]!s_info_industry_gics(W4654,3),IF($Y$3="wind四级行业",[1]!s_info_industry_gics(W4654,4),IF($Y$3="证监会门类行业",[1]!s_info_industry_csrc12_n(W4654,公司分析!D$5,1),""))))))))</f>
        <v>医疗服务</v>
      </c>
      <c r="Z4654" s="302" t="str">
        <f ca="1">IF(Y4654=行业比较!$E$6,ROW(),"")</f>
        <v/>
      </c>
    </row>
    <row r="4655" spans="22:26">
      <c r="V4655" s="260">
        <f t="shared" ca="1" si="80"/>
        <v>0</v>
      </c>
      <c r="W4655" s="348" t="str">
        <f>IF(板块成分!B4657="","",板块成分!B4657)</f>
        <v>688075.SH</v>
      </c>
      <c r="X4655" s="276" t="str">
        <f>[1]!S_Info_Name(W4655)</f>
        <v>安旭生物</v>
      </c>
      <c r="Y4655" s="276" t="str">
        <f ca="1">IF($Y$3="申万一级行业",[1]!s_info_industry_sw_2021(W4655,公司分析!D$5,1),IF($Y$3="申万二级行业",[1]!s_info_industry_sw_2021(W4655,公司分析!D$5,2),IF($Y$3="申万三级行业",[1]!s_info_industry_sw_2021(W4655,公司分析!D$5,3),IF($Y$3="wind一级行业",[1]!s_info_industry_gics(W4655,1),IF($Y$3="wind二级行业",[1]!s_info_industry_gics(W4655,2),IF($Y$3="wind三级行业",[1]!s_info_industry_gics(W4655,3),IF($Y$3="wind四级行业",[1]!s_info_industry_gics(W4655,4),IF($Y$3="证监会门类行业",[1]!s_info_industry_csrc12_n(W4655,公司分析!D$5,1),""))))))))</f>
        <v>医疗器械</v>
      </c>
      <c r="Z4655" s="302" t="str">
        <f ca="1">IF(Y4655=行业比较!$E$6,ROW(),"")</f>
        <v/>
      </c>
    </row>
    <row r="4656" spans="22:26">
      <c r="V4656" s="260">
        <f t="shared" ca="1" si="80"/>
        <v>0</v>
      </c>
      <c r="W4656" s="348" t="str">
        <f>IF(板块成分!B4658="","",板块成分!B4658)</f>
        <v>688076.SH</v>
      </c>
      <c r="X4656" s="276" t="str">
        <f>[1]!S_Info_Name(W4656)</f>
        <v>ST诺泰</v>
      </c>
      <c r="Y4656" s="276" t="str">
        <f ca="1">IF($Y$3="申万一级行业",[1]!s_info_industry_sw_2021(W4656,公司分析!D$5,1),IF($Y$3="申万二级行业",[1]!s_info_industry_sw_2021(W4656,公司分析!D$5,2),IF($Y$3="申万三级行业",[1]!s_info_industry_sw_2021(W4656,公司分析!D$5,3),IF($Y$3="wind一级行业",[1]!s_info_industry_gics(W4656,1),IF($Y$3="wind二级行业",[1]!s_info_industry_gics(W4656,2),IF($Y$3="wind三级行业",[1]!s_info_industry_gics(W4656,3),IF($Y$3="wind四级行业",[1]!s_info_industry_gics(W4656,4),IF($Y$3="证监会门类行业",[1]!s_info_industry_csrc12_n(W4656,公司分析!D$5,1),""))))))))</f>
        <v>化学制药</v>
      </c>
      <c r="Z4656" s="302" t="str">
        <f ca="1">IF(Y4656=行业比较!$E$6,ROW(),"")</f>
        <v/>
      </c>
    </row>
    <row r="4657" spans="22:26">
      <c r="V4657" s="260">
        <f t="shared" ca="1" si="80"/>
        <v>0</v>
      </c>
      <c r="W4657" s="348" t="str">
        <f>IF(板块成分!B4659="","",板块成分!B4659)</f>
        <v>688077.SH</v>
      </c>
      <c r="X4657" s="276" t="str">
        <f>[1]!S_Info_Name(W4657)</f>
        <v>大地熊</v>
      </c>
      <c r="Y4657" s="276" t="str">
        <f ca="1">IF($Y$3="申万一级行业",[1]!s_info_industry_sw_2021(W4657,公司分析!D$5,1),IF($Y$3="申万二级行业",[1]!s_info_industry_sw_2021(W4657,公司分析!D$5,2),IF($Y$3="申万三级行业",[1]!s_info_industry_sw_2021(W4657,公司分析!D$5,3),IF($Y$3="wind一级行业",[1]!s_info_industry_gics(W4657,1),IF($Y$3="wind二级行业",[1]!s_info_industry_gics(W4657,2),IF($Y$3="wind三级行业",[1]!s_info_industry_gics(W4657,3),IF($Y$3="wind四级行业",[1]!s_info_industry_gics(W4657,4),IF($Y$3="证监会门类行业",[1]!s_info_industry_csrc12_n(W4657,公司分析!D$5,1),""))))))))</f>
        <v>金属新材料</v>
      </c>
      <c r="Z4657" s="302" t="str">
        <f ca="1">IF(Y4657=行业比较!$E$6,ROW(),"")</f>
        <v/>
      </c>
    </row>
    <row r="4658" spans="22:26">
      <c r="V4658" s="260">
        <f t="shared" ca="1" si="80"/>
        <v>0</v>
      </c>
      <c r="W4658" s="348" t="str">
        <f>IF(板块成分!B4660="","",板块成分!B4660)</f>
        <v>688078.SH</v>
      </c>
      <c r="X4658" s="276" t="str">
        <f>[1]!S_Info_Name(W4658)</f>
        <v>龙软科技</v>
      </c>
      <c r="Y4658" s="276" t="str">
        <f ca="1">IF($Y$3="申万一级行业",[1]!s_info_industry_sw_2021(W4658,公司分析!D$5,1),IF($Y$3="申万二级行业",[1]!s_info_industry_sw_2021(W4658,公司分析!D$5,2),IF($Y$3="申万三级行业",[1]!s_info_industry_sw_2021(W4658,公司分析!D$5,3),IF($Y$3="wind一级行业",[1]!s_info_industry_gics(W4658,1),IF($Y$3="wind二级行业",[1]!s_info_industry_gics(W4658,2),IF($Y$3="wind三级行业",[1]!s_info_industry_gics(W4658,3),IF($Y$3="wind四级行业",[1]!s_info_industry_gics(W4658,4),IF($Y$3="证监会门类行业",[1]!s_info_industry_csrc12_n(W4658,公司分析!D$5,1),""))))))))</f>
        <v>软件开发</v>
      </c>
      <c r="Z4658" s="302" t="str">
        <f ca="1">IF(Y4658=行业比较!$E$6,ROW(),"")</f>
        <v/>
      </c>
    </row>
    <row r="4659" spans="22:26">
      <c r="V4659" s="260">
        <f t="shared" ca="1" si="80"/>
        <v>0</v>
      </c>
      <c r="W4659" s="348" t="str">
        <f>IF(板块成分!B4661="","",板块成分!B4661)</f>
        <v>688079.SH</v>
      </c>
      <c r="X4659" s="276" t="str">
        <f>[1]!S_Info_Name(W4659)</f>
        <v>美迪凯</v>
      </c>
      <c r="Y4659" s="276" t="str">
        <f ca="1">IF($Y$3="申万一级行业",[1]!s_info_industry_sw_2021(W4659,公司分析!D$5,1),IF($Y$3="申万二级行业",[1]!s_info_industry_sw_2021(W4659,公司分析!D$5,2),IF($Y$3="申万三级行业",[1]!s_info_industry_sw_2021(W4659,公司分析!D$5,3),IF($Y$3="wind一级行业",[1]!s_info_industry_gics(W4659,1),IF($Y$3="wind二级行业",[1]!s_info_industry_gics(W4659,2),IF($Y$3="wind三级行业",[1]!s_info_industry_gics(W4659,3),IF($Y$3="wind四级行业",[1]!s_info_industry_gics(W4659,4),IF($Y$3="证监会门类行业",[1]!s_info_industry_csrc12_n(W4659,公司分析!D$5,1),""))))))))</f>
        <v>光学光电子</v>
      </c>
      <c r="Z4659" s="302" t="str">
        <f ca="1">IF(Y4659=行业比较!$E$6,ROW(),"")</f>
        <v/>
      </c>
    </row>
    <row r="4660" spans="22:26">
      <c r="V4660" s="260">
        <f t="shared" ca="1" si="80"/>
        <v>0</v>
      </c>
      <c r="W4660" s="348" t="str">
        <f>IF(板块成分!B4662="","",板块成分!B4662)</f>
        <v>688080.SH</v>
      </c>
      <c r="X4660" s="276" t="str">
        <f>[1]!S_Info_Name(W4660)</f>
        <v>映翰通</v>
      </c>
      <c r="Y4660" s="276" t="str">
        <f ca="1">IF($Y$3="申万一级行业",[1]!s_info_industry_sw_2021(W4660,公司分析!D$5,1),IF($Y$3="申万二级行业",[1]!s_info_industry_sw_2021(W4660,公司分析!D$5,2),IF($Y$3="申万三级行业",[1]!s_info_industry_sw_2021(W4660,公司分析!D$5,3),IF($Y$3="wind一级行业",[1]!s_info_industry_gics(W4660,1),IF($Y$3="wind二级行业",[1]!s_info_industry_gics(W4660,2),IF($Y$3="wind三级行业",[1]!s_info_industry_gics(W4660,3),IF($Y$3="wind四级行业",[1]!s_info_industry_gics(W4660,4),IF($Y$3="证监会门类行业",[1]!s_info_industry_csrc12_n(W4660,公司分析!D$5,1),""))))))))</f>
        <v>通信设备</v>
      </c>
      <c r="Z4660" s="302" t="str">
        <f ca="1">IF(Y4660=行业比较!$E$6,ROW(),"")</f>
        <v/>
      </c>
    </row>
    <row r="4661" spans="22:26">
      <c r="V4661" s="260">
        <f t="shared" ca="1" si="80"/>
        <v>0</v>
      </c>
      <c r="W4661" s="348" t="str">
        <f>IF(板块成分!B4663="","",板块成分!B4663)</f>
        <v>688081.SH</v>
      </c>
      <c r="X4661" s="276" t="str">
        <f>[1]!S_Info_Name(W4661)</f>
        <v>兴图新科</v>
      </c>
      <c r="Y4661" s="276" t="str">
        <f ca="1">IF($Y$3="申万一级行业",[1]!s_info_industry_sw_2021(W4661,公司分析!D$5,1),IF($Y$3="申万二级行业",[1]!s_info_industry_sw_2021(W4661,公司分析!D$5,2),IF($Y$3="申万三级行业",[1]!s_info_industry_sw_2021(W4661,公司分析!D$5,3),IF($Y$3="wind一级行业",[1]!s_info_industry_gics(W4661,1),IF($Y$3="wind二级行业",[1]!s_info_industry_gics(W4661,2),IF($Y$3="wind三级行业",[1]!s_info_industry_gics(W4661,3),IF($Y$3="wind四级行业",[1]!s_info_industry_gics(W4661,4),IF($Y$3="证监会门类行业",[1]!s_info_industry_csrc12_n(W4661,公司分析!D$5,1),""))))))))</f>
        <v>军工电子Ⅱ</v>
      </c>
      <c r="Z4661" s="302" t="str">
        <f ca="1">IF(Y4661=行业比较!$E$6,ROW(),"")</f>
        <v/>
      </c>
    </row>
    <row r="4662" spans="22:26">
      <c r="V4662" s="260">
        <f t="shared" ca="1" si="80"/>
        <v>0</v>
      </c>
      <c r="W4662" s="348" t="str">
        <f>IF(板块成分!B4664="","",板块成分!B4664)</f>
        <v>688082.SH</v>
      </c>
      <c r="X4662" s="276" t="str">
        <f>[1]!S_Info_Name(W4662)</f>
        <v>盛美上海</v>
      </c>
      <c r="Y4662" s="276" t="str">
        <f ca="1">IF($Y$3="申万一级行业",[1]!s_info_industry_sw_2021(W4662,公司分析!D$5,1),IF($Y$3="申万二级行业",[1]!s_info_industry_sw_2021(W4662,公司分析!D$5,2),IF($Y$3="申万三级行业",[1]!s_info_industry_sw_2021(W4662,公司分析!D$5,3),IF($Y$3="wind一级行业",[1]!s_info_industry_gics(W4662,1),IF($Y$3="wind二级行业",[1]!s_info_industry_gics(W4662,2),IF($Y$3="wind三级行业",[1]!s_info_industry_gics(W4662,3),IF($Y$3="wind四级行业",[1]!s_info_industry_gics(W4662,4),IF($Y$3="证监会门类行业",[1]!s_info_industry_csrc12_n(W4662,公司分析!D$5,1),""))))))))</f>
        <v>半导体</v>
      </c>
      <c r="Z4662" s="302" t="str">
        <f ca="1">IF(Y4662=行业比较!$E$6,ROW(),"")</f>
        <v/>
      </c>
    </row>
    <row r="4663" spans="22:26">
      <c r="V4663" s="260">
        <f t="shared" ca="1" si="80"/>
        <v>0</v>
      </c>
      <c r="W4663" s="348" t="str">
        <f>IF(板块成分!B4665="","",板块成分!B4665)</f>
        <v>688083.SH</v>
      </c>
      <c r="X4663" s="276" t="str">
        <f>[1]!S_Info_Name(W4663)</f>
        <v>中望软件</v>
      </c>
      <c r="Y4663" s="276" t="str">
        <f ca="1">IF($Y$3="申万一级行业",[1]!s_info_industry_sw_2021(W4663,公司分析!D$5,1),IF($Y$3="申万二级行业",[1]!s_info_industry_sw_2021(W4663,公司分析!D$5,2),IF($Y$3="申万三级行业",[1]!s_info_industry_sw_2021(W4663,公司分析!D$5,3),IF($Y$3="wind一级行业",[1]!s_info_industry_gics(W4663,1),IF($Y$3="wind二级行业",[1]!s_info_industry_gics(W4663,2),IF($Y$3="wind三级行业",[1]!s_info_industry_gics(W4663,3),IF($Y$3="wind四级行业",[1]!s_info_industry_gics(W4663,4),IF($Y$3="证监会门类行业",[1]!s_info_industry_csrc12_n(W4663,公司分析!D$5,1),""))))))))</f>
        <v>软件开发</v>
      </c>
      <c r="Z4663" s="302" t="str">
        <f ca="1">IF(Y4663=行业比较!$E$6,ROW(),"")</f>
        <v/>
      </c>
    </row>
    <row r="4664" spans="22:26">
      <c r="V4664" s="260">
        <f t="shared" ca="1" si="80"/>
        <v>0</v>
      </c>
      <c r="W4664" s="348" t="str">
        <f>IF(板块成分!B4666="","",板块成分!B4666)</f>
        <v>688084.SH</v>
      </c>
      <c r="X4664" s="276" t="str">
        <f>[1]!S_Info_Name(W4664)</f>
        <v>晶品特装</v>
      </c>
      <c r="Y4664" s="276" t="str">
        <f ca="1">IF($Y$3="申万一级行业",[1]!s_info_industry_sw_2021(W4664,公司分析!D$5,1),IF($Y$3="申万二级行业",[1]!s_info_industry_sw_2021(W4664,公司分析!D$5,2),IF($Y$3="申万三级行业",[1]!s_info_industry_sw_2021(W4664,公司分析!D$5,3),IF($Y$3="wind一级行业",[1]!s_info_industry_gics(W4664,1),IF($Y$3="wind二级行业",[1]!s_info_industry_gics(W4664,2),IF($Y$3="wind三级行业",[1]!s_info_industry_gics(W4664,3),IF($Y$3="wind四级行业",[1]!s_info_industry_gics(W4664,4),IF($Y$3="证监会门类行业",[1]!s_info_industry_csrc12_n(W4664,公司分析!D$5,1),""))))))))</f>
        <v>军工电子Ⅱ</v>
      </c>
      <c r="Z4664" s="302" t="str">
        <f ca="1">IF(Y4664=行业比较!$E$6,ROW(),"")</f>
        <v/>
      </c>
    </row>
    <row r="4665" spans="22:26">
      <c r="V4665" s="260">
        <f t="shared" ca="1" si="80"/>
        <v>0</v>
      </c>
      <c r="W4665" s="348" t="str">
        <f>IF(板块成分!B4667="","",板块成分!B4667)</f>
        <v>688085.SH</v>
      </c>
      <c r="X4665" s="276" t="str">
        <f>[1]!S_Info_Name(W4665)</f>
        <v>三友医疗</v>
      </c>
      <c r="Y4665" s="276" t="str">
        <f ca="1">IF($Y$3="申万一级行业",[1]!s_info_industry_sw_2021(W4665,公司分析!D$5,1),IF($Y$3="申万二级行业",[1]!s_info_industry_sw_2021(W4665,公司分析!D$5,2),IF($Y$3="申万三级行业",[1]!s_info_industry_sw_2021(W4665,公司分析!D$5,3),IF($Y$3="wind一级行业",[1]!s_info_industry_gics(W4665,1),IF($Y$3="wind二级行业",[1]!s_info_industry_gics(W4665,2),IF($Y$3="wind三级行业",[1]!s_info_industry_gics(W4665,3),IF($Y$3="wind四级行业",[1]!s_info_industry_gics(W4665,4),IF($Y$3="证监会门类行业",[1]!s_info_industry_csrc12_n(W4665,公司分析!D$5,1),""))))))))</f>
        <v>医疗器械</v>
      </c>
      <c r="Z4665" s="302" t="str">
        <f ca="1">IF(Y4665=行业比较!$E$6,ROW(),"")</f>
        <v/>
      </c>
    </row>
    <row r="4666" spans="22:26">
      <c r="V4666" s="260">
        <f t="shared" ca="1" si="80"/>
        <v>0</v>
      </c>
      <c r="W4666" s="348" t="str">
        <f>IF(板块成分!B4668="","",板块成分!B4668)</f>
        <v>688087.SH</v>
      </c>
      <c r="X4666" s="276" t="str">
        <f>[1]!S_Info_Name(W4666)</f>
        <v>英科再生</v>
      </c>
      <c r="Y4666" s="276" t="str">
        <f ca="1">IF($Y$3="申万一级行业",[1]!s_info_industry_sw_2021(W4666,公司分析!D$5,1),IF($Y$3="申万二级行业",[1]!s_info_industry_sw_2021(W4666,公司分析!D$5,2),IF($Y$3="申万三级行业",[1]!s_info_industry_sw_2021(W4666,公司分析!D$5,3),IF($Y$3="wind一级行业",[1]!s_info_industry_gics(W4666,1),IF($Y$3="wind二级行业",[1]!s_info_industry_gics(W4666,2),IF($Y$3="wind三级行业",[1]!s_info_industry_gics(W4666,3),IF($Y$3="wind四级行业",[1]!s_info_industry_gics(W4666,4),IF($Y$3="证监会门类行业",[1]!s_info_industry_csrc12_n(W4666,公司分析!D$5,1),""))))))))</f>
        <v>塑料</v>
      </c>
      <c r="Z4666" s="302" t="str">
        <f ca="1">IF(Y4666=行业比较!$E$6,ROW(),"")</f>
        <v/>
      </c>
    </row>
    <row r="4667" spans="22:26">
      <c r="V4667" s="260">
        <f t="shared" ca="1" si="80"/>
        <v>0</v>
      </c>
      <c r="W4667" s="348" t="str">
        <f>IF(板块成分!B4669="","",板块成分!B4669)</f>
        <v>688088.SH</v>
      </c>
      <c r="X4667" s="276" t="str">
        <f>[1]!S_Info_Name(W4667)</f>
        <v>虹软科技</v>
      </c>
      <c r="Y4667" s="276" t="str">
        <f ca="1">IF($Y$3="申万一级行业",[1]!s_info_industry_sw_2021(W4667,公司分析!D$5,1),IF($Y$3="申万二级行业",[1]!s_info_industry_sw_2021(W4667,公司分析!D$5,2),IF($Y$3="申万三级行业",[1]!s_info_industry_sw_2021(W4667,公司分析!D$5,3),IF($Y$3="wind一级行业",[1]!s_info_industry_gics(W4667,1),IF($Y$3="wind二级行业",[1]!s_info_industry_gics(W4667,2),IF($Y$3="wind三级行业",[1]!s_info_industry_gics(W4667,3),IF($Y$3="wind四级行业",[1]!s_info_industry_gics(W4667,4),IF($Y$3="证监会门类行业",[1]!s_info_industry_csrc12_n(W4667,公司分析!D$5,1),""))))))))</f>
        <v>IT服务Ⅱ</v>
      </c>
      <c r="Z4667" s="302" t="str">
        <f ca="1">IF(Y4667=行业比较!$E$6,ROW(),"")</f>
        <v/>
      </c>
    </row>
    <row r="4668" spans="22:26">
      <c r="V4668" s="260">
        <f t="shared" ca="1" si="80"/>
        <v>0</v>
      </c>
      <c r="W4668" s="348" t="str">
        <f>IF(板块成分!B4670="","",板块成分!B4670)</f>
        <v>688089.SH</v>
      </c>
      <c r="X4668" s="276" t="str">
        <f>[1]!S_Info_Name(W4668)</f>
        <v>嘉必优</v>
      </c>
      <c r="Y4668" s="276" t="str">
        <f ca="1">IF($Y$3="申万一级行业",[1]!s_info_industry_sw_2021(W4668,公司分析!D$5,1),IF($Y$3="申万二级行业",[1]!s_info_industry_sw_2021(W4668,公司分析!D$5,2),IF($Y$3="申万三级行业",[1]!s_info_industry_sw_2021(W4668,公司分析!D$5,3),IF($Y$3="wind一级行业",[1]!s_info_industry_gics(W4668,1),IF($Y$3="wind二级行业",[1]!s_info_industry_gics(W4668,2),IF($Y$3="wind三级行业",[1]!s_info_industry_gics(W4668,3),IF($Y$3="wind四级行业",[1]!s_info_industry_gics(W4668,4),IF($Y$3="证监会门类行业",[1]!s_info_industry_csrc12_n(W4668,公司分析!D$5,1),""))))))))</f>
        <v>化学制品</v>
      </c>
      <c r="Z4668" s="302" t="str">
        <f ca="1">IF(Y4668=行业比较!$E$6,ROW(),"")</f>
        <v/>
      </c>
    </row>
    <row r="4669" spans="22:26">
      <c r="V4669" s="260">
        <f t="shared" ca="1" si="80"/>
        <v>0</v>
      </c>
      <c r="W4669" s="348" t="str">
        <f>IF(板块成分!B4671="","",板块成分!B4671)</f>
        <v>688090.SH</v>
      </c>
      <c r="X4669" s="276" t="str">
        <f>[1]!S_Info_Name(W4669)</f>
        <v>瑞松科技</v>
      </c>
      <c r="Y4669" s="276" t="str">
        <f ca="1">IF($Y$3="申万一级行业",[1]!s_info_industry_sw_2021(W4669,公司分析!D$5,1),IF($Y$3="申万二级行业",[1]!s_info_industry_sw_2021(W4669,公司分析!D$5,2),IF($Y$3="申万三级行业",[1]!s_info_industry_sw_2021(W4669,公司分析!D$5,3),IF($Y$3="wind一级行业",[1]!s_info_industry_gics(W4669,1),IF($Y$3="wind二级行业",[1]!s_info_industry_gics(W4669,2),IF($Y$3="wind三级行业",[1]!s_info_industry_gics(W4669,3),IF($Y$3="wind四级行业",[1]!s_info_industry_gics(W4669,4),IF($Y$3="证监会门类行业",[1]!s_info_industry_csrc12_n(W4669,公司分析!D$5,1),""))))))))</f>
        <v>自动化设备</v>
      </c>
      <c r="Z4669" s="302" t="str">
        <f ca="1">IF(Y4669=行业比较!$E$6,ROW(),"")</f>
        <v/>
      </c>
    </row>
    <row r="4670" spans="22:26">
      <c r="V4670" s="260">
        <f t="shared" ca="1" si="80"/>
        <v>0</v>
      </c>
      <c r="W4670" s="348" t="str">
        <f>IF(板块成分!B4672="","",板块成分!B4672)</f>
        <v>688091.SH</v>
      </c>
      <c r="X4670" s="276" t="str">
        <f>[1]!S_Info_Name(W4670)</f>
        <v>上海谊众</v>
      </c>
      <c r="Y4670" s="276" t="str">
        <f ca="1">IF($Y$3="申万一级行业",[1]!s_info_industry_sw_2021(W4670,公司分析!D$5,1),IF($Y$3="申万二级行业",[1]!s_info_industry_sw_2021(W4670,公司分析!D$5,2),IF($Y$3="申万三级行业",[1]!s_info_industry_sw_2021(W4670,公司分析!D$5,3),IF($Y$3="wind一级行业",[1]!s_info_industry_gics(W4670,1),IF($Y$3="wind二级行业",[1]!s_info_industry_gics(W4670,2),IF($Y$3="wind三级行业",[1]!s_info_industry_gics(W4670,3),IF($Y$3="wind四级行业",[1]!s_info_industry_gics(W4670,4),IF($Y$3="证监会门类行业",[1]!s_info_industry_csrc12_n(W4670,公司分析!D$5,1),""))))))))</f>
        <v>化学制药</v>
      </c>
      <c r="Z4670" s="302" t="str">
        <f ca="1">IF(Y4670=行业比较!$E$6,ROW(),"")</f>
        <v/>
      </c>
    </row>
    <row r="4671" spans="22:26">
      <c r="V4671" s="260">
        <f t="shared" ca="1" si="80"/>
        <v>0</v>
      </c>
      <c r="W4671" s="348" t="str">
        <f>IF(板块成分!B4673="","",板块成分!B4673)</f>
        <v>688092.SH</v>
      </c>
      <c r="X4671" s="276" t="str">
        <f>[1]!S_Info_Name(W4671)</f>
        <v>爱科科技</v>
      </c>
      <c r="Y4671" s="276" t="str">
        <f ca="1">IF($Y$3="申万一级行业",[1]!s_info_industry_sw_2021(W4671,公司分析!D$5,1),IF($Y$3="申万二级行业",[1]!s_info_industry_sw_2021(W4671,公司分析!D$5,2),IF($Y$3="申万三级行业",[1]!s_info_industry_sw_2021(W4671,公司分析!D$5,3),IF($Y$3="wind一级行业",[1]!s_info_industry_gics(W4671,1),IF($Y$3="wind二级行业",[1]!s_info_industry_gics(W4671,2),IF($Y$3="wind三级行业",[1]!s_info_industry_gics(W4671,3),IF($Y$3="wind四级行业",[1]!s_info_industry_gics(W4671,4),IF($Y$3="证监会门类行业",[1]!s_info_industry_csrc12_n(W4671,公司分析!D$5,1),""))))))))</f>
        <v>专用设备</v>
      </c>
      <c r="Z4671" s="302" t="str">
        <f ca="1">IF(Y4671=行业比较!$E$6,ROW(),"")</f>
        <v/>
      </c>
    </row>
    <row r="4672" spans="22:26">
      <c r="V4672" s="260">
        <f t="shared" ca="1" si="80"/>
        <v>0</v>
      </c>
      <c r="W4672" s="348" t="str">
        <f>IF(板块成分!B4674="","",板块成分!B4674)</f>
        <v>688093.SH</v>
      </c>
      <c r="X4672" s="276" t="str">
        <f>[1]!S_Info_Name(W4672)</f>
        <v>世华科技</v>
      </c>
      <c r="Y4672" s="276" t="str">
        <f ca="1">IF($Y$3="申万一级行业",[1]!s_info_industry_sw_2021(W4672,公司分析!D$5,1),IF($Y$3="申万二级行业",[1]!s_info_industry_sw_2021(W4672,公司分析!D$5,2),IF($Y$3="申万三级行业",[1]!s_info_industry_sw_2021(W4672,公司分析!D$5,3),IF($Y$3="wind一级行业",[1]!s_info_industry_gics(W4672,1),IF($Y$3="wind二级行业",[1]!s_info_industry_gics(W4672,2),IF($Y$3="wind三级行业",[1]!s_info_industry_gics(W4672,3),IF($Y$3="wind四级行业",[1]!s_info_industry_gics(W4672,4),IF($Y$3="证监会门类行业",[1]!s_info_industry_csrc12_n(W4672,公司分析!D$5,1),""))))))))</f>
        <v>其他电子Ⅱ</v>
      </c>
      <c r="Z4672" s="302" t="str">
        <f ca="1">IF(Y4672=行业比较!$E$6,ROW(),"")</f>
        <v/>
      </c>
    </row>
    <row r="4673" spans="22:26">
      <c r="V4673" s="260">
        <f t="shared" ca="1" si="80"/>
        <v>0</v>
      </c>
      <c r="W4673" s="348" t="str">
        <f>IF(板块成分!B4675="","",板块成分!B4675)</f>
        <v>688095.SH</v>
      </c>
      <c r="X4673" s="276" t="str">
        <f>[1]!S_Info_Name(W4673)</f>
        <v>福昕软件</v>
      </c>
      <c r="Y4673" s="276" t="str">
        <f ca="1">IF($Y$3="申万一级行业",[1]!s_info_industry_sw_2021(W4673,公司分析!D$5,1),IF($Y$3="申万二级行业",[1]!s_info_industry_sw_2021(W4673,公司分析!D$5,2),IF($Y$3="申万三级行业",[1]!s_info_industry_sw_2021(W4673,公司分析!D$5,3),IF($Y$3="wind一级行业",[1]!s_info_industry_gics(W4673,1),IF($Y$3="wind二级行业",[1]!s_info_industry_gics(W4673,2),IF($Y$3="wind三级行业",[1]!s_info_industry_gics(W4673,3),IF($Y$3="wind四级行业",[1]!s_info_industry_gics(W4673,4),IF($Y$3="证监会门类行业",[1]!s_info_industry_csrc12_n(W4673,公司分析!D$5,1),""))))))))</f>
        <v>软件开发</v>
      </c>
      <c r="Z4673" s="302" t="str">
        <f ca="1">IF(Y4673=行业比较!$E$6,ROW(),"")</f>
        <v/>
      </c>
    </row>
    <row r="4674" spans="22:26">
      <c r="V4674" s="260">
        <f t="shared" ca="1" si="80"/>
        <v>0</v>
      </c>
      <c r="W4674" s="348" t="str">
        <f>IF(板块成分!B4676="","",板块成分!B4676)</f>
        <v>688096.SH</v>
      </c>
      <c r="X4674" s="276" t="str">
        <f>[1]!S_Info_Name(W4674)</f>
        <v>京源环保</v>
      </c>
      <c r="Y4674" s="276" t="str">
        <f ca="1">IF($Y$3="申万一级行业",[1]!s_info_industry_sw_2021(W4674,公司分析!D$5,1),IF($Y$3="申万二级行业",[1]!s_info_industry_sw_2021(W4674,公司分析!D$5,2),IF($Y$3="申万三级行业",[1]!s_info_industry_sw_2021(W4674,公司分析!D$5,3),IF($Y$3="wind一级行业",[1]!s_info_industry_gics(W4674,1),IF($Y$3="wind二级行业",[1]!s_info_industry_gics(W4674,2),IF($Y$3="wind三级行业",[1]!s_info_industry_gics(W4674,3),IF($Y$3="wind四级行业",[1]!s_info_industry_gics(W4674,4),IF($Y$3="证监会门类行业",[1]!s_info_industry_csrc12_n(W4674,公司分析!D$5,1),""))))))))</f>
        <v>环境治理</v>
      </c>
      <c r="Z4674" s="302" t="str">
        <f ca="1">IF(Y4674=行业比较!$E$6,ROW(),"")</f>
        <v/>
      </c>
    </row>
    <row r="4675" spans="22:26">
      <c r="V4675" s="260">
        <f t="shared" ca="1" si="80"/>
        <v>0</v>
      </c>
      <c r="W4675" s="348" t="str">
        <f>IF(板块成分!B4677="","",板块成分!B4677)</f>
        <v>688097.SH</v>
      </c>
      <c r="X4675" s="276" t="str">
        <f>[1]!S_Info_Name(W4675)</f>
        <v>博众精工</v>
      </c>
      <c r="Y4675" s="276" t="str">
        <f ca="1">IF($Y$3="申万一级行业",[1]!s_info_industry_sw_2021(W4675,公司分析!D$5,1),IF($Y$3="申万二级行业",[1]!s_info_industry_sw_2021(W4675,公司分析!D$5,2),IF($Y$3="申万三级行业",[1]!s_info_industry_sw_2021(W4675,公司分析!D$5,3),IF($Y$3="wind一级行业",[1]!s_info_industry_gics(W4675,1),IF($Y$3="wind二级行业",[1]!s_info_industry_gics(W4675,2),IF($Y$3="wind三级行业",[1]!s_info_industry_gics(W4675,3),IF($Y$3="wind四级行业",[1]!s_info_industry_gics(W4675,4),IF($Y$3="证监会门类行业",[1]!s_info_industry_csrc12_n(W4675,公司分析!D$5,1),""))))))))</f>
        <v>自动化设备</v>
      </c>
      <c r="Z4675" s="302" t="str">
        <f ca="1">IF(Y4675=行业比较!$E$6,ROW(),"")</f>
        <v/>
      </c>
    </row>
    <row r="4676" spans="22:26">
      <c r="V4676" s="260">
        <f t="shared" ca="1" si="80"/>
        <v>0</v>
      </c>
      <c r="W4676" s="348" t="str">
        <f>IF(板块成分!B4678="","",板块成分!B4678)</f>
        <v>688098.SH</v>
      </c>
      <c r="X4676" s="276" t="str">
        <f>[1]!S_Info_Name(W4676)</f>
        <v>申联生物</v>
      </c>
      <c r="Y4676" s="276" t="str">
        <f ca="1">IF($Y$3="申万一级行业",[1]!s_info_industry_sw_2021(W4676,公司分析!D$5,1),IF($Y$3="申万二级行业",[1]!s_info_industry_sw_2021(W4676,公司分析!D$5,2),IF($Y$3="申万三级行业",[1]!s_info_industry_sw_2021(W4676,公司分析!D$5,3),IF($Y$3="wind一级行业",[1]!s_info_industry_gics(W4676,1),IF($Y$3="wind二级行业",[1]!s_info_industry_gics(W4676,2),IF($Y$3="wind三级行业",[1]!s_info_industry_gics(W4676,3),IF($Y$3="wind四级行业",[1]!s_info_industry_gics(W4676,4),IF($Y$3="证监会门类行业",[1]!s_info_industry_csrc12_n(W4676,公司分析!D$5,1),""))))))))</f>
        <v>动物保健Ⅱ</v>
      </c>
      <c r="Z4676" s="302" t="str">
        <f ca="1">IF(Y4676=行业比较!$E$6,ROW(),"")</f>
        <v/>
      </c>
    </row>
    <row r="4677" spans="22:26">
      <c r="V4677" s="260">
        <f t="shared" ref="V4677:V4740" ca="1" si="81">IF(Z4677="",0,RANK(Z4677,Z:Z,1))</f>
        <v>0</v>
      </c>
      <c r="W4677" s="348" t="str">
        <f>IF(板块成分!B4679="","",板块成分!B4679)</f>
        <v>688099.SH</v>
      </c>
      <c r="X4677" s="276" t="str">
        <f>[1]!S_Info_Name(W4677)</f>
        <v>晶晨股份</v>
      </c>
      <c r="Y4677" s="276" t="str">
        <f ca="1">IF($Y$3="申万一级行业",[1]!s_info_industry_sw_2021(W4677,公司分析!D$5,1),IF($Y$3="申万二级行业",[1]!s_info_industry_sw_2021(W4677,公司分析!D$5,2),IF($Y$3="申万三级行业",[1]!s_info_industry_sw_2021(W4677,公司分析!D$5,3),IF($Y$3="wind一级行业",[1]!s_info_industry_gics(W4677,1),IF($Y$3="wind二级行业",[1]!s_info_industry_gics(W4677,2),IF($Y$3="wind三级行业",[1]!s_info_industry_gics(W4677,3),IF($Y$3="wind四级行业",[1]!s_info_industry_gics(W4677,4),IF($Y$3="证监会门类行业",[1]!s_info_industry_csrc12_n(W4677,公司分析!D$5,1),""))))))))</f>
        <v>半导体</v>
      </c>
      <c r="Z4677" s="302" t="str">
        <f ca="1">IF(Y4677=行业比较!$E$6,ROW(),"")</f>
        <v/>
      </c>
    </row>
    <row r="4678" spans="22:26">
      <c r="V4678" s="260">
        <f t="shared" ca="1" si="81"/>
        <v>0</v>
      </c>
      <c r="W4678" s="348" t="str">
        <f>IF(板块成分!B4680="","",板块成分!B4680)</f>
        <v>688100.SH</v>
      </c>
      <c r="X4678" s="276" t="str">
        <f>[1]!S_Info_Name(W4678)</f>
        <v>威胜信息</v>
      </c>
      <c r="Y4678" s="276" t="str">
        <f ca="1">IF($Y$3="申万一级行业",[1]!s_info_industry_sw_2021(W4678,公司分析!D$5,1),IF($Y$3="申万二级行业",[1]!s_info_industry_sw_2021(W4678,公司分析!D$5,2),IF($Y$3="申万三级行业",[1]!s_info_industry_sw_2021(W4678,公司分析!D$5,3),IF($Y$3="wind一级行业",[1]!s_info_industry_gics(W4678,1),IF($Y$3="wind二级行业",[1]!s_info_industry_gics(W4678,2),IF($Y$3="wind三级行业",[1]!s_info_industry_gics(W4678,3),IF($Y$3="wind四级行业",[1]!s_info_industry_gics(W4678,4),IF($Y$3="证监会门类行业",[1]!s_info_industry_csrc12_n(W4678,公司分析!D$5,1),""))))))))</f>
        <v>通信设备</v>
      </c>
      <c r="Z4678" s="302" t="str">
        <f ca="1">IF(Y4678=行业比较!$E$6,ROW(),"")</f>
        <v/>
      </c>
    </row>
    <row r="4679" spans="22:26">
      <c r="V4679" s="260">
        <f t="shared" ca="1" si="81"/>
        <v>0</v>
      </c>
      <c r="W4679" s="348" t="str">
        <f>IF(板块成分!B4681="","",板块成分!B4681)</f>
        <v>688101.SH</v>
      </c>
      <c r="X4679" s="276" t="str">
        <f>[1]!S_Info_Name(W4679)</f>
        <v>三达膜</v>
      </c>
      <c r="Y4679" s="276" t="str">
        <f ca="1">IF($Y$3="申万一级行业",[1]!s_info_industry_sw_2021(W4679,公司分析!D$5,1),IF($Y$3="申万二级行业",[1]!s_info_industry_sw_2021(W4679,公司分析!D$5,2),IF($Y$3="申万三级行业",[1]!s_info_industry_sw_2021(W4679,公司分析!D$5,3),IF($Y$3="wind一级行业",[1]!s_info_industry_gics(W4679,1),IF($Y$3="wind二级行业",[1]!s_info_industry_gics(W4679,2),IF($Y$3="wind三级行业",[1]!s_info_industry_gics(W4679,3),IF($Y$3="wind四级行业",[1]!s_info_industry_gics(W4679,4),IF($Y$3="证监会门类行业",[1]!s_info_industry_csrc12_n(W4679,公司分析!D$5,1),""))))))))</f>
        <v>环境治理</v>
      </c>
      <c r="Z4679" s="302" t="str">
        <f ca="1">IF(Y4679=行业比较!$E$6,ROW(),"")</f>
        <v/>
      </c>
    </row>
    <row r="4680" spans="22:26">
      <c r="V4680" s="260">
        <f t="shared" ca="1" si="81"/>
        <v>0</v>
      </c>
      <c r="W4680" s="348" t="str">
        <f>IF(板块成分!B4682="","",板块成分!B4682)</f>
        <v>688102.SH</v>
      </c>
      <c r="X4680" s="276" t="str">
        <f>[1]!S_Info_Name(W4680)</f>
        <v>斯瑞新材</v>
      </c>
      <c r="Y4680" s="276" t="str">
        <f ca="1">IF($Y$3="申万一级行业",[1]!s_info_industry_sw_2021(W4680,公司分析!D$5,1),IF($Y$3="申万二级行业",[1]!s_info_industry_sw_2021(W4680,公司分析!D$5,2),IF($Y$3="申万三级行业",[1]!s_info_industry_sw_2021(W4680,公司分析!D$5,3),IF($Y$3="wind一级行业",[1]!s_info_industry_gics(W4680,1),IF($Y$3="wind二级行业",[1]!s_info_industry_gics(W4680,2),IF($Y$3="wind三级行业",[1]!s_info_industry_gics(W4680,3),IF($Y$3="wind四级行业",[1]!s_info_industry_gics(W4680,4),IF($Y$3="证监会门类行业",[1]!s_info_industry_csrc12_n(W4680,公司分析!D$5,1),""))))))))</f>
        <v>金属新材料</v>
      </c>
      <c r="Z4680" s="302" t="str">
        <f ca="1">IF(Y4680=行业比较!$E$6,ROW(),"")</f>
        <v/>
      </c>
    </row>
    <row r="4681" spans="22:26">
      <c r="V4681" s="260">
        <f t="shared" ca="1" si="81"/>
        <v>0</v>
      </c>
      <c r="W4681" s="348" t="str">
        <f>IF(板块成分!B4683="","",板块成分!B4683)</f>
        <v>688103.SH</v>
      </c>
      <c r="X4681" s="276" t="str">
        <f>[1]!S_Info_Name(W4681)</f>
        <v>国力电子</v>
      </c>
      <c r="Y4681" s="276" t="str">
        <f ca="1">IF($Y$3="申万一级行业",[1]!s_info_industry_sw_2021(W4681,公司分析!D$5,1),IF($Y$3="申万二级行业",[1]!s_info_industry_sw_2021(W4681,公司分析!D$5,2),IF($Y$3="申万三级行业",[1]!s_info_industry_sw_2021(W4681,公司分析!D$5,3),IF($Y$3="wind一级行业",[1]!s_info_industry_gics(W4681,1),IF($Y$3="wind二级行业",[1]!s_info_industry_gics(W4681,2),IF($Y$3="wind三级行业",[1]!s_info_industry_gics(W4681,3),IF($Y$3="wind四级行业",[1]!s_info_industry_gics(W4681,4),IF($Y$3="证监会门类行业",[1]!s_info_industry_csrc12_n(W4681,公司分析!D$5,1),""))))))))</f>
        <v>其他电子Ⅱ</v>
      </c>
      <c r="Z4681" s="302" t="str">
        <f ca="1">IF(Y4681=行业比较!$E$6,ROW(),"")</f>
        <v/>
      </c>
    </row>
    <row r="4682" spans="22:26">
      <c r="V4682" s="260">
        <f t="shared" ca="1" si="81"/>
        <v>0</v>
      </c>
      <c r="W4682" s="348" t="str">
        <f>IF(板块成分!B4684="","",板块成分!B4684)</f>
        <v>688105.SH</v>
      </c>
      <c r="X4682" s="276" t="str">
        <f>[1]!S_Info_Name(W4682)</f>
        <v>诺唯赞</v>
      </c>
      <c r="Y4682" s="276" t="str">
        <f ca="1">IF($Y$3="申万一级行业",[1]!s_info_industry_sw_2021(W4682,公司分析!D$5,1),IF($Y$3="申万二级行业",[1]!s_info_industry_sw_2021(W4682,公司分析!D$5,2),IF($Y$3="申万三级行业",[1]!s_info_industry_sw_2021(W4682,公司分析!D$5,3),IF($Y$3="wind一级行业",[1]!s_info_industry_gics(W4682,1),IF($Y$3="wind二级行业",[1]!s_info_industry_gics(W4682,2),IF($Y$3="wind三级行业",[1]!s_info_industry_gics(W4682,3),IF($Y$3="wind四级行业",[1]!s_info_industry_gics(W4682,4),IF($Y$3="证监会门类行业",[1]!s_info_industry_csrc12_n(W4682,公司分析!D$5,1),""))))))))</f>
        <v>生物制品</v>
      </c>
      <c r="Z4682" s="302" t="str">
        <f ca="1">IF(Y4682=行业比较!$E$6,ROW(),"")</f>
        <v/>
      </c>
    </row>
    <row r="4683" spans="22:26">
      <c r="V4683" s="260">
        <f t="shared" ca="1" si="81"/>
        <v>0</v>
      </c>
      <c r="W4683" s="348" t="str">
        <f>IF(板块成分!B4685="","",板块成分!B4685)</f>
        <v>688106.SH</v>
      </c>
      <c r="X4683" s="276" t="str">
        <f>[1]!S_Info_Name(W4683)</f>
        <v>金宏气体</v>
      </c>
      <c r="Y4683" s="276" t="str">
        <f ca="1">IF($Y$3="申万一级行业",[1]!s_info_industry_sw_2021(W4683,公司分析!D$5,1),IF($Y$3="申万二级行业",[1]!s_info_industry_sw_2021(W4683,公司分析!D$5,2),IF($Y$3="申万三级行业",[1]!s_info_industry_sw_2021(W4683,公司分析!D$5,3),IF($Y$3="wind一级行业",[1]!s_info_industry_gics(W4683,1),IF($Y$3="wind二级行业",[1]!s_info_industry_gics(W4683,2),IF($Y$3="wind三级行业",[1]!s_info_industry_gics(W4683,3),IF($Y$3="wind四级行业",[1]!s_info_industry_gics(W4683,4),IF($Y$3="证监会门类行业",[1]!s_info_industry_csrc12_n(W4683,公司分析!D$5,1),""))))))))</f>
        <v>电子化学品Ⅱ</v>
      </c>
      <c r="Z4683" s="302" t="str">
        <f ca="1">IF(Y4683=行业比较!$E$6,ROW(),"")</f>
        <v/>
      </c>
    </row>
    <row r="4684" spans="22:26">
      <c r="V4684" s="260">
        <f t="shared" ca="1" si="81"/>
        <v>0</v>
      </c>
      <c r="W4684" s="348" t="str">
        <f>IF(板块成分!B4686="","",板块成分!B4686)</f>
        <v>688107.SH</v>
      </c>
      <c r="X4684" s="276" t="str">
        <f>[1]!S_Info_Name(W4684)</f>
        <v>安路科技</v>
      </c>
      <c r="Y4684" s="276" t="str">
        <f ca="1">IF($Y$3="申万一级行业",[1]!s_info_industry_sw_2021(W4684,公司分析!D$5,1),IF($Y$3="申万二级行业",[1]!s_info_industry_sw_2021(W4684,公司分析!D$5,2),IF($Y$3="申万三级行业",[1]!s_info_industry_sw_2021(W4684,公司分析!D$5,3),IF($Y$3="wind一级行业",[1]!s_info_industry_gics(W4684,1),IF($Y$3="wind二级行业",[1]!s_info_industry_gics(W4684,2),IF($Y$3="wind三级行业",[1]!s_info_industry_gics(W4684,3),IF($Y$3="wind四级行业",[1]!s_info_industry_gics(W4684,4),IF($Y$3="证监会门类行业",[1]!s_info_industry_csrc12_n(W4684,公司分析!D$5,1),""))))))))</f>
        <v>半导体</v>
      </c>
      <c r="Z4684" s="302" t="str">
        <f ca="1">IF(Y4684=行业比较!$E$6,ROW(),"")</f>
        <v/>
      </c>
    </row>
    <row r="4685" spans="22:26">
      <c r="V4685" s="260">
        <f t="shared" ca="1" si="81"/>
        <v>0</v>
      </c>
      <c r="W4685" s="348" t="str">
        <f>IF(板块成分!B4687="","",板块成分!B4687)</f>
        <v>688108.SH</v>
      </c>
      <c r="X4685" s="276" t="str">
        <f>[1]!S_Info_Name(W4685)</f>
        <v>赛诺医疗</v>
      </c>
      <c r="Y4685" s="276" t="str">
        <f ca="1">IF($Y$3="申万一级行业",[1]!s_info_industry_sw_2021(W4685,公司分析!D$5,1),IF($Y$3="申万二级行业",[1]!s_info_industry_sw_2021(W4685,公司分析!D$5,2),IF($Y$3="申万三级行业",[1]!s_info_industry_sw_2021(W4685,公司分析!D$5,3),IF($Y$3="wind一级行业",[1]!s_info_industry_gics(W4685,1),IF($Y$3="wind二级行业",[1]!s_info_industry_gics(W4685,2),IF($Y$3="wind三级行业",[1]!s_info_industry_gics(W4685,3),IF($Y$3="wind四级行业",[1]!s_info_industry_gics(W4685,4),IF($Y$3="证监会门类行业",[1]!s_info_industry_csrc12_n(W4685,公司分析!D$5,1),""))))))))</f>
        <v>医疗器械</v>
      </c>
      <c r="Z4685" s="302" t="str">
        <f ca="1">IF(Y4685=行业比较!$E$6,ROW(),"")</f>
        <v/>
      </c>
    </row>
    <row r="4686" spans="22:26">
      <c r="V4686" s="260">
        <f t="shared" ca="1" si="81"/>
        <v>0</v>
      </c>
      <c r="W4686" s="348" t="str">
        <f>IF(板块成分!B4688="","",板块成分!B4688)</f>
        <v>688109.SH</v>
      </c>
      <c r="X4686" s="276" t="str">
        <f>[1]!S_Info_Name(W4686)</f>
        <v>品茗科技</v>
      </c>
      <c r="Y4686" s="276" t="str">
        <f ca="1">IF($Y$3="申万一级行业",[1]!s_info_industry_sw_2021(W4686,公司分析!D$5,1),IF($Y$3="申万二级行业",[1]!s_info_industry_sw_2021(W4686,公司分析!D$5,2),IF($Y$3="申万三级行业",[1]!s_info_industry_sw_2021(W4686,公司分析!D$5,3),IF($Y$3="wind一级行业",[1]!s_info_industry_gics(W4686,1),IF($Y$3="wind二级行业",[1]!s_info_industry_gics(W4686,2),IF($Y$3="wind三级行业",[1]!s_info_industry_gics(W4686,3),IF($Y$3="wind四级行业",[1]!s_info_industry_gics(W4686,4),IF($Y$3="证监会门类行业",[1]!s_info_industry_csrc12_n(W4686,公司分析!D$5,1),""))))))))</f>
        <v>软件开发</v>
      </c>
      <c r="Z4686" s="302" t="str">
        <f ca="1">IF(Y4686=行业比较!$E$6,ROW(),"")</f>
        <v/>
      </c>
    </row>
    <row r="4687" spans="22:26">
      <c r="V4687" s="260">
        <f t="shared" ca="1" si="81"/>
        <v>0</v>
      </c>
      <c r="W4687" s="348" t="str">
        <f>IF(板块成分!B4689="","",板块成分!B4689)</f>
        <v>688110.SH</v>
      </c>
      <c r="X4687" s="276" t="str">
        <f>[1]!S_Info_Name(W4687)</f>
        <v>东芯股份</v>
      </c>
      <c r="Y4687" s="276" t="str">
        <f ca="1">IF($Y$3="申万一级行业",[1]!s_info_industry_sw_2021(W4687,公司分析!D$5,1),IF($Y$3="申万二级行业",[1]!s_info_industry_sw_2021(W4687,公司分析!D$5,2),IF($Y$3="申万三级行业",[1]!s_info_industry_sw_2021(W4687,公司分析!D$5,3),IF($Y$3="wind一级行业",[1]!s_info_industry_gics(W4687,1),IF($Y$3="wind二级行业",[1]!s_info_industry_gics(W4687,2),IF($Y$3="wind三级行业",[1]!s_info_industry_gics(W4687,3),IF($Y$3="wind四级行业",[1]!s_info_industry_gics(W4687,4),IF($Y$3="证监会门类行业",[1]!s_info_industry_csrc12_n(W4687,公司分析!D$5,1),""))))))))</f>
        <v>半导体</v>
      </c>
      <c r="Z4687" s="302" t="str">
        <f ca="1">IF(Y4687=行业比较!$E$6,ROW(),"")</f>
        <v/>
      </c>
    </row>
    <row r="4688" spans="22:26">
      <c r="V4688" s="260">
        <f t="shared" ca="1" si="81"/>
        <v>0</v>
      </c>
      <c r="W4688" s="348" t="str">
        <f>IF(板块成分!B4690="","",板块成分!B4690)</f>
        <v>688111.SH</v>
      </c>
      <c r="X4688" s="276" t="str">
        <f>[1]!S_Info_Name(W4688)</f>
        <v>金山办公</v>
      </c>
      <c r="Y4688" s="276" t="str">
        <f ca="1">IF($Y$3="申万一级行业",[1]!s_info_industry_sw_2021(W4688,公司分析!D$5,1),IF($Y$3="申万二级行业",[1]!s_info_industry_sw_2021(W4688,公司分析!D$5,2),IF($Y$3="申万三级行业",[1]!s_info_industry_sw_2021(W4688,公司分析!D$5,3),IF($Y$3="wind一级行业",[1]!s_info_industry_gics(W4688,1),IF($Y$3="wind二级行业",[1]!s_info_industry_gics(W4688,2),IF($Y$3="wind三级行业",[1]!s_info_industry_gics(W4688,3),IF($Y$3="wind四级行业",[1]!s_info_industry_gics(W4688,4),IF($Y$3="证监会门类行业",[1]!s_info_industry_csrc12_n(W4688,公司分析!D$5,1),""))))))))</f>
        <v>软件开发</v>
      </c>
      <c r="Z4688" s="302" t="str">
        <f ca="1">IF(Y4688=行业比较!$E$6,ROW(),"")</f>
        <v/>
      </c>
    </row>
    <row r="4689" spans="22:26">
      <c r="V4689" s="260">
        <f t="shared" ca="1" si="81"/>
        <v>0</v>
      </c>
      <c r="W4689" s="348" t="str">
        <f>IF(板块成分!B4691="","",板块成分!B4691)</f>
        <v>688112.SH</v>
      </c>
      <c r="X4689" s="276" t="str">
        <f>[1]!S_Info_Name(W4689)</f>
        <v>鼎阳科技</v>
      </c>
      <c r="Y4689" s="276" t="str">
        <f ca="1">IF($Y$3="申万一级行业",[1]!s_info_industry_sw_2021(W4689,公司分析!D$5,1),IF($Y$3="申万二级行业",[1]!s_info_industry_sw_2021(W4689,公司分析!D$5,2),IF($Y$3="申万三级行业",[1]!s_info_industry_sw_2021(W4689,公司分析!D$5,3),IF($Y$3="wind一级行业",[1]!s_info_industry_gics(W4689,1),IF($Y$3="wind二级行业",[1]!s_info_industry_gics(W4689,2),IF($Y$3="wind三级行业",[1]!s_info_industry_gics(W4689,3),IF($Y$3="wind四级行业",[1]!s_info_industry_gics(W4689,4),IF($Y$3="证监会门类行业",[1]!s_info_industry_csrc12_n(W4689,公司分析!D$5,1),""))))))))</f>
        <v>通用设备</v>
      </c>
      <c r="Z4689" s="302" t="str">
        <f ca="1">IF(Y4689=行业比较!$E$6,ROW(),"")</f>
        <v/>
      </c>
    </row>
    <row r="4690" spans="22:26">
      <c r="V4690" s="260">
        <f t="shared" ca="1" si="81"/>
        <v>0</v>
      </c>
      <c r="W4690" s="348" t="str">
        <f>IF(板块成分!B4692="","",板块成分!B4692)</f>
        <v>688113.SH</v>
      </c>
      <c r="X4690" s="276" t="str">
        <f>[1]!S_Info_Name(W4690)</f>
        <v>联测科技</v>
      </c>
      <c r="Y4690" s="276" t="str">
        <f ca="1">IF($Y$3="申万一级行业",[1]!s_info_industry_sw_2021(W4690,公司分析!D$5,1),IF($Y$3="申万二级行业",[1]!s_info_industry_sw_2021(W4690,公司分析!D$5,2),IF($Y$3="申万三级行业",[1]!s_info_industry_sw_2021(W4690,公司分析!D$5,3),IF($Y$3="wind一级行业",[1]!s_info_industry_gics(W4690,1),IF($Y$3="wind二级行业",[1]!s_info_industry_gics(W4690,2),IF($Y$3="wind三级行业",[1]!s_info_industry_gics(W4690,3),IF($Y$3="wind四级行业",[1]!s_info_industry_gics(W4690,4),IF($Y$3="证监会门类行业",[1]!s_info_industry_csrc12_n(W4690,公司分析!D$5,1),""))))))))</f>
        <v>专用设备</v>
      </c>
      <c r="Z4690" s="302" t="str">
        <f ca="1">IF(Y4690=行业比较!$E$6,ROW(),"")</f>
        <v/>
      </c>
    </row>
    <row r="4691" spans="22:26">
      <c r="V4691" s="260">
        <f t="shared" ca="1" si="81"/>
        <v>0</v>
      </c>
      <c r="W4691" s="348" t="str">
        <f>IF(板块成分!B4693="","",板块成分!B4693)</f>
        <v>688114.SH</v>
      </c>
      <c r="X4691" s="276" t="str">
        <f>[1]!S_Info_Name(W4691)</f>
        <v>华大智造</v>
      </c>
      <c r="Y4691" s="276" t="str">
        <f ca="1">IF($Y$3="申万一级行业",[1]!s_info_industry_sw_2021(W4691,公司分析!D$5,1),IF($Y$3="申万二级行业",[1]!s_info_industry_sw_2021(W4691,公司分析!D$5,2),IF($Y$3="申万三级行业",[1]!s_info_industry_sw_2021(W4691,公司分析!D$5,3),IF($Y$3="wind一级行业",[1]!s_info_industry_gics(W4691,1),IF($Y$3="wind二级行业",[1]!s_info_industry_gics(W4691,2),IF($Y$3="wind三级行业",[1]!s_info_industry_gics(W4691,3),IF($Y$3="wind四级行业",[1]!s_info_industry_gics(W4691,4),IF($Y$3="证监会门类行业",[1]!s_info_industry_csrc12_n(W4691,公司分析!D$5,1),""))))))))</f>
        <v>医疗器械</v>
      </c>
      <c r="Z4691" s="302" t="str">
        <f ca="1">IF(Y4691=行业比较!$E$6,ROW(),"")</f>
        <v/>
      </c>
    </row>
    <row r="4692" spans="22:26">
      <c r="V4692" s="260">
        <f t="shared" ca="1" si="81"/>
        <v>0</v>
      </c>
      <c r="W4692" s="348" t="str">
        <f>IF(板块成分!B4694="","",板块成分!B4694)</f>
        <v>688115.SH</v>
      </c>
      <c r="X4692" s="276" t="str">
        <f>[1]!S_Info_Name(W4692)</f>
        <v>思林杰</v>
      </c>
      <c r="Y4692" s="276" t="str">
        <f ca="1">IF($Y$3="申万一级行业",[1]!s_info_industry_sw_2021(W4692,公司分析!D$5,1),IF($Y$3="申万二级行业",[1]!s_info_industry_sw_2021(W4692,公司分析!D$5,2),IF($Y$3="申万三级行业",[1]!s_info_industry_sw_2021(W4692,公司分析!D$5,3),IF($Y$3="wind一级行业",[1]!s_info_industry_gics(W4692,1),IF($Y$3="wind二级行业",[1]!s_info_industry_gics(W4692,2),IF($Y$3="wind三级行业",[1]!s_info_industry_gics(W4692,3),IF($Y$3="wind四级行业",[1]!s_info_industry_gics(W4692,4),IF($Y$3="证监会门类行业",[1]!s_info_industry_csrc12_n(W4692,公司分析!D$5,1),""))))))))</f>
        <v>通用设备</v>
      </c>
      <c r="Z4692" s="302" t="str">
        <f ca="1">IF(Y4692=行业比较!$E$6,ROW(),"")</f>
        <v/>
      </c>
    </row>
    <row r="4693" spans="22:26">
      <c r="V4693" s="260">
        <f t="shared" ca="1" si="81"/>
        <v>0</v>
      </c>
      <c r="W4693" s="348" t="str">
        <f>IF(板块成分!B4695="","",板块成分!B4695)</f>
        <v>688116.SH</v>
      </c>
      <c r="X4693" s="276" t="str">
        <f>[1]!S_Info_Name(W4693)</f>
        <v>天奈科技</v>
      </c>
      <c r="Y4693" s="276" t="str">
        <f ca="1">IF($Y$3="申万一级行业",[1]!s_info_industry_sw_2021(W4693,公司分析!D$5,1),IF($Y$3="申万二级行业",[1]!s_info_industry_sw_2021(W4693,公司分析!D$5,2),IF($Y$3="申万三级行业",[1]!s_info_industry_sw_2021(W4693,公司分析!D$5,3),IF($Y$3="wind一级行业",[1]!s_info_industry_gics(W4693,1),IF($Y$3="wind二级行业",[1]!s_info_industry_gics(W4693,2),IF($Y$3="wind三级行业",[1]!s_info_industry_gics(W4693,3),IF($Y$3="wind四级行业",[1]!s_info_industry_gics(W4693,4),IF($Y$3="证监会门类行业",[1]!s_info_industry_csrc12_n(W4693,公司分析!D$5,1),""))))))))</f>
        <v>电池</v>
      </c>
      <c r="Z4693" s="302" t="str">
        <f ca="1">IF(Y4693=行业比较!$E$6,ROW(),"")</f>
        <v/>
      </c>
    </row>
    <row r="4694" spans="22:26">
      <c r="V4694" s="260">
        <f t="shared" ca="1" si="81"/>
        <v>0</v>
      </c>
      <c r="W4694" s="348" t="str">
        <f>IF(板块成分!B4696="","",板块成分!B4696)</f>
        <v>688117.SH</v>
      </c>
      <c r="X4694" s="276" t="str">
        <f>[1]!S_Info_Name(W4694)</f>
        <v>圣诺生物</v>
      </c>
      <c r="Y4694" s="276" t="str">
        <f ca="1">IF($Y$3="申万一级行业",[1]!s_info_industry_sw_2021(W4694,公司分析!D$5,1),IF($Y$3="申万二级行业",[1]!s_info_industry_sw_2021(W4694,公司分析!D$5,2),IF($Y$3="申万三级行业",[1]!s_info_industry_sw_2021(W4694,公司分析!D$5,3),IF($Y$3="wind一级行业",[1]!s_info_industry_gics(W4694,1),IF($Y$3="wind二级行业",[1]!s_info_industry_gics(W4694,2),IF($Y$3="wind三级行业",[1]!s_info_industry_gics(W4694,3),IF($Y$3="wind四级行业",[1]!s_info_industry_gics(W4694,4),IF($Y$3="证监会门类行业",[1]!s_info_industry_csrc12_n(W4694,公司分析!D$5,1),""))))))))</f>
        <v>化学制药</v>
      </c>
      <c r="Z4694" s="302" t="str">
        <f ca="1">IF(Y4694=行业比较!$E$6,ROW(),"")</f>
        <v/>
      </c>
    </row>
    <row r="4695" spans="22:26">
      <c r="V4695" s="260">
        <f t="shared" ca="1" si="81"/>
        <v>0</v>
      </c>
      <c r="W4695" s="348" t="str">
        <f>IF(板块成分!B4697="","",板块成分!B4697)</f>
        <v>688118.SH</v>
      </c>
      <c r="X4695" s="276" t="str">
        <f>[1]!S_Info_Name(W4695)</f>
        <v>普元信息</v>
      </c>
      <c r="Y4695" s="276" t="str">
        <f ca="1">IF($Y$3="申万一级行业",[1]!s_info_industry_sw_2021(W4695,公司分析!D$5,1),IF($Y$3="申万二级行业",[1]!s_info_industry_sw_2021(W4695,公司分析!D$5,2),IF($Y$3="申万三级行业",[1]!s_info_industry_sw_2021(W4695,公司分析!D$5,3),IF($Y$3="wind一级行业",[1]!s_info_industry_gics(W4695,1),IF($Y$3="wind二级行业",[1]!s_info_industry_gics(W4695,2),IF($Y$3="wind三级行业",[1]!s_info_industry_gics(W4695,3),IF($Y$3="wind四级行业",[1]!s_info_industry_gics(W4695,4),IF($Y$3="证监会门类行业",[1]!s_info_industry_csrc12_n(W4695,公司分析!D$5,1),""))))))))</f>
        <v>软件开发</v>
      </c>
      <c r="Z4695" s="302" t="str">
        <f ca="1">IF(Y4695=行业比较!$E$6,ROW(),"")</f>
        <v/>
      </c>
    </row>
    <row r="4696" spans="22:26">
      <c r="V4696" s="260">
        <f t="shared" ca="1" si="81"/>
        <v>0</v>
      </c>
      <c r="W4696" s="348" t="str">
        <f>IF(板块成分!B4698="","",板块成分!B4698)</f>
        <v>688119.SH</v>
      </c>
      <c r="X4696" s="276" t="str">
        <f>[1]!S_Info_Name(W4696)</f>
        <v>中钢洛耐</v>
      </c>
      <c r="Y4696" s="276" t="str">
        <f ca="1">IF($Y$3="申万一级行业",[1]!s_info_industry_sw_2021(W4696,公司分析!D$5,1),IF($Y$3="申万二级行业",[1]!s_info_industry_sw_2021(W4696,公司分析!D$5,2),IF($Y$3="申万三级行业",[1]!s_info_industry_sw_2021(W4696,公司分析!D$5,3),IF($Y$3="wind一级行业",[1]!s_info_industry_gics(W4696,1),IF($Y$3="wind二级行业",[1]!s_info_industry_gics(W4696,2),IF($Y$3="wind三级行业",[1]!s_info_industry_gics(W4696,3),IF($Y$3="wind四级行业",[1]!s_info_industry_gics(W4696,4),IF($Y$3="证监会门类行业",[1]!s_info_industry_csrc12_n(W4696,公司分析!D$5,1),""))))))))</f>
        <v>装修建材</v>
      </c>
      <c r="Z4696" s="302" t="str">
        <f ca="1">IF(Y4696=行业比较!$E$6,ROW(),"")</f>
        <v/>
      </c>
    </row>
    <row r="4697" spans="22:26">
      <c r="V4697" s="260">
        <f t="shared" ca="1" si="81"/>
        <v>0</v>
      </c>
      <c r="W4697" s="348" t="str">
        <f>IF(板块成分!B4699="","",板块成分!B4699)</f>
        <v>688120.SH</v>
      </c>
      <c r="X4697" s="276" t="str">
        <f>[1]!S_Info_Name(W4697)</f>
        <v>华海清科</v>
      </c>
      <c r="Y4697" s="276" t="str">
        <f ca="1">IF($Y$3="申万一级行业",[1]!s_info_industry_sw_2021(W4697,公司分析!D$5,1),IF($Y$3="申万二级行业",[1]!s_info_industry_sw_2021(W4697,公司分析!D$5,2),IF($Y$3="申万三级行业",[1]!s_info_industry_sw_2021(W4697,公司分析!D$5,3),IF($Y$3="wind一级行业",[1]!s_info_industry_gics(W4697,1),IF($Y$3="wind二级行业",[1]!s_info_industry_gics(W4697,2),IF($Y$3="wind三级行业",[1]!s_info_industry_gics(W4697,3),IF($Y$3="wind四级行业",[1]!s_info_industry_gics(W4697,4),IF($Y$3="证监会门类行业",[1]!s_info_industry_csrc12_n(W4697,公司分析!D$5,1),""))))))))</f>
        <v>半导体</v>
      </c>
      <c r="Z4697" s="302" t="str">
        <f ca="1">IF(Y4697=行业比较!$E$6,ROW(),"")</f>
        <v/>
      </c>
    </row>
    <row r="4698" spans="22:26">
      <c r="V4698" s="260">
        <f t="shared" ca="1" si="81"/>
        <v>0</v>
      </c>
      <c r="W4698" s="348" t="str">
        <f>IF(板块成分!B4700="","",板块成分!B4700)</f>
        <v>688121.SH</v>
      </c>
      <c r="X4698" s="276" t="str">
        <f>[1]!S_Info_Name(W4698)</f>
        <v>卓然股份</v>
      </c>
      <c r="Y4698" s="276" t="str">
        <f ca="1">IF($Y$3="申万一级行业",[1]!s_info_industry_sw_2021(W4698,公司分析!D$5,1),IF($Y$3="申万二级行业",[1]!s_info_industry_sw_2021(W4698,公司分析!D$5,2),IF($Y$3="申万三级行业",[1]!s_info_industry_sw_2021(W4698,公司分析!D$5,3),IF($Y$3="wind一级行业",[1]!s_info_industry_gics(W4698,1),IF($Y$3="wind二级行业",[1]!s_info_industry_gics(W4698,2),IF($Y$3="wind三级行业",[1]!s_info_industry_gics(W4698,3),IF($Y$3="wind四级行业",[1]!s_info_industry_gics(W4698,4),IF($Y$3="证监会门类行业",[1]!s_info_industry_csrc12_n(W4698,公司分析!D$5,1),""))))))))</f>
        <v>专用设备</v>
      </c>
      <c r="Z4698" s="302" t="str">
        <f ca="1">IF(Y4698=行业比较!$E$6,ROW(),"")</f>
        <v/>
      </c>
    </row>
    <row r="4699" spans="22:26">
      <c r="V4699" s="260">
        <f t="shared" ca="1" si="81"/>
        <v>0</v>
      </c>
      <c r="W4699" s="348" t="str">
        <f>IF(板块成分!B4701="","",板块成分!B4701)</f>
        <v>688122.SH</v>
      </c>
      <c r="X4699" s="276" t="str">
        <f>[1]!S_Info_Name(W4699)</f>
        <v>西部超导</v>
      </c>
      <c r="Y4699" s="276" t="str">
        <f ca="1">IF($Y$3="申万一级行业",[1]!s_info_industry_sw_2021(W4699,公司分析!D$5,1),IF($Y$3="申万二级行业",[1]!s_info_industry_sw_2021(W4699,公司分析!D$5,2),IF($Y$3="申万三级行业",[1]!s_info_industry_sw_2021(W4699,公司分析!D$5,3),IF($Y$3="wind一级行业",[1]!s_info_industry_gics(W4699,1),IF($Y$3="wind二级行业",[1]!s_info_industry_gics(W4699,2),IF($Y$3="wind三级行业",[1]!s_info_industry_gics(W4699,3),IF($Y$3="wind四级行业",[1]!s_info_industry_gics(W4699,4),IF($Y$3="证监会门类行业",[1]!s_info_industry_csrc12_n(W4699,公司分析!D$5,1),""))))))))</f>
        <v>航空装备Ⅱ</v>
      </c>
      <c r="Z4699" s="302" t="str">
        <f ca="1">IF(Y4699=行业比较!$E$6,ROW(),"")</f>
        <v/>
      </c>
    </row>
    <row r="4700" spans="22:26">
      <c r="V4700" s="260">
        <f t="shared" ca="1" si="81"/>
        <v>0</v>
      </c>
      <c r="W4700" s="348" t="str">
        <f>IF(板块成分!B4702="","",板块成分!B4702)</f>
        <v>688123.SH</v>
      </c>
      <c r="X4700" s="276" t="str">
        <f>[1]!S_Info_Name(W4700)</f>
        <v>聚辰股份</v>
      </c>
      <c r="Y4700" s="276" t="str">
        <f ca="1">IF($Y$3="申万一级行业",[1]!s_info_industry_sw_2021(W4700,公司分析!D$5,1),IF($Y$3="申万二级行业",[1]!s_info_industry_sw_2021(W4700,公司分析!D$5,2),IF($Y$3="申万三级行业",[1]!s_info_industry_sw_2021(W4700,公司分析!D$5,3),IF($Y$3="wind一级行业",[1]!s_info_industry_gics(W4700,1),IF($Y$3="wind二级行业",[1]!s_info_industry_gics(W4700,2),IF($Y$3="wind三级行业",[1]!s_info_industry_gics(W4700,3),IF($Y$3="wind四级行业",[1]!s_info_industry_gics(W4700,4),IF($Y$3="证监会门类行业",[1]!s_info_industry_csrc12_n(W4700,公司分析!D$5,1),""))))))))</f>
        <v>半导体</v>
      </c>
      <c r="Z4700" s="302" t="str">
        <f ca="1">IF(Y4700=行业比较!$E$6,ROW(),"")</f>
        <v/>
      </c>
    </row>
    <row r="4701" spans="22:26">
      <c r="V4701" s="260">
        <f t="shared" ca="1" si="81"/>
        <v>0</v>
      </c>
      <c r="W4701" s="348" t="str">
        <f>IF(板块成分!B4703="","",板块成分!B4703)</f>
        <v>688125.SH</v>
      </c>
      <c r="X4701" s="276" t="str">
        <f>[1]!S_Info_Name(W4701)</f>
        <v>安达智能</v>
      </c>
      <c r="Y4701" s="276" t="str">
        <f ca="1">IF($Y$3="申万一级行业",[1]!s_info_industry_sw_2021(W4701,公司分析!D$5,1),IF($Y$3="申万二级行业",[1]!s_info_industry_sw_2021(W4701,公司分析!D$5,2),IF($Y$3="申万三级行业",[1]!s_info_industry_sw_2021(W4701,公司分析!D$5,3),IF($Y$3="wind一级行业",[1]!s_info_industry_gics(W4701,1),IF($Y$3="wind二级行业",[1]!s_info_industry_gics(W4701,2),IF($Y$3="wind三级行业",[1]!s_info_industry_gics(W4701,3),IF($Y$3="wind四级行业",[1]!s_info_industry_gics(W4701,4),IF($Y$3="证监会门类行业",[1]!s_info_industry_csrc12_n(W4701,公司分析!D$5,1),""))))))))</f>
        <v>自动化设备</v>
      </c>
      <c r="Z4701" s="302" t="str">
        <f ca="1">IF(Y4701=行业比较!$E$6,ROW(),"")</f>
        <v/>
      </c>
    </row>
    <row r="4702" spans="22:26">
      <c r="V4702" s="260">
        <f t="shared" ca="1" si="81"/>
        <v>0</v>
      </c>
      <c r="W4702" s="348" t="str">
        <f>IF(板块成分!B4704="","",板块成分!B4704)</f>
        <v>688126.SH</v>
      </c>
      <c r="X4702" s="276" t="str">
        <f>[1]!S_Info_Name(W4702)</f>
        <v>沪硅产业</v>
      </c>
      <c r="Y4702" s="276" t="str">
        <f ca="1">IF($Y$3="申万一级行业",[1]!s_info_industry_sw_2021(W4702,公司分析!D$5,1),IF($Y$3="申万二级行业",[1]!s_info_industry_sw_2021(W4702,公司分析!D$5,2),IF($Y$3="申万三级行业",[1]!s_info_industry_sw_2021(W4702,公司分析!D$5,3),IF($Y$3="wind一级行业",[1]!s_info_industry_gics(W4702,1),IF($Y$3="wind二级行业",[1]!s_info_industry_gics(W4702,2),IF($Y$3="wind三级行业",[1]!s_info_industry_gics(W4702,3),IF($Y$3="wind四级行业",[1]!s_info_industry_gics(W4702,4),IF($Y$3="证监会门类行业",[1]!s_info_industry_csrc12_n(W4702,公司分析!D$5,1),""))))))))</f>
        <v>半导体</v>
      </c>
      <c r="Z4702" s="302" t="str">
        <f ca="1">IF(Y4702=行业比较!$E$6,ROW(),"")</f>
        <v/>
      </c>
    </row>
    <row r="4703" spans="22:26">
      <c r="V4703" s="260">
        <f t="shared" ca="1" si="81"/>
        <v>0</v>
      </c>
      <c r="W4703" s="348" t="str">
        <f>IF(板块成分!B4705="","",板块成分!B4705)</f>
        <v>688127.SH</v>
      </c>
      <c r="X4703" s="276" t="str">
        <f>[1]!S_Info_Name(W4703)</f>
        <v>蓝特光学</v>
      </c>
      <c r="Y4703" s="276" t="str">
        <f ca="1">IF($Y$3="申万一级行业",[1]!s_info_industry_sw_2021(W4703,公司分析!D$5,1),IF($Y$3="申万二级行业",[1]!s_info_industry_sw_2021(W4703,公司分析!D$5,2),IF($Y$3="申万三级行业",[1]!s_info_industry_sw_2021(W4703,公司分析!D$5,3),IF($Y$3="wind一级行业",[1]!s_info_industry_gics(W4703,1),IF($Y$3="wind二级行业",[1]!s_info_industry_gics(W4703,2),IF($Y$3="wind三级行业",[1]!s_info_industry_gics(W4703,3),IF($Y$3="wind四级行业",[1]!s_info_industry_gics(W4703,4),IF($Y$3="证监会门类行业",[1]!s_info_industry_csrc12_n(W4703,公司分析!D$5,1),""))))))))</f>
        <v>光学光电子</v>
      </c>
      <c r="Z4703" s="302" t="str">
        <f ca="1">IF(Y4703=行业比较!$E$6,ROW(),"")</f>
        <v/>
      </c>
    </row>
    <row r="4704" spans="22:26">
      <c r="V4704" s="260">
        <f t="shared" ca="1" si="81"/>
        <v>0</v>
      </c>
      <c r="W4704" s="348" t="str">
        <f>IF(板块成分!B4706="","",板块成分!B4706)</f>
        <v>688128.SH</v>
      </c>
      <c r="X4704" s="276" t="str">
        <f>[1]!S_Info_Name(W4704)</f>
        <v>中国电研</v>
      </c>
      <c r="Y4704" s="276" t="str">
        <f ca="1">IF($Y$3="申万一级行业",[1]!s_info_industry_sw_2021(W4704,公司分析!D$5,1),IF($Y$3="申万二级行业",[1]!s_info_industry_sw_2021(W4704,公司分析!D$5,2),IF($Y$3="申万三级行业",[1]!s_info_industry_sw_2021(W4704,公司分析!D$5,3),IF($Y$3="wind一级行业",[1]!s_info_industry_gics(W4704,1),IF($Y$3="wind二级行业",[1]!s_info_industry_gics(W4704,2),IF($Y$3="wind三级行业",[1]!s_info_industry_gics(W4704,3),IF($Y$3="wind四级行业",[1]!s_info_industry_gics(W4704,4),IF($Y$3="证监会门类行业",[1]!s_info_industry_csrc12_n(W4704,公司分析!D$5,1),""))))))))</f>
        <v>专用设备</v>
      </c>
      <c r="Z4704" s="302" t="str">
        <f ca="1">IF(Y4704=行业比较!$E$6,ROW(),"")</f>
        <v/>
      </c>
    </row>
    <row r="4705" spans="22:26">
      <c r="V4705" s="260">
        <f t="shared" ca="1" si="81"/>
        <v>0</v>
      </c>
      <c r="W4705" s="348" t="str">
        <f>IF(板块成分!B4707="","",板块成分!B4707)</f>
        <v>688129.SH</v>
      </c>
      <c r="X4705" s="276" t="str">
        <f>[1]!S_Info_Name(W4705)</f>
        <v>东来技术</v>
      </c>
      <c r="Y4705" s="276" t="str">
        <f ca="1">IF($Y$3="申万一级行业",[1]!s_info_industry_sw_2021(W4705,公司分析!D$5,1),IF($Y$3="申万二级行业",[1]!s_info_industry_sw_2021(W4705,公司分析!D$5,2),IF($Y$3="申万三级行业",[1]!s_info_industry_sw_2021(W4705,公司分析!D$5,3),IF($Y$3="wind一级行业",[1]!s_info_industry_gics(W4705,1),IF($Y$3="wind二级行业",[1]!s_info_industry_gics(W4705,2),IF($Y$3="wind三级行业",[1]!s_info_industry_gics(W4705,3),IF($Y$3="wind四级行业",[1]!s_info_industry_gics(W4705,4),IF($Y$3="证监会门类行业",[1]!s_info_industry_csrc12_n(W4705,公司分析!D$5,1),""))))))))</f>
        <v>化学制品</v>
      </c>
      <c r="Z4705" s="302" t="str">
        <f ca="1">IF(Y4705=行业比较!$E$6,ROW(),"")</f>
        <v/>
      </c>
    </row>
    <row r="4706" spans="22:26">
      <c r="V4706" s="260">
        <f t="shared" ca="1" si="81"/>
        <v>0</v>
      </c>
      <c r="W4706" s="348" t="str">
        <f>IF(板块成分!B4708="","",板块成分!B4708)</f>
        <v>688130.SH</v>
      </c>
      <c r="X4706" s="276" t="str">
        <f>[1]!S_Info_Name(W4706)</f>
        <v>晶华微</v>
      </c>
      <c r="Y4706" s="276" t="str">
        <f ca="1">IF($Y$3="申万一级行业",[1]!s_info_industry_sw_2021(W4706,公司分析!D$5,1),IF($Y$3="申万二级行业",[1]!s_info_industry_sw_2021(W4706,公司分析!D$5,2),IF($Y$3="申万三级行业",[1]!s_info_industry_sw_2021(W4706,公司分析!D$5,3),IF($Y$3="wind一级行业",[1]!s_info_industry_gics(W4706,1),IF($Y$3="wind二级行业",[1]!s_info_industry_gics(W4706,2),IF($Y$3="wind三级行业",[1]!s_info_industry_gics(W4706,3),IF($Y$3="wind四级行业",[1]!s_info_industry_gics(W4706,4),IF($Y$3="证监会门类行业",[1]!s_info_industry_csrc12_n(W4706,公司分析!D$5,1),""))))))))</f>
        <v>半导体</v>
      </c>
      <c r="Z4706" s="302" t="str">
        <f ca="1">IF(Y4706=行业比较!$E$6,ROW(),"")</f>
        <v/>
      </c>
    </row>
    <row r="4707" spans="22:26">
      <c r="V4707" s="260">
        <f t="shared" ca="1" si="81"/>
        <v>0</v>
      </c>
      <c r="W4707" s="348" t="str">
        <f>IF(板块成分!B4709="","",板块成分!B4709)</f>
        <v>688131.SH</v>
      </c>
      <c r="X4707" s="276" t="str">
        <f>[1]!S_Info_Name(W4707)</f>
        <v>皓元医药</v>
      </c>
      <c r="Y4707" s="276" t="str">
        <f ca="1">IF($Y$3="申万一级行业",[1]!s_info_industry_sw_2021(W4707,公司分析!D$5,1),IF($Y$3="申万二级行业",[1]!s_info_industry_sw_2021(W4707,公司分析!D$5,2),IF($Y$3="申万三级行业",[1]!s_info_industry_sw_2021(W4707,公司分析!D$5,3),IF($Y$3="wind一级行业",[1]!s_info_industry_gics(W4707,1),IF($Y$3="wind二级行业",[1]!s_info_industry_gics(W4707,2),IF($Y$3="wind三级行业",[1]!s_info_industry_gics(W4707,3),IF($Y$3="wind四级行业",[1]!s_info_industry_gics(W4707,4),IF($Y$3="证监会门类行业",[1]!s_info_industry_csrc12_n(W4707,公司分析!D$5,1),""))))))))</f>
        <v>医疗服务</v>
      </c>
      <c r="Z4707" s="302" t="str">
        <f ca="1">IF(Y4707=行业比较!$E$6,ROW(),"")</f>
        <v/>
      </c>
    </row>
    <row r="4708" spans="22:26">
      <c r="V4708" s="260">
        <f t="shared" ca="1" si="81"/>
        <v>0</v>
      </c>
      <c r="W4708" s="348" t="str">
        <f>IF(板块成分!B4710="","",板块成分!B4710)</f>
        <v>688132.SH</v>
      </c>
      <c r="X4708" s="276" t="str">
        <f>[1]!S_Info_Name(W4708)</f>
        <v>邦彦技术</v>
      </c>
      <c r="Y4708" s="276" t="str">
        <f ca="1">IF($Y$3="申万一级行业",[1]!s_info_industry_sw_2021(W4708,公司分析!D$5,1),IF($Y$3="申万二级行业",[1]!s_info_industry_sw_2021(W4708,公司分析!D$5,2),IF($Y$3="申万三级行业",[1]!s_info_industry_sw_2021(W4708,公司分析!D$5,3),IF($Y$3="wind一级行业",[1]!s_info_industry_gics(W4708,1),IF($Y$3="wind二级行业",[1]!s_info_industry_gics(W4708,2),IF($Y$3="wind三级行业",[1]!s_info_industry_gics(W4708,3),IF($Y$3="wind四级行业",[1]!s_info_industry_gics(W4708,4),IF($Y$3="证监会门类行业",[1]!s_info_industry_csrc12_n(W4708,公司分析!D$5,1),""))))))))</f>
        <v>军工电子Ⅱ</v>
      </c>
      <c r="Z4708" s="302" t="str">
        <f ca="1">IF(Y4708=行业比较!$E$6,ROW(),"")</f>
        <v/>
      </c>
    </row>
    <row r="4709" spans="22:26">
      <c r="V4709" s="260">
        <f t="shared" ca="1" si="81"/>
        <v>0</v>
      </c>
      <c r="W4709" s="348" t="str">
        <f>IF(板块成分!B4711="","",板块成分!B4711)</f>
        <v>688133.SH</v>
      </c>
      <c r="X4709" s="276" t="str">
        <f>[1]!S_Info_Name(W4709)</f>
        <v>泰坦科技</v>
      </c>
      <c r="Y4709" s="276" t="str">
        <f ca="1">IF($Y$3="申万一级行业",[1]!s_info_industry_sw_2021(W4709,公司分析!D$5,1),IF($Y$3="申万二级行业",[1]!s_info_industry_sw_2021(W4709,公司分析!D$5,2),IF($Y$3="申万三级行业",[1]!s_info_industry_sw_2021(W4709,公司分析!D$5,3),IF($Y$3="wind一级行业",[1]!s_info_industry_gics(W4709,1),IF($Y$3="wind二级行业",[1]!s_info_industry_gics(W4709,2),IF($Y$3="wind三级行业",[1]!s_info_industry_gics(W4709,3),IF($Y$3="wind四级行业",[1]!s_info_industry_gics(W4709,4),IF($Y$3="证监会门类行业",[1]!s_info_industry_csrc12_n(W4709,公司分析!D$5,1),""))))))))</f>
        <v>化学制品</v>
      </c>
      <c r="Z4709" s="302" t="str">
        <f ca="1">IF(Y4709=行业比较!$E$6,ROW(),"")</f>
        <v/>
      </c>
    </row>
    <row r="4710" spans="22:26">
      <c r="V4710" s="260">
        <f t="shared" ca="1" si="81"/>
        <v>0</v>
      </c>
      <c r="W4710" s="348" t="str">
        <f>IF(板块成分!B4712="","",板块成分!B4712)</f>
        <v>688135.SH</v>
      </c>
      <c r="X4710" s="276" t="str">
        <f>[1]!S_Info_Name(W4710)</f>
        <v>利扬芯片</v>
      </c>
      <c r="Y4710" s="276" t="str">
        <f ca="1">IF($Y$3="申万一级行业",[1]!s_info_industry_sw_2021(W4710,公司分析!D$5,1),IF($Y$3="申万二级行业",[1]!s_info_industry_sw_2021(W4710,公司分析!D$5,2),IF($Y$3="申万三级行业",[1]!s_info_industry_sw_2021(W4710,公司分析!D$5,3),IF($Y$3="wind一级行业",[1]!s_info_industry_gics(W4710,1),IF($Y$3="wind二级行业",[1]!s_info_industry_gics(W4710,2),IF($Y$3="wind三级行业",[1]!s_info_industry_gics(W4710,3),IF($Y$3="wind四级行业",[1]!s_info_industry_gics(W4710,4),IF($Y$3="证监会门类行业",[1]!s_info_industry_csrc12_n(W4710,公司分析!D$5,1),""))))))))</f>
        <v>半导体</v>
      </c>
      <c r="Z4710" s="302" t="str">
        <f ca="1">IF(Y4710=行业比较!$E$6,ROW(),"")</f>
        <v/>
      </c>
    </row>
    <row r="4711" spans="22:26">
      <c r="V4711" s="260">
        <f t="shared" ca="1" si="81"/>
        <v>0</v>
      </c>
      <c r="W4711" s="348" t="str">
        <f>IF(板块成分!B4713="","",板块成分!B4713)</f>
        <v>688136.SH</v>
      </c>
      <c r="X4711" s="276" t="str">
        <f>[1]!S_Info_Name(W4711)</f>
        <v>科兴制药</v>
      </c>
      <c r="Y4711" s="276" t="str">
        <f ca="1">IF($Y$3="申万一级行业",[1]!s_info_industry_sw_2021(W4711,公司分析!D$5,1),IF($Y$3="申万二级行业",[1]!s_info_industry_sw_2021(W4711,公司分析!D$5,2),IF($Y$3="申万三级行业",[1]!s_info_industry_sw_2021(W4711,公司分析!D$5,3),IF($Y$3="wind一级行业",[1]!s_info_industry_gics(W4711,1),IF($Y$3="wind二级行业",[1]!s_info_industry_gics(W4711,2),IF($Y$3="wind三级行业",[1]!s_info_industry_gics(W4711,3),IF($Y$3="wind四级行业",[1]!s_info_industry_gics(W4711,4),IF($Y$3="证监会门类行业",[1]!s_info_industry_csrc12_n(W4711,公司分析!D$5,1),""))))))))</f>
        <v>生物制品</v>
      </c>
      <c r="Z4711" s="302" t="str">
        <f ca="1">IF(Y4711=行业比较!$E$6,ROW(),"")</f>
        <v/>
      </c>
    </row>
    <row r="4712" spans="22:26">
      <c r="V4712" s="260">
        <f t="shared" ca="1" si="81"/>
        <v>0</v>
      </c>
      <c r="W4712" s="348" t="str">
        <f>IF(板块成分!B4714="","",板块成分!B4714)</f>
        <v>688137.SH</v>
      </c>
      <c r="X4712" s="276" t="str">
        <f>[1]!S_Info_Name(W4712)</f>
        <v>近岸蛋白</v>
      </c>
      <c r="Y4712" s="276" t="str">
        <f ca="1">IF($Y$3="申万一级行业",[1]!s_info_industry_sw_2021(W4712,公司分析!D$5,1),IF($Y$3="申万二级行业",[1]!s_info_industry_sw_2021(W4712,公司分析!D$5,2),IF($Y$3="申万三级行业",[1]!s_info_industry_sw_2021(W4712,公司分析!D$5,3),IF($Y$3="wind一级行业",[1]!s_info_industry_gics(W4712,1),IF($Y$3="wind二级行业",[1]!s_info_industry_gics(W4712,2),IF($Y$3="wind三级行业",[1]!s_info_industry_gics(W4712,3),IF($Y$3="wind四级行业",[1]!s_info_industry_gics(W4712,4),IF($Y$3="证监会门类行业",[1]!s_info_industry_csrc12_n(W4712,公司分析!D$5,1),""))))))))</f>
        <v>生物制品</v>
      </c>
      <c r="Z4712" s="302" t="str">
        <f ca="1">IF(Y4712=行业比较!$E$6,ROW(),"")</f>
        <v/>
      </c>
    </row>
    <row r="4713" spans="22:26">
      <c r="V4713" s="260">
        <f t="shared" ca="1" si="81"/>
        <v>0</v>
      </c>
      <c r="W4713" s="348" t="str">
        <f>IF(板块成分!B4715="","",板块成分!B4715)</f>
        <v>688138.SH</v>
      </c>
      <c r="X4713" s="276" t="str">
        <f>[1]!S_Info_Name(W4713)</f>
        <v>清溢光电</v>
      </c>
      <c r="Y4713" s="276" t="str">
        <f ca="1">IF($Y$3="申万一级行业",[1]!s_info_industry_sw_2021(W4713,公司分析!D$5,1),IF($Y$3="申万二级行业",[1]!s_info_industry_sw_2021(W4713,公司分析!D$5,2),IF($Y$3="申万三级行业",[1]!s_info_industry_sw_2021(W4713,公司分析!D$5,3),IF($Y$3="wind一级行业",[1]!s_info_industry_gics(W4713,1),IF($Y$3="wind二级行业",[1]!s_info_industry_gics(W4713,2),IF($Y$3="wind三级行业",[1]!s_info_industry_gics(W4713,3),IF($Y$3="wind四级行业",[1]!s_info_industry_gics(W4713,4),IF($Y$3="证监会门类行业",[1]!s_info_industry_csrc12_n(W4713,公司分析!D$5,1),""))))))))</f>
        <v>半导体</v>
      </c>
      <c r="Z4713" s="302" t="str">
        <f ca="1">IF(Y4713=行业比较!$E$6,ROW(),"")</f>
        <v/>
      </c>
    </row>
    <row r="4714" spans="22:26">
      <c r="V4714" s="260">
        <f t="shared" ca="1" si="81"/>
        <v>0</v>
      </c>
      <c r="W4714" s="348" t="str">
        <f>IF(板块成分!B4716="","",板块成分!B4716)</f>
        <v>688139.SH</v>
      </c>
      <c r="X4714" s="276" t="str">
        <f>[1]!S_Info_Name(W4714)</f>
        <v>海尔生物</v>
      </c>
      <c r="Y4714" s="276" t="str">
        <f ca="1">IF($Y$3="申万一级行业",[1]!s_info_industry_sw_2021(W4714,公司分析!D$5,1),IF($Y$3="申万二级行业",[1]!s_info_industry_sw_2021(W4714,公司分析!D$5,2),IF($Y$3="申万三级行业",[1]!s_info_industry_sw_2021(W4714,公司分析!D$5,3),IF($Y$3="wind一级行业",[1]!s_info_industry_gics(W4714,1),IF($Y$3="wind二级行业",[1]!s_info_industry_gics(W4714,2),IF($Y$3="wind三级行业",[1]!s_info_industry_gics(W4714,3),IF($Y$3="wind四级行业",[1]!s_info_industry_gics(W4714,4),IF($Y$3="证监会门类行业",[1]!s_info_industry_csrc12_n(W4714,公司分析!D$5,1),""))))))))</f>
        <v>医疗器械</v>
      </c>
      <c r="Z4714" s="302" t="str">
        <f ca="1">IF(Y4714=行业比较!$E$6,ROW(),"")</f>
        <v/>
      </c>
    </row>
    <row r="4715" spans="22:26">
      <c r="V4715" s="260">
        <f t="shared" ca="1" si="81"/>
        <v>0</v>
      </c>
      <c r="W4715" s="348" t="str">
        <f>IF(板块成分!B4717="","",板块成分!B4717)</f>
        <v>688141.SH</v>
      </c>
      <c r="X4715" s="276" t="str">
        <f>[1]!S_Info_Name(W4715)</f>
        <v>杰华特</v>
      </c>
      <c r="Y4715" s="276" t="str">
        <f ca="1">IF($Y$3="申万一级行业",[1]!s_info_industry_sw_2021(W4715,公司分析!D$5,1),IF($Y$3="申万二级行业",[1]!s_info_industry_sw_2021(W4715,公司分析!D$5,2),IF($Y$3="申万三级行业",[1]!s_info_industry_sw_2021(W4715,公司分析!D$5,3),IF($Y$3="wind一级行业",[1]!s_info_industry_gics(W4715,1),IF($Y$3="wind二级行业",[1]!s_info_industry_gics(W4715,2),IF($Y$3="wind三级行业",[1]!s_info_industry_gics(W4715,3),IF($Y$3="wind四级行业",[1]!s_info_industry_gics(W4715,4),IF($Y$3="证监会门类行业",[1]!s_info_industry_csrc12_n(W4715,公司分析!D$5,1),""))))))))</f>
        <v>半导体</v>
      </c>
      <c r="Z4715" s="302" t="str">
        <f ca="1">IF(Y4715=行业比较!$E$6,ROW(),"")</f>
        <v/>
      </c>
    </row>
    <row r="4716" spans="22:26">
      <c r="V4716" s="260">
        <f t="shared" ca="1" si="81"/>
        <v>0</v>
      </c>
      <c r="W4716" s="348" t="str">
        <f>IF(板块成分!B4718="","",板块成分!B4718)</f>
        <v>688143.SH</v>
      </c>
      <c r="X4716" s="276" t="str">
        <f>[1]!S_Info_Name(W4716)</f>
        <v>长盈通</v>
      </c>
      <c r="Y4716" s="276" t="str">
        <f ca="1">IF($Y$3="申万一级行业",[1]!s_info_industry_sw_2021(W4716,公司分析!D$5,1),IF($Y$3="申万二级行业",[1]!s_info_industry_sw_2021(W4716,公司分析!D$5,2),IF($Y$3="申万三级行业",[1]!s_info_industry_sw_2021(W4716,公司分析!D$5,3),IF($Y$3="wind一级行业",[1]!s_info_industry_gics(W4716,1),IF($Y$3="wind二级行业",[1]!s_info_industry_gics(W4716,2),IF($Y$3="wind三级行业",[1]!s_info_industry_gics(W4716,3),IF($Y$3="wind四级行业",[1]!s_info_industry_gics(W4716,4),IF($Y$3="证监会门类行业",[1]!s_info_industry_csrc12_n(W4716,公司分析!D$5,1),""))))))))</f>
        <v>通信设备</v>
      </c>
      <c r="Z4716" s="302" t="str">
        <f ca="1">IF(Y4716=行业比较!$E$6,ROW(),"")</f>
        <v/>
      </c>
    </row>
    <row r="4717" spans="22:26">
      <c r="V4717" s="260">
        <f t="shared" ca="1" si="81"/>
        <v>0</v>
      </c>
      <c r="W4717" s="348" t="str">
        <f>IF(板块成分!B4719="","",板块成分!B4719)</f>
        <v>688146.SH</v>
      </c>
      <c r="X4717" s="276" t="str">
        <f>[1]!S_Info_Name(W4717)</f>
        <v>中船特气</v>
      </c>
      <c r="Y4717" s="276" t="str">
        <f ca="1">IF($Y$3="申万一级行业",[1]!s_info_industry_sw_2021(W4717,公司分析!D$5,1),IF($Y$3="申万二级行业",[1]!s_info_industry_sw_2021(W4717,公司分析!D$5,2),IF($Y$3="申万三级行业",[1]!s_info_industry_sw_2021(W4717,公司分析!D$5,3),IF($Y$3="wind一级行业",[1]!s_info_industry_gics(W4717,1),IF($Y$3="wind二级行业",[1]!s_info_industry_gics(W4717,2),IF($Y$3="wind三级行业",[1]!s_info_industry_gics(W4717,3),IF($Y$3="wind四级行业",[1]!s_info_industry_gics(W4717,4),IF($Y$3="证监会门类行业",[1]!s_info_industry_csrc12_n(W4717,公司分析!D$5,1),""))))))))</f>
        <v>半导体</v>
      </c>
      <c r="Z4717" s="302" t="str">
        <f ca="1">IF(Y4717=行业比较!$E$6,ROW(),"")</f>
        <v/>
      </c>
    </row>
    <row r="4718" spans="22:26">
      <c r="V4718" s="260">
        <f t="shared" ca="1" si="81"/>
        <v>0</v>
      </c>
      <c r="W4718" s="348" t="str">
        <f>IF(板块成分!B4720="","",板块成分!B4720)</f>
        <v>688147.SH</v>
      </c>
      <c r="X4718" s="276" t="str">
        <f>[1]!S_Info_Name(W4718)</f>
        <v>微导纳米</v>
      </c>
      <c r="Y4718" s="276" t="str">
        <f ca="1">IF($Y$3="申万一级行业",[1]!s_info_industry_sw_2021(W4718,公司分析!D$5,1),IF($Y$3="申万二级行业",[1]!s_info_industry_sw_2021(W4718,公司分析!D$5,2),IF($Y$3="申万三级行业",[1]!s_info_industry_sw_2021(W4718,公司分析!D$5,3),IF($Y$3="wind一级行业",[1]!s_info_industry_gics(W4718,1),IF($Y$3="wind二级行业",[1]!s_info_industry_gics(W4718,2),IF($Y$3="wind三级行业",[1]!s_info_industry_gics(W4718,3),IF($Y$3="wind四级行业",[1]!s_info_industry_gics(W4718,4),IF($Y$3="证监会门类行业",[1]!s_info_industry_csrc12_n(W4718,公司分析!D$5,1),""))))))))</f>
        <v>光伏设备</v>
      </c>
      <c r="Z4718" s="302" t="str">
        <f ca="1">IF(Y4718=行业比较!$E$6,ROW(),"")</f>
        <v/>
      </c>
    </row>
    <row r="4719" spans="22:26">
      <c r="V4719" s="260">
        <f t="shared" ca="1" si="81"/>
        <v>0</v>
      </c>
      <c r="W4719" s="348" t="str">
        <f>IF(板块成分!B4721="","",板块成分!B4721)</f>
        <v>688148.SH</v>
      </c>
      <c r="X4719" s="276" t="str">
        <f>[1]!S_Info_Name(W4719)</f>
        <v>芳源股份</v>
      </c>
      <c r="Y4719" s="276" t="str">
        <f ca="1">IF($Y$3="申万一级行业",[1]!s_info_industry_sw_2021(W4719,公司分析!D$5,1),IF($Y$3="申万二级行业",[1]!s_info_industry_sw_2021(W4719,公司分析!D$5,2),IF($Y$3="申万三级行业",[1]!s_info_industry_sw_2021(W4719,公司分析!D$5,3),IF($Y$3="wind一级行业",[1]!s_info_industry_gics(W4719,1),IF($Y$3="wind二级行业",[1]!s_info_industry_gics(W4719,2),IF($Y$3="wind三级行业",[1]!s_info_industry_gics(W4719,3),IF($Y$3="wind四级行业",[1]!s_info_industry_gics(W4719,4),IF($Y$3="证监会门类行业",[1]!s_info_industry_csrc12_n(W4719,公司分析!D$5,1),""))))))))</f>
        <v>电池</v>
      </c>
      <c r="Z4719" s="302" t="str">
        <f ca="1">IF(Y4719=行业比较!$E$6,ROW(),"")</f>
        <v/>
      </c>
    </row>
    <row r="4720" spans="22:26">
      <c r="V4720" s="260">
        <f t="shared" ca="1" si="81"/>
        <v>0</v>
      </c>
      <c r="W4720" s="348" t="str">
        <f>IF(板块成分!B4722="","",板块成分!B4722)</f>
        <v>688150.SH</v>
      </c>
      <c r="X4720" s="276" t="str">
        <f>[1]!S_Info_Name(W4720)</f>
        <v>莱特光电</v>
      </c>
      <c r="Y4720" s="276" t="str">
        <f ca="1">IF($Y$3="申万一级行业",[1]!s_info_industry_sw_2021(W4720,公司分析!D$5,1),IF($Y$3="申万二级行业",[1]!s_info_industry_sw_2021(W4720,公司分析!D$5,2),IF($Y$3="申万三级行业",[1]!s_info_industry_sw_2021(W4720,公司分析!D$5,3),IF($Y$3="wind一级行业",[1]!s_info_industry_gics(W4720,1),IF($Y$3="wind二级行业",[1]!s_info_industry_gics(W4720,2),IF($Y$3="wind三级行业",[1]!s_info_industry_gics(W4720,3),IF($Y$3="wind四级行业",[1]!s_info_industry_gics(W4720,4),IF($Y$3="证监会门类行业",[1]!s_info_industry_csrc12_n(W4720,公司分析!D$5,1),""))))))))</f>
        <v>电子化学品Ⅱ</v>
      </c>
      <c r="Z4720" s="302" t="str">
        <f ca="1">IF(Y4720=行业比较!$E$6,ROW(),"")</f>
        <v/>
      </c>
    </row>
    <row r="4721" spans="22:26">
      <c r="V4721" s="260">
        <f t="shared" ca="1" si="81"/>
        <v>0</v>
      </c>
      <c r="W4721" s="348" t="str">
        <f>IF(板块成分!B4723="","",板块成分!B4723)</f>
        <v>688151.SH</v>
      </c>
      <c r="X4721" s="276" t="str">
        <f>[1]!S_Info_Name(W4721)</f>
        <v>华强科技</v>
      </c>
      <c r="Y4721" s="276" t="str">
        <f ca="1">IF($Y$3="申万一级行业",[1]!s_info_industry_sw_2021(W4721,公司分析!D$5,1),IF($Y$3="申万二级行业",[1]!s_info_industry_sw_2021(W4721,公司分析!D$5,2),IF($Y$3="申万三级行业",[1]!s_info_industry_sw_2021(W4721,公司分析!D$5,3),IF($Y$3="wind一级行业",[1]!s_info_industry_gics(W4721,1),IF($Y$3="wind二级行业",[1]!s_info_industry_gics(W4721,2),IF($Y$3="wind三级行业",[1]!s_info_industry_gics(W4721,3),IF($Y$3="wind四级行业",[1]!s_info_industry_gics(W4721,4),IF($Y$3="证监会门类行业",[1]!s_info_industry_csrc12_n(W4721,公司分析!D$5,1),""))))))))</f>
        <v>医疗器械</v>
      </c>
      <c r="Z4721" s="302" t="str">
        <f ca="1">IF(Y4721=行业比较!$E$6,ROW(),"")</f>
        <v/>
      </c>
    </row>
    <row r="4722" spans="22:26">
      <c r="V4722" s="260">
        <f t="shared" ca="1" si="81"/>
        <v>0</v>
      </c>
      <c r="W4722" s="348" t="str">
        <f>IF(板块成分!B4724="","",板块成分!B4724)</f>
        <v>688152.SH</v>
      </c>
      <c r="X4722" s="276" t="str">
        <f>[1]!S_Info_Name(W4722)</f>
        <v>麒麟信安</v>
      </c>
      <c r="Y4722" s="276" t="str">
        <f ca="1">IF($Y$3="申万一级行业",[1]!s_info_industry_sw_2021(W4722,公司分析!D$5,1),IF($Y$3="申万二级行业",[1]!s_info_industry_sw_2021(W4722,公司分析!D$5,2),IF($Y$3="申万三级行业",[1]!s_info_industry_sw_2021(W4722,公司分析!D$5,3),IF($Y$3="wind一级行业",[1]!s_info_industry_gics(W4722,1),IF($Y$3="wind二级行业",[1]!s_info_industry_gics(W4722,2),IF($Y$3="wind三级行业",[1]!s_info_industry_gics(W4722,3),IF($Y$3="wind四级行业",[1]!s_info_industry_gics(W4722,4),IF($Y$3="证监会门类行业",[1]!s_info_industry_csrc12_n(W4722,公司分析!D$5,1),""))))))))</f>
        <v>软件开发</v>
      </c>
      <c r="Z4722" s="302" t="str">
        <f ca="1">IF(Y4722=行业比较!$E$6,ROW(),"")</f>
        <v/>
      </c>
    </row>
    <row r="4723" spans="22:26">
      <c r="V4723" s="260">
        <f t="shared" ca="1" si="81"/>
        <v>0</v>
      </c>
      <c r="W4723" s="348" t="str">
        <f>IF(板块成分!B4725="","",板块成分!B4725)</f>
        <v>688153.SH</v>
      </c>
      <c r="X4723" s="276" t="str">
        <f>[1]!S_Info_Name(W4723)</f>
        <v>唯捷创芯</v>
      </c>
      <c r="Y4723" s="276" t="str">
        <f ca="1">IF($Y$3="申万一级行业",[1]!s_info_industry_sw_2021(W4723,公司分析!D$5,1),IF($Y$3="申万二级行业",[1]!s_info_industry_sw_2021(W4723,公司分析!D$5,2),IF($Y$3="申万三级行业",[1]!s_info_industry_sw_2021(W4723,公司分析!D$5,3),IF($Y$3="wind一级行业",[1]!s_info_industry_gics(W4723,1),IF($Y$3="wind二级行业",[1]!s_info_industry_gics(W4723,2),IF($Y$3="wind三级行业",[1]!s_info_industry_gics(W4723,3),IF($Y$3="wind四级行业",[1]!s_info_industry_gics(W4723,4),IF($Y$3="证监会门类行业",[1]!s_info_industry_csrc12_n(W4723,公司分析!D$5,1),""))))))))</f>
        <v>半导体</v>
      </c>
      <c r="Z4723" s="302" t="str">
        <f ca="1">IF(Y4723=行业比较!$E$6,ROW(),"")</f>
        <v/>
      </c>
    </row>
    <row r="4724" spans="22:26">
      <c r="V4724" s="260">
        <f t="shared" ca="1" si="81"/>
        <v>0</v>
      </c>
      <c r="W4724" s="348" t="str">
        <f>IF(板块成分!B4726="","",板块成分!B4726)</f>
        <v>688155.SH</v>
      </c>
      <c r="X4724" s="276" t="str">
        <f>[1]!S_Info_Name(W4724)</f>
        <v>先惠技术</v>
      </c>
      <c r="Y4724" s="276" t="str">
        <f ca="1">IF($Y$3="申万一级行业",[1]!s_info_industry_sw_2021(W4724,公司分析!D$5,1),IF($Y$3="申万二级行业",[1]!s_info_industry_sw_2021(W4724,公司分析!D$5,2),IF($Y$3="申万三级行业",[1]!s_info_industry_sw_2021(W4724,公司分析!D$5,3),IF($Y$3="wind一级行业",[1]!s_info_industry_gics(W4724,1),IF($Y$3="wind二级行业",[1]!s_info_industry_gics(W4724,2),IF($Y$3="wind三级行业",[1]!s_info_industry_gics(W4724,3),IF($Y$3="wind四级行业",[1]!s_info_industry_gics(W4724,4),IF($Y$3="证监会门类行业",[1]!s_info_industry_csrc12_n(W4724,公司分析!D$5,1),""))))))))</f>
        <v>电池</v>
      </c>
      <c r="Z4724" s="302" t="str">
        <f ca="1">IF(Y4724=行业比较!$E$6,ROW(),"")</f>
        <v/>
      </c>
    </row>
    <row r="4725" spans="22:26">
      <c r="V4725" s="260">
        <f t="shared" ca="1" si="81"/>
        <v>0</v>
      </c>
      <c r="W4725" s="348" t="str">
        <f>IF(板块成分!B4727="","",板块成分!B4727)</f>
        <v>688156.SH</v>
      </c>
      <c r="X4725" s="276" t="str">
        <f>[1]!S_Info_Name(W4725)</f>
        <v>路德科技</v>
      </c>
      <c r="Y4725" s="276" t="str">
        <f ca="1">IF($Y$3="申万一级行业",[1]!s_info_industry_sw_2021(W4725,公司分析!D$5,1),IF($Y$3="申万二级行业",[1]!s_info_industry_sw_2021(W4725,公司分析!D$5,2),IF($Y$3="申万三级行业",[1]!s_info_industry_sw_2021(W4725,公司分析!D$5,3),IF($Y$3="wind一级行业",[1]!s_info_industry_gics(W4725,1),IF($Y$3="wind二级行业",[1]!s_info_industry_gics(W4725,2),IF($Y$3="wind三级行业",[1]!s_info_industry_gics(W4725,3),IF($Y$3="wind四级行业",[1]!s_info_industry_gics(W4725,4),IF($Y$3="证监会门类行业",[1]!s_info_industry_csrc12_n(W4725,公司分析!D$5,1),""))))))))</f>
        <v>饲料</v>
      </c>
      <c r="Z4725" s="302" t="str">
        <f ca="1">IF(Y4725=行业比较!$E$6,ROW(),"")</f>
        <v/>
      </c>
    </row>
    <row r="4726" spans="22:26">
      <c r="V4726" s="260">
        <f t="shared" ca="1" si="81"/>
        <v>0</v>
      </c>
      <c r="W4726" s="348" t="str">
        <f>IF(板块成分!B4728="","",板块成分!B4728)</f>
        <v>688157.SH</v>
      </c>
      <c r="X4726" s="276" t="str">
        <f>[1]!S_Info_Name(W4726)</f>
        <v>松井股份</v>
      </c>
      <c r="Y4726" s="276" t="str">
        <f ca="1">IF($Y$3="申万一级行业",[1]!s_info_industry_sw_2021(W4726,公司分析!D$5,1),IF($Y$3="申万二级行业",[1]!s_info_industry_sw_2021(W4726,公司分析!D$5,2),IF($Y$3="申万三级行业",[1]!s_info_industry_sw_2021(W4726,公司分析!D$5,3),IF($Y$3="wind一级行业",[1]!s_info_industry_gics(W4726,1),IF($Y$3="wind二级行业",[1]!s_info_industry_gics(W4726,2),IF($Y$3="wind三级行业",[1]!s_info_industry_gics(W4726,3),IF($Y$3="wind四级行业",[1]!s_info_industry_gics(W4726,4),IF($Y$3="证监会门类行业",[1]!s_info_industry_csrc12_n(W4726,公司分析!D$5,1),""))))))))</f>
        <v>化学制品</v>
      </c>
      <c r="Z4726" s="302" t="str">
        <f ca="1">IF(Y4726=行业比较!$E$6,ROW(),"")</f>
        <v/>
      </c>
    </row>
    <row r="4727" spans="22:26">
      <c r="V4727" s="260">
        <f t="shared" ca="1" si="81"/>
        <v>0</v>
      </c>
      <c r="W4727" s="348" t="str">
        <f>IF(板块成分!B4729="","",板块成分!B4729)</f>
        <v>688158.SH</v>
      </c>
      <c r="X4727" s="276" t="str">
        <f>[1]!S_Info_Name(W4727)</f>
        <v>优刻得-W</v>
      </c>
      <c r="Y4727" s="276" t="str">
        <f ca="1">IF($Y$3="申万一级行业",[1]!s_info_industry_sw_2021(W4727,公司分析!D$5,1),IF($Y$3="申万二级行业",[1]!s_info_industry_sw_2021(W4727,公司分析!D$5,2),IF($Y$3="申万三级行业",[1]!s_info_industry_sw_2021(W4727,公司分析!D$5,3),IF($Y$3="wind一级行业",[1]!s_info_industry_gics(W4727,1),IF($Y$3="wind二级行业",[1]!s_info_industry_gics(W4727,2),IF($Y$3="wind三级行业",[1]!s_info_industry_gics(W4727,3),IF($Y$3="wind四级行业",[1]!s_info_industry_gics(W4727,4),IF($Y$3="证监会门类行业",[1]!s_info_industry_csrc12_n(W4727,公司分析!D$5,1),""))))))))</f>
        <v>IT服务Ⅱ</v>
      </c>
      <c r="Z4727" s="302" t="str">
        <f ca="1">IF(Y4727=行业比较!$E$6,ROW(),"")</f>
        <v/>
      </c>
    </row>
    <row r="4728" spans="22:26">
      <c r="V4728" s="260">
        <f t="shared" ca="1" si="81"/>
        <v>0</v>
      </c>
      <c r="W4728" s="348" t="str">
        <f>IF(板块成分!B4730="","",板块成分!B4730)</f>
        <v>688159.SH</v>
      </c>
      <c r="X4728" s="276" t="str">
        <f>[1]!S_Info_Name(W4728)</f>
        <v>有方科技</v>
      </c>
      <c r="Y4728" s="276" t="str">
        <f ca="1">IF($Y$3="申万一级行业",[1]!s_info_industry_sw_2021(W4728,公司分析!D$5,1),IF($Y$3="申万二级行业",[1]!s_info_industry_sw_2021(W4728,公司分析!D$5,2),IF($Y$3="申万三级行业",[1]!s_info_industry_sw_2021(W4728,公司分析!D$5,3),IF($Y$3="wind一级行业",[1]!s_info_industry_gics(W4728,1),IF($Y$3="wind二级行业",[1]!s_info_industry_gics(W4728,2),IF($Y$3="wind三级行业",[1]!s_info_industry_gics(W4728,3),IF($Y$3="wind四级行业",[1]!s_info_industry_gics(W4728,4),IF($Y$3="证监会门类行业",[1]!s_info_industry_csrc12_n(W4728,公司分析!D$5,1),""))))))))</f>
        <v>通信设备</v>
      </c>
      <c r="Z4728" s="302" t="str">
        <f ca="1">IF(Y4728=行业比较!$E$6,ROW(),"")</f>
        <v/>
      </c>
    </row>
    <row r="4729" spans="22:26">
      <c r="V4729" s="260">
        <f t="shared" ca="1" si="81"/>
        <v>0</v>
      </c>
      <c r="W4729" s="348" t="str">
        <f>IF(板块成分!B4731="","",板块成分!B4731)</f>
        <v>688160.SH</v>
      </c>
      <c r="X4729" s="276" t="str">
        <f>[1]!S_Info_Name(W4729)</f>
        <v>步科股份</v>
      </c>
      <c r="Y4729" s="276" t="str">
        <f ca="1">IF($Y$3="申万一级行业",[1]!s_info_industry_sw_2021(W4729,公司分析!D$5,1),IF($Y$3="申万二级行业",[1]!s_info_industry_sw_2021(W4729,公司分析!D$5,2),IF($Y$3="申万三级行业",[1]!s_info_industry_sw_2021(W4729,公司分析!D$5,3),IF($Y$3="wind一级行业",[1]!s_info_industry_gics(W4729,1),IF($Y$3="wind二级行业",[1]!s_info_industry_gics(W4729,2),IF($Y$3="wind三级行业",[1]!s_info_industry_gics(W4729,3),IF($Y$3="wind四级行业",[1]!s_info_industry_gics(W4729,4),IF($Y$3="证监会门类行业",[1]!s_info_industry_csrc12_n(W4729,公司分析!D$5,1),""))))))))</f>
        <v>自动化设备</v>
      </c>
      <c r="Z4729" s="302" t="str">
        <f ca="1">IF(Y4729=行业比较!$E$6,ROW(),"")</f>
        <v/>
      </c>
    </row>
    <row r="4730" spans="22:26">
      <c r="V4730" s="260">
        <f t="shared" ca="1" si="81"/>
        <v>0</v>
      </c>
      <c r="W4730" s="348" t="str">
        <f>IF(板块成分!B4732="","",板块成分!B4732)</f>
        <v>688161.SH</v>
      </c>
      <c r="X4730" s="276" t="str">
        <f>[1]!S_Info_Name(W4730)</f>
        <v>威高骨科</v>
      </c>
      <c r="Y4730" s="276" t="str">
        <f ca="1">IF($Y$3="申万一级行业",[1]!s_info_industry_sw_2021(W4730,公司分析!D$5,1),IF($Y$3="申万二级行业",[1]!s_info_industry_sw_2021(W4730,公司分析!D$5,2),IF($Y$3="申万三级行业",[1]!s_info_industry_sw_2021(W4730,公司分析!D$5,3),IF($Y$3="wind一级行业",[1]!s_info_industry_gics(W4730,1),IF($Y$3="wind二级行业",[1]!s_info_industry_gics(W4730,2),IF($Y$3="wind三级行业",[1]!s_info_industry_gics(W4730,3),IF($Y$3="wind四级行业",[1]!s_info_industry_gics(W4730,4),IF($Y$3="证监会门类行业",[1]!s_info_industry_csrc12_n(W4730,公司分析!D$5,1),""))))))))</f>
        <v>医疗器械</v>
      </c>
      <c r="Z4730" s="302" t="str">
        <f ca="1">IF(Y4730=行业比较!$E$6,ROW(),"")</f>
        <v/>
      </c>
    </row>
    <row r="4731" spans="22:26">
      <c r="V4731" s="260">
        <f t="shared" ca="1" si="81"/>
        <v>0</v>
      </c>
      <c r="W4731" s="348" t="str">
        <f>IF(板块成分!B4733="","",板块成分!B4733)</f>
        <v>688162.SH</v>
      </c>
      <c r="X4731" s="276" t="str">
        <f>[1]!S_Info_Name(W4731)</f>
        <v>巨一科技</v>
      </c>
      <c r="Y4731" s="276" t="str">
        <f ca="1">IF($Y$3="申万一级行业",[1]!s_info_industry_sw_2021(W4731,公司分析!D$5,1),IF($Y$3="申万二级行业",[1]!s_info_industry_sw_2021(W4731,公司分析!D$5,2),IF($Y$3="申万三级行业",[1]!s_info_industry_sw_2021(W4731,公司分析!D$5,3),IF($Y$3="wind一级行业",[1]!s_info_industry_gics(W4731,1),IF($Y$3="wind二级行业",[1]!s_info_industry_gics(W4731,2),IF($Y$3="wind三级行业",[1]!s_info_industry_gics(W4731,3),IF($Y$3="wind四级行业",[1]!s_info_industry_gics(W4731,4),IF($Y$3="证监会门类行业",[1]!s_info_industry_csrc12_n(W4731,公司分析!D$5,1),""))))))))</f>
        <v>专用设备</v>
      </c>
      <c r="Z4731" s="302" t="str">
        <f ca="1">IF(Y4731=行业比较!$E$6,ROW(),"")</f>
        <v/>
      </c>
    </row>
    <row r="4732" spans="22:26">
      <c r="V4732" s="260">
        <f t="shared" ca="1" si="81"/>
        <v>0</v>
      </c>
      <c r="W4732" s="348" t="str">
        <f>IF(板块成分!B4734="","",板块成分!B4734)</f>
        <v>688163.SH</v>
      </c>
      <c r="X4732" s="276" t="str">
        <f>[1]!S_Info_Name(W4732)</f>
        <v>赛伦生物</v>
      </c>
      <c r="Y4732" s="276" t="str">
        <f ca="1">IF($Y$3="申万一级行业",[1]!s_info_industry_sw_2021(W4732,公司分析!D$5,1),IF($Y$3="申万二级行业",[1]!s_info_industry_sw_2021(W4732,公司分析!D$5,2),IF($Y$3="申万三级行业",[1]!s_info_industry_sw_2021(W4732,公司分析!D$5,3),IF($Y$3="wind一级行业",[1]!s_info_industry_gics(W4732,1),IF($Y$3="wind二级行业",[1]!s_info_industry_gics(W4732,2),IF($Y$3="wind三级行业",[1]!s_info_industry_gics(W4732,3),IF($Y$3="wind四级行业",[1]!s_info_industry_gics(W4732,4),IF($Y$3="证监会门类行业",[1]!s_info_industry_csrc12_n(W4732,公司分析!D$5,1),""))))))))</f>
        <v>生物制品</v>
      </c>
      <c r="Z4732" s="302" t="str">
        <f ca="1">IF(Y4732=行业比较!$E$6,ROW(),"")</f>
        <v/>
      </c>
    </row>
    <row r="4733" spans="22:26">
      <c r="V4733" s="260">
        <f t="shared" ca="1" si="81"/>
        <v>0</v>
      </c>
      <c r="W4733" s="348" t="str">
        <f>IF(板块成分!B4735="","",板块成分!B4735)</f>
        <v>688165.SH</v>
      </c>
      <c r="X4733" s="276" t="str">
        <f>[1]!S_Info_Name(W4733)</f>
        <v>埃夫特-U</v>
      </c>
      <c r="Y4733" s="276" t="str">
        <f ca="1">IF($Y$3="申万一级行业",[1]!s_info_industry_sw_2021(W4733,公司分析!D$5,1),IF($Y$3="申万二级行业",[1]!s_info_industry_sw_2021(W4733,公司分析!D$5,2),IF($Y$3="申万三级行业",[1]!s_info_industry_sw_2021(W4733,公司分析!D$5,3),IF($Y$3="wind一级行业",[1]!s_info_industry_gics(W4733,1),IF($Y$3="wind二级行业",[1]!s_info_industry_gics(W4733,2),IF($Y$3="wind三级行业",[1]!s_info_industry_gics(W4733,3),IF($Y$3="wind四级行业",[1]!s_info_industry_gics(W4733,4),IF($Y$3="证监会门类行业",[1]!s_info_industry_csrc12_n(W4733,公司分析!D$5,1),""))))))))</f>
        <v>自动化设备</v>
      </c>
      <c r="Z4733" s="302" t="str">
        <f ca="1">IF(Y4733=行业比较!$E$6,ROW(),"")</f>
        <v/>
      </c>
    </row>
    <row r="4734" spans="22:26">
      <c r="V4734" s="260">
        <f t="shared" ca="1" si="81"/>
        <v>0</v>
      </c>
      <c r="W4734" s="348" t="str">
        <f>IF(板块成分!B4736="","",板块成分!B4736)</f>
        <v>688166.SH</v>
      </c>
      <c r="X4734" s="276" t="str">
        <f>[1]!S_Info_Name(W4734)</f>
        <v>博瑞医药</v>
      </c>
      <c r="Y4734" s="276" t="str">
        <f ca="1">IF($Y$3="申万一级行业",[1]!s_info_industry_sw_2021(W4734,公司分析!D$5,1),IF($Y$3="申万二级行业",[1]!s_info_industry_sw_2021(W4734,公司分析!D$5,2),IF($Y$3="申万三级行业",[1]!s_info_industry_sw_2021(W4734,公司分析!D$5,3),IF($Y$3="wind一级行业",[1]!s_info_industry_gics(W4734,1),IF($Y$3="wind二级行业",[1]!s_info_industry_gics(W4734,2),IF($Y$3="wind三级行业",[1]!s_info_industry_gics(W4734,3),IF($Y$3="wind四级行业",[1]!s_info_industry_gics(W4734,4),IF($Y$3="证监会门类行业",[1]!s_info_industry_csrc12_n(W4734,公司分析!D$5,1),""))))))))</f>
        <v>化学制药</v>
      </c>
      <c r="Z4734" s="302" t="str">
        <f ca="1">IF(Y4734=行业比较!$E$6,ROW(),"")</f>
        <v/>
      </c>
    </row>
    <row r="4735" spans="22:26">
      <c r="V4735" s="260">
        <f t="shared" ca="1" si="81"/>
        <v>0</v>
      </c>
      <c r="W4735" s="348" t="str">
        <f>IF(板块成分!B4737="","",板块成分!B4737)</f>
        <v>688167.SH</v>
      </c>
      <c r="X4735" s="276" t="str">
        <f>[1]!S_Info_Name(W4735)</f>
        <v>炬光科技</v>
      </c>
      <c r="Y4735" s="276" t="str">
        <f ca="1">IF($Y$3="申万一级行业",[1]!s_info_industry_sw_2021(W4735,公司分析!D$5,1),IF($Y$3="申万二级行业",[1]!s_info_industry_sw_2021(W4735,公司分析!D$5,2),IF($Y$3="申万三级行业",[1]!s_info_industry_sw_2021(W4735,公司分析!D$5,3),IF($Y$3="wind一级行业",[1]!s_info_industry_gics(W4735,1),IF($Y$3="wind二级行业",[1]!s_info_industry_gics(W4735,2),IF($Y$3="wind三级行业",[1]!s_info_industry_gics(W4735,3),IF($Y$3="wind四级行业",[1]!s_info_industry_gics(W4735,4),IF($Y$3="证监会门类行业",[1]!s_info_industry_csrc12_n(W4735,公司分析!D$5,1),""))))))))</f>
        <v>半导体</v>
      </c>
      <c r="Z4735" s="302" t="str">
        <f ca="1">IF(Y4735=行业比较!$E$6,ROW(),"")</f>
        <v/>
      </c>
    </row>
    <row r="4736" spans="22:26">
      <c r="V4736" s="260">
        <f t="shared" ca="1" si="81"/>
        <v>0</v>
      </c>
      <c r="W4736" s="348" t="str">
        <f>IF(板块成分!B4738="","",板块成分!B4738)</f>
        <v>688168.SH</v>
      </c>
      <c r="X4736" s="276" t="str">
        <f>[1]!S_Info_Name(W4736)</f>
        <v>安博通</v>
      </c>
      <c r="Y4736" s="276" t="str">
        <f ca="1">IF($Y$3="申万一级行业",[1]!s_info_industry_sw_2021(W4736,公司分析!D$5,1),IF($Y$3="申万二级行业",[1]!s_info_industry_sw_2021(W4736,公司分析!D$5,2),IF($Y$3="申万三级行业",[1]!s_info_industry_sw_2021(W4736,公司分析!D$5,3),IF($Y$3="wind一级行业",[1]!s_info_industry_gics(W4736,1),IF($Y$3="wind二级行业",[1]!s_info_industry_gics(W4736,2),IF($Y$3="wind三级行业",[1]!s_info_industry_gics(W4736,3),IF($Y$3="wind四级行业",[1]!s_info_industry_gics(W4736,4),IF($Y$3="证监会门类行业",[1]!s_info_industry_csrc12_n(W4736,公司分析!D$5,1),""))))))))</f>
        <v>软件开发</v>
      </c>
      <c r="Z4736" s="302" t="str">
        <f ca="1">IF(Y4736=行业比较!$E$6,ROW(),"")</f>
        <v/>
      </c>
    </row>
    <row r="4737" spans="22:26">
      <c r="V4737" s="260">
        <f t="shared" ca="1" si="81"/>
        <v>0</v>
      </c>
      <c r="W4737" s="348" t="str">
        <f>IF(板块成分!B4739="","",板块成分!B4739)</f>
        <v>688169.SH</v>
      </c>
      <c r="X4737" s="276" t="str">
        <f>[1]!S_Info_Name(W4737)</f>
        <v>石头科技</v>
      </c>
      <c r="Y4737" s="276" t="str">
        <f ca="1">IF($Y$3="申万一级行业",[1]!s_info_industry_sw_2021(W4737,公司分析!D$5,1),IF($Y$3="申万二级行业",[1]!s_info_industry_sw_2021(W4737,公司分析!D$5,2),IF($Y$3="申万三级行业",[1]!s_info_industry_sw_2021(W4737,公司分析!D$5,3),IF($Y$3="wind一级行业",[1]!s_info_industry_gics(W4737,1),IF($Y$3="wind二级行业",[1]!s_info_industry_gics(W4737,2),IF($Y$3="wind三级行业",[1]!s_info_industry_gics(W4737,3),IF($Y$3="wind四级行业",[1]!s_info_industry_gics(W4737,4),IF($Y$3="证监会门类行业",[1]!s_info_industry_csrc12_n(W4737,公司分析!D$5,1),""))))))))</f>
        <v>小家电</v>
      </c>
      <c r="Z4737" s="302" t="str">
        <f ca="1">IF(Y4737=行业比较!$E$6,ROW(),"")</f>
        <v/>
      </c>
    </row>
    <row r="4738" spans="22:26">
      <c r="V4738" s="260">
        <f t="shared" ca="1" si="81"/>
        <v>0</v>
      </c>
      <c r="W4738" s="348" t="str">
        <f>IF(板块成分!B4740="","",板块成分!B4740)</f>
        <v>688170.SH</v>
      </c>
      <c r="X4738" s="276" t="str">
        <f>[1]!S_Info_Name(W4738)</f>
        <v>德龙激光</v>
      </c>
      <c r="Y4738" s="276" t="str">
        <f ca="1">IF($Y$3="申万一级行业",[1]!s_info_industry_sw_2021(W4738,公司分析!D$5,1),IF($Y$3="申万二级行业",[1]!s_info_industry_sw_2021(W4738,公司分析!D$5,2),IF($Y$3="申万三级行业",[1]!s_info_industry_sw_2021(W4738,公司分析!D$5,3),IF($Y$3="wind一级行业",[1]!s_info_industry_gics(W4738,1),IF($Y$3="wind二级行业",[1]!s_info_industry_gics(W4738,2),IF($Y$3="wind三级行业",[1]!s_info_industry_gics(W4738,3),IF($Y$3="wind四级行业",[1]!s_info_industry_gics(W4738,4),IF($Y$3="证监会门类行业",[1]!s_info_industry_csrc12_n(W4738,公司分析!D$5,1),""))))))))</f>
        <v>自动化设备</v>
      </c>
      <c r="Z4738" s="302" t="str">
        <f ca="1">IF(Y4738=行业比较!$E$6,ROW(),"")</f>
        <v/>
      </c>
    </row>
    <row r="4739" spans="22:26">
      <c r="V4739" s="260">
        <f t="shared" ca="1" si="81"/>
        <v>0</v>
      </c>
      <c r="W4739" s="348" t="str">
        <f>IF(板块成分!B4741="","",板块成分!B4741)</f>
        <v>688171.SH</v>
      </c>
      <c r="X4739" s="276" t="str">
        <f>[1]!S_Info_Name(W4739)</f>
        <v>纬德信息</v>
      </c>
      <c r="Y4739" s="276" t="str">
        <f ca="1">IF($Y$3="申万一级行业",[1]!s_info_industry_sw_2021(W4739,公司分析!D$5,1),IF($Y$3="申万二级行业",[1]!s_info_industry_sw_2021(W4739,公司分析!D$5,2),IF($Y$3="申万三级行业",[1]!s_info_industry_sw_2021(W4739,公司分析!D$5,3),IF($Y$3="wind一级行业",[1]!s_info_industry_gics(W4739,1),IF($Y$3="wind二级行业",[1]!s_info_industry_gics(W4739,2),IF($Y$3="wind三级行业",[1]!s_info_industry_gics(W4739,3),IF($Y$3="wind四级行业",[1]!s_info_industry_gics(W4739,4),IF($Y$3="证监会门类行业",[1]!s_info_industry_csrc12_n(W4739,公司分析!D$5,1),""))))))))</f>
        <v>软件开发</v>
      </c>
      <c r="Z4739" s="302" t="str">
        <f ca="1">IF(Y4739=行业比较!$E$6,ROW(),"")</f>
        <v/>
      </c>
    </row>
    <row r="4740" spans="22:26">
      <c r="V4740" s="260">
        <f t="shared" ca="1" si="81"/>
        <v>0</v>
      </c>
      <c r="W4740" s="348" t="str">
        <f>IF(板块成分!B4742="","",板块成分!B4742)</f>
        <v>688172.SH</v>
      </c>
      <c r="X4740" s="276" t="str">
        <f>[1]!S_Info_Name(W4740)</f>
        <v>燕东微</v>
      </c>
      <c r="Y4740" s="276" t="str">
        <f ca="1">IF($Y$3="申万一级行业",[1]!s_info_industry_sw_2021(W4740,公司分析!D$5,1),IF($Y$3="申万二级行业",[1]!s_info_industry_sw_2021(W4740,公司分析!D$5,2),IF($Y$3="申万三级行业",[1]!s_info_industry_sw_2021(W4740,公司分析!D$5,3),IF($Y$3="wind一级行业",[1]!s_info_industry_gics(W4740,1),IF($Y$3="wind二级行业",[1]!s_info_industry_gics(W4740,2),IF($Y$3="wind三级行业",[1]!s_info_industry_gics(W4740,3),IF($Y$3="wind四级行业",[1]!s_info_industry_gics(W4740,4),IF($Y$3="证监会门类行业",[1]!s_info_industry_csrc12_n(W4740,公司分析!D$5,1),""))))))))</f>
        <v>半导体</v>
      </c>
      <c r="Z4740" s="302" t="str">
        <f ca="1">IF(Y4740=行业比较!$E$6,ROW(),"")</f>
        <v/>
      </c>
    </row>
    <row r="4741" spans="22:26">
      <c r="V4741" s="260">
        <f t="shared" ref="V4741:V4804" ca="1" si="82">IF(Z4741="",0,RANK(Z4741,Z:Z,1))</f>
        <v>0</v>
      </c>
      <c r="W4741" s="348" t="str">
        <f>IF(板块成分!B4743="","",板块成分!B4743)</f>
        <v>688173.SH</v>
      </c>
      <c r="X4741" s="276" t="str">
        <f>[1]!S_Info_Name(W4741)</f>
        <v>希荻微</v>
      </c>
      <c r="Y4741" s="276" t="str">
        <f ca="1">IF($Y$3="申万一级行业",[1]!s_info_industry_sw_2021(W4741,公司分析!D$5,1),IF($Y$3="申万二级行业",[1]!s_info_industry_sw_2021(W4741,公司分析!D$5,2),IF($Y$3="申万三级行业",[1]!s_info_industry_sw_2021(W4741,公司分析!D$5,3),IF($Y$3="wind一级行业",[1]!s_info_industry_gics(W4741,1),IF($Y$3="wind二级行业",[1]!s_info_industry_gics(W4741,2),IF($Y$3="wind三级行业",[1]!s_info_industry_gics(W4741,3),IF($Y$3="wind四级行业",[1]!s_info_industry_gics(W4741,4),IF($Y$3="证监会门类行业",[1]!s_info_industry_csrc12_n(W4741,公司分析!D$5,1),""))))))))</f>
        <v>半导体</v>
      </c>
      <c r="Z4741" s="302" t="str">
        <f ca="1">IF(Y4741=行业比较!$E$6,ROW(),"")</f>
        <v/>
      </c>
    </row>
    <row r="4742" spans="22:26">
      <c r="V4742" s="260">
        <f t="shared" ca="1" si="82"/>
        <v>0</v>
      </c>
      <c r="W4742" s="348" t="str">
        <f>IF(板块成分!B4744="","",板块成分!B4744)</f>
        <v>688175.SH</v>
      </c>
      <c r="X4742" s="276" t="str">
        <f>[1]!S_Info_Name(W4742)</f>
        <v>高凌信息</v>
      </c>
      <c r="Y4742" s="276" t="str">
        <f ca="1">IF($Y$3="申万一级行业",[1]!s_info_industry_sw_2021(W4742,公司分析!D$5,1),IF($Y$3="申万二级行业",[1]!s_info_industry_sw_2021(W4742,公司分析!D$5,2),IF($Y$3="申万三级行业",[1]!s_info_industry_sw_2021(W4742,公司分析!D$5,3),IF($Y$3="wind一级行业",[1]!s_info_industry_gics(W4742,1),IF($Y$3="wind二级行业",[1]!s_info_industry_gics(W4742,2),IF($Y$3="wind三级行业",[1]!s_info_industry_gics(W4742,3),IF($Y$3="wind四级行业",[1]!s_info_industry_gics(W4742,4),IF($Y$3="证监会门类行业",[1]!s_info_industry_csrc12_n(W4742,公司分析!D$5,1),""))))))))</f>
        <v>军工电子Ⅱ</v>
      </c>
      <c r="Z4742" s="302" t="str">
        <f ca="1">IF(Y4742=行业比较!$E$6,ROW(),"")</f>
        <v/>
      </c>
    </row>
    <row r="4743" spans="22:26">
      <c r="V4743" s="260">
        <f t="shared" ca="1" si="82"/>
        <v>0</v>
      </c>
      <c r="W4743" s="348" t="str">
        <f>IF(板块成分!B4745="","",板块成分!B4745)</f>
        <v>688176.SH</v>
      </c>
      <c r="X4743" s="276" t="str">
        <f>[1]!S_Info_Name(W4743)</f>
        <v>亚虹医药-U</v>
      </c>
      <c r="Y4743" s="276" t="str">
        <f ca="1">IF($Y$3="申万一级行业",[1]!s_info_industry_sw_2021(W4743,公司分析!D$5,1),IF($Y$3="申万二级行业",[1]!s_info_industry_sw_2021(W4743,公司分析!D$5,2),IF($Y$3="申万三级行业",[1]!s_info_industry_sw_2021(W4743,公司分析!D$5,3),IF($Y$3="wind一级行业",[1]!s_info_industry_gics(W4743,1),IF($Y$3="wind二级行业",[1]!s_info_industry_gics(W4743,2),IF($Y$3="wind三级行业",[1]!s_info_industry_gics(W4743,3),IF($Y$3="wind四级行业",[1]!s_info_industry_gics(W4743,4),IF($Y$3="证监会门类行业",[1]!s_info_industry_csrc12_n(W4743,公司分析!D$5,1),""))))))))</f>
        <v>化学制药</v>
      </c>
      <c r="Z4743" s="302" t="str">
        <f ca="1">IF(Y4743=行业比较!$E$6,ROW(),"")</f>
        <v/>
      </c>
    </row>
    <row r="4744" spans="22:26">
      <c r="V4744" s="260">
        <f t="shared" ca="1" si="82"/>
        <v>0</v>
      </c>
      <c r="W4744" s="348" t="str">
        <f>IF(板块成分!B4746="","",板块成分!B4746)</f>
        <v>688177.SH</v>
      </c>
      <c r="X4744" s="276" t="str">
        <f>[1]!S_Info_Name(W4744)</f>
        <v>百奥泰</v>
      </c>
      <c r="Y4744" s="276" t="str">
        <f ca="1">IF($Y$3="申万一级行业",[1]!s_info_industry_sw_2021(W4744,公司分析!D$5,1),IF($Y$3="申万二级行业",[1]!s_info_industry_sw_2021(W4744,公司分析!D$5,2),IF($Y$3="申万三级行业",[1]!s_info_industry_sw_2021(W4744,公司分析!D$5,3),IF($Y$3="wind一级行业",[1]!s_info_industry_gics(W4744,1),IF($Y$3="wind二级行业",[1]!s_info_industry_gics(W4744,2),IF($Y$3="wind三级行业",[1]!s_info_industry_gics(W4744,3),IF($Y$3="wind四级行业",[1]!s_info_industry_gics(W4744,4),IF($Y$3="证监会门类行业",[1]!s_info_industry_csrc12_n(W4744,公司分析!D$5,1),""))))))))</f>
        <v>生物制品</v>
      </c>
      <c r="Z4744" s="302" t="str">
        <f ca="1">IF(Y4744=行业比较!$E$6,ROW(),"")</f>
        <v/>
      </c>
    </row>
    <row r="4745" spans="22:26">
      <c r="V4745" s="260">
        <f t="shared" ca="1" si="82"/>
        <v>0</v>
      </c>
      <c r="W4745" s="348" t="str">
        <f>IF(板块成分!B4747="","",板块成分!B4747)</f>
        <v>688178.SH</v>
      </c>
      <c r="X4745" s="276" t="str">
        <f>[1]!S_Info_Name(W4745)</f>
        <v>万德斯</v>
      </c>
      <c r="Y4745" s="276" t="str">
        <f ca="1">IF($Y$3="申万一级行业",[1]!s_info_industry_sw_2021(W4745,公司分析!D$5,1),IF($Y$3="申万二级行业",[1]!s_info_industry_sw_2021(W4745,公司分析!D$5,2),IF($Y$3="申万三级行业",[1]!s_info_industry_sw_2021(W4745,公司分析!D$5,3),IF($Y$3="wind一级行业",[1]!s_info_industry_gics(W4745,1),IF($Y$3="wind二级行业",[1]!s_info_industry_gics(W4745,2),IF($Y$3="wind三级行业",[1]!s_info_industry_gics(W4745,3),IF($Y$3="wind四级行业",[1]!s_info_industry_gics(W4745,4),IF($Y$3="证监会门类行业",[1]!s_info_industry_csrc12_n(W4745,公司分析!D$5,1),""))))))))</f>
        <v>环境治理</v>
      </c>
      <c r="Z4745" s="302" t="str">
        <f ca="1">IF(Y4745=行业比较!$E$6,ROW(),"")</f>
        <v/>
      </c>
    </row>
    <row r="4746" spans="22:26">
      <c r="V4746" s="260">
        <f t="shared" ca="1" si="82"/>
        <v>0</v>
      </c>
      <c r="W4746" s="348" t="str">
        <f>IF(板块成分!B4748="","",板块成分!B4748)</f>
        <v>688179.SH</v>
      </c>
      <c r="X4746" s="276" t="str">
        <f>[1]!S_Info_Name(W4746)</f>
        <v>阿拉丁</v>
      </c>
      <c r="Y4746" s="276" t="str">
        <f ca="1">IF($Y$3="申万一级行业",[1]!s_info_industry_sw_2021(W4746,公司分析!D$5,1),IF($Y$3="申万二级行业",[1]!s_info_industry_sw_2021(W4746,公司分析!D$5,2),IF($Y$3="申万三级行业",[1]!s_info_industry_sw_2021(W4746,公司分析!D$5,3),IF($Y$3="wind一级行业",[1]!s_info_industry_gics(W4746,1),IF($Y$3="wind二级行业",[1]!s_info_industry_gics(W4746,2),IF($Y$3="wind三级行业",[1]!s_info_industry_gics(W4746,3),IF($Y$3="wind四级行业",[1]!s_info_industry_gics(W4746,4),IF($Y$3="证监会门类行业",[1]!s_info_industry_csrc12_n(W4746,公司分析!D$5,1),""))))))))</f>
        <v>化学制品</v>
      </c>
      <c r="Z4746" s="302" t="str">
        <f ca="1">IF(Y4746=行业比较!$E$6,ROW(),"")</f>
        <v/>
      </c>
    </row>
    <row r="4747" spans="22:26">
      <c r="V4747" s="260">
        <f t="shared" ca="1" si="82"/>
        <v>0</v>
      </c>
      <c r="W4747" s="348" t="str">
        <f>IF(板块成分!B4749="","",板块成分!B4749)</f>
        <v>688180.SH</v>
      </c>
      <c r="X4747" s="276" t="str">
        <f>[1]!S_Info_Name(W4747)</f>
        <v>君实生物-U</v>
      </c>
      <c r="Y4747" s="276" t="str">
        <f ca="1">IF($Y$3="申万一级行业",[1]!s_info_industry_sw_2021(W4747,公司分析!D$5,1),IF($Y$3="申万二级行业",[1]!s_info_industry_sw_2021(W4747,公司分析!D$5,2),IF($Y$3="申万三级行业",[1]!s_info_industry_sw_2021(W4747,公司分析!D$5,3),IF($Y$3="wind一级行业",[1]!s_info_industry_gics(W4747,1),IF($Y$3="wind二级行业",[1]!s_info_industry_gics(W4747,2),IF($Y$3="wind三级行业",[1]!s_info_industry_gics(W4747,3),IF($Y$3="wind四级行业",[1]!s_info_industry_gics(W4747,4),IF($Y$3="证监会门类行业",[1]!s_info_industry_csrc12_n(W4747,公司分析!D$5,1),""))))))))</f>
        <v>生物制品</v>
      </c>
      <c r="Z4747" s="302" t="str">
        <f ca="1">IF(Y4747=行业比较!$E$6,ROW(),"")</f>
        <v/>
      </c>
    </row>
    <row r="4748" spans="22:26">
      <c r="V4748" s="260">
        <f t="shared" ca="1" si="82"/>
        <v>0</v>
      </c>
      <c r="W4748" s="348" t="str">
        <f>IF(板块成分!B4750="","",板块成分!B4750)</f>
        <v>688181.SH</v>
      </c>
      <c r="X4748" s="276" t="str">
        <f>[1]!S_Info_Name(W4748)</f>
        <v>八亿时空</v>
      </c>
      <c r="Y4748" s="276" t="str">
        <f ca="1">IF($Y$3="申万一级行业",[1]!s_info_industry_sw_2021(W4748,公司分析!D$5,1),IF($Y$3="申万二级行业",[1]!s_info_industry_sw_2021(W4748,公司分析!D$5,2),IF($Y$3="申万三级行业",[1]!s_info_industry_sw_2021(W4748,公司分析!D$5,3),IF($Y$3="wind一级行业",[1]!s_info_industry_gics(W4748,1),IF($Y$3="wind二级行业",[1]!s_info_industry_gics(W4748,2),IF($Y$3="wind三级行业",[1]!s_info_industry_gics(W4748,3),IF($Y$3="wind四级行业",[1]!s_info_industry_gics(W4748,4),IF($Y$3="证监会门类行业",[1]!s_info_industry_csrc12_n(W4748,公司分析!D$5,1),""))))))))</f>
        <v>光学光电子</v>
      </c>
      <c r="Z4748" s="302" t="str">
        <f ca="1">IF(Y4748=行业比较!$E$6,ROW(),"")</f>
        <v/>
      </c>
    </row>
    <row r="4749" spans="22:26">
      <c r="V4749" s="260">
        <f t="shared" ca="1" si="82"/>
        <v>0</v>
      </c>
      <c r="W4749" s="348" t="str">
        <f>IF(板块成分!B4751="","",板块成分!B4751)</f>
        <v>688182.SH</v>
      </c>
      <c r="X4749" s="276" t="str">
        <f>[1]!S_Info_Name(W4749)</f>
        <v>灿勤科技</v>
      </c>
      <c r="Y4749" s="276" t="str">
        <f ca="1">IF($Y$3="申万一级行业",[1]!s_info_industry_sw_2021(W4749,公司分析!D$5,1),IF($Y$3="申万二级行业",[1]!s_info_industry_sw_2021(W4749,公司分析!D$5,2),IF($Y$3="申万三级行业",[1]!s_info_industry_sw_2021(W4749,公司分析!D$5,3),IF($Y$3="wind一级行业",[1]!s_info_industry_gics(W4749,1),IF($Y$3="wind二级行业",[1]!s_info_industry_gics(W4749,2),IF($Y$3="wind三级行业",[1]!s_info_industry_gics(W4749,3),IF($Y$3="wind四级行业",[1]!s_info_industry_gics(W4749,4),IF($Y$3="证监会门类行业",[1]!s_info_industry_csrc12_n(W4749,公司分析!D$5,1),""))))))))</f>
        <v>通信设备</v>
      </c>
      <c r="Z4749" s="302" t="str">
        <f ca="1">IF(Y4749=行业比较!$E$6,ROW(),"")</f>
        <v/>
      </c>
    </row>
    <row r="4750" spans="22:26">
      <c r="V4750" s="260">
        <f t="shared" ca="1" si="82"/>
        <v>0</v>
      </c>
      <c r="W4750" s="348" t="str">
        <f>IF(板块成分!B4752="","",板块成分!B4752)</f>
        <v>688183.SH</v>
      </c>
      <c r="X4750" s="276" t="str">
        <f>[1]!S_Info_Name(W4750)</f>
        <v>生益电子</v>
      </c>
      <c r="Y4750" s="276" t="str">
        <f ca="1">IF($Y$3="申万一级行业",[1]!s_info_industry_sw_2021(W4750,公司分析!D$5,1),IF($Y$3="申万二级行业",[1]!s_info_industry_sw_2021(W4750,公司分析!D$5,2),IF($Y$3="申万三级行业",[1]!s_info_industry_sw_2021(W4750,公司分析!D$5,3),IF($Y$3="wind一级行业",[1]!s_info_industry_gics(W4750,1),IF($Y$3="wind二级行业",[1]!s_info_industry_gics(W4750,2),IF($Y$3="wind三级行业",[1]!s_info_industry_gics(W4750,3),IF($Y$3="wind四级行业",[1]!s_info_industry_gics(W4750,4),IF($Y$3="证监会门类行业",[1]!s_info_industry_csrc12_n(W4750,公司分析!D$5,1),""))))))))</f>
        <v>元件</v>
      </c>
      <c r="Z4750" s="302" t="str">
        <f ca="1">IF(Y4750=行业比较!$E$6,ROW(),"")</f>
        <v/>
      </c>
    </row>
    <row r="4751" spans="22:26">
      <c r="V4751" s="260">
        <f t="shared" ca="1" si="82"/>
        <v>0</v>
      </c>
      <c r="W4751" s="348" t="str">
        <f>IF(板块成分!B4753="","",板块成分!B4753)</f>
        <v>688184.SH</v>
      </c>
      <c r="X4751" s="276" t="str">
        <f>[1]!S_Info_Name(W4751)</f>
        <v>ST帕瓦</v>
      </c>
      <c r="Y4751" s="276" t="str">
        <f ca="1">IF($Y$3="申万一级行业",[1]!s_info_industry_sw_2021(W4751,公司分析!D$5,1),IF($Y$3="申万二级行业",[1]!s_info_industry_sw_2021(W4751,公司分析!D$5,2),IF($Y$3="申万三级行业",[1]!s_info_industry_sw_2021(W4751,公司分析!D$5,3),IF($Y$3="wind一级行业",[1]!s_info_industry_gics(W4751,1),IF($Y$3="wind二级行业",[1]!s_info_industry_gics(W4751,2),IF($Y$3="wind三级行业",[1]!s_info_industry_gics(W4751,3),IF($Y$3="wind四级行业",[1]!s_info_industry_gics(W4751,4),IF($Y$3="证监会门类行业",[1]!s_info_industry_csrc12_n(W4751,公司分析!D$5,1),""))))))))</f>
        <v>电池</v>
      </c>
      <c r="Z4751" s="302" t="str">
        <f ca="1">IF(Y4751=行业比较!$E$6,ROW(),"")</f>
        <v/>
      </c>
    </row>
    <row r="4752" spans="22:26">
      <c r="V4752" s="260">
        <f t="shared" ca="1" si="82"/>
        <v>0</v>
      </c>
      <c r="W4752" s="348" t="str">
        <f>IF(板块成分!B4754="","",板块成分!B4754)</f>
        <v>688185.SH</v>
      </c>
      <c r="X4752" s="276" t="str">
        <f>[1]!S_Info_Name(W4752)</f>
        <v>康希诺</v>
      </c>
      <c r="Y4752" s="276" t="str">
        <f ca="1">IF($Y$3="申万一级行业",[1]!s_info_industry_sw_2021(W4752,公司分析!D$5,1),IF($Y$3="申万二级行业",[1]!s_info_industry_sw_2021(W4752,公司分析!D$5,2),IF($Y$3="申万三级行业",[1]!s_info_industry_sw_2021(W4752,公司分析!D$5,3),IF($Y$3="wind一级行业",[1]!s_info_industry_gics(W4752,1),IF($Y$3="wind二级行业",[1]!s_info_industry_gics(W4752,2),IF($Y$3="wind三级行业",[1]!s_info_industry_gics(W4752,3),IF($Y$3="wind四级行业",[1]!s_info_industry_gics(W4752,4),IF($Y$3="证监会门类行业",[1]!s_info_industry_csrc12_n(W4752,公司分析!D$5,1),""))))))))</f>
        <v>生物制品</v>
      </c>
      <c r="Z4752" s="302" t="str">
        <f ca="1">IF(Y4752=行业比较!$E$6,ROW(),"")</f>
        <v/>
      </c>
    </row>
    <row r="4753" spans="22:26">
      <c r="V4753" s="260">
        <f t="shared" ca="1" si="82"/>
        <v>0</v>
      </c>
      <c r="W4753" s="348" t="str">
        <f>IF(板块成分!B4755="","",板块成分!B4755)</f>
        <v>688186.SH</v>
      </c>
      <c r="X4753" s="276" t="str">
        <f>[1]!S_Info_Name(W4753)</f>
        <v>广大特材</v>
      </c>
      <c r="Y4753" s="276" t="str">
        <f ca="1">IF($Y$3="申万一级行业",[1]!s_info_industry_sw_2021(W4753,公司分析!D$5,1),IF($Y$3="申万二级行业",[1]!s_info_industry_sw_2021(W4753,公司分析!D$5,2),IF($Y$3="申万三级行业",[1]!s_info_industry_sw_2021(W4753,公司分析!D$5,3),IF($Y$3="wind一级行业",[1]!s_info_industry_gics(W4753,1),IF($Y$3="wind二级行业",[1]!s_info_industry_gics(W4753,2),IF($Y$3="wind三级行业",[1]!s_info_industry_gics(W4753,3),IF($Y$3="wind四级行业",[1]!s_info_industry_gics(W4753,4),IF($Y$3="证监会门类行业",[1]!s_info_industry_csrc12_n(W4753,公司分析!D$5,1),""))))))))</f>
        <v>风电设备</v>
      </c>
      <c r="Z4753" s="302" t="str">
        <f ca="1">IF(Y4753=行业比较!$E$6,ROW(),"")</f>
        <v/>
      </c>
    </row>
    <row r="4754" spans="22:26">
      <c r="V4754" s="260">
        <f t="shared" ca="1" si="82"/>
        <v>0</v>
      </c>
      <c r="W4754" s="348" t="str">
        <f>IF(板块成分!B4756="","",板块成分!B4756)</f>
        <v>688187.SH</v>
      </c>
      <c r="X4754" s="276" t="str">
        <f>[1]!S_Info_Name(W4754)</f>
        <v>时代电气</v>
      </c>
      <c r="Y4754" s="276" t="str">
        <f ca="1">IF($Y$3="申万一级行业",[1]!s_info_industry_sw_2021(W4754,公司分析!D$5,1),IF($Y$3="申万二级行业",[1]!s_info_industry_sw_2021(W4754,公司分析!D$5,2),IF($Y$3="申万三级行业",[1]!s_info_industry_sw_2021(W4754,公司分析!D$5,3),IF($Y$3="wind一级行业",[1]!s_info_industry_gics(W4754,1),IF($Y$3="wind二级行业",[1]!s_info_industry_gics(W4754,2),IF($Y$3="wind三级行业",[1]!s_info_industry_gics(W4754,3),IF($Y$3="wind四级行业",[1]!s_info_industry_gics(W4754,4),IF($Y$3="证监会门类行业",[1]!s_info_industry_csrc12_n(W4754,公司分析!D$5,1),""))))))))</f>
        <v>轨交设备Ⅱ</v>
      </c>
      <c r="Z4754" s="302" t="str">
        <f ca="1">IF(Y4754=行业比较!$E$6,ROW(),"")</f>
        <v/>
      </c>
    </row>
    <row r="4755" spans="22:26">
      <c r="V4755" s="260">
        <f t="shared" ca="1" si="82"/>
        <v>0</v>
      </c>
      <c r="W4755" s="348" t="str">
        <f>IF(板块成分!B4757="","",板块成分!B4757)</f>
        <v>688188.SH</v>
      </c>
      <c r="X4755" s="276" t="str">
        <f>[1]!S_Info_Name(W4755)</f>
        <v>柏楚电子</v>
      </c>
      <c r="Y4755" s="276" t="str">
        <f ca="1">IF($Y$3="申万一级行业",[1]!s_info_industry_sw_2021(W4755,公司分析!D$5,1),IF($Y$3="申万二级行业",[1]!s_info_industry_sw_2021(W4755,公司分析!D$5,2),IF($Y$3="申万三级行业",[1]!s_info_industry_sw_2021(W4755,公司分析!D$5,3),IF($Y$3="wind一级行业",[1]!s_info_industry_gics(W4755,1),IF($Y$3="wind二级行业",[1]!s_info_industry_gics(W4755,2),IF($Y$3="wind三级行业",[1]!s_info_industry_gics(W4755,3),IF($Y$3="wind四级行业",[1]!s_info_industry_gics(W4755,4),IF($Y$3="证监会门类行业",[1]!s_info_industry_csrc12_n(W4755,公司分析!D$5,1),""))))))))</f>
        <v>计算机设备</v>
      </c>
      <c r="Z4755" s="302" t="str">
        <f ca="1">IF(Y4755=行业比较!$E$6,ROW(),"")</f>
        <v/>
      </c>
    </row>
    <row r="4756" spans="22:26">
      <c r="V4756" s="260">
        <f t="shared" ca="1" si="82"/>
        <v>0</v>
      </c>
      <c r="W4756" s="348" t="str">
        <f>IF(板块成分!B4758="","",板块成分!B4758)</f>
        <v>688189.SH</v>
      </c>
      <c r="X4756" s="276" t="str">
        <f>[1]!S_Info_Name(W4756)</f>
        <v>南新制药</v>
      </c>
      <c r="Y4756" s="276" t="str">
        <f ca="1">IF($Y$3="申万一级行业",[1]!s_info_industry_sw_2021(W4756,公司分析!D$5,1),IF($Y$3="申万二级行业",[1]!s_info_industry_sw_2021(W4756,公司分析!D$5,2),IF($Y$3="申万三级行业",[1]!s_info_industry_sw_2021(W4756,公司分析!D$5,3),IF($Y$3="wind一级行业",[1]!s_info_industry_gics(W4756,1),IF($Y$3="wind二级行业",[1]!s_info_industry_gics(W4756,2),IF($Y$3="wind三级行业",[1]!s_info_industry_gics(W4756,3),IF($Y$3="wind四级行业",[1]!s_info_industry_gics(W4756,4),IF($Y$3="证监会门类行业",[1]!s_info_industry_csrc12_n(W4756,公司分析!D$5,1),""))))))))</f>
        <v>化学制药</v>
      </c>
      <c r="Z4756" s="302" t="str">
        <f ca="1">IF(Y4756=行业比较!$E$6,ROW(),"")</f>
        <v/>
      </c>
    </row>
    <row r="4757" spans="22:26">
      <c r="V4757" s="260">
        <f t="shared" ca="1" si="82"/>
        <v>0</v>
      </c>
      <c r="W4757" s="348" t="str">
        <f>IF(板块成分!B4759="","",板块成分!B4759)</f>
        <v>688190.SH</v>
      </c>
      <c r="X4757" s="276" t="str">
        <f>[1]!S_Info_Name(W4757)</f>
        <v>云路股份</v>
      </c>
      <c r="Y4757" s="276" t="str">
        <f ca="1">IF($Y$3="申万一级行业",[1]!s_info_industry_sw_2021(W4757,公司分析!D$5,1),IF($Y$3="申万二级行业",[1]!s_info_industry_sw_2021(W4757,公司分析!D$5,2),IF($Y$3="申万三级行业",[1]!s_info_industry_sw_2021(W4757,公司分析!D$5,3),IF($Y$3="wind一级行业",[1]!s_info_industry_gics(W4757,1),IF($Y$3="wind二级行业",[1]!s_info_industry_gics(W4757,2),IF($Y$3="wind三级行业",[1]!s_info_industry_gics(W4757,3),IF($Y$3="wind四级行业",[1]!s_info_industry_gics(W4757,4),IF($Y$3="证监会门类行业",[1]!s_info_industry_csrc12_n(W4757,公司分析!D$5,1),""))))))))</f>
        <v>金属新材料</v>
      </c>
      <c r="Z4757" s="302" t="str">
        <f ca="1">IF(Y4757=行业比较!$E$6,ROW(),"")</f>
        <v/>
      </c>
    </row>
    <row r="4758" spans="22:26">
      <c r="V4758" s="260">
        <f t="shared" ca="1" si="82"/>
        <v>0</v>
      </c>
      <c r="W4758" s="348" t="str">
        <f>IF(板块成分!B4760="","",板块成分!B4760)</f>
        <v>688191.SH</v>
      </c>
      <c r="X4758" s="276" t="str">
        <f>[1]!S_Info_Name(W4758)</f>
        <v>智洋创新</v>
      </c>
      <c r="Y4758" s="276" t="str">
        <f ca="1">IF($Y$3="申万一级行业",[1]!s_info_industry_sw_2021(W4758,公司分析!D$5,1),IF($Y$3="申万二级行业",[1]!s_info_industry_sw_2021(W4758,公司分析!D$5,2),IF($Y$3="申万三级行业",[1]!s_info_industry_sw_2021(W4758,公司分析!D$5,3),IF($Y$3="wind一级行业",[1]!s_info_industry_gics(W4758,1),IF($Y$3="wind二级行业",[1]!s_info_industry_gics(W4758,2),IF($Y$3="wind三级行业",[1]!s_info_industry_gics(W4758,3),IF($Y$3="wind四级行业",[1]!s_info_industry_gics(W4758,4),IF($Y$3="证监会门类行业",[1]!s_info_industry_csrc12_n(W4758,公司分析!D$5,1),""))))))))</f>
        <v>电网设备</v>
      </c>
      <c r="Z4758" s="302" t="str">
        <f ca="1">IF(Y4758=行业比较!$E$6,ROW(),"")</f>
        <v/>
      </c>
    </row>
    <row r="4759" spans="22:26">
      <c r="V4759" s="260">
        <f t="shared" ca="1" si="82"/>
        <v>0</v>
      </c>
      <c r="W4759" s="348" t="str">
        <f>IF(板块成分!B4761="","",板块成分!B4761)</f>
        <v>688192.SH</v>
      </c>
      <c r="X4759" s="276" t="str">
        <f>[1]!S_Info_Name(W4759)</f>
        <v>迪哲医药-U</v>
      </c>
      <c r="Y4759" s="276" t="str">
        <f ca="1">IF($Y$3="申万一级行业",[1]!s_info_industry_sw_2021(W4759,公司分析!D$5,1),IF($Y$3="申万二级行业",[1]!s_info_industry_sw_2021(W4759,公司分析!D$5,2),IF($Y$3="申万三级行业",[1]!s_info_industry_sw_2021(W4759,公司分析!D$5,3),IF($Y$3="wind一级行业",[1]!s_info_industry_gics(W4759,1),IF($Y$3="wind二级行业",[1]!s_info_industry_gics(W4759,2),IF($Y$3="wind三级行业",[1]!s_info_industry_gics(W4759,3),IF($Y$3="wind四级行业",[1]!s_info_industry_gics(W4759,4),IF($Y$3="证监会门类行业",[1]!s_info_industry_csrc12_n(W4759,公司分析!D$5,1),""))))))))</f>
        <v>化学制药</v>
      </c>
      <c r="Z4759" s="302" t="str">
        <f ca="1">IF(Y4759=行业比较!$E$6,ROW(),"")</f>
        <v/>
      </c>
    </row>
    <row r="4760" spans="22:26">
      <c r="V4760" s="260">
        <f t="shared" ca="1" si="82"/>
        <v>0</v>
      </c>
      <c r="W4760" s="348" t="str">
        <f>IF(板块成分!B4762="","",板块成分!B4762)</f>
        <v>688193.SH</v>
      </c>
      <c r="X4760" s="276" t="str">
        <f>[1]!S_Info_Name(W4760)</f>
        <v>仁度生物</v>
      </c>
      <c r="Y4760" s="276" t="str">
        <f ca="1">IF($Y$3="申万一级行业",[1]!s_info_industry_sw_2021(W4760,公司分析!D$5,1),IF($Y$3="申万二级行业",[1]!s_info_industry_sw_2021(W4760,公司分析!D$5,2),IF($Y$3="申万三级行业",[1]!s_info_industry_sw_2021(W4760,公司分析!D$5,3),IF($Y$3="wind一级行业",[1]!s_info_industry_gics(W4760,1),IF($Y$3="wind二级行业",[1]!s_info_industry_gics(W4760,2),IF($Y$3="wind三级行业",[1]!s_info_industry_gics(W4760,3),IF($Y$3="wind四级行业",[1]!s_info_industry_gics(W4760,4),IF($Y$3="证监会门类行业",[1]!s_info_industry_csrc12_n(W4760,公司分析!D$5,1),""))))))))</f>
        <v>医疗器械</v>
      </c>
      <c r="Z4760" s="302" t="str">
        <f ca="1">IF(Y4760=行业比较!$E$6,ROW(),"")</f>
        <v/>
      </c>
    </row>
    <row r="4761" spans="22:26">
      <c r="V4761" s="260">
        <f t="shared" ca="1" si="82"/>
        <v>0</v>
      </c>
      <c r="W4761" s="348" t="str">
        <f>IF(板块成分!B4763="","",板块成分!B4763)</f>
        <v>688195.SH</v>
      </c>
      <c r="X4761" s="276" t="str">
        <f>[1]!S_Info_Name(W4761)</f>
        <v>腾景科技</v>
      </c>
      <c r="Y4761" s="276" t="str">
        <f ca="1">IF($Y$3="申万一级行业",[1]!s_info_industry_sw_2021(W4761,公司分析!D$5,1),IF($Y$3="申万二级行业",[1]!s_info_industry_sw_2021(W4761,公司分析!D$5,2),IF($Y$3="申万三级行业",[1]!s_info_industry_sw_2021(W4761,公司分析!D$5,3),IF($Y$3="wind一级行业",[1]!s_info_industry_gics(W4761,1),IF($Y$3="wind二级行业",[1]!s_info_industry_gics(W4761,2),IF($Y$3="wind三级行业",[1]!s_info_industry_gics(W4761,3),IF($Y$3="wind四级行业",[1]!s_info_industry_gics(W4761,4),IF($Y$3="证监会门类行业",[1]!s_info_industry_csrc12_n(W4761,公司分析!D$5,1),""))))))))</f>
        <v>光学光电子</v>
      </c>
      <c r="Z4761" s="302" t="str">
        <f ca="1">IF(Y4761=行业比较!$E$6,ROW(),"")</f>
        <v/>
      </c>
    </row>
    <row r="4762" spans="22:26">
      <c r="V4762" s="260">
        <f t="shared" ca="1" si="82"/>
        <v>0</v>
      </c>
      <c r="W4762" s="348" t="str">
        <f>IF(板块成分!B4764="","",板块成分!B4764)</f>
        <v>688196.SH</v>
      </c>
      <c r="X4762" s="276" t="str">
        <f>[1]!S_Info_Name(W4762)</f>
        <v>卓越新能</v>
      </c>
      <c r="Y4762" s="276" t="str">
        <f ca="1">IF($Y$3="申万一级行业",[1]!s_info_industry_sw_2021(W4762,公司分析!D$5,1),IF($Y$3="申万二级行业",[1]!s_info_industry_sw_2021(W4762,公司分析!D$5,2),IF($Y$3="申万三级行业",[1]!s_info_industry_sw_2021(W4762,公司分析!D$5,3),IF($Y$3="wind一级行业",[1]!s_info_industry_gics(W4762,1),IF($Y$3="wind二级行业",[1]!s_info_industry_gics(W4762,2),IF($Y$3="wind三级行业",[1]!s_info_industry_gics(W4762,3),IF($Y$3="wind四级行业",[1]!s_info_industry_gics(W4762,4),IF($Y$3="证监会门类行业",[1]!s_info_industry_csrc12_n(W4762,公司分析!D$5,1),""))))))))</f>
        <v>化学制品</v>
      </c>
      <c r="Z4762" s="302" t="str">
        <f ca="1">IF(Y4762=行业比较!$E$6,ROW(),"")</f>
        <v/>
      </c>
    </row>
    <row r="4763" spans="22:26">
      <c r="V4763" s="260">
        <f t="shared" ca="1" si="82"/>
        <v>0</v>
      </c>
      <c r="W4763" s="348" t="str">
        <f>IF(板块成分!B4765="","",板块成分!B4765)</f>
        <v>688197.SH</v>
      </c>
      <c r="X4763" s="276" t="str">
        <f>[1]!S_Info_Name(W4763)</f>
        <v>首药控股-U</v>
      </c>
      <c r="Y4763" s="276" t="str">
        <f ca="1">IF($Y$3="申万一级行业",[1]!s_info_industry_sw_2021(W4763,公司分析!D$5,1),IF($Y$3="申万二级行业",[1]!s_info_industry_sw_2021(W4763,公司分析!D$5,2),IF($Y$3="申万三级行业",[1]!s_info_industry_sw_2021(W4763,公司分析!D$5,3),IF($Y$3="wind一级行业",[1]!s_info_industry_gics(W4763,1),IF($Y$3="wind二级行业",[1]!s_info_industry_gics(W4763,2),IF($Y$3="wind三级行业",[1]!s_info_industry_gics(W4763,3),IF($Y$3="wind四级行业",[1]!s_info_industry_gics(W4763,4),IF($Y$3="证监会门类行业",[1]!s_info_industry_csrc12_n(W4763,公司分析!D$5,1),""))))))))</f>
        <v>化学制药</v>
      </c>
      <c r="Z4763" s="302" t="str">
        <f ca="1">IF(Y4763=行业比较!$E$6,ROW(),"")</f>
        <v/>
      </c>
    </row>
    <row r="4764" spans="22:26">
      <c r="V4764" s="260">
        <f t="shared" ca="1" si="82"/>
        <v>0</v>
      </c>
      <c r="W4764" s="348" t="str">
        <f>IF(板块成分!B4766="","",板块成分!B4766)</f>
        <v>688198.SH</v>
      </c>
      <c r="X4764" s="276" t="str">
        <f>[1]!S_Info_Name(W4764)</f>
        <v>佰仁医疗</v>
      </c>
      <c r="Y4764" s="276" t="str">
        <f ca="1">IF($Y$3="申万一级行业",[1]!s_info_industry_sw_2021(W4764,公司分析!D$5,1),IF($Y$3="申万二级行业",[1]!s_info_industry_sw_2021(W4764,公司分析!D$5,2),IF($Y$3="申万三级行业",[1]!s_info_industry_sw_2021(W4764,公司分析!D$5,3),IF($Y$3="wind一级行业",[1]!s_info_industry_gics(W4764,1),IF($Y$3="wind二级行业",[1]!s_info_industry_gics(W4764,2),IF($Y$3="wind三级行业",[1]!s_info_industry_gics(W4764,3),IF($Y$3="wind四级行业",[1]!s_info_industry_gics(W4764,4),IF($Y$3="证监会门类行业",[1]!s_info_industry_csrc12_n(W4764,公司分析!D$5,1),""))))))))</f>
        <v>医疗器械</v>
      </c>
      <c r="Z4764" s="302" t="str">
        <f ca="1">IF(Y4764=行业比较!$E$6,ROW(),"")</f>
        <v/>
      </c>
    </row>
    <row r="4765" spans="22:26">
      <c r="V4765" s="260">
        <f t="shared" ca="1" si="82"/>
        <v>0</v>
      </c>
      <c r="W4765" s="348" t="str">
        <f>IF(板块成分!B4767="","",板块成分!B4767)</f>
        <v>688199.SH</v>
      </c>
      <c r="X4765" s="276" t="str">
        <f>[1]!S_Info_Name(W4765)</f>
        <v>久日新材</v>
      </c>
      <c r="Y4765" s="276" t="str">
        <f ca="1">IF($Y$3="申万一级行业",[1]!s_info_industry_sw_2021(W4765,公司分析!D$5,1),IF($Y$3="申万二级行业",[1]!s_info_industry_sw_2021(W4765,公司分析!D$5,2),IF($Y$3="申万三级行业",[1]!s_info_industry_sw_2021(W4765,公司分析!D$5,3),IF($Y$3="wind一级行业",[1]!s_info_industry_gics(W4765,1),IF($Y$3="wind二级行业",[1]!s_info_industry_gics(W4765,2),IF($Y$3="wind三级行业",[1]!s_info_industry_gics(W4765,3),IF($Y$3="wind四级行业",[1]!s_info_industry_gics(W4765,4),IF($Y$3="证监会门类行业",[1]!s_info_industry_csrc12_n(W4765,公司分析!D$5,1),""))))))))</f>
        <v>化学制品</v>
      </c>
      <c r="Z4765" s="302" t="str">
        <f ca="1">IF(Y4765=行业比较!$E$6,ROW(),"")</f>
        <v/>
      </c>
    </row>
    <row r="4766" spans="22:26">
      <c r="V4766" s="260">
        <f t="shared" ca="1" si="82"/>
        <v>0</v>
      </c>
      <c r="W4766" s="348" t="str">
        <f>IF(板块成分!B4768="","",板块成分!B4768)</f>
        <v>688200.SH</v>
      </c>
      <c r="X4766" s="276" t="str">
        <f>[1]!S_Info_Name(W4766)</f>
        <v>华峰测控</v>
      </c>
      <c r="Y4766" s="276" t="str">
        <f ca="1">IF($Y$3="申万一级行业",[1]!s_info_industry_sw_2021(W4766,公司分析!D$5,1),IF($Y$3="申万二级行业",[1]!s_info_industry_sw_2021(W4766,公司分析!D$5,2),IF($Y$3="申万三级行业",[1]!s_info_industry_sw_2021(W4766,公司分析!D$5,3),IF($Y$3="wind一级行业",[1]!s_info_industry_gics(W4766,1),IF($Y$3="wind二级行业",[1]!s_info_industry_gics(W4766,2),IF($Y$3="wind三级行业",[1]!s_info_industry_gics(W4766,3),IF($Y$3="wind四级行业",[1]!s_info_industry_gics(W4766,4),IF($Y$3="证监会门类行业",[1]!s_info_industry_csrc12_n(W4766,公司分析!D$5,1),""))))))))</f>
        <v>半导体</v>
      </c>
      <c r="Z4766" s="302" t="str">
        <f ca="1">IF(Y4766=行业比较!$E$6,ROW(),"")</f>
        <v/>
      </c>
    </row>
    <row r="4767" spans="22:26">
      <c r="V4767" s="260">
        <f t="shared" ca="1" si="82"/>
        <v>0</v>
      </c>
      <c r="W4767" s="348" t="str">
        <f>IF(板块成分!B4769="","",板块成分!B4769)</f>
        <v>688201.SH</v>
      </c>
      <c r="X4767" s="276" t="str">
        <f>[1]!S_Info_Name(W4767)</f>
        <v>信安世纪</v>
      </c>
      <c r="Y4767" s="276" t="str">
        <f ca="1">IF($Y$3="申万一级行业",[1]!s_info_industry_sw_2021(W4767,公司分析!D$5,1),IF($Y$3="申万二级行业",[1]!s_info_industry_sw_2021(W4767,公司分析!D$5,2),IF($Y$3="申万三级行业",[1]!s_info_industry_sw_2021(W4767,公司分析!D$5,3),IF($Y$3="wind一级行业",[1]!s_info_industry_gics(W4767,1),IF($Y$3="wind二级行业",[1]!s_info_industry_gics(W4767,2),IF($Y$3="wind三级行业",[1]!s_info_industry_gics(W4767,3),IF($Y$3="wind四级行业",[1]!s_info_industry_gics(W4767,4),IF($Y$3="证监会门类行业",[1]!s_info_industry_csrc12_n(W4767,公司分析!D$5,1),""))))))))</f>
        <v>软件开发</v>
      </c>
      <c r="Z4767" s="302" t="str">
        <f ca="1">IF(Y4767=行业比较!$E$6,ROW(),"")</f>
        <v/>
      </c>
    </row>
    <row r="4768" spans="22:26">
      <c r="V4768" s="260">
        <f t="shared" ca="1" si="82"/>
        <v>0</v>
      </c>
      <c r="W4768" s="348" t="str">
        <f>IF(板块成分!B4770="","",板块成分!B4770)</f>
        <v>688202.SH</v>
      </c>
      <c r="X4768" s="276" t="str">
        <f>[1]!S_Info_Name(W4768)</f>
        <v>美迪西</v>
      </c>
      <c r="Y4768" s="276" t="str">
        <f ca="1">IF($Y$3="申万一级行业",[1]!s_info_industry_sw_2021(W4768,公司分析!D$5,1),IF($Y$3="申万二级行业",[1]!s_info_industry_sw_2021(W4768,公司分析!D$5,2),IF($Y$3="申万三级行业",[1]!s_info_industry_sw_2021(W4768,公司分析!D$5,3),IF($Y$3="wind一级行业",[1]!s_info_industry_gics(W4768,1),IF($Y$3="wind二级行业",[1]!s_info_industry_gics(W4768,2),IF($Y$3="wind三级行业",[1]!s_info_industry_gics(W4768,3),IF($Y$3="wind四级行业",[1]!s_info_industry_gics(W4768,4),IF($Y$3="证监会门类行业",[1]!s_info_industry_csrc12_n(W4768,公司分析!D$5,1),""))))))))</f>
        <v>医疗服务</v>
      </c>
      <c r="Z4768" s="302" t="str">
        <f ca="1">IF(Y4768=行业比较!$E$6,ROW(),"")</f>
        <v/>
      </c>
    </row>
    <row r="4769" spans="22:26">
      <c r="V4769" s="260">
        <f t="shared" ca="1" si="82"/>
        <v>0</v>
      </c>
      <c r="W4769" s="348" t="str">
        <f>IF(板块成分!B4771="","",板块成分!B4771)</f>
        <v>688203.SH</v>
      </c>
      <c r="X4769" s="276" t="str">
        <f>[1]!S_Info_Name(W4769)</f>
        <v>海正生材</v>
      </c>
      <c r="Y4769" s="276" t="str">
        <f ca="1">IF($Y$3="申万一级行业",[1]!s_info_industry_sw_2021(W4769,公司分析!D$5,1),IF($Y$3="申万二级行业",[1]!s_info_industry_sw_2021(W4769,公司分析!D$5,2),IF($Y$3="申万三级行业",[1]!s_info_industry_sw_2021(W4769,公司分析!D$5,3),IF($Y$3="wind一级行业",[1]!s_info_industry_gics(W4769,1),IF($Y$3="wind二级行业",[1]!s_info_industry_gics(W4769,2),IF($Y$3="wind三级行业",[1]!s_info_industry_gics(W4769,3),IF($Y$3="wind四级行业",[1]!s_info_industry_gics(W4769,4),IF($Y$3="证监会门类行业",[1]!s_info_industry_csrc12_n(W4769,公司分析!D$5,1),""))))))))</f>
        <v>塑料</v>
      </c>
      <c r="Z4769" s="302" t="str">
        <f ca="1">IF(Y4769=行业比较!$E$6,ROW(),"")</f>
        <v/>
      </c>
    </row>
    <row r="4770" spans="22:26">
      <c r="V4770" s="260">
        <f t="shared" ca="1" si="82"/>
        <v>0</v>
      </c>
      <c r="W4770" s="348" t="str">
        <f>IF(板块成分!B4772="","",板块成分!B4772)</f>
        <v>688205.SH</v>
      </c>
      <c r="X4770" s="276" t="str">
        <f>[1]!S_Info_Name(W4770)</f>
        <v>德科立</v>
      </c>
      <c r="Y4770" s="276" t="str">
        <f ca="1">IF($Y$3="申万一级行业",[1]!s_info_industry_sw_2021(W4770,公司分析!D$5,1),IF($Y$3="申万二级行业",[1]!s_info_industry_sw_2021(W4770,公司分析!D$5,2),IF($Y$3="申万三级行业",[1]!s_info_industry_sw_2021(W4770,公司分析!D$5,3),IF($Y$3="wind一级行业",[1]!s_info_industry_gics(W4770,1),IF($Y$3="wind二级行业",[1]!s_info_industry_gics(W4770,2),IF($Y$3="wind三级行业",[1]!s_info_industry_gics(W4770,3),IF($Y$3="wind四级行业",[1]!s_info_industry_gics(W4770,4),IF($Y$3="证监会门类行业",[1]!s_info_industry_csrc12_n(W4770,公司分析!D$5,1),""))))))))</f>
        <v>通信设备</v>
      </c>
      <c r="Z4770" s="302" t="str">
        <f ca="1">IF(Y4770=行业比较!$E$6,ROW(),"")</f>
        <v/>
      </c>
    </row>
    <row r="4771" spans="22:26">
      <c r="V4771" s="260">
        <f t="shared" ca="1" si="82"/>
        <v>0</v>
      </c>
      <c r="W4771" s="348" t="str">
        <f>IF(板块成分!B4773="","",板块成分!B4773)</f>
        <v>688206.SH</v>
      </c>
      <c r="X4771" s="276" t="str">
        <f>[1]!S_Info_Name(W4771)</f>
        <v>概伦电子</v>
      </c>
      <c r="Y4771" s="276" t="str">
        <f ca="1">IF($Y$3="申万一级行业",[1]!s_info_industry_sw_2021(W4771,公司分析!D$5,1),IF($Y$3="申万二级行业",[1]!s_info_industry_sw_2021(W4771,公司分析!D$5,2),IF($Y$3="申万三级行业",[1]!s_info_industry_sw_2021(W4771,公司分析!D$5,3),IF($Y$3="wind一级行业",[1]!s_info_industry_gics(W4771,1),IF($Y$3="wind二级行业",[1]!s_info_industry_gics(W4771,2),IF($Y$3="wind三级行业",[1]!s_info_industry_gics(W4771,3),IF($Y$3="wind四级行业",[1]!s_info_industry_gics(W4771,4),IF($Y$3="证监会门类行业",[1]!s_info_industry_csrc12_n(W4771,公司分析!D$5,1),""))))))))</f>
        <v>软件开发</v>
      </c>
      <c r="Z4771" s="302" t="str">
        <f ca="1">IF(Y4771=行业比较!$E$6,ROW(),"")</f>
        <v/>
      </c>
    </row>
    <row r="4772" spans="22:26">
      <c r="V4772" s="260">
        <f t="shared" ca="1" si="82"/>
        <v>0</v>
      </c>
      <c r="W4772" s="348" t="str">
        <f>IF(板块成分!B4774="","",板块成分!B4774)</f>
        <v>688207.SH</v>
      </c>
      <c r="X4772" s="276" t="str">
        <f>[1]!S_Info_Name(W4772)</f>
        <v>格灵深瞳</v>
      </c>
      <c r="Y4772" s="276" t="str">
        <f ca="1">IF($Y$3="申万一级行业",[1]!s_info_industry_sw_2021(W4772,公司分析!D$5,1),IF($Y$3="申万二级行业",[1]!s_info_industry_sw_2021(W4772,公司分析!D$5,2),IF($Y$3="申万三级行业",[1]!s_info_industry_sw_2021(W4772,公司分析!D$5,3),IF($Y$3="wind一级行业",[1]!s_info_industry_gics(W4772,1),IF($Y$3="wind二级行业",[1]!s_info_industry_gics(W4772,2),IF($Y$3="wind三级行业",[1]!s_info_industry_gics(W4772,3),IF($Y$3="wind四级行业",[1]!s_info_industry_gics(W4772,4),IF($Y$3="证监会门类行业",[1]!s_info_industry_csrc12_n(W4772,公司分析!D$5,1),""))))))))</f>
        <v>IT服务Ⅱ</v>
      </c>
      <c r="Z4772" s="302" t="str">
        <f ca="1">IF(Y4772=行业比较!$E$6,ROW(),"")</f>
        <v/>
      </c>
    </row>
    <row r="4773" spans="22:26">
      <c r="V4773" s="260">
        <f t="shared" ca="1" si="82"/>
        <v>0</v>
      </c>
      <c r="W4773" s="348" t="str">
        <f>IF(板块成分!B4775="","",板块成分!B4775)</f>
        <v>688208.SH</v>
      </c>
      <c r="X4773" s="276" t="str">
        <f>[1]!S_Info_Name(W4773)</f>
        <v>道通科技</v>
      </c>
      <c r="Y4773" s="276" t="str">
        <f ca="1">IF($Y$3="申万一级行业",[1]!s_info_industry_sw_2021(W4773,公司分析!D$5,1),IF($Y$3="申万二级行业",[1]!s_info_industry_sw_2021(W4773,公司分析!D$5,2),IF($Y$3="申万三级行业",[1]!s_info_industry_sw_2021(W4773,公司分析!D$5,3),IF($Y$3="wind一级行业",[1]!s_info_industry_gics(W4773,1),IF($Y$3="wind二级行业",[1]!s_info_industry_gics(W4773,2),IF($Y$3="wind三级行业",[1]!s_info_industry_gics(W4773,3),IF($Y$3="wind四级行业",[1]!s_info_industry_gics(W4773,4),IF($Y$3="证监会门类行业",[1]!s_info_industry_csrc12_n(W4773,公司分析!D$5,1),""))))))))</f>
        <v>计算机设备</v>
      </c>
      <c r="Z4773" s="302" t="str">
        <f ca="1">IF(Y4773=行业比较!$E$6,ROW(),"")</f>
        <v/>
      </c>
    </row>
    <row r="4774" spans="22:26">
      <c r="V4774" s="260">
        <f t="shared" ca="1" si="82"/>
        <v>0</v>
      </c>
      <c r="W4774" s="348" t="str">
        <f>IF(板块成分!B4776="","",板块成分!B4776)</f>
        <v>688209.SH</v>
      </c>
      <c r="X4774" s="276" t="str">
        <f>[1]!S_Info_Name(W4774)</f>
        <v>英集芯</v>
      </c>
      <c r="Y4774" s="276" t="str">
        <f ca="1">IF($Y$3="申万一级行业",[1]!s_info_industry_sw_2021(W4774,公司分析!D$5,1),IF($Y$3="申万二级行业",[1]!s_info_industry_sw_2021(W4774,公司分析!D$5,2),IF($Y$3="申万三级行业",[1]!s_info_industry_sw_2021(W4774,公司分析!D$5,3),IF($Y$3="wind一级行业",[1]!s_info_industry_gics(W4774,1),IF($Y$3="wind二级行业",[1]!s_info_industry_gics(W4774,2),IF($Y$3="wind三级行业",[1]!s_info_industry_gics(W4774,3),IF($Y$3="wind四级行业",[1]!s_info_industry_gics(W4774,4),IF($Y$3="证监会门类行业",[1]!s_info_industry_csrc12_n(W4774,公司分析!D$5,1),""))))))))</f>
        <v>半导体</v>
      </c>
      <c r="Z4774" s="302" t="str">
        <f ca="1">IF(Y4774=行业比较!$E$6,ROW(),"")</f>
        <v/>
      </c>
    </row>
    <row r="4775" spans="22:26">
      <c r="V4775" s="260">
        <f t="shared" ca="1" si="82"/>
        <v>0</v>
      </c>
      <c r="W4775" s="348" t="str">
        <f>IF(板块成分!B4777="","",板块成分!B4777)</f>
        <v>688210.SH</v>
      </c>
      <c r="X4775" s="276" t="str">
        <f>[1]!S_Info_Name(W4775)</f>
        <v>统联精密</v>
      </c>
      <c r="Y4775" s="276" t="str">
        <f ca="1">IF($Y$3="申万一级行业",[1]!s_info_industry_sw_2021(W4775,公司分析!D$5,1),IF($Y$3="申万二级行业",[1]!s_info_industry_sw_2021(W4775,公司分析!D$5,2),IF($Y$3="申万三级行业",[1]!s_info_industry_sw_2021(W4775,公司分析!D$5,3),IF($Y$3="wind一级行业",[1]!s_info_industry_gics(W4775,1),IF($Y$3="wind二级行业",[1]!s_info_industry_gics(W4775,2),IF($Y$3="wind三级行业",[1]!s_info_industry_gics(W4775,3),IF($Y$3="wind四级行业",[1]!s_info_industry_gics(W4775,4),IF($Y$3="证监会门类行业",[1]!s_info_industry_csrc12_n(W4775,公司分析!D$5,1),""))))))))</f>
        <v>消费电子</v>
      </c>
      <c r="Z4775" s="302" t="str">
        <f ca="1">IF(Y4775=行业比较!$E$6,ROW(),"")</f>
        <v/>
      </c>
    </row>
    <row r="4776" spans="22:26">
      <c r="V4776" s="260">
        <f t="shared" ca="1" si="82"/>
        <v>0</v>
      </c>
      <c r="W4776" s="348" t="str">
        <f>IF(板块成分!B4778="","",板块成分!B4778)</f>
        <v>688211.SH</v>
      </c>
      <c r="X4776" s="276" t="str">
        <f>[1]!S_Info_Name(W4776)</f>
        <v>中科微至</v>
      </c>
      <c r="Y4776" s="276" t="str">
        <f ca="1">IF($Y$3="申万一级行业",[1]!s_info_industry_sw_2021(W4776,公司分析!D$5,1),IF($Y$3="申万二级行业",[1]!s_info_industry_sw_2021(W4776,公司分析!D$5,2),IF($Y$3="申万三级行业",[1]!s_info_industry_sw_2021(W4776,公司分析!D$5,3),IF($Y$3="wind一级行业",[1]!s_info_industry_gics(W4776,1),IF($Y$3="wind二级行业",[1]!s_info_industry_gics(W4776,2),IF($Y$3="wind三级行业",[1]!s_info_industry_gics(W4776,3),IF($Y$3="wind四级行业",[1]!s_info_industry_gics(W4776,4),IF($Y$3="证监会门类行业",[1]!s_info_industry_csrc12_n(W4776,公司分析!D$5,1),""))))))))</f>
        <v>专用设备</v>
      </c>
      <c r="Z4776" s="302" t="str">
        <f ca="1">IF(Y4776=行业比较!$E$6,ROW(),"")</f>
        <v/>
      </c>
    </row>
    <row r="4777" spans="22:26">
      <c r="V4777" s="260">
        <f t="shared" ca="1" si="82"/>
        <v>0</v>
      </c>
      <c r="W4777" s="348" t="str">
        <f>IF(板块成分!B4779="","",板块成分!B4779)</f>
        <v>688212.SH</v>
      </c>
      <c r="X4777" s="276" t="str">
        <f>[1]!S_Info_Name(W4777)</f>
        <v>澳华内镜</v>
      </c>
      <c r="Y4777" s="276" t="str">
        <f ca="1">IF($Y$3="申万一级行业",[1]!s_info_industry_sw_2021(W4777,公司分析!D$5,1),IF($Y$3="申万二级行业",[1]!s_info_industry_sw_2021(W4777,公司分析!D$5,2),IF($Y$3="申万三级行业",[1]!s_info_industry_sw_2021(W4777,公司分析!D$5,3),IF($Y$3="wind一级行业",[1]!s_info_industry_gics(W4777,1),IF($Y$3="wind二级行业",[1]!s_info_industry_gics(W4777,2),IF($Y$3="wind三级行业",[1]!s_info_industry_gics(W4777,3),IF($Y$3="wind四级行业",[1]!s_info_industry_gics(W4777,4),IF($Y$3="证监会门类行业",[1]!s_info_industry_csrc12_n(W4777,公司分析!D$5,1),""))))))))</f>
        <v>医疗器械</v>
      </c>
      <c r="Z4777" s="302" t="str">
        <f ca="1">IF(Y4777=行业比较!$E$6,ROW(),"")</f>
        <v/>
      </c>
    </row>
    <row r="4778" spans="22:26">
      <c r="V4778" s="260">
        <f t="shared" ca="1" si="82"/>
        <v>0</v>
      </c>
      <c r="W4778" s="348" t="str">
        <f>IF(板块成分!B4780="","",板块成分!B4780)</f>
        <v>688213.SH</v>
      </c>
      <c r="X4778" s="276" t="str">
        <f>[1]!S_Info_Name(W4778)</f>
        <v>思特威-W</v>
      </c>
      <c r="Y4778" s="276" t="str">
        <f ca="1">IF($Y$3="申万一级行业",[1]!s_info_industry_sw_2021(W4778,公司分析!D$5,1),IF($Y$3="申万二级行业",[1]!s_info_industry_sw_2021(W4778,公司分析!D$5,2),IF($Y$3="申万三级行业",[1]!s_info_industry_sw_2021(W4778,公司分析!D$5,3),IF($Y$3="wind一级行业",[1]!s_info_industry_gics(W4778,1),IF($Y$3="wind二级行业",[1]!s_info_industry_gics(W4778,2),IF($Y$3="wind三级行业",[1]!s_info_industry_gics(W4778,3),IF($Y$3="wind四级行业",[1]!s_info_industry_gics(W4778,4),IF($Y$3="证监会门类行业",[1]!s_info_industry_csrc12_n(W4778,公司分析!D$5,1),""))))))))</f>
        <v>半导体</v>
      </c>
      <c r="Z4778" s="302" t="str">
        <f ca="1">IF(Y4778=行业比较!$E$6,ROW(),"")</f>
        <v/>
      </c>
    </row>
    <row r="4779" spans="22:26">
      <c r="V4779" s="260">
        <f t="shared" ca="1" si="82"/>
        <v>0</v>
      </c>
      <c r="W4779" s="348" t="str">
        <f>IF(板块成分!B4781="","",板块成分!B4781)</f>
        <v>688215.SH</v>
      </c>
      <c r="X4779" s="276" t="str">
        <f>[1]!S_Info_Name(W4779)</f>
        <v>瑞晟智能</v>
      </c>
      <c r="Y4779" s="276" t="str">
        <f ca="1">IF($Y$3="申万一级行业",[1]!s_info_industry_sw_2021(W4779,公司分析!D$5,1),IF($Y$3="申万二级行业",[1]!s_info_industry_sw_2021(W4779,公司分析!D$5,2),IF($Y$3="申万三级行业",[1]!s_info_industry_sw_2021(W4779,公司分析!D$5,3),IF($Y$3="wind一级行业",[1]!s_info_industry_gics(W4779,1),IF($Y$3="wind二级行业",[1]!s_info_industry_gics(W4779,2),IF($Y$3="wind三级行业",[1]!s_info_industry_gics(W4779,3),IF($Y$3="wind四级行业",[1]!s_info_industry_gics(W4779,4),IF($Y$3="证监会门类行业",[1]!s_info_industry_csrc12_n(W4779,公司分析!D$5,1),""))))))))</f>
        <v>自动化设备</v>
      </c>
      <c r="Z4779" s="302" t="str">
        <f ca="1">IF(Y4779=行业比较!$E$6,ROW(),"")</f>
        <v/>
      </c>
    </row>
    <row r="4780" spans="22:26">
      <c r="V4780" s="260">
        <f t="shared" ca="1" si="82"/>
        <v>0</v>
      </c>
      <c r="W4780" s="348" t="str">
        <f>IF(板块成分!B4782="","",板块成分!B4782)</f>
        <v>688216.SH</v>
      </c>
      <c r="X4780" s="276" t="str">
        <f>[1]!S_Info_Name(W4780)</f>
        <v>气派科技</v>
      </c>
      <c r="Y4780" s="276" t="str">
        <f ca="1">IF($Y$3="申万一级行业",[1]!s_info_industry_sw_2021(W4780,公司分析!D$5,1),IF($Y$3="申万二级行业",[1]!s_info_industry_sw_2021(W4780,公司分析!D$5,2),IF($Y$3="申万三级行业",[1]!s_info_industry_sw_2021(W4780,公司分析!D$5,3),IF($Y$3="wind一级行业",[1]!s_info_industry_gics(W4780,1),IF($Y$3="wind二级行业",[1]!s_info_industry_gics(W4780,2),IF($Y$3="wind三级行业",[1]!s_info_industry_gics(W4780,3),IF($Y$3="wind四级行业",[1]!s_info_industry_gics(W4780,4),IF($Y$3="证监会门类行业",[1]!s_info_industry_csrc12_n(W4780,公司分析!D$5,1),""))))))))</f>
        <v>半导体</v>
      </c>
      <c r="Z4780" s="302" t="str">
        <f ca="1">IF(Y4780=行业比较!$E$6,ROW(),"")</f>
        <v/>
      </c>
    </row>
    <row r="4781" spans="22:26">
      <c r="V4781" s="260">
        <f t="shared" ca="1" si="82"/>
        <v>0</v>
      </c>
      <c r="W4781" s="348" t="str">
        <f>IF(板块成分!B4783="","",板块成分!B4783)</f>
        <v>688217.SH</v>
      </c>
      <c r="X4781" s="276" t="str">
        <f>[1]!S_Info_Name(W4781)</f>
        <v>睿昂基因</v>
      </c>
      <c r="Y4781" s="276" t="str">
        <f ca="1">IF($Y$3="申万一级行业",[1]!s_info_industry_sw_2021(W4781,公司分析!D$5,1),IF($Y$3="申万二级行业",[1]!s_info_industry_sw_2021(W4781,公司分析!D$5,2),IF($Y$3="申万三级行业",[1]!s_info_industry_sw_2021(W4781,公司分析!D$5,3),IF($Y$3="wind一级行业",[1]!s_info_industry_gics(W4781,1),IF($Y$3="wind二级行业",[1]!s_info_industry_gics(W4781,2),IF($Y$3="wind三级行业",[1]!s_info_industry_gics(W4781,3),IF($Y$3="wind四级行业",[1]!s_info_industry_gics(W4781,4),IF($Y$3="证监会门类行业",[1]!s_info_industry_csrc12_n(W4781,公司分析!D$5,1),""))))))))</f>
        <v>医疗器械</v>
      </c>
      <c r="Z4781" s="302" t="str">
        <f ca="1">IF(Y4781=行业比较!$E$6,ROW(),"")</f>
        <v/>
      </c>
    </row>
    <row r="4782" spans="22:26">
      <c r="V4782" s="260">
        <f t="shared" ca="1" si="82"/>
        <v>0</v>
      </c>
      <c r="W4782" s="348" t="str">
        <f>IF(板块成分!B4784="","",板块成分!B4784)</f>
        <v>688218.SH</v>
      </c>
      <c r="X4782" s="276" t="str">
        <f>[1]!S_Info_Name(W4782)</f>
        <v>江苏北人</v>
      </c>
      <c r="Y4782" s="276" t="str">
        <f ca="1">IF($Y$3="申万一级行业",[1]!s_info_industry_sw_2021(W4782,公司分析!D$5,1),IF($Y$3="申万二级行业",[1]!s_info_industry_sw_2021(W4782,公司分析!D$5,2),IF($Y$3="申万三级行业",[1]!s_info_industry_sw_2021(W4782,公司分析!D$5,3),IF($Y$3="wind一级行业",[1]!s_info_industry_gics(W4782,1),IF($Y$3="wind二级行业",[1]!s_info_industry_gics(W4782,2),IF($Y$3="wind三级行业",[1]!s_info_industry_gics(W4782,3),IF($Y$3="wind四级行业",[1]!s_info_industry_gics(W4782,4),IF($Y$3="证监会门类行业",[1]!s_info_industry_csrc12_n(W4782,公司分析!D$5,1),""))))))))</f>
        <v>自动化设备</v>
      </c>
      <c r="Z4782" s="302" t="str">
        <f ca="1">IF(Y4782=行业比较!$E$6,ROW(),"")</f>
        <v/>
      </c>
    </row>
    <row r="4783" spans="22:26">
      <c r="V4783" s="260">
        <f t="shared" ca="1" si="82"/>
        <v>0</v>
      </c>
      <c r="W4783" s="348" t="str">
        <f>IF(板块成分!B4785="","",板块成分!B4785)</f>
        <v>688219.SH</v>
      </c>
      <c r="X4783" s="276" t="str">
        <f>[1]!S_Info_Name(W4783)</f>
        <v>会通股份</v>
      </c>
      <c r="Y4783" s="276" t="str">
        <f ca="1">IF($Y$3="申万一级行业",[1]!s_info_industry_sw_2021(W4783,公司分析!D$5,1),IF($Y$3="申万二级行业",[1]!s_info_industry_sw_2021(W4783,公司分析!D$5,2),IF($Y$3="申万三级行业",[1]!s_info_industry_sw_2021(W4783,公司分析!D$5,3),IF($Y$3="wind一级行业",[1]!s_info_industry_gics(W4783,1),IF($Y$3="wind二级行业",[1]!s_info_industry_gics(W4783,2),IF($Y$3="wind三级行业",[1]!s_info_industry_gics(W4783,3),IF($Y$3="wind四级行业",[1]!s_info_industry_gics(W4783,4),IF($Y$3="证监会门类行业",[1]!s_info_industry_csrc12_n(W4783,公司分析!D$5,1),""))))))))</f>
        <v>塑料</v>
      </c>
      <c r="Z4783" s="302" t="str">
        <f ca="1">IF(Y4783=行业比较!$E$6,ROW(),"")</f>
        <v/>
      </c>
    </row>
    <row r="4784" spans="22:26">
      <c r="V4784" s="260">
        <f t="shared" ca="1" si="82"/>
        <v>0</v>
      </c>
      <c r="W4784" s="348" t="str">
        <f>IF(板块成分!B4786="","",板块成分!B4786)</f>
        <v>688220.SH</v>
      </c>
      <c r="X4784" s="276" t="str">
        <f>[1]!S_Info_Name(W4784)</f>
        <v>翱捷科技-U</v>
      </c>
      <c r="Y4784" s="276" t="str">
        <f ca="1">IF($Y$3="申万一级行业",[1]!s_info_industry_sw_2021(W4784,公司分析!D$5,1),IF($Y$3="申万二级行业",[1]!s_info_industry_sw_2021(W4784,公司分析!D$5,2),IF($Y$3="申万三级行业",[1]!s_info_industry_sw_2021(W4784,公司分析!D$5,3),IF($Y$3="wind一级行业",[1]!s_info_industry_gics(W4784,1),IF($Y$3="wind二级行业",[1]!s_info_industry_gics(W4784,2),IF($Y$3="wind三级行业",[1]!s_info_industry_gics(W4784,3),IF($Y$3="wind四级行业",[1]!s_info_industry_gics(W4784,4),IF($Y$3="证监会门类行业",[1]!s_info_industry_csrc12_n(W4784,公司分析!D$5,1),""))))))))</f>
        <v>半导体</v>
      </c>
      <c r="Z4784" s="302" t="str">
        <f ca="1">IF(Y4784=行业比较!$E$6,ROW(),"")</f>
        <v/>
      </c>
    </row>
    <row r="4785" spans="22:26">
      <c r="V4785" s="260">
        <f t="shared" ca="1" si="82"/>
        <v>0</v>
      </c>
      <c r="W4785" s="348" t="str">
        <f>IF(板块成分!B4787="","",板块成分!B4787)</f>
        <v>688221.SH</v>
      </c>
      <c r="X4785" s="276" t="str">
        <f>[1]!S_Info_Name(W4785)</f>
        <v>前沿生物-U</v>
      </c>
      <c r="Y4785" s="276" t="str">
        <f ca="1">IF($Y$3="申万一级行业",[1]!s_info_industry_sw_2021(W4785,公司分析!D$5,1),IF($Y$3="申万二级行业",[1]!s_info_industry_sw_2021(W4785,公司分析!D$5,2),IF($Y$3="申万三级行业",[1]!s_info_industry_sw_2021(W4785,公司分析!D$5,3),IF($Y$3="wind一级行业",[1]!s_info_industry_gics(W4785,1),IF($Y$3="wind二级行业",[1]!s_info_industry_gics(W4785,2),IF($Y$3="wind三级行业",[1]!s_info_industry_gics(W4785,3),IF($Y$3="wind四级行业",[1]!s_info_industry_gics(W4785,4),IF($Y$3="证监会门类行业",[1]!s_info_industry_csrc12_n(W4785,公司分析!D$5,1),""))))))))</f>
        <v>化学制药</v>
      </c>
      <c r="Z4785" s="302" t="str">
        <f ca="1">IF(Y4785=行业比较!$E$6,ROW(),"")</f>
        <v/>
      </c>
    </row>
    <row r="4786" spans="22:26">
      <c r="V4786" s="260">
        <f t="shared" ca="1" si="82"/>
        <v>0</v>
      </c>
      <c r="W4786" s="348" t="str">
        <f>IF(板块成分!B4788="","",板块成分!B4788)</f>
        <v>688222.SH</v>
      </c>
      <c r="X4786" s="276" t="str">
        <f>[1]!S_Info_Name(W4786)</f>
        <v>成都先导</v>
      </c>
      <c r="Y4786" s="276" t="str">
        <f ca="1">IF($Y$3="申万一级行业",[1]!s_info_industry_sw_2021(W4786,公司分析!D$5,1),IF($Y$3="申万二级行业",[1]!s_info_industry_sw_2021(W4786,公司分析!D$5,2),IF($Y$3="申万三级行业",[1]!s_info_industry_sw_2021(W4786,公司分析!D$5,3),IF($Y$3="wind一级行业",[1]!s_info_industry_gics(W4786,1),IF($Y$3="wind二级行业",[1]!s_info_industry_gics(W4786,2),IF($Y$3="wind三级行业",[1]!s_info_industry_gics(W4786,3),IF($Y$3="wind四级行业",[1]!s_info_industry_gics(W4786,4),IF($Y$3="证监会门类行业",[1]!s_info_industry_csrc12_n(W4786,公司分析!D$5,1),""))))))))</f>
        <v>医疗服务</v>
      </c>
      <c r="Z4786" s="302" t="str">
        <f ca="1">IF(Y4786=行业比较!$E$6,ROW(),"")</f>
        <v/>
      </c>
    </row>
    <row r="4787" spans="22:26">
      <c r="V4787" s="260">
        <f t="shared" ca="1" si="82"/>
        <v>0</v>
      </c>
      <c r="W4787" s="348" t="str">
        <f>IF(板块成分!B4789="","",板块成分!B4789)</f>
        <v>688223.SH</v>
      </c>
      <c r="X4787" s="276" t="str">
        <f>[1]!S_Info_Name(W4787)</f>
        <v>晶科能源</v>
      </c>
      <c r="Y4787" s="276" t="str">
        <f ca="1">IF($Y$3="申万一级行业",[1]!s_info_industry_sw_2021(W4787,公司分析!D$5,1),IF($Y$3="申万二级行业",[1]!s_info_industry_sw_2021(W4787,公司分析!D$5,2),IF($Y$3="申万三级行业",[1]!s_info_industry_sw_2021(W4787,公司分析!D$5,3),IF($Y$3="wind一级行业",[1]!s_info_industry_gics(W4787,1),IF($Y$3="wind二级行业",[1]!s_info_industry_gics(W4787,2),IF($Y$3="wind三级行业",[1]!s_info_industry_gics(W4787,3),IF($Y$3="wind四级行业",[1]!s_info_industry_gics(W4787,4),IF($Y$3="证监会门类行业",[1]!s_info_industry_csrc12_n(W4787,公司分析!D$5,1),""))))))))</f>
        <v>光伏设备</v>
      </c>
      <c r="Z4787" s="302" t="str">
        <f ca="1">IF(Y4787=行业比较!$E$6,ROW(),"")</f>
        <v/>
      </c>
    </row>
    <row r="4788" spans="22:26">
      <c r="V4788" s="260">
        <f t="shared" ca="1" si="82"/>
        <v>0</v>
      </c>
      <c r="W4788" s="348" t="str">
        <f>IF(板块成分!B4790="","",板块成分!B4790)</f>
        <v>688225.SH</v>
      </c>
      <c r="X4788" s="276" t="str">
        <f>[1]!S_Info_Name(W4788)</f>
        <v>亚信安全</v>
      </c>
      <c r="Y4788" s="276" t="str">
        <f ca="1">IF($Y$3="申万一级行业",[1]!s_info_industry_sw_2021(W4788,公司分析!D$5,1),IF($Y$3="申万二级行业",[1]!s_info_industry_sw_2021(W4788,公司分析!D$5,2),IF($Y$3="申万三级行业",[1]!s_info_industry_sw_2021(W4788,公司分析!D$5,3),IF($Y$3="wind一级行业",[1]!s_info_industry_gics(W4788,1),IF($Y$3="wind二级行业",[1]!s_info_industry_gics(W4788,2),IF($Y$3="wind三级行业",[1]!s_info_industry_gics(W4788,3),IF($Y$3="wind四级行业",[1]!s_info_industry_gics(W4788,4),IF($Y$3="证监会门类行业",[1]!s_info_industry_csrc12_n(W4788,公司分析!D$5,1),""))))))))</f>
        <v>软件开发</v>
      </c>
      <c r="Z4788" s="302" t="str">
        <f ca="1">IF(Y4788=行业比较!$E$6,ROW(),"")</f>
        <v/>
      </c>
    </row>
    <row r="4789" spans="22:26">
      <c r="V4789" s="260">
        <f t="shared" ca="1" si="82"/>
        <v>0</v>
      </c>
      <c r="W4789" s="348" t="str">
        <f>IF(板块成分!B4791="","",板块成分!B4791)</f>
        <v>688226.SH</v>
      </c>
      <c r="X4789" s="276" t="str">
        <f>[1]!S_Info_Name(W4789)</f>
        <v>威腾电气</v>
      </c>
      <c r="Y4789" s="276" t="str">
        <f ca="1">IF($Y$3="申万一级行业",[1]!s_info_industry_sw_2021(W4789,公司分析!D$5,1),IF($Y$3="申万二级行业",[1]!s_info_industry_sw_2021(W4789,公司分析!D$5,2),IF($Y$3="申万三级行业",[1]!s_info_industry_sw_2021(W4789,公司分析!D$5,3),IF($Y$3="wind一级行业",[1]!s_info_industry_gics(W4789,1),IF($Y$3="wind二级行业",[1]!s_info_industry_gics(W4789,2),IF($Y$3="wind三级行业",[1]!s_info_industry_gics(W4789,3),IF($Y$3="wind四级行业",[1]!s_info_industry_gics(W4789,4),IF($Y$3="证监会门类行业",[1]!s_info_industry_csrc12_n(W4789,公司分析!D$5,1),""))))))))</f>
        <v>电网设备</v>
      </c>
      <c r="Z4789" s="302" t="str">
        <f ca="1">IF(Y4789=行业比较!$E$6,ROW(),"")</f>
        <v/>
      </c>
    </row>
    <row r="4790" spans="22:26">
      <c r="V4790" s="260">
        <f t="shared" ca="1" si="82"/>
        <v>0</v>
      </c>
      <c r="W4790" s="348" t="str">
        <f>IF(板块成分!B4792="","",板块成分!B4792)</f>
        <v>688227.SH</v>
      </c>
      <c r="X4790" s="276" t="str">
        <f>[1]!S_Info_Name(W4790)</f>
        <v>品高股份</v>
      </c>
      <c r="Y4790" s="276" t="str">
        <f ca="1">IF($Y$3="申万一级行业",[1]!s_info_industry_sw_2021(W4790,公司分析!D$5,1),IF($Y$3="申万二级行业",[1]!s_info_industry_sw_2021(W4790,公司分析!D$5,2),IF($Y$3="申万三级行业",[1]!s_info_industry_sw_2021(W4790,公司分析!D$5,3),IF($Y$3="wind一级行业",[1]!s_info_industry_gics(W4790,1),IF($Y$3="wind二级行业",[1]!s_info_industry_gics(W4790,2),IF($Y$3="wind三级行业",[1]!s_info_industry_gics(W4790,3),IF($Y$3="wind四级行业",[1]!s_info_industry_gics(W4790,4),IF($Y$3="证监会门类行业",[1]!s_info_industry_csrc12_n(W4790,公司分析!D$5,1),""))))))))</f>
        <v>IT服务Ⅱ</v>
      </c>
      <c r="Z4790" s="302" t="str">
        <f ca="1">IF(Y4790=行业比较!$E$6,ROW(),"")</f>
        <v/>
      </c>
    </row>
    <row r="4791" spans="22:26">
      <c r="V4791" s="260">
        <f t="shared" ca="1" si="82"/>
        <v>0</v>
      </c>
      <c r="W4791" s="348" t="str">
        <f>IF(板块成分!B4793="","",板块成分!B4793)</f>
        <v>688228.SH</v>
      </c>
      <c r="X4791" s="276" t="str">
        <f>[1]!S_Info_Name(W4791)</f>
        <v>开普云</v>
      </c>
      <c r="Y4791" s="276" t="str">
        <f ca="1">IF($Y$3="申万一级行业",[1]!s_info_industry_sw_2021(W4791,公司分析!D$5,1),IF($Y$3="申万二级行业",[1]!s_info_industry_sw_2021(W4791,公司分析!D$5,2),IF($Y$3="申万三级行业",[1]!s_info_industry_sw_2021(W4791,公司分析!D$5,3),IF($Y$3="wind一级行业",[1]!s_info_industry_gics(W4791,1),IF($Y$3="wind二级行业",[1]!s_info_industry_gics(W4791,2),IF($Y$3="wind三级行业",[1]!s_info_industry_gics(W4791,3),IF($Y$3="wind四级行业",[1]!s_info_industry_gics(W4791,4),IF($Y$3="证监会门类行业",[1]!s_info_industry_csrc12_n(W4791,公司分析!D$5,1),""))))))))</f>
        <v>IT服务Ⅱ</v>
      </c>
      <c r="Z4791" s="302" t="str">
        <f ca="1">IF(Y4791=行业比较!$E$6,ROW(),"")</f>
        <v/>
      </c>
    </row>
    <row r="4792" spans="22:26">
      <c r="V4792" s="260">
        <f t="shared" ca="1" si="82"/>
        <v>0</v>
      </c>
      <c r="W4792" s="348" t="str">
        <f>IF(板块成分!B4794="","",板块成分!B4794)</f>
        <v>688229.SH</v>
      </c>
      <c r="X4792" s="276" t="str">
        <f>[1]!S_Info_Name(W4792)</f>
        <v>博睿数据</v>
      </c>
      <c r="Y4792" s="276" t="str">
        <f ca="1">IF($Y$3="申万一级行业",[1]!s_info_industry_sw_2021(W4792,公司分析!D$5,1),IF($Y$3="申万二级行业",[1]!s_info_industry_sw_2021(W4792,公司分析!D$5,2),IF($Y$3="申万三级行业",[1]!s_info_industry_sw_2021(W4792,公司分析!D$5,3),IF($Y$3="wind一级行业",[1]!s_info_industry_gics(W4792,1),IF($Y$3="wind二级行业",[1]!s_info_industry_gics(W4792,2),IF($Y$3="wind三级行业",[1]!s_info_industry_gics(W4792,3),IF($Y$3="wind四级行业",[1]!s_info_industry_gics(W4792,4),IF($Y$3="证监会门类行业",[1]!s_info_industry_csrc12_n(W4792,公司分析!D$5,1),""))))))))</f>
        <v>IT服务Ⅱ</v>
      </c>
      <c r="Z4792" s="302" t="str">
        <f ca="1">IF(Y4792=行业比较!$E$6,ROW(),"")</f>
        <v/>
      </c>
    </row>
    <row r="4793" spans="22:26">
      <c r="V4793" s="260">
        <f t="shared" ca="1" si="82"/>
        <v>0</v>
      </c>
      <c r="W4793" s="348" t="str">
        <f>IF(板块成分!B4795="","",板块成分!B4795)</f>
        <v>688230.SH</v>
      </c>
      <c r="X4793" s="276" t="str">
        <f>[1]!S_Info_Name(W4793)</f>
        <v>芯导科技</v>
      </c>
      <c r="Y4793" s="276" t="str">
        <f ca="1">IF($Y$3="申万一级行业",[1]!s_info_industry_sw_2021(W4793,公司分析!D$5,1),IF($Y$3="申万二级行业",[1]!s_info_industry_sw_2021(W4793,公司分析!D$5,2),IF($Y$3="申万三级行业",[1]!s_info_industry_sw_2021(W4793,公司分析!D$5,3),IF($Y$3="wind一级行业",[1]!s_info_industry_gics(W4793,1),IF($Y$3="wind二级行业",[1]!s_info_industry_gics(W4793,2),IF($Y$3="wind三级行业",[1]!s_info_industry_gics(W4793,3),IF($Y$3="wind四级行业",[1]!s_info_industry_gics(W4793,4),IF($Y$3="证监会门类行业",[1]!s_info_industry_csrc12_n(W4793,公司分析!D$5,1),""))))))))</f>
        <v>半导体</v>
      </c>
      <c r="Z4793" s="302" t="str">
        <f ca="1">IF(Y4793=行业比较!$E$6,ROW(),"")</f>
        <v/>
      </c>
    </row>
    <row r="4794" spans="22:26">
      <c r="V4794" s="260">
        <f t="shared" ca="1" si="82"/>
        <v>0</v>
      </c>
      <c r="W4794" s="348" t="str">
        <f>IF(板块成分!B4796="","",板块成分!B4796)</f>
        <v>688231.SH</v>
      </c>
      <c r="X4794" s="276" t="str">
        <f>[1]!S_Info_Name(W4794)</f>
        <v>隆达股份</v>
      </c>
      <c r="Y4794" s="276" t="str">
        <f ca="1">IF($Y$3="申万一级行业",[1]!s_info_industry_sw_2021(W4794,公司分析!D$5,1),IF($Y$3="申万二级行业",[1]!s_info_industry_sw_2021(W4794,公司分析!D$5,2),IF($Y$3="申万三级行业",[1]!s_info_industry_sw_2021(W4794,公司分析!D$5,3),IF($Y$3="wind一级行业",[1]!s_info_industry_gics(W4794,1),IF($Y$3="wind二级行业",[1]!s_info_industry_gics(W4794,2),IF($Y$3="wind三级行业",[1]!s_info_industry_gics(W4794,3),IF($Y$3="wind四级行业",[1]!s_info_industry_gics(W4794,4),IF($Y$3="证监会门类行业",[1]!s_info_industry_csrc12_n(W4794,公司分析!D$5,1),""))))))))</f>
        <v>金属新材料</v>
      </c>
      <c r="Z4794" s="302" t="str">
        <f ca="1">IF(Y4794=行业比较!$E$6,ROW(),"")</f>
        <v/>
      </c>
    </row>
    <row r="4795" spans="22:26">
      <c r="V4795" s="260">
        <f t="shared" ca="1" si="82"/>
        <v>0</v>
      </c>
      <c r="W4795" s="348" t="str">
        <f>IF(板块成分!B4797="","",板块成分!B4797)</f>
        <v>688232.SH</v>
      </c>
      <c r="X4795" s="276" t="str">
        <f>[1]!S_Info_Name(W4795)</f>
        <v>新点软件</v>
      </c>
      <c r="Y4795" s="276" t="str">
        <f ca="1">IF($Y$3="申万一级行业",[1]!s_info_industry_sw_2021(W4795,公司分析!D$5,1),IF($Y$3="申万二级行业",[1]!s_info_industry_sw_2021(W4795,公司分析!D$5,2),IF($Y$3="申万三级行业",[1]!s_info_industry_sw_2021(W4795,公司分析!D$5,3),IF($Y$3="wind一级行业",[1]!s_info_industry_gics(W4795,1),IF($Y$3="wind二级行业",[1]!s_info_industry_gics(W4795,2),IF($Y$3="wind三级行业",[1]!s_info_industry_gics(W4795,3),IF($Y$3="wind四级行业",[1]!s_info_industry_gics(W4795,4),IF($Y$3="证监会门类行业",[1]!s_info_industry_csrc12_n(W4795,公司分析!D$5,1),""))))))))</f>
        <v>软件开发</v>
      </c>
      <c r="Z4795" s="302" t="str">
        <f ca="1">IF(Y4795=行业比较!$E$6,ROW(),"")</f>
        <v/>
      </c>
    </row>
    <row r="4796" spans="22:26">
      <c r="V4796" s="260">
        <f t="shared" ca="1" si="82"/>
        <v>0</v>
      </c>
      <c r="W4796" s="348" t="str">
        <f>IF(板块成分!B4798="","",板块成分!B4798)</f>
        <v>688233.SH</v>
      </c>
      <c r="X4796" s="276" t="str">
        <f>[1]!S_Info_Name(W4796)</f>
        <v>神工股份</v>
      </c>
      <c r="Y4796" s="276" t="str">
        <f ca="1">IF($Y$3="申万一级行业",[1]!s_info_industry_sw_2021(W4796,公司分析!D$5,1),IF($Y$3="申万二级行业",[1]!s_info_industry_sw_2021(W4796,公司分析!D$5,2),IF($Y$3="申万三级行业",[1]!s_info_industry_sw_2021(W4796,公司分析!D$5,3),IF($Y$3="wind一级行业",[1]!s_info_industry_gics(W4796,1),IF($Y$3="wind二级行业",[1]!s_info_industry_gics(W4796,2),IF($Y$3="wind三级行业",[1]!s_info_industry_gics(W4796,3),IF($Y$3="wind四级行业",[1]!s_info_industry_gics(W4796,4),IF($Y$3="证监会门类行业",[1]!s_info_industry_csrc12_n(W4796,公司分析!D$5,1),""))))))))</f>
        <v>半导体</v>
      </c>
      <c r="Z4796" s="302" t="str">
        <f ca="1">IF(Y4796=行业比较!$E$6,ROW(),"")</f>
        <v/>
      </c>
    </row>
    <row r="4797" spans="22:26">
      <c r="V4797" s="260">
        <f t="shared" ca="1" si="82"/>
        <v>0</v>
      </c>
      <c r="W4797" s="348" t="str">
        <f>IF(板块成分!B4799="","",板块成分!B4799)</f>
        <v>688234.SH</v>
      </c>
      <c r="X4797" s="276" t="str">
        <f>[1]!S_Info_Name(W4797)</f>
        <v>天岳先进</v>
      </c>
      <c r="Y4797" s="276" t="str">
        <f ca="1">IF($Y$3="申万一级行业",[1]!s_info_industry_sw_2021(W4797,公司分析!D$5,1),IF($Y$3="申万二级行业",[1]!s_info_industry_sw_2021(W4797,公司分析!D$5,2),IF($Y$3="申万三级行业",[1]!s_info_industry_sw_2021(W4797,公司分析!D$5,3),IF($Y$3="wind一级行业",[1]!s_info_industry_gics(W4797,1),IF($Y$3="wind二级行业",[1]!s_info_industry_gics(W4797,2),IF($Y$3="wind三级行业",[1]!s_info_industry_gics(W4797,3),IF($Y$3="wind四级行业",[1]!s_info_industry_gics(W4797,4),IF($Y$3="证监会门类行业",[1]!s_info_industry_csrc12_n(W4797,公司分析!D$5,1),""))))))))</f>
        <v>半导体</v>
      </c>
      <c r="Z4797" s="302" t="str">
        <f ca="1">IF(Y4797=行业比较!$E$6,ROW(),"")</f>
        <v/>
      </c>
    </row>
    <row r="4798" spans="22:26">
      <c r="V4798" s="260">
        <f t="shared" ca="1" si="82"/>
        <v>0</v>
      </c>
      <c r="W4798" s="348" t="str">
        <f>IF(板块成分!B4800="","",板块成分!B4800)</f>
        <v>688235.SH</v>
      </c>
      <c r="X4798" s="276" t="str">
        <f>[1]!S_Info_Name(W4798)</f>
        <v>百济神州-U</v>
      </c>
      <c r="Y4798" s="276" t="str">
        <f ca="1">IF($Y$3="申万一级行业",[1]!s_info_industry_sw_2021(W4798,公司分析!D$5,1),IF($Y$3="申万二级行业",[1]!s_info_industry_sw_2021(W4798,公司分析!D$5,2),IF($Y$3="申万三级行业",[1]!s_info_industry_sw_2021(W4798,公司分析!D$5,3),IF($Y$3="wind一级行业",[1]!s_info_industry_gics(W4798,1),IF($Y$3="wind二级行业",[1]!s_info_industry_gics(W4798,2),IF($Y$3="wind三级行业",[1]!s_info_industry_gics(W4798,3),IF($Y$3="wind四级行业",[1]!s_info_industry_gics(W4798,4),IF($Y$3="证监会门类行业",[1]!s_info_industry_csrc12_n(W4798,公司分析!D$5,1),""))))))))</f>
        <v>化学制药</v>
      </c>
      <c r="Z4798" s="302" t="str">
        <f ca="1">IF(Y4798=行业比较!$E$6,ROW(),"")</f>
        <v/>
      </c>
    </row>
    <row r="4799" spans="22:26">
      <c r="V4799" s="260">
        <f t="shared" ca="1" si="82"/>
        <v>0</v>
      </c>
      <c r="W4799" s="348" t="str">
        <f>IF(板块成分!B4801="","",板块成分!B4801)</f>
        <v>688236.SH</v>
      </c>
      <c r="X4799" s="276" t="str">
        <f>[1]!S_Info_Name(W4799)</f>
        <v>春立医疗</v>
      </c>
      <c r="Y4799" s="276" t="str">
        <f ca="1">IF($Y$3="申万一级行业",[1]!s_info_industry_sw_2021(W4799,公司分析!D$5,1),IF($Y$3="申万二级行业",[1]!s_info_industry_sw_2021(W4799,公司分析!D$5,2),IF($Y$3="申万三级行业",[1]!s_info_industry_sw_2021(W4799,公司分析!D$5,3),IF($Y$3="wind一级行业",[1]!s_info_industry_gics(W4799,1),IF($Y$3="wind二级行业",[1]!s_info_industry_gics(W4799,2),IF($Y$3="wind三级行业",[1]!s_info_industry_gics(W4799,3),IF($Y$3="wind四级行业",[1]!s_info_industry_gics(W4799,4),IF($Y$3="证监会门类行业",[1]!s_info_industry_csrc12_n(W4799,公司分析!D$5,1),""))))))))</f>
        <v>医疗器械</v>
      </c>
      <c r="Z4799" s="302" t="str">
        <f ca="1">IF(Y4799=行业比较!$E$6,ROW(),"")</f>
        <v/>
      </c>
    </row>
    <row r="4800" spans="22:26">
      <c r="V4800" s="260">
        <f t="shared" ca="1" si="82"/>
        <v>0</v>
      </c>
      <c r="W4800" s="348" t="str">
        <f>IF(板块成分!B4802="","",板块成分!B4802)</f>
        <v>688237.SH</v>
      </c>
      <c r="X4800" s="276" t="str">
        <f>[1]!S_Info_Name(W4800)</f>
        <v>超卓航科</v>
      </c>
      <c r="Y4800" s="276" t="str">
        <f ca="1">IF($Y$3="申万一级行业",[1]!s_info_industry_sw_2021(W4800,公司分析!D$5,1),IF($Y$3="申万二级行业",[1]!s_info_industry_sw_2021(W4800,公司分析!D$5,2),IF($Y$3="申万三级行业",[1]!s_info_industry_sw_2021(W4800,公司分析!D$5,3),IF($Y$3="wind一级行业",[1]!s_info_industry_gics(W4800,1),IF($Y$3="wind二级行业",[1]!s_info_industry_gics(W4800,2),IF($Y$3="wind三级行业",[1]!s_info_industry_gics(W4800,3),IF($Y$3="wind四级行业",[1]!s_info_industry_gics(W4800,4),IF($Y$3="证监会门类行业",[1]!s_info_industry_csrc12_n(W4800,公司分析!D$5,1),""))))))))</f>
        <v>航空装备Ⅱ</v>
      </c>
      <c r="Z4800" s="302" t="str">
        <f ca="1">IF(Y4800=行业比较!$E$6,ROW(),"")</f>
        <v/>
      </c>
    </row>
    <row r="4801" spans="22:26">
      <c r="V4801" s="260">
        <f t="shared" ca="1" si="82"/>
        <v>0</v>
      </c>
      <c r="W4801" s="348" t="str">
        <f>IF(板块成分!B4803="","",板块成分!B4803)</f>
        <v>688238.SH</v>
      </c>
      <c r="X4801" s="276" t="str">
        <f>[1]!S_Info_Name(W4801)</f>
        <v>和元生物</v>
      </c>
      <c r="Y4801" s="276" t="str">
        <f ca="1">IF($Y$3="申万一级行业",[1]!s_info_industry_sw_2021(W4801,公司分析!D$5,1),IF($Y$3="申万二级行业",[1]!s_info_industry_sw_2021(W4801,公司分析!D$5,2),IF($Y$3="申万三级行业",[1]!s_info_industry_sw_2021(W4801,公司分析!D$5,3),IF($Y$3="wind一级行业",[1]!s_info_industry_gics(W4801,1),IF($Y$3="wind二级行业",[1]!s_info_industry_gics(W4801,2),IF($Y$3="wind三级行业",[1]!s_info_industry_gics(W4801,3),IF($Y$3="wind四级行业",[1]!s_info_industry_gics(W4801,4),IF($Y$3="证监会门类行业",[1]!s_info_industry_csrc12_n(W4801,公司分析!D$5,1),""))))))))</f>
        <v>医疗服务</v>
      </c>
      <c r="Z4801" s="302" t="str">
        <f ca="1">IF(Y4801=行业比较!$E$6,ROW(),"")</f>
        <v/>
      </c>
    </row>
    <row r="4802" spans="22:26">
      <c r="V4802" s="260">
        <f t="shared" ca="1" si="82"/>
        <v>0</v>
      </c>
      <c r="W4802" s="348" t="str">
        <f>IF(板块成分!B4804="","",板块成分!B4804)</f>
        <v>688239.SH</v>
      </c>
      <c r="X4802" s="276" t="str">
        <f>[1]!S_Info_Name(W4802)</f>
        <v>航宇科技</v>
      </c>
      <c r="Y4802" s="276" t="str">
        <f ca="1">IF($Y$3="申万一级行业",[1]!s_info_industry_sw_2021(W4802,公司分析!D$5,1),IF($Y$3="申万二级行业",[1]!s_info_industry_sw_2021(W4802,公司分析!D$5,2),IF($Y$3="申万三级行业",[1]!s_info_industry_sw_2021(W4802,公司分析!D$5,3),IF($Y$3="wind一级行业",[1]!s_info_industry_gics(W4802,1),IF($Y$3="wind二级行业",[1]!s_info_industry_gics(W4802,2),IF($Y$3="wind三级行业",[1]!s_info_industry_gics(W4802,3),IF($Y$3="wind四级行业",[1]!s_info_industry_gics(W4802,4),IF($Y$3="证监会门类行业",[1]!s_info_industry_csrc12_n(W4802,公司分析!D$5,1),""))))))))</f>
        <v>航空装备Ⅱ</v>
      </c>
      <c r="Z4802" s="302" t="str">
        <f ca="1">IF(Y4802=行业比较!$E$6,ROW(),"")</f>
        <v/>
      </c>
    </row>
    <row r="4803" spans="22:26">
      <c r="V4803" s="260">
        <f t="shared" ca="1" si="82"/>
        <v>0</v>
      </c>
      <c r="W4803" s="348" t="str">
        <f>IF(板块成分!B4805="","",板块成分!B4805)</f>
        <v>688244.SH</v>
      </c>
      <c r="X4803" s="276" t="str">
        <f>[1]!S_Info_Name(W4803)</f>
        <v>永信至诚</v>
      </c>
      <c r="Y4803" s="276" t="str">
        <f ca="1">IF($Y$3="申万一级行业",[1]!s_info_industry_sw_2021(W4803,公司分析!D$5,1),IF($Y$3="申万二级行业",[1]!s_info_industry_sw_2021(W4803,公司分析!D$5,2),IF($Y$3="申万三级行业",[1]!s_info_industry_sw_2021(W4803,公司分析!D$5,3),IF($Y$3="wind一级行业",[1]!s_info_industry_gics(W4803,1),IF($Y$3="wind二级行业",[1]!s_info_industry_gics(W4803,2),IF($Y$3="wind三级行业",[1]!s_info_industry_gics(W4803,3),IF($Y$3="wind四级行业",[1]!s_info_industry_gics(W4803,4),IF($Y$3="证监会门类行业",[1]!s_info_industry_csrc12_n(W4803,公司分析!D$5,1),""))))))))</f>
        <v>软件开发</v>
      </c>
      <c r="Z4803" s="302" t="str">
        <f ca="1">IF(Y4803=行业比较!$E$6,ROW(),"")</f>
        <v/>
      </c>
    </row>
    <row r="4804" spans="22:26">
      <c r="V4804" s="260">
        <f t="shared" ca="1" si="82"/>
        <v>0</v>
      </c>
      <c r="W4804" s="348" t="str">
        <f>IF(板块成分!B4806="","",板块成分!B4806)</f>
        <v>688246.SH</v>
      </c>
      <c r="X4804" s="276" t="str">
        <f>[1]!S_Info_Name(W4804)</f>
        <v>嘉和美康</v>
      </c>
      <c r="Y4804" s="276" t="str">
        <f ca="1">IF($Y$3="申万一级行业",[1]!s_info_industry_sw_2021(W4804,公司分析!D$5,1),IF($Y$3="申万二级行业",[1]!s_info_industry_sw_2021(W4804,公司分析!D$5,2),IF($Y$3="申万三级行业",[1]!s_info_industry_sw_2021(W4804,公司分析!D$5,3),IF($Y$3="wind一级行业",[1]!s_info_industry_gics(W4804,1),IF($Y$3="wind二级行业",[1]!s_info_industry_gics(W4804,2),IF($Y$3="wind三级行业",[1]!s_info_industry_gics(W4804,3),IF($Y$3="wind四级行业",[1]!s_info_industry_gics(W4804,4),IF($Y$3="证监会门类行业",[1]!s_info_industry_csrc12_n(W4804,公司分析!D$5,1),""))))))))</f>
        <v>软件开发</v>
      </c>
      <c r="Z4804" s="302" t="str">
        <f ca="1">IF(Y4804=行业比较!$E$6,ROW(),"")</f>
        <v/>
      </c>
    </row>
    <row r="4805" spans="22:26">
      <c r="V4805" s="260">
        <f t="shared" ref="V4805:V4868" ca="1" si="83">IF(Z4805="",0,RANK(Z4805,Z:Z,1))</f>
        <v>0</v>
      </c>
      <c r="W4805" s="348" t="str">
        <f>IF(板块成分!B4807="","",板块成分!B4807)</f>
        <v>688247.SH</v>
      </c>
      <c r="X4805" s="276" t="str">
        <f>[1]!S_Info_Name(W4805)</f>
        <v>宣泰医药</v>
      </c>
      <c r="Y4805" s="276" t="str">
        <f ca="1">IF($Y$3="申万一级行业",[1]!s_info_industry_sw_2021(W4805,公司分析!D$5,1),IF($Y$3="申万二级行业",[1]!s_info_industry_sw_2021(W4805,公司分析!D$5,2),IF($Y$3="申万三级行业",[1]!s_info_industry_sw_2021(W4805,公司分析!D$5,3),IF($Y$3="wind一级行业",[1]!s_info_industry_gics(W4805,1),IF($Y$3="wind二级行业",[1]!s_info_industry_gics(W4805,2),IF($Y$3="wind三级行业",[1]!s_info_industry_gics(W4805,3),IF($Y$3="wind四级行业",[1]!s_info_industry_gics(W4805,4),IF($Y$3="证监会门类行业",[1]!s_info_industry_csrc12_n(W4805,公司分析!D$5,1),""))))))))</f>
        <v>化学制药</v>
      </c>
      <c r="Z4805" s="302" t="str">
        <f ca="1">IF(Y4805=行业比较!$E$6,ROW(),"")</f>
        <v/>
      </c>
    </row>
    <row r="4806" spans="22:26">
      <c r="V4806" s="260">
        <f t="shared" ca="1" si="83"/>
        <v>0</v>
      </c>
      <c r="W4806" s="348" t="str">
        <f>IF(板块成分!B4808="","",板块成分!B4808)</f>
        <v>688248.SH</v>
      </c>
      <c r="X4806" s="276" t="str">
        <f>[1]!S_Info_Name(W4806)</f>
        <v>南网科技</v>
      </c>
      <c r="Y4806" s="276" t="str">
        <f ca="1">IF($Y$3="申万一级行业",[1]!s_info_industry_sw_2021(W4806,公司分析!D$5,1),IF($Y$3="申万二级行业",[1]!s_info_industry_sw_2021(W4806,公司分析!D$5,2),IF($Y$3="申万三级行业",[1]!s_info_industry_sw_2021(W4806,公司分析!D$5,3),IF($Y$3="wind一级行业",[1]!s_info_industry_gics(W4806,1),IF($Y$3="wind二级行业",[1]!s_info_industry_gics(W4806,2),IF($Y$3="wind三级行业",[1]!s_info_industry_gics(W4806,3),IF($Y$3="wind四级行业",[1]!s_info_industry_gics(W4806,4),IF($Y$3="证监会门类行业",[1]!s_info_industry_csrc12_n(W4806,公司分析!D$5,1),""))))))))</f>
        <v>电网设备</v>
      </c>
      <c r="Z4806" s="302" t="str">
        <f ca="1">IF(Y4806=行业比较!$E$6,ROW(),"")</f>
        <v/>
      </c>
    </row>
    <row r="4807" spans="22:26">
      <c r="V4807" s="260">
        <f t="shared" ca="1" si="83"/>
        <v>0</v>
      </c>
      <c r="W4807" s="348" t="str">
        <f>IF(板块成分!B4809="","",板块成分!B4809)</f>
        <v>688249.SH</v>
      </c>
      <c r="X4807" s="276" t="str">
        <f>[1]!S_Info_Name(W4807)</f>
        <v>晶合集成</v>
      </c>
      <c r="Y4807" s="276" t="str">
        <f ca="1">IF($Y$3="申万一级行业",[1]!s_info_industry_sw_2021(W4807,公司分析!D$5,1),IF($Y$3="申万二级行业",[1]!s_info_industry_sw_2021(W4807,公司分析!D$5,2),IF($Y$3="申万三级行业",[1]!s_info_industry_sw_2021(W4807,公司分析!D$5,3),IF($Y$3="wind一级行业",[1]!s_info_industry_gics(W4807,1),IF($Y$3="wind二级行业",[1]!s_info_industry_gics(W4807,2),IF($Y$3="wind三级行业",[1]!s_info_industry_gics(W4807,3),IF($Y$3="wind四级行业",[1]!s_info_industry_gics(W4807,4),IF($Y$3="证监会门类行业",[1]!s_info_industry_csrc12_n(W4807,公司分析!D$5,1),""))))))))</f>
        <v>半导体</v>
      </c>
      <c r="Z4807" s="302" t="str">
        <f ca="1">IF(Y4807=行业比较!$E$6,ROW(),"")</f>
        <v/>
      </c>
    </row>
    <row r="4808" spans="22:26">
      <c r="V4808" s="260">
        <f t="shared" ca="1" si="83"/>
        <v>0</v>
      </c>
      <c r="W4808" s="348" t="str">
        <f>IF(板块成分!B4810="","",板块成分!B4810)</f>
        <v>688251.SH</v>
      </c>
      <c r="X4808" s="276" t="str">
        <f>[1]!S_Info_Name(W4808)</f>
        <v>井松智能</v>
      </c>
      <c r="Y4808" s="276" t="str">
        <f ca="1">IF($Y$3="申万一级行业",[1]!s_info_industry_sw_2021(W4808,公司分析!D$5,1),IF($Y$3="申万二级行业",[1]!s_info_industry_sw_2021(W4808,公司分析!D$5,2),IF($Y$3="申万三级行业",[1]!s_info_industry_sw_2021(W4808,公司分析!D$5,3),IF($Y$3="wind一级行业",[1]!s_info_industry_gics(W4808,1),IF($Y$3="wind二级行业",[1]!s_info_industry_gics(W4808,2),IF($Y$3="wind三级行业",[1]!s_info_industry_gics(W4808,3),IF($Y$3="wind四级行业",[1]!s_info_industry_gics(W4808,4),IF($Y$3="证监会门类行业",[1]!s_info_industry_csrc12_n(W4808,公司分析!D$5,1),""))))))))</f>
        <v>IT服务Ⅱ</v>
      </c>
      <c r="Z4808" s="302" t="str">
        <f ca="1">IF(Y4808=行业比较!$E$6,ROW(),"")</f>
        <v/>
      </c>
    </row>
    <row r="4809" spans="22:26">
      <c r="V4809" s="260">
        <f t="shared" ca="1" si="83"/>
        <v>0</v>
      </c>
      <c r="W4809" s="348" t="str">
        <f>IF(板块成分!B4811="","",板块成分!B4811)</f>
        <v>688252.SH</v>
      </c>
      <c r="X4809" s="276" t="str">
        <f>[1]!S_Info_Name(W4809)</f>
        <v>天德钰</v>
      </c>
      <c r="Y4809" s="276" t="str">
        <f ca="1">IF($Y$3="申万一级行业",[1]!s_info_industry_sw_2021(W4809,公司分析!D$5,1),IF($Y$3="申万二级行业",[1]!s_info_industry_sw_2021(W4809,公司分析!D$5,2),IF($Y$3="申万三级行业",[1]!s_info_industry_sw_2021(W4809,公司分析!D$5,3),IF($Y$3="wind一级行业",[1]!s_info_industry_gics(W4809,1),IF($Y$3="wind二级行业",[1]!s_info_industry_gics(W4809,2),IF($Y$3="wind三级行业",[1]!s_info_industry_gics(W4809,3),IF($Y$3="wind四级行业",[1]!s_info_industry_gics(W4809,4),IF($Y$3="证监会门类行业",[1]!s_info_industry_csrc12_n(W4809,公司分析!D$5,1),""))))))))</f>
        <v>半导体</v>
      </c>
      <c r="Z4809" s="302" t="str">
        <f ca="1">IF(Y4809=行业比较!$E$6,ROW(),"")</f>
        <v/>
      </c>
    </row>
    <row r="4810" spans="22:26">
      <c r="V4810" s="260">
        <f t="shared" ca="1" si="83"/>
        <v>0</v>
      </c>
      <c r="W4810" s="348" t="str">
        <f>IF(板块成分!B4812="","",板块成分!B4812)</f>
        <v>688253.SH</v>
      </c>
      <c r="X4810" s="276" t="str">
        <f>[1]!S_Info_Name(W4810)</f>
        <v>英诺特</v>
      </c>
      <c r="Y4810" s="276" t="str">
        <f ca="1">IF($Y$3="申万一级行业",[1]!s_info_industry_sw_2021(W4810,公司分析!D$5,1),IF($Y$3="申万二级行业",[1]!s_info_industry_sw_2021(W4810,公司分析!D$5,2),IF($Y$3="申万三级行业",[1]!s_info_industry_sw_2021(W4810,公司分析!D$5,3),IF($Y$3="wind一级行业",[1]!s_info_industry_gics(W4810,1),IF($Y$3="wind二级行业",[1]!s_info_industry_gics(W4810,2),IF($Y$3="wind三级行业",[1]!s_info_industry_gics(W4810,3),IF($Y$3="wind四级行业",[1]!s_info_industry_gics(W4810,4),IF($Y$3="证监会门类行业",[1]!s_info_industry_csrc12_n(W4810,公司分析!D$5,1),""))))))))</f>
        <v>医疗器械</v>
      </c>
      <c r="Z4810" s="302" t="str">
        <f ca="1">IF(Y4810=行业比较!$E$6,ROW(),"")</f>
        <v/>
      </c>
    </row>
    <row r="4811" spans="22:26">
      <c r="V4811" s="260">
        <f t="shared" ca="1" si="83"/>
        <v>0</v>
      </c>
      <c r="W4811" s="348" t="str">
        <f>IF(板块成分!B4813="","",板块成分!B4813)</f>
        <v>688255.SH</v>
      </c>
      <c r="X4811" s="276" t="str">
        <f>[1]!S_Info_Name(W4811)</f>
        <v>凯尔达</v>
      </c>
      <c r="Y4811" s="276" t="str">
        <f ca="1">IF($Y$3="申万一级行业",[1]!s_info_industry_sw_2021(W4811,公司分析!D$5,1),IF($Y$3="申万二级行业",[1]!s_info_industry_sw_2021(W4811,公司分析!D$5,2),IF($Y$3="申万三级行业",[1]!s_info_industry_sw_2021(W4811,公司分析!D$5,3),IF($Y$3="wind一级行业",[1]!s_info_industry_gics(W4811,1),IF($Y$3="wind二级行业",[1]!s_info_industry_gics(W4811,2),IF($Y$3="wind三级行业",[1]!s_info_industry_gics(W4811,3),IF($Y$3="wind四级行业",[1]!s_info_industry_gics(W4811,4),IF($Y$3="证监会门类行业",[1]!s_info_industry_csrc12_n(W4811,公司分析!D$5,1),""))))))))</f>
        <v>自动化设备</v>
      </c>
      <c r="Z4811" s="302" t="str">
        <f ca="1">IF(Y4811=行业比较!$E$6,ROW(),"")</f>
        <v/>
      </c>
    </row>
    <row r="4812" spans="22:26">
      <c r="V4812" s="260">
        <f t="shared" ca="1" si="83"/>
        <v>0</v>
      </c>
      <c r="W4812" s="348" t="str">
        <f>IF(板块成分!B4814="","",板块成分!B4814)</f>
        <v>688256.SH</v>
      </c>
      <c r="X4812" s="276" t="str">
        <f>[1]!S_Info_Name(W4812)</f>
        <v>寒武纪-U</v>
      </c>
      <c r="Y4812" s="276" t="str">
        <f ca="1">IF($Y$3="申万一级行业",[1]!s_info_industry_sw_2021(W4812,公司分析!D$5,1),IF($Y$3="申万二级行业",[1]!s_info_industry_sw_2021(W4812,公司分析!D$5,2),IF($Y$3="申万三级行业",[1]!s_info_industry_sw_2021(W4812,公司分析!D$5,3),IF($Y$3="wind一级行业",[1]!s_info_industry_gics(W4812,1),IF($Y$3="wind二级行业",[1]!s_info_industry_gics(W4812,2),IF($Y$3="wind三级行业",[1]!s_info_industry_gics(W4812,3),IF($Y$3="wind四级行业",[1]!s_info_industry_gics(W4812,4),IF($Y$3="证监会门类行业",[1]!s_info_industry_csrc12_n(W4812,公司分析!D$5,1),""))))))))</f>
        <v>半导体</v>
      </c>
      <c r="Z4812" s="302" t="str">
        <f ca="1">IF(Y4812=行业比较!$E$6,ROW(),"")</f>
        <v/>
      </c>
    </row>
    <row r="4813" spans="22:26">
      <c r="V4813" s="260">
        <f t="shared" ca="1" si="83"/>
        <v>0</v>
      </c>
      <c r="W4813" s="348" t="str">
        <f>IF(板块成分!B4815="","",板块成分!B4815)</f>
        <v>688257.SH</v>
      </c>
      <c r="X4813" s="276" t="str">
        <f>[1]!S_Info_Name(W4813)</f>
        <v>新锐股份</v>
      </c>
      <c r="Y4813" s="276" t="str">
        <f ca="1">IF($Y$3="申万一级行业",[1]!s_info_industry_sw_2021(W4813,公司分析!D$5,1),IF($Y$3="申万二级行业",[1]!s_info_industry_sw_2021(W4813,公司分析!D$5,2),IF($Y$3="申万三级行业",[1]!s_info_industry_sw_2021(W4813,公司分析!D$5,3),IF($Y$3="wind一级行业",[1]!s_info_industry_gics(W4813,1),IF($Y$3="wind二级行业",[1]!s_info_industry_gics(W4813,2),IF($Y$3="wind三级行业",[1]!s_info_industry_gics(W4813,3),IF($Y$3="wind四级行业",[1]!s_info_industry_gics(W4813,4),IF($Y$3="证监会门类行业",[1]!s_info_industry_csrc12_n(W4813,公司分析!D$5,1),""))))))))</f>
        <v>通用设备</v>
      </c>
      <c r="Z4813" s="302" t="str">
        <f ca="1">IF(Y4813=行业比较!$E$6,ROW(),"")</f>
        <v/>
      </c>
    </row>
    <row r="4814" spans="22:26">
      <c r="V4814" s="260">
        <f t="shared" ca="1" si="83"/>
        <v>0</v>
      </c>
      <c r="W4814" s="348" t="str">
        <f>IF(板块成分!B4816="","",板块成分!B4816)</f>
        <v>688258.SH</v>
      </c>
      <c r="X4814" s="276" t="str">
        <f>[1]!S_Info_Name(W4814)</f>
        <v>卓易信息</v>
      </c>
      <c r="Y4814" s="276" t="str">
        <f ca="1">IF($Y$3="申万一级行业",[1]!s_info_industry_sw_2021(W4814,公司分析!D$5,1),IF($Y$3="申万二级行业",[1]!s_info_industry_sw_2021(W4814,公司分析!D$5,2),IF($Y$3="申万三级行业",[1]!s_info_industry_sw_2021(W4814,公司分析!D$5,3),IF($Y$3="wind一级行业",[1]!s_info_industry_gics(W4814,1),IF($Y$3="wind二级行业",[1]!s_info_industry_gics(W4814,2),IF($Y$3="wind三级行业",[1]!s_info_industry_gics(W4814,3),IF($Y$3="wind四级行业",[1]!s_info_industry_gics(W4814,4),IF($Y$3="证监会门类行业",[1]!s_info_industry_csrc12_n(W4814,公司分析!D$5,1),""))))))))</f>
        <v>IT服务Ⅱ</v>
      </c>
      <c r="Z4814" s="302" t="str">
        <f ca="1">IF(Y4814=行业比较!$E$6,ROW(),"")</f>
        <v/>
      </c>
    </row>
    <row r="4815" spans="22:26">
      <c r="V4815" s="260">
        <f t="shared" ca="1" si="83"/>
        <v>0</v>
      </c>
      <c r="W4815" s="348" t="str">
        <f>IF(板块成分!B4817="","",板块成分!B4817)</f>
        <v>688259.SH</v>
      </c>
      <c r="X4815" s="276" t="str">
        <f>[1]!S_Info_Name(W4815)</f>
        <v>创耀科技</v>
      </c>
      <c r="Y4815" s="276" t="str">
        <f ca="1">IF($Y$3="申万一级行业",[1]!s_info_industry_sw_2021(W4815,公司分析!D$5,1),IF($Y$3="申万二级行业",[1]!s_info_industry_sw_2021(W4815,公司分析!D$5,2),IF($Y$3="申万三级行业",[1]!s_info_industry_sw_2021(W4815,公司分析!D$5,3),IF($Y$3="wind一级行业",[1]!s_info_industry_gics(W4815,1),IF($Y$3="wind二级行业",[1]!s_info_industry_gics(W4815,2),IF($Y$3="wind三级行业",[1]!s_info_industry_gics(W4815,3),IF($Y$3="wind四级行业",[1]!s_info_industry_gics(W4815,4),IF($Y$3="证监会门类行业",[1]!s_info_industry_csrc12_n(W4815,公司分析!D$5,1),""))))))))</f>
        <v>半导体</v>
      </c>
      <c r="Z4815" s="302" t="str">
        <f ca="1">IF(Y4815=行业比较!$E$6,ROW(),"")</f>
        <v/>
      </c>
    </row>
    <row r="4816" spans="22:26">
      <c r="V4816" s="260">
        <f t="shared" ca="1" si="83"/>
        <v>0</v>
      </c>
      <c r="W4816" s="348" t="str">
        <f>IF(板块成分!B4818="","",板块成分!B4818)</f>
        <v>688260.SH</v>
      </c>
      <c r="X4816" s="276" t="str">
        <f>[1]!S_Info_Name(W4816)</f>
        <v>昀冢科技</v>
      </c>
      <c r="Y4816" s="276" t="str">
        <f ca="1">IF($Y$3="申万一级行业",[1]!s_info_industry_sw_2021(W4816,公司分析!D$5,1),IF($Y$3="申万二级行业",[1]!s_info_industry_sw_2021(W4816,公司分析!D$5,2),IF($Y$3="申万三级行业",[1]!s_info_industry_sw_2021(W4816,公司分析!D$5,3),IF($Y$3="wind一级行业",[1]!s_info_industry_gics(W4816,1),IF($Y$3="wind二级行业",[1]!s_info_industry_gics(W4816,2),IF($Y$3="wind三级行业",[1]!s_info_industry_gics(W4816,3),IF($Y$3="wind四级行业",[1]!s_info_industry_gics(W4816,4),IF($Y$3="证监会门类行业",[1]!s_info_industry_csrc12_n(W4816,公司分析!D$5,1),""))))))))</f>
        <v>消费电子</v>
      </c>
      <c r="Z4816" s="302" t="str">
        <f ca="1">IF(Y4816=行业比较!$E$6,ROW(),"")</f>
        <v/>
      </c>
    </row>
    <row r="4817" spans="22:26">
      <c r="V4817" s="260">
        <f t="shared" ca="1" si="83"/>
        <v>0</v>
      </c>
      <c r="W4817" s="348" t="str">
        <f>IF(板块成分!B4819="","",板块成分!B4819)</f>
        <v>688261.SH</v>
      </c>
      <c r="X4817" s="276" t="str">
        <f>[1]!S_Info_Name(W4817)</f>
        <v>东微半导</v>
      </c>
      <c r="Y4817" s="276" t="str">
        <f ca="1">IF($Y$3="申万一级行业",[1]!s_info_industry_sw_2021(W4817,公司分析!D$5,1),IF($Y$3="申万二级行业",[1]!s_info_industry_sw_2021(W4817,公司分析!D$5,2),IF($Y$3="申万三级行业",[1]!s_info_industry_sw_2021(W4817,公司分析!D$5,3),IF($Y$3="wind一级行业",[1]!s_info_industry_gics(W4817,1),IF($Y$3="wind二级行业",[1]!s_info_industry_gics(W4817,2),IF($Y$3="wind三级行业",[1]!s_info_industry_gics(W4817,3),IF($Y$3="wind四级行业",[1]!s_info_industry_gics(W4817,4),IF($Y$3="证监会门类行业",[1]!s_info_industry_csrc12_n(W4817,公司分析!D$5,1),""))))))))</f>
        <v>半导体</v>
      </c>
      <c r="Z4817" s="302" t="str">
        <f ca="1">IF(Y4817=行业比较!$E$6,ROW(),"")</f>
        <v/>
      </c>
    </row>
    <row r="4818" spans="22:26">
      <c r="V4818" s="260">
        <f t="shared" ca="1" si="83"/>
        <v>0</v>
      </c>
      <c r="W4818" s="348" t="str">
        <f>IF(板块成分!B4820="","",板块成分!B4820)</f>
        <v>688262.SH</v>
      </c>
      <c r="X4818" s="276" t="str">
        <f>[1]!S_Info_Name(W4818)</f>
        <v>国芯科技</v>
      </c>
      <c r="Y4818" s="276" t="str">
        <f ca="1">IF($Y$3="申万一级行业",[1]!s_info_industry_sw_2021(W4818,公司分析!D$5,1),IF($Y$3="申万二级行业",[1]!s_info_industry_sw_2021(W4818,公司分析!D$5,2),IF($Y$3="申万三级行业",[1]!s_info_industry_sw_2021(W4818,公司分析!D$5,3),IF($Y$3="wind一级行业",[1]!s_info_industry_gics(W4818,1),IF($Y$3="wind二级行业",[1]!s_info_industry_gics(W4818,2),IF($Y$3="wind三级行业",[1]!s_info_industry_gics(W4818,3),IF($Y$3="wind四级行业",[1]!s_info_industry_gics(W4818,4),IF($Y$3="证监会门类行业",[1]!s_info_industry_csrc12_n(W4818,公司分析!D$5,1),""))))))))</f>
        <v>半导体</v>
      </c>
      <c r="Z4818" s="302" t="str">
        <f ca="1">IF(Y4818=行业比较!$E$6,ROW(),"")</f>
        <v/>
      </c>
    </row>
    <row r="4819" spans="22:26">
      <c r="V4819" s="260">
        <f t="shared" ca="1" si="83"/>
        <v>0</v>
      </c>
      <c r="W4819" s="348" t="str">
        <f>IF(板块成分!B4821="","",板块成分!B4821)</f>
        <v>688265.SH</v>
      </c>
      <c r="X4819" s="276" t="str">
        <f>[1]!S_Info_Name(W4819)</f>
        <v>南模生物</v>
      </c>
      <c r="Y4819" s="276" t="str">
        <f ca="1">IF($Y$3="申万一级行业",[1]!s_info_industry_sw_2021(W4819,公司分析!D$5,1),IF($Y$3="申万二级行业",[1]!s_info_industry_sw_2021(W4819,公司分析!D$5,2),IF($Y$3="申万三级行业",[1]!s_info_industry_sw_2021(W4819,公司分析!D$5,3),IF($Y$3="wind一级行业",[1]!s_info_industry_gics(W4819,1),IF($Y$3="wind二级行业",[1]!s_info_industry_gics(W4819,2),IF($Y$3="wind三级行业",[1]!s_info_industry_gics(W4819,3),IF($Y$3="wind四级行业",[1]!s_info_industry_gics(W4819,4),IF($Y$3="证监会门类行业",[1]!s_info_industry_csrc12_n(W4819,公司分析!D$5,1),""))))))))</f>
        <v>医疗服务</v>
      </c>
      <c r="Z4819" s="302" t="str">
        <f ca="1">IF(Y4819=行业比较!$E$6,ROW(),"")</f>
        <v/>
      </c>
    </row>
    <row r="4820" spans="22:26">
      <c r="V4820" s="260">
        <f t="shared" ca="1" si="83"/>
        <v>0</v>
      </c>
      <c r="W4820" s="348" t="str">
        <f>IF(板块成分!B4822="","",板块成分!B4822)</f>
        <v>688266.SH</v>
      </c>
      <c r="X4820" s="276" t="str">
        <f>[1]!S_Info_Name(W4820)</f>
        <v>泽璟制药-U</v>
      </c>
      <c r="Y4820" s="276" t="str">
        <f ca="1">IF($Y$3="申万一级行业",[1]!s_info_industry_sw_2021(W4820,公司分析!D$5,1),IF($Y$3="申万二级行业",[1]!s_info_industry_sw_2021(W4820,公司分析!D$5,2),IF($Y$3="申万三级行业",[1]!s_info_industry_sw_2021(W4820,公司分析!D$5,3),IF($Y$3="wind一级行业",[1]!s_info_industry_gics(W4820,1),IF($Y$3="wind二级行业",[1]!s_info_industry_gics(W4820,2),IF($Y$3="wind三级行业",[1]!s_info_industry_gics(W4820,3),IF($Y$3="wind四级行业",[1]!s_info_industry_gics(W4820,4),IF($Y$3="证监会门类行业",[1]!s_info_industry_csrc12_n(W4820,公司分析!D$5,1),""))))))))</f>
        <v>化学制药</v>
      </c>
      <c r="Z4820" s="302" t="str">
        <f ca="1">IF(Y4820=行业比较!$E$6,ROW(),"")</f>
        <v/>
      </c>
    </row>
    <row r="4821" spans="22:26">
      <c r="V4821" s="260">
        <f t="shared" ca="1" si="83"/>
        <v>0</v>
      </c>
      <c r="W4821" s="348" t="str">
        <f>IF(板块成分!B4823="","",板块成分!B4823)</f>
        <v>688267.SH</v>
      </c>
      <c r="X4821" s="276" t="str">
        <f>[1]!S_Info_Name(W4821)</f>
        <v>中触媒</v>
      </c>
      <c r="Y4821" s="276" t="str">
        <f ca="1">IF($Y$3="申万一级行业",[1]!s_info_industry_sw_2021(W4821,公司分析!D$5,1),IF($Y$3="申万二级行业",[1]!s_info_industry_sw_2021(W4821,公司分析!D$5,2),IF($Y$3="申万三级行业",[1]!s_info_industry_sw_2021(W4821,公司分析!D$5,3),IF($Y$3="wind一级行业",[1]!s_info_industry_gics(W4821,1),IF($Y$3="wind二级行业",[1]!s_info_industry_gics(W4821,2),IF($Y$3="wind三级行业",[1]!s_info_industry_gics(W4821,3),IF($Y$3="wind四级行业",[1]!s_info_industry_gics(W4821,4),IF($Y$3="证监会门类行业",[1]!s_info_industry_csrc12_n(W4821,公司分析!D$5,1),""))))))))</f>
        <v>化学制品</v>
      </c>
      <c r="Z4821" s="302" t="str">
        <f ca="1">IF(Y4821=行业比较!$E$6,ROW(),"")</f>
        <v/>
      </c>
    </row>
    <row r="4822" spans="22:26">
      <c r="V4822" s="260">
        <f t="shared" ca="1" si="83"/>
        <v>0</v>
      </c>
      <c r="W4822" s="348" t="str">
        <f>IF(板块成分!B4824="","",板块成分!B4824)</f>
        <v>688268.SH</v>
      </c>
      <c r="X4822" s="276" t="str">
        <f>[1]!S_Info_Name(W4822)</f>
        <v>华特气体</v>
      </c>
      <c r="Y4822" s="276" t="str">
        <f ca="1">IF($Y$3="申万一级行业",[1]!s_info_industry_sw_2021(W4822,公司分析!D$5,1),IF($Y$3="申万二级行业",[1]!s_info_industry_sw_2021(W4822,公司分析!D$5,2),IF($Y$3="申万三级行业",[1]!s_info_industry_sw_2021(W4822,公司分析!D$5,3),IF($Y$3="wind一级行业",[1]!s_info_industry_gics(W4822,1),IF($Y$3="wind二级行业",[1]!s_info_industry_gics(W4822,2),IF($Y$3="wind三级行业",[1]!s_info_industry_gics(W4822,3),IF($Y$3="wind四级行业",[1]!s_info_industry_gics(W4822,4),IF($Y$3="证监会门类行业",[1]!s_info_industry_csrc12_n(W4822,公司分析!D$5,1),""))))))))</f>
        <v>电子化学品Ⅱ</v>
      </c>
      <c r="Z4822" s="302" t="str">
        <f ca="1">IF(Y4822=行业比较!$E$6,ROW(),"")</f>
        <v/>
      </c>
    </row>
    <row r="4823" spans="22:26">
      <c r="V4823" s="260">
        <f t="shared" ca="1" si="83"/>
        <v>0</v>
      </c>
      <c r="W4823" s="348" t="str">
        <f>IF(板块成分!B4825="","",板块成分!B4825)</f>
        <v>688269.SH</v>
      </c>
      <c r="X4823" s="276" t="str">
        <f>[1]!S_Info_Name(W4823)</f>
        <v>凯立新材</v>
      </c>
      <c r="Y4823" s="276" t="str">
        <f ca="1">IF($Y$3="申万一级行业",[1]!s_info_industry_sw_2021(W4823,公司分析!D$5,1),IF($Y$3="申万二级行业",[1]!s_info_industry_sw_2021(W4823,公司分析!D$5,2),IF($Y$3="申万三级行业",[1]!s_info_industry_sw_2021(W4823,公司分析!D$5,3),IF($Y$3="wind一级行业",[1]!s_info_industry_gics(W4823,1),IF($Y$3="wind二级行业",[1]!s_info_industry_gics(W4823,2),IF($Y$3="wind三级行业",[1]!s_info_industry_gics(W4823,3),IF($Y$3="wind四级行业",[1]!s_info_industry_gics(W4823,4),IF($Y$3="证监会门类行业",[1]!s_info_industry_csrc12_n(W4823,公司分析!D$5,1),""))))))))</f>
        <v>化学制品</v>
      </c>
      <c r="Z4823" s="302" t="str">
        <f ca="1">IF(Y4823=行业比较!$E$6,ROW(),"")</f>
        <v/>
      </c>
    </row>
    <row r="4824" spans="22:26">
      <c r="V4824" s="260">
        <f t="shared" ca="1" si="83"/>
        <v>0</v>
      </c>
      <c r="W4824" s="348" t="str">
        <f>IF(板块成分!B4826="","",板块成分!B4826)</f>
        <v>688270.SH</v>
      </c>
      <c r="X4824" s="276" t="str">
        <f>[1]!S_Info_Name(W4824)</f>
        <v>臻镭科技</v>
      </c>
      <c r="Y4824" s="276" t="str">
        <f ca="1">IF($Y$3="申万一级行业",[1]!s_info_industry_sw_2021(W4824,公司分析!D$5,1),IF($Y$3="申万二级行业",[1]!s_info_industry_sw_2021(W4824,公司分析!D$5,2),IF($Y$3="申万三级行业",[1]!s_info_industry_sw_2021(W4824,公司分析!D$5,3),IF($Y$3="wind一级行业",[1]!s_info_industry_gics(W4824,1),IF($Y$3="wind二级行业",[1]!s_info_industry_gics(W4824,2),IF($Y$3="wind三级行业",[1]!s_info_industry_gics(W4824,3),IF($Y$3="wind四级行业",[1]!s_info_industry_gics(W4824,4),IF($Y$3="证监会门类行业",[1]!s_info_industry_csrc12_n(W4824,公司分析!D$5,1),""))))))))</f>
        <v>半导体</v>
      </c>
      <c r="Z4824" s="302" t="str">
        <f ca="1">IF(Y4824=行业比较!$E$6,ROW(),"")</f>
        <v/>
      </c>
    </row>
    <row r="4825" spans="22:26">
      <c r="V4825" s="260">
        <f t="shared" ca="1" si="83"/>
        <v>0</v>
      </c>
      <c r="W4825" s="348" t="str">
        <f>IF(板块成分!B4827="","",板块成分!B4827)</f>
        <v>688271.SH</v>
      </c>
      <c r="X4825" s="276" t="str">
        <f>[1]!S_Info_Name(W4825)</f>
        <v>联影医疗</v>
      </c>
      <c r="Y4825" s="276" t="str">
        <f ca="1">IF($Y$3="申万一级行业",[1]!s_info_industry_sw_2021(W4825,公司分析!D$5,1),IF($Y$3="申万二级行业",[1]!s_info_industry_sw_2021(W4825,公司分析!D$5,2),IF($Y$3="申万三级行业",[1]!s_info_industry_sw_2021(W4825,公司分析!D$5,3),IF($Y$3="wind一级行业",[1]!s_info_industry_gics(W4825,1),IF($Y$3="wind二级行业",[1]!s_info_industry_gics(W4825,2),IF($Y$3="wind三级行业",[1]!s_info_industry_gics(W4825,3),IF($Y$3="wind四级行业",[1]!s_info_industry_gics(W4825,4),IF($Y$3="证监会门类行业",[1]!s_info_industry_csrc12_n(W4825,公司分析!D$5,1),""))))))))</f>
        <v>医疗器械</v>
      </c>
      <c r="Z4825" s="302" t="str">
        <f ca="1">IF(Y4825=行业比较!$E$6,ROW(),"")</f>
        <v/>
      </c>
    </row>
    <row r="4826" spans="22:26">
      <c r="V4826" s="260">
        <f t="shared" ca="1" si="83"/>
        <v>0</v>
      </c>
      <c r="W4826" s="348" t="str">
        <f>IF(板块成分!B4828="","",板块成分!B4828)</f>
        <v>688272.SH</v>
      </c>
      <c r="X4826" s="276" t="str">
        <f>[1]!S_Info_Name(W4826)</f>
        <v>富吉瑞</v>
      </c>
      <c r="Y4826" s="276" t="str">
        <f ca="1">IF($Y$3="申万一级行业",[1]!s_info_industry_sw_2021(W4826,公司分析!D$5,1),IF($Y$3="申万二级行业",[1]!s_info_industry_sw_2021(W4826,公司分析!D$5,2),IF($Y$3="申万三级行业",[1]!s_info_industry_sw_2021(W4826,公司分析!D$5,3),IF($Y$3="wind一级行业",[1]!s_info_industry_gics(W4826,1),IF($Y$3="wind二级行业",[1]!s_info_industry_gics(W4826,2),IF($Y$3="wind三级行业",[1]!s_info_industry_gics(W4826,3),IF($Y$3="wind四级行业",[1]!s_info_industry_gics(W4826,4),IF($Y$3="证监会门类行业",[1]!s_info_industry_csrc12_n(W4826,公司分析!D$5,1),""))))))))</f>
        <v>军工电子Ⅱ</v>
      </c>
      <c r="Z4826" s="302" t="str">
        <f ca="1">IF(Y4826=行业比较!$E$6,ROW(),"")</f>
        <v/>
      </c>
    </row>
    <row r="4827" spans="22:26">
      <c r="V4827" s="260">
        <f t="shared" ca="1" si="83"/>
        <v>0</v>
      </c>
      <c r="W4827" s="348" t="str">
        <f>IF(板块成分!B4829="","",板块成分!B4829)</f>
        <v>688273.SH</v>
      </c>
      <c r="X4827" s="276" t="str">
        <f>[1]!S_Info_Name(W4827)</f>
        <v>麦澜德</v>
      </c>
      <c r="Y4827" s="276" t="str">
        <f ca="1">IF($Y$3="申万一级行业",[1]!s_info_industry_sw_2021(W4827,公司分析!D$5,1),IF($Y$3="申万二级行业",[1]!s_info_industry_sw_2021(W4827,公司分析!D$5,2),IF($Y$3="申万三级行业",[1]!s_info_industry_sw_2021(W4827,公司分析!D$5,3),IF($Y$3="wind一级行业",[1]!s_info_industry_gics(W4827,1),IF($Y$3="wind二级行业",[1]!s_info_industry_gics(W4827,2),IF($Y$3="wind三级行业",[1]!s_info_industry_gics(W4827,3),IF($Y$3="wind四级行业",[1]!s_info_industry_gics(W4827,4),IF($Y$3="证监会门类行业",[1]!s_info_industry_csrc12_n(W4827,公司分析!D$5,1),""))))))))</f>
        <v>医疗器械</v>
      </c>
      <c r="Z4827" s="302" t="str">
        <f ca="1">IF(Y4827=行业比较!$E$6,ROW(),"")</f>
        <v/>
      </c>
    </row>
    <row r="4828" spans="22:26">
      <c r="V4828" s="260">
        <f t="shared" ca="1" si="83"/>
        <v>0</v>
      </c>
      <c r="W4828" s="348" t="str">
        <f>IF(板块成分!B4830="","",板块成分!B4830)</f>
        <v>688275.SH</v>
      </c>
      <c r="X4828" s="276" t="str">
        <f>[1]!S_Info_Name(W4828)</f>
        <v>万润新能</v>
      </c>
      <c r="Y4828" s="276" t="str">
        <f ca="1">IF($Y$3="申万一级行业",[1]!s_info_industry_sw_2021(W4828,公司分析!D$5,1),IF($Y$3="申万二级行业",[1]!s_info_industry_sw_2021(W4828,公司分析!D$5,2),IF($Y$3="申万三级行业",[1]!s_info_industry_sw_2021(W4828,公司分析!D$5,3),IF($Y$3="wind一级行业",[1]!s_info_industry_gics(W4828,1),IF($Y$3="wind二级行业",[1]!s_info_industry_gics(W4828,2),IF($Y$3="wind三级行业",[1]!s_info_industry_gics(W4828,3),IF($Y$3="wind四级行业",[1]!s_info_industry_gics(W4828,4),IF($Y$3="证监会门类行业",[1]!s_info_industry_csrc12_n(W4828,公司分析!D$5,1),""))))))))</f>
        <v>电池</v>
      </c>
      <c r="Z4828" s="302" t="str">
        <f ca="1">IF(Y4828=行业比较!$E$6,ROW(),"")</f>
        <v/>
      </c>
    </row>
    <row r="4829" spans="22:26">
      <c r="V4829" s="260">
        <f t="shared" ca="1" si="83"/>
        <v>0</v>
      </c>
      <c r="W4829" s="348" t="str">
        <f>IF(板块成分!B4831="","",板块成分!B4831)</f>
        <v>688276.SH</v>
      </c>
      <c r="X4829" s="276" t="str">
        <f>[1]!S_Info_Name(W4829)</f>
        <v>百克生物</v>
      </c>
      <c r="Y4829" s="276" t="str">
        <f ca="1">IF($Y$3="申万一级行业",[1]!s_info_industry_sw_2021(W4829,公司分析!D$5,1),IF($Y$3="申万二级行业",[1]!s_info_industry_sw_2021(W4829,公司分析!D$5,2),IF($Y$3="申万三级行业",[1]!s_info_industry_sw_2021(W4829,公司分析!D$5,3),IF($Y$3="wind一级行业",[1]!s_info_industry_gics(W4829,1),IF($Y$3="wind二级行业",[1]!s_info_industry_gics(W4829,2),IF($Y$3="wind三级行业",[1]!s_info_industry_gics(W4829,3),IF($Y$3="wind四级行业",[1]!s_info_industry_gics(W4829,4),IF($Y$3="证监会门类行业",[1]!s_info_industry_csrc12_n(W4829,公司分析!D$5,1),""))))))))</f>
        <v>生物制品</v>
      </c>
      <c r="Z4829" s="302" t="str">
        <f ca="1">IF(Y4829=行业比较!$E$6,ROW(),"")</f>
        <v/>
      </c>
    </row>
    <row r="4830" spans="22:26">
      <c r="V4830" s="260">
        <f t="shared" ca="1" si="83"/>
        <v>0</v>
      </c>
      <c r="W4830" s="348" t="str">
        <f>IF(板块成分!B4832="","",板块成分!B4832)</f>
        <v>688277.SH</v>
      </c>
      <c r="X4830" s="276" t="str">
        <f>[1]!S_Info_Name(W4830)</f>
        <v>天智航-U</v>
      </c>
      <c r="Y4830" s="276" t="str">
        <f ca="1">IF($Y$3="申万一级行业",[1]!s_info_industry_sw_2021(W4830,公司分析!D$5,1),IF($Y$3="申万二级行业",[1]!s_info_industry_sw_2021(W4830,公司分析!D$5,2),IF($Y$3="申万三级行业",[1]!s_info_industry_sw_2021(W4830,公司分析!D$5,3),IF($Y$3="wind一级行业",[1]!s_info_industry_gics(W4830,1),IF($Y$3="wind二级行业",[1]!s_info_industry_gics(W4830,2),IF($Y$3="wind三级行业",[1]!s_info_industry_gics(W4830,3),IF($Y$3="wind四级行业",[1]!s_info_industry_gics(W4830,4),IF($Y$3="证监会门类行业",[1]!s_info_industry_csrc12_n(W4830,公司分析!D$5,1),""))))))))</f>
        <v>医疗器械</v>
      </c>
      <c r="Z4830" s="302" t="str">
        <f ca="1">IF(Y4830=行业比较!$E$6,ROW(),"")</f>
        <v/>
      </c>
    </row>
    <row r="4831" spans="22:26">
      <c r="V4831" s="260">
        <f t="shared" ca="1" si="83"/>
        <v>0</v>
      </c>
      <c r="W4831" s="348" t="str">
        <f>IF(板块成分!B4833="","",板块成分!B4833)</f>
        <v>688278.SH</v>
      </c>
      <c r="X4831" s="276" t="str">
        <f>[1]!S_Info_Name(W4831)</f>
        <v>特宝生物</v>
      </c>
      <c r="Y4831" s="276" t="str">
        <f ca="1">IF($Y$3="申万一级行业",[1]!s_info_industry_sw_2021(W4831,公司分析!D$5,1),IF($Y$3="申万二级行业",[1]!s_info_industry_sw_2021(W4831,公司分析!D$5,2),IF($Y$3="申万三级行业",[1]!s_info_industry_sw_2021(W4831,公司分析!D$5,3),IF($Y$3="wind一级行业",[1]!s_info_industry_gics(W4831,1),IF($Y$3="wind二级行业",[1]!s_info_industry_gics(W4831,2),IF($Y$3="wind三级行业",[1]!s_info_industry_gics(W4831,3),IF($Y$3="wind四级行业",[1]!s_info_industry_gics(W4831,4),IF($Y$3="证监会门类行业",[1]!s_info_industry_csrc12_n(W4831,公司分析!D$5,1),""))))))))</f>
        <v>生物制品</v>
      </c>
      <c r="Z4831" s="302" t="str">
        <f ca="1">IF(Y4831=行业比较!$E$6,ROW(),"")</f>
        <v/>
      </c>
    </row>
    <row r="4832" spans="22:26">
      <c r="V4832" s="260">
        <f t="shared" ca="1" si="83"/>
        <v>0</v>
      </c>
      <c r="W4832" s="348" t="str">
        <f>IF(板块成分!B4834="","",板块成分!B4834)</f>
        <v>688279.SH</v>
      </c>
      <c r="X4832" s="276" t="str">
        <f>[1]!S_Info_Name(W4832)</f>
        <v>峰岹科技</v>
      </c>
      <c r="Y4832" s="276" t="str">
        <f ca="1">IF($Y$3="申万一级行业",[1]!s_info_industry_sw_2021(W4832,公司分析!D$5,1),IF($Y$3="申万二级行业",[1]!s_info_industry_sw_2021(W4832,公司分析!D$5,2),IF($Y$3="申万三级行业",[1]!s_info_industry_sw_2021(W4832,公司分析!D$5,3),IF($Y$3="wind一级行业",[1]!s_info_industry_gics(W4832,1),IF($Y$3="wind二级行业",[1]!s_info_industry_gics(W4832,2),IF($Y$3="wind三级行业",[1]!s_info_industry_gics(W4832,3),IF($Y$3="wind四级行业",[1]!s_info_industry_gics(W4832,4),IF($Y$3="证监会门类行业",[1]!s_info_industry_csrc12_n(W4832,公司分析!D$5,1),""))))))))</f>
        <v>半导体</v>
      </c>
      <c r="Z4832" s="302" t="str">
        <f ca="1">IF(Y4832=行业比较!$E$6,ROW(),"")</f>
        <v/>
      </c>
    </row>
    <row r="4833" spans="22:26">
      <c r="V4833" s="260">
        <f t="shared" ca="1" si="83"/>
        <v>0</v>
      </c>
      <c r="W4833" s="348" t="str">
        <f>IF(板块成分!B4835="","",板块成分!B4835)</f>
        <v>688280.SH</v>
      </c>
      <c r="X4833" s="276" t="str">
        <f>[1]!S_Info_Name(W4833)</f>
        <v>精进电动-UW</v>
      </c>
      <c r="Y4833" s="276" t="str">
        <f ca="1">IF($Y$3="申万一级行业",[1]!s_info_industry_sw_2021(W4833,公司分析!D$5,1),IF($Y$3="申万二级行业",[1]!s_info_industry_sw_2021(W4833,公司分析!D$5,2),IF($Y$3="申万三级行业",[1]!s_info_industry_sw_2021(W4833,公司分析!D$5,3),IF($Y$3="wind一级行业",[1]!s_info_industry_gics(W4833,1),IF($Y$3="wind二级行业",[1]!s_info_industry_gics(W4833,2),IF($Y$3="wind三级行业",[1]!s_info_industry_gics(W4833,3),IF($Y$3="wind四级行业",[1]!s_info_industry_gics(W4833,4),IF($Y$3="证监会门类行业",[1]!s_info_industry_csrc12_n(W4833,公司分析!D$5,1),""))))))))</f>
        <v>汽车零部件</v>
      </c>
      <c r="Z4833" s="302" t="str">
        <f ca="1">IF(Y4833=行业比较!$E$6,ROW(),"")</f>
        <v/>
      </c>
    </row>
    <row r="4834" spans="22:26">
      <c r="V4834" s="260">
        <f t="shared" ca="1" si="83"/>
        <v>0</v>
      </c>
      <c r="W4834" s="348" t="str">
        <f>IF(板块成分!B4836="","",板块成分!B4836)</f>
        <v>688281.SH</v>
      </c>
      <c r="X4834" s="276" t="str">
        <f>[1]!S_Info_Name(W4834)</f>
        <v>华秦科技</v>
      </c>
      <c r="Y4834" s="276" t="str">
        <f ca="1">IF($Y$3="申万一级行业",[1]!s_info_industry_sw_2021(W4834,公司分析!D$5,1),IF($Y$3="申万二级行业",[1]!s_info_industry_sw_2021(W4834,公司分析!D$5,2),IF($Y$3="申万三级行业",[1]!s_info_industry_sw_2021(W4834,公司分析!D$5,3),IF($Y$3="wind一级行业",[1]!s_info_industry_gics(W4834,1),IF($Y$3="wind二级行业",[1]!s_info_industry_gics(W4834,2),IF($Y$3="wind三级行业",[1]!s_info_industry_gics(W4834,3),IF($Y$3="wind四级行业",[1]!s_info_industry_gics(W4834,4),IF($Y$3="证监会门类行业",[1]!s_info_industry_csrc12_n(W4834,公司分析!D$5,1),""))))))))</f>
        <v>航空装备Ⅱ</v>
      </c>
      <c r="Z4834" s="302" t="str">
        <f ca="1">IF(Y4834=行业比较!$E$6,ROW(),"")</f>
        <v/>
      </c>
    </row>
    <row r="4835" spans="22:26">
      <c r="V4835" s="260">
        <f t="shared" ca="1" si="83"/>
        <v>0</v>
      </c>
      <c r="W4835" s="348" t="str">
        <f>IF(板块成分!B4837="","",板块成分!B4837)</f>
        <v>688282.SH</v>
      </c>
      <c r="X4835" s="276" t="str">
        <f>[1]!S_Info_Name(W4835)</f>
        <v>理工导航</v>
      </c>
      <c r="Y4835" s="276" t="str">
        <f ca="1">IF($Y$3="申万一级行业",[1]!s_info_industry_sw_2021(W4835,公司分析!D$5,1),IF($Y$3="申万二级行业",[1]!s_info_industry_sw_2021(W4835,公司分析!D$5,2),IF($Y$3="申万三级行业",[1]!s_info_industry_sw_2021(W4835,公司分析!D$5,3),IF($Y$3="wind一级行业",[1]!s_info_industry_gics(W4835,1),IF($Y$3="wind二级行业",[1]!s_info_industry_gics(W4835,2),IF($Y$3="wind三级行业",[1]!s_info_industry_gics(W4835,3),IF($Y$3="wind四级行业",[1]!s_info_industry_gics(W4835,4),IF($Y$3="证监会门类行业",[1]!s_info_industry_csrc12_n(W4835,公司分析!D$5,1),""))))))))</f>
        <v>航天装备Ⅱ</v>
      </c>
      <c r="Z4835" s="302" t="str">
        <f ca="1">IF(Y4835=行业比较!$E$6,ROW(),"")</f>
        <v/>
      </c>
    </row>
    <row r="4836" spans="22:26">
      <c r="V4836" s="260">
        <f t="shared" ca="1" si="83"/>
        <v>0</v>
      </c>
      <c r="W4836" s="348" t="str">
        <f>IF(板块成分!B4838="","",板块成分!B4838)</f>
        <v>688283.SH</v>
      </c>
      <c r="X4836" s="276" t="str">
        <f>[1]!S_Info_Name(W4836)</f>
        <v>坤恒顺维</v>
      </c>
      <c r="Y4836" s="276" t="str">
        <f ca="1">IF($Y$3="申万一级行业",[1]!s_info_industry_sw_2021(W4836,公司分析!D$5,1),IF($Y$3="申万二级行业",[1]!s_info_industry_sw_2021(W4836,公司分析!D$5,2),IF($Y$3="申万三级行业",[1]!s_info_industry_sw_2021(W4836,公司分析!D$5,3),IF($Y$3="wind一级行业",[1]!s_info_industry_gics(W4836,1),IF($Y$3="wind二级行业",[1]!s_info_industry_gics(W4836,2),IF($Y$3="wind三级行业",[1]!s_info_industry_gics(W4836,3),IF($Y$3="wind四级行业",[1]!s_info_industry_gics(W4836,4),IF($Y$3="证监会门类行业",[1]!s_info_industry_csrc12_n(W4836,公司分析!D$5,1),""))))))))</f>
        <v>通信设备</v>
      </c>
      <c r="Z4836" s="302" t="str">
        <f ca="1">IF(Y4836=行业比较!$E$6,ROW(),"")</f>
        <v/>
      </c>
    </row>
    <row r="4837" spans="22:26">
      <c r="V4837" s="260">
        <f t="shared" ca="1" si="83"/>
        <v>0</v>
      </c>
      <c r="W4837" s="348" t="str">
        <f>IF(板块成分!B4839="","",板块成分!B4839)</f>
        <v>688285.SH</v>
      </c>
      <c r="X4837" s="276" t="str">
        <f>[1]!S_Info_Name(W4837)</f>
        <v>高铁电气</v>
      </c>
      <c r="Y4837" s="276" t="str">
        <f ca="1">IF($Y$3="申万一级行业",[1]!s_info_industry_sw_2021(W4837,公司分析!D$5,1),IF($Y$3="申万二级行业",[1]!s_info_industry_sw_2021(W4837,公司分析!D$5,2),IF($Y$3="申万三级行业",[1]!s_info_industry_sw_2021(W4837,公司分析!D$5,3),IF($Y$3="wind一级行业",[1]!s_info_industry_gics(W4837,1),IF($Y$3="wind二级行业",[1]!s_info_industry_gics(W4837,2),IF($Y$3="wind三级行业",[1]!s_info_industry_gics(W4837,3),IF($Y$3="wind四级行业",[1]!s_info_industry_gics(W4837,4),IF($Y$3="证监会门类行业",[1]!s_info_industry_csrc12_n(W4837,公司分析!D$5,1),""))))))))</f>
        <v>轨交设备Ⅱ</v>
      </c>
      <c r="Z4837" s="302" t="str">
        <f ca="1">IF(Y4837=行业比较!$E$6,ROW(),"")</f>
        <v/>
      </c>
    </row>
    <row r="4838" spans="22:26">
      <c r="V4838" s="260">
        <f t="shared" ca="1" si="83"/>
        <v>0</v>
      </c>
      <c r="W4838" s="348" t="str">
        <f>IF(板块成分!B4840="","",板块成分!B4840)</f>
        <v>688286.SH</v>
      </c>
      <c r="X4838" s="276" t="str">
        <f>[1]!S_Info_Name(W4838)</f>
        <v>敏芯股份</v>
      </c>
      <c r="Y4838" s="276" t="str">
        <f ca="1">IF($Y$3="申万一级行业",[1]!s_info_industry_sw_2021(W4838,公司分析!D$5,1),IF($Y$3="申万二级行业",[1]!s_info_industry_sw_2021(W4838,公司分析!D$5,2),IF($Y$3="申万三级行业",[1]!s_info_industry_sw_2021(W4838,公司分析!D$5,3),IF($Y$3="wind一级行业",[1]!s_info_industry_gics(W4838,1),IF($Y$3="wind二级行业",[1]!s_info_industry_gics(W4838,2),IF($Y$3="wind三级行业",[1]!s_info_industry_gics(W4838,3),IF($Y$3="wind四级行业",[1]!s_info_industry_gics(W4838,4),IF($Y$3="证监会门类行业",[1]!s_info_industry_csrc12_n(W4838,公司分析!D$5,1),""))))))))</f>
        <v>半导体</v>
      </c>
      <c r="Z4838" s="302" t="str">
        <f ca="1">IF(Y4838=行业比较!$E$6,ROW(),"")</f>
        <v/>
      </c>
    </row>
    <row r="4839" spans="22:26">
      <c r="V4839" s="260">
        <f t="shared" ca="1" si="83"/>
        <v>0</v>
      </c>
      <c r="W4839" s="348" t="str">
        <f>IF(板块成分!B4841="","",板块成分!B4841)</f>
        <v>688287.SH</v>
      </c>
      <c r="X4839" s="276" t="str">
        <f>[1]!S_Info_Name(W4839)</f>
        <v>*ST观典</v>
      </c>
      <c r="Y4839" s="276" t="str">
        <f ca="1">IF($Y$3="申万一级行业",[1]!s_info_industry_sw_2021(W4839,公司分析!D$5,1),IF($Y$3="申万二级行业",[1]!s_info_industry_sw_2021(W4839,公司分析!D$5,2),IF($Y$3="申万三级行业",[1]!s_info_industry_sw_2021(W4839,公司分析!D$5,3),IF($Y$3="wind一级行业",[1]!s_info_industry_gics(W4839,1),IF($Y$3="wind二级行业",[1]!s_info_industry_gics(W4839,2),IF($Y$3="wind三级行业",[1]!s_info_industry_gics(W4839,3),IF($Y$3="wind四级行业",[1]!s_info_industry_gics(W4839,4),IF($Y$3="证监会门类行业",[1]!s_info_industry_csrc12_n(W4839,公司分析!D$5,1),""))))))))</f>
        <v>航空装备Ⅱ</v>
      </c>
      <c r="Z4839" s="302" t="str">
        <f ca="1">IF(Y4839=行业比较!$E$6,ROW(),"")</f>
        <v/>
      </c>
    </row>
    <row r="4840" spans="22:26">
      <c r="V4840" s="260">
        <f t="shared" ca="1" si="83"/>
        <v>0</v>
      </c>
      <c r="W4840" s="348" t="str">
        <f>IF(板块成分!B4842="","",板块成分!B4842)</f>
        <v>688288.SH</v>
      </c>
      <c r="X4840" s="276" t="str">
        <f>[1]!S_Info_Name(W4840)</f>
        <v>鸿泉技术</v>
      </c>
      <c r="Y4840" s="276" t="str">
        <f ca="1">IF($Y$3="申万一级行业",[1]!s_info_industry_sw_2021(W4840,公司分析!D$5,1),IF($Y$3="申万二级行业",[1]!s_info_industry_sw_2021(W4840,公司分析!D$5,2),IF($Y$3="申万三级行业",[1]!s_info_industry_sw_2021(W4840,公司分析!D$5,3),IF($Y$3="wind一级行业",[1]!s_info_industry_gics(W4840,1),IF($Y$3="wind二级行业",[1]!s_info_industry_gics(W4840,2),IF($Y$3="wind三级行业",[1]!s_info_industry_gics(W4840,3),IF($Y$3="wind四级行业",[1]!s_info_industry_gics(W4840,4),IF($Y$3="证监会门类行业",[1]!s_info_industry_csrc12_n(W4840,公司分析!D$5,1),""))))))))</f>
        <v>计算机设备</v>
      </c>
      <c r="Z4840" s="302" t="str">
        <f ca="1">IF(Y4840=行业比较!$E$6,ROW(),"")</f>
        <v/>
      </c>
    </row>
    <row r="4841" spans="22:26">
      <c r="V4841" s="260">
        <f t="shared" ca="1" si="83"/>
        <v>0</v>
      </c>
      <c r="W4841" s="348" t="str">
        <f>IF(板块成分!B4843="","",板块成分!B4843)</f>
        <v>688289.SH</v>
      </c>
      <c r="X4841" s="276" t="str">
        <f>[1]!S_Info_Name(W4841)</f>
        <v>圣湘生物</v>
      </c>
      <c r="Y4841" s="276" t="str">
        <f ca="1">IF($Y$3="申万一级行业",[1]!s_info_industry_sw_2021(W4841,公司分析!D$5,1),IF($Y$3="申万二级行业",[1]!s_info_industry_sw_2021(W4841,公司分析!D$5,2),IF($Y$3="申万三级行业",[1]!s_info_industry_sw_2021(W4841,公司分析!D$5,3),IF($Y$3="wind一级行业",[1]!s_info_industry_gics(W4841,1),IF($Y$3="wind二级行业",[1]!s_info_industry_gics(W4841,2),IF($Y$3="wind三级行业",[1]!s_info_industry_gics(W4841,3),IF($Y$3="wind四级行业",[1]!s_info_industry_gics(W4841,4),IF($Y$3="证监会门类行业",[1]!s_info_industry_csrc12_n(W4841,公司分析!D$5,1),""))))))))</f>
        <v>医疗器械</v>
      </c>
      <c r="Z4841" s="302" t="str">
        <f ca="1">IF(Y4841=行业比较!$E$6,ROW(),"")</f>
        <v/>
      </c>
    </row>
    <row r="4842" spans="22:26">
      <c r="V4842" s="260">
        <f t="shared" ca="1" si="83"/>
        <v>0</v>
      </c>
      <c r="W4842" s="348" t="str">
        <f>IF(板块成分!B4844="","",板块成分!B4844)</f>
        <v>688290.SH</v>
      </c>
      <c r="X4842" s="276" t="str">
        <f>[1]!S_Info_Name(W4842)</f>
        <v>景业智能</v>
      </c>
      <c r="Y4842" s="276" t="str">
        <f ca="1">IF($Y$3="申万一级行业",[1]!s_info_industry_sw_2021(W4842,公司分析!D$5,1),IF($Y$3="申万二级行业",[1]!s_info_industry_sw_2021(W4842,公司分析!D$5,2),IF($Y$3="申万三级行业",[1]!s_info_industry_sw_2021(W4842,公司分析!D$5,3),IF($Y$3="wind一级行业",[1]!s_info_industry_gics(W4842,1),IF($Y$3="wind二级行业",[1]!s_info_industry_gics(W4842,2),IF($Y$3="wind三级行业",[1]!s_info_industry_gics(W4842,3),IF($Y$3="wind四级行业",[1]!s_info_industry_gics(W4842,4),IF($Y$3="证监会门类行业",[1]!s_info_industry_csrc12_n(W4842,公司分析!D$5,1),""))))))))</f>
        <v>自动化设备</v>
      </c>
      <c r="Z4842" s="302" t="str">
        <f ca="1">IF(Y4842=行业比较!$E$6,ROW(),"")</f>
        <v/>
      </c>
    </row>
    <row r="4843" spans="22:26">
      <c r="V4843" s="260">
        <f t="shared" ca="1" si="83"/>
        <v>0</v>
      </c>
      <c r="W4843" s="348" t="str">
        <f>IF(板块成分!B4845="","",板块成分!B4845)</f>
        <v>688291.SH</v>
      </c>
      <c r="X4843" s="276" t="str">
        <f>[1]!S_Info_Name(W4843)</f>
        <v>金橙子</v>
      </c>
      <c r="Y4843" s="276" t="str">
        <f ca="1">IF($Y$3="申万一级行业",[1]!s_info_industry_sw_2021(W4843,公司分析!D$5,1),IF($Y$3="申万二级行业",[1]!s_info_industry_sw_2021(W4843,公司分析!D$5,2),IF($Y$3="申万三级行业",[1]!s_info_industry_sw_2021(W4843,公司分析!D$5,3),IF($Y$3="wind一级行业",[1]!s_info_industry_gics(W4843,1),IF($Y$3="wind二级行业",[1]!s_info_industry_gics(W4843,2),IF($Y$3="wind三级行业",[1]!s_info_industry_gics(W4843,3),IF($Y$3="wind四级行业",[1]!s_info_industry_gics(W4843,4),IF($Y$3="证监会门类行业",[1]!s_info_industry_csrc12_n(W4843,公司分析!D$5,1),""))))))))</f>
        <v>软件开发</v>
      </c>
      <c r="Z4843" s="302" t="str">
        <f ca="1">IF(Y4843=行业比较!$E$6,ROW(),"")</f>
        <v/>
      </c>
    </row>
    <row r="4844" spans="22:26">
      <c r="V4844" s="260">
        <f t="shared" ca="1" si="83"/>
        <v>0</v>
      </c>
      <c r="W4844" s="348" t="str">
        <f>IF(板块成分!B4846="","",板块成分!B4846)</f>
        <v>688292.SH</v>
      </c>
      <c r="X4844" s="276" t="str">
        <f>[1]!S_Info_Name(W4844)</f>
        <v>浩瀚深度</v>
      </c>
      <c r="Y4844" s="276" t="str">
        <f ca="1">IF($Y$3="申万一级行业",[1]!s_info_industry_sw_2021(W4844,公司分析!D$5,1),IF($Y$3="申万二级行业",[1]!s_info_industry_sw_2021(W4844,公司分析!D$5,2),IF($Y$3="申万三级行业",[1]!s_info_industry_sw_2021(W4844,公司分析!D$5,3),IF($Y$3="wind一级行业",[1]!s_info_industry_gics(W4844,1),IF($Y$3="wind二级行业",[1]!s_info_industry_gics(W4844,2),IF($Y$3="wind三级行业",[1]!s_info_industry_gics(W4844,3),IF($Y$3="wind四级行业",[1]!s_info_industry_gics(W4844,4),IF($Y$3="证监会门类行业",[1]!s_info_industry_csrc12_n(W4844,公司分析!D$5,1),""))))))))</f>
        <v>计算机设备</v>
      </c>
      <c r="Z4844" s="302" t="str">
        <f ca="1">IF(Y4844=行业比较!$E$6,ROW(),"")</f>
        <v/>
      </c>
    </row>
    <row r="4845" spans="22:26">
      <c r="V4845" s="260">
        <f t="shared" ca="1" si="83"/>
        <v>0</v>
      </c>
      <c r="W4845" s="348" t="str">
        <f>IF(板块成分!B4847="","",板块成分!B4847)</f>
        <v>688293.SH</v>
      </c>
      <c r="X4845" s="276" t="str">
        <f>[1]!S_Info_Name(W4845)</f>
        <v>奥浦迈</v>
      </c>
      <c r="Y4845" s="276" t="str">
        <f ca="1">IF($Y$3="申万一级行业",[1]!s_info_industry_sw_2021(W4845,公司分析!D$5,1),IF($Y$3="申万二级行业",[1]!s_info_industry_sw_2021(W4845,公司分析!D$5,2),IF($Y$3="申万三级行业",[1]!s_info_industry_sw_2021(W4845,公司分析!D$5,3),IF($Y$3="wind一级行业",[1]!s_info_industry_gics(W4845,1),IF($Y$3="wind二级行业",[1]!s_info_industry_gics(W4845,2),IF($Y$3="wind三级行业",[1]!s_info_industry_gics(W4845,3),IF($Y$3="wind四级行业",[1]!s_info_industry_gics(W4845,4),IF($Y$3="证监会门类行业",[1]!s_info_industry_csrc12_n(W4845,公司分析!D$5,1),""))))))))</f>
        <v>生物制品</v>
      </c>
      <c r="Z4845" s="302" t="str">
        <f ca="1">IF(Y4845=行业比较!$E$6,ROW(),"")</f>
        <v/>
      </c>
    </row>
    <row r="4846" spans="22:26">
      <c r="V4846" s="260">
        <f t="shared" ca="1" si="83"/>
        <v>0</v>
      </c>
      <c r="W4846" s="348" t="str">
        <f>IF(板块成分!B4848="","",板块成分!B4848)</f>
        <v>688295.SH</v>
      </c>
      <c r="X4846" s="276" t="str">
        <f>[1]!S_Info_Name(W4846)</f>
        <v>中复神鹰</v>
      </c>
      <c r="Y4846" s="276" t="str">
        <f ca="1">IF($Y$3="申万一级行业",[1]!s_info_industry_sw_2021(W4846,公司分析!D$5,1),IF($Y$3="申万二级行业",[1]!s_info_industry_sw_2021(W4846,公司分析!D$5,2),IF($Y$3="申万三级行业",[1]!s_info_industry_sw_2021(W4846,公司分析!D$5,3),IF($Y$3="wind一级行业",[1]!s_info_industry_gics(W4846,1),IF($Y$3="wind二级行业",[1]!s_info_industry_gics(W4846,2),IF($Y$3="wind三级行业",[1]!s_info_industry_gics(W4846,3),IF($Y$3="wind四级行业",[1]!s_info_industry_gics(W4846,4),IF($Y$3="证监会门类行业",[1]!s_info_industry_csrc12_n(W4846,公司分析!D$5,1),""))))))))</f>
        <v>化学纤维</v>
      </c>
      <c r="Z4846" s="302" t="str">
        <f ca="1">IF(Y4846=行业比较!$E$6,ROW(),"")</f>
        <v/>
      </c>
    </row>
    <row r="4847" spans="22:26">
      <c r="V4847" s="260">
        <f t="shared" ca="1" si="83"/>
        <v>0</v>
      </c>
      <c r="W4847" s="348" t="str">
        <f>IF(板块成分!B4849="","",板块成分!B4849)</f>
        <v>688296.SH</v>
      </c>
      <c r="X4847" s="276" t="str">
        <f>[1]!S_Info_Name(W4847)</f>
        <v>和达科技</v>
      </c>
      <c r="Y4847" s="276" t="str">
        <f ca="1">IF($Y$3="申万一级行业",[1]!s_info_industry_sw_2021(W4847,公司分析!D$5,1),IF($Y$3="申万二级行业",[1]!s_info_industry_sw_2021(W4847,公司分析!D$5,2),IF($Y$3="申万三级行业",[1]!s_info_industry_sw_2021(W4847,公司分析!D$5,3),IF($Y$3="wind一级行业",[1]!s_info_industry_gics(W4847,1),IF($Y$3="wind二级行业",[1]!s_info_industry_gics(W4847,2),IF($Y$3="wind三级行业",[1]!s_info_industry_gics(W4847,3),IF($Y$3="wind四级行业",[1]!s_info_industry_gics(W4847,4),IF($Y$3="证监会门类行业",[1]!s_info_industry_csrc12_n(W4847,公司分析!D$5,1),""))))))))</f>
        <v>软件开发</v>
      </c>
      <c r="Z4847" s="302" t="str">
        <f ca="1">IF(Y4847=行业比较!$E$6,ROW(),"")</f>
        <v/>
      </c>
    </row>
    <row r="4848" spans="22:26">
      <c r="V4848" s="260">
        <f t="shared" ca="1" si="83"/>
        <v>0</v>
      </c>
      <c r="W4848" s="348" t="str">
        <f>IF(板块成分!B4850="","",板块成分!B4850)</f>
        <v>688297.SH</v>
      </c>
      <c r="X4848" s="276" t="str">
        <f>[1]!S_Info_Name(W4848)</f>
        <v>中无人机</v>
      </c>
      <c r="Y4848" s="276" t="str">
        <f ca="1">IF($Y$3="申万一级行业",[1]!s_info_industry_sw_2021(W4848,公司分析!D$5,1),IF($Y$3="申万二级行业",[1]!s_info_industry_sw_2021(W4848,公司分析!D$5,2),IF($Y$3="申万三级行业",[1]!s_info_industry_sw_2021(W4848,公司分析!D$5,3),IF($Y$3="wind一级行业",[1]!s_info_industry_gics(W4848,1),IF($Y$3="wind二级行业",[1]!s_info_industry_gics(W4848,2),IF($Y$3="wind三级行业",[1]!s_info_industry_gics(W4848,3),IF($Y$3="wind四级行业",[1]!s_info_industry_gics(W4848,4),IF($Y$3="证监会门类行业",[1]!s_info_industry_csrc12_n(W4848,公司分析!D$5,1),""))))))))</f>
        <v>航空装备Ⅱ</v>
      </c>
      <c r="Z4848" s="302" t="str">
        <f ca="1">IF(Y4848=行业比较!$E$6,ROW(),"")</f>
        <v/>
      </c>
    </row>
    <row r="4849" spans="22:26">
      <c r="V4849" s="260">
        <f t="shared" ca="1" si="83"/>
        <v>0</v>
      </c>
      <c r="W4849" s="348" t="str">
        <f>IF(板块成分!B4851="","",板块成分!B4851)</f>
        <v>688298.SH</v>
      </c>
      <c r="X4849" s="276" t="str">
        <f>[1]!S_Info_Name(W4849)</f>
        <v>东方生物</v>
      </c>
      <c r="Y4849" s="276" t="str">
        <f ca="1">IF($Y$3="申万一级行业",[1]!s_info_industry_sw_2021(W4849,公司分析!D$5,1),IF($Y$3="申万二级行业",[1]!s_info_industry_sw_2021(W4849,公司分析!D$5,2),IF($Y$3="申万三级行业",[1]!s_info_industry_sw_2021(W4849,公司分析!D$5,3),IF($Y$3="wind一级行业",[1]!s_info_industry_gics(W4849,1),IF($Y$3="wind二级行业",[1]!s_info_industry_gics(W4849,2),IF($Y$3="wind三级行业",[1]!s_info_industry_gics(W4849,3),IF($Y$3="wind四级行业",[1]!s_info_industry_gics(W4849,4),IF($Y$3="证监会门类行业",[1]!s_info_industry_csrc12_n(W4849,公司分析!D$5,1),""))))))))</f>
        <v>医疗器械</v>
      </c>
      <c r="Z4849" s="302" t="str">
        <f ca="1">IF(Y4849=行业比较!$E$6,ROW(),"")</f>
        <v/>
      </c>
    </row>
    <row r="4850" spans="22:26">
      <c r="V4850" s="260">
        <f t="shared" ca="1" si="83"/>
        <v>0</v>
      </c>
      <c r="W4850" s="348" t="str">
        <f>IF(板块成分!B4852="","",板块成分!B4852)</f>
        <v>688299.SH</v>
      </c>
      <c r="X4850" s="276" t="str">
        <f>[1]!S_Info_Name(W4850)</f>
        <v>长阳科技</v>
      </c>
      <c r="Y4850" s="276" t="str">
        <f ca="1">IF($Y$3="申万一级行业",[1]!s_info_industry_sw_2021(W4850,公司分析!D$5,1),IF($Y$3="申万二级行业",[1]!s_info_industry_sw_2021(W4850,公司分析!D$5,2),IF($Y$3="申万三级行业",[1]!s_info_industry_sw_2021(W4850,公司分析!D$5,3),IF($Y$3="wind一级行业",[1]!s_info_industry_gics(W4850,1),IF($Y$3="wind二级行业",[1]!s_info_industry_gics(W4850,2),IF($Y$3="wind三级行业",[1]!s_info_industry_gics(W4850,3),IF($Y$3="wind四级行业",[1]!s_info_industry_gics(W4850,4),IF($Y$3="证监会门类行业",[1]!s_info_industry_csrc12_n(W4850,公司分析!D$5,1),""))))))))</f>
        <v>光学光电子</v>
      </c>
      <c r="Z4850" s="302" t="str">
        <f ca="1">IF(Y4850=行业比较!$E$6,ROW(),"")</f>
        <v/>
      </c>
    </row>
    <row r="4851" spans="22:26">
      <c r="V4851" s="260">
        <f t="shared" ca="1" si="83"/>
        <v>0</v>
      </c>
      <c r="W4851" s="348" t="str">
        <f>IF(板块成分!B4853="","",板块成分!B4853)</f>
        <v>688300.SH</v>
      </c>
      <c r="X4851" s="276" t="str">
        <f>[1]!S_Info_Name(W4851)</f>
        <v>联瑞新材</v>
      </c>
      <c r="Y4851" s="276" t="str">
        <f ca="1">IF($Y$3="申万一级行业",[1]!s_info_industry_sw_2021(W4851,公司分析!D$5,1),IF($Y$3="申万二级行业",[1]!s_info_industry_sw_2021(W4851,公司分析!D$5,2),IF($Y$3="申万三级行业",[1]!s_info_industry_sw_2021(W4851,公司分析!D$5,3),IF($Y$3="wind一级行业",[1]!s_info_industry_gics(W4851,1),IF($Y$3="wind二级行业",[1]!s_info_industry_gics(W4851,2),IF($Y$3="wind三级行业",[1]!s_info_industry_gics(W4851,3),IF($Y$3="wind四级行业",[1]!s_info_industry_gics(W4851,4),IF($Y$3="证监会门类行业",[1]!s_info_industry_csrc12_n(W4851,公司分析!D$5,1),""))))))))</f>
        <v>非金属材料Ⅱ</v>
      </c>
      <c r="Z4851" s="302" t="str">
        <f ca="1">IF(Y4851=行业比较!$E$6,ROW(),"")</f>
        <v/>
      </c>
    </row>
    <row r="4852" spans="22:26">
      <c r="V4852" s="260">
        <f t="shared" ca="1" si="83"/>
        <v>0</v>
      </c>
      <c r="W4852" s="348" t="str">
        <f>IF(板块成分!B4854="","",板块成分!B4854)</f>
        <v>688301.SH</v>
      </c>
      <c r="X4852" s="276" t="str">
        <f>[1]!S_Info_Name(W4852)</f>
        <v>奕瑞科技</v>
      </c>
      <c r="Y4852" s="276" t="str">
        <f ca="1">IF($Y$3="申万一级行业",[1]!s_info_industry_sw_2021(W4852,公司分析!D$5,1),IF($Y$3="申万二级行业",[1]!s_info_industry_sw_2021(W4852,公司分析!D$5,2),IF($Y$3="申万三级行业",[1]!s_info_industry_sw_2021(W4852,公司分析!D$5,3),IF($Y$3="wind一级行业",[1]!s_info_industry_gics(W4852,1),IF($Y$3="wind二级行业",[1]!s_info_industry_gics(W4852,2),IF($Y$3="wind三级行业",[1]!s_info_industry_gics(W4852,3),IF($Y$3="wind四级行业",[1]!s_info_industry_gics(W4852,4),IF($Y$3="证监会门类行业",[1]!s_info_industry_csrc12_n(W4852,公司分析!D$5,1),""))))))))</f>
        <v>医疗器械</v>
      </c>
      <c r="Z4852" s="302" t="str">
        <f ca="1">IF(Y4852=行业比较!$E$6,ROW(),"")</f>
        <v/>
      </c>
    </row>
    <row r="4853" spans="22:26">
      <c r="V4853" s="260">
        <f t="shared" ca="1" si="83"/>
        <v>0</v>
      </c>
      <c r="W4853" s="348" t="str">
        <f>IF(板块成分!B4855="","",板块成分!B4855)</f>
        <v>688302.SH</v>
      </c>
      <c r="X4853" s="276" t="str">
        <f>[1]!S_Info_Name(W4853)</f>
        <v>海创药业-U</v>
      </c>
      <c r="Y4853" s="276" t="str">
        <f ca="1">IF($Y$3="申万一级行业",[1]!s_info_industry_sw_2021(W4853,公司分析!D$5,1),IF($Y$3="申万二级行业",[1]!s_info_industry_sw_2021(W4853,公司分析!D$5,2),IF($Y$3="申万三级行业",[1]!s_info_industry_sw_2021(W4853,公司分析!D$5,3),IF($Y$3="wind一级行业",[1]!s_info_industry_gics(W4853,1),IF($Y$3="wind二级行业",[1]!s_info_industry_gics(W4853,2),IF($Y$3="wind三级行业",[1]!s_info_industry_gics(W4853,3),IF($Y$3="wind四级行业",[1]!s_info_industry_gics(W4853,4),IF($Y$3="证监会门类行业",[1]!s_info_industry_csrc12_n(W4853,公司分析!D$5,1),""))))))))</f>
        <v>化学制药</v>
      </c>
      <c r="Z4853" s="302" t="str">
        <f ca="1">IF(Y4853=行业比较!$E$6,ROW(),"")</f>
        <v/>
      </c>
    </row>
    <row r="4854" spans="22:26">
      <c r="V4854" s="260">
        <f t="shared" ca="1" si="83"/>
        <v>0</v>
      </c>
      <c r="W4854" s="348" t="str">
        <f>IF(板块成分!B4856="","",板块成分!B4856)</f>
        <v>688303.SH</v>
      </c>
      <c r="X4854" s="276" t="str">
        <f>[1]!S_Info_Name(W4854)</f>
        <v>大全能源</v>
      </c>
      <c r="Y4854" s="276" t="str">
        <f ca="1">IF($Y$3="申万一级行业",[1]!s_info_industry_sw_2021(W4854,公司分析!D$5,1),IF($Y$3="申万二级行业",[1]!s_info_industry_sw_2021(W4854,公司分析!D$5,2),IF($Y$3="申万三级行业",[1]!s_info_industry_sw_2021(W4854,公司分析!D$5,3),IF($Y$3="wind一级行业",[1]!s_info_industry_gics(W4854,1),IF($Y$3="wind二级行业",[1]!s_info_industry_gics(W4854,2),IF($Y$3="wind三级行业",[1]!s_info_industry_gics(W4854,3),IF($Y$3="wind四级行业",[1]!s_info_industry_gics(W4854,4),IF($Y$3="证监会门类行业",[1]!s_info_industry_csrc12_n(W4854,公司分析!D$5,1),""))))))))</f>
        <v>光伏设备</v>
      </c>
      <c r="Z4854" s="302" t="str">
        <f ca="1">IF(Y4854=行业比较!$E$6,ROW(),"")</f>
        <v/>
      </c>
    </row>
    <row r="4855" spans="22:26">
      <c r="V4855" s="260">
        <f t="shared" ca="1" si="83"/>
        <v>0</v>
      </c>
      <c r="W4855" s="348" t="str">
        <f>IF(板块成分!B4857="","",板块成分!B4857)</f>
        <v>688305.SH</v>
      </c>
      <c r="X4855" s="276" t="str">
        <f>[1]!S_Info_Name(W4855)</f>
        <v>科德数控</v>
      </c>
      <c r="Y4855" s="276" t="str">
        <f ca="1">IF($Y$3="申万一级行业",[1]!s_info_industry_sw_2021(W4855,公司分析!D$5,1),IF($Y$3="申万二级行业",[1]!s_info_industry_sw_2021(W4855,公司分析!D$5,2),IF($Y$3="申万三级行业",[1]!s_info_industry_sw_2021(W4855,公司分析!D$5,3),IF($Y$3="wind一级行业",[1]!s_info_industry_gics(W4855,1),IF($Y$3="wind二级行业",[1]!s_info_industry_gics(W4855,2),IF($Y$3="wind三级行业",[1]!s_info_industry_gics(W4855,3),IF($Y$3="wind四级行业",[1]!s_info_industry_gics(W4855,4),IF($Y$3="证监会门类行业",[1]!s_info_industry_csrc12_n(W4855,公司分析!D$5,1),""))))))))</f>
        <v>通用设备</v>
      </c>
      <c r="Z4855" s="302" t="str">
        <f ca="1">IF(Y4855=行业比较!$E$6,ROW(),"")</f>
        <v/>
      </c>
    </row>
    <row r="4856" spans="22:26">
      <c r="V4856" s="260">
        <f t="shared" ca="1" si="83"/>
        <v>0</v>
      </c>
      <c r="W4856" s="348" t="str">
        <f>IF(板块成分!B4858="","",板块成分!B4858)</f>
        <v>688306.SH</v>
      </c>
      <c r="X4856" s="276" t="str">
        <f>[1]!S_Info_Name(W4856)</f>
        <v>均普智能</v>
      </c>
      <c r="Y4856" s="276" t="str">
        <f ca="1">IF($Y$3="申万一级行业",[1]!s_info_industry_sw_2021(W4856,公司分析!D$5,1),IF($Y$3="申万二级行业",[1]!s_info_industry_sw_2021(W4856,公司分析!D$5,2),IF($Y$3="申万三级行业",[1]!s_info_industry_sw_2021(W4856,公司分析!D$5,3),IF($Y$3="wind一级行业",[1]!s_info_industry_gics(W4856,1),IF($Y$3="wind二级行业",[1]!s_info_industry_gics(W4856,2),IF($Y$3="wind三级行业",[1]!s_info_industry_gics(W4856,3),IF($Y$3="wind四级行业",[1]!s_info_industry_gics(W4856,4),IF($Y$3="证监会门类行业",[1]!s_info_industry_csrc12_n(W4856,公司分析!D$5,1),""))))))))</f>
        <v>自动化设备</v>
      </c>
      <c r="Z4856" s="302" t="str">
        <f ca="1">IF(Y4856=行业比较!$E$6,ROW(),"")</f>
        <v/>
      </c>
    </row>
    <row r="4857" spans="22:26">
      <c r="V4857" s="260">
        <f t="shared" ca="1" si="83"/>
        <v>0</v>
      </c>
      <c r="W4857" s="348" t="str">
        <f>IF(板块成分!B4859="","",板块成分!B4859)</f>
        <v>688307.SH</v>
      </c>
      <c r="X4857" s="276" t="str">
        <f>[1]!S_Info_Name(W4857)</f>
        <v>中润光学</v>
      </c>
      <c r="Y4857" s="276" t="str">
        <f ca="1">IF($Y$3="申万一级行业",[1]!s_info_industry_sw_2021(W4857,公司分析!D$5,1),IF($Y$3="申万二级行业",[1]!s_info_industry_sw_2021(W4857,公司分析!D$5,2),IF($Y$3="申万三级行业",[1]!s_info_industry_sw_2021(W4857,公司分析!D$5,3),IF($Y$3="wind一级行业",[1]!s_info_industry_gics(W4857,1),IF($Y$3="wind二级行业",[1]!s_info_industry_gics(W4857,2),IF($Y$3="wind三级行业",[1]!s_info_industry_gics(W4857,3),IF($Y$3="wind四级行业",[1]!s_info_industry_gics(W4857,4),IF($Y$3="证监会门类行业",[1]!s_info_industry_csrc12_n(W4857,公司分析!D$5,1),""))))))))</f>
        <v>计算机设备</v>
      </c>
      <c r="Z4857" s="302" t="str">
        <f ca="1">IF(Y4857=行业比较!$E$6,ROW(),"")</f>
        <v/>
      </c>
    </row>
    <row r="4858" spans="22:26">
      <c r="V4858" s="260">
        <f t="shared" ca="1" si="83"/>
        <v>0</v>
      </c>
      <c r="W4858" s="348" t="str">
        <f>IF(板块成分!B4860="","",板块成分!B4860)</f>
        <v>688308.SH</v>
      </c>
      <c r="X4858" s="276" t="str">
        <f>[1]!S_Info_Name(W4858)</f>
        <v>欧科亿</v>
      </c>
      <c r="Y4858" s="276" t="str">
        <f ca="1">IF($Y$3="申万一级行业",[1]!s_info_industry_sw_2021(W4858,公司分析!D$5,1),IF($Y$3="申万二级行业",[1]!s_info_industry_sw_2021(W4858,公司分析!D$5,2),IF($Y$3="申万三级行业",[1]!s_info_industry_sw_2021(W4858,公司分析!D$5,3),IF($Y$3="wind一级行业",[1]!s_info_industry_gics(W4858,1),IF($Y$3="wind二级行业",[1]!s_info_industry_gics(W4858,2),IF($Y$3="wind三级行业",[1]!s_info_industry_gics(W4858,3),IF($Y$3="wind四级行业",[1]!s_info_industry_gics(W4858,4),IF($Y$3="证监会门类行业",[1]!s_info_industry_csrc12_n(W4858,公司分析!D$5,1),""))))))))</f>
        <v>通用设备</v>
      </c>
      <c r="Z4858" s="302" t="str">
        <f ca="1">IF(Y4858=行业比较!$E$6,ROW(),"")</f>
        <v/>
      </c>
    </row>
    <row r="4859" spans="22:26">
      <c r="V4859" s="260">
        <f t="shared" ca="1" si="83"/>
        <v>0</v>
      </c>
      <c r="W4859" s="348" t="str">
        <f>IF(板块成分!B4861="","",板块成分!B4861)</f>
        <v>688309.SH</v>
      </c>
      <c r="X4859" s="276" t="str">
        <f>[1]!S_Info_Name(W4859)</f>
        <v>恒誉环保</v>
      </c>
      <c r="Y4859" s="276" t="str">
        <f ca="1">IF($Y$3="申万一级行业",[1]!s_info_industry_sw_2021(W4859,公司分析!D$5,1),IF($Y$3="申万二级行业",[1]!s_info_industry_sw_2021(W4859,公司分析!D$5,2),IF($Y$3="申万三级行业",[1]!s_info_industry_sw_2021(W4859,公司分析!D$5,3),IF($Y$3="wind一级行业",[1]!s_info_industry_gics(W4859,1),IF($Y$3="wind二级行业",[1]!s_info_industry_gics(W4859,2),IF($Y$3="wind三级行业",[1]!s_info_industry_gics(W4859,3),IF($Y$3="wind四级行业",[1]!s_info_industry_gics(W4859,4),IF($Y$3="证监会门类行业",[1]!s_info_industry_csrc12_n(W4859,公司分析!D$5,1),""))))))))</f>
        <v>环保设备Ⅱ</v>
      </c>
      <c r="Z4859" s="302" t="str">
        <f ca="1">IF(Y4859=行业比较!$E$6,ROW(),"")</f>
        <v/>
      </c>
    </row>
    <row r="4860" spans="22:26">
      <c r="V4860" s="260">
        <f t="shared" ca="1" si="83"/>
        <v>0</v>
      </c>
      <c r="W4860" s="348" t="str">
        <f>IF(板块成分!B4862="","",板块成分!B4862)</f>
        <v>688310.SH</v>
      </c>
      <c r="X4860" s="276" t="str">
        <f>[1]!S_Info_Name(W4860)</f>
        <v>迈得医疗</v>
      </c>
      <c r="Y4860" s="276" t="str">
        <f ca="1">IF($Y$3="申万一级行业",[1]!s_info_industry_sw_2021(W4860,公司分析!D$5,1),IF($Y$3="申万二级行业",[1]!s_info_industry_sw_2021(W4860,公司分析!D$5,2),IF($Y$3="申万三级行业",[1]!s_info_industry_sw_2021(W4860,公司分析!D$5,3),IF($Y$3="wind一级行业",[1]!s_info_industry_gics(W4860,1),IF($Y$3="wind二级行业",[1]!s_info_industry_gics(W4860,2),IF($Y$3="wind三级行业",[1]!s_info_industry_gics(W4860,3),IF($Y$3="wind四级行业",[1]!s_info_industry_gics(W4860,4),IF($Y$3="证监会门类行业",[1]!s_info_industry_csrc12_n(W4860,公司分析!D$5,1),""))))))))</f>
        <v>自动化设备</v>
      </c>
      <c r="Z4860" s="302" t="str">
        <f ca="1">IF(Y4860=行业比较!$E$6,ROW(),"")</f>
        <v/>
      </c>
    </row>
    <row r="4861" spans="22:26">
      <c r="V4861" s="260">
        <f t="shared" ca="1" si="83"/>
        <v>0</v>
      </c>
      <c r="W4861" s="348" t="str">
        <f>IF(板块成分!B4863="","",板块成分!B4863)</f>
        <v>688311.SH</v>
      </c>
      <c r="X4861" s="276" t="str">
        <f>[1]!S_Info_Name(W4861)</f>
        <v>盟升电子</v>
      </c>
      <c r="Y4861" s="276" t="str">
        <f ca="1">IF($Y$3="申万一级行业",[1]!s_info_industry_sw_2021(W4861,公司分析!D$5,1),IF($Y$3="申万二级行业",[1]!s_info_industry_sw_2021(W4861,公司分析!D$5,2),IF($Y$3="申万三级行业",[1]!s_info_industry_sw_2021(W4861,公司分析!D$5,3),IF($Y$3="wind一级行业",[1]!s_info_industry_gics(W4861,1),IF($Y$3="wind二级行业",[1]!s_info_industry_gics(W4861,2),IF($Y$3="wind三级行业",[1]!s_info_industry_gics(W4861,3),IF($Y$3="wind四级行业",[1]!s_info_industry_gics(W4861,4),IF($Y$3="证监会门类行业",[1]!s_info_industry_csrc12_n(W4861,公司分析!D$5,1),""))))))))</f>
        <v>军工电子Ⅱ</v>
      </c>
      <c r="Z4861" s="302" t="str">
        <f ca="1">IF(Y4861=行业比较!$E$6,ROW(),"")</f>
        <v/>
      </c>
    </row>
    <row r="4862" spans="22:26">
      <c r="V4862" s="260">
        <f t="shared" ca="1" si="83"/>
        <v>0</v>
      </c>
      <c r="W4862" s="348" t="str">
        <f>IF(板块成分!B4864="","",板块成分!B4864)</f>
        <v>688312.SH</v>
      </c>
      <c r="X4862" s="276" t="str">
        <f>[1]!S_Info_Name(W4862)</f>
        <v>燕麦科技</v>
      </c>
      <c r="Y4862" s="276" t="str">
        <f ca="1">IF($Y$3="申万一级行业",[1]!s_info_industry_sw_2021(W4862,公司分析!D$5,1),IF($Y$3="申万二级行业",[1]!s_info_industry_sw_2021(W4862,公司分析!D$5,2),IF($Y$3="申万三级行业",[1]!s_info_industry_sw_2021(W4862,公司分析!D$5,3),IF($Y$3="wind一级行业",[1]!s_info_industry_gics(W4862,1),IF($Y$3="wind二级行业",[1]!s_info_industry_gics(W4862,2),IF($Y$3="wind三级行业",[1]!s_info_industry_gics(W4862,3),IF($Y$3="wind四级行业",[1]!s_info_industry_gics(W4862,4),IF($Y$3="证监会门类行业",[1]!s_info_industry_csrc12_n(W4862,公司分析!D$5,1),""))))))))</f>
        <v>专用设备</v>
      </c>
      <c r="Z4862" s="302" t="str">
        <f ca="1">IF(Y4862=行业比较!$E$6,ROW(),"")</f>
        <v/>
      </c>
    </row>
    <row r="4863" spans="22:26">
      <c r="V4863" s="260">
        <f t="shared" ca="1" si="83"/>
        <v>0</v>
      </c>
      <c r="W4863" s="348" t="str">
        <f>IF(板块成分!B4865="","",板块成分!B4865)</f>
        <v>688313.SH</v>
      </c>
      <c r="X4863" s="276" t="str">
        <f>[1]!S_Info_Name(W4863)</f>
        <v>仕佳光子</v>
      </c>
      <c r="Y4863" s="276" t="str">
        <f ca="1">IF($Y$3="申万一级行业",[1]!s_info_industry_sw_2021(W4863,公司分析!D$5,1),IF($Y$3="申万二级行业",[1]!s_info_industry_sw_2021(W4863,公司分析!D$5,2),IF($Y$3="申万三级行业",[1]!s_info_industry_sw_2021(W4863,公司分析!D$5,3),IF($Y$3="wind一级行业",[1]!s_info_industry_gics(W4863,1),IF($Y$3="wind二级行业",[1]!s_info_industry_gics(W4863,2),IF($Y$3="wind三级行业",[1]!s_info_industry_gics(W4863,3),IF($Y$3="wind四级行业",[1]!s_info_industry_gics(W4863,4),IF($Y$3="证监会门类行业",[1]!s_info_industry_csrc12_n(W4863,公司分析!D$5,1),""))))))))</f>
        <v>通信设备</v>
      </c>
      <c r="Z4863" s="302" t="str">
        <f ca="1">IF(Y4863=行业比较!$E$6,ROW(),"")</f>
        <v/>
      </c>
    </row>
    <row r="4864" spans="22:26">
      <c r="V4864" s="260">
        <f t="shared" ca="1" si="83"/>
        <v>0</v>
      </c>
      <c r="W4864" s="348" t="str">
        <f>IF(板块成分!B4866="","",板块成分!B4866)</f>
        <v>688314.SH</v>
      </c>
      <c r="X4864" s="276" t="str">
        <f>[1]!S_Info_Name(W4864)</f>
        <v>康拓医疗</v>
      </c>
      <c r="Y4864" s="276" t="str">
        <f ca="1">IF($Y$3="申万一级行业",[1]!s_info_industry_sw_2021(W4864,公司分析!D$5,1),IF($Y$3="申万二级行业",[1]!s_info_industry_sw_2021(W4864,公司分析!D$5,2),IF($Y$3="申万三级行业",[1]!s_info_industry_sw_2021(W4864,公司分析!D$5,3),IF($Y$3="wind一级行业",[1]!s_info_industry_gics(W4864,1),IF($Y$3="wind二级行业",[1]!s_info_industry_gics(W4864,2),IF($Y$3="wind三级行业",[1]!s_info_industry_gics(W4864,3),IF($Y$3="wind四级行业",[1]!s_info_industry_gics(W4864,4),IF($Y$3="证监会门类行业",[1]!s_info_industry_csrc12_n(W4864,公司分析!D$5,1),""))))))))</f>
        <v>医疗器械</v>
      </c>
      <c r="Z4864" s="302" t="str">
        <f ca="1">IF(Y4864=行业比较!$E$6,ROW(),"")</f>
        <v/>
      </c>
    </row>
    <row r="4865" spans="22:26">
      <c r="V4865" s="260">
        <f t="shared" ca="1" si="83"/>
        <v>0</v>
      </c>
      <c r="W4865" s="348" t="str">
        <f>IF(板块成分!B4867="","",板块成分!B4867)</f>
        <v>688315.SH</v>
      </c>
      <c r="X4865" s="276" t="str">
        <f>[1]!S_Info_Name(W4865)</f>
        <v>诺禾致源</v>
      </c>
      <c r="Y4865" s="276" t="str">
        <f ca="1">IF($Y$3="申万一级行业",[1]!s_info_industry_sw_2021(W4865,公司分析!D$5,1),IF($Y$3="申万二级行业",[1]!s_info_industry_sw_2021(W4865,公司分析!D$5,2),IF($Y$3="申万三级行业",[1]!s_info_industry_sw_2021(W4865,公司分析!D$5,3),IF($Y$3="wind一级行业",[1]!s_info_industry_gics(W4865,1),IF($Y$3="wind二级行业",[1]!s_info_industry_gics(W4865,2),IF($Y$3="wind三级行业",[1]!s_info_industry_gics(W4865,3),IF($Y$3="wind四级行业",[1]!s_info_industry_gics(W4865,4),IF($Y$3="证监会门类行业",[1]!s_info_industry_csrc12_n(W4865,公司分析!D$5,1),""))))))))</f>
        <v>医疗服务</v>
      </c>
      <c r="Z4865" s="302" t="str">
        <f ca="1">IF(Y4865=行业比较!$E$6,ROW(),"")</f>
        <v/>
      </c>
    </row>
    <row r="4866" spans="22:26">
      <c r="V4866" s="260">
        <f t="shared" ca="1" si="83"/>
        <v>0</v>
      </c>
      <c r="W4866" s="348" t="str">
        <f>IF(板块成分!B4868="","",板块成分!B4868)</f>
        <v>688316.SH</v>
      </c>
      <c r="X4866" s="276" t="str">
        <f>[1]!S_Info_Name(W4866)</f>
        <v>青云科技-U</v>
      </c>
      <c r="Y4866" s="276" t="str">
        <f ca="1">IF($Y$3="申万一级行业",[1]!s_info_industry_sw_2021(W4866,公司分析!D$5,1),IF($Y$3="申万二级行业",[1]!s_info_industry_sw_2021(W4866,公司分析!D$5,2),IF($Y$3="申万三级行业",[1]!s_info_industry_sw_2021(W4866,公司分析!D$5,3),IF($Y$3="wind一级行业",[1]!s_info_industry_gics(W4866,1),IF($Y$3="wind二级行业",[1]!s_info_industry_gics(W4866,2),IF($Y$3="wind三级行业",[1]!s_info_industry_gics(W4866,3),IF($Y$3="wind四级行业",[1]!s_info_industry_gics(W4866,4),IF($Y$3="证监会门类行业",[1]!s_info_industry_csrc12_n(W4866,公司分析!D$5,1),""))))))))</f>
        <v>IT服务Ⅱ</v>
      </c>
      <c r="Z4866" s="302" t="str">
        <f ca="1">IF(Y4866=行业比较!$E$6,ROW(),"")</f>
        <v/>
      </c>
    </row>
    <row r="4867" spans="22:26">
      <c r="V4867" s="260">
        <f t="shared" ca="1" si="83"/>
        <v>0</v>
      </c>
      <c r="W4867" s="348" t="str">
        <f>IF(板块成分!B4869="","",板块成分!B4869)</f>
        <v>688317.SH</v>
      </c>
      <c r="X4867" s="276" t="str">
        <f>[1]!S_Info_Name(W4867)</f>
        <v>之江生物</v>
      </c>
      <c r="Y4867" s="276" t="str">
        <f ca="1">IF($Y$3="申万一级行业",[1]!s_info_industry_sw_2021(W4867,公司分析!D$5,1),IF($Y$3="申万二级行业",[1]!s_info_industry_sw_2021(W4867,公司分析!D$5,2),IF($Y$3="申万三级行业",[1]!s_info_industry_sw_2021(W4867,公司分析!D$5,3),IF($Y$3="wind一级行业",[1]!s_info_industry_gics(W4867,1),IF($Y$3="wind二级行业",[1]!s_info_industry_gics(W4867,2),IF($Y$3="wind三级行业",[1]!s_info_industry_gics(W4867,3),IF($Y$3="wind四级行业",[1]!s_info_industry_gics(W4867,4),IF($Y$3="证监会门类行业",[1]!s_info_industry_csrc12_n(W4867,公司分析!D$5,1),""))))))))</f>
        <v>医疗器械</v>
      </c>
      <c r="Z4867" s="302" t="str">
        <f ca="1">IF(Y4867=行业比较!$E$6,ROW(),"")</f>
        <v/>
      </c>
    </row>
    <row r="4868" spans="22:26">
      <c r="V4868" s="260">
        <f t="shared" ca="1" si="83"/>
        <v>0</v>
      </c>
      <c r="W4868" s="348" t="str">
        <f>IF(板块成分!B4870="","",板块成分!B4870)</f>
        <v>688318.SH</v>
      </c>
      <c r="X4868" s="276" t="str">
        <f>[1]!S_Info_Name(W4868)</f>
        <v>财富趋势</v>
      </c>
      <c r="Y4868" s="276" t="str">
        <f ca="1">IF($Y$3="申万一级行业",[1]!s_info_industry_sw_2021(W4868,公司分析!D$5,1),IF($Y$3="申万二级行业",[1]!s_info_industry_sw_2021(W4868,公司分析!D$5,2),IF($Y$3="申万三级行业",[1]!s_info_industry_sw_2021(W4868,公司分析!D$5,3),IF($Y$3="wind一级行业",[1]!s_info_industry_gics(W4868,1),IF($Y$3="wind二级行业",[1]!s_info_industry_gics(W4868,2),IF($Y$3="wind三级行业",[1]!s_info_industry_gics(W4868,3),IF($Y$3="wind四级行业",[1]!s_info_industry_gics(W4868,4),IF($Y$3="证监会门类行业",[1]!s_info_industry_csrc12_n(W4868,公司分析!D$5,1),""))))))))</f>
        <v>软件开发</v>
      </c>
      <c r="Z4868" s="302" t="str">
        <f ca="1">IF(Y4868=行业比较!$E$6,ROW(),"")</f>
        <v/>
      </c>
    </row>
    <row r="4869" spans="22:26">
      <c r="V4869" s="260">
        <f t="shared" ref="V4869:V4932" ca="1" si="84">IF(Z4869="",0,RANK(Z4869,Z:Z,1))</f>
        <v>0</v>
      </c>
      <c r="W4869" s="348" t="str">
        <f>IF(板块成分!B4871="","",板块成分!B4871)</f>
        <v>688319.SH</v>
      </c>
      <c r="X4869" s="276" t="str">
        <f>[1]!S_Info_Name(W4869)</f>
        <v>欧林生物</v>
      </c>
      <c r="Y4869" s="276" t="str">
        <f ca="1">IF($Y$3="申万一级行业",[1]!s_info_industry_sw_2021(W4869,公司分析!D$5,1),IF($Y$3="申万二级行业",[1]!s_info_industry_sw_2021(W4869,公司分析!D$5,2),IF($Y$3="申万三级行业",[1]!s_info_industry_sw_2021(W4869,公司分析!D$5,3),IF($Y$3="wind一级行业",[1]!s_info_industry_gics(W4869,1),IF($Y$3="wind二级行业",[1]!s_info_industry_gics(W4869,2),IF($Y$3="wind三级行业",[1]!s_info_industry_gics(W4869,3),IF($Y$3="wind四级行业",[1]!s_info_industry_gics(W4869,4),IF($Y$3="证监会门类行业",[1]!s_info_industry_csrc12_n(W4869,公司分析!D$5,1),""))))))))</f>
        <v>生物制品</v>
      </c>
      <c r="Z4869" s="302" t="str">
        <f ca="1">IF(Y4869=行业比较!$E$6,ROW(),"")</f>
        <v/>
      </c>
    </row>
    <row r="4870" spans="22:26">
      <c r="V4870" s="260">
        <f t="shared" ca="1" si="84"/>
        <v>0</v>
      </c>
      <c r="W4870" s="348" t="str">
        <f>IF(板块成分!B4872="","",板块成分!B4872)</f>
        <v>688320.SH</v>
      </c>
      <c r="X4870" s="276" t="str">
        <f>[1]!S_Info_Name(W4870)</f>
        <v>禾川科技</v>
      </c>
      <c r="Y4870" s="276" t="str">
        <f ca="1">IF($Y$3="申万一级行业",[1]!s_info_industry_sw_2021(W4870,公司分析!D$5,1),IF($Y$3="申万二级行业",[1]!s_info_industry_sw_2021(W4870,公司分析!D$5,2),IF($Y$3="申万三级行业",[1]!s_info_industry_sw_2021(W4870,公司分析!D$5,3),IF($Y$3="wind一级行业",[1]!s_info_industry_gics(W4870,1),IF($Y$3="wind二级行业",[1]!s_info_industry_gics(W4870,2),IF($Y$3="wind三级行业",[1]!s_info_industry_gics(W4870,3),IF($Y$3="wind四级行业",[1]!s_info_industry_gics(W4870,4),IF($Y$3="证监会门类行业",[1]!s_info_industry_csrc12_n(W4870,公司分析!D$5,1),""))))))))</f>
        <v>自动化设备</v>
      </c>
      <c r="Z4870" s="302" t="str">
        <f ca="1">IF(Y4870=行业比较!$E$6,ROW(),"")</f>
        <v/>
      </c>
    </row>
    <row r="4871" spans="22:26">
      <c r="V4871" s="260">
        <f t="shared" ca="1" si="84"/>
        <v>0</v>
      </c>
      <c r="W4871" s="348" t="str">
        <f>IF(板块成分!B4873="","",板块成分!B4873)</f>
        <v>688321.SH</v>
      </c>
      <c r="X4871" s="276" t="str">
        <f>[1]!S_Info_Name(W4871)</f>
        <v>微芯生物</v>
      </c>
      <c r="Y4871" s="276" t="str">
        <f ca="1">IF($Y$3="申万一级行业",[1]!s_info_industry_sw_2021(W4871,公司分析!D$5,1),IF($Y$3="申万二级行业",[1]!s_info_industry_sw_2021(W4871,公司分析!D$5,2),IF($Y$3="申万三级行业",[1]!s_info_industry_sw_2021(W4871,公司分析!D$5,3),IF($Y$3="wind一级行业",[1]!s_info_industry_gics(W4871,1),IF($Y$3="wind二级行业",[1]!s_info_industry_gics(W4871,2),IF($Y$3="wind三级行业",[1]!s_info_industry_gics(W4871,3),IF($Y$3="wind四级行业",[1]!s_info_industry_gics(W4871,4),IF($Y$3="证监会门类行业",[1]!s_info_industry_csrc12_n(W4871,公司分析!D$5,1),""))))))))</f>
        <v>化学制药</v>
      </c>
      <c r="Z4871" s="302" t="str">
        <f ca="1">IF(Y4871=行业比较!$E$6,ROW(),"")</f>
        <v/>
      </c>
    </row>
    <row r="4872" spans="22:26">
      <c r="V4872" s="260">
        <f t="shared" ca="1" si="84"/>
        <v>0</v>
      </c>
      <c r="W4872" s="348" t="str">
        <f>IF(板块成分!B4874="","",板块成分!B4874)</f>
        <v>688322.SH</v>
      </c>
      <c r="X4872" s="276" t="str">
        <f>[1]!S_Info_Name(W4872)</f>
        <v>奥比中光-UW</v>
      </c>
      <c r="Y4872" s="276" t="str">
        <f ca="1">IF($Y$3="申万一级行业",[1]!s_info_industry_sw_2021(W4872,公司分析!D$5,1),IF($Y$3="申万二级行业",[1]!s_info_industry_sw_2021(W4872,公司分析!D$5,2),IF($Y$3="申万三级行业",[1]!s_info_industry_sw_2021(W4872,公司分析!D$5,3),IF($Y$3="wind一级行业",[1]!s_info_industry_gics(W4872,1),IF($Y$3="wind二级行业",[1]!s_info_industry_gics(W4872,2),IF($Y$3="wind三级行业",[1]!s_info_industry_gics(W4872,3),IF($Y$3="wind四级行业",[1]!s_info_industry_gics(W4872,4),IF($Y$3="证监会门类行业",[1]!s_info_industry_csrc12_n(W4872,公司分析!D$5,1),""))))))))</f>
        <v>光学光电子</v>
      </c>
      <c r="Z4872" s="302" t="str">
        <f ca="1">IF(Y4872=行业比较!$E$6,ROW(),"")</f>
        <v/>
      </c>
    </row>
    <row r="4873" spans="22:26">
      <c r="V4873" s="260">
        <f t="shared" ca="1" si="84"/>
        <v>0</v>
      </c>
      <c r="W4873" s="348" t="str">
        <f>IF(板块成分!B4875="","",板块成分!B4875)</f>
        <v>688323.SH</v>
      </c>
      <c r="X4873" s="276" t="str">
        <f>[1]!S_Info_Name(W4873)</f>
        <v>瑞华泰</v>
      </c>
      <c r="Y4873" s="276" t="str">
        <f ca="1">IF($Y$3="申万一级行业",[1]!s_info_industry_sw_2021(W4873,公司分析!D$5,1),IF($Y$3="申万二级行业",[1]!s_info_industry_sw_2021(W4873,公司分析!D$5,2),IF($Y$3="申万三级行业",[1]!s_info_industry_sw_2021(W4873,公司分析!D$5,3),IF($Y$3="wind一级行业",[1]!s_info_industry_gics(W4873,1),IF($Y$3="wind二级行业",[1]!s_info_industry_gics(W4873,2),IF($Y$3="wind三级行业",[1]!s_info_industry_gics(W4873,3),IF($Y$3="wind四级行业",[1]!s_info_industry_gics(W4873,4),IF($Y$3="证监会门类行业",[1]!s_info_industry_csrc12_n(W4873,公司分析!D$5,1),""))))))))</f>
        <v>塑料</v>
      </c>
      <c r="Z4873" s="302" t="str">
        <f ca="1">IF(Y4873=行业比较!$E$6,ROW(),"")</f>
        <v/>
      </c>
    </row>
    <row r="4874" spans="22:26">
      <c r="V4874" s="260">
        <f t="shared" ca="1" si="84"/>
        <v>0</v>
      </c>
      <c r="W4874" s="348" t="str">
        <f>IF(板块成分!B4876="","",板块成分!B4876)</f>
        <v>688325.SH</v>
      </c>
      <c r="X4874" s="276" t="str">
        <f>[1]!S_Info_Name(W4874)</f>
        <v>赛微微电</v>
      </c>
      <c r="Y4874" s="276" t="str">
        <f ca="1">IF($Y$3="申万一级行业",[1]!s_info_industry_sw_2021(W4874,公司分析!D$5,1),IF($Y$3="申万二级行业",[1]!s_info_industry_sw_2021(W4874,公司分析!D$5,2),IF($Y$3="申万三级行业",[1]!s_info_industry_sw_2021(W4874,公司分析!D$5,3),IF($Y$3="wind一级行业",[1]!s_info_industry_gics(W4874,1),IF($Y$3="wind二级行业",[1]!s_info_industry_gics(W4874,2),IF($Y$3="wind三级行业",[1]!s_info_industry_gics(W4874,3),IF($Y$3="wind四级行业",[1]!s_info_industry_gics(W4874,4),IF($Y$3="证监会门类行业",[1]!s_info_industry_csrc12_n(W4874,公司分析!D$5,1),""))))))))</f>
        <v>半导体</v>
      </c>
      <c r="Z4874" s="302" t="str">
        <f ca="1">IF(Y4874=行业比较!$E$6,ROW(),"")</f>
        <v/>
      </c>
    </row>
    <row r="4875" spans="22:26">
      <c r="V4875" s="260">
        <f t="shared" ca="1" si="84"/>
        <v>0</v>
      </c>
      <c r="W4875" s="348" t="str">
        <f>IF(板块成分!B4877="","",板块成分!B4877)</f>
        <v>688326.SH</v>
      </c>
      <c r="X4875" s="276" t="str">
        <f>[1]!S_Info_Name(W4875)</f>
        <v>经纬恒润-W</v>
      </c>
      <c r="Y4875" s="276" t="str">
        <f ca="1">IF($Y$3="申万一级行业",[1]!s_info_industry_sw_2021(W4875,公司分析!D$5,1),IF($Y$3="申万二级行业",[1]!s_info_industry_sw_2021(W4875,公司分析!D$5,2),IF($Y$3="申万三级行业",[1]!s_info_industry_sw_2021(W4875,公司分析!D$5,3),IF($Y$3="wind一级行业",[1]!s_info_industry_gics(W4875,1),IF($Y$3="wind二级行业",[1]!s_info_industry_gics(W4875,2),IF($Y$3="wind三级行业",[1]!s_info_industry_gics(W4875,3),IF($Y$3="wind四级行业",[1]!s_info_industry_gics(W4875,4),IF($Y$3="证监会门类行业",[1]!s_info_industry_csrc12_n(W4875,公司分析!D$5,1),""))))))))</f>
        <v>软件开发</v>
      </c>
      <c r="Z4875" s="302" t="str">
        <f ca="1">IF(Y4875=行业比较!$E$6,ROW(),"")</f>
        <v/>
      </c>
    </row>
    <row r="4876" spans="22:26">
      <c r="V4876" s="260">
        <f t="shared" ca="1" si="84"/>
        <v>0</v>
      </c>
      <c r="W4876" s="348" t="str">
        <f>IF(板块成分!B4878="","",板块成分!B4878)</f>
        <v>688327.SH</v>
      </c>
      <c r="X4876" s="276" t="str">
        <f>[1]!S_Info_Name(W4876)</f>
        <v>云从科技-UW</v>
      </c>
      <c r="Y4876" s="276" t="str">
        <f ca="1">IF($Y$3="申万一级行业",[1]!s_info_industry_sw_2021(W4876,公司分析!D$5,1),IF($Y$3="申万二级行业",[1]!s_info_industry_sw_2021(W4876,公司分析!D$5,2),IF($Y$3="申万三级行业",[1]!s_info_industry_sw_2021(W4876,公司分析!D$5,3),IF($Y$3="wind一级行业",[1]!s_info_industry_gics(W4876,1),IF($Y$3="wind二级行业",[1]!s_info_industry_gics(W4876,2),IF($Y$3="wind三级行业",[1]!s_info_industry_gics(W4876,3),IF($Y$3="wind四级行业",[1]!s_info_industry_gics(W4876,4),IF($Y$3="证监会门类行业",[1]!s_info_industry_csrc12_n(W4876,公司分析!D$5,1),""))))))))</f>
        <v>IT服务Ⅱ</v>
      </c>
      <c r="Z4876" s="302" t="str">
        <f ca="1">IF(Y4876=行业比较!$E$6,ROW(),"")</f>
        <v/>
      </c>
    </row>
    <row r="4877" spans="22:26">
      <c r="V4877" s="260">
        <f t="shared" ca="1" si="84"/>
        <v>0</v>
      </c>
      <c r="W4877" s="348" t="str">
        <f>IF(板块成分!B4879="","",板块成分!B4879)</f>
        <v>688328.SH</v>
      </c>
      <c r="X4877" s="276" t="str">
        <f>[1]!S_Info_Name(W4877)</f>
        <v>深科达</v>
      </c>
      <c r="Y4877" s="276" t="str">
        <f ca="1">IF($Y$3="申万一级行业",[1]!s_info_industry_sw_2021(W4877,公司分析!D$5,1),IF($Y$3="申万二级行业",[1]!s_info_industry_sw_2021(W4877,公司分析!D$5,2),IF($Y$3="申万三级行业",[1]!s_info_industry_sw_2021(W4877,公司分析!D$5,3),IF($Y$3="wind一级行业",[1]!s_info_industry_gics(W4877,1),IF($Y$3="wind二级行业",[1]!s_info_industry_gics(W4877,2),IF($Y$3="wind三级行业",[1]!s_info_industry_gics(W4877,3),IF($Y$3="wind四级行业",[1]!s_info_industry_gics(W4877,4),IF($Y$3="证监会门类行业",[1]!s_info_industry_csrc12_n(W4877,公司分析!D$5,1),""))))))))</f>
        <v>专用设备</v>
      </c>
      <c r="Z4877" s="302" t="str">
        <f ca="1">IF(Y4877=行业比较!$E$6,ROW(),"")</f>
        <v/>
      </c>
    </row>
    <row r="4878" spans="22:26">
      <c r="V4878" s="260">
        <f t="shared" ca="1" si="84"/>
        <v>0</v>
      </c>
      <c r="W4878" s="348" t="str">
        <f>IF(板块成分!B4880="","",板块成分!B4880)</f>
        <v>688329.SH</v>
      </c>
      <c r="X4878" s="276" t="str">
        <f>[1]!S_Info_Name(W4878)</f>
        <v>艾隆科技</v>
      </c>
      <c r="Y4878" s="276" t="str">
        <f ca="1">IF($Y$3="申万一级行业",[1]!s_info_industry_sw_2021(W4878,公司分析!D$5,1),IF($Y$3="申万二级行业",[1]!s_info_industry_sw_2021(W4878,公司分析!D$5,2),IF($Y$3="申万三级行业",[1]!s_info_industry_sw_2021(W4878,公司分析!D$5,3),IF($Y$3="wind一级行业",[1]!s_info_industry_gics(W4878,1),IF($Y$3="wind二级行业",[1]!s_info_industry_gics(W4878,2),IF($Y$3="wind三级行业",[1]!s_info_industry_gics(W4878,3),IF($Y$3="wind四级行业",[1]!s_info_industry_gics(W4878,4),IF($Y$3="证监会门类行业",[1]!s_info_industry_csrc12_n(W4878,公司分析!D$5,1),""))))))))</f>
        <v>自动化设备</v>
      </c>
      <c r="Z4878" s="302" t="str">
        <f ca="1">IF(Y4878=行业比较!$E$6,ROW(),"")</f>
        <v/>
      </c>
    </row>
    <row r="4879" spans="22:26">
      <c r="V4879" s="260">
        <f t="shared" ca="1" si="84"/>
        <v>0</v>
      </c>
      <c r="W4879" s="348" t="str">
        <f>IF(板块成分!B4881="","",板块成分!B4881)</f>
        <v>688330.SH</v>
      </c>
      <c r="X4879" s="276" t="str">
        <f>[1]!S_Info_Name(W4879)</f>
        <v>宏力达</v>
      </c>
      <c r="Y4879" s="276" t="str">
        <f ca="1">IF($Y$3="申万一级行业",[1]!s_info_industry_sw_2021(W4879,公司分析!D$5,1),IF($Y$3="申万二级行业",[1]!s_info_industry_sw_2021(W4879,公司分析!D$5,2),IF($Y$3="申万三级行业",[1]!s_info_industry_sw_2021(W4879,公司分析!D$5,3),IF($Y$3="wind一级行业",[1]!s_info_industry_gics(W4879,1),IF($Y$3="wind二级行业",[1]!s_info_industry_gics(W4879,2),IF($Y$3="wind三级行业",[1]!s_info_industry_gics(W4879,3),IF($Y$3="wind四级行业",[1]!s_info_industry_gics(W4879,4),IF($Y$3="证监会门类行业",[1]!s_info_industry_csrc12_n(W4879,公司分析!D$5,1),""))))))))</f>
        <v>电网设备</v>
      </c>
      <c r="Z4879" s="302" t="str">
        <f ca="1">IF(Y4879=行业比较!$E$6,ROW(),"")</f>
        <v/>
      </c>
    </row>
    <row r="4880" spans="22:26">
      <c r="V4880" s="260">
        <f t="shared" ca="1" si="84"/>
        <v>0</v>
      </c>
      <c r="W4880" s="348" t="str">
        <f>IF(板块成分!B4882="","",板块成分!B4882)</f>
        <v>688331.SH</v>
      </c>
      <c r="X4880" s="276" t="str">
        <f>[1]!S_Info_Name(W4880)</f>
        <v>荣昌生物</v>
      </c>
      <c r="Y4880" s="276" t="str">
        <f ca="1">IF($Y$3="申万一级行业",[1]!s_info_industry_sw_2021(W4880,公司分析!D$5,1),IF($Y$3="申万二级行业",[1]!s_info_industry_sw_2021(W4880,公司分析!D$5,2),IF($Y$3="申万三级行业",[1]!s_info_industry_sw_2021(W4880,公司分析!D$5,3),IF($Y$3="wind一级行业",[1]!s_info_industry_gics(W4880,1),IF($Y$3="wind二级行业",[1]!s_info_industry_gics(W4880,2),IF($Y$3="wind三级行业",[1]!s_info_industry_gics(W4880,3),IF($Y$3="wind四级行业",[1]!s_info_industry_gics(W4880,4),IF($Y$3="证监会门类行业",[1]!s_info_industry_csrc12_n(W4880,公司分析!D$5,1),""))))))))</f>
        <v>生物制品</v>
      </c>
      <c r="Z4880" s="302" t="str">
        <f ca="1">IF(Y4880=行业比较!$E$6,ROW(),"")</f>
        <v/>
      </c>
    </row>
    <row r="4881" spans="22:26">
      <c r="V4881" s="260">
        <f t="shared" ca="1" si="84"/>
        <v>0</v>
      </c>
      <c r="W4881" s="348" t="str">
        <f>IF(板块成分!B4883="","",板块成分!B4883)</f>
        <v>688332.SH</v>
      </c>
      <c r="X4881" s="276" t="str">
        <f>[1]!S_Info_Name(W4881)</f>
        <v>中科蓝讯</v>
      </c>
      <c r="Y4881" s="276" t="str">
        <f ca="1">IF($Y$3="申万一级行业",[1]!s_info_industry_sw_2021(W4881,公司分析!D$5,1),IF($Y$3="申万二级行业",[1]!s_info_industry_sw_2021(W4881,公司分析!D$5,2),IF($Y$3="申万三级行业",[1]!s_info_industry_sw_2021(W4881,公司分析!D$5,3),IF($Y$3="wind一级行业",[1]!s_info_industry_gics(W4881,1),IF($Y$3="wind二级行业",[1]!s_info_industry_gics(W4881,2),IF($Y$3="wind三级行业",[1]!s_info_industry_gics(W4881,3),IF($Y$3="wind四级行业",[1]!s_info_industry_gics(W4881,4),IF($Y$3="证监会门类行业",[1]!s_info_industry_csrc12_n(W4881,公司分析!D$5,1),""))))))))</f>
        <v>半导体</v>
      </c>
      <c r="Z4881" s="302" t="str">
        <f ca="1">IF(Y4881=行业比较!$E$6,ROW(),"")</f>
        <v/>
      </c>
    </row>
    <row r="4882" spans="22:26">
      <c r="V4882" s="260">
        <f t="shared" ca="1" si="84"/>
        <v>0</v>
      </c>
      <c r="W4882" s="348" t="str">
        <f>IF(板块成分!B4884="","",板块成分!B4884)</f>
        <v>688333.SH</v>
      </c>
      <c r="X4882" s="276" t="str">
        <f>[1]!S_Info_Name(W4882)</f>
        <v>铂力特</v>
      </c>
      <c r="Y4882" s="276" t="str">
        <f ca="1">IF($Y$3="申万一级行业",[1]!s_info_industry_sw_2021(W4882,公司分析!D$5,1),IF($Y$3="申万二级行业",[1]!s_info_industry_sw_2021(W4882,公司分析!D$5,2),IF($Y$3="申万三级行业",[1]!s_info_industry_sw_2021(W4882,公司分析!D$5,3),IF($Y$3="wind一级行业",[1]!s_info_industry_gics(W4882,1),IF($Y$3="wind二级行业",[1]!s_info_industry_gics(W4882,2),IF($Y$3="wind三级行业",[1]!s_info_industry_gics(W4882,3),IF($Y$3="wind四级行业",[1]!s_info_industry_gics(W4882,4),IF($Y$3="证监会门类行业",[1]!s_info_industry_csrc12_n(W4882,公司分析!D$5,1),""))))))))</f>
        <v>通用设备</v>
      </c>
      <c r="Z4882" s="302" t="str">
        <f ca="1">IF(Y4882=行业比较!$E$6,ROW(),"")</f>
        <v/>
      </c>
    </row>
    <row r="4883" spans="22:26">
      <c r="V4883" s="260">
        <f t="shared" ca="1" si="84"/>
        <v>0</v>
      </c>
      <c r="W4883" s="348" t="str">
        <f>IF(板块成分!B4885="","",板块成分!B4885)</f>
        <v>688334.SH</v>
      </c>
      <c r="X4883" s="276" t="str">
        <f>[1]!S_Info_Name(W4883)</f>
        <v>西高院</v>
      </c>
      <c r="Y4883" s="276" t="str">
        <f ca="1">IF($Y$3="申万一级行业",[1]!s_info_industry_sw_2021(W4883,公司分析!D$5,1),IF($Y$3="申万二级行业",[1]!s_info_industry_sw_2021(W4883,公司分析!D$5,2),IF($Y$3="申万三级行业",[1]!s_info_industry_sw_2021(W4883,公司分析!D$5,3),IF($Y$3="wind一级行业",[1]!s_info_industry_gics(W4883,1),IF($Y$3="wind二级行业",[1]!s_info_industry_gics(W4883,2),IF($Y$3="wind三级行业",[1]!s_info_industry_gics(W4883,3),IF($Y$3="wind四级行业",[1]!s_info_industry_gics(W4883,4),IF($Y$3="证监会门类行业",[1]!s_info_industry_csrc12_n(W4883,公司分析!D$5,1),""))))))))</f>
        <v>专业服务</v>
      </c>
      <c r="Z4883" s="302" t="str">
        <f ca="1">IF(Y4883=行业比较!$E$6,ROW(),"")</f>
        <v/>
      </c>
    </row>
    <row r="4884" spans="22:26">
      <c r="V4884" s="260">
        <f t="shared" ca="1" si="84"/>
        <v>0</v>
      </c>
      <c r="W4884" s="348" t="str">
        <f>IF(板块成分!B4886="","",板块成分!B4886)</f>
        <v>688335.SH</v>
      </c>
      <c r="X4884" s="276" t="str">
        <f>[1]!S_Info_Name(W4884)</f>
        <v>复洁科技</v>
      </c>
      <c r="Y4884" s="276" t="str">
        <f ca="1">IF($Y$3="申万一级行业",[1]!s_info_industry_sw_2021(W4884,公司分析!D$5,1),IF($Y$3="申万二级行业",[1]!s_info_industry_sw_2021(W4884,公司分析!D$5,2),IF($Y$3="申万三级行业",[1]!s_info_industry_sw_2021(W4884,公司分析!D$5,3),IF($Y$3="wind一级行业",[1]!s_info_industry_gics(W4884,1),IF($Y$3="wind二级行业",[1]!s_info_industry_gics(W4884,2),IF($Y$3="wind三级行业",[1]!s_info_industry_gics(W4884,3),IF($Y$3="wind四级行业",[1]!s_info_industry_gics(W4884,4),IF($Y$3="证监会门类行业",[1]!s_info_industry_csrc12_n(W4884,公司分析!D$5,1),""))))))))</f>
        <v>环境治理</v>
      </c>
      <c r="Z4884" s="302" t="str">
        <f ca="1">IF(Y4884=行业比较!$E$6,ROW(),"")</f>
        <v/>
      </c>
    </row>
    <row r="4885" spans="22:26">
      <c r="V4885" s="260">
        <f t="shared" ca="1" si="84"/>
        <v>0</v>
      </c>
      <c r="W4885" s="348" t="str">
        <f>IF(板块成分!B4887="","",板块成分!B4887)</f>
        <v>688336.SH</v>
      </c>
      <c r="X4885" s="276" t="str">
        <f>[1]!S_Info_Name(W4885)</f>
        <v>三生国健</v>
      </c>
      <c r="Y4885" s="276" t="str">
        <f ca="1">IF($Y$3="申万一级行业",[1]!s_info_industry_sw_2021(W4885,公司分析!D$5,1),IF($Y$3="申万二级行业",[1]!s_info_industry_sw_2021(W4885,公司分析!D$5,2),IF($Y$3="申万三级行业",[1]!s_info_industry_sw_2021(W4885,公司分析!D$5,3),IF($Y$3="wind一级行业",[1]!s_info_industry_gics(W4885,1),IF($Y$3="wind二级行业",[1]!s_info_industry_gics(W4885,2),IF($Y$3="wind三级行业",[1]!s_info_industry_gics(W4885,3),IF($Y$3="wind四级行业",[1]!s_info_industry_gics(W4885,4),IF($Y$3="证监会门类行业",[1]!s_info_industry_csrc12_n(W4885,公司分析!D$5,1),""))))))))</f>
        <v>生物制品</v>
      </c>
      <c r="Z4885" s="302" t="str">
        <f ca="1">IF(Y4885=行业比较!$E$6,ROW(),"")</f>
        <v/>
      </c>
    </row>
    <row r="4886" spans="22:26">
      <c r="V4886" s="260">
        <f t="shared" ca="1" si="84"/>
        <v>0</v>
      </c>
      <c r="W4886" s="348" t="str">
        <f>IF(板块成分!B4888="","",板块成分!B4888)</f>
        <v>688337.SH</v>
      </c>
      <c r="X4886" s="276" t="str">
        <f>[1]!S_Info_Name(W4886)</f>
        <v>普源精电</v>
      </c>
      <c r="Y4886" s="276" t="str">
        <f ca="1">IF($Y$3="申万一级行业",[1]!s_info_industry_sw_2021(W4886,公司分析!D$5,1),IF($Y$3="申万二级行业",[1]!s_info_industry_sw_2021(W4886,公司分析!D$5,2),IF($Y$3="申万三级行业",[1]!s_info_industry_sw_2021(W4886,公司分析!D$5,3),IF($Y$3="wind一级行业",[1]!s_info_industry_gics(W4886,1),IF($Y$3="wind二级行业",[1]!s_info_industry_gics(W4886,2),IF($Y$3="wind三级行业",[1]!s_info_industry_gics(W4886,3),IF($Y$3="wind四级行业",[1]!s_info_industry_gics(W4886,4),IF($Y$3="证监会门类行业",[1]!s_info_industry_csrc12_n(W4886,公司分析!D$5,1),""))))))))</f>
        <v>通用设备</v>
      </c>
      <c r="Z4886" s="302" t="str">
        <f ca="1">IF(Y4886=行业比较!$E$6,ROW(),"")</f>
        <v/>
      </c>
    </row>
    <row r="4887" spans="22:26">
      <c r="V4887" s="260">
        <f t="shared" ca="1" si="84"/>
        <v>0</v>
      </c>
      <c r="W4887" s="348" t="str">
        <f>IF(板块成分!B4889="","",板块成分!B4889)</f>
        <v>688338.SH</v>
      </c>
      <c r="X4887" s="276" t="str">
        <f>[1]!S_Info_Name(W4887)</f>
        <v>赛科希德</v>
      </c>
      <c r="Y4887" s="276" t="str">
        <f ca="1">IF($Y$3="申万一级行业",[1]!s_info_industry_sw_2021(W4887,公司分析!D$5,1),IF($Y$3="申万二级行业",[1]!s_info_industry_sw_2021(W4887,公司分析!D$5,2),IF($Y$3="申万三级行业",[1]!s_info_industry_sw_2021(W4887,公司分析!D$5,3),IF($Y$3="wind一级行业",[1]!s_info_industry_gics(W4887,1),IF($Y$3="wind二级行业",[1]!s_info_industry_gics(W4887,2),IF($Y$3="wind三级行业",[1]!s_info_industry_gics(W4887,3),IF($Y$3="wind四级行业",[1]!s_info_industry_gics(W4887,4),IF($Y$3="证监会门类行业",[1]!s_info_industry_csrc12_n(W4887,公司分析!D$5,1),""))))))))</f>
        <v>医疗器械</v>
      </c>
      <c r="Z4887" s="302" t="str">
        <f ca="1">IF(Y4887=行业比较!$E$6,ROW(),"")</f>
        <v/>
      </c>
    </row>
    <row r="4888" spans="22:26">
      <c r="V4888" s="260">
        <f t="shared" ca="1" si="84"/>
        <v>0</v>
      </c>
      <c r="W4888" s="348" t="str">
        <f>IF(板块成分!B4890="","",板块成分!B4890)</f>
        <v>688339.SH</v>
      </c>
      <c r="X4888" s="276" t="str">
        <f>[1]!S_Info_Name(W4888)</f>
        <v>亿华通-U</v>
      </c>
      <c r="Y4888" s="276" t="str">
        <f ca="1">IF($Y$3="申万一级行业",[1]!s_info_industry_sw_2021(W4888,公司分析!D$5,1),IF($Y$3="申万二级行业",[1]!s_info_industry_sw_2021(W4888,公司分析!D$5,2),IF($Y$3="申万三级行业",[1]!s_info_industry_sw_2021(W4888,公司分析!D$5,3),IF($Y$3="wind一级行业",[1]!s_info_industry_gics(W4888,1),IF($Y$3="wind二级行业",[1]!s_info_industry_gics(W4888,2),IF($Y$3="wind三级行业",[1]!s_info_industry_gics(W4888,3),IF($Y$3="wind四级行业",[1]!s_info_industry_gics(W4888,4),IF($Y$3="证监会门类行业",[1]!s_info_industry_csrc12_n(W4888,公司分析!D$5,1),""))))))))</f>
        <v>电池</v>
      </c>
      <c r="Z4888" s="302" t="str">
        <f ca="1">IF(Y4888=行业比较!$E$6,ROW(),"")</f>
        <v/>
      </c>
    </row>
    <row r="4889" spans="22:26">
      <c r="V4889" s="260">
        <f t="shared" ca="1" si="84"/>
        <v>0</v>
      </c>
      <c r="W4889" s="348" t="str">
        <f>IF(板块成分!B4891="","",板块成分!B4891)</f>
        <v>688343.SH</v>
      </c>
      <c r="X4889" s="276" t="str">
        <f>[1]!S_Info_Name(W4889)</f>
        <v>云天励飞-U</v>
      </c>
      <c r="Y4889" s="276" t="str">
        <f ca="1">IF($Y$3="申万一级行业",[1]!s_info_industry_sw_2021(W4889,公司分析!D$5,1),IF($Y$3="申万二级行业",[1]!s_info_industry_sw_2021(W4889,公司分析!D$5,2),IF($Y$3="申万三级行业",[1]!s_info_industry_sw_2021(W4889,公司分析!D$5,3),IF($Y$3="wind一级行业",[1]!s_info_industry_gics(W4889,1),IF($Y$3="wind二级行业",[1]!s_info_industry_gics(W4889,2),IF($Y$3="wind三级行业",[1]!s_info_industry_gics(W4889,3),IF($Y$3="wind四级行业",[1]!s_info_industry_gics(W4889,4),IF($Y$3="证监会门类行业",[1]!s_info_industry_csrc12_n(W4889,公司分析!D$5,1),""))))))))</f>
        <v>IT服务Ⅱ</v>
      </c>
      <c r="Z4889" s="302" t="str">
        <f ca="1">IF(Y4889=行业比较!$E$6,ROW(),"")</f>
        <v/>
      </c>
    </row>
    <row r="4890" spans="22:26">
      <c r="V4890" s="260">
        <f t="shared" ca="1" si="84"/>
        <v>0</v>
      </c>
      <c r="W4890" s="348" t="str">
        <f>IF(板块成分!B4892="","",板块成分!B4892)</f>
        <v>688345.SH</v>
      </c>
      <c r="X4890" s="276" t="str">
        <f>[1]!S_Info_Name(W4890)</f>
        <v>博力威</v>
      </c>
      <c r="Y4890" s="276" t="str">
        <f ca="1">IF($Y$3="申万一级行业",[1]!s_info_industry_sw_2021(W4890,公司分析!D$5,1),IF($Y$3="申万二级行业",[1]!s_info_industry_sw_2021(W4890,公司分析!D$5,2),IF($Y$3="申万三级行业",[1]!s_info_industry_sw_2021(W4890,公司分析!D$5,3),IF($Y$3="wind一级行业",[1]!s_info_industry_gics(W4890,1),IF($Y$3="wind二级行业",[1]!s_info_industry_gics(W4890,2),IF($Y$3="wind三级行业",[1]!s_info_industry_gics(W4890,3),IF($Y$3="wind四级行业",[1]!s_info_industry_gics(W4890,4),IF($Y$3="证监会门类行业",[1]!s_info_industry_csrc12_n(W4890,公司分析!D$5,1),""))))))))</f>
        <v>电池</v>
      </c>
      <c r="Z4890" s="302" t="str">
        <f ca="1">IF(Y4890=行业比较!$E$6,ROW(),"")</f>
        <v/>
      </c>
    </row>
    <row r="4891" spans="22:26">
      <c r="V4891" s="260">
        <f t="shared" ca="1" si="84"/>
        <v>0</v>
      </c>
      <c r="W4891" s="348" t="str">
        <f>IF(板块成分!B4893="","",板块成分!B4893)</f>
        <v>688347.SH</v>
      </c>
      <c r="X4891" s="276" t="str">
        <f>[1]!S_Info_Name(W4891)</f>
        <v>华虹公司</v>
      </c>
      <c r="Y4891" s="276" t="str">
        <f ca="1">IF($Y$3="申万一级行业",[1]!s_info_industry_sw_2021(W4891,公司分析!D$5,1),IF($Y$3="申万二级行业",[1]!s_info_industry_sw_2021(W4891,公司分析!D$5,2),IF($Y$3="申万三级行业",[1]!s_info_industry_sw_2021(W4891,公司分析!D$5,3),IF($Y$3="wind一级行业",[1]!s_info_industry_gics(W4891,1),IF($Y$3="wind二级行业",[1]!s_info_industry_gics(W4891,2),IF($Y$3="wind三级行业",[1]!s_info_industry_gics(W4891,3),IF($Y$3="wind四级行业",[1]!s_info_industry_gics(W4891,4),IF($Y$3="证监会门类行业",[1]!s_info_industry_csrc12_n(W4891,公司分析!D$5,1),""))))))))</f>
        <v>半导体</v>
      </c>
      <c r="Z4891" s="302" t="str">
        <f ca="1">IF(Y4891=行业比较!$E$6,ROW(),"")</f>
        <v/>
      </c>
    </row>
    <row r="4892" spans="22:26">
      <c r="V4892" s="260">
        <f t="shared" ca="1" si="84"/>
        <v>0</v>
      </c>
      <c r="W4892" s="348" t="str">
        <f>IF(板块成分!B4894="","",板块成分!B4894)</f>
        <v>688348.SH</v>
      </c>
      <c r="X4892" s="276" t="str">
        <f>[1]!S_Info_Name(W4892)</f>
        <v>昱能科技</v>
      </c>
      <c r="Y4892" s="276" t="str">
        <f ca="1">IF($Y$3="申万一级行业",[1]!s_info_industry_sw_2021(W4892,公司分析!D$5,1),IF($Y$3="申万二级行业",[1]!s_info_industry_sw_2021(W4892,公司分析!D$5,2),IF($Y$3="申万三级行业",[1]!s_info_industry_sw_2021(W4892,公司分析!D$5,3),IF($Y$3="wind一级行业",[1]!s_info_industry_gics(W4892,1),IF($Y$3="wind二级行业",[1]!s_info_industry_gics(W4892,2),IF($Y$3="wind三级行业",[1]!s_info_industry_gics(W4892,3),IF($Y$3="wind四级行业",[1]!s_info_industry_gics(W4892,4),IF($Y$3="证监会门类行业",[1]!s_info_industry_csrc12_n(W4892,公司分析!D$5,1),""))))))))</f>
        <v>光伏设备</v>
      </c>
      <c r="Z4892" s="302" t="str">
        <f ca="1">IF(Y4892=行业比较!$E$6,ROW(),"")</f>
        <v/>
      </c>
    </row>
    <row r="4893" spans="22:26">
      <c r="V4893" s="260">
        <f t="shared" ca="1" si="84"/>
        <v>0</v>
      </c>
      <c r="W4893" s="348" t="str">
        <f>IF(板块成分!B4895="","",板块成分!B4895)</f>
        <v>688349.SH</v>
      </c>
      <c r="X4893" s="276" t="str">
        <f>[1]!S_Info_Name(W4893)</f>
        <v>三一重能</v>
      </c>
      <c r="Y4893" s="276" t="str">
        <f ca="1">IF($Y$3="申万一级行业",[1]!s_info_industry_sw_2021(W4893,公司分析!D$5,1),IF($Y$3="申万二级行业",[1]!s_info_industry_sw_2021(W4893,公司分析!D$5,2),IF($Y$3="申万三级行业",[1]!s_info_industry_sw_2021(W4893,公司分析!D$5,3),IF($Y$3="wind一级行业",[1]!s_info_industry_gics(W4893,1),IF($Y$3="wind二级行业",[1]!s_info_industry_gics(W4893,2),IF($Y$3="wind三级行业",[1]!s_info_industry_gics(W4893,3),IF($Y$3="wind四级行业",[1]!s_info_industry_gics(W4893,4),IF($Y$3="证监会门类行业",[1]!s_info_industry_csrc12_n(W4893,公司分析!D$5,1),""))))))))</f>
        <v>风电设备</v>
      </c>
      <c r="Z4893" s="302" t="str">
        <f ca="1">IF(Y4893=行业比较!$E$6,ROW(),"")</f>
        <v/>
      </c>
    </row>
    <row r="4894" spans="22:26">
      <c r="V4894" s="260">
        <f t="shared" ca="1" si="84"/>
        <v>0</v>
      </c>
      <c r="W4894" s="348" t="str">
        <f>IF(板块成分!B4896="","",板块成分!B4896)</f>
        <v>688350.SH</v>
      </c>
      <c r="X4894" s="276" t="str">
        <f>[1]!S_Info_Name(W4894)</f>
        <v>富淼科技</v>
      </c>
      <c r="Y4894" s="276" t="str">
        <f ca="1">IF($Y$3="申万一级行业",[1]!s_info_industry_sw_2021(W4894,公司分析!D$5,1),IF($Y$3="申万二级行业",[1]!s_info_industry_sw_2021(W4894,公司分析!D$5,2),IF($Y$3="申万三级行业",[1]!s_info_industry_sw_2021(W4894,公司分析!D$5,3),IF($Y$3="wind一级行业",[1]!s_info_industry_gics(W4894,1),IF($Y$3="wind二级行业",[1]!s_info_industry_gics(W4894,2),IF($Y$3="wind三级行业",[1]!s_info_industry_gics(W4894,3),IF($Y$3="wind四级行业",[1]!s_info_industry_gics(W4894,4),IF($Y$3="证监会门类行业",[1]!s_info_industry_csrc12_n(W4894,公司分析!D$5,1),""))))))))</f>
        <v>化学制品</v>
      </c>
      <c r="Z4894" s="302" t="str">
        <f ca="1">IF(Y4894=行业比较!$E$6,ROW(),"")</f>
        <v/>
      </c>
    </row>
    <row r="4895" spans="22:26">
      <c r="V4895" s="260">
        <f t="shared" ca="1" si="84"/>
        <v>0</v>
      </c>
      <c r="W4895" s="348" t="str">
        <f>IF(板块成分!B4897="","",板块成分!B4897)</f>
        <v>688351.SH</v>
      </c>
      <c r="X4895" s="276" t="str">
        <f>[1]!S_Info_Name(W4895)</f>
        <v>微电生理</v>
      </c>
      <c r="Y4895" s="276" t="str">
        <f ca="1">IF($Y$3="申万一级行业",[1]!s_info_industry_sw_2021(W4895,公司分析!D$5,1),IF($Y$3="申万二级行业",[1]!s_info_industry_sw_2021(W4895,公司分析!D$5,2),IF($Y$3="申万三级行业",[1]!s_info_industry_sw_2021(W4895,公司分析!D$5,3),IF($Y$3="wind一级行业",[1]!s_info_industry_gics(W4895,1),IF($Y$3="wind二级行业",[1]!s_info_industry_gics(W4895,2),IF($Y$3="wind三级行业",[1]!s_info_industry_gics(W4895,3),IF($Y$3="wind四级行业",[1]!s_info_industry_gics(W4895,4),IF($Y$3="证监会门类行业",[1]!s_info_industry_csrc12_n(W4895,公司分析!D$5,1),""))))))))</f>
        <v>医疗器械</v>
      </c>
      <c r="Z4895" s="302" t="str">
        <f ca="1">IF(Y4895=行业比较!$E$6,ROW(),"")</f>
        <v/>
      </c>
    </row>
    <row r="4896" spans="22:26">
      <c r="V4896" s="260">
        <f t="shared" ca="1" si="84"/>
        <v>0</v>
      </c>
      <c r="W4896" s="348" t="str">
        <f>IF(板块成分!B4898="","",板块成分!B4898)</f>
        <v>688352.SH</v>
      </c>
      <c r="X4896" s="276" t="str">
        <f>[1]!S_Info_Name(W4896)</f>
        <v>颀中科技</v>
      </c>
      <c r="Y4896" s="276" t="str">
        <f ca="1">IF($Y$3="申万一级行业",[1]!s_info_industry_sw_2021(W4896,公司分析!D$5,1),IF($Y$3="申万二级行业",[1]!s_info_industry_sw_2021(W4896,公司分析!D$5,2),IF($Y$3="申万三级行业",[1]!s_info_industry_sw_2021(W4896,公司分析!D$5,3),IF($Y$3="wind一级行业",[1]!s_info_industry_gics(W4896,1),IF($Y$3="wind二级行业",[1]!s_info_industry_gics(W4896,2),IF($Y$3="wind三级行业",[1]!s_info_industry_gics(W4896,3),IF($Y$3="wind四级行业",[1]!s_info_industry_gics(W4896,4),IF($Y$3="证监会门类行业",[1]!s_info_industry_csrc12_n(W4896,公司分析!D$5,1),""))))))))</f>
        <v>半导体</v>
      </c>
      <c r="Z4896" s="302" t="str">
        <f ca="1">IF(Y4896=行业比较!$E$6,ROW(),"")</f>
        <v/>
      </c>
    </row>
    <row r="4897" spans="22:26">
      <c r="V4897" s="260">
        <f t="shared" ca="1" si="84"/>
        <v>0</v>
      </c>
      <c r="W4897" s="348" t="str">
        <f>IF(板块成分!B4899="","",板块成分!B4899)</f>
        <v>688353.SH</v>
      </c>
      <c r="X4897" s="276" t="str">
        <f>[1]!S_Info_Name(W4897)</f>
        <v>华盛锂电</v>
      </c>
      <c r="Y4897" s="276" t="str">
        <f ca="1">IF($Y$3="申万一级行业",[1]!s_info_industry_sw_2021(W4897,公司分析!D$5,1),IF($Y$3="申万二级行业",[1]!s_info_industry_sw_2021(W4897,公司分析!D$5,2),IF($Y$3="申万三级行业",[1]!s_info_industry_sw_2021(W4897,公司分析!D$5,3),IF($Y$3="wind一级行业",[1]!s_info_industry_gics(W4897,1),IF($Y$3="wind二级行业",[1]!s_info_industry_gics(W4897,2),IF($Y$3="wind三级行业",[1]!s_info_industry_gics(W4897,3),IF($Y$3="wind四级行业",[1]!s_info_industry_gics(W4897,4),IF($Y$3="证监会门类行业",[1]!s_info_industry_csrc12_n(W4897,公司分析!D$5,1),""))))))))</f>
        <v>电池</v>
      </c>
      <c r="Z4897" s="302" t="str">
        <f ca="1">IF(Y4897=行业比较!$E$6,ROW(),"")</f>
        <v/>
      </c>
    </row>
    <row r="4898" spans="22:26">
      <c r="V4898" s="260">
        <f t="shared" ca="1" si="84"/>
        <v>0</v>
      </c>
      <c r="W4898" s="348" t="str">
        <f>IF(板块成分!B4900="","",板块成分!B4900)</f>
        <v>688355.SH</v>
      </c>
      <c r="X4898" s="276" t="str">
        <f>[1]!S_Info_Name(W4898)</f>
        <v>明志科技</v>
      </c>
      <c r="Y4898" s="276" t="str">
        <f ca="1">IF($Y$3="申万一级行业",[1]!s_info_industry_sw_2021(W4898,公司分析!D$5,1),IF($Y$3="申万二级行业",[1]!s_info_industry_sw_2021(W4898,公司分析!D$5,2),IF($Y$3="申万三级行业",[1]!s_info_industry_sw_2021(W4898,公司分析!D$5,3),IF($Y$3="wind一级行业",[1]!s_info_industry_gics(W4898,1),IF($Y$3="wind二级行业",[1]!s_info_industry_gics(W4898,2),IF($Y$3="wind三级行业",[1]!s_info_industry_gics(W4898,3),IF($Y$3="wind四级行业",[1]!s_info_industry_gics(W4898,4),IF($Y$3="证监会门类行业",[1]!s_info_industry_csrc12_n(W4898,公司分析!D$5,1),""))))))))</f>
        <v>通用设备</v>
      </c>
      <c r="Z4898" s="302" t="str">
        <f ca="1">IF(Y4898=行业比较!$E$6,ROW(),"")</f>
        <v/>
      </c>
    </row>
    <row r="4899" spans="22:26">
      <c r="V4899" s="260">
        <f t="shared" ca="1" si="84"/>
        <v>0</v>
      </c>
      <c r="W4899" s="348" t="str">
        <f>IF(板块成分!B4901="","",板块成分!B4901)</f>
        <v>688356.SH</v>
      </c>
      <c r="X4899" s="276" t="str">
        <f>[1]!S_Info_Name(W4899)</f>
        <v>键凯科技</v>
      </c>
      <c r="Y4899" s="276" t="str">
        <f ca="1">IF($Y$3="申万一级行业",[1]!s_info_industry_sw_2021(W4899,公司分析!D$5,1),IF($Y$3="申万二级行业",[1]!s_info_industry_sw_2021(W4899,公司分析!D$5,2),IF($Y$3="申万三级行业",[1]!s_info_industry_sw_2021(W4899,公司分析!D$5,3),IF($Y$3="wind一级行业",[1]!s_info_industry_gics(W4899,1),IF($Y$3="wind二级行业",[1]!s_info_industry_gics(W4899,2),IF($Y$3="wind三级行业",[1]!s_info_industry_gics(W4899,3),IF($Y$3="wind四级行业",[1]!s_info_industry_gics(W4899,4),IF($Y$3="证监会门类行业",[1]!s_info_industry_csrc12_n(W4899,公司分析!D$5,1),""))))))))</f>
        <v>化学制药</v>
      </c>
      <c r="Z4899" s="302" t="str">
        <f ca="1">IF(Y4899=行业比较!$E$6,ROW(),"")</f>
        <v/>
      </c>
    </row>
    <row r="4900" spans="22:26">
      <c r="V4900" s="260">
        <f t="shared" ca="1" si="84"/>
        <v>0</v>
      </c>
      <c r="W4900" s="348" t="str">
        <f>IF(板块成分!B4902="","",板块成分!B4902)</f>
        <v>688357.SH</v>
      </c>
      <c r="X4900" s="276" t="str">
        <f>[1]!S_Info_Name(W4900)</f>
        <v>建龙微纳</v>
      </c>
      <c r="Y4900" s="276" t="str">
        <f ca="1">IF($Y$3="申万一级行业",[1]!s_info_industry_sw_2021(W4900,公司分析!D$5,1),IF($Y$3="申万二级行业",[1]!s_info_industry_sw_2021(W4900,公司分析!D$5,2),IF($Y$3="申万三级行业",[1]!s_info_industry_sw_2021(W4900,公司分析!D$5,3),IF($Y$3="wind一级行业",[1]!s_info_industry_gics(W4900,1),IF($Y$3="wind二级行业",[1]!s_info_industry_gics(W4900,2),IF($Y$3="wind三级行业",[1]!s_info_industry_gics(W4900,3),IF($Y$3="wind四级行业",[1]!s_info_industry_gics(W4900,4),IF($Y$3="证监会门类行业",[1]!s_info_industry_csrc12_n(W4900,公司分析!D$5,1),""))))))))</f>
        <v>化学制品</v>
      </c>
      <c r="Z4900" s="302" t="str">
        <f ca="1">IF(Y4900=行业比较!$E$6,ROW(),"")</f>
        <v/>
      </c>
    </row>
    <row r="4901" spans="22:26">
      <c r="V4901" s="260">
        <f t="shared" ca="1" si="84"/>
        <v>0</v>
      </c>
      <c r="W4901" s="348" t="str">
        <f>IF(板块成分!B4903="","",板块成分!B4903)</f>
        <v>688358.SH</v>
      </c>
      <c r="X4901" s="276" t="str">
        <f>[1]!S_Info_Name(W4901)</f>
        <v>祥生医疗</v>
      </c>
      <c r="Y4901" s="276" t="str">
        <f ca="1">IF($Y$3="申万一级行业",[1]!s_info_industry_sw_2021(W4901,公司分析!D$5,1),IF($Y$3="申万二级行业",[1]!s_info_industry_sw_2021(W4901,公司分析!D$5,2),IF($Y$3="申万三级行业",[1]!s_info_industry_sw_2021(W4901,公司分析!D$5,3),IF($Y$3="wind一级行业",[1]!s_info_industry_gics(W4901,1),IF($Y$3="wind二级行业",[1]!s_info_industry_gics(W4901,2),IF($Y$3="wind三级行业",[1]!s_info_industry_gics(W4901,3),IF($Y$3="wind四级行业",[1]!s_info_industry_gics(W4901,4),IF($Y$3="证监会门类行业",[1]!s_info_industry_csrc12_n(W4901,公司分析!D$5,1),""))))))))</f>
        <v>医疗器械</v>
      </c>
      <c r="Z4901" s="302" t="str">
        <f ca="1">IF(Y4901=行业比较!$E$6,ROW(),"")</f>
        <v/>
      </c>
    </row>
    <row r="4902" spans="22:26">
      <c r="V4902" s="260">
        <f t="shared" ca="1" si="84"/>
        <v>0</v>
      </c>
      <c r="W4902" s="348" t="str">
        <f>IF(板块成分!B4904="","",板块成分!B4904)</f>
        <v>688359.SH</v>
      </c>
      <c r="X4902" s="276" t="str">
        <f>[1]!S_Info_Name(W4902)</f>
        <v>三孚新科</v>
      </c>
      <c r="Y4902" s="276" t="str">
        <f ca="1">IF($Y$3="申万一级行业",[1]!s_info_industry_sw_2021(W4902,公司分析!D$5,1),IF($Y$3="申万二级行业",[1]!s_info_industry_sw_2021(W4902,公司分析!D$5,2),IF($Y$3="申万三级行业",[1]!s_info_industry_sw_2021(W4902,公司分析!D$5,3),IF($Y$3="wind一级行业",[1]!s_info_industry_gics(W4902,1),IF($Y$3="wind二级行业",[1]!s_info_industry_gics(W4902,2),IF($Y$3="wind三级行业",[1]!s_info_industry_gics(W4902,3),IF($Y$3="wind四级行业",[1]!s_info_industry_gics(W4902,4),IF($Y$3="证监会门类行业",[1]!s_info_industry_csrc12_n(W4902,公司分析!D$5,1),""))))))))</f>
        <v>电子化学品Ⅱ</v>
      </c>
      <c r="Z4902" s="302" t="str">
        <f ca="1">IF(Y4902=行业比较!$E$6,ROW(),"")</f>
        <v/>
      </c>
    </row>
    <row r="4903" spans="22:26">
      <c r="V4903" s="260">
        <f t="shared" ca="1" si="84"/>
        <v>0</v>
      </c>
      <c r="W4903" s="348" t="str">
        <f>IF(板块成分!B4905="","",板块成分!B4905)</f>
        <v>688360.SH</v>
      </c>
      <c r="X4903" s="276" t="str">
        <f>[1]!S_Info_Name(W4903)</f>
        <v>德马科技</v>
      </c>
      <c r="Y4903" s="276" t="str">
        <f ca="1">IF($Y$3="申万一级行业",[1]!s_info_industry_sw_2021(W4903,公司分析!D$5,1),IF($Y$3="申万二级行业",[1]!s_info_industry_sw_2021(W4903,公司分析!D$5,2),IF($Y$3="申万三级行业",[1]!s_info_industry_sw_2021(W4903,公司分析!D$5,3),IF($Y$3="wind一级行业",[1]!s_info_industry_gics(W4903,1),IF($Y$3="wind二级行业",[1]!s_info_industry_gics(W4903,2),IF($Y$3="wind三级行业",[1]!s_info_industry_gics(W4903,3),IF($Y$3="wind四级行业",[1]!s_info_industry_gics(W4903,4),IF($Y$3="证监会门类行业",[1]!s_info_industry_csrc12_n(W4903,公司分析!D$5,1),""))))))))</f>
        <v>通用设备</v>
      </c>
      <c r="Z4903" s="302" t="str">
        <f ca="1">IF(Y4903=行业比较!$E$6,ROW(),"")</f>
        <v/>
      </c>
    </row>
    <row r="4904" spans="22:26">
      <c r="V4904" s="260">
        <f t="shared" ca="1" si="84"/>
        <v>0</v>
      </c>
      <c r="W4904" s="348" t="str">
        <f>IF(板块成分!B4906="","",板块成分!B4906)</f>
        <v>688361.SH</v>
      </c>
      <c r="X4904" s="276" t="str">
        <f>[1]!S_Info_Name(W4904)</f>
        <v>中科飞测</v>
      </c>
      <c r="Y4904" s="276" t="str">
        <f ca="1">IF($Y$3="申万一级行业",[1]!s_info_industry_sw_2021(W4904,公司分析!D$5,1),IF($Y$3="申万二级行业",[1]!s_info_industry_sw_2021(W4904,公司分析!D$5,2),IF($Y$3="申万三级行业",[1]!s_info_industry_sw_2021(W4904,公司分析!D$5,3),IF($Y$3="wind一级行业",[1]!s_info_industry_gics(W4904,1),IF($Y$3="wind二级行业",[1]!s_info_industry_gics(W4904,2),IF($Y$3="wind三级行业",[1]!s_info_industry_gics(W4904,3),IF($Y$3="wind四级行业",[1]!s_info_industry_gics(W4904,4),IF($Y$3="证监会门类行业",[1]!s_info_industry_csrc12_n(W4904,公司分析!D$5,1),""))))))))</f>
        <v>半导体</v>
      </c>
      <c r="Z4904" s="302" t="str">
        <f ca="1">IF(Y4904=行业比较!$E$6,ROW(),"")</f>
        <v/>
      </c>
    </row>
    <row r="4905" spans="22:26">
      <c r="V4905" s="260">
        <f t="shared" ca="1" si="84"/>
        <v>0</v>
      </c>
      <c r="W4905" s="348" t="str">
        <f>IF(板块成分!B4907="","",板块成分!B4907)</f>
        <v>688362.SH</v>
      </c>
      <c r="X4905" s="276" t="str">
        <f>[1]!S_Info_Name(W4905)</f>
        <v>甬矽电子</v>
      </c>
      <c r="Y4905" s="276" t="str">
        <f ca="1">IF($Y$3="申万一级行业",[1]!s_info_industry_sw_2021(W4905,公司分析!D$5,1),IF($Y$3="申万二级行业",[1]!s_info_industry_sw_2021(W4905,公司分析!D$5,2),IF($Y$3="申万三级行业",[1]!s_info_industry_sw_2021(W4905,公司分析!D$5,3),IF($Y$3="wind一级行业",[1]!s_info_industry_gics(W4905,1),IF($Y$3="wind二级行业",[1]!s_info_industry_gics(W4905,2),IF($Y$3="wind三级行业",[1]!s_info_industry_gics(W4905,3),IF($Y$3="wind四级行业",[1]!s_info_industry_gics(W4905,4),IF($Y$3="证监会门类行业",[1]!s_info_industry_csrc12_n(W4905,公司分析!D$5,1),""))))))))</f>
        <v>半导体</v>
      </c>
      <c r="Z4905" s="302" t="str">
        <f ca="1">IF(Y4905=行业比较!$E$6,ROW(),"")</f>
        <v/>
      </c>
    </row>
    <row r="4906" spans="22:26">
      <c r="V4906" s="260">
        <f t="shared" ca="1" si="84"/>
        <v>0</v>
      </c>
      <c r="W4906" s="348" t="str">
        <f>IF(板块成分!B4908="","",板块成分!B4908)</f>
        <v>688363.SH</v>
      </c>
      <c r="X4906" s="276" t="str">
        <f>[1]!S_Info_Name(W4906)</f>
        <v>华熙生物</v>
      </c>
      <c r="Y4906" s="276" t="str">
        <f ca="1">IF($Y$3="申万一级行业",[1]!s_info_industry_sw_2021(W4906,公司分析!D$5,1),IF($Y$3="申万二级行业",[1]!s_info_industry_sw_2021(W4906,公司分析!D$5,2),IF($Y$3="申万三级行业",[1]!s_info_industry_sw_2021(W4906,公司分析!D$5,3),IF($Y$3="wind一级行业",[1]!s_info_industry_gics(W4906,1),IF($Y$3="wind二级行业",[1]!s_info_industry_gics(W4906,2),IF($Y$3="wind三级行业",[1]!s_info_industry_gics(W4906,3),IF($Y$3="wind四级行业",[1]!s_info_industry_gics(W4906,4),IF($Y$3="证监会门类行业",[1]!s_info_industry_csrc12_n(W4906,公司分析!D$5,1),""))))))))</f>
        <v>医疗美容</v>
      </c>
      <c r="Z4906" s="302" t="str">
        <f ca="1">IF(Y4906=行业比较!$E$6,ROW(),"")</f>
        <v/>
      </c>
    </row>
    <row r="4907" spans="22:26">
      <c r="V4907" s="260">
        <f t="shared" ca="1" si="84"/>
        <v>0</v>
      </c>
      <c r="W4907" s="348" t="str">
        <f>IF(板块成分!B4909="","",板块成分!B4909)</f>
        <v>688365.SH</v>
      </c>
      <c r="X4907" s="276" t="str">
        <f>[1]!S_Info_Name(W4907)</f>
        <v>光云科技</v>
      </c>
      <c r="Y4907" s="276" t="str">
        <f ca="1">IF($Y$3="申万一级行业",[1]!s_info_industry_sw_2021(W4907,公司分析!D$5,1),IF($Y$3="申万二级行业",[1]!s_info_industry_sw_2021(W4907,公司分析!D$5,2),IF($Y$3="申万三级行业",[1]!s_info_industry_sw_2021(W4907,公司分析!D$5,3),IF($Y$3="wind一级行业",[1]!s_info_industry_gics(W4907,1),IF($Y$3="wind二级行业",[1]!s_info_industry_gics(W4907,2),IF($Y$3="wind三级行业",[1]!s_info_industry_gics(W4907,3),IF($Y$3="wind四级行业",[1]!s_info_industry_gics(W4907,4),IF($Y$3="证监会门类行业",[1]!s_info_industry_csrc12_n(W4907,公司分析!D$5,1),""))))))))</f>
        <v>IT服务Ⅱ</v>
      </c>
      <c r="Z4907" s="302" t="str">
        <f ca="1">IF(Y4907=行业比较!$E$6,ROW(),"")</f>
        <v/>
      </c>
    </row>
    <row r="4908" spans="22:26">
      <c r="V4908" s="260">
        <f t="shared" ca="1" si="84"/>
        <v>0</v>
      </c>
      <c r="W4908" s="348" t="str">
        <f>IF(板块成分!B4910="","",板块成分!B4910)</f>
        <v>688366.SH</v>
      </c>
      <c r="X4908" s="276" t="str">
        <f>[1]!S_Info_Name(W4908)</f>
        <v>昊海生科</v>
      </c>
      <c r="Y4908" s="276" t="str">
        <f ca="1">IF($Y$3="申万一级行业",[1]!s_info_industry_sw_2021(W4908,公司分析!D$5,1),IF($Y$3="申万二级行业",[1]!s_info_industry_sw_2021(W4908,公司分析!D$5,2),IF($Y$3="申万三级行业",[1]!s_info_industry_sw_2021(W4908,公司分析!D$5,3),IF($Y$3="wind一级行业",[1]!s_info_industry_gics(W4908,1),IF($Y$3="wind二级行业",[1]!s_info_industry_gics(W4908,2),IF($Y$3="wind三级行业",[1]!s_info_industry_gics(W4908,3),IF($Y$3="wind四级行业",[1]!s_info_industry_gics(W4908,4),IF($Y$3="证监会门类行业",[1]!s_info_industry_csrc12_n(W4908,公司分析!D$5,1),""))))))))</f>
        <v>医疗器械</v>
      </c>
      <c r="Z4908" s="302" t="str">
        <f ca="1">IF(Y4908=行业比较!$E$6,ROW(),"")</f>
        <v/>
      </c>
    </row>
    <row r="4909" spans="22:26">
      <c r="V4909" s="260">
        <f t="shared" ca="1" si="84"/>
        <v>0</v>
      </c>
      <c r="W4909" s="348" t="str">
        <f>IF(板块成分!B4911="","",板块成分!B4911)</f>
        <v>688367.SH</v>
      </c>
      <c r="X4909" s="276" t="str">
        <f>[1]!S_Info_Name(W4909)</f>
        <v>工大高科</v>
      </c>
      <c r="Y4909" s="276" t="str">
        <f ca="1">IF($Y$3="申万一级行业",[1]!s_info_industry_sw_2021(W4909,公司分析!D$5,1),IF($Y$3="申万二级行业",[1]!s_info_industry_sw_2021(W4909,公司分析!D$5,2),IF($Y$3="申万三级行业",[1]!s_info_industry_sw_2021(W4909,公司分析!D$5,3),IF($Y$3="wind一级行业",[1]!s_info_industry_gics(W4909,1),IF($Y$3="wind二级行业",[1]!s_info_industry_gics(W4909,2),IF($Y$3="wind三级行业",[1]!s_info_industry_gics(W4909,3),IF($Y$3="wind四级行业",[1]!s_info_industry_gics(W4909,4),IF($Y$3="证监会门类行业",[1]!s_info_industry_csrc12_n(W4909,公司分析!D$5,1),""))))))))</f>
        <v>轨交设备Ⅱ</v>
      </c>
      <c r="Z4909" s="302" t="str">
        <f ca="1">IF(Y4909=行业比较!$E$6,ROW(),"")</f>
        <v/>
      </c>
    </row>
    <row r="4910" spans="22:26">
      <c r="V4910" s="260">
        <f t="shared" ca="1" si="84"/>
        <v>0</v>
      </c>
      <c r="W4910" s="348" t="str">
        <f>IF(板块成分!B4912="","",板块成分!B4912)</f>
        <v>688368.SH</v>
      </c>
      <c r="X4910" s="276" t="str">
        <f>[1]!S_Info_Name(W4910)</f>
        <v>晶丰明源</v>
      </c>
      <c r="Y4910" s="276" t="str">
        <f ca="1">IF($Y$3="申万一级行业",[1]!s_info_industry_sw_2021(W4910,公司分析!D$5,1),IF($Y$3="申万二级行业",[1]!s_info_industry_sw_2021(W4910,公司分析!D$5,2),IF($Y$3="申万三级行业",[1]!s_info_industry_sw_2021(W4910,公司分析!D$5,3),IF($Y$3="wind一级行业",[1]!s_info_industry_gics(W4910,1),IF($Y$3="wind二级行业",[1]!s_info_industry_gics(W4910,2),IF($Y$3="wind三级行业",[1]!s_info_industry_gics(W4910,3),IF($Y$3="wind四级行业",[1]!s_info_industry_gics(W4910,4),IF($Y$3="证监会门类行业",[1]!s_info_industry_csrc12_n(W4910,公司分析!D$5,1),""))))))))</f>
        <v>半导体</v>
      </c>
      <c r="Z4910" s="302" t="str">
        <f ca="1">IF(Y4910=行业比较!$E$6,ROW(),"")</f>
        <v/>
      </c>
    </row>
    <row r="4911" spans="22:26">
      <c r="V4911" s="260">
        <f t="shared" ca="1" si="84"/>
        <v>0</v>
      </c>
      <c r="W4911" s="348" t="str">
        <f>IF(板块成分!B4913="","",板块成分!B4913)</f>
        <v>688369.SH</v>
      </c>
      <c r="X4911" s="276" t="str">
        <f>[1]!S_Info_Name(W4911)</f>
        <v>致远互联</v>
      </c>
      <c r="Y4911" s="276" t="str">
        <f ca="1">IF($Y$3="申万一级行业",[1]!s_info_industry_sw_2021(W4911,公司分析!D$5,1),IF($Y$3="申万二级行业",[1]!s_info_industry_sw_2021(W4911,公司分析!D$5,2),IF($Y$3="申万三级行业",[1]!s_info_industry_sw_2021(W4911,公司分析!D$5,3),IF($Y$3="wind一级行业",[1]!s_info_industry_gics(W4911,1),IF($Y$3="wind二级行业",[1]!s_info_industry_gics(W4911,2),IF($Y$3="wind三级行业",[1]!s_info_industry_gics(W4911,3),IF($Y$3="wind四级行业",[1]!s_info_industry_gics(W4911,4),IF($Y$3="证监会门类行业",[1]!s_info_industry_csrc12_n(W4911,公司分析!D$5,1),""))))))))</f>
        <v>软件开发</v>
      </c>
      <c r="Z4911" s="302" t="str">
        <f ca="1">IF(Y4911=行业比较!$E$6,ROW(),"")</f>
        <v/>
      </c>
    </row>
    <row r="4912" spans="22:26">
      <c r="V4912" s="260">
        <f t="shared" ca="1" si="84"/>
        <v>0</v>
      </c>
      <c r="W4912" s="348" t="str">
        <f>IF(板块成分!B4914="","",板块成分!B4914)</f>
        <v>688370.SH</v>
      </c>
      <c r="X4912" s="276" t="str">
        <f>[1]!S_Info_Name(W4912)</f>
        <v>丛麟科技</v>
      </c>
      <c r="Y4912" s="276" t="str">
        <f ca="1">IF($Y$3="申万一级行业",[1]!s_info_industry_sw_2021(W4912,公司分析!D$5,1),IF($Y$3="申万二级行业",[1]!s_info_industry_sw_2021(W4912,公司分析!D$5,2),IF($Y$3="申万三级行业",[1]!s_info_industry_sw_2021(W4912,公司分析!D$5,3),IF($Y$3="wind一级行业",[1]!s_info_industry_gics(W4912,1),IF($Y$3="wind二级行业",[1]!s_info_industry_gics(W4912,2),IF($Y$3="wind三级行业",[1]!s_info_industry_gics(W4912,3),IF($Y$3="wind四级行业",[1]!s_info_industry_gics(W4912,4),IF($Y$3="证监会门类行业",[1]!s_info_industry_csrc12_n(W4912,公司分析!D$5,1),""))))))))</f>
        <v>环境治理</v>
      </c>
      <c r="Z4912" s="302" t="str">
        <f ca="1">IF(Y4912=行业比较!$E$6,ROW(),"")</f>
        <v/>
      </c>
    </row>
    <row r="4913" spans="22:26">
      <c r="V4913" s="260">
        <f t="shared" ca="1" si="84"/>
        <v>0</v>
      </c>
      <c r="W4913" s="348" t="str">
        <f>IF(板块成分!B4915="","",板块成分!B4915)</f>
        <v>688371.SH</v>
      </c>
      <c r="X4913" s="276" t="str">
        <f>[1]!S_Info_Name(W4913)</f>
        <v>菲沃泰</v>
      </c>
      <c r="Y4913" s="276" t="str">
        <f ca="1">IF($Y$3="申万一级行业",[1]!s_info_industry_sw_2021(W4913,公司分析!D$5,1),IF($Y$3="申万二级行业",[1]!s_info_industry_sw_2021(W4913,公司分析!D$5,2),IF($Y$3="申万三级行业",[1]!s_info_industry_sw_2021(W4913,公司分析!D$5,3),IF($Y$3="wind一级行业",[1]!s_info_industry_gics(W4913,1),IF($Y$3="wind二级行业",[1]!s_info_industry_gics(W4913,2),IF($Y$3="wind三级行业",[1]!s_info_industry_gics(W4913,3),IF($Y$3="wind四级行业",[1]!s_info_industry_gics(W4913,4),IF($Y$3="证监会门类行业",[1]!s_info_industry_csrc12_n(W4913,公司分析!D$5,1),""))))))))</f>
        <v>电子化学品Ⅱ</v>
      </c>
      <c r="Z4913" s="302" t="str">
        <f ca="1">IF(Y4913=行业比较!$E$6,ROW(),"")</f>
        <v/>
      </c>
    </row>
    <row r="4914" spans="22:26">
      <c r="V4914" s="260">
        <f t="shared" ca="1" si="84"/>
        <v>0</v>
      </c>
      <c r="W4914" s="348" t="str">
        <f>IF(板块成分!B4916="","",板块成分!B4916)</f>
        <v>688372.SH</v>
      </c>
      <c r="X4914" s="276" t="str">
        <f>[1]!S_Info_Name(W4914)</f>
        <v>伟测科技</v>
      </c>
      <c r="Y4914" s="276" t="str">
        <f ca="1">IF($Y$3="申万一级行业",[1]!s_info_industry_sw_2021(W4914,公司分析!D$5,1),IF($Y$3="申万二级行业",[1]!s_info_industry_sw_2021(W4914,公司分析!D$5,2),IF($Y$3="申万三级行业",[1]!s_info_industry_sw_2021(W4914,公司分析!D$5,3),IF($Y$3="wind一级行业",[1]!s_info_industry_gics(W4914,1),IF($Y$3="wind二级行业",[1]!s_info_industry_gics(W4914,2),IF($Y$3="wind三级行业",[1]!s_info_industry_gics(W4914,3),IF($Y$3="wind四级行业",[1]!s_info_industry_gics(W4914,4),IF($Y$3="证监会门类行业",[1]!s_info_industry_csrc12_n(W4914,公司分析!D$5,1),""))))))))</f>
        <v>半导体</v>
      </c>
      <c r="Z4914" s="302" t="str">
        <f ca="1">IF(Y4914=行业比较!$E$6,ROW(),"")</f>
        <v/>
      </c>
    </row>
    <row r="4915" spans="22:26">
      <c r="V4915" s="260">
        <f t="shared" ca="1" si="84"/>
        <v>0</v>
      </c>
      <c r="W4915" s="348" t="str">
        <f>IF(板块成分!B4917="","",板块成分!B4917)</f>
        <v>688373.SH</v>
      </c>
      <c r="X4915" s="276" t="str">
        <f>[1]!S_Info_Name(W4915)</f>
        <v>盟科药业-U</v>
      </c>
      <c r="Y4915" s="276" t="str">
        <f ca="1">IF($Y$3="申万一级行业",[1]!s_info_industry_sw_2021(W4915,公司分析!D$5,1),IF($Y$3="申万二级行业",[1]!s_info_industry_sw_2021(W4915,公司分析!D$5,2),IF($Y$3="申万三级行业",[1]!s_info_industry_sw_2021(W4915,公司分析!D$5,3),IF($Y$3="wind一级行业",[1]!s_info_industry_gics(W4915,1),IF($Y$3="wind二级行业",[1]!s_info_industry_gics(W4915,2),IF($Y$3="wind三级行业",[1]!s_info_industry_gics(W4915,3),IF($Y$3="wind四级行业",[1]!s_info_industry_gics(W4915,4),IF($Y$3="证监会门类行业",[1]!s_info_industry_csrc12_n(W4915,公司分析!D$5,1),""))))))))</f>
        <v>化学制药</v>
      </c>
      <c r="Z4915" s="302" t="str">
        <f ca="1">IF(Y4915=行业比较!$E$6,ROW(),"")</f>
        <v/>
      </c>
    </row>
    <row r="4916" spans="22:26">
      <c r="V4916" s="260">
        <f t="shared" ca="1" si="84"/>
        <v>0</v>
      </c>
      <c r="W4916" s="348" t="str">
        <f>IF(板块成分!B4918="","",板块成分!B4918)</f>
        <v>688375.SH</v>
      </c>
      <c r="X4916" s="276" t="str">
        <f>[1]!S_Info_Name(W4916)</f>
        <v>国博电子</v>
      </c>
      <c r="Y4916" s="276" t="str">
        <f ca="1">IF($Y$3="申万一级行业",[1]!s_info_industry_sw_2021(W4916,公司分析!D$5,1),IF($Y$3="申万二级行业",[1]!s_info_industry_sw_2021(W4916,公司分析!D$5,2),IF($Y$3="申万三级行业",[1]!s_info_industry_sw_2021(W4916,公司分析!D$5,3),IF($Y$3="wind一级行业",[1]!s_info_industry_gics(W4916,1),IF($Y$3="wind二级行业",[1]!s_info_industry_gics(W4916,2),IF($Y$3="wind三级行业",[1]!s_info_industry_gics(W4916,3),IF($Y$3="wind四级行业",[1]!s_info_industry_gics(W4916,4),IF($Y$3="证监会门类行业",[1]!s_info_industry_csrc12_n(W4916,公司分析!D$5,1),""))))))))</f>
        <v>军工电子Ⅱ</v>
      </c>
      <c r="Z4916" s="302" t="str">
        <f ca="1">IF(Y4916=行业比较!$E$6,ROW(),"")</f>
        <v/>
      </c>
    </row>
    <row r="4917" spans="22:26">
      <c r="V4917" s="260">
        <f t="shared" ca="1" si="84"/>
        <v>0</v>
      </c>
      <c r="W4917" s="348" t="str">
        <f>IF(板块成分!B4919="","",板块成分!B4919)</f>
        <v>688376.SH</v>
      </c>
      <c r="X4917" s="276" t="str">
        <f>[1]!S_Info_Name(W4917)</f>
        <v>美埃科技</v>
      </c>
      <c r="Y4917" s="276" t="str">
        <f ca="1">IF($Y$3="申万一级行业",[1]!s_info_industry_sw_2021(W4917,公司分析!D$5,1),IF($Y$3="申万二级行业",[1]!s_info_industry_sw_2021(W4917,公司分析!D$5,2),IF($Y$3="申万三级行业",[1]!s_info_industry_sw_2021(W4917,公司分析!D$5,3),IF($Y$3="wind一级行业",[1]!s_info_industry_gics(W4917,1),IF($Y$3="wind二级行业",[1]!s_info_industry_gics(W4917,2),IF($Y$3="wind三级行业",[1]!s_info_industry_gics(W4917,3),IF($Y$3="wind四级行业",[1]!s_info_industry_gics(W4917,4),IF($Y$3="证监会门类行业",[1]!s_info_industry_csrc12_n(W4917,公司分析!D$5,1),""))))))))</f>
        <v>环保设备Ⅱ</v>
      </c>
      <c r="Z4917" s="302" t="str">
        <f ca="1">IF(Y4917=行业比较!$E$6,ROW(),"")</f>
        <v/>
      </c>
    </row>
    <row r="4918" spans="22:26">
      <c r="V4918" s="260">
        <f t="shared" ca="1" si="84"/>
        <v>0</v>
      </c>
      <c r="W4918" s="348" t="str">
        <f>IF(板块成分!B4920="","",板块成分!B4920)</f>
        <v>688377.SH</v>
      </c>
      <c r="X4918" s="276" t="str">
        <f>[1]!S_Info_Name(W4918)</f>
        <v>迪威尔</v>
      </c>
      <c r="Y4918" s="276" t="str">
        <f ca="1">IF($Y$3="申万一级行业",[1]!s_info_industry_sw_2021(W4918,公司分析!D$5,1),IF($Y$3="申万二级行业",[1]!s_info_industry_sw_2021(W4918,公司分析!D$5,2),IF($Y$3="申万三级行业",[1]!s_info_industry_sw_2021(W4918,公司分析!D$5,3),IF($Y$3="wind一级行业",[1]!s_info_industry_gics(W4918,1),IF($Y$3="wind二级行业",[1]!s_info_industry_gics(W4918,2),IF($Y$3="wind三级行业",[1]!s_info_industry_gics(W4918,3),IF($Y$3="wind四级行业",[1]!s_info_industry_gics(W4918,4),IF($Y$3="证监会门类行业",[1]!s_info_industry_csrc12_n(W4918,公司分析!D$5,1),""))))))))</f>
        <v>专用设备</v>
      </c>
      <c r="Z4918" s="302" t="str">
        <f ca="1">IF(Y4918=行业比较!$E$6,ROW(),"")</f>
        <v/>
      </c>
    </row>
    <row r="4919" spans="22:26">
      <c r="V4919" s="260">
        <f t="shared" ca="1" si="84"/>
        <v>0</v>
      </c>
      <c r="W4919" s="348" t="str">
        <f>IF(板块成分!B4921="","",板块成分!B4921)</f>
        <v>688378.SH</v>
      </c>
      <c r="X4919" s="276" t="str">
        <f>[1]!S_Info_Name(W4919)</f>
        <v>奥来德</v>
      </c>
      <c r="Y4919" s="276" t="str">
        <f ca="1">IF($Y$3="申万一级行业",[1]!s_info_industry_sw_2021(W4919,公司分析!D$5,1),IF($Y$3="申万二级行业",[1]!s_info_industry_sw_2021(W4919,公司分析!D$5,2),IF($Y$3="申万三级行业",[1]!s_info_industry_sw_2021(W4919,公司分析!D$5,3),IF($Y$3="wind一级行业",[1]!s_info_industry_gics(W4919,1),IF($Y$3="wind二级行业",[1]!s_info_industry_gics(W4919,2),IF($Y$3="wind三级行业",[1]!s_info_industry_gics(W4919,3),IF($Y$3="wind四级行业",[1]!s_info_industry_gics(W4919,4),IF($Y$3="证监会门类行业",[1]!s_info_industry_csrc12_n(W4919,公司分析!D$5,1),""))))))))</f>
        <v>光学光电子</v>
      </c>
      <c r="Z4919" s="302" t="str">
        <f ca="1">IF(Y4919=行业比较!$E$6,ROW(),"")</f>
        <v/>
      </c>
    </row>
    <row r="4920" spans="22:26">
      <c r="V4920" s="260">
        <f t="shared" ca="1" si="84"/>
        <v>0</v>
      </c>
      <c r="W4920" s="348" t="str">
        <f>IF(板块成分!B4922="","",板块成分!B4922)</f>
        <v>688379.SH</v>
      </c>
      <c r="X4920" s="276" t="str">
        <f>[1]!S_Info_Name(W4920)</f>
        <v>华光新材</v>
      </c>
      <c r="Y4920" s="276" t="str">
        <f ca="1">IF($Y$3="申万一级行业",[1]!s_info_industry_sw_2021(W4920,公司分析!D$5,1),IF($Y$3="申万二级行业",[1]!s_info_industry_sw_2021(W4920,公司分析!D$5,2),IF($Y$3="申万三级行业",[1]!s_info_industry_sw_2021(W4920,公司分析!D$5,3),IF($Y$3="wind一级行业",[1]!s_info_industry_gics(W4920,1),IF($Y$3="wind二级行业",[1]!s_info_industry_gics(W4920,2),IF($Y$3="wind三级行业",[1]!s_info_industry_gics(W4920,3),IF($Y$3="wind四级行业",[1]!s_info_industry_gics(W4920,4),IF($Y$3="证监会门类行业",[1]!s_info_industry_csrc12_n(W4920,公司分析!D$5,1),""))))))))</f>
        <v>通用设备</v>
      </c>
      <c r="Z4920" s="302" t="str">
        <f ca="1">IF(Y4920=行业比较!$E$6,ROW(),"")</f>
        <v/>
      </c>
    </row>
    <row r="4921" spans="22:26">
      <c r="V4921" s="260">
        <f t="shared" ca="1" si="84"/>
        <v>0</v>
      </c>
      <c r="W4921" s="348" t="str">
        <f>IF(板块成分!B4923="","",板块成分!B4923)</f>
        <v>688380.SH</v>
      </c>
      <c r="X4921" s="276" t="str">
        <f>[1]!S_Info_Name(W4921)</f>
        <v>中微半导</v>
      </c>
      <c r="Y4921" s="276" t="str">
        <f ca="1">IF($Y$3="申万一级行业",[1]!s_info_industry_sw_2021(W4921,公司分析!D$5,1),IF($Y$3="申万二级行业",[1]!s_info_industry_sw_2021(W4921,公司分析!D$5,2),IF($Y$3="申万三级行业",[1]!s_info_industry_sw_2021(W4921,公司分析!D$5,3),IF($Y$3="wind一级行业",[1]!s_info_industry_gics(W4921,1),IF($Y$3="wind二级行业",[1]!s_info_industry_gics(W4921,2),IF($Y$3="wind三级行业",[1]!s_info_industry_gics(W4921,3),IF($Y$3="wind四级行业",[1]!s_info_industry_gics(W4921,4),IF($Y$3="证监会门类行业",[1]!s_info_industry_csrc12_n(W4921,公司分析!D$5,1),""))))))))</f>
        <v>半导体</v>
      </c>
      <c r="Z4921" s="302" t="str">
        <f ca="1">IF(Y4921=行业比较!$E$6,ROW(),"")</f>
        <v/>
      </c>
    </row>
    <row r="4922" spans="22:26">
      <c r="V4922" s="260">
        <f t="shared" ca="1" si="84"/>
        <v>0</v>
      </c>
      <c r="W4922" s="348" t="str">
        <f>IF(板块成分!B4924="","",板块成分!B4924)</f>
        <v>688381.SH</v>
      </c>
      <c r="X4922" s="276" t="str">
        <f>[1]!S_Info_Name(W4922)</f>
        <v>帝奥微</v>
      </c>
      <c r="Y4922" s="276" t="str">
        <f ca="1">IF($Y$3="申万一级行业",[1]!s_info_industry_sw_2021(W4922,公司分析!D$5,1),IF($Y$3="申万二级行业",[1]!s_info_industry_sw_2021(W4922,公司分析!D$5,2),IF($Y$3="申万三级行业",[1]!s_info_industry_sw_2021(W4922,公司分析!D$5,3),IF($Y$3="wind一级行业",[1]!s_info_industry_gics(W4922,1),IF($Y$3="wind二级行业",[1]!s_info_industry_gics(W4922,2),IF($Y$3="wind三级行业",[1]!s_info_industry_gics(W4922,3),IF($Y$3="wind四级行业",[1]!s_info_industry_gics(W4922,4),IF($Y$3="证监会门类行业",[1]!s_info_industry_csrc12_n(W4922,公司分析!D$5,1),""))))))))</f>
        <v>半导体</v>
      </c>
      <c r="Z4922" s="302" t="str">
        <f ca="1">IF(Y4922=行业比较!$E$6,ROW(),"")</f>
        <v/>
      </c>
    </row>
    <row r="4923" spans="22:26">
      <c r="V4923" s="260">
        <f t="shared" ca="1" si="84"/>
        <v>0</v>
      </c>
      <c r="W4923" s="348" t="str">
        <f>IF(板块成分!B4925="","",板块成分!B4925)</f>
        <v>688382.SH</v>
      </c>
      <c r="X4923" s="276" t="str">
        <f>[1]!S_Info_Name(W4923)</f>
        <v>益方生物-U</v>
      </c>
      <c r="Y4923" s="276" t="str">
        <f ca="1">IF($Y$3="申万一级行业",[1]!s_info_industry_sw_2021(W4923,公司分析!D$5,1),IF($Y$3="申万二级行业",[1]!s_info_industry_sw_2021(W4923,公司分析!D$5,2),IF($Y$3="申万三级行业",[1]!s_info_industry_sw_2021(W4923,公司分析!D$5,3),IF($Y$3="wind一级行业",[1]!s_info_industry_gics(W4923,1),IF($Y$3="wind二级行业",[1]!s_info_industry_gics(W4923,2),IF($Y$3="wind三级行业",[1]!s_info_industry_gics(W4923,3),IF($Y$3="wind四级行业",[1]!s_info_industry_gics(W4923,4),IF($Y$3="证监会门类行业",[1]!s_info_industry_csrc12_n(W4923,公司分析!D$5,1),""))))))))</f>
        <v>化学制药</v>
      </c>
      <c r="Z4923" s="302" t="str">
        <f ca="1">IF(Y4923=行业比较!$E$6,ROW(),"")</f>
        <v/>
      </c>
    </row>
    <row r="4924" spans="22:26">
      <c r="V4924" s="260">
        <f t="shared" ca="1" si="84"/>
        <v>0</v>
      </c>
      <c r="W4924" s="348" t="str">
        <f>IF(板块成分!B4926="","",板块成分!B4926)</f>
        <v>688383.SH</v>
      </c>
      <c r="X4924" s="276" t="str">
        <f>[1]!S_Info_Name(W4924)</f>
        <v>新益昌</v>
      </c>
      <c r="Y4924" s="276" t="str">
        <f ca="1">IF($Y$3="申万一级行业",[1]!s_info_industry_sw_2021(W4924,公司分析!D$5,1),IF($Y$3="申万二级行业",[1]!s_info_industry_sw_2021(W4924,公司分析!D$5,2),IF($Y$3="申万三级行业",[1]!s_info_industry_sw_2021(W4924,公司分析!D$5,3),IF($Y$3="wind一级行业",[1]!s_info_industry_gics(W4924,1),IF($Y$3="wind二级行业",[1]!s_info_industry_gics(W4924,2),IF($Y$3="wind三级行业",[1]!s_info_industry_gics(W4924,3),IF($Y$3="wind四级行业",[1]!s_info_industry_gics(W4924,4),IF($Y$3="证监会门类行业",[1]!s_info_industry_csrc12_n(W4924,公司分析!D$5,1),""))))))))</f>
        <v>专用设备</v>
      </c>
      <c r="Z4924" s="302" t="str">
        <f ca="1">IF(Y4924=行业比较!$E$6,ROW(),"")</f>
        <v/>
      </c>
    </row>
    <row r="4925" spans="22:26">
      <c r="V4925" s="260">
        <f t="shared" ca="1" si="84"/>
        <v>0</v>
      </c>
      <c r="W4925" s="348" t="str">
        <f>IF(板块成分!B4927="","",板块成分!B4927)</f>
        <v>688385.SH</v>
      </c>
      <c r="X4925" s="276" t="str">
        <f>[1]!S_Info_Name(W4925)</f>
        <v>复旦微电</v>
      </c>
      <c r="Y4925" s="276" t="str">
        <f ca="1">IF($Y$3="申万一级行业",[1]!s_info_industry_sw_2021(W4925,公司分析!D$5,1),IF($Y$3="申万二级行业",[1]!s_info_industry_sw_2021(W4925,公司分析!D$5,2),IF($Y$3="申万三级行业",[1]!s_info_industry_sw_2021(W4925,公司分析!D$5,3),IF($Y$3="wind一级行业",[1]!s_info_industry_gics(W4925,1),IF($Y$3="wind二级行业",[1]!s_info_industry_gics(W4925,2),IF($Y$3="wind三级行业",[1]!s_info_industry_gics(W4925,3),IF($Y$3="wind四级行业",[1]!s_info_industry_gics(W4925,4),IF($Y$3="证监会门类行业",[1]!s_info_industry_csrc12_n(W4925,公司分析!D$5,1),""))))))))</f>
        <v>半导体</v>
      </c>
      <c r="Z4925" s="302" t="str">
        <f ca="1">IF(Y4925=行业比较!$E$6,ROW(),"")</f>
        <v/>
      </c>
    </row>
    <row r="4926" spans="22:26">
      <c r="V4926" s="260">
        <f t="shared" ca="1" si="84"/>
        <v>0</v>
      </c>
      <c r="W4926" s="348" t="str">
        <f>IF(板块成分!B4928="","",板块成分!B4928)</f>
        <v>688386.SH</v>
      </c>
      <c r="X4926" s="276" t="str">
        <f>[1]!S_Info_Name(W4926)</f>
        <v>泛亚微透</v>
      </c>
      <c r="Y4926" s="276" t="str">
        <f ca="1">IF($Y$3="申万一级行业",[1]!s_info_industry_sw_2021(W4926,公司分析!D$5,1),IF($Y$3="申万二级行业",[1]!s_info_industry_sw_2021(W4926,公司分析!D$5,2),IF($Y$3="申万三级行业",[1]!s_info_industry_sw_2021(W4926,公司分析!D$5,3),IF($Y$3="wind一级行业",[1]!s_info_industry_gics(W4926,1),IF($Y$3="wind二级行业",[1]!s_info_industry_gics(W4926,2),IF($Y$3="wind三级行业",[1]!s_info_industry_gics(W4926,3),IF($Y$3="wind四级行业",[1]!s_info_industry_gics(W4926,4),IF($Y$3="证监会门类行业",[1]!s_info_industry_csrc12_n(W4926,公司分析!D$5,1),""))))))))</f>
        <v>塑料</v>
      </c>
      <c r="Z4926" s="302" t="str">
        <f ca="1">IF(Y4926=行业比较!$E$6,ROW(),"")</f>
        <v/>
      </c>
    </row>
    <row r="4927" spans="22:26">
      <c r="V4927" s="260">
        <f t="shared" ca="1" si="84"/>
        <v>0</v>
      </c>
      <c r="W4927" s="348" t="str">
        <f>IF(板块成分!B4929="","",板块成分!B4929)</f>
        <v>688387.SH</v>
      </c>
      <c r="X4927" s="276" t="str">
        <f>[1]!S_Info_Name(W4927)</f>
        <v>信科移动-U</v>
      </c>
      <c r="Y4927" s="276" t="str">
        <f ca="1">IF($Y$3="申万一级行业",[1]!s_info_industry_sw_2021(W4927,公司分析!D$5,1),IF($Y$3="申万二级行业",[1]!s_info_industry_sw_2021(W4927,公司分析!D$5,2),IF($Y$3="申万三级行业",[1]!s_info_industry_sw_2021(W4927,公司分析!D$5,3),IF($Y$3="wind一级行业",[1]!s_info_industry_gics(W4927,1),IF($Y$3="wind二级行业",[1]!s_info_industry_gics(W4927,2),IF($Y$3="wind三级行业",[1]!s_info_industry_gics(W4927,3),IF($Y$3="wind四级行业",[1]!s_info_industry_gics(W4927,4),IF($Y$3="证监会门类行业",[1]!s_info_industry_csrc12_n(W4927,公司分析!D$5,1),""))))))))</f>
        <v>通信设备</v>
      </c>
      <c r="Z4927" s="302" t="str">
        <f ca="1">IF(Y4927=行业比较!$E$6,ROW(),"")</f>
        <v/>
      </c>
    </row>
    <row r="4928" spans="22:26">
      <c r="V4928" s="260">
        <f t="shared" ca="1" si="84"/>
        <v>0</v>
      </c>
      <c r="W4928" s="348" t="str">
        <f>IF(板块成分!B4930="","",板块成分!B4930)</f>
        <v>688388.SH</v>
      </c>
      <c r="X4928" s="276" t="str">
        <f>[1]!S_Info_Name(W4928)</f>
        <v>嘉元科技</v>
      </c>
      <c r="Y4928" s="276" t="str">
        <f ca="1">IF($Y$3="申万一级行业",[1]!s_info_industry_sw_2021(W4928,公司分析!D$5,1),IF($Y$3="申万二级行业",[1]!s_info_industry_sw_2021(W4928,公司分析!D$5,2),IF($Y$3="申万三级行业",[1]!s_info_industry_sw_2021(W4928,公司分析!D$5,3),IF($Y$3="wind一级行业",[1]!s_info_industry_gics(W4928,1),IF($Y$3="wind二级行业",[1]!s_info_industry_gics(W4928,2),IF($Y$3="wind三级行业",[1]!s_info_industry_gics(W4928,3),IF($Y$3="wind四级行业",[1]!s_info_industry_gics(W4928,4),IF($Y$3="证监会门类行业",[1]!s_info_industry_csrc12_n(W4928,公司分析!D$5,1),""))))))))</f>
        <v>电池</v>
      </c>
      <c r="Z4928" s="302" t="str">
        <f ca="1">IF(Y4928=行业比较!$E$6,ROW(),"")</f>
        <v/>
      </c>
    </row>
    <row r="4929" spans="22:26">
      <c r="V4929" s="260">
        <f t="shared" ca="1" si="84"/>
        <v>0</v>
      </c>
      <c r="W4929" s="348" t="str">
        <f>IF(板块成分!B4931="","",板块成分!B4931)</f>
        <v>688389.SH</v>
      </c>
      <c r="X4929" s="276" t="str">
        <f>[1]!S_Info_Name(W4929)</f>
        <v>普门科技</v>
      </c>
      <c r="Y4929" s="276" t="str">
        <f ca="1">IF($Y$3="申万一级行业",[1]!s_info_industry_sw_2021(W4929,公司分析!D$5,1),IF($Y$3="申万二级行业",[1]!s_info_industry_sw_2021(W4929,公司分析!D$5,2),IF($Y$3="申万三级行业",[1]!s_info_industry_sw_2021(W4929,公司分析!D$5,3),IF($Y$3="wind一级行业",[1]!s_info_industry_gics(W4929,1),IF($Y$3="wind二级行业",[1]!s_info_industry_gics(W4929,2),IF($Y$3="wind三级行业",[1]!s_info_industry_gics(W4929,3),IF($Y$3="wind四级行业",[1]!s_info_industry_gics(W4929,4),IF($Y$3="证监会门类行业",[1]!s_info_industry_csrc12_n(W4929,公司分析!D$5,1),""))))))))</f>
        <v>医疗器械</v>
      </c>
      <c r="Z4929" s="302" t="str">
        <f ca="1">IF(Y4929=行业比较!$E$6,ROW(),"")</f>
        <v/>
      </c>
    </row>
    <row r="4930" spans="22:26">
      <c r="V4930" s="260">
        <f t="shared" ca="1" si="84"/>
        <v>0</v>
      </c>
      <c r="W4930" s="348" t="str">
        <f>IF(板块成分!B4932="","",板块成分!B4932)</f>
        <v>688390.SH</v>
      </c>
      <c r="X4930" s="276" t="str">
        <f>[1]!S_Info_Name(W4930)</f>
        <v>固德威</v>
      </c>
      <c r="Y4930" s="276" t="str">
        <f ca="1">IF($Y$3="申万一级行业",[1]!s_info_industry_sw_2021(W4930,公司分析!D$5,1),IF($Y$3="申万二级行业",[1]!s_info_industry_sw_2021(W4930,公司分析!D$5,2),IF($Y$3="申万三级行业",[1]!s_info_industry_sw_2021(W4930,公司分析!D$5,3),IF($Y$3="wind一级行业",[1]!s_info_industry_gics(W4930,1),IF($Y$3="wind二级行业",[1]!s_info_industry_gics(W4930,2),IF($Y$3="wind三级行业",[1]!s_info_industry_gics(W4930,3),IF($Y$3="wind四级行业",[1]!s_info_industry_gics(W4930,4),IF($Y$3="证监会门类行业",[1]!s_info_industry_csrc12_n(W4930,公司分析!D$5,1),""))))))))</f>
        <v>光伏设备</v>
      </c>
      <c r="Z4930" s="302" t="str">
        <f ca="1">IF(Y4930=行业比较!$E$6,ROW(),"")</f>
        <v/>
      </c>
    </row>
    <row r="4931" spans="22:26">
      <c r="V4931" s="260">
        <f t="shared" ca="1" si="84"/>
        <v>0</v>
      </c>
      <c r="W4931" s="348" t="str">
        <f>IF(板块成分!B4933="","",板块成分!B4933)</f>
        <v>688391.SH</v>
      </c>
      <c r="X4931" s="276" t="str">
        <f>[1]!S_Info_Name(W4931)</f>
        <v>钜泉科技</v>
      </c>
      <c r="Y4931" s="276" t="str">
        <f ca="1">IF($Y$3="申万一级行业",[1]!s_info_industry_sw_2021(W4931,公司分析!D$5,1),IF($Y$3="申万二级行业",[1]!s_info_industry_sw_2021(W4931,公司分析!D$5,2),IF($Y$3="申万三级行业",[1]!s_info_industry_sw_2021(W4931,公司分析!D$5,3),IF($Y$3="wind一级行业",[1]!s_info_industry_gics(W4931,1),IF($Y$3="wind二级行业",[1]!s_info_industry_gics(W4931,2),IF($Y$3="wind三级行业",[1]!s_info_industry_gics(W4931,3),IF($Y$3="wind四级行业",[1]!s_info_industry_gics(W4931,4),IF($Y$3="证监会门类行业",[1]!s_info_industry_csrc12_n(W4931,公司分析!D$5,1),""))))))))</f>
        <v>半导体</v>
      </c>
      <c r="Z4931" s="302" t="str">
        <f ca="1">IF(Y4931=行业比较!$E$6,ROW(),"")</f>
        <v/>
      </c>
    </row>
    <row r="4932" spans="22:26">
      <c r="V4932" s="260">
        <f t="shared" ca="1" si="84"/>
        <v>0</v>
      </c>
      <c r="W4932" s="348" t="str">
        <f>IF(板块成分!B4934="","",板块成分!B4934)</f>
        <v>688392.SH</v>
      </c>
      <c r="X4932" s="276" t="str">
        <f>[1]!S_Info_Name(W4932)</f>
        <v>骄成超声</v>
      </c>
      <c r="Y4932" s="276" t="str">
        <f ca="1">IF($Y$3="申万一级行业",[1]!s_info_industry_sw_2021(W4932,公司分析!D$5,1),IF($Y$3="申万二级行业",[1]!s_info_industry_sw_2021(W4932,公司分析!D$5,2),IF($Y$3="申万三级行业",[1]!s_info_industry_sw_2021(W4932,公司分析!D$5,3),IF($Y$3="wind一级行业",[1]!s_info_industry_gics(W4932,1),IF($Y$3="wind二级行业",[1]!s_info_industry_gics(W4932,2),IF($Y$3="wind三级行业",[1]!s_info_industry_gics(W4932,3),IF($Y$3="wind四级行业",[1]!s_info_industry_gics(W4932,4),IF($Y$3="证监会门类行业",[1]!s_info_industry_csrc12_n(W4932,公司分析!D$5,1),""))))))))</f>
        <v>电池</v>
      </c>
      <c r="Z4932" s="302" t="str">
        <f ca="1">IF(Y4932=行业比较!$E$6,ROW(),"")</f>
        <v/>
      </c>
    </row>
    <row r="4933" spans="22:26">
      <c r="V4933" s="260">
        <f t="shared" ref="V4933:V4996" ca="1" si="85">IF(Z4933="",0,RANK(Z4933,Z:Z,1))</f>
        <v>0</v>
      </c>
      <c r="W4933" s="348" t="str">
        <f>IF(板块成分!B4935="","",板块成分!B4935)</f>
        <v>688393.SH</v>
      </c>
      <c r="X4933" s="276" t="str">
        <f>[1]!S_Info_Name(W4933)</f>
        <v>安必平</v>
      </c>
      <c r="Y4933" s="276" t="str">
        <f ca="1">IF($Y$3="申万一级行业",[1]!s_info_industry_sw_2021(W4933,公司分析!D$5,1),IF($Y$3="申万二级行业",[1]!s_info_industry_sw_2021(W4933,公司分析!D$5,2),IF($Y$3="申万三级行业",[1]!s_info_industry_sw_2021(W4933,公司分析!D$5,3),IF($Y$3="wind一级行业",[1]!s_info_industry_gics(W4933,1),IF($Y$3="wind二级行业",[1]!s_info_industry_gics(W4933,2),IF($Y$3="wind三级行业",[1]!s_info_industry_gics(W4933,3),IF($Y$3="wind四级行业",[1]!s_info_industry_gics(W4933,4),IF($Y$3="证监会门类行业",[1]!s_info_industry_csrc12_n(W4933,公司分析!D$5,1),""))))))))</f>
        <v>医疗器械</v>
      </c>
      <c r="Z4933" s="302" t="str">
        <f ca="1">IF(Y4933=行业比较!$E$6,ROW(),"")</f>
        <v/>
      </c>
    </row>
    <row r="4934" spans="22:26">
      <c r="V4934" s="260">
        <f t="shared" ca="1" si="85"/>
        <v>0</v>
      </c>
      <c r="W4934" s="348" t="str">
        <f>IF(板块成分!B4936="","",板块成分!B4936)</f>
        <v>688395.SH</v>
      </c>
      <c r="X4934" s="276" t="str">
        <f>[1]!S_Info_Name(W4934)</f>
        <v>正弦电气</v>
      </c>
      <c r="Y4934" s="276" t="str">
        <f ca="1">IF($Y$3="申万一级行业",[1]!s_info_industry_sw_2021(W4934,公司分析!D$5,1),IF($Y$3="申万二级行业",[1]!s_info_industry_sw_2021(W4934,公司分析!D$5,2),IF($Y$3="申万三级行业",[1]!s_info_industry_sw_2021(W4934,公司分析!D$5,3),IF($Y$3="wind一级行业",[1]!s_info_industry_gics(W4934,1),IF($Y$3="wind二级行业",[1]!s_info_industry_gics(W4934,2),IF($Y$3="wind三级行业",[1]!s_info_industry_gics(W4934,3),IF($Y$3="wind四级行业",[1]!s_info_industry_gics(W4934,4),IF($Y$3="证监会门类行业",[1]!s_info_industry_csrc12_n(W4934,公司分析!D$5,1),""))))))))</f>
        <v>自动化设备</v>
      </c>
      <c r="Z4934" s="302" t="str">
        <f ca="1">IF(Y4934=行业比较!$E$6,ROW(),"")</f>
        <v/>
      </c>
    </row>
    <row r="4935" spans="22:26">
      <c r="V4935" s="260">
        <f t="shared" ca="1" si="85"/>
        <v>0</v>
      </c>
      <c r="W4935" s="348" t="str">
        <f>IF(板块成分!B4937="","",板块成分!B4937)</f>
        <v>688396.SH</v>
      </c>
      <c r="X4935" s="276" t="str">
        <f>[1]!S_Info_Name(W4935)</f>
        <v>华润微</v>
      </c>
      <c r="Y4935" s="276" t="str">
        <f ca="1">IF($Y$3="申万一级行业",[1]!s_info_industry_sw_2021(W4935,公司分析!D$5,1),IF($Y$3="申万二级行业",[1]!s_info_industry_sw_2021(W4935,公司分析!D$5,2),IF($Y$3="申万三级行业",[1]!s_info_industry_sw_2021(W4935,公司分析!D$5,3),IF($Y$3="wind一级行业",[1]!s_info_industry_gics(W4935,1),IF($Y$3="wind二级行业",[1]!s_info_industry_gics(W4935,2),IF($Y$3="wind三级行业",[1]!s_info_industry_gics(W4935,3),IF($Y$3="wind四级行业",[1]!s_info_industry_gics(W4935,4),IF($Y$3="证监会门类行业",[1]!s_info_industry_csrc12_n(W4935,公司分析!D$5,1),""))))))))</f>
        <v>半导体</v>
      </c>
      <c r="Z4935" s="302" t="str">
        <f ca="1">IF(Y4935=行业比较!$E$6,ROW(),"")</f>
        <v/>
      </c>
    </row>
    <row r="4936" spans="22:26">
      <c r="V4936" s="260">
        <f t="shared" ca="1" si="85"/>
        <v>0</v>
      </c>
      <c r="W4936" s="348" t="str">
        <f>IF(板块成分!B4938="","",板块成分!B4938)</f>
        <v>688398.SH</v>
      </c>
      <c r="X4936" s="276" t="str">
        <f>[1]!S_Info_Name(W4936)</f>
        <v>赛特新材</v>
      </c>
      <c r="Y4936" s="276" t="str">
        <f ca="1">IF($Y$3="申万一级行业",[1]!s_info_industry_sw_2021(W4936,公司分析!D$5,1),IF($Y$3="申万二级行业",[1]!s_info_industry_sw_2021(W4936,公司分析!D$5,2),IF($Y$3="申万三级行业",[1]!s_info_industry_sw_2021(W4936,公司分析!D$5,3),IF($Y$3="wind一级行业",[1]!s_info_industry_gics(W4936,1),IF($Y$3="wind二级行业",[1]!s_info_industry_gics(W4936,2),IF($Y$3="wind三级行业",[1]!s_info_industry_gics(W4936,3),IF($Y$3="wind四级行业",[1]!s_info_industry_gics(W4936,4),IF($Y$3="证监会门类行业",[1]!s_info_industry_csrc12_n(W4936,公司分析!D$5,1),""))))))))</f>
        <v>化学制品</v>
      </c>
      <c r="Z4936" s="302" t="str">
        <f ca="1">IF(Y4936=行业比较!$E$6,ROW(),"")</f>
        <v/>
      </c>
    </row>
    <row r="4937" spans="22:26">
      <c r="V4937" s="260">
        <f t="shared" ca="1" si="85"/>
        <v>0</v>
      </c>
      <c r="W4937" s="348" t="str">
        <f>IF(板块成分!B4939="","",板块成分!B4939)</f>
        <v>688399.SH</v>
      </c>
      <c r="X4937" s="276" t="str">
        <f>[1]!S_Info_Name(W4937)</f>
        <v>硕世生物</v>
      </c>
      <c r="Y4937" s="276" t="str">
        <f ca="1">IF($Y$3="申万一级行业",[1]!s_info_industry_sw_2021(W4937,公司分析!D$5,1),IF($Y$3="申万二级行业",[1]!s_info_industry_sw_2021(W4937,公司分析!D$5,2),IF($Y$3="申万三级行业",[1]!s_info_industry_sw_2021(W4937,公司分析!D$5,3),IF($Y$3="wind一级行业",[1]!s_info_industry_gics(W4937,1),IF($Y$3="wind二级行业",[1]!s_info_industry_gics(W4937,2),IF($Y$3="wind三级行业",[1]!s_info_industry_gics(W4937,3),IF($Y$3="wind四级行业",[1]!s_info_industry_gics(W4937,4),IF($Y$3="证监会门类行业",[1]!s_info_industry_csrc12_n(W4937,公司分析!D$5,1),""))))))))</f>
        <v>医疗器械</v>
      </c>
      <c r="Z4937" s="302" t="str">
        <f ca="1">IF(Y4937=行业比较!$E$6,ROW(),"")</f>
        <v/>
      </c>
    </row>
    <row r="4938" spans="22:26">
      <c r="V4938" s="260">
        <f t="shared" ca="1" si="85"/>
        <v>0</v>
      </c>
      <c r="W4938" s="348" t="str">
        <f>IF(板块成分!B4940="","",板块成分!B4940)</f>
        <v>688400.SH</v>
      </c>
      <c r="X4938" s="276" t="str">
        <f>[1]!S_Info_Name(W4938)</f>
        <v>凌云光</v>
      </c>
      <c r="Y4938" s="276" t="str">
        <f ca="1">IF($Y$3="申万一级行业",[1]!s_info_industry_sw_2021(W4938,公司分析!D$5,1),IF($Y$3="申万二级行业",[1]!s_info_industry_sw_2021(W4938,公司分析!D$5,2),IF($Y$3="申万三级行业",[1]!s_info_industry_sw_2021(W4938,公司分析!D$5,3),IF($Y$3="wind一级行业",[1]!s_info_industry_gics(W4938,1),IF($Y$3="wind二级行业",[1]!s_info_industry_gics(W4938,2),IF($Y$3="wind三级行业",[1]!s_info_industry_gics(W4938,3),IF($Y$3="wind四级行业",[1]!s_info_industry_gics(W4938,4),IF($Y$3="证监会门类行业",[1]!s_info_industry_csrc12_n(W4938,公司分析!D$5,1),""))))))))</f>
        <v>专用设备</v>
      </c>
      <c r="Z4938" s="302" t="str">
        <f ca="1">IF(Y4938=行业比较!$E$6,ROW(),"")</f>
        <v/>
      </c>
    </row>
    <row r="4939" spans="22:26">
      <c r="V4939" s="260">
        <f t="shared" ca="1" si="85"/>
        <v>0</v>
      </c>
      <c r="W4939" s="348" t="str">
        <f>IF(板块成分!B4941="","",板块成分!B4941)</f>
        <v>688401.SH</v>
      </c>
      <c r="X4939" s="276" t="str">
        <f>[1]!S_Info_Name(W4939)</f>
        <v>路维光电</v>
      </c>
      <c r="Y4939" s="276" t="str">
        <f ca="1">IF($Y$3="申万一级行业",[1]!s_info_industry_sw_2021(W4939,公司分析!D$5,1),IF($Y$3="申万二级行业",[1]!s_info_industry_sw_2021(W4939,公司分析!D$5,2),IF($Y$3="申万三级行业",[1]!s_info_industry_sw_2021(W4939,公司分析!D$5,3),IF($Y$3="wind一级行业",[1]!s_info_industry_gics(W4939,1),IF($Y$3="wind二级行业",[1]!s_info_industry_gics(W4939,2),IF($Y$3="wind三级行业",[1]!s_info_industry_gics(W4939,3),IF($Y$3="wind四级行业",[1]!s_info_industry_gics(W4939,4),IF($Y$3="证监会门类行业",[1]!s_info_industry_csrc12_n(W4939,公司分析!D$5,1),""))))))))</f>
        <v>半导体</v>
      </c>
      <c r="Z4939" s="302" t="str">
        <f ca="1">IF(Y4939=行业比较!$E$6,ROW(),"")</f>
        <v/>
      </c>
    </row>
    <row r="4940" spans="22:26">
      <c r="V4940" s="260">
        <f t="shared" ca="1" si="85"/>
        <v>0</v>
      </c>
      <c r="W4940" s="348" t="str">
        <f>IF(板块成分!B4942="","",板块成分!B4942)</f>
        <v>688403.SH</v>
      </c>
      <c r="X4940" s="276" t="str">
        <f>[1]!S_Info_Name(W4940)</f>
        <v>汇成股份</v>
      </c>
      <c r="Y4940" s="276" t="str">
        <f ca="1">IF($Y$3="申万一级行业",[1]!s_info_industry_sw_2021(W4940,公司分析!D$5,1),IF($Y$3="申万二级行业",[1]!s_info_industry_sw_2021(W4940,公司分析!D$5,2),IF($Y$3="申万三级行业",[1]!s_info_industry_sw_2021(W4940,公司分析!D$5,3),IF($Y$3="wind一级行业",[1]!s_info_industry_gics(W4940,1),IF($Y$3="wind二级行业",[1]!s_info_industry_gics(W4940,2),IF($Y$3="wind三级行业",[1]!s_info_industry_gics(W4940,3),IF($Y$3="wind四级行业",[1]!s_info_industry_gics(W4940,4),IF($Y$3="证监会门类行业",[1]!s_info_industry_csrc12_n(W4940,公司分析!D$5,1),""))))))))</f>
        <v>半导体</v>
      </c>
      <c r="Z4940" s="302" t="str">
        <f ca="1">IF(Y4940=行业比较!$E$6,ROW(),"")</f>
        <v/>
      </c>
    </row>
    <row r="4941" spans="22:26">
      <c r="V4941" s="260">
        <f t="shared" ca="1" si="85"/>
        <v>0</v>
      </c>
      <c r="W4941" s="348" t="str">
        <f>IF(板块成分!B4943="","",板块成分!B4943)</f>
        <v>688408.SH</v>
      </c>
      <c r="X4941" s="276" t="str">
        <f>[1]!S_Info_Name(W4941)</f>
        <v>中信博</v>
      </c>
      <c r="Y4941" s="276" t="str">
        <f ca="1">IF($Y$3="申万一级行业",[1]!s_info_industry_sw_2021(W4941,公司分析!D$5,1),IF($Y$3="申万二级行业",[1]!s_info_industry_sw_2021(W4941,公司分析!D$5,2),IF($Y$3="申万三级行业",[1]!s_info_industry_sw_2021(W4941,公司分析!D$5,3),IF($Y$3="wind一级行业",[1]!s_info_industry_gics(W4941,1),IF($Y$3="wind二级行业",[1]!s_info_industry_gics(W4941,2),IF($Y$3="wind三级行业",[1]!s_info_industry_gics(W4941,3),IF($Y$3="wind四级行业",[1]!s_info_industry_gics(W4941,4),IF($Y$3="证监会门类行业",[1]!s_info_industry_csrc12_n(W4941,公司分析!D$5,1),""))))))))</f>
        <v>光伏设备</v>
      </c>
      <c r="Z4941" s="302" t="str">
        <f ca="1">IF(Y4941=行业比较!$E$6,ROW(),"")</f>
        <v/>
      </c>
    </row>
    <row r="4942" spans="22:26">
      <c r="V4942" s="260">
        <f t="shared" ca="1" si="85"/>
        <v>0</v>
      </c>
      <c r="W4942" s="348" t="str">
        <f>IF(板块成分!B4944="","",板块成分!B4944)</f>
        <v>688409.SH</v>
      </c>
      <c r="X4942" s="276" t="str">
        <f>[1]!S_Info_Name(W4942)</f>
        <v>富创精密</v>
      </c>
      <c r="Y4942" s="276" t="str">
        <f ca="1">IF($Y$3="申万一级行业",[1]!s_info_industry_sw_2021(W4942,公司分析!D$5,1),IF($Y$3="申万二级行业",[1]!s_info_industry_sw_2021(W4942,公司分析!D$5,2),IF($Y$3="申万三级行业",[1]!s_info_industry_sw_2021(W4942,公司分析!D$5,3),IF($Y$3="wind一级行业",[1]!s_info_industry_gics(W4942,1),IF($Y$3="wind二级行业",[1]!s_info_industry_gics(W4942,2),IF($Y$3="wind三级行业",[1]!s_info_industry_gics(W4942,3),IF($Y$3="wind四级行业",[1]!s_info_industry_gics(W4942,4),IF($Y$3="证监会门类行业",[1]!s_info_industry_csrc12_n(W4942,公司分析!D$5,1),""))))))))</f>
        <v>半导体</v>
      </c>
      <c r="Z4942" s="302" t="str">
        <f ca="1">IF(Y4942=行业比较!$E$6,ROW(),"")</f>
        <v/>
      </c>
    </row>
    <row r="4943" spans="22:26">
      <c r="V4943" s="260">
        <f t="shared" ca="1" si="85"/>
        <v>0</v>
      </c>
      <c r="W4943" s="348" t="str">
        <f>IF(板块成分!B4945="","",板块成分!B4945)</f>
        <v>688410.SH</v>
      </c>
      <c r="X4943" s="276" t="str">
        <f>[1]!S_Info_Name(W4943)</f>
        <v>山外山</v>
      </c>
      <c r="Y4943" s="276" t="str">
        <f ca="1">IF($Y$3="申万一级行业",[1]!s_info_industry_sw_2021(W4943,公司分析!D$5,1),IF($Y$3="申万二级行业",[1]!s_info_industry_sw_2021(W4943,公司分析!D$5,2),IF($Y$3="申万三级行业",[1]!s_info_industry_sw_2021(W4943,公司分析!D$5,3),IF($Y$3="wind一级行业",[1]!s_info_industry_gics(W4943,1),IF($Y$3="wind二级行业",[1]!s_info_industry_gics(W4943,2),IF($Y$3="wind三级行业",[1]!s_info_industry_gics(W4943,3),IF($Y$3="wind四级行业",[1]!s_info_industry_gics(W4943,4),IF($Y$3="证监会门类行业",[1]!s_info_industry_csrc12_n(W4943,公司分析!D$5,1),""))))))))</f>
        <v>医疗器械</v>
      </c>
      <c r="Z4943" s="302" t="str">
        <f ca="1">IF(Y4943=行业比较!$E$6,ROW(),"")</f>
        <v/>
      </c>
    </row>
    <row r="4944" spans="22:26">
      <c r="V4944" s="260">
        <f t="shared" ca="1" si="85"/>
        <v>0</v>
      </c>
      <c r="W4944" s="348" t="str">
        <f>IF(板块成分!B4946="","",板块成分!B4946)</f>
        <v>688411.SH</v>
      </c>
      <c r="X4944" s="276" t="str">
        <f>[1]!S_Info_Name(W4944)</f>
        <v>海博思创</v>
      </c>
      <c r="Y4944" s="276" t="str">
        <f ca="1">IF($Y$3="申万一级行业",[1]!s_info_industry_sw_2021(W4944,公司分析!D$5,1),IF($Y$3="申万二级行业",[1]!s_info_industry_sw_2021(W4944,公司分析!D$5,2),IF($Y$3="申万三级行业",[1]!s_info_industry_sw_2021(W4944,公司分析!D$5,3),IF($Y$3="wind一级行业",[1]!s_info_industry_gics(W4944,1),IF($Y$3="wind二级行业",[1]!s_info_industry_gics(W4944,2),IF($Y$3="wind三级行业",[1]!s_info_industry_gics(W4944,3),IF($Y$3="wind四级行业",[1]!s_info_industry_gics(W4944,4),IF($Y$3="证监会门类行业",[1]!s_info_industry_csrc12_n(W4944,公司分析!D$5,1),""))))))))</f>
        <v>其他电源设备Ⅱ</v>
      </c>
      <c r="Z4944" s="302" t="str">
        <f ca="1">IF(Y4944=行业比较!$E$6,ROW(),"")</f>
        <v/>
      </c>
    </row>
    <row r="4945" spans="22:26">
      <c r="V4945" s="260">
        <f t="shared" ca="1" si="85"/>
        <v>0</v>
      </c>
      <c r="W4945" s="348" t="str">
        <f>IF(板块成分!B4947="","",板块成分!B4947)</f>
        <v>688416.SH</v>
      </c>
      <c r="X4945" s="276" t="str">
        <f>[1]!S_Info_Name(W4945)</f>
        <v>恒烁股份</v>
      </c>
      <c r="Y4945" s="276" t="str">
        <f ca="1">IF($Y$3="申万一级行业",[1]!s_info_industry_sw_2021(W4945,公司分析!D$5,1),IF($Y$3="申万二级行业",[1]!s_info_industry_sw_2021(W4945,公司分析!D$5,2),IF($Y$3="申万三级行业",[1]!s_info_industry_sw_2021(W4945,公司分析!D$5,3),IF($Y$3="wind一级行业",[1]!s_info_industry_gics(W4945,1),IF($Y$3="wind二级行业",[1]!s_info_industry_gics(W4945,2),IF($Y$3="wind三级行业",[1]!s_info_industry_gics(W4945,3),IF($Y$3="wind四级行业",[1]!s_info_industry_gics(W4945,4),IF($Y$3="证监会门类行业",[1]!s_info_industry_csrc12_n(W4945,公司分析!D$5,1),""))))))))</f>
        <v>半导体</v>
      </c>
      <c r="Z4945" s="302" t="str">
        <f ca="1">IF(Y4945=行业比较!$E$6,ROW(),"")</f>
        <v/>
      </c>
    </row>
    <row r="4946" spans="22:26">
      <c r="V4946" s="260">
        <f t="shared" ca="1" si="85"/>
        <v>0</v>
      </c>
      <c r="W4946" s="348" t="str">
        <f>IF(板块成分!B4948="","",板块成分!B4948)</f>
        <v>688418.SH</v>
      </c>
      <c r="X4946" s="276" t="str">
        <f>[1]!S_Info_Name(W4946)</f>
        <v>震有科技</v>
      </c>
      <c r="Y4946" s="276" t="str">
        <f ca="1">IF($Y$3="申万一级行业",[1]!s_info_industry_sw_2021(W4946,公司分析!D$5,1),IF($Y$3="申万二级行业",[1]!s_info_industry_sw_2021(W4946,公司分析!D$5,2),IF($Y$3="申万三级行业",[1]!s_info_industry_sw_2021(W4946,公司分析!D$5,3),IF($Y$3="wind一级行业",[1]!s_info_industry_gics(W4946,1),IF($Y$3="wind二级行业",[1]!s_info_industry_gics(W4946,2),IF($Y$3="wind三级行业",[1]!s_info_industry_gics(W4946,3),IF($Y$3="wind四级行业",[1]!s_info_industry_gics(W4946,4),IF($Y$3="证监会门类行业",[1]!s_info_industry_csrc12_n(W4946,公司分析!D$5,1),""))))))))</f>
        <v>通信设备</v>
      </c>
      <c r="Z4946" s="302" t="str">
        <f ca="1">IF(Y4946=行业比较!$E$6,ROW(),"")</f>
        <v/>
      </c>
    </row>
    <row r="4947" spans="22:26">
      <c r="V4947" s="260">
        <f t="shared" ca="1" si="85"/>
        <v>0</v>
      </c>
      <c r="W4947" s="348" t="str">
        <f>IF(板块成分!B4949="","",板块成分!B4949)</f>
        <v>688419.SH</v>
      </c>
      <c r="X4947" s="276" t="str">
        <f>[1]!S_Info_Name(W4947)</f>
        <v>耐科装备</v>
      </c>
      <c r="Y4947" s="276" t="str">
        <f ca="1">IF($Y$3="申万一级行业",[1]!s_info_industry_sw_2021(W4947,公司分析!D$5,1),IF($Y$3="申万二级行业",[1]!s_info_industry_sw_2021(W4947,公司分析!D$5,2),IF($Y$3="申万三级行业",[1]!s_info_industry_sw_2021(W4947,公司分析!D$5,3),IF($Y$3="wind一级行业",[1]!s_info_industry_gics(W4947,1),IF($Y$3="wind二级行业",[1]!s_info_industry_gics(W4947,2),IF($Y$3="wind三级行业",[1]!s_info_industry_gics(W4947,3),IF($Y$3="wind四级行业",[1]!s_info_industry_gics(W4947,4),IF($Y$3="证监会门类行业",[1]!s_info_industry_csrc12_n(W4947,公司分析!D$5,1),""))))))))</f>
        <v>半导体</v>
      </c>
      <c r="Z4947" s="302" t="str">
        <f ca="1">IF(Y4947=行业比较!$E$6,ROW(),"")</f>
        <v/>
      </c>
    </row>
    <row r="4948" spans="22:26">
      <c r="V4948" s="260">
        <f t="shared" ca="1" si="85"/>
        <v>0</v>
      </c>
      <c r="W4948" s="348" t="str">
        <f>IF(板块成分!B4950="","",板块成分!B4950)</f>
        <v>688420.SH</v>
      </c>
      <c r="X4948" s="276" t="str">
        <f>[1]!S_Info_Name(W4948)</f>
        <v>美腾科技</v>
      </c>
      <c r="Y4948" s="276" t="str">
        <f ca="1">IF($Y$3="申万一级行业",[1]!s_info_industry_sw_2021(W4948,公司分析!D$5,1),IF($Y$3="申万二级行业",[1]!s_info_industry_sw_2021(W4948,公司分析!D$5,2),IF($Y$3="申万三级行业",[1]!s_info_industry_sw_2021(W4948,公司分析!D$5,3),IF($Y$3="wind一级行业",[1]!s_info_industry_gics(W4948,1),IF($Y$3="wind二级行业",[1]!s_info_industry_gics(W4948,2),IF($Y$3="wind三级行业",[1]!s_info_industry_gics(W4948,3),IF($Y$3="wind四级行业",[1]!s_info_industry_gics(W4948,4),IF($Y$3="证监会门类行业",[1]!s_info_industry_csrc12_n(W4948,公司分析!D$5,1),""))))))))</f>
        <v>专用设备</v>
      </c>
      <c r="Z4948" s="302" t="str">
        <f ca="1">IF(Y4948=行业比较!$E$6,ROW(),"")</f>
        <v/>
      </c>
    </row>
    <row r="4949" spans="22:26">
      <c r="V4949" s="260">
        <f t="shared" ca="1" si="85"/>
        <v>0</v>
      </c>
      <c r="W4949" s="348" t="str">
        <f>IF(板块成分!B4951="","",板块成分!B4951)</f>
        <v>688425.SH</v>
      </c>
      <c r="X4949" s="276" t="str">
        <f>[1]!S_Info_Name(W4949)</f>
        <v>铁建重工</v>
      </c>
      <c r="Y4949" s="276" t="str">
        <f ca="1">IF($Y$3="申万一级行业",[1]!s_info_industry_sw_2021(W4949,公司分析!D$5,1),IF($Y$3="申万二级行业",[1]!s_info_industry_sw_2021(W4949,公司分析!D$5,2),IF($Y$3="申万三级行业",[1]!s_info_industry_sw_2021(W4949,公司分析!D$5,3),IF($Y$3="wind一级行业",[1]!s_info_industry_gics(W4949,1),IF($Y$3="wind二级行业",[1]!s_info_industry_gics(W4949,2),IF($Y$3="wind三级行业",[1]!s_info_industry_gics(W4949,3),IF($Y$3="wind四级行业",[1]!s_info_industry_gics(W4949,4),IF($Y$3="证监会门类行业",[1]!s_info_industry_csrc12_n(W4949,公司分析!D$5,1),""))))))))</f>
        <v>工程机械</v>
      </c>
      <c r="Z4949" s="302" t="str">
        <f ca="1">IF(Y4949=行业比较!$E$6,ROW(),"")</f>
        <v/>
      </c>
    </row>
    <row r="4950" spans="22:26">
      <c r="V4950" s="260">
        <f t="shared" ca="1" si="85"/>
        <v>0</v>
      </c>
      <c r="W4950" s="348" t="str">
        <f>IF(板块成分!B4952="","",板块成分!B4952)</f>
        <v>688426.SH</v>
      </c>
      <c r="X4950" s="276" t="str">
        <f>[1]!S_Info_Name(W4950)</f>
        <v>康为世纪</v>
      </c>
      <c r="Y4950" s="276" t="str">
        <f ca="1">IF($Y$3="申万一级行业",[1]!s_info_industry_sw_2021(W4950,公司分析!D$5,1),IF($Y$3="申万二级行业",[1]!s_info_industry_sw_2021(W4950,公司分析!D$5,2),IF($Y$3="申万三级行业",[1]!s_info_industry_sw_2021(W4950,公司分析!D$5,3),IF($Y$3="wind一级行业",[1]!s_info_industry_gics(W4950,1),IF($Y$3="wind二级行业",[1]!s_info_industry_gics(W4950,2),IF($Y$3="wind三级行业",[1]!s_info_industry_gics(W4950,3),IF($Y$3="wind四级行业",[1]!s_info_industry_gics(W4950,4),IF($Y$3="证监会门类行业",[1]!s_info_industry_csrc12_n(W4950,公司分析!D$5,1),""))))))))</f>
        <v>医疗器械</v>
      </c>
      <c r="Z4950" s="302" t="str">
        <f ca="1">IF(Y4950=行业比较!$E$6,ROW(),"")</f>
        <v/>
      </c>
    </row>
    <row r="4951" spans="22:26">
      <c r="V4951" s="260">
        <f t="shared" ca="1" si="85"/>
        <v>0</v>
      </c>
      <c r="W4951" s="348" t="str">
        <f>IF(板块成分!B4953="","",板块成分!B4953)</f>
        <v>688428.SH</v>
      </c>
      <c r="X4951" s="276" t="str">
        <f>[1]!S_Info_Name(W4951)</f>
        <v>诺诚健华-U</v>
      </c>
      <c r="Y4951" s="276" t="str">
        <f ca="1">IF($Y$3="申万一级行业",[1]!s_info_industry_sw_2021(W4951,公司分析!D$5,1),IF($Y$3="申万二级行业",[1]!s_info_industry_sw_2021(W4951,公司分析!D$5,2),IF($Y$3="申万三级行业",[1]!s_info_industry_sw_2021(W4951,公司分析!D$5,3),IF($Y$3="wind一级行业",[1]!s_info_industry_gics(W4951,1),IF($Y$3="wind二级行业",[1]!s_info_industry_gics(W4951,2),IF($Y$3="wind三级行业",[1]!s_info_industry_gics(W4951,3),IF($Y$3="wind四级行业",[1]!s_info_industry_gics(W4951,4),IF($Y$3="证监会门类行业",[1]!s_info_industry_csrc12_n(W4951,公司分析!D$5,1),""))))))))</f>
        <v>化学制药</v>
      </c>
      <c r="Z4951" s="302" t="str">
        <f ca="1">IF(Y4951=行业比较!$E$6,ROW(),"")</f>
        <v/>
      </c>
    </row>
    <row r="4952" spans="22:26">
      <c r="V4952" s="260">
        <f t="shared" ca="1" si="85"/>
        <v>0</v>
      </c>
      <c r="W4952" s="348" t="str">
        <f>IF(板块成分!B4954="","",板块成分!B4954)</f>
        <v>688429.SH</v>
      </c>
      <c r="X4952" s="276" t="str">
        <f>[1]!S_Info_Name(W4952)</f>
        <v>时创能源</v>
      </c>
      <c r="Y4952" s="276" t="str">
        <f ca="1">IF($Y$3="申万一级行业",[1]!s_info_industry_sw_2021(W4952,公司分析!D$5,1),IF($Y$3="申万二级行业",[1]!s_info_industry_sw_2021(W4952,公司分析!D$5,2),IF($Y$3="申万三级行业",[1]!s_info_industry_sw_2021(W4952,公司分析!D$5,3),IF($Y$3="wind一级行业",[1]!s_info_industry_gics(W4952,1),IF($Y$3="wind二级行业",[1]!s_info_industry_gics(W4952,2),IF($Y$3="wind三级行业",[1]!s_info_industry_gics(W4952,3),IF($Y$3="wind四级行业",[1]!s_info_industry_gics(W4952,4),IF($Y$3="证监会门类行业",[1]!s_info_industry_csrc12_n(W4952,公司分析!D$5,1),""))))))))</f>
        <v>光伏设备</v>
      </c>
      <c r="Z4952" s="302" t="str">
        <f ca="1">IF(Y4952=行业比较!$E$6,ROW(),"")</f>
        <v/>
      </c>
    </row>
    <row r="4953" spans="22:26">
      <c r="V4953" s="260">
        <f t="shared" ca="1" si="85"/>
        <v>0</v>
      </c>
      <c r="W4953" s="348" t="str">
        <f>IF(板块成分!B4955="","",板块成分!B4955)</f>
        <v>688432.SH</v>
      </c>
      <c r="X4953" s="276" t="str">
        <f>[1]!S_Info_Name(W4953)</f>
        <v>有研硅</v>
      </c>
      <c r="Y4953" s="276" t="str">
        <f ca="1">IF($Y$3="申万一级行业",[1]!s_info_industry_sw_2021(W4953,公司分析!D$5,1),IF($Y$3="申万二级行业",[1]!s_info_industry_sw_2021(W4953,公司分析!D$5,2),IF($Y$3="申万三级行业",[1]!s_info_industry_sw_2021(W4953,公司分析!D$5,3),IF($Y$3="wind一级行业",[1]!s_info_industry_gics(W4953,1),IF($Y$3="wind二级行业",[1]!s_info_industry_gics(W4953,2),IF($Y$3="wind三级行业",[1]!s_info_industry_gics(W4953,3),IF($Y$3="wind四级行业",[1]!s_info_industry_gics(W4953,4),IF($Y$3="证监会门类行业",[1]!s_info_industry_csrc12_n(W4953,公司分析!D$5,1),""))))))))</f>
        <v>半导体</v>
      </c>
      <c r="Z4953" s="302" t="str">
        <f ca="1">IF(Y4953=行业比较!$E$6,ROW(),"")</f>
        <v/>
      </c>
    </row>
    <row r="4954" spans="22:26">
      <c r="V4954" s="260">
        <f t="shared" ca="1" si="85"/>
        <v>0</v>
      </c>
      <c r="W4954" s="348" t="str">
        <f>IF(板块成分!B4956="","",板块成分!B4956)</f>
        <v>688433.SH</v>
      </c>
      <c r="X4954" s="276" t="str">
        <f>[1]!S_Info_Name(W4954)</f>
        <v>华曙高科</v>
      </c>
      <c r="Y4954" s="276" t="str">
        <f ca="1">IF($Y$3="申万一级行业",[1]!s_info_industry_sw_2021(W4954,公司分析!D$5,1),IF($Y$3="申万二级行业",[1]!s_info_industry_sw_2021(W4954,公司分析!D$5,2),IF($Y$3="申万三级行业",[1]!s_info_industry_sw_2021(W4954,公司分析!D$5,3),IF($Y$3="wind一级行业",[1]!s_info_industry_gics(W4954,1),IF($Y$3="wind二级行业",[1]!s_info_industry_gics(W4954,2),IF($Y$3="wind三级行业",[1]!s_info_industry_gics(W4954,3),IF($Y$3="wind四级行业",[1]!s_info_industry_gics(W4954,4),IF($Y$3="证监会门类行业",[1]!s_info_industry_csrc12_n(W4954,公司分析!D$5,1),""))))))))</f>
        <v>通用设备</v>
      </c>
      <c r="Z4954" s="302" t="str">
        <f ca="1">IF(Y4954=行业比较!$E$6,ROW(),"")</f>
        <v/>
      </c>
    </row>
    <row r="4955" spans="22:26">
      <c r="V4955" s="260">
        <f t="shared" ca="1" si="85"/>
        <v>0</v>
      </c>
      <c r="W4955" s="348" t="str">
        <f>IF(板块成分!B4957="","",板块成分!B4957)</f>
        <v>688435.SH</v>
      </c>
      <c r="X4955" s="276" t="str">
        <f>[1]!S_Info_Name(W4955)</f>
        <v>英方软件</v>
      </c>
      <c r="Y4955" s="276" t="str">
        <f ca="1">IF($Y$3="申万一级行业",[1]!s_info_industry_sw_2021(W4955,公司分析!D$5,1),IF($Y$3="申万二级行业",[1]!s_info_industry_sw_2021(W4955,公司分析!D$5,2),IF($Y$3="申万三级行业",[1]!s_info_industry_sw_2021(W4955,公司分析!D$5,3),IF($Y$3="wind一级行业",[1]!s_info_industry_gics(W4955,1),IF($Y$3="wind二级行业",[1]!s_info_industry_gics(W4955,2),IF($Y$3="wind三级行业",[1]!s_info_industry_gics(W4955,3),IF($Y$3="wind四级行业",[1]!s_info_industry_gics(W4955,4),IF($Y$3="证监会门类行业",[1]!s_info_industry_csrc12_n(W4955,公司分析!D$5,1),""))))))))</f>
        <v>软件开发</v>
      </c>
      <c r="Z4955" s="302" t="str">
        <f ca="1">IF(Y4955=行业比较!$E$6,ROW(),"")</f>
        <v/>
      </c>
    </row>
    <row r="4956" spans="22:26">
      <c r="V4956" s="260">
        <f t="shared" ca="1" si="85"/>
        <v>0</v>
      </c>
      <c r="W4956" s="348" t="str">
        <f>IF(板块成分!B4958="","",板块成分!B4958)</f>
        <v>688439.SH</v>
      </c>
      <c r="X4956" s="276" t="str">
        <f>[1]!S_Info_Name(W4956)</f>
        <v>振华风光</v>
      </c>
      <c r="Y4956" s="276" t="str">
        <f ca="1">IF($Y$3="申万一级行业",[1]!s_info_industry_sw_2021(W4956,公司分析!D$5,1),IF($Y$3="申万二级行业",[1]!s_info_industry_sw_2021(W4956,公司分析!D$5,2),IF($Y$3="申万三级行业",[1]!s_info_industry_sw_2021(W4956,公司分析!D$5,3),IF($Y$3="wind一级行业",[1]!s_info_industry_gics(W4956,1),IF($Y$3="wind二级行业",[1]!s_info_industry_gics(W4956,2),IF($Y$3="wind三级行业",[1]!s_info_industry_gics(W4956,3),IF($Y$3="wind四级行业",[1]!s_info_industry_gics(W4956,4),IF($Y$3="证监会门类行业",[1]!s_info_industry_csrc12_n(W4956,公司分析!D$5,1),""))))))))</f>
        <v>军工电子Ⅱ</v>
      </c>
      <c r="Z4956" s="302" t="str">
        <f ca="1">IF(Y4956=行业比较!$E$6,ROW(),"")</f>
        <v/>
      </c>
    </row>
    <row r="4957" spans="22:26">
      <c r="V4957" s="260">
        <f t="shared" ca="1" si="85"/>
        <v>0</v>
      </c>
      <c r="W4957" s="348" t="str">
        <f>IF(板块成分!B4959="","",板块成分!B4959)</f>
        <v>688443.SH</v>
      </c>
      <c r="X4957" s="276" t="str">
        <f>[1]!S_Info_Name(W4957)</f>
        <v>智翔金泰-U</v>
      </c>
      <c r="Y4957" s="276" t="str">
        <f ca="1">IF($Y$3="申万一级行业",[1]!s_info_industry_sw_2021(W4957,公司分析!D$5,1),IF($Y$3="申万二级行业",[1]!s_info_industry_sw_2021(W4957,公司分析!D$5,2),IF($Y$3="申万三级行业",[1]!s_info_industry_sw_2021(W4957,公司分析!D$5,3),IF($Y$3="wind一级行业",[1]!s_info_industry_gics(W4957,1),IF($Y$3="wind二级行业",[1]!s_info_industry_gics(W4957,2),IF($Y$3="wind三级行业",[1]!s_info_industry_gics(W4957,3),IF($Y$3="wind四级行业",[1]!s_info_industry_gics(W4957,4),IF($Y$3="证监会门类行业",[1]!s_info_industry_csrc12_n(W4957,公司分析!D$5,1),""))))))))</f>
        <v>生物制品</v>
      </c>
      <c r="Z4957" s="302" t="str">
        <f ca="1">IF(Y4957=行业比较!$E$6,ROW(),"")</f>
        <v/>
      </c>
    </row>
    <row r="4958" spans="22:26">
      <c r="V4958" s="260">
        <f t="shared" ca="1" si="85"/>
        <v>0</v>
      </c>
      <c r="W4958" s="348" t="str">
        <f>IF(板块成分!B4960="","",板块成分!B4960)</f>
        <v>688448.SH</v>
      </c>
      <c r="X4958" s="276" t="str">
        <f>[1]!S_Info_Name(W4958)</f>
        <v>磁谷科技</v>
      </c>
      <c r="Y4958" s="276" t="str">
        <f ca="1">IF($Y$3="申万一级行业",[1]!s_info_industry_sw_2021(W4958,公司分析!D$5,1),IF($Y$3="申万二级行业",[1]!s_info_industry_sw_2021(W4958,公司分析!D$5,2),IF($Y$3="申万三级行业",[1]!s_info_industry_sw_2021(W4958,公司分析!D$5,3),IF($Y$3="wind一级行业",[1]!s_info_industry_gics(W4958,1),IF($Y$3="wind二级行业",[1]!s_info_industry_gics(W4958,2),IF($Y$3="wind三级行业",[1]!s_info_industry_gics(W4958,3),IF($Y$3="wind四级行业",[1]!s_info_industry_gics(W4958,4),IF($Y$3="证监会门类行业",[1]!s_info_industry_csrc12_n(W4958,公司分析!D$5,1),""))))))))</f>
        <v>通用设备</v>
      </c>
      <c r="Z4958" s="302" t="str">
        <f ca="1">IF(Y4958=行业比较!$E$6,ROW(),"")</f>
        <v/>
      </c>
    </row>
    <row r="4959" spans="22:26">
      <c r="V4959" s="260">
        <f t="shared" ca="1" si="85"/>
        <v>0</v>
      </c>
      <c r="W4959" s="348" t="str">
        <f>IF(板块成分!B4961="","",板块成分!B4961)</f>
        <v>688449.SH</v>
      </c>
      <c r="X4959" s="276" t="str">
        <f>[1]!S_Info_Name(W4959)</f>
        <v>联芸科技</v>
      </c>
      <c r="Y4959" s="276" t="str">
        <f ca="1">IF($Y$3="申万一级行业",[1]!s_info_industry_sw_2021(W4959,公司分析!D$5,1),IF($Y$3="申万二级行业",[1]!s_info_industry_sw_2021(W4959,公司分析!D$5,2),IF($Y$3="申万三级行业",[1]!s_info_industry_sw_2021(W4959,公司分析!D$5,3),IF($Y$3="wind一级行业",[1]!s_info_industry_gics(W4959,1),IF($Y$3="wind二级行业",[1]!s_info_industry_gics(W4959,2),IF($Y$3="wind三级行业",[1]!s_info_industry_gics(W4959,3),IF($Y$3="wind四级行业",[1]!s_info_industry_gics(W4959,4),IF($Y$3="证监会门类行业",[1]!s_info_industry_csrc12_n(W4959,公司分析!D$5,1),""))))))))</f>
        <v>半导体</v>
      </c>
      <c r="Z4959" s="302" t="str">
        <f ca="1">IF(Y4959=行业比较!$E$6,ROW(),"")</f>
        <v/>
      </c>
    </row>
    <row r="4960" spans="22:26">
      <c r="V4960" s="260">
        <f t="shared" ca="1" si="85"/>
        <v>0</v>
      </c>
      <c r="W4960" s="348" t="str">
        <f>IF(板块成分!B4962="","",板块成分!B4962)</f>
        <v>688450.SH</v>
      </c>
      <c r="X4960" s="276" t="str">
        <f>[1]!S_Info_Name(W4960)</f>
        <v>光格科技</v>
      </c>
      <c r="Y4960" s="276" t="str">
        <f ca="1">IF($Y$3="申万一级行业",[1]!s_info_industry_sw_2021(W4960,公司分析!D$5,1),IF($Y$3="申万二级行业",[1]!s_info_industry_sw_2021(W4960,公司分析!D$5,2),IF($Y$3="申万三级行业",[1]!s_info_industry_sw_2021(W4960,公司分析!D$5,3),IF($Y$3="wind一级行业",[1]!s_info_industry_gics(W4960,1),IF($Y$3="wind二级行业",[1]!s_info_industry_gics(W4960,2),IF($Y$3="wind三级行业",[1]!s_info_industry_gics(W4960,3),IF($Y$3="wind四级行业",[1]!s_info_industry_gics(W4960,4),IF($Y$3="证监会门类行业",[1]!s_info_industry_csrc12_n(W4960,公司分析!D$5,1),""))))))))</f>
        <v>通用设备</v>
      </c>
      <c r="Z4960" s="302" t="str">
        <f ca="1">IF(Y4960=行业比较!$E$6,ROW(),"")</f>
        <v/>
      </c>
    </row>
    <row r="4961" spans="22:26">
      <c r="V4961" s="260">
        <f t="shared" ca="1" si="85"/>
        <v>0</v>
      </c>
      <c r="W4961" s="348" t="str">
        <f>IF(板块成分!B4963="","",板块成分!B4963)</f>
        <v>688455.SH</v>
      </c>
      <c r="X4961" s="276" t="str">
        <f>[1]!S_Info_Name(W4961)</f>
        <v>科捷智能</v>
      </c>
      <c r="Y4961" s="276" t="str">
        <f ca="1">IF($Y$3="申万一级行业",[1]!s_info_industry_sw_2021(W4961,公司分析!D$5,1),IF($Y$3="申万二级行业",[1]!s_info_industry_sw_2021(W4961,公司分析!D$5,2),IF($Y$3="申万三级行业",[1]!s_info_industry_sw_2021(W4961,公司分析!D$5,3),IF($Y$3="wind一级行业",[1]!s_info_industry_gics(W4961,1),IF($Y$3="wind二级行业",[1]!s_info_industry_gics(W4961,2),IF($Y$3="wind三级行业",[1]!s_info_industry_gics(W4961,3),IF($Y$3="wind四级行业",[1]!s_info_industry_gics(W4961,4),IF($Y$3="证监会门类行业",[1]!s_info_industry_csrc12_n(W4961,公司分析!D$5,1),""))))))))</f>
        <v>自动化设备</v>
      </c>
      <c r="Z4961" s="302" t="str">
        <f ca="1">IF(Y4961=行业比较!$E$6,ROW(),"")</f>
        <v/>
      </c>
    </row>
    <row r="4962" spans="22:26">
      <c r="V4962" s="260">
        <f t="shared" ca="1" si="85"/>
        <v>0</v>
      </c>
      <c r="W4962" s="348" t="str">
        <f>IF(板块成分!B4964="","",板块成分!B4964)</f>
        <v>688456.SH</v>
      </c>
      <c r="X4962" s="276" t="str">
        <f>[1]!S_Info_Name(W4962)</f>
        <v>有研粉材</v>
      </c>
      <c r="Y4962" s="276" t="str">
        <f ca="1">IF($Y$3="申万一级行业",[1]!s_info_industry_sw_2021(W4962,公司分析!D$5,1),IF($Y$3="申万二级行业",[1]!s_info_industry_sw_2021(W4962,公司分析!D$5,2),IF($Y$3="申万三级行业",[1]!s_info_industry_sw_2021(W4962,公司分析!D$5,3),IF($Y$3="wind一级行业",[1]!s_info_industry_gics(W4962,1),IF($Y$3="wind二级行业",[1]!s_info_industry_gics(W4962,2),IF($Y$3="wind三级行业",[1]!s_info_industry_gics(W4962,3),IF($Y$3="wind四级行业",[1]!s_info_industry_gics(W4962,4),IF($Y$3="证监会门类行业",[1]!s_info_industry_csrc12_n(W4962,公司分析!D$5,1),""))))))))</f>
        <v>金属新材料</v>
      </c>
      <c r="Z4962" s="302" t="str">
        <f ca="1">IF(Y4962=行业比较!$E$6,ROW(),"")</f>
        <v/>
      </c>
    </row>
    <row r="4963" spans="22:26">
      <c r="V4963" s="260">
        <f t="shared" ca="1" si="85"/>
        <v>0</v>
      </c>
      <c r="W4963" s="348" t="str">
        <f>IF(板块成分!B4965="","",板块成分!B4965)</f>
        <v>688458.SH</v>
      </c>
      <c r="X4963" s="276" t="str">
        <f>[1]!S_Info_Name(W4963)</f>
        <v>美芯晟</v>
      </c>
      <c r="Y4963" s="276" t="str">
        <f ca="1">IF($Y$3="申万一级行业",[1]!s_info_industry_sw_2021(W4963,公司分析!D$5,1),IF($Y$3="申万二级行业",[1]!s_info_industry_sw_2021(W4963,公司分析!D$5,2),IF($Y$3="申万三级行业",[1]!s_info_industry_sw_2021(W4963,公司分析!D$5,3),IF($Y$3="wind一级行业",[1]!s_info_industry_gics(W4963,1),IF($Y$3="wind二级行业",[1]!s_info_industry_gics(W4963,2),IF($Y$3="wind三级行业",[1]!s_info_industry_gics(W4963,3),IF($Y$3="wind四级行业",[1]!s_info_industry_gics(W4963,4),IF($Y$3="证监会门类行业",[1]!s_info_industry_csrc12_n(W4963,公司分析!D$5,1),""))))))))</f>
        <v>半导体</v>
      </c>
      <c r="Z4963" s="302" t="str">
        <f ca="1">IF(Y4963=行业比较!$E$6,ROW(),"")</f>
        <v/>
      </c>
    </row>
    <row r="4964" spans="22:26">
      <c r="V4964" s="260">
        <f t="shared" ca="1" si="85"/>
        <v>0</v>
      </c>
      <c r="W4964" s="348" t="str">
        <f>IF(板块成分!B4966="","",板块成分!B4966)</f>
        <v>688459.SH</v>
      </c>
      <c r="X4964" s="276" t="str">
        <f>[1]!S_Info_Name(W4964)</f>
        <v>哈铁科技</v>
      </c>
      <c r="Y4964" s="276" t="str">
        <f ca="1">IF($Y$3="申万一级行业",[1]!s_info_industry_sw_2021(W4964,公司分析!D$5,1),IF($Y$3="申万二级行业",[1]!s_info_industry_sw_2021(W4964,公司分析!D$5,2),IF($Y$3="申万三级行业",[1]!s_info_industry_sw_2021(W4964,公司分析!D$5,3),IF($Y$3="wind一级行业",[1]!s_info_industry_gics(W4964,1),IF($Y$3="wind二级行业",[1]!s_info_industry_gics(W4964,2),IF($Y$3="wind三级行业",[1]!s_info_industry_gics(W4964,3),IF($Y$3="wind四级行业",[1]!s_info_industry_gics(W4964,4),IF($Y$3="证监会门类行业",[1]!s_info_industry_csrc12_n(W4964,公司分析!D$5,1),""))))))))</f>
        <v>轨交设备Ⅱ</v>
      </c>
      <c r="Z4964" s="302" t="str">
        <f ca="1">IF(Y4964=行业比较!$E$6,ROW(),"")</f>
        <v/>
      </c>
    </row>
    <row r="4965" spans="22:26">
      <c r="V4965" s="260">
        <f t="shared" ca="1" si="85"/>
        <v>0</v>
      </c>
      <c r="W4965" s="348" t="str">
        <f>IF(板块成分!B4967="","",板块成分!B4967)</f>
        <v>688466.SH</v>
      </c>
      <c r="X4965" s="276" t="str">
        <f>[1]!S_Info_Name(W4965)</f>
        <v>金科环境</v>
      </c>
      <c r="Y4965" s="276" t="str">
        <f ca="1">IF($Y$3="申万一级行业",[1]!s_info_industry_sw_2021(W4965,公司分析!D$5,1),IF($Y$3="申万二级行业",[1]!s_info_industry_sw_2021(W4965,公司分析!D$5,2),IF($Y$3="申万三级行业",[1]!s_info_industry_sw_2021(W4965,公司分析!D$5,3),IF($Y$3="wind一级行业",[1]!s_info_industry_gics(W4965,1),IF($Y$3="wind二级行业",[1]!s_info_industry_gics(W4965,2),IF($Y$3="wind三级行业",[1]!s_info_industry_gics(W4965,3),IF($Y$3="wind四级行业",[1]!s_info_industry_gics(W4965,4),IF($Y$3="证监会门类行业",[1]!s_info_industry_csrc12_n(W4965,公司分析!D$5,1),""))))))))</f>
        <v>环境治理</v>
      </c>
      <c r="Z4965" s="302" t="str">
        <f ca="1">IF(Y4965=行业比较!$E$6,ROW(),"")</f>
        <v/>
      </c>
    </row>
    <row r="4966" spans="22:26">
      <c r="V4966" s="260">
        <f t="shared" ca="1" si="85"/>
        <v>0</v>
      </c>
      <c r="W4966" s="348" t="str">
        <f>IF(板块成分!B4968="","",板块成分!B4968)</f>
        <v>688468.SH</v>
      </c>
      <c r="X4966" s="276" t="str">
        <f>[1]!S_Info_Name(W4966)</f>
        <v>科美诊断</v>
      </c>
      <c r="Y4966" s="276" t="str">
        <f ca="1">IF($Y$3="申万一级行业",[1]!s_info_industry_sw_2021(W4966,公司分析!D$5,1),IF($Y$3="申万二级行业",[1]!s_info_industry_sw_2021(W4966,公司分析!D$5,2),IF($Y$3="申万三级行业",[1]!s_info_industry_sw_2021(W4966,公司分析!D$5,3),IF($Y$3="wind一级行业",[1]!s_info_industry_gics(W4966,1),IF($Y$3="wind二级行业",[1]!s_info_industry_gics(W4966,2),IF($Y$3="wind三级行业",[1]!s_info_industry_gics(W4966,3),IF($Y$3="wind四级行业",[1]!s_info_industry_gics(W4966,4),IF($Y$3="证监会门类行业",[1]!s_info_industry_csrc12_n(W4966,公司分析!D$5,1),""))))))))</f>
        <v>医疗器械</v>
      </c>
      <c r="Z4966" s="302" t="str">
        <f ca="1">IF(Y4966=行业比较!$E$6,ROW(),"")</f>
        <v/>
      </c>
    </row>
    <row r="4967" spans="22:26">
      <c r="V4967" s="260">
        <f t="shared" ca="1" si="85"/>
        <v>0</v>
      </c>
      <c r="W4967" s="348" t="str">
        <f>IF(板块成分!B4969="","",板块成分!B4969)</f>
        <v>688469.SH</v>
      </c>
      <c r="X4967" s="276" t="str">
        <f>[1]!S_Info_Name(W4967)</f>
        <v>芯联集成-U</v>
      </c>
      <c r="Y4967" s="276" t="str">
        <f ca="1">IF($Y$3="申万一级行业",[1]!s_info_industry_sw_2021(W4967,公司分析!D$5,1),IF($Y$3="申万二级行业",[1]!s_info_industry_sw_2021(W4967,公司分析!D$5,2),IF($Y$3="申万三级行业",[1]!s_info_industry_sw_2021(W4967,公司分析!D$5,3),IF($Y$3="wind一级行业",[1]!s_info_industry_gics(W4967,1),IF($Y$3="wind二级行业",[1]!s_info_industry_gics(W4967,2),IF($Y$3="wind三级行业",[1]!s_info_industry_gics(W4967,3),IF($Y$3="wind四级行业",[1]!s_info_industry_gics(W4967,4),IF($Y$3="证监会门类行业",[1]!s_info_industry_csrc12_n(W4967,公司分析!D$5,1),""))))))))</f>
        <v>半导体</v>
      </c>
      <c r="Z4967" s="302" t="str">
        <f ca="1">IF(Y4967=行业比较!$E$6,ROW(),"")</f>
        <v/>
      </c>
    </row>
    <row r="4968" spans="22:26">
      <c r="V4968" s="260">
        <f t="shared" ca="1" si="85"/>
        <v>0</v>
      </c>
      <c r="W4968" s="348" t="str">
        <f>IF(板块成分!B4970="","",板块成分!B4970)</f>
        <v>688472.SH</v>
      </c>
      <c r="X4968" s="276" t="str">
        <f>[1]!S_Info_Name(W4968)</f>
        <v>阿特斯</v>
      </c>
      <c r="Y4968" s="276" t="str">
        <f ca="1">IF($Y$3="申万一级行业",[1]!s_info_industry_sw_2021(W4968,公司分析!D$5,1),IF($Y$3="申万二级行业",[1]!s_info_industry_sw_2021(W4968,公司分析!D$5,2),IF($Y$3="申万三级行业",[1]!s_info_industry_sw_2021(W4968,公司分析!D$5,3),IF($Y$3="wind一级行业",[1]!s_info_industry_gics(W4968,1),IF($Y$3="wind二级行业",[1]!s_info_industry_gics(W4968,2),IF($Y$3="wind三级行业",[1]!s_info_industry_gics(W4968,3),IF($Y$3="wind四级行业",[1]!s_info_industry_gics(W4968,4),IF($Y$3="证监会门类行业",[1]!s_info_industry_csrc12_n(W4968,公司分析!D$5,1),""))))))))</f>
        <v>光伏设备</v>
      </c>
      <c r="Z4968" s="302" t="str">
        <f ca="1">IF(Y4968=行业比较!$E$6,ROW(),"")</f>
        <v/>
      </c>
    </row>
    <row r="4969" spans="22:26">
      <c r="V4969" s="260">
        <f t="shared" ca="1" si="85"/>
        <v>0</v>
      </c>
      <c r="W4969" s="348" t="str">
        <f>IF(板块成分!B4971="","",板块成分!B4971)</f>
        <v>688475.SH</v>
      </c>
      <c r="X4969" s="276" t="str">
        <f>[1]!S_Info_Name(W4969)</f>
        <v>萤石网络</v>
      </c>
      <c r="Y4969" s="276" t="str">
        <f ca="1">IF($Y$3="申万一级行业",[1]!s_info_industry_sw_2021(W4969,公司分析!D$5,1),IF($Y$3="申万二级行业",[1]!s_info_industry_sw_2021(W4969,公司分析!D$5,2),IF($Y$3="申万三级行业",[1]!s_info_industry_sw_2021(W4969,公司分析!D$5,3),IF($Y$3="wind一级行业",[1]!s_info_industry_gics(W4969,1),IF($Y$3="wind二级行业",[1]!s_info_industry_gics(W4969,2),IF($Y$3="wind三级行业",[1]!s_info_industry_gics(W4969,3),IF($Y$3="wind四级行业",[1]!s_info_industry_gics(W4969,4),IF($Y$3="证监会门类行业",[1]!s_info_industry_csrc12_n(W4969,公司分析!D$5,1),""))))))))</f>
        <v>计算机设备</v>
      </c>
      <c r="Z4969" s="302" t="str">
        <f ca="1">IF(Y4969=行业比较!$E$6,ROW(),"")</f>
        <v/>
      </c>
    </row>
    <row r="4970" spans="22:26">
      <c r="V4970" s="260">
        <f t="shared" ca="1" si="85"/>
        <v>0</v>
      </c>
      <c r="W4970" s="348" t="str">
        <f>IF(板块成分!B4972="","",板块成分!B4972)</f>
        <v>688478.SH</v>
      </c>
      <c r="X4970" s="276" t="str">
        <f>[1]!S_Info_Name(W4970)</f>
        <v>晶升股份</v>
      </c>
      <c r="Y4970" s="276" t="str">
        <f ca="1">IF($Y$3="申万一级行业",[1]!s_info_industry_sw_2021(W4970,公司分析!D$5,1),IF($Y$3="申万二级行业",[1]!s_info_industry_sw_2021(W4970,公司分析!D$5,2),IF($Y$3="申万三级行业",[1]!s_info_industry_sw_2021(W4970,公司分析!D$5,3),IF($Y$3="wind一级行业",[1]!s_info_industry_gics(W4970,1),IF($Y$3="wind二级行业",[1]!s_info_industry_gics(W4970,2),IF($Y$3="wind三级行业",[1]!s_info_industry_gics(W4970,3),IF($Y$3="wind四级行业",[1]!s_info_industry_gics(W4970,4),IF($Y$3="证监会门类行业",[1]!s_info_industry_csrc12_n(W4970,公司分析!D$5,1),""))))))))</f>
        <v>半导体</v>
      </c>
      <c r="Z4970" s="302" t="str">
        <f ca="1">IF(Y4970=行业比较!$E$6,ROW(),"")</f>
        <v/>
      </c>
    </row>
    <row r="4971" spans="22:26">
      <c r="V4971" s="260">
        <f t="shared" ca="1" si="85"/>
        <v>0</v>
      </c>
      <c r="W4971" s="348" t="str">
        <f>IF(板块成分!B4973="","",板块成分!B4973)</f>
        <v>688479.SH</v>
      </c>
      <c r="X4971" s="276" t="str">
        <f>[1]!S_Info_Name(W4971)</f>
        <v>友车科技</v>
      </c>
      <c r="Y4971" s="276" t="str">
        <f ca="1">IF($Y$3="申万一级行业",[1]!s_info_industry_sw_2021(W4971,公司分析!D$5,1),IF($Y$3="申万二级行业",[1]!s_info_industry_sw_2021(W4971,公司分析!D$5,2),IF($Y$3="申万三级行业",[1]!s_info_industry_sw_2021(W4971,公司分析!D$5,3),IF($Y$3="wind一级行业",[1]!s_info_industry_gics(W4971,1),IF($Y$3="wind二级行业",[1]!s_info_industry_gics(W4971,2),IF($Y$3="wind三级行业",[1]!s_info_industry_gics(W4971,3),IF($Y$3="wind四级行业",[1]!s_info_industry_gics(W4971,4),IF($Y$3="证监会门类行业",[1]!s_info_industry_csrc12_n(W4971,公司分析!D$5,1),""))))))))</f>
        <v>软件开发</v>
      </c>
      <c r="Z4971" s="302" t="str">
        <f ca="1">IF(Y4971=行业比较!$E$6,ROW(),"")</f>
        <v/>
      </c>
    </row>
    <row r="4972" spans="22:26">
      <c r="V4972" s="260">
        <f t="shared" ca="1" si="85"/>
        <v>0</v>
      </c>
      <c r="W4972" s="348" t="str">
        <f>IF(板块成分!B4974="","",板块成分!B4974)</f>
        <v>688480.SH</v>
      </c>
      <c r="X4972" s="276" t="str">
        <f>[1]!S_Info_Name(W4972)</f>
        <v>赛恩斯</v>
      </c>
      <c r="Y4972" s="276" t="str">
        <f ca="1">IF($Y$3="申万一级行业",[1]!s_info_industry_sw_2021(W4972,公司分析!D$5,1),IF($Y$3="申万二级行业",[1]!s_info_industry_sw_2021(W4972,公司分析!D$5,2),IF($Y$3="申万三级行业",[1]!s_info_industry_sw_2021(W4972,公司分析!D$5,3),IF($Y$3="wind一级行业",[1]!s_info_industry_gics(W4972,1),IF($Y$3="wind二级行业",[1]!s_info_industry_gics(W4972,2),IF($Y$3="wind三级行业",[1]!s_info_industry_gics(W4972,3),IF($Y$3="wind四级行业",[1]!s_info_industry_gics(W4972,4),IF($Y$3="证监会门类行业",[1]!s_info_industry_csrc12_n(W4972,公司分析!D$5,1),""))))))))</f>
        <v>环境治理</v>
      </c>
      <c r="Z4972" s="302" t="str">
        <f ca="1">IF(Y4972=行业比较!$E$6,ROW(),"")</f>
        <v/>
      </c>
    </row>
    <row r="4973" spans="22:26">
      <c r="V4973" s="260">
        <f t="shared" ca="1" si="85"/>
        <v>0</v>
      </c>
      <c r="W4973" s="348" t="str">
        <f>IF(板块成分!B4975="","",板块成分!B4975)</f>
        <v>688484.SH</v>
      </c>
      <c r="X4973" s="276" t="str">
        <f>[1]!S_Info_Name(W4973)</f>
        <v>南芯科技</v>
      </c>
      <c r="Y4973" s="276" t="str">
        <f ca="1">IF($Y$3="申万一级行业",[1]!s_info_industry_sw_2021(W4973,公司分析!D$5,1),IF($Y$3="申万二级行业",[1]!s_info_industry_sw_2021(W4973,公司分析!D$5,2),IF($Y$3="申万三级行业",[1]!s_info_industry_sw_2021(W4973,公司分析!D$5,3),IF($Y$3="wind一级行业",[1]!s_info_industry_gics(W4973,1),IF($Y$3="wind二级行业",[1]!s_info_industry_gics(W4973,2),IF($Y$3="wind三级行业",[1]!s_info_industry_gics(W4973,3),IF($Y$3="wind四级行业",[1]!s_info_industry_gics(W4973,4),IF($Y$3="证监会门类行业",[1]!s_info_industry_csrc12_n(W4973,公司分析!D$5,1),""))))))))</f>
        <v>半导体</v>
      </c>
      <c r="Z4973" s="302" t="str">
        <f ca="1">IF(Y4973=行业比较!$E$6,ROW(),"")</f>
        <v/>
      </c>
    </row>
    <row r="4974" spans="22:26">
      <c r="V4974" s="260">
        <f t="shared" ca="1" si="85"/>
        <v>0</v>
      </c>
      <c r="W4974" s="348" t="str">
        <f>IF(板块成分!B4976="","",板块成分!B4976)</f>
        <v>688485.SH</v>
      </c>
      <c r="X4974" s="276" t="str">
        <f>[1]!S_Info_Name(W4974)</f>
        <v>九州一轨</v>
      </c>
      <c r="Y4974" s="276" t="str">
        <f ca="1">IF($Y$3="申万一级行业",[1]!s_info_industry_sw_2021(W4974,公司分析!D$5,1),IF($Y$3="申万二级行业",[1]!s_info_industry_sw_2021(W4974,公司分析!D$5,2),IF($Y$3="申万三级行业",[1]!s_info_industry_sw_2021(W4974,公司分析!D$5,3),IF($Y$3="wind一级行业",[1]!s_info_industry_gics(W4974,1),IF($Y$3="wind二级行业",[1]!s_info_industry_gics(W4974,2),IF($Y$3="wind三级行业",[1]!s_info_industry_gics(W4974,3),IF($Y$3="wind四级行业",[1]!s_info_industry_gics(W4974,4),IF($Y$3="证监会门类行业",[1]!s_info_industry_csrc12_n(W4974,公司分析!D$5,1),""))))))))</f>
        <v>轨交设备Ⅱ</v>
      </c>
      <c r="Z4974" s="302" t="str">
        <f ca="1">IF(Y4974=行业比较!$E$6,ROW(),"")</f>
        <v/>
      </c>
    </row>
    <row r="4975" spans="22:26">
      <c r="V4975" s="260">
        <f t="shared" ca="1" si="85"/>
        <v>0</v>
      </c>
      <c r="W4975" s="348" t="str">
        <f>IF(板块成分!B4977="","",板块成分!B4977)</f>
        <v>688486.SH</v>
      </c>
      <c r="X4975" s="276" t="str">
        <f>[1]!S_Info_Name(W4975)</f>
        <v>龙迅股份</v>
      </c>
      <c r="Y4975" s="276" t="str">
        <f ca="1">IF($Y$3="申万一级行业",[1]!s_info_industry_sw_2021(W4975,公司分析!D$5,1),IF($Y$3="申万二级行业",[1]!s_info_industry_sw_2021(W4975,公司分析!D$5,2),IF($Y$3="申万三级行业",[1]!s_info_industry_sw_2021(W4975,公司分析!D$5,3),IF($Y$3="wind一级行业",[1]!s_info_industry_gics(W4975,1),IF($Y$3="wind二级行业",[1]!s_info_industry_gics(W4975,2),IF($Y$3="wind三级行业",[1]!s_info_industry_gics(W4975,3),IF($Y$3="wind四级行业",[1]!s_info_industry_gics(W4975,4),IF($Y$3="证监会门类行业",[1]!s_info_industry_csrc12_n(W4975,公司分析!D$5,1),""))))))))</f>
        <v>半导体</v>
      </c>
      <c r="Z4975" s="302" t="str">
        <f ca="1">IF(Y4975=行业比较!$E$6,ROW(),"")</f>
        <v/>
      </c>
    </row>
    <row r="4976" spans="22:26">
      <c r="V4976" s="260">
        <f t="shared" ca="1" si="85"/>
        <v>0</v>
      </c>
      <c r="W4976" s="348" t="str">
        <f>IF(板块成分!B4978="","",板块成分!B4978)</f>
        <v>688488.SH</v>
      </c>
      <c r="X4976" s="276" t="str">
        <f>[1]!S_Info_Name(W4976)</f>
        <v>艾迪药业</v>
      </c>
      <c r="Y4976" s="276" t="str">
        <f ca="1">IF($Y$3="申万一级行业",[1]!s_info_industry_sw_2021(W4976,公司分析!D$5,1),IF($Y$3="申万二级行业",[1]!s_info_industry_sw_2021(W4976,公司分析!D$5,2),IF($Y$3="申万三级行业",[1]!s_info_industry_sw_2021(W4976,公司分析!D$5,3),IF($Y$3="wind一级行业",[1]!s_info_industry_gics(W4976,1),IF($Y$3="wind二级行业",[1]!s_info_industry_gics(W4976,2),IF($Y$3="wind三级行业",[1]!s_info_industry_gics(W4976,3),IF($Y$3="wind四级行业",[1]!s_info_industry_gics(W4976,4),IF($Y$3="证监会门类行业",[1]!s_info_industry_csrc12_n(W4976,公司分析!D$5,1),""))))))))</f>
        <v>生物制品</v>
      </c>
      <c r="Z4976" s="302" t="str">
        <f ca="1">IF(Y4976=行业比较!$E$6,ROW(),"")</f>
        <v/>
      </c>
    </row>
    <row r="4977" spans="22:26">
      <c r="V4977" s="260">
        <f t="shared" ca="1" si="85"/>
        <v>0</v>
      </c>
      <c r="W4977" s="348" t="str">
        <f>IF(板块成分!B4979="","",板块成分!B4979)</f>
        <v>688489.SH</v>
      </c>
      <c r="X4977" s="276" t="str">
        <f>[1]!S_Info_Name(W4977)</f>
        <v>三未信安</v>
      </c>
      <c r="Y4977" s="276" t="str">
        <f ca="1">IF($Y$3="申万一级行业",[1]!s_info_industry_sw_2021(W4977,公司分析!D$5,1),IF($Y$3="申万二级行业",[1]!s_info_industry_sw_2021(W4977,公司分析!D$5,2),IF($Y$3="申万三级行业",[1]!s_info_industry_sw_2021(W4977,公司分析!D$5,3),IF($Y$3="wind一级行业",[1]!s_info_industry_gics(W4977,1),IF($Y$3="wind二级行业",[1]!s_info_industry_gics(W4977,2),IF($Y$3="wind三级行业",[1]!s_info_industry_gics(W4977,3),IF($Y$3="wind四级行业",[1]!s_info_industry_gics(W4977,4),IF($Y$3="证监会门类行业",[1]!s_info_industry_csrc12_n(W4977,公司分析!D$5,1),""))))))))</f>
        <v>计算机设备</v>
      </c>
      <c r="Z4977" s="302" t="str">
        <f ca="1">IF(Y4977=行业比较!$E$6,ROW(),"")</f>
        <v/>
      </c>
    </row>
    <row r="4978" spans="22:26">
      <c r="V4978" s="260">
        <f t="shared" ca="1" si="85"/>
        <v>0</v>
      </c>
      <c r="W4978" s="348" t="str">
        <f>IF(板块成分!B4980="","",板块成分!B4980)</f>
        <v>688496.SH</v>
      </c>
      <c r="X4978" s="276" t="str">
        <f>[1]!S_Info_Name(W4978)</f>
        <v>清越科技</v>
      </c>
      <c r="Y4978" s="276" t="str">
        <f ca="1">IF($Y$3="申万一级行业",[1]!s_info_industry_sw_2021(W4978,公司分析!D$5,1),IF($Y$3="申万二级行业",[1]!s_info_industry_sw_2021(W4978,公司分析!D$5,2),IF($Y$3="申万三级行业",[1]!s_info_industry_sw_2021(W4978,公司分析!D$5,3),IF($Y$3="wind一级行业",[1]!s_info_industry_gics(W4978,1),IF($Y$3="wind二级行业",[1]!s_info_industry_gics(W4978,2),IF($Y$3="wind三级行业",[1]!s_info_industry_gics(W4978,3),IF($Y$3="wind四级行业",[1]!s_info_industry_gics(W4978,4),IF($Y$3="证监会门类行业",[1]!s_info_industry_csrc12_n(W4978,公司分析!D$5,1),""))))))))</f>
        <v>光学光电子</v>
      </c>
      <c r="Z4978" s="302" t="str">
        <f ca="1">IF(Y4978=行业比较!$E$6,ROW(),"")</f>
        <v/>
      </c>
    </row>
    <row r="4979" spans="22:26">
      <c r="V4979" s="260">
        <f t="shared" ca="1" si="85"/>
        <v>0</v>
      </c>
      <c r="W4979" s="348" t="str">
        <f>IF(板块成分!B4981="","",板块成分!B4981)</f>
        <v>688498.SH</v>
      </c>
      <c r="X4979" s="276" t="str">
        <f>[1]!S_Info_Name(W4979)</f>
        <v>源杰科技</v>
      </c>
      <c r="Y4979" s="276" t="str">
        <f ca="1">IF($Y$3="申万一级行业",[1]!s_info_industry_sw_2021(W4979,公司分析!D$5,1),IF($Y$3="申万二级行业",[1]!s_info_industry_sw_2021(W4979,公司分析!D$5,2),IF($Y$3="申万三级行业",[1]!s_info_industry_sw_2021(W4979,公司分析!D$5,3),IF($Y$3="wind一级行业",[1]!s_info_industry_gics(W4979,1),IF($Y$3="wind二级行业",[1]!s_info_industry_gics(W4979,2),IF($Y$3="wind三级行业",[1]!s_info_industry_gics(W4979,3),IF($Y$3="wind四级行业",[1]!s_info_industry_gics(W4979,4),IF($Y$3="证监会门类行业",[1]!s_info_industry_csrc12_n(W4979,公司分析!D$5,1),""))))))))</f>
        <v>半导体</v>
      </c>
      <c r="Z4979" s="302" t="str">
        <f ca="1">IF(Y4979=行业比较!$E$6,ROW(),"")</f>
        <v/>
      </c>
    </row>
    <row r="4980" spans="22:26">
      <c r="V4980" s="260">
        <f t="shared" ca="1" si="85"/>
        <v>0</v>
      </c>
      <c r="W4980" s="348" t="str">
        <f>IF(板块成分!B4982="","",板块成分!B4982)</f>
        <v>688499.SH</v>
      </c>
      <c r="X4980" s="276" t="str">
        <f>[1]!S_Info_Name(W4980)</f>
        <v>利元亨</v>
      </c>
      <c r="Y4980" s="276" t="str">
        <f ca="1">IF($Y$3="申万一级行业",[1]!s_info_industry_sw_2021(W4980,公司分析!D$5,1),IF($Y$3="申万二级行业",[1]!s_info_industry_sw_2021(W4980,公司分析!D$5,2),IF($Y$3="申万三级行业",[1]!s_info_industry_sw_2021(W4980,公司分析!D$5,3),IF($Y$3="wind一级行业",[1]!s_info_industry_gics(W4980,1),IF($Y$3="wind二级行业",[1]!s_info_industry_gics(W4980,2),IF($Y$3="wind三级行业",[1]!s_info_industry_gics(W4980,3),IF($Y$3="wind四级行业",[1]!s_info_industry_gics(W4980,4),IF($Y$3="证监会门类行业",[1]!s_info_industry_csrc12_n(W4980,公司分析!D$5,1),""))))))))</f>
        <v>电池</v>
      </c>
      <c r="Z4980" s="302" t="str">
        <f ca="1">IF(Y4980=行业比较!$E$6,ROW(),"")</f>
        <v/>
      </c>
    </row>
    <row r="4981" spans="22:26">
      <c r="V4981" s="260">
        <f t="shared" ca="1" si="85"/>
        <v>0</v>
      </c>
      <c r="W4981" s="348" t="str">
        <f>IF(板块成分!B4983="","",板块成分!B4983)</f>
        <v>688500.SH</v>
      </c>
      <c r="X4981" s="276" t="str">
        <f>[1]!S_Info_Name(W4981)</f>
        <v>慧辰股份</v>
      </c>
      <c r="Y4981" s="276" t="str">
        <f ca="1">IF($Y$3="申万一级行业",[1]!s_info_industry_sw_2021(W4981,公司分析!D$5,1),IF($Y$3="申万二级行业",[1]!s_info_industry_sw_2021(W4981,公司分析!D$5,2),IF($Y$3="申万三级行业",[1]!s_info_industry_sw_2021(W4981,公司分析!D$5,3),IF($Y$3="wind一级行业",[1]!s_info_industry_gics(W4981,1),IF($Y$3="wind二级行业",[1]!s_info_industry_gics(W4981,2),IF($Y$3="wind三级行业",[1]!s_info_industry_gics(W4981,3),IF($Y$3="wind四级行业",[1]!s_info_industry_gics(W4981,4),IF($Y$3="证监会门类行业",[1]!s_info_industry_csrc12_n(W4981,公司分析!D$5,1),""))))))))</f>
        <v>IT服务Ⅱ</v>
      </c>
      <c r="Z4981" s="302" t="str">
        <f ca="1">IF(Y4981=行业比较!$E$6,ROW(),"")</f>
        <v/>
      </c>
    </row>
    <row r="4982" spans="22:26">
      <c r="V4982" s="260">
        <f t="shared" ca="1" si="85"/>
        <v>0</v>
      </c>
      <c r="W4982" s="348" t="str">
        <f>IF(板块成分!B4984="","",板块成分!B4984)</f>
        <v>688501.SH</v>
      </c>
      <c r="X4982" s="276" t="str">
        <f>[1]!S_Info_Name(W4982)</f>
        <v>青达环保</v>
      </c>
      <c r="Y4982" s="276" t="str">
        <f ca="1">IF($Y$3="申万一级行业",[1]!s_info_industry_sw_2021(W4982,公司分析!D$5,1),IF($Y$3="申万二级行业",[1]!s_info_industry_sw_2021(W4982,公司分析!D$5,2),IF($Y$3="申万三级行业",[1]!s_info_industry_sw_2021(W4982,公司分析!D$5,3),IF($Y$3="wind一级行业",[1]!s_info_industry_gics(W4982,1),IF($Y$3="wind二级行业",[1]!s_info_industry_gics(W4982,2),IF($Y$3="wind三级行业",[1]!s_info_industry_gics(W4982,3),IF($Y$3="wind四级行业",[1]!s_info_industry_gics(W4982,4),IF($Y$3="证监会门类行业",[1]!s_info_industry_csrc12_n(W4982,公司分析!D$5,1),""))))))))</f>
        <v>环保设备Ⅱ</v>
      </c>
      <c r="Z4982" s="302" t="str">
        <f ca="1">IF(Y4982=行业比较!$E$6,ROW(),"")</f>
        <v/>
      </c>
    </row>
    <row r="4983" spans="22:26">
      <c r="V4983" s="260">
        <f t="shared" ca="1" si="85"/>
        <v>0</v>
      </c>
      <c r="W4983" s="348" t="str">
        <f>IF(板块成分!B4985="","",板块成分!B4985)</f>
        <v>688502.SH</v>
      </c>
      <c r="X4983" s="276" t="str">
        <f>[1]!S_Info_Name(W4983)</f>
        <v>茂莱光学</v>
      </c>
      <c r="Y4983" s="276" t="str">
        <f ca="1">IF($Y$3="申万一级行业",[1]!s_info_industry_sw_2021(W4983,公司分析!D$5,1),IF($Y$3="申万二级行业",[1]!s_info_industry_sw_2021(W4983,公司分析!D$5,2),IF($Y$3="申万三级行业",[1]!s_info_industry_sw_2021(W4983,公司分析!D$5,3),IF($Y$3="wind一级行业",[1]!s_info_industry_gics(W4983,1),IF($Y$3="wind二级行业",[1]!s_info_industry_gics(W4983,2),IF($Y$3="wind三级行业",[1]!s_info_industry_gics(W4983,3),IF($Y$3="wind四级行业",[1]!s_info_industry_gics(W4983,4),IF($Y$3="证监会门类行业",[1]!s_info_industry_csrc12_n(W4983,公司分析!D$5,1),""))))))))</f>
        <v>光学光电子</v>
      </c>
      <c r="Z4983" s="302" t="str">
        <f ca="1">IF(Y4983=行业比较!$E$6,ROW(),"")</f>
        <v/>
      </c>
    </row>
    <row r="4984" spans="22:26">
      <c r="V4984" s="260">
        <f t="shared" ca="1" si="85"/>
        <v>0</v>
      </c>
      <c r="W4984" s="348" t="str">
        <f>IF(板块成分!B4986="","",板块成分!B4986)</f>
        <v>688503.SH</v>
      </c>
      <c r="X4984" s="276" t="str">
        <f>[1]!S_Info_Name(W4984)</f>
        <v>聚和材料</v>
      </c>
      <c r="Y4984" s="276" t="str">
        <f ca="1">IF($Y$3="申万一级行业",[1]!s_info_industry_sw_2021(W4984,公司分析!D$5,1),IF($Y$3="申万二级行业",[1]!s_info_industry_sw_2021(W4984,公司分析!D$5,2),IF($Y$3="申万三级行业",[1]!s_info_industry_sw_2021(W4984,公司分析!D$5,3),IF($Y$3="wind一级行业",[1]!s_info_industry_gics(W4984,1),IF($Y$3="wind二级行业",[1]!s_info_industry_gics(W4984,2),IF($Y$3="wind三级行业",[1]!s_info_industry_gics(W4984,3),IF($Y$3="wind四级行业",[1]!s_info_industry_gics(W4984,4),IF($Y$3="证监会门类行业",[1]!s_info_industry_csrc12_n(W4984,公司分析!D$5,1),""))))))))</f>
        <v>光伏设备</v>
      </c>
      <c r="Z4984" s="302" t="str">
        <f ca="1">IF(Y4984=行业比较!$E$6,ROW(),"")</f>
        <v/>
      </c>
    </row>
    <row r="4985" spans="22:26">
      <c r="V4985" s="260">
        <f t="shared" ca="1" si="85"/>
        <v>0</v>
      </c>
      <c r="W4985" s="348" t="str">
        <f>IF(板块成分!B4987="","",板块成分!B4987)</f>
        <v>688505.SH</v>
      </c>
      <c r="X4985" s="276" t="str">
        <f>[1]!S_Info_Name(W4985)</f>
        <v>复旦张江</v>
      </c>
      <c r="Y4985" s="276" t="str">
        <f ca="1">IF($Y$3="申万一级行业",[1]!s_info_industry_sw_2021(W4985,公司分析!D$5,1),IF($Y$3="申万二级行业",[1]!s_info_industry_sw_2021(W4985,公司分析!D$5,2),IF($Y$3="申万三级行业",[1]!s_info_industry_sw_2021(W4985,公司分析!D$5,3),IF($Y$3="wind一级行业",[1]!s_info_industry_gics(W4985,1),IF($Y$3="wind二级行业",[1]!s_info_industry_gics(W4985,2),IF($Y$3="wind三级行业",[1]!s_info_industry_gics(W4985,3),IF($Y$3="wind四级行业",[1]!s_info_industry_gics(W4985,4),IF($Y$3="证监会门类行业",[1]!s_info_industry_csrc12_n(W4985,公司分析!D$5,1),""))))))))</f>
        <v>化学制药</v>
      </c>
      <c r="Z4985" s="302" t="str">
        <f ca="1">IF(Y4985=行业比较!$E$6,ROW(),"")</f>
        <v/>
      </c>
    </row>
    <row r="4986" spans="22:26">
      <c r="V4986" s="260">
        <f t="shared" ca="1" si="85"/>
        <v>0</v>
      </c>
      <c r="W4986" s="348" t="str">
        <f>IF(板块成分!B4988="","",板块成分!B4988)</f>
        <v>688506.SH</v>
      </c>
      <c r="X4986" s="276" t="str">
        <f>[1]!S_Info_Name(W4986)</f>
        <v>百利天恒</v>
      </c>
      <c r="Y4986" s="276" t="str">
        <f ca="1">IF($Y$3="申万一级行业",[1]!s_info_industry_sw_2021(W4986,公司分析!D$5,1),IF($Y$3="申万二级行业",[1]!s_info_industry_sw_2021(W4986,公司分析!D$5,2),IF($Y$3="申万三级行业",[1]!s_info_industry_sw_2021(W4986,公司分析!D$5,3),IF($Y$3="wind一级行业",[1]!s_info_industry_gics(W4986,1),IF($Y$3="wind二级行业",[1]!s_info_industry_gics(W4986,2),IF($Y$3="wind三级行业",[1]!s_info_industry_gics(W4986,3),IF($Y$3="wind四级行业",[1]!s_info_industry_gics(W4986,4),IF($Y$3="证监会门类行业",[1]!s_info_industry_csrc12_n(W4986,公司分析!D$5,1),""))))))))</f>
        <v>化学制药</v>
      </c>
      <c r="Z4986" s="302" t="str">
        <f ca="1">IF(Y4986=行业比较!$E$6,ROW(),"")</f>
        <v/>
      </c>
    </row>
    <row r="4987" spans="22:26">
      <c r="V4987" s="260">
        <f t="shared" ca="1" si="85"/>
        <v>0</v>
      </c>
      <c r="W4987" s="348" t="str">
        <f>IF(板块成分!B4989="","",板块成分!B4989)</f>
        <v>688507.SH</v>
      </c>
      <c r="X4987" s="276" t="str">
        <f>[1]!S_Info_Name(W4987)</f>
        <v>索辰科技</v>
      </c>
      <c r="Y4987" s="276" t="str">
        <f ca="1">IF($Y$3="申万一级行业",[1]!s_info_industry_sw_2021(W4987,公司分析!D$5,1),IF($Y$3="申万二级行业",[1]!s_info_industry_sw_2021(W4987,公司分析!D$5,2),IF($Y$3="申万三级行业",[1]!s_info_industry_sw_2021(W4987,公司分析!D$5,3),IF($Y$3="wind一级行业",[1]!s_info_industry_gics(W4987,1),IF($Y$3="wind二级行业",[1]!s_info_industry_gics(W4987,2),IF($Y$3="wind三级行业",[1]!s_info_industry_gics(W4987,3),IF($Y$3="wind四级行业",[1]!s_info_industry_gics(W4987,4),IF($Y$3="证监会门类行业",[1]!s_info_industry_csrc12_n(W4987,公司分析!D$5,1),""))))))))</f>
        <v>软件开发</v>
      </c>
      <c r="Z4987" s="302" t="str">
        <f ca="1">IF(Y4987=行业比较!$E$6,ROW(),"")</f>
        <v/>
      </c>
    </row>
    <row r="4988" spans="22:26">
      <c r="V4988" s="260">
        <f t="shared" ca="1" si="85"/>
        <v>0</v>
      </c>
      <c r="W4988" s="348" t="str">
        <f>IF(板块成分!B4990="","",板块成分!B4990)</f>
        <v>688508.SH</v>
      </c>
      <c r="X4988" s="276" t="str">
        <f>[1]!S_Info_Name(W4988)</f>
        <v>芯朋微</v>
      </c>
      <c r="Y4988" s="276" t="str">
        <f ca="1">IF($Y$3="申万一级行业",[1]!s_info_industry_sw_2021(W4988,公司分析!D$5,1),IF($Y$3="申万二级行业",[1]!s_info_industry_sw_2021(W4988,公司分析!D$5,2),IF($Y$3="申万三级行业",[1]!s_info_industry_sw_2021(W4988,公司分析!D$5,3),IF($Y$3="wind一级行业",[1]!s_info_industry_gics(W4988,1),IF($Y$3="wind二级行业",[1]!s_info_industry_gics(W4988,2),IF($Y$3="wind三级行业",[1]!s_info_industry_gics(W4988,3),IF($Y$3="wind四级行业",[1]!s_info_industry_gics(W4988,4),IF($Y$3="证监会门类行业",[1]!s_info_industry_csrc12_n(W4988,公司分析!D$5,1),""))))))))</f>
        <v>半导体</v>
      </c>
      <c r="Z4988" s="302" t="str">
        <f ca="1">IF(Y4988=行业比较!$E$6,ROW(),"")</f>
        <v/>
      </c>
    </row>
    <row r="4989" spans="22:26">
      <c r="V4989" s="260">
        <f t="shared" ca="1" si="85"/>
        <v>0</v>
      </c>
      <c r="W4989" s="348" t="str">
        <f>IF(板块成分!B4991="","",板块成分!B4991)</f>
        <v>688509.SH</v>
      </c>
      <c r="X4989" s="276" t="str">
        <f>[1]!S_Info_Name(W4989)</f>
        <v>正元地信</v>
      </c>
      <c r="Y4989" s="276" t="str">
        <f ca="1">IF($Y$3="申万一级行业",[1]!s_info_industry_sw_2021(W4989,公司分析!D$5,1),IF($Y$3="申万二级行业",[1]!s_info_industry_sw_2021(W4989,公司分析!D$5,2),IF($Y$3="申万三级行业",[1]!s_info_industry_sw_2021(W4989,公司分析!D$5,3),IF($Y$3="wind一级行业",[1]!s_info_industry_gics(W4989,1),IF($Y$3="wind二级行业",[1]!s_info_industry_gics(W4989,2),IF($Y$3="wind三级行业",[1]!s_info_industry_gics(W4989,3),IF($Y$3="wind四级行业",[1]!s_info_industry_gics(W4989,4),IF($Y$3="证监会门类行业",[1]!s_info_industry_csrc12_n(W4989,公司分析!D$5,1),""))))))))</f>
        <v>IT服务Ⅱ</v>
      </c>
      <c r="Z4989" s="302" t="str">
        <f ca="1">IF(Y4989=行业比较!$E$6,ROW(),"")</f>
        <v/>
      </c>
    </row>
    <row r="4990" spans="22:26">
      <c r="V4990" s="260">
        <f t="shared" ca="1" si="85"/>
        <v>0</v>
      </c>
      <c r="W4990" s="348" t="str">
        <f>IF(板块成分!B4992="","",板块成分!B4992)</f>
        <v>688510.SH</v>
      </c>
      <c r="X4990" s="276" t="str">
        <f>[1]!S_Info_Name(W4990)</f>
        <v>航亚科技</v>
      </c>
      <c r="Y4990" s="276" t="str">
        <f ca="1">IF($Y$3="申万一级行业",[1]!s_info_industry_sw_2021(W4990,公司分析!D$5,1),IF($Y$3="申万二级行业",[1]!s_info_industry_sw_2021(W4990,公司分析!D$5,2),IF($Y$3="申万三级行业",[1]!s_info_industry_sw_2021(W4990,公司分析!D$5,3),IF($Y$3="wind一级行业",[1]!s_info_industry_gics(W4990,1),IF($Y$3="wind二级行业",[1]!s_info_industry_gics(W4990,2),IF($Y$3="wind三级行业",[1]!s_info_industry_gics(W4990,3),IF($Y$3="wind四级行业",[1]!s_info_industry_gics(W4990,4),IF($Y$3="证监会门类行业",[1]!s_info_industry_csrc12_n(W4990,公司分析!D$5,1),""))))))))</f>
        <v>航空装备Ⅱ</v>
      </c>
      <c r="Z4990" s="302" t="str">
        <f ca="1">IF(Y4990=行业比较!$E$6,ROW(),"")</f>
        <v/>
      </c>
    </row>
    <row r="4991" spans="22:26">
      <c r="V4991" s="260">
        <f t="shared" ca="1" si="85"/>
        <v>0</v>
      </c>
      <c r="W4991" s="348" t="str">
        <f>IF(板块成分!B4993="","",板块成分!B4993)</f>
        <v>688511.SH</v>
      </c>
      <c r="X4991" s="276" t="str">
        <f>[1]!S_Info_Name(W4991)</f>
        <v>*ST天微</v>
      </c>
      <c r="Y4991" s="276" t="str">
        <f ca="1">IF($Y$3="申万一级行业",[1]!s_info_industry_sw_2021(W4991,公司分析!D$5,1),IF($Y$3="申万二级行业",[1]!s_info_industry_sw_2021(W4991,公司分析!D$5,2),IF($Y$3="申万三级行业",[1]!s_info_industry_sw_2021(W4991,公司分析!D$5,3),IF($Y$3="wind一级行业",[1]!s_info_industry_gics(W4991,1),IF($Y$3="wind二级行业",[1]!s_info_industry_gics(W4991,2),IF($Y$3="wind三级行业",[1]!s_info_industry_gics(W4991,3),IF($Y$3="wind四级行业",[1]!s_info_industry_gics(W4991,4),IF($Y$3="证监会门类行业",[1]!s_info_industry_csrc12_n(W4991,公司分析!D$5,1),""))))))))</f>
        <v>军工电子Ⅱ</v>
      </c>
      <c r="Z4991" s="302" t="str">
        <f ca="1">IF(Y4991=行业比较!$E$6,ROW(),"")</f>
        <v/>
      </c>
    </row>
    <row r="4992" spans="22:26">
      <c r="V4992" s="260">
        <f t="shared" ca="1" si="85"/>
        <v>0</v>
      </c>
      <c r="W4992" s="348" t="str">
        <f>IF(板块成分!B4994="","",板块成分!B4994)</f>
        <v>688512.SH</v>
      </c>
      <c r="X4992" s="276" t="str">
        <f>[1]!S_Info_Name(W4992)</f>
        <v>慧智微-U</v>
      </c>
      <c r="Y4992" s="276" t="str">
        <f ca="1">IF($Y$3="申万一级行业",[1]!s_info_industry_sw_2021(W4992,公司分析!D$5,1),IF($Y$3="申万二级行业",[1]!s_info_industry_sw_2021(W4992,公司分析!D$5,2),IF($Y$3="申万三级行业",[1]!s_info_industry_sw_2021(W4992,公司分析!D$5,3),IF($Y$3="wind一级行业",[1]!s_info_industry_gics(W4992,1),IF($Y$3="wind二级行业",[1]!s_info_industry_gics(W4992,2),IF($Y$3="wind三级行业",[1]!s_info_industry_gics(W4992,3),IF($Y$3="wind四级行业",[1]!s_info_industry_gics(W4992,4),IF($Y$3="证监会门类行业",[1]!s_info_industry_csrc12_n(W4992,公司分析!D$5,1),""))))))))</f>
        <v>半导体</v>
      </c>
      <c r="Z4992" s="302" t="str">
        <f ca="1">IF(Y4992=行业比较!$E$6,ROW(),"")</f>
        <v/>
      </c>
    </row>
    <row r="4993" spans="22:26">
      <c r="V4993" s="260">
        <f t="shared" ca="1" si="85"/>
        <v>0</v>
      </c>
      <c r="W4993" s="348" t="str">
        <f>IF(板块成分!B4995="","",板块成分!B4995)</f>
        <v>688513.SH</v>
      </c>
      <c r="X4993" s="276" t="str">
        <f>[1]!S_Info_Name(W4993)</f>
        <v>苑东生物</v>
      </c>
      <c r="Y4993" s="276" t="str">
        <f ca="1">IF($Y$3="申万一级行业",[1]!s_info_industry_sw_2021(W4993,公司分析!D$5,1),IF($Y$3="申万二级行业",[1]!s_info_industry_sw_2021(W4993,公司分析!D$5,2),IF($Y$3="申万三级行业",[1]!s_info_industry_sw_2021(W4993,公司分析!D$5,3),IF($Y$3="wind一级行业",[1]!s_info_industry_gics(W4993,1),IF($Y$3="wind二级行业",[1]!s_info_industry_gics(W4993,2),IF($Y$3="wind三级行业",[1]!s_info_industry_gics(W4993,3),IF($Y$3="wind四级行业",[1]!s_info_industry_gics(W4993,4),IF($Y$3="证监会门类行业",[1]!s_info_industry_csrc12_n(W4993,公司分析!D$5,1),""))))))))</f>
        <v>化学制药</v>
      </c>
      <c r="Z4993" s="302" t="str">
        <f ca="1">IF(Y4993=行业比较!$E$6,ROW(),"")</f>
        <v/>
      </c>
    </row>
    <row r="4994" spans="22:26">
      <c r="V4994" s="260">
        <f t="shared" ca="1" si="85"/>
        <v>0</v>
      </c>
      <c r="W4994" s="348" t="str">
        <f>IF(板块成分!B4996="","",板块成分!B4996)</f>
        <v>688515.SH</v>
      </c>
      <c r="X4994" s="276" t="str">
        <f>[1]!S_Info_Name(W4994)</f>
        <v>裕太微-U</v>
      </c>
      <c r="Y4994" s="276" t="str">
        <f ca="1">IF($Y$3="申万一级行业",[1]!s_info_industry_sw_2021(W4994,公司分析!D$5,1),IF($Y$3="申万二级行业",[1]!s_info_industry_sw_2021(W4994,公司分析!D$5,2),IF($Y$3="申万三级行业",[1]!s_info_industry_sw_2021(W4994,公司分析!D$5,3),IF($Y$3="wind一级行业",[1]!s_info_industry_gics(W4994,1),IF($Y$3="wind二级行业",[1]!s_info_industry_gics(W4994,2),IF($Y$3="wind三级行业",[1]!s_info_industry_gics(W4994,3),IF($Y$3="wind四级行业",[1]!s_info_industry_gics(W4994,4),IF($Y$3="证监会门类行业",[1]!s_info_industry_csrc12_n(W4994,公司分析!D$5,1),""))))))))</f>
        <v>半导体</v>
      </c>
      <c r="Z4994" s="302" t="str">
        <f ca="1">IF(Y4994=行业比较!$E$6,ROW(),"")</f>
        <v/>
      </c>
    </row>
    <row r="4995" spans="22:26">
      <c r="V4995" s="260">
        <f t="shared" ca="1" si="85"/>
        <v>0</v>
      </c>
      <c r="W4995" s="348" t="str">
        <f>IF(板块成分!B4997="","",板块成分!B4997)</f>
        <v>688516.SH</v>
      </c>
      <c r="X4995" s="276" t="str">
        <f>[1]!S_Info_Name(W4995)</f>
        <v>奥特维</v>
      </c>
      <c r="Y4995" s="276" t="str">
        <f ca="1">IF($Y$3="申万一级行业",[1]!s_info_industry_sw_2021(W4995,公司分析!D$5,1),IF($Y$3="申万二级行业",[1]!s_info_industry_sw_2021(W4995,公司分析!D$5,2),IF($Y$3="申万三级行业",[1]!s_info_industry_sw_2021(W4995,公司分析!D$5,3),IF($Y$3="wind一级行业",[1]!s_info_industry_gics(W4995,1),IF($Y$3="wind二级行业",[1]!s_info_industry_gics(W4995,2),IF($Y$3="wind三级行业",[1]!s_info_industry_gics(W4995,3),IF($Y$3="wind四级行业",[1]!s_info_industry_gics(W4995,4),IF($Y$3="证监会门类行业",[1]!s_info_industry_csrc12_n(W4995,公司分析!D$5,1),""))))))))</f>
        <v>光伏设备</v>
      </c>
      <c r="Z4995" s="302" t="str">
        <f ca="1">IF(Y4995=行业比较!$E$6,ROW(),"")</f>
        <v/>
      </c>
    </row>
    <row r="4996" spans="22:26">
      <c r="V4996" s="260">
        <f t="shared" ca="1" si="85"/>
        <v>0</v>
      </c>
      <c r="W4996" s="348" t="str">
        <f>IF(板块成分!B4998="","",板块成分!B4998)</f>
        <v>688517.SH</v>
      </c>
      <c r="X4996" s="276" t="str">
        <f>[1]!S_Info_Name(W4996)</f>
        <v>金冠电气</v>
      </c>
      <c r="Y4996" s="276" t="str">
        <f ca="1">IF($Y$3="申万一级行业",[1]!s_info_industry_sw_2021(W4996,公司分析!D$5,1),IF($Y$3="申万二级行业",[1]!s_info_industry_sw_2021(W4996,公司分析!D$5,2),IF($Y$3="申万三级行业",[1]!s_info_industry_sw_2021(W4996,公司分析!D$5,3),IF($Y$3="wind一级行业",[1]!s_info_industry_gics(W4996,1),IF($Y$3="wind二级行业",[1]!s_info_industry_gics(W4996,2),IF($Y$3="wind三级行业",[1]!s_info_industry_gics(W4996,3),IF($Y$3="wind四级行业",[1]!s_info_industry_gics(W4996,4),IF($Y$3="证监会门类行业",[1]!s_info_industry_csrc12_n(W4996,公司分析!D$5,1),""))))))))</f>
        <v>电网设备</v>
      </c>
      <c r="Z4996" s="302" t="str">
        <f ca="1">IF(Y4996=行业比较!$E$6,ROW(),"")</f>
        <v/>
      </c>
    </row>
    <row r="4997" spans="22:26">
      <c r="V4997" s="260">
        <f t="shared" ref="V4997:V5060" ca="1" si="86">IF(Z4997="",0,RANK(Z4997,Z:Z,1))</f>
        <v>0</v>
      </c>
      <c r="W4997" s="348" t="str">
        <f>IF(板块成分!B4999="","",板块成分!B4999)</f>
        <v>688518.SH</v>
      </c>
      <c r="X4997" s="276" t="str">
        <f>[1]!S_Info_Name(W4997)</f>
        <v>联赢激光</v>
      </c>
      <c r="Y4997" s="276" t="str">
        <f ca="1">IF($Y$3="申万一级行业",[1]!s_info_industry_sw_2021(W4997,公司分析!D$5,1),IF($Y$3="申万二级行业",[1]!s_info_industry_sw_2021(W4997,公司分析!D$5,2),IF($Y$3="申万三级行业",[1]!s_info_industry_sw_2021(W4997,公司分析!D$5,3),IF($Y$3="wind一级行业",[1]!s_info_industry_gics(W4997,1),IF($Y$3="wind二级行业",[1]!s_info_industry_gics(W4997,2),IF($Y$3="wind三级行业",[1]!s_info_industry_gics(W4997,3),IF($Y$3="wind四级行业",[1]!s_info_industry_gics(W4997,4),IF($Y$3="证监会门类行业",[1]!s_info_industry_csrc12_n(W4997,公司分析!D$5,1),""))))))))</f>
        <v>自动化设备</v>
      </c>
      <c r="Z4997" s="302" t="str">
        <f ca="1">IF(Y4997=行业比较!$E$6,ROW(),"")</f>
        <v/>
      </c>
    </row>
    <row r="4998" spans="22:26">
      <c r="V4998" s="260">
        <f t="shared" ca="1" si="86"/>
        <v>0</v>
      </c>
      <c r="W4998" s="348" t="str">
        <f>IF(板块成分!B5000="","",板块成分!B5000)</f>
        <v>688519.SH</v>
      </c>
      <c r="X4998" s="276" t="str">
        <f>[1]!S_Info_Name(W4998)</f>
        <v>南亚新材</v>
      </c>
      <c r="Y4998" s="276" t="str">
        <f ca="1">IF($Y$3="申万一级行业",[1]!s_info_industry_sw_2021(W4998,公司分析!D$5,1),IF($Y$3="申万二级行业",[1]!s_info_industry_sw_2021(W4998,公司分析!D$5,2),IF($Y$3="申万三级行业",[1]!s_info_industry_sw_2021(W4998,公司分析!D$5,3),IF($Y$3="wind一级行业",[1]!s_info_industry_gics(W4998,1),IF($Y$3="wind二级行业",[1]!s_info_industry_gics(W4998,2),IF($Y$3="wind三级行业",[1]!s_info_industry_gics(W4998,3),IF($Y$3="wind四级行业",[1]!s_info_industry_gics(W4998,4),IF($Y$3="证监会门类行业",[1]!s_info_industry_csrc12_n(W4998,公司分析!D$5,1),""))))))))</f>
        <v>元件</v>
      </c>
      <c r="Z4998" s="302" t="str">
        <f ca="1">IF(Y4998=行业比较!$E$6,ROW(),"")</f>
        <v/>
      </c>
    </row>
    <row r="4999" spans="22:26">
      <c r="V4999" s="260">
        <f t="shared" ca="1" si="86"/>
        <v>0</v>
      </c>
      <c r="W4999" s="348" t="str">
        <f>IF(板块成分!B5001="","",板块成分!B5001)</f>
        <v>688520.SH</v>
      </c>
      <c r="X4999" s="276" t="str">
        <f>[1]!S_Info_Name(W4999)</f>
        <v>神州细胞</v>
      </c>
      <c r="Y4999" s="276" t="str">
        <f ca="1">IF($Y$3="申万一级行业",[1]!s_info_industry_sw_2021(W4999,公司分析!D$5,1),IF($Y$3="申万二级行业",[1]!s_info_industry_sw_2021(W4999,公司分析!D$5,2),IF($Y$3="申万三级行业",[1]!s_info_industry_sw_2021(W4999,公司分析!D$5,3),IF($Y$3="wind一级行业",[1]!s_info_industry_gics(W4999,1),IF($Y$3="wind二级行业",[1]!s_info_industry_gics(W4999,2),IF($Y$3="wind三级行业",[1]!s_info_industry_gics(W4999,3),IF($Y$3="wind四级行业",[1]!s_info_industry_gics(W4999,4),IF($Y$3="证监会门类行业",[1]!s_info_industry_csrc12_n(W4999,公司分析!D$5,1),""))))))))</f>
        <v>生物制品</v>
      </c>
      <c r="Z4999" s="302" t="str">
        <f ca="1">IF(Y4999=行业比较!$E$6,ROW(),"")</f>
        <v/>
      </c>
    </row>
    <row r="5000" spans="22:26">
      <c r="V5000" s="260">
        <f t="shared" ca="1" si="86"/>
        <v>0</v>
      </c>
      <c r="W5000" s="348" t="str">
        <f>IF(板块成分!B5002="","",板块成分!B5002)</f>
        <v>688521.SH</v>
      </c>
      <c r="X5000" s="276" t="str">
        <f>[1]!S_Info_Name(W5000)</f>
        <v>芯原股份</v>
      </c>
      <c r="Y5000" s="276" t="str">
        <f ca="1">IF($Y$3="申万一级行业",[1]!s_info_industry_sw_2021(W5000,公司分析!D$5,1),IF($Y$3="申万二级行业",[1]!s_info_industry_sw_2021(W5000,公司分析!D$5,2),IF($Y$3="申万三级行业",[1]!s_info_industry_sw_2021(W5000,公司分析!D$5,3),IF($Y$3="wind一级行业",[1]!s_info_industry_gics(W5000,1),IF($Y$3="wind二级行业",[1]!s_info_industry_gics(W5000,2),IF($Y$3="wind三级行业",[1]!s_info_industry_gics(W5000,3),IF($Y$3="wind四级行业",[1]!s_info_industry_gics(W5000,4),IF($Y$3="证监会门类行业",[1]!s_info_industry_csrc12_n(W5000,公司分析!D$5,1),""))))))))</f>
        <v>半导体</v>
      </c>
      <c r="Z5000" s="302" t="str">
        <f ca="1">IF(Y5000=行业比较!$E$6,ROW(),"")</f>
        <v/>
      </c>
    </row>
    <row r="5001" spans="22:26">
      <c r="V5001" s="260">
        <f t="shared" ca="1" si="86"/>
        <v>0</v>
      </c>
      <c r="W5001" s="348" t="str">
        <f>IF(板块成分!B5003="","",板块成分!B5003)</f>
        <v>688522.SH</v>
      </c>
      <c r="X5001" s="276" t="str">
        <f>[1]!S_Info_Name(W5001)</f>
        <v>纳睿雷达</v>
      </c>
      <c r="Y5001" s="276" t="str">
        <f ca="1">IF($Y$3="申万一级行业",[1]!s_info_industry_sw_2021(W5001,公司分析!D$5,1),IF($Y$3="申万二级行业",[1]!s_info_industry_sw_2021(W5001,公司分析!D$5,2),IF($Y$3="申万三级行业",[1]!s_info_industry_sw_2021(W5001,公司分析!D$5,3),IF($Y$3="wind一级行业",[1]!s_info_industry_gics(W5001,1),IF($Y$3="wind二级行业",[1]!s_info_industry_gics(W5001,2),IF($Y$3="wind三级行业",[1]!s_info_industry_gics(W5001,3),IF($Y$3="wind四级行业",[1]!s_info_industry_gics(W5001,4),IF($Y$3="证监会门类行业",[1]!s_info_industry_csrc12_n(W5001,公司分析!D$5,1),""))))))))</f>
        <v>军工电子Ⅱ</v>
      </c>
      <c r="Z5001" s="302" t="str">
        <f ca="1">IF(Y5001=行业比较!$E$6,ROW(),"")</f>
        <v/>
      </c>
    </row>
    <row r="5002" spans="22:26">
      <c r="V5002" s="260">
        <f t="shared" ca="1" si="86"/>
        <v>0</v>
      </c>
      <c r="W5002" s="348" t="str">
        <f>IF(板块成分!B5004="","",板块成分!B5004)</f>
        <v>688523.SH</v>
      </c>
      <c r="X5002" s="276" t="str">
        <f>[1]!S_Info_Name(W5002)</f>
        <v>航天环宇</v>
      </c>
      <c r="Y5002" s="276" t="str">
        <f ca="1">IF($Y$3="申万一级行业",[1]!s_info_industry_sw_2021(W5002,公司分析!D$5,1),IF($Y$3="申万二级行业",[1]!s_info_industry_sw_2021(W5002,公司分析!D$5,2),IF($Y$3="申万三级行业",[1]!s_info_industry_sw_2021(W5002,公司分析!D$5,3),IF($Y$3="wind一级行业",[1]!s_info_industry_gics(W5002,1),IF($Y$3="wind二级行业",[1]!s_info_industry_gics(W5002,2),IF($Y$3="wind三级行业",[1]!s_info_industry_gics(W5002,3),IF($Y$3="wind四级行业",[1]!s_info_industry_gics(W5002,4),IF($Y$3="证监会门类行业",[1]!s_info_industry_csrc12_n(W5002,公司分析!D$5,1),""))))))))</f>
        <v>航天装备Ⅱ</v>
      </c>
      <c r="Z5002" s="302" t="str">
        <f ca="1">IF(Y5002=行业比较!$E$6,ROW(),"")</f>
        <v/>
      </c>
    </row>
    <row r="5003" spans="22:26">
      <c r="V5003" s="260">
        <f t="shared" ca="1" si="86"/>
        <v>0</v>
      </c>
      <c r="W5003" s="348" t="str">
        <f>IF(板块成分!B5005="","",板块成分!B5005)</f>
        <v>688525.SH</v>
      </c>
      <c r="X5003" s="276" t="str">
        <f>[1]!S_Info_Name(W5003)</f>
        <v>佰维存储</v>
      </c>
      <c r="Y5003" s="276" t="str">
        <f ca="1">IF($Y$3="申万一级行业",[1]!s_info_industry_sw_2021(W5003,公司分析!D$5,1),IF($Y$3="申万二级行业",[1]!s_info_industry_sw_2021(W5003,公司分析!D$5,2),IF($Y$3="申万三级行业",[1]!s_info_industry_sw_2021(W5003,公司分析!D$5,3),IF($Y$3="wind一级行业",[1]!s_info_industry_gics(W5003,1),IF($Y$3="wind二级行业",[1]!s_info_industry_gics(W5003,2),IF($Y$3="wind三级行业",[1]!s_info_industry_gics(W5003,3),IF($Y$3="wind四级行业",[1]!s_info_industry_gics(W5003,4),IF($Y$3="证监会门类行业",[1]!s_info_industry_csrc12_n(W5003,公司分析!D$5,1),""))))))))</f>
        <v>半导体</v>
      </c>
      <c r="Z5003" s="302" t="str">
        <f ca="1">IF(Y5003=行业比较!$E$6,ROW(),"")</f>
        <v/>
      </c>
    </row>
    <row r="5004" spans="22:26">
      <c r="V5004" s="260">
        <f t="shared" ca="1" si="86"/>
        <v>0</v>
      </c>
      <c r="W5004" s="348" t="str">
        <f>IF(板块成分!B5006="","",板块成分!B5006)</f>
        <v>688526.SH</v>
      </c>
      <c r="X5004" s="276" t="str">
        <f>[1]!S_Info_Name(W5004)</f>
        <v>科前生物</v>
      </c>
      <c r="Y5004" s="276" t="str">
        <f ca="1">IF($Y$3="申万一级行业",[1]!s_info_industry_sw_2021(W5004,公司分析!D$5,1),IF($Y$3="申万二级行业",[1]!s_info_industry_sw_2021(W5004,公司分析!D$5,2),IF($Y$3="申万三级行业",[1]!s_info_industry_sw_2021(W5004,公司分析!D$5,3),IF($Y$3="wind一级行业",[1]!s_info_industry_gics(W5004,1),IF($Y$3="wind二级行业",[1]!s_info_industry_gics(W5004,2),IF($Y$3="wind三级行业",[1]!s_info_industry_gics(W5004,3),IF($Y$3="wind四级行业",[1]!s_info_industry_gics(W5004,4),IF($Y$3="证监会门类行业",[1]!s_info_industry_csrc12_n(W5004,公司分析!D$5,1),""))))))))</f>
        <v>动物保健Ⅱ</v>
      </c>
      <c r="Z5004" s="302" t="str">
        <f ca="1">IF(Y5004=行业比较!$E$6,ROW(),"")</f>
        <v/>
      </c>
    </row>
    <row r="5005" spans="22:26">
      <c r="V5005" s="260">
        <f t="shared" ca="1" si="86"/>
        <v>0</v>
      </c>
      <c r="W5005" s="348" t="str">
        <f>IF(板块成分!B5007="","",板块成分!B5007)</f>
        <v>688528.SH</v>
      </c>
      <c r="X5005" s="276" t="str">
        <f>[1]!S_Info_Name(W5005)</f>
        <v>秦川物联</v>
      </c>
      <c r="Y5005" s="276" t="str">
        <f ca="1">IF($Y$3="申万一级行业",[1]!s_info_industry_sw_2021(W5005,公司分析!D$5,1),IF($Y$3="申万二级行业",[1]!s_info_industry_sw_2021(W5005,公司分析!D$5,2),IF($Y$3="申万三级行业",[1]!s_info_industry_sw_2021(W5005,公司分析!D$5,3),IF($Y$3="wind一级行业",[1]!s_info_industry_gics(W5005,1),IF($Y$3="wind二级行业",[1]!s_info_industry_gics(W5005,2),IF($Y$3="wind三级行业",[1]!s_info_industry_gics(W5005,3),IF($Y$3="wind四级行业",[1]!s_info_industry_gics(W5005,4),IF($Y$3="证监会门类行业",[1]!s_info_industry_csrc12_n(W5005,公司分析!D$5,1),""))))))))</f>
        <v>通用设备</v>
      </c>
      <c r="Z5005" s="302" t="str">
        <f ca="1">IF(Y5005=行业比较!$E$6,ROW(),"")</f>
        <v/>
      </c>
    </row>
    <row r="5006" spans="22:26">
      <c r="V5006" s="260">
        <f t="shared" ca="1" si="86"/>
        <v>0</v>
      </c>
      <c r="W5006" s="348" t="str">
        <f>IF(板块成分!B5008="","",板块成分!B5008)</f>
        <v>688529.SH</v>
      </c>
      <c r="X5006" s="276" t="str">
        <f>[1]!S_Info_Name(W5006)</f>
        <v>豪森智能</v>
      </c>
      <c r="Y5006" s="276" t="str">
        <f ca="1">IF($Y$3="申万一级行业",[1]!s_info_industry_sw_2021(W5006,公司分析!D$5,1),IF($Y$3="申万二级行业",[1]!s_info_industry_sw_2021(W5006,公司分析!D$5,2),IF($Y$3="申万三级行业",[1]!s_info_industry_sw_2021(W5006,公司分析!D$5,3),IF($Y$3="wind一级行业",[1]!s_info_industry_gics(W5006,1),IF($Y$3="wind二级行业",[1]!s_info_industry_gics(W5006,2),IF($Y$3="wind三级行业",[1]!s_info_industry_gics(W5006,3),IF($Y$3="wind四级行业",[1]!s_info_industry_gics(W5006,4),IF($Y$3="证监会门类行业",[1]!s_info_industry_csrc12_n(W5006,公司分析!D$5,1),""))))))))</f>
        <v>专用设备</v>
      </c>
      <c r="Z5006" s="302" t="str">
        <f ca="1">IF(Y5006=行业比较!$E$6,ROW(),"")</f>
        <v/>
      </c>
    </row>
    <row r="5007" spans="22:26">
      <c r="V5007" s="260">
        <f t="shared" ca="1" si="86"/>
        <v>0</v>
      </c>
      <c r="W5007" s="348" t="str">
        <f>IF(板块成分!B5009="","",板块成分!B5009)</f>
        <v>688530.SH</v>
      </c>
      <c r="X5007" s="276" t="str">
        <f>[1]!S_Info_Name(W5007)</f>
        <v>欧莱新材</v>
      </c>
      <c r="Y5007" s="276" t="str">
        <f ca="1">IF($Y$3="申万一级行业",[1]!s_info_industry_sw_2021(W5007,公司分析!D$5,1),IF($Y$3="申万二级行业",[1]!s_info_industry_sw_2021(W5007,公司分析!D$5,2),IF($Y$3="申万三级行业",[1]!s_info_industry_sw_2021(W5007,公司分析!D$5,3),IF($Y$3="wind一级行业",[1]!s_info_industry_gics(W5007,1),IF($Y$3="wind二级行业",[1]!s_info_industry_gics(W5007,2),IF($Y$3="wind三级行业",[1]!s_info_industry_gics(W5007,3),IF($Y$3="wind四级行业",[1]!s_info_industry_gics(W5007,4),IF($Y$3="证监会门类行业",[1]!s_info_industry_csrc12_n(W5007,公司分析!D$5,1),""))))))))</f>
        <v>半导体</v>
      </c>
      <c r="Z5007" s="302" t="str">
        <f ca="1">IF(Y5007=行业比较!$E$6,ROW(),"")</f>
        <v/>
      </c>
    </row>
    <row r="5008" spans="22:26">
      <c r="V5008" s="260">
        <f t="shared" ca="1" si="86"/>
        <v>0</v>
      </c>
      <c r="W5008" s="348" t="str">
        <f>IF(板块成分!B5010="","",板块成分!B5010)</f>
        <v>688531.SH</v>
      </c>
      <c r="X5008" s="276" t="str">
        <f>[1]!S_Info_Name(W5008)</f>
        <v>日联科技</v>
      </c>
      <c r="Y5008" s="276" t="str">
        <f ca="1">IF($Y$3="申万一级行业",[1]!s_info_industry_sw_2021(W5008,公司分析!D$5,1),IF($Y$3="申万二级行业",[1]!s_info_industry_sw_2021(W5008,公司分析!D$5,2),IF($Y$3="申万三级行业",[1]!s_info_industry_sw_2021(W5008,公司分析!D$5,3),IF($Y$3="wind一级行业",[1]!s_info_industry_gics(W5008,1),IF($Y$3="wind二级行业",[1]!s_info_industry_gics(W5008,2),IF($Y$3="wind三级行业",[1]!s_info_industry_gics(W5008,3),IF($Y$3="wind四级行业",[1]!s_info_industry_gics(W5008,4),IF($Y$3="证监会门类行业",[1]!s_info_industry_csrc12_n(W5008,公司分析!D$5,1),""))))))))</f>
        <v>专用设备</v>
      </c>
      <c r="Z5008" s="302" t="str">
        <f ca="1">IF(Y5008=行业比较!$E$6,ROW(),"")</f>
        <v/>
      </c>
    </row>
    <row r="5009" spans="22:26">
      <c r="V5009" s="260">
        <f t="shared" ca="1" si="86"/>
        <v>0</v>
      </c>
      <c r="W5009" s="348" t="str">
        <f>IF(板块成分!B5011="","",板块成分!B5011)</f>
        <v>688533.SH</v>
      </c>
      <c r="X5009" s="276" t="str">
        <f>[1]!S_Info_Name(W5009)</f>
        <v>上声电子</v>
      </c>
      <c r="Y5009" s="276" t="str">
        <f ca="1">IF($Y$3="申万一级行业",[1]!s_info_industry_sw_2021(W5009,公司分析!D$5,1),IF($Y$3="申万二级行业",[1]!s_info_industry_sw_2021(W5009,公司分析!D$5,2),IF($Y$3="申万三级行业",[1]!s_info_industry_sw_2021(W5009,公司分析!D$5,3),IF($Y$3="wind一级行业",[1]!s_info_industry_gics(W5009,1),IF($Y$3="wind二级行业",[1]!s_info_industry_gics(W5009,2),IF($Y$3="wind三级行业",[1]!s_info_industry_gics(W5009,3),IF($Y$3="wind四级行业",[1]!s_info_industry_gics(W5009,4),IF($Y$3="证监会门类行业",[1]!s_info_industry_csrc12_n(W5009,公司分析!D$5,1),""))))))))</f>
        <v>汽车零部件</v>
      </c>
      <c r="Z5009" s="302" t="str">
        <f ca="1">IF(Y5009=行业比较!$E$6,ROW(),"")</f>
        <v/>
      </c>
    </row>
    <row r="5010" spans="22:26">
      <c r="V5010" s="260">
        <f t="shared" ca="1" si="86"/>
        <v>0</v>
      </c>
      <c r="W5010" s="348" t="str">
        <f>IF(板块成分!B5012="","",板块成分!B5012)</f>
        <v>688535.SH</v>
      </c>
      <c r="X5010" s="276" t="str">
        <f>[1]!S_Info_Name(W5010)</f>
        <v>华海诚科</v>
      </c>
      <c r="Y5010" s="276" t="str">
        <f ca="1">IF($Y$3="申万一级行业",[1]!s_info_industry_sw_2021(W5010,公司分析!D$5,1),IF($Y$3="申万二级行业",[1]!s_info_industry_sw_2021(W5010,公司分析!D$5,2),IF($Y$3="申万三级行业",[1]!s_info_industry_sw_2021(W5010,公司分析!D$5,3),IF($Y$3="wind一级行业",[1]!s_info_industry_gics(W5010,1),IF($Y$3="wind二级行业",[1]!s_info_industry_gics(W5010,2),IF($Y$3="wind三级行业",[1]!s_info_industry_gics(W5010,3),IF($Y$3="wind四级行业",[1]!s_info_industry_gics(W5010,4),IF($Y$3="证监会门类行业",[1]!s_info_industry_csrc12_n(W5010,公司分析!D$5,1),""))))))))</f>
        <v>半导体</v>
      </c>
      <c r="Z5010" s="302" t="str">
        <f ca="1">IF(Y5010=行业比较!$E$6,ROW(),"")</f>
        <v/>
      </c>
    </row>
    <row r="5011" spans="22:26">
      <c r="V5011" s="260">
        <f t="shared" ca="1" si="86"/>
        <v>0</v>
      </c>
      <c r="W5011" s="348" t="str">
        <f>IF(板块成分!B5013="","",板块成分!B5013)</f>
        <v>688536.SH</v>
      </c>
      <c r="X5011" s="276" t="str">
        <f>[1]!S_Info_Name(W5011)</f>
        <v>思瑞浦</v>
      </c>
      <c r="Y5011" s="276" t="str">
        <f ca="1">IF($Y$3="申万一级行业",[1]!s_info_industry_sw_2021(W5011,公司分析!D$5,1),IF($Y$3="申万二级行业",[1]!s_info_industry_sw_2021(W5011,公司分析!D$5,2),IF($Y$3="申万三级行业",[1]!s_info_industry_sw_2021(W5011,公司分析!D$5,3),IF($Y$3="wind一级行业",[1]!s_info_industry_gics(W5011,1),IF($Y$3="wind二级行业",[1]!s_info_industry_gics(W5011,2),IF($Y$3="wind三级行业",[1]!s_info_industry_gics(W5011,3),IF($Y$3="wind四级行业",[1]!s_info_industry_gics(W5011,4),IF($Y$3="证监会门类行业",[1]!s_info_industry_csrc12_n(W5011,公司分析!D$5,1),""))))))))</f>
        <v>半导体</v>
      </c>
      <c r="Z5011" s="302" t="str">
        <f ca="1">IF(Y5011=行业比较!$E$6,ROW(),"")</f>
        <v/>
      </c>
    </row>
    <row r="5012" spans="22:26">
      <c r="V5012" s="260">
        <f t="shared" ca="1" si="86"/>
        <v>0</v>
      </c>
      <c r="W5012" s="348" t="str">
        <f>IF(板块成分!B5014="","",板块成分!B5014)</f>
        <v>688538.SH</v>
      </c>
      <c r="X5012" s="276" t="str">
        <f>[1]!S_Info_Name(W5012)</f>
        <v>和辉光电-U</v>
      </c>
      <c r="Y5012" s="276" t="str">
        <f ca="1">IF($Y$3="申万一级行业",[1]!s_info_industry_sw_2021(W5012,公司分析!D$5,1),IF($Y$3="申万二级行业",[1]!s_info_industry_sw_2021(W5012,公司分析!D$5,2),IF($Y$3="申万三级行业",[1]!s_info_industry_sw_2021(W5012,公司分析!D$5,3),IF($Y$3="wind一级行业",[1]!s_info_industry_gics(W5012,1),IF($Y$3="wind二级行业",[1]!s_info_industry_gics(W5012,2),IF($Y$3="wind三级行业",[1]!s_info_industry_gics(W5012,3),IF($Y$3="wind四级行业",[1]!s_info_industry_gics(W5012,4),IF($Y$3="证监会门类行业",[1]!s_info_industry_csrc12_n(W5012,公司分析!D$5,1),""))))))))</f>
        <v>光学光电子</v>
      </c>
      <c r="Z5012" s="302" t="str">
        <f ca="1">IF(Y5012=行业比较!$E$6,ROW(),"")</f>
        <v/>
      </c>
    </row>
    <row r="5013" spans="22:26">
      <c r="V5013" s="260">
        <f t="shared" ca="1" si="86"/>
        <v>0</v>
      </c>
      <c r="W5013" s="348" t="str">
        <f>IF(板块成分!B5015="","",板块成分!B5015)</f>
        <v>688539.SH</v>
      </c>
      <c r="X5013" s="276" t="str">
        <f>[1]!S_Info_Name(W5013)</f>
        <v>高华科技</v>
      </c>
      <c r="Y5013" s="276" t="str">
        <f ca="1">IF($Y$3="申万一级行业",[1]!s_info_industry_sw_2021(W5013,公司分析!D$5,1),IF($Y$3="申万二级行业",[1]!s_info_industry_sw_2021(W5013,公司分析!D$5,2),IF($Y$3="申万三级行业",[1]!s_info_industry_sw_2021(W5013,公司分析!D$5,3),IF($Y$3="wind一级行业",[1]!s_info_industry_gics(W5013,1),IF($Y$3="wind二级行业",[1]!s_info_industry_gics(W5013,2),IF($Y$3="wind三级行业",[1]!s_info_industry_gics(W5013,3),IF($Y$3="wind四级行业",[1]!s_info_industry_gics(W5013,4),IF($Y$3="证监会门类行业",[1]!s_info_industry_csrc12_n(W5013,公司分析!D$5,1),""))))))))</f>
        <v>元件</v>
      </c>
      <c r="Z5013" s="302" t="str">
        <f ca="1">IF(Y5013=行业比较!$E$6,ROW(),"")</f>
        <v/>
      </c>
    </row>
    <row r="5014" spans="22:26">
      <c r="V5014" s="260">
        <f t="shared" ca="1" si="86"/>
        <v>0</v>
      </c>
      <c r="W5014" s="348" t="str">
        <f>IF(板块成分!B5016="","",板块成分!B5016)</f>
        <v>688543.SH</v>
      </c>
      <c r="X5014" s="276" t="str">
        <f>[1]!S_Info_Name(W5014)</f>
        <v>国科军工</v>
      </c>
      <c r="Y5014" s="276" t="str">
        <f ca="1">IF($Y$3="申万一级行业",[1]!s_info_industry_sw_2021(W5014,公司分析!D$5,1),IF($Y$3="申万二级行业",[1]!s_info_industry_sw_2021(W5014,公司分析!D$5,2),IF($Y$3="申万三级行业",[1]!s_info_industry_sw_2021(W5014,公司分析!D$5,3),IF($Y$3="wind一级行业",[1]!s_info_industry_gics(W5014,1),IF($Y$3="wind二级行业",[1]!s_info_industry_gics(W5014,2),IF($Y$3="wind三级行业",[1]!s_info_industry_gics(W5014,3),IF($Y$3="wind四级行业",[1]!s_info_industry_gics(W5014,4),IF($Y$3="证监会门类行业",[1]!s_info_industry_csrc12_n(W5014,公司分析!D$5,1),""))))))))</f>
        <v>地面兵装Ⅱ</v>
      </c>
      <c r="Z5014" s="302" t="str">
        <f ca="1">IF(Y5014=行业比较!$E$6,ROW(),"")</f>
        <v/>
      </c>
    </row>
    <row r="5015" spans="22:26">
      <c r="V5015" s="260">
        <f t="shared" ca="1" si="86"/>
        <v>0</v>
      </c>
      <c r="W5015" s="348" t="str">
        <f>IF(板块成分!B5017="","",板块成分!B5017)</f>
        <v>688545.SH</v>
      </c>
      <c r="X5015" s="276" t="str">
        <f>[1]!S_Info_Name(W5015)</f>
        <v>兴福电子</v>
      </c>
      <c r="Y5015" s="276" t="str">
        <f ca="1">IF($Y$3="申万一级行业",[1]!s_info_industry_sw_2021(W5015,公司分析!D$5,1),IF($Y$3="申万二级行业",[1]!s_info_industry_sw_2021(W5015,公司分析!D$5,2),IF($Y$3="申万三级行业",[1]!s_info_industry_sw_2021(W5015,公司分析!D$5,3),IF($Y$3="wind一级行业",[1]!s_info_industry_gics(W5015,1),IF($Y$3="wind二级行业",[1]!s_info_industry_gics(W5015,2),IF($Y$3="wind三级行业",[1]!s_info_industry_gics(W5015,3),IF($Y$3="wind四级行业",[1]!s_info_industry_gics(W5015,4),IF($Y$3="证监会门类行业",[1]!s_info_industry_csrc12_n(W5015,公司分析!D$5,1),""))))))))</f>
        <v>电子化学品Ⅱ</v>
      </c>
      <c r="Z5015" s="302" t="str">
        <f ca="1">IF(Y5015=行业比较!$E$6,ROW(),"")</f>
        <v/>
      </c>
    </row>
    <row r="5016" spans="22:26">
      <c r="V5016" s="260">
        <f t="shared" ca="1" si="86"/>
        <v>0</v>
      </c>
      <c r="W5016" s="348" t="str">
        <f>IF(板块成分!B5018="","",板块成分!B5018)</f>
        <v>688548.SH</v>
      </c>
      <c r="X5016" s="276" t="str">
        <f>[1]!S_Info_Name(W5016)</f>
        <v>广钢气体</v>
      </c>
      <c r="Y5016" s="276" t="str">
        <f ca="1">IF($Y$3="申万一级行业",[1]!s_info_industry_sw_2021(W5016,公司分析!D$5,1),IF($Y$3="申万二级行业",[1]!s_info_industry_sw_2021(W5016,公司分析!D$5,2),IF($Y$3="申万三级行业",[1]!s_info_industry_sw_2021(W5016,公司分析!D$5,3),IF($Y$3="wind一级行业",[1]!s_info_industry_gics(W5016,1),IF($Y$3="wind二级行业",[1]!s_info_industry_gics(W5016,2),IF($Y$3="wind三级行业",[1]!s_info_industry_gics(W5016,3),IF($Y$3="wind四级行业",[1]!s_info_industry_gics(W5016,4),IF($Y$3="证监会门类行业",[1]!s_info_industry_csrc12_n(W5016,公司分析!D$5,1),""))))))))</f>
        <v>电子化学品Ⅱ</v>
      </c>
      <c r="Z5016" s="302" t="str">
        <f ca="1">IF(Y5016=行业比较!$E$6,ROW(),"")</f>
        <v/>
      </c>
    </row>
    <row r="5017" spans="22:26">
      <c r="V5017" s="260">
        <f t="shared" ca="1" si="86"/>
        <v>0</v>
      </c>
      <c r="W5017" s="348" t="str">
        <f>IF(板块成分!B5019="","",板块成分!B5019)</f>
        <v>688549.SH</v>
      </c>
      <c r="X5017" s="276" t="str">
        <f>[1]!S_Info_Name(W5017)</f>
        <v>中巨芯-U</v>
      </c>
      <c r="Y5017" s="276" t="str">
        <f ca="1">IF($Y$3="申万一级行业",[1]!s_info_industry_sw_2021(W5017,公司分析!D$5,1),IF($Y$3="申万二级行业",[1]!s_info_industry_sw_2021(W5017,公司分析!D$5,2),IF($Y$3="申万三级行业",[1]!s_info_industry_sw_2021(W5017,公司分析!D$5,3),IF($Y$3="wind一级行业",[1]!s_info_industry_gics(W5017,1),IF($Y$3="wind二级行业",[1]!s_info_industry_gics(W5017,2),IF($Y$3="wind三级行业",[1]!s_info_industry_gics(W5017,3),IF($Y$3="wind四级行业",[1]!s_info_industry_gics(W5017,4),IF($Y$3="证监会门类行业",[1]!s_info_industry_csrc12_n(W5017,公司分析!D$5,1),""))))))))</f>
        <v>电子化学品Ⅱ</v>
      </c>
      <c r="Z5017" s="302" t="str">
        <f ca="1">IF(Y5017=行业比较!$E$6,ROW(),"")</f>
        <v/>
      </c>
    </row>
    <row r="5018" spans="22:26">
      <c r="V5018" s="260">
        <f t="shared" ca="1" si="86"/>
        <v>0</v>
      </c>
      <c r="W5018" s="348" t="str">
        <f>IF(板块成分!B5020="","",板块成分!B5020)</f>
        <v>688550.SH</v>
      </c>
      <c r="X5018" s="276" t="str">
        <f>[1]!S_Info_Name(W5018)</f>
        <v>瑞联新材</v>
      </c>
      <c r="Y5018" s="276" t="str">
        <f ca="1">IF($Y$3="申万一级行业",[1]!s_info_industry_sw_2021(W5018,公司分析!D$5,1),IF($Y$3="申万二级行业",[1]!s_info_industry_sw_2021(W5018,公司分析!D$5,2),IF($Y$3="申万三级行业",[1]!s_info_industry_sw_2021(W5018,公司分析!D$5,3),IF($Y$3="wind一级行业",[1]!s_info_industry_gics(W5018,1),IF($Y$3="wind二级行业",[1]!s_info_industry_gics(W5018,2),IF($Y$3="wind三级行业",[1]!s_info_industry_gics(W5018,3),IF($Y$3="wind四级行业",[1]!s_info_industry_gics(W5018,4),IF($Y$3="证监会门类行业",[1]!s_info_industry_csrc12_n(W5018,公司分析!D$5,1),""))))))))</f>
        <v>电子化学品Ⅱ</v>
      </c>
      <c r="Z5018" s="302" t="str">
        <f ca="1">IF(Y5018=行业比较!$E$6,ROW(),"")</f>
        <v/>
      </c>
    </row>
    <row r="5019" spans="22:26">
      <c r="V5019" s="260">
        <f t="shared" ca="1" si="86"/>
        <v>0</v>
      </c>
      <c r="W5019" s="348" t="str">
        <f>IF(板块成分!B5021="","",板块成分!B5021)</f>
        <v>688551.SH</v>
      </c>
      <c r="X5019" s="276" t="str">
        <f>[1]!S_Info_Name(W5019)</f>
        <v>科威尔</v>
      </c>
      <c r="Y5019" s="276" t="str">
        <f ca="1">IF($Y$3="申万一级行业",[1]!s_info_industry_sw_2021(W5019,公司分析!D$5,1),IF($Y$3="申万二级行业",[1]!s_info_industry_sw_2021(W5019,公司分析!D$5,2),IF($Y$3="申万三级行业",[1]!s_info_industry_sw_2021(W5019,公司分析!D$5,3),IF($Y$3="wind一级行业",[1]!s_info_industry_gics(W5019,1),IF($Y$3="wind二级行业",[1]!s_info_industry_gics(W5019,2),IF($Y$3="wind三级行业",[1]!s_info_industry_gics(W5019,3),IF($Y$3="wind四级行业",[1]!s_info_industry_gics(W5019,4),IF($Y$3="证监会门类行业",[1]!s_info_industry_csrc12_n(W5019,公司分析!D$5,1),""))))))))</f>
        <v>其他电源设备Ⅱ</v>
      </c>
      <c r="Z5019" s="302" t="str">
        <f ca="1">IF(Y5019=行业比较!$E$6,ROW(),"")</f>
        <v/>
      </c>
    </row>
    <row r="5020" spans="22:26">
      <c r="V5020" s="260">
        <f t="shared" ca="1" si="86"/>
        <v>0</v>
      </c>
      <c r="W5020" s="348" t="str">
        <f>IF(板块成分!B5022="","",板块成分!B5022)</f>
        <v>688552.SH</v>
      </c>
      <c r="X5020" s="276" t="str">
        <f>[1]!S_Info_Name(W5020)</f>
        <v>航天南湖</v>
      </c>
      <c r="Y5020" s="276" t="str">
        <f ca="1">IF($Y$3="申万一级行业",[1]!s_info_industry_sw_2021(W5020,公司分析!D$5,1),IF($Y$3="申万二级行业",[1]!s_info_industry_sw_2021(W5020,公司分析!D$5,2),IF($Y$3="申万三级行业",[1]!s_info_industry_sw_2021(W5020,公司分析!D$5,3),IF($Y$3="wind一级行业",[1]!s_info_industry_gics(W5020,1),IF($Y$3="wind二级行业",[1]!s_info_industry_gics(W5020,2),IF($Y$3="wind三级行业",[1]!s_info_industry_gics(W5020,3),IF($Y$3="wind四级行业",[1]!s_info_industry_gics(W5020,4),IF($Y$3="证监会门类行业",[1]!s_info_industry_csrc12_n(W5020,公司分析!D$5,1),""))))))))</f>
        <v>军工电子Ⅱ</v>
      </c>
      <c r="Z5020" s="302" t="str">
        <f ca="1">IF(Y5020=行业比较!$E$6,ROW(),"")</f>
        <v/>
      </c>
    </row>
    <row r="5021" spans="22:26">
      <c r="V5021" s="260">
        <f t="shared" ca="1" si="86"/>
        <v>0</v>
      </c>
      <c r="W5021" s="348" t="str">
        <f>IF(板块成分!B5023="","",板块成分!B5023)</f>
        <v>688553.SH</v>
      </c>
      <c r="X5021" s="276" t="str">
        <f>[1]!S_Info_Name(W5021)</f>
        <v>汇宇制药-W</v>
      </c>
      <c r="Y5021" s="276" t="str">
        <f ca="1">IF($Y$3="申万一级行业",[1]!s_info_industry_sw_2021(W5021,公司分析!D$5,1),IF($Y$3="申万二级行业",[1]!s_info_industry_sw_2021(W5021,公司分析!D$5,2),IF($Y$3="申万三级行业",[1]!s_info_industry_sw_2021(W5021,公司分析!D$5,3),IF($Y$3="wind一级行业",[1]!s_info_industry_gics(W5021,1),IF($Y$3="wind二级行业",[1]!s_info_industry_gics(W5021,2),IF($Y$3="wind三级行业",[1]!s_info_industry_gics(W5021,3),IF($Y$3="wind四级行业",[1]!s_info_industry_gics(W5021,4),IF($Y$3="证监会门类行业",[1]!s_info_industry_csrc12_n(W5021,公司分析!D$5,1),""))))))))</f>
        <v>化学制药</v>
      </c>
      <c r="Z5021" s="302" t="str">
        <f ca="1">IF(Y5021=行业比较!$E$6,ROW(),"")</f>
        <v/>
      </c>
    </row>
    <row r="5022" spans="22:26">
      <c r="V5022" s="260">
        <f t="shared" ca="1" si="86"/>
        <v>0</v>
      </c>
      <c r="W5022" s="348" t="str">
        <f>IF(板块成分!B5024="","",板块成分!B5024)</f>
        <v>688556.SH</v>
      </c>
      <c r="X5022" s="276" t="str">
        <f>[1]!S_Info_Name(W5022)</f>
        <v>高测股份</v>
      </c>
      <c r="Y5022" s="276" t="str">
        <f ca="1">IF($Y$3="申万一级行业",[1]!s_info_industry_sw_2021(W5022,公司分析!D$5,1),IF($Y$3="申万二级行业",[1]!s_info_industry_sw_2021(W5022,公司分析!D$5,2),IF($Y$3="申万三级行业",[1]!s_info_industry_sw_2021(W5022,公司分析!D$5,3),IF($Y$3="wind一级行业",[1]!s_info_industry_gics(W5022,1),IF($Y$3="wind二级行业",[1]!s_info_industry_gics(W5022,2),IF($Y$3="wind三级行业",[1]!s_info_industry_gics(W5022,3),IF($Y$3="wind四级行业",[1]!s_info_industry_gics(W5022,4),IF($Y$3="证监会门类行业",[1]!s_info_industry_csrc12_n(W5022,公司分析!D$5,1),""))))))))</f>
        <v>光伏设备</v>
      </c>
      <c r="Z5022" s="302" t="str">
        <f ca="1">IF(Y5022=行业比较!$E$6,ROW(),"")</f>
        <v/>
      </c>
    </row>
    <row r="5023" spans="22:26">
      <c r="V5023" s="260">
        <f t="shared" ca="1" si="86"/>
        <v>0</v>
      </c>
      <c r="W5023" s="348" t="str">
        <f>IF(板块成分!B5025="","",板块成分!B5025)</f>
        <v>688557.SH</v>
      </c>
      <c r="X5023" s="276" t="str">
        <f>[1]!S_Info_Name(W5023)</f>
        <v>兰剑智能</v>
      </c>
      <c r="Y5023" s="276" t="str">
        <f ca="1">IF($Y$3="申万一级行业",[1]!s_info_industry_sw_2021(W5023,公司分析!D$5,1),IF($Y$3="申万二级行业",[1]!s_info_industry_sw_2021(W5023,公司分析!D$5,2),IF($Y$3="申万三级行业",[1]!s_info_industry_sw_2021(W5023,公司分析!D$5,3),IF($Y$3="wind一级行业",[1]!s_info_industry_gics(W5023,1),IF($Y$3="wind二级行业",[1]!s_info_industry_gics(W5023,2),IF($Y$3="wind三级行业",[1]!s_info_industry_gics(W5023,3),IF($Y$3="wind四级行业",[1]!s_info_industry_gics(W5023,4),IF($Y$3="证监会门类行业",[1]!s_info_industry_csrc12_n(W5023,公司分析!D$5,1),""))))))))</f>
        <v>通用设备</v>
      </c>
      <c r="Z5023" s="302" t="str">
        <f ca="1">IF(Y5023=行业比较!$E$6,ROW(),"")</f>
        <v/>
      </c>
    </row>
    <row r="5024" spans="22:26">
      <c r="V5024" s="260">
        <f t="shared" ca="1" si="86"/>
        <v>0</v>
      </c>
      <c r="W5024" s="348" t="str">
        <f>IF(板块成分!B5026="","",板块成分!B5026)</f>
        <v>688558.SH</v>
      </c>
      <c r="X5024" s="276" t="str">
        <f>[1]!S_Info_Name(W5024)</f>
        <v>国盛智科</v>
      </c>
      <c r="Y5024" s="276" t="str">
        <f ca="1">IF($Y$3="申万一级行业",[1]!s_info_industry_sw_2021(W5024,公司分析!D$5,1),IF($Y$3="申万二级行业",[1]!s_info_industry_sw_2021(W5024,公司分析!D$5,2),IF($Y$3="申万三级行业",[1]!s_info_industry_sw_2021(W5024,公司分析!D$5,3),IF($Y$3="wind一级行业",[1]!s_info_industry_gics(W5024,1),IF($Y$3="wind二级行业",[1]!s_info_industry_gics(W5024,2),IF($Y$3="wind三级行业",[1]!s_info_industry_gics(W5024,3),IF($Y$3="wind四级行业",[1]!s_info_industry_gics(W5024,4),IF($Y$3="证监会门类行业",[1]!s_info_industry_csrc12_n(W5024,公司分析!D$5,1),""))))))))</f>
        <v>通用设备</v>
      </c>
      <c r="Z5024" s="302" t="str">
        <f ca="1">IF(Y5024=行业比较!$E$6,ROW(),"")</f>
        <v/>
      </c>
    </row>
    <row r="5025" spans="22:26">
      <c r="V5025" s="260">
        <f t="shared" ca="1" si="86"/>
        <v>0</v>
      </c>
      <c r="W5025" s="348" t="str">
        <f>IF(板块成分!B5027="","",板块成分!B5027)</f>
        <v>688559.SH</v>
      </c>
      <c r="X5025" s="276" t="str">
        <f>[1]!S_Info_Name(W5025)</f>
        <v>海目星</v>
      </c>
      <c r="Y5025" s="276" t="str">
        <f ca="1">IF($Y$3="申万一级行业",[1]!s_info_industry_sw_2021(W5025,公司分析!D$5,1),IF($Y$3="申万二级行业",[1]!s_info_industry_sw_2021(W5025,公司分析!D$5,2),IF($Y$3="申万三级行业",[1]!s_info_industry_sw_2021(W5025,公司分析!D$5,3),IF($Y$3="wind一级行业",[1]!s_info_industry_gics(W5025,1),IF($Y$3="wind二级行业",[1]!s_info_industry_gics(W5025,2),IF($Y$3="wind三级行业",[1]!s_info_industry_gics(W5025,3),IF($Y$3="wind四级行业",[1]!s_info_industry_gics(W5025,4),IF($Y$3="证监会门类行业",[1]!s_info_industry_csrc12_n(W5025,公司分析!D$5,1),""))))))))</f>
        <v>自动化设备</v>
      </c>
      <c r="Z5025" s="302" t="str">
        <f ca="1">IF(Y5025=行业比较!$E$6,ROW(),"")</f>
        <v/>
      </c>
    </row>
    <row r="5026" spans="22:26">
      <c r="V5026" s="260">
        <f t="shared" ca="1" si="86"/>
        <v>0</v>
      </c>
      <c r="W5026" s="348" t="str">
        <f>IF(板块成分!B5028="","",板块成分!B5028)</f>
        <v>688560.SH</v>
      </c>
      <c r="X5026" s="276" t="str">
        <f>[1]!S_Info_Name(W5026)</f>
        <v>明冠新材</v>
      </c>
      <c r="Y5026" s="276" t="str">
        <f ca="1">IF($Y$3="申万一级行业",[1]!s_info_industry_sw_2021(W5026,公司分析!D$5,1),IF($Y$3="申万二级行业",[1]!s_info_industry_sw_2021(W5026,公司分析!D$5,2),IF($Y$3="申万三级行业",[1]!s_info_industry_sw_2021(W5026,公司分析!D$5,3),IF($Y$3="wind一级行业",[1]!s_info_industry_gics(W5026,1),IF($Y$3="wind二级行业",[1]!s_info_industry_gics(W5026,2),IF($Y$3="wind三级行业",[1]!s_info_industry_gics(W5026,3),IF($Y$3="wind四级行业",[1]!s_info_industry_gics(W5026,4),IF($Y$3="证监会门类行业",[1]!s_info_industry_csrc12_n(W5026,公司分析!D$5,1),""))))))))</f>
        <v>光伏设备</v>
      </c>
      <c r="Z5026" s="302" t="str">
        <f ca="1">IF(Y5026=行业比较!$E$6,ROW(),"")</f>
        <v/>
      </c>
    </row>
    <row r="5027" spans="22:26">
      <c r="V5027" s="260">
        <f t="shared" ca="1" si="86"/>
        <v>0</v>
      </c>
      <c r="W5027" s="348" t="str">
        <f>IF(板块成分!B5029="","",板块成分!B5029)</f>
        <v>688561.SH</v>
      </c>
      <c r="X5027" s="276" t="str">
        <f>[1]!S_Info_Name(W5027)</f>
        <v>奇安信-U</v>
      </c>
      <c r="Y5027" s="276" t="str">
        <f ca="1">IF($Y$3="申万一级行业",[1]!s_info_industry_sw_2021(W5027,公司分析!D$5,1),IF($Y$3="申万二级行业",[1]!s_info_industry_sw_2021(W5027,公司分析!D$5,2),IF($Y$3="申万三级行业",[1]!s_info_industry_sw_2021(W5027,公司分析!D$5,3),IF($Y$3="wind一级行业",[1]!s_info_industry_gics(W5027,1),IF($Y$3="wind二级行业",[1]!s_info_industry_gics(W5027,2),IF($Y$3="wind三级行业",[1]!s_info_industry_gics(W5027,3),IF($Y$3="wind四级行业",[1]!s_info_industry_gics(W5027,4),IF($Y$3="证监会门类行业",[1]!s_info_industry_csrc12_n(W5027,公司分析!D$5,1),""))))))))</f>
        <v>软件开发</v>
      </c>
      <c r="Z5027" s="302" t="str">
        <f ca="1">IF(Y5027=行业比较!$E$6,ROW(),"")</f>
        <v/>
      </c>
    </row>
    <row r="5028" spans="22:26">
      <c r="V5028" s="260">
        <f t="shared" ca="1" si="86"/>
        <v>0</v>
      </c>
      <c r="W5028" s="348" t="str">
        <f>IF(板块成分!B5030="","",板块成分!B5030)</f>
        <v>688562.SH</v>
      </c>
      <c r="X5028" s="276" t="str">
        <f>[1]!S_Info_Name(W5028)</f>
        <v>航天软件</v>
      </c>
      <c r="Y5028" s="276" t="str">
        <f ca="1">IF($Y$3="申万一级行业",[1]!s_info_industry_sw_2021(W5028,公司分析!D$5,1),IF($Y$3="申万二级行业",[1]!s_info_industry_sw_2021(W5028,公司分析!D$5,2),IF($Y$3="申万三级行业",[1]!s_info_industry_sw_2021(W5028,公司分析!D$5,3),IF($Y$3="wind一级行业",[1]!s_info_industry_gics(W5028,1),IF($Y$3="wind二级行业",[1]!s_info_industry_gics(W5028,2),IF($Y$3="wind三级行业",[1]!s_info_industry_gics(W5028,3),IF($Y$3="wind四级行业",[1]!s_info_industry_gics(W5028,4),IF($Y$3="证监会门类行业",[1]!s_info_industry_csrc12_n(W5028,公司分析!D$5,1),""))))))))</f>
        <v>IT服务Ⅱ</v>
      </c>
      <c r="Z5028" s="302" t="str">
        <f ca="1">IF(Y5028=行业比较!$E$6,ROW(),"")</f>
        <v/>
      </c>
    </row>
    <row r="5029" spans="22:26">
      <c r="V5029" s="260">
        <f t="shared" ca="1" si="86"/>
        <v>0</v>
      </c>
      <c r="W5029" s="348" t="str">
        <f>IF(板块成分!B5031="","",板块成分!B5031)</f>
        <v>688563.SH</v>
      </c>
      <c r="X5029" s="276" t="str">
        <f>[1]!S_Info_Name(W5029)</f>
        <v>航材股份</v>
      </c>
      <c r="Y5029" s="276" t="str">
        <f ca="1">IF($Y$3="申万一级行业",[1]!s_info_industry_sw_2021(W5029,公司分析!D$5,1),IF($Y$3="申万二级行业",[1]!s_info_industry_sw_2021(W5029,公司分析!D$5,2),IF($Y$3="申万三级行业",[1]!s_info_industry_sw_2021(W5029,公司分析!D$5,3),IF($Y$3="wind一级行业",[1]!s_info_industry_gics(W5029,1),IF($Y$3="wind二级行业",[1]!s_info_industry_gics(W5029,2),IF($Y$3="wind三级行业",[1]!s_info_industry_gics(W5029,3),IF($Y$3="wind四级行业",[1]!s_info_industry_gics(W5029,4),IF($Y$3="证监会门类行业",[1]!s_info_industry_csrc12_n(W5029,公司分析!D$5,1),""))))))))</f>
        <v>航空装备Ⅱ</v>
      </c>
      <c r="Z5029" s="302" t="str">
        <f ca="1">IF(Y5029=行业比较!$E$6,ROW(),"")</f>
        <v/>
      </c>
    </row>
    <row r="5030" spans="22:26">
      <c r="V5030" s="260">
        <f t="shared" ca="1" si="86"/>
        <v>0</v>
      </c>
      <c r="W5030" s="348" t="str">
        <f>IF(板块成分!B5032="","",板块成分!B5032)</f>
        <v>688565.SH</v>
      </c>
      <c r="X5030" s="276" t="str">
        <f>[1]!S_Info_Name(W5030)</f>
        <v>力源科技</v>
      </c>
      <c r="Y5030" s="276" t="str">
        <f ca="1">IF($Y$3="申万一级行业",[1]!s_info_industry_sw_2021(W5030,公司分析!D$5,1),IF($Y$3="申万二级行业",[1]!s_info_industry_sw_2021(W5030,公司分析!D$5,2),IF($Y$3="申万三级行业",[1]!s_info_industry_sw_2021(W5030,公司分析!D$5,3),IF($Y$3="wind一级行业",[1]!s_info_industry_gics(W5030,1),IF($Y$3="wind二级行业",[1]!s_info_industry_gics(W5030,2),IF($Y$3="wind三级行业",[1]!s_info_industry_gics(W5030,3),IF($Y$3="wind四级行业",[1]!s_info_industry_gics(W5030,4),IF($Y$3="证监会门类行业",[1]!s_info_industry_csrc12_n(W5030,公司分析!D$5,1),""))))))))</f>
        <v>环境治理</v>
      </c>
      <c r="Z5030" s="302" t="str">
        <f ca="1">IF(Y5030=行业比较!$E$6,ROW(),"")</f>
        <v/>
      </c>
    </row>
    <row r="5031" spans="22:26">
      <c r="V5031" s="260">
        <f t="shared" ca="1" si="86"/>
        <v>0</v>
      </c>
      <c r="W5031" s="348" t="str">
        <f>IF(板块成分!B5033="","",板块成分!B5033)</f>
        <v>688566.SH</v>
      </c>
      <c r="X5031" s="276" t="str">
        <f>[1]!S_Info_Name(W5031)</f>
        <v>吉贝尔</v>
      </c>
      <c r="Y5031" s="276" t="str">
        <f ca="1">IF($Y$3="申万一级行业",[1]!s_info_industry_sw_2021(W5031,公司分析!D$5,1),IF($Y$3="申万二级行业",[1]!s_info_industry_sw_2021(W5031,公司分析!D$5,2),IF($Y$3="申万三级行业",[1]!s_info_industry_sw_2021(W5031,公司分析!D$5,3),IF($Y$3="wind一级行业",[1]!s_info_industry_gics(W5031,1),IF($Y$3="wind二级行业",[1]!s_info_industry_gics(W5031,2),IF($Y$3="wind三级行业",[1]!s_info_industry_gics(W5031,3),IF($Y$3="wind四级行业",[1]!s_info_industry_gics(W5031,4),IF($Y$3="证监会门类行业",[1]!s_info_industry_csrc12_n(W5031,公司分析!D$5,1),""))))))))</f>
        <v>化学制药</v>
      </c>
      <c r="Z5031" s="302" t="str">
        <f ca="1">IF(Y5031=行业比较!$E$6,ROW(),"")</f>
        <v/>
      </c>
    </row>
    <row r="5032" spans="22:26">
      <c r="V5032" s="260">
        <f t="shared" ca="1" si="86"/>
        <v>0</v>
      </c>
      <c r="W5032" s="348" t="str">
        <f>IF(板块成分!B5034="","",板块成分!B5034)</f>
        <v>688567.SH</v>
      </c>
      <c r="X5032" s="276" t="str">
        <f>[1]!S_Info_Name(W5032)</f>
        <v>孚能科技</v>
      </c>
      <c r="Y5032" s="276" t="str">
        <f ca="1">IF($Y$3="申万一级行业",[1]!s_info_industry_sw_2021(W5032,公司分析!D$5,1),IF($Y$3="申万二级行业",[1]!s_info_industry_sw_2021(W5032,公司分析!D$5,2),IF($Y$3="申万三级行业",[1]!s_info_industry_sw_2021(W5032,公司分析!D$5,3),IF($Y$3="wind一级行业",[1]!s_info_industry_gics(W5032,1),IF($Y$3="wind二级行业",[1]!s_info_industry_gics(W5032,2),IF($Y$3="wind三级行业",[1]!s_info_industry_gics(W5032,3),IF($Y$3="wind四级行业",[1]!s_info_industry_gics(W5032,4),IF($Y$3="证监会门类行业",[1]!s_info_industry_csrc12_n(W5032,公司分析!D$5,1),""))))))))</f>
        <v>电池</v>
      </c>
      <c r="Z5032" s="302" t="str">
        <f ca="1">IF(Y5032=行业比较!$E$6,ROW(),"")</f>
        <v/>
      </c>
    </row>
    <row r="5033" spans="22:26">
      <c r="V5033" s="260">
        <f t="shared" ca="1" si="86"/>
        <v>0</v>
      </c>
      <c r="W5033" s="348" t="str">
        <f>IF(板块成分!B5035="","",板块成分!B5035)</f>
        <v>688568.SH</v>
      </c>
      <c r="X5033" s="276" t="str">
        <f>[1]!S_Info_Name(W5033)</f>
        <v>中科星图</v>
      </c>
      <c r="Y5033" s="276" t="str">
        <f ca="1">IF($Y$3="申万一级行业",[1]!s_info_industry_sw_2021(W5033,公司分析!D$5,1),IF($Y$3="申万二级行业",[1]!s_info_industry_sw_2021(W5033,公司分析!D$5,2),IF($Y$3="申万三级行业",[1]!s_info_industry_sw_2021(W5033,公司分析!D$5,3),IF($Y$3="wind一级行业",[1]!s_info_industry_gics(W5033,1),IF($Y$3="wind二级行业",[1]!s_info_industry_gics(W5033,2),IF($Y$3="wind三级行业",[1]!s_info_industry_gics(W5033,3),IF($Y$3="wind四级行业",[1]!s_info_industry_gics(W5033,4),IF($Y$3="证监会门类行业",[1]!s_info_industry_csrc12_n(W5033,公司分析!D$5,1),""))))))))</f>
        <v>IT服务Ⅱ</v>
      </c>
      <c r="Z5033" s="302" t="str">
        <f ca="1">IF(Y5033=行业比较!$E$6,ROW(),"")</f>
        <v/>
      </c>
    </row>
    <row r="5034" spans="22:26">
      <c r="V5034" s="260">
        <f t="shared" ca="1" si="86"/>
        <v>0</v>
      </c>
      <c r="W5034" s="348" t="str">
        <f>IF(板块成分!B5036="","",板块成分!B5036)</f>
        <v>688569.SH</v>
      </c>
      <c r="X5034" s="276" t="str">
        <f>[1]!S_Info_Name(W5034)</f>
        <v>铁科轨道</v>
      </c>
      <c r="Y5034" s="276" t="str">
        <f ca="1">IF($Y$3="申万一级行业",[1]!s_info_industry_sw_2021(W5034,公司分析!D$5,1),IF($Y$3="申万二级行业",[1]!s_info_industry_sw_2021(W5034,公司分析!D$5,2),IF($Y$3="申万三级行业",[1]!s_info_industry_sw_2021(W5034,公司分析!D$5,3),IF($Y$3="wind一级行业",[1]!s_info_industry_gics(W5034,1),IF($Y$3="wind二级行业",[1]!s_info_industry_gics(W5034,2),IF($Y$3="wind三级行业",[1]!s_info_industry_gics(W5034,3),IF($Y$3="wind四级行业",[1]!s_info_industry_gics(W5034,4),IF($Y$3="证监会门类行业",[1]!s_info_industry_csrc12_n(W5034,公司分析!D$5,1),""))))))))</f>
        <v>轨交设备Ⅱ</v>
      </c>
      <c r="Z5034" s="302" t="str">
        <f ca="1">IF(Y5034=行业比较!$E$6,ROW(),"")</f>
        <v/>
      </c>
    </row>
    <row r="5035" spans="22:26">
      <c r="V5035" s="260">
        <f t="shared" ca="1" si="86"/>
        <v>0</v>
      </c>
      <c r="W5035" s="348" t="str">
        <f>IF(板块成分!B5037="","",板块成分!B5037)</f>
        <v>688570.SH</v>
      </c>
      <c r="X5035" s="276" t="str">
        <f>[1]!S_Info_Name(W5035)</f>
        <v>天玛智控</v>
      </c>
      <c r="Y5035" s="276" t="str">
        <f ca="1">IF($Y$3="申万一级行业",[1]!s_info_industry_sw_2021(W5035,公司分析!D$5,1),IF($Y$3="申万二级行业",[1]!s_info_industry_sw_2021(W5035,公司分析!D$5,2),IF($Y$3="申万三级行业",[1]!s_info_industry_sw_2021(W5035,公司分析!D$5,3),IF($Y$3="wind一级行业",[1]!s_info_industry_gics(W5035,1),IF($Y$3="wind二级行业",[1]!s_info_industry_gics(W5035,2),IF($Y$3="wind三级行业",[1]!s_info_industry_gics(W5035,3),IF($Y$3="wind四级行业",[1]!s_info_industry_gics(W5035,4),IF($Y$3="证监会门类行业",[1]!s_info_industry_csrc12_n(W5035,公司分析!D$5,1),""))))))))</f>
        <v>自动化设备</v>
      </c>
      <c r="Z5035" s="302" t="str">
        <f ca="1">IF(Y5035=行业比较!$E$6,ROW(),"")</f>
        <v/>
      </c>
    </row>
    <row r="5036" spans="22:26">
      <c r="V5036" s="260">
        <f t="shared" ca="1" si="86"/>
        <v>0</v>
      </c>
      <c r="W5036" s="348" t="str">
        <f>IF(板块成分!B5038="","",板块成分!B5038)</f>
        <v>688571.SH</v>
      </c>
      <c r="X5036" s="276" t="str">
        <f>[1]!S_Info_Name(W5036)</f>
        <v>杭华股份</v>
      </c>
      <c r="Y5036" s="276" t="str">
        <f ca="1">IF($Y$3="申万一级行业",[1]!s_info_industry_sw_2021(W5036,公司分析!D$5,1),IF($Y$3="申万二级行业",[1]!s_info_industry_sw_2021(W5036,公司分析!D$5,2),IF($Y$3="申万三级行业",[1]!s_info_industry_sw_2021(W5036,公司分析!D$5,3),IF($Y$3="wind一级行业",[1]!s_info_industry_gics(W5036,1),IF($Y$3="wind二级行业",[1]!s_info_industry_gics(W5036,2),IF($Y$3="wind三级行业",[1]!s_info_industry_gics(W5036,3),IF($Y$3="wind四级行业",[1]!s_info_industry_gics(W5036,4),IF($Y$3="证监会门类行业",[1]!s_info_industry_csrc12_n(W5036,公司分析!D$5,1),""))))))))</f>
        <v>化学制品</v>
      </c>
      <c r="Z5036" s="302" t="str">
        <f ca="1">IF(Y5036=行业比较!$E$6,ROW(),"")</f>
        <v/>
      </c>
    </row>
    <row r="5037" spans="22:26">
      <c r="V5037" s="260">
        <f t="shared" ca="1" si="86"/>
        <v>0</v>
      </c>
      <c r="W5037" s="348" t="str">
        <f>IF(板块成分!B5039="","",板块成分!B5039)</f>
        <v>688573.SH</v>
      </c>
      <c r="X5037" s="276" t="str">
        <f>[1]!S_Info_Name(W5037)</f>
        <v>信宇人</v>
      </c>
      <c r="Y5037" s="276" t="str">
        <f ca="1">IF($Y$3="申万一级行业",[1]!s_info_industry_sw_2021(W5037,公司分析!D$5,1),IF($Y$3="申万二级行业",[1]!s_info_industry_sw_2021(W5037,公司分析!D$5,2),IF($Y$3="申万三级行业",[1]!s_info_industry_sw_2021(W5037,公司分析!D$5,3),IF($Y$3="wind一级行业",[1]!s_info_industry_gics(W5037,1),IF($Y$3="wind二级行业",[1]!s_info_industry_gics(W5037,2),IF($Y$3="wind三级行业",[1]!s_info_industry_gics(W5037,3),IF($Y$3="wind四级行业",[1]!s_info_industry_gics(W5037,4),IF($Y$3="证监会门类行业",[1]!s_info_industry_csrc12_n(W5037,公司分析!D$5,1),""))))))))</f>
        <v>电池</v>
      </c>
      <c r="Z5037" s="302" t="str">
        <f ca="1">IF(Y5037=行业比较!$E$6,ROW(),"")</f>
        <v/>
      </c>
    </row>
    <row r="5038" spans="22:26">
      <c r="V5038" s="260">
        <f t="shared" ca="1" si="86"/>
        <v>0</v>
      </c>
      <c r="W5038" s="348" t="str">
        <f>IF(板块成分!B5040="","",板块成分!B5040)</f>
        <v>688575.SH</v>
      </c>
      <c r="X5038" s="276" t="str">
        <f>[1]!S_Info_Name(W5038)</f>
        <v>亚辉龙</v>
      </c>
      <c r="Y5038" s="276" t="str">
        <f ca="1">IF($Y$3="申万一级行业",[1]!s_info_industry_sw_2021(W5038,公司分析!D$5,1),IF($Y$3="申万二级行业",[1]!s_info_industry_sw_2021(W5038,公司分析!D$5,2),IF($Y$3="申万三级行业",[1]!s_info_industry_sw_2021(W5038,公司分析!D$5,3),IF($Y$3="wind一级行业",[1]!s_info_industry_gics(W5038,1),IF($Y$3="wind二级行业",[1]!s_info_industry_gics(W5038,2),IF($Y$3="wind三级行业",[1]!s_info_industry_gics(W5038,3),IF($Y$3="wind四级行业",[1]!s_info_industry_gics(W5038,4),IF($Y$3="证监会门类行业",[1]!s_info_industry_csrc12_n(W5038,公司分析!D$5,1),""))))))))</f>
        <v>医疗器械</v>
      </c>
      <c r="Z5038" s="302" t="str">
        <f ca="1">IF(Y5038=行业比较!$E$6,ROW(),"")</f>
        <v/>
      </c>
    </row>
    <row r="5039" spans="22:26">
      <c r="V5039" s="260">
        <f t="shared" ca="1" si="86"/>
        <v>0</v>
      </c>
      <c r="W5039" s="348" t="str">
        <f>IF(板块成分!B5041="","",板块成分!B5041)</f>
        <v>688576.SH</v>
      </c>
      <c r="X5039" s="276" t="str">
        <f>[1]!S_Info_Name(W5039)</f>
        <v>西山科技</v>
      </c>
      <c r="Y5039" s="276" t="str">
        <f ca="1">IF($Y$3="申万一级行业",[1]!s_info_industry_sw_2021(W5039,公司分析!D$5,1),IF($Y$3="申万二级行业",[1]!s_info_industry_sw_2021(W5039,公司分析!D$5,2),IF($Y$3="申万三级行业",[1]!s_info_industry_sw_2021(W5039,公司分析!D$5,3),IF($Y$3="wind一级行业",[1]!s_info_industry_gics(W5039,1),IF($Y$3="wind二级行业",[1]!s_info_industry_gics(W5039,2),IF($Y$3="wind三级行业",[1]!s_info_industry_gics(W5039,3),IF($Y$3="wind四级行业",[1]!s_info_industry_gics(W5039,4),IF($Y$3="证监会门类行业",[1]!s_info_industry_csrc12_n(W5039,公司分析!D$5,1),""))))))))</f>
        <v>医疗器械</v>
      </c>
      <c r="Z5039" s="302" t="str">
        <f ca="1">IF(Y5039=行业比较!$E$6,ROW(),"")</f>
        <v/>
      </c>
    </row>
    <row r="5040" spans="22:26">
      <c r="V5040" s="260">
        <f t="shared" ca="1" si="86"/>
        <v>0</v>
      </c>
      <c r="W5040" s="348" t="str">
        <f>IF(板块成分!B5042="","",板块成分!B5042)</f>
        <v>688577.SH</v>
      </c>
      <c r="X5040" s="276" t="str">
        <f>[1]!S_Info_Name(W5040)</f>
        <v>浙海德曼</v>
      </c>
      <c r="Y5040" s="276" t="str">
        <f ca="1">IF($Y$3="申万一级行业",[1]!s_info_industry_sw_2021(W5040,公司分析!D$5,1),IF($Y$3="申万二级行业",[1]!s_info_industry_sw_2021(W5040,公司分析!D$5,2),IF($Y$3="申万三级行业",[1]!s_info_industry_sw_2021(W5040,公司分析!D$5,3),IF($Y$3="wind一级行业",[1]!s_info_industry_gics(W5040,1),IF($Y$3="wind二级行业",[1]!s_info_industry_gics(W5040,2),IF($Y$3="wind三级行业",[1]!s_info_industry_gics(W5040,3),IF($Y$3="wind四级行业",[1]!s_info_industry_gics(W5040,4),IF($Y$3="证监会门类行业",[1]!s_info_industry_csrc12_n(W5040,公司分析!D$5,1),""))))))))</f>
        <v>通用设备</v>
      </c>
      <c r="Z5040" s="302" t="str">
        <f ca="1">IF(Y5040=行业比较!$E$6,ROW(),"")</f>
        <v/>
      </c>
    </row>
    <row r="5041" spans="22:26">
      <c r="V5041" s="260">
        <f t="shared" ca="1" si="86"/>
        <v>0</v>
      </c>
      <c r="W5041" s="348" t="str">
        <f>IF(板块成分!B5043="","",板块成分!B5043)</f>
        <v>688578.SH</v>
      </c>
      <c r="X5041" s="276" t="str">
        <f>[1]!S_Info_Name(W5041)</f>
        <v>艾力斯</v>
      </c>
      <c r="Y5041" s="276" t="str">
        <f ca="1">IF($Y$3="申万一级行业",[1]!s_info_industry_sw_2021(W5041,公司分析!D$5,1),IF($Y$3="申万二级行业",[1]!s_info_industry_sw_2021(W5041,公司分析!D$5,2),IF($Y$3="申万三级行业",[1]!s_info_industry_sw_2021(W5041,公司分析!D$5,3),IF($Y$3="wind一级行业",[1]!s_info_industry_gics(W5041,1),IF($Y$3="wind二级行业",[1]!s_info_industry_gics(W5041,2),IF($Y$3="wind三级行业",[1]!s_info_industry_gics(W5041,3),IF($Y$3="wind四级行业",[1]!s_info_industry_gics(W5041,4),IF($Y$3="证监会门类行业",[1]!s_info_industry_csrc12_n(W5041,公司分析!D$5,1),""))))))))</f>
        <v>化学制药</v>
      </c>
      <c r="Z5041" s="302" t="str">
        <f ca="1">IF(Y5041=行业比较!$E$6,ROW(),"")</f>
        <v/>
      </c>
    </row>
    <row r="5042" spans="22:26">
      <c r="V5042" s="260">
        <f t="shared" ca="1" si="86"/>
        <v>0</v>
      </c>
      <c r="W5042" s="348" t="str">
        <f>IF(板块成分!B5044="","",板块成分!B5044)</f>
        <v>688579.SH</v>
      </c>
      <c r="X5042" s="276" t="str">
        <f>[1]!S_Info_Name(W5042)</f>
        <v>地纬智能</v>
      </c>
      <c r="Y5042" s="276" t="str">
        <f ca="1">IF($Y$3="申万一级行业",[1]!s_info_industry_sw_2021(W5042,公司分析!D$5,1),IF($Y$3="申万二级行业",[1]!s_info_industry_sw_2021(W5042,公司分析!D$5,2),IF($Y$3="申万三级行业",[1]!s_info_industry_sw_2021(W5042,公司分析!D$5,3),IF($Y$3="wind一级行业",[1]!s_info_industry_gics(W5042,1),IF($Y$3="wind二级行业",[1]!s_info_industry_gics(W5042,2),IF($Y$3="wind三级行业",[1]!s_info_industry_gics(W5042,3),IF($Y$3="wind四级行业",[1]!s_info_industry_gics(W5042,4),IF($Y$3="证监会门类行业",[1]!s_info_industry_csrc12_n(W5042,公司分析!D$5,1),""))))))))</f>
        <v>软件开发</v>
      </c>
      <c r="Z5042" s="302" t="str">
        <f ca="1">IF(Y5042=行业比较!$E$6,ROW(),"")</f>
        <v/>
      </c>
    </row>
    <row r="5043" spans="22:26">
      <c r="V5043" s="260">
        <f t="shared" ca="1" si="86"/>
        <v>0</v>
      </c>
      <c r="W5043" s="348" t="str">
        <f>IF(板块成分!B5045="","",板块成分!B5045)</f>
        <v>688580.SH</v>
      </c>
      <c r="X5043" s="276" t="str">
        <f>[1]!S_Info_Name(W5043)</f>
        <v>伟思医疗</v>
      </c>
      <c r="Y5043" s="276" t="str">
        <f ca="1">IF($Y$3="申万一级行业",[1]!s_info_industry_sw_2021(W5043,公司分析!D$5,1),IF($Y$3="申万二级行业",[1]!s_info_industry_sw_2021(W5043,公司分析!D$5,2),IF($Y$3="申万三级行业",[1]!s_info_industry_sw_2021(W5043,公司分析!D$5,3),IF($Y$3="wind一级行业",[1]!s_info_industry_gics(W5043,1),IF($Y$3="wind二级行业",[1]!s_info_industry_gics(W5043,2),IF($Y$3="wind三级行业",[1]!s_info_industry_gics(W5043,3),IF($Y$3="wind四级行业",[1]!s_info_industry_gics(W5043,4),IF($Y$3="证监会门类行业",[1]!s_info_industry_csrc12_n(W5043,公司分析!D$5,1),""))))))))</f>
        <v>医疗器械</v>
      </c>
      <c r="Z5043" s="302" t="str">
        <f ca="1">IF(Y5043=行业比较!$E$6,ROW(),"")</f>
        <v/>
      </c>
    </row>
    <row r="5044" spans="22:26">
      <c r="V5044" s="260">
        <f t="shared" ca="1" si="86"/>
        <v>0</v>
      </c>
      <c r="W5044" s="348" t="str">
        <f>IF(板块成分!B5046="","",板块成分!B5046)</f>
        <v>688581.SH</v>
      </c>
      <c r="X5044" s="276" t="str">
        <f>[1]!S_Info_Name(W5044)</f>
        <v>安杰思</v>
      </c>
      <c r="Y5044" s="276" t="str">
        <f ca="1">IF($Y$3="申万一级行业",[1]!s_info_industry_sw_2021(W5044,公司分析!D$5,1),IF($Y$3="申万二级行业",[1]!s_info_industry_sw_2021(W5044,公司分析!D$5,2),IF($Y$3="申万三级行业",[1]!s_info_industry_sw_2021(W5044,公司分析!D$5,3),IF($Y$3="wind一级行业",[1]!s_info_industry_gics(W5044,1),IF($Y$3="wind二级行业",[1]!s_info_industry_gics(W5044,2),IF($Y$3="wind三级行业",[1]!s_info_industry_gics(W5044,3),IF($Y$3="wind四级行业",[1]!s_info_industry_gics(W5044,4),IF($Y$3="证监会门类行业",[1]!s_info_industry_csrc12_n(W5044,公司分析!D$5,1),""))))))))</f>
        <v>医疗器械</v>
      </c>
      <c r="Z5044" s="302" t="str">
        <f ca="1">IF(Y5044=行业比较!$E$6,ROW(),"")</f>
        <v/>
      </c>
    </row>
    <row r="5045" spans="22:26">
      <c r="V5045" s="260">
        <f t="shared" ca="1" si="86"/>
        <v>0</v>
      </c>
      <c r="W5045" s="348" t="str">
        <f>IF(板块成分!B5047="","",板块成分!B5047)</f>
        <v>688582.SH</v>
      </c>
      <c r="X5045" s="276" t="str">
        <f>[1]!S_Info_Name(W5045)</f>
        <v>芯动联科</v>
      </c>
      <c r="Y5045" s="276" t="str">
        <f ca="1">IF($Y$3="申万一级行业",[1]!s_info_industry_sw_2021(W5045,公司分析!D$5,1),IF($Y$3="申万二级行业",[1]!s_info_industry_sw_2021(W5045,公司分析!D$5,2),IF($Y$3="申万三级行业",[1]!s_info_industry_sw_2021(W5045,公司分析!D$5,3),IF($Y$3="wind一级行业",[1]!s_info_industry_gics(W5045,1),IF($Y$3="wind二级行业",[1]!s_info_industry_gics(W5045,2),IF($Y$3="wind三级行业",[1]!s_info_industry_gics(W5045,3),IF($Y$3="wind四级行业",[1]!s_info_industry_gics(W5045,4),IF($Y$3="证监会门类行业",[1]!s_info_industry_csrc12_n(W5045,公司分析!D$5,1),""))))))))</f>
        <v>半导体</v>
      </c>
      <c r="Z5045" s="302" t="str">
        <f ca="1">IF(Y5045=行业比较!$E$6,ROW(),"")</f>
        <v/>
      </c>
    </row>
    <row r="5046" spans="22:26">
      <c r="V5046" s="260">
        <f t="shared" ca="1" si="86"/>
        <v>0</v>
      </c>
      <c r="W5046" s="348" t="str">
        <f>IF(板块成分!B5048="","",板块成分!B5048)</f>
        <v>688583.SH</v>
      </c>
      <c r="X5046" s="276" t="str">
        <f>[1]!S_Info_Name(W5046)</f>
        <v>思看科技</v>
      </c>
      <c r="Y5046" s="276" t="str">
        <f ca="1">IF($Y$3="申万一级行业",[1]!s_info_industry_sw_2021(W5046,公司分析!D$5,1),IF($Y$3="申万二级行业",[1]!s_info_industry_sw_2021(W5046,公司分析!D$5,2),IF($Y$3="申万三级行业",[1]!s_info_industry_sw_2021(W5046,公司分析!D$5,3),IF($Y$3="wind一级行业",[1]!s_info_industry_gics(W5046,1),IF($Y$3="wind二级行业",[1]!s_info_industry_gics(W5046,2),IF($Y$3="wind三级行业",[1]!s_info_industry_gics(W5046,3),IF($Y$3="wind四级行业",[1]!s_info_industry_gics(W5046,4),IF($Y$3="证监会门类行业",[1]!s_info_industry_csrc12_n(W5046,公司分析!D$5,1),""))))))))</f>
        <v>通用设备</v>
      </c>
      <c r="Z5046" s="302" t="str">
        <f ca="1">IF(Y5046=行业比较!$E$6,ROW(),"")</f>
        <v/>
      </c>
    </row>
    <row r="5047" spans="22:26">
      <c r="V5047" s="260">
        <f t="shared" ca="1" si="86"/>
        <v>0</v>
      </c>
      <c r="W5047" s="348" t="str">
        <f>IF(板块成分!B5049="","",板块成分!B5049)</f>
        <v>688584.SH</v>
      </c>
      <c r="X5047" s="276" t="str">
        <f>[1]!S_Info_Name(W5047)</f>
        <v>上海合晶</v>
      </c>
      <c r="Y5047" s="276" t="str">
        <f ca="1">IF($Y$3="申万一级行业",[1]!s_info_industry_sw_2021(W5047,公司分析!D$5,1),IF($Y$3="申万二级行业",[1]!s_info_industry_sw_2021(W5047,公司分析!D$5,2),IF($Y$3="申万三级行业",[1]!s_info_industry_sw_2021(W5047,公司分析!D$5,3),IF($Y$3="wind一级行业",[1]!s_info_industry_gics(W5047,1),IF($Y$3="wind二级行业",[1]!s_info_industry_gics(W5047,2),IF($Y$3="wind三级行业",[1]!s_info_industry_gics(W5047,3),IF($Y$3="wind四级行业",[1]!s_info_industry_gics(W5047,4),IF($Y$3="证监会门类行业",[1]!s_info_industry_csrc12_n(W5047,公司分析!D$5,1),""))))))))</f>
        <v>半导体</v>
      </c>
      <c r="Z5047" s="302" t="str">
        <f ca="1">IF(Y5047=行业比较!$E$6,ROW(),"")</f>
        <v/>
      </c>
    </row>
    <row r="5048" spans="22:26">
      <c r="V5048" s="260">
        <f t="shared" ca="1" si="86"/>
        <v>0</v>
      </c>
      <c r="W5048" s="348" t="str">
        <f>IF(板块成分!B5050="","",板块成分!B5050)</f>
        <v>688585.SH</v>
      </c>
      <c r="X5048" s="276" t="str">
        <f>[1]!S_Info_Name(W5048)</f>
        <v>上纬新材</v>
      </c>
      <c r="Y5048" s="276" t="str">
        <f ca="1">IF($Y$3="申万一级行业",[1]!s_info_industry_sw_2021(W5048,公司分析!D$5,1),IF($Y$3="申万二级行业",[1]!s_info_industry_sw_2021(W5048,公司分析!D$5,2),IF($Y$3="申万三级行业",[1]!s_info_industry_sw_2021(W5048,公司分析!D$5,3),IF($Y$3="wind一级行业",[1]!s_info_industry_gics(W5048,1),IF($Y$3="wind二级行业",[1]!s_info_industry_gics(W5048,2),IF($Y$3="wind三级行业",[1]!s_info_industry_gics(W5048,3),IF($Y$3="wind四级行业",[1]!s_info_industry_gics(W5048,4),IF($Y$3="证监会门类行业",[1]!s_info_industry_csrc12_n(W5048,公司分析!D$5,1),""))))))))</f>
        <v>塑料</v>
      </c>
      <c r="Z5048" s="302" t="str">
        <f ca="1">IF(Y5048=行业比较!$E$6,ROW(),"")</f>
        <v/>
      </c>
    </row>
    <row r="5049" spans="22:26">
      <c r="V5049" s="260">
        <f t="shared" ca="1" si="86"/>
        <v>0</v>
      </c>
      <c r="W5049" s="348" t="str">
        <f>IF(板块成分!B5051="","",板块成分!B5051)</f>
        <v>688586.SH</v>
      </c>
      <c r="X5049" s="276" t="str">
        <f>[1]!S_Info_Name(W5049)</f>
        <v>江航装备</v>
      </c>
      <c r="Y5049" s="276" t="str">
        <f ca="1">IF($Y$3="申万一级行业",[1]!s_info_industry_sw_2021(W5049,公司分析!D$5,1),IF($Y$3="申万二级行业",[1]!s_info_industry_sw_2021(W5049,公司分析!D$5,2),IF($Y$3="申万三级行业",[1]!s_info_industry_sw_2021(W5049,公司分析!D$5,3),IF($Y$3="wind一级行业",[1]!s_info_industry_gics(W5049,1),IF($Y$3="wind二级行业",[1]!s_info_industry_gics(W5049,2),IF($Y$3="wind三级行业",[1]!s_info_industry_gics(W5049,3),IF($Y$3="wind四级行业",[1]!s_info_industry_gics(W5049,4),IF($Y$3="证监会门类行业",[1]!s_info_industry_csrc12_n(W5049,公司分析!D$5,1),""))))))))</f>
        <v>航空装备Ⅱ</v>
      </c>
      <c r="Z5049" s="302" t="str">
        <f ca="1">IF(Y5049=行业比较!$E$6,ROW(),"")</f>
        <v/>
      </c>
    </row>
    <row r="5050" spans="22:26">
      <c r="V5050" s="260">
        <f t="shared" ca="1" si="86"/>
        <v>0</v>
      </c>
      <c r="W5050" s="348" t="str">
        <f>IF(板块成分!B5052="","",板块成分!B5052)</f>
        <v>688588.SH</v>
      </c>
      <c r="X5050" s="276" t="str">
        <f>[1]!S_Info_Name(W5050)</f>
        <v>凌志软件</v>
      </c>
      <c r="Y5050" s="276" t="str">
        <f ca="1">IF($Y$3="申万一级行业",[1]!s_info_industry_sw_2021(W5050,公司分析!D$5,1),IF($Y$3="申万二级行业",[1]!s_info_industry_sw_2021(W5050,公司分析!D$5,2),IF($Y$3="申万三级行业",[1]!s_info_industry_sw_2021(W5050,公司分析!D$5,3),IF($Y$3="wind一级行业",[1]!s_info_industry_gics(W5050,1),IF($Y$3="wind二级行业",[1]!s_info_industry_gics(W5050,2),IF($Y$3="wind三级行业",[1]!s_info_industry_gics(W5050,3),IF($Y$3="wind四级行业",[1]!s_info_industry_gics(W5050,4),IF($Y$3="证监会门类行业",[1]!s_info_industry_csrc12_n(W5050,公司分析!D$5,1),""))))))))</f>
        <v>软件开发</v>
      </c>
      <c r="Z5050" s="302" t="str">
        <f ca="1">IF(Y5050=行业比较!$E$6,ROW(),"")</f>
        <v/>
      </c>
    </row>
    <row r="5051" spans="22:26">
      <c r="V5051" s="260">
        <f t="shared" ca="1" si="86"/>
        <v>0</v>
      </c>
      <c r="W5051" s="348" t="str">
        <f>IF(板块成分!B5053="","",板块成分!B5053)</f>
        <v>688589.SH</v>
      </c>
      <c r="X5051" s="276" t="str">
        <f>[1]!S_Info_Name(W5051)</f>
        <v>力合微</v>
      </c>
      <c r="Y5051" s="276" t="str">
        <f ca="1">IF($Y$3="申万一级行业",[1]!s_info_industry_sw_2021(W5051,公司分析!D$5,1),IF($Y$3="申万二级行业",[1]!s_info_industry_sw_2021(W5051,公司分析!D$5,2),IF($Y$3="申万三级行业",[1]!s_info_industry_sw_2021(W5051,公司分析!D$5,3),IF($Y$3="wind一级行业",[1]!s_info_industry_gics(W5051,1),IF($Y$3="wind二级行业",[1]!s_info_industry_gics(W5051,2),IF($Y$3="wind三级行业",[1]!s_info_industry_gics(W5051,3),IF($Y$3="wind四级行业",[1]!s_info_industry_gics(W5051,4),IF($Y$3="证监会门类行业",[1]!s_info_industry_csrc12_n(W5051,公司分析!D$5,1),""))))))))</f>
        <v>半导体</v>
      </c>
      <c r="Z5051" s="302" t="str">
        <f ca="1">IF(Y5051=行业比较!$E$6,ROW(),"")</f>
        <v/>
      </c>
    </row>
    <row r="5052" spans="22:26">
      <c r="V5052" s="260">
        <f t="shared" ca="1" si="86"/>
        <v>0</v>
      </c>
      <c r="W5052" s="348" t="str">
        <f>IF(板块成分!B5054="","",板块成分!B5054)</f>
        <v>688590.SH</v>
      </c>
      <c r="X5052" s="276" t="str">
        <f>[1]!S_Info_Name(W5052)</f>
        <v>新致软件</v>
      </c>
      <c r="Y5052" s="276" t="str">
        <f ca="1">IF($Y$3="申万一级行业",[1]!s_info_industry_sw_2021(W5052,公司分析!D$5,1),IF($Y$3="申万二级行业",[1]!s_info_industry_sw_2021(W5052,公司分析!D$5,2),IF($Y$3="申万三级行业",[1]!s_info_industry_sw_2021(W5052,公司分析!D$5,3),IF($Y$3="wind一级行业",[1]!s_info_industry_gics(W5052,1),IF($Y$3="wind二级行业",[1]!s_info_industry_gics(W5052,2),IF($Y$3="wind三级行业",[1]!s_info_industry_gics(W5052,3),IF($Y$3="wind四级行业",[1]!s_info_industry_gics(W5052,4),IF($Y$3="证监会门类行业",[1]!s_info_industry_csrc12_n(W5052,公司分析!D$5,1),""))))))))</f>
        <v>软件开发</v>
      </c>
      <c r="Z5052" s="302" t="str">
        <f ca="1">IF(Y5052=行业比较!$E$6,ROW(),"")</f>
        <v/>
      </c>
    </row>
    <row r="5053" spans="22:26">
      <c r="V5053" s="260">
        <f t="shared" ca="1" si="86"/>
        <v>0</v>
      </c>
      <c r="W5053" s="348" t="str">
        <f>IF(板块成分!B5055="","",板块成分!B5055)</f>
        <v>688591.SH</v>
      </c>
      <c r="X5053" s="276" t="str">
        <f>[1]!S_Info_Name(W5053)</f>
        <v>泰凌微</v>
      </c>
      <c r="Y5053" s="276" t="str">
        <f ca="1">IF($Y$3="申万一级行业",[1]!s_info_industry_sw_2021(W5053,公司分析!D$5,1),IF($Y$3="申万二级行业",[1]!s_info_industry_sw_2021(W5053,公司分析!D$5,2),IF($Y$3="申万三级行业",[1]!s_info_industry_sw_2021(W5053,公司分析!D$5,3),IF($Y$3="wind一级行业",[1]!s_info_industry_gics(W5053,1),IF($Y$3="wind二级行业",[1]!s_info_industry_gics(W5053,2),IF($Y$3="wind三级行业",[1]!s_info_industry_gics(W5053,3),IF($Y$3="wind四级行业",[1]!s_info_industry_gics(W5053,4),IF($Y$3="证监会门类行业",[1]!s_info_industry_csrc12_n(W5053,公司分析!D$5,1),""))))))))</f>
        <v>半导体</v>
      </c>
      <c r="Z5053" s="302" t="str">
        <f ca="1">IF(Y5053=行业比较!$E$6,ROW(),"")</f>
        <v/>
      </c>
    </row>
    <row r="5054" spans="22:26">
      <c r="V5054" s="260">
        <f t="shared" ca="1" si="86"/>
        <v>0</v>
      </c>
      <c r="W5054" s="348" t="str">
        <f>IF(板块成分!B5056="","",板块成分!B5056)</f>
        <v>688592.SH</v>
      </c>
      <c r="X5054" s="276" t="str">
        <f>[1]!S_Info_Name(W5054)</f>
        <v>司南导航</v>
      </c>
      <c r="Y5054" s="276" t="str">
        <f ca="1">IF($Y$3="申万一级行业",[1]!s_info_industry_sw_2021(W5054,公司分析!D$5,1),IF($Y$3="申万二级行业",[1]!s_info_industry_sw_2021(W5054,公司分析!D$5,2),IF($Y$3="申万三级行业",[1]!s_info_industry_sw_2021(W5054,公司分析!D$5,3),IF($Y$3="wind一级行业",[1]!s_info_industry_gics(W5054,1),IF($Y$3="wind二级行业",[1]!s_info_industry_gics(W5054,2),IF($Y$3="wind三级行业",[1]!s_info_industry_gics(W5054,3),IF($Y$3="wind四级行业",[1]!s_info_industry_gics(W5054,4),IF($Y$3="证监会门类行业",[1]!s_info_industry_csrc12_n(W5054,公司分析!D$5,1),""))))))))</f>
        <v>通信设备</v>
      </c>
      <c r="Z5054" s="302" t="str">
        <f ca="1">IF(Y5054=行业比较!$E$6,ROW(),"")</f>
        <v/>
      </c>
    </row>
    <row r="5055" spans="22:26">
      <c r="V5055" s="260">
        <f t="shared" ca="1" si="86"/>
        <v>0</v>
      </c>
      <c r="W5055" s="348" t="str">
        <f>IF(板块成分!B5057="","",板块成分!B5057)</f>
        <v>688593.SH</v>
      </c>
      <c r="X5055" s="276" t="str">
        <f>[1]!S_Info_Name(W5055)</f>
        <v>新相微</v>
      </c>
      <c r="Y5055" s="276" t="str">
        <f ca="1">IF($Y$3="申万一级行业",[1]!s_info_industry_sw_2021(W5055,公司分析!D$5,1),IF($Y$3="申万二级行业",[1]!s_info_industry_sw_2021(W5055,公司分析!D$5,2),IF($Y$3="申万三级行业",[1]!s_info_industry_sw_2021(W5055,公司分析!D$5,3),IF($Y$3="wind一级行业",[1]!s_info_industry_gics(W5055,1),IF($Y$3="wind二级行业",[1]!s_info_industry_gics(W5055,2),IF($Y$3="wind三级行业",[1]!s_info_industry_gics(W5055,3),IF($Y$3="wind四级行业",[1]!s_info_industry_gics(W5055,4),IF($Y$3="证监会门类行业",[1]!s_info_industry_csrc12_n(W5055,公司分析!D$5,1),""))))))))</f>
        <v>半导体</v>
      </c>
      <c r="Z5055" s="302" t="str">
        <f ca="1">IF(Y5055=行业比较!$E$6,ROW(),"")</f>
        <v/>
      </c>
    </row>
    <row r="5056" spans="22:26">
      <c r="V5056" s="260">
        <f t="shared" ca="1" si="86"/>
        <v>0</v>
      </c>
      <c r="W5056" s="348" t="str">
        <f>IF(板块成分!B5058="","",板块成分!B5058)</f>
        <v>688595.SH</v>
      </c>
      <c r="X5056" s="276" t="str">
        <f>[1]!S_Info_Name(W5056)</f>
        <v>芯海科技</v>
      </c>
      <c r="Y5056" s="276" t="str">
        <f ca="1">IF($Y$3="申万一级行业",[1]!s_info_industry_sw_2021(W5056,公司分析!D$5,1),IF($Y$3="申万二级行业",[1]!s_info_industry_sw_2021(W5056,公司分析!D$5,2),IF($Y$3="申万三级行业",[1]!s_info_industry_sw_2021(W5056,公司分析!D$5,3),IF($Y$3="wind一级行业",[1]!s_info_industry_gics(W5056,1),IF($Y$3="wind二级行业",[1]!s_info_industry_gics(W5056,2),IF($Y$3="wind三级行业",[1]!s_info_industry_gics(W5056,3),IF($Y$3="wind四级行业",[1]!s_info_industry_gics(W5056,4),IF($Y$3="证监会门类行业",[1]!s_info_industry_csrc12_n(W5056,公司分析!D$5,1),""))))))))</f>
        <v>半导体</v>
      </c>
      <c r="Z5056" s="302" t="str">
        <f ca="1">IF(Y5056=行业比较!$E$6,ROW(),"")</f>
        <v/>
      </c>
    </row>
    <row r="5057" spans="22:26">
      <c r="V5057" s="260">
        <f t="shared" ca="1" si="86"/>
        <v>0</v>
      </c>
      <c r="W5057" s="348" t="str">
        <f>IF(板块成分!B5059="","",板块成分!B5059)</f>
        <v>688596.SH</v>
      </c>
      <c r="X5057" s="276" t="str">
        <f>[1]!S_Info_Name(W5057)</f>
        <v>正帆科技</v>
      </c>
      <c r="Y5057" s="276" t="str">
        <f ca="1">IF($Y$3="申万一级行业",[1]!s_info_industry_sw_2021(W5057,公司分析!D$5,1),IF($Y$3="申万二级行业",[1]!s_info_industry_sw_2021(W5057,公司分析!D$5,2),IF($Y$3="申万三级行业",[1]!s_info_industry_sw_2021(W5057,公司分析!D$5,3),IF($Y$3="wind一级行业",[1]!s_info_industry_gics(W5057,1),IF($Y$3="wind二级行业",[1]!s_info_industry_gics(W5057,2),IF($Y$3="wind三级行业",[1]!s_info_industry_gics(W5057,3),IF($Y$3="wind四级行业",[1]!s_info_industry_gics(W5057,4),IF($Y$3="证监会门类行业",[1]!s_info_industry_csrc12_n(W5057,公司分析!D$5,1),""))))))))</f>
        <v>专用设备</v>
      </c>
      <c r="Z5057" s="302" t="str">
        <f ca="1">IF(Y5057=行业比较!$E$6,ROW(),"")</f>
        <v/>
      </c>
    </row>
    <row r="5058" spans="22:26">
      <c r="V5058" s="260">
        <f t="shared" ca="1" si="86"/>
        <v>0</v>
      </c>
      <c r="W5058" s="348" t="str">
        <f>IF(板块成分!B5060="","",板块成分!B5060)</f>
        <v>688597.SH</v>
      </c>
      <c r="X5058" s="276" t="str">
        <f>[1]!S_Info_Name(W5058)</f>
        <v>煜邦电力</v>
      </c>
      <c r="Y5058" s="276" t="str">
        <f ca="1">IF($Y$3="申万一级行业",[1]!s_info_industry_sw_2021(W5058,公司分析!D$5,1),IF($Y$3="申万二级行业",[1]!s_info_industry_sw_2021(W5058,公司分析!D$5,2),IF($Y$3="申万三级行业",[1]!s_info_industry_sw_2021(W5058,公司分析!D$5,3),IF($Y$3="wind一级行业",[1]!s_info_industry_gics(W5058,1),IF($Y$3="wind二级行业",[1]!s_info_industry_gics(W5058,2),IF($Y$3="wind三级行业",[1]!s_info_industry_gics(W5058,3),IF($Y$3="wind四级行业",[1]!s_info_industry_gics(W5058,4),IF($Y$3="证监会门类行业",[1]!s_info_industry_csrc12_n(W5058,公司分析!D$5,1),""))))))))</f>
        <v>电网设备</v>
      </c>
      <c r="Z5058" s="302" t="str">
        <f ca="1">IF(Y5058=行业比较!$E$6,ROW(),"")</f>
        <v/>
      </c>
    </row>
    <row r="5059" spans="22:26">
      <c r="V5059" s="260">
        <f t="shared" ca="1" si="86"/>
        <v>0</v>
      </c>
      <c r="W5059" s="348" t="str">
        <f>IF(板块成分!B5061="","",板块成分!B5061)</f>
        <v>688598.SH</v>
      </c>
      <c r="X5059" s="276" t="str">
        <f>[1]!S_Info_Name(W5059)</f>
        <v>金博股份</v>
      </c>
      <c r="Y5059" s="276" t="str">
        <f ca="1">IF($Y$3="申万一级行业",[1]!s_info_industry_sw_2021(W5059,公司分析!D$5,1),IF($Y$3="申万二级行业",[1]!s_info_industry_sw_2021(W5059,公司分析!D$5,2),IF($Y$3="申万三级行业",[1]!s_info_industry_sw_2021(W5059,公司分析!D$5,3),IF($Y$3="wind一级行业",[1]!s_info_industry_gics(W5059,1),IF($Y$3="wind二级行业",[1]!s_info_industry_gics(W5059,2),IF($Y$3="wind三级行业",[1]!s_info_industry_gics(W5059,3),IF($Y$3="wind四级行业",[1]!s_info_industry_gics(W5059,4),IF($Y$3="证监会门类行业",[1]!s_info_industry_csrc12_n(W5059,公司分析!D$5,1),""))))))))</f>
        <v>光伏设备</v>
      </c>
      <c r="Z5059" s="302" t="str">
        <f ca="1">IF(Y5059=行业比较!$E$6,ROW(),"")</f>
        <v/>
      </c>
    </row>
    <row r="5060" spans="22:26">
      <c r="V5060" s="260">
        <f t="shared" ca="1" si="86"/>
        <v>0</v>
      </c>
      <c r="W5060" s="348" t="str">
        <f>IF(板块成分!B5062="","",板块成分!B5062)</f>
        <v>688599.SH</v>
      </c>
      <c r="X5060" s="276" t="str">
        <f>[1]!S_Info_Name(W5060)</f>
        <v>天合光能</v>
      </c>
      <c r="Y5060" s="276" t="str">
        <f ca="1">IF($Y$3="申万一级行业",[1]!s_info_industry_sw_2021(W5060,公司分析!D$5,1),IF($Y$3="申万二级行业",[1]!s_info_industry_sw_2021(W5060,公司分析!D$5,2),IF($Y$3="申万三级行业",[1]!s_info_industry_sw_2021(W5060,公司分析!D$5,3),IF($Y$3="wind一级行业",[1]!s_info_industry_gics(W5060,1),IF($Y$3="wind二级行业",[1]!s_info_industry_gics(W5060,2),IF($Y$3="wind三级行业",[1]!s_info_industry_gics(W5060,3),IF($Y$3="wind四级行业",[1]!s_info_industry_gics(W5060,4),IF($Y$3="证监会门类行业",[1]!s_info_industry_csrc12_n(W5060,公司分析!D$5,1),""))))))))</f>
        <v>光伏设备</v>
      </c>
      <c r="Z5060" s="302" t="str">
        <f ca="1">IF(Y5060=行业比较!$E$6,ROW(),"")</f>
        <v/>
      </c>
    </row>
    <row r="5061" spans="22:26">
      <c r="V5061" s="260">
        <f t="shared" ref="V5061:V5094" ca="1" si="87">IF(Z5061="",0,RANK(Z5061,Z:Z,1))</f>
        <v>0</v>
      </c>
      <c r="W5061" s="348" t="str">
        <f>IF(板块成分!B5063="","",板块成分!B5063)</f>
        <v>688600.SH</v>
      </c>
      <c r="X5061" s="276" t="str">
        <f>[1]!S_Info_Name(W5061)</f>
        <v>皖仪科技</v>
      </c>
      <c r="Y5061" s="276" t="str">
        <f ca="1">IF($Y$3="申万一级行业",[1]!s_info_industry_sw_2021(W5061,公司分析!D$5,1),IF($Y$3="申万二级行业",[1]!s_info_industry_sw_2021(W5061,公司分析!D$5,2),IF($Y$3="申万三级行业",[1]!s_info_industry_sw_2021(W5061,公司分析!D$5,3),IF($Y$3="wind一级行业",[1]!s_info_industry_gics(W5061,1),IF($Y$3="wind二级行业",[1]!s_info_industry_gics(W5061,2),IF($Y$3="wind三级行业",[1]!s_info_industry_gics(W5061,3),IF($Y$3="wind四级行业",[1]!s_info_industry_gics(W5061,4),IF($Y$3="证监会门类行业",[1]!s_info_industry_csrc12_n(W5061,公司分析!D$5,1),""))))))))</f>
        <v>通用设备</v>
      </c>
      <c r="Z5061" s="302" t="str">
        <f ca="1">IF(Y5061=行业比较!$E$6,ROW(),"")</f>
        <v/>
      </c>
    </row>
    <row r="5062" spans="22:26">
      <c r="V5062" s="260">
        <f t="shared" ca="1" si="87"/>
        <v>0</v>
      </c>
      <c r="W5062" s="348" t="str">
        <f>IF(板块成分!B5064="","",板块成分!B5064)</f>
        <v>688601.SH</v>
      </c>
      <c r="X5062" s="276" t="str">
        <f>[1]!S_Info_Name(W5062)</f>
        <v>力芯微</v>
      </c>
      <c r="Y5062" s="276" t="str">
        <f ca="1">IF($Y$3="申万一级行业",[1]!s_info_industry_sw_2021(W5062,公司分析!D$5,1),IF($Y$3="申万二级行业",[1]!s_info_industry_sw_2021(W5062,公司分析!D$5,2),IF($Y$3="申万三级行业",[1]!s_info_industry_sw_2021(W5062,公司分析!D$5,3),IF($Y$3="wind一级行业",[1]!s_info_industry_gics(W5062,1),IF($Y$3="wind二级行业",[1]!s_info_industry_gics(W5062,2),IF($Y$3="wind三级行业",[1]!s_info_industry_gics(W5062,3),IF($Y$3="wind四级行业",[1]!s_info_industry_gics(W5062,4),IF($Y$3="证监会门类行业",[1]!s_info_industry_csrc12_n(W5062,公司分析!D$5,1),""))))))))</f>
        <v>半导体</v>
      </c>
      <c r="Z5062" s="302" t="str">
        <f ca="1">IF(Y5062=行业比较!$E$6,ROW(),"")</f>
        <v/>
      </c>
    </row>
    <row r="5063" spans="22:26">
      <c r="V5063" s="260">
        <f t="shared" ca="1" si="87"/>
        <v>0</v>
      </c>
      <c r="W5063" s="348" t="str">
        <f>IF(板块成分!B5065="","",板块成分!B5065)</f>
        <v>688602.SH</v>
      </c>
      <c r="X5063" s="276" t="str">
        <f>[1]!S_Info_Name(W5063)</f>
        <v>康鹏科技</v>
      </c>
      <c r="Y5063" s="276" t="str">
        <f ca="1">IF($Y$3="申万一级行业",[1]!s_info_industry_sw_2021(W5063,公司分析!D$5,1),IF($Y$3="申万二级行业",[1]!s_info_industry_sw_2021(W5063,公司分析!D$5,2),IF($Y$3="申万三级行业",[1]!s_info_industry_sw_2021(W5063,公司分析!D$5,3),IF($Y$3="wind一级行业",[1]!s_info_industry_gics(W5063,1),IF($Y$3="wind二级行业",[1]!s_info_industry_gics(W5063,2),IF($Y$3="wind三级行业",[1]!s_info_industry_gics(W5063,3),IF($Y$3="wind四级行业",[1]!s_info_industry_gics(W5063,4),IF($Y$3="证监会门类行业",[1]!s_info_industry_csrc12_n(W5063,公司分析!D$5,1),""))))))))</f>
        <v>化学制品</v>
      </c>
      <c r="Z5063" s="302" t="str">
        <f ca="1">IF(Y5063=行业比较!$E$6,ROW(),"")</f>
        <v/>
      </c>
    </row>
    <row r="5064" spans="22:26">
      <c r="V5064" s="260">
        <f t="shared" ca="1" si="87"/>
        <v>0</v>
      </c>
      <c r="W5064" s="348" t="str">
        <f>IF(板块成分!B5066="","",板块成分!B5066)</f>
        <v>688603.SH</v>
      </c>
      <c r="X5064" s="276" t="str">
        <f>[1]!S_Info_Name(W5064)</f>
        <v>天承科技</v>
      </c>
      <c r="Y5064" s="276" t="str">
        <f ca="1">IF($Y$3="申万一级行业",[1]!s_info_industry_sw_2021(W5064,公司分析!D$5,1),IF($Y$3="申万二级行业",[1]!s_info_industry_sw_2021(W5064,公司分析!D$5,2),IF($Y$3="申万三级行业",[1]!s_info_industry_sw_2021(W5064,公司分析!D$5,3),IF($Y$3="wind一级行业",[1]!s_info_industry_gics(W5064,1),IF($Y$3="wind二级行业",[1]!s_info_industry_gics(W5064,2),IF($Y$3="wind三级行业",[1]!s_info_industry_gics(W5064,3),IF($Y$3="wind四级行业",[1]!s_info_industry_gics(W5064,4),IF($Y$3="证监会门类行业",[1]!s_info_industry_csrc12_n(W5064,公司分析!D$5,1),""))))))))</f>
        <v>电子化学品Ⅱ</v>
      </c>
      <c r="Z5064" s="302" t="str">
        <f ca="1">IF(Y5064=行业比较!$E$6,ROW(),"")</f>
        <v/>
      </c>
    </row>
    <row r="5065" spans="22:26">
      <c r="V5065" s="260">
        <f t="shared" ca="1" si="87"/>
        <v>0</v>
      </c>
      <c r="W5065" s="348" t="str">
        <f>IF(板块成分!B5067="","",板块成分!B5067)</f>
        <v>688605.SH</v>
      </c>
      <c r="X5065" s="276" t="str">
        <f>[1]!S_Info_Name(W5065)</f>
        <v>先锋精科</v>
      </c>
      <c r="Y5065" s="276" t="str">
        <f ca="1">IF($Y$3="申万一级行业",[1]!s_info_industry_sw_2021(W5065,公司分析!D$5,1),IF($Y$3="申万二级行业",[1]!s_info_industry_sw_2021(W5065,公司分析!D$5,2),IF($Y$3="申万三级行业",[1]!s_info_industry_sw_2021(W5065,公司分析!D$5,3),IF($Y$3="wind一级行业",[1]!s_info_industry_gics(W5065,1),IF($Y$3="wind二级行业",[1]!s_info_industry_gics(W5065,2),IF($Y$3="wind三级行业",[1]!s_info_industry_gics(W5065,3),IF($Y$3="wind四级行业",[1]!s_info_industry_gics(W5065,4),IF($Y$3="证监会门类行业",[1]!s_info_industry_csrc12_n(W5065,公司分析!D$5,1),""))))))))</f>
        <v>半导体</v>
      </c>
      <c r="Z5065" s="302" t="str">
        <f ca="1">IF(Y5065=行业比较!$E$6,ROW(),"")</f>
        <v/>
      </c>
    </row>
    <row r="5066" spans="22:26">
      <c r="V5066" s="260">
        <f t="shared" ca="1" si="87"/>
        <v>0</v>
      </c>
      <c r="W5066" s="348" t="str">
        <f>IF(板块成分!B5068="","",板块成分!B5068)</f>
        <v>688606.SH</v>
      </c>
      <c r="X5066" s="276" t="str">
        <f>[1]!S_Info_Name(W5066)</f>
        <v>奥泰生物</v>
      </c>
      <c r="Y5066" s="276" t="str">
        <f ca="1">IF($Y$3="申万一级行业",[1]!s_info_industry_sw_2021(W5066,公司分析!D$5,1),IF($Y$3="申万二级行业",[1]!s_info_industry_sw_2021(W5066,公司分析!D$5,2),IF($Y$3="申万三级行业",[1]!s_info_industry_sw_2021(W5066,公司分析!D$5,3),IF($Y$3="wind一级行业",[1]!s_info_industry_gics(W5066,1),IF($Y$3="wind二级行业",[1]!s_info_industry_gics(W5066,2),IF($Y$3="wind三级行业",[1]!s_info_industry_gics(W5066,3),IF($Y$3="wind四级行业",[1]!s_info_industry_gics(W5066,4),IF($Y$3="证监会门类行业",[1]!s_info_industry_csrc12_n(W5066,公司分析!D$5,1),""))))))))</f>
        <v>医疗器械</v>
      </c>
      <c r="Z5066" s="302" t="str">
        <f ca="1">IF(Y5066=行业比较!$E$6,ROW(),"")</f>
        <v/>
      </c>
    </row>
    <row r="5067" spans="22:26">
      <c r="V5067" s="260">
        <f t="shared" ca="1" si="87"/>
        <v>0</v>
      </c>
      <c r="W5067" s="348" t="str">
        <f>IF(板块成分!B5069="","",板块成分!B5069)</f>
        <v>688607.SH</v>
      </c>
      <c r="X5067" s="276" t="str">
        <f>[1]!S_Info_Name(W5067)</f>
        <v>康众医疗</v>
      </c>
      <c r="Y5067" s="276" t="str">
        <f ca="1">IF($Y$3="申万一级行业",[1]!s_info_industry_sw_2021(W5067,公司分析!D$5,1),IF($Y$3="申万二级行业",[1]!s_info_industry_sw_2021(W5067,公司分析!D$5,2),IF($Y$3="申万三级行业",[1]!s_info_industry_sw_2021(W5067,公司分析!D$5,3),IF($Y$3="wind一级行业",[1]!s_info_industry_gics(W5067,1),IF($Y$3="wind二级行业",[1]!s_info_industry_gics(W5067,2),IF($Y$3="wind三级行业",[1]!s_info_industry_gics(W5067,3),IF($Y$3="wind四级行业",[1]!s_info_industry_gics(W5067,4),IF($Y$3="证监会门类行业",[1]!s_info_industry_csrc12_n(W5067,公司分析!D$5,1),""))))))))</f>
        <v>医疗器械</v>
      </c>
      <c r="Z5067" s="302" t="str">
        <f ca="1">IF(Y5067=行业比较!$E$6,ROW(),"")</f>
        <v/>
      </c>
    </row>
    <row r="5068" spans="22:26">
      <c r="V5068" s="260">
        <f t="shared" ca="1" si="87"/>
        <v>0</v>
      </c>
      <c r="W5068" s="348" t="str">
        <f>IF(板块成分!B5070="","",板块成分!B5070)</f>
        <v>688608.SH</v>
      </c>
      <c r="X5068" s="276" t="str">
        <f>[1]!S_Info_Name(W5068)</f>
        <v>恒玄科技</v>
      </c>
      <c r="Y5068" s="276" t="str">
        <f ca="1">IF($Y$3="申万一级行业",[1]!s_info_industry_sw_2021(W5068,公司分析!D$5,1),IF($Y$3="申万二级行业",[1]!s_info_industry_sw_2021(W5068,公司分析!D$5,2),IF($Y$3="申万三级行业",[1]!s_info_industry_sw_2021(W5068,公司分析!D$5,3),IF($Y$3="wind一级行业",[1]!s_info_industry_gics(W5068,1),IF($Y$3="wind二级行业",[1]!s_info_industry_gics(W5068,2),IF($Y$3="wind三级行业",[1]!s_info_industry_gics(W5068,3),IF($Y$3="wind四级行业",[1]!s_info_industry_gics(W5068,4),IF($Y$3="证监会门类行业",[1]!s_info_industry_csrc12_n(W5068,公司分析!D$5,1),""))))))))</f>
        <v>半导体</v>
      </c>
      <c r="Z5068" s="302" t="str">
        <f ca="1">IF(Y5068=行业比较!$E$6,ROW(),"")</f>
        <v/>
      </c>
    </row>
    <row r="5069" spans="22:26">
      <c r="V5069" s="260">
        <f t="shared" ca="1" si="87"/>
        <v>0</v>
      </c>
      <c r="W5069" s="348" t="str">
        <f>IF(板块成分!B5071="","",板块成分!B5071)</f>
        <v>688609.SH</v>
      </c>
      <c r="X5069" s="276" t="str">
        <f>[1]!S_Info_Name(W5069)</f>
        <v>九联科技</v>
      </c>
      <c r="Y5069" s="276" t="str">
        <f ca="1">IF($Y$3="申万一级行业",[1]!s_info_industry_sw_2021(W5069,公司分析!D$5,1),IF($Y$3="申万二级行业",[1]!s_info_industry_sw_2021(W5069,公司分析!D$5,2),IF($Y$3="申万三级行业",[1]!s_info_industry_sw_2021(W5069,公司分析!D$5,3),IF($Y$3="wind一级行业",[1]!s_info_industry_gics(W5069,1),IF($Y$3="wind二级行业",[1]!s_info_industry_gics(W5069,2),IF($Y$3="wind三级行业",[1]!s_info_industry_gics(W5069,3),IF($Y$3="wind四级行业",[1]!s_info_industry_gics(W5069,4),IF($Y$3="证监会门类行业",[1]!s_info_industry_csrc12_n(W5069,公司分析!D$5,1),""))))))))</f>
        <v>黑色家电</v>
      </c>
      <c r="Z5069" s="302" t="str">
        <f ca="1">IF(Y5069=行业比较!$E$6,ROW(),"")</f>
        <v/>
      </c>
    </row>
    <row r="5070" spans="22:26">
      <c r="V5070" s="260">
        <f t="shared" ca="1" si="87"/>
        <v>0</v>
      </c>
      <c r="W5070" s="348" t="str">
        <f>IF(板块成分!B5072="","",板块成分!B5072)</f>
        <v>688610.SH</v>
      </c>
      <c r="X5070" s="276" t="str">
        <f>[1]!S_Info_Name(W5070)</f>
        <v>埃科光电</v>
      </c>
      <c r="Y5070" s="276" t="str">
        <f ca="1">IF($Y$3="申万一级行业",[1]!s_info_industry_sw_2021(W5070,公司分析!D$5,1),IF($Y$3="申万二级行业",[1]!s_info_industry_sw_2021(W5070,公司分析!D$5,2),IF($Y$3="申万三级行业",[1]!s_info_industry_sw_2021(W5070,公司分析!D$5,3),IF($Y$3="wind一级行业",[1]!s_info_industry_gics(W5070,1),IF($Y$3="wind二级行业",[1]!s_info_industry_gics(W5070,2),IF($Y$3="wind三级行业",[1]!s_info_industry_gics(W5070,3),IF($Y$3="wind四级行业",[1]!s_info_industry_gics(W5070,4),IF($Y$3="证监会门类行业",[1]!s_info_industry_csrc12_n(W5070,公司分析!D$5,1),""))))))))</f>
        <v>通用设备</v>
      </c>
      <c r="Z5070" s="302" t="str">
        <f ca="1">IF(Y5070=行业比较!$E$6,ROW(),"")</f>
        <v/>
      </c>
    </row>
    <row r="5071" spans="22:26">
      <c r="V5071" s="260">
        <f t="shared" ca="1" si="87"/>
        <v>0</v>
      </c>
      <c r="W5071" s="348" t="str">
        <f>IF(板块成分!B5073="","",板块成分!B5073)</f>
        <v>688611.SH</v>
      </c>
      <c r="X5071" s="276" t="str">
        <f>[1]!S_Info_Name(W5071)</f>
        <v>杭州柯林</v>
      </c>
      <c r="Y5071" s="276" t="str">
        <f ca="1">IF($Y$3="申万一级行业",[1]!s_info_industry_sw_2021(W5071,公司分析!D$5,1),IF($Y$3="申万二级行业",[1]!s_info_industry_sw_2021(W5071,公司分析!D$5,2),IF($Y$3="申万三级行业",[1]!s_info_industry_sw_2021(W5071,公司分析!D$5,3),IF($Y$3="wind一级行业",[1]!s_info_industry_gics(W5071,1),IF($Y$3="wind二级行业",[1]!s_info_industry_gics(W5071,2),IF($Y$3="wind三级行业",[1]!s_info_industry_gics(W5071,3),IF($Y$3="wind四级行业",[1]!s_info_industry_gics(W5071,4),IF($Y$3="证监会门类行业",[1]!s_info_industry_csrc12_n(W5071,公司分析!D$5,1),""))))))))</f>
        <v>电网设备</v>
      </c>
      <c r="Z5071" s="302" t="str">
        <f ca="1">IF(Y5071=行业比较!$E$6,ROW(),"")</f>
        <v/>
      </c>
    </row>
    <row r="5072" spans="22:26">
      <c r="V5072" s="260">
        <f t="shared" ca="1" si="87"/>
        <v>0</v>
      </c>
      <c r="W5072" s="348" t="str">
        <f>IF(板块成分!B5074="","",板块成分!B5074)</f>
        <v>688612.SH</v>
      </c>
      <c r="X5072" s="276" t="str">
        <f>[1]!S_Info_Name(W5072)</f>
        <v>威迈斯</v>
      </c>
      <c r="Y5072" s="276" t="str">
        <f ca="1">IF($Y$3="申万一级行业",[1]!s_info_industry_sw_2021(W5072,公司分析!D$5,1),IF($Y$3="申万二级行业",[1]!s_info_industry_sw_2021(W5072,公司分析!D$5,2),IF($Y$3="申万三级行业",[1]!s_info_industry_sw_2021(W5072,公司分析!D$5,3),IF($Y$3="wind一级行业",[1]!s_info_industry_gics(W5072,1),IF($Y$3="wind二级行业",[1]!s_info_industry_gics(W5072,2),IF($Y$3="wind三级行业",[1]!s_info_industry_gics(W5072,3),IF($Y$3="wind四级行业",[1]!s_info_industry_gics(W5072,4),IF($Y$3="证监会门类行业",[1]!s_info_industry_csrc12_n(W5072,公司分析!D$5,1),""))))))))</f>
        <v>汽车零部件</v>
      </c>
      <c r="Z5072" s="302" t="str">
        <f ca="1">IF(Y5072=行业比较!$E$6,ROW(),"")</f>
        <v/>
      </c>
    </row>
    <row r="5073" spans="22:26">
      <c r="V5073" s="260">
        <f t="shared" ca="1" si="87"/>
        <v>0</v>
      </c>
      <c r="W5073" s="348" t="str">
        <f>IF(板块成分!B5075="","",板块成分!B5075)</f>
        <v>688613.SH</v>
      </c>
      <c r="X5073" s="276" t="str">
        <f>[1]!S_Info_Name(W5073)</f>
        <v>奥精医疗</v>
      </c>
      <c r="Y5073" s="276" t="str">
        <f ca="1">IF($Y$3="申万一级行业",[1]!s_info_industry_sw_2021(W5073,公司分析!D$5,1),IF($Y$3="申万二级行业",[1]!s_info_industry_sw_2021(W5073,公司分析!D$5,2),IF($Y$3="申万三级行业",[1]!s_info_industry_sw_2021(W5073,公司分析!D$5,3),IF($Y$3="wind一级行业",[1]!s_info_industry_gics(W5073,1),IF($Y$3="wind二级行业",[1]!s_info_industry_gics(W5073,2),IF($Y$3="wind三级行业",[1]!s_info_industry_gics(W5073,3),IF($Y$3="wind四级行业",[1]!s_info_industry_gics(W5073,4),IF($Y$3="证监会门类行业",[1]!s_info_industry_csrc12_n(W5073,公司分析!D$5,1),""))))))))</f>
        <v>医疗器械</v>
      </c>
      <c r="Z5073" s="302" t="str">
        <f ca="1">IF(Y5073=行业比较!$E$6,ROW(),"")</f>
        <v/>
      </c>
    </row>
    <row r="5074" spans="22:26">
      <c r="V5074" s="260">
        <f t="shared" ca="1" si="87"/>
        <v>0</v>
      </c>
      <c r="W5074" s="348" t="str">
        <f>IF(板块成分!B5076="","",板块成分!B5076)</f>
        <v>688615.SH</v>
      </c>
      <c r="X5074" s="276" t="str">
        <f>[1]!S_Info_Name(W5074)</f>
        <v>合合信息</v>
      </c>
      <c r="Y5074" s="276" t="str">
        <f ca="1">IF($Y$3="申万一级行业",[1]!s_info_industry_sw_2021(W5074,公司分析!D$5,1),IF($Y$3="申万二级行业",[1]!s_info_industry_sw_2021(W5074,公司分析!D$5,2),IF($Y$3="申万三级行业",[1]!s_info_industry_sw_2021(W5074,公司分析!D$5,3),IF($Y$3="wind一级行业",[1]!s_info_industry_gics(W5074,1),IF($Y$3="wind二级行业",[1]!s_info_industry_gics(W5074,2),IF($Y$3="wind三级行业",[1]!s_info_industry_gics(W5074,3),IF($Y$3="wind四级行业",[1]!s_info_industry_gics(W5074,4),IF($Y$3="证监会门类行业",[1]!s_info_industry_csrc12_n(W5074,公司分析!D$5,1),""))))))))</f>
        <v>软件开发</v>
      </c>
      <c r="Z5074" s="302" t="str">
        <f ca="1">IF(Y5074=行业比较!$E$6,ROW(),"")</f>
        <v/>
      </c>
    </row>
    <row r="5075" spans="22:26">
      <c r="V5075" s="260">
        <f t="shared" ca="1" si="87"/>
        <v>0</v>
      </c>
      <c r="W5075" s="348" t="str">
        <f>IF(板块成分!B5077="","",板块成分!B5077)</f>
        <v>688616.SH</v>
      </c>
      <c r="X5075" s="276" t="str">
        <f>[1]!S_Info_Name(W5075)</f>
        <v>西力科技</v>
      </c>
      <c r="Y5075" s="276" t="str">
        <f ca="1">IF($Y$3="申万一级行业",[1]!s_info_industry_sw_2021(W5075,公司分析!D$5,1),IF($Y$3="申万二级行业",[1]!s_info_industry_sw_2021(W5075,公司分析!D$5,2),IF($Y$3="申万三级行业",[1]!s_info_industry_sw_2021(W5075,公司分析!D$5,3),IF($Y$3="wind一级行业",[1]!s_info_industry_gics(W5075,1),IF($Y$3="wind二级行业",[1]!s_info_industry_gics(W5075,2),IF($Y$3="wind三级行业",[1]!s_info_industry_gics(W5075,3),IF($Y$3="wind四级行业",[1]!s_info_industry_gics(W5075,4),IF($Y$3="证监会门类行业",[1]!s_info_industry_csrc12_n(W5075,公司分析!D$5,1),""))))))))</f>
        <v>电网设备</v>
      </c>
      <c r="Z5075" s="302" t="str">
        <f ca="1">IF(Y5075=行业比较!$E$6,ROW(),"")</f>
        <v/>
      </c>
    </row>
    <row r="5076" spans="22:26">
      <c r="V5076" s="260">
        <f t="shared" ca="1" si="87"/>
        <v>0</v>
      </c>
      <c r="W5076" s="348" t="str">
        <f>IF(板块成分!B5078="","",板块成分!B5078)</f>
        <v>688617.SH</v>
      </c>
      <c r="X5076" s="276" t="str">
        <f>[1]!S_Info_Name(W5076)</f>
        <v>惠泰医疗</v>
      </c>
      <c r="Y5076" s="276" t="str">
        <f ca="1">IF($Y$3="申万一级行业",[1]!s_info_industry_sw_2021(W5076,公司分析!D$5,1),IF($Y$3="申万二级行业",[1]!s_info_industry_sw_2021(W5076,公司分析!D$5,2),IF($Y$3="申万三级行业",[1]!s_info_industry_sw_2021(W5076,公司分析!D$5,3),IF($Y$3="wind一级行业",[1]!s_info_industry_gics(W5076,1),IF($Y$3="wind二级行业",[1]!s_info_industry_gics(W5076,2),IF($Y$3="wind三级行业",[1]!s_info_industry_gics(W5076,3),IF($Y$3="wind四级行业",[1]!s_info_industry_gics(W5076,4),IF($Y$3="证监会门类行业",[1]!s_info_industry_csrc12_n(W5076,公司分析!D$5,1),""))))))))</f>
        <v>医疗器械</v>
      </c>
      <c r="Z5076" s="302" t="str">
        <f ca="1">IF(Y5076=行业比较!$E$6,ROW(),"")</f>
        <v/>
      </c>
    </row>
    <row r="5077" spans="22:26">
      <c r="V5077" s="260">
        <f t="shared" ca="1" si="87"/>
        <v>0</v>
      </c>
      <c r="W5077" s="348" t="str">
        <f>IF(板块成分!B5079="","",板块成分!B5079)</f>
        <v>688618.SH</v>
      </c>
      <c r="X5077" s="276" t="str">
        <f>[1]!S_Info_Name(W5077)</f>
        <v>三旺通信</v>
      </c>
      <c r="Y5077" s="276" t="str">
        <f ca="1">IF($Y$3="申万一级行业",[1]!s_info_industry_sw_2021(W5077,公司分析!D$5,1),IF($Y$3="申万二级行业",[1]!s_info_industry_sw_2021(W5077,公司分析!D$5,2),IF($Y$3="申万三级行业",[1]!s_info_industry_sw_2021(W5077,公司分析!D$5,3),IF($Y$3="wind一级行业",[1]!s_info_industry_gics(W5077,1),IF($Y$3="wind二级行业",[1]!s_info_industry_gics(W5077,2),IF($Y$3="wind三级行业",[1]!s_info_industry_gics(W5077,3),IF($Y$3="wind四级行业",[1]!s_info_industry_gics(W5077,4),IF($Y$3="证监会门类行业",[1]!s_info_industry_csrc12_n(W5077,公司分析!D$5,1),""))))))))</f>
        <v>通信设备</v>
      </c>
      <c r="Z5077" s="302" t="str">
        <f ca="1">IF(Y5077=行业比较!$E$6,ROW(),"")</f>
        <v/>
      </c>
    </row>
    <row r="5078" spans="22:26">
      <c r="V5078" s="260">
        <f t="shared" ca="1" si="87"/>
        <v>0</v>
      </c>
      <c r="W5078" s="348" t="str">
        <f>IF(板块成分!B5080="","",板块成分!B5080)</f>
        <v>688619.SH</v>
      </c>
      <c r="X5078" s="276" t="str">
        <f>[1]!S_Info_Name(W5078)</f>
        <v>罗普特</v>
      </c>
      <c r="Y5078" s="276" t="str">
        <f ca="1">IF($Y$3="申万一级行业",[1]!s_info_industry_sw_2021(W5078,公司分析!D$5,1),IF($Y$3="申万二级行业",[1]!s_info_industry_sw_2021(W5078,公司分析!D$5,2),IF($Y$3="申万三级行业",[1]!s_info_industry_sw_2021(W5078,公司分析!D$5,3),IF($Y$3="wind一级行业",[1]!s_info_industry_gics(W5078,1),IF($Y$3="wind二级行业",[1]!s_info_industry_gics(W5078,2),IF($Y$3="wind三级行业",[1]!s_info_industry_gics(W5078,3),IF($Y$3="wind四级行业",[1]!s_info_industry_gics(W5078,4),IF($Y$3="证监会门类行业",[1]!s_info_industry_csrc12_n(W5078,公司分析!D$5,1),""))))))))</f>
        <v>计算机设备</v>
      </c>
      <c r="Z5078" s="302" t="str">
        <f ca="1">IF(Y5078=行业比较!$E$6,ROW(),"")</f>
        <v/>
      </c>
    </row>
    <row r="5079" spans="22:26">
      <c r="V5079" s="260">
        <f t="shared" ca="1" si="87"/>
        <v>0</v>
      </c>
      <c r="W5079" s="348" t="str">
        <f>IF(板块成分!B5081="","",板块成分!B5081)</f>
        <v>688620.SH</v>
      </c>
      <c r="X5079" s="276" t="str">
        <f>[1]!S_Info_Name(W5079)</f>
        <v>安凯微</v>
      </c>
      <c r="Y5079" s="276" t="str">
        <f ca="1">IF($Y$3="申万一级行业",[1]!s_info_industry_sw_2021(W5079,公司分析!D$5,1),IF($Y$3="申万二级行业",[1]!s_info_industry_sw_2021(W5079,公司分析!D$5,2),IF($Y$3="申万三级行业",[1]!s_info_industry_sw_2021(W5079,公司分析!D$5,3),IF($Y$3="wind一级行业",[1]!s_info_industry_gics(W5079,1),IF($Y$3="wind二级行业",[1]!s_info_industry_gics(W5079,2),IF($Y$3="wind三级行业",[1]!s_info_industry_gics(W5079,3),IF($Y$3="wind四级行业",[1]!s_info_industry_gics(W5079,4),IF($Y$3="证监会门类行业",[1]!s_info_industry_csrc12_n(W5079,公司分析!D$5,1),""))))))))</f>
        <v>半导体</v>
      </c>
      <c r="Z5079" s="302" t="str">
        <f ca="1">IF(Y5079=行业比较!$E$6,ROW(),"")</f>
        <v/>
      </c>
    </row>
    <row r="5080" spans="22:26">
      <c r="V5080" s="260">
        <f t="shared" ca="1" si="87"/>
        <v>0</v>
      </c>
      <c r="W5080" s="348" t="str">
        <f>IF(板块成分!B5082="","",板块成分!B5082)</f>
        <v>688621.SH</v>
      </c>
      <c r="X5080" s="276" t="str">
        <f>[1]!S_Info_Name(W5080)</f>
        <v>阳光诺和</v>
      </c>
      <c r="Y5080" s="276" t="str">
        <f ca="1">IF($Y$3="申万一级行业",[1]!s_info_industry_sw_2021(W5080,公司分析!D$5,1),IF($Y$3="申万二级行业",[1]!s_info_industry_sw_2021(W5080,公司分析!D$5,2),IF($Y$3="申万三级行业",[1]!s_info_industry_sw_2021(W5080,公司分析!D$5,3),IF($Y$3="wind一级行业",[1]!s_info_industry_gics(W5080,1),IF($Y$3="wind二级行业",[1]!s_info_industry_gics(W5080,2),IF($Y$3="wind三级行业",[1]!s_info_industry_gics(W5080,3),IF($Y$3="wind四级行业",[1]!s_info_industry_gics(W5080,4),IF($Y$3="证监会门类行业",[1]!s_info_industry_csrc12_n(W5080,公司分析!D$5,1),""))))))))</f>
        <v>医疗服务</v>
      </c>
      <c r="Z5080" s="302" t="str">
        <f ca="1">IF(Y5080=行业比较!$E$6,ROW(),"")</f>
        <v/>
      </c>
    </row>
    <row r="5081" spans="22:26">
      <c r="V5081" s="260">
        <f t="shared" ca="1" si="87"/>
        <v>0</v>
      </c>
      <c r="W5081" s="348" t="str">
        <f>IF(板块成分!B5083="","",板块成分!B5083)</f>
        <v>688622.SH</v>
      </c>
      <c r="X5081" s="276" t="str">
        <f>[1]!S_Info_Name(W5081)</f>
        <v>禾信仪器</v>
      </c>
      <c r="Y5081" s="276" t="str">
        <f ca="1">IF($Y$3="申万一级行业",[1]!s_info_industry_sw_2021(W5081,公司分析!D$5,1),IF($Y$3="申万二级行业",[1]!s_info_industry_sw_2021(W5081,公司分析!D$5,2),IF($Y$3="申万三级行业",[1]!s_info_industry_sw_2021(W5081,公司分析!D$5,3),IF($Y$3="wind一级行业",[1]!s_info_industry_gics(W5081,1),IF($Y$3="wind二级行业",[1]!s_info_industry_gics(W5081,2),IF($Y$3="wind三级行业",[1]!s_info_industry_gics(W5081,3),IF($Y$3="wind四级行业",[1]!s_info_industry_gics(W5081,4),IF($Y$3="证监会门类行业",[1]!s_info_industry_csrc12_n(W5081,公司分析!D$5,1),""))))))))</f>
        <v>通用设备</v>
      </c>
      <c r="Z5081" s="302" t="str">
        <f ca="1">IF(Y5081=行业比较!$E$6,ROW(),"")</f>
        <v/>
      </c>
    </row>
    <row r="5082" spans="22:26">
      <c r="V5082" s="260">
        <f t="shared" ca="1" si="87"/>
        <v>0</v>
      </c>
      <c r="W5082" s="348" t="str">
        <f>IF(板块成分!B5084="","",板块成分!B5084)</f>
        <v>688623.SH</v>
      </c>
      <c r="X5082" s="276" t="str">
        <f>[1]!S_Info_Name(W5082)</f>
        <v>双元科技</v>
      </c>
      <c r="Y5082" s="276" t="str">
        <f ca="1">IF($Y$3="申万一级行业",[1]!s_info_industry_sw_2021(W5082,公司分析!D$5,1),IF($Y$3="申万二级行业",[1]!s_info_industry_sw_2021(W5082,公司分析!D$5,2),IF($Y$3="申万三级行业",[1]!s_info_industry_sw_2021(W5082,公司分析!D$5,3),IF($Y$3="wind一级行业",[1]!s_info_industry_gics(W5082,1),IF($Y$3="wind二级行业",[1]!s_info_industry_gics(W5082,2),IF($Y$3="wind三级行业",[1]!s_info_industry_gics(W5082,3),IF($Y$3="wind四级行业",[1]!s_info_industry_gics(W5082,4),IF($Y$3="证监会门类行业",[1]!s_info_industry_csrc12_n(W5082,公司分析!D$5,1),""))))))))</f>
        <v>自动化设备</v>
      </c>
      <c r="Z5082" s="302" t="str">
        <f ca="1">IF(Y5082=行业比较!$E$6,ROW(),"")</f>
        <v/>
      </c>
    </row>
    <row r="5083" spans="22:26">
      <c r="V5083" s="260">
        <f t="shared" ca="1" si="87"/>
        <v>0</v>
      </c>
      <c r="W5083" s="348" t="str">
        <f>IF(板块成分!B5085="","",板块成分!B5085)</f>
        <v>688625.SH</v>
      </c>
      <c r="X5083" s="276" t="str">
        <f>[1]!S_Info_Name(W5083)</f>
        <v>呈和科技</v>
      </c>
      <c r="Y5083" s="276" t="str">
        <f ca="1">IF($Y$3="申万一级行业",[1]!s_info_industry_sw_2021(W5083,公司分析!D$5,1),IF($Y$3="申万二级行业",[1]!s_info_industry_sw_2021(W5083,公司分析!D$5,2),IF($Y$3="申万三级行业",[1]!s_info_industry_sw_2021(W5083,公司分析!D$5,3),IF($Y$3="wind一级行业",[1]!s_info_industry_gics(W5083,1),IF($Y$3="wind二级行业",[1]!s_info_industry_gics(W5083,2),IF($Y$3="wind三级行业",[1]!s_info_industry_gics(W5083,3),IF($Y$3="wind四级行业",[1]!s_info_industry_gics(W5083,4),IF($Y$3="证监会门类行业",[1]!s_info_industry_csrc12_n(W5083,公司分析!D$5,1),""))))))))</f>
        <v>化学制品</v>
      </c>
      <c r="Z5083" s="302" t="str">
        <f ca="1">IF(Y5083=行业比较!$E$6,ROW(),"")</f>
        <v/>
      </c>
    </row>
    <row r="5084" spans="22:26">
      <c r="V5084" s="260">
        <f t="shared" ca="1" si="87"/>
        <v>0</v>
      </c>
      <c r="W5084" s="348" t="str">
        <f>IF(板块成分!B5086="","",板块成分!B5086)</f>
        <v>688626.SH</v>
      </c>
      <c r="X5084" s="276" t="str">
        <f>[1]!S_Info_Name(W5084)</f>
        <v>翔宇医疗</v>
      </c>
      <c r="Y5084" s="276" t="str">
        <f ca="1">IF($Y$3="申万一级行业",[1]!s_info_industry_sw_2021(W5084,公司分析!D$5,1),IF($Y$3="申万二级行业",[1]!s_info_industry_sw_2021(W5084,公司分析!D$5,2),IF($Y$3="申万三级行业",[1]!s_info_industry_sw_2021(W5084,公司分析!D$5,3),IF($Y$3="wind一级行业",[1]!s_info_industry_gics(W5084,1),IF($Y$3="wind二级行业",[1]!s_info_industry_gics(W5084,2),IF($Y$3="wind三级行业",[1]!s_info_industry_gics(W5084,3),IF($Y$3="wind四级行业",[1]!s_info_industry_gics(W5084,4),IF($Y$3="证监会门类行业",[1]!s_info_industry_csrc12_n(W5084,公司分析!D$5,1),""))))))))</f>
        <v>医疗器械</v>
      </c>
      <c r="Z5084" s="302" t="str">
        <f ca="1">IF(Y5084=行业比较!$E$6,ROW(),"")</f>
        <v/>
      </c>
    </row>
    <row r="5085" spans="22:26">
      <c r="V5085" s="260">
        <f t="shared" ca="1" si="87"/>
        <v>0</v>
      </c>
      <c r="W5085" s="348" t="str">
        <f>IF(板块成分!B5087="","",板块成分!B5087)</f>
        <v>688627.SH</v>
      </c>
      <c r="X5085" s="276" t="str">
        <f>[1]!S_Info_Name(W5085)</f>
        <v>精智达</v>
      </c>
      <c r="Y5085" s="276" t="str">
        <f ca="1">IF($Y$3="申万一级行业",[1]!s_info_industry_sw_2021(W5085,公司分析!D$5,1),IF($Y$3="申万二级行业",[1]!s_info_industry_sw_2021(W5085,公司分析!D$5,2),IF($Y$3="申万三级行业",[1]!s_info_industry_sw_2021(W5085,公司分析!D$5,3),IF($Y$3="wind一级行业",[1]!s_info_industry_gics(W5085,1),IF($Y$3="wind二级行业",[1]!s_info_industry_gics(W5085,2),IF($Y$3="wind三级行业",[1]!s_info_industry_gics(W5085,3),IF($Y$3="wind四级行业",[1]!s_info_industry_gics(W5085,4),IF($Y$3="证监会门类行业",[1]!s_info_industry_csrc12_n(W5085,公司分析!D$5,1),""))))))))</f>
        <v>通用设备</v>
      </c>
      <c r="Z5085" s="302" t="str">
        <f ca="1">IF(Y5085=行业比较!$E$6,ROW(),"")</f>
        <v/>
      </c>
    </row>
    <row r="5086" spans="22:26">
      <c r="V5086" s="260">
        <f t="shared" ca="1" si="87"/>
        <v>0</v>
      </c>
      <c r="W5086" s="348" t="str">
        <f>IF(板块成分!B5088="","",板块成分!B5088)</f>
        <v>688628.SH</v>
      </c>
      <c r="X5086" s="276" t="str">
        <f>[1]!S_Info_Name(W5086)</f>
        <v>优利德</v>
      </c>
      <c r="Y5086" s="276" t="str">
        <f ca="1">IF($Y$3="申万一级行业",[1]!s_info_industry_sw_2021(W5086,公司分析!D$5,1),IF($Y$3="申万二级行业",[1]!s_info_industry_sw_2021(W5086,公司分析!D$5,2),IF($Y$3="申万三级行业",[1]!s_info_industry_sw_2021(W5086,公司分析!D$5,3),IF($Y$3="wind一级行业",[1]!s_info_industry_gics(W5086,1),IF($Y$3="wind二级行业",[1]!s_info_industry_gics(W5086,2),IF($Y$3="wind三级行业",[1]!s_info_industry_gics(W5086,3),IF($Y$3="wind四级行业",[1]!s_info_industry_gics(W5086,4),IF($Y$3="证监会门类行业",[1]!s_info_industry_csrc12_n(W5086,公司分析!D$5,1),""))))))))</f>
        <v>通用设备</v>
      </c>
      <c r="Z5086" s="302" t="str">
        <f ca="1">IF(Y5086=行业比较!$E$6,ROW(),"")</f>
        <v/>
      </c>
    </row>
    <row r="5087" spans="22:26">
      <c r="V5087" s="260">
        <f t="shared" ca="1" si="87"/>
        <v>0</v>
      </c>
      <c r="W5087" s="348" t="str">
        <f>IF(板块成分!B5089="","",板块成分!B5089)</f>
        <v>688629.SH</v>
      </c>
      <c r="X5087" s="276" t="str">
        <f>[1]!S_Info_Name(W5087)</f>
        <v>华丰科技</v>
      </c>
      <c r="Y5087" s="276" t="str">
        <f ca="1">IF($Y$3="申万一级行业",[1]!s_info_industry_sw_2021(W5087,公司分析!D$5,1),IF($Y$3="申万二级行业",[1]!s_info_industry_sw_2021(W5087,公司分析!D$5,2),IF($Y$3="申万三级行业",[1]!s_info_industry_sw_2021(W5087,公司分析!D$5,3),IF($Y$3="wind一级行业",[1]!s_info_industry_gics(W5087,1),IF($Y$3="wind二级行业",[1]!s_info_industry_gics(W5087,2),IF($Y$3="wind三级行业",[1]!s_info_industry_gics(W5087,3),IF($Y$3="wind四级行业",[1]!s_info_industry_gics(W5087,4),IF($Y$3="证监会门类行业",[1]!s_info_industry_csrc12_n(W5087,公司分析!D$5,1),""))))))))</f>
        <v>军工电子Ⅱ</v>
      </c>
      <c r="Z5087" s="302" t="str">
        <f ca="1">IF(Y5087=行业比较!$E$6,ROW(),"")</f>
        <v/>
      </c>
    </row>
    <row r="5088" spans="22:26">
      <c r="V5088" s="260">
        <f t="shared" ca="1" si="87"/>
        <v>0</v>
      </c>
      <c r="W5088" s="348" t="str">
        <f>IF(板块成分!B5090="","",板块成分!B5090)</f>
        <v>688630.SH</v>
      </c>
      <c r="X5088" s="276" t="str">
        <f>[1]!S_Info_Name(W5088)</f>
        <v>芯碁微装</v>
      </c>
      <c r="Y5088" s="276" t="str">
        <f ca="1">IF($Y$3="申万一级行业",[1]!s_info_industry_sw_2021(W5088,公司分析!D$5,1),IF($Y$3="申万二级行业",[1]!s_info_industry_sw_2021(W5088,公司分析!D$5,2),IF($Y$3="申万三级行业",[1]!s_info_industry_sw_2021(W5088,公司分析!D$5,3),IF($Y$3="wind一级行业",[1]!s_info_industry_gics(W5088,1),IF($Y$3="wind二级行业",[1]!s_info_industry_gics(W5088,2),IF($Y$3="wind三级行业",[1]!s_info_industry_gics(W5088,3),IF($Y$3="wind四级行业",[1]!s_info_industry_gics(W5088,4),IF($Y$3="证监会门类行业",[1]!s_info_industry_csrc12_n(W5088,公司分析!D$5,1),""))))))))</f>
        <v>专用设备</v>
      </c>
      <c r="Z5088" s="302" t="str">
        <f ca="1">IF(Y5088=行业比较!$E$6,ROW(),"")</f>
        <v/>
      </c>
    </row>
    <row r="5089" spans="22:26">
      <c r="V5089" s="260">
        <f t="shared" ca="1" si="87"/>
        <v>0</v>
      </c>
      <c r="W5089" s="348" t="str">
        <f>IF(板块成分!B5091="","",板块成分!B5091)</f>
        <v>688631.SH</v>
      </c>
      <c r="X5089" s="276" t="str">
        <f>[1]!S_Info_Name(W5089)</f>
        <v>莱斯信息</v>
      </c>
      <c r="Y5089" s="276" t="str">
        <f ca="1">IF($Y$3="申万一级行业",[1]!s_info_industry_sw_2021(W5089,公司分析!D$5,1),IF($Y$3="申万二级行业",[1]!s_info_industry_sw_2021(W5089,公司分析!D$5,2),IF($Y$3="申万三级行业",[1]!s_info_industry_sw_2021(W5089,公司分析!D$5,3),IF($Y$3="wind一级行业",[1]!s_info_industry_gics(W5089,1),IF($Y$3="wind二级行业",[1]!s_info_industry_gics(W5089,2),IF($Y$3="wind三级行业",[1]!s_info_industry_gics(W5089,3),IF($Y$3="wind四级行业",[1]!s_info_industry_gics(W5089,4),IF($Y$3="证监会门类行业",[1]!s_info_industry_csrc12_n(W5089,公司分析!D$5,1),""))))))))</f>
        <v>软件开发</v>
      </c>
      <c r="Z5089" s="302" t="str">
        <f ca="1">IF(Y5089=行业比较!$E$6,ROW(),"")</f>
        <v/>
      </c>
    </row>
    <row r="5090" spans="22:26">
      <c r="V5090" s="260">
        <f t="shared" ca="1" si="87"/>
        <v>0</v>
      </c>
      <c r="W5090" s="348" t="str">
        <f>IF(板块成分!B5092="","",板块成分!B5092)</f>
        <v>688633.SH</v>
      </c>
      <c r="X5090" s="276" t="str">
        <f>[1]!S_Info_Name(W5090)</f>
        <v>星球石墨</v>
      </c>
      <c r="Y5090" s="276" t="str">
        <f ca="1">IF($Y$3="申万一级行业",[1]!s_info_industry_sw_2021(W5090,公司分析!D$5,1),IF($Y$3="申万二级行业",[1]!s_info_industry_sw_2021(W5090,公司分析!D$5,2),IF($Y$3="申万三级行业",[1]!s_info_industry_sw_2021(W5090,公司分析!D$5,3),IF($Y$3="wind一级行业",[1]!s_info_industry_gics(W5090,1),IF($Y$3="wind二级行业",[1]!s_info_industry_gics(W5090,2),IF($Y$3="wind三级行业",[1]!s_info_industry_gics(W5090,3),IF($Y$3="wind四级行业",[1]!s_info_industry_gics(W5090,4),IF($Y$3="证监会门类行业",[1]!s_info_industry_csrc12_n(W5090,公司分析!D$5,1),""))))))))</f>
        <v>专用设备</v>
      </c>
      <c r="Z5090" s="302" t="str">
        <f ca="1">IF(Y5090=行业比较!$E$6,ROW(),"")</f>
        <v/>
      </c>
    </row>
    <row r="5091" spans="22:26">
      <c r="V5091" s="260">
        <f t="shared" ca="1" si="87"/>
        <v>0</v>
      </c>
      <c r="W5091" s="348" t="str">
        <f>IF(板块成分!B5093="","",板块成分!B5093)</f>
        <v>688636.SH</v>
      </c>
      <c r="X5091" s="276" t="str">
        <f>[1]!S_Info_Name(W5091)</f>
        <v>智明达</v>
      </c>
      <c r="Y5091" s="276" t="str">
        <f ca="1">IF($Y$3="申万一级行业",[1]!s_info_industry_sw_2021(W5091,公司分析!D$5,1),IF($Y$3="申万二级行业",[1]!s_info_industry_sw_2021(W5091,公司分析!D$5,2),IF($Y$3="申万三级行业",[1]!s_info_industry_sw_2021(W5091,公司分析!D$5,3),IF($Y$3="wind一级行业",[1]!s_info_industry_gics(W5091,1),IF($Y$3="wind二级行业",[1]!s_info_industry_gics(W5091,2),IF($Y$3="wind三级行业",[1]!s_info_industry_gics(W5091,3),IF($Y$3="wind四级行业",[1]!s_info_industry_gics(W5091,4),IF($Y$3="证监会门类行业",[1]!s_info_industry_csrc12_n(W5091,公司分析!D$5,1),""))))))))</f>
        <v>军工电子Ⅱ</v>
      </c>
      <c r="Z5091" s="302" t="str">
        <f ca="1">IF(Y5091=行业比较!$E$6,ROW(),"")</f>
        <v/>
      </c>
    </row>
    <row r="5092" spans="22:26">
      <c r="V5092" s="260">
        <f t="shared" ca="1" si="87"/>
        <v>0</v>
      </c>
      <c r="W5092" s="348" t="str">
        <f>IF(板块成分!B5094="","",板块成分!B5094)</f>
        <v>688638.SH</v>
      </c>
      <c r="X5092" s="276" t="str">
        <f>[1]!S_Info_Name(W5092)</f>
        <v>誉辰智能</v>
      </c>
      <c r="Y5092" s="276" t="str">
        <f ca="1">IF($Y$3="申万一级行业",[1]!s_info_industry_sw_2021(W5092,公司分析!D$5,1),IF($Y$3="申万二级行业",[1]!s_info_industry_sw_2021(W5092,公司分析!D$5,2),IF($Y$3="申万三级行业",[1]!s_info_industry_sw_2021(W5092,公司分析!D$5,3),IF($Y$3="wind一级行业",[1]!s_info_industry_gics(W5092,1),IF($Y$3="wind二级行业",[1]!s_info_industry_gics(W5092,2),IF($Y$3="wind三级行业",[1]!s_info_industry_gics(W5092,3),IF($Y$3="wind四级行业",[1]!s_info_industry_gics(W5092,4),IF($Y$3="证监会门类行业",[1]!s_info_industry_csrc12_n(W5092,公司分析!D$5,1),""))))))))</f>
        <v>电池</v>
      </c>
      <c r="Z5092" s="302" t="str">
        <f ca="1">IF(Y5092=行业比较!$E$6,ROW(),"")</f>
        <v/>
      </c>
    </row>
    <row r="5093" spans="22:26">
      <c r="V5093" s="260">
        <f t="shared" ca="1" si="87"/>
        <v>0</v>
      </c>
      <c r="W5093" s="348" t="str">
        <f>IF(板块成分!B5095="","",板块成分!B5095)</f>
        <v>688639.SH</v>
      </c>
      <c r="X5093" s="276" t="str">
        <f>[1]!S_Info_Name(W5093)</f>
        <v>华恒生物</v>
      </c>
      <c r="Y5093" s="276" t="str">
        <f ca="1">IF($Y$3="申万一级行业",[1]!s_info_industry_sw_2021(W5093,公司分析!D$5,1),IF($Y$3="申万二级行业",[1]!s_info_industry_sw_2021(W5093,公司分析!D$5,2),IF($Y$3="申万三级行业",[1]!s_info_industry_sw_2021(W5093,公司分析!D$5,3),IF($Y$3="wind一级行业",[1]!s_info_industry_gics(W5093,1),IF($Y$3="wind二级行业",[1]!s_info_industry_gics(W5093,2),IF($Y$3="wind三级行业",[1]!s_info_industry_gics(W5093,3),IF($Y$3="wind四级行业",[1]!s_info_industry_gics(W5093,4),IF($Y$3="证监会门类行业",[1]!s_info_industry_csrc12_n(W5093,公司分析!D$5,1),""))))))))</f>
        <v>化学制品</v>
      </c>
      <c r="Z5093" s="302" t="str">
        <f ca="1">IF(Y5093=行业比较!$E$6,ROW(),"")</f>
        <v/>
      </c>
    </row>
    <row r="5094" spans="22:26">
      <c r="V5094" s="260">
        <f t="shared" ca="1" si="87"/>
        <v>0</v>
      </c>
      <c r="W5094" s="348" t="str">
        <f>IF(板块成分!B5096="","",板块成分!B5096)</f>
        <v>688646.SH</v>
      </c>
      <c r="X5094" s="276" t="str">
        <f>[1]!S_Info_Name(W5094)</f>
        <v>ST逸飞</v>
      </c>
      <c r="Y5094" s="276" t="str">
        <f ca="1">IF($Y$3="申万一级行业",[1]!s_info_industry_sw_2021(W5094,公司分析!D$5,1),IF($Y$3="申万二级行业",[1]!s_info_industry_sw_2021(W5094,公司分析!D$5,2),IF($Y$3="申万三级行业",[1]!s_info_industry_sw_2021(W5094,公司分析!D$5,3),IF($Y$3="wind一级行业",[1]!s_info_industry_gics(W5094,1),IF($Y$3="wind二级行业",[1]!s_info_industry_gics(W5094,2),IF($Y$3="wind三级行业",[1]!s_info_industry_gics(W5094,3),IF($Y$3="wind四级行业",[1]!s_info_industry_gics(W5094,4),IF($Y$3="证监会门类行业",[1]!s_info_industry_csrc12_n(W5094,公司分析!D$5,1),""))))))))</f>
        <v>自动化设备</v>
      </c>
      <c r="Z5094" s="302" t="str">
        <f ca="1">IF(Y5094=行业比较!$E$6,ROW(),"")</f>
        <v/>
      </c>
    </row>
    <row r="5095" spans="22:26">
      <c r="V5095" s="260">
        <f ca="1">IF(Z5095="",0,RANK(Z5095,Z:Z,1))</f>
        <v>0</v>
      </c>
      <c r="W5095" s="348" t="str">
        <f>IF(板块成分!B5097="","",板块成分!B5097)</f>
        <v>688648.SH</v>
      </c>
      <c r="X5095" s="276" t="str">
        <f>[1]!S_Info_Name(W5095)</f>
        <v>中邮科技</v>
      </c>
      <c r="Y5095" s="276" t="str">
        <f ca="1">IF($Y$3="申万一级行业",[1]!s_info_industry_sw_2021(W5095,公司分析!D$5,1),IF($Y$3="申万二级行业",[1]!s_info_industry_sw_2021(W5095,公司分析!D$5,2),IF($Y$3="申万三级行业",[1]!s_info_industry_sw_2021(W5095,公司分析!D$5,3),IF($Y$3="wind一级行业",[1]!s_info_industry_gics(W5095,1),IF($Y$3="wind二级行业",[1]!s_info_industry_gics(W5095,2),IF($Y$3="wind三级行业",[1]!s_info_industry_gics(W5095,3),IF($Y$3="wind四级行业",[1]!s_info_industry_gics(W5095,4),IF($Y$3="证监会门类行业",[1]!s_info_industry_csrc12_n(W5095,公司分析!D$5,1),""))))))))</f>
        <v>专用设备</v>
      </c>
      <c r="Z5095" s="302" t="str">
        <f ca="1">IF(Y5095=行业比较!$E$6,ROW(),"")</f>
        <v/>
      </c>
    </row>
    <row r="5096" spans="22:26">
      <c r="V5096" s="260">
        <f t="shared" ref="V5096:V5159" ca="1" si="88">IF(Z5096="",0,RANK(Z5096,Z:Z,1))</f>
        <v>0</v>
      </c>
      <c r="W5096" s="348" t="str">
        <f>IF(板块成分!B5098="","",板块成分!B5098)</f>
        <v>688651.SH</v>
      </c>
      <c r="X5096" s="276" t="str">
        <f>[1]!S_Info_Name(W5096)</f>
        <v>盛邦安全</v>
      </c>
      <c r="Y5096" s="276" t="str">
        <f ca="1">IF($Y$3="申万一级行业",[1]!s_info_industry_sw_2021(W5096,公司分析!D$5,1),IF($Y$3="申万二级行业",[1]!s_info_industry_sw_2021(W5096,公司分析!D$5,2),IF($Y$3="申万三级行业",[1]!s_info_industry_sw_2021(W5096,公司分析!D$5,3),IF($Y$3="wind一级行业",[1]!s_info_industry_gics(W5096,1),IF($Y$3="wind二级行业",[1]!s_info_industry_gics(W5096,2),IF($Y$3="wind三级行业",[1]!s_info_industry_gics(W5096,3),IF($Y$3="wind四级行业",[1]!s_info_industry_gics(W5096,4),IF($Y$3="证监会门类行业",[1]!s_info_industry_csrc12_n(W5096,公司分析!D$5,1),""))))))))</f>
        <v>软件开发</v>
      </c>
      <c r="Z5096" s="302" t="str">
        <f ca="1">IF(Y5096=行业比较!$E$6,ROW(),"")</f>
        <v/>
      </c>
    </row>
    <row r="5097" spans="22:26">
      <c r="V5097" s="260">
        <f t="shared" ca="1" si="88"/>
        <v>0</v>
      </c>
      <c r="W5097" s="348" t="str">
        <f>IF(板块成分!B5099="","",板块成分!B5099)</f>
        <v>688652.SH</v>
      </c>
      <c r="X5097" s="276" t="str">
        <f>[1]!S_Info_Name(W5097)</f>
        <v>京仪装备</v>
      </c>
      <c r="Y5097" s="276" t="str">
        <f ca="1">IF($Y$3="申万一级行业",[1]!s_info_industry_sw_2021(W5097,公司分析!D$5,1),IF($Y$3="申万二级行业",[1]!s_info_industry_sw_2021(W5097,公司分析!D$5,2),IF($Y$3="申万三级行业",[1]!s_info_industry_sw_2021(W5097,公司分析!D$5,3),IF($Y$3="wind一级行业",[1]!s_info_industry_gics(W5097,1),IF($Y$3="wind二级行业",[1]!s_info_industry_gics(W5097,2),IF($Y$3="wind三级行业",[1]!s_info_industry_gics(W5097,3),IF($Y$3="wind四级行业",[1]!s_info_industry_gics(W5097,4),IF($Y$3="证监会门类行业",[1]!s_info_industry_csrc12_n(W5097,公司分析!D$5,1),""))))))))</f>
        <v>半导体</v>
      </c>
      <c r="Z5097" s="302" t="str">
        <f ca="1">IF(Y5097=行业比较!$E$6,ROW(),"")</f>
        <v/>
      </c>
    </row>
    <row r="5098" spans="22:26">
      <c r="V5098" s="260">
        <f t="shared" ca="1" si="88"/>
        <v>0</v>
      </c>
      <c r="W5098" s="348" t="str">
        <f>IF(板块成分!B5100="","",板块成分!B5100)</f>
        <v>688653.SH</v>
      </c>
      <c r="X5098" s="276" t="str">
        <f>[1]!S_Info_Name(W5098)</f>
        <v>康希通信</v>
      </c>
      <c r="Y5098" s="276" t="str">
        <f ca="1">IF($Y$3="申万一级行业",[1]!s_info_industry_sw_2021(W5098,公司分析!D$5,1),IF($Y$3="申万二级行业",[1]!s_info_industry_sw_2021(W5098,公司分析!D$5,2),IF($Y$3="申万三级行业",[1]!s_info_industry_sw_2021(W5098,公司分析!D$5,3),IF($Y$3="wind一级行业",[1]!s_info_industry_gics(W5098,1),IF($Y$3="wind二级行业",[1]!s_info_industry_gics(W5098,2),IF($Y$3="wind三级行业",[1]!s_info_industry_gics(W5098,3),IF($Y$3="wind四级行业",[1]!s_info_industry_gics(W5098,4),IF($Y$3="证监会门类行业",[1]!s_info_industry_csrc12_n(W5098,公司分析!D$5,1),""))))))))</f>
        <v>半导体</v>
      </c>
      <c r="Z5098" s="302" t="str">
        <f ca="1">IF(Y5098=行业比较!$E$6,ROW(),"")</f>
        <v/>
      </c>
    </row>
    <row r="5099" spans="22:26">
      <c r="V5099" s="260">
        <f t="shared" ca="1" si="88"/>
        <v>0</v>
      </c>
      <c r="W5099" s="348" t="str">
        <f>IF(板块成分!B5101="","",板块成分!B5101)</f>
        <v>688655.SH</v>
      </c>
      <c r="X5099" s="276" t="str">
        <f>[1]!S_Info_Name(W5099)</f>
        <v>迅捷兴</v>
      </c>
      <c r="Y5099" s="276" t="str">
        <f ca="1">IF($Y$3="申万一级行业",[1]!s_info_industry_sw_2021(W5099,公司分析!D$5,1),IF($Y$3="申万二级行业",[1]!s_info_industry_sw_2021(W5099,公司分析!D$5,2),IF($Y$3="申万三级行业",[1]!s_info_industry_sw_2021(W5099,公司分析!D$5,3),IF($Y$3="wind一级行业",[1]!s_info_industry_gics(W5099,1),IF($Y$3="wind二级行业",[1]!s_info_industry_gics(W5099,2),IF($Y$3="wind三级行业",[1]!s_info_industry_gics(W5099,3),IF($Y$3="wind四级行业",[1]!s_info_industry_gics(W5099,4),IF($Y$3="证监会门类行业",[1]!s_info_industry_csrc12_n(W5099,公司分析!D$5,1),""))))))))</f>
        <v>元件</v>
      </c>
      <c r="Z5099" s="302" t="str">
        <f ca="1">IF(Y5099=行业比较!$E$6,ROW(),"")</f>
        <v/>
      </c>
    </row>
    <row r="5100" spans="22:26">
      <c r="V5100" s="260">
        <f t="shared" ca="1" si="88"/>
        <v>0</v>
      </c>
      <c r="W5100" s="348" t="str">
        <f>IF(板块成分!B5102="","",板块成分!B5102)</f>
        <v>688656.SH</v>
      </c>
      <c r="X5100" s="276" t="str">
        <f>[1]!S_Info_Name(W5100)</f>
        <v>浩欧博</v>
      </c>
      <c r="Y5100" s="276" t="str">
        <f ca="1">IF($Y$3="申万一级行业",[1]!s_info_industry_sw_2021(W5100,公司分析!D$5,1),IF($Y$3="申万二级行业",[1]!s_info_industry_sw_2021(W5100,公司分析!D$5,2),IF($Y$3="申万三级行业",[1]!s_info_industry_sw_2021(W5100,公司分析!D$5,3),IF($Y$3="wind一级行业",[1]!s_info_industry_gics(W5100,1),IF($Y$3="wind二级行业",[1]!s_info_industry_gics(W5100,2),IF($Y$3="wind三级行业",[1]!s_info_industry_gics(W5100,3),IF($Y$3="wind四级行业",[1]!s_info_industry_gics(W5100,4),IF($Y$3="证监会门类行业",[1]!s_info_industry_csrc12_n(W5100,公司分析!D$5,1),""))))))))</f>
        <v>医疗器械</v>
      </c>
      <c r="Z5100" s="302" t="str">
        <f ca="1">IF(Y5100=行业比较!$E$6,ROW(),"")</f>
        <v/>
      </c>
    </row>
    <row r="5101" spans="22:26">
      <c r="V5101" s="260">
        <f t="shared" ca="1" si="88"/>
        <v>0</v>
      </c>
      <c r="W5101" s="348" t="str">
        <f>IF(板块成分!B5103="","",板块成分!B5103)</f>
        <v>688657.SH</v>
      </c>
      <c r="X5101" s="276" t="str">
        <f>[1]!S_Info_Name(W5101)</f>
        <v>浩辰软件</v>
      </c>
      <c r="Y5101" s="276" t="str">
        <f ca="1">IF($Y$3="申万一级行业",[1]!s_info_industry_sw_2021(W5101,公司分析!D$5,1),IF($Y$3="申万二级行业",[1]!s_info_industry_sw_2021(W5101,公司分析!D$5,2),IF($Y$3="申万三级行业",[1]!s_info_industry_sw_2021(W5101,公司分析!D$5,3),IF($Y$3="wind一级行业",[1]!s_info_industry_gics(W5101,1),IF($Y$3="wind二级行业",[1]!s_info_industry_gics(W5101,2),IF($Y$3="wind三级行业",[1]!s_info_industry_gics(W5101,3),IF($Y$3="wind四级行业",[1]!s_info_industry_gics(W5101,4),IF($Y$3="证监会门类行业",[1]!s_info_industry_csrc12_n(W5101,公司分析!D$5,1),""))))))))</f>
        <v>软件开发</v>
      </c>
      <c r="Z5101" s="302" t="str">
        <f ca="1">IF(Y5101=行业比较!$E$6,ROW(),"")</f>
        <v/>
      </c>
    </row>
    <row r="5102" spans="22:26">
      <c r="V5102" s="260">
        <f t="shared" ca="1" si="88"/>
        <v>0</v>
      </c>
      <c r="W5102" s="348" t="str">
        <f>IF(板块成分!B5104="","",板块成分!B5104)</f>
        <v>688658.SH</v>
      </c>
      <c r="X5102" s="276" t="str">
        <f>[1]!S_Info_Name(W5102)</f>
        <v>悦康药业</v>
      </c>
      <c r="Y5102" s="276" t="str">
        <f ca="1">IF($Y$3="申万一级行业",[1]!s_info_industry_sw_2021(W5102,公司分析!D$5,1),IF($Y$3="申万二级行业",[1]!s_info_industry_sw_2021(W5102,公司分析!D$5,2),IF($Y$3="申万三级行业",[1]!s_info_industry_sw_2021(W5102,公司分析!D$5,3),IF($Y$3="wind一级行业",[1]!s_info_industry_gics(W5102,1),IF($Y$3="wind二级行业",[1]!s_info_industry_gics(W5102,2),IF($Y$3="wind三级行业",[1]!s_info_industry_gics(W5102,3),IF($Y$3="wind四级行业",[1]!s_info_industry_gics(W5102,4),IF($Y$3="证监会门类行业",[1]!s_info_industry_csrc12_n(W5102,公司分析!D$5,1),""))))))))</f>
        <v>化学制药</v>
      </c>
      <c r="Z5102" s="302" t="str">
        <f ca="1">IF(Y5102=行业比较!$E$6,ROW(),"")</f>
        <v/>
      </c>
    </row>
    <row r="5103" spans="22:26">
      <c r="V5103" s="260">
        <f t="shared" ca="1" si="88"/>
        <v>0</v>
      </c>
      <c r="W5103" s="348" t="str">
        <f>IF(板块成分!B5105="","",板块成分!B5105)</f>
        <v>688659.SH</v>
      </c>
      <c r="X5103" s="276" t="str">
        <f>[1]!S_Info_Name(W5103)</f>
        <v>元琛科技</v>
      </c>
      <c r="Y5103" s="276" t="str">
        <f ca="1">IF($Y$3="申万一级行业",[1]!s_info_industry_sw_2021(W5103,公司分析!D$5,1),IF($Y$3="申万二级行业",[1]!s_info_industry_sw_2021(W5103,公司分析!D$5,2),IF($Y$3="申万三级行业",[1]!s_info_industry_sw_2021(W5103,公司分析!D$5,3),IF($Y$3="wind一级行业",[1]!s_info_industry_gics(W5103,1),IF($Y$3="wind二级行业",[1]!s_info_industry_gics(W5103,2),IF($Y$3="wind三级行业",[1]!s_info_industry_gics(W5103,3),IF($Y$3="wind四级行业",[1]!s_info_industry_gics(W5103,4),IF($Y$3="证监会门类行业",[1]!s_info_industry_csrc12_n(W5103,公司分析!D$5,1),""))))))))</f>
        <v>化学制品</v>
      </c>
      <c r="Z5103" s="302" t="str">
        <f ca="1">IF(Y5103=行业比较!$E$6,ROW(),"")</f>
        <v/>
      </c>
    </row>
    <row r="5104" spans="22:26">
      <c r="V5104" s="260">
        <f t="shared" ca="1" si="88"/>
        <v>0</v>
      </c>
      <c r="W5104" s="348" t="str">
        <f>IF(板块成分!B5106="","",板块成分!B5106)</f>
        <v>688660.SH</v>
      </c>
      <c r="X5104" s="276" t="str">
        <f>[1]!S_Info_Name(W5104)</f>
        <v>电气风电</v>
      </c>
      <c r="Y5104" s="276" t="str">
        <f ca="1">IF($Y$3="申万一级行业",[1]!s_info_industry_sw_2021(W5104,公司分析!D$5,1),IF($Y$3="申万二级行业",[1]!s_info_industry_sw_2021(W5104,公司分析!D$5,2),IF($Y$3="申万三级行业",[1]!s_info_industry_sw_2021(W5104,公司分析!D$5,3),IF($Y$3="wind一级行业",[1]!s_info_industry_gics(W5104,1),IF($Y$3="wind二级行业",[1]!s_info_industry_gics(W5104,2),IF($Y$3="wind三级行业",[1]!s_info_industry_gics(W5104,3),IF($Y$3="wind四级行业",[1]!s_info_industry_gics(W5104,4),IF($Y$3="证监会门类行业",[1]!s_info_industry_csrc12_n(W5104,公司分析!D$5,1),""))))))))</f>
        <v>风电设备</v>
      </c>
      <c r="Z5104" s="302" t="str">
        <f ca="1">IF(Y5104=行业比较!$E$6,ROW(),"")</f>
        <v/>
      </c>
    </row>
    <row r="5105" spans="22:26">
      <c r="V5105" s="260">
        <f t="shared" ca="1" si="88"/>
        <v>0</v>
      </c>
      <c r="W5105" s="348" t="str">
        <f>IF(板块成分!B5107="","",板块成分!B5107)</f>
        <v>688661.SH</v>
      </c>
      <c r="X5105" s="276" t="str">
        <f>[1]!S_Info_Name(W5105)</f>
        <v>和林微纳</v>
      </c>
      <c r="Y5105" s="276" t="str">
        <f ca="1">IF($Y$3="申万一级行业",[1]!s_info_industry_sw_2021(W5105,公司分析!D$5,1),IF($Y$3="申万二级行业",[1]!s_info_industry_sw_2021(W5105,公司分析!D$5,2),IF($Y$3="申万三级行业",[1]!s_info_industry_sw_2021(W5105,公司分析!D$5,3),IF($Y$3="wind一级行业",[1]!s_info_industry_gics(W5105,1),IF($Y$3="wind二级行业",[1]!s_info_industry_gics(W5105,2),IF($Y$3="wind三级行业",[1]!s_info_industry_gics(W5105,3),IF($Y$3="wind四级行业",[1]!s_info_industry_gics(W5105,4),IF($Y$3="证监会门类行业",[1]!s_info_industry_csrc12_n(W5105,公司分析!D$5,1),""))))))))</f>
        <v>半导体</v>
      </c>
      <c r="Z5105" s="302" t="str">
        <f ca="1">IF(Y5105=行业比较!$E$6,ROW(),"")</f>
        <v/>
      </c>
    </row>
    <row r="5106" spans="22:26">
      <c r="V5106" s="260">
        <f t="shared" ca="1" si="88"/>
        <v>0</v>
      </c>
      <c r="W5106" s="348" t="str">
        <f>IF(板块成分!B5108="","",板块成分!B5108)</f>
        <v>688662.SH</v>
      </c>
      <c r="X5106" s="276" t="str">
        <f>[1]!S_Info_Name(W5106)</f>
        <v>富信科技</v>
      </c>
      <c r="Y5106" s="276" t="str">
        <f ca="1">IF($Y$3="申万一级行业",[1]!s_info_industry_sw_2021(W5106,公司分析!D$5,1),IF($Y$3="申万二级行业",[1]!s_info_industry_sw_2021(W5106,公司分析!D$5,2),IF($Y$3="申万三级行业",[1]!s_info_industry_sw_2021(W5106,公司分析!D$5,3),IF($Y$3="wind一级行业",[1]!s_info_industry_gics(W5106,1),IF($Y$3="wind二级行业",[1]!s_info_industry_gics(W5106,2),IF($Y$3="wind三级行业",[1]!s_info_industry_gics(W5106,3),IF($Y$3="wind四级行业",[1]!s_info_industry_gics(W5106,4),IF($Y$3="证监会门类行业",[1]!s_info_industry_csrc12_n(W5106,公司分析!D$5,1),""))))))))</f>
        <v>其他电子Ⅱ</v>
      </c>
      <c r="Z5106" s="302" t="str">
        <f ca="1">IF(Y5106=行业比较!$E$6,ROW(),"")</f>
        <v/>
      </c>
    </row>
    <row r="5107" spans="22:26">
      <c r="V5107" s="260">
        <f t="shared" ca="1" si="88"/>
        <v>0</v>
      </c>
      <c r="W5107" s="348" t="str">
        <f>IF(板块成分!B5109="","",板块成分!B5109)</f>
        <v>688663.SH</v>
      </c>
      <c r="X5107" s="276" t="str">
        <f>[1]!S_Info_Name(W5107)</f>
        <v>新风光</v>
      </c>
      <c r="Y5107" s="276" t="str">
        <f ca="1">IF($Y$3="申万一级行业",[1]!s_info_industry_sw_2021(W5107,公司分析!D$5,1),IF($Y$3="申万二级行业",[1]!s_info_industry_sw_2021(W5107,公司分析!D$5,2),IF($Y$3="申万三级行业",[1]!s_info_industry_sw_2021(W5107,公司分析!D$5,3),IF($Y$3="wind一级行业",[1]!s_info_industry_gics(W5107,1),IF($Y$3="wind二级行业",[1]!s_info_industry_gics(W5107,2),IF($Y$3="wind三级行业",[1]!s_info_industry_gics(W5107,3),IF($Y$3="wind四级行业",[1]!s_info_industry_gics(W5107,4),IF($Y$3="证监会门类行业",[1]!s_info_industry_csrc12_n(W5107,公司分析!D$5,1),""))))))))</f>
        <v>电网设备</v>
      </c>
      <c r="Z5107" s="302" t="str">
        <f ca="1">IF(Y5107=行业比较!$E$6,ROW(),"")</f>
        <v/>
      </c>
    </row>
    <row r="5108" spans="22:26">
      <c r="V5108" s="260">
        <f t="shared" ca="1" si="88"/>
        <v>0</v>
      </c>
      <c r="W5108" s="348" t="str">
        <f>IF(板块成分!B5110="","",板块成分!B5110)</f>
        <v>688665.SH</v>
      </c>
      <c r="X5108" s="276" t="str">
        <f>[1]!S_Info_Name(W5108)</f>
        <v>四方光电</v>
      </c>
      <c r="Y5108" s="276" t="str">
        <f ca="1">IF($Y$3="申万一级行业",[1]!s_info_industry_sw_2021(W5108,公司分析!D$5,1),IF($Y$3="申万二级行业",[1]!s_info_industry_sw_2021(W5108,公司分析!D$5,2),IF($Y$3="申万三级行业",[1]!s_info_industry_sw_2021(W5108,公司分析!D$5,3),IF($Y$3="wind一级行业",[1]!s_info_industry_gics(W5108,1),IF($Y$3="wind二级行业",[1]!s_info_industry_gics(W5108,2),IF($Y$3="wind三级行业",[1]!s_info_industry_gics(W5108,3),IF($Y$3="wind四级行业",[1]!s_info_industry_gics(W5108,4),IF($Y$3="证监会门类行业",[1]!s_info_industry_csrc12_n(W5108,公司分析!D$5,1),""))))))))</f>
        <v>通用设备</v>
      </c>
      <c r="Z5108" s="302" t="str">
        <f ca="1">IF(Y5108=行业比较!$E$6,ROW(),"")</f>
        <v/>
      </c>
    </row>
    <row r="5109" spans="22:26">
      <c r="V5109" s="260">
        <f t="shared" ca="1" si="88"/>
        <v>0</v>
      </c>
      <c r="W5109" s="348" t="str">
        <f>IF(板块成分!B5111="","",板块成分!B5111)</f>
        <v>688667.SH</v>
      </c>
      <c r="X5109" s="276" t="str">
        <f>[1]!S_Info_Name(W5109)</f>
        <v>菱电电控</v>
      </c>
      <c r="Y5109" s="276" t="str">
        <f ca="1">IF($Y$3="申万一级行业",[1]!s_info_industry_sw_2021(W5109,公司分析!D$5,1),IF($Y$3="申万二级行业",[1]!s_info_industry_sw_2021(W5109,公司分析!D$5,2),IF($Y$3="申万三级行业",[1]!s_info_industry_sw_2021(W5109,公司分析!D$5,3),IF($Y$3="wind一级行业",[1]!s_info_industry_gics(W5109,1),IF($Y$3="wind二级行业",[1]!s_info_industry_gics(W5109,2),IF($Y$3="wind三级行业",[1]!s_info_industry_gics(W5109,3),IF($Y$3="wind四级行业",[1]!s_info_industry_gics(W5109,4),IF($Y$3="证监会门类行业",[1]!s_info_industry_csrc12_n(W5109,公司分析!D$5,1),""))))))))</f>
        <v>汽车零部件</v>
      </c>
      <c r="Z5109" s="302" t="str">
        <f ca="1">IF(Y5109=行业比较!$E$6,ROW(),"")</f>
        <v/>
      </c>
    </row>
    <row r="5110" spans="22:26">
      <c r="V5110" s="260">
        <f t="shared" ca="1" si="88"/>
        <v>0</v>
      </c>
      <c r="W5110" s="348" t="str">
        <f>IF(板块成分!B5112="","",板块成分!B5112)</f>
        <v>688668.SH</v>
      </c>
      <c r="X5110" s="276" t="str">
        <f>[1]!S_Info_Name(W5110)</f>
        <v>鼎通科技</v>
      </c>
      <c r="Y5110" s="276" t="str">
        <f ca="1">IF($Y$3="申万一级行业",[1]!s_info_industry_sw_2021(W5110,公司分析!D$5,1),IF($Y$3="申万二级行业",[1]!s_info_industry_sw_2021(W5110,公司分析!D$5,2),IF($Y$3="申万三级行业",[1]!s_info_industry_sw_2021(W5110,公司分析!D$5,3),IF($Y$3="wind一级行业",[1]!s_info_industry_gics(W5110,1),IF($Y$3="wind二级行业",[1]!s_info_industry_gics(W5110,2),IF($Y$3="wind三级行业",[1]!s_info_industry_gics(W5110,3),IF($Y$3="wind四级行业",[1]!s_info_industry_gics(W5110,4),IF($Y$3="证监会门类行业",[1]!s_info_industry_csrc12_n(W5110,公司分析!D$5,1),""))))))))</f>
        <v>通信设备</v>
      </c>
      <c r="Z5110" s="302" t="str">
        <f ca="1">IF(Y5110=行业比较!$E$6,ROW(),"")</f>
        <v/>
      </c>
    </row>
    <row r="5111" spans="22:26">
      <c r="V5111" s="260">
        <f t="shared" ca="1" si="88"/>
        <v>0</v>
      </c>
      <c r="W5111" s="348" t="str">
        <f>IF(板块成分!B5113="","",板块成分!B5113)</f>
        <v>688669.SH</v>
      </c>
      <c r="X5111" s="276" t="str">
        <f>[1]!S_Info_Name(W5111)</f>
        <v>聚石化学</v>
      </c>
      <c r="Y5111" s="276" t="str">
        <f ca="1">IF($Y$3="申万一级行业",[1]!s_info_industry_sw_2021(W5111,公司分析!D$5,1),IF($Y$3="申万二级行业",[1]!s_info_industry_sw_2021(W5111,公司分析!D$5,2),IF($Y$3="申万三级行业",[1]!s_info_industry_sw_2021(W5111,公司分析!D$5,3),IF($Y$3="wind一级行业",[1]!s_info_industry_gics(W5111,1),IF($Y$3="wind二级行业",[1]!s_info_industry_gics(W5111,2),IF($Y$3="wind三级行业",[1]!s_info_industry_gics(W5111,3),IF($Y$3="wind四级行业",[1]!s_info_industry_gics(W5111,4),IF($Y$3="证监会门类行业",[1]!s_info_industry_csrc12_n(W5111,公司分析!D$5,1),""))))))))</f>
        <v>塑料</v>
      </c>
      <c r="Z5111" s="302" t="str">
        <f ca="1">IF(Y5111=行业比较!$E$6,ROW(),"")</f>
        <v/>
      </c>
    </row>
    <row r="5112" spans="22:26">
      <c r="V5112" s="260">
        <f t="shared" ca="1" si="88"/>
        <v>0</v>
      </c>
      <c r="W5112" s="348" t="str">
        <f>IF(板块成分!B5114="","",板块成分!B5114)</f>
        <v>688670.SH</v>
      </c>
      <c r="X5112" s="276" t="str">
        <f>[1]!S_Info_Name(W5112)</f>
        <v>金迪克</v>
      </c>
      <c r="Y5112" s="276" t="str">
        <f ca="1">IF($Y$3="申万一级行业",[1]!s_info_industry_sw_2021(W5112,公司分析!D$5,1),IF($Y$3="申万二级行业",[1]!s_info_industry_sw_2021(W5112,公司分析!D$5,2),IF($Y$3="申万三级行业",[1]!s_info_industry_sw_2021(W5112,公司分析!D$5,3),IF($Y$3="wind一级行业",[1]!s_info_industry_gics(W5112,1),IF($Y$3="wind二级行业",[1]!s_info_industry_gics(W5112,2),IF($Y$3="wind三级行业",[1]!s_info_industry_gics(W5112,3),IF($Y$3="wind四级行业",[1]!s_info_industry_gics(W5112,4),IF($Y$3="证监会门类行业",[1]!s_info_industry_csrc12_n(W5112,公司分析!D$5,1),""))))))))</f>
        <v>生物制品</v>
      </c>
      <c r="Z5112" s="302" t="str">
        <f ca="1">IF(Y5112=行业比较!$E$6,ROW(),"")</f>
        <v/>
      </c>
    </row>
    <row r="5113" spans="22:26">
      <c r="V5113" s="260">
        <f t="shared" ca="1" si="88"/>
        <v>0</v>
      </c>
      <c r="W5113" s="348" t="str">
        <f>IF(板块成分!B5115="","",板块成分!B5115)</f>
        <v>688671.SH</v>
      </c>
      <c r="X5113" s="276" t="str">
        <f>[1]!S_Info_Name(W5113)</f>
        <v>碧兴物联</v>
      </c>
      <c r="Y5113" s="276" t="str">
        <f ca="1">IF($Y$3="申万一级行业",[1]!s_info_industry_sw_2021(W5113,公司分析!D$5,1),IF($Y$3="申万二级行业",[1]!s_info_industry_sw_2021(W5113,公司分析!D$5,2),IF($Y$3="申万三级行业",[1]!s_info_industry_sw_2021(W5113,公司分析!D$5,3),IF($Y$3="wind一级行业",[1]!s_info_industry_gics(W5113,1),IF($Y$3="wind二级行业",[1]!s_info_industry_gics(W5113,2),IF($Y$3="wind三级行业",[1]!s_info_industry_gics(W5113,3),IF($Y$3="wind四级行业",[1]!s_info_industry_gics(W5113,4),IF($Y$3="证监会门类行业",[1]!s_info_industry_csrc12_n(W5113,公司分析!D$5,1),""))))))))</f>
        <v>环保设备Ⅱ</v>
      </c>
      <c r="Z5113" s="302" t="str">
        <f ca="1">IF(Y5113=行业比较!$E$6,ROW(),"")</f>
        <v/>
      </c>
    </row>
    <row r="5114" spans="22:26">
      <c r="V5114" s="260">
        <f t="shared" ca="1" si="88"/>
        <v>0</v>
      </c>
      <c r="W5114" s="348" t="str">
        <f>IF(板块成分!B5116="","",板块成分!B5116)</f>
        <v>688676.SH</v>
      </c>
      <c r="X5114" s="276" t="str">
        <f>[1]!S_Info_Name(W5114)</f>
        <v>金盘科技</v>
      </c>
      <c r="Y5114" s="276" t="str">
        <f ca="1">IF($Y$3="申万一级行业",[1]!s_info_industry_sw_2021(W5114,公司分析!D$5,1),IF($Y$3="申万二级行业",[1]!s_info_industry_sw_2021(W5114,公司分析!D$5,2),IF($Y$3="申万三级行业",[1]!s_info_industry_sw_2021(W5114,公司分析!D$5,3),IF($Y$3="wind一级行业",[1]!s_info_industry_gics(W5114,1),IF($Y$3="wind二级行业",[1]!s_info_industry_gics(W5114,2),IF($Y$3="wind三级行业",[1]!s_info_industry_gics(W5114,3),IF($Y$3="wind四级行业",[1]!s_info_industry_gics(W5114,4),IF($Y$3="证监会门类行业",[1]!s_info_industry_csrc12_n(W5114,公司分析!D$5,1),""))))))))</f>
        <v>电网设备</v>
      </c>
      <c r="Z5114" s="302" t="str">
        <f ca="1">IF(Y5114=行业比较!$E$6,ROW(),"")</f>
        <v/>
      </c>
    </row>
    <row r="5115" spans="22:26">
      <c r="V5115" s="260">
        <f t="shared" ca="1" si="88"/>
        <v>0</v>
      </c>
      <c r="W5115" s="348" t="str">
        <f>IF(板块成分!B5117="","",板块成分!B5117)</f>
        <v>688677.SH</v>
      </c>
      <c r="X5115" s="276" t="str">
        <f>[1]!S_Info_Name(W5115)</f>
        <v>海泰新光</v>
      </c>
      <c r="Y5115" s="276" t="str">
        <f ca="1">IF($Y$3="申万一级行业",[1]!s_info_industry_sw_2021(W5115,公司分析!D$5,1),IF($Y$3="申万二级行业",[1]!s_info_industry_sw_2021(W5115,公司分析!D$5,2),IF($Y$3="申万三级行业",[1]!s_info_industry_sw_2021(W5115,公司分析!D$5,3),IF($Y$3="wind一级行业",[1]!s_info_industry_gics(W5115,1),IF($Y$3="wind二级行业",[1]!s_info_industry_gics(W5115,2),IF($Y$3="wind三级行业",[1]!s_info_industry_gics(W5115,3),IF($Y$3="wind四级行业",[1]!s_info_industry_gics(W5115,4),IF($Y$3="证监会门类行业",[1]!s_info_industry_csrc12_n(W5115,公司分析!D$5,1),""))))))))</f>
        <v>医疗器械</v>
      </c>
      <c r="Z5115" s="302" t="str">
        <f ca="1">IF(Y5115=行业比较!$E$6,ROW(),"")</f>
        <v/>
      </c>
    </row>
    <row r="5116" spans="22:26">
      <c r="V5116" s="260">
        <f t="shared" ca="1" si="88"/>
        <v>0</v>
      </c>
      <c r="W5116" s="348" t="str">
        <f>IF(板块成分!B5118="","",板块成分!B5118)</f>
        <v>688678.SH</v>
      </c>
      <c r="X5116" s="276" t="str">
        <f>[1]!S_Info_Name(W5116)</f>
        <v>福立旺</v>
      </c>
      <c r="Y5116" s="276" t="str">
        <f ca="1">IF($Y$3="申万一级行业",[1]!s_info_industry_sw_2021(W5116,公司分析!D$5,1),IF($Y$3="申万二级行业",[1]!s_info_industry_sw_2021(W5116,公司分析!D$5,2),IF($Y$3="申万三级行业",[1]!s_info_industry_sw_2021(W5116,公司分析!D$5,3),IF($Y$3="wind一级行业",[1]!s_info_industry_gics(W5116,1),IF($Y$3="wind二级行业",[1]!s_info_industry_gics(W5116,2),IF($Y$3="wind三级行业",[1]!s_info_industry_gics(W5116,3),IF($Y$3="wind四级行业",[1]!s_info_industry_gics(W5116,4),IF($Y$3="证监会门类行业",[1]!s_info_industry_csrc12_n(W5116,公司分析!D$5,1),""))))))))</f>
        <v>消费电子</v>
      </c>
      <c r="Z5116" s="302" t="str">
        <f ca="1">IF(Y5116=行业比较!$E$6,ROW(),"")</f>
        <v/>
      </c>
    </row>
    <row r="5117" spans="22:26">
      <c r="V5117" s="260">
        <f t="shared" ca="1" si="88"/>
        <v>0</v>
      </c>
      <c r="W5117" s="348" t="str">
        <f>IF(板块成分!B5119="","",板块成分!B5119)</f>
        <v>688679.SH</v>
      </c>
      <c r="X5117" s="276" t="str">
        <f>[1]!S_Info_Name(W5117)</f>
        <v>通源环境</v>
      </c>
      <c r="Y5117" s="276" t="str">
        <f ca="1">IF($Y$3="申万一级行业",[1]!s_info_industry_sw_2021(W5117,公司分析!D$5,1),IF($Y$3="申万二级行业",[1]!s_info_industry_sw_2021(W5117,公司分析!D$5,2),IF($Y$3="申万三级行业",[1]!s_info_industry_sw_2021(W5117,公司分析!D$5,3),IF($Y$3="wind一级行业",[1]!s_info_industry_gics(W5117,1),IF($Y$3="wind二级行业",[1]!s_info_industry_gics(W5117,2),IF($Y$3="wind三级行业",[1]!s_info_industry_gics(W5117,3),IF($Y$3="wind四级行业",[1]!s_info_industry_gics(W5117,4),IF($Y$3="证监会门类行业",[1]!s_info_industry_csrc12_n(W5117,公司分析!D$5,1),""))))))))</f>
        <v>环境治理</v>
      </c>
      <c r="Z5117" s="302" t="str">
        <f ca="1">IF(Y5117=行业比较!$E$6,ROW(),"")</f>
        <v/>
      </c>
    </row>
    <row r="5118" spans="22:26">
      <c r="V5118" s="260">
        <f t="shared" ca="1" si="88"/>
        <v>0</v>
      </c>
      <c r="W5118" s="348" t="str">
        <f>IF(板块成分!B5120="","",板块成分!B5120)</f>
        <v>688680.SH</v>
      </c>
      <c r="X5118" s="276" t="str">
        <f>[1]!S_Info_Name(W5118)</f>
        <v>海优新材</v>
      </c>
      <c r="Y5118" s="276" t="str">
        <f ca="1">IF($Y$3="申万一级行业",[1]!s_info_industry_sw_2021(W5118,公司分析!D$5,1),IF($Y$3="申万二级行业",[1]!s_info_industry_sw_2021(W5118,公司分析!D$5,2),IF($Y$3="申万三级行业",[1]!s_info_industry_sw_2021(W5118,公司分析!D$5,3),IF($Y$3="wind一级行业",[1]!s_info_industry_gics(W5118,1),IF($Y$3="wind二级行业",[1]!s_info_industry_gics(W5118,2),IF($Y$3="wind三级行业",[1]!s_info_industry_gics(W5118,3),IF($Y$3="wind四级行业",[1]!s_info_industry_gics(W5118,4),IF($Y$3="证监会门类行业",[1]!s_info_industry_csrc12_n(W5118,公司分析!D$5,1),""))))))))</f>
        <v>光伏设备</v>
      </c>
      <c r="Z5118" s="302" t="str">
        <f ca="1">IF(Y5118=行业比较!$E$6,ROW(),"")</f>
        <v/>
      </c>
    </row>
    <row r="5119" spans="22:26">
      <c r="V5119" s="260">
        <f t="shared" ca="1" si="88"/>
        <v>0</v>
      </c>
      <c r="W5119" s="348" t="str">
        <f>IF(板块成分!B5121="","",板块成分!B5121)</f>
        <v>688681.SH</v>
      </c>
      <c r="X5119" s="276" t="str">
        <f>[1]!S_Info_Name(W5119)</f>
        <v>科汇股份</v>
      </c>
      <c r="Y5119" s="276" t="str">
        <f ca="1">IF($Y$3="申万一级行业",[1]!s_info_industry_sw_2021(W5119,公司分析!D$5,1),IF($Y$3="申万二级行业",[1]!s_info_industry_sw_2021(W5119,公司分析!D$5,2),IF($Y$3="申万三级行业",[1]!s_info_industry_sw_2021(W5119,公司分析!D$5,3),IF($Y$3="wind一级行业",[1]!s_info_industry_gics(W5119,1),IF($Y$3="wind二级行业",[1]!s_info_industry_gics(W5119,2),IF($Y$3="wind三级行业",[1]!s_info_industry_gics(W5119,3),IF($Y$3="wind四级行业",[1]!s_info_industry_gics(W5119,4),IF($Y$3="证监会门类行业",[1]!s_info_industry_csrc12_n(W5119,公司分析!D$5,1),""))))))))</f>
        <v>电网设备</v>
      </c>
      <c r="Z5119" s="302" t="str">
        <f ca="1">IF(Y5119=行业比较!$E$6,ROW(),"")</f>
        <v/>
      </c>
    </row>
    <row r="5120" spans="22:26">
      <c r="V5120" s="260">
        <f t="shared" ca="1" si="88"/>
        <v>0</v>
      </c>
      <c r="W5120" s="348" t="str">
        <f>IF(板块成分!B5122="","",板块成分!B5122)</f>
        <v>688682.SH</v>
      </c>
      <c r="X5120" s="276" t="str">
        <f>[1]!S_Info_Name(W5120)</f>
        <v>霍莱沃</v>
      </c>
      <c r="Y5120" s="276" t="str">
        <f ca="1">IF($Y$3="申万一级行业",[1]!s_info_industry_sw_2021(W5120,公司分析!D$5,1),IF($Y$3="申万二级行业",[1]!s_info_industry_sw_2021(W5120,公司分析!D$5,2),IF($Y$3="申万三级行业",[1]!s_info_industry_sw_2021(W5120,公司分析!D$5,3),IF($Y$3="wind一级行业",[1]!s_info_industry_gics(W5120,1),IF($Y$3="wind二级行业",[1]!s_info_industry_gics(W5120,2),IF($Y$3="wind三级行业",[1]!s_info_industry_gics(W5120,3),IF($Y$3="wind四级行业",[1]!s_info_industry_gics(W5120,4),IF($Y$3="证监会门类行业",[1]!s_info_industry_csrc12_n(W5120,公司分析!D$5,1),""))))))))</f>
        <v>军工电子Ⅱ</v>
      </c>
      <c r="Z5120" s="302" t="str">
        <f ca="1">IF(Y5120=行业比较!$E$6,ROW(),"")</f>
        <v/>
      </c>
    </row>
    <row r="5121" spans="22:26">
      <c r="V5121" s="260">
        <f t="shared" ca="1" si="88"/>
        <v>0</v>
      </c>
      <c r="W5121" s="348" t="str">
        <f>IF(板块成分!B5123="","",板块成分!B5123)</f>
        <v>688683.SH</v>
      </c>
      <c r="X5121" s="276" t="str">
        <f>[1]!S_Info_Name(W5121)</f>
        <v>莱尔科技</v>
      </c>
      <c r="Y5121" s="276" t="str">
        <f ca="1">IF($Y$3="申万一级行业",[1]!s_info_industry_sw_2021(W5121,公司分析!D$5,1),IF($Y$3="申万二级行业",[1]!s_info_industry_sw_2021(W5121,公司分析!D$5,2),IF($Y$3="申万三级行业",[1]!s_info_industry_sw_2021(W5121,公司分析!D$5,3),IF($Y$3="wind一级行业",[1]!s_info_industry_gics(W5121,1),IF($Y$3="wind二级行业",[1]!s_info_industry_gics(W5121,2),IF($Y$3="wind三级行业",[1]!s_info_industry_gics(W5121,3),IF($Y$3="wind四级行业",[1]!s_info_industry_gics(W5121,4),IF($Y$3="证监会门类行业",[1]!s_info_industry_csrc12_n(W5121,公司分析!D$5,1),""))))))))</f>
        <v>电子化学品Ⅱ</v>
      </c>
      <c r="Z5121" s="302" t="str">
        <f ca="1">IF(Y5121=行业比较!$E$6,ROW(),"")</f>
        <v/>
      </c>
    </row>
    <row r="5122" spans="22:26">
      <c r="V5122" s="260">
        <f t="shared" ca="1" si="88"/>
        <v>0</v>
      </c>
      <c r="W5122" s="348" t="str">
        <f>IF(板块成分!B5124="","",板块成分!B5124)</f>
        <v>688685.SH</v>
      </c>
      <c r="X5122" s="276" t="str">
        <f>[1]!S_Info_Name(W5122)</f>
        <v>迈信林</v>
      </c>
      <c r="Y5122" s="276" t="str">
        <f ca="1">IF($Y$3="申万一级行业",[1]!s_info_industry_sw_2021(W5122,公司分析!D$5,1),IF($Y$3="申万二级行业",[1]!s_info_industry_sw_2021(W5122,公司分析!D$5,2),IF($Y$3="申万三级行业",[1]!s_info_industry_sw_2021(W5122,公司分析!D$5,3),IF($Y$3="wind一级行业",[1]!s_info_industry_gics(W5122,1),IF($Y$3="wind二级行业",[1]!s_info_industry_gics(W5122,2),IF($Y$3="wind三级行业",[1]!s_info_industry_gics(W5122,3),IF($Y$3="wind四级行业",[1]!s_info_industry_gics(W5122,4),IF($Y$3="证监会门类行业",[1]!s_info_industry_csrc12_n(W5122,公司分析!D$5,1),""))))))))</f>
        <v>航空装备Ⅱ</v>
      </c>
      <c r="Z5122" s="302" t="str">
        <f ca="1">IF(Y5122=行业比较!$E$6,ROW(),"")</f>
        <v/>
      </c>
    </row>
    <row r="5123" spans="22:26">
      <c r="V5123" s="260">
        <f t="shared" ca="1" si="88"/>
        <v>0</v>
      </c>
      <c r="W5123" s="348" t="str">
        <f>IF(板块成分!B5125="","",板块成分!B5125)</f>
        <v>688686.SH</v>
      </c>
      <c r="X5123" s="276" t="str">
        <f>[1]!S_Info_Name(W5123)</f>
        <v>奥普特</v>
      </c>
      <c r="Y5123" s="276" t="str">
        <f ca="1">IF($Y$3="申万一级行业",[1]!s_info_industry_sw_2021(W5123,公司分析!D$5,1),IF($Y$3="申万二级行业",[1]!s_info_industry_sw_2021(W5123,公司分析!D$5,2),IF($Y$3="申万三级行业",[1]!s_info_industry_sw_2021(W5123,公司分析!D$5,3),IF($Y$3="wind一级行业",[1]!s_info_industry_gics(W5123,1),IF($Y$3="wind二级行业",[1]!s_info_industry_gics(W5123,2),IF($Y$3="wind三级行业",[1]!s_info_industry_gics(W5123,3),IF($Y$3="wind四级行业",[1]!s_info_industry_gics(W5123,4),IF($Y$3="证监会门类行业",[1]!s_info_industry_csrc12_n(W5123,公司分析!D$5,1),""))))))))</f>
        <v>自动化设备</v>
      </c>
      <c r="Z5123" s="302" t="str">
        <f ca="1">IF(Y5123=行业比较!$E$6,ROW(),"")</f>
        <v/>
      </c>
    </row>
    <row r="5124" spans="22:26">
      <c r="V5124" s="260">
        <f t="shared" ca="1" si="88"/>
        <v>0</v>
      </c>
      <c r="W5124" s="348" t="str">
        <f>IF(板块成分!B5126="","",板块成分!B5126)</f>
        <v>688687.SH</v>
      </c>
      <c r="X5124" s="276" t="str">
        <f>[1]!S_Info_Name(W5124)</f>
        <v>凯因科技</v>
      </c>
      <c r="Y5124" s="276" t="str">
        <f ca="1">IF($Y$3="申万一级行业",[1]!s_info_industry_sw_2021(W5124,公司分析!D$5,1),IF($Y$3="申万二级行业",[1]!s_info_industry_sw_2021(W5124,公司分析!D$5,2),IF($Y$3="申万三级行业",[1]!s_info_industry_sw_2021(W5124,公司分析!D$5,3),IF($Y$3="wind一级行业",[1]!s_info_industry_gics(W5124,1),IF($Y$3="wind二级行业",[1]!s_info_industry_gics(W5124,2),IF($Y$3="wind三级行业",[1]!s_info_industry_gics(W5124,3),IF($Y$3="wind四级行业",[1]!s_info_industry_gics(W5124,4),IF($Y$3="证监会门类行业",[1]!s_info_industry_csrc12_n(W5124,公司分析!D$5,1),""))))))))</f>
        <v>生物制品</v>
      </c>
      <c r="Z5124" s="302" t="str">
        <f ca="1">IF(Y5124=行业比较!$E$6,ROW(),"")</f>
        <v/>
      </c>
    </row>
    <row r="5125" spans="22:26">
      <c r="V5125" s="260">
        <f t="shared" ca="1" si="88"/>
        <v>0</v>
      </c>
      <c r="W5125" s="348" t="str">
        <f>IF(板块成分!B5127="","",板块成分!B5127)</f>
        <v>688689.SH</v>
      </c>
      <c r="X5125" s="276" t="str">
        <f>[1]!S_Info_Name(W5125)</f>
        <v>银河微电</v>
      </c>
      <c r="Y5125" s="276" t="str">
        <f ca="1">IF($Y$3="申万一级行业",[1]!s_info_industry_sw_2021(W5125,公司分析!D$5,1),IF($Y$3="申万二级行业",[1]!s_info_industry_sw_2021(W5125,公司分析!D$5,2),IF($Y$3="申万三级行业",[1]!s_info_industry_sw_2021(W5125,公司分析!D$5,3),IF($Y$3="wind一级行业",[1]!s_info_industry_gics(W5125,1),IF($Y$3="wind二级行业",[1]!s_info_industry_gics(W5125,2),IF($Y$3="wind三级行业",[1]!s_info_industry_gics(W5125,3),IF($Y$3="wind四级行业",[1]!s_info_industry_gics(W5125,4),IF($Y$3="证监会门类行业",[1]!s_info_industry_csrc12_n(W5125,公司分析!D$5,1),""))))))))</f>
        <v>半导体</v>
      </c>
      <c r="Z5125" s="302" t="str">
        <f ca="1">IF(Y5125=行业比较!$E$6,ROW(),"")</f>
        <v/>
      </c>
    </row>
    <row r="5126" spans="22:26">
      <c r="V5126" s="260">
        <f t="shared" ca="1" si="88"/>
        <v>0</v>
      </c>
      <c r="W5126" s="348" t="str">
        <f>IF(板块成分!B5128="","",板块成分!B5128)</f>
        <v>688690.SH</v>
      </c>
      <c r="X5126" s="276" t="str">
        <f>[1]!S_Info_Name(W5126)</f>
        <v>纳微科技</v>
      </c>
      <c r="Y5126" s="276" t="str">
        <f ca="1">IF($Y$3="申万一级行业",[1]!s_info_industry_sw_2021(W5126,公司分析!D$5,1),IF($Y$3="申万二级行业",[1]!s_info_industry_sw_2021(W5126,公司分析!D$5,2),IF($Y$3="申万三级行业",[1]!s_info_industry_sw_2021(W5126,公司分析!D$5,3),IF($Y$3="wind一级行业",[1]!s_info_industry_gics(W5126,1),IF($Y$3="wind二级行业",[1]!s_info_industry_gics(W5126,2),IF($Y$3="wind三级行业",[1]!s_info_industry_gics(W5126,3),IF($Y$3="wind四级行业",[1]!s_info_industry_gics(W5126,4),IF($Y$3="证监会门类行业",[1]!s_info_industry_csrc12_n(W5126,公司分析!D$5,1),""))))))))</f>
        <v>化学制药</v>
      </c>
      <c r="Z5126" s="302" t="str">
        <f ca="1">IF(Y5126=行业比较!$E$6,ROW(),"")</f>
        <v/>
      </c>
    </row>
    <row r="5127" spans="22:26">
      <c r="V5127" s="260">
        <f t="shared" ca="1" si="88"/>
        <v>0</v>
      </c>
      <c r="W5127" s="348" t="str">
        <f>IF(板块成分!B5129="","",板块成分!B5129)</f>
        <v>688691.SH</v>
      </c>
      <c r="X5127" s="276" t="str">
        <f>[1]!S_Info_Name(W5127)</f>
        <v>灿芯股份</v>
      </c>
      <c r="Y5127" s="276" t="str">
        <f ca="1">IF($Y$3="申万一级行业",[1]!s_info_industry_sw_2021(W5127,公司分析!D$5,1),IF($Y$3="申万二级行业",[1]!s_info_industry_sw_2021(W5127,公司分析!D$5,2),IF($Y$3="申万三级行业",[1]!s_info_industry_sw_2021(W5127,公司分析!D$5,3),IF($Y$3="wind一级行业",[1]!s_info_industry_gics(W5127,1),IF($Y$3="wind二级行业",[1]!s_info_industry_gics(W5127,2),IF($Y$3="wind三级行业",[1]!s_info_industry_gics(W5127,3),IF($Y$3="wind四级行业",[1]!s_info_industry_gics(W5127,4),IF($Y$3="证监会门类行业",[1]!s_info_industry_csrc12_n(W5127,公司分析!D$5,1),""))))))))</f>
        <v>半导体</v>
      </c>
      <c r="Z5127" s="302" t="str">
        <f ca="1">IF(Y5127=行业比较!$E$6,ROW(),"")</f>
        <v/>
      </c>
    </row>
    <row r="5128" spans="22:26">
      <c r="V5128" s="260">
        <f t="shared" ca="1" si="88"/>
        <v>0</v>
      </c>
      <c r="W5128" s="348" t="str">
        <f>IF(板块成分!B5130="","",板块成分!B5130)</f>
        <v>688692.SH</v>
      </c>
      <c r="X5128" s="276" t="str">
        <f>[1]!S_Info_Name(W5128)</f>
        <v>达梦数据</v>
      </c>
      <c r="Y5128" s="276" t="str">
        <f ca="1">IF($Y$3="申万一级行业",[1]!s_info_industry_sw_2021(W5128,公司分析!D$5,1),IF($Y$3="申万二级行业",[1]!s_info_industry_sw_2021(W5128,公司分析!D$5,2),IF($Y$3="申万三级行业",[1]!s_info_industry_sw_2021(W5128,公司分析!D$5,3),IF($Y$3="wind一级行业",[1]!s_info_industry_gics(W5128,1),IF($Y$3="wind二级行业",[1]!s_info_industry_gics(W5128,2),IF($Y$3="wind三级行业",[1]!s_info_industry_gics(W5128,3),IF($Y$3="wind四级行业",[1]!s_info_industry_gics(W5128,4),IF($Y$3="证监会门类行业",[1]!s_info_industry_csrc12_n(W5128,公司分析!D$5,1),""))))))))</f>
        <v>软件开发</v>
      </c>
      <c r="Z5128" s="302" t="str">
        <f ca="1">IF(Y5128=行业比较!$E$6,ROW(),"")</f>
        <v/>
      </c>
    </row>
    <row r="5129" spans="22:26">
      <c r="V5129" s="260">
        <f t="shared" ca="1" si="88"/>
        <v>0</v>
      </c>
      <c r="W5129" s="348" t="str">
        <f>IF(板块成分!B5131="","",板块成分!B5131)</f>
        <v>688693.SH</v>
      </c>
      <c r="X5129" s="276" t="str">
        <f>[1]!S_Info_Name(W5129)</f>
        <v>锴威特</v>
      </c>
      <c r="Y5129" s="276" t="str">
        <f ca="1">IF($Y$3="申万一级行业",[1]!s_info_industry_sw_2021(W5129,公司分析!D$5,1),IF($Y$3="申万二级行业",[1]!s_info_industry_sw_2021(W5129,公司分析!D$5,2),IF($Y$3="申万三级行业",[1]!s_info_industry_sw_2021(W5129,公司分析!D$5,3),IF($Y$3="wind一级行业",[1]!s_info_industry_gics(W5129,1),IF($Y$3="wind二级行业",[1]!s_info_industry_gics(W5129,2),IF($Y$3="wind三级行业",[1]!s_info_industry_gics(W5129,3),IF($Y$3="wind四级行业",[1]!s_info_industry_gics(W5129,4),IF($Y$3="证监会门类行业",[1]!s_info_industry_csrc12_n(W5129,公司分析!D$5,1),""))))))))</f>
        <v>半导体</v>
      </c>
      <c r="Z5129" s="302" t="str">
        <f ca="1">IF(Y5129=行业比较!$E$6,ROW(),"")</f>
        <v/>
      </c>
    </row>
    <row r="5130" spans="22:26">
      <c r="V5130" s="260">
        <f t="shared" ca="1" si="88"/>
        <v>0</v>
      </c>
      <c r="W5130" s="348" t="str">
        <f>IF(板块成分!B5132="","",板块成分!B5132)</f>
        <v>688695.SH</v>
      </c>
      <c r="X5130" s="276" t="str">
        <f>[1]!S_Info_Name(W5130)</f>
        <v>中创股份</v>
      </c>
      <c r="Y5130" s="276" t="str">
        <f ca="1">IF($Y$3="申万一级行业",[1]!s_info_industry_sw_2021(W5130,公司分析!D$5,1),IF($Y$3="申万二级行业",[1]!s_info_industry_sw_2021(W5130,公司分析!D$5,2),IF($Y$3="申万三级行业",[1]!s_info_industry_sw_2021(W5130,公司分析!D$5,3),IF($Y$3="wind一级行业",[1]!s_info_industry_gics(W5130,1),IF($Y$3="wind二级行业",[1]!s_info_industry_gics(W5130,2),IF($Y$3="wind三级行业",[1]!s_info_industry_gics(W5130,3),IF($Y$3="wind四级行业",[1]!s_info_industry_gics(W5130,4),IF($Y$3="证监会门类行业",[1]!s_info_industry_csrc12_n(W5130,公司分析!D$5,1),""))))))))</f>
        <v>软件开发</v>
      </c>
      <c r="Z5130" s="302" t="str">
        <f ca="1">IF(Y5130=行业比较!$E$6,ROW(),"")</f>
        <v/>
      </c>
    </row>
    <row r="5131" spans="22:26">
      <c r="V5131" s="260">
        <f t="shared" ca="1" si="88"/>
        <v>0</v>
      </c>
      <c r="W5131" s="348" t="str">
        <f>IF(板块成分!B5133="","",板块成分!B5133)</f>
        <v>688696.SH</v>
      </c>
      <c r="X5131" s="276" t="str">
        <f>[1]!S_Info_Name(W5131)</f>
        <v>极米科技</v>
      </c>
      <c r="Y5131" s="276" t="str">
        <f ca="1">IF($Y$3="申万一级行业",[1]!s_info_industry_sw_2021(W5131,公司分析!D$5,1),IF($Y$3="申万二级行业",[1]!s_info_industry_sw_2021(W5131,公司分析!D$5,2),IF($Y$3="申万三级行业",[1]!s_info_industry_sw_2021(W5131,公司分析!D$5,3),IF($Y$3="wind一级行业",[1]!s_info_industry_gics(W5131,1),IF($Y$3="wind二级行业",[1]!s_info_industry_gics(W5131,2),IF($Y$3="wind三级行业",[1]!s_info_industry_gics(W5131,3),IF($Y$3="wind四级行业",[1]!s_info_industry_gics(W5131,4),IF($Y$3="证监会门类行业",[1]!s_info_industry_csrc12_n(W5131,公司分析!D$5,1),""))))))))</f>
        <v>黑色家电</v>
      </c>
      <c r="Z5131" s="302" t="str">
        <f ca="1">IF(Y5131=行业比较!$E$6,ROW(),"")</f>
        <v/>
      </c>
    </row>
    <row r="5132" spans="22:26">
      <c r="V5132" s="260">
        <f t="shared" ca="1" si="88"/>
        <v>0</v>
      </c>
      <c r="W5132" s="348" t="str">
        <f>IF(板块成分!B5134="","",板块成分!B5134)</f>
        <v>688697.SH</v>
      </c>
      <c r="X5132" s="276" t="str">
        <f>[1]!S_Info_Name(W5132)</f>
        <v>纽威数控</v>
      </c>
      <c r="Y5132" s="276" t="str">
        <f ca="1">IF($Y$3="申万一级行业",[1]!s_info_industry_sw_2021(W5132,公司分析!D$5,1),IF($Y$3="申万二级行业",[1]!s_info_industry_sw_2021(W5132,公司分析!D$5,2),IF($Y$3="申万三级行业",[1]!s_info_industry_sw_2021(W5132,公司分析!D$5,3),IF($Y$3="wind一级行业",[1]!s_info_industry_gics(W5132,1),IF($Y$3="wind二级行业",[1]!s_info_industry_gics(W5132,2),IF($Y$3="wind三级行业",[1]!s_info_industry_gics(W5132,3),IF($Y$3="wind四级行业",[1]!s_info_industry_gics(W5132,4),IF($Y$3="证监会门类行业",[1]!s_info_industry_csrc12_n(W5132,公司分析!D$5,1),""))))))))</f>
        <v>通用设备</v>
      </c>
      <c r="Z5132" s="302" t="str">
        <f ca="1">IF(Y5132=行业比较!$E$6,ROW(),"")</f>
        <v/>
      </c>
    </row>
    <row r="5133" spans="22:26">
      <c r="V5133" s="260">
        <f t="shared" ca="1" si="88"/>
        <v>0</v>
      </c>
      <c r="W5133" s="348" t="str">
        <f>IF(板块成分!B5135="","",板块成分!B5135)</f>
        <v>688698.SH</v>
      </c>
      <c r="X5133" s="276" t="str">
        <f>[1]!S_Info_Name(W5133)</f>
        <v>伟创电气</v>
      </c>
      <c r="Y5133" s="276" t="str">
        <f ca="1">IF($Y$3="申万一级行业",[1]!s_info_industry_sw_2021(W5133,公司分析!D$5,1),IF($Y$3="申万二级行业",[1]!s_info_industry_sw_2021(W5133,公司分析!D$5,2),IF($Y$3="申万三级行业",[1]!s_info_industry_sw_2021(W5133,公司分析!D$5,3),IF($Y$3="wind一级行业",[1]!s_info_industry_gics(W5133,1),IF($Y$3="wind二级行业",[1]!s_info_industry_gics(W5133,2),IF($Y$3="wind三级行业",[1]!s_info_industry_gics(W5133,3),IF($Y$3="wind四级行业",[1]!s_info_industry_gics(W5133,4),IF($Y$3="证监会门类行业",[1]!s_info_industry_csrc12_n(W5133,公司分析!D$5,1),""))))))))</f>
        <v>自动化设备</v>
      </c>
      <c r="Z5133" s="302" t="str">
        <f ca="1">IF(Y5133=行业比较!$E$6,ROW(),"")</f>
        <v/>
      </c>
    </row>
    <row r="5134" spans="22:26">
      <c r="V5134" s="260">
        <f t="shared" ca="1" si="88"/>
        <v>0</v>
      </c>
      <c r="W5134" s="348" t="str">
        <f>IF(板块成分!B5136="","",板块成分!B5136)</f>
        <v>688699.SH</v>
      </c>
      <c r="X5134" s="276" t="str">
        <f>[1]!S_Info_Name(W5134)</f>
        <v>明微电子</v>
      </c>
      <c r="Y5134" s="276" t="str">
        <f ca="1">IF($Y$3="申万一级行业",[1]!s_info_industry_sw_2021(W5134,公司分析!D$5,1),IF($Y$3="申万二级行业",[1]!s_info_industry_sw_2021(W5134,公司分析!D$5,2),IF($Y$3="申万三级行业",[1]!s_info_industry_sw_2021(W5134,公司分析!D$5,3),IF($Y$3="wind一级行业",[1]!s_info_industry_gics(W5134,1),IF($Y$3="wind二级行业",[1]!s_info_industry_gics(W5134,2),IF($Y$3="wind三级行业",[1]!s_info_industry_gics(W5134,3),IF($Y$3="wind四级行业",[1]!s_info_industry_gics(W5134,4),IF($Y$3="证监会门类行业",[1]!s_info_industry_csrc12_n(W5134,公司分析!D$5,1),""))))))))</f>
        <v>半导体</v>
      </c>
      <c r="Z5134" s="302" t="str">
        <f ca="1">IF(Y5134=行业比较!$E$6,ROW(),"")</f>
        <v/>
      </c>
    </row>
    <row r="5135" spans="22:26">
      <c r="V5135" s="260">
        <f t="shared" ca="1" si="88"/>
        <v>0</v>
      </c>
      <c r="W5135" s="348" t="str">
        <f>IF(板块成分!B5137="","",板块成分!B5137)</f>
        <v>688700.SH</v>
      </c>
      <c r="X5135" s="276" t="str">
        <f>[1]!S_Info_Name(W5135)</f>
        <v>东威科技</v>
      </c>
      <c r="Y5135" s="276" t="str">
        <f ca="1">IF($Y$3="申万一级行业",[1]!s_info_industry_sw_2021(W5135,公司分析!D$5,1),IF($Y$3="申万二级行业",[1]!s_info_industry_sw_2021(W5135,公司分析!D$5,2),IF($Y$3="申万三级行业",[1]!s_info_industry_sw_2021(W5135,公司分析!D$5,3),IF($Y$3="wind一级行业",[1]!s_info_industry_gics(W5135,1),IF($Y$3="wind二级行业",[1]!s_info_industry_gics(W5135,2),IF($Y$3="wind三级行业",[1]!s_info_industry_gics(W5135,3),IF($Y$3="wind四级行业",[1]!s_info_industry_gics(W5135,4),IF($Y$3="证监会门类行业",[1]!s_info_industry_csrc12_n(W5135,公司分析!D$5,1),""))))))))</f>
        <v>专用设备</v>
      </c>
      <c r="Z5135" s="302" t="str">
        <f ca="1">IF(Y5135=行业比较!$E$6,ROW(),"")</f>
        <v/>
      </c>
    </row>
    <row r="5136" spans="22:26">
      <c r="V5136" s="260">
        <f t="shared" ca="1" si="88"/>
        <v>0</v>
      </c>
      <c r="W5136" s="348" t="str">
        <f>IF(板块成分!B5138="","",板块成分!B5138)</f>
        <v>688701.SH</v>
      </c>
      <c r="X5136" s="276" t="str">
        <f>[1]!S_Info_Name(W5136)</f>
        <v>卓锦股份</v>
      </c>
      <c r="Y5136" s="276" t="str">
        <f ca="1">IF($Y$3="申万一级行业",[1]!s_info_industry_sw_2021(W5136,公司分析!D$5,1),IF($Y$3="申万二级行业",[1]!s_info_industry_sw_2021(W5136,公司分析!D$5,2),IF($Y$3="申万三级行业",[1]!s_info_industry_sw_2021(W5136,公司分析!D$5,3),IF($Y$3="wind一级行业",[1]!s_info_industry_gics(W5136,1),IF($Y$3="wind二级行业",[1]!s_info_industry_gics(W5136,2),IF($Y$3="wind三级行业",[1]!s_info_industry_gics(W5136,3),IF($Y$3="wind四级行业",[1]!s_info_industry_gics(W5136,4),IF($Y$3="证监会门类行业",[1]!s_info_industry_csrc12_n(W5136,公司分析!D$5,1),""))))))))</f>
        <v>环境治理</v>
      </c>
      <c r="Z5136" s="302" t="str">
        <f ca="1">IF(Y5136=行业比较!$E$6,ROW(),"")</f>
        <v/>
      </c>
    </row>
    <row r="5137" spans="22:26">
      <c r="V5137" s="260">
        <f t="shared" ca="1" si="88"/>
        <v>0</v>
      </c>
      <c r="W5137" s="348" t="str">
        <f>IF(板块成分!B5139="","",板块成分!B5139)</f>
        <v>688702.SH</v>
      </c>
      <c r="X5137" s="276" t="str">
        <f>[1]!S_Info_Name(W5137)</f>
        <v>盛科通信-U</v>
      </c>
      <c r="Y5137" s="276" t="str">
        <f ca="1">IF($Y$3="申万一级行业",[1]!s_info_industry_sw_2021(W5137,公司分析!D$5,1),IF($Y$3="申万二级行业",[1]!s_info_industry_sw_2021(W5137,公司分析!D$5,2),IF($Y$3="申万三级行业",[1]!s_info_industry_sw_2021(W5137,公司分析!D$5,3),IF($Y$3="wind一级行业",[1]!s_info_industry_gics(W5137,1),IF($Y$3="wind二级行业",[1]!s_info_industry_gics(W5137,2),IF($Y$3="wind三级行业",[1]!s_info_industry_gics(W5137,3),IF($Y$3="wind四级行业",[1]!s_info_industry_gics(W5137,4),IF($Y$3="证监会门类行业",[1]!s_info_industry_csrc12_n(W5137,公司分析!D$5,1),""))))))))</f>
        <v>半导体</v>
      </c>
      <c r="Z5137" s="302" t="str">
        <f ca="1">IF(Y5137=行业比较!$E$6,ROW(),"")</f>
        <v/>
      </c>
    </row>
    <row r="5138" spans="22:26">
      <c r="V5138" s="260">
        <f t="shared" ca="1" si="88"/>
        <v>0</v>
      </c>
      <c r="W5138" s="348" t="str">
        <f>IF(板块成分!B5140="","",板块成分!B5140)</f>
        <v>688707.SH</v>
      </c>
      <c r="X5138" s="276" t="str">
        <f>[1]!S_Info_Name(W5138)</f>
        <v>振华新材</v>
      </c>
      <c r="Y5138" s="276" t="str">
        <f ca="1">IF($Y$3="申万一级行业",[1]!s_info_industry_sw_2021(W5138,公司分析!D$5,1),IF($Y$3="申万二级行业",[1]!s_info_industry_sw_2021(W5138,公司分析!D$5,2),IF($Y$3="申万三级行业",[1]!s_info_industry_sw_2021(W5138,公司分析!D$5,3),IF($Y$3="wind一级行业",[1]!s_info_industry_gics(W5138,1),IF($Y$3="wind二级行业",[1]!s_info_industry_gics(W5138,2),IF($Y$3="wind三级行业",[1]!s_info_industry_gics(W5138,3),IF($Y$3="wind四级行业",[1]!s_info_industry_gics(W5138,4),IF($Y$3="证监会门类行业",[1]!s_info_industry_csrc12_n(W5138,公司分析!D$5,1),""))))))))</f>
        <v>电池</v>
      </c>
      <c r="Z5138" s="302" t="str">
        <f ca="1">IF(Y5138=行业比较!$E$6,ROW(),"")</f>
        <v/>
      </c>
    </row>
    <row r="5139" spans="22:26">
      <c r="V5139" s="260">
        <f t="shared" ca="1" si="88"/>
        <v>0</v>
      </c>
      <c r="W5139" s="348" t="str">
        <f>IF(板块成分!B5141="","",板块成分!B5141)</f>
        <v>688708.SH</v>
      </c>
      <c r="X5139" s="276" t="str">
        <f>[1]!S_Info_Name(W5139)</f>
        <v>佳驰科技</v>
      </c>
      <c r="Y5139" s="276" t="str">
        <f ca="1">IF($Y$3="申万一级行业",[1]!s_info_industry_sw_2021(W5139,公司分析!D$5,1),IF($Y$3="申万二级行业",[1]!s_info_industry_sw_2021(W5139,公司分析!D$5,2),IF($Y$3="申万三级行业",[1]!s_info_industry_sw_2021(W5139,公司分析!D$5,3),IF($Y$3="wind一级行业",[1]!s_info_industry_gics(W5139,1),IF($Y$3="wind二级行业",[1]!s_info_industry_gics(W5139,2),IF($Y$3="wind三级行业",[1]!s_info_industry_gics(W5139,3),IF($Y$3="wind四级行业",[1]!s_info_industry_gics(W5139,4),IF($Y$3="证监会门类行业",[1]!s_info_industry_csrc12_n(W5139,公司分析!D$5,1),""))))))))</f>
        <v>航空装备Ⅱ</v>
      </c>
      <c r="Z5139" s="302" t="str">
        <f ca="1">IF(Y5139=行业比较!$E$6,ROW(),"")</f>
        <v/>
      </c>
    </row>
    <row r="5140" spans="22:26">
      <c r="V5140" s="260">
        <f t="shared" ca="1" si="88"/>
        <v>0</v>
      </c>
      <c r="W5140" s="348" t="str">
        <f>IF(板块成分!B5142="","",板块成分!B5142)</f>
        <v>688709.SH</v>
      </c>
      <c r="X5140" s="276" t="str">
        <f>[1]!S_Info_Name(W5140)</f>
        <v>成都华微</v>
      </c>
      <c r="Y5140" s="276" t="str">
        <f ca="1">IF($Y$3="申万一级行业",[1]!s_info_industry_sw_2021(W5140,公司分析!D$5,1),IF($Y$3="申万二级行业",[1]!s_info_industry_sw_2021(W5140,公司分析!D$5,2),IF($Y$3="申万三级行业",[1]!s_info_industry_sw_2021(W5140,公司分析!D$5,3),IF($Y$3="wind一级行业",[1]!s_info_industry_gics(W5140,1),IF($Y$3="wind二级行业",[1]!s_info_industry_gics(W5140,2),IF($Y$3="wind三级行业",[1]!s_info_industry_gics(W5140,3),IF($Y$3="wind四级行业",[1]!s_info_industry_gics(W5140,4),IF($Y$3="证监会门类行业",[1]!s_info_industry_csrc12_n(W5140,公司分析!D$5,1),""))))))))</f>
        <v>半导体</v>
      </c>
      <c r="Z5140" s="302" t="str">
        <f ca="1">IF(Y5140=行业比较!$E$6,ROW(),"")</f>
        <v/>
      </c>
    </row>
    <row r="5141" spans="22:26">
      <c r="V5141" s="260">
        <f t="shared" ca="1" si="88"/>
        <v>0</v>
      </c>
      <c r="W5141" s="348" t="str">
        <f>IF(板块成分!B5143="","",板块成分!B5143)</f>
        <v>688710.SH</v>
      </c>
      <c r="X5141" s="276" t="str">
        <f>[1]!S_Info_Name(W5141)</f>
        <v>益诺思</v>
      </c>
      <c r="Y5141" s="276" t="str">
        <f ca="1">IF($Y$3="申万一级行业",[1]!s_info_industry_sw_2021(W5141,公司分析!D$5,1),IF($Y$3="申万二级行业",[1]!s_info_industry_sw_2021(W5141,公司分析!D$5,2),IF($Y$3="申万三级行业",[1]!s_info_industry_sw_2021(W5141,公司分析!D$5,3),IF($Y$3="wind一级行业",[1]!s_info_industry_gics(W5141,1),IF($Y$3="wind二级行业",[1]!s_info_industry_gics(W5141,2),IF($Y$3="wind三级行业",[1]!s_info_industry_gics(W5141,3),IF($Y$3="wind四级行业",[1]!s_info_industry_gics(W5141,4),IF($Y$3="证监会门类行业",[1]!s_info_industry_csrc12_n(W5141,公司分析!D$5,1),""))))))))</f>
        <v>医疗服务</v>
      </c>
      <c r="Z5141" s="302" t="str">
        <f ca="1">IF(Y5141=行业比较!$E$6,ROW(),"")</f>
        <v/>
      </c>
    </row>
    <row r="5142" spans="22:26">
      <c r="V5142" s="260">
        <f t="shared" ca="1" si="88"/>
        <v>0</v>
      </c>
      <c r="W5142" s="348" t="str">
        <f>IF(板块成分!B5144="","",板块成分!B5144)</f>
        <v>688711.SH</v>
      </c>
      <c r="X5142" s="276" t="str">
        <f>[1]!S_Info_Name(W5142)</f>
        <v>宏微科技</v>
      </c>
      <c r="Y5142" s="276" t="str">
        <f ca="1">IF($Y$3="申万一级行业",[1]!s_info_industry_sw_2021(W5142,公司分析!D$5,1),IF($Y$3="申万二级行业",[1]!s_info_industry_sw_2021(W5142,公司分析!D$5,2),IF($Y$3="申万三级行业",[1]!s_info_industry_sw_2021(W5142,公司分析!D$5,3),IF($Y$3="wind一级行业",[1]!s_info_industry_gics(W5142,1),IF($Y$3="wind二级行业",[1]!s_info_industry_gics(W5142,2),IF($Y$3="wind三级行业",[1]!s_info_industry_gics(W5142,3),IF($Y$3="wind四级行业",[1]!s_info_industry_gics(W5142,4),IF($Y$3="证监会门类行业",[1]!s_info_industry_csrc12_n(W5142,公司分析!D$5,1),""))))))))</f>
        <v>半导体</v>
      </c>
      <c r="Z5142" s="302" t="str">
        <f ca="1">IF(Y5142=行业比较!$E$6,ROW(),"")</f>
        <v/>
      </c>
    </row>
    <row r="5143" spans="22:26">
      <c r="V5143" s="260">
        <f t="shared" ca="1" si="88"/>
        <v>0</v>
      </c>
      <c r="W5143" s="348" t="str">
        <f>IF(板块成分!B5145="","",板块成分!B5145)</f>
        <v>688712.SH</v>
      </c>
      <c r="X5143" s="276" t="str">
        <f>[1]!S_Info_Name(W5143)</f>
        <v>北芯生命-U</v>
      </c>
      <c r="Y5143" s="276" t="str">
        <f ca="1">IF($Y$3="申万一级行业",[1]!s_info_industry_sw_2021(W5143,公司分析!D$5,1),IF($Y$3="申万二级行业",[1]!s_info_industry_sw_2021(W5143,公司分析!D$5,2),IF($Y$3="申万三级行业",[1]!s_info_industry_sw_2021(W5143,公司分析!D$5,3),IF($Y$3="wind一级行业",[1]!s_info_industry_gics(W5143,1),IF($Y$3="wind二级行业",[1]!s_info_industry_gics(W5143,2),IF($Y$3="wind三级行业",[1]!s_info_industry_gics(W5143,3),IF($Y$3="wind四级行业",[1]!s_info_industry_gics(W5143,4),IF($Y$3="证监会门类行业",[1]!s_info_industry_csrc12_n(W5143,公司分析!D$5,1),""))))))))</f>
        <v>医疗器械</v>
      </c>
      <c r="Z5143" s="302" t="str">
        <f ca="1">IF(Y5143=行业比较!$E$6,ROW(),"")</f>
        <v/>
      </c>
    </row>
    <row r="5144" spans="22:26">
      <c r="V5144" s="260">
        <f t="shared" ca="1" si="88"/>
        <v>0</v>
      </c>
      <c r="W5144" s="348" t="str">
        <f>IF(板块成分!B5146="","",板块成分!B5146)</f>
        <v>688716.SH</v>
      </c>
      <c r="X5144" s="276" t="str">
        <f>[1]!S_Info_Name(W5144)</f>
        <v>中研股份</v>
      </c>
      <c r="Y5144" s="276" t="str">
        <f ca="1">IF($Y$3="申万一级行业",[1]!s_info_industry_sw_2021(W5144,公司分析!D$5,1),IF($Y$3="申万二级行业",[1]!s_info_industry_sw_2021(W5144,公司分析!D$5,2),IF($Y$3="申万三级行业",[1]!s_info_industry_sw_2021(W5144,公司分析!D$5,3),IF($Y$3="wind一级行业",[1]!s_info_industry_gics(W5144,1),IF($Y$3="wind二级行业",[1]!s_info_industry_gics(W5144,2),IF($Y$3="wind三级行业",[1]!s_info_industry_gics(W5144,3),IF($Y$3="wind四级行业",[1]!s_info_industry_gics(W5144,4),IF($Y$3="证监会门类行业",[1]!s_info_industry_csrc12_n(W5144,公司分析!D$5,1),""))))))))</f>
        <v>塑料</v>
      </c>
      <c r="Z5144" s="302" t="str">
        <f ca="1">IF(Y5144=行业比较!$E$6,ROW(),"")</f>
        <v/>
      </c>
    </row>
    <row r="5145" spans="22:26">
      <c r="V5145" s="260">
        <f t="shared" ca="1" si="88"/>
        <v>0</v>
      </c>
      <c r="W5145" s="348" t="str">
        <f>IF(板块成分!B5147="","",板块成分!B5147)</f>
        <v>688717.SH</v>
      </c>
      <c r="X5145" s="276" t="str">
        <f>[1]!S_Info_Name(W5145)</f>
        <v>艾罗能源</v>
      </c>
      <c r="Y5145" s="276" t="str">
        <f ca="1">IF($Y$3="申万一级行业",[1]!s_info_industry_sw_2021(W5145,公司分析!D$5,1),IF($Y$3="申万二级行业",[1]!s_info_industry_sw_2021(W5145,公司分析!D$5,2),IF($Y$3="申万三级行业",[1]!s_info_industry_sw_2021(W5145,公司分析!D$5,3),IF($Y$3="wind一级行业",[1]!s_info_industry_gics(W5145,1),IF($Y$3="wind二级行业",[1]!s_info_industry_gics(W5145,2),IF($Y$3="wind三级行业",[1]!s_info_industry_gics(W5145,3),IF($Y$3="wind四级行业",[1]!s_info_industry_gics(W5145,4),IF($Y$3="证监会门类行业",[1]!s_info_industry_csrc12_n(W5145,公司分析!D$5,1),""))))))))</f>
        <v>光伏设备</v>
      </c>
      <c r="Z5145" s="302" t="str">
        <f ca="1">IF(Y5145=行业比较!$E$6,ROW(),"")</f>
        <v/>
      </c>
    </row>
    <row r="5146" spans="22:26">
      <c r="V5146" s="260">
        <f t="shared" ca="1" si="88"/>
        <v>0</v>
      </c>
      <c r="W5146" s="348" t="str">
        <f>IF(板块成分!B5148="","",板块成分!B5148)</f>
        <v>688718.SH</v>
      </c>
      <c r="X5146" s="276" t="str">
        <f>[1]!S_Info_Name(W5146)</f>
        <v>唯赛勃</v>
      </c>
      <c r="Y5146" s="276" t="str">
        <f ca="1">IF($Y$3="申万一级行业",[1]!s_info_industry_sw_2021(W5146,公司分析!D$5,1),IF($Y$3="申万二级行业",[1]!s_info_industry_sw_2021(W5146,公司分析!D$5,2),IF($Y$3="申万三级行业",[1]!s_info_industry_sw_2021(W5146,公司分析!D$5,3),IF($Y$3="wind一级行业",[1]!s_info_industry_gics(W5146,1),IF($Y$3="wind二级行业",[1]!s_info_industry_gics(W5146,2),IF($Y$3="wind三级行业",[1]!s_info_industry_gics(W5146,3),IF($Y$3="wind四级行业",[1]!s_info_industry_gics(W5146,4),IF($Y$3="证监会门类行业",[1]!s_info_industry_csrc12_n(W5146,公司分析!D$5,1),""))))))))</f>
        <v>塑料</v>
      </c>
      <c r="Z5146" s="302" t="str">
        <f ca="1">IF(Y5146=行业比较!$E$6,ROW(),"")</f>
        <v/>
      </c>
    </row>
    <row r="5147" spans="22:26">
      <c r="V5147" s="260">
        <f t="shared" ca="1" si="88"/>
        <v>0</v>
      </c>
      <c r="W5147" s="348" t="str">
        <f>IF(板块成分!B5149="","",板块成分!B5149)</f>
        <v>688719.SH</v>
      </c>
      <c r="X5147" s="276" t="str">
        <f>[1]!S_Info_Name(W5147)</f>
        <v>爱科赛博</v>
      </c>
      <c r="Y5147" s="276" t="str">
        <f ca="1">IF($Y$3="申万一级行业",[1]!s_info_industry_sw_2021(W5147,公司分析!D$5,1),IF($Y$3="申万二级行业",[1]!s_info_industry_sw_2021(W5147,公司分析!D$5,2),IF($Y$3="申万三级行业",[1]!s_info_industry_sw_2021(W5147,公司分析!D$5,3),IF($Y$3="wind一级行业",[1]!s_info_industry_gics(W5147,1),IF($Y$3="wind二级行业",[1]!s_info_industry_gics(W5147,2),IF($Y$3="wind三级行业",[1]!s_info_industry_gics(W5147,3),IF($Y$3="wind四级行业",[1]!s_info_industry_gics(W5147,4),IF($Y$3="证监会门类行业",[1]!s_info_industry_csrc12_n(W5147,公司分析!D$5,1),""))))))))</f>
        <v>其他电源设备Ⅱ</v>
      </c>
      <c r="Z5147" s="302" t="str">
        <f ca="1">IF(Y5147=行业比较!$E$6,ROW(),"")</f>
        <v/>
      </c>
    </row>
    <row r="5148" spans="22:26">
      <c r="V5148" s="260">
        <f t="shared" ca="1" si="88"/>
        <v>0</v>
      </c>
      <c r="W5148" s="348" t="str">
        <f>IF(板块成分!B5150="","",板块成分!B5150)</f>
        <v>688720.SH</v>
      </c>
      <c r="X5148" s="276" t="str">
        <f>[1]!S_Info_Name(W5148)</f>
        <v>艾森股份</v>
      </c>
      <c r="Y5148" s="276" t="str">
        <f ca="1">IF($Y$3="申万一级行业",[1]!s_info_industry_sw_2021(W5148,公司分析!D$5,1),IF($Y$3="申万二级行业",[1]!s_info_industry_sw_2021(W5148,公司分析!D$5,2),IF($Y$3="申万三级行业",[1]!s_info_industry_sw_2021(W5148,公司分析!D$5,3),IF($Y$3="wind一级行业",[1]!s_info_industry_gics(W5148,1),IF($Y$3="wind二级行业",[1]!s_info_industry_gics(W5148,2),IF($Y$3="wind三级行业",[1]!s_info_industry_gics(W5148,3),IF($Y$3="wind四级行业",[1]!s_info_industry_gics(W5148,4),IF($Y$3="证监会门类行业",[1]!s_info_industry_csrc12_n(W5148,公司分析!D$5,1),""))))))))</f>
        <v>半导体</v>
      </c>
      <c r="Z5148" s="302" t="str">
        <f ca="1">IF(Y5148=行业比较!$E$6,ROW(),"")</f>
        <v/>
      </c>
    </row>
    <row r="5149" spans="22:26">
      <c r="V5149" s="260">
        <f t="shared" ca="1" si="88"/>
        <v>0</v>
      </c>
      <c r="W5149" s="348" t="str">
        <f>IF(板块成分!B5151="","",板块成分!B5151)</f>
        <v>688721.SH</v>
      </c>
      <c r="X5149" s="276" t="str">
        <f>[1]!S_Info_Name(W5149)</f>
        <v>龙图光罩</v>
      </c>
      <c r="Y5149" s="276" t="str">
        <f ca="1">IF($Y$3="申万一级行业",[1]!s_info_industry_sw_2021(W5149,公司分析!D$5,1),IF($Y$3="申万二级行业",[1]!s_info_industry_sw_2021(W5149,公司分析!D$5,2),IF($Y$3="申万三级行业",[1]!s_info_industry_sw_2021(W5149,公司分析!D$5,3),IF($Y$3="wind一级行业",[1]!s_info_industry_gics(W5149,1),IF($Y$3="wind二级行业",[1]!s_info_industry_gics(W5149,2),IF($Y$3="wind三级行业",[1]!s_info_industry_gics(W5149,3),IF($Y$3="wind四级行业",[1]!s_info_industry_gics(W5149,4),IF($Y$3="证监会门类行业",[1]!s_info_industry_csrc12_n(W5149,公司分析!D$5,1),""))))))))</f>
        <v>半导体</v>
      </c>
      <c r="Z5149" s="302" t="str">
        <f ca="1">IF(Y5149=行业比较!$E$6,ROW(),"")</f>
        <v/>
      </c>
    </row>
    <row r="5150" spans="22:26">
      <c r="V5150" s="260">
        <f t="shared" ca="1" si="88"/>
        <v>0</v>
      </c>
      <c r="W5150" s="348" t="str">
        <f>IF(板块成分!B5152="","",板块成分!B5152)</f>
        <v>688722.SH</v>
      </c>
      <c r="X5150" s="276" t="str">
        <f>[1]!S_Info_Name(W5150)</f>
        <v>同益中</v>
      </c>
      <c r="Y5150" s="276" t="str">
        <f ca="1">IF($Y$3="申万一级行业",[1]!s_info_industry_sw_2021(W5150,公司分析!D$5,1),IF($Y$3="申万二级行业",[1]!s_info_industry_sw_2021(W5150,公司分析!D$5,2),IF($Y$3="申万三级行业",[1]!s_info_industry_sw_2021(W5150,公司分析!D$5,3),IF($Y$3="wind一级行业",[1]!s_info_industry_gics(W5150,1),IF($Y$3="wind二级行业",[1]!s_info_industry_gics(W5150,2),IF($Y$3="wind三级行业",[1]!s_info_industry_gics(W5150,3),IF($Y$3="wind四级行业",[1]!s_info_industry_gics(W5150,4),IF($Y$3="证监会门类行业",[1]!s_info_industry_csrc12_n(W5150,公司分析!D$5,1),""))))))))</f>
        <v>化学纤维</v>
      </c>
      <c r="Z5150" s="302" t="str">
        <f ca="1">IF(Y5150=行业比较!$E$6,ROW(),"")</f>
        <v/>
      </c>
    </row>
    <row r="5151" spans="22:26">
      <c r="V5151" s="260">
        <f t="shared" ca="1" si="88"/>
        <v>0</v>
      </c>
      <c r="W5151" s="348" t="str">
        <f>IF(板块成分!B5153="","",板块成分!B5153)</f>
        <v>688726.SH</v>
      </c>
      <c r="X5151" s="276" t="str">
        <f>[1]!S_Info_Name(W5151)</f>
        <v>拉普拉斯</v>
      </c>
      <c r="Y5151" s="276" t="str">
        <f ca="1">IF($Y$3="申万一级行业",[1]!s_info_industry_sw_2021(W5151,公司分析!D$5,1),IF($Y$3="申万二级行业",[1]!s_info_industry_sw_2021(W5151,公司分析!D$5,2),IF($Y$3="申万三级行业",[1]!s_info_industry_sw_2021(W5151,公司分析!D$5,3),IF($Y$3="wind一级行业",[1]!s_info_industry_gics(W5151,1),IF($Y$3="wind二级行业",[1]!s_info_industry_gics(W5151,2),IF($Y$3="wind三级行业",[1]!s_info_industry_gics(W5151,3),IF($Y$3="wind四级行业",[1]!s_info_industry_gics(W5151,4),IF($Y$3="证监会门类行业",[1]!s_info_industry_csrc12_n(W5151,公司分析!D$5,1),""))))))))</f>
        <v>光伏设备</v>
      </c>
      <c r="Z5151" s="302" t="str">
        <f ca="1">IF(Y5151=行业比较!$E$6,ROW(),"")</f>
        <v/>
      </c>
    </row>
    <row r="5152" spans="22:26">
      <c r="V5152" s="260">
        <f t="shared" ca="1" si="88"/>
        <v>0</v>
      </c>
      <c r="W5152" s="348" t="str">
        <f>IF(板块成分!B5154="","",板块成分!B5154)</f>
        <v>688727.SH</v>
      </c>
      <c r="X5152" s="276" t="str">
        <f>[1]!S_Info_Name(W5152)</f>
        <v>恒坤新材</v>
      </c>
      <c r="Y5152" s="276" t="str">
        <f ca="1">IF($Y$3="申万一级行业",[1]!s_info_industry_sw_2021(W5152,公司分析!D$5,1),IF($Y$3="申万二级行业",[1]!s_info_industry_sw_2021(W5152,公司分析!D$5,2),IF($Y$3="申万三级行业",[1]!s_info_industry_sw_2021(W5152,公司分析!D$5,3),IF($Y$3="wind一级行业",[1]!s_info_industry_gics(W5152,1),IF($Y$3="wind二级行业",[1]!s_info_industry_gics(W5152,2),IF($Y$3="wind三级行业",[1]!s_info_industry_gics(W5152,3),IF($Y$3="wind四级行业",[1]!s_info_industry_gics(W5152,4),IF($Y$3="证监会门类行业",[1]!s_info_industry_csrc12_n(W5152,公司分析!D$5,1),""))))))))</f>
        <v>半导体</v>
      </c>
      <c r="Z5152" s="302" t="str">
        <f ca="1">IF(Y5152=行业比较!$E$6,ROW(),"")</f>
        <v/>
      </c>
    </row>
    <row r="5153" spans="22:26">
      <c r="V5153" s="260">
        <f t="shared" ca="1" si="88"/>
        <v>0</v>
      </c>
      <c r="W5153" s="348" t="str">
        <f>IF(板块成分!B5155="","",板块成分!B5155)</f>
        <v>688728.SH</v>
      </c>
      <c r="X5153" s="276" t="str">
        <f>[1]!S_Info_Name(W5153)</f>
        <v>格科微</v>
      </c>
      <c r="Y5153" s="276" t="str">
        <f ca="1">IF($Y$3="申万一级行业",[1]!s_info_industry_sw_2021(W5153,公司分析!D$5,1),IF($Y$3="申万二级行业",[1]!s_info_industry_sw_2021(W5153,公司分析!D$5,2),IF($Y$3="申万三级行业",[1]!s_info_industry_sw_2021(W5153,公司分析!D$5,3),IF($Y$3="wind一级行业",[1]!s_info_industry_gics(W5153,1),IF($Y$3="wind二级行业",[1]!s_info_industry_gics(W5153,2),IF($Y$3="wind三级行业",[1]!s_info_industry_gics(W5153,3),IF($Y$3="wind四级行业",[1]!s_info_industry_gics(W5153,4),IF($Y$3="证监会门类行业",[1]!s_info_industry_csrc12_n(W5153,公司分析!D$5,1),""))))))))</f>
        <v>半导体</v>
      </c>
      <c r="Z5153" s="302" t="str">
        <f ca="1">IF(Y5153=行业比较!$E$6,ROW(),"")</f>
        <v/>
      </c>
    </row>
    <row r="5154" spans="22:26">
      <c r="V5154" s="260">
        <f t="shared" ca="1" si="88"/>
        <v>0</v>
      </c>
      <c r="W5154" s="348" t="str">
        <f>IF(板块成分!B5156="","",板块成分!B5156)</f>
        <v>688729.SH</v>
      </c>
      <c r="X5154" s="276" t="str">
        <f>[1]!S_Info_Name(W5154)</f>
        <v>屹唐股份</v>
      </c>
      <c r="Y5154" s="276" t="str">
        <f ca="1">IF($Y$3="申万一级行业",[1]!s_info_industry_sw_2021(W5154,公司分析!D$5,1),IF($Y$3="申万二级行业",[1]!s_info_industry_sw_2021(W5154,公司分析!D$5,2),IF($Y$3="申万三级行业",[1]!s_info_industry_sw_2021(W5154,公司分析!D$5,3),IF($Y$3="wind一级行业",[1]!s_info_industry_gics(W5154,1),IF($Y$3="wind二级行业",[1]!s_info_industry_gics(W5154,2),IF($Y$3="wind三级行业",[1]!s_info_industry_gics(W5154,3),IF($Y$3="wind四级行业",[1]!s_info_industry_gics(W5154,4),IF($Y$3="证监会门类行业",[1]!s_info_industry_csrc12_n(W5154,公司分析!D$5,1),""))))))))</f>
        <v>半导体</v>
      </c>
      <c r="Z5154" s="302" t="str">
        <f ca="1">IF(Y5154=行业比较!$E$6,ROW(),"")</f>
        <v/>
      </c>
    </row>
    <row r="5155" spans="22:26">
      <c r="V5155" s="260">
        <f t="shared" ca="1" si="88"/>
        <v>0</v>
      </c>
      <c r="W5155" s="348" t="str">
        <f>IF(板块成分!B5157="","",板块成分!B5157)</f>
        <v>688733.SH</v>
      </c>
      <c r="X5155" s="276" t="str">
        <f>[1]!S_Info_Name(W5155)</f>
        <v>壹石通</v>
      </c>
      <c r="Y5155" s="276" t="str">
        <f ca="1">IF($Y$3="申万一级行业",[1]!s_info_industry_sw_2021(W5155,公司分析!D$5,1),IF($Y$3="申万二级行业",[1]!s_info_industry_sw_2021(W5155,公司分析!D$5,2),IF($Y$3="申万三级行业",[1]!s_info_industry_sw_2021(W5155,公司分析!D$5,3),IF($Y$3="wind一级行业",[1]!s_info_industry_gics(W5155,1),IF($Y$3="wind二级行业",[1]!s_info_industry_gics(W5155,2),IF($Y$3="wind三级行业",[1]!s_info_industry_gics(W5155,3),IF($Y$3="wind四级行业",[1]!s_info_industry_gics(W5155,4),IF($Y$3="证监会门类行业",[1]!s_info_industry_csrc12_n(W5155,公司分析!D$5,1),""))))))))</f>
        <v>电池</v>
      </c>
      <c r="Z5155" s="302" t="str">
        <f ca="1">IF(Y5155=行业比较!$E$6,ROW(),"")</f>
        <v/>
      </c>
    </row>
    <row r="5156" spans="22:26">
      <c r="V5156" s="260">
        <f t="shared" ca="1" si="88"/>
        <v>0</v>
      </c>
      <c r="W5156" s="348" t="str">
        <f>IF(板块成分!B5158="","",板块成分!B5158)</f>
        <v>688737.SH</v>
      </c>
      <c r="X5156" s="276" t="str">
        <f>[1]!S_Info_Name(W5156)</f>
        <v>中自科技</v>
      </c>
      <c r="Y5156" s="276" t="str">
        <f ca="1">IF($Y$3="申万一级行业",[1]!s_info_industry_sw_2021(W5156,公司分析!D$5,1),IF($Y$3="申万二级行业",[1]!s_info_industry_sw_2021(W5156,公司分析!D$5,2),IF($Y$3="申万三级行业",[1]!s_info_industry_sw_2021(W5156,公司分析!D$5,3),IF($Y$3="wind一级行业",[1]!s_info_industry_gics(W5156,1),IF($Y$3="wind二级行业",[1]!s_info_industry_gics(W5156,2),IF($Y$3="wind三级行业",[1]!s_info_industry_gics(W5156,3),IF($Y$3="wind四级行业",[1]!s_info_industry_gics(W5156,4),IF($Y$3="证监会门类行业",[1]!s_info_industry_csrc12_n(W5156,公司分析!D$5,1),""))))))))</f>
        <v>汽车零部件</v>
      </c>
      <c r="Z5156" s="302" t="str">
        <f ca="1">IF(Y5156=行业比较!$E$6,ROW(),"")</f>
        <v/>
      </c>
    </row>
    <row r="5157" spans="22:26">
      <c r="V5157" s="260">
        <f t="shared" ca="1" si="88"/>
        <v>0</v>
      </c>
      <c r="W5157" s="348" t="str">
        <f>IF(板块成分!B5159="","",板块成分!B5159)</f>
        <v>688739.SH</v>
      </c>
      <c r="X5157" s="276" t="str">
        <f>[1]!S_Info_Name(W5157)</f>
        <v>成大生物</v>
      </c>
      <c r="Y5157" s="276" t="str">
        <f ca="1">IF($Y$3="申万一级行业",[1]!s_info_industry_sw_2021(W5157,公司分析!D$5,1),IF($Y$3="申万二级行业",[1]!s_info_industry_sw_2021(W5157,公司分析!D$5,2),IF($Y$3="申万三级行业",[1]!s_info_industry_sw_2021(W5157,公司分析!D$5,3),IF($Y$3="wind一级行业",[1]!s_info_industry_gics(W5157,1),IF($Y$3="wind二级行业",[1]!s_info_industry_gics(W5157,2),IF($Y$3="wind三级行业",[1]!s_info_industry_gics(W5157,3),IF($Y$3="wind四级行业",[1]!s_info_industry_gics(W5157,4),IF($Y$3="证监会门类行业",[1]!s_info_industry_csrc12_n(W5157,公司分析!D$5,1),""))))))))</f>
        <v>生物制品</v>
      </c>
      <c r="Z5157" s="302" t="str">
        <f ca="1">IF(Y5157=行业比较!$E$6,ROW(),"")</f>
        <v/>
      </c>
    </row>
    <row r="5158" spans="22:26">
      <c r="V5158" s="260">
        <f t="shared" ca="1" si="88"/>
        <v>0</v>
      </c>
      <c r="W5158" s="348" t="str">
        <f>IF(板块成分!B5160="","",板块成分!B5160)</f>
        <v>688750.SH</v>
      </c>
      <c r="X5158" s="276" t="str">
        <f>[1]!S_Info_Name(W5158)</f>
        <v>金天钛业</v>
      </c>
      <c r="Y5158" s="276" t="str">
        <f ca="1">IF($Y$3="申万一级行业",[1]!s_info_industry_sw_2021(W5158,公司分析!D$5,1),IF($Y$3="申万二级行业",[1]!s_info_industry_sw_2021(W5158,公司分析!D$5,2),IF($Y$3="申万三级行业",[1]!s_info_industry_sw_2021(W5158,公司分析!D$5,3),IF($Y$3="wind一级行业",[1]!s_info_industry_gics(W5158,1),IF($Y$3="wind二级行业",[1]!s_info_industry_gics(W5158,2),IF($Y$3="wind三级行业",[1]!s_info_industry_gics(W5158,3),IF($Y$3="wind四级行业",[1]!s_info_industry_gics(W5158,4),IF($Y$3="证监会门类行业",[1]!s_info_industry_csrc12_n(W5158,公司分析!D$5,1),""))))))))</f>
        <v>小金属</v>
      </c>
      <c r="Z5158" s="302" t="str">
        <f ca="1">IF(Y5158=行业比较!$E$6,ROW(),"")</f>
        <v/>
      </c>
    </row>
    <row r="5159" spans="22:26">
      <c r="V5159" s="260">
        <f t="shared" ca="1" si="88"/>
        <v>0</v>
      </c>
      <c r="W5159" s="348" t="str">
        <f>IF(板块成分!B5161="","",板块成分!B5161)</f>
        <v>688755.SH</v>
      </c>
      <c r="X5159" s="276" t="str">
        <f>[1]!S_Info_Name(W5159)</f>
        <v>汉邦科技</v>
      </c>
      <c r="Y5159" s="276" t="str">
        <f ca="1">IF($Y$3="申万一级行业",[1]!s_info_industry_sw_2021(W5159,公司分析!D$5,1),IF($Y$3="申万二级行业",[1]!s_info_industry_sw_2021(W5159,公司分析!D$5,2),IF($Y$3="申万三级行业",[1]!s_info_industry_sw_2021(W5159,公司分析!D$5,3),IF($Y$3="wind一级行业",[1]!s_info_industry_gics(W5159,1),IF($Y$3="wind二级行业",[1]!s_info_industry_gics(W5159,2),IF($Y$3="wind三级行业",[1]!s_info_industry_gics(W5159,3),IF($Y$3="wind四级行业",[1]!s_info_industry_gics(W5159,4),IF($Y$3="证监会门类行业",[1]!s_info_industry_csrc12_n(W5159,公司分析!D$5,1),""))))))))</f>
        <v>医疗器械</v>
      </c>
      <c r="Z5159" s="302" t="str">
        <f ca="1">IF(Y5159=行业比较!$E$6,ROW(),"")</f>
        <v/>
      </c>
    </row>
    <row r="5160" spans="22:26">
      <c r="V5160" s="260">
        <f t="shared" ref="V5160:V5223" ca="1" si="89">IF(Z5160="",0,RANK(Z5160,Z:Z,1))</f>
        <v>0</v>
      </c>
      <c r="W5160" s="348" t="str">
        <f>IF(板块成分!B5162="","",板块成分!B5162)</f>
        <v>688757.SH</v>
      </c>
      <c r="X5160" s="276" t="str">
        <f>[1]!S_Info_Name(W5160)</f>
        <v>胜科纳米</v>
      </c>
      <c r="Y5160" s="276" t="str">
        <f ca="1">IF($Y$3="申万一级行业",[1]!s_info_industry_sw_2021(W5160,公司分析!D$5,1),IF($Y$3="申万二级行业",[1]!s_info_industry_sw_2021(W5160,公司分析!D$5,2),IF($Y$3="申万三级行业",[1]!s_info_industry_sw_2021(W5160,公司分析!D$5,3),IF($Y$3="wind一级行业",[1]!s_info_industry_gics(W5160,1),IF($Y$3="wind二级行业",[1]!s_info_industry_gics(W5160,2),IF($Y$3="wind三级行业",[1]!s_info_industry_gics(W5160,3),IF($Y$3="wind四级行业",[1]!s_info_industry_gics(W5160,4),IF($Y$3="证监会门类行业",[1]!s_info_industry_csrc12_n(W5160,公司分析!D$5,1),""))))))))</f>
        <v>专业服务</v>
      </c>
      <c r="Z5160" s="302" t="str">
        <f ca="1">IF(Y5160=行业比较!$E$6,ROW(),"")</f>
        <v/>
      </c>
    </row>
    <row r="5161" spans="22:26">
      <c r="V5161" s="260">
        <f t="shared" ca="1" si="89"/>
        <v>0</v>
      </c>
      <c r="W5161" s="348" t="str">
        <f>IF(板块成分!B5163="","",板块成分!B5163)</f>
        <v>688758.SH</v>
      </c>
      <c r="X5161" s="276" t="str">
        <f>[1]!S_Info_Name(W5161)</f>
        <v>赛分科技</v>
      </c>
      <c r="Y5161" s="276" t="str">
        <f ca="1">IF($Y$3="申万一级行业",[1]!s_info_industry_sw_2021(W5161,公司分析!D$5,1),IF($Y$3="申万二级行业",[1]!s_info_industry_sw_2021(W5161,公司分析!D$5,2),IF($Y$3="申万三级行业",[1]!s_info_industry_sw_2021(W5161,公司分析!D$5,3),IF($Y$3="wind一级行业",[1]!s_info_industry_gics(W5161,1),IF($Y$3="wind二级行业",[1]!s_info_industry_gics(W5161,2),IF($Y$3="wind三级行业",[1]!s_info_industry_gics(W5161,3),IF($Y$3="wind四级行业",[1]!s_info_industry_gics(W5161,4),IF($Y$3="证监会门类行业",[1]!s_info_industry_csrc12_n(W5161,公司分析!D$5,1),""))))))))</f>
        <v>化学制药</v>
      </c>
      <c r="Z5161" s="302" t="str">
        <f ca="1">IF(Y5161=行业比较!$E$6,ROW(),"")</f>
        <v/>
      </c>
    </row>
    <row r="5162" spans="22:26">
      <c r="V5162" s="260">
        <f t="shared" ca="1" si="89"/>
        <v>0</v>
      </c>
      <c r="W5162" s="348" t="str">
        <f>IF(板块成分!B5164="","",板块成分!B5164)</f>
        <v>688759.SH</v>
      </c>
      <c r="X5162" s="276" t="str">
        <f>[1]!S_Info_Name(W5162)</f>
        <v>必贝特-U</v>
      </c>
      <c r="Y5162" s="276" t="str">
        <f ca="1">IF($Y$3="申万一级行业",[1]!s_info_industry_sw_2021(W5162,公司分析!D$5,1),IF($Y$3="申万二级行业",[1]!s_info_industry_sw_2021(W5162,公司分析!D$5,2),IF($Y$3="申万三级行业",[1]!s_info_industry_sw_2021(W5162,公司分析!D$5,3),IF($Y$3="wind一级行业",[1]!s_info_industry_gics(W5162,1),IF($Y$3="wind二级行业",[1]!s_info_industry_gics(W5162,2),IF($Y$3="wind三级行业",[1]!s_info_industry_gics(W5162,3),IF($Y$3="wind四级行业",[1]!s_info_industry_gics(W5162,4),IF($Y$3="证监会门类行业",[1]!s_info_industry_csrc12_n(W5162,公司分析!D$5,1),""))))))))</f>
        <v>化学制药</v>
      </c>
      <c r="Z5162" s="302" t="str">
        <f ca="1">IF(Y5162=行业比较!$E$6,ROW(),"")</f>
        <v/>
      </c>
    </row>
    <row r="5163" spans="22:26">
      <c r="V5163" s="260">
        <f t="shared" ca="1" si="89"/>
        <v>0</v>
      </c>
      <c r="W5163" s="348" t="str">
        <f>IF(板块成分!B5165="","",板块成分!B5165)</f>
        <v>688765.SH</v>
      </c>
      <c r="X5163" s="276" t="str">
        <f>[1]!S_Info_Name(W5163)</f>
        <v>禾元生物-U</v>
      </c>
      <c r="Y5163" s="276" t="str">
        <f ca="1">IF($Y$3="申万一级行业",[1]!s_info_industry_sw_2021(W5163,公司分析!D$5,1),IF($Y$3="申万二级行业",[1]!s_info_industry_sw_2021(W5163,公司分析!D$5,2),IF($Y$3="申万三级行业",[1]!s_info_industry_sw_2021(W5163,公司分析!D$5,3),IF($Y$3="wind一级行业",[1]!s_info_industry_gics(W5163,1),IF($Y$3="wind二级行业",[1]!s_info_industry_gics(W5163,2),IF($Y$3="wind三级行业",[1]!s_info_industry_gics(W5163,3),IF($Y$3="wind四级行业",[1]!s_info_industry_gics(W5163,4),IF($Y$3="证监会门类行业",[1]!s_info_industry_csrc12_n(W5163,公司分析!D$5,1),""))))))))</f>
        <v>生物制品</v>
      </c>
      <c r="Z5163" s="302" t="str">
        <f ca="1">IF(Y5163=行业比较!$E$6,ROW(),"")</f>
        <v/>
      </c>
    </row>
    <row r="5164" spans="22:26">
      <c r="V5164" s="260">
        <f t="shared" ca="1" si="89"/>
        <v>0</v>
      </c>
      <c r="W5164" s="348" t="str">
        <f>IF(板块成分!B5166="","",板块成分!B5166)</f>
        <v>688766.SH</v>
      </c>
      <c r="X5164" s="276" t="str">
        <f>[1]!S_Info_Name(W5164)</f>
        <v>普冉股份</v>
      </c>
      <c r="Y5164" s="276" t="str">
        <f ca="1">IF($Y$3="申万一级行业",[1]!s_info_industry_sw_2021(W5164,公司分析!D$5,1),IF($Y$3="申万二级行业",[1]!s_info_industry_sw_2021(W5164,公司分析!D$5,2),IF($Y$3="申万三级行业",[1]!s_info_industry_sw_2021(W5164,公司分析!D$5,3),IF($Y$3="wind一级行业",[1]!s_info_industry_gics(W5164,1),IF($Y$3="wind二级行业",[1]!s_info_industry_gics(W5164,2),IF($Y$3="wind三级行业",[1]!s_info_industry_gics(W5164,3),IF($Y$3="wind四级行业",[1]!s_info_industry_gics(W5164,4),IF($Y$3="证监会门类行业",[1]!s_info_industry_csrc12_n(W5164,公司分析!D$5,1),""))))))))</f>
        <v>半导体</v>
      </c>
      <c r="Z5164" s="302" t="str">
        <f ca="1">IF(Y5164=行业比较!$E$6,ROW(),"")</f>
        <v/>
      </c>
    </row>
    <row r="5165" spans="22:26">
      <c r="V5165" s="260">
        <f t="shared" ca="1" si="89"/>
        <v>0</v>
      </c>
      <c r="W5165" s="348" t="str">
        <f>IF(板块成分!B5167="","",板块成分!B5167)</f>
        <v>688767.SH</v>
      </c>
      <c r="X5165" s="276" t="str">
        <f>[1]!S_Info_Name(W5165)</f>
        <v>博拓生物</v>
      </c>
      <c r="Y5165" s="276" t="str">
        <f ca="1">IF($Y$3="申万一级行业",[1]!s_info_industry_sw_2021(W5165,公司分析!D$5,1),IF($Y$3="申万二级行业",[1]!s_info_industry_sw_2021(W5165,公司分析!D$5,2),IF($Y$3="申万三级行业",[1]!s_info_industry_sw_2021(W5165,公司分析!D$5,3),IF($Y$3="wind一级行业",[1]!s_info_industry_gics(W5165,1),IF($Y$3="wind二级行业",[1]!s_info_industry_gics(W5165,2),IF($Y$3="wind三级行业",[1]!s_info_industry_gics(W5165,3),IF($Y$3="wind四级行业",[1]!s_info_industry_gics(W5165,4),IF($Y$3="证监会门类行业",[1]!s_info_industry_csrc12_n(W5165,公司分析!D$5,1),""))))))))</f>
        <v>医疗器械</v>
      </c>
      <c r="Z5165" s="302" t="str">
        <f ca="1">IF(Y5165=行业比较!$E$6,ROW(),"")</f>
        <v/>
      </c>
    </row>
    <row r="5166" spans="22:26">
      <c r="V5166" s="260">
        <f t="shared" ca="1" si="89"/>
        <v>0</v>
      </c>
      <c r="W5166" s="348" t="str">
        <f>IF(板块成分!B5168="","",板块成分!B5168)</f>
        <v>688768.SH</v>
      </c>
      <c r="X5166" s="276" t="str">
        <f>[1]!S_Info_Name(W5166)</f>
        <v>容知日新</v>
      </c>
      <c r="Y5166" s="276" t="str">
        <f ca="1">IF($Y$3="申万一级行业",[1]!s_info_industry_sw_2021(W5166,公司分析!D$5,1),IF($Y$3="申万二级行业",[1]!s_info_industry_sw_2021(W5166,公司分析!D$5,2),IF($Y$3="申万三级行业",[1]!s_info_industry_sw_2021(W5166,公司分析!D$5,3),IF($Y$3="wind一级行业",[1]!s_info_industry_gics(W5166,1),IF($Y$3="wind二级行业",[1]!s_info_industry_gics(W5166,2),IF($Y$3="wind三级行业",[1]!s_info_industry_gics(W5166,3),IF($Y$3="wind四级行业",[1]!s_info_industry_gics(W5166,4),IF($Y$3="证监会门类行业",[1]!s_info_industry_csrc12_n(W5166,公司分析!D$5,1),""))))))))</f>
        <v>通用设备</v>
      </c>
      <c r="Z5166" s="302" t="str">
        <f ca="1">IF(Y5166=行业比较!$E$6,ROW(),"")</f>
        <v/>
      </c>
    </row>
    <row r="5167" spans="22:26">
      <c r="V5167" s="260">
        <f t="shared" ca="1" si="89"/>
        <v>0</v>
      </c>
      <c r="W5167" s="348" t="str">
        <f>IF(板块成分!B5169="","",板块成分!B5169)</f>
        <v>688772.SH</v>
      </c>
      <c r="X5167" s="276" t="str">
        <f>[1]!S_Info_Name(W5167)</f>
        <v>珠海冠宇</v>
      </c>
      <c r="Y5167" s="276" t="str">
        <f ca="1">IF($Y$3="申万一级行业",[1]!s_info_industry_sw_2021(W5167,公司分析!D$5,1),IF($Y$3="申万二级行业",[1]!s_info_industry_sw_2021(W5167,公司分析!D$5,2),IF($Y$3="申万三级行业",[1]!s_info_industry_sw_2021(W5167,公司分析!D$5,3),IF($Y$3="wind一级行业",[1]!s_info_industry_gics(W5167,1),IF($Y$3="wind二级行业",[1]!s_info_industry_gics(W5167,2),IF($Y$3="wind三级行业",[1]!s_info_industry_gics(W5167,3),IF($Y$3="wind四级行业",[1]!s_info_industry_gics(W5167,4),IF($Y$3="证监会门类行业",[1]!s_info_industry_csrc12_n(W5167,公司分析!D$5,1),""))))))))</f>
        <v>电池</v>
      </c>
      <c r="Z5167" s="302" t="str">
        <f ca="1">IF(Y5167=行业比较!$E$6,ROW(),"")</f>
        <v/>
      </c>
    </row>
    <row r="5168" spans="22:26">
      <c r="V5168" s="260">
        <f t="shared" ca="1" si="89"/>
        <v>0</v>
      </c>
      <c r="W5168" s="348" t="str">
        <f>IF(板块成分!B5170="","",板块成分!B5170)</f>
        <v>688775.SH</v>
      </c>
      <c r="X5168" s="276" t="str">
        <f>[1]!S_Info_Name(W5168)</f>
        <v>影石创新</v>
      </c>
      <c r="Y5168" s="276" t="str">
        <f ca="1">IF($Y$3="申万一级行业",[1]!s_info_industry_sw_2021(W5168,公司分析!D$5,1),IF($Y$3="申万二级行业",[1]!s_info_industry_sw_2021(W5168,公司分析!D$5,2),IF($Y$3="申万三级行业",[1]!s_info_industry_sw_2021(W5168,公司分析!D$5,3),IF($Y$3="wind一级行业",[1]!s_info_industry_gics(W5168,1),IF($Y$3="wind二级行业",[1]!s_info_industry_gics(W5168,2),IF($Y$3="wind三级行业",[1]!s_info_industry_gics(W5168,3),IF($Y$3="wind四级行业",[1]!s_info_industry_gics(W5168,4),IF($Y$3="证监会门类行业",[1]!s_info_industry_csrc12_n(W5168,公司分析!D$5,1),""))))))))</f>
        <v>消费电子</v>
      </c>
      <c r="Z5168" s="302" t="str">
        <f ca="1">IF(Y5168=行业比较!$E$6,ROW(),"")</f>
        <v/>
      </c>
    </row>
    <row r="5169" spans="22:26">
      <c r="V5169" s="260">
        <f t="shared" ca="1" si="89"/>
        <v>0</v>
      </c>
      <c r="W5169" s="348" t="str">
        <f>IF(板块成分!B5171="","",板块成分!B5171)</f>
        <v>688776.SH</v>
      </c>
      <c r="X5169" s="276" t="str">
        <f>[1]!S_Info_Name(W5169)</f>
        <v>国光电气</v>
      </c>
      <c r="Y5169" s="276" t="str">
        <f ca="1">IF($Y$3="申万一级行业",[1]!s_info_industry_sw_2021(W5169,公司分析!D$5,1),IF($Y$3="申万二级行业",[1]!s_info_industry_sw_2021(W5169,公司分析!D$5,2),IF($Y$3="申万三级行业",[1]!s_info_industry_sw_2021(W5169,公司分析!D$5,3),IF($Y$3="wind一级行业",[1]!s_info_industry_gics(W5169,1),IF($Y$3="wind二级行业",[1]!s_info_industry_gics(W5169,2),IF($Y$3="wind三级行业",[1]!s_info_industry_gics(W5169,3),IF($Y$3="wind四级行业",[1]!s_info_industry_gics(W5169,4),IF($Y$3="证监会门类行业",[1]!s_info_industry_csrc12_n(W5169,公司分析!D$5,1),""))))))))</f>
        <v>军工电子Ⅱ</v>
      </c>
      <c r="Z5169" s="302" t="str">
        <f ca="1">IF(Y5169=行业比较!$E$6,ROW(),"")</f>
        <v/>
      </c>
    </row>
    <row r="5170" spans="22:26">
      <c r="V5170" s="260">
        <f t="shared" ca="1" si="89"/>
        <v>0</v>
      </c>
      <c r="W5170" s="348" t="str">
        <f>IF(板块成分!B5172="","",板块成分!B5172)</f>
        <v>688777.SH</v>
      </c>
      <c r="X5170" s="276" t="str">
        <f>[1]!S_Info_Name(W5170)</f>
        <v>中控技术</v>
      </c>
      <c r="Y5170" s="276" t="str">
        <f ca="1">IF($Y$3="申万一级行业",[1]!s_info_industry_sw_2021(W5170,公司分析!D$5,1),IF($Y$3="申万二级行业",[1]!s_info_industry_sw_2021(W5170,公司分析!D$5,2),IF($Y$3="申万三级行业",[1]!s_info_industry_sw_2021(W5170,公司分析!D$5,3),IF($Y$3="wind一级行业",[1]!s_info_industry_gics(W5170,1),IF($Y$3="wind二级行业",[1]!s_info_industry_gics(W5170,2),IF($Y$3="wind三级行业",[1]!s_info_industry_gics(W5170,3),IF($Y$3="wind四级行业",[1]!s_info_industry_gics(W5170,4),IF($Y$3="证监会门类行业",[1]!s_info_industry_csrc12_n(W5170,公司分析!D$5,1),""))))))))</f>
        <v>自动化设备</v>
      </c>
      <c r="Z5170" s="302" t="str">
        <f ca="1">IF(Y5170=行业比较!$E$6,ROW(),"")</f>
        <v/>
      </c>
    </row>
    <row r="5171" spans="22:26">
      <c r="V5171" s="260">
        <f t="shared" ca="1" si="89"/>
        <v>0</v>
      </c>
      <c r="W5171" s="348" t="str">
        <f>IF(板块成分!B5173="","",板块成分!B5173)</f>
        <v>688778.SH</v>
      </c>
      <c r="X5171" s="276" t="str">
        <f>[1]!S_Info_Name(W5171)</f>
        <v>厦钨新能</v>
      </c>
      <c r="Y5171" s="276" t="str">
        <f ca="1">IF($Y$3="申万一级行业",[1]!s_info_industry_sw_2021(W5171,公司分析!D$5,1),IF($Y$3="申万二级行业",[1]!s_info_industry_sw_2021(W5171,公司分析!D$5,2),IF($Y$3="申万三级行业",[1]!s_info_industry_sw_2021(W5171,公司分析!D$5,3),IF($Y$3="wind一级行业",[1]!s_info_industry_gics(W5171,1),IF($Y$3="wind二级行业",[1]!s_info_industry_gics(W5171,2),IF($Y$3="wind三级行业",[1]!s_info_industry_gics(W5171,3),IF($Y$3="wind四级行业",[1]!s_info_industry_gics(W5171,4),IF($Y$3="证监会门类行业",[1]!s_info_industry_csrc12_n(W5171,公司分析!D$5,1),""))))))))</f>
        <v>电池</v>
      </c>
      <c r="Z5171" s="302" t="str">
        <f ca="1">IF(Y5171=行业比较!$E$6,ROW(),"")</f>
        <v/>
      </c>
    </row>
    <row r="5172" spans="22:26">
      <c r="V5172" s="260">
        <f t="shared" ca="1" si="89"/>
        <v>0</v>
      </c>
      <c r="W5172" s="348" t="str">
        <f>IF(板块成分!B5174="","",板块成分!B5174)</f>
        <v>688779.SH</v>
      </c>
      <c r="X5172" s="276" t="str">
        <f>[1]!S_Info_Name(W5172)</f>
        <v>五矿新能</v>
      </c>
      <c r="Y5172" s="276" t="str">
        <f ca="1">IF($Y$3="申万一级行业",[1]!s_info_industry_sw_2021(W5172,公司分析!D$5,1),IF($Y$3="申万二级行业",[1]!s_info_industry_sw_2021(W5172,公司分析!D$5,2),IF($Y$3="申万三级行业",[1]!s_info_industry_sw_2021(W5172,公司分析!D$5,3),IF($Y$3="wind一级行业",[1]!s_info_industry_gics(W5172,1),IF($Y$3="wind二级行业",[1]!s_info_industry_gics(W5172,2),IF($Y$3="wind三级行业",[1]!s_info_industry_gics(W5172,3),IF($Y$3="wind四级行业",[1]!s_info_industry_gics(W5172,4),IF($Y$3="证监会门类行业",[1]!s_info_industry_csrc12_n(W5172,公司分析!D$5,1),""))))))))</f>
        <v>电池</v>
      </c>
      <c r="Z5172" s="302" t="str">
        <f ca="1">IF(Y5172=行业比较!$E$6,ROW(),"")</f>
        <v/>
      </c>
    </row>
    <row r="5173" spans="22:26">
      <c r="V5173" s="260">
        <f t="shared" ca="1" si="89"/>
        <v>0</v>
      </c>
      <c r="W5173" s="348" t="str">
        <f>IF(板块成分!B5175="","",板块成分!B5175)</f>
        <v>688783.SH</v>
      </c>
      <c r="X5173" s="276" t="str">
        <f>[1]!S_Info_Name(W5173)</f>
        <v>西安奕材-U</v>
      </c>
      <c r="Y5173" s="276" t="str">
        <f ca="1">IF($Y$3="申万一级行业",[1]!s_info_industry_sw_2021(W5173,公司分析!D$5,1),IF($Y$3="申万二级行业",[1]!s_info_industry_sw_2021(W5173,公司分析!D$5,2),IF($Y$3="申万三级行业",[1]!s_info_industry_sw_2021(W5173,公司分析!D$5,3),IF($Y$3="wind一级行业",[1]!s_info_industry_gics(W5173,1),IF($Y$3="wind二级行业",[1]!s_info_industry_gics(W5173,2),IF($Y$3="wind三级行业",[1]!s_info_industry_gics(W5173,3),IF($Y$3="wind四级行业",[1]!s_info_industry_gics(W5173,4),IF($Y$3="证监会门类行业",[1]!s_info_industry_csrc12_n(W5173,公司分析!D$5,1),""))))))))</f>
        <v>半导体</v>
      </c>
      <c r="Z5173" s="302" t="str">
        <f ca="1">IF(Y5173=行业比较!$E$6,ROW(),"")</f>
        <v/>
      </c>
    </row>
    <row r="5174" spans="22:26">
      <c r="V5174" s="260">
        <f t="shared" ca="1" si="89"/>
        <v>0</v>
      </c>
      <c r="W5174" s="348" t="str">
        <f>IF(板块成分!B5176="","",板块成分!B5176)</f>
        <v>688785.SH</v>
      </c>
      <c r="X5174" s="276" t="str">
        <f>[1]!S_Info_Name(W5174)</f>
        <v>恒运昌</v>
      </c>
      <c r="Y5174" s="276" t="str">
        <f ca="1">IF($Y$3="申万一级行业",[1]!s_info_industry_sw_2021(W5174,公司分析!D$5,1),IF($Y$3="申万二级行业",[1]!s_info_industry_sw_2021(W5174,公司分析!D$5,2),IF($Y$3="申万三级行业",[1]!s_info_industry_sw_2021(W5174,公司分析!D$5,3),IF($Y$3="wind一级行业",[1]!s_info_industry_gics(W5174,1),IF($Y$3="wind二级行业",[1]!s_info_industry_gics(W5174,2),IF($Y$3="wind三级行业",[1]!s_info_industry_gics(W5174,3),IF($Y$3="wind四级行业",[1]!s_info_industry_gics(W5174,4),IF($Y$3="证监会门类行业",[1]!s_info_industry_csrc12_n(W5174,公司分析!D$5,1),""))))))))</f>
        <v>半导体</v>
      </c>
      <c r="Z5174" s="302" t="str">
        <f ca="1">IF(Y5174=行业比较!$E$6,ROW(),"")</f>
        <v/>
      </c>
    </row>
    <row r="5175" spans="22:26">
      <c r="V5175" s="260">
        <f t="shared" ca="1" si="89"/>
        <v>0</v>
      </c>
      <c r="W5175" s="348" t="str">
        <f>IF(板块成分!B5177="","",板块成分!B5177)</f>
        <v>688786.SH</v>
      </c>
      <c r="X5175" s="276" t="str">
        <f>[1]!S_Info_Name(W5175)</f>
        <v>悦安新材</v>
      </c>
      <c r="Y5175" s="276" t="str">
        <f ca="1">IF($Y$3="申万一级行业",[1]!s_info_industry_sw_2021(W5175,公司分析!D$5,1),IF($Y$3="申万二级行业",[1]!s_info_industry_sw_2021(W5175,公司分析!D$5,2),IF($Y$3="申万三级行业",[1]!s_info_industry_sw_2021(W5175,公司分析!D$5,3),IF($Y$3="wind一级行业",[1]!s_info_industry_gics(W5175,1),IF($Y$3="wind二级行业",[1]!s_info_industry_gics(W5175,2),IF($Y$3="wind三级行业",[1]!s_info_industry_gics(W5175,3),IF($Y$3="wind四级行业",[1]!s_info_industry_gics(W5175,4),IF($Y$3="证监会门类行业",[1]!s_info_industry_csrc12_n(W5175,公司分析!D$5,1),""))))))))</f>
        <v>金属新材料</v>
      </c>
      <c r="Z5175" s="302" t="str">
        <f ca="1">IF(Y5175=行业比较!$E$6,ROW(),"")</f>
        <v/>
      </c>
    </row>
    <row r="5176" spans="22:26">
      <c r="V5176" s="260">
        <f t="shared" ca="1" si="89"/>
        <v>0</v>
      </c>
      <c r="W5176" s="348" t="str">
        <f>IF(板块成分!B5178="","",板块成分!B5178)</f>
        <v>688787.SH</v>
      </c>
      <c r="X5176" s="276" t="str">
        <f>[1]!S_Info_Name(W5176)</f>
        <v>海天瑞声</v>
      </c>
      <c r="Y5176" s="276" t="str">
        <f ca="1">IF($Y$3="申万一级行业",[1]!s_info_industry_sw_2021(W5176,公司分析!D$5,1),IF($Y$3="申万二级行业",[1]!s_info_industry_sw_2021(W5176,公司分析!D$5,2),IF($Y$3="申万三级行业",[1]!s_info_industry_sw_2021(W5176,公司分析!D$5,3),IF($Y$3="wind一级行业",[1]!s_info_industry_gics(W5176,1),IF($Y$3="wind二级行业",[1]!s_info_industry_gics(W5176,2),IF($Y$3="wind三级行业",[1]!s_info_industry_gics(W5176,3),IF($Y$3="wind四级行业",[1]!s_info_industry_gics(W5176,4),IF($Y$3="证监会门类行业",[1]!s_info_industry_csrc12_n(W5176,公司分析!D$5,1),""))))))))</f>
        <v>IT服务Ⅱ</v>
      </c>
      <c r="Z5176" s="302" t="str">
        <f ca="1">IF(Y5176=行业比较!$E$6,ROW(),"")</f>
        <v/>
      </c>
    </row>
    <row r="5177" spans="22:26">
      <c r="V5177" s="260">
        <f t="shared" ca="1" si="89"/>
        <v>0</v>
      </c>
      <c r="W5177" s="348" t="str">
        <f>IF(板块成分!B5179="","",板块成分!B5179)</f>
        <v>688788.SH</v>
      </c>
      <c r="X5177" s="276" t="str">
        <f>[1]!S_Info_Name(W5177)</f>
        <v>科思科技</v>
      </c>
      <c r="Y5177" s="276" t="str">
        <f ca="1">IF($Y$3="申万一级行业",[1]!s_info_industry_sw_2021(W5177,公司分析!D$5,1),IF($Y$3="申万二级行业",[1]!s_info_industry_sw_2021(W5177,公司分析!D$5,2),IF($Y$3="申万三级行业",[1]!s_info_industry_sw_2021(W5177,公司分析!D$5,3),IF($Y$3="wind一级行业",[1]!s_info_industry_gics(W5177,1),IF($Y$3="wind二级行业",[1]!s_info_industry_gics(W5177,2),IF($Y$3="wind三级行业",[1]!s_info_industry_gics(W5177,3),IF($Y$3="wind四级行业",[1]!s_info_industry_gics(W5177,4),IF($Y$3="证监会门类行业",[1]!s_info_industry_csrc12_n(W5177,公司分析!D$5,1),""))))))))</f>
        <v>军工电子Ⅱ</v>
      </c>
      <c r="Z5177" s="302" t="str">
        <f ca="1">IF(Y5177=行业比较!$E$6,ROW(),"")</f>
        <v/>
      </c>
    </row>
    <row r="5178" spans="22:26">
      <c r="V5178" s="260">
        <f t="shared" ca="1" si="89"/>
        <v>0</v>
      </c>
      <c r="W5178" s="348" t="str">
        <f>IF(板块成分!B5180="","",板块成分!B5180)</f>
        <v>688789.SH</v>
      </c>
      <c r="X5178" s="276" t="str">
        <f>[1]!S_Info_Name(W5178)</f>
        <v>宏华数科</v>
      </c>
      <c r="Y5178" s="276" t="str">
        <f ca="1">IF($Y$3="申万一级行业",[1]!s_info_industry_sw_2021(W5178,公司分析!D$5,1),IF($Y$3="申万二级行业",[1]!s_info_industry_sw_2021(W5178,公司分析!D$5,2),IF($Y$3="申万三级行业",[1]!s_info_industry_sw_2021(W5178,公司分析!D$5,3),IF($Y$3="wind一级行业",[1]!s_info_industry_gics(W5178,1),IF($Y$3="wind二级行业",[1]!s_info_industry_gics(W5178,2),IF($Y$3="wind三级行业",[1]!s_info_industry_gics(W5178,3),IF($Y$3="wind四级行业",[1]!s_info_industry_gics(W5178,4),IF($Y$3="证监会门类行业",[1]!s_info_industry_csrc12_n(W5178,公司分析!D$5,1),""))))))))</f>
        <v>专用设备</v>
      </c>
      <c r="Z5178" s="302" t="str">
        <f ca="1">IF(Y5178=行业比较!$E$6,ROW(),"")</f>
        <v/>
      </c>
    </row>
    <row r="5179" spans="22:26">
      <c r="V5179" s="260">
        <f t="shared" ca="1" si="89"/>
        <v>0</v>
      </c>
      <c r="W5179" s="348" t="str">
        <f>IF(板块成分!B5181="","",板块成分!B5181)</f>
        <v>688790.SH</v>
      </c>
      <c r="X5179" s="276" t="str">
        <f>[1]!S_Info_Name(W5179)</f>
        <v>昂瑞微-UW</v>
      </c>
      <c r="Y5179" s="276" t="str">
        <f ca="1">IF($Y$3="申万一级行业",[1]!s_info_industry_sw_2021(W5179,公司分析!D$5,1),IF($Y$3="申万二级行业",[1]!s_info_industry_sw_2021(W5179,公司分析!D$5,2),IF($Y$3="申万三级行业",[1]!s_info_industry_sw_2021(W5179,公司分析!D$5,3),IF($Y$3="wind一级行业",[1]!s_info_industry_gics(W5179,1),IF($Y$3="wind二级行业",[1]!s_info_industry_gics(W5179,2),IF($Y$3="wind三级行业",[1]!s_info_industry_gics(W5179,3),IF($Y$3="wind四级行业",[1]!s_info_industry_gics(W5179,4),IF($Y$3="证监会门类行业",[1]!s_info_industry_csrc12_n(W5179,公司分析!D$5,1),""))))))))</f>
        <v>半导体</v>
      </c>
      <c r="Z5179" s="302" t="str">
        <f ca="1">IF(Y5179=行业比较!$E$6,ROW(),"")</f>
        <v/>
      </c>
    </row>
    <row r="5180" spans="22:26">
      <c r="V5180" s="260">
        <f t="shared" ca="1" si="89"/>
        <v>0</v>
      </c>
      <c r="W5180" s="348" t="str">
        <f>IF(板块成分!B5182="","",板块成分!B5182)</f>
        <v>688793.SH</v>
      </c>
      <c r="X5180" s="276" t="str">
        <f>[1]!S_Info_Name(W5180)</f>
        <v>倍轻松</v>
      </c>
      <c r="Y5180" s="276" t="str">
        <f ca="1">IF($Y$3="申万一级行业",[1]!s_info_industry_sw_2021(W5180,公司分析!D$5,1),IF($Y$3="申万二级行业",[1]!s_info_industry_sw_2021(W5180,公司分析!D$5,2),IF($Y$3="申万三级行业",[1]!s_info_industry_sw_2021(W5180,公司分析!D$5,3),IF($Y$3="wind一级行业",[1]!s_info_industry_gics(W5180,1),IF($Y$3="wind二级行业",[1]!s_info_industry_gics(W5180,2),IF($Y$3="wind三级行业",[1]!s_info_industry_gics(W5180,3),IF($Y$3="wind四级行业",[1]!s_info_industry_gics(W5180,4),IF($Y$3="证监会门类行业",[1]!s_info_industry_csrc12_n(W5180,公司分析!D$5,1),""))))))))</f>
        <v>小家电</v>
      </c>
      <c r="Z5180" s="302" t="str">
        <f ca="1">IF(Y5180=行业比较!$E$6,ROW(),"")</f>
        <v/>
      </c>
    </row>
    <row r="5181" spans="22:26">
      <c r="V5181" s="260">
        <f t="shared" ca="1" si="89"/>
        <v>0</v>
      </c>
      <c r="W5181" s="348" t="str">
        <f>IF(板块成分!B5183="","",板块成分!B5183)</f>
        <v>688795.SH</v>
      </c>
      <c r="X5181" s="276" t="str">
        <f>[1]!S_Info_Name(W5181)</f>
        <v>摩尔线程-U</v>
      </c>
      <c r="Y5181" s="276" t="str">
        <f ca="1">IF($Y$3="申万一级行业",[1]!s_info_industry_sw_2021(W5181,公司分析!D$5,1),IF($Y$3="申万二级行业",[1]!s_info_industry_sw_2021(W5181,公司分析!D$5,2),IF($Y$3="申万三级行业",[1]!s_info_industry_sw_2021(W5181,公司分析!D$5,3),IF($Y$3="wind一级行业",[1]!s_info_industry_gics(W5181,1),IF($Y$3="wind二级行业",[1]!s_info_industry_gics(W5181,2),IF($Y$3="wind三级行业",[1]!s_info_industry_gics(W5181,3),IF($Y$3="wind四级行业",[1]!s_info_industry_gics(W5181,4),IF($Y$3="证监会门类行业",[1]!s_info_industry_csrc12_n(W5181,公司分析!D$5,1),""))))))))</f>
        <v>半导体</v>
      </c>
      <c r="Z5181" s="302" t="str">
        <f ca="1">IF(Y5181=行业比较!$E$6,ROW(),"")</f>
        <v/>
      </c>
    </row>
    <row r="5182" spans="22:26">
      <c r="V5182" s="260">
        <f t="shared" ca="1" si="89"/>
        <v>0</v>
      </c>
      <c r="W5182" s="348" t="str">
        <f>IF(板块成分!B5184="","",板块成分!B5184)</f>
        <v>688796.SH</v>
      </c>
      <c r="X5182" s="276" t="str">
        <f>[1]!S_Info_Name(W5182)</f>
        <v>百奥赛图</v>
      </c>
      <c r="Y5182" s="276" t="str">
        <f ca="1">IF($Y$3="申万一级行业",[1]!s_info_industry_sw_2021(W5182,公司分析!D$5,1),IF($Y$3="申万二级行业",[1]!s_info_industry_sw_2021(W5182,公司分析!D$5,2),IF($Y$3="申万三级行业",[1]!s_info_industry_sw_2021(W5182,公司分析!D$5,3),IF($Y$3="wind一级行业",[1]!s_info_industry_gics(W5182,1),IF($Y$3="wind二级行业",[1]!s_info_industry_gics(W5182,2),IF($Y$3="wind三级行业",[1]!s_info_industry_gics(W5182,3),IF($Y$3="wind四级行业",[1]!s_info_industry_gics(W5182,4),IF($Y$3="证监会门类行业",[1]!s_info_industry_csrc12_n(W5182,公司分析!D$5,1),""))))))))</f>
        <v>医疗服务</v>
      </c>
      <c r="Z5182" s="302" t="str">
        <f ca="1">IF(Y5182=行业比较!$E$6,ROW(),"")</f>
        <v/>
      </c>
    </row>
    <row r="5183" spans="22:26">
      <c r="V5183" s="260">
        <f t="shared" ca="1" si="89"/>
        <v>0</v>
      </c>
      <c r="W5183" s="348" t="str">
        <f>IF(板块成分!B5185="","",板块成分!B5185)</f>
        <v>688798.SH</v>
      </c>
      <c r="X5183" s="276" t="str">
        <f>[1]!S_Info_Name(W5183)</f>
        <v>艾为电子</v>
      </c>
      <c r="Y5183" s="276" t="str">
        <f ca="1">IF($Y$3="申万一级行业",[1]!s_info_industry_sw_2021(W5183,公司分析!D$5,1),IF($Y$3="申万二级行业",[1]!s_info_industry_sw_2021(W5183,公司分析!D$5,2),IF($Y$3="申万三级行业",[1]!s_info_industry_sw_2021(W5183,公司分析!D$5,3),IF($Y$3="wind一级行业",[1]!s_info_industry_gics(W5183,1),IF($Y$3="wind二级行业",[1]!s_info_industry_gics(W5183,2),IF($Y$3="wind三级行业",[1]!s_info_industry_gics(W5183,3),IF($Y$3="wind四级行业",[1]!s_info_industry_gics(W5183,4),IF($Y$3="证监会门类行业",[1]!s_info_industry_csrc12_n(W5183,公司分析!D$5,1),""))))))))</f>
        <v>半导体</v>
      </c>
      <c r="Z5183" s="302" t="str">
        <f ca="1">IF(Y5183=行业比较!$E$6,ROW(),"")</f>
        <v/>
      </c>
    </row>
    <row r="5184" spans="22:26">
      <c r="V5184" s="260">
        <f t="shared" ca="1" si="89"/>
        <v>0</v>
      </c>
      <c r="W5184" s="348" t="str">
        <f>IF(板块成分!B5186="","",板块成分!B5186)</f>
        <v>688799.SH</v>
      </c>
      <c r="X5184" s="276" t="str">
        <f>[1]!S_Info_Name(W5184)</f>
        <v>华纳药厂</v>
      </c>
      <c r="Y5184" s="276" t="str">
        <f ca="1">IF($Y$3="申万一级行业",[1]!s_info_industry_sw_2021(W5184,公司分析!D$5,1),IF($Y$3="申万二级行业",[1]!s_info_industry_sw_2021(W5184,公司分析!D$5,2),IF($Y$3="申万三级行业",[1]!s_info_industry_sw_2021(W5184,公司分析!D$5,3),IF($Y$3="wind一级行业",[1]!s_info_industry_gics(W5184,1),IF($Y$3="wind二级行业",[1]!s_info_industry_gics(W5184,2),IF($Y$3="wind三级行业",[1]!s_info_industry_gics(W5184,3),IF($Y$3="wind四级行业",[1]!s_info_industry_gics(W5184,4),IF($Y$3="证监会门类行业",[1]!s_info_industry_csrc12_n(W5184,公司分析!D$5,1),""))))))))</f>
        <v>化学制药</v>
      </c>
      <c r="Z5184" s="302" t="str">
        <f ca="1">IF(Y5184=行业比较!$E$6,ROW(),"")</f>
        <v/>
      </c>
    </row>
    <row r="5185" spans="22:26">
      <c r="V5185" s="260">
        <f t="shared" ca="1" si="89"/>
        <v>0</v>
      </c>
      <c r="W5185" s="348" t="str">
        <f>IF(板块成分!B5187="","",板块成分!B5187)</f>
        <v>688800.SH</v>
      </c>
      <c r="X5185" s="276" t="str">
        <f>[1]!S_Info_Name(W5185)</f>
        <v>瑞可达</v>
      </c>
      <c r="Y5185" s="276" t="str">
        <f ca="1">IF($Y$3="申万一级行业",[1]!s_info_industry_sw_2021(W5185,公司分析!D$5,1),IF($Y$3="申万二级行业",[1]!s_info_industry_sw_2021(W5185,公司分析!D$5,2),IF($Y$3="申万三级行业",[1]!s_info_industry_sw_2021(W5185,公司分析!D$5,3),IF($Y$3="wind一级行业",[1]!s_info_industry_gics(W5185,1),IF($Y$3="wind二级行业",[1]!s_info_industry_gics(W5185,2),IF($Y$3="wind三级行业",[1]!s_info_industry_gics(W5185,3),IF($Y$3="wind四级行业",[1]!s_info_industry_gics(W5185,4),IF($Y$3="证监会门类行业",[1]!s_info_industry_csrc12_n(W5185,公司分析!D$5,1),""))))))))</f>
        <v>其他电子Ⅱ</v>
      </c>
      <c r="Z5185" s="302" t="str">
        <f ca="1">IF(Y5185=行业比较!$E$6,ROW(),"")</f>
        <v/>
      </c>
    </row>
    <row r="5186" spans="22:26">
      <c r="V5186" s="260">
        <f t="shared" ca="1" si="89"/>
        <v>0</v>
      </c>
      <c r="W5186" s="348" t="str">
        <f>IF(板块成分!B5188="","",板块成分!B5188)</f>
        <v>688802.SH</v>
      </c>
      <c r="X5186" s="276" t="str">
        <f>[1]!S_Info_Name(W5186)</f>
        <v>沐曦股份-U</v>
      </c>
      <c r="Y5186" s="276" t="str">
        <f ca="1">IF($Y$3="申万一级行业",[1]!s_info_industry_sw_2021(W5186,公司分析!D$5,1),IF($Y$3="申万二级行业",[1]!s_info_industry_sw_2021(W5186,公司分析!D$5,2),IF($Y$3="申万三级行业",[1]!s_info_industry_sw_2021(W5186,公司分析!D$5,3),IF($Y$3="wind一级行业",[1]!s_info_industry_gics(W5186,1),IF($Y$3="wind二级行业",[1]!s_info_industry_gics(W5186,2),IF($Y$3="wind三级行业",[1]!s_info_industry_gics(W5186,3),IF($Y$3="wind四级行业",[1]!s_info_industry_gics(W5186,4),IF($Y$3="证监会门类行业",[1]!s_info_industry_csrc12_n(W5186,公司分析!D$5,1),""))))))))</f>
        <v>半导体</v>
      </c>
      <c r="Z5186" s="302" t="str">
        <f ca="1">IF(Y5186=行业比较!$E$6,ROW(),"")</f>
        <v/>
      </c>
    </row>
    <row r="5187" spans="22:26">
      <c r="V5187" s="260">
        <f t="shared" ca="1" si="89"/>
        <v>0</v>
      </c>
      <c r="W5187" s="348" t="str">
        <f>IF(板块成分!B5189="","",板块成分!B5189)</f>
        <v>688805.SH</v>
      </c>
      <c r="X5187" s="276" t="str">
        <f>[1]!S_Info_Name(W5187)</f>
        <v>健信超导</v>
      </c>
      <c r="Y5187" s="276" t="str">
        <f ca="1">IF($Y$3="申万一级行业",[1]!s_info_industry_sw_2021(W5187,公司分析!D$5,1),IF($Y$3="申万二级行业",[1]!s_info_industry_sw_2021(W5187,公司分析!D$5,2),IF($Y$3="申万三级行业",[1]!s_info_industry_sw_2021(W5187,公司分析!D$5,3),IF($Y$3="wind一级行业",[1]!s_info_industry_gics(W5187,1),IF($Y$3="wind二级行业",[1]!s_info_industry_gics(W5187,2),IF($Y$3="wind三级行业",[1]!s_info_industry_gics(W5187,3),IF($Y$3="wind四级行业",[1]!s_info_industry_gics(W5187,4),IF($Y$3="证监会门类行业",[1]!s_info_industry_csrc12_n(W5187,公司分析!D$5,1),""))))))))</f>
        <v>医疗器械</v>
      </c>
      <c r="Z5187" s="302" t="str">
        <f ca="1">IF(Y5187=行业比较!$E$6,ROW(),"")</f>
        <v/>
      </c>
    </row>
    <row r="5188" spans="22:26">
      <c r="V5188" s="260">
        <f t="shared" ca="1" si="89"/>
        <v>0</v>
      </c>
      <c r="W5188" s="348" t="str">
        <f>IF(板块成分!B5190="","",板块成分!B5190)</f>
        <v>688807.SH</v>
      </c>
      <c r="X5188" s="276" t="str">
        <f>[1]!S_Info_Name(W5188)</f>
        <v>优迅股份</v>
      </c>
      <c r="Y5188" s="276" t="str">
        <f ca="1">IF($Y$3="申万一级行业",[1]!s_info_industry_sw_2021(W5188,公司分析!D$5,1),IF($Y$3="申万二级行业",[1]!s_info_industry_sw_2021(W5188,公司分析!D$5,2),IF($Y$3="申万三级行业",[1]!s_info_industry_sw_2021(W5188,公司分析!D$5,3),IF($Y$3="wind一级行业",[1]!s_info_industry_gics(W5188,1),IF($Y$3="wind二级行业",[1]!s_info_industry_gics(W5188,2),IF($Y$3="wind三级行业",[1]!s_info_industry_gics(W5188,3),IF($Y$3="wind四级行业",[1]!s_info_industry_gics(W5188,4),IF($Y$3="证监会门类行业",[1]!s_info_industry_csrc12_n(W5188,公司分析!D$5,1),""))))))))</f>
        <v>半导体</v>
      </c>
      <c r="Z5188" s="302" t="str">
        <f ca="1">IF(Y5188=行业比较!$E$6,ROW(),"")</f>
        <v/>
      </c>
    </row>
    <row r="5189" spans="22:26">
      <c r="V5189" s="260">
        <f t="shared" ca="1" si="89"/>
        <v>0</v>
      </c>
      <c r="W5189" s="348" t="str">
        <f>IF(板块成分!B5191="","",板块成分!B5191)</f>
        <v>688809.SH</v>
      </c>
      <c r="X5189" s="276" t="str">
        <f>[1]!S_Info_Name(W5189)</f>
        <v>强一股份</v>
      </c>
      <c r="Y5189" s="276" t="str">
        <f ca="1">IF($Y$3="申万一级行业",[1]!s_info_industry_sw_2021(W5189,公司分析!D$5,1),IF($Y$3="申万二级行业",[1]!s_info_industry_sw_2021(W5189,公司分析!D$5,2),IF($Y$3="申万三级行业",[1]!s_info_industry_sw_2021(W5189,公司分析!D$5,3),IF($Y$3="wind一级行业",[1]!s_info_industry_gics(W5189,1),IF($Y$3="wind二级行业",[1]!s_info_industry_gics(W5189,2),IF($Y$3="wind三级行业",[1]!s_info_industry_gics(W5189,3),IF($Y$3="wind四级行业",[1]!s_info_industry_gics(W5189,4),IF($Y$3="证监会门类行业",[1]!s_info_industry_csrc12_n(W5189,公司分析!D$5,1),""))))))))</f>
        <v>半导体</v>
      </c>
      <c r="Z5189" s="302" t="str">
        <f ca="1">IF(Y5189=行业比较!$E$6,ROW(),"")</f>
        <v/>
      </c>
    </row>
    <row r="5190" spans="22:26">
      <c r="V5190" s="260">
        <f t="shared" ca="1" si="89"/>
        <v>0</v>
      </c>
      <c r="W5190" s="348" t="str">
        <f>IF(板块成分!B5192="","",板块成分!B5192)</f>
        <v>688816.SH</v>
      </c>
      <c r="X5190" s="276" t="str">
        <f>[1]!S_Info_Name(W5190)</f>
        <v>易思维</v>
      </c>
      <c r="Y5190" s="276" t="str">
        <f ca="1">IF($Y$3="申万一级行业",[1]!s_info_industry_sw_2021(W5190,公司分析!D$5,1),IF($Y$3="申万二级行业",[1]!s_info_industry_sw_2021(W5190,公司分析!D$5,2),IF($Y$3="申万三级行业",[1]!s_info_industry_sw_2021(W5190,公司分析!D$5,3),IF($Y$3="wind一级行业",[1]!s_info_industry_gics(W5190,1),IF($Y$3="wind二级行业",[1]!s_info_industry_gics(W5190,2),IF($Y$3="wind三级行业",[1]!s_info_industry_gics(W5190,3),IF($Y$3="wind四级行业",[1]!s_info_industry_gics(W5190,4),IF($Y$3="证监会门类行业",[1]!s_info_industry_csrc12_n(W5190,公司分析!D$5,1),""))))))))</f>
        <v>自动化设备</v>
      </c>
      <c r="Z5190" s="302" t="str">
        <f ca="1">IF(Y5190=行业比较!$E$6,ROW(),"")</f>
        <v/>
      </c>
    </row>
    <row r="5191" spans="22:26">
      <c r="V5191" s="260">
        <f t="shared" ca="1" si="89"/>
        <v>0</v>
      </c>
      <c r="W5191" s="348" t="str">
        <f>IF(板块成分!B5193="","",板块成分!B5193)</f>
        <v>688818.SH</v>
      </c>
      <c r="X5191" s="276" t="str">
        <f>[1]!S_Info_Name(W5191)</f>
        <v>电科蓝天</v>
      </c>
      <c r="Y5191" s="276" t="str">
        <f ca="1">IF($Y$3="申万一级行业",[1]!s_info_industry_sw_2021(W5191,公司分析!D$5,1),IF($Y$3="申万二级行业",[1]!s_info_industry_sw_2021(W5191,公司分析!D$5,2),IF($Y$3="申万三级行业",[1]!s_info_industry_sw_2021(W5191,公司分析!D$5,3),IF($Y$3="wind一级行业",[1]!s_info_industry_gics(W5191,1),IF($Y$3="wind二级行业",[1]!s_info_industry_gics(W5191,2),IF($Y$3="wind三级行业",[1]!s_info_industry_gics(W5191,3),IF($Y$3="wind四级行业",[1]!s_info_industry_gics(W5191,4),IF($Y$3="证监会门类行业",[1]!s_info_industry_csrc12_n(W5191,公司分析!D$5,1),""))))))))</f>
        <v>航天装备Ⅱ</v>
      </c>
      <c r="Z5191" s="302" t="str">
        <f ca="1">IF(Y5191=行业比较!$E$6,ROW(),"")</f>
        <v/>
      </c>
    </row>
    <row r="5192" spans="22:26">
      <c r="V5192" s="260">
        <f t="shared" ca="1" si="89"/>
        <v>0</v>
      </c>
      <c r="W5192" s="348" t="str">
        <f>IF(板块成分!B5194="","",板块成分!B5194)</f>
        <v>688819.SH</v>
      </c>
      <c r="X5192" s="276" t="str">
        <f>[1]!S_Info_Name(W5192)</f>
        <v>天能股份</v>
      </c>
      <c r="Y5192" s="276" t="str">
        <f ca="1">IF($Y$3="申万一级行业",[1]!s_info_industry_sw_2021(W5192,公司分析!D$5,1),IF($Y$3="申万二级行业",[1]!s_info_industry_sw_2021(W5192,公司分析!D$5,2),IF($Y$3="申万三级行业",[1]!s_info_industry_sw_2021(W5192,公司分析!D$5,3),IF($Y$3="wind一级行业",[1]!s_info_industry_gics(W5192,1),IF($Y$3="wind二级行业",[1]!s_info_industry_gics(W5192,2),IF($Y$3="wind三级行业",[1]!s_info_industry_gics(W5192,3),IF($Y$3="wind四级行业",[1]!s_info_industry_gics(W5192,4),IF($Y$3="证监会门类行业",[1]!s_info_industry_csrc12_n(W5192,公司分析!D$5,1),""))))))))</f>
        <v>电池</v>
      </c>
      <c r="Z5192" s="302" t="str">
        <f ca="1">IF(Y5192=行业比较!$E$6,ROW(),"")</f>
        <v/>
      </c>
    </row>
    <row r="5193" spans="22:26">
      <c r="V5193" s="260">
        <f t="shared" ca="1" si="89"/>
        <v>0</v>
      </c>
      <c r="W5193" s="348" t="str">
        <f>IF(板块成分!B5195="","",板块成分!B5195)</f>
        <v>688981.SH</v>
      </c>
      <c r="X5193" s="276" t="str">
        <f>[1]!S_Info_Name(W5193)</f>
        <v>中芯国际</v>
      </c>
      <c r="Y5193" s="276" t="str">
        <f ca="1">IF($Y$3="申万一级行业",[1]!s_info_industry_sw_2021(W5193,公司分析!D$5,1),IF($Y$3="申万二级行业",[1]!s_info_industry_sw_2021(W5193,公司分析!D$5,2),IF($Y$3="申万三级行业",[1]!s_info_industry_sw_2021(W5193,公司分析!D$5,3),IF($Y$3="wind一级行业",[1]!s_info_industry_gics(W5193,1),IF($Y$3="wind二级行业",[1]!s_info_industry_gics(W5193,2),IF($Y$3="wind三级行业",[1]!s_info_industry_gics(W5193,3),IF($Y$3="wind四级行业",[1]!s_info_industry_gics(W5193,4),IF($Y$3="证监会门类行业",[1]!s_info_industry_csrc12_n(W5193,公司分析!D$5,1),""))))))))</f>
        <v>半导体</v>
      </c>
      <c r="Z5193" s="302" t="str">
        <f ca="1">IF(Y5193=行业比较!$E$6,ROW(),"")</f>
        <v/>
      </c>
    </row>
    <row r="5194" spans="22:26">
      <c r="V5194" s="260">
        <f t="shared" ca="1" si="89"/>
        <v>0</v>
      </c>
      <c r="W5194" s="348" t="str">
        <f>IF(板块成分!B5196="","",板块成分!B5196)</f>
        <v>689009.SH</v>
      </c>
      <c r="X5194" s="276" t="str">
        <f>[1]!S_Info_Name(W5194)</f>
        <v>九号公司-WD</v>
      </c>
      <c r="Y5194" s="276" t="str">
        <f ca="1">IF($Y$3="申万一级行业",[1]!s_info_industry_sw_2021(W5194,公司分析!D$5,1),IF($Y$3="申万二级行业",[1]!s_info_industry_sw_2021(W5194,公司分析!D$5,2),IF($Y$3="申万三级行业",[1]!s_info_industry_sw_2021(W5194,公司分析!D$5,3),IF($Y$3="wind一级行业",[1]!s_info_industry_gics(W5194,1),IF($Y$3="wind二级行业",[1]!s_info_industry_gics(W5194,2),IF($Y$3="wind三级行业",[1]!s_info_industry_gics(W5194,3),IF($Y$3="wind四级行业",[1]!s_info_industry_gics(W5194,4),IF($Y$3="证监会门类行业",[1]!s_info_industry_csrc12_n(W5194,公司分析!D$5,1),""))))))))</f>
        <v>摩托车及其他</v>
      </c>
      <c r="Z5194" s="302" t="str">
        <f ca="1">IF(Y5194=行业比较!$E$6,ROW(),"")</f>
        <v/>
      </c>
    </row>
    <row r="5195" spans="22:26">
      <c r="V5195" s="260">
        <f t="shared" ca="1" si="89"/>
        <v>0</v>
      </c>
      <c r="W5195" s="348" t="str">
        <f>IF(板块成分!B5197="","",板块成分!B5197)</f>
        <v>920000.BJ</v>
      </c>
      <c r="X5195" s="276" t="str">
        <f>[1]!S_Info_Name(W5195)</f>
        <v>安徽凤凰</v>
      </c>
      <c r="Y5195" s="276" t="str">
        <f ca="1">IF($Y$3="申万一级行业",[1]!s_info_industry_sw_2021(W5195,公司分析!D$5,1),IF($Y$3="申万二级行业",[1]!s_info_industry_sw_2021(W5195,公司分析!D$5,2),IF($Y$3="申万三级行业",[1]!s_info_industry_sw_2021(W5195,公司分析!D$5,3),IF($Y$3="wind一级行业",[1]!s_info_industry_gics(W5195,1),IF($Y$3="wind二级行业",[1]!s_info_industry_gics(W5195,2),IF($Y$3="wind三级行业",[1]!s_info_industry_gics(W5195,3),IF($Y$3="wind四级行业",[1]!s_info_industry_gics(W5195,4),IF($Y$3="证监会门类行业",[1]!s_info_industry_csrc12_n(W5195,公司分析!D$5,1),""))))))))</f>
        <v>汽车零部件</v>
      </c>
      <c r="Z5195" s="302" t="str">
        <f ca="1">IF(Y5195=行业比较!$E$6,ROW(),"")</f>
        <v/>
      </c>
    </row>
    <row r="5196" spans="22:26">
      <c r="V5196" s="260">
        <f t="shared" ca="1" si="89"/>
        <v>0</v>
      </c>
      <c r="W5196" s="348" t="str">
        <f>IF(板块成分!B5198="","",板块成分!B5198)</f>
        <v>920001.BJ</v>
      </c>
      <c r="X5196" s="276" t="str">
        <f>[1]!S_Info_Name(W5196)</f>
        <v>纬达光电</v>
      </c>
      <c r="Y5196" s="276" t="str">
        <f ca="1">IF($Y$3="申万一级行业",[1]!s_info_industry_sw_2021(W5196,公司分析!D$5,1),IF($Y$3="申万二级行业",[1]!s_info_industry_sw_2021(W5196,公司分析!D$5,2),IF($Y$3="申万三级行业",[1]!s_info_industry_sw_2021(W5196,公司分析!D$5,3),IF($Y$3="wind一级行业",[1]!s_info_industry_gics(W5196,1),IF($Y$3="wind二级行业",[1]!s_info_industry_gics(W5196,2),IF($Y$3="wind三级行业",[1]!s_info_industry_gics(W5196,3),IF($Y$3="wind四级行业",[1]!s_info_industry_gics(W5196,4),IF($Y$3="证监会门类行业",[1]!s_info_industry_csrc12_n(W5196,公司分析!D$5,1),""))))))))</f>
        <v>光学光电子</v>
      </c>
      <c r="Z5196" s="302" t="str">
        <f ca="1">IF(Y5196=行业比较!$E$6,ROW(),"")</f>
        <v/>
      </c>
    </row>
    <row r="5197" spans="22:26">
      <c r="V5197" s="260">
        <f t="shared" ca="1" si="89"/>
        <v>0</v>
      </c>
      <c r="W5197" s="348" t="str">
        <f>IF(板块成分!B5199="","",板块成分!B5199)</f>
        <v>920002.BJ</v>
      </c>
      <c r="X5197" s="276" t="str">
        <f>[1]!S_Info_Name(W5197)</f>
        <v>万达轴承</v>
      </c>
      <c r="Y5197" s="276" t="str">
        <f ca="1">IF($Y$3="申万一级行业",[1]!s_info_industry_sw_2021(W5197,公司分析!D$5,1),IF($Y$3="申万二级行业",[1]!s_info_industry_sw_2021(W5197,公司分析!D$5,2),IF($Y$3="申万三级行业",[1]!s_info_industry_sw_2021(W5197,公司分析!D$5,3),IF($Y$3="wind一级行业",[1]!s_info_industry_gics(W5197,1),IF($Y$3="wind二级行业",[1]!s_info_industry_gics(W5197,2),IF($Y$3="wind三级行业",[1]!s_info_industry_gics(W5197,3),IF($Y$3="wind四级行业",[1]!s_info_industry_gics(W5197,4),IF($Y$3="证监会门类行业",[1]!s_info_industry_csrc12_n(W5197,公司分析!D$5,1),""))))))))</f>
        <v>通用设备</v>
      </c>
      <c r="Z5197" s="302" t="str">
        <f ca="1">IF(Y5197=行业比较!$E$6,ROW(),"")</f>
        <v/>
      </c>
    </row>
    <row r="5198" spans="22:26">
      <c r="V5198" s="260">
        <f t="shared" ca="1" si="89"/>
        <v>0</v>
      </c>
      <c r="W5198" s="348" t="str">
        <f>IF(板块成分!B5200="","",板块成分!B5200)</f>
        <v>920003.BJ</v>
      </c>
      <c r="X5198" s="276" t="str">
        <f>[1]!S_Info_Name(W5198)</f>
        <v>中诚咨询</v>
      </c>
      <c r="Y5198" s="276" t="str">
        <f ca="1">IF($Y$3="申万一级行业",[1]!s_info_industry_sw_2021(W5198,公司分析!D$5,1),IF($Y$3="申万二级行业",[1]!s_info_industry_sw_2021(W5198,公司分析!D$5,2),IF($Y$3="申万三级行业",[1]!s_info_industry_sw_2021(W5198,公司分析!D$5,3),IF($Y$3="wind一级行业",[1]!s_info_industry_gics(W5198,1),IF($Y$3="wind二级行业",[1]!s_info_industry_gics(W5198,2),IF($Y$3="wind三级行业",[1]!s_info_industry_gics(W5198,3),IF($Y$3="wind四级行业",[1]!s_info_industry_gics(W5198,4),IF($Y$3="证监会门类行业",[1]!s_info_industry_csrc12_n(W5198,公司分析!D$5,1),""))))))))</f>
        <v>工程咨询服务Ⅱ</v>
      </c>
      <c r="Z5198" s="302" t="str">
        <f ca="1">IF(Y5198=行业比较!$E$6,ROW(),"")</f>
        <v/>
      </c>
    </row>
    <row r="5199" spans="22:26">
      <c r="V5199" s="260">
        <f t="shared" ca="1" si="89"/>
        <v>0</v>
      </c>
      <c r="W5199" s="348" t="str">
        <f>IF(板块成分!B5201="","",板块成分!B5201)</f>
        <v>920005.BJ</v>
      </c>
      <c r="X5199" s="276" t="str">
        <f>[1]!S_Info_Name(W5199)</f>
        <v>鼎佳精密</v>
      </c>
      <c r="Y5199" s="276" t="str">
        <f ca="1">IF($Y$3="申万一级行业",[1]!s_info_industry_sw_2021(W5199,公司分析!D$5,1),IF($Y$3="申万二级行业",[1]!s_info_industry_sw_2021(W5199,公司分析!D$5,2),IF($Y$3="申万三级行业",[1]!s_info_industry_sw_2021(W5199,公司分析!D$5,3),IF($Y$3="wind一级行业",[1]!s_info_industry_gics(W5199,1),IF($Y$3="wind二级行业",[1]!s_info_industry_gics(W5199,2),IF($Y$3="wind三级行业",[1]!s_info_industry_gics(W5199,3),IF($Y$3="wind四级行业",[1]!s_info_industry_gics(W5199,4),IF($Y$3="证监会门类行业",[1]!s_info_industry_csrc12_n(W5199,公司分析!D$5,1),""))))))))</f>
        <v>消费电子</v>
      </c>
      <c r="Z5199" s="302" t="str">
        <f ca="1">IF(Y5199=行业比较!$E$6,ROW(),"")</f>
        <v/>
      </c>
    </row>
    <row r="5200" spans="22:26">
      <c r="V5200" s="260">
        <f t="shared" ca="1" si="89"/>
        <v>0</v>
      </c>
      <c r="W5200" s="348" t="str">
        <f>IF(板块成分!B5202="","",板块成分!B5202)</f>
        <v>920006.BJ</v>
      </c>
      <c r="X5200" s="276" t="str">
        <f>[1]!S_Info_Name(W5200)</f>
        <v>晟楠科技</v>
      </c>
      <c r="Y5200" s="276" t="str">
        <f ca="1">IF($Y$3="申万一级行业",[1]!s_info_industry_sw_2021(W5200,公司分析!D$5,1),IF($Y$3="申万二级行业",[1]!s_info_industry_sw_2021(W5200,公司分析!D$5,2),IF($Y$3="申万三级行业",[1]!s_info_industry_sw_2021(W5200,公司分析!D$5,3),IF($Y$3="wind一级行业",[1]!s_info_industry_gics(W5200,1),IF($Y$3="wind二级行业",[1]!s_info_industry_gics(W5200,2),IF($Y$3="wind三级行业",[1]!s_info_industry_gics(W5200,3),IF($Y$3="wind四级行业",[1]!s_info_industry_gics(W5200,4),IF($Y$3="证监会门类行业",[1]!s_info_industry_csrc12_n(W5200,公司分析!D$5,1),""))))))))</f>
        <v>航空装备Ⅱ</v>
      </c>
      <c r="Z5200" s="302" t="str">
        <f ca="1">IF(Y5200=行业比较!$E$6,ROW(),"")</f>
        <v/>
      </c>
    </row>
    <row r="5201" spans="22:26">
      <c r="V5201" s="260">
        <f t="shared" ca="1" si="89"/>
        <v>0</v>
      </c>
      <c r="W5201" s="348" t="str">
        <f>IF(板块成分!B5203="","",板块成分!B5203)</f>
        <v>920007.BJ</v>
      </c>
      <c r="X5201" s="276" t="str">
        <f>[1]!S_Info_Name(W5201)</f>
        <v>酉立智能</v>
      </c>
      <c r="Y5201" s="276" t="str">
        <f ca="1">IF($Y$3="申万一级行业",[1]!s_info_industry_sw_2021(W5201,公司分析!D$5,1),IF($Y$3="申万二级行业",[1]!s_info_industry_sw_2021(W5201,公司分析!D$5,2),IF($Y$3="申万三级行业",[1]!s_info_industry_sw_2021(W5201,公司分析!D$5,3),IF($Y$3="wind一级行业",[1]!s_info_industry_gics(W5201,1),IF($Y$3="wind二级行业",[1]!s_info_industry_gics(W5201,2),IF($Y$3="wind三级行业",[1]!s_info_industry_gics(W5201,3),IF($Y$3="wind四级行业",[1]!s_info_industry_gics(W5201,4),IF($Y$3="证监会门类行业",[1]!s_info_industry_csrc12_n(W5201,公司分析!D$5,1),""))))))))</f>
        <v>光伏设备</v>
      </c>
      <c r="Z5201" s="302" t="str">
        <f ca="1">IF(Y5201=行业比较!$E$6,ROW(),"")</f>
        <v/>
      </c>
    </row>
    <row r="5202" spans="22:26">
      <c r="V5202" s="260">
        <f t="shared" ca="1" si="89"/>
        <v>0</v>
      </c>
      <c r="W5202" s="348" t="str">
        <f>IF(板块成分!B5204="","",板块成分!B5204)</f>
        <v>920008.BJ</v>
      </c>
      <c r="X5202" s="276" t="str">
        <f>[1]!S_Info_Name(W5202)</f>
        <v>成电光信</v>
      </c>
      <c r="Y5202" s="276" t="str">
        <f ca="1">IF($Y$3="申万一级行业",[1]!s_info_industry_sw_2021(W5202,公司分析!D$5,1),IF($Y$3="申万二级行业",[1]!s_info_industry_sw_2021(W5202,公司分析!D$5,2),IF($Y$3="申万三级行业",[1]!s_info_industry_sw_2021(W5202,公司分析!D$5,3),IF($Y$3="wind一级行业",[1]!s_info_industry_gics(W5202,1),IF($Y$3="wind二级行业",[1]!s_info_industry_gics(W5202,2),IF($Y$3="wind三级行业",[1]!s_info_industry_gics(W5202,3),IF($Y$3="wind四级行业",[1]!s_info_industry_gics(W5202,4),IF($Y$3="证监会门类行业",[1]!s_info_industry_csrc12_n(W5202,公司分析!D$5,1),""))))))))</f>
        <v>军工电子Ⅱ</v>
      </c>
      <c r="Z5202" s="302" t="str">
        <f ca="1">IF(Y5202=行业比较!$E$6,ROW(),"")</f>
        <v/>
      </c>
    </row>
    <row r="5203" spans="22:26">
      <c r="V5203" s="260">
        <f t="shared" ca="1" si="89"/>
        <v>0</v>
      </c>
      <c r="W5203" s="348" t="str">
        <f>IF(板块成分!B5205="","",板块成分!B5205)</f>
        <v>920009.BJ</v>
      </c>
      <c r="X5203" s="276" t="str">
        <f>[1]!S_Info_Name(W5203)</f>
        <v>丹娜生物</v>
      </c>
      <c r="Y5203" s="276" t="str">
        <f ca="1">IF($Y$3="申万一级行业",[1]!s_info_industry_sw_2021(W5203,公司分析!D$5,1),IF($Y$3="申万二级行业",[1]!s_info_industry_sw_2021(W5203,公司分析!D$5,2),IF($Y$3="申万三级行业",[1]!s_info_industry_sw_2021(W5203,公司分析!D$5,3),IF($Y$3="wind一级行业",[1]!s_info_industry_gics(W5203,1),IF($Y$3="wind二级行业",[1]!s_info_industry_gics(W5203,2),IF($Y$3="wind三级行业",[1]!s_info_industry_gics(W5203,3),IF($Y$3="wind四级行业",[1]!s_info_industry_gics(W5203,4),IF($Y$3="证监会门类行业",[1]!s_info_industry_csrc12_n(W5203,公司分析!D$5,1),""))))))))</f>
        <v>医疗器械</v>
      </c>
      <c r="Z5203" s="302" t="str">
        <f ca="1">IF(Y5203=行业比较!$E$6,ROW(),"")</f>
        <v/>
      </c>
    </row>
    <row r="5204" spans="22:26">
      <c r="V5204" s="260">
        <f t="shared" ca="1" si="89"/>
        <v>0</v>
      </c>
      <c r="W5204" s="348" t="str">
        <f>IF(板块成分!B5206="","",板块成分!B5206)</f>
        <v>920010.BJ</v>
      </c>
      <c r="X5204" s="276" t="str">
        <f>[1]!S_Info_Name(W5204)</f>
        <v>凯添燃气</v>
      </c>
      <c r="Y5204" s="276" t="str">
        <f ca="1">IF($Y$3="申万一级行业",[1]!s_info_industry_sw_2021(W5204,公司分析!D$5,1),IF($Y$3="申万二级行业",[1]!s_info_industry_sw_2021(W5204,公司分析!D$5,2),IF($Y$3="申万三级行业",[1]!s_info_industry_sw_2021(W5204,公司分析!D$5,3),IF($Y$3="wind一级行业",[1]!s_info_industry_gics(W5204,1),IF($Y$3="wind二级行业",[1]!s_info_industry_gics(W5204,2),IF($Y$3="wind三级行业",[1]!s_info_industry_gics(W5204,3),IF($Y$3="wind四级行业",[1]!s_info_industry_gics(W5204,4),IF($Y$3="证监会门类行业",[1]!s_info_industry_csrc12_n(W5204,公司分析!D$5,1),""))))))))</f>
        <v>燃气Ⅱ</v>
      </c>
      <c r="Z5204" s="302" t="str">
        <f ca="1">IF(Y5204=行业比较!$E$6,ROW(),"")</f>
        <v/>
      </c>
    </row>
    <row r="5205" spans="22:26">
      <c r="V5205" s="260">
        <f t="shared" ca="1" si="89"/>
        <v>0</v>
      </c>
      <c r="W5205" s="348" t="str">
        <f>IF(板块成分!B5207="","",板块成分!B5207)</f>
        <v>920014.BJ</v>
      </c>
      <c r="X5205" s="276" t="str">
        <f>[1]!S_Info_Name(W5205)</f>
        <v>特瑞斯</v>
      </c>
      <c r="Y5205" s="276" t="str">
        <f ca="1">IF($Y$3="申万一级行业",[1]!s_info_industry_sw_2021(W5205,公司分析!D$5,1),IF($Y$3="申万二级行业",[1]!s_info_industry_sw_2021(W5205,公司分析!D$5,2),IF($Y$3="申万三级行业",[1]!s_info_industry_sw_2021(W5205,公司分析!D$5,3),IF($Y$3="wind一级行业",[1]!s_info_industry_gics(W5205,1),IF($Y$3="wind二级行业",[1]!s_info_industry_gics(W5205,2),IF($Y$3="wind三级行业",[1]!s_info_industry_gics(W5205,3),IF($Y$3="wind四级行业",[1]!s_info_industry_gics(W5205,4),IF($Y$3="证监会门类行业",[1]!s_info_industry_csrc12_n(W5205,公司分析!D$5,1),""))))))))</f>
        <v>燃气Ⅱ</v>
      </c>
      <c r="Z5205" s="302" t="str">
        <f ca="1">IF(Y5205=行业比较!$E$6,ROW(),"")</f>
        <v/>
      </c>
    </row>
    <row r="5206" spans="22:26">
      <c r="V5206" s="260">
        <f t="shared" ca="1" si="89"/>
        <v>0</v>
      </c>
      <c r="W5206" s="348" t="str">
        <f>IF(板块成分!B5208="","",板块成分!B5208)</f>
        <v>920015.BJ</v>
      </c>
      <c r="X5206" s="276" t="str">
        <f>[1]!S_Info_Name(W5206)</f>
        <v>锦华新材</v>
      </c>
      <c r="Y5206" s="276" t="str">
        <f ca="1">IF($Y$3="申万一级行业",[1]!s_info_industry_sw_2021(W5206,公司分析!D$5,1),IF($Y$3="申万二级行业",[1]!s_info_industry_sw_2021(W5206,公司分析!D$5,2),IF($Y$3="申万三级行业",[1]!s_info_industry_sw_2021(W5206,公司分析!D$5,3),IF($Y$3="wind一级行业",[1]!s_info_industry_gics(W5206,1),IF($Y$3="wind二级行业",[1]!s_info_industry_gics(W5206,2),IF($Y$3="wind三级行业",[1]!s_info_industry_gics(W5206,3),IF($Y$3="wind四级行业",[1]!s_info_industry_gics(W5206,4),IF($Y$3="证监会门类行业",[1]!s_info_industry_csrc12_n(W5206,公司分析!D$5,1),""))))))))</f>
        <v>化学制品</v>
      </c>
      <c r="Z5206" s="302" t="str">
        <f ca="1">IF(Y5206=行业比较!$E$6,ROW(),"")</f>
        <v/>
      </c>
    </row>
    <row r="5207" spans="22:26">
      <c r="V5207" s="260">
        <f t="shared" ca="1" si="89"/>
        <v>0</v>
      </c>
      <c r="W5207" s="348" t="str">
        <f>IF(板块成分!B5209="","",板块成分!B5209)</f>
        <v>920016.BJ</v>
      </c>
      <c r="X5207" s="276" t="str">
        <f>[1]!S_Info_Name(W5207)</f>
        <v>中草香料</v>
      </c>
      <c r="Y5207" s="276" t="str">
        <f ca="1">IF($Y$3="申万一级行业",[1]!s_info_industry_sw_2021(W5207,公司分析!D$5,1),IF($Y$3="申万二级行业",[1]!s_info_industry_sw_2021(W5207,公司分析!D$5,2),IF($Y$3="申万三级行业",[1]!s_info_industry_sw_2021(W5207,公司分析!D$5,3),IF($Y$3="wind一级行业",[1]!s_info_industry_gics(W5207,1),IF($Y$3="wind二级行业",[1]!s_info_industry_gics(W5207,2),IF($Y$3="wind三级行业",[1]!s_info_industry_gics(W5207,3),IF($Y$3="wind四级行业",[1]!s_info_industry_gics(W5207,4),IF($Y$3="证监会门类行业",[1]!s_info_industry_csrc12_n(W5207,公司分析!D$5,1),""))))))))</f>
        <v>化学制品</v>
      </c>
      <c r="Z5207" s="302" t="str">
        <f ca="1">IF(Y5207=行业比较!$E$6,ROW(),"")</f>
        <v/>
      </c>
    </row>
    <row r="5208" spans="22:26">
      <c r="V5208" s="260">
        <f t="shared" ca="1" si="89"/>
        <v>0</v>
      </c>
      <c r="W5208" s="348" t="str">
        <f>IF(板块成分!B5210="","",板块成分!B5210)</f>
        <v>920017.BJ</v>
      </c>
      <c r="X5208" s="276" t="str">
        <f>[1]!S_Info_Name(W5208)</f>
        <v>星昊医药</v>
      </c>
      <c r="Y5208" s="276" t="str">
        <f ca="1">IF($Y$3="申万一级行业",[1]!s_info_industry_sw_2021(W5208,公司分析!D$5,1),IF($Y$3="申万二级行业",[1]!s_info_industry_sw_2021(W5208,公司分析!D$5,2),IF($Y$3="申万三级行业",[1]!s_info_industry_sw_2021(W5208,公司分析!D$5,3),IF($Y$3="wind一级行业",[1]!s_info_industry_gics(W5208,1),IF($Y$3="wind二级行业",[1]!s_info_industry_gics(W5208,2),IF($Y$3="wind三级行业",[1]!s_info_industry_gics(W5208,3),IF($Y$3="wind四级行业",[1]!s_info_industry_gics(W5208,4),IF($Y$3="证监会门类行业",[1]!s_info_industry_csrc12_n(W5208,公司分析!D$5,1),""))))))))</f>
        <v>化学制药</v>
      </c>
      <c r="Z5208" s="302" t="str">
        <f ca="1">IF(Y5208=行业比较!$E$6,ROW(),"")</f>
        <v/>
      </c>
    </row>
    <row r="5209" spans="22:26">
      <c r="V5209" s="260">
        <f t="shared" ca="1" si="89"/>
        <v>0</v>
      </c>
      <c r="W5209" s="348" t="str">
        <f>IF(板块成分!B5211="","",板块成分!B5211)</f>
        <v>920018.BJ</v>
      </c>
      <c r="X5209" s="276" t="str">
        <f>[1]!S_Info_Name(W5209)</f>
        <v>宏远股份</v>
      </c>
      <c r="Y5209" s="276" t="str">
        <f ca="1">IF($Y$3="申万一级行业",[1]!s_info_industry_sw_2021(W5209,公司分析!D$5,1),IF($Y$3="申万二级行业",[1]!s_info_industry_sw_2021(W5209,公司分析!D$5,2),IF($Y$3="申万三级行业",[1]!s_info_industry_sw_2021(W5209,公司分析!D$5,3),IF($Y$3="wind一级行业",[1]!s_info_industry_gics(W5209,1),IF($Y$3="wind二级行业",[1]!s_info_industry_gics(W5209,2),IF($Y$3="wind三级行业",[1]!s_info_industry_gics(W5209,3),IF($Y$3="wind四级行业",[1]!s_info_industry_gics(W5209,4),IF($Y$3="证监会门类行业",[1]!s_info_industry_csrc12_n(W5209,公司分析!D$5,1),""))))))))</f>
        <v>电网设备</v>
      </c>
      <c r="Z5209" s="302" t="str">
        <f ca="1">IF(Y5209=行业比较!$E$6,ROW(),"")</f>
        <v/>
      </c>
    </row>
    <row r="5210" spans="22:26">
      <c r="V5210" s="260">
        <f t="shared" ca="1" si="89"/>
        <v>0</v>
      </c>
      <c r="W5210" s="348" t="str">
        <f>IF(板块成分!B5212="","",板块成分!B5212)</f>
        <v>920019.BJ</v>
      </c>
      <c r="X5210" s="276" t="str">
        <f>[1]!S_Info_Name(W5210)</f>
        <v>铜冠矿建</v>
      </c>
      <c r="Y5210" s="276" t="str">
        <f ca="1">IF($Y$3="申万一级行业",[1]!s_info_industry_sw_2021(W5210,公司分析!D$5,1),IF($Y$3="申万二级行业",[1]!s_info_industry_sw_2021(W5210,公司分析!D$5,2),IF($Y$3="申万三级行业",[1]!s_info_industry_sw_2021(W5210,公司分析!D$5,3),IF($Y$3="wind一级行业",[1]!s_info_industry_gics(W5210,1),IF($Y$3="wind二级行业",[1]!s_info_industry_gics(W5210,2),IF($Y$3="wind三级行业",[1]!s_info_industry_gics(W5210,3),IF($Y$3="wind四级行业",[1]!s_info_industry_gics(W5210,4),IF($Y$3="证监会门类行业",[1]!s_info_industry_csrc12_n(W5210,公司分析!D$5,1),""))))))))</f>
        <v>专业工程</v>
      </c>
      <c r="Z5210" s="302" t="str">
        <f ca="1">IF(Y5210=行业比较!$E$6,ROW(),"")</f>
        <v/>
      </c>
    </row>
    <row r="5211" spans="22:26">
      <c r="V5211" s="260">
        <f t="shared" ca="1" si="89"/>
        <v>0</v>
      </c>
      <c r="W5211" s="348" t="str">
        <f>IF(板块成分!B5213="","",板块成分!B5213)</f>
        <v>920020.BJ</v>
      </c>
      <c r="X5211" s="276" t="str">
        <f>[1]!S_Info_Name(W5211)</f>
        <v>泰凯英</v>
      </c>
      <c r="Y5211" s="276" t="str">
        <f ca="1">IF($Y$3="申万一级行业",[1]!s_info_industry_sw_2021(W5211,公司分析!D$5,1),IF($Y$3="申万二级行业",[1]!s_info_industry_sw_2021(W5211,公司分析!D$5,2),IF($Y$3="申万三级行业",[1]!s_info_industry_sw_2021(W5211,公司分析!D$5,3),IF($Y$3="wind一级行业",[1]!s_info_industry_gics(W5211,1),IF($Y$3="wind二级行业",[1]!s_info_industry_gics(W5211,2),IF($Y$3="wind三级行业",[1]!s_info_industry_gics(W5211,3),IF($Y$3="wind四级行业",[1]!s_info_industry_gics(W5211,4),IF($Y$3="证监会门类行业",[1]!s_info_industry_csrc12_n(W5211,公司分析!D$5,1),""))))))))</f>
        <v>汽车零部件</v>
      </c>
      <c r="Z5211" s="302" t="str">
        <f ca="1">IF(Y5211=行业比较!$E$6,ROW(),"")</f>
        <v/>
      </c>
    </row>
    <row r="5212" spans="22:26">
      <c r="V5212" s="260">
        <f t="shared" ca="1" si="89"/>
        <v>0</v>
      </c>
      <c r="W5212" s="348" t="str">
        <f>IF(板块成分!B5214="","",板块成分!B5214)</f>
        <v>920021.BJ</v>
      </c>
      <c r="X5212" s="276" t="str">
        <f>[1]!S_Info_Name(W5212)</f>
        <v>流金科技</v>
      </c>
      <c r="Y5212" s="276" t="str">
        <f ca="1">IF($Y$3="申万一级行业",[1]!s_info_industry_sw_2021(W5212,公司分析!D$5,1),IF($Y$3="申万二级行业",[1]!s_info_industry_sw_2021(W5212,公司分析!D$5,2),IF($Y$3="申万三级行业",[1]!s_info_industry_sw_2021(W5212,公司分析!D$5,3),IF($Y$3="wind一级行业",[1]!s_info_industry_gics(W5212,1),IF($Y$3="wind二级行业",[1]!s_info_industry_gics(W5212,2),IF($Y$3="wind三级行业",[1]!s_info_industry_gics(W5212,3),IF($Y$3="wind四级行业",[1]!s_info_industry_gics(W5212,4),IF($Y$3="证监会门类行业",[1]!s_info_industry_csrc12_n(W5212,公司分析!D$5,1),""))))))))</f>
        <v>电视广播Ⅱ</v>
      </c>
      <c r="Z5212" s="302" t="str">
        <f ca="1">IF(Y5212=行业比较!$E$6,ROW(),"")</f>
        <v/>
      </c>
    </row>
    <row r="5213" spans="22:26">
      <c r="V5213" s="260">
        <f t="shared" ca="1" si="89"/>
        <v>0</v>
      </c>
      <c r="W5213" s="348" t="str">
        <f>IF(板块成分!B5215="","",板块成分!B5215)</f>
        <v>920022.BJ</v>
      </c>
      <c r="X5213" s="276" t="str">
        <f>[1]!S_Info_Name(W5213)</f>
        <v>世昌股份</v>
      </c>
      <c r="Y5213" s="276" t="str">
        <f ca="1">IF($Y$3="申万一级行业",[1]!s_info_industry_sw_2021(W5213,公司分析!D$5,1),IF($Y$3="申万二级行业",[1]!s_info_industry_sw_2021(W5213,公司分析!D$5,2),IF($Y$3="申万三级行业",[1]!s_info_industry_sw_2021(W5213,公司分析!D$5,3),IF($Y$3="wind一级行业",[1]!s_info_industry_gics(W5213,1),IF($Y$3="wind二级行业",[1]!s_info_industry_gics(W5213,2),IF($Y$3="wind三级行业",[1]!s_info_industry_gics(W5213,3),IF($Y$3="wind四级行业",[1]!s_info_industry_gics(W5213,4),IF($Y$3="证监会门类行业",[1]!s_info_industry_csrc12_n(W5213,公司分析!D$5,1),""))))))))</f>
        <v>汽车零部件</v>
      </c>
      <c r="Z5213" s="302" t="str">
        <f ca="1">IF(Y5213=行业比较!$E$6,ROW(),"")</f>
        <v/>
      </c>
    </row>
    <row r="5214" spans="22:26">
      <c r="V5214" s="260">
        <f t="shared" ca="1" si="89"/>
        <v>0</v>
      </c>
      <c r="W5214" s="348" t="str">
        <f>IF(板块成分!B5216="","",板块成分!B5216)</f>
        <v>920023.BJ</v>
      </c>
      <c r="X5214" s="276" t="str">
        <f>[1]!S_Info_Name(W5214)</f>
        <v>田野股份</v>
      </c>
      <c r="Y5214" s="276" t="str">
        <f ca="1">IF($Y$3="申万一级行业",[1]!s_info_industry_sw_2021(W5214,公司分析!D$5,1),IF($Y$3="申万二级行业",[1]!s_info_industry_sw_2021(W5214,公司分析!D$5,2),IF($Y$3="申万三级行业",[1]!s_info_industry_sw_2021(W5214,公司分析!D$5,3),IF($Y$3="wind一级行业",[1]!s_info_industry_gics(W5214,1),IF($Y$3="wind二级行业",[1]!s_info_industry_gics(W5214,2),IF($Y$3="wind三级行业",[1]!s_info_industry_gics(W5214,3),IF($Y$3="wind四级行业",[1]!s_info_industry_gics(W5214,4),IF($Y$3="证监会门类行业",[1]!s_info_industry_csrc12_n(W5214,公司分析!D$5,1),""))))))))</f>
        <v>农产品加工</v>
      </c>
      <c r="Z5214" s="302" t="str">
        <f ca="1">IF(Y5214=行业比较!$E$6,ROW(),"")</f>
        <v/>
      </c>
    </row>
    <row r="5215" spans="22:26">
      <c r="V5215" s="260">
        <f t="shared" ca="1" si="89"/>
        <v>0</v>
      </c>
      <c r="W5215" s="348" t="str">
        <f>IF(板块成分!B5217="","",板块成分!B5217)</f>
        <v>920026.BJ</v>
      </c>
      <c r="X5215" s="276" t="str">
        <f>[1]!S_Info_Name(W5215)</f>
        <v>卓兆点胶</v>
      </c>
      <c r="Y5215" s="276" t="str">
        <f ca="1">IF($Y$3="申万一级行业",[1]!s_info_industry_sw_2021(W5215,公司分析!D$5,1),IF($Y$3="申万二级行业",[1]!s_info_industry_sw_2021(W5215,公司分析!D$5,2),IF($Y$3="申万三级行业",[1]!s_info_industry_sw_2021(W5215,公司分析!D$5,3),IF($Y$3="wind一级行业",[1]!s_info_industry_gics(W5215,1),IF($Y$3="wind二级行业",[1]!s_info_industry_gics(W5215,2),IF($Y$3="wind三级行业",[1]!s_info_industry_gics(W5215,3),IF($Y$3="wind四级行业",[1]!s_info_industry_gics(W5215,4),IF($Y$3="证监会门类行业",[1]!s_info_industry_csrc12_n(W5215,公司分析!D$5,1),""))))))))</f>
        <v>专用设备</v>
      </c>
      <c r="Z5215" s="302" t="str">
        <f ca="1">IF(Y5215=行业比较!$E$6,ROW(),"")</f>
        <v/>
      </c>
    </row>
    <row r="5216" spans="22:26">
      <c r="V5216" s="260">
        <f t="shared" ca="1" si="89"/>
        <v>0</v>
      </c>
      <c r="W5216" s="348" t="str">
        <f>IF(板块成分!B5218="","",板块成分!B5218)</f>
        <v>920027.BJ</v>
      </c>
      <c r="X5216" s="276" t="str">
        <f>[1]!S_Info_Name(W5216)</f>
        <v>交大铁发</v>
      </c>
      <c r="Y5216" s="276" t="str">
        <f ca="1">IF($Y$3="申万一级行业",[1]!s_info_industry_sw_2021(W5216,公司分析!D$5,1),IF($Y$3="申万二级行业",[1]!s_info_industry_sw_2021(W5216,公司分析!D$5,2),IF($Y$3="申万三级行业",[1]!s_info_industry_sw_2021(W5216,公司分析!D$5,3),IF($Y$3="wind一级行业",[1]!s_info_industry_gics(W5216,1),IF($Y$3="wind二级行业",[1]!s_info_industry_gics(W5216,2),IF($Y$3="wind三级行业",[1]!s_info_industry_gics(W5216,3),IF($Y$3="wind四级行业",[1]!s_info_industry_gics(W5216,4),IF($Y$3="证监会门类行业",[1]!s_info_industry_csrc12_n(W5216,公司分析!D$5,1),""))))))))</f>
        <v>轨交设备Ⅱ</v>
      </c>
      <c r="Z5216" s="302" t="str">
        <f ca="1">IF(Y5216=行业比较!$E$6,ROW(),"")</f>
        <v/>
      </c>
    </row>
    <row r="5217" spans="22:26">
      <c r="V5217" s="260">
        <f t="shared" ca="1" si="89"/>
        <v>0</v>
      </c>
      <c r="W5217" s="348" t="str">
        <f>IF(板块成分!B5219="","",板块成分!B5219)</f>
        <v>920029.BJ</v>
      </c>
      <c r="X5217" s="276" t="str">
        <f>[1]!S_Info_Name(W5217)</f>
        <v>开发科技</v>
      </c>
      <c r="Y5217" s="276" t="str">
        <f ca="1">IF($Y$3="申万一级行业",[1]!s_info_industry_sw_2021(W5217,公司分析!D$5,1),IF($Y$3="申万二级行业",[1]!s_info_industry_sw_2021(W5217,公司分析!D$5,2),IF($Y$3="申万三级行业",[1]!s_info_industry_sw_2021(W5217,公司分析!D$5,3),IF($Y$3="wind一级行业",[1]!s_info_industry_gics(W5217,1),IF($Y$3="wind二级行业",[1]!s_info_industry_gics(W5217,2),IF($Y$3="wind三级行业",[1]!s_info_industry_gics(W5217,3),IF($Y$3="wind四级行业",[1]!s_info_industry_gics(W5217,4),IF($Y$3="证监会门类行业",[1]!s_info_industry_csrc12_n(W5217,公司分析!D$5,1),""))))))))</f>
        <v>电网设备</v>
      </c>
      <c r="Z5217" s="302" t="str">
        <f ca="1">IF(Y5217=行业比较!$E$6,ROW(),"")</f>
        <v/>
      </c>
    </row>
    <row r="5218" spans="22:26">
      <c r="V5218" s="260">
        <f t="shared" ca="1" si="89"/>
        <v>0</v>
      </c>
      <c r="W5218" s="348" t="str">
        <f>IF(板块成分!B5220="","",板块成分!B5220)</f>
        <v>920030.BJ</v>
      </c>
      <c r="X5218" s="276" t="str">
        <f>[1]!S_Info_Name(W5218)</f>
        <v>德众汽车</v>
      </c>
      <c r="Y5218" s="276" t="str">
        <f ca="1">IF($Y$3="申万一级行业",[1]!s_info_industry_sw_2021(W5218,公司分析!D$5,1),IF($Y$3="申万二级行业",[1]!s_info_industry_sw_2021(W5218,公司分析!D$5,2),IF($Y$3="申万三级行业",[1]!s_info_industry_sw_2021(W5218,公司分析!D$5,3),IF($Y$3="wind一级行业",[1]!s_info_industry_gics(W5218,1),IF($Y$3="wind二级行业",[1]!s_info_industry_gics(W5218,2),IF($Y$3="wind三级行业",[1]!s_info_industry_gics(W5218,3),IF($Y$3="wind四级行业",[1]!s_info_industry_gics(W5218,4),IF($Y$3="证监会门类行业",[1]!s_info_industry_csrc12_n(W5218,公司分析!D$5,1),""))))))))</f>
        <v>汽车服务</v>
      </c>
      <c r="Z5218" s="302" t="str">
        <f ca="1">IF(Y5218=行业比较!$E$6,ROW(),"")</f>
        <v/>
      </c>
    </row>
    <row r="5219" spans="22:26">
      <c r="V5219" s="260">
        <f t="shared" ca="1" si="89"/>
        <v>0</v>
      </c>
      <c r="W5219" s="348" t="str">
        <f>IF(板块成分!B5221="","",板块成分!B5221)</f>
        <v>920033.BJ</v>
      </c>
      <c r="X5219" s="276" t="str">
        <f>[1]!S_Info_Name(W5219)</f>
        <v>康普化学</v>
      </c>
      <c r="Y5219" s="276" t="str">
        <f ca="1">IF($Y$3="申万一级行业",[1]!s_info_industry_sw_2021(W5219,公司分析!D$5,1),IF($Y$3="申万二级行业",[1]!s_info_industry_sw_2021(W5219,公司分析!D$5,2),IF($Y$3="申万三级行业",[1]!s_info_industry_sw_2021(W5219,公司分析!D$5,3),IF($Y$3="wind一级行业",[1]!s_info_industry_gics(W5219,1),IF($Y$3="wind二级行业",[1]!s_info_industry_gics(W5219,2),IF($Y$3="wind三级行业",[1]!s_info_industry_gics(W5219,3),IF($Y$3="wind四级行业",[1]!s_info_industry_gics(W5219,4),IF($Y$3="证监会门类行业",[1]!s_info_industry_csrc12_n(W5219,公司分析!D$5,1),""))))))))</f>
        <v>化学制品</v>
      </c>
      <c r="Z5219" s="302" t="str">
        <f ca="1">IF(Y5219=行业比较!$E$6,ROW(),"")</f>
        <v/>
      </c>
    </row>
    <row r="5220" spans="22:26">
      <c r="V5220" s="260">
        <f t="shared" ca="1" si="89"/>
        <v>0</v>
      </c>
      <c r="W5220" s="348" t="str">
        <f>IF(板块成分!B5222="","",板块成分!B5222)</f>
        <v>920035.BJ</v>
      </c>
      <c r="X5220" s="276" t="str">
        <f>[1]!S_Info_Name(W5220)</f>
        <v>精创电气</v>
      </c>
      <c r="Y5220" s="276" t="str">
        <f ca="1">IF($Y$3="申万一级行业",[1]!s_info_industry_sw_2021(W5220,公司分析!D$5,1),IF($Y$3="申万二级行业",[1]!s_info_industry_sw_2021(W5220,公司分析!D$5,2),IF($Y$3="申万三级行业",[1]!s_info_industry_sw_2021(W5220,公司分析!D$5,3),IF($Y$3="wind一级行业",[1]!s_info_industry_gics(W5220,1),IF($Y$3="wind二级行业",[1]!s_info_industry_gics(W5220,2),IF($Y$3="wind三级行业",[1]!s_info_industry_gics(W5220,3),IF($Y$3="wind四级行业",[1]!s_info_industry_gics(W5220,4),IF($Y$3="证监会门类行业",[1]!s_info_industry_csrc12_n(W5220,公司分析!D$5,1),""))))))))</f>
        <v>通用设备</v>
      </c>
      <c r="Z5220" s="302" t="str">
        <f ca="1">IF(Y5220=行业比较!$E$6,ROW(),"")</f>
        <v/>
      </c>
    </row>
    <row r="5221" spans="22:26">
      <c r="V5221" s="260">
        <f t="shared" ca="1" si="89"/>
        <v>0</v>
      </c>
      <c r="W5221" s="348" t="str">
        <f>IF(板块成分!B5223="","",板块成分!B5223)</f>
        <v>920036.BJ</v>
      </c>
      <c r="X5221" s="276" t="str">
        <f>[1]!S_Info_Name(W5221)</f>
        <v>觅睿科技</v>
      </c>
      <c r="Y5221" s="276" t="str">
        <f ca="1">IF($Y$3="申万一级行业",[1]!s_info_industry_sw_2021(W5221,公司分析!D$5,1),IF($Y$3="申万二级行业",[1]!s_info_industry_sw_2021(W5221,公司分析!D$5,2),IF($Y$3="申万三级行业",[1]!s_info_industry_sw_2021(W5221,公司分析!D$5,3),IF($Y$3="wind一级行业",[1]!s_info_industry_gics(W5221,1),IF($Y$3="wind二级行业",[1]!s_info_industry_gics(W5221,2),IF($Y$3="wind三级行业",[1]!s_info_industry_gics(W5221,3),IF($Y$3="wind四级行业",[1]!s_info_industry_gics(W5221,4),IF($Y$3="证监会门类行业",[1]!s_info_industry_csrc12_n(W5221,公司分析!D$5,1),""))))))))</f>
        <v>计算机设备</v>
      </c>
      <c r="Z5221" s="302" t="str">
        <f ca="1">IF(Y5221=行业比较!$E$6,ROW(),"")</f>
        <v/>
      </c>
    </row>
    <row r="5222" spans="22:26">
      <c r="V5222" s="260">
        <f t="shared" ca="1" si="89"/>
        <v>0</v>
      </c>
      <c r="W5222" s="348" t="str">
        <f>IF(板块成分!B5224="","",板块成分!B5224)</f>
        <v>920037.BJ</v>
      </c>
      <c r="X5222" s="276" t="str">
        <f>[1]!S_Info_Name(W5222)</f>
        <v>广信科技</v>
      </c>
      <c r="Y5222" s="276" t="str">
        <f ca="1">IF($Y$3="申万一级行业",[1]!s_info_industry_sw_2021(W5222,公司分析!D$5,1),IF($Y$3="申万二级行业",[1]!s_info_industry_sw_2021(W5222,公司分析!D$5,2),IF($Y$3="申万三级行业",[1]!s_info_industry_sw_2021(W5222,公司分析!D$5,3),IF($Y$3="wind一级行业",[1]!s_info_industry_gics(W5222,1),IF($Y$3="wind二级行业",[1]!s_info_industry_gics(W5222,2),IF($Y$3="wind三级行业",[1]!s_info_industry_gics(W5222,3),IF($Y$3="wind四级行业",[1]!s_info_industry_gics(W5222,4),IF($Y$3="证监会门类行业",[1]!s_info_industry_csrc12_n(W5222,公司分析!D$5,1),""))))))))</f>
        <v>电网设备</v>
      </c>
      <c r="Z5222" s="302" t="str">
        <f ca="1">IF(Y5222=行业比较!$E$6,ROW(),"")</f>
        <v/>
      </c>
    </row>
    <row r="5223" spans="22:26">
      <c r="V5223" s="260">
        <f t="shared" ca="1" si="89"/>
        <v>0</v>
      </c>
      <c r="W5223" s="348" t="str">
        <f>IF(板块成分!B5225="","",板块成分!B5225)</f>
        <v>920039.BJ</v>
      </c>
      <c r="X5223" s="276" t="str">
        <f>[1]!S_Info_Name(W5223)</f>
        <v>国义招标</v>
      </c>
      <c r="Y5223" s="276" t="str">
        <f ca="1">IF($Y$3="申万一级行业",[1]!s_info_industry_sw_2021(W5223,公司分析!D$5,1),IF($Y$3="申万二级行业",[1]!s_info_industry_sw_2021(W5223,公司分析!D$5,2),IF($Y$3="申万三级行业",[1]!s_info_industry_sw_2021(W5223,公司分析!D$5,3),IF($Y$3="wind一级行业",[1]!s_info_industry_gics(W5223,1),IF($Y$3="wind二级行业",[1]!s_info_industry_gics(W5223,2),IF($Y$3="wind三级行业",[1]!s_info_industry_gics(W5223,3),IF($Y$3="wind四级行业",[1]!s_info_industry_gics(W5223,4),IF($Y$3="证监会门类行业",[1]!s_info_industry_csrc12_n(W5223,公司分析!D$5,1),""))))))))</f>
        <v>专业服务</v>
      </c>
      <c r="Z5223" s="302" t="str">
        <f ca="1">IF(Y5223=行业比较!$E$6,ROW(),"")</f>
        <v/>
      </c>
    </row>
    <row r="5224" spans="22:26">
      <c r="V5224" s="260">
        <f t="shared" ref="V5224:V5287" ca="1" si="90">IF(Z5224="",0,RANK(Z5224,Z:Z,1))</f>
        <v>0</v>
      </c>
      <c r="W5224" s="348" t="str">
        <f>IF(板块成分!B5226="","",板块成分!B5226)</f>
        <v>920045.BJ</v>
      </c>
      <c r="X5224" s="276" t="str">
        <f>[1]!S_Info_Name(W5224)</f>
        <v>蘅东光</v>
      </c>
      <c r="Y5224" s="276" t="str">
        <f ca="1">IF($Y$3="申万一级行业",[1]!s_info_industry_sw_2021(W5224,公司分析!D$5,1),IF($Y$3="申万二级行业",[1]!s_info_industry_sw_2021(W5224,公司分析!D$5,2),IF($Y$3="申万三级行业",[1]!s_info_industry_sw_2021(W5224,公司分析!D$5,3),IF($Y$3="wind一级行业",[1]!s_info_industry_gics(W5224,1),IF($Y$3="wind二级行业",[1]!s_info_industry_gics(W5224,2),IF($Y$3="wind三级行业",[1]!s_info_industry_gics(W5224,3),IF($Y$3="wind四级行业",[1]!s_info_industry_gics(W5224,4),IF($Y$3="证监会门类行业",[1]!s_info_industry_csrc12_n(W5224,公司分析!D$5,1),""))))))))</f>
        <v>通信设备</v>
      </c>
      <c r="Z5224" s="302" t="str">
        <f ca="1">IF(Y5224=行业比较!$E$6,ROW(),"")</f>
        <v/>
      </c>
    </row>
    <row r="5225" spans="22:26">
      <c r="V5225" s="260">
        <f t="shared" ca="1" si="90"/>
        <v>0</v>
      </c>
      <c r="W5225" s="348" t="str">
        <f>IF(板块成分!B5227="","",板块成分!B5227)</f>
        <v>920046.BJ</v>
      </c>
      <c r="X5225" s="276" t="str">
        <f>[1]!S_Info_Name(W5225)</f>
        <v>亿能电力</v>
      </c>
      <c r="Y5225" s="276" t="str">
        <f ca="1">IF($Y$3="申万一级行业",[1]!s_info_industry_sw_2021(W5225,公司分析!D$5,1),IF($Y$3="申万二级行业",[1]!s_info_industry_sw_2021(W5225,公司分析!D$5,2),IF($Y$3="申万三级行业",[1]!s_info_industry_sw_2021(W5225,公司分析!D$5,3),IF($Y$3="wind一级行业",[1]!s_info_industry_gics(W5225,1),IF($Y$3="wind二级行业",[1]!s_info_industry_gics(W5225,2),IF($Y$3="wind三级行业",[1]!s_info_industry_gics(W5225,3),IF($Y$3="wind四级行业",[1]!s_info_industry_gics(W5225,4),IF($Y$3="证监会门类行业",[1]!s_info_industry_csrc12_n(W5225,公司分析!D$5,1),""))))))))</f>
        <v>电网设备</v>
      </c>
      <c r="Z5225" s="302" t="str">
        <f ca="1">IF(Y5225=行业比较!$E$6,ROW(),"")</f>
        <v/>
      </c>
    </row>
    <row r="5226" spans="22:26">
      <c r="V5226" s="260">
        <f t="shared" ca="1" si="90"/>
        <v>0</v>
      </c>
      <c r="W5226" s="348" t="str">
        <f>IF(板块成分!B5228="","",板块成分!B5228)</f>
        <v>920047.BJ</v>
      </c>
      <c r="X5226" s="276" t="str">
        <f>[1]!S_Info_Name(W5226)</f>
        <v>诺思兰德</v>
      </c>
      <c r="Y5226" s="276" t="str">
        <f ca="1">IF($Y$3="申万一级行业",[1]!s_info_industry_sw_2021(W5226,公司分析!D$5,1),IF($Y$3="申万二级行业",[1]!s_info_industry_sw_2021(W5226,公司分析!D$5,2),IF($Y$3="申万三级行业",[1]!s_info_industry_sw_2021(W5226,公司分析!D$5,3),IF($Y$3="wind一级行业",[1]!s_info_industry_gics(W5226,1),IF($Y$3="wind二级行业",[1]!s_info_industry_gics(W5226,2),IF($Y$3="wind三级行业",[1]!s_info_industry_gics(W5226,3),IF($Y$3="wind四级行业",[1]!s_info_industry_gics(W5226,4),IF($Y$3="证监会门类行业",[1]!s_info_industry_csrc12_n(W5226,公司分析!D$5,1),""))))))))</f>
        <v>生物制品</v>
      </c>
      <c r="Z5226" s="302" t="str">
        <f ca="1">IF(Y5226=行业比较!$E$6,ROW(),"")</f>
        <v/>
      </c>
    </row>
    <row r="5227" spans="22:26">
      <c r="V5227" s="260">
        <f t="shared" ca="1" si="90"/>
        <v>0</v>
      </c>
      <c r="W5227" s="348" t="str">
        <f>IF(板块成分!B5229="","",板块成分!B5229)</f>
        <v>920050.BJ</v>
      </c>
      <c r="X5227" s="276" t="str">
        <f>[1]!S_Info_Name(W5227)</f>
        <v>爱舍伦</v>
      </c>
      <c r="Y5227" s="276" t="str">
        <f ca="1">IF($Y$3="申万一级行业",[1]!s_info_industry_sw_2021(W5227,公司分析!D$5,1),IF($Y$3="申万二级行业",[1]!s_info_industry_sw_2021(W5227,公司分析!D$5,2),IF($Y$3="申万三级行业",[1]!s_info_industry_sw_2021(W5227,公司分析!D$5,3),IF($Y$3="wind一级行业",[1]!s_info_industry_gics(W5227,1),IF($Y$3="wind二级行业",[1]!s_info_industry_gics(W5227,2),IF($Y$3="wind三级行业",[1]!s_info_industry_gics(W5227,3),IF($Y$3="wind四级行业",[1]!s_info_industry_gics(W5227,4),IF($Y$3="证监会门类行业",[1]!s_info_industry_csrc12_n(W5227,公司分析!D$5,1),""))))))))</f>
        <v>医疗器械</v>
      </c>
      <c r="Z5227" s="302" t="str">
        <f ca="1">IF(Y5227=行业比较!$E$6,ROW(),"")</f>
        <v/>
      </c>
    </row>
    <row r="5228" spans="22:26">
      <c r="V5228" s="260">
        <f t="shared" ca="1" si="90"/>
        <v>0</v>
      </c>
      <c r="W5228" s="348" t="str">
        <f>IF(板块成分!B5230="","",板块成分!B5230)</f>
        <v>920056.BJ</v>
      </c>
      <c r="X5228" s="276" t="str">
        <f>[1]!S_Info_Name(W5228)</f>
        <v>能之光</v>
      </c>
      <c r="Y5228" s="276" t="str">
        <f ca="1">IF($Y$3="申万一级行业",[1]!s_info_industry_sw_2021(W5228,公司分析!D$5,1),IF($Y$3="申万二级行业",[1]!s_info_industry_sw_2021(W5228,公司分析!D$5,2),IF($Y$3="申万三级行业",[1]!s_info_industry_sw_2021(W5228,公司分析!D$5,3),IF($Y$3="wind一级行业",[1]!s_info_industry_gics(W5228,1),IF($Y$3="wind二级行业",[1]!s_info_industry_gics(W5228,2),IF($Y$3="wind三级行业",[1]!s_info_industry_gics(W5228,3),IF($Y$3="wind四级行业",[1]!s_info_industry_gics(W5228,4),IF($Y$3="证监会门类行业",[1]!s_info_industry_csrc12_n(W5228,公司分析!D$5,1),""))))))))</f>
        <v>塑料</v>
      </c>
      <c r="Z5228" s="302" t="str">
        <f ca="1">IF(Y5228=行业比较!$E$6,ROW(),"")</f>
        <v/>
      </c>
    </row>
    <row r="5229" spans="22:26">
      <c r="V5229" s="260">
        <f t="shared" ca="1" si="90"/>
        <v>0</v>
      </c>
      <c r="W5229" s="348" t="str">
        <f>IF(板块成分!B5231="","",板块成分!B5231)</f>
        <v>920057.BJ</v>
      </c>
      <c r="X5229" s="276" t="str">
        <f>[1]!S_Info_Name(W5229)</f>
        <v>百甲科技</v>
      </c>
      <c r="Y5229" s="276" t="str">
        <f ca="1">IF($Y$3="申万一级行业",[1]!s_info_industry_sw_2021(W5229,公司分析!D$5,1),IF($Y$3="申万二级行业",[1]!s_info_industry_sw_2021(W5229,公司分析!D$5,2),IF($Y$3="申万三级行业",[1]!s_info_industry_sw_2021(W5229,公司分析!D$5,3),IF($Y$3="wind一级行业",[1]!s_info_industry_gics(W5229,1),IF($Y$3="wind二级行业",[1]!s_info_industry_gics(W5229,2),IF($Y$3="wind三级行业",[1]!s_info_industry_gics(W5229,3),IF($Y$3="wind四级行业",[1]!s_info_industry_gics(W5229,4),IF($Y$3="证监会门类行业",[1]!s_info_industry_csrc12_n(W5229,公司分析!D$5,1),""))))))))</f>
        <v>专业工程</v>
      </c>
      <c r="Z5229" s="302" t="str">
        <f ca="1">IF(Y5229=行业比较!$E$6,ROW(),"")</f>
        <v/>
      </c>
    </row>
    <row r="5230" spans="22:26">
      <c r="V5230" s="260">
        <f t="shared" ca="1" si="90"/>
        <v>0</v>
      </c>
      <c r="W5230" s="348" t="str">
        <f>IF(板块成分!B5232="","",板块成分!B5232)</f>
        <v>920058.BJ</v>
      </c>
      <c r="X5230" s="276" t="str">
        <f>[1]!S_Info_Name(W5230)</f>
        <v>华洋赛车</v>
      </c>
      <c r="Y5230" s="276" t="str">
        <f ca="1">IF($Y$3="申万一级行业",[1]!s_info_industry_sw_2021(W5230,公司分析!D$5,1),IF($Y$3="申万二级行业",[1]!s_info_industry_sw_2021(W5230,公司分析!D$5,2),IF($Y$3="申万三级行业",[1]!s_info_industry_sw_2021(W5230,公司分析!D$5,3),IF($Y$3="wind一级行业",[1]!s_info_industry_gics(W5230,1),IF($Y$3="wind二级行业",[1]!s_info_industry_gics(W5230,2),IF($Y$3="wind三级行业",[1]!s_info_industry_gics(W5230,3),IF($Y$3="wind四级行业",[1]!s_info_industry_gics(W5230,4),IF($Y$3="证监会门类行业",[1]!s_info_industry_csrc12_n(W5230,公司分析!D$5,1),""))))))))</f>
        <v>摩托车及其他</v>
      </c>
      <c r="Z5230" s="302" t="str">
        <f ca="1">IF(Y5230=行业比较!$E$6,ROW(),"")</f>
        <v/>
      </c>
    </row>
    <row r="5231" spans="22:26">
      <c r="V5231" s="260">
        <f t="shared" ca="1" si="90"/>
        <v>0</v>
      </c>
      <c r="W5231" s="348" t="str">
        <f>IF(板块成分!B5233="","",板块成分!B5233)</f>
        <v>920060.BJ</v>
      </c>
      <c r="X5231" s="276" t="str">
        <f>[1]!S_Info_Name(W5231)</f>
        <v>万源通</v>
      </c>
      <c r="Y5231" s="276" t="str">
        <f ca="1">IF($Y$3="申万一级行业",[1]!s_info_industry_sw_2021(W5231,公司分析!D$5,1),IF($Y$3="申万二级行业",[1]!s_info_industry_sw_2021(W5231,公司分析!D$5,2),IF($Y$3="申万三级行业",[1]!s_info_industry_sw_2021(W5231,公司分析!D$5,3),IF($Y$3="wind一级行业",[1]!s_info_industry_gics(W5231,1),IF($Y$3="wind二级行业",[1]!s_info_industry_gics(W5231,2),IF($Y$3="wind三级行业",[1]!s_info_industry_gics(W5231,3),IF($Y$3="wind四级行业",[1]!s_info_industry_gics(W5231,4),IF($Y$3="证监会门类行业",[1]!s_info_industry_csrc12_n(W5231,公司分析!D$5,1),""))))))))</f>
        <v>元件</v>
      </c>
      <c r="Z5231" s="302" t="str">
        <f ca="1">IF(Y5231=行业比较!$E$6,ROW(),"")</f>
        <v/>
      </c>
    </row>
    <row r="5232" spans="22:26">
      <c r="V5232" s="260">
        <f t="shared" ca="1" si="90"/>
        <v>0</v>
      </c>
      <c r="W5232" s="348" t="str">
        <f>IF(板块成分!B5234="","",板块成分!B5234)</f>
        <v>920061.BJ</v>
      </c>
      <c r="X5232" s="276" t="str">
        <f>[1]!S_Info_Name(W5232)</f>
        <v>西磁科技</v>
      </c>
      <c r="Y5232" s="276" t="str">
        <f ca="1">IF($Y$3="申万一级行业",[1]!s_info_industry_sw_2021(W5232,公司分析!D$5,1),IF($Y$3="申万二级行业",[1]!s_info_industry_sw_2021(W5232,公司分析!D$5,2),IF($Y$3="申万三级行业",[1]!s_info_industry_sw_2021(W5232,公司分析!D$5,3),IF($Y$3="wind一级行业",[1]!s_info_industry_gics(W5232,1),IF($Y$3="wind二级行业",[1]!s_info_industry_gics(W5232,2),IF($Y$3="wind三级行业",[1]!s_info_industry_gics(W5232,3),IF($Y$3="wind四级行业",[1]!s_info_industry_gics(W5232,4),IF($Y$3="证监会门类行业",[1]!s_info_industry_csrc12_n(W5232,公司分析!D$5,1),""))))))))</f>
        <v>专用设备</v>
      </c>
      <c r="Z5232" s="302" t="str">
        <f ca="1">IF(Y5232=行业比较!$E$6,ROW(),"")</f>
        <v/>
      </c>
    </row>
    <row r="5233" spans="22:26">
      <c r="V5233" s="260">
        <f t="shared" ca="1" si="90"/>
        <v>0</v>
      </c>
      <c r="W5233" s="348" t="str">
        <f>IF(板块成分!B5235="","",板块成分!B5235)</f>
        <v>920062.BJ</v>
      </c>
      <c r="X5233" s="276" t="str">
        <f>[1]!S_Info_Name(W5233)</f>
        <v>科润智控</v>
      </c>
      <c r="Y5233" s="276" t="str">
        <f ca="1">IF($Y$3="申万一级行业",[1]!s_info_industry_sw_2021(W5233,公司分析!D$5,1),IF($Y$3="申万二级行业",[1]!s_info_industry_sw_2021(W5233,公司分析!D$5,2),IF($Y$3="申万三级行业",[1]!s_info_industry_sw_2021(W5233,公司分析!D$5,3),IF($Y$3="wind一级行业",[1]!s_info_industry_gics(W5233,1),IF($Y$3="wind二级行业",[1]!s_info_industry_gics(W5233,2),IF($Y$3="wind三级行业",[1]!s_info_industry_gics(W5233,3),IF($Y$3="wind四级行业",[1]!s_info_industry_gics(W5233,4),IF($Y$3="证监会门类行业",[1]!s_info_industry_csrc12_n(W5233,公司分析!D$5,1),""))))))))</f>
        <v>电网设备</v>
      </c>
      <c r="Z5233" s="302" t="str">
        <f ca="1">IF(Y5233=行业比较!$E$6,ROW(),"")</f>
        <v/>
      </c>
    </row>
    <row r="5234" spans="22:26">
      <c r="V5234" s="260">
        <f t="shared" ca="1" si="90"/>
        <v>0</v>
      </c>
      <c r="W5234" s="348" t="str">
        <f>IF(板块成分!B5236="","",板块成分!B5236)</f>
        <v>920066.BJ</v>
      </c>
      <c r="X5234" s="276" t="str">
        <f>[1]!S_Info_Name(W5234)</f>
        <v>科拜尔</v>
      </c>
      <c r="Y5234" s="276" t="str">
        <f ca="1">IF($Y$3="申万一级行业",[1]!s_info_industry_sw_2021(W5234,公司分析!D$5,1),IF($Y$3="申万二级行业",[1]!s_info_industry_sw_2021(W5234,公司分析!D$5,2),IF($Y$3="申万三级行业",[1]!s_info_industry_sw_2021(W5234,公司分析!D$5,3),IF($Y$3="wind一级行业",[1]!s_info_industry_gics(W5234,1),IF($Y$3="wind二级行业",[1]!s_info_industry_gics(W5234,2),IF($Y$3="wind三级行业",[1]!s_info_industry_gics(W5234,3),IF($Y$3="wind四级行业",[1]!s_info_industry_gics(W5234,4),IF($Y$3="证监会门类行业",[1]!s_info_industry_csrc12_n(W5234,公司分析!D$5,1),""))))))))</f>
        <v>塑料</v>
      </c>
      <c r="Z5234" s="302" t="str">
        <f ca="1">IF(Y5234=行业比较!$E$6,ROW(),"")</f>
        <v/>
      </c>
    </row>
    <row r="5235" spans="22:26">
      <c r="V5235" s="260">
        <f t="shared" ca="1" si="90"/>
        <v>0</v>
      </c>
      <c r="W5235" s="348" t="str">
        <f>IF(板块成分!B5237="","",板块成分!B5237)</f>
        <v>920068.BJ</v>
      </c>
      <c r="X5235" s="276" t="str">
        <f>[1]!S_Info_Name(W5235)</f>
        <v>天工股份</v>
      </c>
      <c r="Y5235" s="276" t="str">
        <f ca="1">IF($Y$3="申万一级行业",[1]!s_info_industry_sw_2021(W5235,公司分析!D$5,1),IF($Y$3="申万二级行业",[1]!s_info_industry_sw_2021(W5235,公司分析!D$5,2),IF($Y$3="申万三级行业",[1]!s_info_industry_sw_2021(W5235,公司分析!D$5,3),IF($Y$3="wind一级行业",[1]!s_info_industry_gics(W5235,1),IF($Y$3="wind二级行业",[1]!s_info_industry_gics(W5235,2),IF($Y$3="wind三级行业",[1]!s_info_industry_gics(W5235,3),IF($Y$3="wind四级行业",[1]!s_info_industry_gics(W5235,4),IF($Y$3="证监会门类行业",[1]!s_info_industry_csrc12_n(W5235,公司分析!D$5,1),""))))))))</f>
        <v>小金属</v>
      </c>
      <c r="Z5235" s="302" t="str">
        <f ca="1">IF(Y5235=行业比较!$E$6,ROW(),"")</f>
        <v/>
      </c>
    </row>
    <row r="5236" spans="22:26">
      <c r="V5236" s="260">
        <f t="shared" ca="1" si="90"/>
        <v>0</v>
      </c>
      <c r="W5236" s="348" t="str">
        <f>IF(板块成分!B5238="","",板块成分!B5238)</f>
        <v>920075.BJ</v>
      </c>
      <c r="X5236" s="276" t="str">
        <f>[1]!S_Info_Name(W5236)</f>
        <v>柏星龙</v>
      </c>
      <c r="Y5236" s="276" t="str">
        <f ca="1">IF($Y$3="申万一级行业",[1]!s_info_industry_sw_2021(W5236,公司分析!D$5,1),IF($Y$3="申万二级行业",[1]!s_info_industry_sw_2021(W5236,公司分析!D$5,2),IF($Y$3="申万三级行业",[1]!s_info_industry_sw_2021(W5236,公司分析!D$5,3),IF($Y$3="wind一级行业",[1]!s_info_industry_gics(W5236,1),IF($Y$3="wind二级行业",[1]!s_info_industry_gics(W5236,2),IF($Y$3="wind三级行业",[1]!s_info_industry_gics(W5236,3),IF($Y$3="wind四级行业",[1]!s_info_industry_gics(W5236,4),IF($Y$3="证监会门类行业",[1]!s_info_industry_csrc12_n(W5236,公司分析!D$5,1),""))))))))</f>
        <v>包装印刷</v>
      </c>
      <c r="Z5236" s="302" t="str">
        <f ca="1">IF(Y5236=行业比较!$E$6,ROW(),"")</f>
        <v/>
      </c>
    </row>
    <row r="5237" spans="22:26">
      <c r="V5237" s="260">
        <f t="shared" ca="1" si="90"/>
        <v>0</v>
      </c>
      <c r="W5237" s="348" t="str">
        <f>IF(板块成分!B5239="","",板块成分!B5239)</f>
        <v>920076.BJ</v>
      </c>
      <c r="X5237" s="276" t="str">
        <f>[1]!S_Info_Name(W5237)</f>
        <v>国亮新材</v>
      </c>
      <c r="Y5237" s="276" t="str">
        <f ca="1">IF($Y$3="申万一级行业",[1]!s_info_industry_sw_2021(W5237,公司分析!D$5,1),IF($Y$3="申万二级行业",[1]!s_info_industry_sw_2021(W5237,公司分析!D$5,2),IF($Y$3="申万三级行业",[1]!s_info_industry_sw_2021(W5237,公司分析!D$5,3),IF($Y$3="wind一级行业",[1]!s_info_industry_gics(W5237,1),IF($Y$3="wind二级行业",[1]!s_info_industry_gics(W5237,2),IF($Y$3="wind三级行业",[1]!s_info_industry_gics(W5237,3),IF($Y$3="wind四级行业",[1]!s_info_industry_gics(W5237,4),IF($Y$3="证监会门类行业",[1]!s_info_industry_csrc12_n(W5237,公司分析!D$5,1),""))))))))</f>
        <v>装修建材</v>
      </c>
      <c r="Z5237" s="302" t="str">
        <f ca="1">IF(Y5237=行业比较!$E$6,ROW(),"")</f>
        <v/>
      </c>
    </row>
    <row r="5238" spans="22:26">
      <c r="V5238" s="260">
        <f t="shared" ca="1" si="90"/>
        <v>0</v>
      </c>
      <c r="W5238" s="348" t="str">
        <f>IF(板块成分!B5240="","",板块成分!B5240)</f>
        <v>920077.BJ</v>
      </c>
      <c r="X5238" s="276" t="str">
        <f>[1]!S_Info_Name(W5238)</f>
        <v>吉林碳谷</v>
      </c>
      <c r="Y5238" s="276" t="str">
        <f ca="1">IF($Y$3="申万一级行业",[1]!s_info_industry_sw_2021(W5238,公司分析!D$5,1),IF($Y$3="申万二级行业",[1]!s_info_industry_sw_2021(W5238,公司分析!D$5,2),IF($Y$3="申万三级行业",[1]!s_info_industry_sw_2021(W5238,公司分析!D$5,3),IF($Y$3="wind一级行业",[1]!s_info_industry_gics(W5238,1),IF($Y$3="wind二级行业",[1]!s_info_industry_gics(W5238,2),IF($Y$3="wind三级行业",[1]!s_info_industry_gics(W5238,3),IF($Y$3="wind四级行业",[1]!s_info_industry_gics(W5238,4),IF($Y$3="证监会门类行业",[1]!s_info_industry_csrc12_n(W5238,公司分析!D$5,1),""))))))))</f>
        <v>化学纤维</v>
      </c>
      <c r="Z5238" s="302" t="str">
        <f ca="1">IF(Y5238=行业比较!$E$6,ROW(),"")</f>
        <v/>
      </c>
    </row>
    <row r="5239" spans="22:26">
      <c r="V5239" s="260">
        <f t="shared" ca="1" si="90"/>
        <v>0</v>
      </c>
      <c r="W5239" s="348" t="str">
        <f>IF(板块成分!B5241="","",板块成分!B5241)</f>
        <v>920080.BJ</v>
      </c>
      <c r="X5239" s="276" t="str">
        <f>[1]!S_Info_Name(W5239)</f>
        <v>奥美森</v>
      </c>
      <c r="Y5239" s="276" t="str">
        <f ca="1">IF($Y$3="申万一级行业",[1]!s_info_industry_sw_2021(W5239,公司分析!D$5,1),IF($Y$3="申万二级行业",[1]!s_info_industry_sw_2021(W5239,公司分析!D$5,2),IF($Y$3="申万三级行业",[1]!s_info_industry_sw_2021(W5239,公司分析!D$5,3),IF($Y$3="wind一级行业",[1]!s_info_industry_gics(W5239,1),IF($Y$3="wind二级行业",[1]!s_info_industry_gics(W5239,2),IF($Y$3="wind三级行业",[1]!s_info_industry_gics(W5239,3),IF($Y$3="wind四级行业",[1]!s_info_industry_gics(W5239,4),IF($Y$3="证监会门类行业",[1]!s_info_industry_csrc12_n(W5239,公司分析!D$5,1),""))))))))</f>
        <v>专用设备</v>
      </c>
      <c r="Z5239" s="302" t="str">
        <f ca="1">IF(Y5239=行业比较!$E$6,ROW(),"")</f>
        <v/>
      </c>
    </row>
    <row r="5240" spans="22:26">
      <c r="V5240" s="260">
        <f t="shared" ca="1" si="90"/>
        <v>0</v>
      </c>
      <c r="W5240" s="348" t="str">
        <f>IF(板块成分!B5242="","",板块成分!B5242)</f>
        <v>920082.BJ</v>
      </c>
      <c r="X5240" s="276" t="str">
        <f>[1]!S_Info_Name(W5240)</f>
        <v>方正阀门</v>
      </c>
      <c r="Y5240" s="276" t="str">
        <f ca="1">IF($Y$3="申万一级行业",[1]!s_info_industry_sw_2021(W5240,公司分析!D$5,1),IF($Y$3="申万二级行业",[1]!s_info_industry_sw_2021(W5240,公司分析!D$5,2),IF($Y$3="申万三级行业",[1]!s_info_industry_sw_2021(W5240,公司分析!D$5,3),IF($Y$3="wind一级行业",[1]!s_info_industry_gics(W5240,1),IF($Y$3="wind二级行业",[1]!s_info_industry_gics(W5240,2),IF($Y$3="wind三级行业",[1]!s_info_industry_gics(W5240,3),IF($Y$3="wind四级行业",[1]!s_info_industry_gics(W5240,4),IF($Y$3="证监会门类行业",[1]!s_info_industry_csrc12_n(W5240,公司分析!D$5,1),""))))))))</f>
        <v>通用设备</v>
      </c>
      <c r="Z5240" s="302" t="str">
        <f ca="1">IF(Y5240=行业比较!$E$6,ROW(),"")</f>
        <v/>
      </c>
    </row>
    <row r="5241" spans="22:26">
      <c r="V5241" s="260">
        <f t="shared" ca="1" si="90"/>
        <v>0</v>
      </c>
      <c r="W5241" s="348" t="str">
        <f>IF(板块成分!B5243="","",板块成分!B5243)</f>
        <v>920086.BJ</v>
      </c>
      <c r="X5241" s="276" t="str">
        <f>[1]!S_Info_Name(W5241)</f>
        <v>科马材料</v>
      </c>
      <c r="Y5241" s="276" t="str">
        <f ca="1">IF($Y$3="申万一级行业",[1]!s_info_industry_sw_2021(W5241,公司分析!D$5,1),IF($Y$3="申万二级行业",[1]!s_info_industry_sw_2021(W5241,公司分析!D$5,2),IF($Y$3="申万三级行业",[1]!s_info_industry_sw_2021(W5241,公司分析!D$5,3),IF($Y$3="wind一级行业",[1]!s_info_industry_gics(W5241,1),IF($Y$3="wind二级行业",[1]!s_info_industry_gics(W5241,2),IF($Y$3="wind三级行业",[1]!s_info_industry_gics(W5241,3),IF($Y$3="wind四级行业",[1]!s_info_industry_gics(W5241,4),IF($Y$3="证监会门类行业",[1]!s_info_industry_csrc12_n(W5241,公司分析!D$5,1),""))))))))</f>
        <v>汽车零部件</v>
      </c>
      <c r="Z5241" s="302" t="str">
        <f ca="1">IF(Y5241=行业比较!$E$6,ROW(),"")</f>
        <v/>
      </c>
    </row>
    <row r="5242" spans="22:26">
      <c r="V5242" s="260">
        <f t="shared" ca="1" si="90"/>
        <v>0</v>
      </c>
      <c r="W5242" s="348" t="str">
        <f>IF(板块成分!B5244="","",板块成分!B5244)</f>
        <v>920087.BJ</v>
      </c>
      <c r="X5242" s="276" t="str">
        <f>[1]!S_Info_Name(W5242)</f>
        <v>秋乐种业</v>
      </c>
      <c r="Y5242" s="276" t="str">
        <f ca="1">IF($Y$3="申万一级行业",[1]!s_info_industry_sw_2021(W5242,公司分析!D$5,1),IF($Y$3="申万二级行业",[1]!s_info_industry_sw_2021(W5242,公司分析!D$5,2),IF($Y$3="申万三级行业",[1]!s_info_industry_sw_2021(W5242,公司分析!D$5,3),IF($Y$3="wind一级行业",[1]!s_info_industry_gics(W5242,1),IF($Y$3="wind二级行业",[1]!s_info_industry_gics(W5242,2),IF($Y$3="wind三级行业",[1]!s_info_industry_gics(W5242,3),IF($Y$3="wind四级行业",[1]!s_info_industry_gics(W5242,4),IF($Y$3="证监会门类行业",[1]!s_info_industry_csrc12_n(W5242,公司分析!D$5,1),""))))))))</f>
        <v>种植业</v>
      </c>
      <c r="Z5242" s="302" t="str">
        <f ca="1">IF(Y5242=行业比较!$E$6,ROW(),"")</f>
        <v/>
      </c>
    </row>
    <row r="5243" spans="22:26">
      <c r="V5243" s="260">
        <f t="shared" ca="1" si="90"/>
        <v>0</v>
      </c>
      <c r="W5243" s="348" t="str">
        <f>IF(板块成分!B5245="","",板块成分!B5245)</f>
        <v>920088.BJ</v>
      </c>
      <c r="X5243" s="276" t="str">
        <f>[1]!S_Info_Name(W5243)</f>
        <v>科力股份</v>
      </c>
      <c r="Y5243" s="276" t="str">
        <f ca="1">IF($Y$3="申万一级行业",[1]!s_info_industry_sw_2021(W5243,公司分析!D$5,1),IF($Y$3="申万二级行业",[1]!s_info_industry_sw_2021(W5243,公司分析!D$5,2),IF($Y$3="申万三级行业",[1]!s_info_industry_sw_2021(W5243,公司分析!D$5,3),IF($Y$3="wind一级行业",[1]!s_info_industry_gics(W5243,1),IF($Y$3="wind二级行业",[1]!s_info_industry_gics(W5243,2),IF($Y$3="wind三级行业",[1]!s_info_industry_gics(W5243,3),IF($Y$3="wind四级行业",[1]!s_info_industry_gics(W5243,4),IF($Y$3="证监会门类行业",[1]!s_info_industry_csrc12_n(W5243,公司分析!D$5,1),""))))))))</f>
        <v>油服工程</v>
      </c>
      <c r="Z5243" s="302" t="str">
        <f ca="1">IF(Y5243=行业比较!$E$6,ROW(),"")</f>
        <v/>
      </c>
    </row>
    <row r="5244" spans="22:26">
      <c r="V5244" s="260">
        <f t="shared" ca="1" si="90"/>
        <v>0</v>
      </c>
      <c r="W5244" s="348" t="str">
        <f>IF(板块成分!B5246="","",板块成分!B5246)</f>
        <v>920089.BJ</v>
      </c>
      <c r="X5244" s="276" t="str">
        <f>[1]!S_Info_Name(W5244)</f>
        <v>禾昌聚合</v>
      </c>
      <c r="Y5244" s="276" t="str">
        <f ca="1">IF($Y$3="申万一级行业",[1]!s_info_industry_sw_2021(W5244,公司分析!D$5,1),IF($Y$3="申万二级行业",[1]!s_info_industry_sw_2021(W5244,公司分析!D$5,2),IF($Y$3="申万三级行业",[1]!s_info_industry_sw_2021(W5244,公司分析!D$5,3),IF($Y$3="wind一级行业",[1]!s_info_industry_gics(W5244,1),IF($Y$3="wind二级行业",[1]!s_info_industry_gics(W5244,2),IF($Y$3="wind三级行业",[1]!s_info_industry_gics(W5244,3),IF($Y$3="wind四级行业",[1]!s_info_industry_gics(W5244,4),IF($Y$3="证监会门类行业",[1]!s_info_industry_csrc12_n(W5244,公司分析!D$5,1),""))))))))</f>
        <v>塑料</v>
      </c>
      <c r="Z5244" s="302" t="str">
        <f ca="1">IF(Y5244=行业比较!$E$6,ROW(),"")</f>
        <v/>
      </c>
    </row>
    <row r="5245" spans="22:26">
      <c r="V5245" s="260">
        <f t="shared" ca="1" si="90"/>
        <v>0</v>
      </c>
      <c r="W5245" s="348" t="str">
        <f>IF(板块成分!B5247="","",板块成分!B5247)</f>
        <v>920090.BJ</v>
      </c>
      <c r="X5245" s="276" t="str">
        <f>[1]!S_Info_Name(W5245)</f>
        <v>同辉信息</v>
      </c>
      <c r="Y5245" s="276" t="str">
        <f ca="1">IF($Y$3="申万一级行业",[1]!s_info_industry_sw_2021(W5245,公司分析!D$5,1),IF($Y$3="申万二级行业",[1]!s_info_industry_sw_2021(W5245,公司分析!D$5,2),IF($Y$3="申万三级行业",[1]!s_info_industry_sw_2021(W5245,公司分析!D$5,3),IF($Y$3="wind一级行业",[1]!s_info_industry_gics(W5245,1),IF($Y$3="wind二级行业",[1]!s_info_industry_gics(W5245,2),IF($Y$3="wind三级行业",[1]!s_info_industry_gics(W5245,3),IF($Y$3="wind四级行业",[1]!s_info_industry_gics(W5245,4),IF($Y$3="证监会门类行业",[1]!s_info_industry_csrc12_n(W5245,公司分析!D$5,1),""))))))))</f>
        <v>计算机设备</v>
      </c>
      <c r="Z5245" s="302" t="str">
        <f ca="1">IF(Y5245=行业比较!$E$6,ROW(),"")</f>
        <v/>
      </c>
    </row>
    <row r="5246" spans="22:26">
      <c r="V5246" s="260">
        <f t="shared" ca="1" si="90"/>
        <v>0</v>
      </c>
      <c r="W5246" s="348" t="str">
        <f>IF(板块成分!B5248="","",板块成分!B5248)</f>
        <v>920091.BJ</v>
      </c>
      <c r="X5246" s="276" t="str">
        <f>[1]!S_Info_Name(W5246)</f>
        <v>大鹏工业</v>
      </c>
      <c r="Y5246" s="276" t="str">
        <f ca="1">IF($Y$3="申万一级行业",[1]!s_info_industry_sw_2021(W5246,公司分析!D$5,1),IF($Y$3="申万二级行业",[1]!s_info_industry_sw_2021(W5246,公司分析!D$5,2),IF($Y$3="申万三级行业",[1]!s_info_industry_sw_2021(W5246,公司分析!D$5,3),IF($Y$3="wind一级行业",[1]!s_info_industry_gics(W5246,1),IF($Y$3="wind二级行业",[1]!s_info_industry_gics(W5246,2),IF($Y$3="wind三级行业",[1]!s_info_industry_gics(W5246,3),IF($Y$3="wind四级行业",[1]!s_info_industry_gics(W5246,4),IF($Y$3="证监会门类行业",[1]!s_info_industry_csrc12_n(W5246,公司分析!D$5,1),""))))))))</f>
        <v>专用设备</v>
      </c>
      <c r="Z5246" s="302" t="str">
        <f ca="1">IF(Y5246=行业比较!$E$6,ROW(),"")</f>
        <v/>
      </c>
    </row>
    <row r="5247" spans="22:26">
      <c r="V5247" s="260">
        <f t="shared" ca="1" si="90"/>
        <v>0</v>
      </c>
      <c r="W5247" s="348" t="str">
        <f>IF(板块成分!B5249="","",板块成分!B5249)</f>
        <v>920092.BJ</v>
      </c>
      <c r="X5247" s="276" t="str">
        <f>[1]!S_Info_Name(W5247)</f>
        <v>汉鑫科技</v>
      </c>
      <c r="Y5247" s="276" t="str">
        <f ca="1">IF($Y$3="申万一级行业",[1]!s_info_industry_sw_2021(W5247,公司分析!D$5,1),IF($Y$3="申万二级行业",[1]!s_info_industry_sw_2021(W5247,公司分析!D$5,2),IF($Y$3="申万三级行业",[1]!s_info_industry_sw_2021(W5247,公司分析!D$5,3),IF($Y$3="wind一级行业",[1]!s_info_industry_gics(W5247,1),IF($Y$3="wind二级行业",[1]!s_info_industry_gics(W5247,2),IF($Y$3="wind三级行业",[1]!s_info_industry_gics(W5247,3),IF($Y$3="wind四级行业",[1]!s_info_industry_gics(W5247,4),IF($Y$3="证监会门类行业",[1]!s_info_industry_csrc12_n(W5247,公司分析!D$5,1),""))))))))</f>
        <v>IT服务Ⅱ</v>
      </c>
      <c r="Z5247" s="302" t="str">
        <f ca="1">IF(Y5247=行业比较!$E$6,ROW(),"")</f>
        <v/>
      </c>
    </row>
    <row r="5248" spans="22:26">
      <c r="V5248" s="260">
        <f t="shared" ca="1" si="90"/>
        <v>0</v>
      </c>
      <c r="W5248" s="348" t="str">
        <f>IF(板块成分!B5250="","",板块成分!B5250)</f>
        <v>920098.BJ</v>
      </c>
      <c r="X5248" s="276" t="str">
        <f>[1]!S_Info_Name(W5248)</f>
        <v>科隆新材</v>
      </c>
      <c r="Y5248" s="276" t="str">
        <f ca="1">IF($Y$3="申万一级行业",[1]!s_info_industry_sw_2021(W5248,公司分析!D$5,1),IF($Y$3="申万二级行业",[1]!s_info_industry_sw_2021(W5248,公司分析!D$5,2),IF($Y$3="申万三级行业",[1]!s_info_industry_sw_2021(W5248,公司分析!D$5,3),IF($Y$3="wind一级行业",[1]!s_info_industry_gics(W5248,1),IF($Y$3="wind二级行业",[1]!s_info_industry_gics(W5248,2),IF($Y$3="wind三级行业",[1]!s_info_industry_gics(W5248,3),IF($Y$3="wind四级行业",[1]!s_info_industry_gics(W5248,4),IF($Y$3="证监会门类行业",[1]!s_info_industry_csrc12_n(W5248,公司分析!D$5,1),""))))))))</f>
        <v>橡胶</v>
      </c>
      <c r="Z5248" s="302" t="str">
        <f ca="1">IF(Y5248=行业比较!$E$6,ROW(),"")</f>
        <v/>
      </c>
    </row>
    <row r="5249" spans="22:26">
      <c r="V5249" s="260">
        <f t="shared" ca="1" si="90"/>
        <v>0</v>
      </c>
      <c r="W5249" s="348" t="str">
        <f>IF(板块成分!B5251="","",板块成分!B5251)</f>
        <v>920099.BJ</v>
      </c>
      <c r="X5249" s="276" t="str">
        <f>[1]!S_Info_Name(W5249)</f>
        <v>瑞华技术</v>
      </c>
      <c r="Y5249" s="276" t="str">
        <f ca="1">IF($Y$3="申万一级行业",[1]!s_info_industry_sw_2021(W5249,公司分析!D$5,1),IF($Y$3="申万二级行业",[1]!s_info_industry_sw_2021(W5249,公司分析!D$5,2),IF($Y$3="申万三级行业",[1]!s_info_industry_sw_2021(W5249,公司分析!D$5,3),IF($Y$3="wind一级行业",[1]!s_info_industry_gics(W5249,1),IF($Y$3="wind二级行业",[1]!s_info_industry_gics(W5249,2),IF($Y$3="wind三级行业",[1]!s_info_industry_gics(W5249,3),IF($Y$3="wind四级行业",[1]!s_info_industry_gics(W5249,4),IF($Y$3="证监会门类行业",[1]!s_info_industry_csrc12_n(W5249,公司分析!D$5,1),""))))))))</f>
        <v>化学制品</v>
      </c>
      <c r="Z5249" s="302" t="str">
        <f ca="1">IF(Y5249=行业比较!$E$6,ROW(),"")</f>
        <v/>
      </c>
    </row>
    <row r="5250" spans="22:26">
      <c r="V5250" s="260">
        <f t="shared" ca="1" si="90"/>
        <v>0</v>
      </c>
      <c r="W5250" s="348" t="str">
        <f>IF(板块成分!B5252="","",板块成分!B5252)</f>
        <v>920100.BJ</v>
      </c>
      <c r="X5250" s="276" t="str">
        <f>[1]!S_Info_Name(W5250)</f>
        <v>三协电机</v>
      </c>
      <c r="Y5250" s="276" t="str">
        <f ca="1">IF($Y$3="申万一级行业",[1]!s_info_industry_sw_2021(W5250,公司分析!D$5,1),IF($Y$3="申万二级行业",[1]!s_info_industry_sw_2021(W5250,公司分析!D$5,2),IF($Y$3="申万三级行业",[1]!s_info_industry_sw_2021(W5250,公司分析!D$5,3),IF($Y$3="wind一级行业",[1]!s_info_industry_gics(W5250,1),IF($Y$3="wind二级行业",[1]!s_info_industry_gics(W5250,2),IF($Y$3="wind三级行业",[1]!s_info_industry_gics(W5250,3),IF($Y$3="wind四级行业",[1]!s_info_industry_gics(W5250,4),IF($Y$3="证监会门类行业",[1]!s_info_industry_csrc12_n(W5250,公司分析!D$5,1),""))))))))</f>
        <v>电机Ⅱ</v>
      </c>
      <c r="Z5250" s="302" t="str">
        <f ca="1">IF(Y5250=行业比较!$E$6,ROW(),"")</f>
        <v/>
      </c>
    </row>
    <row r="5251" spans="22:26">
      <c r="V5251" s="260">
        <f t="shared" ca="1" si="90"/>
        <v>0</v>
      </c>
      <c r="W5251" s="348" t="str">
        <f>IF(板块成分!B5253="","",板块成分!B5253)</f>
        <v>920101.BJ</v>
      </c>
      <c r="X5251" s="276" t="str">
        <f>[1]!S_Info_Name(W5251)</f>
        <v>志高机械</v>
      </c>
      <c r="Y5251" s="276" t="str">
        <f ca="1">IF($Y$3="申万一级行业",[1]!s_info_industry_sw_2021(W5251,公司分析!D$5,1),IF($Y$3="申万二级行业",[1]!s_info_industry_sw_2021(W5251,公司分析!D$5,2),IF($Y$3="申万三级行业",[1]!s_info_industry_sw_2021(W5251,公司分析!D$5,3),IF($Y$3="wind一级行业",[1]!s_info_industry_gics(W5251,1),IF($Y$3="wind二级行业",[1]!s_info_industry_gics(W5251,2),IF($Y$3="wind三级行业",[1]!s_info_industry_gics(W5251,3),IF($Y$3="wind四级行业",[1]!s_info_industry_gics(W5251,4),IF($Y$3="证监会门类行业",[1]!s_info_industry_csrc12_n(W5251,公司分析!D$5,1),""))))))))</f>
        <v>工程机械</v>
      </c>
      <c r="Z5251" s="302" t="str">
        <f ca="1">IF(Y5251=行业比较!$E$6,ROW(),"")</f>
        <v/>
      </c>
    </row>
    <row r="5252" spans="22:26">
      <c r="V5252" s="260">
        <f t="shared" ca="1" si="90"/>
        <v>0</v>
      </c>
      <c r="W5252" s="348" t="str">
        <f>IF(板块成分!B5254="","",板块成分!B5254)</f>
        <v>920106.BJ</v>
      </c>
      <c r="X5252" s="276" t="str">
        <f>[1]!S_Info_Name(W5252)</f>
        <v>林泰新材</v>
      </c>
      <c r="Y5252" s="276" t="str">
        <f ca="1">IF($Y$3="申万一级行业",[1]!s_info_industry_sw_2021(W5252,公司分析!D$5,1),IF($Y$3="申万二级行业",[1]!s_info_industry_sw_2021(W5252,公司分析!D$5,2),IF($Y$3="申万三级行业",[1]!s_info_industry_sw_2021(W5252,公司分析!D$5,3),IF($Y$3="wind一级行业",[1]!s_info_industry_gics(W5252,1),IF($Y$3="wind二级行业",[1]!s_info_industry_gics(W5252,2),IF($Y$3="wind三级行业",[1]!s_info_industry_gics(W5252,3),IF($Y$3="wind四级行业",[1]!s_info_industry_gics(W5252,4),IF($Y$3="证监会门类行业",[1]!s_info_industry_csrc12_n(W5252,公司分析!D$5,1),""))))))))</f>
        <v>汽车零部件</v>
      </c>
      <c r="Z5252" s="302" t="str">
        <f ca="1">IF(Y5252=行业比较!$E$6,ROW(),"")</f>
        <v/>
      </c>
    </row>
    <row r="5253" spans="22:26">
      <c r="V5253" s="260">
        <f t="shared" ca="1" si="90"/>
        <v>0</v>
      </c>
      <c r="W5253" s="348" t="str">
        <f>IF(板块成分!B5255="","",板块成分!B5255)</f>
        <v>920108.BJ</v>
      </c>
      <c r="X5253" s="276" t="str">
        <f>[1]!S_Info_Name(W5253)</f>
        <v>宏海科技</v>
      </c>
      <c r="Y5253" s="276" t="str">
        <f ca="1">IF($Y$3="申万一级行业",[1]!s_info_industry_sw_2021(W5253,公司分析!D$5,1),IF($Y$3="申万二级行业",[1]!s_info_industry_sw_2021(W5253,公司分析!D$5,2),IF($Y$3="申万三级行业",[1]!s_info_industry_sw_2021(W5253,公司分析!D$5,3),IF($Y$3="wind一级行业",[1]!s_info_industry_gics(W5253,1),IF($Y$3="wind二级行业",[1]!s_info_industry_gics(W5253,2),IF($Y$3="wind三级行业",[1]!s_info_industry_gics(W5253,3),IF($Y$3="wind四级行业",[1]!s_info_industry_gics(W5253,4),IF($Y$3="证监会门类行业",[1]!s_info_industry_csrc12_n(W5253,公司分析!D$5,1),""))))))))</f>
        <v>家电零部件Ⅱ</v>
      </c>
      <c r="Z5253" s="302" t="str">
        <f ca="1">IF(Y5253=行业比较!$E$6,ROW(),"")</f>
        <v/>
      </c>
    </row>
    <row r="5254" spans="22:26">
      <c r="V5254" s="260">
        <f t="shared" ca="1" si="90"/>
        <v>0</v>
      </c>
      <c r="W5254" s="348" t="str">
        <f>IF(板块成分!B5256="","",板块成分!B5256)</f>
        <v>920110.BJ</v>
      </c>
      <c r="X5254" s="276" t="str">
        <f>[1]!S_Info_Name(W5254)</f>
        <v>雷特科技</v>
      </c>
      <c r="Y5254" s="276" t="str">
        <f ca="1">IF($Y$3="申万一级行业",[1]!s_info_industry_sw_2021(W5254,公司分析!D$5,1),IF($Y$3="申万二级行业",[1]!s_info_industry_sw_2021(W5254,公司分析!D$5,2),IF($Y$3="申万三级行业",[1]!s_info_industry_sw_2021(W5254,公司分析!D$5,3),IF($Y$3="wind一级行业",[1]!s_info_industry_gics(W5254,1),IF($Y$3="wind二级行业",[1]!s_info_industry_gics(W5254,2),IF($Y$3="wind三级行业",[1]!s_info_industry_gics(W5254,3),IF($Y$3="wind四级行业",[1]!s_info_industry_gics(W5254,4),IF($Y$3="证监会门类行业",[1]!s_info_industry_csrc12_n(W5254,公司分析!D$5,1),""))))))))</f>
        <v>其他电源设备Ⅱ</v>
      </c>
      <c r="Z5254" s="302" t="str">
        <f ca="1">IF(Y5254=行业比较!$E$6,ROW(),"")</f>
        <v/>
      </c>
    </row>
    <row r="5255" spans="22:26">
      <c r="V5255" s="260">
        <f t="shared" ca="1" si="90"/>
        <v>0</v>
      </c>
      <c r="W5255" s="348" t="str">
        <f>IF(板块成分!B5257="","",板块成分!B5257)</f>
        <v>920111.BJ</v>
      </c>
      <c r="X5255" s="276" t="str">
        <f>[1]!S_Info_Name(W5255)</f>
        <v>聚星科技</v>
      </c>
      <c r="Y5255" s="276" t="str">
        <f ca="1">IF($Y$3="申万一级行业",[1]!s_info_industry_sw_2021(W5255,公司分析!D$5,1),IF($Y$3="申万二级行业",[1]!s_info_industry_sw_2021(W5255,公司分析!D$5,2),IF($Y$3="申万三级行业",[1]!s_info_industry_sw_2021(W5255,公司分析!D$5,3),IF($Y$3="wind一级行业",[1]!s_info_industry_gics(W5255,1),IF($Y$3="wind二级行业",[1]!s_info_industry_gics(W5255,2),IF($Y$3="wind三级行业",[1]!s_info_industry_gics(W5255,3),IF($Y$3="wind四级行业",[1]!s_info_industry_gics(W5255,4),IF($Y$3="证监会门类行业",[1]!s_info_industry_csrc12_n(W5255,公司分析!D$5,1),""))))))))</f>
        <v>电网设备</v>
      </c>
      <c r="Z5255" s="302" t="str">
        <f ca="1">IF(Y5255=行业比较!$E$6,ROW(),"")</f>
        <v/>
      </c>
    </row>
    <row r="5256" spans="22:26">
      <c r="V5256" s="260">
        <f t="shared" ca="1" si="90"/>
        <v>0</v>
      </c>
      <c r="W5256" s="348" t="str">
        <f>IF(板块成分!B5258="","",板块成分!B5258)</f>
        <v>920112.BJ</v>
      </c>
      <c r="X5256" s="276" t="str">
        <f>[1]!S_Info_Name(W5256)</f>
        <v>巴兰仕</v>
      </c>
      <c r="Y5256" s="276" t="str">
        <f ca="1">IF($Y$3="申万一级行业",[1]!s_info_industry_sw_2021(W5256,公司分析!D$5,1),IF($Y$3="申万二级行业",[1]!s_info_industry_sw_2021(W5256,公司分析!D$5,2),IF($Y$3="申万三级行业",[1]!s_info_industry_sw_2021(W5256,公司分析!D$5,3),IF($Y$3="wind一级行业",[1]!s_info_industry_gics(W5256,1),IF($Y$3="wind二级行业",[1]!s_info_industry_gics(W5256,2),IF($Y$3="wind三级行业",[1]!s_info_industry_gics(W5256,3),IF($Y$3="wind四级行业",[1]!s_info_industry_gics(W5256,4),IF($Y$3="证监会门类行业",[1]!s_info_industry_csrc12_n(W5256,公司分析!D$5,1),""))))))))</f>
        <v>专用设备</v>
      </c>
      <c r="Z5256" s="302" t="str">
        <f ca="1">IF(Y5256=行业比较!$E$6,ROW(),"")</f>
        <v/>
      </c>
    </row>
    <row r="5257" spans="22:26">
      <c r="V5257" s="260">
        <f t="shared" ca="1" si="90"/>
        <v>0</v>
      </c>
      <c r="W5257" s="348" t="str">
        <f>IF(板块成分!B5259="","",板块成分!B5259)</f>
        <v>920116.BJ</v>
      </c>
      <c r="X5257" s="276" t="str">
        <f>[1]!S_Info_Name(W5257)</f>
        <v>星图测控</v>
      </c>
      <c r="Y5257" s="276" t="str">
        <f ca="1">IF($Y$3="申万一级行业",[1]!s_info_industry_sw_2021(W5257,公司分析!D$5,1),IF($Y$3="申万二级行业",[1]!s_info_industry_sw_2021(W5257,公司分析!D$5,2),IF($Y$3="申万三级行业",[1]!s_info_industry_sw_2021(W5257,公司分析!D$5,3),IF($Y$3="wind一级行业",[1]!s_info_industry_gics(W5257,1),IF($Y$3="wind二级行业",[1]!s_info_industry_gics(W5257,2),IF($Y$3="wind三级行业",[1]!s_info_industry_gics(W5257,3),IF($Y$3="wind四级行业",[1]!s_info_industry_gics(W5257,4),IF($Y$3="证监会门类行业",[1]!s_info_industry_csrc12_n(W5257,公司分析!D$5,1),""))))))))</f>
        <v>IT服务Ⅱ</v>
      </c>
      <c r="Z5257" s="302" t="str">
        <f ca="1">IF(Y5257=行业比较!$E$6,ROW(),"")</f>
        <v/>
      </c>
    </row>
    <row r="5258" spans="22:26">
      <c r="V5258" s="260">
        <f t="shared" ca="1" si="90"/>
        <v>0</v>
      </c>
      <c r="W5258" s="348" t="str">
        <f>IF(板块成分!B5260="","",板块成分!B5260)</f>
        <v>920118.BJ</v>
      </c>
      <c r="X5258" s="276" t="str">
        <f>[1]!S_Info_Name(W5258)</f>
        <v>太湖远大</v>
      </c>
      <c r="Y5258" s="276" t="str">
        <f ca="1">IF($Y$3="申万一级行业",[1]!s_info_industry_sw_2021(W5258,公司分析!D$5,1),IF($Y$3="申万二级行业",[1]!s_info_industry_sw_2021(W5258,公司分析!D$5,2),IF($Y$3="申万三级行业",[1]!s_info_industry_sw_2021(W5258,公司分析!D$5,3),IF($Y$3="wind一级行业",[1]!s_info_industry_gics(W5258,1),IF($Y$3="wind二级行业",[1]!s_info_industry_gics(W5258,2),IF($Y$3="wind三级行业",[1]!s_info_industry_gics(W5258,3),IF($Y$3="wind四级行业",[1]!s_info_industry_gics(W5258,4),IF($Y$3="证监会门类行业",[1]!s_info_industry_csrc12_n(W5258,公司分析!D$5,1),""))))))))</f>
        <v>电网设备</v>
      </c>
      <c r="Z5258" s="302" t="str">
        <f ca="1">IF(Y5258=行业比较!$E$6,ROW(),"")</f>
        <v/>
      </c>
    </row>
    <row r="5259" spans="22:26">
      <c r="V5259" s="260">
        <f t="shared" ca="1" si="90"/>
        <v>0</v>
      </c>
      <c r="W5259" s="348" t="str">
        <f>IF(板块成分!B5261="","",板块成分!B5261)</f>
        <v>920119.BJ</v>
      </c>
      <c r="X5259" s="276" t="str">
        <f>[1]!S_Info_Name(W5259)</f>
        <v>美德乐</v>
      </c>
      <c r="Y5259" s="276" t="str">
        <f ca="1">IF($Y$3="申万一级行业",[1]!s_info_industry_sw_2021(W5259,公司分析!D$5,1),IF($Y$3="申万二级行业",[1]!s_info_industry_sw_2021(W5259,公司分析!D$5,2),IF($Y$3="申万三级行业",[1]!s_info_industry_sw_2021(W5259,公司分析!D$5,3),IF($Y$3="wind一级行业",[1]!s_info_industry_gics(W5259,1),IF($Y$3="wind二级行业",[1]!s_info_industry_gics(W5259,2),IF($Y$3="wind三级行业",[1]!s_info_industry_gics(W5259,3),IF($Y$3="wind四级行业",[1]!s_info_industry_gics(W5259,4),IF($Y$3="证监会门类行业",[1]!s_info_industry_csrc12_n(W5259,公司分析!D$5,1),""))))))))</f>
        <v>电池</v>
      </c>
      <c r="Z5259" s="302" t="str">
        <f ca="1">IF(Y5259=行业比较!$E$6,ROW(),"")</f>
        <v/>
      </c>
    </row>
    <row r="5260" spans="22:26">
      <c r="V5260" s="260">
        <f t="shared" ca="1" si="90"/>
        <v>0</v>
      </c>
      <c r="W5260" s="348" t="str">
        <f>IF(板块成分!B5262="","",板块成分!B5262)</f>
        <v>920121.BJ</v>
      </c>
      <c r="X5260" s="276" t="str">
        <f>[1]!S_Info_Name(W5260)</f>
        <v>江天科技</v>
      </c>
      <c r="Y5260" s="276" t="str">
        <f ca="1">IF($Y$3="申万一级行业",[1]!s_info_industry_sw_2021(W5260,公司分析!D$5,1),IF($Y$3="申万二级行业",[1]!s_info_industry_sw_2021(W5260,公司分析!D$5,2),IF($Y$3="申万三级行业",[1]!s_info_industry_sw_2021(W5260,公司分析!D$5,3),IF($Y$3="wind一级行业",[1]!s_info_industry_gics(W5260,1),IF($Y$3="wind二级行业",[1]!s_info_industry_gics(W5260,2),IF($Y$3="wind三级行业",[1]!s_info_industry_gics(W5260,3),IF($Y$3="wind四级行业",[1]!s_info_industry_gics(W5260,4),IF($Y$3="证监会门类行业",[1]!s_info_industry_csrc12_n(W5260,公司分析!D$5,1),""))))))))</f>
        <v>包装印刷</v>
      </c>
      <c r="Z5260" s="302" t="str">
        <f ca="1">IF(Y5260=行业比较!$E$6,ROW(),"")</f>
        <v/>
      </c>
    </row>
    <row r="5261" spans="22:26">
      <c r="V5261" s="260">
        <f t="shared" ca="1" si="90"/>
        <v>0</v>
      </c>
      <c r="W5261" s="348" t="str">
        <f>IF(板块成分!B5263="","",板块成分!B5263)</f>
        <v>920122.BJ</v>
      </c>
      <c r="X5261" s="276" t="str">
        <f>[1]!S_Info_Name(W5261)</f>
        <v>中纺标</v>
      </c>
      <c r="Y5261" s="276" t="str">
        <f ca="1">IF($Y$3="申万一级行业",[1]!s_info_industry_sw_2021(W5261,公司分析!D$5,1),IF($Y$3="申万二级行业",[1]!s_info_industry_sw_2021(W5261,公司分析!D$5,2),IF($Y$3="申万三级行业",[1]!s_info_industry_sw_2021(W5261,公司分析!D$5,3),IF($Y$3="wind一级行业",[1]!s_info_industry_gics(W5261,1),IF($Y$3="wind二级行业",[1]!s_info_industry_gics(W5261,2),IF($Y$3="wind三级行业",[1]!s_info_industry_gics(W5261,3),IF($Y$3="wind四级行业",[1]!s_info_industry_gics(W5261,4),IF($Y$3="证监会门类行业",[1]!s_info_industry_csrc12_n(W5261,公司分析!D$5,1),""))))))))</f>
        <v>专业服务</v>
      </c>
      <c r="Z5261" s="302" t="str">
        <f ca="1">IF(Y5261=行业比较!$E$6,ROW(),"")</f>
        <v/>
      </c>
    </row>
    <row r="5262" spans="22:26">
      <c r="V5262" s="260">
        <f t="shared" ca="1" si="90"/>
        <v>0</v>
      </c>
      <c r="W5262" s="348" t="str">
        <f>IF(板块成分!B5264="","",板块成分!B5264)</f>
        <v>920123.BJ</v>
      </c>
      <c r="X5262" s="276" t="str">
        <f>[1]!S_Info_Name(W5262)</f>
        <v>芭薇股份</v>
      </c>
      <c r="Y5262" s="276" t="str">
        <f ca="1">IF($Y$3="申万一级行业",[1]!s_info_industry_sw_2021(W5262,公司分析!D$5,1),IF($Y$3="申万二级行业",[1]!s_info_industry_sw_2021(W5262,公司分析!D$5,2),IF($Y$3="申万三级行业",[1]!s_info_industry_sw_2021(W5262,公司分析!D$5,3),IF($Y$3="wind一级行业",[1]!s_info_industry_gics(W5262,1),IF($Y$3="wind二级行业",[1]!s_info_industry_gics(W5262,2),IF($Y$3="wind三级行业",[1]!s_info_industry_gics(W5262,3),IF($Y$3="wind四级行业",[1]!s_info_industry_gics(W5262,4),IF($Y$3="证监会门类行业",[1]!s_info_industry_csrc12_n(W5262,公司分析!D$5,1),""))))))))</f>
        <v>化妆品</v>
      </c>
      <c r="Z5262" s="302" t="str">
        <f ca="1">IF(Y5262=行业比较!$E$6,ROW(),"")</f>
        <v/>
      </c>
    </row>
    <row r="5263" spans="22:26">
      <c r="V5263" s="260">
        <f t="shared" ca="1" si="90"/>
        <v>0</v>
      </c>
      <c r="W5263" s="348" t="str">
        <f>IF(板块成分!B5265="","",板块成分!B5265)</f>
        <v>920124.BJ</v>
      </c>
      <c r="X5263" s="276" t="str">
        <f>[1]!S_Info_Name(W5263)</f>
        <v>南特科技</v>
      </c>
      <c r="Y5263" s="276" t="str">
        <f ca="1">IF($Y$3="申万一级行业",[1]!s_info_industry_sw_2021(W5263,公司分析!D$5,1),IF($Y$3="申万二级行业",[1]!s_info_industry_sw_2021(W5263,公司分析!D$5,2),IF($Y$3="申万三级行业",[1]!s_info_industry_sw_2021(W5263,公司分析!D$5,3),IF($Y$3="wind一级行业",[1]!s_info_industry_gics(W5263,1),IF($Y$3="wind二级行业",[1]!s_info_industry_gics(W5263,2),IF($Y$3="wind三级行业",[1]!s_info_industry_gics(W5263,3),IF($Y$3="wind四级行业",[1]!s_info_industry_gics(W5263,4),IF($Y$3="证监会门类行业",[1]!s_info_industry_csrc12_n(W5263,公司分析!D$5,1),""))))))))</f>
        <v>家电零部件Ⅱ</v>
      </c>
      <c r="Z5263" s="302" t="str">
        <f ca="1">IF(Y5263=行业比较!$E$6,ROW(),"")</f>
        <v/>
      </c>
    </row>
    <row r="5264" spans="22:26">
      <c r="V5264" s="260">
        <f t="shared" ca="1" si="90"/>
        <v>0</v>
      </c>
      <c r="W5264" s="348" t="str">
        <f>IF(板块成分!B5266="","",板块成分!B5266)</f>
        <v>920128.BJ</v>
      </c>
      <c r="X5264" s="276" t="str">
        <f>[1]!S_Info_Name(W5264)</f>
        <v>胜业电气</v>
      </c>
      <c r="Y5264" s="276" t="str">
        <f ca="1">IF($Y$3="申万一级行业",[1]!s_info_industry_sw_2021(W5264,公司分析!D$5,1),IF($Y$3="申万二级行业",[1]!s_info_industry_sw_2021(W5264,公司分析!D$5,2),IF($Y$3="申万三级行业",[1]!s_info_industry_sw_2021(W5264,公司分析!D$5,3),IF($Y$3="wind一级行业",[1]!s_info_industry_gics(W5264,1),IF($Y$3="wind二级行业",[1]!s_info_industry_gics(W5264,2),IF($Y$3="wind三级行业",[1]!s_info_industry_gics(W5264,3),IF($Y$3="wind四级行业",[1]!s_info_industry_gics(W5264,4),IF($Y$3="证监会门类行业",[1]!s_info_industry_csrc12_n(W5264,公司分析!D$5,1),""))))))))</f>
        <v>元件</v>
      </c>
      <c r="Z5264" s="302" t="str">
        <f ca="1">IF(Y5264=行业比较!$E$6,ROW(),"")</f>
        <v/>
      </c>
    </row>
    <row r="5265" spans="22:26">
      <c r="V5265" s="260">
        <f t="shared" ca="1" si="90"/>
        <v>0</v>
      </c>
      <c r="W5265" s="348" t="str">
        <f>IF(板块成分!B5267="","",板块成分!B5267)</f>
        <v>920130.BJ</v>
      </c>
      <c r="X5265" s="276" t="str">
        <f>[1]!S_Info_Name(W5265)</f>
        <v>立方控股</v>
      </c>
      <c r="Y5265" s="276" t="str">
        <f ca="1">IF($Y$3="申万一级行业",[1]!s_info_industry_sw_2021(W5265,公司分析!D$5,1),IF($Y$3="申万二级行业",[1]!s_info_industry_sw_2021(W5265,公司分析!D$5,2),IF($Y$3="申万三级行业",[1]!s_info_industry_sw_2021(W5265,公司分析!D$5,3),IF($Y$3="wind一级行业",[1]!s_info_industry_gics(W5265,1),IF($Y$3="wind二级行业",[1]!s_info_industry_gics(W5265,2),IF($Y$3="wind三级行业",[1]!s_info_industry_gics(W5265,3),IF($Y$3="wind四级行业",[1]!s_info_industry_gics(W5265,4),IF($Y$3="证监会门类行业",[1]!s_info_industry_csrc12_n(W5265,公司分析!D$5,1),""))))))))</f>
        <v>IT服务Ⅱ</v>
      </c>
      <c r="Z5265" s="302" t="str">
        <f ca="1">IF(Y5265=行业比较!$E$6,ROW(),"")</f>
        <v/>
      </c>
    </row>
    <row r="5266" spans="22:26">
      <c r="V5266" s="260">
        <f t="shared" ca="1" si="90"/>
        <v>0</v>
      </c>
      <c r="W5266" s="348" t="str">
        <f>IF(板块成分!B5268="","",板块成分!B5268)</f>
        <v>920132.BJ</v>
      </c>
      <c r="X5266" s="276" t="str">
        <f>[1]!S_Info_Name(W5266)</f>
        <v>泰鹏智能</v>
      </c>
      <c r="Y5266" s="276" t="str">
        <f ca="1">IF($Y$3="申万一级行业",[1]!s_info_industry_sw_2021(W5266,公司分析!D$5,1),IF($Y$3="申万二级行业",[1]!s_info_industry_sw_2021(W5266,公司分析!D$5,2),IF($Y$3="申万三级行业",[1]!s_info_industry_sw_2021(W5266,公司分析!D$5,3),IF($Y$3="wind一级行业",[1]!s_info_industry_gics(W5266,1),IF($Y$3="wind二级行业",[1]!s_info_industry_gics(W5266,2),IF($Y$3="wind三级行业",[1]!s_info_industry_gics(W5266,3),IF($Y$3="wind四级行业",[1]!s_info_industry_gics(W5266,4),IF($Y$3="证监会门类行业",[1]!s_info_industry_csrc12_n(W5266,公司分析!D$5,1),""))))))))</f>
        <v>家居用品</v>
      </c>
      <c r="Z5266" s="302" t="str">
        <f ca="1">IF(Y5266=行业比较!$E$6,ROW(),"")</f>
        <v/>
      </c>
    </row>
    <row r="5267" spans="22:26">
      <c r="V5267" s="260">
        <f t="shared" ca="1" si="90"/>
        <v>0</v>
      </c>
      <c r="W5267" s="348" t="str">
        <f>IF(板块成分!B5269="","",板块成分!B5269)</f>
        <v>920139.BJ</v>
      </c>
      <c r="X5267" s="276" t="str">
        <f>[1]!S_Info_Name(W5267)</f>
        <v>华岭股份</v>
      </c>
      <c r="Y5267" s="276" t="str">
        <f ca="1">IF($Y$3="申万一级行业",[1]!s_info_industry_sw_2021(W5267,公司分析!D$5,1),IF($Y$3="申万二级行业",[1]!s_info_industry_sw_2021(W5267,公司分析!D$5,2),IF($Y$3="申万三级行业",[1]!s_info_industry_sw_2021(W5267,公司分析!D$5,3),IF($Y$3="wind一级行业",[1]!s_info_industry_gics(W5267,1),IF($Y$3="wind二级行业",[1]!s_info_industry_gics(W5267,2),IF($Y$3="wind三级行业",[1]!s_info_industry_gics(W5267,3),IF($Y$3="wind四级行业",[1]!s_info_industry_gics(W5267,4),IF($Y$3="证监会门类行业",[1]!s_info_industry_csrc12_n(W5267,公司分析!D$5,1),""))))))))</f>
        <v>半导体</v>
      </c>
      <c r="Z5267" s="302" t="str">
        <f ca="1">IF(Y5267=行业比较!$E$6,ROW(),"")</f>
        <v/>
      </c>
    </row>
    <row r="5268" spans="22:26">
      <c r="V5268" s="260">
        <f t="shared" ca="1" si="90"/>
        <v>0</v>
      </c>
      <c r="W5268" s="348" t="str">
        <f>IF(板块成分!B5270="","",板块成分!B5270)</f>
        <v>920145.BJ</v>
      </c>
      <c r="X5268" s="276" t="str">
        <f>[1]!S_Info_Name(W5268)</f>
        <v>恒合股份</v>
      </c>
      <c r="Y5268" s="276" t="str">
        <f ca="1">IF($Y$3="申万一级行业",[1]!s_info_industry_sw_2021(W5268,公司分析!D$5,1),IF($Y$3="申万二级行业",[1]!s_info_industry_sw_2021(W5268,公司分析!D$5,2),IF($Y$3="申万三级行业",[1]!s_info_industry_sw_2021(W5268,公司分析!D$5,3),IF($Y$3="wind一级行业",[1]!s_info_industry_gics(W5268,1),IF($Y$3="wind二级行业",[1]!s_info_industry_gics(W5268,2),IF($Y$3="wind三级行业",[1]!s_info_industry_gics(W5268,3),IF($Y$3="wind四级行业",[1]!s_info_industry_gics(W5268,4),IF($Y$3="证监会门类行业",[1]!s_info_industry_csrc12_n(W5268,公司分析!D$5,1),""))))))))</f>
        <v>环保设备Ⅱ</v>
      </c>
      <c r="Z5268" s="302" t="str">
        <f ca="1">IF(Y5268=行业比较!$E$6,ROW(),"")</f>
        <v/>
      </c>
    </row>
    <row r="5269" spans="22:26">
      <c r="V5269" s="260">
        <f t="shared" ca="1" si="90"/>
        <v>0</v>
      </c>
      <c r="W5269" s="348" t="str">
        <f>IF(板块成分!B5271="","",板块成分!B5271)</f>
        <v>920146.BJ</v>
      </c>
      <c r="X5269" s="276" t="str">
        <f>[1]!S_Info_Name(W5269)</f>
        <v>华阳变速</v>
      </c>
      <c r="Y5269" s="276" t="str">
        <f ca="1">IF($Y$3="申万一级行业",[1]!s_info_industry_sw_2021(W5269,公司分析!D$5,1),IF($Y$3="申万二级行业",[1]!s_info_industry_sw_2021(W5269,公司分析!D$5,2),IF($Y$3="申万三级行业",[1]!s_info_industry_sw_2021(W5269,公司分析!D$5,3),IF($Y$3="wind一级行业",[1]!s_info_industry_gics(W5269,1),IF($Y$3="wind二级行业",[1]!s_info_industry_gics(W5269,2),IF($Y$3="wind三级行业",[1]!s_info_industry_gics(W5269,3),IF($Y$3="wind四级行业",[1]!s_info_industry_gics(W5269,4),IF($Y$3="证监会门类行业",[1]!s_info_industry_csrc12_n(W5269,公司分析!D$5,1),""))))))))</f>
        <v>汽车零部件</v>
      </c>
      <c r="Z5269" s="302" t="str">
        <f ca="1">IF(Y5269=行业比较!$E$6,ROW(),"")</f>
        <v/>
      </c>
    </row>
    <row r="5270" spans="22:26">
      <c r="V5270" s="260">
        <f t="shared" ca="1" si="90"/>
        <v>0</v>
      </c>
      <c r="W5270" s="348" t="str">
        <f>IF(板块成分!B5272="","",板块成分!B5272)</f>
        <v>920149.BJ</v>
      </c>
      <c r="X5270" s="276" t="str">
        <f>[1]!S_Info_Name(W5270)</f>
        <v>旭杰科技</v>
      </c>
      <c r="Y5270" s="276" t="str">
        <f ca="1">IF($Y$3="申万一级行业",[1]!s_info_industry_sw_2021(W5270,公司分析!D$5,1),IF($Y$3="申万二级行业",[1]!s_info_industry_sw_2021(W5270,公司分析!D$5,2),IF($Y$3="申万三级行业",[1]!s_info_industry_sw_2021(W5270,公司分析!D$5,3),IF($Y$3="wind一级行业",[1]!s_info_industry_gics(W5270,1),IF($Y$3="wind二级行业",[1]!s_info_industry_gics(W5270,2),IF($Y$3="wind三级行业",[1]!s_info_industry_gics(W5270,3),IF($Y$3="wind四级行业",[1]!s_info_industry_gics(W5270,4),IF($Y$3="证监会门类行业",[1]!s_info_industry_csrc12_n(W5270,公司分析!D$5,1),""))))))))</f>
        <v>工程咨询服务Ⅱ</v>
      </c>
      <c r="Z5270" s="302" t="str">
        <f ca="1">IF(Y5270=行业比较!$E$6,ROW(),"")</f>
        <v/>
      </c>
    </row>
    <row r="5271" spans="22:26">
      <c r="V5271" s="260">
        <f t="shared" ca="1" si="90"/>
        <v>0</v>
      </c>
      <c r="W5271" s="348" t="str">
        <f>IF(板块成分!B5273="","",板块成分!B5273)</f>
        <v>920152.BJ</v>
      </c>
      <c r="X5271" s="276" t="str">
        <f>[1]!S_Info_Name(W5271)</f>
        <v>昆工科技</v>
      </c>
      <c r="Y5271" s="276" t="str">
        <f ca="1">IF($Y$3="申万一级行业",[1]!s_info_industry_sw_2021(W5271,公司分析!D$5,1),IF($Y$3="申万二级行业",[1]!s_info_industry_sw_2021(W5271,公司分析!D$5,2),IF($Y$3="申万三级行业",[1]!s_info_industry_sw_2021(W5271,公司分析!D$5,3),IF($Y$3="wind一级行业",[1]!s_info_industry_gics(W5271,1),IF($Y$3="wind二级行业",[1]!s_info_industry_gics(W5271,2),IF($Y$3="wind三级行业",[1]!s_info_industry_gics(W5271,3),IF($Y$3="wind四级行业",[1]!s_info_industry_gics(W5271,4),IF($Y$3="证监会门类行业",[1]!s_info_industry_csrc12_n(W5271,公司分析!D$5,1),""))))))))</f>
        <v>电池</v>
      </c>
      <c r="Z5271" s="302" t="str">
        <f ca="1">IF(Y5271=行业比较!$E$6,ROW(),"")</f>
        <v/>
      </c>
    </row>
    <row r="5272" spans="22:26">
      <c r="V5272" s="260">
        <f t="shared" ca="1" si="90"/>
        <v>0</v>
      </c>
      <c r="W5272" s="348" t="str">
        <f>IF(板块成分!B5274="","",板块成分!B5274)</f>
        <v>920158.BJ</v>
      </c>
      <c r="X5272" s="276" t="str">
        <f>[1]!S_Info_Name(W5272)</f>
        <v>长江能科</v>
      </c>
      <c r="Y5272" s="276" t="str">
        <f ca="1">IF($Y$3="申万一级行业",[1]!s_info_industry_sw_2021(W5272,公司分析!D$5,1),IF($Y$3="申万二级行业",[1]!s_info_industry_sw_2021(W5272,公司分析!D$5,2),IF($Y$3="申万三级行业",[1]!s_info_industry_sw_2021(W5272,公司分析!D$5,3),IF($Y$3="wind一级行业",[1]!s_info_industry_gics(W5272,1),IF($Y$3="wind二级行业",[1]!s_info_industry_gics(W5272,2),IF($Y$3="wind三级行业",[1]!s_info_industry_gics(W5272,3),IF($Y$3="wind四级行业",[1]!s_info_industry_gics(W5272,4),IF($Y$3="证监会门类行业",[1]!s_info_industry_csrc12_n(W5272,公司分析!D$5,1),""))))))))</f>
        <v>专用设备</v>
      </c>
      <c r="Z5272" s="302" t="str">
        <f ca="1">IF(Y5272=行业比较!$E$6,ROW(),"")</f>
        <v/>
      </c>
    </row>
    <row r="5273" spans="22:26">
      <c r="V5273" s="260">
        <f t="shared" ca="1" si="90"/>
        <v>0</v>
      </c>
      <c r="W5273" s="348" t="str">
        <f>IF(板块成分!B5275="","",板块成分!B5275)</f>
        <v>920159.BJ</v>
      </c>
      <c r="X5273" s="276" t="str">
        <f>[1]!S_Info_Name(W5273)</f>
        <v>农大科技</v>
      </c>
      <c r="Y5273" s="276" t="str">
        <f ca="1">IF($Y$3="申万一级行业",[1]!s_info_industry_sw_2021(W5273,公司分析!D$5,1),IF($Y$3="申万二级行业",[1]!s_info_industry_sw_2021(W5273,公司分析!D$5,2),IF($Y$3="申万三级行业",[1]!s_info_industry_sw_2021(W5273,公司分析!D$5,3),IF($Y$3="wind一级行业",[1]!s_info_industry_gics(W5273,1),IF($Y$3="wind二级行业",[1]!s_info_industry_gics(W5273,2),IF($Y$3="wind三级行业",[1]!s_info_industry_gics(W5273,3),IF($Y$3="wind四级行业",[1]!s_info_industry_gics(W5273,4),IF($Y$3="证监会门类行业",[1]!s_info_industry_csrc12_n(W5273,公司分析!D$5,1),""))))))))</f>
        <v>农化制品</v>
      </c>
      <c r="Z5273" s="302" t="str">
        <f ca="1">IF(Y5273=行业比较!$E$6,ROW(),"")</f>
        <v/>
      </c>
    </row>
    <row r="5274" spans="22:26">
      <c r="V5274" s="260">
        <f t="shared" ca="1" si="90"/>
        <v>0</v>
      </c>
      <c r="W5274" s="348" t="str">
        <f>IF(板块成分!B5276="","",板块成分!B5276)</f>
        <v>920160.BJ</v>
      </c>
      <c r="X5274" s="276" t="str">
        <f>[1]!S_Info_Name(W5274)</f>
        <v>北矿检测</v>
      </c>
      <c r="Y5274" s="276" t="str">
        <f ca="1">IF($Y$3="申万一级行业",[1]!s_info_industry_sw_2021(W5274,公司分析!D$5,1),IF($Y$3="申万二级行业",[1]!s_info_industry_sw_2021(W5274,公司分析!D$5,2),IF($Y$3="申万三级行业",[1]!s_info_industry_sw_2021(W5274,公司分析!D$5,3),IF($Y$3="wind一级行业",[1]!s_info_industry_gics(W5274,1),IF($Y$3="wind二级行业",[1]!s_info_industry_gics(W5274,2),IF($Y$3="wind三级行业",[1]!s_info_industry_gics(W5274,3),IF($Y$3="wind四级行业",[1]!s_info_industry_gics(W5274,4),IF($Y$3="证监会门类行业",[1]!s_info_industry_csrc12_n(W5274,公司分析!D$5,1),""))))))))</f>
        <v>专业服务</v>
      </c>
      <c r="Z5274" s="302" t="str">
        <f ca="1">IF(Y5274=行业比较!$E$6,ROW(),"")</f>
        <v/>
      </c>
    </row>
    <row r="5275" spans="22:26">
      <c r="V5275" s="260">
        <f t="shared" ca="1" si="90"/>
        <v>0</v>
      </c>
      <c r="W5275" s="348" t="str">
        <f>IF(板块成分!B5277="","",板块成分!B5277)</f>
        <v>920163.BJ</v>
      </c>
      <c r="X5275" s="276" t="str">
        <f>[1]!S_Info_Name(W5275)</f>
        <v>方大新材</v>
      </c>
      <c r="Y5275" s="276" t="str">
        <f ca="1">IF($Y$3="申万一级行业",[1]!s_info_industry_sw_2021(W5275,公司分析!D$5,1),IF($Y$3="申万二级行业",[1]!s_info_industry_sw_2021(W5275,公司分析!D$5,2),IF($Y$3="申万三级行业",[1]!s_info_industry_sw_2021(W5275,公司分析!D$5,3),IF($Y$3="wind一级行业",[1]!s_info_industry_gics(W5275,1),IF($Y$3="wind二级行业",[1]!s_info_industry_gics(W5275,2),IF($Y$3="wind三级行业",[1]!s_info_industry_gics(W5275,3),IF($Y$3="wind四级行业",[1]!s_info_industry_gics(W5275,4),IF($Y$3="证监会门类行业",[1]!s_info_industry_csrc12_n(W5275,公司分析!D$5,1),""))))))))</f>
        <v>包装印刷</v>
      </c>
      <c r="Z5275" s="302" t="str">
        <f ca="1">IF(Y5275=行业比较!$E$6,ROW(),"")</f>
        <v/>
      </c>
    </row>
    <row r="5276" spans="22:26">
      <c r="V5276" s="260">
        <f t="shared" ca="1" si="90"/>
        <v>0</v>
      </c>
      <c r="W5276" s="348" t="str">
        <f>IF(板块成分!B5278="","",板块成分!B5278)</f>
        <v>920166.BJ</v>
      </c>
      <c r="X5276" s="276" t="str">
        <f>[1]!S_Info_Name(W5276)</f>
        <v>海圣医疗</v>
      </c>
      <c r="Y5276" s="276" t="str">
        <f ca="1">IF($Y$3="申万一级行业",[1]!s_info_industry_sw_2021(W5276,公司分析!D$5,1),IF($Y$3="申万二级行业",[1]!s_info_industry_sw_2021(W5276,公司分析!D$5,2),IF($Y$3="申万三级行业",[1]!s_info_industry_sw_2021(W5276,公司分析!D$5,3),IF($Y$3="wind一级行业",[1]!s_info_industry_gics(W5276,1),IF($Y$3="wind二级行业",[1]!s_info_industry_gics(W5276,2),IF($Y$3="wind三级行业",[1]!s_info_industry_gics(W5276,3),IF($Y$3="wind四级行业",[1]!s_info_industry_gics(W5276,4),IF($Y$3="证监会门类行业",[1]!s_info_industry_csrc12_n(W5276,公司分析!D$5,1),""))))))))</f>
        <v>医疗器械</v>
      </c>
      <c r="Z5276" s="302" t="str">
        <f ca="1">IF(Y5276=行业比较!$E$6,ROW(),"")</f>
        <v/>
      </c>
    </row>
    <row r="5277" spans="22:26">
      <c r="V5277" s="260">
        <f t="shared" ca="1" si="90"/>
        <v>0</v>
      </c>
      <c r="W5277" s="348" t="str">
        <f>IF(板块成分!B5279="","",板块成分!B5279)</f>
        <v>920167.BJ</v>
      </c>
      <c r="X5277" s="276" t="str">
        <f>[1]!S_Info_Name(W5277)</f>
        <v>同享科技</v>
      </c>
      <c r="Y5277" s="276" t="str">
        <f ca="1">IF($Y$3="申万一级行业",[1]!s_info_industry_sw_2021(W5277,公司分析!D$5,1),IF($Y$3="申万二级行业",[1]!s_info_industry_sw_2021(W5277,公司分析!D$5,2),IF($Y$3="申万三级行业",[1]!s_info_industry_sw_2021(W5277,公司分析!D$5,3),IF($Y$3="wind一级行业",[1]!s_info_industry_gics(W5277,1),IF($Y$3="wind二级行业",[1]!s_info_industry_gics(W5277,2),IF($Y$3="wind三级行业",[1]!s_info_industry_gics(W5277,3),IF($Y$3="wind四级行业",[1]!s_info_industry_gics(W5277,4),IF($Y$3="证监会门类行业",[1]!s_info_industry_csrc12_n(W5277,公司分析!D$5,1),""))))))))</f>
        <v>光伏设备</v>
      </c>
      <c r="Z5277" s="302" t="str">
        <f ca="1">IF(Y5277=行业比较!$E$6,ROW(),"")</f>
        <v/>
      </c>
    </row>
    <row r="5278" spans="22:26">
      <c r="V5278" s="260">
        <f t="shared" ca="1" si="90"/>
        <v>0</v>
      </c>
      <c r="W5278" s="348" t="str">
        <f>IF(板块成分!B5280="","",板块成分!B5280)</f>
        <v>920168.BJ</v>
      </c>
      <c r="X5278" s="276" t="str">
        <f>[1]!S_Info_Name(W5278)</f>
        <v>通宝光电</v>
      </c>
      <c r="Y5278" s="276" t="str">
        <f ca="1">IF($Y$3="申万一级行业",[1]!s_info_industry_sw_2021(W5278,公司分析!D$5,1),IF($Y$3="申万二级行业",[1]!s_info_industry_sw_2021(W5278,公司分析!D$5,2),IF($Y$3="申万三级行业",[1]!s_info_industry_sw_2021(W5278,公司分析!D$5,3),IF($Y$3="wind一级行业",[1]!s_info_industry_gics(W5278,1),IF($Y$3="wind二级行业",[1]!s_info_industry_gics(W5278,2),IF($Y$3="wind三级行业",[1]!s_info_industry_gics(W5278,3),IF($Y$3="wind四级行业",[1]!s_info_industry_gics(W5278,4),IF($Y$3="证监会门类行业",[1]!s_info_industry_csrc12_n(W5278,公司分析!D$5,1),""))))))))</f>
        <v>汽车零部件</v>
      </c>
      <c r="Z5278" s="302" t="str">
        <f ca="1">IF(Y5278=行业比较!$E$6,ROW(),"")</f>
        <v/>
      </c>
    </row>
    <row r="5279" spans="22:26">
      <c r="V5279" s="260">
        <f t="shared" ca="1" si="90"/>
        <v>0</v>
      </c>
      <c r="W5279" s="348" t="str">
        <f>IF(板块成分!B5281="","",板块成分!B5281)</f>
        <v>920169.BJ</v>
      </c>
      <c r="X5279" s="276" t="str">
        <f>[1]!S_Info_Name(W5279)</f>
        <v>七丰精工</v>
      </c>
      <c r="Y5279" s="276" t="str">
        <f ca="1">IF($Y$3="申万一级行业",[1]!s_info_industry_sw_2021(W5279,公司分析!D$5,1),IF($Y$3="申万二级行业",[1]!s_info_industry_sw_2021(W5279,公司分析!D$5,2),IF($Y$3="申万三级行业",[1]!s_info_industry_sw_2021(W5279,公司分析!D$5,3),IF($Y$3="wind一级行业",[1]!s_info_industry_gics(W5279,1),IF($Y$3="wind二级行业",[1]!s_info_industry_gics(W5279,2),IF($Y$3="wind三级行业",[1]!s_info_industry_gics(W5279,3),IF($Y$3="wind四级行业",[1]!s_info_industry_gics(W5279,4),IF($Y$3="证监会门类行业",[1]!s_info_industry_csrc12_n(W5279,公司分析!D$5,1),""))))))))</f>
        <v>通用设备</v>
      </c>
      <c r="Z5279" s="302" t="str">
        <f ca="1">IF(Y5279=行业比较!$E$6,ROW(),"")</f>
        <v/>
      </c>
    </row>
    <row r="5280" spans="22:26">
      <c r="V5280" s="260">
        <f t="shared" ca="1" si="90"/>
        <v>0</v>
      </c>
      <c r="W5280" s="348" t="str">
        <f>IF(板块成分!B5282="","",板块成分!B5282)</f>
        <v>920171.BJ</v>
      </c>
      <c r="X5280" s="276" t="str">
        <f>[1]!S_Info_Name(W5280)</f>
        <v>志晟信息</v>
      </c>
      <c r="Y5280" s="276" t="str">
        <f ca="1">IF($Y$3="申万一级行业",[1]!s_info_industry_sw_2021(W5280,公司分析!D$5,1),IF($Y$3="申万二级行业",[1]!s_info_industry_sw_2021(W5280,公司分析!D$5,2),IF($Y$3="申万三级行业",[1]!s_info_industry_sw_2021(W5280,公司分析!D$5,3),IF($Y$3="wind一级行业",[1]!s_info_industry_gics(W5280,1),IF($Y$3="wind二级行业",[1]!s_info_industry_gics(W5280,2),IF($Y$3="wind三级行业",[1]!s_info_industry_gics(W5280,3),IF($Y$3="wind四级行业",[1]!s_info_industry_gics(W5280,4),IF($Y$3="证监会门类行业",[1]!s_info_industry_csrc12_n(W5280,公司分析!D$5,1),""))))))))</f>
        <v>IT服务Ⅱ</v>
      </c>
      <c r="Z5280" s="302" t="str">
        <f ca="1">IF(Y5280=行业比较!$E$6,ROW(),"")</f>
        <v/>
      </c>
    </row>
    <row r="5281" spans="22:26">
      <c r="V5281" s="260">
        <f t="shared" ca="1" si="90"/>
        <v>0</v>
      </c>
      <c r="W5281" s="348" t="str">
        <f>IF(板块成分!B5283="","",板块成分!B5283)</f>
        <v>920174.BJ</v>
      </c>
      <c r="X5281" s="276" t="str">
        <f>[1]!S_Info_Name(W5281)</f>
        <v>五新隧装</v>
      </c>
      <c r="Y5281" s="276" t="str">
        <f ca="1">IF($Y$3="申万一级行业",[1]!s_info_industry_sw_2021(W5281,公司分析!D$5,1),IF($Y$3="申万二级行业",[1]!s_info_industry_sw_2021(W5281,公司分析!D$5,2),IF($Y$3="申万三级行业",[1]!s_info_industry_sw_2021(W5281,公司分析!D$5,3),IF($Y$3="wind一级行业",[1]!s_info_industry_gics(W5281,1),IF($Y$3="wind二级行业",[1]!s_info_industry_gics(W5281,2),IF($Y$3="wind三级行业",[1]!s_info_industry_gics(W5281,3),IF($Y$3="wind四级行业",[1]!s_info_industry_gics(W5281,4),IF($Y$3="证监会门类行业",[1]!s_info_industry_csrc12_n(W5281,公司分析!D$5,1),""))))))))</f>
        <v>工程机械</v>
      </c>
      <c r="Z5281" s="302" t="str">
        <f ca="1">IF(Y5281=行业比较!$E$6,ROW(),"")</f>
        <v/>
      </c>
    </row>
    <row r="5282" spans="22:26">
      <c r="V5282" s="260">
        <f t="shared" ca="1" si="90"/>
        <v>0</v>
      </c>
      <c r="W5282" s="348" t="str">
        <f>IF(板块成分!B5284="","",板块成分!B5284)</f>
        <v>920175.BJ</v>
      </c>
      <c r="X5282" s="276" t="str">
        <f>[1]!S_Info_Name(W5282)</f>
        <v>东方碳素</v>
      </c>
      <c r="Y5282" s="276" t="str">
        <f ca="1">IF($Y$3="申万一级行业",[1]!s_info_industry_sw_2021(W5282,公司分析!D$5,1),IF($Y$3="申万二级行业",[1]!s_info_industry_sw_2021(W5282,公司分析!D$5,2),IF($Y$3="申万三级行业",[1]!s_info_industry_sw_2021(W5282,公司分析!D$5,3),IF($Y$3="wind一级行业",[1]!s_info_industry_gics(W5282,1),IF($Y$3="wind二级行业",[1]!s_info_industry_gics(W5282,2),IF($Y$3="wind三级行业",[1]!s_info_industry_gics(W5282,3),IF($Y$3="wind四级行业",[1]!s_info_industry_gics(W5282,4),IF($Y$3="证监会门类行业",[1]!s_info_industry_csrc12_n(W5282,公司分析!D$5,1),""))))))))</f>
        <v>非金属材料Ⅱ</v>
      </c>
      <c r="Z5282" s="302" t="str">
        <f ca="1">IF(Y5282=行业比较!$E$6,ROW(),"")</f>
        <v/>
      </c>
    </row>
    <row r="5283" spans="22:26">
      <c r="V5283" s="260">
        <f t="shared" ca="1" si="90"/>
        <v>0</v>
      </c>
      <c r="W5283" s="348" t="str">
        <f>IF(板块成分!B5285="","",板块成分!B5285)</f>
        <v>920179.BJ</v>
      </c>
      <c r="X5283" s="276" t="str">
        <f>[1]!S_Info_Name(W5283)</f>
        <v>凯德石英</v>
      </c>
      <c r="Y5283" s="276" t="str">
        <f ca="1">IF($Y$3="申万一级行业",[1]!s_info_industry_sw_2021(W5283,公司分析!D$5,1),IF($Y$3="申万二级行业",[1]!s_info_industry_sw_2021(W5283,公司分析!D$5,2),IF($Y$3="申万三级行业",[1]!s_info_industry_sw_2021(W5283,公司分析!D$5,3),IF($Y$3="wind一级行业",[1]!s_info_industry_gics(W5283,1),IF($Y$3="wind二级行业",[1]!s_info_industry_gics(W5283,2),IF($Y$3="wind三级行业",[1]!s_info_industry_gics(W5283,3),IF($Y$3="wind四级行业",[1]!s_info_industry_gics(W5283,4),IF($Y$3="证监会门类行业",[1]!s_info_industry_csrc12_n(W5283,公司分析!D$5,1),""))))))))</f>
        <v>半导体</v>
      </c>
      <c r="Z5283" s="302" t="str">
        <f ca="1">IF(Y5283=行业比较!$E$6,ROW(),"")</f>
        <v/>
      </c>
    </row>
    <row r="5284" spans="22:26">
      <c r="V5284" s="260">
        <f t="shared" ca="1" si="90"/>
        <v>0</v>
      </c>
      <c r="W5284" s="348" t="str">
        <f>IF(板块成分!B5286="","",板块成分!B5286)</f>
        <v>920180.BJ</v>
      </c>
      <c r="X5284" s="276" t="str">
        <f>[1]!S_Info_Name(W5284)</f>
        <v>爱得科技</v>
      </c>
      <c r="Y5284" s="276" t="str">
        <f ca="1">IF($Y$3="申万一级行业",[1]!s_info_industry_sw_2021(W5284,公司分析!D$5,1),IF($Y$3="申万二级行业",[1]!s_info_industry_sw_2021(W5284,公司分析!D$5,2),IF($Y$3="申万三级行业",[1]!s_info_industry_sw_2021(W5284,公司分析!D$5,3),IF($Y$3="wind一级行业",[1]!s_info_industry_gics(W5284,1),IF($Y$3="wind二级行业",[1]!s_info_industry_gics(W5284,2),IF($Y$3="wind三级行业",[1]!s_info_industry_gics(W5284,3),IF($Y$3="wind四级行业",[1]!s_info_industry_gics(W5284,4),IF($Y$3="证监会门类行业",[1]!s_info_industry_csrc12_n(W5284,公司分析!D$5,1),""))))))))</f>
        <v>医疗器械</v>
      </c>
      <c r="Z5284" s="302" t="str">
        <f ca="1">IF(Y5284=行业比较!$E$6,ROW(),"")</f>
        <v/>
      </c>
    </row>
    <row r="5285" spans="22:26">
      <c r="V5285" s="260">
        <f t="shared" ca="1" si="90"/>
        <v>0</v>
      </c>
      <c r="W5285" s="348" t="str">
        <f>IF(板块成分!B5287="","",板块成分!B5287)</f>
        <v>920183.BJ</v>
      </c>
      <c r="X5285" s="276" t="str">
        <f>[1]!S_Info_Name(W5285)</f>
        <v>海菲曼</v>
      </c>
      <c r="Y5285" s="276" t="str">
        <f ca="1">IF($Y$3="申万一级行业",[1]!s_info_industry_sw_2021(W5285,公司分析!D$5,1),IF($Y$3="申万二级行业",[1]!s_info_industry_sw_2021(W5285,公司分析!D$5,2),IF($Y$3="申万三级行业",[1]!s_info_industry_sw_2021(W5285,公司分析!D$5,3),IF($Y$3="wind一级行业",[1]!s_info_industry_gics(W5285,1),IF($Y$3="wind二级行业",[1]!s_info_industry_gics(W5285,2),IF($Y$3="wind三级行业",[1]!s_info_industry_gics(W5285,3),IF($Y$3="wind四级行业",[1]!s_info_industry_gics(W5285,4),IF($Y$3="证监会门类行业",[1]!s_info_industry_csrc12_n(W5285,公司分析!D$5,1),""))))))))</f>
        <v>消费电子</v>
      </c>
      <c r="Z5285" s="302" t="str">
        <f ca="1">IF(Y5285=行业比较!$E$6,ROW(),"")</f>
        <v/>
      </c>
    </row>
    <row r="5286" spans="22:26">
      <c r="V5286" s="260">
        <f t="shared" ca="1" si="90"/>
        <v>0</v>
      </c>
      <c r="W5286" s="348" t="str">
        <f>IF(板块成分!B5288="","",板块成分!B5288)</f>
        <v>920184.BJ</v>
      </c>
      <c r="X5286" s="276" t="str">
        <f>[1]!S_Info_Name(W5286)</f>
        <v>国源科技</v>
      </c>
      <c r="Y5286" s="276" t="str">
        <f ca="1">IF($Y$3="申万一级行业",[1]!s_info_industry_sw_2021(W5286,公司分析!D$5,1),IF($Y$3="申万二级行业",[1]!s_info_industry_sw_2021(W5286,公司分析!D$5,2),IF($Y$3="申万三级行业",[1]!s_info_industry_sw_2021(W5286,公司分析!D$5,3),IF($Y$3="wind一级行业",[1]!s_info_industry_gics(W5286,1),IF($Y$3="wind二级行业",[1]!s_info_industry_gics(W5286,2),IF($Y$3="wind三级行业",[1]!s_info_industry_gics(W5286,3),IF($Y$3="wind四级行业",[1]!s_info_industry_gics(W5286,4),IF($Y$3="证监会门类行业",[1]!s_info_industry_csrc12_n(W5286,公司分析!D$5,1),""))))))))</f>
        <v>IT服务Ⅱ</v>
      </c>
      <c r="Z5286" s="302" t="str">
        <f ca="1">IF(Y5286=行业比较!$E$6,ROW(),"")</f>
        <v/>
      </c>
    </row>
    <row r="5287" spans="22:26">
      <c r="V5287" s="260">
        <f t="shared" ca="1" si="90"/>
        <v>0</v>
      </c>
      <c r="W5287" s="348" t="str">
        <f>IF(板块成分!B5289="","",板块成分!B5289)</f>
        <v>920185.BJ</v>
      </c>
      <c r="X5287" s="276" t="str">
        <f>[1]!S_Info_Name(W5287)</f>
        <v>贝特瑞</v>
      </c>
      <c r="Y5287" s="276" t="str">
        <f ca="1">IF($Y$3="申万一级行业",[1]!s_info_industry_sw_2021(W5287,公司分析!D$5,1),IF($Y$3="申万二级行业",[1]!s_info_industry_sw_2021(W5287,公司分析!D$5,2),IF($Y$3="申万三级行业",[1]!s_info_industry_sw_2021(W5287,公司分析!D$5,3),IF($Y$3="wind一级行业",[1]!s_info_industry_gics(W5287,1),IF($Y$3="wind二级行业",[1]!s_info_industry_gics(W5287,2),IF($Y$3="wind三级行业",[1]!s_info_industry_gics(W5287,3),IF($Y$3="wind四级行业",[1]!s_info_industry_gics(W5287,4),IF($Y$3="证监会门类行业",[1]!s_info_industry_csrc12_n(W5287,公司分析!D$5,1),""))))))))</f>
        <v>电池</v>
      </c>
      <c r="Z5287" s="302" t="str">
        <f ca="1">IF(Y5287=行业比较!$E$6,ROW(),"")</f>
        <v/>
      </c>
    </row>
    <row r="5288" spans="22:26">
      <c r="V5288" s="260">
        <f t="shared" ref="V5288:V5351" ca="1" si="91">IF(Z5288="",0,RANK(Z5288,Z:Z,1))</f>
        <v>0</v>
      </c>
      <c r="W5288" s="348" t="str">
        <f>IF(板块成分!B5290="","",板块成分!B5290)</f>
        <v>920187.BJ</v>
      </c>
      <c r="X5288" s="276" t="str">
        <f>[1]!S_Info_Name(W5288)</f>
        <v>通领科技</v>
      </c>
      <c r="Y5288" s="276" t="str">
        <f ca="1">IF($Y$3="申万一级行业",[1]!s_info_industry_sw_2021(W5288,公司分析!D$5,1),IF($Y$3="申万二级行业",[1]!s_info_industry_sw_2021(W5288,公司分析!D$5,2),IF($Y$3="申万三级行业",[1]!s_info_industry_sw_2021(W5288,公司分析!D$5,3),IF($Y$3="wind一级行业",[1]!s_info_industry_gics(W5288,1),IF($Y$3="wind二级行业",[1]!s_info_industry_gics(W5288,2),IF($Y$3="wind三级行业",[1]!s_info_industry_gics(W5288,3),IF($Y$3="wind四级行业",[1]!s_info_industry_gics(W5288,4),IF($Y$3="证监会门类行业",[1]!s_info_industry_csrc12_n(W5288,公司分析!D$5,1),""))))))))</f>
        <v>汽车零部件</v>
      </c>
      <c r="Z5288" s="302" t="str">
        <f ca="1">IF(Y5288=行业比较!$E$6,ROW(),"")</f>
        <v/>
      </c>
    </row>
    <row r="5289" spans="22:26">
      <c r="V5289" s="260">
        <f t="shared" ca="1" si="91"/>
        <v>0</v>
      </c>
      <c r="W5289" s="348" t="str">
        <f>IF(板块成分!B5291="","",板块成分!B5291)</f>
        <v>920190.BJ</v>
      </c>
      <c r="X5289" s="276" t="str">
        <f>[1]!S_Info_Name(W5289)</f>
        <v>雷神科技</v>
      </c>
      <c r="Y5289" s="276" t="str">
        <f ca="1">IF($Y$3="申万一级行业",[1]!s_info_industry_sw_2021(W5289,公司分析!D$5,1),IF($Y$3="申万二级行业",[1]!s_info_industry_sw_2021(W5289,公司分析!D$5,2),IF($Y$3="申万三级行业",[1]!s_info_industry_sw_2021(W5289,公司分析!D$5,3),IF($Y$3="wind一级行业",[1]!s_info_industry_gics(W5289,1),IF($Y$3="wind二级行业",[1]!s_info_industry_gics(W5289,2),IF($Y$3="wind三级行业",[1]!s_info_industry_gics(W5289,3),IF($Y$3="wind四级行业",[1]!s_info_industry_gics(W5289,4),IF($Y$3="证监会门类行业",[1]!s_info_industry_csrc12_n(W5289,公司分析!D$5,1),""))))))))</f>
        <v>计算机设备</v>
      </c>
      <c r="Z5289" s="302" t="str">
        <f ca="1">IF(Y5289=行业比较!$E$6,ROW(),"")</f>
        <v/>
      </c>
    </row>
    <row r="5290" spans="22:26">
      <c r="V5290" s="260">
        <f t="shared" ca="1" si="91"/>
        <v>0</v>
      </c>
      <c r="W5290" s="348" t="str">
        <f>IF(板块成分!B5292="","",板块成分!B5292)</f>
        <v>920195.BJ</v>
      </c>
      <c r="X5290" s="276" t="str">
        <f>[1]!S_Info_Name(W5290)</f>
        <v>三祥科技</v>
      </c>
      <c r="Y5290" s="276" t="str">
        <f ca="1">IF($Y$3="申万一级行业",[1]!s_info_industry_sw_2021(W5290,公司分析!D$5,1),IF($Y$3="申万二级行业",[1]!s_info_industry_sw_2021(W5290,公司分析!D$5,2),IF($Y$3="申万三级行业",[1]!s_info_industry_sw_2021(W5290,公司分析!D$5,3),IF($Y$3="wind一级行业",[1]!s_info_industry_gics(W5290,1),IF($Y$3="wind二级行业",[1]!s_info_industry_gics(W5290,2),IF($Y$3="wind三级行业",[1]!s_info_industry_gics(W5290,3),IF($Y$3="wind四级行业",[1]!s_info_industry_gics(W5290,4),IF($Y$3="证监会门类行业",[1]!s_info_industry_csrc12_n(W5290,公司分析!D$5,1),""))))))))</f>
        <v>汽车零部件</v>
      </c>
      <c r="Z5290" s="302" t="str">
        <f ca="1">IF(Y5290=行业比较!$E$6,ROW(),"")</f>
        <v/>
      </c>
    </row>
    <row r="5291" spans="22:26">
      <c r="V5291" s="260">
        <f t="shared" ca="1" si="91"/>
        <v>0</v>
      </c>
      <c r="W5291" s="348" t="str">
        <f>IF(板块成分!B5293="","",板块成分!B5293)</f>
        <v>920198.BJ</v>
      </c>
      <c r="X5291" s="276" t="str">
        <f>[1]!S_Info_Name(W5291)</f>
        <v>微创光电</v>
      </c>
      <c r="Y5291" s="276" t="str">
        <f ca="1">IF($Y$3="申万一级行业",[1]!s_info_industry_sw_2021(W5291,公司分析!D$5,1),IF($Y$3="申万二级行业",[1]!s_info_industry_sw_2021(W5291,公司分析!D$5,2),IF($Y$3="申万三级行业",[1]!s_info_industry_sw_2021(W5291,公司分析!D$5,3),IF($Y$3="wind一级行业",[1]!s_info_industry_gics(W5291,1),IF($Y$3="wind二级行业",[1]!s_info_industry_gics(W5291,2),IF($Y$3="wind三级行业",[1]!s_info_industry_gics(W5291,3),IF($Y$3="wind四级行业",[1]!s_info_industry_gics(W5291,4),IF($Y$3="证监会门类行业",[1]!s_info_industry_csrc12_n(W5291,公司分析!D$5,1),""))))))))</f>
        <v>计算机设备</v>
      </c>
      <c r="Z5291" s="302" t="str">
        <f ca="1">IF(Y5291=行业比较!$E$6,ROW(),"")</f>
        <v/>
      </c>
    </row>
    <row r="5292" spans="22:26">
      <c r="V5292" s="260">
        <f t="shared" ca="1" si="91"/>
        <v>0</v>
      </c>
      <c r="W5292" s="348" t="str">
        <f>IF(板块成分!B5294="","",板块成分!B5294)</f>
        <v>920199.BJ</v>
      </c>
      <c r="X5292" s="276" t="str">
        <f>[1]!S_Info_Name(W5292)</f>
        <v>倍益康</v>
      </c>
      <c r="Y5292" s="276" t="str">
        <f ca="1">IF($Y$3="申万一级行业",[1]!s_info_industry_sw_2021(W5292,公司分析!D$5,1),IF($Y$3="申万二级行业",[1]!s_info_industry_sw_2021(W5292,公司分析!D$5,2),IF($Y$3="申万三级行业",[1]!s_info_industry_sw_2021(W5292,公司分析!D$5,3),IF($Y$3="wind一级行业",[1]!s_info_industry_gics(W5292,1),IF($Y$3="wind二级行业",[1]!s_info_industry_gics(W5292,2),IF($Y$3="wind三级行业",[1]!s_info_industry_gics(W5292,3),IF($Y$3="wind四级行业",[1]!s_info_industry_gics(W5292,4),IF($Y$3="证监会门类行业",[1]!s_info_industry_csrc12_n(W5292,公司分析!D$5,1),""))))))))</f>
        <v>小家电</v>
      </c>
      <c r="Z5292" s="302" t="str">
        <f ca="1">IF(Y5292=行业比较!$E$6,ROW(),"")</f>
        <v/>
      </c>
    </row>
    <row r="5293" spans="22:26">
      <c r="V5293" s="260">
        <f t="shared" ca="1" si="91"/>
        <v>0</v>
      </c>
      <c r="W5293" s="348" t="str">
        <f>IF(板块成分!B5295="","",板块成分!B5295)</f>
        <v>920204.BJ</v>
      </c>
      <c r="X5293" s="276" t="str">
        <f>[1]!S_Info_Name(W5293)</f>
        <v>沪江材料</v>
      </c>
      <c r="Y5293" s="276" t="str">
        <f ca="1">IF($Y$3="申万一级行业",[1]!s_info_industry_sw_2021(W5293,公司分析!D$5,1),IF($Y$3="申万二级行业",[1]!s_info_industry_sw_2021(W5293,公司分析!D$5,2),IF($Y$3="申万三级行业",[1]!s_info_industry_sw_2021(W5293,公司分析!D$5,3),IF($Y$3="wind一级行业",[1]!s_info_industry_gics(W5293,1),IF($Y$3="wind二级行业",[1]!s_info_industry_gics(W5293,2),IF($Y$3="wind三级行业",[1]!s_info_industry_gics(W5293,3),IF($Y$3="wind四级行业",[1]!s_info_industry_gics(W5293,4),IF($Y$3="证监会门类行业",[1]!s_info_industry_csrc12_n(W5293,公司分析!D$5,1),""))))))))</f>
        <v>包装印刷</v>
      </c>
      <c r="Z5293" s="302" t="str">
        <f ca="1">IF(Y5293=行业比较!$E$6,ROW(),"")</f>
        <v/>
      </c>
    </row>
    <row r="5294" spans="22:26">
      <c r="V5294" s="260">
        <f t="shared" ca="1" si="91"/>
        <v>0</v>
      </c>
      <c r="W5294" s="348" t="str">
        <f>IF(板块成分!B5296="","",板块成分!B5296)</f>
        <v>920207.BJ</v>
      </c>
      <c r="X5294" s="276" t="str">
        <f>[1]!S_Info_Name(W5294)</f>
        <v>众诚科技</v>
      </c>
      <c r="Y5294" s="276" t="str">
        <f ca="1">IF($Y$3="申万一级行业",[1]!s_info_industry_sw_2021(W5294,公司分析!D$5,1),IF($Y$3="申万二级行业",[1]!s_info_industry_sw_2021(W5294,公司分析!D$5,2),IF($Y$3="申万三级行业",[1]!s_info_industry_sw_2021(W5294,公司分析!D$5,3),IF($Y$3="wind一级行业",[1]!s_info_industry_gics(W5294,1),IF($Y$3="wind二级行业",[1]!s_info_industry_gics(W5294,2),IF($Y$3="wind三级行业",[1]!s_info_industry_gics(W5294,3),IF($Y$3="wind四级行业",[1]!s_info_industry_gics(W5294,4),IF($Y$3="证监会门类行业",[1]!s_info_industry_csrc12_n(W5294,公司分析!D$5,1),""))))))))</f>
        <v>软件开发</v>
      </c>
      <c r="Z5294" s="302" t="str">
        <f ca="1">IF(Y5294=行业比较!$E$6,ROW(),"")</f>
        <v/>
      </c>
    </row>
    <row r="5295" spans="22:26">
      <c r="V5295" s="260">
        <f t="shared" ca="1" si="91"/>
        <v>0</v>
      </c>
      <c r="W5295" s="348" t="str">
        <f>IF(板块成分!B5297="","",板块成分!B5297)</f>
        <v>920208.BJ</v>
      </c>
      <c r="X5295" s="276" t="str">
        <f>[1]!S_Info_Name(W5295)</f>
        <v>青矩技术</v>
      </c>
      <c r="Y5295" s="276" t="str">
        <f ca="1">IF($Y$3="申万一级行业",[1]!s_info_industry_sw_2021(W5295,公司分析!D$5,1),IF($Y$3="申万二级行业",[1]!s_info_industry_sw_2021(W5295,公司分析!D$5,2),IF($Y$3="申万三级行业",[1]!s_info_industry_sw_2021(W5295,公司分析!D$5,3),IF($Y$3="wind一级行业",[1]!s_info_industry_gics(W5295,1),IF($Y$3="wind二级行业",[1]!s_info_industry_gics(W5295,2),IF($Y$3="wind三级行业",[1]!s_info_industry_gics(W5295,3),IF($Y$3="wind四级行业",[1]!s_info_industry_gics(W5295,4),IF($Y$3="证监会门类行业",[1]!s_info_industry_csrc12_n(W5295,公司分析!D$5,1),""))))))))</f>
        <v>工程咨询服务Ⅱ</v>
      </c>
      <c r="Z5295" s="302" t="str">
        <f ca="1">IF(Y5295=行业比较!$E$6,ROW(),"")</f>
        <v/>
      </c>
    </row>
    <row r="5296" spans="22:26">
      <c r="V5296" s="260">
        <f t="shared" ca="1" si="91"/>
        <v>0</v>
      </c>
      <c r="W5296" s="348" t="str">
        <f>IF(板块成分!B5298="","",板块成分!B5298)</f>
        <v>920212.BJ</v>
      </c>
      <c r="X5296" s="276" t="str">
        <f>[1]!S_Info_Name(W5296)</f>
        <v>智新电子</v>
      </c>
      <c r="Y5296" s="276" t="str">
        <f ca="1">IF($Y$3="申万一级行业",[1]!s_info_industry_sw_2021(W5296,公司分析!D$5,1),IF($Y$3="申万二级行业",[1]!s_info_industry_sw_2021(W5296,公司分析!D$5,2),IF($Y$3="申万三级行业",[1]!s_info_industry_sw_2021(W5296,公司分析!D$5,3),IF($Y$3="wind一级行业",[1]!s_info_industry_gics(W5296,1),IF($Y$3="wind二级行业",[1]!s_info_industry_gics(W5296,2),IF($Y$3="wind三级行业",[1]!s_info_industry_gics(W5296,3),IF($Y$3="wind四级行业",[1]!s_info_industry_gics(W5296,4),IF($Y$3="证监会门类行业",[1]!s_info_industry_csrc12_n(W5296,公司分析!D$5,1),""))))))))</f>
        <v>消费电子</v>
      </c>
      <c r="Z5296" s="302" t="str">
        <f ca="1">IF(Y5296=行业比较!$E$6,ROW(),"")</f>
        <v/>
      </c>
    </row>
    <row r="5297" spans="22:26">
      <c r="V5297" s="260">
        <f t="shared" ca="1" si="91"/>
        <v>0</v>
      </c>
      <c r="W5297" s="348" t="str">
        <f>IF(板块成分!B5299="","",板块成分!B5299)</f>
        <v>920221.BJ</v>
      </c>
      <c r="X5297" s="276" t="str">
        <f>[1]!S_Info_Name(W5297)</f>
        <v>易实精密</v>
      </c>
      <c r="Y5297" s="276" t="str">
        <f ca="1">IF($Y$3="申万一级行业",[1]!s_info_industry_sw_2021(W5297,公司分析!D$5,1),IF($Y$3="申万二级行业",[1]!s_info_industry_sw_2021(W5297,公司分析!D$5,2),IF($Y$3="申万三级行业",[1]!s_info_industry_sw_2021(W5297,公司分析!D$5,3),IF($Y$3="wind一级行业",[1]!s_info_industry_gics(W5297,1),IF($Y$3="wind二级行业",[1]!s_info_industry_gics(W5297,2),IF($Y$3="wind三级行业",[1]!s_info_industry_gics(W5297,3),IF($Y$3="wind四级行业",[1]!s_info_industry_gics(W5297,4),IF($Y$3="证监会门类行业",[1]!s_info_industry_csrc12_n(W5297,公司分析!D$5,1),""))))))))</f>
        <v>汽车零部件</v>
      </c>
      <c r="Z5297" s="302" t="str">
        <f ca="1">IF(Y5297=行业比较!$E$6,ROW(),"")</f>
        <v/>
      </c>
    </row>
    <row r="5298" spans="22:26">
      <c r="V5298" s="260">
        <f t="shared" ca="1" si="91"/>
        <v>0</v>
      </c>
      <c r="W5298" s="348" t="str">
        <f>IF(板块成分!B5300="","",板块成分!B5300)</f>
        <v>920223.BJ</v>
      </c>
      <c r="X5298" s="276" t="str">
        <f>[1]!S_Info_Name(W5298)</f>
        <v>荣亿精密</v>
      </c>
      <c r="Y5298" s="276" t="str">
        <f ca="1">IF($Y$3="申万一级行业",[1]!s_info_industry_sw_2021(W5298,公司分析!D$5,1),IF($Y$3="申万二级行业",[1]!s_info_industry_sw_2021(W5298,公司分析!D$5,2),IF($Y$3="申万三级行业",[1]!s_info_industry_sw_2021(W5298,公司分析!D$5,3),IF($Y$3="wind一级行业",[1]!s_info_industry_gics(W5298,1),IF($Y$3="wind二级行业",[1]!s_info_industry_gics(W5298,2),IF($Y$3="wind三级行业",[1]!s_info_industry_gics(W5298,3),IF($Y$3="wind四级行业",[1]!s_info_industry_gics(W5298,4),IF($Y$3="证监会门类行业",[1]!s_info_industry_csrc12_n(W5298,公司分析!D$5,1),""))))))))</f>
        <v>通用设备</v>
      </c>
      <c r="Z5298" s="302" t="str">
        <f ca="1">IF(Y5298=行业比较!$E$6,ROW(),"")</f>
        <v/>
      </c>
    </row>
    <row r="5299" spans="22:26">
      <c r="V5299" s="260">
        <f t="shared" ca="1" si="91"/>
        <v>0</v>
      </c>
      <c r="W5299" s="348" t="str">
        <f>IF(板块成分!B5301="","",板块成分!B5301)</f>
        <v>920225.BJ</v>
      </c>
      <c r="X5299" s="276" t="str">
        <f>[1]!S_Info_Name(W5299)</f>
        <v>利通科技</v>
      </c>
      <c r="Y5299" s="276" t="str">
        <f ca="1">IF($Y$3="申万一级行业",[1]!s_info_industry_sw_2021(W5299,公司分析!D$5,1),IF($Y$3="申万二级行业",[1]!s_info_industry_sw_2021(W5299,公司分析!D$5,2),IF($Y$3="申万三级行业",[1]!s_info_industry_sw_2021(W5299,公司分析!D$5,3),IF($Y$3="wind一级行业",[1]!s_info_industry_gics(W5299,1),IF($Y$3="wind二级行业",[1]!s_info_industry_gics(W5299,2),IF($Y$3="wind三级行业",[1]!s_info_industry_gics(W5299,3),IF($Y$3="wind四级行业",[1]!s_info_industry_gics(W5299,4),IF($Y$3="证监会门类行业",[1]!s_info_industry_csrc12_n(W5299,公司分析!D$5,1),""))))))))</f>
        <v>橡胶</v>
      </c>
      <c r="Z5299" s="302" t="str">
        <f ca="1">IF(Y5299=行业比较!$E$6,ROW(),"")</f>
        <v/>
      </c>
    </row>
    <row r="5300" spans="22:26">
      <c r="V5300" s="260">
        <f t="shared" ca="1" si="91"/>
        <v>0</v>
      </c>
      <c r="W5300" s="348" t="str">
        <f>IF(板块成分!B5302="","",板块成分!B5302)</f>
        <v>920227.BJ</v>
      </c>
      <c r="X5300" s="276" t="str">
        <f>[1]!S_Info_Name(W5300)</f>
        <v>美登科技</v>
      </c>
      <c r="Y5300" s="276" t="str">
        <f ca="1">IF($Y$3="申万一级行业",[1]!s_info_industry_sw_2021(W5300,公司分析!D$5,1),IF($Y$3="申万二级行业",[1]!s_info_industry_sw_2021(W5300,公司分析!D$5,2),IF($Y$3="申万三级行业",[1]!s_info_industry_sw_2021(W5300,公司分析!D$5,3),IF($Y$3="wind一级行业",[1]!s_info_industry_gics(W5300,1),IF($Y$3="wind二级行业",[1]!s_info_industry_gics(W5300,2),IF($Y$3="wind三级行业",[1]!s_info_industry_gics(W5300,3),IF($Y$3="wind四级行业",[1]!s_info_industry_gics(W5300,4),IF($Y$3="证监会门类行业",[1]!s_info_industry_csrc12_n(W5300,公司分析!D$5,1),""))))))))</f>
        <v>IT服务Ⅱ</v>
      </c>
      <c r="Z5300" s="302" t="str">
        <f ca="1">IF(Y5300=行业比较!$E$6,ROW(),"")</f>
        <v/>
      </c>
    </row>
    <row r="5301" spans="22:26">
      <c r="V5301" s="260">
        <f t="shared" ca="1" si="91"/>
        <v>0</v>
      </c>
      <c r="W5301" s="348" t="str">
        <f>IF(板块成分!B5303="","",板块成分!B5303)</f>
        <v>920230.BJ</v>
      </c>
      <c r="X5301" s="276" t="str">
        <f>[1]!S_Info_Name(W5301)</f>
        <v>欧康医药</v>
      </c>
      <c r="Y5301" s="276" t="str">
        <f ca="1">IF($Y$3="申万一级行业",[1]!s_info_industry_sw_2021(W5301,公司分析!D$5,1),IF($Y$3="申万二级行业",[1]!s_info_industry_sw_2021(W5301,公司分析!D$5,2),IF($Y$3="申万三级行业",[1]!s_info_industry_sw_2021(W5301,公司分析!D$5,3),IF($Y$3="wind一级行业",[1]!s_info_industry_gics(W5301,1),IF($Y$3="wind二级行业",[1]!s_info_industry_gics(W5301,2),IF($Y$3="wind三级行业",[1]!s_info_industry_gics(W5301,3),IF($Y$3="wind四级行业",[1]!s_info_industry_gics(W5301,4),IF($Y$3="证监会门类行业",[1]!s_info_industry_csrc12_n(W5301,公司分析!D$5,1),""))))))))</f>
        <v>化学制药</v>
      </c>
      <c r="Z5301" s="302" t="str">
        <f ca="1">IF(Y5301=行业比较!$E$6,ROW(),"")</f>
        <v/>
      </c>
    </row>
    <row r="5302" spans="22:26">
      <c r="V5302" s="260">
        <f t="shared" ca="1" si="91"/>
        <v>0</v>
      </c>
      <c r="W5302" s="348" t="str">
        <f>IF(板块成分!B5304="","",板块成分!B5304)</f>
        <v>920237.BJ</v>
      </c>
      <c r="X5302" s="276" t="str">
        <f>[1]!S_Info_Name(W5302)</f>
        <v>力佳科技</v>
      </c>
      <c r="Y5302" s="276" t="str">
        <f ca="1">IF($Y$3="申万一级行业",[1]!s_info_industry_sw_2021(W5302,公司分析!D$5,1),IF($Y$3="申万二级行业",[1]!s_info_industry_sw_2021(W5302,公司分析!D$5,2),IF($Y$3="申万三级行业",[1]!s_info_industry_sw_2021(W5302,公司分析!D$5,3),IF($Y$3="wind一级行业",[1]!s_info_industry_gics(W5302,1),IF($Y$3="wind二级行业",[1]!s_info_industry_gics(W5302,2),IF($Y$3="wind三级行业",[1]!s_info_industry_gics(W5302,3),IF($Y$3="wind四级行业",[1]!s_info_industry_gics(W5302,4),IF($Y$3="证监会门类行业",[1]!s_info_industry_csrc12_n(W5302,公司分析!D$5,1),""))))))))</f>
        <v>电池</v>
      </c>
      <c r="Z5302" s="302" t="str">
        <f ca="1">IF(Y5302=行业比较!$E$6,ROW(),"")</f>
        <v/>
      </c>
    </row>
    <row r="5303" spans="22:26">
      <c r="V5303" s="260">
        <f t="shared" ca="1" si="91"/>
        <v>0</v>
      </c>
      <c r="W5303" s="348" t="str">
        <f>IF(板块成分!B5305="","",板块成分!B5305)</f>
        <v>920239.BJ</v>
      </c>
      <c r="X5303" s="276" t="str">
        <f>[1]!S_Info_Name(W5303)</f>
        <v>长虹能源</v>
      </c>
      <c r="Y5303" s="276" t="str">
        <f ca="1">IF($Y$3="申万一级行业",[1]!s_info_industry_sw_2021(W5303,公司分析!D$5,1),IF($Y$3="申万二级行业",[1]!s_info_industry_sw_2021(W5303,公司分析!D$5,2),IF($Y$3="申万三级行业",[1]!s_info_industry_sw_2021(W5303,公司分析!D$5,3),IF($Y$3="wind一级行业",[1]!s_info_industry_gics(W5303,1),IF($Y$3="wind二级行业",[1]!s_info_industry_gics(W5303,2),IF($Y$3="wind三级行业",[1]!s_info_industry_gics(W5303,3),IF($Y$3="wind四级行业",[1]!s_info_industry_gics(W5303,4),IF($Y$3="证监会门类行业",[1]!s_info_industry_csrc12_n(W5303,公司分析!D$5,1),""))))))))</f>
        <v>电池</v>
      </c>
      <c r="Z5303" s="302" t="str">
        <f ca="1">IF(Y5303=行业比较!$E$6,ROW(),"")</f>
        <v/>
      </c>
    </row>
    <row r="5304" spans="22:26">
      <c r="V5304" s="260">
        <f t="shared" ca="1" si="91"/>
        <v>0</v>
      </c>
      <c r="W5304" s="348" t="str">
        <f>IF(板块成分!B5306="","",板块成分!B5306)</f>
        <v>920242.BJ</v>
      </c>
      <c r="X5304" s="276" t="str">
        <f>[1]!S_Info_Name(W5304)</f>
        <v>建邦科技</v>
      </c>
      <c r="Y5304" s="276" t="str">
        <f ca="1">IF($Y$3="申万一级行业",[1]!s_info_industry_sw_2021(W5304,公司分析!D$5,1),IF($Y$3="申万二级行业",[1]!s_info_industry_sw_2021(W5304,公司分析!D$5,2),IF($Y$3="申万三级行业",[1]!s_info_industry_sw_2021(W5304,公司分析!D$5,3),IF($Y$3="wind一级行业",[1]!s_info_industry_gics(W5304,1),IF($Y$3="wind二级行业",[1]!s_info_industry_gics(W5304,2),IF($Y$3="wind三级行业",[1]!s_info_industry_gics(W5304,3),IF($Y$3="wind四级行业",[1]!s_info_industry_gics(W5304,4),IF($Y$3="证监会门类行业",[1]!s_info_industry_csrc12_n(W5304,公司分析!D$5,1),""))))))))</f>
        <v>汽车零部件</v>
      </c>
      <c r="Z5304" s="302" t="str">
        <f ca="1">IF(Y5304=行业比较!$E$6,ROW(),"")</f>
        <v/>
      </c>
    </row>
    <row r="5305" spans="22:26">
      <c r="V5305" s="260">
        <f t="shared" ca="1" si="91"/>
        <v>0</v>
      </c>
      <c r="W5305" s="348" t="str">
        <f>IF(板块成分!B5307="","",板块成分!B5307)</f>
        <v>920245.BJ</v>
      </c>
      <c r="X5305" s="276" t="str">
        <f>[1]!S_Info_Name(W5305)</f>
        <v>威博液压</v>
      </c>
      <c r="Y5305" s="276" t="str">
        <f ca="1">IF($Y$3="申万一级行业",[1]!s_info_industry_sw_2021(W5305,公司分析!D$5,1),IF($Y$3="申万二级行业",[1]!s_info_industry_sw_2021(W5305,公司分析!D$5,2),IF($Y$3="申万三级行业",[1]!s_info_industry_sw_2021(W5305,公司分析!D$5,3),IF($Y$3="wind一级行业",[1]!s_info_industry_gics(W5305,1),IF($Y$3="wind二级行业",[1]!s_info_industry_gics(W5305,2),IF($Y$3="wind三级行业",[1]!s_info_industry_gics(W5305,3),IF($Y$3="wind四级行业",[1]!s_info_industry_gics(W5305,4),IF($Y$3="证监会门类行业",[1]!s_info_industry_csrc12_n(W5305,公司分析!D$5,1),""))))))))</f>
        <v>工程机械</v>
      </c>
      <c r="Z5305" s="302" t="str">
        <f ca="1">IF(Y5305=行业比较!$E$6,ROW(),"")</f>
        <v/>
      </c>
    </row>
    <row r="5306" spans="22:26">
      <c r="V5306" s="260">
        <f t="shared" ca="1" si="91"/>
        <v>0</v>
      </c>
      <c r="W5306" s="348" t="str">
        <f>IF(板块成分!B5308="","",板块成分!B5308)</f>
        <v>920247.BJ</v>
      </c>
      <c r="X5306" s="276" t="str">
        <f>[1]!S_Info_Name(W5306)</f>
        <v>华密新材</v>
      </c>
      <c r="Y5306" s="276" t="str">
        <f ca="1">IF($Y$3="申万一级行业",[1]!s_info_industry_sw_2021(W5306,公司分析!D$5,1),IF($Y$3="申万二级行业",[1]!s_info_industry_sw_2021(W5306,公司分析!D$5,2),IF($Y$3="申万三级行业",[1]!s_info_industry_sw_2021(W5306,公司分析!D$5,3),IF($Y$3="wind一级行业",[1]!s_info_industry_gics(W5306,1),IF($Y$3="wind二级行业",[1]!s_info_industry_gics(W5306,2),IF($Y$3="wind三级行业",[1]!s_info_industry_gics(W5306,3),IF($Y$3="wind四级行业",[1]!s_info_industry_gics(W5306,4),IF($Y$3="证监会门类行业",[1]!s_info_industry_csrc12_n(W5306,公司分析!D$5,1),""))))))))</f>
        <v>汽车零部件</v>
      </c>
      <c r="Z5306" s="302" t="str">
        <f ca="1">IF(Y5306=行业比较!$E$6,ROW(),"")</f>
        <v/>
      </c>
    </row>
    <row r="5307" spans="22:26">
      <c r="V5307" s="260">
        <f t="shared" ca="1" si="91"/>
        <v>0</v>
      </c>
      <c r="W5307" s="348" t="str">
        <f>IF(板块成分!B5309="","",板块成分!B5309)</f>
        <v>920249.BJ</v>
      </c>
      <c r="X5307" s="276" t="str">
        <f>[1]!S_Info_Name(W5307)</f>
        <v>利尔达</v>
      </c>
      <c r="Y5307" s="276" t="str">
        <f ca="1">IF($Y$3="申万一级行业",[1]!s_info_industry_sw_2021(W5307,公司分析!D$5,1),IF($Y$3="申万二级行业",[1]!s_info_industry_sw_2021(W5307,公司分析!D$5,2),IF($Y$3="申万三级行业",[1]!s_info_industry_sw_2021(W5307,公司分析!D$5,3),IF($Y$3="wind一级行业",[1]!s_info_industry_gics(W5307,1),IF($Y$3="wind二级行业",[1]!s_info_industry_gics(W5307,2),IF($Y$3="wind三级行业",[1]!s_info_industry_gics(W5307,3),IF($Y$3="wind四级行业",[1]!s_info_industry_gics(W5307,4),IF($Y$3="证监会门类行业",[1]!s_info_industry_csrc12_n(W5307,公司分析!D$5,1),""))))))))</f>
        <v>通信设备</v>
      </c>
      <c r="Z5307" s="302" t="str">
        <f ca="1">IF(Y5307=行业比较!$E$6,ROW(),"")</f>
        <v/>
      </c>
    </row>
    <row r="5308" spans="22:26">
      <c r="V5308" s="260">
        <f t="shared" ca="1" si="91"/>
        <v>0</v>
      </c>
      <c r="W5308" s="348" t="str">
        <f>IF(板块成分!B5310="","",板块成分!B5310)</f>
        <v>920252.BJ</v>
      </c>
      <c r="X5308" s="276" t="str">
        <f>[1]!S_Info_Name(W5308)</f>
        <v>天宏锂电</v>
      </c>
      <c r="Y5308" s="276" t="str">
        <f ca="1">IF($Y$3="申万一级行业",[1]!s_info_industry_sw_2021(W5308,公司分析!D$5,1),IF($Y$3="申万二级行业",[1]!s_info_industry_sw_2021(W5308,公司分析!D$5,2),IF($Y$3="申万三级行业",[1]!s_info_industry_sw_2021(W5308,公司分析!D$5,3),IF($Y$3="wind一级行业",[1]!s_info_industry_gics(W5308,1),IF($Y$3="wind二级行业",[1]!s_info_industry_gics(W5308,2),IF($Y$3="wind三级行业",[1]!s_info_industry_gics(W5308,3),IF($Y$3="wind四级行业",[1]!s_info_industry_gics(W5308,4),IF($Y$3="证监会门类行业",[1]!s_info_industry_csrc12_n(W5308,公司分析!D$5,1),""))))))))</f>
        <v>电池</v>
      </c>
      <c r="Z5308" s="302" t="str">
        <f ca="1">IF(Y5308=行业比较!$E$6,ROW(),"")</f>
        <v/>
      </c>
    </row>
    <row r="5309" spans="22:26">
      <c r="V5309" s="260">
        <f t="shared" ca="1" si="91"/>
        <v>0</v>
      </c>
      <c r="W5309" s="348" t="str">
        <f>IF(板块成分!B5311="","",板块成分!B5311)</f>
        <v>920260.BJ</v>
      </c>
      <c r="X5309" s="276" t="str">
        <f>[1]!S_Info_Name(W5309)</f>
        <v>中寰股份</v>
      </c>
      <c r="Y5309" s="276" t="str">
        <f ca="1">IF($Y$3="申万一级行业",[1]!s_info_industry_sw_2021(W5309,公司分析!D$5,1),IF($Y$3="申万二级行业",[1]!s_info_industry_sw_2021(W5309,公司分析!D$5,2),IF($Y$3="申万三级行业",[1]!s_info_industry_sw_2021(W5309,公司分析!D$5,3),IF($Y$3="wind一级行业",[1]!s_info_industry_gics(W5309,1),IF($Y$3="wind二级行业",[1]!s_info_industry_gics(W5309,2),IF($Y$3="wind三级行业",[1]!s_info_industry_gics(W5309,3),IF($Y$3="wind四级行业",[1]!s_info_industry_gics(W5309,4),IF($Y$3="证监会门类行业",[1]!s_info_industry_csrc12_n(W5309,公司分析!D$5,1),""))))))))</f>
        <v>通用设备</v>
      </c>
      <c r="Z5309" s="302" t="str">
        <f ca="1">IF(Y5309=行业比较!$E$6,ROW(),"")</f>
        <v/>
      </c>
    </row>
    <row r="5310" spans="22:26">
      <c r="V5310" s="260">
        <f t="shared" ca="1" si="91"/>
        <v>0</v>
      </c>
      <c r="W5310" s="348" t="str">
        <f>IF(板块成分!B5312="","",板块成分!B5312)</f>
        <v>920261.BJ</v>
      </c>
      <c r="X5310" s="276" t="str">
        <f>[1]!S_Info_Name(W5310)</f>
        <v>一诺威</v>
      </c>
      <c r="Y5310" s="276" t="str">
        <f ca="1">IF($Y$3="申万一级行业",[1]!s_info_industry_sw_2021(W5310,公司分析!D$5,1),IF($Y$3="申万二级行业",[1]!s_info_industry_sw_2021(W5310,公司分析!D$5,2),IF($Y$3="申万三级行业",[1]!s_info_industry_sw_2021(W5310,公司分析!D$5,3),IF($Y$3="wind一级行业",[1]!s_info_industry_gics(W5310,1),IF($Y$3="wind二级行业",[1]!s_info_industry_gics(W5310,2),IF($Y$3="wind三级行业",[1]!s_info_industry_gics(W5310,3),IF($Y$3="wind四级行业",[1]!s_info_industry_gics(W5310,4),IF($Y$3="证监会门类行业",[1]!s_info_industry_csrc12_n(W5310,公司分析!D$5,1),""))))))))</f>
        <v>化学制品</v>
      </c>
      <c r="Z5310" s="302" t="str">
        <f ca="1">IF(Y5310=行业比较!$E$6,ROW(),"")</f>
        <v/>
      </c>
    </row>
    <row r="5311" spans="22:26">
      <c r="V5311" s="260">
        <f t="shared" ca="1" si="91"/>
        <v>0</v>
      </c>
      <c r="W5311" s="348" t="str">
        <f>IF(板块成分!B5313="","",板块成分!B5313)</f>
        <v>920262.BJ</v>
      </c>
      <c r="X5311" s="276" t="str">
        <f>[1]!S_Info_Name(W5311)</f>
        <v>太湖雪</v>
      </c>
      <c r="Y5311" s="276" t="str">
        <f ca="1">IF($Y$3="申万一级行业",[1]!s_info_industry_sw_2021(W5311,公司分析!D$5,1),IF($Y$3="申万二级行业",[1]!s_info_industry_sw_2021(W5311,公司分析!D$5,2),IF($Y$3="申万三级行业",[1]!s_info_industry_sw_2021(W5311,公司分析!D$5,3),IF($Y$3="wind一级行业",[1]!s_info_industry_gics(W5311,1),IF($Y$3="wind二级行业",[1]!s_info_industry_gics(W5311,2),IF($Y$3="wind三级行业",[1]!s_info_industry_gics(W5311,3),IF($Y$3="wind四级行业",[1]!s_info_industry_gics(W5311,4),IF($Y$3="证监会门类行业",[1]!s_info_industry_csrc12_n(W5311,公司分析!D$5,1),""))))))))</f>
        <v>服装家纺</v>
      </c>
      <c r="Z5311" s="302" t="str">
        <f ca="1">IF(Y5311=行业比较!$E$6,ROW(),"")</f>
        <v/>
      </c>
    </row>
    <row r="5312" spans="22:26">
      <c r="V5312" s="260">
        <f t="shared" ca="1" si="91"/>
        <v>0</v>
      </c>
      <c r="W5312" s="348" t="str">
        <f>IF(板块成分!B5314="","",板块成分!B5314)</f>
        <v>920263.BJ</v>
      </c>
      <c r="X5312" s="276" t="str">
        <f>[1]!S_Info_Name(W5312)</f>
        <v>中航泰达</v>
      </c>
      <c r="Y5312" s="276" t="str">
        <f ca="1">IF($Y$3="申万一级行业",[1]!s_info_industry_sw_2021(W5312,公司分析!D$5,1),IF($Y$3="申万二级行业",[1]!s_info_industry_sw_2021(W5312,公司分析!D$5,2),IF($Y$3="申万三级行业",[1]!s_info_industry_sw_2021(W5312,公司分析!D$5,3),IF($Y$3="wind一级行业",[1]!s_info_industry_gics(W5312,1),IF($Y$3="wind二级行业",[1]!s_info_industry_gics(W5312,2),IF($Y$3="wind三级行业",[1]!s_info_industry_gics(W5312,3),IF($Y$3="wind四级行业",[1]!s_info_industry_gics(W5312,4),IF($Y$3="证监会门类行业",[1]!s_info_industry_csrc12_n(W5312,公司分析!D$5,1),""))))))))</f>
        <v>环境治理</v>
      </c>
      <c r="Z5312" s="302" t="str">
        <f ca="1">IF(Y5312=行业比较!$E$6,ROW(),"")</f>
        <v/>
      </c>
    </row>
    <row r="5313" spans="22:26">
      <c r="V5313" s="260">
        <f t="shared" ca="1" si="91"/>
        <v>0</v>
      </c>
      <c r="W5313" s="348" t="str">
        <f>IF(板块成分!B5315="","",板块成分!B5315)</f>
        <v>920266.BJ</v>
      </c>
      <c r="X5313" s="276" t="str">
        <f>[1]!S_Info_Name(W5313)</f>
        <v>生物谷</v>
      </c>
      <c r="Y5313" s="276" t="str">
        <f ca="1">IF($Y$3="申万一级行业",[1]!s_info_industry_sw_2021(W5313,公司分析!D$5,1),IF($Y$3="申万二级行业",[1]!s_info_industry_sw_2021(W5313,公司分析!D$5,2),IF($Y$3="申万三级行业",[1]!s_info_industry_sw_2021(W5313,公司分析!D$5,3),IF($Y$3="wind一级行业",[1]!s_info_industry_gics(W5313,1),IF($Y$3="wind二级行业",[1]!s_info_industry_gics(W5313,2),IF($Y$3="wind三级行业",[1]!s_info_industry_gics(W5313,3),IF($Y$3="wind四级行业",[1]!s_info_industry_gics(W5313,4),IF($Y$3="证监会门类行业",[1]!s_info_industry_csrc12_n(W5313,公司分析!D$5,1),""))))))))</f>
        <v>中药Ⅱ</v>
      </c>
      <c r="Z5313" s="302" t="str">
        <f ca="1">IF(Y5313=行业比较!$E$6,ROW(),"")</f>
        <v/>
      </c>
    </row>
    <row r="5314" spans="22:26">
      <c r="V5314" s="260">
        <f t="shared" ca="1" si="91"/>
        <v>0</v>
      </c>
      <c r="W5314" s="348" t="str">
        <f>IF(板块成分!B5316="","",板块成分!B5316)</f>
        <v>920267.BJ</v>
      </c>
      <c r="X5314" s="276" t="str">
        <f>[1]!S_Info_Name(W5314)</f>
        <v>鑫汇科</v>
      </c>
      <c r="Y5314" s="276" t="str">
        <f ca="1">IF($Y$3="申万一级行业",[1]!s_info_industry_sw_2021(W5314,公司分析!D$5,1),IF($Y$3="申万二级行业",[1]!s_info_industry_sw_2021(W5314,公司分析!D$5,2),IF($Y$3="申万三级行业",[1]!s_info_industry_sw_2021(W5314,公司分析!D$5,3),IF($Y$3="wind一级行业",[1]!s_info_industry_gics(W5314,1),IF($Y$3="wind二级行业",[1]!s_info_industry_gics(W5314,2),IF($Y$3="wind三级行业",[1]!s_info_industry_gics(W5314,3),IF($Y$3="wind四级行业",[1]!s_info_industry_gics(W5314,4),IF($Y$3="证监会门类行业",[1]!s_info_industry_csrc12_n(W5314,公司分析!D$5,1),""))))))))</f>
        <v>消费电子</v>
      </c>
      <c r="Z5314" s="302" t="str">
        <f ca="1">IF(Y5314=行业比较!$E$6,ROW(),"")</f>
        <v/>
      </c>
    </row>
    <row r="5315" spans="22:26">
      <c r="V5315" s="260">
        <f t="shared" ca="1" si="91"/>
        <v>0</v>
      </c>
      <c r="W5315" s="348" t="str">
        <f>IF(板块成分!B5317="","",板块成分!B5317)</f>
        <v>920270.BJ</v>
      </c>
      <c r="X5315" s="276" t="str">
        <f>[1]!S_Info_Name(W5315)</f>
        <v>天铭科技</v>
      </c>
      <c r="Y5315" s="276" t="str">
        <f ca="1">IF($Y$3="申万一级行业",[1]!s_info_industry_sw_2021(W5315,公司分析!D$5,1),IF($Y$3="申万二级行业",[1]!s_info_industry_sw_2021(W5315,公司分析!D$5,2),IF($Y$3="申万三级行业",[1]!s_info_industry_sw_2021(W5315,公司分析!D$5,3),IF($Y$3="wind一级行业",[1]!s_info_industry_gics(W5315,1),IF($Y$3="wind二级行业",[1]!s_info_industry_gics(W5315,2),IF($Y$3="wind三级行业",[1]!s_info_industry_gics(W5315,3),IF($Y$3="wind四级行业",[1]!s_info_industry_gics(W5315,4),IF($Y$3="证监会门类行业",[1]!s_info_industry_csrc12_n(W5315,公司分析!D$5,1),""))))))))</f>
        <v>汽车零部件</v>
      </c>
      <c r="Z5315" s="302" t="str">
        <f ca="1">IF(Y5315=行业比较!$E$6,ROW(),"")</f>
        <v/>
      </c>
    </row>
    <row r="5316" spans="22:26">
      <c r="V5316" s="260">
        <f t="shared" ca="1" si="91"/>
        <v>0</v>
      </c>
      <c r="W5316" s="348" t="str">
        <f>IF(板块成分!B5318="","",板块成分!B5318)</f>
        <v>920271.BJ</v>
      </c>
      <c r="X5316" s="276" t="str">
        <f>[1]!S_Info_Name(W5316)</f>
        <v>邦德股份</v>
      </c>
      <c r="Y5316" s="276" t="str">
        <f ca="1">IF($Y$3="申万一级行业",[1]!s_info_industry_sw_2021(W5316,公司分析!D$5,1),IF($Y$3="申万二级行业",[1]!s_info_industry_sw_2021(W5316,公司分析!D$5,2),IF($Y$3="申万三级行业",[1]!s_info_industry_sw_2021(W5316,公司分析!D$5,3),IF($Y$3="wind一级行业",[1]!s_info_industry_gics(W5316,1),IF($Y$3="wind二级行业",[1]!s_info_industry_gics(W5316,2),IF($Y$3="wind三级行业",[1]!s_info_industry_gics(W5316,3),IF($Y$3="wind四级行业",[1]!s_info_industry_gics(W5316,4),IF($Y$3="证监会门类行业",[1]!s_info_industry_csrc12_n(W5316,公司分析!D$5,1),""))))))))</f>
        <v>汽车零部件</v>
      </c>
      <c r="Z5316" s="302" t="str">
        <f ca="1">IF(Y5316=行业比较!$E$6,ROW(),"")</f>
        <v/>
      </c>
    </row>
    <row r="5317" spans="22:26">
      <c r="V5317" s="260">
        <f t="shared" ca="1" si="91"/>
        <v>0</v>
      </c>
      <c r="W5317" s="348" t="str">
        <f>IF(板块成分!B5319="","",板块成分!B5319)</f>
        <v>920273.BJ</v>
      </c>
      <c r="X5317" s="276" t="str">
        <f>[1]!S_Info_Name(W5317)</f>
        <v>一致魔芋</v>
      </c>
      <c r="Y5317" s="276" t="str">
        <f ca="1">IF($Y$3="申万一级行业",[1]!s_info_industry_sw_2021(W5317,公司分析!D$5,1),IF($Y$3="申万二级行业",[1]!s_info_industry_sw_2021(W5317,公司分析!D$5,2),IF($Y$3="申万三级行业",[1]!s_info_industry_sw_2021(W5317,公司分析!D$5,3),IF($Y$3="wind一级行业",[1]!s_info_industry_gics(W5317,1),IF($Y$3="wind二级行业",[1]!s_info_industry_gics(W5317,2),IF($Y$3="wind三级行业",[1]!s_info_industry_gics(W5317,3),IF($Y$3="wind四级行业",[1]!s_info_industry_gics(W5317,4),IF($Y$3="证监会门类行业",[1]!s_info_industry_csrc12_n(W5317,公司分析!D$5,1),""))))))))</f>
        <v>农产品加工</v>
      </c>
      <c r="Z5317" s="302" t="str">
        <f ca="1">IF(Y5317=行业比较!$E$6,ROW(),"")</f>
        <v/>
      </c>
    </row>
    <row r="5318" spans="22:26">
      <c r="V5318" s="260">
        <f t="shared" ca="1" si="91"/>
        <v>0</v>
      </c>
      <c r="W5318" s="348" t="str">
        <f>IF(板块成分!B5320="","",板块成分!B5320)</f>
        <v>920274.BJ</v>
      </c>
      <c r="X5318" s="276" t="str">
        <f>[1]!S_Info_Name(W5318)</f>
        <v>宏裕包材</v>
      </c>
      <c r="Y5318" s="276" t="str">
        <f ca="1">IF($Y$3="申万一级行业",[1]!s_info_industry_sw_2021(W5318,公司分析!D$5,1),IF($Y$3="申万二级行业",[1]!s_info_industry_sw_2021(W5318,公司分析!D$5,2),IF($Y$3="申万三级行业",[1]!s_info_industry_sw_2021(W5318,公司分析!D$5,3),IF($Y$3="wind一级行业",[1]!s_info_industry_gics(W5318,1),IF($Y$3="wind二级行业",[1]!s_info_industry_gics(W5318,2),IF($Y$3="wind三级行业",[1]!s_info_industry_gics(W5318,3),IF($Y$3="wind四级行业",[1]!s_info_industry_gics(W5318,4),IF($Y$3="证监会门类行业",[1]!s_info_industry_csrc12_n(W5318,公司分析!D$5,1),""))))))))</f>
        <v>包装印刷</v>
      </c>
      <c r="Z5318" s="302" t="str">
        <f ca="1">IF(Y5318=行业比较!$E$6,ROW(),"")</f>
        <v/>
      </c>
    </row>
    <row r="5319" spans="22:26">
      <c r="V5319" s="260">
        <f t="shared" ca="1" si="91"/>
        <v>0</v>
      </c>
      <c r="W5319" s="348" t="str">
        <f>IF(板块成分!B5321="","",板块成分!B5321)</f>
        <v>920275.BJ</v>
      </c>
      <c r="X5319" s="276" t="str">
        <f>[1]!S_Info_Name(W5319)</f>
        <v>驱动力</v>
      </c>
      <c r="Y5319" s="276" t="str">
        <f ca="1">IF($Y$3="申万一级行业",[1]!s_info_industry_sw_2021(W5319,公司分析!D$5,1),IF($Y$3="申万二级行业",[1]!s_info_industry_sw_2021(W5319,公司分析!D$5,2),IF($Y$3="申万三级行业",[1]!s_info_industry_sw_2021(W5319,公司分析!D$5,3),IF($Y$3="wind一级行业",[1]!s_info_industry_gics(W5319,1),IF($Y$3="wind二级行业",[1]!s_info_industry_gics(W5319,2),IF($Y$3="wind三级行业",[1]!s_info_industry_gics(W5319,3),IF($Y$3="wind四级行业",[1]!s_info_industry_gics(W5319,4),IF($Y$3="证监会门类行业",[1]!s_info_industry_csrc12_n(W5319,公司分析!D$5,1),""))))))))</f>
        <v>动物保健Ⅱ</v>
      </c>
      <c r="Z5319" s="302" t="str">
        <f ca="1">IF(Y5319=行业比较!$E$6,ROW(),"")</f>
        <v/>
      </c>
    </row>
    <row r="5320" spans="22:26">
      <c r="V5320" s="260">
        <f t="shared" ca="1" si="91"/>
        <v>0</v>
      </c>
      <c r="W5320" s="348" t="str">
        <f>IF(板块成分!B5322="","",板块成分!B5322)</f>
        <v>920278.BJ</v>
      </c>
      <c r="X5320" s="276" t="str">
        <f>[1]!S_Info_Name(W5320)</f>
        <v>鹿得医疗</v>
      </c>
      <c r="Y5320" s="276" t="str">
        <f ca="1">IF($Y$3="申万一级行业",[1]!s_info_industry_sw_2021(W5320,公司分析!D$5,1),IF($Y$3="申万二级行业",[1]!s_info_industry_sw_2021(W5320,公司分析!D$5,2),IF($Y$3="申万三级行业",[1]!s_info_industry_sw_2021(W5320,公司分析!D$5,3),IF($Y$3="wind一级行业",[1]!s_info_industry_gics(W5320,1),IF($Y$3="wind二级行业",[1]!s_info_industry_gics(W5320,2),IF($Y$3="wind三级行业",[1]!s_info_industry_gics(W5320,3),IF($Y$3="wind四级行业",[1]!s_info_industry_gics(W5320,4),IF($Y$3="证监会门类行业",[1]!s_info_industry_csrc12_n(W5320,公司分析!D$5,1),""))))))))</f>
        <v>医疗器械</v>
      </c>
      <c r="Z5320" s="302" t="str">
        <f ca="1">IF(Y5320=行业比较!$E$6,ROW(),"")</f>
        <v/>
      </c>
    </row>
    <row r="5321" spans="22:26">
      <c r="V5321" s="260">
        <f t="shared" ca="1" si="91"/>
        <v>0</v>
      </c>
      <c r="W5321" s="348" t="str">
        <f>IF(板块成分!B5323="","",板块成分!B5323)</f>
        <v>920284.BJ</v>
      </c>
      <c r="X5321" s="276" t="str">
        <f>[1]!S_Info_Name(W5321)</f>
        <v>灵鸽科技</v>
      </c>
      <c r="Y5321" s="276" t="str">
        <f ca="1">IF($Y$3="申万一级行业",[1]!s_info_industry_sw_2021(W5321,公司分析!D$5,1),IF($Y$3="申万二级行业",[1]!s_info_industry_sw_2021(W5321,公司分析!D$5,2),IF($Y$3="申万三级行业",[1]!s_info_industry_sw_2021(W5321,公司分析!D$5,3),IF($Y$3="wind一级行业",[1]!s_info_industry_gics(W5321,1),IF($Y$3="wind二级行业",[1]!s_info_industry_gics(W5321,2),IF($Y$3="wind三级行业",[1]!s_info_industry_gics(W5321,3),IF($Y$3="wind四级行业",[1]!s_info_industry_gics(W5321,4),IF($Y$3="证监会门类行业",[1]!s_info_industry_csrc12_n(W5321,公司分析!D$5,1),""))))))))</f>
        <v>专用设备</v>
      </c>
      <c r="Z5321" s="302" t="str">
        <f ca="1">IF(Y5321=行业比较!$E$6,ROW(),"")</f>
        <v/>
      </c>
    </row>
    <row r="5322" spans="22:26">
      <c r="V5322" s="260">
        <f t="shared" ca="1" si="91"/>
        <v>0</v>
      </c>
      <c r="W5322" s="348" t="str">
        <f>IF(板块成分!B5324="","",板块成分!B5324)</f>
        <v>920299.BJ</v>
      </c>
      <c r="X5322" s="276" t="str">
        <f>[1]!S_Info_Name(W5322)</f>
        <v>灿能电力</v>
      </c>
      <c r="Y5322" s="276" t="str">
        <f ca="1">IF($Y$3="申万一级行业",[1]!s_info_industry_sw_2021(W5322,公司分析!D$5,1),IF($Y$3="申万二级行业",[1]!s_info_industry_sw_2021(W5322,公司分析!D$5,2),IF($Y$3="申万三级行业",[1]!s_info_industry_sw_2021(W5322,公司分析!D$5,3),IF($Y$3="wind一级行业",[1]!s_info_industry_gics(W5322,1),IF($Y$3="wind二级行业",[1]!s_info_industry_gics(W5322,2),IF($Y$3="wind三级行业",[1]!s_info_industry_gics(W5322,3),IF($Y$3="wind四级行业",[1]!s_info_industry_gics(W5322,4),IF($Y$3="证监会门类行业",[1]!s_info_industry_csrc12_n(W5322,公司分析!D$5,1),""))))))))</f>
        <v>电网设备</v>
      </c>
      <c r="Z5322" s="302" t="str">
        <f ca="1">IF(Y5322=行业比较!$E$6,ROW(),"")</f>
        <v/>
      </c>
    </row>
    <row r="5323" spans="22:26">
      <c r="V5323" s="260">
        <f t="shared" ca="1" si="91"/>
        <v>0</v>
      </c>
      <c r="W5323" s="348" t="str">
        <f>IF(板块成分!B5325="","",板块成分!B5325)</f>
        <v>920300.BJ</v>
      </c>
      <c r="X5323" s="276" t="str">
        <f>[1]!S_Info_Name(W5323)</f>
        <v>辰光医疗</v>
      </c>
      <c r="Y5323" s="276" t="str">
        <f ca="1">IF($Y$3="申万一级行业",[1]!s_info_industry_sw_2021(W5323,公司分析!D$5,1),IF($Y$3="申万二级行业",[1]!s_info_industry_sw_2021(W5323,公司分析!D$5,2),IF($Y$3="申万三级行业",[1]!s_info_industry_sw_2021(W5323,公司分析!D$5,3),IF($Y$3="wind一级行业",[1]!s_info_industry_gics(W5323,1),IF($Y$3="wind二级行业",[1]!s_info_industry_gics(W5323,2),IF($Y$3="wind三级行业",[1]!s_info_industry_gics(W5323,3),IF($Y$3="wind四级行业",[1]!s_info_industry_gics(W5323,4),IF($Y$3="证监会门类行业",[1]!s_info_industry_csrc12_n(W5323,公司分析!D$5,1),""))))))))</f>
        <v>医疗器械</v>
      </c>
      <c r="Z5323" s="302" t="str">
        <f ca="1">IF(Y5323=行业比较!$E$6,ROW(),"")</f>
        <v/>
      </c>
    </row>
    <row r="5324" spans="22:26">
      <c r="V5324" s="260">
        <f t="shared" ca="1" si="91"/>
        <v>0</v>
      </c>
      <c r="W5324" s="348" t="str">
        <f>IF(板块成分!B5326="","",板块成分!B5326)</f>
        <v>920304.BJ</v>
      </c>
      <c r="X5324" s="276" t="str">
        <f>[1]!S_Info_Name(W5324)</f>
        <v>迪尔化工</v>
      </c>
      <c r="Y5324" s="276" t="str">
        <f ca="1">IF($Y$3="申万一级行业",[1]!s_info_industry_sw_2021(W5324,公司分析!D$5,1),IF($Y$3="申万二级行业",[1]!s_info_industry_sw_2021(W5324,公司分析!D$5,2),IF($Y$3="申万三级行业",[1]!s_info_industry_sw_2021(W5324,公司分析!D$5,3),IF($Y$3="wind一级行业",[1]!s_info_industry_gics(W5324,1),IF($Y$3="wind二级行业",[1]!s_info_industry_gics(W5324,2),IF($Y$3="wind三级行业",[1]!s_info_industry_gics(W5324,3),IF($Y$3="wind四级行业",[1]!s_info_industry_gics(W5324,4),IF($Y$3="证监会门类行业",[1]!s_info_industry_csrc12_n(W5324,公司分析!D$5,1),""))))))))</f>
        <v>化学原料</v>
      </c>
      <c r="Z5324" s="302" t="str">
        <f ca="1">IF(Y5324=行业比较!$E$6,ROW(),"")</f>
        <v/>
      </c>
    </row>
    <row r="5325" spans="22:26">
      <c r="V5325" s="260">
        <f t="shared" ca="1" si="91"/>
        <v>0</v>
      </c>
      <c r="W5325" s="348" t="str">
        <f>IF(板块成分!B5327="","",板块成分!B5327)</f>
        <v>920305.BJ</v>
      </c>
      <c r="X5325" s="276" t="str">
        <f>[1]!S_Info_Name(W5325)</f>
        <v>*ST云创</v>
      </c>
      <c r="Y5325" s="276" t="str">
        <f ca="1">IF($Y$3="申万一级行业",[1]!s_info_industry_sw_2021(W5325,公司分析!D$5,1),IF($Y$3="申万二级行业",[1]!s_info_industry_sw_2021(W5325,公司分析!D$5,2),IF($Y$3="申万三级行业",[1]!s_info_industry_sw_2021(W5325,公司分析!D$5,3),IF($Y$3="wind一级行业",[1]!s_info_industry_gics(W5325,1),IF($Y$3="wind二级行业",[1]!s_info_industry_gics(W5325,2),IF($Y$3="wind三级行业",[1]!s_info_industry_gics(W5325,3),IF($Y$3="wind四级行业",[1]!s_info_industry_gics(W5325,4),IF($Y$3="证监会门类行业",[1]!s_info_industry_csrc12_n(W5325,公司分析!D$5,1),""))))))))</f>
        <v>IT服务Ⅱ</v>
      </c>
      <c r="Z5325" s="302" t="str">
        <f ca="1">IF(Y5325=行业比较!$E$6,ROW(),"")</f>
        <v/>
      </c>
    </row>
    <row r="5326" spans="22:26">
      <c r="V5326" s="260">
        <f t="shared" ca="1" si="91"/>
        <v>0</v>
      </c>
      <c r="W5326" s="348" t="str">
        <f>IF(板块成分!B5328="","",板块成分!B5328)</f>
        <v>920339.BJ</v>
      </c>
      <c r="X5326" s="276" t="str">
        <f>[1]!S_Info_Name(W5326)</f>
        <v>恒太照明</v>
      </c>
      <c r="Y5326" s="276" t="str">
        <f ca="1">IF($Y$3="申万一级行业",[1]!s_info_industry_sw_2021(W5326,公司分析!D$5,1),IF($Y$3="申万二级行业",[1]!s_info_industry_sw_2021(W5326,公司分析!D$5,2),IF($Y$3="申万三级行业",[1]!s_info_industry_sw_2021(W5326,公司分析!D$5,3),IF($Y$3="wind一级行业",[1]!s_info_industry_gics(W5326,1),IF($Y$3="wind二级行业",[1]!s_info_industry_gics(W5326,2),IF($Y$3="wind三级行业",[1]!s_info_industry_gics(W5326,3),IF($Y$3="wind四级行业",[1]!s_info_industry_gics(W5326,4),IF($Y$3="证监会门类行业",[1]!s_info_industry_csrc12_n(W5326,公司分析!D$5,1),""))))))))</f>
        <v>照明设备Ⅱ</v>
      </c>
      <c r="Z5326" s="302" t="str">
        <f ca="1">IF(Y5326=行业比较!$E$6,ROW(),"")</f>
        <v/>
      </c>
    </row>
    <row r="5327" spans="22:26">
      <c r="V5327" s="260">
        <f t="shared" ca="1" si="91"/>
        <v>0</v>
      </c>
      <c r="W5327" s="348" t="str">
        <f>IF(板块成分!B5329="","",板块成分!B5329)</f>
        <v>920344.BJ</v>
      </c>
      <c r="X5327" s="276" t="str">
        <f>[1]!S_Info_Name(W5327)</f>
        <v>三元基因</v>
      </c>
      <c r="Y5327" s="276" t="str">
        <f ca="1">IF($Y$3="申万一级行业",[1]!s_info_industry_sw_2021(W5327,公司分析!D$5,1),IF($Y$3="申万二级行业",[1]!s_info_industry_sw_2021(W5327,公司分析!D$5,2),IF($Y$3="申万三级行业",[1]!s_info_industry_sw_2021(W5327,公司分析!D$5,3),IF($Y$3="wind一级行业",[1]!s_info_industry_gics(W5327,1),IF($Y$3="wind二级行业",[1]!s_info_industry_gics(W5327,2),IF($Y$3="wind三级行业",[1]!s_info_industry_gics(W5327,3),IF($Y$3="wind四级行业",[1]!s_info_industry_gics(W5327,4),IF($Y$3="证监会门类行业",[1]!s_info_industry_csrc12_n(W5327,公司分析!D$5,1),""))))))))</f>
        <v>生物制品</v>
      </c>
      <c r="Z5327" s="302" t="str">
        <f ca="1">IF(Y5327=行业比较!$E$6,ROW(),"")</f>
        <v/>
      </c>
    </row>
    <row r="5328" spans="22:26">
      <c r="V5328" s="260">
        <f t="shared" ca="1" si="91"/>
        <v>0</v>
      </c>
      <c r="W5328" s="348" t="str">
        <f>IF(板块成分!B5330="","",板块成分!B5330)</f>
        <v>920346.BJ</v>
      </c>
      <c r="X5328" s="276" t="str">
        <f>[1]!S_Info_Name(W5328)</f>
        <v>威贸电子</v>
      </c>
      <c r="Y5328" s="276" t="str">
        <f ca="1">IF($Y$3="申万一级行业",[1]!s_info_industry_sw_2021(W5328,公司分析!D$5,1),IF($Y$3="申万二级行业",[1]!s_info_industry_sw_2021(W5328,公司分析!D$5,2),IF($Y$3="申万三级行业",[1]!s_info_industry_sw_2021(W5328,公司分析!D$5,3),IF($Y$3="wind一级行业",[1]!s_info_industry_gics(W5328,1),IF($Y$3="wind二级行业",[1]!s_info_industry_gics(W5328,2),IF($Y$3="wind三级行业",[1]!s_info_industry_gics(W5328,3),IF($Y$3="wind四级行业",[1]!s_info_industry_gics(W5328,4),IF($Y$3="证监会门类行业",[1]!s_info_industry_csrc12_n(W5328,公司分析!D$5,1),""))))))))</f>
        <v>消费电子</v>
      </c>
      <c r="Z5328" s="302" t="str">
        <f ca="1">IF(Y5328=行业比较!$E$6,ROW(),"")</f>
        <v/>
      </c>
    </row>
    <row r="5329" spans="22:26">
      <c r="V5329" s="260">
        <f t="shared" ca="1" si="91"/>
        <v>0</v>
      </c>
      <c r="W5329" s="348" t="str">
        <f>IF(板块成分!B5331="","",板块成分!B5331)</f>
        <v>920351.BJ</v>
      </c>
      <c r="X5329" s="276" t="str">
        <f>[1]!S_Info_Name(W5329)</f>
        <v>华光源海</v>
      </c>
      <c r="Y5329" s="276" t="str">
        <f ca="1">IF($Y$3="申万一级行业",[1]!s_info_industry_sw_2021(W5329,公司分析!D$5,1),IF($Y$3="申万二级行业",[1]!s_info_industry_sw_2021(W5329,公司分析!D$5,2),IF($Y$3="申万三级行业",[1]!s_info_industry_sw_2021(W5329,公司分析!D$5,3),IF($Y$3="wind一级行业",[1]!s_info_industry_gics(W5329,1),IF($Y$3="wind二级行业",[1]!s_info_industry_gics(W5329,2),IF($Y$3="wind三级行业",[1]!s_info_industry_gics(W5329,3),IF($Y$3="wind四级行业",[1]!s_info_industry_gics(W5329,4),IF($Y$3="证监会门类行业",[1]!s_info_industry_csrc12_n(W5329,公司分析!D$5,1),""))))))))</f>
        <v>物流</v>
      </c>
      <c r="Z5329" s="302" t="str">
        <f ca="1">IF(Y5329=行业比较!$E$6,ROW(),"")</f>
        <v/>
      </c>
    </row>
    <row r="5330" spans="22:26">
      <c r="V5330" s="260">
        <f t="shared" ca="1" si="91"/>
        <v>0</v>
      </c>
      <c r="W5330" s="348" t="str">
        <f>IF(板块成分!B5332="","",板块成分!B5332)</f>
        <v>920357.BJ</v>
      </c>
      <c r="X5330" s="276" t="str">
        <f>[1]!S_Info_Name(W5330)</f>
        <v>雅葆轩</v>
      </c>
      <c r="Y5330" s="276" t="str">
        <f ca="1">IF($Y$3="申万一级行业",[1]!s_info_industry_sw_2021(W5330,公司分析!D$5,1),IF($Y$3="申万二级行业",[1]!s_info_industry_sw_2021(W5330,公司分析!D$5,2),IF($Y$3="申万三级行业",[1]!s_info_industry_sw_2021(W5330,公司分析!D$5,3),IF($Y$3="wind一级行业",[1]!s_info_industry_gics(W5330,1),IF($Y$3="wind二级行业",[1]!s_info_industry_gics(W5330,2),IF($Y$3="wind三级行业",[1]!s_info_industry_gics(W5330,3),IF($Y$3="wind四级行业",[1]!s_info_industry_gics(W5330,4),IF($Y$3="证监会门类行业",[1]!s_info_industry_csrc12_n(W5330,公司分析!D$5,1),""))))))))</f>
        <v>消费电子</v>
      </c>
      <c r="Z5330" s="302" t="str">
        <f ca="1">IF(Y5330=行业比较!$E$6,ROW(),"")</f>
        <v/>
      </c>
    </row>
    <row r="5331" spans="22:26">
      <c r="V5331" s="260">
        <f t="shared" ca="1" si="91"/>
        <v>0</v>
      </c>
      <c r="W5331" s="348" t="str">
        <f>IF(板块成分!B5333="","",板块成分!B5333)</f>
        <v>920363.BJ</v>
      </c>
      <c r="X5331" s="276" t="str">
        <f>[1]!S_Info_Name(W5331)</f>
        <v>莱赛激光</v>
      </c>
      <c r="Y5331" s="276" t="str">
        <f ca="1">IF($Y$3="申万一级行业",[1]!s_info_industry_sw_2021(W5331,公司分析!D$5,1),IF($Y$3="申万二级行业",[1]!s_info_industry_sw_2021(W5331,公司分析!D$5,2),IF($Y$3="申万三级行业",[1]!s_info_industry_sw_2021(W5331,公司分析!D$5,3),IF($Y$3="wind一级行业",[1]!s_info_industry_gics(W5331,1),IF($Y$3="wind二级行业",[1]!s_info_industry_gics(W5331,2),IF($Y$3="wind三级行业",[1]!s_info_industry_gics(W5331,3),IF($Y$3="wind四级行业",[1]!s_info_industry_gics(W5331,4),IF($Y$3="证监会门类行业",[1]!s_info_industry_csrc12_n(W5331,公司分析!D$5,1),""))))))))</f>
        <v>通用设备</v>
      </c>
      <c r="Z5331" s="302" t="str">
        <f ca="1">IF(Y5331=行业比较!$E$6,ROW(),"")</f>
        <v/>
      </c>
    </row>
    <row r="5332" spans="22:26">
      <c r="V5332" s="260">
        <f t="shared" ca="1" si="91"/>
        <v>0</v>
      </c>
      <c r="W5332" s="348" t="str">
        <f>IF(板块成分!B5334="","",板块成分!B5334)</f>
        <v>920367.BJ</v>
      </c>
      <c r="X5332" s="276" t="str">
        <f>[1]!S_Info_Name(W5332)</f>
        <v>新赣江</v>
      </c>
      <c r="Y5332" s="276" t="str">
        <f ca="1">IF($Y$3="申万一级行业",[1]!s_info_industry_sw_2021(W5332,公司分析!D$5,1),IF($Y$3="申万二级行业",[1]!s_info_industry_sw_2021(W5332,公司分析!D$5,2),IF($Y$3="申万三级行业",[1]!s_info_industry_sw_2021(W5332,公司分析!D$5,3),IF($Y$3="wind一级行业",[1]!s_info_industry_gics(W5332,1),IF($Y$3="wind二级行业",[1]!s_info_industry_gics(W5332,2),IF($Y$3="wind三级行业",[1]!s_info_industry_gics(W5332,3),IF($Y$3="wind四级行业",[1]!s_info_industry_gics(W5332,4),IF($Y$3="证监会门类行业",[1]!s_info_industry_csrc12_n(W5332,公司分析!D$5,1),""))))))))</f>
        <v>化学制药</v>
      </c>
      <c r="Z5332" s="302" t="str">
        <f ca="1">IF(Y5332=行业比较!$E$6,ROW(),"")</f>
        <v/>
      </c>
    </row>
    <row r="5333" spans="22:26">
      <c r="V5333" s="260">
        <f t="shared" ca="1" si="91"/>
        <v>0</v>
      </c>
      <c r="W5333" s="348" t="str">
        <f>IF(板块成分!B5335="","",板块成分!B5335)</f>
        <v>920368.BJ</v>
      </c>
      <c r="X5333" s="276" t="str">
        <f>[1]!S_Info_Name(W5333)</f>
        <v>连城数控</v>
      </c>
      <c r="Y5333" s="276" t="str">
        <f ca="1">IF($Y$3="申万一级行业",[1]!s_info_industry_sw_2021(W5333,公司分析!D$5,1),IF($Y$3="申万二级行业",[1]!s_info_industry_sw_2021(W5333,公司分析!D$5,2),IF($Y$3="申万三级行业",[1]!s_info_industry_sw_2021(W5333,公司分析!D$5,3),IF($Y$3="wind一级行业",[1]!s_info_industry_gics(W5333,1),IF($Y$3="wind二级行业",[1]!s_info_industry_gics(W5333,2),IF($Y$3="wind三级行业",[1]!s_info_industry_gics(W5333,3),IF($Y$3="wind四级行业",[1]!s_info_industry_gics(W5333,4),IF($Y$3="证监会门类行业",[1]!s_info_industry_csrc12_n(W5333,公司分析!D$5,1),""))))))))</f>
        <v>光伏设备</v>
      </c>
      <c r="Z5333" s="302" t="str">
        <f ca="1">IF(Y5333=行业比较!$E$6,ROW(),"")</f>
        <v/>
      </c>
    </row>
    <row r="5334" spans="22:26">
      <c r="V5334" s="260">
        <f t="shared" ca="1" si="91"/>
        <v>0</v>
      </c>
      <c r="W5334" s="348" t="str">
        <f>IF(板块成分!B5336="","",板块成分!B5336)</f>
        <v>920370.BJ</v>
      </c>
      <c r="X5334" s="276" t="str">
        <f>[1]!S_Info_Name(W5334)</f>
        <v>新安洁</v>
      </c>
      <c r="Y5334" s="276" t="str">
        <f ca="1">IF($Y$3="申万一级行业",[1]!s_info_industry_sw_2021(W5334,公司分析!D$5,1),IF($Y$3="申万二级行业",[1]!s_info_industry_sw_2021(W5334,公司分析!D$5,2),IF($Y$3="申万三级行业",[1]!s_info_industry_sw_2021(W5334,公司分析!D$5,3),IF($Y$3="wind一级行业",[1]!s_info_industry_gics(W5334,1),IF($Y$3="wind二级行业",[1]!s_info_industry_gics(W5334,2),IF($Y$3="wind三级行业",[1]!s_info_industry_gics(W5334,3),IF($Y$3="wind四级行业",[1]!s_info_industry_gics(W5334,4),IF($Y$3="证监会门类行业",[1]!s_info_industry_csrc12_n(W5334,公司分析!D$5,1),""))))))))</f>
        <v>环境治理</v>
      </c>
      <c r="Z5334" s="302" t="str">
        <f ca="1">IF(Y5334=行业比较!$E$6,ROW(),"")</f>
        <v/>
      </c>
    </row>
    <row r="5335" spans="22:26">
      <c r="V5335" s="260">
        <f t="shared" ca="1" si="91"/>
        <v>0</v>
      </c>
      <c r="W5335" s="348" t="str">
        <f>IF(板块成分!B5337="","",板块成分!B5337)</f>
        <v>920371.BJ</v>
      </c>
      <c r="X5335" s="276" t="str">
        <f>[1]!S_Info_Name(W5335)</f>
        <v>欧福蛋业</v>
      </c>
      <c r="Y5335" s="276" t="str">
        <f ca="1">IF($Y$3="申万一级行业",[1]!s_info_industry_sw_2021(W5335,公司分析!D$5,1),IF($Y$3="申万二级行业",[1]!s_info_industry_sw_2021(W5335,公司分析!D$5,2),IF($Y$3="申万三级行业",[1]!s_info_industry_sw_2021(W5335,公司分析!D$5,3),IF($Y$3="wind一级行业",[1]!s_info_industry_gics(W5335,1),IF($Y$3="wind二级行业",[1]!s_info_industry_gics(W5335,2),IF($Y$3="wind三级行业",[1]!s_info_industry_gics(W5335,3),IF($Y$3="wind四级行业",[1]!s_info_industry_gics(W5335,4),IF($Y$3="证监会门类行业",[1]!s_info_industry_csrc12_n(W5335,公司分析!D$5,1),""))))))))</f>
        <v>农产品加工</v>
      </c>
      <c r="Z5335" s="302" t="str">
        <f ca="1">IF(Y5335=行业比较!$E$6,ROW(),"")</f>
        <v/>
      </c>
    </row>
    <row r="5336" spans="22:26">
      <c r="V5336" s="260">
        <f t="shared" ca="1" si="91"/>
        <v>0</v>
      </c>
      <c r="W5336" s="348" t="str">
        <f>IF(板块成分!B5338="","",板块成分!B5338)</f>
        <v>920374.BJ</v>
      </c>
      <c r="X5336" s="276" t="str">
        <f>[1]!S_Info_Name(W5336)</f>
        <v>云里物里</v>
      </c>
      <c r="Y5336" s="276" t="str">
        <f ca="1">IF($Y$3="申万一级行业",[1]!s_info_industry_sw_2021(W5336,公司分析!D$5,1),IF($Y$3="申万二级行业",[1]!s_info_industry_sw_2021(W5336,公司分析!D$5,2),IF($Y$3="申万三级行业",[1]!s_info_industry_sw_2021(W5336,公司分析!D$5,3),IF($Y$3="wind一级行业",[1]!s_info_industry_gics(W5336,1),IF($Y$3="wind二级行业",[1]!s_info_industry_gics(W5336,2),IF($Y$3="wind三级行业",[1]!s_info_industry_gics(W5336,3),IF($Y$3="wind四级行业",[1]!s_info_industry_gics(W5336,4),IF($Y$3="证监会门类行业",[1]!s_info_industry_csrc12_n(W5336,公司分析!D$5,1),""))))))))</f>
        <v>通信设备</v>
      </c>
      <c r="Z5336" s="302" t="str">
        <f ca="1">IF(Y5336=行业比较!$E$6,ROW(),"")</f>
        <v/>
      </c>
    </row>
    <row r="5337" spans="22:26">
      <c r="V5337" s="260">
        <f t="shared" ca="1" si="91"/>
        <v>0</v>
      </c>
      <c r="W5337" s="348" t="str">
        <f>IF(板块成分!B5339="","",板块成分!B5339)</f>
        <v>920375.BJ</v>
      </c>
      <c r="X5337" s="276" t="str">
        <f>[1]!S_Info_Name(W5337)</f>
        <v>派诺科技</v>
      </c>
      <c r="Y5337" s="276" t="str">
        <f ca="1">IF($Y$3="申万一级行业",[1]!s_info_industry_sw_2021(W5337,公司分析!D$5,1),IF($Y$3="申万二级行业",[1]!s_info_industry_sw_2021(W5337,公司分析!D$5,2),IF($Y$3="申万三级行业",[1]!s_info_industry_sw_2021(W5337,公司分析!D$5,3),IF($Y$3="wind一级行业",[1]!s_info_industry_gics(W5337,1),IF($Y$3="wind二级行业",[1]!s_info_industry_gics(W5337,2),IF($Y$3="wind三级行业",[1]!s_info_industry_gics(W5337,3),IF($Y$3="wind四级行业",[1]!s_info_industry_gics(W5337,4),IF($Y$3="证监会门类行业",[1]!s_info_industry_csrc12_n(W5337,公司分析!D$5,1),""))))))))</f>
        <v>电网设备</v>
      </c>
      <c r="Z5337" s="302" t="str">
        <f ca="1">IF(Y5337=行业比较!$E$6,ROW(),"")</f>
        <v/>
      </c>
    </row>
    <row r="5338" spans="22:26">
      <c r="V5338" s="260">
        <f t="shared" ca="1" si="91"/>
        <v>0</v>
      </c>
      <c r="W5338" s="348" t="str">
        <f>IF(板块成分!B5340="","",板块成分!B5340)</f>
        <v>920378.BJ</v>
      </c>
      <c r="X5338" s="276" t="str">
        <f>[1]!S_Info_Name(W5338)</f>
        <v>泰德股份</v>
      </c>
      <c r="Y5338" s="276" t="str">
        <f ca="1">IF($Y$3="申万一级行业",[1]!s_info_industry_sw_2021(W5338,公司分析!D$5,1),IF($Y$3="申万二级行业",[1]!s_info_industry_sw_2021(W5338,公司分析!D$5,2),IF($Y$3="申万三级行业",[1]!s_info_industry_sw_2021(W5338,公司分析!D$5,3),IF($Y$3="wind一级行业",[1]!s_info_industry_gics(W5338,1),IF($Y$3="wind二级行业",[1]!s_info_industry_gics(W5338,2),IF($Y$3="wind三级行业",[1]!s_info_industry_gics(W5338,3),IF($Y$3="wind四级行业",[1]!s_info_industry_gics(W5338,4),IF($Y$3="证监会门类行业",[1]!s_info_industry_csrc12_n(W5338,公司分析!D$5,1),""))))))))</f>
        <v>汽车零部件</v>
      </c>
      <c r="Z5338" s="302" t="str">
        <f ca="1">IF(Y5338=行业比较!$E$6,ROW(),"")</f>
        <v/>
      </c>
    </row>
    <row r="5339" spans="22:26">
      <c r="V5339" s="260">
        <f t="shared" ca="1" si="91"/>
        <v>0</v>
      </c>
      <c r="W5339" s="348" t="str">
        <f>IF(板块成分!B5341="","",板块成分!B5341)</f>
        <v>920392.BJ</v>
      </c>
      <c r="X5339" s="276" t="str">
        <f>[1]!S_Info_Name(W5339)</f>
        <v>佳合科技</v>
      </c>
      <c r="Y5339" s="276" t="str">
        <f ca="1">IF($Y$3="申万一级行业",[1]!s_info_industry_sw_2021(W5339,公司分析!D$5,1),IF($Y$3="申万二级行业",[1]!s_info_industry_sw_2021(W5339,公司分析!D$5,2),IF($Y$3="申万三级行业",[1]!s_info_industry_sw_2021(W5339,公司分析!D$5,3),IF($Y$3="wind一级行业",[1]!s_info_industry_gics(W5339,1),IF($Y$3="wind二级行业",[1]!s_info_industry_gics(W5339,2),IF($Y$3="wind三级行业",[1]!s_info_industry_gics(W5339,3),IF($Y$3="wind四级行业",[1]!s_info_industry_gics(W5339,4),IF($Y$3="证监会门类行业",[1]!s_info_industry_csrc12_n(W5339,公司分析!D$5,1),""))))))))</f>
        <v>包装印刷</v>
      </c>
      <c r="Z5339" s="302" t="str">
        <f ca="1">IF(Y5339=行业比较!$E$6,ROW(),"")</f>
        <v/>
      </c>
    </row>
    <row r="5340" spans="22:26">
      <c r="V5340" s="260">
        <f t="shared" ca="1" si="91"/>
        <v>0</v>
      </c>
      <c r="W5340" s="348" t="str">
        <f>IF(板块成分!B5342="","",板块成分!B5342)</f>
        <v>920394.BJ</v>
      </c>
      <c r="X5340" s="276" t="str">
        <f>[1]!S_Info_Name(W5340)</f>
        <v>民士达</v>
      </c>
      <c r="Y5340" s="276" t="str">
        <f ca="1">IF($Y$3="申万一级行业",[1]!s_info_industry_sw_2021(W5340,公司分析!D$5,1),IF($Y$3="申万二级行业",[1]!s_info_industry_sw_2021(W5340,公司分析!D$5,2),IF($Y$3="申万三级行业",[1]!s_info_industry_sw_2021(W5340,公司分析!D$5,3),IF($Y$3="wind一级行业",[1]!s_info_industry_gics(W5340,1),IF($Y$3="wind二级行业",[1]!s_info_industry_gics(W5340,2),IF($Y$3="wind三级行业",[1]!s_info_industry_gics(W5340,3),IF($Y$3="wind四级行业",[1]!s_info_industry_gics(W5340,4),IF($Y$3="证监会门类行业",[1]!s_info_industry_csrc12_n(W5340,公司分析!D$5,1),""))))))))</f>
        <v>造纸</v>
      </c>
      <c r="Z5340" s="302" t="str">
        <f ca="1">IF(Y5340=行业比较!$E$6,ROW(),"")</f>
        <v/>
      </c>
    </row>
    <row r="5341" spans="22:26">
      <c r="V5341" s="260">
        <f t="shared" ca="1" si="91"/>
        <v>0</v>
      </c>
      <c r="W5341" s="348" t="str">
        <f>IF(板块成分!B5343="","",板块成分!B5343)</f>
        <v>920395.BJ</v>
      </c>
      <c r="X5341" s="276" t="str">
        <f>[1]!S_Info_Name(W5341)</f>
        <v>朗鸿科技</v>
      </c>
      <c r="Y5341" s="276" t="str">
        <f ca="1">IF($Y$3="申万一级行业",[1]!s_info_industry_sw_2021(W5341,公司分析!D$5,1),IF($Y$3="申万二级行业",[1]!s_info_industry_sw_2021(W5341,公司分析!D$5,2),IF($Y$3="申万三级行业",[1]!s_info_industry_sw_2021(W5341,公司分析!D$5,3),IF($Y$3="wind一级行业",[1]!s_info_industry_gics(W5341,1),IF($Y$3="wind二级行业",[1]!s_info_industry_gics(W5341,2),IF($Y$3="wind三级行业",[1]!s_info_industry_gics(W5341,3),IF($Y$3="wind四级行业",[1]!s_info_industry_gics(W5341,4),IF($Y$3="证监会门类行业",[1]!s_info_industry_csrc12_n(W5341,公司分析!D$5,1),""))))))))</f>
        <v>专用设备</v>
      </c>
      <c r="Z5341" s="302" t="str">
        <f ca="1">IF(Y5341=行业比较!$E$6,ROW(),"")</f>
        <v/>
      </c>
    </row>
    <row r="5342" spans="22:26">
      <c r="V5342" s="260">
        <f t="shared" ca="1" si="91"/>
        <v>0</v>
      </c>
      <c r="W5342" s="348" t="str">
        <f>IF(板块成分!B5344="","",板块成分!B5344)</f>
        <v>920396.BJ</v>
      </c>
      <c r="X5342" s="276" t="str">
        <f>[1]!S_Info_Name(W5342)</f>
        <v>常辅股份</v>
      </c>
      <c r="Y5342" s="276" t="str">
        <f ca="1">IF($Y$3="申万一级行业",[1]!s_info_industry_sw_2021(W5342,公司分析!D$5,1),IF($Y$3="申万二级行业",[1]!s_info_industry_sw_2021(W5342,公司分析!D$5,2),IF($Y$3="申万三级行业",[1]!s_info_industry_sw_2021(W5342,公司分析!D$5,3),IF($Y$3="wind一级行业",[1]!s_info_industry_gics(W5342,1),IF($Y$3="wind二级行业",[1]!s_info_industry_gics(W5342,2),IF($Y$3="wind三级行业",[1]!s_info_industry_gics(W5342,3),IF($Y$3="wind四级行业",[1]!s_info_industry_gics(W5342,4),IF($Y$3="证监会门类行业",[1]!s_info_industry_csrc12_n(W5342,公司分析!D$5,1),""))))))))</f>
        <v>自动化设备</v>
      </c>
      <c r="Z5342" s="302" t="str">
        <f ca="1">IF(Y5342=行业比较!$E$6,ROW(),"")</f>
        <v/>
      </c>
    </row>
    <row r="5343" spans="22:26">
      <c r="V5343" s="260">
        <f t="shared" ca="1" si="91"/>
        <v>0</v>
      </c>
      <c r="W5343" s="348" t="str">
        <f>IF(板块成分!B5345="","",板块成分!B5345)</f>
        <v>920402.BJ</v>
      </c>
      <c r="X5343" s="276" t="str">
        <f>[1]!S_Info_Name(W5343)</f>
        <v>硅烷科技</v>
      </c>
      <c r="Y5343" s="276" t="str">
        <f ca="1">IF($Y$3="申万一级行业",[1]!s_info_industry_sw_2021(W5343,公司分析!D$5,1),IF($Y$3="申万二级行业",[1]!s_info_industry_sw_2021(W5343,公司分析!D$5,2),IF($Y$3="申万三级行业",[1]!s_info_industry_sw_2021(W5343,公司分析!D$5,3),IF($Y$3="wind一级行业",[1]!s_info_industry_gics(W5343,1),IF($Y$3="wind二级行业",[1]!s_info_industry_gics(W5343,2),IF($Y$3="wind三级行业",[1]!s_info_industry_gics(W5343,3),IF($Y$3="wind四级行业",[1]!s_info_industry_gics(W5343,4),IF($Y$3="证监会门类行业",[1]!s_info_industry_csrc12_n(W5343,公司分析!D$5,1),""))))))))</f>
        <v>化学制品</v>
      </c>
      <c r="Z5343" s="302" t="str">
        <f ca="1">IF(Y5343=行业比较!$E$6,ROW(),"")</f>
        <v/>
      </c>
    </row>
    <row r="5344" spans="22:26">
      <c r="V5344" s="260">
        <f t="shared" ca="1" si="91"/>
        <v>0</v>
      </c>
      <c r="W5344" s="348" t="str">
        <f>IF(板块成分!B5346="","",板块成分!B5346)</f>
        <v>920403.BJ</v>
      </c>
      <c r="X5344" s="276" t="str">
        <f>[1]!S_Info_Name(W5344)</f>
        <v>康农种业</v>
      </c>
      <c r="Y5344" s="276" t="str">
        <f ca="1">IF($Y$3="申万一级行业",[1]!s_info_industry_sw_2021(W5344,公司分析!D$5,1),IF($Y$3="申万二级行业",[1]!s_info_industry_sw_2021(W5344,公司分析!D$5,2),IF($Y$3="申万三级行业",[1]!s_info_industry_sw_2021(W5344,公司分析!D$5,3),IF($Y$3="wind一级行业",[1]!s_info_industry_gics(W5344,1),IF($Y$3="wind二级行业",[1]!s_info_industry_gics(W5344,2),IF($Y$3="wind三级行业",[1]!s_info_industry_gics(W5344,3),IF($Y$3="wind四级行业",[1]!s_info_industry_gics(W5344,4),IF($Y$3="证监会门类行业",[1]!s_info_industry_csrc12_n(W5344,公司分析!D$5,1),""))))))))</f>
        <v>种植业</v>
      </c>
      <c r="Z5344" s="302" t="str">
        <f ca="1">IF(Y5344=行业比较!$E$6,ROW(),"")</f>
        <v/>
      </c>
    </row>
    <row r="5345" spans="22:26">
      <c r="V5345" s="260">
        <f t="shared" ca="1" si="91"/>
        <v>0</v>
      </c>
      <c r="W5345" s="348" t="str">
        <f>IF(板块成分!B5347="","",板块成分!B5347)</f>
        <v>920405.BJ</v>
      </c>
      <c r="X5345" s="276" t="str">
        <f>[1]!S_Info_Name(W5345)</f>
        <v>海希通讯</v>
      </c>
      <c r="Y5345" s="276" t="str">
        <f ca="1">IF($Y$3="申万一级行业",[1]!s_info_industry_sw_2021(W5345,公司分析!D$5,1),IF($Y$3="申万二级行业",[1]!s_info_industry_sw_2021(W5345,公司分析!D$5,2),IF($Y$3="申万三级行业",[1]!s_info_industry_sw_2021(W5345,公司分析!D$5,3),IF($Y$3="wind一级行业",[1]!s_info_industry_gics(W5345,1),IF($Y$3="wind二级行业",[1]!s_info_industry_gics(W5345,2),IF($Y$3="wind三级行业",[1]!s_info_industry_gics(W5345,3),IF($Y$3="wind四级行业",[1]!s_info_industry_gics(W5345,4),IF($Y$3="证监会门类行业",[1]!s_info_industry_csrc12_n(W5345,公司分析!D$5,1),""))))))))</f>
        <v>自动化设备</v>
      </c>
      <c r="Z5345" s="302" t="str">
        <f ca="1">IF(Y5345=行业比较!$E$6,ROW(),"")</f>
        <v/>
      </c>
    </row>
    <row r="5346" spans="22:26">
      <c r="V5346" s="260">
        <f t="shared" ca="1" si="91"/>
        <v>0</v>
      </c>
      <c r="W5346" s="348" t="str">
        <f>IF(板块成分!B5348="","",板块成分!B5348)</f>
        <v>920407.BJ</v>
      </c>
      <c r="X5346" s="276" t="str">
        <f>[1]!S_Info_Name(W5346)</f>
        <v>驰诚股份</v>
      </c>
      <c r="Y5346" s="276" t="str">
        <f ca="1">IF($Y$3="申万一级行业",[1]!s_info_industry_sw_2021(W5346,公司分析!D$5,1),IF($Y$3="申万二级行业",[1]!s_info_industry_sw_2021(W5346,公司分析!D$5,2),IF($Y$3="申万三级行业",[1]!s_info_industry_sw_2021(W5346,公司分析!D$5,3),IF($Y$3="wind一级行业",[1]!s_info_industry_gics(W5346,1),IF($Y$3="wind二级行业",[1]!s_info_industry_gics(W5346,2),IF($Y$3="wind三级行业",[1]!s_info_industry_gics(W5346,3),IF($Y$3="wind四级行业",[1]!s_info_industry_gics(W5346,4),IF($Y$3="证监会门类行业",[1]!s_info_industry_csrc12_n(W5346,公司分析!D$5,1),""))))))))</f>
        <v>通用设备</v>
      </c>
      <c r="Z5346" s="302" t="str">
        <f ca="1">IF(Y5346=行业比较!$E$6,ROW(),"")</f>
        <v/>
      </c>
    </row>
    <row r="5347" spans="22:26">
      <c r="V5347" s="260">
        <f t="shared" ca="1" si="91"/>
        <v>0</v>
      </c>
      <c r="W5347" s="348" t="str">
        <f>IF(板块成分!B5349="","",板块成分!B5349)</f>
        <v>920414.BJ</v>
      </c>
      <c r="X5347" s="276" t="str">
        <f>[1]!S_Info_Name(W5347)</f>
        <v>欧普泰</v>
      </c>
      <c r="Y5347" s="276" t="str">
        <f ca="1">IF($Y$3="申万一级行业",[1]!s_info_industry_sw_2021(W5347,公司分析!D$5,1),IF($Y$3="申万二级行业",[1]!s_info_industry_sw_2021(W5347,公司分析!D$5,2),IF($Y$3="申万三级行业",[1]!s_info_industry_sw_2021(W5347,公司分析!D$5,3),IF($Y$3="wind一级行业",[1]!s_info_industry_gics(W5347,1),IF($Y$3="wind二级行业",[1]!s_info_industry_gics(W5347,2),IF($Y$3="wind三级行业",[1]!s_info_industry_gics(W5347,3),IF($Y$3="wind四级行业",[1]!s_info_industry_gics(W5347,4),IF($Y$3="证监会门类行业",[1]!s_info_industry_csrc12_n(W5347,公司分析!D$5,1),""))))))))</f>
        <v>光伏设备</v>
      </c>
      <c r="Z5347" s="302" t="str">
        <f ca="1">IF(Y5347=行业比较!$E$6,ROW(),"")</f>
        <v/>
      </c>
    </row>
    <row r="5348" spans="22:26">
      <c r="V5348" s="260">
        <f t="shared" ca="1" si="91"/>
        <v>0</v>
      </c>
      <c r="W5348" s="348" t="str">
        <f>IF(板块成分!B5350="","",板块成分!B5350)</f>
        <v>920415.BJ</v>
      </c>
      <c r="X5348" s="276" t="str">
        <f>[1]!S_Info_Name(W5348)</f>
        <v>恒拓开源</v>
      </c>
      <c r="Y5348" s="276" t="str">
        <f ca="1">IF($Y$3="申万一级行业",[1]!s_info_industry_sw_2021(W5348,公司分析!D$5,1),IF($Y$3="申万二级行业",[1]!s_info_industry_sw_2021(W5348,公司分析!D$5,2),IF($Y$3="申万三级行业",[1]!s_info_industry_sw_2021(W5348,公司分析!D$5,3),IF($Y$3="wind一级行业",[1]!s_info_industry_gics(W5348,1),IF($Y$3="wind二级行业",[1]!s_info_industry_gics(W5348,2),IF($Y$3="wind三级行业",[1]!s_info_industry_gics(W5348,3),IF($Y$3="wind四级行业",[1]!s_info_industry_gics(W5348,4),IF($Y$3="证监会门类行业",[1]!s_info_industry_csrc12_n(W5348,公司分析!D$5,1),""))))))))</f>
        <v>软件开发</v>
      </c>
      <c r="Z5348" s="302" t="str">
        <f ca="1">IF(Y5348=行业比较!$E$6,ROW(),"")</f>
        <v/>
      </c>
    </row>
    <row r="5349" spans="22:26">
      <c r="V5349" s="260">
        <f t="shared" ca="1" si="91"/>
        <v>0</v>
      </c>
      <c r="W5349" s="348" t="str">
        <f>IF(板块成分!B5351="","",板块成分!B5351)</f>
        <v>920418.BJ</v>
      </c>
      <c r="X5349" s="276" t="str">
        <f>[1]!S_Info_Name(W5349)</f>
        <v>苏轴股份</v>
      </c>
      <c r="Y5349" s="276" t="str">
        <f ca="1">IF($Y$3="申万一级行业",[1]!s_info_industry_sw_2021(W5349,公司分析!D$5,1),IF($Y$3="申万二级行业",[1]!s_info_industry_sw_2021(W5349,公司分析!D$5,2),IF($Y$3="申万三级行业",[1]!s_info_industry_sw_2021(W5349,公司分析!D$5,3),IF($Y$3="wind一级行业",[1]!s_info_industry_gics(W5349,1),IF($Y$3="wind二级行业",[1]!s_info_industry_gics(W5349,2),IF($Y$3="wind三级行业",[1]!s_info_industry_gics(W5349,3),IF($Y$3="wind四级行业",[1]!s_info_industry_gics(W5349,4),IF($Y$3="证监会门类行业",[1]!s_info_industry_csrc12_n(W5349,公司分析!D$5,1),""))))))))</f>
        <v>汽车零部件</v>
      </c>
      <c r="Z5349" s="302" t="str">
        <f ca="1">IF(Y5349=行业比较!$E$6,ROW(),"")</f>
        <v/>
      </c>
    </row>
    <row r="5350" spans="22:26">
      <c r="V5350" s="260">
        <f t="shared" ca="1" si="91"/>
        <v>0</v>
      </c>
      <c r="W5350" s="348" t="str">
        <f>IF(板块成分!B5352="","",板块成分!B5352)</f>
        <v>920419.BJ</v>
      </c>
      <c r="X5350" s="276" t="str">
        <f>[1]!S_Info_Name(W5350)</f>
        <v>路斯股份</v>
      </c>
      <c r="Y5350" s="276" t="str">
        <f ca="1">IF($Y$3="申万一级行业",[1]!s_info_industry_sw_2021(W5350,公司分析!D$5,1),IF($Y$3="申万二级行业",[1]!s_info_industry_sw_2021(W5350,公司分析!D$5,2),IF($Y$3="申万三级行业",[1]!s_info_industry_sw_2021(W5350,公司分析!D$5,3),IF($Y$3="wind一级行业",[1]!s_info_industry_gics(W5350,1),IF($Y$3="wind二级行业",[1]!s_info_industry_gics(W5350,2),IF($Y$3="wind三级行业",[1]!s_info_industry_gics(W5350,3),IF($Y$3="wind四级行业",[1]!s_info_industry_gics(W5350,4),IF($Y$3="证监会门类行业",[1]!s_info_industry_csrc12_n(W5350,公司分析!D$5,1),""))))))))</f>
        <v>饲料</v>
      </c>
      <c r="Z5350" s="302" t="str">
        <f ca="1">IF(Y5350=行业比较!$E$6,ROW(),"")</f>
        <v/>
      </c>
    </row>
    <row r="5351" spans="22:26">
      <c r="V5351" s="260">
        <f t="shared" ca="1" si="91"/>
        <v>0</v>
      </c>
      <c r="W5351" s="348" t="str">
        <f>IF(板块成分!B5353="","",板块成分!B5353)</f>
        <v>920422.BJ</v>
      </c>
      <c r="X5351" s="276" t="str">
        <f>[1]!S_Info_Name(W5351)</f>
        <v>润普食品</v>
      </c>
      <c r="Y5351" s="276" t="str">
        <f ca="1">IF($Y$3="申万一级行业",[1]!s_info_industry_sw_2021(W5351,公司分析!D$5,1),IF($Y$3="申万二级行业",[1]!s_info_industry_sw_2021(W5351,公司分析!D$5,2),IF($Y$3="申万三级行业",[1]!s_info_industry_sw_2021(W5351,公司分析!D$5,3),IF($Y$3="wind一级行业",[1]!s_info_industry_gics(W5351,1),IF($Y$3="wind二级行业",[1]!s_info_industry_gics(W5351,2),IF($Y$3="wind三级行业",[1]!s_info_industry_gics(W5351,3),IF($Y$3="wind四级行业",[1]!s_info_industry_gics(W5351,4),IF($Y$3="证监会门类行业",[1]!s_info_industry_csrc12_n(W5351,公司分析!D$5,1),""))))))))</f>
        <v>化学制品</v>
      </c>
      <c r="Z5351" s="302" t="str">
        <f ca="1">IF(Y5351=行业比较!$E$6,ROW(),"")</f>
        <v/>
      </c>
    </row>
    <row r="5352" spans="22:26">
      <c r="V5352" s="260">
        <f t="shared" ref="V5352:V5415" ca="1" si="92">IF(Z5352="",0,RANK(Z5352,Z:Z,1))</f>
        <v>0</v>
      </c>
      <c r="W5352" s="348" t="str">
        <f>IF(板块成分!B5354="","",板块成分!B5354)</f>
        <v>920425.BJ</v>
      </c>
      <c r="X5352" s="276" t="str">
        <f>[1]!S_Info_Name(W5352)</f>
        <v>乐创技术</v>
      </c>
      <c r="Y5352" s="276" t="str">
        <f ca="1">IF($Y$3="申万一级行业",[1]!s_info_industry_sw_2021(W5352,公司分析!D$5,1),IF($Y$3="申万二级行业",[1]!s_info_industry_sw_2021(W5352,公司分析!D$5,2),IF($Y$3="申万三级行业",[1]!s_info_industry_sw_2021(W5352,公司分析!D$5,3),IF($Y$3="wind一级行业",[1]!s_info_industry_gics(W5352,1),IF($Y$3="wind二级行业",[1]!s_info_industry_gics(W5352,2),IF($Y$3="wind三级行业",[1]!s_info_industry_gics(W5352,3),IF($Y$3="wind四级行业",[1]!s_info_industry_gics(W5352,4),IF($Y$3="证监会门类行业",[1]!s_info_industry_csrc12_n(W5352,公司分析!D$5,1),""))))))))</f>
        <v>自动化设备</v>
      </c>
      <c r="Z5352" s="302" t="str">
        <f ca="1">IF(Y5352=行业比较!$E$6,ROW(),"")</f>
        <v/>
      </c>
    </row>
    <row r="5353" spans="22:26">
      <c r="V5353" s="260">
        <f t="shared" ca="1" si="92"/>
        <v>0</v>
      </c>
      <c r="W5353" s="348" t="str">
        <f>IF(板块成分!B5355="","",板块成分!B5355)</f>
        <v>920427.BJ</v>
      </c>
      <c r="X5353" s="276" t="str">
        <f>[1]!S_Info_Name(W5353)</f>
        <v>华维设计</v>
      </c>
      <c r="Y5353" s="276" t="str">
        <f ca="1">IF($Y$3="申万一级行业",[1]!s_info_industry_sw_2021(W5353,公司分析!D$5,1),IF($Y$3="申万二级行业",[1]!s_info_industry_sw_2021(W5353,公司分析!D$5,2),IF($Y$3="申万三级行业",[1]!s_info_industry_sw_2021(W5353,公司分析!D$5,3),IF($Y$3="wind一级行业",[1]!s_info_industry_gics(W5353,1),IF($Y$3="wind二级行业",[1]!s_info_industry_gics(W5353,2),IF($Y$3="wind三级行业",[1]!s_info_industry_gics(W5353,3),IF($Y$3="wind四级行业",[1]!s_info_industry_gics(W5353,4),IF($Y$3="证监会门类行业",[1]!s_info_industry_csrc12_n(W5353,公司分析!D$5,1),""))))))))</f>
        <v>工程咨询服务Ⅱ</v>
      </c>
      <c r="Z5353" s="302" t="str">
        <f ca="1">IF(Y5353=行业比较!$E$6,ROW(),"")</f>
        <v/>
      </c>
    </row>
    <row r="5354" spans="22:26">
      <c r="V5354" s="260">
        <f t="shared" ca="1" si="92"/>
        <v>0</v>
      </c>
      <c r="W5354" s="348" t="str">
        <f>IF(板块成分!B5356="","",板块成分!B5356)</f>
        <v>920429.BJ</v>
      </c>
      <c r="X5354" s="276" t="str">
        <f>[1]!S_Info_Name(W5354)</f>
        <v>康比特</v>
      </c>
      <c r="Y5354" s="276" t="str">
        <f ca="1">IF($Y$3="申万一级行业",[1]!s_info_industry_sw_2021(W5354,公司分析!D$5,1),IF($Y$3="申万二级行业",[1]!s_info_industry_sw_2021(W5354,公司分析!D$5,2),IF($Y$3="申万三级行业",[1]!s_info_industry_sw_2021(W5354,公司分析!D$5,3),IF($Y$3="wind一级行业",[1]!s_info_industry_gics(W5354,1),IF($Y$3="wind二级行业",[1]!s_info_industry_gics(W5354,2),IF($Y$3="wind三级行业",[1]!s_info_industry_gics(W5354,3),IF($Y$3="wind四级行业",[1]!s_info_industry_gics(W5354,4),IF($Y$3="证监会门类行业",[1]!s_info_industry_csrc12_n(W5354,公司分析!D$5,1),""))))))))</f>
        <v>食品加工</v>
      </c>
      <c r="Z5354" s="302" t="str">
        <f ca="1">IF(Y5354=行业比较!$E$6,ROW(),"")</f>
        <v/>
      </c>
    </row>
    <row r="5355" spans="22:26">
      <c r="V5355" s="260">
        <f t="shared" ca="1" si="92"/>
        <v>0</v>
      </c>
      <c r="W5355" s="348" t="str">
        <f>IF(板块成分!B5357="","",板块成分!B5357)</f>
        <v>920433.BJ</v>
      </c>
      <c r="X5355" s="276" t="str">
        <f>[1]!S_Info_Name(W5355)</f>
        <v>大唐药业</v>
      </c>
      <c r="Y5355" s="276" t="str">
        <f ca="1">IF($Y$3="申万一级行业",[1]!s_info_industry_sw_2021(W5355,公司分析!D$5,1),IF($Y$3="申万二级行业",[1]!s_info_industry_sw_2021(W5355,公司分析!D$5,2),IF($Y$3="申万三级行业",[1]!s_info_industry_sw_2021(W5355,公司分析!D$5,3),IF($Y$3="wind一级行业",[1]!s_info_industry_gics(W5355,1),IF($Y$3="wind二级行业",[1]!s_info_industry_gics(W5355,2),IF($Y$3="wind三级行业",[1]!s_info_industry_gics(W5355,3),IF($Y$3="wind四级行业",[1]!s_info_industry_gics(W5355,4),IF($Y$3="证监会门类行业",[1]!s_info_industry_csrc12_n(W5355,公司分析!D$5,1),""))))))))</f>
        <v>中药Ⅱ</v>
      </c>
      <c r="Z5355" s="302" t="str">
        <f ca="1">IF(Y5355=行业比较!$E$6,ROW(),"")</f>
        <v/>
      </c>
    </row>
    <row r="5356" spans="22:26">
      <c r="V5356" s="260">
        <f t="shared" ca="1" si="92"/>
        <v>0</v>
      </c>
      <c r="W5356" s="348" t="str">
        <f>IF(板块成分!B5358="","",板块成分!B5358)</f>
        <v>920436.BJ</v>
      </c>
      <c r="X5356" s="276" t="str">
        <f>[1]!S_Info_Name(W5356)</f>
        <v>大地电气</v>
      </c>
      <c r="Y5356" s="276" t="str">
        <f ca="1">IF($Y$3="申万一级行业",[1]!s_info_industry_sw_2021(W5356,公司分析!D$5,1),IF($Y$3="申万二级行业",[1]!s_info_industry_sw_2021(W5356,公司分析!D$5,2),IF($Y$3="申万三级行业",[1]!s_info_industry_sw_2021(W5356,公司分析!D$5,3),IF($Y$3="wind一级行业",[1]!s_info_industry_gics(W5356,1),IF($Y$3="wind二级行业",[1]!s_info_industry_gics(W5356,2),IF($Y$3="wind三级行业",[1]!s_info_industry_gics(W5356,3),IF($Y$3="wind四级行业",[1]!s_info_industry_gics(W5356,4),IF($Y$3="证监会门类行业",[1]!s_info_industry_csrc12_n(W5356,公司分析!D$5,1),""))))))))</f>
        <v>汽车零部件</v>
      </c>
      <c r="Z5356" s="302" t="str">
        <f ca="1">IF(Y5356=行业比较!$E$6,ROW(),"")</f>
        <v/>
      </c>
    </row>
    <row r="5357" spans="22:26">
      <c r="V5357" s="260">
        <f t="shared" ca="1" si="92"/>
        <v>0</v>
      </c>
      <c r="W5357" s="348" t="str">
        <f>IF(板块成分!B5359="","",板块成分!B5359)</f>
        <v>920438.BJ</v>
      </c>
      <c r="X5357" s="276" t="str">
        <f>[1]!S_Info_Name(W5357)</f>
        <v>戈碧迦</v>
      </c>
      <c r="Y5357" s="276" t="str">
        <f ca="1">IF($Y$3="申万一级行业",[1]!s_info_industry_sw_2021(W5357,公司分析!D$5,1),IF($Y$3="申万二级行业",[1]!s_info_industry_sw_2021(W5357,公司分析!D$5,2),IF($Y$3="申万三级行业",[1]!s_info_industry_sw_2021(W5357,公司分析!D$5,3),IF($Y$3="wind一级行业",[1]!s_info_industry_gics(W5357,1),IF($Y$3="wind二级行业",[1]!s_info_industry_gics(W5357,2),IF($Y$3="wind三级行业",[1]!s_info_industry_gics(W5357,3),IF($Y$3="wind四级行业",[1]!s_info_industry_gics(W5357,4),IF($Y$3="证监会门类行业",[1]!s_info_industry_csrc12_n(W5357,公司分析!D$5,1),""))))))))</f>
        <v>光学光电子</v>
      </c>
      <c r="Z5357" s="302" t="str">
        <f ca="1">IF(Y5357=行业比较!$E$6,ROW(),"")</f>
        <v/>
      </c>
    </row>
    <row r="5358" spans="22:26">
      <c r="V5358" s="260">
        <f t="shared" ca="1" si="92"/>
        <v>0</v>
      </c>
      <c r="W5358" s="348" t="str">
        <f>IF(板块成分!B5360="","",板块成分!B5360)</f>
        <v>920445.BJ</v>
      </c>
      <c r="X5358" s="276" t="str">
        <f>[1]!S_Info_Name(W5358)</f>
        <v>龙竹科技</v>
      </c>
      <c r="Y5358" s="276" t="str">
        <f ca="1">IF($Y$3="申万一级行业",[1]!s_info_industry_sw_2021(W5358,公司分析!D$5,1),IF($Y$3="申万二级行业",[1]!s_info_industry_sw_2021(W5358,公司分析!D$5,2),IF($Y$3="申万三级行业",[1]!s_info_industry_sw_2021(W5358,公司分析!D$5,3),IF($Y$3="wind一级行业",[1]!s_info_industry_gics(W5358,1),IF($Y$3="wind二级行业",[1]!s_info_industry_gics(W5358,2),IF($Y$3="wind三级行业",[1]!s_info_industry_gics(W5358,3),IF($Y$3="wind四级行业",[1]!s_info_industry_gics(W5358,4),IF($Y$3="证监会门类行业",[1]!s_info_industry_csrc12_n(W5358,公司分析!D$5,1),""))))))))</f>
        <v>家居用品</v>
      </c>
      <c r="Z5358" s="302" t="str">
        <f ca="1">IF(Y5358=行业比较!$E$6,ROW(),"")</f>
        <v/>
      </c>
    </row>
    <row r="5359" spans="22:26">
      <c r="V5359" s="260">
        <f t="shared" ca="1" si="92"/>
        <v>0</v>
      </c>
      <c r="W5359" s="348" t="str">
        <f>IF(板块成分!B5361="","",板块成分!B5361)</f>
        <v>920454.BJ</v>
      </c>
      <c r="X5359" s="276" t="str">
        <f>[1]!S_Info_Name(W5359)</f>
        <v>同心传动</v>
      </c>
      <c r="Y5359" s="276" t="str">
        <f ca="1">IF($Y$3="申万一级行业",[1]!s_info_industry_sw_2021(W5359,公司分析!D$5,1),IF($Y$3="申万二级行业",[1]!s_info_industry_sw_2021(W5359,公司分析!D$5,2),IF($Y$3="申万三级行业",[1]!s_info_industry_sw_2021(W5359,公司分析!D$5,3),IF($Y$3="wind一级行业",[1]!s_info_industry_gics(W5359,1),IF($Y$3="wind二级行业",[1]!s_info_industry_gics(W5359,2),IF($Y$3="wind三级行业",[1]!s_info_industry_gics(W5359,3),IF($Y$3="wind四级行业",[1]!s_info_industry_gics(W5359,4),IF($Y$3="证监会门类行业",[1]!s_info_industry_csrc12_n(W5359,公司分析!D$5,1),""))))))))</f>
        <v>汽车零部件</v>
      </c>
      <c r="Z5359" s="302" t="str">
        <f ca="1">IF(Y5359=行业比较!$E$6,ROW(),"")</f>
        <v/>
      </c>
    </row>
    <row r="5360" spans="22:26">
      <c r="V5360" s="260">
        <f t="shared" ca="1" si="92"/>
        <v>0</v>
      </c>
      <c r="W5360" s="348" t="str">
        <f>IF(板块成分!B5362="","",板块成分!B5362)</f>
        <v>920455.BJ</v>
      </c>
      <c r="X5360" s="276" t="str">
        <f>[1]!S_Info_Name(W5360)</f>
        <v>汇隆活塞</v>
      </c>
      <c r="Y5360" s="276" t="str">
        <f ca="1">IF($Y$3="申万一级行业",[1]!s_info_industry_sw_2021(W5360,公司分析!D$5,1),IF($Y$3="申万二级行业",[1]!s_info_industry_sw_2021(W5360,公司分析!D$5,2),IF($Y$3="申万三级行业",[1]!s_info_industry_sw_2021(W5360,公司分析!D$5,3),IF($Y$3="wind一级行业",[1]!s_info_industry_gics(W5360,1),IF($Y$3="wind二级行业",[1]!s_info_industry_gics(W5360,2),IF($Y$3="wind三级行业",[1]!s_info_industry_gics(W5360,3),IF($Y$3="wind四级行业",[1]!s_info_industry_gics(W5360,4),IF($Y$3="证监会门类行业",[1]!s_info_industry_csrc12_n(W5360,公司分析!D$5,1),""))))))))</f>
        <v>专用设备</v>
      </c>
      <c r="Z5360" s="302" t="str">
        <f ca="1">IF(Y5360=行业比较!$E$6,ROW(),"")</f>
        <v/>
      </c>
    </row>
    <row r="5361" spans="22:26">
      <c r="V5361" s="260">
        <f t="shared" ca="1" si="92"/>
        <v>0</v>
      </c>
      <c r="W5361" s="348" t="str">
        <f>IF(板块成分!B5363="","",板块成分!B5363)</f>
        <v>920469.BJ</v>
      </c>
      <c r="X5361" s="276" t="str">
        <f>[1]!S_Info_Name(W5361)</f>
        <v>富恒新材</v>
      </c>
      <c r="Y5361" s="276" t="str">
        <f ca="1">IF($Y$3="申万一级行业",[1]!s_info_industry_sw_2021(W5361,公司分析!D$5,1),IF($Y$3="申万二级行业",[1]!s_info_industry_sw_2021(W5361,公司分析!D$5,2),IF($Y$3="申万三级行业",[1]!s_info_industry_sw_2021(W5361,公司分析!D$5,3),IF($Y$3="wind一级行业",[1]!s_info_industry_gics(W5361,1),IF($Y$3="wind二级行业",[1]!s_info_industry_gics(W5361,2),IF($Y$3="wind三级行业",[1]!s_info_industry_gics(W5361,3),IF($Y$3="wind四级行业",[1]!s_info_industry_gics(W5361,4),IF($Y$3="证监会门类行业",[1]!s_info_industry_csrc12_n(W5361,公司分析!D$5,1),""))))))))</f>
        <v>塑料</v>
      </c>
      <c r="Z5361" s="302" t="str">
        <f ca="1">IF(Y5361=行业比较!$E$6,ROW(),"")</f>
        <v/>
      </c>
    </row>
    <row r="5362" spans="22:26">
      <c r="V5362" s="260">
        <f t="shared" ca="1" si="92"/>
        <v>0</v>
      </c>
      <c r="W5362" s="348" t="str">
        <f>IF(板块成分!B5364="","",板块成分!B5364)</f>
        <v>920471.BJ</v>
      </c>
      <c r="X5362" s="276" t="str">
        <f>[1]!S_Info_Name(W5362)</f>
        <v>美邦科技</v>
      </c>
      <c r="Y5362" s="276" t="str">
        <f ca="1">IF($Y$3="申万一级行业",[1]!s_info_industry_sw_2021(W5362,公司分析!D$5,1),IF($Y$3="申万二级行业",[1]!s_info_industry_sw_2021(W5362,公司分析!D$5,2),IF($Y$3="申万三级行业",[1]!s_info_industry_sw_2021(W5362,公司分析!D$5,3),IF($Y$3="wind一级行业",[1]!s_info_industry_gics(W5362,1),IF($Y$3="wind二级行业",[1]!s_info_industry_gics(W5362,2),IF($Y$3="wind三级行业",[1]!s_info_industry_gics(W5362,3),IF($Y$3="wind四级行业",[1]!s_info_industry_gics(W5362,4),IF($Y$3="证监会门类行业",[1]!s_info_industry_csrc12_n(W5362,公司分析!D$5,1),""))))))))</f>
        <v>化学制品</v>
      </c>
      <c r="Z5362" s="302" t="str">
        <f ca="1">IF(Y5362=行业比较!$E$6,ROW(),"")</f>
        <v/>
      </c>
    </row>
    <row r="5363" spans="22:26">
      <c r="V5363" s="260">
        <f t="shared" ca="1" si="92"/>
        <v>0</v>
      </c>
      <c r="W5363" s="348" t="str">
        <f>IF(板块成分!B5365="","",板块成分!B5365)</f>
        <v>920475.BJ</v>
      </c>
      <c r="X5363" s="276" t="str">
        <f>[1]!S_Info_Name(W5363)</f>
        <v>三友科技</v>
      </c>
      <c r="Y5363" s="276" t="str">
        <f ca="1">IF($Y$3="申万一级行业",[1]!s_info_industry_sw_2021(W5363,公司分析!D$5,1),IF($Y$3="申万二级行业",[1]!s_info_industry_sw_2021(W5363,公司分析!D$5,2),IF($Y$3="申万三级行业",[1]!s_info_industry_sw_2021(W5363,公司分析!D$5,3),IF($Y$3="wind一级行业",[1]!s_info_industry_gics(W5363,1),IF($Y$3="wind二级行业",[1]!s_info_industry_gics(W5363,2),IF($Y$3="wind三级行业",[1]!s_info_industry_gics(W5363,3),IF($Y$3="wind四级行业",[1]!s_info_industry_gics(W5363,4),IF($Y$3="证监会门类行业",[1]!s_info_industry_csrc12_n(W5363,公司分析!D$5,1),""))))))))</f>
        <v>专用设备</v>
      </c>
      <c r="Z5363" s="302" t="str">
        <f ca="1">IF(Y5363=行业比较!$E$6,ROW(),"")</f>
        <v/>
      </c>
    </row>
    <row r="5364" spans="22:26">
      <c r="V5364" s="260">
        <f t="shared" ca="1" si="92"/>
        <v>0</v>
      </c>
      <c r="W5364" s="348" t="str">
        <f>IF(板块成分!B5366="","",板块成分!B5366)</f>
        <v>920476.BJ</v>
      </c>
      <c r="X5364" s="276" t="str">
        <f>[1]!S_Info_Name(W5364)</f>
        <v>海能技术</v>
      </c>
      <c r="Y5364" s="276" t="str">
        <f ca="1">IF($Y$3="申万一级行业",[1]!s_info_industry_sw_2021(W5364,公司分析!D$5,1),IF($Y$3="申万二级行业",[1]!s_info_industry_sw_2021(W5364,公司分析!D$5,2),IF($Y$3="申万三级行业",[1]!s_info_industry_sw_2021(W5364,公司分析!D$5,3),IF($Y$3="wind一级行业",[1]!s_info_industry_gics(W5364,1),IF($Y$3="wind二级行业",[1]!s_info_industry_gics(W5364,2),IF($Y$3="wind三级行业",[1]!s_info_industry_gics(W5364,3),IF($Y$3="wind四级行业",[1]!s_info_industry_gics(W5364,4),IF($Y$3="证监会门类行业",[1]!s_info_industry_csrc12_n(W5364,公司分析!D$5,1),""))))))))</f>
        <v>通用设备</v>
      </c>
      <c r="Z5364" s="302" t="str">
        <f ca="1">IF(Y5364=行业比较!$E$6,ROW(),"")</f>
        <v/>
      </c>
    </row>
    <row r="5365" spans="22:26">
      <c r="V5365" s="260">
        <f t="shared" ca="1" si="92"/>
        <v>0</v>
      </c>
      <c r="W5365" s="348" t="str">
        <f>IF(板块成分!B5367="","",板块成分!B5367)</f>
        <v>920478.BJ</v>
      </c>
      <c r="X5365" s="276" t="str">
        <f>[1]!S_Info_Name(W5365)</f>
        <v>峆一药业</v>
      </c>
      <c r="Y5365" s="276" t="str">
        <f ca="1">IF($Y$3="申万一级行业",[1]!s_info_industry_sw_2021(W5365,公司分析!D$5,1),IF($Y$3="申万二级行业",[1]!s_info_industry_sw_2021(W5365,公司分析!D$5,2),IF($Y$3="申万三级行业",[1]!s_info_industry_sw_2021(W5365,公司分析!D$5,3),IF($Y$3="wind一级行业",[1]!s_info_industry_gics(W5365,1),IF($Y$3="wind二级行业",[1]!s_info_industry_gics(W5365,2),IF($Y$3="wind三级行业",[1]!s_info_industry_gics(W5365,3),IF($Y$3="wind四级行业",[1]!s_info_industry_gics(W5365,4),IF($Y$3="证监会门类行业",[1]!s_info_industry_csrc12_n(W5365,公司分析!D$5,1),""))))))))</f>
        <v>化学制药</v>
      </c>
      <c r="Z5365" s="302" t="str">
        <f ca="1">IF(Y5365=行业比较!$E$6,ROW(),"")</f>
        <v/>
      </c>
    </row>
    <row r="5366" spans="22:26">
      <c r="V5366" s="260">
        <f t="shared" ca="1" si="92"/>
        <v>0</v>
      </c>
      <c r="W5366" s="348" t="str">
        <f>IF(板块成分!B5368="","",板块成分!B5368)</f>
        <v>920489.BJ</v>
      </c>
      <c r="X5366" s="276" t="str">
        <f>[1]!S_Info_Name(W5366)</f>
        <v>佳先股份</v>
      </c>
      <c r="Y5366" s="276" t="str">
        <f ca="1">IF($Y$3="申万一级行业",[1]!s_info_industry_sw_2021(W5366,公司分析!D$5,1),IF($Y$3="申万二级行业",[1]!s_info_industry_sw_2021(W5366,公司分析!D$5,2),IF($Y$3="申万三级行业",[1]!s_info_industry_sw_2021(W5366,公司分析!D$5,3),IF($Y$3="wind一级行业",[1]!s_info_industry_gics(W5366,1),IF($Y$3="wind二级行业",[1]!s_info_industry_gics(W5366,2),IF($Y$3="wind三级行业",[1]!s_info_industry_gics(W5366,3),IF($Y$3="wind四级行业",[1]!s_info_industry_gics(W5366,4),IF($Y$3="证监会门类行业",[1]!s_info_industry_csrc12_n(W5366,公司分析!D$5,1),""))))))))</f>
        <v>化学原料</v>
      </c>
      <c r="Z5366" s="302" t="str">
        <f ca="1">IF(Y5366=行业比较!$E$6,ROW(),"")</f>
        <v/>
      </c>
    </row>
    <row r="5367" spans="22:26">
      <c r="V5367" s="260">
        <f ca="1">IF(Z5367="",0,RANK(Z5367,Z:Z,1))</f>
        <v>0</v>
      </c>
      <c r="W5367" s="348" t="str">
        <f>IF(板块成分!B5369="","",板块成分!B5369)</f>
        <v>920491.BJ</v>
      </c>
      <c r="X5367" s="276" t="str">
        <f>[1]!S_Info_Name(W5367)</f>
        <v>奥迪威</v>
      </c>
      <c r="Y5367" s="276" t="str">
        <f ca="1">IF($Y$3="申万一级行业",[1]!s_info_industry_sw_2021(W5367,公司分析!D$5,1),IF($Y$3="申万二级行业",[1]!s_info_industry_sw_2021(W5367,公司分析!D$5,2),IF($Y$3="申万三级行业",[1]!s_info_industry_sw_2021(W5367,公司分析!D$5,3),IF($Y$3="wind一级行业",[1]!s_info_industry_gics(W5367,1),IF($Y$3="wind二级行业",[1]!s_info_industry_gics(W5367,2),IF($Y$3="wind三级行业",[1]!s_info_industry_gics(W5367,3),IF($Y$3="wind四级行业",[1]!s_info_industry_gics(W5367,4),IF($Y$3="证监会门类行业",[1]!s_info_industry_csrc12_n(W5367,公司分析!D$5,1),""))))))))</f>
        <v>元件</v>
      </c>
      <c r="Z5367" s="302" t="str">
        <f ca="1">IF(Y5367=行业比较!$E$6,ROW(),"")</f>
        <v/>
      </c>
    </row>
    <row r="5368" spans="22:26">
      <c r="V5368" s="260">
        <f t="shared" ca="1" si="92"/>
        <v>0</v>
      </c>
      <c r="W5368" s="348" t="str">
        <f>IF(板块成分!B5370="","",板块成分!B5370)</f>
        <v>920493.BJ</v>
      </c>
      <c r="X5368" s="276" t="str">
        <f>[1]!S_Info_Name(W5368)</f>
        <v>并行科技</v>
      </c>
      <c r="Y5368" s="276" t="str">
        <f ca="1">IF($Y$3="申万一级行业",[1]!s_info_industry_sw_2021(W5368,公司分析!D$5,1),IF($Y$3="申万二级行业",[1]!s_info_industry_sw_2021(W5368,公司分析!D$5,2),IF($Y$3="申万三级行业",[1]!s_info_industry_sw_2021(W5368,公司分析!D$5,3),IF($Y$3="wind一级行业",[1]!s_info_industry_gics(W5368,1),IF($Y$3="wind二级行业",[1]!s_info_industry_gics(W5368,2),IF($Y$3="wind三级行业",[1]!s_info_industry_gics(W5368,3),IF($Y$3="wind四级行业",[1]!s_info_industry_gics(W5368,4),IF($Y$3="证监会门类行业",[1]!s_info_industry_csrc12_n(W5368,公司分析!D$5,1),""))))))))</f>
        <v>IT服务Ⅱ</v>
      </c>
      <c r="Z5368" s="302" t="str">
        <f ca="1">IF(Y5368=行业比较!$E$6,ROW(),"")</f>
        <v/>
      </c>
    </row>
    <row r="5369" spans="22:26">
      <c r="V5369" s="260">
        <f t="shared" ca="1" si="92"/>
        <v>0</v>
      </c>
      <c r="W5369" s="348" t="str">
        <f>IF(板块成分!B5371="","",板块成分!B5371)</f>
        <v>920496.BJ</v>
      </c>
      <c r="X5369" s="276" t="str">
        <f>[1]!S_Info_Name(W5369)</f>
        <v>许昌智能</v>
      </c>
      <c r="Y5369" s="276" t="str">
        <f ca="1">IF($Y$3="申万一级行业",[1]!s_info_industry_sw_2021(W5369,公司分析!D$5,1),IF($Y$3="申万二级行业",[1]!s_info_industry_sw_2021(W5369,公司分析!D$5,2),IF($Y$3="申万三级行业",[1]!s_info_industry_sw_2021(W5369,公司分析!D$5,3),IF($Y$3="wind一级行业",[1]!s_info_industry_gics(W5369,1),IF($Y$3="wind二级行业",[1]!s_info_industry_gics(W5369,2),IF($Y$3="wind三级行业",[1]!s_info_industry_gics(W5369,3),IF($Y$3="wind四级行业",[1]!s_info_industry_gics(W5369,4),IF($Y$3="证监会门类行业",[1]!s_info_industry_csrc12_n(W5369,公司分析!D$5,1),""))))))))</f>
        <v>电网设备</v>
      </c>
      <c r="Z5369" s="302" t="str">
        <f ca="1">IF(Y5369=行业比较!$E$6,ROW(),"")</f>
        <v/>
      </c>
    </row>
    <row r="5370" spans="22:26">
      <c r="V5370" s="260">
        <f t="shared" ca="1" si="92"/>
        <v>0</v>
      </c>
      <c r="W5370" s="348" t="str">
        <f>IF(板块成分!B5372="","",板块成分!B5372)</f>
        <v>920504.BJ</v>
      </c>
      <c r="X5370" s="276" t="str">
        <f>[1]!S_Info_Name(W5370)</f>
        <v>博迅生物</v>
      </c>
      <c r="Y5370" s="276" t="str">
        <f ca="1">IF($Y$3="申万一级行业",[1]!s_info_industry_sw_2021(W5370,公司分析!D$5,1),IF($Y$3="申万二级行业",[1]!s_info_industry_sw_2021(W5370,公司分析!D$5,2),IF($Y$3="申万三级行业",[1]!s_info_industry_sw_2021(W5370,公司分析!D$5,3),IF($Y$3="wind一级行业",[1]!s_info_industry_gics(W5370,1),IF($Y$3="wind二级行业",[1]!s_info_industry_gics(W5370,2),IF($Y$3="wind三级行业",[1]!s_info_industry_gics(W5370,3),IF($Y$3="wind四级行业",[1]!s_info_industry_gics(W5370,4),IF($Y$3="证监会门类行业",[1]!s_info_industry_csrc12_n(W5370,公司分析!D$5,1),""))))))))</f>
        <v>医疗器械</v>
      </c>
      <c r="Z5370" s="302" t="str">
        <f ca="1">IF(Y5370=行业比较!$E$6,ROW(),"")</f>
        <v/>
      </c>
    </row>
    <row r="5371" spans="22:26">
      <c r="V5371" s="260">
        <f t="shared" ca="1" si="92"/>
        <v>0</v>
      </c>
      <c r="W5371" s="348" t="str">
        <f>IF(板块成分!B5373="","",板块成分!B5373)</f>
        <v>920505.BJ</v>
      </c>
      <c r="X5371" s="276" t="str">
        <f>[1]!S_Info_Name(W5371)</f>
        <v>九菱科技</v>
      </c>
      <c r="Y5371" s="276" t="str">
        <f ca="1">IF($Y$3="申万一级行业",[1]!s_info_industry_sw_2021(W5371,公司分析!D$5,1),IF($Y$3="申万二级行业",[1]!s_info_industry_sw_2021(W5371,公司分析!D$5,2),IF($Y$3="申万三级行业",[1]!s_info_industry_sw_2021(W5371,公司分析!D$5,3),IF($Y$3="wind一级行业",[1]!s_info_industry_gics(W5371,1),IF($Y$3="wind二级行业",[1]!s_info_industry_gics(W5371,2),IF($Y$3="wind三级行业",[1]!s_info_industry_gics(W5371,3),IF($Y$3="wind四级行业",[1]!s_info_industry_gics(W5371,4),IF($Y$3="证监会门类行业",[1]!s_info_industry_csrc12_n(W5371,公司分析!D$5,1),""))))))))</f>
        <v>通用设备</v>
      </c>
      <c r="Z5371" s="302" t="str">
        <f ca="1">IF(Y5371=行业比较!$E$6,ROW(),"")</f>
        <v/>
      </c>
    </row>
    <row r="5372" spans="22:26">
      <c r="V5372" s="260">
        <f t="shared" ca="1" si="92"/>
        <v>0</v>
      </c>
      <c r="W5372" s="348" t="str">
        <f>IF(板块成分!B5374="","",板块成分!B5374)</f>
        <v>920508.BJ</v>
      </c>
      <c r="X5372" s="276" t="str">
        <f>[1]!S_Info_Name(W5372)</f>
        <v>殷图网联</v>
      </c>
      <c r="Y5372" s="276" t="str">
        <f ca="1">IF($Y$3="申万一级行业",[1]!s_info_industry_sw_2021(W5372,公司分析!D$5,1),IF($Y$3="申万二级行业",[1]!s_info_industry_sw_2021(W5372,公司分析!D$5,2),IF($Y$3="申万三级行业",[1]!s_info_industry_sw_2021(W5372,公司分析!D$5,3),IF($Y$3="wind一级行业",[1]!s_info_industry_gics(W5372,1),IF($Y$3="wind二级行业",[1]!s_info_industry_gics(W5372,2),IF($Y$3="wind三级行业",[1]!s_info_industry_gics(W5372,3),IF($Y$3="wind四级行业",[1]!s_info_industry_gics(W5372,4),IF($Y$3="证监会门类行业",[1]!s_info_industry_csrc12_n(W5372,公司分析!D$5,1),""))))))))</f>
        <v>电网设备</v>
      </c>
      <c r="Z5372" s="302" t="str">
        <f ca="1">IF(Y5372=行业比较!$E$6,ROW(),"")</f>
        <v/>
      </c>
    </row>
    <row r="5373" spans="22:26">
      <c r="V5373" s="260">
        <f t="shared" ca="1" si="92"/>
        <v>0</v>
      </c>
      <c r="W5373" s="348" t="str">
        <f>IF(板块成分!B5375="","",板块成分!B5375)</f>
        <v>920509.BJ</v>
      </c>
      <c r="X5373" s="276" t="str">
        <f>[1]!S_Info_Name(W5373)</f>
        <v>同惠电子</v>
      </c>
      <c r="Y5373" s="276" t="str">
        <f ca="1">IF($Y$3="申万一级行业",[1]!s_info_industry_sw_2021(W5373,公司分析!D$5,1),IF($Y$3="申万二级行业",[1]!s_info_industry_sw_2021(W5373,公司分析!D$5,2),IF($Y$3="申万三级行业",[1]!s_info_industry_sw_2021(W5373,公司分析!D$5,3),IF($Y$3="wind一级行业",[1]!s_info_industry_gics(W5373,1),IF($Y$3="wind二级行业",[1]!s_info_industry_gics(W5373,2),IF($Y$3="wind三级行业",[1]!s_info_industry_gics(W5373,3),IF($Y$3="wind四级行业",[1]!s_info_industry_gics(W5373,4),IF($Y$3="证监会门类行业",[1]!s_info_industry_csrc12_n(W5373,公司分析!D$5,1),""))))))))</f>
        <v>通用设备</v>
      </c>
      <c r="Z5373" s="302" t="str">
        <f ca="1">IF(Y5373=行业比较!$E$6,ROW(),"")</f>
        <v/>
      </c>
    </row>
    <row r="5374" spans="22:26">
      <c r="V5374" s="260">
        <f t="shared" ca="1" si="92"/>
        <v>0</v>
      </c>
      <c r="W5374" s="348" t="str">
        <f>IF(板块成分!B5376="","",板块成分!B5376)</f>
        <v>920510.BJ</v>
      </c>
      <c r="X5374" s="276" t="str">
        <f>[1]!S_Info_Name(W5374)</f>
        <v>丰光精密</v>
      </c>
      <c r="Y5374" s="276" t="str">
        <f ca="1">IF($Y$3="申万一级行业",[1]!s_info_industry_sw_2021(W5374,公司分析!D$5,1),IF($Y$3="申万二级行业",[1]!s_info_industry_sw_2021(W5374,公司分析!D$5,2),IF($Y$3="申万三级行业",[1]!s_info_industry_sw_2021(W5374,公司分析!D$5,3),IF($Y$3="wind一级行业",[1]!s_info_industry_gics(W5374,1),IF($Y$3="wind二级行业",[1]!s_info_industry_gics(W5374,2),IF($Y$3="wind三级行业",[1]!s_info_industry_gics(W5374,3),IF($Y$3="wind四级行业",[1]!s_info_industry_gics(W5374,4),IF($Y$3="证监会门类行业",[1]!s_info_industry_csrc12_n(W5374,公司分析!D$5,1),""))))))))</f>
        <v>通用设备</v>
      </c>
      <c r="Z5374" s="302" t="str">
        <f ca="1">IF(Y5374=行业比较!$E$6,ROW(),"")</f>
        <v/>
      </c>
    </row>
    <row r="5375" spans="22:26">
      <c r="V5375" s="260">
        <f t="shared" ca="1" si="92"/>
        <v>0</v>
      </c>
      <c r="W5375" s="348" t="str">
        <f>IF(板块成分!B5377="","",板块成分!B5377)</f>
        <v>920519.BJ</v>
      </c>
      <c r="X5375" s="276" t="str">
        <f>[1]!S_Info_Name(W5375)</f>
        <v>万德股份</v>
      </c>
      <c r="Y5375" s="276" t="str">
        <f ca="1">IF($Y$3="申万一级行业",[1]!s_info_industry_sw_2021(W5375,公司分析!D$5,1),IF($Y$3="申万二级行业",[1]!s_info_industry_sw_2021(W5375,公司分析!D$5,2),IF($Y$3="申万三级行业",[1]!s_info_industry_sw_2021(W5375,公司分析!D$5,3),IF($Y$3="wind一级行业",[1]!s_info_industry_gics(W5375,1),IF($Y$3="wind二级行业",[1]!s_info_industry_gics(W5375,2),IF($Y$3="wind三级行业",[1]!s_info_industry_gics(W5375,3),IF($Y$3="wind四级行业",[1]!s_info_industry_gics(W5375,4),IF($Y$3="证监会门类行业",[1]!s_info_industry_csrc12_n(W5375,公司分析!D$5,1),""))))))))</f>
        <v>化学制品</v>
      </c>
      <c r="Z5375" s="302" t="str">
        <f ca="1">IF(Y5375=行业比较!$E$6,ROW(),"")</f>
        <v/>
      </c>
    </row>
    <row r="5376" spans="22:26">
      <c r="V5376" s="260">
        <f t="shared" ca="1" si="92"/>
        <v>0</v>
      </c>
      <c r="W5376" s="348" t="str">
        <f>IF(板块成分!B5378="","",板块成分!B5378)</f>
        <v>920522.BJ</v>
      </c>
      <c r="X5376" s="276" t="str">
        <f>[1]!S_Info_Name(W5376)</f>
        <v>纳科诺尔</v>
      </c>
      <c r="Y5376" s="276" t="str">
        <f ca="1">IF($Y$3="申万一级行业",[1]!s_info_industry_sw_2021(W5376,公司分析!D$5,1),IF($Y$3="申万二级行业",[1]!s_info_industry_sw_2021(W5376,公司分析!D$5,2),IF($Y$3="申万三级行业",[1]!s_info_industry_sw_2021(W5376,公司分析!D$5,3),IF($Y$3="wind一级行业",[1]!s_info_industry_gics(W5376,1),IF($Y$3="wind二级行业",[1]!s_info_industry_gics(W5376,2),IF($Y$3="wind三级行业",[1]!s_info_industry_gics(W5376,3),IF($Y$3="wind四级行业",[1]!s_info_industry_gics(W5376,4),IF($Y$3="证监会门类行业",[1]!s_info_industry_csrc12_n(W5376,公司分析!D$5,1),""))))))))</f>
        <v>电池</v>
      </c>
      <c r="Z5376" s="302" t="str">
        <f ca="1">IF(Y5376=行业比较!$E$6,ROW(),"")</f>
        <v/>
      </c>
    </row>
    <row r="5377" spans="22:26">
      <c r="V5377" s="260">
        <f t="shared" ca="1" si="92"/>
        <v>0</v>
      </c>
      <c r="W5377" s="348" t="str">
        <f>IF(板块成分!B5379="","",板块成分!B5379)</f>
        <v>920523.BJ</v>
      </c>
      <c r="X5377" s="276" t="str">
        <f>[1]!S_Info_Name(W5377)</f>
        <v>德瑞锂电</v>
      </c>
      <c r="Y5377" s="276" t="str">
        <f ca="1">IF($Y$3="申万一级行业",[1]!s_info_industry_sw_2021(W5377,公司分析!D$5,1),IF($Y$3="申万二级行业",[1]!s_info_industry_sw_2021(W5377,公司分析!D$5,2),IF($Y$3="申万三级行业",[1]!s_info_industry_sw_2021(W5377,公司分析!D$5,3),IF($Y$3="wind一级行业",[1]!s_info_industry_gics(W5377,1),IF($Y$3="wind二级行业",[1]!s_info_industry_gics(W5377,2),IF($Y$3="wind三级行业",[1]!s_info_industry_gics(W5377,3),IF($Y$3="wind四级行业",[1]!s_info_industry_gics(W5377,4),IF($Y$3="证监会门类行业",[1]!s_info_industry_csrc12_n(W5377,公司分析!D$5,1),""))))))))</f>
        <v>电池</v>
      </c>
      <c r="Z5377" s="302" t="str">
        <f ca="1">IF(Y5377=行业比较!$E$6,ROW(),"")</f>
        <v/>
      </c>
    </row>
    <row r="5378" spans="22:26">
      <c r="V5378" s="260">
        <f t="shared" ca="1" si="92"/>
        <v>0</v>
      </c>
      <c r="W5378" s="348" t="str">
        <f>IF(板块成分!B5380="","",板块成分!B5380)</f>
        <v>920526.BJ</v>
      </c>
      <c r="X5378" s="276" t="str">
        <f>[1]!S_Info_Name(W5378)</f>
        <v>凯华材料</v>
      </c>
      <c r="Y5378" s="276" t="str">
        <f ca="1">IF($Y$3="申万一级行业",[1]!s_info_industry_sw_2021(W5378,公司分析!D$5,1),IF($Y$3="申万二级行业",[1]!s_info_industry_sw_2021(W5378,公司分析!D$5,2),IF($Y$3="申万三级行业",[1]!s_info_industry_sw_2021(W5378,公司分析!D$5,3),IF($Y$3="wind一级行业",[1]!s_info_industry_gics(W5378,1),IF($Y$3="wind二级行业",[1]!s_info_industry_gics(W5378,2),IF($Y$3="wind三级行业",[1]!s_info_industry_gics(W5378,3),IF($Y$3="wind四级行业",[1]!s_info_industry_gics(W5378,4),IF($Y$3="证监会门类行业",[1]!s_info_industry_csrc12_n(W5378,公司分析!D$5,1),""))))))))</f>
        <v>电子化学品Ⅱ</v>
      </c>
      <c r="Z5378" s="302" t="str">
        <f ca="1">IF(Y5378=行业比较!$E$6,ROW(),"")</f>
        <v/>
      </c>
    </row>
    <row r="5379" spans="22:26">
      <c r="V5379" s="260">
        <f t="shared" ca="1" si="92"/>
        <v>0</v>
      </c>
      <c r="W5379" s="348" t="str">
        <f>IF(板块成分!B5381="","",板块成分!B5381)</f>
        <v>920527.BJ</v>
      </c>
      <c r="X5379" s="276" t="str">
        <f>[1]!S_Info_Name(W5379)</f>
        <v>夜光明</v>
      </c>
      <c r="Y5379" s="276" t="str">
        <f ca="1">IF($Y$3="申万一级行业",[1]!s_info_industry_sw_2021(W5379,公司分析!D$5,1),IF($Y$3="申万二级行业",[1]!s_info_industry_sw_2021(W5379,公司分析!D$5,2),IF($Y$3="申万三级行业",[1]!s_info_industry_sw_2021(W5379,公司分析!D$5,3),IF($Y$3="wind一级行业",[1]!s_info_industry_gics(W5379,1),IF($Y$3="wind二级行业",[1]!s_info_industry_gics(W5379,2),IF($Y$3="wind三级行业",[1]!s_info_industry_gics(W5379,3),IF($Y$3="wind四级行业",[1]!s_info_industry_gics(W5379,4),IF($Y$3="证监会门类行业",[1]!s_info_industry_csrc12_n(W5379,公司分析!D$5,1),""))))))))</f>
        <v>纺织制造</v>
      </c>
      <c r="Z5379" s="302" t="str">
        <f ca="1">IF(Y5379=行业比较!$E$6,ROW(),"")</f>
        <v/>
      </c>
    </row>
    <row r="5380" spans="22:26">
      <c r="V5380" s="260">
        <f t="shared" ca="1" si="92"/>
        <v>0</v>
      </c>
      <c r="W5380" s="348" t="str">
        <f>IF(板块成分!B5382="","",板块成分!B5382)</f>
        <v>920533.BJ</v>
      </c>
      <c r="X5380" s="276" t="str">
        <f>[1]!S_Info_Name(W5380)</f>
        <v>骏创科技</v>
      </c>
      <c r="Y5380" s="276" t="str">
        <f ca="1">IF($Y$3="申万一级行业",[1]!s_info_industry_sw_2021(W5380,公司分析!D$5,1),IF($Y$3="申万二级行业",[1]!s_info_industry_sw_2021(W5380,公司分析!D$5,2),IF($Y$3="申万三级行业",[1]!s_info_industry_sw_2021(W5380,公司分析!D$5,3),IF($Y$3="wind一级行业",[1]!s_info_industry_gics(W5380,1),IF($Y$3="wind二级行业",[1]!s_info_industry_gics(W5380,2),IF($Y$3="wind三级行业",[1]!s_info_industry_gics(W5380,3),IF($Y$3="wind四级行业",[1]!s_info_industry_gics(W5380,4),IF($Y$3="证监会门类行业",[1]!s_info_industry_csrc12_n(W5380,公司分析!D$5,1),""))))))))</f>
        <v>汽车零部件</v>
      </c>
      <c r="Z5380" s="302" t="str">
        <f ca="1">IF(Y5380=行业比较!$E$6,ROW(),"")</f>
        <v/>
      </c>
    </row>
    <row r="5381" spans="22:26">
      <c r="V5381" s="260">
        <f t="shared" ca="1" si="92"/>
        <v>0</v>
      </c>
      <c r="W5381" s="348" t="str">
        <f>IF(板块成分!B5383="","",板块成分!B5383)</f>
        <v>920541.BJ</v>
      </c>
      <c r="X5381" s="276" t="str">
        <f>[1]!S_Info_Name(W5381)</f>
        <v>铁大科技</v>
      </c>
      <c r="Y5381" s="276" t="str">
        <f ca="1">IF($Y$3="申万一级行业",[1]!s_info_industry_sw_2021(W5381,公司分析!D$5,1),IF($Y$3="申万二级行业",[1]!s_info_industry_sw_2021(W5381,公司分析!D$5,2),IF($Y$3="申万三级行业",[1]!s_info_industry_sw_2021(W5381,公司分析!D$5,3),IF($Y$3="wind一级行业",[1]!s_info_industry_gics(W5381,1),IF($Y$3="wind二级行业",[1]!s_info_industry_gics(W5381,2),IF($Y$3="wind三级行业",[1]!s_info_industry_gics(W5381,3),IF($Y$3="wind四级行业",[1]!s_info_industry_gics(W5381,4),IF($Y$3="证监会门类行业",[1]!s_info_industry_csrc12_n(W5381,公司分析!D$5,1),""))))))))</f>
        <v>轨交设备Ⅱ</v>
      </c>
      <c r="Z5381" s="302" t="str">
        <f ca="1">IF(Y5381=行业比较!$E$6,ROW(),"")</f>
        <v/>
      </c>
    </row>
    <row r="5382" spans="22:26">
      <c r="V5382" s="260">
        <f t="shared" ca="1" si="92"/>
        <v>0</v>
      </c>
      <c r="W5382" s="348" t="str">
        <f>IF(板块成分!B5384="","",板块成分!B5384)</f>
        <v>920547.BJ</v>
      </c>
      <c r="X5382" s="276" t="str">
        <f>[1]!S_Info_Name(W5382)</f>
        <v>无锡晶海</v>
      </c>
      <c r="Y5382" s="276" t="str">
        <f ca="1">IF($Y$3="申万一级行业",[1]!s_info_industry_sw_2021(W5382,公司分析!D$5,1),IF($Y$3="申万二级行业",[1]!s_info_industry_sw_2021(W5382,公司分析!D$5,2),IF($Y$3="申万三级行业",[1]!s_info_industry_sw_2021(W5382,公司分析!D$5,3),IF($Y$3="wind一级行业",[1]!s_info_industry_gics(W5382,1),IF($Y$3="wind二级行业",[1]!s_info_industry_gics(W5382,2),IF($Y$3="wind三级行业",[1]!s_info_industry_gics(W5382,3),IF($Y$3="wind四级行业",[1]!s_info_industry_gics(W5382,4),IF($Y$3="证监会门类行业",[1]!s_info_industry_csrc12_n(W5382,公司分析!D$5,1),""))))))))</f>
        <v>生物制品</v>
      </c>
      <c r="Z5382" s="302" t="str">
        <f ca="1">IF(Y5382=行业比较!$E$6,ROW(),"")</f>
        <v/>
      </c>
    </row>
    <row r="5383" spans="22:26">
      <c r="V5383" s="260">
        <f t="shared" ca="1" si="92"/>
        <v>0</v>
      </c>
      <c r="W5383" s="348" t="str">
        <f>IF(板块成分!B5385="","",板块成分!B5385)</f>
        <v>920553.BJ</v>
      </c>
      <c r="X5383" s="276" t="str">
        <f>[1]!S_Info_Name(W5383)</f>
        <v>凯腾精工</v>
      </c>
      <c r="Y5383" s="276" t="str">
        <f ca="1">IF($Y$3="申万一级行业",[1]!s_info_industry_sw_2021(W5383,公司分析!D$5,1),IF($Y$3="申万二级行业",[1]!s_info_industry_sw_2021(W5383,公司分析!D$5,2),IF($Y$3="申万三级行业",[1]!s_info_industry_sw_2021(W5383,公司分析!D$5,3),IF($Y$3="wind一级行业",[1]!s_info_industry_gics(W5383,1),IF($Y$3="wind二级行业",[1]!s_info_industry_gics(W5383,2),IF($Y$3="wind三级行业",[1]!s_info_industry_gics(W5383,3),IF($Y$3="wind四级行业",[1]!s_info_industry_gics(W5383,4),IF($Y$3="证监会门类行业",[1]!s_info_industry_csrc12_n(W5383,公司分析!D$5,1),""))))))))</f>
        <v>专用设备</v>
      </c>
      <c r="Z5383" s="302" t="str">
        <f ca="1">IF(Y5383=行业比较!$E$6,ROW(),"")</f>
        <v/>
      </c>
    </row>
    <row r="5384" spans="22:26">
      <c r="V5384" s="260">
        <f t="shared" ca="1" si="92"/>
        <v>0</v>
      </c>
      <c r="W5384" s="348" t="str">
        <f>IF(板块成分!B5386="","",板块成分!B5386)</f>
        <v>920556.BJ</v>
      </c>
      <c r="X5384" s="276" t="str">
        <f>[1]!S_Info_Name(W5384)</f>
        <v>雅达股份</v>
      </c>
      <c r="Y5384" s="276" t="str">
        <f ca="1">IF($Y$3="申万一级行业",[1]!s_info_industry_sw_2021(W5384,公司分析!D$5,1),IF($Y$3="申万二级行业",[1]!s_info_industry_sw_2021(W5384,公司分析!D$5,2),IF($Y$3="申万三级行业",[1]!s_info_industry_sw_2021(W5384,公司分析!D$5,3),IF($Y$3="wind一级行业",[1]!s_info_industry_gics(W5384,1),IF($Y$3="wind二级行业",[1]!s_info_industry_gics(W5384,2),IF($Y$3="wind三级行业",[1]!s_info_industry_gics(W5384,3),IF($Y$3="wind四级行业",[1]!s_info_industry_gics(W5384,4),IF($Y$3="证监会门类行业",[1]!s_info_industry_csrc12_n(W5384,公司分析!D$5,1),""))))))))</f>
        <v>电网设备</v>
      </c>
      <c r="Z5384" s="302" t="str">
        <f ca="1">IF(Y5384=行业比较!$E$6,ROW(),"")</f>
        <v/>
      </c>
    </row>
    <row r="5385" spans="22:26">
      <c r="V5385" s="260">
        <f t="shared" ca="1" si="92"/>
        <v>0</v>
      </c>
      <c r="W5385" s="348" t="str">
        <f>IF(板块成分!B5387="","",板块成分!B5387)</f>
        <v>920564.BJ</v>
      </c>
      <c r="X5385" s="276" t="str">
        <f>[1]!S_Info_Name(W5385)</f>
        <v>天润科技</v>
      </c>
      <c r="Y5385" s="276" t="str">
        <f ca="1">IF($Y$3="申万一级行业",[1]!s_info_industry_sw_2021(W5385,公司分析!D$5,1),IF($Y$3="申万二级行业",[1]!s_info_industry_sw_2021(W5385,公司分析!D$5,2),IF($Y$3="申万三级行业",[1]!s_info_industry_sw_2021(W5385,公司分析!D$5,3),IF($Y$3="wind一级行业",[1]!s_info_industry_gics(W5385,1),IF($Y$3="wind二级行业",[1]!s_info_industry_gics(W5385,2),IF($Y$3="wind三级行业",[1]!s_info_industry_gics(W5385,3),IF($Y$3="wind四级行业",[1]!s_info_industry_gics(W5385,4),IF($Y$3="证监会门类行业",[1]!s_info_industry_csrc12_n(W5385,公司分析!D$5,1),""))))))))</f>
        <v>IT服务Ⅱ</v>
      </c>
      <c r="Z5385" s="302" t="str">
        <f ca="1">IF(Y5385=行业比较!$E$6,ROW(),"")</f>
        <v/>
      </c>
    </row>
    <row r="5386" spans="22:26">
      <c r="V5386" s="260">
        <f t="shared" ca="1" si="92"/>
        <v>0</v>
      </c>
      <c r="W5386" s="348" t="str">
        <f>IF(板块成分!B5388="","",板块成分!B5388)</f>
        <v>920566.BJ</v>
      </c>
      <c r="X5386" s="276" t="str">
        <f>[1]!S_Info_Name(W5386)</f>
        <v>梓橦宫</v>
      </c>
      <c r="Y5386" s="276" t="str">
        <f ca="1">IF($Y$3="申万一级行业",[1]!s_info_industry_sw_2021(W5386,公司分析!D$5,1),IF($Y$3="申万二级行业",[1]!s_info_industry_sw_2021(W5386,公司分析!D$5,2),IF($Y$3="申万三级行业",[1]!s_info_industry_sw_2021(W5386,公司分析!D$5,3),IF($Y$3="wind一级行业",[1]!s_info_industry_gics(W5386,1),IF($Y$3="wind二级行业",[1]!s_info_industry_gics(W5386,2),IF($Y$3="wind三级行业",[1]!s_info_industry_gics(W5386,3),IF($Y$3="wind四级行业",[1]!s_info_industry_gics(W5386,4),IF($Y$3="证监会门类行业",[1]!s_info_industry_csrc12_n(W5386,公司分析!D$5,1),""))))))))</f>
        <v>化学制药</v>
      </c>
      <c r="Z5386" s="302" t="str">
        <f ca="1">IF(Y5386=行业比较!$E$6,ROW(),"")</f>
        <v/>
      </c>
    </row>
    <row r="5387" spans="22:26">
      <c r="V5387" s="260">
        <f t="shared" ca="1" si="92"/>
        <v>0</v>
      </c>
      <c r="W5387" s="348" t="str">
        <f>IF(板块成分!B5389="","",板块成分!B5389)</f>
        <v>920570.BJ</v>
      </c>
      <c r="X5387" s="276" t="str">
        <f>[1]!S_Info_Name(W5387)</f>
        <v>坤博精工</v>
      </c>
      <c r="Y5387" s="276" t="str">
        <f ca="1">IF($Y$3="申万一级行业",[1]!s_info_industry_sw_2021(W5387,公司分析!D$5,1),IF($Y$3="申万二级行业",[1]!s_info_industry_sw_2021(W5387,公司分析!D$5,2),IF($Y$3="申万三级行业",[1]!s_info_industry_sw_2021(W5387,公司分析!D$5,3),IF($Y$3="wind一级行业",[1]!s_info_industry_gics(W5387,1),IF($Y$3="wind二级行业",[1]!s_info_industry_gics(W5387,2),IF($Y$3="wind三级行业",[1]!s_info_industry_gics(W5387,3),IF($Y$3="wind四级行业",[1]!s_info_industry_gics(W5387,4),IF($Y$3="证监会门类行业",[1]!s_info_industry_csrc12_n(W5387,公司分析!D$5,1),""))))))))</f>
        <v>通用设备</v>
      </c>
      <c r="Z5387" s="302" t="str">
        <f ca="1">IF(Y5387=行业比较!$E$6,ROW(),"")</f>
        <v/>
      </c>
    </row>
    <row r="5388" spans="22:26">
      <c r="V5388" s="260">
        <f t="shared" ca="1" si="92"/>
        <v>0</v>
      </c>
      <c r="W5388" s="348" t="str">
        <f>IF(板块成分!B5390="","",板块成分!B5390)</f>
        <v>920571.BJ</v>
      </c>
      <c r="X5388" s="276" t="str">
        <f>[1]!S_Info_Name(W5388)</f>
        <v>国航远洋</v>
      </c>
      <c r="Y5388" s="276" t="str">
        <f ca="1">IF($Y$3="申万一级行业",[1]!s_info_industry_sw_2021(W5388,公司分析!D$5,1),IF($Y$3="申万二级行业",[1]!s_info_industry_sw_2021(W5388,公司分析!D$5,2),IF($Y$3="申万三级行业",[1]!s_info_industry_sw_2021(W5388,公司分析!D$5,3),IF($Y$3="wind一级行业",[1]!s_info_industry_gics(W5388,1),IF($Y$3="wind二级行业",[1]!s_info_industry_gics(W5388,2),IF($Y$3="wind三级行业",[1]!s_info_industry_gics(W5388,3),IF($Y$3="wind四级行业",[1]!s_info_industry_gics(W5388,4),IF($Y$3="证监会门类行业",[1]!s_info_industry_csrc12_n(W5388,公司分析!D$5,1),""))))))))</f>
        <v>航运港口</v>
      </c>
      <c r="Z5388" s="302" t="str">
        <f ca="1">IF(Y5388=行业比较!$E$6,ROW(),"")</f>
        <v/>
      </c>
    </row>
    <row r="5389" spans="22:26">
      <c r="V5389" s="260">
        <f t="shared" ca="1" si="92"/>
        <v>0</v>
      </c>
      <c r="W5389" s="348" t="str">
        <f>IF(板块成分!B5391="","",板块成分!B5391)</f>
        <v>920575.BJ</v>
      </c>
      <c r="X5389" s="276" t="str">
        <f>[1]!S_Info_Name(W5389)</f>
        <v>康乐卫士</v>
      </c>
      <c r="Y5389" s="276" t="str">
        <f ca="1">IF($Y$3="申万一级行业",[1]!s_info_industry_sw_2021(W5389,公司分析!D$5,1),IF($Y$3="申万二级行业",[1]!s_info_industry_sw_2021(W5389,公司分析!D$5,2),IF($Y$3="申万三级行业",[1]!s_info_industry_sw_2021(W5389,公司分析!D$5,3),IF($Y$3="wind一级行业",[1]!s_info_industry_gics(W5389,1),IF($Y$3="wind二级行业",[1]!s_info_industry_gics(W5389,2),IF($Y$3="wind三级行业",[1]!s_info_industry_gics(W5389,3),IF($Y$3="wind四级行业",[1]!s_info_industry_gics(W5389,4),IF($Y$3="证监会门类行业",[1]!s_info_industry_csrc12_n(W5389,公司分析!D$5,1),""))))))))</f>
        <v>生物制品</v>
      </c>
      <c r="Z5389" s="302" t="str">
        <f ca="1">IF(Y5389=行业比较!$E$6,ROW(),"")</f>
        <v/>
      </c>
    </row>
    <row r="5390" spans="22:26">
      <c r="V5390" s="260">
        <f t="shared" ca="1" si="92"/>
        <v>0</v>
      </c>
      <c r="W5390" s="348" t="str">
        <f>IF(板块成分!B5392="","",板块成分!B5392)</f>
        <v>920576.BJ</v>
      </c>
      <c r="X5390" s="276" t="str">
        <f>[1]!S_Info_Name(W5390)</f>
        <v>天力复合</v>
      </c>
      <c r="Y5390" s="276" t="str">
        <f ca="1">IF($Y$3="申万一级行业",[1]!s_info_industry_sw_2021(W5390,公司分析!D$5,1),IF($Y$3="申万二级行业",[1]!s_info_industry_sw_2021(W5390,公司分析!D$5,2),IF($Y$3="申万三级行业",[1]!s_info_industry_sw_2021(W5390,公司分析!D$5,3),IF($Y$3="wind一级行业",[1]!s_info_industry_gics(W5390,1),IF($Y$3="wind二级行业",[1]!s_info_industry_gics(W5390,2),IF($Y$3="wind三级行业",[1]!s_info_industry_gics(W5390,3),IF($Y$3="wind四级行业",[1]!s_info_industry_gics(W5390,4),IF($Y$3="证监会门类行业",[1]!s_info_industry_csrc12_n(W5390,公司分析!D$5,1),""))))))))</f>
        <v>金属新材料</v>
      </c>
      <c r="Z5390" s="302" t="str">
        <f ca="1">IF(Y5390=行业比较!$E$6,ROW(),"")</f>
        <v/>
      </c>
    </row>
    <row r="5391" spans="22:26">
      <c r="V5391" s="260">
        <f t="shared" ca="1" si="92"/>
        <v>0</v>
      </c>
      <c r="W5391" s="348" t="str">
        <f>IF(板块成分!B5393="","",板块成分!B5393)</f>
        <v>920578.BJ</v>
      </c>
      <c r="X5391" s="276" t="str">
        <f>[1]!S_Info_Name(W5391)</f>
        <v>巨能股份</v>
      </c>
      <c r="Y5391" s="276" t="str">
        <f ca="1">IF($Y$3="申万一级行业",[1]!s_info_industry_sw_2021(W5391,公司分析!D$5,1),IF($Y$3="申万二级行业",[1]!s_info_industry_sw_2021(W5391,公司分析!D$5,2),IF($Y$3="申万三级行业",[1]!s_info_industry_sw_2021(W5391,公司分析!D$5,3),IF($Y$3="wind一级行业",[1]!s_info_industry_gics(W5391,1),IF($Y$3="wind二级行业",[1]!s_info_industry_gics(W5391,2),IF($Y$3="wind三级行业",[1]!s_info_industry_gics(W5391,3),IF($Y$3="wind四级行业",[1]!s_info_industry_gics(W5391,4),IF($Y$3="证监会门类行业",[1]!s_info_industry_csrc12_n(W5391,公司分析!D$5,1),""))))))))</f>
        <v>自动化设备</v>
      </c>
      <c r="Z5391" s="302" t="str">
        <f ca="1">IF(Y5391=行业比较!$E$6,ROW(),"")</f>
        <v/>
      </c>
    </row>
    <row r="5392" spans="22:26">
      <c r="V5392" s="260">
        <f t="shared" ca="1" si="92"/>
        <v>0</v>
      </c>
      <c r="W5392" s="348" t="str">
        <f>IF(板块成分!B5394="","",板块成分!B5394)</f>
        <v>920579.BJ</v>
      </c>
      <c r="X5392" s="276" t="str">
        <f>[1]!S_Info_Name(W5392)</f>
        <v>机科股份</v>
      </c>
      <c r="Y5392" s="276" t="str">
        <f ca="1">IF($Y$3="申万一级行业",[1]!s_info_industry_sw_2021(W5392,公司分析!D$5,1),IF($Y$3="申万二级行业",[1]!s_info_industry_sw_2021(W5392,公司分析!D$5,2),IF($Y$3="申万三级行业",[1]!s_info_industry_sw_2021(W5392,公司分析!D$5,3),IF($Y$3="wind一级行业",[1]!s_info_industry_gics(W5392,1),IF($Y$3="wind二级行业",[1]!s_info_industry_gics(W5392,2),IF($Y$3="wind三级行业",[1]!s_info_industry_gics(W5392,3),IF($Y$3="wind四级行业",[1]!s_info_industry_gics(W5392,4),IF($Y$3="证监会门类行业",[1]!s_info_industry_csrc12_n(W5392,公司分析!D$5,1),""))))))))</f>
        <v>自动化设备</v>
      </c>
      <c r="Z5392" s="302" t="str">
        <f ca="1">IF(Y5392=行业比较!$E$6,ROW(),"")</f>
        <v/>
      </c>
    </row>
    <row r="5393" spans="22:26">
      <c r="V5393" s="260">
        <f t="shared" ca="1" si="92"/>
        <v>0</v>
      </c>
      <c r="W5393" s="348" t="str">
        <f>IF(板块成分!B5395="","",板块成分!B5395)</f>
        <v>920580.BJ</v>
      </c>
      <c r="X5393" s="276" t="str">
        <f>[1]!S_Info_Name(W5393)</f>
        <v>科创新材</v>
      </c>
      <c r="Y5393" s="276" t="str">
        <f ca="1">IF($Y$3="申万一级行业",[1]!s_info_industry_sw_2021(W5393,公司分析!D$5,1),IF($Y$3="申万二级行业",[1]!s_info_industry_sw_2021(W5393,公司分析!D$5,2),IF($Y$3="申万三级行业",[1]!s_info_industry_sw_2021(W5393,公司分析!D$5,3),IF($Y$3="wind一级行业",[1]!s_info_industry_gics(W5393,1),IF($Y$3="wind二级行业",[1]!s_info_industry_gics(W5393,2),IF($Y$3="wind三级行业",[1]!s_info_industry_gics(W5393,3),IF($Y$3="wind四级行业",[1]!s_info_industry_gics(W5393,4),IF($Y$3="证监会门类行业",[1]!s_info_industry_csrc12_n(W5393,公司分析!D$5,1),""))))))))</f>
        <v>装修建材</v>
      </c>
      <c r="Z5393" s="302" t="str">
        <f ca="1">IF(Y5393=行业比较!$E$6,ROW(),"")</f>
        <v/>
      </c>
    </row>
    <row r="5394" spans="22:26">
      <c r="V5394" s="260">
        <f t="shared" ca="1" si="92"/>
        <v>0</v>
      </c>
      <c r="W5394" s="348" t="str">
        <f>IF(板块成分!B5396="","",板块成分!B5396)</f>
        <v>920592.BJ</v>
      </c>
      <c r="X5394" s="276" t="str">
        <f>[1]!S_Info_Name(W5394)</f>
        <v>华信永道</v>
      </c>
      <c r="Y5394" s="276" t="str">
        <f ca="1">IF($Y$3="申万一级行业",[1]!s_info_industry_sw_2021(W5394,公司分析!D$5,1),IF($Y$3="申万二级行业",[1]!s_info_industry_sw_2021(W5394,公司分析!D$5,2),IF($Y$3="申万三级行业",[1]!s_info_industry_sw_2021(W5394,公司分析!D$5,3),IF($Y$3="wind一级行业",[1]!s_info_industry_gics(W5394,1),IF($Y$3="wind二级行业",[1]!s_info_industry_gics(W5394,2),IF($Y$3="wind三级行业",[1]!s_info_industry_gics(W5394,3),IF($Y$3="wind四级行业",[1]!s_info_industry_gics(W5394,4),IF($Y$3="证监会门类行业",[1]!s_info_industry_csrc12_n(W5394,公司分析!D$5,1),""))))))))</f>
        <v>软件开发</v>
      </c>
      <c r="Z5394" s="302" t="str">
        <f ca="1">IF(Y5394=行业比较!$E$6,ROW(),"")</f>
        <v/>
      </c>
    </row>
    <row r="5395" spans="22:26">
      <c r="V5395" s="260">
        <f t="shared" ca="1" si="92"/>
        <v>0</v>
      </c>
      <c r="W5395" s="348" t="str">
        <f>IF(板块成分!B5397="","",板块成分!B5397)</f>
        <v>920593.BJ</v>
      </c>
      <c r="X5395" s="276" t="str">
        <f>[1]!S_Info_Name(W5395)</f>
        <v>鼎智科技</v>
      </c>
      <c r="Y5395" s="276" t="str">
        <f ca="1">IF($Y$3="申万一级行业",[1]!s_info_industry_sw_2021(W5395,公司分析!D$5,1),IF($Y$3="申万二级行业",[1]!s_info_industry_sw_2021(W5395,公司分析!D$5,2),IF($Y$3="申万三级行业",[1]!s_info_industry_sw_2021(W5395,公司分析!D$5,3),IF($Y$3="wind一级行业",[1]!s_info_industry_gics(W5395,1),IF($Y$3="wind二级行业",[1]!s_info_industry_gics(W5395,2),IF($Y$3="wind三级行业",[1]!s_info_industry_gics(W5395,3),IF($Y$3="wind四级行业",[1]!s_info_industry_gics(W5395,4),IF($Y$3="证监会门类行业",[1]!s_info_industry_csrc12_n(W5395,公司分析!D$5,1),""))))))))</f>
        <v>自动化设备</v>
      </c>
      <c r="Z5395" s="302" t="str">
        <f ca="1">IF(Y5395=行业比较!$E$6,ROW(),"")</f>
        <v/>
      </c>
    </row>
    <row r="5396" spans="22:26">
      <c r="V5396" s="260">
        <f t="shared" ca="1" si="92"/>
        <v>0</v>
      </c>
      <c r="W5396" s="348" t="str">
        <f>IF(板块成分!B5398="","",板块成分!B5398)</f>
        <v>920599.BJ</v>
      </c>
      <c r="X5396" s="276" t="str">
        <f>[1]!S_Info_Name(W5396)</f>
        <v>同力股份</v>
      </c>
      <c r="Y5396" s="276" t="str">
        <f ca="1">IF($Y$3="申万一级行业",[1]!s_info_industry_sw_2021(W5396,公司分析!D$5,1),IF($Y$3="申万二级行业",[1]!s_info_industry_sw_2021(W5396,公司分析!D$5,2),IF($Y$3="申万三级行业",[1]!s_info_industry_sw_2021(W5396,公司分析!D$5,3),IF($Y$3="wind一级行业",[1]!s_info_industry_gics(W5396,1),IF($Y$3="wind二级行业",[1]!s_info_industry_gics(W5396,2),IF($Y$3="wind三级行业",[1]!s_info_industry_gics(W5396,3),IF($Y$3="wind四级行业",[1]!s_info_industry_gics(W5396,4),IF($Y$3="证监会门类行业",[1]!s_info_industry_csrc12_n(W5396,公司分析!D$5,1),""))))))))</f>
        <v>工程机械</v>
      </c>
      <c r="Z5396" s="302" t="str">
        <f ca="1">IF(Y5396=行业比较!$E$6,ROW(),"")</f>
        <v/>
      </c>
    </row>
    <row r="5397" spans="22:26">
      <c r="V5397" s="260">
        <f t="shared" ca="1" si="92"/>
        <v>0</v>
      </c>
      <c r="W5397" s="348" t="str">
        <f>IF(板块成分!B5399="","",板块成分!B5399)</f>
        <v>920608.BJ</v>
      </c>
      <c r="X5397" s="276" t="str">
        <f>[1]!S_Info_Name(W5397)</f>
        <v>丰安股份</v>
      </c>
      <c r="Y5397" s="276" t="str">
        <f ca="1">IF($Y$3="申万一级行业",[1]!s_info_industry_sw_2021(W5397,公司分析!D$5,1),IF($Y$3="申万二级行业",[1]!s_info_industry_sw_2021(W5397,公司分析!D$5,2),IF($Y$3="申万三级行业",[1]!s_info_industry_sw_2021(W5397,公司分析!D$5,3),IF($Y$3="wind一级行业",[1]!s_info_industry_gics(W5397,1),IF($Y$3="wind二级行业",[1]!s_info_industry_gics(W5397,2),IF($Y$3="wind三级行业",[1]!s_info_industry_gics(W5397,3),IF($Y$3="wind四级行业",[1]!s_info_industry_gics(W5397,4),IF($Y$3="证监会门类行业",[1]!s_info_industry_csrc12_n(W5397,公司分析!D$5,1),""))))))))</f>
        <v>专用设备</v>
      </c>
      <c r="Z5397" s="302" t="str">
        <f ca="1">IF(Y5397=行业比较!$E$6,ROW(),"")</f>
        <v/>
      </c>
    </row>
    <row r="5398" spans="22:26">
      <c r="V5398" s="260">
        <f t="shared" ca="1" si="92"/>
        <v>0</v>
      </c>
      <c r="W5398" s="348" t="str">
        <f>IF(板块成分!B5400="","",板块成分!B5400)</f>
        <v>920627.BJ</v>
      </c>
      <c r="X5398" s="276" t="str">
        <f>[1]!S_Info_Name(W5398)</f>
        <v>力王股份</v>
      </c>
      <c r="Y5398" s="276" t="str">
        <f ca="1">IF($Y$3="申万一级行业",[1]!s_info_industry_sw_2021(W5398,公司分析!D$5,1),IF($Y$3="申万二级行业",[1]!s_info_industry_sw_2021(W5398,公司分析!D$5,2),IF($Y$3="申万三级行业",[1]!s_info_industry_sw_2021(W5398,公司分析!D$5,3),IF($Y$3="wind一级行业",[1]!s_info_industry_gics(W5398,1),IF($Y$3="wind二级行业",[1]!s_info_industry_gics(W5398,2),IF($Y$3="wind三级行业",[1]!s_info_industry_gics(W5398,3),IF($Y$3="wind四级行业",[1]!s_info_industry_gics(W5398,4),IF($Y$3="证监会门类行业",[1]!s_info_industry_csrc12_n(W5398,公司分析!D$5,1),""))))))))</f>
        <v>电池</v>
      </c>
      <c r="Z5398" s="302" t="str">
        <f ca="1">IF(Y5398=行业比较!$E$6,ROW(),"")</f>
        <v/>
      </c>
    </row>
    <row r="5399" spans="22:26">
      <c r="V5399" s="260">
        <f t="shared" ca="1" si="92"/>
        <v>61</v>
      </c>
      <c r="W5399" s="348" t="str">
        <f>IF(板块成分!B5401="","",板块成分!B5401)</f>
        <v>920634.BJ</v>
      </c>
      <c r="X5399" s="276" t="str">
        <f>[1]!S_Info_Name(W5399)</f>
        <v>新威凌</v>
      </c>
      <c r="Y5399" s="276" t="str">
        <f ca="1">IF($Y$3="申万一级行业",[1]!s_info_industry_sw_2021(W5399,公司分析!D$5,1),IF($Y$3="申万二级行业",[1]!s_info_industry_sw_2021(W5399,公司分析!D$5,2),IF($Y$3="申万三级行业",[1]!s_info_industry_sw_2021(W5399,公司分析!D$5,3),IF($Y$3="wind一级行业",[1]!s_info_industry_gics(W5399,1),IF($Y$3="wind二级行业",[1]!s_info_industry_gics(W5399,2),IF($Y$3="wind三级行业",[1]!s_info_industry_gics(W5399,3),IF($Y$3="wind四级行业",[1]!s_info_industry_gics(W5399,4),IF($Y$3="证监会门类行业",[1]!s_info_industry_csrc12_n(W5399,公司分析!D$5,1),""))))))))</f>
        <v>工业金属</v>
      </c>
      <c r="Z5399" s="302">
        <f ca="1">IF(Y5399=行业比较!$E$6,ROW(),"")</f>
        <v>5399</v>
      </c>
    </row>
    <row r="5400" spans="22:26">
      <c r="V5400" s="260">
        <f t="shared" ca="1" si="92"/>
        <v>0</v>
      </c>
      <c r="W5400" s="348" t="str">
        <f>IF(板块成分!B5402="","",板块成分!B5402)</f>
        <v>920639.BJ</v>
      </c>
      <c r="X5400" s="276" t="str">
        <f>[1]!S_Info_Name(W5400)</f>
        <v>晨光电缆</v>
      </c>
      <c r="Y5400" s="276" t="str">
        <f ca="1">IF($Y$3="申万一级行业",[1]!s_info_industry_sw_2021(W5400,公司分析!D$5,1),IF($Y$3="申万二级行业",[1]!s_info_industry_sw_2021(W5400,公司分析!D$5,2),IF($Y$3="申万三级行业",[1]!s_info_industry_sw_2021(W5400,公司分析!D$5,3),IF($Y$3="wind一级行业",[1]!s_info_industry_gics(W5400,1),IF($Y$3="wind二级行业",[1]!s_info_industry_gics(W5400,2),IF($Y$3="wind三级行业",[1]!s_info_industry_gics(W5400,3),IF($Y$3="wind四级行业",[1]!s_info_industry_gics(W5400,4),IF($Y$3="证监会门类行业",[1]!s_info_industry_csrc12_n(W5400,公司分析!D$5,1),""))))))))</f>
        <v>电网设备</v>
      </c>
      <c r="Z5400" s="302" t="str">
        <f ca="1">IF(Y5400=行业比较!$E$6,ROW(),"")</f>
        <v/>
      </c>
    </row>
    <row r="5401" spans="22:26">
      <c r="V5401" s="260">
        <f t="shared" ca="1" si="92"/>
        <v>0</v>
      </c>
      <c r="W5401" s="348" t="str">
        <f>IF(板块成分!B5403="","",板块成分!B5403)</f>
        <v>920640.BJ</v>
      </c>
      <c r="X5401" s="276" t="str">
        <f>[1]!S_Info_Name(W5401)</f>
        <v>富士达</v>
      </c>
      <c r="Y5401" s="276" t="str">
        <f ca="1">IF($Y$3="申万一级行业",[1]!s_info_industry_sw_2021(W5401,公司分析!D$5,1),IF($Y$3="申万二级行业",[1]!s_info_industry_sw_2021(W5401,公司分析!D$5,2),IF($Y$3="申万三级行业",[1]!s_info_industry_sw_2021(W5401,公司分析!D$5,3),IF($Y$3="wind一级行业",[1]!s_info_industry_gics(W5401,1),IF($Y$3="wind二级行业",[1]!s_info_industry_gics(W5401,2),IF($Y$3="wind三级行业",[1]!s_info_industry_gics(W5401,3),IF($Y$3="wind四级行业",[1]!s_info_industry_gics(W5401,4),IF($Y$3="证监会门类行业",[1]!s_info_industry_csrc12_n(W5401,公司分析!D$5,1),""))))))))</f>
        <v>通信设备</v>
      </c>
      <c r="Z5401" s="302" t="str">
        <f ca="1">IF(Y5401=行业比较!$E$6,ROW(),"")</f>
        <v/>
      </c>
    </row>
    <row r="5402" spans="22:26">
      <c r="V5402" s="260">
        <f t="shared" ca="1" si="92"/>
        <v>0</v>
      </c>
      <c r="W5402" s="348" t="str">
        <f>IF(板块成分!B5404="","",板块成分!B5404)</f>
        <v>920641.BJ</v>
      </c>
      <c r="X5402" s="276" t="str">
        <f>[1]!S_Info_Name(W5402)</f>
        <v>格利尔</v>
      </c>
      <c r="Y5402" s="276" t="str">
        <f ca="1">IF($Y$3="申万一级行业",[1]!s_info_industry_sw_2021(W5402,公司分析!D$5,1),IF($Y$3="申万二级行业",[1]!s_info_industry_sw_2021(W5402,公司分析!D$5,2),IF($Y$3="申万三级行业",[1]!s_info_industry_sw_2021(W5402,公司分析!D$5,3),IF($Y$3="wind一级行业",[1]!s_info_industry_gics(W5402,1),IF($Y$3="wind二级行业",[1]!s_info_industry_gics(W5402,2),IF($Y$3="wind三级行业",[1]!s_info_industry_gics(W5402,3),IF($Y$3="wind四级行业",[1]!s_info_industry_gics(W5402,4),IF($Y$3="证监会门类行业",[1]!s_info_industry_csrc12_n(W5402,公司分析!D$5,1),""))))))))</f>
        <v>照明设备Ⅱ</v>
      </c>
      <c r="Z5402" s="302" t="str">
        <f ca="1">IF(Y5402=行业比较!$E$6,ROW(),"")</f>
        <v/>
      </c>
    </row>
    <row r="5403" spans="22:26">
      <c r="V5403" s="260">
        <f t="shared" ca="1" si="92"/>
        <v>0</v>
      </c>
      <c r="W5403" s="348" t="str">
        <f>IF(板块成分!B5405="","",板块成分!B5405)</f>
        <v>920642.BJ</v>
      </c>
      <c r="X5403" s="276" t="str">
        <f>[1]!S_Info_Name(W5403)</f>
        <v>通易航天</v>
      </c>
      <c r="Y5403" s="276" t="str">
        <f ca="1">IF($Y$3="申万一级行业",[1]!s_info_industry_sw_2021(W5403,公司分析!D$5,1),IF($Y$3="申万二级行业",[1]!s_info_industry_sw_2021(W5403,公司分析!D$5,2),IF($Y$3="申万三级行业",[1]!s_info_industry_sw_2021(W5403,公司分析!D$5,3),IF($Y$3="wind一级行业",[1]!s_info_industry_gics(W5403,1),IF($Y$3="wind二级行业",[1]!s_info_industry_gics(W5403,2),IF($Y$3="wind三级行业",[1]!s_info_industry_gics(W5403,3),IF($Y$3="wind四级行业",[1]!s_info_industry_gics(W5403,4),IF($Y$3="证监会门类行业",[1]!s_info_industry_csrc12_n(W5403,公司分析!D$5,1),""))))))))</f>
        <v>航空装备Ⅱ</v>
      </c>
      <c r="Z5403" s="302" t="str">
        <f ca="1">IF(Y5403=行业比较!$E$6,ROW(),"")</f>
        <v/>
      </c>
    </row>
    <row r="5404" spans="22:26">
      <c r="V5404" s="260">
        <f t="shared" ca="1" si="92"/>
        <v>0</v>
      </c>
      <c r="W5404" s="348" t="str">
        <f>IF(板块成分!B5406="","",板块成分!B5406)</f>
        <v>920651.BJ</v>
      </c>
      <c r="X5404" s="276" t="str">
        <f>[1]!S_Info_Name(W5404)</f>
        <v>天罡股份</v>
      </c>
      <c r="Y5404" s="276" t="str">
        <f ca="1">IF($Y$3="申万一级行业",[1]!s_info_industry_sw_2021(W5404,公司分析!D$5,1),IF($Y$3="申万二级行业",[1]!s_info_industry_sw_2021(W5404,公司分析!D$5,2),IF($Y$3="申万三级行业",[1]!s_info_industry_sw_2021(W5404,公司分析!D$5,3),IF($Y$3="wind一级行业",[1]!s_info_industry_gics(W5404,1),IF($Y$3="wind二级行业",[1]!s_info_industry_gics(W5404,2),IF($Y$3="wind三级行业",[1]!s_info_industry_gics(W5404,3),IF($Y$3="wind四级行业",[1]!s_info_industry_gics(W5404,4),IF($Y$3="证监会门类行业",[1]!s_info_industry_csrc12_n(W5404,公司分析!D$5,1),""))))))))</f>
        <v>通用设备</v>
      </c>
      <c r="Z5404" s="302" t="str">
        <f ca="1">IF(Y5404=行业比较!$E$6,ROW(),"")</f>
        <v/>
      </c>
    </row>
    <row r="5405" spans="22:26">
      <c r="V5405" s="260">
        <f t="shared" ca="1" si="92"/>
        <v>0</v>
      </c>
      <c r="W5405" s="348" t="str">
        <f>IF(板块成分!B5407="","",板块成分!B5407)</f>
        <v>920656.BJ</v>
      </c>
      <c r="X5405" s="276" t="str">
        <f>[1]!S_Info_Name(W5405)</f>
        <v>海昇药业</v>
      </c>
      <c r="Y5405" s="276" t="str">
        <f ca="1">IF($Y$3="申万一级行业",[1]!s_info_industry_sw_2021(W5405,公司分析!D$5,1),IF($Y$3="申万二级行业",[1]!s_info_industry_sw_2021(W5405,公司分析!D$5,2),IF($Y$3="申万三级行业",[1]!s_info_industry_sw_2021(W5405,公司分析!D$5,3),IF($Y$3="wind一级行业",[1]!s_info_industry_gics(W5405,1),IF($Y$3="wind二级行业",[1]!s_info_industry_gics(W5405,2),IF($Y$3="wind三级行业",[1]!s_info_industry_gics(W5405,3),IF($Y$3="wind四级行业",[1]!s_info_industry_gics(W5405,4),IF($Y$3="证监会门类行业",[1]!s_info_industry_csrc12_n(W5405,公司分析!D$5,1),""))))))))</f>
        <v>化学制药</v>
      </c>
      <c r="Z5405" s="302" t="str">
        <f ca="1">IF(Y5405=行业比较!$E$6,ROW(),"")</f>
        <v/>
      </c>
    </row>
    <row r="5406" spans="22:26">
      <c r="V5406" s="260">
        <f t="shared" ca="1" si="92"/>
        <v>0</v>
      </c>
      <c r="W5406" s="348" t="str">
        <f>IF(板块成分!B5408="","",板块成分!B5408)</f>
        <v>920662.BJ</v>
      </c>
      <c r="X5406" s="276" t="str">
        <f>[1]!S_Info_Name(W5406)</f>
        <v>方盛股份</v>
      </c>
      <c r="Y5406" s="276" t="str">
        <f ca="1">IF($Y$3="申万一级行业",[1]!s_info_industry_sw_2021(W5406,公司分析!D$5,1),IF($Y$3="申万二级行业",[1]!s_info_industry_sw_2021(W5406,公司分析!D$5,2),IF($Y$3="申万三级行业",[1]!s_info_industry_sw_2021(W5406,公司分析!D$5,3),IF($Y$3="wind一级行业",[1]!s_info_industry_gics(W5406,1),IF($Y$3="wind二级行业",[1]!s_info_industry_gics(W5406,2),IF($Y$3="wind三级行业",[1]!s_info_industry_gics(W5406,3),IF($Y$3="wind四级行业",[1]!s_info_industry_gics(W5406,4),IF($Y$3="证监会门类行业",[1]!s_info_industry_csrc12_n(W5406,公司分析!D$5,1),""))))))))</f>
        <v>通用设备</v>
      </c>
      <c r="Z5406" s="302" t="str">
        <f ca="1">IF(Y5406=行业比较!$E$6,ROW(),"")</f>
        <v/>
      </c>
    </row>
    <row r="5407" spans="22:26">
      <c r="V5407" s="260">
        <f t="shared" ca="1" si="92"/>
        <v>0</v>
      </c>
      <c r="W5407" s="348" t="str">
        <f>IF(板块成分!B5409="","",板块成分!B5409)</f>
        <v>920663.BJ</v>
      </c>
      <c r="X5407" s="276" t="str">
        <f>[1]!S_Info_Name(W5407)</f>
        <v>明阳科技</v>
      </c>
      <c r="Y5407" s="276" t="str">
        <f ca="1">IF($Y$3="申万一级行业",[1]!s_info_industry_sw_2021(W5407,公司分析!D$5,1),IF($Y$3="申万二级行业",[1]!s_info_industry_sw_2021(W5407,公司分析!D$5,2),IF($Y$3="申万三级行业",[1]!s_info_industry_sw_2021(W5407,公司分析!D$5,3),IF($Y$3="wind一级行业",[1]!s_info_industry_gics(W5407,1),IF($Y$3="wind二级行业",[1]!s_info_industry_gics(W5407,2),IF($Y$3="wind三级行业",[1]!s_info_industry_gics(W5407,3),IF($Y$3="wind四级行业",[1]!s_info_industry_gics(W5407,4),IF($Y$3="证监会门类行业",[1]!s_info_industry_csrc12_n(W5407,公司分析!D$5,1),""))))))))</f>
        <v>汽车零部件</v>
      </c>
      <c r="Z5407" s="302" t="str">
        <f ca="1">IF(Y5407=行业比较!$E$6,ROW(),"")</f>
        <v/>
      </c>
    </row>
    <row r="5408" spans="22:26">
      <c r="V5408" s="260">
        <f t="shared" ca="1" si="92"/>
        <v>0</v>
      </c>
      <c r="W5408" s="348" t="str">
        <f>IF(板块成分!B5410="","",板块成分!B5410)</f>
        <v>920665.BJ</v>
      </c>
      <c r="X5408" s="276" t="str">
        <f>[1]!S_Info_Name(W5408)</f>
        <v>科强股份</v>
      </c>
      <c r="Y5408" s="276" t="str">
        <f ca="1">IF($Y$3="申万一级行业",[1]!s_info_industry_sw_2021(W5408,公司分析!D$5,1),IF($Y$3="申万二级行业",[1]!s_info_industry_sw_2021(W5408,公司分析!D$5,2),IF($Y$3="申万三级行业",[1]!s_info_industry_sw_2021(W5408,公司分析!D$5,3),IF($Y$3="wind一级行业",[1]!s_info_industry_gics(W5408,1),IF($Y$3="wind二级行业",[1]!s_info_industry_gics(W5408,2),IF($Y$3="wind三级行业",[1]!s_info_industry_gics(W5408,3),IF($Y$3="wind四级行业",[1]!s_info_industry_gics(W5408,4),IF($Y$3="证监会门类行业",[1]!s_info_industry_csrc12_n(W5408,公司分析!D$5,1),""))))))))</f>
        <v>橡胶</v>
      </c>
      <c r="Z5408" s="302" t="str">
        <f ca="1">IF(Y5408=行业比较!$E$6,ROW(),"")</f>
        <v/>
      </c>
    </row>
    <row r="5409" spans="22:26">
      <c r="V5409" s="260">
        <f t="shared" ca="1" si="92"/>
        <v>0</v>
      </c>
      <c r="W5409" s="348" t="str">
        <f>IF(板块成分!B5411="","",板块成分!B5411)</f>
        <v>920670.BJ</v>
      </c>
      <c r="X5409" s="276" t="str">
        <f>[1]!S_Info_Name(W5409)</f>
        <v>数字人</v>
      </c>
      <c r="Y5409" s="276" t="str">
        <f ca="1">IF($Y$3="申万一级行业",[1]!s_info_industry_sw_2021(W5409,公司分析!D$5,1),IF($Y$3="申万二级行业",[1]!s_info_industry_sw_2021(W5409,公司分析!D$5,2),IF($Y$3="申万三级行业",[1]!s_info_industry_sw_2021(W5409,公司分析!D$5,3),IF($Y$3="wind一级行业",[1]!s_info_industry_gics(W5409,1),IF($Y$3="wind二级行业",[1]!s_info_industry_gics(W5409,2),IF($Y$3="wind三级行业",[1]!s_info_industry_gics(W5409,3),IF($Y$3="wind四级行业",[1]!s_info_industry_gics(W5409,4),IF($Y$3="证监会门类行业",[1]!s_info_industry_csrc12_n(W5409,公司分析!D$5,1),""))))))))</f>
        <v>医疗服务</v>
      </c>
      <c r="Z5409" s="302" t="str">
        <f ca="1">IF(Y5409=行业比较!$E$6,ROW(),"")</f>
        <v/>
      </c>
    </row>
    <row r="5410" spans="22:26">
      <c r="V5410" s="260">
        <f t="shared" ca="1" si="92"/>
        <v>0</v>
      </c>
      <c r="W5410" s="348" t="str">
        <f>IF(板块成分!B5412="","",板块成分!B5412)</f>
        <v>920675.BJ</v>
      </c>
      <c r="X5410" s="276" t="str">
        <f>[1]!S_Info_Name(W5410)</f>
        <v>秉扬科技</v>
      </c>
      <c r="Y5410" s="276" t="str">
        <f ca="1">IF($Y$3="申万一级行业",[1]!s_info_industry_sw_2021(W5410,公司分析!D$5,1),IF($Y$3="申万二级行业",[1]!s_info_industry_sw_2021(W5410,公司分析!D$5,2),IF($Y$3="申万三级行业",[1]!s_info_industry_sw_2021(W5410,公司分析!D$5,3),IF($Y$3="wind一级行业",[1]!s_info_industry_gics(W5410,1),IF($Y$3="wind二级行业",[1]!s_info_industry_gics(W5410,2),IF($Y$3="wind三级行业",[1]!s_info_industry_gics(W5410,3),IF($Y$3="wind四级行业",[1]!s_info_industry_gics(W5410,4),IF($Y$3="证监会门类行业",[1]!s_info_industry_csrc12_n(W5410,公司分析!D$5,1),""))))))))</f>
        <v>非金属材料Ⅱ</v>
      </c>
      <c r="Z5410" s="302" t="str">
        <f ca="1">IF(Y5410=行业比较!$E$6,ROW(),"")</f>
        <v/>
      </c>
    </row>
    <row r="5411" spans="22:26">
      <c r="V5411" s="260">
        <f t="shared" ca="1" si="92"/>
        <v>0</v>
      </c>
      <c r="W5411" s="348" t="str">
        <f>IF(板块成分!B5413="","",板块成分!B5413)</f>
        <v>920679.BJ</v>
      </c>
      <c r="X5411" s="276" t="str">
        <f>[1]!S_Info_Name(W5411)</f>
        <v>前进科技</v>
      </c>
      <c r="Y5411" s="276" t="str">
        <f ca="1">IF($Y$3="申万一级行业",[1]!s_info_industry_sw_2021(W5411,公司分析!D$5,1),IF($Y$3="申万二级行业",[1]!s_info_industry_sw_2021(W5411,公司分析!D$5,2),IF($Y$3="申万三级行业",[1]!s_info_industry_sw_2021(W5411,公司分析!D$5,3),IF($Y$3="wind一级行业",[1]!s_info_industry_gics(W5411,1),IF($Y$3="wind二级行业",[1]!s_info_industry_gics(W5411,2),IF($Y$3="wind三级行业",[1]!s_info_industry_gics(W5411,3),IF($Y$3="wind四级行业",[1]!s_info_industry_gics(W5411,4),IF($Y$3="证监会门类行业",[1]!s_info_industry_csrc12_n(W5411,公司分析!D$5,1),""))))))))</f>
        <v>通用设备</v>
      </c>
      <c r="Z5411" s="302" t="str">
        <f ca="1">IF(Y5411=行业比较!$E$6,ROW(),"")</f>
        <v/>
      </c>
    </row>
    <row r="5412" spans="22:26">
      <c r="V5412" s="260">
        <f t="shared" ca="1" si="92"/>
        <v>0</v>
      </c>
      <c r="W5412" s="348" t="str">
        <f>IF(板块成分!B5414="","",板块成分!B5414)</f>
        <v>920682.BJ</v>
      </c>
      <c r="X5412" s="276" t="str">
        <f>[1]!S_Info_Name(W5412)</f>
        <v>球冠电缆</v>
      </c>
      <c r="Y5412" s="276" t="str">
        <f ca="1">IF($Y$3="申万一级行业",[1]!s_info_industry_sw_2021(W5412,公司分析!D$5,1),IF($Y$3="申万二级行业",[1]!s_info_industry_sw_2021(W5412,公司分析!D$5,2),IF($Y$3="申万三级行业",[1]!s_info_industry_sw_2021(W5412,公司分析!D$5,3),IF($Y$3="wind一级行业",[1]!s_info_industry_gics(W5412,1),IF($Y$3="wind二级行业",[1]!s_info_industry_gics(W5412,2),IF($Y$3="wind三级行业",[1]!s_info_industry_gics(W5412,3),IF($Y$3="wind四级行业",[1]!s_info_industry_gics(W5412,4),IF($Y$3="证监会门类行业",[1]!s_info_industry_csrc12_n(W5412,公司分析!D$5,1),""))))))))</f>
        <v>电网设备</v>
      </c>
      <c r="Z5412" s="302" t="str">
        <f ca="1">IF(Y5412=行业比较!$E$6,ROW(),"")</f>
        <v/>
      </c>
    </row>
    <row r="5413" spans="22:26">
      <c r="V5413" s="260">
        <f t="shared" ca="1" si="92"/>
        <v>0</v>
      </c>
      <c r="W5413" s="348" t="str">
        <f>IF(板块成分!B5415="","",板块成分!B5415)</f>
        <v>920685.BJ</v>
      </c>
      <c r="X5413" s="276" t="str">
        <f>[1]!S_Info_Name(W5413)</f>
        <v>新芝生物</v>
      </c>
      <c r="Y5413" s="276" t="str">
        <f ca="1">IF($Y$3="申万一级行业",[1]!s_info_industry_sw_2021(W5413,公司分析!D$5,1),IF($Y$3="申万二级行业",[1]!s_info_industry_sw_2021(W5413,公司分析!D$5,2),IF($Y$3="申万三级行业",[1]!s_info_industry_sw_2021(W5413,公司分析!D$5,3),IF($Y$3="wind一级行业",[1]!s_info_industry_gics(W5413,1),IF($Y$3="wind二级行业",[1]!s_info_industry_gics(W5413,2),IF($Y$3="wind三级行业",[1]!s_info_industry_gics(W5413,3),IF($Y$3="wind四级行业",[1]!s_info_industry_gics(W5413,4),IF($Y$3="证监会门类行业",[1]!s_info_industry_csrc12_n(W5413,公司分析!D$5,1),""))))))))</f>
        <v>通用设备</v>
      </c>
      <c r="Z5413" s="302" t="str">
        <f ca="1">IF(Y5413=行业比较!$E$6,ROW(),"")</f>
        <v/>
      </c>
    </row>
    <row r="5414" spans="22:26">
      <c r="V5414" s="260">
        <f t="shared" ca="1" si="92"/>
        <v>0</v>
      </c>
      <c r="W5414" s="348" t="str">
        <f>IF(板块成分!B5416="","",板块成分!B5416)</f>
        <v>920689.BJ</v>
      </c>
      <c r="X5414" s="276" t="str">
        <f>[1]!S_Info_Name(W5414)</f>
        <v>克莱特</v>
      </c>
      <c r="Y5414" s="276" t="str">
        <f ca="1">IF($Y$3="申万一级行业",[1]!s_info_industry_sw_2021(W5414,公司分析!D$5,1),IF($Y$3="申万二级行业",[1]!s_info_industry_sw_2021(W5414,公司分析!D$5,2),IF($Y$3="申万三级行业",[1]!s_info_industry_sw_2021(W5414,公司分析!D$5,3),IF($Y$3="wind一级行业",[1]!s_info_industry_gics(W5414,1),IF($Y$3="wind二级行业",[1]!s_info_industry_gics(W5414,2),IF($Y$3="wind三级行业",[1]!s_info_industry_gics(W5414,3),IF($Y$3="wind四级行业",[1]!s_info_industry_gics(W5414,4),IF($Y$3="证监会门类行业",[1]!s_info_industry_csrc12_n(W5414,公司分析!D$5,1),""))))))))</f>
        <v>通用设备</v>
      </c>
      <c r="Z5414" s="302" t="str">
        <f ca="1">IF(Y5414=行业比较!$E$6,ROW(),"")</f>
        <v/>
      </c>
    </row>
    <row r="5415" spans="22:26">
      <c r="V5415" s="260">
        <f t="shared" ca="1" si="92"/>
        <v>0</v>
      </c>
      <c r="W5415" s="348" t="str">
        <f>IF(板块成分!B5417="","",板块成分!B5417)</f>
        <v>920690.BJ</v>
      </c>
      <c r="X5415" s="276" t="str">
        <f>[1]!S_Info_Name(W5415)</f>
        <v>捷众科技</v>
      </c>
      <c r="Y5415" s="276" t="str">
        <f ca="1">IF($Y$3="申万一级行业",[1]!s_info_industry_sw_2021(W5415,公司分析!D$5,1),IF($Y$3="申万二级行业",[1]!s_info_industry_sw_2021(W5415,公司分析!D$5,2),IF($Y$3="申万三级行业",[1]!s_info_industry_sw_2021(W5415,公司分析!D$5,3),IF($Y$3="wind一级行业",[1]!s_info_industry_gics(W5415,1),IF($Y$3="wind二级行业",[1]!s_info_industry_gics(W5415,2),IF($Y$3="wind三级行业",[1]!s_info_industry_gics(W5415,3),IF($Y$3="wind四级行业",[1]!s_info_industry_gics(W5415,4),IF($Y$3="证监会门类行业",[1]!s_info_industry_csrc12_n(W5415,公司分析!D$5,1),""))))))))</f>
        <v>汽车零部件</v>
      </c>
      <c r="Z5415" s="302" t="str">
        <f ca="1">IF(Y5415=行业比较!$E$6,ROW(),"")</f>
        <v/>
      </c>
    </row>
    <row r="5416" spans="22:26">
      <c r="V5416" s="260">
        <f t="shared" ref="V5416:V5479" ca="1" si="93">IF(Z5416="",0,RANK(Z5416,Z:Z,1))</f>
        <v>0</v>
      </c>
      <c r="W5416" s="348" t="str">
        <f>IF(板块成分!B5418="","",板块成分!B5418)</f>
        <v>920693.BJ</v>
      </c>
      <c r="X5416" s="276" t="str">
        <f>[1]!S_Info_Name(W5416)</f>
        <v>阿为特</v>
      </c>
      <c r="Y5416" s="276" t="str">
        <f ca="1">IF($Y$3="申万一级行业",[1]!s_info_industry_sw_2021(W5416,公司分析!D$5,1),IF($Y$3="申万二级行业",[1]!s_info_industry_sw_2021(W5416,公司分析!D$5,2),IF($Y$3="申万三级行业",[1]!s_info_industry_sw_2021(W5416,公司分析!D$5,3),IF($Y$3="wind一级行业",[1]!s_info_industry_gics(W5416,1),IF($Y$3="wind二级行业",[1]!s_info_industry_gics(W5416,2),IF($Y$3="wind三级行业",[1]!s_info_industry_gics(W5416,3),IF($Y$3="wind四级行业",[1]!s_info_industry_gics(W5416,4),IF($Y$3="证监会门类行业",[1]!s_info_industry_csrc12_n(W5416,公司分析!D$5,1),""))))))))</f>
        <v>通用设备</v>
      </c>
      <c r="Z5416" s="302" t="str">
        <f ca="1">IF(Y5416=行业比较!$E$6,ROW(),"")</f>
        <v/>
      </c>
    </row>
    <row r="5417" spans="22:26">
      <c r="V5417" s="260">
        <f t="shared" ca="1" si="93"/>
        <v>0</v>
      </c>
      <c r="W5417" s="348" t="str">
        <f>IF(板块成分!B5419="","",板块成分!B5419)</f>
        <v>920694.BJ</v>
      </c>
      <c r="X5417" s="276" t="str">
        <f>[1]!S_Info_Name(W5417)</f>
        <v>中裕科技</v>
      </c>
      <c r="Y5417" s="276" t="str">
        <f ca="1">IF($Y$3="申万一级行业",[1]!s_info_industry_sw_2021(W5417,公司分析!D$5,1),IF($Y$3="申万二级行业",[1]!s_info_industry_sw_2021(W5417,公司分析!D$5,2),IF($Y$3="申万三级行业",[1]!s_info_industry_sw_2021(W5417,公司分析!D$5,3),IF($Y$3="wind一级行业",[1]!s_info_industry_gics(W5417,1),IF($Y$3="wind二级行业",[1]!s_info_industry_gics(W5417,2),IF($Y$3="wind三级行业",[1]!s_info_industry_gics(W5417,3),IF($Y$3="wind四级行业",[1]!s_info_industry_gics(W5417,4),IF($Y$3="证监会门类行业",[1]!s_info_industry_csrc12_n(W5417,公司分析!D$5,1),""))))))))</f>
        <v>橡胶</v>
      </c>
      <c r="Z5417" s="302" t="str">
        <f ca="1">IF(Y5417=行业比较!$E$6,ROW(),"")</f>
        <v/>
      </c>
    </row>
    <row r="5418" spans="22:26">
      <c r="V5418" s="260">
        <f t="shared" ca="1" si="93"/>
        <v>0</v>
      </c>
      <c r="W5418" s="348" t="str">
        <f>IF(板块成分!B5420="","",板块成分!B5420)</f>
        <v>920699.BJ</v>
      </c>
      <c r="X5418" s="276" t="str">
        <f>[1]!S_Info_Name(W5418)</f>
        <v>海达尔</v>
      </c>
      <c r="Y5418" s="276" t="str">
        <f ca="1">IF($Y$3="申万一级行业",[1]!s_info_industry_sw_2021(W5418,公司分析!D$5,1),IF($Y$3="申万二级行业",[1]!s_info_industry_sw_2021(W5418,公司分析!D$5,2),IF($Y$3="申万三级行业",[1]!s_info_industry_sw_2021(W5418,公司分析!D$5,3),IF($Y$3="wind一级行业",[1]!s_info_industry_gics(W5418,1),IF($Y$3="wind二级行业",[1]!s_info_industry_gics(W5418,2),IF($Y$3="wind三级行业",[1]!s_info_industry_gics(W5418,3),IF($Y$3="wind四级行业",[1]!s_info_industry_gics(W5418,4),IF($Y$3="证监会门类行业",[1]!s_info_industry_csrc12_n(W5418,公司分析!D$5,1),""))))))))</f>
        <v>家电零部件Ⅱ</v>
      </c>
      <c r="Z5418" s="302" t="str">
        <f ca="1">IF(Y5418=行业比较!$E$6,ROW(),"")</f>
        <v/>
      </c>
    </row>
    <row r="5419" spans="22:26">
      <c r="V5419" s="260">
        <f t="shared" ca="1" si="93"/>
        <v>0</v>
      </c>
      <c r="W5419" s="348" t="str">
        <f>IF(板块成分!B5421="","",板块成分!B5421)</f>
        <v>920701.BJ</v>
      </c>
      <c r="X5419" s="276" t="str">
        <f>[1]!S_Info_Name(W5419)</f>
        <v>豪声电子</v>
      </c>
      <c r="Y5419" s="276" t="str">
        <f ca="1">IF($Y$3="申万一级行业",[1]!s_info_industry_sw_2021(W5419,公司分析!D$5,1),IF($Y$3="申万二级行业",[1]!s_info_industry_sw_2021(W5419,公司分析!D$5,2),IF($Y$3="申万三级行业",[1]!s_info_industry_sw_2021(W5419,公司分析!D$5,3),IF($Y$3="wind一级行业",[1]!s_info_industry_gics(W5419,1),IF($Y$3="wind二级行业",[1]!s_info_industry_gics(W5419,2),IF($Y$3="wind三级行业",[1]!s_info_industry_gics(W5419,3),IF($Y$3="wind四级行业",[1]!s_info_industry_gics(W5419,4),IF($Y$3="证监会门类行业",[1]!s_info_industry_csrc12_n(W5419,公司分析!D$5,1),""))))))))</f>
        <v>消费电子</v>
      </c>
      <c r="Z5419" s="302" t="str">
        <f ca="1">IF(Y5419=行业比较!$E$6,ROW(),"")</f>
        <v/>
      </c>
    </row>
    <row r="5420" spans="22:26">
      <c r="V5420" s="260">
        <f t="shared" ca="1" si="93"/>
        <v>0</v>
      </c>
      <c r="W5420" s="348" t="str">
        <f>IF(板块成分!B5422="","",板块成分!B5422)</f>
        <v>920703.BJ</v>
      </c>
      <c r="X5420" s="276" t="str">
        <f>[1]!S_Info_Name(W5420)</f>
        <v>广厦环能</v>
      </c>
      <c r="Y5420" s="276" t="str">
        <f ca="1">IF($Y$3="申万一级行业",[1]!s_info_industry_sw_2021(W5420,公司分析!D$5,1),IF($Y$3="申万二级行业",[1]!s_info_industry_sw_2021(W5420,公司分析!D$5,2),IF($Y$3="申万三级行业",[1]!s_info_industry_sw_2021(W5420,公司分析!D$5,3),IF($Y$3="wind一级行业",[1]!s_info_industry_gics(W5420,1),IF($Y$3="wind二级行业",[1]!s_info_industry_gics(W5420,2),IF($Y$3="wind三级行业",[1]!s_info_industry_gics(W5420,3),IF($Y$3="wind四级行业",[1]!s_info_industry_gics(W5420,4),IF($Y$3="证监会门类行业",[1]!s_info_industry_csrc12_n(W5420,公司分析!D$5,1),""))))))))</f>
        <v>专用设备</v>
      </c>
      <c r="Z5420" s="302" t="str">
        <f ca="1">IF(Y5420=行业比较!$E$6,ROW(),"")</f>
        <v/>
      </c>
    </row>
    <row r="5421" spans="22:26">
      <c r="V5421" s="260">
        <f t="shared" ca="1" si="93"/>
        <v>0</v>
      </c>
      <c r="W5421" s="348" t="str">
        <f>IF(板块成分!B5423="","",板块成分!B5423)</f>
        <v>920706.BJ</v>
      </c>
      <c r="X5421" s="276" t="str">
        <f>[1]!S_Info_Name(W5421)</f>
        <v>铁拓机械</v>
      </c>
      <c r="Y5421" s="276" t="str">
        <f ca="1">IF($Y$3="申万一级行业",[1]!s_info_industry_sw_2021(W5421,公司分析!D$5,1),IF($Y$3="申万二级行业",[1]!s_info_industry_sw_2021(W5421,公司分析!D$5,2),IF($Y$3="申万三级行业",[1]!s_info_industry_sw_2021(W5421,公司分析!D$5,3),IF($Y$3="wind一级行业",[1]!s_info_industry_gics(W5421,1),IF($Y$3="wind二级行业",[1]!s_info_industry_gics(W5421,2),IF($Y$3="wind三级行业",[1]!s_info_industry_gics(W5421,3),IF($Y$3="wind四级行业",[1]!s_info_industry_gics(W5421,4),IF($Y$3="证监会门类行业",[1]!s_info_industry_csrc12_n(W5421,公司分析!D$5,1),""))))))))</f>
        <v>工程机械</v>
      </c>
      <c r="Z5421" s="302" t="str">
        <f ca="1">IF(Y5421=行业比较!$E$6,ROW(),"")</f>
        <v/>
      </c>
    </row>
    <row r="5422" spans="22:26">
      <c r="V5422" s="260">
        <f t="shared" ca="1" si="93"/>
        <v>0</v>
      </c>
      <c r="W5422" s="348" t="str">
        <f>IF(板块成分!B5424="","",板块成分!B5424)</f>
        <v>920717.BJ</v>
      </c>
      <c r="X5422" s="276" t="str">
        <f>[1]!S_Info_Name(W5422)</f>
        <v>瑞星股份</v>
      </c>
      <c r="Y5422" s="276" t="str">
        <f ca="1">IF($Y$3="申万一级行业",[1]!s_info_industry_sw_2021(W5422,公司分析!D$5,1),IF($Y$3="申万二级行业",[1]!s_info_industry_sw_2021(W5422,公司分析!D$5,2),IF($Y$3="申万三级行业",[1]!s_info_industry_sw_2021(W5422,公司分析!D$5,3),IF($Y$3="wind一级行业",[1]!s_info_industry_gics(W5422,1),IF($Y$3="wind二级行业",[1]!s_info_industry_gics(W5422,2),IF($Y$3="wind三级行业",[1]!s_info_industry_gics(W5422,3),IF($Y$3="wind四级行业",[1]!s_info_industry_gics(W5422,4),IF($Y$3="证监会门类行业",[1]!s_info_industry_csrc12_n(W5422,公司分析!D$5,1),""))))))))</f>
        <v>专用设备</v>
      </c>
      <c r="Z5422" s="302" t="str">
        <f ca="1">IF(Y5422=行业比较!$E$6,ROW(),"")</f>
        <v/>
      </c>
    </row>
    <row r="5423" spans="22:26">
      <c r="V5423" s="260">
        <f t="shared" ca="1" si="93"/>
        <v>0</v>
      </c>
      <c r="W5423" s="348" t="str">
        <f>IF(板块成分!B5425="","",板块成分!B5425)</f>
        <v>920718.BJ</v>
      </c>
      <c r="X5423" s="276" t="str">
        <f>[1]!S_Info_Name(W5423)</f>
        <v>合肥高科</v>
      </c>
      <c r="Y5423" s="276" t="str">
        <f ca="1">IF($Y$3="申万一级行业",[1]!s_info_industry_sw_2021(W5423,公司分析!D$5,1),IF($Y$3="申万二级行业",[1]!s_info_industry_sw_2021(W5423,公司分析!D$5,2),IF($Y$3="申万三级行业",[1]!s_info_industry_sw_2021(W5423,公司分析!D$5,3),IF($Y$3="wind一级行业",[1]!s_info_industry_gics(W5423,1),IF($Y$3="wind二级行业",[1]!s_info_industry_gics(W5423,2),IF($Y$3="wind三级行业",[1]!s_info_industry_gics(W5423,3),IF($Y$3="wind四级行业",[1]!s_info_industry_gics(W5423,4),IF($Y$3="证监会门类行业",[1]!s_info_industry_csrc12_n(W5423,公司分析!D$5,1),""))))))))</f>
        <v>家电零部件Ⅱ</v>
      </c>
      <c r="Z5423" s="302" t="str">
        <f ca="1">IF(Y5423=行业比较!$E$6,ROW(),"")</f>
        <v/>
      </c>
    </row>
    <row r="5424" spans="22:26">
      <c r="V5424" s="260">
        <f t="shared" ca="1" si="93"/>
        <v>0</v>
      </c>
      <c r="W5424" s="348" t="str">
        <f>IF(板块成分!B5426="","",板块成分!B5426)</f>
        <v>920719.BJ</v>
      </c>
      <c r="X5424" s="276" t="str">
        <f>[1]!S_Info_Name(W5424)</f>
        <v>宁新新材</v>
      </c>
      <c r="Y5424" s="276" t="str">
        <f ca="1">IF($Y$3="申万一级行业",[1]!s_info_industry_sw_2021(W5424,公司分析!D$5,1),IF($Y$3="申万二级行业",[1]!s_info_industry_sw_2021(W5424,公司分析!D$5,2),IF($Y$3="申万三级行业",[1]!s_info_industry_sw_2021(W5424,公司分析!D$5,3),IF($Y$3="wind一级行业",[1]!s_info_industry_gics(W5424,1),IF($Y$3="wind二级行业",[1]!s_info_industry_gics(W5424,2),IF($Y$3="wind三级行业",[1]!s_info_industry_gics(W5424,3),IF($Y$3="wind四级行业",[1]!s_info_industry_gics(W5424,4),IF($Y$3="证监会门类行业",[1]!s_info_industry_csrc12_n(W5424,公司分析!D$5,1),""))))))))</f>
        <v>非金属材料Ⅱ</v>
      </c>
      <c r="Z5424" s="302" t="str">
        <f ca="1">IF(Y5424=行业比较!$E$6,ROW(),"")</f>
        <v/>
      </c>
    </row>
    <row r="5425" spans="22:26">
      <c r="V5425" s="260">
        <f t="shared" ca="1" si="93"/>
        <v>0</v>
      </c>
      <c r="W5425" s="348" t="str">
        <f>IF(板块成分!B5427="","",板块成分!B5427)</f>
        <v>920720.BJ</v>
      </c>
      <c r="X5425" s="276" t="str">
        <f>[1]!S_Info_Name(W5425)</f>
        <v>吉冈精密</v>
      </c>
      <c r="Y5425" s="276" t="str">
        <f ca="1">IF($Y$3="申万一级行业",[1]!s_info_industry_sw_2021(W5425,公司分析!D$5,1),IF($Y$3="申万二级行业",[1]!s_info_industry_sw_2021(W5425,公司分析!D$5,2),IF($Y$3="申万三级行业",[1]!s_info_industry_sw_2021(W5425,公司分析!D$5,3),IF($Y$3="wind一级行业",[1]!s_info_industry_gics(W5425,1),IF($Y$3="wind二级行业",[1]!s_info_industry_gics(W5425,2),IF($Y$3="wind三级行业",[1]!s_info_industry_gics(W5425,3),IF($Y$3="wind四级行业",[1]!s_info_industry_gics(W5425,4),IF($Y$3="证监会门类行业",[1]!s_info_industry_csrc12_n(W5425,公司分析!D$5,1),""))))))))</f>
        <v>通用设备</v>
      </c>
      <c r="Z5425" s="302" t="str">
        <f ca="1">IF(Y5425=行业比较!$E$6,ROW(),"")</f>
        <v/>
      </c>
    </row>
    <row r="5426" spans="22:26">
      <c r="V5426" s="260">
        <f t="shared" ca="1" si="93"/>
        <v>0</v>
      </c>
      <c r="W5426" s="348" t="str">
        <f>IF(板块成分!B5428="","",板块成分!B5428)</f>
        <v>920725.BJ</v>
      </c>
      <c r="X5426" s="276" t="str">
        <f>[1]!S_Info_Name(W5426)</f>
        <v>惠丰钻石</v>
      </c>
      <c r="Y5426" s="276" t="str">
        <f ca="1">IF($Y$3="申万一级行业",[1]!s_info_industry_sw_2021(W5426,公司分析!D$5,1),IF($Y$3="申万二级行业",[1]!s_info_industry_sw_2021(W5426,公司分析!D$5,2),IF($Y$3="申万三级行业",[1]!s_info_industry_sw_2021(W5426,公司分析!D$5,3),IF($Y$3="wind一级行业",[1]!s_info_industry_gics(W5426,1),IF($Y$3="wind二级行业",[1]!s_info_industry_gics(W5426,2),IF($Y$3="wind三级行业",[1]!s_info_industry_gics(W5426,3),IF($Y$3="wind四级行业",[1]!s_info_industry_gics(W5426,4),IF($Y$3="证监会门类行业",[1]!s_info_industry_csrc12_n(W5426,公司分析!D$5,1),""))))))))</f>
        <v>通用设备</v>
      </c>
      <c r="Z5426" s="302" t="str">
        <f ca="1">IF(Y5426=行业比较!$E$6,ROW(),"")</f>
        <v/>
      </c>
    </row>
    <row r="5427" spans="22:26">
      <c r="V5427" s="260">
        <f t="shared" ca="1" si="93"/>
        <v>0</v>
      </c>
      <c r="W5427" s="348" t="str">
        <f>IF(板块成分!B5429="","",板块成分!B5429)</f>
        <v>920726.BJ</v>
      </c>
      <c r="X5427" s="276" t="str">
        <f>[1]!S_Info_Name(W5427)</f>
        <v>朱老六</v>
      </c>
      <c r="Y5427" s="276" t="str">
        <f ca="1">IF($Y$3="申万一级行业",[1]!s_info_industry_sw_2021(W5427,公司分析!D$5,1),IF($Y$3="申万二级行业",[1]!s_info_industry_sw_2021(W5427,公司分析!D$5,2),IF($Y$3="申万三级行业",[1]!s_info_industry_sw_2021(W5427,公司分析!D$5,3),IF($Y$3="wind一级行业",[1]!s_info_industry_gics(W5427,1),IF($Y$3="wind二级行业",[1]!s_info_industry_gics(W5427,2),IF($Y$3="wind三级行业",[1]!s_info_industry_gics(W5427,3),IF($Y$3="wind四级行业",[1]!s_info_industry_gics(W5427,4),IF($Y$3="证监会门类行业",[1]!s_info_industry_csrc12_n(W5427,公司分析!D$5,1),""))))))))</f>
        <v>调味发酵品Ⅱ</v>
      </c>
      <c r="Z5427" s="302" t="str">
        <f ca="1">IF(Y5427=行业比较!$E$6,ROW(),"")</f>
        <v/>
      </c>
    </row>
    <row r="5428" spans="22:26">
      <c r="V5428" s="260">
        <f t="shared" ca="1" si="93"/>
        <v>0</v>
      </c>
      <c r="W5428" s="348" t="str">
        <f>IF(板块成分!B5430="","",板块成分!B5430)</f>
        <v>920729.BJ</v>
      </c>
      <c r="X5428" s="276" t="str">
        <f>[1]!S_Info_Name(W5428)</f>
        <v>永顺生物</v>
      </c>
      <c r="Y5428" s="276" t="str">
        <f ca="1">IF($Y$3="申万一级行业",[1]!s_info_industry_sw_2021(W5428,公司分析!D$5,1),IF($Y$3="申万二级行业",[1]!s_info_industry_sw_2021(W5428,公司分析!D$5,2),IF($Y$3="申万三级行业",[1]!s_info_industry_sw_2021(W5428,公司分析!D$5,3),IF($Y$3="wind一级行业",[1]!s_info_industry_gics(W5428,1),IF($Y$3="wind二级行业",[1]!s_info_industry_gics(W5428,2),IF($Y$3="wind三级行业",[1]!s_info_industry_gics(W5428,3),IF($Y$3="wind四级行业",[1]!s_info_industry_gics(W5428,4),IF($Y$3="证监会门类行业",[1]!s_info_industry_csrc12_n(W5428,公司分析!D$5,1),""))))))))</f>
        <v>动物保健Ⅱ</v>
      </c>
      <c r="Z5428" s="302" t="str">
        <f ca="1">IF(Y5428=行业比较!$E$6,ROW(),"")</f>
        <v/>
      </c>
    </row>
    <row r="5429" spans="22:26">
      <c r="V5429" s="260">
        <f t="shared" ca="1" si="93"/>
        <v>0</v>
      </c>
      <c r="W5429" s="348" t="str">
        <f>IF(板块成分!B5431="","",板块成分!B5431)</f>
        <v>920735.BJ</v>
      </c>
      <c r="X5429" s="276" t="str">
        <f>[1]!S_Info_Name(W5429)</f>
        <v>德源药业</v>
      </c>
      <c r="Y5429" s="276" t="str">
        <f ca="1">IF($Y$3="申万一级行业",[1]!s_info_industry_sw_2021(W5429,公司分析!D$5,1),IF($Y$3="申万二级行业",[1]!s_info_industry_sw_2021(W5429,公司分析!D$5,2),IF($Y$3="申万三级行业",[1]!s_info_industry_sw_2021(W5429,公司分析!D$5,3),IF($Y$3="wind一级行业",[1]!s_info_industry_gics(W5429,1),IF($Y$3="wind二级行业",[1]!s_info_industry_gics(W5429,2),IF($Y$3="wind三级行业",[1]!s_info_industry_gics(W5429,3),IF($Y$3="wind四级行业",[1]!s_info_industry_gics(W5429,4),IF($Y$3="证监会门类行业",[1]!s_info_industry_csrc12_n(W5429,公司分析!D$5,1),""))))))))</f>
        <v>化学制药</v>
      </c>
      <c r="Z5429" s="302" t="str">
        <f ca="1">IF(Y5429=行业比较!$E$6,ROW(),"")</f>
        <v/>
      </c>
    </row>
    <row r="5430" spans="22:26">
      <c r="V5430" s="260">
        <f t="shared" ca="1" si="93"/>
        <v>0</v>
      </c>
      <c r="W5430" s="348" t="str">
        <f>IF(板块成分!B5432="","",板块成分!B5432)</f>
        <v>920748.BJ</v>
      </c>
      <c r="X5430" s="276" t="str">
        <f>[1]!S_Info_Name(W5430)</f>
        <v>路桥信息</v>
      </c>
      <c r="Y5430" s="276" t="str">
        <f ca="1">IF($Y$3="申万一级行业",[1]!s_info_industry_sw_2021(W5430,公司分析!D$5,1),IF($Y$3="申万二级行业",[1]!s_info_industry_sw_2021(W5430,公司分析!D$5,2),IF($Y$3="申万三级行业",[1]!s_info_industry_sw_2021(W5430,公司分析!D$5,3),IF($Y$3="wind一级行业",[1]!s_info_industry_gics(W5430,1),IF($Y$3="wind二级行业",[1]!s_info_industry_gics(W5430,2),IF($Y$3="wind三级行业",[1]!s_info_industry_gics(W5430,3),IF($Y$3="wind四级行业",[1]!s_info_industry_gics(W5430,4),IF($Y$3="证监会门类行业",[1]!s_info_industry_csrc12_n(W5430,公司分析!D$5,1),""))))))))</f>
        <v>IT服务Ⅱ</v>
      </c>
      <c r="Z5430" s="302" t="str">
        <f ca="1">IF(Y5430=行业比较!$E$6,ROW(),"")</f>
        <v/>
      </c>
    </row>
    <row r="5431" spans="22:26">
      <c r="V5431" s="260">
        <f t="shared" ca="1" si="93"/>
        <v>0</v>
      </c>
      <c r="W5431" s="348" t="str">
        <f>IF(板块成分!B5433="","",板块成分!B5433)</f>
        <v>920751.BJ</v>
      </c>
      <c r="X5431" s="276" t="str">
        <f>[1]!S_Info_Name(W5431)</f>
        <v>惠同新材</v>
      </c>
      <c r="Y5431" s="276" t="str">
        <f ca="1">IF($Y$3="申万一级行业",[1]!s_info_industry_sw_2021(W5431,公司分析!D$5,1),IF($Y$3="申万二级行业",[1]!s_info_industry_sw_2021(W5431,公司分析!D$5,2),IF($Y$3="申万三级行业",[1]!s_info_industry_sw_2021(W5431,公司分析!D$5,3),IF($Y$3="wind一级行业",[1]!s_info_industry_gics(W5431,1),IF($Y$3="wind二级行业",[1]!s_info_industry_gics(W5431,2),IF($Y$3="wind三级行业",[1]!s_info_industry_gics(W5431,3),IF($Y$3="wind四级行业",[1]!s_info_industry_gics(W5431,4),IF($Y$3="证监会门类行业",[1]!s_info_industry_csrc12_n(W5431,公司分析!D$5,1),""))))))))</f>
        <v>金属新材料</v>
      </c>
      <c r="Z5431" s="302" t="str">
        <f ca="1">IF(Y5431=行业比较!$E$6,ROW(),"")</f>
        <v/>
      </c>
    </row>
    <row r="5432" spans="22:26">
      <c r="V5432" s="260">
        <f t="shared" ca="1" si="93"/>
        <v>0</v>
      </c>
      <c r="W5432" s="348" t="str">
        <f>IF(板块成分!B5434="","",板块成分!B5434)</f>
        <v>920753.BJ</v>
      </c>
      <c r="X5432" s="276" t="str">
        <f>[1]!S_Info_Name(W5432)</f>
        <v>天纺标</v>
      </c>
      <c r="Y5432" s="276" t="str">
        <f ca="1">IF($Y$3="申万一级行业",[1]!s_info_industry_sw_2021(W5432,公司分析!D$5,1),IF($Y$3="申万二级行业",[1]!s_info_industry_sw_2021(W5432,公司分析!D$5,2),IF($Y$3="申万三级行业",[1]!s_info_industry_sw_2021(W5432,公司分析!D$5,3),IF($Y$3="wind一级行业",[1]!s_info_industry_gics(W5432,1),IF($Y$3="wind二级行业",[1]!s_info_industry_gics(W5432,2),IF($Y$3="wind三级行业",[1]!s_info_industry_gics(W5432,3),IF($Y$3="wind四级行业",[1]!s_info_industry_gics(W5432,4),IF($Y$3="证监会门类行业",[1]!s_info_industry_csrc12_n(W5432,公司分析!D$5,1),""))))))))</f>
        <v>专业服务</v>
      </c>
      <c r="Z5432" s="302" t="str">
        <f ca="1">IF(Y5432=行业比较!$E$6,ROW(),"")</f>
        <v/>
      </c>
    </row>
    <row r="5433" spans="22:26">
      <c r="V5433" s="260">
        <f t="shared" ca="1" si="93"/>
        <v>0</v>
      </c>
      <c r="W5433" s="348" t="str">
        <f>IF(板块成分!B5435="","",板块成分!B5435)</f>
        <v>920765.BJ</v>
      </c>
      <c r="X5433" s="276" t="str">
        <f>[1]!S_Info_Name(W5433)</f>
        <v>美之高</v>
      </c>
      <c r="Y5433" s="276" t="str">
        <f ca="1">IF($Y$3="申万一级行业",[1]!s_info_industry_sw_2021(W5433,公司分析!D$5,1),IF($Y$3="申万二级行业",[1]!s_info_industry_sw_2021(W5433,公司分析!D$5,2),IF($Y$3="申万三级行业",[1]!s_info_industry_sw_2021(W5433,公司分析!D$5,3),IF($Y$3="wind一级行业",[1]!s_info_industry_gics(W5433,1),IF($Y$3="wind二级行业",[1]!s_info_industry_gics(W5433,2),IF($Y$3="wind三级行业",[1]!s_info_industry_gics(W5433,3),IF($Y$3="wind四级行业",[1]!s_info_industry_gics(W5433,4),IF($Y$3="证监会门类行业",[1]!s_info_industry_csrc12_n(W5433,公司分析!D$5,1),""))))))))</f>
        <v>家居用品</v>
      </c>
      <c r="Z5433" s="302" t="str">
        <f ca="1">IF(Y5433=行业比较!$E$6,ROW(),"")</f>
        <v/>
      </c>
    </row>
    <row r="5434" spans="22:26">
      <c r="V5434" s="260">
        <f t="shared" ca="1" si="93"/>
        <v>0</v>
      </c>
      <c r="W5434" s="348" t="str">
        <f>IF(板块成分!B5436="","",板块成分!B5436)</f>
        <v>920768.BJ</v>
      </c>
      <c r="X5434" s="276" t="str">
        <f>[1]!S_Info_Name(W5434)</f>
        <v>拾比佰</v>
      </c>
      <c r="Y5434" s="276" t="str">
        <f ca="1">IF($Y$3="申万一级行业",[1]!s_info_industry_sw_2021(W5434,公司分析!D$5,1),IF($Y$3="申万二级行业",[1]!s_info_industry_sw_2021(W5434,公司分析!D$5,2),IF($Y$3="申万三级行业",[1]!s_info_industry_sw_2021(W5434,公司分析!D$5,3),IF($Y$3="wind一级行业",[1]!s_info_industry_gics(W5434,1),IF($Y$3="wind二级行业",[1]!s_info_industry_gics(W5434,2),IF($Y$3="wind三级行业",[1]!s_info_industry_gics(W5434,3),IF($Y$3="wind四级行业",[1]!s_info_industry_gics(W5434,4),IF($Y$3="证监会门类行业",[1]!s_info_industry_csrc12_n(W5434,公司分析!D$5,1),""))))))))</f>
        <v>家电零部件Ⅱ</v>
      </c>
      <c r="Z5434" s="302" t="str">
        <f ca="1">IF(Y5434=行业比较!$E$6,ROW(),"")</f>
        <v/>
      </c>
    </row>
    <row r="5435" spans="22:26">
      <c r="V5435" s="260">
        <f t="shared" ca="1" si="93"/>
        <v>0</v>
      </c>
      <c r="W5435" s="348" t="str">
        <f>IF(板块成分!B5437="","",板块成分!B5437)</f>
        <v>920770.BJ</v>
      </c>
      <c r="X5435" s="276" t="str">
        <f>[1]!S_Info_Name(W5435)</f>
        <v>艾能聚</v>
      </c>
      <c r="Y5435" s="276" t="str">
        <f ca="1">IF($Y$3="申万一级行业",[1]!s_info_industry_sw_2021(W5435,公司分析!D$5,1),IF($Y$3="申万二级行业",[1]!s_info_industry_sw_2021(W5435,公司分析!D$5,2),IF($Y$3="申万三级行业",[1]!s_info_industry_sw_2021(W5435,公司分析!D$5,3),IF($Y$3="wind一级行业",[1]!s_info_industry_gics(W5435,1),IF($Y$3="wind二级行业",[1]!s_info_industry_gics(W5435,2),IF($Y$3="wind三级行业",[1]!s_info_industry_gics(W5435,3),IF($Y$3="wind四级行业",[1]!s_info_industry_gics(W5435,4),IF($Y$3="证监会门类行业",[1]!s_info_industry_csrc12_n(W5435,公司分析!D$5,1),""))))))))</f>
        <v>光伏设备</v>
      </c>
      <c r="Z5435" s="302" t="str">
        <f ca="1">IF(Y5435=行业比较!$E$6,ROW(),"")</f>
        <v/>
      </c>
    </row>
    <row r="5436" spans="22:26">
      <c r="V5436" s="260">
        <f t="shared" ca="1" si="93"/>
        <v>0</v>
      </c>
      <c r="W5436" s="348" t="str">
        <f>IF(板块成分!B5438="","",板块成分!B5438)</f>
        <v>920779.BJ</v>
      </c>
      <c r="X5436" s="276" t="str">
        <f>[1]!S_Info_Name(W5436)</f>
        <v>武汉蓝电</v>
      </c>
      <c r="Y5436" s="276" t="str">
        <f ca="1">IF($Y$3="申万一级行业",[1]!s_info_industry_sw_2021(W5436,公司分析!D$5,1),IF($Y$3="申万二级行业",[1]!s_info_industry_sw_2021(W5436,公司分析!D$5,2),IF($Y$3="申万三级行业",[1]!s_info_industry_sw_2021(W5436,公司分析!D$5,3),IF($Y$3="wind一级行业",[1]!s_info_industry_gics(W5436,1),IF($Y$3="wind二级行业",[1]!s_info_industry_gics(W5436,2),IF($Y$3="wind三级行业",[1]!s_info_industry_gics(W5436,3),IF($Y$3="wind四级行业",[1]!s_info_industry_gics(W5436,4),IF($Y$3="证监会门类行业",[1]!s_info_industry_csrc12_n(W5436,公司分析!D$5,1),""))))))))</f>
        <v>电池</v>
      </c>
      <c r="Z5436" s="302" t="str">
        <f ca="1">IF(Y5436=行业比较!$E$6,ROW(),"")</f>
        <v/>
      </c>
    </row>
    <row r="5437" spans="22:26">
      <c r="V5437" s="260">
        <f t="shared" ca="1" si="93"/>
        <v>0</v>
      </c>
      <c r="W5437" s="348" t="str">
        <f>IF(板块成分!B5439="","",板块成分!B5439)</f>
        <v>920781.BJ</v>
      </c>
      <c r="X5437" s="276" t="str">
        <f>[1]!S_Info_Name(W5437)</f>
        <v>瑞奇智造</v>
      </c>
      <c r="Y5437" s="276" t="str">
        <f ca="1">IF($Y$3="申万一级行业",[1]!s_info_industry_sw_2021(W5437,公司分析!D$5,1),IF($Y$3="申万二级行业",[1]!s_info_industry_sw_2021(W5437,公司分析!D$5,2),IF($Y$3="申万三级行业",[1]!s_info_industry_sw_2021(W5437,公司分析!D$5,3),IF($Y$3="wind一级行业",[1]!s_info_industry_gics(W5437,1),IF($Y$3="wind二级行业",[1]!s_info_industry_gics(W5437,2),IF($Y$3="wind三级行业",[1]!s_info_industry_gics(W5437,3),IF($Y$3="wind四级行业",[1]!s_info_industry_gics(W5437,4),IF($Y$3="证监会门类行业",[1]!s_info_industry_csrc12_n(W5437,公司分析!D$5,1),""))))))))</f>
        <v>专用设备</v>
      </c>
      <c r="Z5437" s="302" t="str">
        <f ca="1">IF(Y5437=行业比较!$E$6,ROW(),"")</f>
        <v/>
      </c>
    </row>
    <row r="5438" spans="22:26">
      <c r="V5438" s="260">
        <f t="shared" ca="1" si="93"/>
        <v>0</v>
      </c>
      <c r="W5438" s="348" t="str">
        <f>IF(板块成分!B5440="","",板块成分!B5440)</f>
        <v>920786.BJ</v>
      </c>
      <c r="X5438" s="276" t="str">
        <f>[1]!S_Info_Name(W5438)</f>
        <v>骑士乳业</v>
      </c>
      <c r="Y5438" s="276" t="str">
        <f ca="1">IF($Y$3="申万一级行业",[1]!s_info_industry_sw_2021(W5438,公司分析!D$5,1),IF($Y$3="申万二级行业",[1]!s_info_industry_sw_2021(W5438,公司分析!D$5,2),IF($Y$3="申万三级行业",[1]!s_info_industry_sw_2021(W5438,公司分析!D$5,3),IF($Y$3="wind一级行业",[1]!s_info_industry_gics(W5438,1),IF($Y$3="wind二级行业",[1]!s_info_industry_gics(W5438,2),IF($Y$3="wind三级行业",[1]!s_info_industry_gics(W5438,3),IF($Y$3="wind四级行业",[1]!s_info_industry_gics(W5438,4),IF($Y$3="证监会门类行业",[1]!s_info_industry_csrc12_n(W5438,公司分析!D$5,1),""))))))))</f>
        <v>饮料乳品</v>
      </c>
      <c r="Z5438" s="302" t="str">
        <f ca="1">IF(Y5438=行业比较!$E$6,ROW(),"")</f>
        <v/>
      </c>
    </row>
    <row r="5439" spans="22:26">
      <c r="V5439" s="260">
        <f t="shared" ca="1" si="93"/>
        <v>0</v>
      </c>
      <c r="W5439" s="348" t="str">
        <f>IF(板块成分!B5441="","",板块成分!B5441)</f>
        <v>920790.BJ</v>
      </c>
      <c r="X5439" s="276" t="str">
        <f>[1]!S_Info_Name(W5439)</f>
        <v>联迪信息</v>
      </c>
      <c r="Y5439" s="276" t="str">
        <f ca="1">IF($Y$3="申万一级行业",[1]!s_info_industry_sw_2021(W5439,公司分析!D$5,1),IF($Y$3="申万二级行业",[1]!s_info_industry_sw_2021(W5439,公司分析!D$5,2),IF($Y$3="申万三级行业",[1]!s_info_industry_sw_2021(W5439,公司分析!D$5,3),IF($Y$3="wind一级行业",[1]!s_info_industry_gics(W5439,1),IF($Y$3="wind二级行业",[1]!s_info_industry_gics(W5439,2),IF($Y$3="wind三级行业",[1]!s_info_industry_gics(W5439,3),IF($Y$3="wind四级行业",[1]!s_info_industry_gics(W5439,4),IF($Y$3="证监会门类行业",[1]!s_info_industry_csrc12_n(W5439,公司分析!D$5,1),""))))))))</f>
        <v>IT服务Ⅱ</v>
      </c>
      <c r="Z5439" s="302" t="str">
        <f ca="1">IF(Y5439=行业比较!$E$6,ROW(),"")</f>
        <v/>
      </c>
    </row>
    <row r="5440" spans="22:26">
      <c r="V5440" s="260">
        <f t="shared" ca="1" si="93"/>
        <v>0</v>
      </c>
      <c r="W5440" s="348" t="str">
        <f>IF(板块成分!B5442="","",板块成分!B5442)</f>
        <v>920792.BJ</v>
      </c>
      <c r="X5440" s="276" t="str">
        <f>[1]!S_Info_Name(W5440)</f>
        <v>东和新材</v>
      </c>
      <c r="Y5440" s="276" t="str">
        <f ca="1">IF($Y$3="申万一级行业",[1]!s_info_industry_sw_2021(W5440,公司分析!D$5,1),IF($Y$3="申万二级行业",[1]!s_info_industry_sw_2021(W5440,公司分析!D$5,2),IF($Y$3="申万三级行业",[1]!s_info_industry_sw_2021(W5440,公司分析!D$5,3),IF($Y$3="wind一级行业",[1]!s_info_industry_gics(W5440,1),IF($Y$3="wind二级行业",[1]!s_info_industry_gics(W5440,2),IF($Y$3="wind三级行业",[1]!s_info_industry_gics(W5440,3),IF($Y$3="wind四级行业",[1]!s_info_industry_gics(W5440,4),IF($Y$3="证监会门类行业",[1]!s_info_industry_csrc12_n(W5440,公司分析!D$5,1),""))))))))</f>
        <v>装修建材</v>
      </c>
      <c r="Z5440" s="302" t="str">
        <f ca="1">IF(Y5440=行业比较!$E$6,ROW(),"")</f>
        <v/>
      </c>
    </row>
    <row r="5441" spans="22:26">
      <c r="V5441" s="260">
        <f t="shared" ca="1" si="93"/>
        <v>0</v>
      </c>
      <c r="W5441" s="348" t="str">
        <f>IF(板块成分!B5443="","",板块成分!B5443)</f>
        <v>920799.BJ</v>
      </c>
      <c r="X5441" s="276" t="str">
        <f>[1]!S_Info_Name(W5441)</f>
        <v>艾融软件</v>
      </c>
      <c r="Y5441" s="276" t="str">
        <f ca="1">IF($Y$3="申万一级行业",[1]!s_info_industry_sw_2021(W5441,公司分析!D$5,1),IF($Y$3="申万二级行业",[1]!s_info_industry_sw_2021(W5441,公司分析!D$5,2),IF($Y$3="申万三级行业",[1]!s_info_industry_sw_2021(W5441,公司分析!D$5,3),IF($Y$3="wind一级行业",[1]!s_info_industry_gics(W5441,1),IF($Y$3="wind二级行业",[1]!s_info_industry_gics(W5441,2),IF($Y$3="wind三级行业",[1]!s_info_industry_gics(W5441,3),IF($Y$3="wind四级行业",[1]!s_info_industry_gics(W5441,4),IF($Y$3="证监会门类行业",[1]!s_info_industry_csrc12_n(W5441,公司分析!D$5,1),""))))))))</f>
        <v>软件开发</v>
      </c>
      <c r="Z5441" s="302" t="str">
        <f ca="1">IF(Y5441=行业比较!$E$6,ROW(),"")</f>
        <v/>
      </c>
    </row>
    <row r="5442" spans="22:26">
      <c r="V5442" s="260">
        <f t="shared" ca="1" si="93"/>
        <v>0</v>
      </c>
      <c r="W5442" s="348" t="str">
        <f>IF(板块成分!B5444="","",板块成分!B5444)</f>
        <v>920802.BJ</v>
      </c>
      <c r="X5442" s="276" t="str">
        <f>[1]!S_Info_Name(W5442)</f>
        <v>保丽洁</v>
      </c>
      <c r="Y5442" s="276" t="str">
        <f ca="1">IF($Y$3="申万一级行业",[1]!s_info_industry_sw_2021(W5442,公司分析!D$5,1),IF($Y$3="申万二级行业",[1]!s_info_industry_sw_2021(W5442,公司分析!D$5,2),IF($Y$3="申万三级行业",[1]!s_info_industry_sw_2021(W5442,公司分析!D$5,3),IF($Y$3="wind一级行业",[1]!s_info_industry_gics(W5442,1),IF($Y$3="wind二级行业",[1]!s_info_industry_gics(W5442,2),IF($Y$3="wind三级行业",[1]!s_info_industry_gics(W5442,3),IF($Y$3="wind四级行业",[1]!s_info_industry_gics(W5442,4),IF($Y$3="证监会门类行业",[1]!s_info_industry_csrc12_n(W5442,公司分析!D$5,1),""))))))))</f>
        <v>环境治理</v>
      </c>
      <c r="Z5442" s="302" t="str">
        <f ca="1">IF(Y5442=行业比较!$E$6,ROW(),"")</f>
        <v/>
      </c>
    </row>
    <row r="5443" spans="22:26">
      <c r="V5443" s="260">
        <f t="shared" ca="1" si="93"/>
        <v>0</v>
      </c>
      <c r="W5443" s="348" t="str">
        <f>IF(板块成分!B5445="","",板块成分!B5445)</f>
        <v>920806.BJ</v>
      </c>
      <c r="X5443" s="276" t="str">
        <f>[1]!S_Info_Name(W5443)</f>
        <v>云星宇</v>
      </c>
      <c r="Y5443" s="276" t="str">
        <f ca="1">IF($Y$3="申万一级行业",[1]!s_info_industry_sw_2021(W5443,公司分析!D$5,1),IF($Y$3="申万二级行业",[1]!s_info_industry_sw_2021(W5443,公司分析!D$5,2),IF($Y$3="申万三级行业",[1]!s_info_industry_sw_2021(W5443,公司分析!D$5,3),IF($Y$3="wind一级行业",[1]!s_info_industry_gics(W5443,1),IF($Y$3="wind二级行业",[1]!s_info_industry_gics(W5443,2),IF($Y$3="wind三级行业",[1]!s_info_industry_gics(W5443,3),IF($Y$3="wind四级行业",[1]!s_info_industry_gics(W5443,4),IF($Y$3="证监会门类行业",[1]!s_info_industry_csrc12_n(W5443,公司分析!D$5,1),""))))))))</f>
        <v>IT服务Ⅱ</v>
      </c>
      <c r="Z5443" s="302" t="str">
        <f ca="1">IF(Y5443=行业比较!$E$6,ROW(),"")</f>
        <v/>
      </c>
    </row>
    <row r="5444" spans="22:26">
      <c r="V5444" s="260">
        <f t="shared" ca="1" si="93"/>
        <v>0</v>
      </c>
      <c r="W5444" s="348" t="str">
        <f>IF(板块成分!B5446="","",板块成分!B5446)</f>
        <v>920807.BJ</v>
      </c>
      <c r="X5444" s="276" t="str">
        <f>[1]!S_Info_Name(W5444)</f>
        <v>奔朗新材</v>
      </c>
      <c r="Y5444" s="276" t="str">
        <f ca="1">IF($Y$3="申万一级行业",[1]!s_info_industry_sw_2021(W5444,公司分析!D$5,1),IF($Y$3="申万二级行业",[1]!s_info_industry_sw_2021(W5444,公司分析!D$5,2),IF($Y$3="申万三级行业",[1]!s_info_industry_sw_2021(W5444,公司分析!D$5,3),IF($Y$3="wind一级行业",[1]!s_info_industry_gics(W5444,1),IF($Y$3="wind二级行业",[1]!s_info_industry_gics(W5444,2),IF($Y$3="wind三级行业",[1]!s_info_industry_gics(W5444,3),IF($Y$3="wind四级行业",[1]!s_info_industry_gics(W5444,4),IF($Y$3="证监会门类行业",[1]!s_info_industry_csrc12_n(W5444,公司分析!D$5,1),""))))))))</f>
        <v>通用设备</v>
      </c>
      <c r="Z5444" s="302" t="str">
        <f ca="1">IF(Y5444=行业比较!$E$6,ROW(),"")</f>
        <v/>
      </c>
    </row>
    <row r="5445" spans="22:26">
      <c r="V5445" s="260">
        <f t="shared" ca="1" si="93"/>
        <v>0</v>
      </c>
      <c r="W5445" s="348" t="str">
        <f>IF(板块成分!B5447="","",板块成分!B5447)</f>
        <v>920808.BJ</v>
      </c>
      <c r="X5445" s="276" t="str">
        <f>[1]!S_Info_Name(W5445)</f>
        <v>曙光数创</v>
      </c>
      <c r="Y5445" s="276" t="str">
        <f ca="1">IF($Y$3="申万一级行业",[1]!s_info_industry_sw_2021(W5445,公司分析!D$5,1),IF($Y$3="申万二级行业",[1]!s_info_industry_sw_2021(W5445,公司分析!D$5,2),IF($Y$3="申万三级行业",[1]!s_info_industry_sw_2021(W5445,公司分析!D$5,3),IF($Y$3="wind一级行业",[1]!s_info_industry_gics(W5445,1),IF($Y$3="wind二级行业",[1]!s_info_industry_gics(W5445,2),IF($Y$3="wind三级行业",[1]!s_info_industry_gics(W5445,3),IF($Y$3="wind四级行业",[1]!s_info_industry_gics(W5445,4),IF($Y$3="证监会门类行业",[1]!s_info_industry_csrc12_n(W5445,公司分析!D$5,1),""))))))))</f>
        <v>计算机设备</v>
      </c>
      <c r="Z5445" s="302" t="str">
        <f ca="1">IF(Y5445=行业比较!$E$6,ROW(),"")</f>
        <v/>
      </c>
    </row>
    <row r="5446" spans="22:26">
      <c r="V5446" s="260">
        <f t="shared" ca="1" si="93"/>
        <v>0</v>
      </c>
      <c r="W5446" s="348" t="str">
        <f>IF(板块成分!B5448="","",板块成分!B5448)</f>
        <v>920809.BJ</v>
      </c>
      <c r="X5446" s="276" t="str">
        <f>[1]!S_Info_Name(W5446)</f>
        <v>安达科技</v>
      </c>
      <c r="Y5446" s="276" t="str">
        <f ca="1">IF($Y$3="申万一级行业",[1]!s_info_industry_sw_2021(W5446,公司分析!D$5,1),IF($Y$3="申万二级行业",[1]!s_info_industry_sw_2021(W5446,公司分析!D$5,2),IF($Y$3="申万三级行业",[1]!s_info_industry_sw_2021(W5446,公司分析!D$5,3),IF($Y$3="wind一级行业",[1]!s_info_industry_gics(W5446,1),IF($Y$3="wind二级行业",[1]!s_info_industry_gics(W5446,2),IF($Y$3="wind三级行业",[1]!s_info_industry_gics(W5446,3),IF($Y$3="wind四级行业",[1]!s_info_industry_gics(W5446,4),IF($Y$3="证监会门类行业",[1]!s_info_industry_csrc12_n(W5446,公司分析!D$5,1),""))))))))</f>
        <v>电池</v>
      </c>
      <c r="Z5446" s="302" t="str">
        <f ca="1">IF(Y5446=行业比较!$E$6,ROW(),"")</f>
        <v/>
      </c>
    </row>
    <row r="5447" spans="22:26">
      <c r="V5447" s="260">
        <f t="shared" ca="1" si="93"/>
        <v>0</v>
      </c>
      <c r="W5447" s="348" t="str">
        <f>IF(板块成分!B5449="","",板块成分!B5449)</f>
        <v>920810.BJ</v>
      </c>
      <c r="X5447" s="276" t="str">
        <f>[1]!S_Info_Name(W5447)</f>
        <v>春光智能</v>
      </c>
      <c r="Y5447" s="276" t="str">
        <f ca="1">IF($Y$3="申万一级行业",[1]!s_info_industry_sw_2021(W5447,公司分析!D$5,1),IF($Y$3="申万二级行业",[1]!s_info_industry_sw_2021(W5447,公司分析!D$5,2),IF($Y$3="申万三级行业",[1]!s_info_industry_sw_2021(W5447,公司分析!D$5,3),IF($Y$3="wind一级行业",[1]!s_info_industry_gics(W5447,1),IF($Y$3="wind二级行业",[1]!s_info_industry_gics(W5447,2),IF($Y$3="wind三级行业",[1]!s_info_industry_gics(W5447,3),IF($Y$3="wind四级行业",[1]!s_info_industry_gics(W5447,4),IF($Y$3="证监会门类行业",[1]!s_info_industry_csrc12_n(W5447,公司分析!D$5,1),""))))))))</f>
        <v>专用设备</v>
      </c>
      <c r="Z5447" s="302" t="str">
        <f ca="1">IF(Y5447=行业比较!$E$6,ROW(),"")</f>
        <v/>
      </c>
    </row>
    <row r="5448" spans="22:26">
      <c r="V5448" s="260">
        <f t="shared" ca="1" si="93"/>
        <v>0</v>
      </c>
      <c r="W5448" s="348" t="str">
        <f>IF(板块成分!B5450="","",板块成分!B5450)</f>
        <v>920819.BJ</v>
      </c>
      <c r="X5448" s="276" t="str">
        <f>[1]!S_Info_Name(W5448)</f>
        <v>颖泰生物</v>
      </c>
      <c r="Y5448" s="276" t="str">
        <f ca="1">IF($Y$3="申万一级行业",[1]!s_info_industry_sw_2021(W5448,公司分析!D$5,1),IF($Y$3="申万二级行业",[1]!s_info_industry_sw_2021(W5448,公司分析!D$5,2),IF($Y$3="申万三级行业",[1]!s_info_industry_sw_2021(W5448,公司分析!D$5,3),IF($Y$3="wind一级行业",[1]!s_info_industry_gics(W5448,1),IF($Y$3="wind二级行业",[1]!s_info_industry_gics(W5448,2),IF($Y$3="wind三级行业",[1]!s_info_industry_gics(W5448,3),IF($Y$3="wind四级行业",[1]!s_info_industry_gics(W5448,4),IF($Y$3="证监会门类行业",[1]!s_info_industry_csrc12_n(W5448,公司分析!D$5,1),""))))))))</f>
        <v>农化制品</v>
      </c>
      <c r="Z5448" s="302" t="str">
        <f ca="1">IF(Y5448=行业比较!$E$6,ROW(),"")</f>
        <v/>
      </c>
    </row>
    <row r="5449" spans="22:26">
      <c r="V5449" s="260">
        <f t="shared" ca="1" si="93"/>
        <v>0</v>
      </c>
      <c r="W5449" s="348" t="str">
        <f>IF(板块成分!B5451="","",板块成分!B5451)</f>
        <v>920821.BJ</v>
      </c>
      <c r="X5449" s="276" t="str">
        <f>[1]!S_Info_Name(W5449)</f>
        <v>则成电子</v>
      </c>
      <c r="Y5449" s="276" t="str">
        <f ca="1">IF($Y$3="申万一级行业",[1]!s_info_industry_sw_2021(W5449,公司分析!D$5,1),IF($Y$3="申万二级行业",[1]!s_info_industry_sw_2021(W5449,公司分析!D$5,2),IF($Y$3="申万三级行业",[1]!s_info_industry_sw_2021(W5449,公司分析!D$5,3),IF($Y$3="wind一级行业",[1]!s_info_industry_gics(W5449,1),IF($Y$3="wind二级行业",[1]!s_info_industry_gics(W5449,2),IF($Y$3="wind三级行业",[1]!s_info_industry_gics(W5449,3),IF($Y$3="wind四级行业",[1]!s_info_industry_gics(W5449,4),IF($Y$3="证监会门类行业",[1]!s_info_industry_csrc12_n(W5449,公司分析!D$5,1),""))))))))</f>
        <v>元件</v>
      </c>
      <c r="Z5449" s="302" t="str">
        <f ca="1">IF(Y5449=行业比较!$E$6,ROW(),"")</f>
        <v/>
      </c>
    </row>
    <row r="5450" spans="22:26">
      <c r="V5450" s="260">
        <f t="shared" ca="1" si="93"/>
        <v>0</v>
      </c>
      <c r="W5450" s="348" t="str">
        <f>IF(板块成分!B5452="","",板块成分!B5452)</f>
        <v>920826.BJ</v>
      </c>
      <c r="X5450" s="276" t="str">
        <f>[1]!S_Info_Name(W5450)</f>
        <v>盖世食品</v>
      </c>
      <c r="Y5450" s="276" t="str">
        <f ca="1">IF($Y$3="申万一级行业",[1]!s_info_industry_sw_2021(W5450,公司分析!D$5,1),IF($Y$3="申万二级行业",[1]!s_info_industry_sw_2021(W5450,公司分析!D$5,2),IF($Y$3="申万三级行业",[1]!s_info_industry_sw_2021(W5450,公司分析!D$5,3),IF($Y$3="wind一级行业",[1]!s_info_industry_gics(W5450,1),IF($Y$3="wind二级行业",[1]!s_info_industry_gics(W5450,2),IF($Y$3="wind三级行业",[1]!s_info_industry_gics(W5450,3),IF($Y$3="wind四级行业",[1]!s_info_industry_gics(W5450,4),IF($Y$3="证监会门类行业",[1]!s_info_industry_csrc12_n(W5450,公司分析!D$5,1),""))))))))</f>
        <v>食品加工</v>
      </c>
      <c r="Z5450" s="302" t="str">
        <f ca="1">IF(Y5450=行业比较!$E$6,ROW(),"")</f>
        <v/>
      </c>
    </row>
    <row r="5451" spans="22:26">
      <c r="V5451" s="260">
        <f t="shared" ca="1" si="93"/>
        <v>0</v>
      </c>
      <c r="W5451" s="348" t="str">
        <f>IF(板块成分!B5453="","",板块成分!B5453)</f>
        <v>920832.BJ</v>
      </c>
      <c r="X5451" s="276" t="str">
        <f>[1]!S_Info_Name(W5451)</f>
        <v>齐鲁华信</v>
      </c>
      <c r="Y5451" s="276" t="str">
        <f ca="1">IF($Y$3="申万一级行业",[1]!s_info_industry_sw_2021(W5451,公司分析!D$5,1),IF($Y$3="申万二级行业",[1]!s_info_industry_sw_2021(W5451,公司分析!D$5,2),IF($Y$3="申万三级行业",[1]!s_info_industry_sw_2021(W5451,公司分析!D$5,3),IF($Y$3="wind一级行业",[1]!s_info_industry_gics(W5451,1),IF($Y$3="wind二级行业",[1]!s_info_industry_gics(W5451,2),IF($Y$3="wind三级行业",[1]!s_info_industry_gics(W5451,3),IF($Y$3="wind四级行业",[1]!s_info_industry_gics(W5451,4),IF($Y$3="证监会门类行业",[1]!s_info_industry_csrc12_n(W5451,公司分析!D$5,1),""))))))))</f>
        <v>非金属材料Ⅱ</v>
      </c>
      <c r="Z5451" s="302" t="str">
        <f ca="1">IF(Y5451=行业比较!$E$6,ROW(),"")</f>
        <v/>
      </c>
    </row>
    <row r="5452" spans="22:26">
      <c r="V5452" s="260">
        <f t="shared" ca="1" si="93"/>
        <v>0</v>
      </c>
      <c r="W5452" s="348" t="str">
        <f>IF(板块成分!B5454="","",板块成分!B5454)</f>
        <v>920833.BJ</v>
      </c>
      <c r="X5452" s="276" t="str">
        <f>[1]!S_Info_Name(W5452)</f>
        <v>美心翼申</v>
      </c>
      <c r="Y5452" s="276" t="str">
        <f ca="1">IF($Y$3="申万一级行业",[1]!s_info_industry_sw_2021(W5452,公司分析!D$5,1),IF($Y$3="申万二级行业",[1]!s_info_industry_sw_2021(W5452,公司分析!D$5,2),IF($Y$3="申万三级行业",[1]!s_info_industry_sw_2021(W5452,公司分析!D$5,3),IF($Y$3="wind一级行业",[1]!s_info_industry_gics(W5452,1),IF($Y$3="wind二级行业",[1]!s_info_industry_gics(W5452,2),IF($Y$3="wind三级行业",[1]!s_info_industry_gics(W5452,3),IF($Y$3="wind四级行业",[1]!s_info_industry_gics(W5452,4),IF($Y$3="证监会门类行业",[1]!s_info_industry_csrc12_n(W5452,公司分析!D$5,1),""))))))))</f>
        <v>通用设备</v>
      </c>
      <c r="Z5452" s="302" t="str">
        <f ca="1">IF(Y5452=行业比较!$E$6,ROW(),"")</f>
        <v/>
      </c>
    </row>
    <row r="5453" spans="22:26">
      <c r="V5453" s="260">
        <f t="shared" ca="1" si="93"/>
        <v>0</v>
      </c>
      <c r="W5453" s="348" t="str">
        <f>IF(板块成分!B5455="","",板块成分!B5455)</f>
        <v>920834.BJ</v>
      </c>
      <c r="X5453" s="276" t="str">
        <f>[1]!S_Info_Name(W5453)</f>
        <v>三维装备</v>
      </c>
      <c r="Y5453" s="276" t="str">
        <f ca="1">IF($Y$3="申万一级行业",[1]!s_info_industry_sw_2021(W5453,公司分析!D$5,1),IF($Y$3="申万二级行业",[1]!s_info_industry_sw_2021(W5453,公司分析!D$5,2),IF($Y$3="申万三级行业",[1]!s_info_industry_sw_2021(W5453,公司分析!D$5,3),IF($Y$3="wind一级行业",[1]!s_info_industry_gics(W5453,1),IF($Y$3="wind二级行业",[1]!s_info_industry_gics(W5453,2),IF($Y$3="wind三级行业",[1]!s_info_industry_gics(W5453,3),IF($Y$3="wind四级行业",[1]!s_info_industry_gics(W5453,4),IF($Y$3="证监会门类行业",[1]!s_info_industry_csrc12_n(W5453,公司分析!D$5,1),""))))))))</f>
        <v>橡胶</v>
      </c>
      <c r="Z5453" s="302" t="str">
        <f ca="1">IF(Y5453=行业比较!$E$6,ROW(),"")</f>
        <v/>
      </c>
    </row>
    <row r="5454" spans="22:26">
      <c r="V5454" s="260">
        <f t="shared" ca="1" si="93"/>
        <v>0</v>
      </c>
      <c r="W5454" s="348" t="str">
        <f>IF(板块成分!B5456="","",板块成分!B5456)</f>
        <v>920837.BJ</v>
      </c>
      <c r="X5454" s="276" t="str">
        <f>[1]!S_Info_Name(W5454)</f>
        <v>华原股份</v>
      </c>
      <c r="Y5454" s="276" t="str">
        <f ca="1">IF($Y$3="申万一级行业",[1]!s_info_industry_sw_2021(W5454,公司分析!D$5,1),IF($Y$3="申万二级行业",[1]!s_info_industry_sw_2021(W5454,公司分析!D$5,2),IF($Y$3="申万三级行业",[1]!s_info_industry_sw_2021(W5454,公司分析!D$5,3),IF($Y$3="wind一级行业",[1]!s_info_industry_gics(W5454,1),IF($Y$3="wind二级行业",[1]!s_info_industry_gics(W5454,2),IF($Y$3="wind三级行业",[1]!s_info_industry_gics(W5454,3),IF($Y$3="wind四级行业",[1]!s_info_industry_gics(W5454,4),IF($Y$3="证监会门类行业",[1]!s_info_industry_csrc12_n(W5454,公司分析!D$5,1),""))))))))</f>
        <v>汽车零部件</v>
      </c>
      <c r="Z5454" s="302" t="str">
        <f ca="1">IF(Y5454=行业比较!$E$6,ROW(),"")</f>
        <v/>
      </c>
    </row>
    <row r="5455" spans="22:26">
      <c r="V5455" s="260">
        <f t="shared" ca="1" si="93"/>
        <v>0</v>
      </c>
      <c r="W5455" s="348" t="str">
        <f>IF(板块成分!B5457="","",板块成分!B5457)</f>
        <v>920839.BJ</v>
      </c>
      <c r="X5455" s="276" t="str">
        <f>[1]!S_Info_Name(W5455)</f>
        <v>万通液压</v>
      </c>
      <c r="Y5455" s="276" t="str">
        <f ca="1">IF($Y$3="申万一级行业",[1]!s_info_industry_sw_2021(W5455,公司分析!D$5,1),IF($Y$3="申万二级行业",[1]!s_info_industry_sw_2021(W5455,公司分析!D$5,2),IF($Y$3="申万三级行业",[1]!s_info_industry_sw_2021(W5455,公司分析!D$5,3),IF($Y$3="wind一级行业",[1]!s_info_industry_gics(W5455,1),IF($Y$3="wind二级行业",[1]!s_info_industry_gics(W5455,2),IF($Y$3="wind三级行业",[1]!s_info_industry_gics(W5455,3),IF($Y$3="wind四级行业",[1]!s_info_industry_gics(W5455,4),IF($Y$3="证监会门类行业",[1]!s_info_industry_csrc12_n(W5455,公司分析!D$5,1),""))))))))</f>
        <v>工程机械</v>
      </c>
      <c r="Z5455" s="302" t="str">
        <f ca="1">IF(Y5455=行业比较!$E$6,ROW(),"")</f>
        <v/>
      </c>
    </row>
    <row r="5456" spans="22:26">
      <c r="V5456" s="260">
        <f t="shared" ca="1" si="93"/>
        <v>0</v>
      </c>
      <c r="W5456" s="348" t="str">
        <f>IF(板块成分!B5458="","",板块成分!B5458)</f>
        <v>920855.BJ</v>
      </c>
      <c r="X5456" s="276" t="str">
        <f>[1]!S_Info_Name(W5456)</f>
        <v>浙江大农</v>
      </c>
      <c r="Y5456" s="276" t="str">
        <f ca="1">IF($Y$3="申万一级行业",[1]!s_info_industry_sw_2021(W5456,公司分析!D$5,1),IF($Y$3="申万二级行业",[1]!s_info_industry_sw_2021(W5456,公司分析!D$5,2),IF($Y$3="申万三级行业",[1]!s_info_industry_sw_2021(W5456,公司分析!D$5,3),IF($Y$3="wind一级行业",[1]!s_info_industry_gics(W5456,1),IF($Y$3="wind二级行业",[1]!s_info_industry_gics(W5456,2),IF($Y$3="wind三级行业",[1]!s_info_industry_gics(W5456,3),IF($Y$3="wind四级行业",[1]!s_info_industry_gics(W5456,4),IF($Y$3="证监会门类行业",[1]!s_info_industry_csrc12_n(W5456,公司分析!D$5,1),""))))))))</f>
        <v>专用设备</v>
      </c>
      <c r="Z5456" s="302" t="str">
        <f ca="1">IF(Y5456=行业比较!$E$6,ROW(),"")</f>
        <v/>
      </c>
    </row>
    <row r="5457" spans="22:26">
      <c r="V5457" s="260">
        <f t="shared" ca="1" si="93"/>
        <v>0</v>
      </c>
      <c r="W5457" s="348" t="str">
        <f>IF(板块成分!B5459="","",板块成分!B5459)</f>
        <v>920856.BJ</v>
      </c>
      <c r="X5457" s="276" t="str">
        <f>[1]!S_Info_Name(W5457)</f>
        <v>浩淼科技</v>
      </c>
      <c r="Y5457" s="276" t="str">
        <f ca="1">IF($Y$3="申万一级行业",[1]!s_info_industry_sw_2021(W5457,公司分析!D$5,1),IF($Y$3="申万二级行业",[1]!s_info_industry_sw_2021(W5457,公司分析!D$5,2),IF($Y$3="申万三级行业",[1]!s_info_industry_sw_2021(W5457,公司分析!D$5,3),IF($Y$3="wind一级行业",[1]!s_info_industry_gics(W5457,1),IF($Y$3="wind二级行业",[1]!s_info_industry_gics(W5457,2),IF($Y$3="wind三级行业",[1]!s_info_industry_gics(W5457,3),IF($Y$3="wind四级行业",[1]!s_info_industry_gics(W5457,4),IF($Y$3="证监会门类行业",[1]!s_info_industry_csrc12_n(W5457,公司分析!D$5,1),""))))))))</f>
        <v>专用设备</v>
      </c>
      <c r="Z5457" s="302" t="str">
        <f ca="1">IF(Y5457=行业比较!$E$6,ROW(),"")</f>
        <v/>
      </c>
    </row>
    <row r="5458" spans="22:26">
      <c r="V5458" s="260">
        <f t="shared" ca="1" si="93"/>
        <v>0</v>
      </c>
      <c r="W5458" s="348" t="str">
        <f>IF(板块成分!B5460="","",板块成分!B5460)</f>
        <v>920857.BJ</v>
      </c>
      <c r="X5458" s="276" t="str">
        <f>[1]!S_Info_Name(W5458)</f>
        <v>泓禧科技</v>
      </c>
      <c r="Y5458" s="276" t="str">
        <f ca="1">IF($Y$3="申万一级行业",[1]!s_info_industry_sw_2021(W5458,公司分析!D$5,1),IF($Y$3="申万二级行业",[1]!s_info_industry_sw_2021(W5458,公司分析!D$5,2),IF($Y$3="申万三级行业",[1]!s_info_industry_sw_2021(W5458,公司分析!D$5,3),IF($Y$3="wind一级行业",[1]!s_info_industry_gics(W5458,1),IF($Y$3="wind二级行业",[1]!s_info_industry_gics(W5458,2),IF($Y$3="wind三级行业",[1]!s_info_industry_gics(W5458,3),IF($Y$3="wind四级行业",[1]!s_info_industry_gics(W5458,4),IF($Y$3="证监会门类行业",[1]!s_info_industry_csrc12_n(W5458,公司分析!D$5,1),""))))))))</f>
        <v>消费电子</v>
      </c>
      <c r="Z5458" s="302" t="str">
        <f ca="1">IF(Y5458=行业比较!$E$6,ROW(),"")</f>
        <v/>
      </c>
    </row>
    <row r="5459" spans="22:26">
      <c r="V5459" s="260">
        <f t="shared" ca="1" si="93"/>
        <v>0</v>
      </c>
      <c r="W5459" s="348" t="str">
        <f>IF(板块成分!B5461="","",板块成分!B5461)</f>
        <v>920866.BJ</v>
      </c>
      <c r="X5459" s="276" t="str">
        <f>[1]!S_Info_Name(W5459)</f>
        <v>绿亨科技</v>
      </c>
      <c r="Y5459" s="276" t="str">
        <f ca="1">IF($Y$3="申万一级行业",[1]!s_info_industry_sw_2021(W5459,公司分析!D$5,1),IF($Y$3="申万二级行业",[1]!s_info_industry_sw_2021(W5459,公司分析!D$5,2),IF($Y$3="申万三级行业",[1]!s_info_industry_sw_2021(W5459,公司分析!D$5,3),IF($Y$3="wind一级行业",[1]!s_info_industry_gics(W5459,1),IF($Y$3="wind二级行业",[1]!s_info_industry_gics(W5459,2),IF($Y$3="wind三级行业",[1]!s_info_industry_gics(W5459,3),IF($Y$3="wind四级行业",[1]!s_info_industry_gics(W5459,4),IF($Y$3="证监会门类行业",[1]!s_info_industry_csrc12_n(W5459,公司分析!D$5,1),""))))))))</f>
        <v>农化制品</v>
      </c>
      <c r="Z5459" s="302" t="str">
        <f ca="1">IF(Y5459=行业比较!$E$6,ROW(),"")</f>
        <v/>
      </c>
    </row>
    <row r="5460" spans="22:26">
      <c r="V5460" s="260">
        <f t="shared" ca="1" si="93"/>
        <v>0</v>
      </c>
      <c r="W5460" s="348" t="str">
        <f>IF(板块成分!B5462="","",板块成分!B5462)</f>
        <v>920870.BJ</v>
      </c>
      <c r="X5460" s="276" t="str">
        <f>[1]!S_Info_Name(W5460)</f>
        <v>恒进感应</v>
      </c>
      <c r="Y5460" s="276" t="str">
        <f ca="1">IF($Y$3="申万一级行业",[1]!s_info_industry_sw_2021(W5460,公司分析!D$5,1),IF($Y$3="申万二级行业",[1]!s_info_industry_sw_2021(W5460,公司分析!D$5,2),IF($Y$3="申万三级行业",[1]!s_info_industry_sw_2021(W5460,公司分析!D$5,3),IF($Y$3="wind一级行业",[1]!s_info_industry_gics(W5460,1),IF($Y$3="wind二级行业",[1]!s_info_industry_gics(W5460,2),IF($Y$3="wind三级行业",[1]!s_info_industry_gics(W5460,3),IF($Y$3="wind四级行业",[1]!s_info_industry_gics(W5460,4),IF($Y$3="证监会门类行业",[1]!s_info_industry_csrc12_n(W5460,公司分析!D$5,1),""))))))))</f>
        <v>通用设备</v>
      </c>
      <c r="Z5460" s="302" t="str">
        <f ca="1">IF(Y5460=行业比较!$E$6,ROW(),"")</f>
        <v/>
      </c>
    </row>
    <row r="5461" spans="22:26">
      <c r="V5461" s="260">
        <f t="shared" ca="1" si="93"/>
        <v>0</v>
      </c>
      <c r="W5461" s="348" t="str">
        <f>IF(板块成分!B5463="","",板块成分!B5463)</f>
        <v>920871.BJ</v>
      </c>
      <c r="X5461" s="276" t="str">
        <f>[1]!S_Info_Name(W5461)</f>
        <v>派特尔</v>
      </c>
      <c r="Y5461" s="276" t="str">
        <f ca="1">IF($Y$3="申万一级行业",[1]!s_info_industry_sw_2021(W5461,公司分析!D$5,1),IF($Y$3="申万二级行业",[1]!s_info_industry_sw_2021(W5461,公司分析!D$5,2),IF($Y$3="申万三级行业",[1]!s_info_industry_sw_2021(W5461,公司分析!D$5,3),IF($Y$3="wind一级行业",[1]!s_info_industry_gics(W5461,1),IF($Y$3="wind二级行业",[1]!s_info_industry_gics(W5461,2),IF($Y$3="wind三级行业",[1]!s_info_industry_gics(W5461,3),IF($Y$3="wind四级行业",[1]!s_info_industry_gics(W5461,4),IF($Y$3="证监会门类行业",[1]!s_info_industry_csrc12_n(W5461,公司分析!D$5,1),""))))))))</f>
        <v>汽车零部件</v>
      </c>
      <c r="Z5461" s="302" t="str">
        <f ca="1">IF(Y5461=行业比较!$E$6,ROW(),"")</f>
        <v/>
      </c>
    </row>
    <row r="5462" spans="22:26">
      <c r="V5462" s="260">
        <f t="shared" ca="1" si="93"/>
        <v>0</v>
      </c>
      <c r="W5462" s="348" t="str">
        <f>IF(板块成分!B5464="","",板块成分!B5464)</f>
        <v>920873.BJ</v>
      </c>
      <c r="X5462" s="276" t="str">
        <f>[1]!S_Info_Name(W5462)</f>
        <v>中设咨询</v>
      </c>
      <c r="Y5462" s="276" t="str">
        <f ca="1">IF($Y$3="申万一级行业",[1]!s_info_industry_sw_2021(W5462,公司分析!D$5,1),IF($Y$3="申万二级行业",[1]!s_info_industry_sw_2021(W5462,公司分析!D$5,2),IF($Y$3="申万三级行业",[1]!s_info_industry_sw_2021(W5462,公司分析!D$5,3),IF($Y$3="wind一级行业",[1]!s_info_industry_gics(W5462,1),IF($Y$3="wind二级行业",[1]!s_info_industry_gics(W5462,2),IF($Y$3="wind三级行业",[1]!s_info_industry_gics(W5462,3),IF($Y$3="wind四级行业",[1]!s_info_industry_gics(W5462,4),IF($Y$3="证监会门类行业",[1]!s_info_industry_csrc12_n(W5462,公司分析!D$5,1),""))))))))</f>
        <v>工程咨询服务Ⅱ</v>
      </c>
      <c r="Z5462" s="302" t="str">
        <f ca="1">IF(Y5462=行业比较!$E$6,ROW(),"")</f>
        <v/>
      </c>
    </row>
    <row r="5463" spans="22:26">
      <c r="V5463" s="260">
        <f t="shared" ca="1" si="93"/>
        <v>0</v>
      </c>
      <c r="W5463" s="348" t="str">
        <f>IF(板块成分!B5465="","",板块成分!B5465)</f>
        <v>920876.BJ</v>
      </c>
      <c r="X5463" s="276" t="str">
        <f>[1]!S_Info_Name(W5463)</f>
        <v>慧为智能</v>
      </c>
      <c r="Y5463" s="276" t="str">
        <f ca="1">IF($Y$3="申万一级行业",[1]!s_info_industry_sw_2021(W5463,公司分析!D$5,1),IF($Y$3="申万二级行业",[1]!s_info_industry_sw_2021(W5463,公司分析!D$5,2),IF($Y$3="申万三级行业",[1]!s_info_industry_sw_2021(W5463,公司分析!D$5,3),IF($Y$3="wind一级行业",[1]!s_info_industry_gics(W5463,1),IF($Y$3="wind二级行业",[1]!s_info_industry_gics(W5463,2),IF($Y$3="wind三级行业",[1]!s_info_industry_gics(W5463,3),IF($Y$3="wind四级行业",[1]!s_info_industry_gics(W5463,4),IF($Y$3="证监会门类行业",[1]!s_info_industry_csrc12_n(W5463,公司分析!D$5,1),""))))))))</f>
        <v>消费电子</v>
      </c>
      <c r="Z5463" s="302" t="str">
        <f ca="1">IF(Y5463=行业比较!$E$6,ROW(),"")</f>
        <v/>
      </c>
    </row>
    <row r="5464" spans="22:26">
      <c r="V5464" s="260">
        <f t="shared" ca="1" si="93"/>
        <v>0</v>
      </c>
      <c r="W5464" s="348" t="str">
        <f>IF(板块成分!B5466="","",板块成分!B5466)</f>
        <v>920879.BJ</v>
      </c>
      <c r="X5464" s="276" t="str">
        <f>[1]!S_Info_Name(W5464)</f>
        <v>基康技术</v>
      </c>
      <c r="Y5464" s="276" t="str">
        <f ca="1">IF($Y$3="申万一级行业",[1]!s_info_industry_sw_2021(W5464,公司分析!D$5,1),IF($Y$3="申万二级行业",[1]!s_info_industry_sw_2021(W5464,公司分析!D$5,2),IF($Y$3="申万三级行业",[1]!s_info_industry_sw_2021(W5464,公司分析!D$5,3),IF($Y$3="wind一级行业",[1]!s_info_industry_gics(W5464,1),IF($Y$3="wind二级行业",[1]!s_info_industry_gics(W5464,2),IF($Y$3="wind三级行业",[1]!s_info_industry_gics(W5464,3),IF($Y$3="wind四级行业",[1]!s_info_industry_gics(W5464,4),IF($Y$3="证监会门类行业",[1]!s_info_industry_csrc12_n(W5464,公司分析!D$5,1),""))))))))</f>
        <v>通用设备</v>
      </c>
      <c r="Z5464" s="302" t="str">
        <f ca="1">IF(Y5464=行业比较!$E$6,ROW(),"")</f>
        <v/>
      </c>
    </row>
    <row r="5465" spans="22:26">
      <c r="V5465" s="260">
        <f t="shared" ca="1" si="93"/>
        <v>0</v>
      </c>
      <c r="W5465" s="348" t="str">
        <f>IF(板块成分!B5467="","",板块成分!B5467)</f>
        <v>920885.BJ</v>
      </c>
      <c r="X5465" s="276" t="str">
        <f>[1]!S_Info_Name(W5465)</f>
        <v>星辰科技</v>
      </c>
      <c r="Y5465" s="276" t="str">
        <f ca="1">IF($Y$3="申万一级行业",[1]!s_info_industry_sw_2021(W5465,公司分析!D$5,1),IF($Y$3="申万二级行业",[1]!s_info_industry_sw_2021(W5465,公司分析!D$5,2),IF($Y$3="申万三级行业",[1]!s_info_industry_sw_2021(W5465,公司分析!D$5,3),IF($Y$3="wind一级行业",[1]!s_info_industry_gics(W5465,1),IF($Y$3="wind二级行业",[1]!s_info_industry_gics(W5465,2),IF($Y$3="wind三级行业",[1]!s_info_industry_gics(W5465,3),IF($Y$3="wind四级行业",[1]!s_info_industry_gics(W5465,4),IF($Y$3="证监会门类行业",[1]!s_info_industry_csrc12_n(W5465,公司分析!D$5,1),""))))))))</f>
        <v>自动化设备</v>
      </c>
      <c r="Z5465" s="302" t="str">
        <f ca="1">IF(Y5465=行业比较!$E$6,ROW(),"")</f>
        <v/>
      </c>
    </row>
    <row r="5466" spans="22:26">
      <c r="V5466" s="260">
        <f t="shared" ca="1" si="93"/>
        <v>0</v>
      </c>
      <c r="W5466" s="348" t="str">
        <f>IF(板块成分!B5468="","",板块成分!B5468)</f>
        <v>920892.BJ</v>
      </c>
      <c r="X5466" s="276" t="str">
        <f>[1]!S_Info_Name(W5466)</f>
        <v>广咨国际</v>
      </c>
      <c r="Y5466" s="276" t="str">
        <f ca="1">IF($Y$3="申万一级行业",[1]!s_info_industry_sw_2021(W5466,公司分析!D$5,1),IF($Y$3="申万二级行业",[1]!s_info_industry_sw_2021(W5466,公司分析!D$5,2),IF($Y$3="申万三级行业",[1]!s_info_industry_sw_2021(W5466,公司分析!D$5,3),IF($Y$3="wind一级行业",[1]!s_info_industry_gics(W5466,1),IF($Y$3="wind二级行业",[1]!s_info_industry_gics(W5466,2),IF($Y$3="wind三级行业",[1]!s_info_industry_gics(W5466,3),IF($Y$3="wind四级行业",[1]!s_info_industry_gics(W5466,4),IF($Y$3="证监会门类行业",[1]!s_info_industry_csrc12_n(W5466,公司分析!D$5,1),""))))))))</f>
        <v>工程咨询服务Ⅱ</v>
      </c>
      <c r="Z5466" s="302" t="str">
        <f ca="1">IF(Y5466=行业比较!$E$6,ROW(),"")</f>
        <v/>
      </c>
    </row>
    <row r="5467" spans="22:26">
      <c r="V5467" s="260">
        <f t="shared" ca="1" si="93"/>
        <v>0</v>
      </c>
      <c r="W5467" s="348" t="str">
        <f>IF(板块成分!B5469="","",板块成分!B5469)</f>
        <v>920895.BJ</v>
      </c>
      <c r="X5467" s="276" t="str">
        <f>[1]!S_Info_Name(W5467)</f>
        <v>花溪科技</v>
      </c>
      <c r="Y5467" s="276" t="str">
        <f ca="1">IF($Y$3="申万一级行业",[1]!s_info_industry_sw_2021(W5467,公司分析!D$5,1),IF($Y$3="申万二级行业",[1]!s_info_industry_sw_2021(W5467,公司分析!D$5,2),IF($Y$3="申万三级行业",[1]!s_info_industry_sw_2021(W5467,公司分析!D$5,3),IF($Y$3="wind一级行业",[1]!s_info_industry_gics(W5467,1),IF($Y$3="wind二级行业",[1]!s_info_industry_gics(W5467,2),IF($Y$3="wind三级行业",[1]!s_info_industry_gics(W5467,3),IF($Y$3="wind四级行业",[1]!s_info_industry_gics(W5467,4),IF($Y$3="证监会门类行业",[1]!s_info_industry_csrc12_n(W5467,公司分析!D$5,1),""))))))))</f>
        <v>专用设备</v>
      </c>
      <c r="Z5467" s="302" t="str">
        <f ca="1">IF(Y5467=行业比较!$E$6,ROW(),"")</f>
        <v/>
      </c>
    </row>
    <row r="5468" spans="22:26">
      <c r="V5468" s="260">
        <f t="shared" ca="1" si="93"/>
        <v>0</v>
      </c>
      <c r="W5468" s="348" t="str">
        <f>IF(板块成分!B5470="","",板块成分!B5470)</f>
        <v>920896.BJ</v>
      </c>
      <c r="X5468" s="276" t="str">
        <f>[1]!S_Info_Name(W5468)</f>
        <v>旺成科技</v>
      </c>
      <c r="Y5468" s="276" t="str">
        <f ca="1">IF($Y$3="申万一级行业",[1]!s_info_industry_sw_2021(W5468,公司分析!D$5,1),IF($Y$3="申万二级行业",[1]!s_info_industry_sw_2021(W5468,公司分析!D$5,2),IF($Y$3="申万三级行业",[1]!s_info_industry_sw_2021(W5468,公司分析!D$5,3),IF($Y$3="wind一级行业",[1]!s_info_industry_gics(W5468,1),IF($Y$3="wind二级行业",[1]!s_info_industry_gics(W5468,2),IF($Y$3="wind三级行业",[1]!s_info_industry_gics(W5468,3),IF($Y$3="wind四级行业",[1]!s_info_industry_gics(W5468,4),IF($Y$3="证监会门类行业",[1]!s_info_industry_csrc12_n(W5468,公司分析!D$5,1),""))))))))</f>
        <v>汽车零部件</v>
      </c>
      <c r="Z5468" s="302" t="str">
        <f ca="1">IF(Y5468=行业比较!$E$6,ROW(),"")</f>
        <v/>
      </c>
    </row>
    <row r="5469" spans="22:26">
      <c r="V5469" s="260">
        <f t="shared" ca="1" si="93"/>
        <v>0</v>
      </c>
      <c r="W5469" s="348" t="str">
        <f>IF(板块成分!B5471="","",板块成分!B5471)</f>
        <v>920906.BJ</v>
      </c>
      <c r="X5469" s="276" t="str">
        <f>[1]!S_Info_Name(W5469)</f>
        <v>舜宇精工</v>
      </c>
      <c r="Y5469" s="276" t="str">
        <f ca="1">IF($Y$3="申万一级行业",[1]!s_info_industry_sw_2021(W5469,公司分析!D$5,1),IF($Y$3="申万二级行业",[1]!s_info_industry_sw_2021(W5469,公司分析!D$5,2),IF($Y$3="申万三级行业",[1]!s_info_industry_sw_2021(W5469,公司分析!D$5,3),IF($Y$3="wind一级行业",[1]!s_info_industry_gics(W5469,1),IF($Y$3="wind二级行业",[1]!s_info_industry_gics(W5469,2),IF($Y$3="wind三级行业",[1]!s_info_industry_gics(W5469,3),IF($Y$3="wind四级行业",[1]!s_info_industry_gics(W5469,4),IF($Y$3="证监会门类行业",[1]!s_info_industry_csrc12_n(W5469,公司分析!D$5,1),""))))))))</f>
        <v>汽车零部件</v>
      </c>
      <c r="Z5469" s="302" t="str">
        <f ca="1">IF(Y5469=行业比较!$E$6,ROW(),"")</f>
        <v/>
      </c>
    </row>
    <row r="5470" spans="22:26">
      <c r="V5470" s="260">
        <f t="shared" ca="1" si="93"/>
        <v>0</v>
      </c>
      <c r="W5470" s="348" t="str">
        <f>IF(板块成分!B5472="","",板块成分!B5472)</f>
        <v>920914.BJ</v>
      </c>
      <c r="X5470" s="276" t="str">
        <f>[1]!S_Info_Name(W5470)</f>
        <v>远航精密</v>
      </c>
      <c r="Y5470" s="276" t="str">
        <f ca="1">IF($Y$3="申万一级行业",[1]!s_info_industry_sw_2021(W5470,公司分析!D$5,1),IF($Y$3="申万二级行业",[1]!s_info_industry_sw_2021(W5470,公司分析!D$5,2),IF($Y$3="申万三级行业",[1]!s_info_industry_sw_2021(W5470,公司分析!D$5,3),IF($Y$3="wind一级行业",[1]!s_info_industry_gics(W5470,1),IF($Y$3="wind二级行业",[1]!s_info_industry_gics(W5470,2),IF($Y$3="wind三级行业",[1]!s_info_industry_gics(W5470,3),IF($Y$3="wind四级行业",[1]!s_info_industry_gics(W5470,4),IF($Y$3="证监会门类行业",[1]!s_info_industry_csrc12_n(W5470,公司分析!D$5,1),""))))))))</f>
        <v>电池</v>
      </c>
      <c r="Z5470" s="302" t="str">
        <f ca="1">IF(Y5470=行业比较!$E$6,ROW(),"")</f>
        <v/>
      </c>
    </row>
    <row r="5471" spans="22:26">
      <c r="V5471" s="260">
        <f t="shared" ca="1" si="93"/>
        <v>0</v>
      </c>
      <c r="W5471" s="348" t="str">
        <f>IF(板块成分!B5473="","",板块成分!B5473)</f>
        <v>920924.BJ</v>
      </c>
      <c r="X5471" s="276" t="str">
        <f>[1]!S_Info_Name(W5471)</f>
        <v>广脉科技</v>
      </c>
      <c r="Y5471" s="276" t="str">
        <f ca="1">IF($Y$3="申万一级行业",[1]!s_info_industry_sw_2021(W5471,公司分析!D$5,1),IF($Y$3="申万二级行业",[1]!s_info_industry_sw_2021(W5471,公司分析!D$5,2),IF($Y$3="申万三级行业",[1]!s_info_industry_sw_2021(W5471,公司分析!D$5,3),IF($Y$3="wind一级行业",[1]!s_info_industry_gics(W5471,1),IF($Y$3="wind二级行业",[1]!s_info_industry_gics(W5471,2),IF($Y$3="wind三级行业",[1]!s_info_industry_gics(W5471,3),IF($Y$3="wind四级行业",[1]!s_info_industry_gics(W5471,4),IF($Y$3="证监会门类行业",[1]!s_info_industry_csrc12_n(W5471,公司分析!D$5,1),""))))))))</f>
        <v>通信服务</v>
      </c>
      <c r="Z5471" s="302" t="str">
        <f ca="1">IF(Y5471=行业比较!$E$6,ROW(),"")</f>
        <v/>
      </c>
    </row>
    <row r="5472" spans="22:26">
      <c r="V5472" s="260">
        <f t="shared" ca="1" si="93"/>
        <v>0</v>
      </c>
      <c r="W5472" s="348" t="str">
        <f>IF(板块成分!B5474="","",板块成分!B5474)</f>
        <v>920925.BJ</v>
      </c>
      <c r="X5472" s="276" t="str">
        <f>[1]!S_Info_Name(W5472)</f>
        <v>锦好医疗</v>
      </c>
      <c r="Y5472" s="276" t="str">
        <f ca="1">IF($Y$3="申万一级行业",[1]!s_info_industry_sw_2021(W5472,公司分析!D$5,1),IF($Y$3="申万二级行业",[1]!s_info_industry_sw_2021(W5472,公司分析!D$5,2),IF($Y$3="申万三级行业",[1]!s_info_industry_sw_2021(W5472,公司分析!D$5,3),IF($Y$3="wind一级行业",[1]!s_info_industry_gics(W5472,1),IF($Y$3="wind二级行业",[1]!s_info_industry_gics(W5472,2),IF($Y$3="wind三级行业",[1]!s_info_industry_gics(W5472,3),IF($Y$3="wind四级行业",[1]!s_info_industry_gics(W5472,4),IF($Y$3="证监会门类行业",[1]!s_info_industry_csrc12_n(W5472,公司分析!D$5,1),""))))))))</f>
        <v>医疗器械</v>
      </c>
      <c r="Z5472" s="302" t="str">
        <f ca="1">IF(Y5472=行业比较!$E$6,ROW(),"")</f>
        <v/>
      </c>
    </row>
    <row r="5473" spans="22:26">
      <c r="V5473" s="260">
        <f t="shared" ca="1" si="93"/>
        <v>0</v>
      </c>
      <c r="W5473" s="348" t="str">
        <f>IF(板块成分!B5475="","",板块成分!B5475)</f>
        <v>920926.BJ</v>
      </c>
      <c r="X5473" s="276" t="str">
        <f>[1]!S_Info_Name(W5473)</f>
        <v>鸿智科技</v>
      </c>
      <c r="Y5473" s="276" t="str">
        <f ca="1">IF($Y$3="申万一级行业",[1]!s_info_industry_sw_2021(W5473,公司分析!D$5,1),IF($Y$3="申万二级行业",[1]!s_info_industry_sw_2021(W5473,公司分析!D$5,2),IF($Y$3="申万三级行业",[1]!s_info_industry_sw_2021(W5473,公司分析!D$5,3),IF($Y$3="wind一级行业",[1]!s_info_industry_gics(W5473,1),IF($Y$3="wind二级行业",[1]!s_info_industry_gics(W5473,2),IF($Y$3="wind三级行业",[1]!s_info_industry_gics(W5473,3),IF($Y$3="wind四级行业",[1]!s_info_industry_gics(W5473,4),IF($Y$3="证监会门类行业",[1]!s_info_industry_csrc12_n(W5473,公司分析!D$5,1),""))))))))</f>
        <v>小家电</v>
      </c>
      <c r="Z5473" s="302" t="str">
        <f ca="1">IF(Y5473=行业比较!$E$6,ROW(),"")</f>
        <v/>
      </c>
    </row>
    <row r="5474" spans="22:26">
      <c r="V5474" s="260">
        <f t="shared" ca="1" si="93"/>
        <v>0</v>
      </c>
      <c r="W5474" s="348" t="str">
        <f>IF(板块成分!B5476="","",板块成分!B5476)</f>
        <v>920931.BJ</v>
      </c>
      <c r="X5474" s="276" t="str">
        <f>[1]!S_Info_Name(W5474)</f>
        <v>无锡鼎邦</v>
      </c>
      <c r="Y5474" s="276" t="str">
        <f ca="1">IF($Y$3="申万一级行业",[1]!s_info_industry_sw_2021(W5474,公司分析!D$5,1),IF($Y$3="申万二级行业",[1]!s_info_industry_sw_2021(W5474,公司分析!D$5,2),IF($Y$3="申万三级行业",[1]!s_info_industry_sw_2021(W5474,公司分析!D$5,3),IF($Y$3="wind一级行业",[1]!s_info_industry_gics(W5474,1),IF($Y$3="wind二级行业",[1]!s_info_industry_gics(W5474,2),IF($Y$3="wind三级行业",[1]!s_info_industry_gics(W5474,3),IF($Y$3="wind四级行业",[1]!s_info_industry_gics(W5474,4),IF($Y$3="证监会门类行业",[1]!s_info_industry_csrc12_n(W5474,公司分析!D$5,1),""))))))))</f>
        <v>专用设备</v>
      </c>
      <c r="Z5474" s="302" t="str">
        <f ca="1">IF(Y5474=行业比较!$E$6,ROW(),"")</f>
        <v/>
      </c>
    </row>
    <row r="5475" spans="22:26">
      <c r="V5475" s="260">
        <f t="shared" ca="1" si="93"/>
        <v>0</v>
      </c>
      <c r="W5475" s="348" t="str">
        <f>IF(板块成分!B5477="","",板块成分!B5477)</f>
        <v>920932.BJ</v>
      </c>
      <c r="X5475" s="276" t="str">
        <f>[1]!S_Info_Name(W5475)</f>
        <v>科达自控</v>
      </c>
      <c r="Y5475" s="276" t="str">
        <f ca="1">IF($Y$3="申万一级行业",[1]!s_info_industry_sw_2021(W5475,公司分析!D$5,1),IF($Y$3="申万二级行业",[1]!s_info_industry_sw_2021(W5475,公司分析!D$5,2),IF($Y$3="申万三级行业",[1]!s_info_industry_sw_2021(W5475,公司分析!D$5,3),IF($Y$3="wind一级行业",[1]!s_info_industry_gics(W5475,1),IF($Y$3="wind二级行业",[1]!s_info_industry_gics(W5475,2),IF($Y$3="wind三级行业",[1]!s_info_industry_gics(W5475,3),IF($Y$3="wind四级行业",[1]!s_info_industry_gics(W5475,4),IF($Y$3="证监会门类行业",[1]!s_info_industry_csrc12_n(W5475,公司分析!D$5,1),""))))))))</f>
        <v>软件开发</v>
      </c>
      <c r="Z5475" s="302" t="str">
        <f ca="1">IF(Y5475=行业比较!$E$6,ROW(),"")</f>
        <v/>
      </c>
    </row>
    <row r="5476" spans="22:26">
      <c r="V5476" s="260">
        <f t="shared" ca="1" si="93"/>
        <v>0</v>
      </c>
      <c r="W5476" s="348" t="str">
        <f>IF(板块成分!B5478="","",板块成分!B5478)</f>
        <v>920942.BJ</v>
      </c>
      <c r="X5476" s="276" t="str">
        <f>[1]!S_Info_Name(W5476)</f>
        <v>恒立钻具</v>
      </c>
      <c r="Y5476" s="276" t="str">
        <f ca="1">IF($Y$3="申万一级行业",[1]!s_info_industry_sw_2021(W5476,公司分析!D$5,1),IF($Y$3="申万二级行业",[1]!s_info_industry_sw_2021(W5476,公司分析!D$5,2),IF($Y$3="申万三级行业",[1]!s_info_industry_sw_2021(W5476,公司分析!D$5,3),IF($Y$3="wind一级行业",[1]!s_info_industry_gics(W5476,1),IF($Y$3="wind二级行业",[1]!s_info_industry_gics(W5476,2),IF($Y$3="wind三级行业",[1]!s_info_industry_gics(W5476,3),IF($Y$3="wind四级行业",[1]!s_info_industry_gics(W5476,4),IF($Y$3="证监会门类行业",[1]!s_info_industry_csrc12_n(W5476,公司分析!D$5,1),""))))))))</f>
        <v>工程机械</v>
      </c>
      <c r="Z5476" s="302" t="str">
        <f ca="1">IF(Y5476=行业比较!$E$6,ROW(),"")</f>
        <v/>
      </c>
    </row>
    <row r="5477" spans="22:26">
      <c r="V5477" s="260">
        <f t="shared" ca="1" si="93"/>
        <v>0</v>
      </c>
      <c r="W5477" s="348" t="str">
        <f>IF(板块成分!B5479="","",板块成分!B5479)</f>
        <v>920943.BJ</v>
      </c>
      <c r="X5477" s="276" t="str">
        <f>[1]!S_Info_Name(W5477)</f>
        <v>优机股份</v>
      </c>
      <c r="Y5477" s="276" t="str">
        <f ca="1">IF($Y$3="申万一级行业",[1]!s_info_industry_sw_2021(W5477,公司分析!D$5,1),IF($Y$3="申万二级行业",[1]!s_info_industry_sw_2021(W5477,公司分析!D$5,2),IF($Y$3="申万三级行业",[1]!s_info_industry_sw_2021(W5477,公司分析!D$5,3),IF($Y$3="wind一级行业",[1]!s_info_industry_gics(W5477,1),IF($Y$3="wind二级行业",[1]!s_info_industry_gics(W5477,2),IF($Y$3="wind三级行业",[1]!s_info_industry_gics(W5477,3),IF($Y$3="wind四级行业",[1]!s_info_industry_gics(W5477,4),IF($Y$3="证监会门类行业",[1]!s_info_industry_csrc12_n(W5477,公司分析!D$5,1),""))))))))</f>
        <v>通用设备</v>
      </c>
      <c r="Z5477" s="302" t="str">
        <f ca="1">IF(Y5477=行业比较!$E$6,ROW(),"")</f>
        <v/>
      </c>
    </row>
    <row r="5478" spans="22:26">
      <c r="V5478" s="260">
        <f t="shared" ca="1" si="93"/>
        <v>0</v>
      </c>
      <c r="W5478" s="348" t="str">
        <f>IF(板块成分!B5480="","",板块成分!B5480)</f>
        <v>920946.BJ</v>
      </c>
      <c r="X5478" s="276" t="str">
        <f>[1]!S_Info_Name(W5478)</f>
        <v>森萱医药</v>
      </c>
      <c r="Y5478" s="276" t="str">
        <f ca="1">IF($Y$3="申万一级行业",[1]!s_info_industry_sw_2021(W5478,公司分析!D$5,1),IF($Y$3="申万二级行业",[1]!s_info_industry_sw_2021(W5478,公司分析!D$5,2),IF($Y$3="申万三级行业",[1]!s_info_industry_sw_2021(W5478,公司分析!D$5,3),IF($Y$3="wind一级行业",[1]!s_info_industry_gics(W5478,1),IF($Y$3="wind二级行业",[1]!s_info_industry_gics(W5478,2),IF($Y$3="wind三级行业",[1]!s_info_industry_gics(W5478,3),IF($Y$3="wind四级行业",[1]!s_info_industry_gics(W5478,4),IF($Y$3="证监会门类行业",[1]!s_info_industry_csrc12_n(W5478,公司分析!D$5,1),""))))))))</f>
        <v>化学制药</v>
      </c>
      <c r="Z5478" s="302" t="str">
        <f ca="1">IF(Y5478=行业比较!$E$6,ROW(),"")</f>
        <v/>
      </c>
    </row>
    <row r="5479" spans="22:26">
      <c r="V5479" s="260">
        <f t="shared" ca="1" si="93"/>
        <v>0</v>
      </c>
      <c r="W5479" s="348" t="str">
        <f>IF(板块成分!B5481="","",板块成分!B5481)</f>
        <v>920950.BJ</v>
      </c>
      <c r="X5479" s="276" t="str">
        <f>[1]!S_Info_Name(W5479)</f>
        <v>迅安科技</v>
      </c>
      <c r="Y5479" s="276" t="str">
        <f ca="1">IF($Y$3="申万一级行业",[1]!s_info_industry_sw_2021(W5479,公司分析!D$5,1),IF($Y$3="申万二级行业",[1]!s_info_industry_sw_2021(W5479,公司分析!D$5,2),IF($Y$3="申万三级行业",[1]!s_info_industry_sw_2021(W5479,公司分析!D$5,3),IF($Y$3="wind一级行业",[1]!s_info_industry_gics(W5479,1),IF($Y$3="wind二级行业",[1]!s_info_industry_gics(W5479,2),IF($Y$3="wind三级行业",[1]!s_info_industry_gics(W5479,3),IF($Y$3="wind四级行业",[1]!s_info_industry_gics(W5479,4),IF($Y$3="证监会门类行业",[1]!s_info_industry_csrc12_n(W5479,公司分析!D$5,1),""))))))))</f>
        <v>通用设备</v>
      </c>
      <c r="Z5479" s="302" t="str">
        <f ca="1">IF(Y5479=行业比较!$E$6,ROW(),"")</f>
        <v/>
      </c>
    </row>
    <row r="5480" spans="22:26">
      <c r="V5480" s="260">
        <f t="shared" ref="V5480:V5500" ca="1" si="94">IF(Z5480="",0,RANK(Z5480,Z:Z,1))</f>
        <v>0</v>
      </c>
      <c r="W5480" s="348" t="str">
        <f>IF(板块成分!B5482="","",板块成分!B5482)</f>
        <v>920953.BJ</v>
      </c>
      <c r="X5480" s="276" t="str">
        <f>[1]!S_Info_Name(W5480)</f>
        <v>国子软件</v>
      </c>
      <c r="Y5480" s="276" t="str">
        <f ca="1">IF($Y$3="申万一级行业",[1]!s_info_industry_sw_2021(W5480,公司分析!D$5,1),IF($Y$3="申万二级行业",[1]!s_info_industry_sw_2021(W5480,公司分析!D$5,2),IF($Y$3="申万三级行业",[1]!s_info_industry_sw_2021(W5480,公司分析!D$5,3),IF($Y$3="wind一级行业",[1]!s_info_industry_gics(W5480,1),IF($Y$3="wind二级行业",[1]!s_info_industry_gics(W5480,2),IF($Y$3="wind三级行业",[1]!s_info_industry_gics(W5480,3),IF($Y$3="wind四级行业",[1]!s_info_industry_gics(W5480,4),IF($Y$3="证监会门类行业",[1]!s_info_industry_csrc12_n(W5480,公司分析!D$5,1),""))))))))</f>
        <v>IT服务Ⅱ</v>
      </c>
      <c r="Z5480" s="302" t="str">
        <f ca="1">IF(Y5480=行业比较!$E$6,ROW(),"")</f>
        <v/>
      </c>
    </row>
    <row r="5481" spans="22:26">
      <c r="V5481" s="260">
        <f t="shared" ca="1" si="94"/>
        <v>0</v>
      </c>
      <c r="W5481" s="348" t="str">
        <f>IF(板块成分!B5483="","",板块成分!B5483)</f>
        <v>920957.BJ</v>
      </c>
      <c r="X5481" s="276" t="str">
        <f>[1]!S_Info_Name(W5481)</f>
        <v>汉维科技</v>
      </c>
      <c r="Y5481" s="276" t="str">
        <f ca="1">IF($Y$3="申万一级行业",[1]!s_info_industry_sw_2021(W5481,公司分析!D$5,1),IF($Y$3="申万二级行业",[1]!s_info_industry_sw_2021(W5481,公司分析!D$5,2),IF($Y$3="申万三级行业",[1]!s_info_industry_sw_2021(W5481,公司分析!D$5,3),IF($Y$3="wind一级行业",[1]!s_info_industry_gics(W5481,1),IF($Y$3="wind二级行业",[1]!s_info_industry_gics(W5481,2),IF($Y$3="wind三级行业",[1]!s_info_industry_gics(W5481,3),IF($Y$3="wind四级行业",[1]!s_info_industry_gics(W5481,4),IF($Y$3="证监会门类行业",[1]!s_info_industry_csrc12_n(W5481,公司分析!D$5,1),""))))))))</f>
        <v>化学制品</v>
      </c>
      <c r="Z5481" s="302" t="str">
        <f ca="1">IF(Y5481=行业比较!$E$6,ROW(),"")</f>
        <v/>
      </c>
    </row>
    <row r="5482" spans="22:26">
      <c r="V5482" s="260">
        <f t="shared" ca="1" si="94"/>
        <v>0</v>
      </c>
      <c r="W5482" s="348" t="str">
        <f>IF(板块成分!B5484="","",板块成分!B5484)</f>
        <v>920961.BJ</v>
      </c>
      <c r="X5482" s="276" t="str">
        <f>[1]!S_Info_Name(W5482)</f>
        <v>创远信科</v>
      </c>
      <c r="Y5482" s="276" t="str">
        <f ca="1">IF($Y$3="申万一级行业",[1]!s_info_industry_sw_2021(W5482,公司分析!D$5,1),IF($Y$3="申万二级行业",[1]!s_info_industry_sw_2021(W5482,公司分析!D$5,2),IF($Y$3="申万三级行业",[1]!s_info_industry_sw_2021(W5482,公司分析!D$5,3),IF($Y$3="wind一级行业",[1]!s_info_industry_gics(W5482,1),IF($Y$3="wind二级行业",[1]!s_info_industry_gics(W5482,2),IF($Y$3="wind三级行业",[1]!s_info_industry_gics(W5482,3),IF($Y$3="wind四级行业",[1]!s_info_industry_gics(W5482,4),IF($Y$3="证监会门类行业",[1]!s_info_industry_csrc12_n(W5482,公司分析!D$5,1),""))))))))</f>
        <v>通用设备</v>
      </c>
      <c r="Z5482" s="302" t="str">
        <f ca="1">IF(Y5482=行业比较!$E$6,ROW(),"")</f>
        <v/>
      </c>
    </row>
    <row r="5483" spans="22:26">
      <c r="V5483" s="260">
        <f t="shared" ca="1" si="94"/>
        <v>0</v>
      </c>
      <c r="W5483" s="348" t="str">
        <f>IF(板块成分!B5485="","",板块成分!B5485)</f>
        <v>920964.BJ</v>
      </c>
      <c r="X5483" s="276" t="str">
        <f>[1]!S_Info_Name(W5483)</f>
        <v>润农节水</v>
      </c>
      <c r="Y5483" s="276" t="str">
        <f ca="1">IF($Y$3="申万一级行业",[1]!s_info_industry_sw_2021(W5483,公司分析!D$5,1),IF($Y$3="申万二级行业",[1]!s_info_industry_sw_2021(W5483,公司分析!D$5,2),IF($Y$3="申万三级行业",[1]!s_info_industry_sw_2021(W5483,公司分析!D$5,3),IF($Y$3="wind一级行业",[1]!s_info_industry_gics(W5483,1),IF($Y$3="wind二级行业",[1]!s_info_industry_gics(W5483,2),IF($Y$3="wind三级行业",[1]!s_info_industry_gics(W5483,3),IF($Y$3="wind四级行业",[1]!s_info_industry_gics(W5483,4),IF($Y$3="证监会门类行业",[1]!s_info_industry_csrc12_n(W5483,公司分析!D$5,1),""))))))))</f>
        <v>农业综合Ⅱ</v>
      </c>
      <c r="Z5483" s="302" t="str">
        <f ca="1">IF(Y5483=行业比较!$E$6,ROW(),"")</f>
        <v/>
      </c>
    </row>
    <row r="5484" spans="22:26">
      <c r="V5484" s="260">
        <f t="shared" ca="1" si="94"/>
        <v>0</v>
      </c>
      <c r="W5484" s="348" t="str">
        <f>IF(板块成分!B5486="","",板块成分!B5486)</f>
        <v>920970.BJ</v>
      </c>
      <c r="X5484" s="276" t="str">
        <f>[1]!S_Info_Name(W5484)</f>
        <v>大禹生物</v>
      </c>
      <c r="Y5484" s="276" t="str">
        <f ca="1">IF($Y$3="申万一级行业",[1]!s_info_industry_sw_2021(W5484,公司分析!D$5,1),IF($Y$3="申万二级行业",[1]!s_info_industry_sw_2021(W5484,公司分析!D$5,2),IF($Y$3="申万三级行业",[1]!s_info_industry_sw_2021(W5484,公司分析!D$5,3),IF($Y$3="wind一级行业",[1]!s_info_industry_gics(W5484,1),IF($Y$3="wind二级行业",[1]!s_info_industry_gics(W5484,2),IF($Y$3="wind三级行业",[1]!s_info_industry_gics(W5484,3),IF($Y$3="wind四级行业",[1]!s_info_industry_gics(W5484,4),IF($Y$3="证监会门类行业",[1]!s_info_industry_csrc12_n(W5484,公司分析!D$5,1),""))))))))</f>
        <v>动物保健Ⅱ</v>
      </c>
      <c r="Z5484" s="302" t="str">
        <f ca="1">IF(Y5484=行业比较!$E$6,ROW(),"")</f>
        <v/>
      </c>
    </row>
    <row r="5485" spans="22:26">
      <c r="V5485" s="260">
        <f t="shared" ca="1" si="94"/>
        <v>0</v>
      </c>
      <c r="W5485" s="348" t="str">
        <f>IF(板块成分!B5487="","",板块成分!B5487)</f>
        <v>920971.BJ</v>
      </c>
      <c r="X5485" s="276" t="str">
        <f>[1]!S_Info_Name(W5485)</f>
        <v>天马新材</v>
      </c>
      <c r="Y5485" s="276" t="str">
        <f ca="1">IF($Y$3="申万一级行业",[1]!s_info_industry_sw_2021(W5485,公司分析!D$5,1),IF($Y$3="申万二级行业",[1]!s_info_industry_sw_2021(W5485,公司分析!D$5,2),IF($Y$3="申万三级行业",[1]!s_info_industry_sw_2021(W5485,公司分析!D$5,3),IF($Y$3="wind一级行业",[1]!s_info_industry_gics(W5485,1),IF($Y$3="wind二级行业",[1]!s_info_industry_gics(W5485,2),IF($Y$3="wind三级行业",[1]!s_info_industry_gics(W5485,3),IF($Y$3="wind四级行业",[1]!s_info_industry_gics(W5485,4),IF($Y$3="证监会门类行业",[1]!s_info_industry_csrc12_n(W5485,公司分析!D$5,1),""))))))))</f>
        <v>非金属材料Ⅱ</v>
      </c>
      <c r="Z5485" s="302" t="str">
        <f ca="1">IF(Y5485=行业比较!$E$6,ROW(),"")</f>
        <v/>
      </c>
    </row>
    <row r="5486" spans="22:26">
      <c r="V5486" s="260">
        <f t="shared" ca="1" si="94"/>
        <v>0</v>
      </c>
      <c r="W5486" s="348" t="str">
        <f>IF(板块成分!B5488="","",板块成分!B5488)</f>
        <v>920974.BJ</v>
      </c>
      <c r="X5486" s="276" t="str">
        <f>[1]!S_Info_Name(W5486)</f>
        <v>凯大催化</v>
      </c>
      <c r="Y5486" s="276" t="str">
        <f ca="1">IF($Y$3="申万一级行业",[1]!s_info_industry_sw_2021(W5486,公司分析!D$5,1),IF($Y$3="申万二级行业",[1]!s_info_industry_sw_2021(W5486,公司分析!D$5,2),IF($Y$3="申万三级行业",[1]!s_info_industry_sw_2021(W5486,公司分析!D$5,3),IF($Y$3="wind一级行业",[1]!s_info_industry_gics(W5486,1),IF($Y$3="wind二级行业",[1]!s_info_industry_gics(W5486,2),IF($Y$3="wind三级行业",[1]!s_info_industry_gics(W5486,3),IF($Y$3="wind四级行业",[1]!s_info_industry_gics(W5486,4),IF($Y$3="证监会门类行业",[1]!s_info_industry_csrc12_n(W5486,公司分析!D$5,1),""))))))))</f>
        <v>化学制品</v>
      </c>
      <c r="Z5486" s="302" t="str">
        <f ca="1">IF(Y5486=行业比较!$E$6,ROW(),"")</f>
        <v/>
      </c>
    </row>
    <row r="5487" spans="22:26">
      <c r="V5487" s="260">
        <f t="shared" ca="1" si="94"/>
        <v>0</v>
      </c>
      <c r="W5487" s="348" t="str">
        <f>IF(板块成分!B5489="","",板块成分!B5489)</f>
        <v>920976.BJ</v>
      </c>
      <c r="X5487" s="276" t="str">
        <f>[1]!S_Info_Name(W5487)</f>
        <v>视声智能</v>
      </c>
      <c r="Y5487" s="276" t="str">
        <f ca="1">IF($Y$3="申万一级行业",[1]!s_info_industry_sw_2021(W5487,公司分析!D$5,1),IF($Y$3="申万二级行业",[1]!s_info_industry_sw_2021(W5487,公司分析!D$5,2),IF($Y$3="申万三级行业",[1]!s_info_industry_sw_2021(W5487,公司分析!D$5,3),IF($Y$3="wind一级行业",[1]!s_info_industry_gics(W5487,1),IF($Y$3="wind二级行业",[1]!s_info_industry_gics(W5487,2),IF($Y$3="wind三级行业",[1]!s_info_industry_gics(W5487,3),IF($Y$3="wind四级行业",[1]!s_info_industry_gics(W5487,4),IF($Y$3="证监会门类行业",[1]!s_info_industry_csrc12_n(W5487,公司分析!D$5,1),""))))))))</f>
        <v>计算机设备</v>
      </c>
      <c r="Z5487" s="302" t="str">
        <f ca="1">IF(Y5487=行业比较!$E$6,ROW(),"")</f>
        <v/>
      </c>
    </row>
    <row r="5488" spans="22:26">
      <c r="V5488" s="260">
        <f t="shared" ca="1" si="94"/>
        <v>0</v>
      </c>
      <c r="W5488" s="348" t="str">
        <f>IF(板块成分!B5490="","",板块成分!B5490)</f>
        <v>920978.BJ</v>
      </c>
      <c r="X5488" s="276" t="str">
        <f>[1]!S_Info_Name(W5488)</f>
        <v>开特股份</v>
      </c>
      <c r="Y5488" s="276" t="str">
        <f ca="1">IF($Y$3="申万一级行业",[1]!s_info_industry_sw_2021(W5488,公司分析!D$5,1),IF($Y$3="申万二级行业",[1]!s_info_industry_sw_2021(W5488,公司分析!D$5,2),IF($Y$3="申万三级行业",[1]!s_info_industry_sw_2021(W5488,公司分析!D$5,3),IF($Y$3="wind一级行业",[1]!s_info_industry_gics(W5488,1),IF($Y$3="wind二级行业",[1]!s_info_industry_gics(W5488,2),IF($Y$3="wind三级行业",[1]!s_info_industry_gics(W5488,3),IF($Y$3="wind四级行业",[1]!s_info_industry_gics(W5488,4),IF($Y$3="证监会门类行业",[1]!s_info_industry_csrc12_n(W5488,公司分析!D$5,1),""))))))))</f>
        <v>汽车零部件</v>
      </c>
      <c r="Z5488" s="302" t="str">
        <f ca="1">IF(Y5488=行业比较!$E$6,ROW(),"")</f>
        <v/>
      </c>
    </row>
    <row r="5489" spans="22:26">
      <c r="V5489" s="260">
        <f t="shared" ca="1" si="94"/>
        <v>0</v>
      </c>
      <c r="W5489" s="348" t="str">
        <f>IF(板块成分!B5491="","",板块成分!B5491)</f>
        <v>920981.BJ</v>
      </c>
      <c r="X5489" s="276" t="str">
        <f>[1]!S_Info_Name(W5489)</f>
        <v>晶赛科技</v>
      </c>
      <c r="Y5489" s="276" t="str">
        <f ca="1">IF($Y$3="申万一级行业",[1]!s_info_industry_sw_2021(W5489,公司分析!D$5,1),IF($Y$3="申万二级行业",[1]!s_info_industry_sw_2021(W5489,公司分析!D$5,2),IF($Y$3="申万三级行业",[1]!s_info_industry_sw_2021(W5489,公司分析!D$5,3),IF($Y$3="wind一级行业",[1]!s_info_industry_gics(W5489,1),IF($Y$3="wind二级行业",[1]!s_info_industry_gics(W5489,2),IF($Y$3="wind三级行业",[1]!s_info_industry_gics(W5489,3),IF($Y$3="wind四级行业",[1]!s_info_industry_gics(W5489,4),IF($Y$3="证监会门类行业",[1]!s_info_industry_csrc12_n(W5489,公司分析!D$5,1),""))))))))</f>
        <v>元件</v>
      </c>
      <c r="Z5489" s="302" t="str">
        <f ca="1">IF(Y5489=行业比较!$E$6,ROW(),"")</f>
        <v/>
      </c>
    </row>
    <row r="5490" spans="22:26">
      <c r="V5490" s="260">
        <f t="shared" ca="1" si="94"/>
        <v>0</v>
      </c>
      <c r="W5490" s="348" t="str">
        <f>IF(板块成分!B5492="","",板块成分!B5492)</f>
        <v>920982.BJ</v>
      </c>
      <c r="X5490" s="276" t="str">
        <f>[1]!S_Info_Name(W5490)</f>
        <v>锦波生物</v>
      </c>
      <c r="Y5490" s="276" t="str">
        <f ca="1">IF($Y$3="申万一级行业",[1]!s_info_industry_sw_2021(W5490,公司分析!D$5,1),IF($Y$3="申万二级行业",[1]!s_info_industry_sw_2021(W5490,公司分析!D$5,2),IF($Y$3="申万三级行业",[1]!s_info_industry_sw_2021(W5490,公司分析!D$5,3),IF($Y$3="wind一级行业",[1]!s_info_industry_gics(W5490,1),IF($Y$3="wind二级行业",[1]!s_info_industry_gics(W5490,2),IF($Y$3="wind三级行业",[1]!s_info_industry_gics(W5490,3),IF($Y$3="wind四级行业",[1]!s_info_industry_gics(W5490,4),IF($Y$3="证监会门类行业",[1]!s_info_industry_csrc12_n(W5490,公司分析!D$5,1),""))))))))</f>
        <v>医疗美容</v>
      </c>
      <c r="Z5490" s="302" t="str">
        <f ca="1">IF(Y5490=行业比较!$E$6,ROW(),"")</f>
        <v/>
      </c>
    </row>
    <row r="5491" spans="22:26">
      <c r="V5491" s="260">
        <f t="shared" ca="1" si="94"/>
        <v>0</v>
      </c>
      <c r="W5491" s="348" t="str">
        <f>IF(板块成分!B5493="","",板块成分!B5493)</f>
        <v>920985.BJ</v>
      </c>
      <c r="X5491" s="276" t="str">
        <f>[1]!S_Info_Name(W5491)</f>
        <v>海泰新能</v>
      </c>
      <c r="Y5491" s="276" t="str">
        <f ca="1">IF($Y$3="申万一级行业",[1]!s_info_industry_sw_2021(W5491,公司分析!D$5,1),IF($Y$3="申万二级行业",[1]!s_info_industry_sw_2021(W5491,公司分析!D$5,2),IF($Y$3="申万三级行业",[1]!s_info_industry_sw_2021(W5491,公司分析!D$5,3),IF($Y$3="wind一级行业",[1]!s_info_industry_gics(W5491,1),IF($Y$3="wind二级行业",[1]!s_info_industry_gics(W5491,2),IF($Y$3="wind三级行业",[1]!s_info_industry_gics(W5491,3),IF($Y$3="wind四级行业",[1]!s_info_industry_gics(W5491,4),IF($Y$3="证监会门类行业",[1]!s_info_industry_csrc12_n(W5491,公司分析!D$5,1),""))))))))</f>
        <v>光伏设备</v>
      </c>
      <c r="Z5491" s="302" t="str">
        <f ca="1">IF(Y5491=行业比较!$E$6,ROW(),"")</f>
        <v/>
      </c>
    </row>
    <row r="5492" spans="22:26">
      <c r="V5492" s="260">
        <f t="shared" ca="1" si="94"/>
        <v>0</v>
      </c>
      <c r="W5492" s="348" t="str">
        <f>IF(板块成分!B5494="","",板块成分!B5494)</f>
        <v>920992.BJ</v>
      </c>
      <c r="X5492" s="276" t="str">
        <f>[1]!S_Info_Name(W5492)</f>
        <v>中科美菱</v>
      </c>
      <c r="Y5492" s="276" t="str">
        <f ca="1">IF($Y$3="申万一级行业",[1]!s_info_industry_sw_2021(W5492,公司分析!D$5,1),IF($Y$3="申万二级行业",[1]!s_info_industry_sw_2021(W5492,公司分析!D$5,2),IF($Y$3="申万三级行业",[1]!s_info_industry_sw_2021(W5492,公司分析!D$5,3),IF($Y$3="wind一级行业",[1]!s_info_industry_gics(W5492,1),IF($Y$3="wind二级行业",[1]!s_info_industry_gics(W5492,2),IF($Y$3="wind三级行业",[1]!s_info_industry_gics(W5492,3),IF($Y$3="wind四级行业",[1]!s_info_industry_gics(W5492,4),IF($Y$3="证监会门类行业",[1]!s_info_industry_csrc12_n(W5492,公司分析!D$5,1),""))))))))</f>
        <v>医疗器械</v>
      </c>
      <c r="Z5492" s="302" t="str">
        <f ca="1">IF(Y5492=行业比较!$E$6,ROW(),"")</f>
        <v/>
      </c>
    </row>
    <row r="5493" spans="22:26">
      <c r="V5493" s="260">
        <f t="shared" ca="1" si="94"/>
        <v>0</v>
      </c>
      <c r="W5493" s="348" t="str">
        <f>IF(板块成分!B5495="","",板块成分!B5495)</f>
        <v/>
      </c>
      <c r="X5493" s="276">
        <f>[1]!S_Info_Name(W5493)</f>
        <v>0</v>
      </c>
      <c r="Y5493" s="276">
        <f ca="1">IF($Y$3="申万一级行业",[1]!s_info_industry_sw_2021(W5493,公司分析!D$5,1),IF($Y$3="申万二级行业",[1]!s_info_industry_sw_2021(W5493,公司分析!D$5,2),IF($Y$3="申万三级行业",[1]!s_info_industry_sw_2021(W5493,公司分析!D$5,3),IF($Y$3="wind一级行业",[1]!s_info_industry_gics(W5493,1),IF($Y$3="wind二级行业",[1]!s_info_industry_gics(W5493,2),IF($Y$3="wind三级行业",[1]!s_info_industry_gics(W5493,3),IF($Y$3="wind四级行业",[1]!s_info_industry_gics(W5493,4),IF($Y$3="证监会门类行业",[1]!s_info_industry_csrc12_n(W5493,公司分析!D$5,1),""))))))))</f>
        <v>0</v>
      </c>
      <c r="Z5493" s="302" t="str">
        <f ca="1">IF(Y5493=行业比较!$E$6,ROW(),"")</f>
        <v/>
      </c>
    </row>
    <row r="5494" spans="22:26">
      <c r="V5494" s="260">
        <f t="shared" ca="1" si="94"/>
        <v>0</v>
      </c>
      <c r="W5494" s="348" t="str">
        <f>IF(板块成分!B5496="","",板块成分!B5496)</f>
        <v/>
      </c>
      <c r="X5494" s="276">
        <f>[1]!S_Info_Name(W5494)</f>
        <v>0</v>
      </c>
      <c r="Y5494" s="276">
        <f ca="1">IF($Y$3="申万一级行业",[1]!s_info_industry_sw_2021(W5494,公司分析!D$5,1),IF($Y$3="申万二级行业",[1]!s_info_industry_sw_2021(W5494,公司分析!D$5,2),IF($Y$3="申万三级行业",[1]!s_info_industry_sw_2021(W5494,公司分析!D$5,3),IF($Y$3="wind一级行业",[1]!s_info_industry_gics(W5494,1),IF($Y$3="wind二级行业",[1]!s_info_industry_gics(W5494,2),IF($Y$3="wind三级行业",[1]!s_info_industry_gics(W5494,3),IF($Y$3="wind四级行业",[1]!s_info_industry_gics(W5494,4),IF($Y$3="证监会门类行业",[1]!s_info_industry_csrc12_n(W5494,公司分析!D$5,1),""))))))))</f>
        <v>0</v>
      </c>
      <c r="Z5494" s="302" t="str">
        <f ca="1">IF(Y5494=行业比较!$E$6,ROW(),"")</f>
        <v/>
      </c>
    </row>
    <row r="5495" spans="22:26">
      <c r="V5495" s="260">
        <f t="shared" ca="1" si="94"/>
        <v>0</v>
      </c>
      <c r="W5495" s="348" t="str">
        <f>IF(板块成分!B5497="","",板块成分!B5497)</f>
        <v/>
      </c>
      <c r="X5495" s="276">
        <f>[1]!S_Info_Name(W5495)</f>
        <v>0</v>
      </c>
      <c r="Y5495" s="276">
        <f ca="1">IF($Y$3="申万一级行业",[1]!s_info_industry_sw_2021(W5495,公司分析!D$5,1),IF($Y$3="申万二级行业",[1]!s_info_industry_sw_2021(W5495,公司分析!D$5,2),IF($Y$3="申万三级行业",[1]!s_info_industry_sw_2021(W5495,公司分析!D$5,3),IF($Y$3="wind一级行业",[1]!s_info_industry_gics(W5495,1),IF($Y$3="wind二级行业",[1]!s_info_industry_gics(W5495,2),IF($Y$3="wind三级行业",[1]!s_info_industry_gics(W5495,3),IF($Y$3="wind四级行业",[1]!s_info_industry_gics(W5495,4),IF($Y$3="证监会门类行业",[1]!s_info_industry_csrc12_n(W5495,公司分析!D$5,1),""))))))))</f>
        <v>0</v>
      </c>
      <c r="Z5495" s="302" t="str">
        <f ca="1">IF(Y5495=行业比较!$E$6,ROW(),"")</f>
        <v/>
      </c>
    </row>
    <row r="5496" spans="22:26">
      <c r="V5496" s="260">
        <f t="shared" ca="1" si="94"/>
        <v>0</v>
      </c>
      <c r="W5496" s="348" t="str">
        <f>IF(板块成分!B5498="","",板块成分!B5498)</f>
        <v/>
      </c>
      <c r="X5496" s="276">
        <f>[1]!S_Info_Name(W5496)</f>
        <v>0</v>
      </c>
      <c r="Y5496" s="276">
        <f ca="1">IF($Y$3="申万一级行业",[1]!s_info_industry_sw_2021(W5496,公司分析!D$5,1),IF($Y$3="申万二级行业",[1]!s_info_industry_sw_2021(W5496,公司分析!D$5,2),IF($Y$3="申万三级行业",[1]!s_info_industry_sw_2021(W5496,公司分析!D$5,3),IF($Y$3="wind一级行业",[1]!s_info_industry_gics(W5496,1),IF($Y$3="wind二级行业",[1]!s_info_industry_gics(W5496,2),IF($Y$3="wind三级行业",[1]!s_info_industry_gics(W5496,3),IF($Y$3="wind四级行业",[1]!s_info_industry_gics(W5496,4),IF($Y$3="证监会门类行业",[1]!s_info_industry_csrc12_n(W5496,公司分析!D$5,1),""))))))))</f>
        <v>0</v>
      </c>
      <c r="Z5496" s="302" t="str">
        <f ca="1">IF(Y5496=行业比较!$E$6,ROW(),"")</f>
        <v/>
      </c>
    </row>
    <row r="5497" spans="22:26">
      <c r="V5497" s="260">
        <f t="shared" ca="1" si="94"/>
        <v>0</v>
      </c>
      <c r="W5497" s="348" t="str">
        <f>IF(板块成分!B5499="","",板块成分!B5499)</f>
        <v/>
      </c>
      <c r="X5497" s="276">
        <f>[1]!S_Info_Name(W5497)</f>
        <v>0</v>
      </c>
      <c r="Y5497" s="276">
        <f ca="1">IF($Y$3="申万一级行业",[1]!s_info_industry_sw_2021(W5497,公司分析!D$5,1),IF($Y$3="申万二级行业",[1]!s_info_industry_sw_2021(W5497,公司分析!D$5,2),IF($Y$3="申万三级行业",[1]!s_info_industry_sw_2021(W5497,公司分析!D$5,3),IF($Y$3="wind一级行业",[1]!s_info_industry_gics(W5497,1),IF($Y$3="wind二级行业",[1]!s_info_industry_gics(W5497,2),IF($Y$3="wind三级行业",[1]!s_info_industry_gics(W5497,3),IF($Y$3="wind四级行业",[1]!s_info_industry_gics(W5497,4),IF($Y$3="证监会门类行业",[1]!s_info_industry_csrc12_n(W5497,公司分析!D$5,1),""))))))))</f>
        <v>0</v>
      </c>
      <c r="Z5497" s="302" t="str">
        <f ca="1">IF(Y5497=行业比较!$E$6,ROW(),"")</f>
        <v/>
      </c>
    </row>
    <row r="5498" spans="22:26">
      <c r="V5498" s="260">
        <f t="shared" ca="1" si="94"/>
        <v>0</v>
      </c>
      <c r="W5498" s="348" t="str">
        <f>IF(板块成分!B5500="","",板块成分!B5500)</f>
        <v/>
      </c>
      <c r="X5498" s="276">
        <f>[1]!S_Info_Name(W5498)</f>
        <v>0</v>
      </c>
      <c r="Y5498" s="276">
        <f ca="1">IF($Y$3="申万一级行业",[1]!s_info_industry_sw_2021(W5498,公司分析!D$5,1),IF($Y$3="申万二级行业",[1]!s_info_industry_sw_2021(W5498,公司分析!D$5,2),IF($Y$3="申万三级行业",[1]!s_info_industry_sw_2021(W5498,公司分析!D$5,3),IF($Y$3="wind一级行业",[1]!s_info_industry_gics(W5498,1),IF($Y$3="wind二级行业",[1]!s_info_industry_gics(W5498,2),IF($Y$3="wind三级行业",[1]!s_info_industry_gics(W5498,3),IF($Y$3="wind四级行业",[1]!s_info_industry_gics(W5498,4),IF($Y$3="证监会门类行业",[1]!s_info_industry_csrc12_n(W5498,公司分析!D$5,1),""))))))))</f>
        <v>0</v>
      </c>
      <c r="Z5498" s="302" t="str">
        <f ca="1">IF(Y5498=行业比较!$E$6,ROW(),"")</f>
        <v/>
      </c>
    </row>
    <row r="5499" spans="22:26">
      <c r="V5499" s="260">
        <f t="shared" ca="1" si="94"/>
        <v>0</v>
      </c>
      <c r="W5499" s="348" t="str">
        <f>IF(板块成分!B5501="","",板块成分!B5501)</f>
        <v/>
      </c>
      <c r="X5499" s="276">
        <f>[1]!S_Info_Name(W5499)</f>
        <v>0</v>
      </c>
      <c r="Y5499" s="276">
        <f ca="1">IF($Y$3="申万一级行业",[1]!s_info_industry_sw_2021(W5499,公司分析!D$5,1),IF($Y$3="申万二级行业",[1]!s_info_industry_sw_2021(W5499,公司分析!D$5,2),IF($Y$3="申万三级行业",[1]!s_info_industry_sw_2021(W5499,公司分析!D$5,3),IF($Y$3="wind一级行业",[1]!s_info_industry_gics(W5499,1),IF($Y$3="wind二级行业",[1]!s_info_industry_gics(W5499,2),IF($Y$3="wind三级行业",[1]!s_info_industry_gics(W5499,3),IF($Y$3="wind四级行业",[1]!s_info_industry_gics(W5499,4),IF($Y$3="证监会门类行业",[1]!s_info_industry_csrc12_n(W5499,公司分析!D$5,1),""))))))))</f>
        <v>0</v>
      </c>
      <c r="Z5499" s="302" t="str">
        <f ca="1">IF(Y5499=行业比较!$E$6,ROW(),"")</f>
        <v/>
      </c>
    </row>
    <row r="5500" spans="22:26">
      <c r="V5500" s="260">
        <f t="shared" ca="1" si="94"/>
        <v>0</v>
      </c>
      <c r="W5500" s="348" t="str">
        <f>IF(板块成分!B5502="","",板块成分!B5502)</f>
        <v/>
      </c>
      <c r="X5500" s="276">
        <f>[1]!S_Info_Name(W5500)</f>
        <v>0</v>
      </c>
      <c r="Y5500" s="276">
        <f ca="1">IF($Y$3="申万一级行业",[1]!s_info_industry_sw_2021(W5500,公司分析!D$5,1),IF($Y$3="申万二级行业",[1]!s_info_industry_sw_2021(W5500,公司分析!D$5,2),IF($Y$3="申万三级行业",[1]!s_info_industry_sw_2021(W5500,公司分析!D$5,3),IF($Y$3="wind一级行业",[1]!s_info_industry_gics(W5500,1),IF($Y$3="wind二级行业",[1]!s_info_industry_gics(W5500,2),IF($Y$3="wind三级行业",[1]!s_info_industry_gics(W5500,3),IF($Y$3="wind四级行业",[1]!s_info_industry_gics(W5500,4),IF($Y$3="证监会门类行业",[1]!s_info_industry_csrc12_n(W5500,公司分析!D$5,1),""))))))))</f>
        <v>0</v>
      </c>
      <c r="Z5500" s="302" t="str">
        <f ca="1">IF(Y5500=行业比较!$E$6,ROW(),"")</f>
        <v/>
      </c>
    </row>
  </sheetData>
  <mergeCells count="1">
    <mergeCell ref="C1:O1"/>
  </mergeCells>
  <phoneticPr fontId="1" type="noConversion"/>
  <conditionalFormatting sqref="AJ3:AJ5">
    <cfRule type="expression" dxfId="573" priority="9">
      <formula>$N$7="BPS"</formula>
    </cfRule>
  </conditionalFormatting>
  <conditionalFormatting sqref="AK3:AK5">
    <cfRule type="expression" dxfId="572" priority="8">
      <formula>$O$7="CFPS"</formula>
    </cfRule>
  </conditionalFormatting>
  <conditionalFormatting sqref="AI3:AI5">
    <cfRule type="expression" dxfId="571" priority="7">
      <formula>$M$7="EPS"</formula>
    </cfRule>
  </conditionalFormatting>
  <conditionalFormatting sqref="AH3:AH5">
    <cfRule type="expression" dxfId="570" priority="6">
      <formula>$L$7="ROE"</formula>
    </cfRule>
  </conditionalFormatting>
  <conditionalFormatting sqref="AD3:AD5">
    <cfRule type="expression" dxfId="569" priority="5">
      <formula>$H$7="毛利率"</formula>
    </cfRule>
  </conditionalFormatting>
  <conditionalFormatting sqref="AE3:AE5">
    <cfRule type="expression" dxfId="568" priority="4">
      <formula>$I$7="营业利润率"</formula>
    </cfRule>
  </conditionalFormatting>
  <conditionalFormatting sqref="AF3:AF5">
    <cfRule type="expression" dxfId="567" priority="3">
      <formula>$J$7="净利润率"</formula>
    </cfRule>
  </conditionalFormatting>
  <conditionalFormatting sqref="AG3:AG5">
    <cfRule type="expression" dxfId="566" priority="1">
      <formula>$K$7="所得税"</formula>
    </cfRule>
    <cfRule type="expression" dxfId="565" priority="2">
      <formula>$K$7="ROA"</formula>
    </cfRule>
  </conditionalFormatting>
  <pageMargins left="0.7" right="0.7" top="0.75" bottom="0.75" header="0.3" footer="0.3"/>
  <pageSetup paperSize="9" orientation="portrait" horizontalDpi="200" verticalDpi="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494"/>
  <sheetViews>
    <sheetView workbookViewId="0">
      <selection activeCell="A41" sqref="A41"/>
    </sheetView>
  </sheetViews>
  <sheetFormatPr defaultRowHeight="16.5"/>
  <cols>
    <col min="1" max="1" width="11.125" bestFit="1" customWidth="1"/>
    <col min="2" max="2" width="18.625" customWidth="1"/>
    <col min="3" max="3" width="12.625" customWidth="1"/>
  </cols>
  <sheetData>
    <row r="1" spans="1:3">
      <c r="A1" t="s">
        <v>479</v>
      </c>
      <c r="B1" s="75" t="s">
        <v>480</v>
      </c>
    </row>
    <row r="2" spans="1:3">
      <c r="A2" t="s">
        <v>51</v>
      </c>
      <c r="B2" s="75" t="str">
        <f ca="1">TEXT(公司分析!D5,"YYYYMMDD")</f>
        <v>20260309</v>
      </c>
    </row>
    <row r="3" spans="1:3">
      <c r="A3" t="s">
        <v>481</v>
      </c>
      <c r="B3" s="346" t="s">
        <v>482</v>
      </c>
    </row>
    <row r="4" spans="1:3">
      <c r="A4" t="s">
        <v>483</v>
      </c>
      <c r="B4" s="346" t="s">
        <v>485</v>
      </c>
      <c r="C4" t="s">
        <v>487</v>
      </c>
    </row>
    <row r="5" spans="1:3">
      <c r="A5" t="s">
        <v>484</v>
      </c>
      <c r="B5" t="s">
        <v>486</v>
      </c>
      <c r="C5" t="s">
        <v>488</v>
      </c>
    </row>
    <row r="6" spans="1:3">
      <c r="A6" s="347">
        <f ca="1">[1]!wset("sectorconstituent","date="&amp;B2,"sectorId="&amp;B3,"field=date,wind_code,sec_name","cols=3;rows=5489")</f>
        <v>46090</v>
      </c>
      <c r="B6" s="346" t="s">
        <v>10479</v>
      </c>
      <c r="C6" s="346" t="s">
        <v>10481</v>
      </c>
    </row>
    <row r="7" spans="1:3">
      <c r="A7" s="347">
        <v>46090</v>
      </c>
      <c r="B7" s="346" t="s">
        <v>489</v>
      </c>
      <c r="C7" s="346" t="s">
        <v>490</v>
      </c>
    </row>
    <row r="8" spans="1:3">
      <c r="A8" s="347">
        <v>46090</v>
      </c>
      <c r="B8" s="346" t="s">
        <v>491</v>
      </c>
      <c r="C8" s="346" t="s">
        <v>10482</v>
      </c>
    </row>
    <row r="9" spans="1:3">
      <c r="A9" s="347">
        <v>46090</v>
      </c>
      <c r="B9" s="346" t="s">
        <v>492</v>
      </c>
      <c r="C9" s="346" t="s">
        <v>493</v>
      </c>
    </row>
    <row r="10" spans="1:3">
      <c r="A10" s="347">
        <v>46090</v>
      </c>
      <c r="B10" s="346" t="s">
        <v>494</v>
      </c>
      <c r="C10" s="346" t="s">
        <v>10483</v>
      </c>
    </row>
    <row r="11" spans="1:3">
      <c r="A11" s="347">
        <v>46090</v>
      </c>
      <c r="B11" s="346" t="s">
        <v>495</v>
      </c>
      <c r="C11" s="346" t="s">
        <v>496</v>
      </c>
    </row>
    <row r="12" spans="1:3">
      <c r="A12" s="347">
        <v>46090</v>
      </c>
      <c r="B12" s="346" t="s">
        <v>497</v>
      </c>
      <c r="C12" s="346" t="s">
        <v>498</v>
      </c>
    </row>
    <row r="13" spans="1:3">
      <c r="A13" s="347">
        <v>46090</v>
      </c>
      <c r="B13" s="346" t="s">
        <v>499</v>
      </c>
      <c r="C13" s="346" t="s">
        <v>500</v>
      </c>
    </row>
    <row r="14" spans="1:3">
      <c r="A14" s="347">
        <v>46090</v>
      </c>
      <c r="B14" s="346" t="s">
        <v>501</v>
      </c>
      <c r="C14" s="346" t="s">
        <v>502</v>
      </c>
    </row>
    <row r="15" spans="1:3">
      <c r="A15" s="347">
        <v>46090</v>
      </c>
      <c r="B15" s="346" t="s">
        <v>503</v>
      </c>
      <c r="C15" s="346" t="s">
        <v>504</v>
      </c>
    </row>
    <row r="16" spans="1:3">
      <c r="A16" s="347">
        <v>46090</v>
      </c>
      <c r="B16" s="346" t="s">
        <v>505</v>
      </c>
      <c r="C16" s="346" t="s">
        <v>506</v>
      </c>
    </row>
    <row r="17" spans="1:3">
      <c r="A17" s="347">
        <v>46090</v>
      </c>
      <c r="B17" s="346" t="s">
        <v>507</v>
      </c>
      <c r="C17" s="346" t="s">
        <v>508</v>
      </c>
    </row>
    <row r="18" spans="1:3">
      <c r="A18" s="347">
        <v>46090</v>
      </c>
      <c r="B18" s="346" t="s">
        <v>509</v>
      </c>
      <c r="C18" s="346" t="s">
        <v>510</v>
      </c>
    </row>
    <row r="19" spans="1:3">
      <c r="A19" s="347">
        <v>46090</v>
      </c>
      <c r="B19" s="346" t="s">
        <v>511</v>
      </c>
      <c r="C19" s="346" t="s">
        <v>512</v>
      </c>
    </row>
    <row r="20" spans="1:3">
      <c r="A20" s="347">
        <v>46090</v>
      </c>
      <c r="B20" s="346" t="s">
        <v>513</v>
      </c>
      <c r="C20" s="346" t="s">
        <v>514</v>
      </c>
    </row>
    <row r="21" spans="1:3">
      <c r="A21" s="347">
        <v>46090</v>
      </c>
      <c r="B21" s="346" t="s">
        <v>515</v>
      </c>
      <c r="C21" s="346" t="s">
        <v>516</v>
      </c>
    </row>
    <row r="22" spans="1:3">
      <c r="A22" s="347">
        <v>46090</v>
      </c>
      <c r="B22" s="346" t="s">
        <v>517</v>
      </c>
      <c r="C22" s="346" t="s">
        <v>518</v>
      </c>
    </row>
    <row r="23" spans="1:3">
      <c r="A23" s="347">
        <v>46090</v>
      </c>
      <c r="B23" s="346" t="s">
        <v>519</v>
      </c>
      <c r="C23" s="346" t="s">
        <v>520</v>
      </c>
    </row>
    <row r="24" spans="1:3">
      <c r="A24" s="347">
        <v>46090</v>
      </c>
      <c r="B24" s="346" t="s">
        <v>521</v>
      </c>
      <c r="C24" s="346" t="s">
        <v>522</v>
      </c>
    </row>
    <row r="25" spans="1:3">
      <c r="A25" s="347">
        <v>46090</v>
      </c>
      <c r="B25" s="346" t="s">
        <v>523</v>
      </c>
      <c r="C25" s="346" t="s">
        <v>524</v>
      </c>
    </row>
    <row r="26" spans="1:3">
      <c r="A26" s="347">
        <v>46090</v>
      </c>
      <c r="B26" s="346" t="s">
        <v>525</v>
      </c>
      <c r="C26" s="346" t="s">
        <v>526</v>
      </c>
    </row>
    <row r="27" spans="1:3">
      <c r="A27" s="347">
        <v>46090</v>
      </c>
      <c r="B27" s="346" t="s">
        <v>527</v>
      </c>
      <c r="C27" s="346" t="s">
        <v>528</v>
      </c>
    </row>
    <row r="28" spans="1:3">
      <c r="A28" s="347">
        <v>46090</v>
      </c>
      <c r="B28" s="346" t="s">
        <v>529</v>
      </c>
      <c r="C28" s="346" t="s">
        <v>530</v>
      </c>
    </row>
    <row r="29" spans="1:3">
      <c r="A29" s="347">
        <v>46090</v>
      </c>
      <c r="B29" s="346" t="s">
        <v>531</v>
      </c>
      <c r="C29" s="346" t="s">
        <v>532</v>
      </c>
    </row>
    <row r="30" spans="1:3">
      <c r="A30" s="347">
        <v>46090</v>
      </c>
      <c r="B30" s="346" t="s">
        <v>533</v>
      </c>
      <c r="C30" s="346" t="s">
        <v>534</v>
      </c>
    </row>
    <row r="31" spans="1:3">
      <c r="A31" s="347">
        <v>46090</v>
      </c>
      <c r="B31" s="346" t="s">
        <v>535</v>
      </c>
      <c r="C31" s="346" t="s">
        <v>536</v>
      </c>
    </row>
    <row r="32" spans="1:3">
      <c r="A32" s="347">
        <v>46090</v>
      </c>
      <c r="B32" s="346" t="s">
        <v>537</v>
      </c>
      <c r="C32" s="346" t="s">
        <v>538</v>
      </c>
    </row>
    <row r="33" spans="1:3">
      <c r="A33" s="347">
        <v>46090</v>
      </c>
      <c r="B33" s="346" t="s">
        <v>539</v>
      </c>
      <c r="C33" s="346" t="s">
        <v>540</v>
      </c>
    </row>
    <row r="34" spans="1:3">
      <c r="A34" s="347">
        <v>46090</v>
      </c>
      <c r="B34" s="346" t="s">
        <v>541</v>
      </c>
      <c r="C34" s="346" t="s">
        <v>542</v>
      </c>
    </row>
    <row r="35" spans="1:3">
      <c r="A35" s="347">
        <v>46090</v>
      </c>
      <c r="B35" s="346" t="s">
        <v>543</v>
      </c>
      <c r="C35" s="346" t="s">
        <v>544</v>
      </c>
    </row>
    <row r="36" spans="1:3">
      <c r="A36" s="347">
        <v>46090</v>
      </c>
      <c r="B36" s="346" t="s">
        <v>545</v>
      </c>
      <c r="C36" s="346" t="s">
        <v>546</v>
      </c>
    </row>
    <row r="37" spans="1:3">
      <c r="A37" s="347">
        <v>46090</v>
      </c>
      <c r="B37" s="346" t="s">
        <v>547</v>
      </c>
      <c r="C37" s="346" t="s">
        <v>548</v>
      </c>
    </row>
    <row r="38" spans="1:3">
      <c r="A38" s="347">
        <v>46090</v>
      </c>
      <c r="B38" s="346" t="s">
        <v>549</v>
      </c>
      <c r="C38" s="346" t="s">
        <v>550</v>
      </c>
    </row>
    <row r="39" spans="1:3">
      <c r="A39" s="347">
        <v>46090</v>
      </c>
      <c r="B39" s="346" t="s">
        <v>551</v>
      </c>
      <c r="C39" s="346" t="s">
        <v>552</v>
      </c>
    </row>
    <row r="40" spans="1:3">
      <c r="A40" s="347">
        <v>46090</v>
      </c>
      <c r="B40" s="346" t="s">
        <v>553</v>
      </c>
      <c r="C40" s="346" t="s">
        <v>554</v>
      </c>
    </row>
    <row r="41" spans="1:3">
      <c r="A41" s="347">
        <v>46090</v>
      </c>
      <c r="B41" s="346" t="s">
        <v>555</v>
      </c>
      <c r="C41" s="346" t="s">
        <v>556</v>
      </c>
    </row>
    <row r="42" spans="1:3">
      <c r="A42" s="347">
        <v>46090</v>
      </c>
      <c r="B42" s="346" t="s">
        <v>557</v>
      </c>
      <c r="C42" s="346" t="s">
        <v>558</v>
      </c>
    </row>
    <row r="43" spans="1:3">
      <c r="A43" s="347">
        <v>46090</v>
      </c>
      <c r="B43" s="346" t="s">
        <v>559</v>
      </c>
      <c r="C43" s="346" t="s">
        <v>560</v>
      </c>
    </row>
    <row r="44" spans="1:3">
      <c r="A44" s="347">
        <v>46090</v>
      </c>
      <c r="B44" s="346" t="s">
        <v>561</v>
      </c>
      <c r="C44" s="346" t="s">
        <v>562</v>
      </c>
    </row>
    <row r="45" spans="1:3">
      <c r="A45" s="347">
        <v>46090</v>
      </c>
      <c r="B45" s="346" t="s">
        <v>563</v>
      </c>
      <c r="C45" s="346" t="s">
        <v>564</v>
      </c>
    </row>
    <row r="46" spans="1:3">
      <c r="A46" s="347">
        <v>46090</v>
      </c>
      <c r="B46" s="346" t="s">
        <v>565</v>
      </c>
      <c r="C46" s="346" t="s">
        <v>566</v>
      </c>
    </row>
    <row r="47" spans="1:3">
      <c r="A47" s="347">
        <v>46090</v>
      </c>
      <c r="B47" s="346" t="s">
        <v>567</v>
      </c>
      <c r="C47" s="346" t="s">
        <v>568</v>
      </c>
    </row>
    <row r="48" spans="1:3">
      <c r="A48" s="347">
        <v>46090</v>
      </c>
      <c r="B48" s="346" t="s">
        <v>569</v>
      </c>
      <c r="C48" s="346" t="s">
        <v>570</v>
      </c>
    </row>
    <row r="49" spans="1:3">
      <c r="A49" s="347">
        <v>46090</v>
      </c>
      <c r="B49" s="346" t="s">
        <v>571</v>
      </c>
      <c r="C49" s="346" t="s">
        <v>572</v>
      </c>
    </row>
    <row r="50" spans="1:3">
      <c r="A50" s="347">
        <v>46090</v>
      </c>
      <c r="B50" s="346" t="s">
        <v>573</v>
      </c>
      <c r="C50" s="346" t="s">
        <v>574</v>
      </c>
    </row>
    <row r="51" spans="1:3">
      <c r="A51" s="347">
        <v>46090</v>
      </c>
      <c r="B51" s="346" t="s">
        <v>575</v>
      </c>
      <c r="C51" s="346" t="s">
        <v>576</v>
      </c>
    </row>
    <row r="52" spans="1:3">
      <c r="A52" s="347">
        <v>46090</v>
      </c>
      <c r="B52" s="346" t="s">
        <v>577</v>
      </c>
      <c r="C52" s="346" t="s">
        <v>578</v>
      </c>
    </row>
    <row r="53" spans="1:3">
      <c r="A53" s="347">
        <v>46090</v>
      </c>
      <c r="B53" s="346" t="s">
        <v>579</v>
      </c>
      <c r="C53" s="346" t="s">
        <v>580</v>
      </c>
    </row>
    <row r="54" spans="1:3">
      <c r="A54" s="347">
        <v>46090</v>
      </c>
      <c r="B54" s="346" t="s">
        <v>581</v>
      </c>
      <c r="C54" s="346" t="s">
        <v>582</v>
      </c>
    </row>
    <row r="55" spans="1:3">
      <c r="A55" s="347">
        <v>46090</v>
      </c>
      <c r="B55" s="346" t="s">
        <v>583</v>
      </c>
      <c r="C55" s="346" t="s">
        <v>584</v>
      </c>
    </row>
    <row r="56" spans="1:3">
      <c r="A56" s="347">
        <v>46090</v>
      </c>
      <c r="B56" s="346" t="s">
        <v>585</v>
      </c>
      <c r="C56" s="346" t="s">
        <v>586</v>
      </c>
    </row>
    <row r="57" spans="1:3">
      <c r="A57" s="347">
        <v>46090</v>
      </c>
      <c r="B57" s="346" t="s">
        <v>587</v>
      </c>
      <c r="C57" s="346" t="s">
        <v>588</v>
      </c>
    </row>
    <row r="58" spans="1:3">
      <c r="A58" s="347">
        <v>46090</v>
      </c>
      <c r="B58" s="346" t="s">
        <v>589</v>
      </c>
      <c r="C58" s="346" t="s">
        <v>590</v>
      </c>
    </row>
    <row r="59" spans="1:3">
      <c r="A59" s="347">
        <v>46090</v>
      </c>
      <c r="B59" s="346" t="s">
        <v>591</v>
      </c>
      <c r="C59" s="346" t="s">
        <v>592</v>
      </c>
    </row>
    <row r="60" spans="1:3">
      <c r="A60" s="347">
        <v>46090</v>
      </c>
      <c r="B60" s="346" t="s">
        <v>593</v>
      </c>
      <c r="C60" s="346" t="s">
        <v>594</v>
      </c>
    </row>
    <row r="61" spans="1:3">
      <c r="A61" s="347">
        <v>46090</v>
      </c>
      <c r="B61" s="346" t="s">
        <v>595</v>
      </c>
      <c r="C61" s="346" t="s">
        <v>596</v>
      </c>
    </row>
    <row r="62" spans="1:3">
      <c r="A62" s="347">
        <v>46090</v>
      </c>
      <c r="B62" s="346" t="s">
        <v>597</v>
      </c>
      <c r="C62" s="346" t="s">
        <v>598</v>
      </c>
    </row>
    <row r="63" spans="1:3">
      <c r="A63" s="347">
        <v>46090</v>
      </c>
      <c r="B63" s="346" t="s">
        <v>599</v>
      </c>
      <c r="C63" s="346" t="s">
        <v>600</v>
      </c>
    </row>
    <row r="64" spans="1:3">
      <c r="A64" s="347">
        <v>46090</v>
      </c>
      <c r="B64" s="346" t="s">
        <v>601</v>
      </c>
      <c r="C64" s="346" t="s">
        <v>602</v>
      </c>
    </row>
    <row r="65" spans="1:3">
      <c r="A65" s="347">
        <v>46090</v>
      </c>
      <c r="B65" s="346" t="s">
        <v>603</v>
      </c>
      <c r="C65" s="346" t="s">
        <v>604</v>
      </c>
    </row>
    <row r="66" spans="1:3">
      <c r="A66" s="347">
        <v>46090</v>
      </c>
      <c r="B66" s="346" t="s">
        <v>605</v>
      </c>
      <c r="C66" s="346" t="s">
        <v>606</v>
      </c>
    </row>
    <row r="67" spans="1:3">
      <c r="A67" s="347">
        <v>46090</v>
      </c>
      <c r="B67" s="346" t="s">
        <v>607</v>
      </c>
      <c r="C67" s="346" t="s">
        <v>608</v>
      </c>
    </row>
    <row r="68" spans="1:3">
      <c r="A68" s="347">
        <v>46090</v>
      </c>
      <c r="B68" s="346" t="s">
        <v>609</v>
      </c>
      <c r="C68" s="346" t="s">
        <v>610</v>
      </c>
    </row>
    <row r="69" spans="1:3">
      <c r="A69" s="347">
        <v>46090</v>
      </c>
      <c r="B69" s="346" t="s">
        <v>611</v>
      </c>
      <c r="C69" s="346" t="s">
        <v>612</v>
      </c>
    </row>
    <row r="70" spans="1:3">
      <c r="A70" s="347">
        <v>46090</v>
      </c>
      <c r="B70" s="346" t="s">
        <v>613</v>
      </c>
      <c r="C70" s="346" t="s">
        <v>614</v>
      </c>
    </row>
    <row r="71" spans="1:3">
      <c r="A71" s="347">
        <v>46090</v>
      </c>
      <c r="B71" s="346" t="s">
        <v>615</v>
      </c>
      <c r="C71" s="346" t="s">
        <v>616</v>
      </c>
    </row>
    <row r="72" spans="1:3">
      <c r="A72" s="347">
        <v>46090</v>
      </c>
      <c r="B72" s="346" t="s">
        <v>617</v>
      </c>
      <c r="C72" s="346" t="s">
        <v>10484</v>
      </c>
    </row>
    <row r="73" spans="1:3">
      <c r="A73" s="347">
        <v>46090</v>
      </c>
      <c r="B73" s="346" t="s">
        <v>618</v>
      </c>
      <c r="C73" s="346" t="s">
        <v>619</v>
      </c>
    </row>
    <row r="74" spans="1:3">
      <c r="A74" s="347">
        <v>46090</v>
      </c>
      <c r="B74" s="346" t="s">
        <v>620</v>
      </c>
      <c r="C74" s="346" t="s">
        <v>621</v>
      </c>
    </row>
    <row r="75" spans="1:3">
      <c r="A75" s="347">
        <v>46090</v>
      </c>
      <c r="B75" s="346" t="s">
        <v>622</v>
      </c>
      <c r="C75" s="346" t="s">
        <v>623</v>
      </c>
    </row>
    <row r="76" spans="1:3">
      <c r="A76" s="347">
        <v>46090</v>
      </c>
      <c r="B76" s="346" t="s">
        <v>624</v>
      </c>
      <c r="C76" s="346" t="s">
        <v>625</v>
      </c>
    </row>
    <row r="77" spans="1:3">
      <c r="A77" s="347">
        <v>46090</v>
      </c>
      <c r="B77" s="346" t="s">
        <v>626</v>
      </c>
      <c r="C77" s="346" t="s">
        <v>627</v>
      </c>
    </row>
    <row r="78" spans="1:3">
      <c r="A78" s="347">
        <v>46090</v>
      </c>
      <c r="B78" s="346" t="s">
        <v>628</v>
      </c>
      <c r="C78" s="346" t="s">
        <v>629</v>
      </c>
    </row>
    <row r="79" spans="1:3">
      <c r="A79" s="347">
        <v>46090</v>
      </c>
      <c r="B79" s="346" t="s">
        <v>630</v>
      </c>
      <c r="C79" s="346" t="s">
        <v>631</v>
      </c>
    </row>
    <row r="80" spans="1:3">
      <c r="A80" s="347">
        <v>46090</v>
      </c>
      <c r="B80" s="346" t="s">
        <v>632</v>
      </c>
      <c r="C80" s="346" t="s">
        <v>633</v>
      </c>
    </row>
    <row r="81" spans="1:3">
      <c r="A81" s="347">
        <v>46090</v>
      </c>
      <c r="B81" s="346" t="s">
        <v>634</v>
      </c>
      <c r="C81" s="346" t="s">
        <v>635</v>
      </c>
    </row>
    <row r="82" spans="1:3">
      <c r="A82" s="347">
        <v>46090</v>
      </c>
      <c r="B82" s="346" t="s">
        <v>636</v>
      </c>
      <c r="C82" s="346" t="s">
        <v>10485</v>
      </c>
    </row>
    <row r="83" spans="1:3">
      <c r="A83" s="347">
        <v>46090</v>
      </c>
      <c r="B83" s="346" t="s">
        <v>637</v>
      </c>
      <c r="C83" s="346" t="s">
        <v>638</v>
      </c>
    </row>
    <row r="84" spans="1:3">
      <c r="A84" s="347">
        <v>46090</v>
      </c>
      <c r="B84" s="346" t="s">
        <v>639</v>
      </c>
      <c r="C84" s="346" t="s">
        <v>640</v>
      </c>
    </row>
    <row r="85" spans="1:3">
      <c r="A85" s="347">
        <v>46090</v>
      </c>
      <c r="B85" s="346" t="s">
        <v>641</v>
      </c>
      <c r="C85" s="346" t="s">
        <v>642</v>
      </c>
    </row>
    <row r="86" spans="1:3">
      <c r="A86" s="347">
        <v>46090</v>
      </c>
      <c r="B86" s="346" t="s">
        <v>643</v>
      </c>
      <c r="C86" s="346" t="s">
        <v>644</v>
      </c>
    </row>
    <row r="87" spans="1:3">
      <c r="A87" s="347">
        <v>46090</v>
      </c>
      <c r="B87" s="346" t="s">
        <v>645</v>
      </c>
      <c r="C87" s="346" t="s">
        <v>646</v>
      </c>
    </row>
    <row r="88" spans="1:3">
      <c r="A88" s="347">
        <v>46090</v>
      </c>
      <c r="B88" s="346" t="s">
        <v>647</v>
      </c>
      <c r="C88" s="346" t="s">
        <v>648</v>
      </c>
    </row>
    <row r="89" spans="1:3">
      <c r="A89" s="347">
        <v>46090</v>
      </c>
      <c r="B89" s="346" t="s">
        <v>649</v>
      </c>
      <c r="C89" s="346" t="s">
        <v>650</v>
      </c>
    </row>
    <row r="90" spans="1:3">
      <c r="A90" s="347">
        <v>46090</v>
      </c>
      <c r="B90" s="346" t="s">
        <v>651</v>
      </c>
      <c r="C90" s="346" t="s">
        <v>652</v>
      </c>
    </row>
    <row r="91" spans="1:3">
      <c r="A91" s="347">
        <v>46090</v>
      </c>
      <c r="B91" s="346" t="s">
        <v>653</v>
      </c>
      <c r="C91" s="346" t="s">
        <v>654</v>
      </c>
    </row>
    <row r="92" spans="1:3">
      <c r="A92" s="347">
        <v>46090</v>
      </c>
      <c r="B92" s="346" t="s">
        <v>655</v>
      </c>
      <c r="C92" s="346" t="s">
        <v>10486</v>
      </c>
    </row>
    <row r="93" spans="1:3">
      <c r="A93" s="347">
        <v>46090</v>
      </c>
      <c r="B93" s="346" t="s">
        <v>656</v>
      </c>
      <c r="C93" s="346" t="s">
        <v>10487</v>
      </c>
    </row>
    <row r="94" spans="1:3">
      <c r="A94" s="347">
        <v>46090</v>
      </c>
      <c r="B94" s="346" t="s">
        <v>657</v>
      </c>
      <c r="C94" s="346" t="s">
        <v>658</v>
      </c>
    </row>
    <row r="95" spans="1:3">
      <c r="A95" s="347">
        <v>46090</v>
      </c>
      <c r="B95" s="346" t="s">
        <v>659</v>
      </c>
      <c r="C95" s="346" t="s">
        <v>660</v>
      </c>
    </row>
    <row r="96" spans="1:3">
      <c r="A96" s="347">
        <v>46090</v>
      </c>
      <c r="B96" s="346" t="s">
        <v>661</v>
      </c>
      <c r="C96" s="346" t="s">
        <v>662</v>
      </c>
    </row>
    <row r="97" spans="1:3">
      <c r="A97" s="347">
        <v>46090</v>
      </c>
      <c r="B97" s="346" t="s">
        <v>663</v>
      </c>
      <c r="C97" s="346" t="s">
        <v>10488</v>
      </c>
    </row>
    <row r="98" spans="1:3">
      <c r="A98" s="347">
        <v>46090</v>
      </c>
      <c r="B98" s="346" t="s">
        <v>664</v>
      </c>
      <c r="C98" s="346" t="s">
        <v>665</v>
      </c>
    </row>
    <row r="99" spans="1:3">
      <c r="A99" s="347">
        <v>46090</v>
      </c>
      <c r="B99" s="346" t="s">
        <v>666</v>
      </c>
      <c r="C99" s="346" t="s">
        <v>10489</v>
      </c>
    </row>
    <row r="100" spans="1:3">
      <c r="A100" s="347">
        <v>46090</v>
      </c>
      <c r="B100" s="346" t="s">
        <v>667</v>
      </c>
      <c r="C100" s="346" t="s">
        <v>668</v>
      </c>
    </row>
    <row r="101" spans="1:3">
      <c r="A101" s="347">
        <v>46090</v>
      </c>
      <c r="B101" s="346" t="s">
        <v>669</v>
      </c>
      <c r="C101" s="346" t="s">
        <v>670</v>
      </c>
    </row>
    <row r="102" spans="1:3">
      <c r="A102" s="347">
        <v>46090</v>
      </c>
      <c r="B102" s="346" t="s">
        <v>671</v>
      </c>
      <c r="C102" s="346" t="s">
        <v>672</v>
      </c>
    </row>
    <row r="103" spans="1:3">
      <c r="A103" s="347">
        <v>46090</v>
      </c>
      <c r="B103" s="346" t="s">
        <v>673</v>
      </c>
      <c r="C103" s="346" t="s">
        <v>674</v>
      </c>
    </row>
    <row r="104" spans="1:3">
      <c r="A104" s="347">
        <v>46090</v>
      </c>
      <c r="B104" s="346" t="s">
        <v>675</v>
      </c>
      <c r="C104" s="346" t="s">
        <v>676</v>
      </c>
    </row>
    <row r="105" spans="1:3">
      <c r="A105" s="347">
        <v>46090</v>
      </c>
      <c r="B105" s="346" t="s">
        <v>677</v>
      </c>
      <c r="C105" s="346" t="s">
        <v>678</v>
      </c>
    </row>
    <row r="106" spans="1:3">
      <c r="A106" s="347">
        <v>46090</v>
      </c>
      <c r="B106" s="346" t="s">
        <v>679</v>
      </c>
      <c r="C106" s="346" t="s">
        <v>680</v>
      </c>
    </row>
    <row r="107" spans="1:3">
      <c r="A107" s="347">
        <v>46090</v>
      </c>
      <c r="B107" s="346" t="s">
        <v>681</v>
      </c>
      <c r="C107" s="346" t="s">
        <v>10490</v>
      </c>
    </row>
    <row r="108" spans="1:3">
      <c r="A108" s="347">
        <v>46090</v>
      </c>
      <c r="B108" s="346" t="s">
        <v>682</v>
      </c>
      <c r="C108" s="346" t="s">
        <v>683</v>
      </c>
    </row>
    <row r="109" spans="1:3">
      <c r="A109" s="347">
        <v>46090</v>
      </c>
      <c r="B109" s="346" t="s">
        <v>684</v>
      </c>
      <c r="C109" s="346" t="s">
        <v>685</v>
      </c>
    </row>
    <row r="110" spans="1:3">
      <c r="A110" s="347">
        <v>46090</v>
      </c>
      <c r="B110" s="346" t="s">
        <v>686</v>
      </c>
      <c r="C110" s="346" t="s">
        <v>687</v>
      </c>
    </row>
    <row r="111" spans="1:3">
      <c r="A111" s="347">
        <v>46090</v>
      </c>
      <c r="B111" s="346" t="s">
        <v>688</v>
      </c>
      <c r="C111" s="346" t="s">
        <v>689</v>
      </c>
    </row>
    <row r="112" spans="1:3">
      <c r="A112" s="347">
        <v>46090</v>
      </c>
      <c r="B112" s="346" t="s">
        <v>690</v>
      </c>
      <c r="C112" s="346" t="s">
        <v>691</v>
      </c>
    </row>
    <row r="113" spans="1:3">
      <c r="A113" s="347">
        <v>46090</v>
      </c>
      <c r="B113" s="346" t="s">
        <v>692</v>
      </c>
      <c r="C113" s="346" t="s">
        <v>10491</v>
      </c>
    </row>
    <row r="114" spans="1:3">
      <c r="A114" s="347">
        <v>46090</v>
      </c>
      <c r="B114" s="346" t="s">
        <v>693</v>
      </c>
      <c r="C114" s="346" t="s">
        <v>694</v>
      </c>
    </row>
    <row r="115" spans="1:3">
      <c r="A115" s="347">
        <v>46090</v>
      </c>
      <c r="B115" s="346" t="s">
        <v>695</v>
      </c>
      <c r="C115" s="346" t="s">
        <v>696</v>
      </c>
    </row>
    <row r="116" spans="1:3">
      <c r="A116" s="347">
        <v>46090</v>
      </c>
      <c r="B116" s="346" t="s">
        <v>697</v>
      </c>
      <c r="C116" s="346" t="s">
        <v>698</v>
      </c>
    </row>
    <row r="117" spans="1:3">
      <c r="A117" s="347">
        <v>46090</v>
      </c>
      <c r="B117" s="346" t="s">
        <v>699</v>
      </c>
      <c r="C117" s="346" t="s">
        <v>700</v>
      </c>
    </row>
    <row r="118" spans="1:3">
      <c r="A118" s="347">
        <v>46090</v>
      </c>
      <c r="B118" s="346" t="s">
        <v>701</v>
      </c>
      <c r="C118" s="346" t="s">
        <v>702</v>
      </c>
    </row>
    <row r="119" spans="1:3">
      <c r="A119" s="347">
        <v>46090</v>
      </c>
      <c r="B119" s="346" t="s">
        <v>703</v>
      </c>
      <c r="C119" s="346" t="s">
        <v>704</v>
      </c>
    </row>
    <row r="120" spans="1:3">
      <c r="A120" s="347">
        <v>46090</v>
      </c>
      <c r="B120" s="346" t="s">
        <v>705</v>
      </c>
      <c r="C120" s="346" t="s">
        <v>706</v>
      </c>
    </row>
    <row r="121" spans="1:3">
      <c r="A121" s="347">
        <v>46090</v>
      </c>
      <c r="B121" s="346" t="s">
        <v>707</v>
      </c>
      <c r="C121" s="346" t="s">
        <v>708</v>
      </c>
    </row>
    <row r="122" spans="1:3">
      <c r="A122" s="347">
        <v>46090</v>
      </c>
      <c r="B122" s="346" t="s">
        <v>709</v>
      </c>
      <c r="C122" s="346" t="s">
        <v>710</v>
      </c>
    </row>
    <row r="123" spans="1:3">
      <c r="A123" s="347">
        <v>46090</v>
      </c>
      <c r="B123" s="346" t="s">
        <v>711</v>
      </c>
      <c r="C123" s="346" t="s">
        <v>11025</v>
      </c>
    </row>
    <row r="124" spans="1:3">
      <c r="A124" s="347">
        <v>46090</v>
      </c>
      <c r="B124" s="346" t="s">
        <v>712</v>
      </c>
      <c r="C124" s="346" t="s">
        <v>713</v>
      </c>
    </row>
    <row r="125" spans="1:3">
      <c r="A125" s="347">
        <v>46090</v>
      </c>
      <c r="B125" s="346" t="s">
        <v>714</v>
      </c>
      <c r="C125" s="346" t="s">
        <v>715</v>
      </c>
    </row>
    <row r="126" spans="1:3">
      <c r="A126" s="347">
        <v>46090</v>
      </c>
      <c r="B126" s="346" t="s">
        <v>716</v>
      </c>
      <c r="C126" s="346" t="s">
        <v>717</v>
      </c>
    </row>
    <row r="127" spans="1:3">
      <c r="A127" s="347">
        <v>46090</v>
      </c>
      <c r="B127" s="346" t="s">
        <v>718</v>
      </c>
      <c r="C127" s="346" t="s">
        <v>719</v>
      </c>
    </row>
    <row r="128" spans="1:3">
      <c r="A128" s="347">
        <v>46090</v>
      </c>
      <c r="B128" s="346" t="s">
        <v>720</v>
      </c>
      <c r="C128" s="346" t="s">
        <v>721</v>
      </c>
    </row>
    <row r="129" spans="1:3">
      <c r="A129" s="347">
        <v>46090</v>
      </c>
      <c r="B129" s="346" t="s">
        <v>722</v>
      </c>
      <c r="C129" s="346" t="s">
        <v>723</v>
      </c>
    </row>
    <row r="130" spans="1:3">
      <c r="A130" s="347">
        <v>46090</v>
      </c>
      <c r="B130" s="346" t="s">
        <v>724</v>
      </c>
      <c r="C130" s="346" t="s">
        <v>725</v>
      </c>
    </row>
    <row r="131" spans="1:3">
      <c r="A131" s="347">
        <v>46090</v>
      </c>
      <c r="B131" s="346" t="s">
        <v>726</v>
      </c>
      <c r="C131" s="346" t="s">
        <v>727</v>
      </c>
    </row>
    <row r="132" spans="1:3">
      <c r="A132" s="347">
        <v>46090</v>
      </c>
      <c r="B132" s="346" t="s">
        <v>728</v>
      </c>
      <c r="C132" s="346" t="s">
        <v>729</v>
      </c>
    </row>
    <row r="133" spans="1:3">
      <c r="A133" s="347">
        <v>46090</v>
      </c>
      <c r="B133" s="346" t="s">
        <v>730</v>
      </c>
      <c r="C133" s="346" t="s">
        <v>731</v>
      </c>
    </row>
    <row r="134" spans="1:3">
      <c r="A134" s="347">
        <v>46090</v>
      </c>
      <c r="B134" s="346" t="s">
        <v>732</v>
      </c>
      <c r="C134" s="346" t="s">
        <v>733</v>
      </c>
    </row>
    <row r="135" spans="1:3">
      <c r="A135" s="347">
        <v>46090</v>
      </c>
      <c r="B135" s="346" t="s">
        <v>734</v>
      </c>
      <c r="C135" s="346" t="s">
        <v>735</v>
      </c>
    </row>
    <row r="136" spans="1:3">
      <c r="A136" s="347">
        <v>46090</v>
      </c>
      <c r="B136" s="346" t="s">
        <v>736</v>
      </c>
      <c r="C136" s="346" t="s">
        <v>737</v>
      </c>
    </row>
    <row r="137" spans="1:3">
      <c r="A137" s="347">
        <v>46090</v>
      </c>
      <c r="B137" s="346" t="s">
        <v>738</v>
      </c>
      <c r="C137" s="346" t="s">
        <v>739</v>
      </c>
    </row>
    <row r="138" spans="1:3">
      <c r="A138" s="347">
        <v>46090</v>
      </c>
      <c r="B138" s="346" t="s">
        <v>740</v>
      </c>
      <c r="C138" s="346" t="s">
        <v>741</v>
      </c>
    </row>
    <row r="139" spans="1:3">
      <c r="A139" s="347">
        <v>46090</v>
      </c>
      <c r="B139" s="346" t="s">
        <v>742</v>
      </c>
      <c r="C139" s="346" t="s">
        <v>743</v>
      </c>
    </row>
    <row r="140" spans="1:3">
      <c r="A140" s="347">
        <v>46090</v>
      </c>
      <c r="B140" s="346" t="s">
        <v>744</v>
      </c>
      <c r="C140" s="346" t="s">
        <v>10492</v>
      </c>
    </row>
    <row r="141" spans="1:3">
      <c r="A141" s="347">
        <v>46090</v>
      </c>
      <c r="B141" s="346" t="s">
        <v>745</v>
      </c>
      <c r="C141" s="346" t="s">
        <v>746</v>
      </c>
    </row>
    <row r="142" spans="1:3">
      <c r="A142" s="347">
        <v>46090</v>
      </c>
      <c r="B142" s="346" t="s">
        <v>747</v>
      </c>
      <c r="C142" s="346" t="s">
        <v>748</v>
      </c>
    </row>
    <row r="143" spans="1:3">
      <c r="A143" s="347">
        <v>46090</v>
      </c>
      <c r="B143" s="346" t="s">
        <v>749</v>
      </c>
      <c r="C143" s="346" t="s">
        <v>750</v>
      </c>
    </row>
    <row r="144" spans="1:3">
      <c r="A144" s="347">
        <v>46090</v>
      </c>
      <c r="B144" s="346" t="s">
        <v>751</v>
      </c>
      <c r="C144" s="346" t="s">
        <v>752</v>
      </c>
    </row>
    <row r="145" spans="1:3">
      <c r="A145" s="347">
        <v>46090</v>
      </c>
      <c r="B145" s="346" t="s">
        <v>753</v>
      </c>
      <c r="C145" s="346" t="s">
        <v>10493</v>
      </c>
    </row>
    <row r="146" spans="1:3">
      <c r="A146" s="347">
        <v>46090</v>
      </c>
      <c r="B146" s="346" t="s">
        <v>754</v>
      </c>
      <c r="C146" s="346" t="s">
        <v>755</v>
      </c>
    </row>
    <row r="147" spans="1:3">
      <c r="A147" s="347">
        <v>46090</v>
      </c>
      <c r="B147" s="346" t="s">
        <v>756</v>
      </c>
      <c r="C147" s="346" t="s">
        <v>757</v>
      </c>
    </row>
    <row r="148" spans="1:3">
      <c r="A148" s="347">
        <v>46090</v>
      </c>
      <c r="B148" s="346" t="s">
        <v>758</v>
      </c>
      <c r="C148" s="346" t="s">
        <v>759</v>
      </c>
    </row>
    <row r="149" spans="1:3">
      <c r="A149" s="347">
        <v>46090</v>
      </c>
      <c r="B149" s="346" t="s">
        <v>760</v>
      </c>
      <c r="C149" s="346" t="s">
        <v>761</v>
      </c>
    </row>
    <row r="150" spans="1:3">
      <c r="A150" s="347">
        <v>46090</v>
      </c>
      <c r="B150" s="346" t="s">
        <v>762</v>
      </c>
      <c r="C150" s="346" t="s">
        <v>763</v>
      </c>
    </row>
    <row r="151" spans="1:3">
      <c r="A151" s="347">
        <v>46090</v>
      </c>
      <c r="B151" s="346" t="s">
        <v>764</v>
      </c>
      <c r="C151" s="346" t="s">
        <v>765</v>
      </c>
    </row>
    <row r="152" spans="1:3">
      <c r="A152" s="347">
        <v>46090</v>
      </c>
      <c r="B152" s="346" t="s">
        <v>766</v>
      </c>
      <c r="C152" s="346" t="s">
        <v>767</v>
      </c>
    </row>
    <row r="153" spans="1:3">
      <c r="A153" s="347">
        <v>46090</v>
      </c>
      <c r="B153" s="346" t="s">
        <v>768</v>
      </c>
      <c r="C153" s="346" t="s">
        <v>769</v>
      </c>
    </row>
    <row r="154" spans="1:3">
      <c r="A154" s="347">
        <v>46090</v>
      </c>
      <c r="B154" s="346" t="s">
        <v>770</v>
      </c>
      <c r="C154" s="346" t="s">
        <v>771</v>
      </c>
    </row>
    <row r="155" spans="1:3">
      <c r="A155" s="347">
        <v>46090</v>
      </c>
      <c r="B155" s="346" t="s">
        <v>772</v>
      </c>
      <c r="C155" s="346" t="s">
        <v>773</v>
      </c>
    </row>
    <row r="156" spans="1:3">
      <c r="A156" s="347">
        <v>46090</v>
      </c>
      <c r="B156" s="346" t="s">
        <v>774</v>
      </c>
      <c r="C156" s="346" t="s">
        <v>775</v>
      </c>
    </row>
    <row r="157" spans="1:3">
      <c r="A157" s="347">
        <v>46090</v>
      </c>
      <c r="B157" s="346" t="s">
        <v>776</v>
      </c>
      <c r="C157" s="346" t="s">
        <v>777</v>
      </c>
    </row>
    <row r="158" spans="1:3">
      <c r="A158" s="347">
        <v>46090</v>
      </c>
      <c r="B158" s="346" t="s">
        <v>778</v>
      </c>
      <c r="C158" s="346" t="s">
        <v>779</v>
      </c>
    </row>
    <row r="159" spans="1:3">
      <c r="A159" s="347">
        <v>46090</v>
      </c>
      <c r="B159" s="346" t="s">
        <v>780</v>
      </c>
      <c r="C159" s="346" t="s">
        <v>11026</v>
      </c>
    </row>
    <row r="160" spans="1:3">
      <c r="A160" s="347">
        <v>46090</v>
      </c>
      <c r="B160" s="346" t="s">
        <v>781</v>
      </c>
      <c r="C160" s="346" t="s">
        <v>782</v>
      </c>
    </row>
    <row r="161" spans="1:3">
      <c r="A161" s="347">
        <v>46090</v>
      </c>
      <c r="B161" s="346" t="s">
        <v>783</v>
      </c>
      <c r="C161" s="346" t="s">
        <v>784</v>
      </c>
    </row>
    <row r="162" spans="1:3">
      <c r="A162" s="347">
        <v>46090</v>
      </c>
      <c r="B162" s="346" t="s">
        <v>785</v>
      </c>
      <c r="C162" s="346" t="s">
        <v>786</v>
      </c>
    </row>
    <row r="163" spans="1:3">
      <c r="A163" s="347">
        <v>46090</v>
      </c>
      <c r="B163" s="346" t="s">
        <v>787</v>
      </c>
      <c r="C163" s="346" t="s">
        <v>10494</v>
      </c>
    </row>
    <row r="164" spans="1:3">
      <c r="A164" s="347">
        <v>46090</v>
      </c>
      <c r="B164" s="346" t="s">
        <v>788</v>
      </c>
      <c r="C164" s="346" t="s">
        <v>789</v>
      </c>
    </row>
    <row r="165" spans="1:3">
      <c r="A165" s="347">
        <v>46090</v>
      </c>
      <c r="B165" s="346" t="s">
        <v>790</v>
      </c>
      <c r="C165" s="346" t="s">
        <v>791</v>
      </c>
    </row>
    <row r="166" spans="1:3">
      <c r="A166" s="347">
        <v>46090</v>
      </c>
      <c r="B166" s="346" t="s">
        <v>792</v>
      </c>
      <c r="C166" s="346" t="s">
        <v>793</v>
      </c>
    </row>
    <row r="167" spans="1:3">
      <c r="A167" s="347">
        <v>46090</v>
      </c>
      <c r="B167" s="346" t="s">
        <v>794</v>
      </c>
      <c r="C167" s="346" t="s">
        <v>795</v>
      </c>
    </row>
    <row r="168" spans="1:3">
      <c r="A168" s="347">
        <v>46090</v>
      </c>
      <c r="B168" s="346" t="s">
        <v>796</v>
      </c>
      <c r="C168" s="346" t="s">
        <v>797</v>
      </c>
    </row>
    <row r="169" spans="1:3">
      <c r="A169" s="347">
        <v>46090</v>
      </c>
      <c r="B169" s="346" t="s">
        <v>798</v>
      </c>
      <c r="C169" s="346" t="s">
        <v>799</v>
      </c>
    </row>
    <row r="170" spans="1:3">
      <c r="A170" s="347">
        <v>46090</v>
      </c>
      <c r="B170" s="346" t="s">
        <v>800</v>
      </c>
      <c r="C170" s="346" t="s">
        <v>801</v>
      </c>
    </row>
    <row r="171" spans="1:3">
      <c r="A171" s="347">
        <v>46090</v>
      </c>
      <c r="B171" s="346" t="s">
        <v>802</v>
      </c>
      <c r="C171" s="346" t="s">
        <v>803</v>
      </c>
    </row>
    <row r="172" spans="1:3">
      <c r="A172" s="347">
        <v>46090</v>
      </c>
      <c r="B172" s="346" t="s">
        <v>804</v>
      </c>
      <c r="C172" s="346" t="s">
        <v>805</v>
      </c>
    </row>
    <row r="173" spans="1:3">
      <c r="A173" s="347">
        <v>46090</v>
      </c>
      <c r="B173" s="346" t="s">
        <v>806</v>
      </c>
      <c r="C173" s="346" t="s">
        <v>10495</v>
      </c>
    </row>
    <row r="174" spans="1:3">
      <c r="A174" s="347">
        <v>46090</v>
      </c>
      <c r="B174" s="346" t="s">
        <v>807</v>
      </c>
      <c r="C174" s="346" t="s">
        <v>10496</v>
      </c>
    </row>
    <row r="175" spans="1:3">
      <c r="A175" s="347">
        <v>46090</v>
      </c>
      <c r="B175" s="346" t="s">
        <v>808</v>
      </c>
      <c r="C175" s="346" t="s">
        <v>809</v>
      </c>
    </row>
    <row r="176" spans="1:3">
      <c r="A176" s="347">
        <v>46090</v>
      </c>
      <c r="B176" s="346" t="s">
        <v>810</v>
      </c>
      <c r="C176" s="346" t="s">
        <v>811</v>
      </c>
    </row>
    <row r="177" spans="1:3">
      <c r="A177" s="347">
        <v>46090</v>
      </c>
      <c r="B177" s="346" t="s">
        <v>812</v>
      </c>
      <c r="C177" s="346" t="s">
        <v>813</v>
      </c>
    </row>
    <row r="178" spans="1:3">
      <c r="A178" s="347">
        <v>46090</v>
      </c>
      <c r="B178" s="346" t="s">
        <v>814</v>
      </c>
      <c r="C178" s="346" t="s">
        <v>815</v>
      </c>
    </row>
    <row r="179" spans="1:3">
      <c r="A179" s="347">
        <v>46090</v>
      </c>
      <c r="B179" s="346" t="s">
        <v>816</v>
      </c>
      <c r="C179" s="346" t="s">
        <v>817</v>
      </c>
    </row>
    <row r="180" spans="1:3">
      <c r="A180" s="347">
        <v>46090</v>
      </c>
      <c r="B180" s="346" t="s">
        <v>818</v>
      </c>
      <c r="C180" s="346" t="s">
        <v>10497</v>
      </c>
    </row>
    <row r="181" spans="1:3">
      <c r="A181" s="347">
        <v>46090</v>
      </c>
      <c r="B181" s="346" t="s">
        <v>819</v>
      </c>
      <c r="C181" s="346" t="s">
        <v>820</v>
      </c>
    </row>
    <row r="182" spans="1:3">
      <c r="A182" s="347">
        <v>46090</v>
      </c>
      <c r="B182" s="346" t="s">
        <v>821</v>
      </c>
      <c r="C182" s="346" t="s">
        <v>822</v>
      </c>
    </row>
    <row r="183" spans="1:3">
      <c r="A183" s="347">
        <v>46090</v>
      </c>
      <c r="B183" s="346" t="s">
        <v>823</v>
      </c>
      <c r="C183" s="346" t="s">
        <v>824</v>
      </c>
    </row>
    <row r="184" spans="1:3">
      <c r="A184" s="347">
        <v>46090</v>
      </c>
      <c r="B184" s="346" t="s">
        <v>825</v>
      </c>
      <c r="C184" s="346" t="s">
        <v>826</v>
      </c>
    </row>
    <row r="185" spans="1:3">
      <c r="A185" s="347">
        <v>46090</v>
      </c>
      <c r="B185" s="346" t="s">
        <v>827</v>
      </c>
      <c r="C185" s="346" t="s">
        <v>828</v>
      </c>
    </row>
    <row r="186" spans="1:3">
      <c r="A186" s="347">
        <v>46090</v>
      </c>
      <c r="B186" s="346" t="s">
        <v>829</v>
      </c>
      <c r="C186" s="346" t="s">
        <v>830</v>
      </c>
    </row>
    <row r="187" spans="1:3">
      <c r="A187" s="347">
        <v>46090</v>
      </c>
      <c r="B187" s="346" t="s">
        <v>831</v>
      </c>
      <c r="C187" s="346" t="s">
        <v>10498</v>
      </c>
    </row>
    <row r="188" spans="1:3">
      <c r="A188" s="347">
        <v>46090</v>
      </c>
      <c r="B188" s="346" t="s">
        <v>832</v>
      </c>
      <c r="C188" s="346" t="s">
        <v>833</v>
      </c>
    </row>
    <row r="189" spans="1:3">
      <c r="A189" s="347">
        <v>46090</v>
      </c>
      <c r="B189" s="346" t="s">
        <v>834</v>
      </c>
      <c r="C189" s="346" t="s">
        <v>835</v>
      </c>
    </row>
    <row r="190" spans="1:3">
      <c r="A190" s="347">
        <v>46090</v>
      </c>
      <c r="B190" s="346" t="s">
        <v>836</v>
      </c>
      <c r="C190" s="346" t="s">
        <v>837</v>
      </c>
    </row>
    <row r="191" spans="1:3">
      <c r="A191" s="347">
        <v>46090</v>
      </c>
      <c r="B191" s="346" t="s">
        <v>838</v>
      </c>
      <c r="C191" s="346" t="s">
        <v>839</v>
      </c>
    </row>
    <row r="192" spans="1:3">
      <c r="A192" s="347">
        <v>46090</v>
      </c>
      <c r="B192" s="346" t="s">
        <v>840</v>
      </c>
      <c r="C192" s="346" t="s">
        <v>10499</v>
      </c>
    </row>
    <row r="193" spans="1:3">
      <c r="A193" s="347">
        <v>46090</v>
      </c>
      <c r="B193" s="346" t="s">
        <v>841</v>
      </c>
      <c r="C193" s="346" t="s">
        <v>10500</v>
      </c>
    </row>
    <row r="194" spans="1:3">
      <c r="A194" s="347">
        <v>46090</v>
      </c>
      <c r="B194" s="346" t="s">
        <v>842</v>
      </c>
      <c r="C194" s="346" t="s">
        <v>843</v>
      </c>
    </row>
    <row r="195" spans="1:3">
      <c r="A195" s="347">
        <v>46090</v>
      </c>
      <c r="B195" s="346" t="s">
        <v>844</v>
      </c>
      <c r="C195" s="346" t="s">
        <v>845</v>
      </c>
    </row>
    <row r="196" spans="1:3">
      <c r="A196" s="347">
        <v>46090</v>
      </c>
      <c r="B196" s="346" t="s">
        <v>846</v>
      </c>
      <c r="C196" s="346" t="s">
        <v>847</v>
      </c>
    </row>
    <row r="197" spans="1:3">
      <c r="A197" s="347">
        <v>46090</v>
      </c>
      <c r="B197" s="346" t="s">
        <v>848</v>
      </c>
      <c r="C197" s="346" t="s">
        <v>849</v>
      </c>
    </row>
    <row r="198" spans="1:3">
      <c r="A198" s="347">
        <v>46090</v>
      </c>
      <c r="B198" s="346" t="s">
        <v>850</v>
      </c>
      <c r="C198" s="346" t="s">
        <v>851</v>
      </c>
    </row>
    <row r="199" spans="1:3">
      <c r="A199" s="347">
        <v>46090</v>
      </c>
      <c r="B199" s="346" t="s">
        <v>852</v>
      </c>
      <c r="C199" s="346" t="s">
        <v>853</v>
      </c>
    </row>
    <row r="200" spans="1:3">
      <c r="A200" s="347">
        <v>46090</v>
      </c>
      <c r="B200" s="346" t="s">
        <v>854</v>
      </c>
      <c r="C200" s="346" t="s">
        <v>855</v>
      </c>
    </row>
    <row r="201" spans="1:3">
      <c r="A201" s="347">
        <v>46090</v>
      </c>
      <c r="B201" s="346" t="s">
        <v>856</v>
      </c>
      <c r="C201" s="346" t="s">
        <v>857</v>
      </c>
    </row>
    <row r="202" spans="1:3">
      <c r="A202" s="347">
        <v>46090</v>
      </c>
      <c r="B202" s="346" t="s">
        <v>858</v>
      </c>
      <c r="C202" s="346" t="s">
        <v>859</v>
      </c>
    </row>
    <row r="203" spans="1:3">
      <c r="A203" s="347">
        <v>46090</v>
      </c>
      <c r="B203" s="346" t="s">
        <v>860</v>
      </c>
      <c r="C203" s="346" t="s">
        <v>861</v>
      </c>
    </row>
    <row r="204" spans="1:3">
      <c r="A204" s="347">
        <v>46090</v>
      </c>
      <c r="B204" s="346" t="s">
        <v>862</v>
      </c>
      <c r="C204" s="346" t="s">
        <v>863</v>
      </c>
    </row>
    <row r="205" spans="1:3">
      <c r="A205" s="347">
        <v>46090</v>
      </c>
      <c r="B205" s="346" t="s">
        <v>864</v>
      </c>
      <c r="C205" s="346" t="s">
        <v>10501</v>
      </c>
    </row>
    <row r="206" spans="1:3">
      <c r="A206" s="347">
        <v>46090</v>
      </c>
      <c r="B206" s="346" t="s">
        <v>865</v>
      </c>
      <c r="C206" s="346" t="s">
        <v>866</v>
      </c>
    </row>
    <row r="207" spans="1:3">
      <c r="A207" s="347">
        <v>46090</v>
      </c>
      <c r="B207" s="346" t="s">
        <v>867</v>
      </c>
      <c r="C207" s="346" t="s">
        <v>868</v>
      </c>
    </row>
    <row r="208" spans="1:3">
      <c r="A208" s="347">
        <v>46090</v>
      </c>
      <c r="B208" s="346" t="s">
        <v>869</v>
      </c>
      <c r="C208" s="346" t="s">
        <v>870</v>
      </c>
    </row>
    <row r="209" spans="1:3">
      <c r="A209" s="347">
        <v>46090</v>
      </c>
      <c r="B209" s="346" t="s">
        <v>871</v>
      </c>
      <c r="C209" s="346" t="s">
        <v>872</v>
      </c>
    </row>
    <row r="210" spans="1:3">
      <c r="A210" s="347">
        <v>46090</v>
      </c>
      <c r="B210" s="346" t="s">
        <v>873</v>
      </c>
      <c r="C210" s="346" t="s">
        <v>874</v>
      </c>
    </row>
    <row r="211" spans="1:3">
      <c r="A211" s="347">
        <v>46090</v>
      </c>
      <c r="B211" s="346" t="s">
        <v>875</v>
      </c>
      <c r="C211" s="346" t="s">
        <v>876</v>
      </c>
    </row>
    <row r="212" spans="1:3">
      <c r="A212" s="347">
        <v>46090</v>
      </c>
      <c r="B212" s="346" t="s">
        <v>877</v>
      </c>
      <c r="C212" s="346" t="s">
        <v>878</v>
      </c>
    </row>
    <row r="213" spans="1:3">
      <c r="A213" s="347">
        <v>46090</v>
      </c>
      <c r="B213" s="346" t="s">
        <v>879</v>
      </c>
      <c r="C213" s="346" t="s">
        <v>880</v>
      </c>
    </row>
    <row r="214" spans="1:3">
      <c r="A214" s="347">
        <v>46090</v>
      </c>
      <c r="B214" s="346" t="s">
        <v>881</v>
      </c>
      <c r="C214" s="346" t="s">
        <v>882</v>
      </c>
    </row>
    <row r="215" spans="1:3">
      <c r="A215" s="347">
        <v>46090</v>
      </c>
      <c r="B215" s="346" t="s">
        <v>883</v>
      </c>
      <c r="C215" s="346" t="s">
        <v>884</v>
      </c>
    </row>
    <row r="216" spans="1:3">
      <c r="A216" s="347">
        <v>46090</v>
      </c>
      <c r="B216" s="346" t="s">
        <v>885</v>
      </c>
      <c r="C216" s="346" t="s">
        <v>10502</v>
      </c>
    </row>
    <row r="217" spans="1:3">
      <c r="A217" s="347">
        <v>46090</v>
      </c>
      <c r="B217" s="346" t="s">
        <v>886</v>
      </c>
      <c r="C217" s="346" t="s">
        <v>887</v>
      </c>
    </row>
    <row r="218" spans="1:3">
      <c r="A218" s="347">
        <v>46090</v>
      </c>
      <c r="B218" s="346" t="s">
        <v>888</v>
      </c>
      <c r="C218" s="346" t="s">
        <v>889</v>
      </c>
    </row>
    <row r="219" spans="1:3">
      <c r="A219" s="347">
        <v>46090</v>
      </c>
      <c r="B219" s="346" t="s">
        <v>890</v>
      </c>
      <c r="C219" s="346" t="s">
        <v>891</v>
      </c>
    </row>
    <row r="220" spans="1:3">
      <c r="A220" s="347">
        <v>46090</v>
      </c>
      <c r="B220" s="346" t="s">
        <v>892</v>
      </c>
      <c r="C220" s="346" t="s">
        <v>893</v>
      </c>
    </row>
    <row r="221" spans="1:3">
      <c r="A221" s="347">
        <v>46090</v>
      </c>
      <c r="B221" s="346" t="s">
        <v>894</v>
      </c>
      <c r="C221" s="346" t="s">
        <v>10503</v>
      </c>
    </row>
    <row r="222" spans="1:3">
      <c r="A222" s="347">
        <v>46090</v>
      </c>
      <c r="B222" s="346" t="s">
        <v>895</v>
      </c>
      <c r="C222" s="346" t="s">
        <v>10504</v>
      </c>
    </row>
    <row r="223" spans="1:3">
      <c r="A223" s="347">
        <v>46090</v>
      </c>
      <c r="B223" s="346" t="s">
        <v>896</v>
      </c>
      <c r="C223" s="346" t="s">
        <v>897</v>
      </c>
    </row>
    <row r="224" spans="1:3">
      <c r="A224" s="347">
        <v>46090</v>
      </c>
      <c r="B224" s="346" t="s">
        <v>898</v>
      </c>
      <c r="C224" s="346" t="s">
        <v>10505</v>
      </c>
    </row>
    <row r="225" spans="1:3">
      <c r="A225" s="347">
        <v>46090</v>
      </c>
      <c r="B225" s="346" t="s">
        <v>899</v>
      </c>
      <c r="C225" s="346" t="s">
        <v>11027</v>
      </c>
    </row>
    <row r="226" spans="1:3">
      <c r="A226" s="347">
        <v>46090</v>
      </c>
      <c r="B226" s="346" t="s">
        <v>900</v>
      </c>
      <c r="C226" s="346" t="s">
        <v>901</v>
      </c>
    </row>
    <row r="227" spans="1:3">
      <c r="A227" s="347">
        <v>46090</v>
      </c>
      <c r="B227" s="346" t="s">
        <v>902</v>
      </c>
      <c r="C227" s="346" t="s">
        <v>903</v>
      </c>
    </row>
    <row r="228" spans="1:3">
      <c r="A228" s="347">
        <v>46090</v>
      </c>
      <c r="B228" s="346" t="s">
        <v>904</v>
      </c>
      <c r="C228" s="346" t="s">
        <v>905</v>
      </c>
    </row>
    <row r="229" spans="1:3">
      <c r="A229" s="347">
        <v>46090</v>
      </c>
      <c r="B229" s="346" t="s">
        <v>906</v>
      </c>
      <c r="C229" s="346" t="s">
        <v>907</v>
      </c>
    </row>
    <row r="230" spans="1:3">
      <c r="A230" s="347">
        <v>46090</v>
      </c>
      <c r="B230" s="346" t="s">
        <v>908</v>
      </c>
      <c r="C230" s="346" t="s">
        <v>909</v>
      </c>
    </row>
    <row r="231" spans="1:3">
      <c r="A231" s="347">
        <v>46090</v>
      </c>
      <c r="B231" s="346" t="s">
        <v>910</v>
      </c>
      <c r="C231" s="346" t="s">
        <v>911</v>
      </c>
    </row>
    <row r="232" spans="1:3">
      <c r="A232" s="347">
        <v>46090</v>
      </c>
      <c r="B232" s="346" t="s">
        <v>912</v>
      </c>
      <c r="C232" s="346" t="s">
        <v>913</v>
      </c>
    </row>
    <row r="233" spans="1:3">
      <c r="A233" s="347">
        <v>46090</v>
      </c>
      <c r="B233" s="346" t="s">
        <v>914</v>
      </c>
      <c r="C233" s="346" t="s">
        <v>915</v>
      </c>
    </row>
    <row r="234" spans="1:3">
      <c r="A234" s="347">
        <v>46090</v>
      </c>
      <c r="B234" s="346" t="s">
        <v>916</v>
      </c>
      <c r="C234" s="346" t="s">
        <v>917</v>
      </c>
    </row>
    <row r="235" spans="1:3">
      <c r="A235" s="347">
        <v>46090</v>
      </c>
      <c r="B235" s="346" t="s">
        <v>918</v>
      </c>
      <c r="C235" s="346" t="s">
        <v>10506</v>
      </c>
    </row>
    <row r="236" spans="1:3">
      <c r="A236" s="347">
        <v>46090</v>
      </c>
      <c r="B236" s="346" t="s">
        <v>919</v>
      </c>
      <c r="C236" s="346" t="s">
        <v>920</v>
      </c>
    </row>
    <row r="237" spans="1:3">
      <c r="A237" s="347">
        <v>46090</v>
      </c>
      <c r="B237" s="346" t="s">
        <v>921</v>
      </c>
      <c r="C237" s="346" t="s">
        <v>10507</v>
      </c>
    </row>
    <row r="238" spans="1:3">
      <c r="A238" s="347">
        <v>46090</v>
      </c>
      <c r="B238" s="346" t="s">
        <v>922</v>
      </c>
      <c r="C238" s="346" t="s">
        <v>923</v>
      </c>
    </row>
    <row r="239" spans="1:3">
      <c r="A239" s="347">
        <v>46090</v>
      </c>
      <c r="B239" s="346" t="s">
        <v>924</v>
      </c>
      <c r="C239" s="346" t="s">
        <v>925</v>
      </c>
    </row>
    <row r="240" spans="1:3">
      <c r="A240" s="347">
        <v>46090</v>
      </c>
      <c r="B240" s="346" t="s">
        <v>926</v>
      </c>
      <c r="C240" s="346" t="s">
        <v>927</v>
      </c>
    </row>
    <row r="241" spans="1:3">
      <c r="A241" s="347">
        <v>46090</v>
      </c>
      <c r="B241" s="346" t="s">
        <v>928</v>
      </c>
      <c r="C241" s="346" t="s">
        <v>929</v>
      </c>
    </row>
    <row r="242" spans="1:3">
      <c r="A242" s="347">
        <v>46090</v>
      </c>
      <c r="B242" s="346" t="s">
        <v>930</v>
      </c>
      <c r="C242" s="346" t="s">
        <v>931</v>
      </c>
    </row>
    <row r="243" spans="1:3">
      <c r="A243" s="347">
        <v>46090</v>
      </c>
      <c r="B243" s="346" t="s">
        <v>932</v>
      </c>
      <c r="C243" s="346" t="s">
        <v>933</v>
      </c>
    </row>
    <row r="244" spans="1:3">
      <c r="A244" s="347">
        <v>46090</v>
      </c>
      <c r="B244" s="346" t="s">
        <v>934</v>
      </c>
      <c r="C244" s="346" t="s">
        <v>935</v>
      </c>
    </row>
    <row r="245" spans="1:3">
      <c r="A245" s="347">
        <v>46090</v>
      </c>
      <c r="B245" s="346" t="s">
        <v>936</v>
      </c>
      <c r="C245" s="346" t="s">
        <v>937</v>
      </c>
    </row>
    <row r="246" spans="1:3">
      <c r="A246" s="347">
        <v>46090</v>
      </c>
      <c r="B246" s="346" t="s">
        <v>938</v>
      </c>
      <c r="C246" s="346" t="s">
        <v>939</v>
      </c>
    </row>
    <row r="247" spans="1:3">
      <c r="A247" s="347">
        <v>46090</v>
      </c>
      <c r="B247" s="346" t="s">
        <v>940</v>
      </c>
      <c r="C247" s="346" t="s">
        <v>941</v>
      </c>
    </row>
    <row r="248" spans="1:3">
      <c r="A248" s="347">
        <v>46090</v>
      </c>
      <c r="B248" s="346" t="s">
        <v>942</v>
      </c>
      <c r="C248" s="346" t="s">
        <v>943</v>
      </c>
    </row>
    <row r="249" spans="1:3">
      <c r="A249" s="347">
        <v>46090</v>
      </c>
      <c r="B249" s="346" t="s">
        <v>944</v>
      </c>
      <c r="C249" s="346" t="s">
        <v>945</v>
      </c>
    </row>
    <row r="250" spans="1:3">
      <c r="A250" s="347">
        <v>46090</v>
      </c>
      <c r="B250" s="346" t="s">
        <v>946</v>
      </c>
      <c r="C250" s="346" t="s">
        <v>947</v>
      </c>
    </row>
    <row r="251" spans="1:3">
      <c r="A251" s="347">
        <v>46090</v>
      </c>
      <c r="B251" s="346" t="s">
        <v>948</v>
      </c>
      <c r="C251" s="346" t="s">
        <v>949</v>
      </c>
    </row>
    <row r="252" spans="1:3">
      <c r="A252" s="347">
        <v>46090</v>
      </c>
      <c r="B252" s="346" t="s">
        <v>950</v>
      </c>
      <c r="C252" s="346" t="s">
        <v>951</v>
      </c>
    </row>
    <row r="253" spans="1:3">
      <c r="A253" s="347">
        <v>46090</v>
      </c>
      <c r="B253" s="346" t="s">
        <v>952</v>
      </c>
      <c r="C253" s="346" t="s">
        <v>953</v>
      </c>
    </row>
    <row r="254" spans="1:3">
      <c r="A254" s="347">
        <v>46090</v>
      </c>
      <c r="B254" s="346" t="s">
        <v>954</v>
      </c>
      <c r="C254" s="346" t="s">
        <v>955</v>
      </c>
    </row>
    <row r="255" spans="1:3">
      <c r="A255" s="347">
        <v>46090</v>
      </c>
      <c r="B255" s="346" t="s">
        <v>956</v>
      </c>
      <c r="C255" s="346" t="s">
        <v>10508</v>
      </c>
    </row>
    <row r="256" spans="1:3">
      <c r="A256" s="347">
        <v>46090</v>
      </c>
      <c r="B256" s="346" t="s">
        <v>957</v>
      </c>
      <c r="C256" s="346" t="s">
        <v>958</v>
      </c>
    </row>
    <row r="257" spans="1:3">
      <c r="A257" s="347">
        <v>46090</v>
      </c>
      <c r="B257" s="346" t="s">
        <v>959</v>
      </c>
      <c r="C257" s="346" t="s">
        <v>960</v>
      </c>
    </row>
    <row r="258" spans="1:3">
      <c r="A258" s="347">
        <v>46090</v>
      </c>
      <c r="B258" s="346" t="s">
        <v>961</v>
      </c>
      <c r="C258" s="346" t="s">
        <v>962</v>
      </c>
    </row>
    <row r="259" spans="1:3">
      <c r="A259" s="347">
        <v>46090</v>
      </c>
      <c r="B259" s="346" t="s">
        <v>963</v>
      </c>
      <c r="C259" s="346" t="s">
        <v>964</v>
      </c>
    </row>
    <row r="260" spans="1:3">
      <c r="A260" s="347">
        <v>46090</v>
      </c>
      <c r="B260" s="346" t="s">
        <v>965</v>
      </c>
      <c r="C260" s="346" t="s">
        <v>966</v>
      </c>
    </row>
    <row r="261" spans="1:3">
      <c r="A261" s="347">
        <v>46090</v>
      </c>
      <c r="B261" s="346" t="s">
        <v>967</v>
      </c>
      <c r="C261" s="346" t="s">
        <v>10509</v>
      </c>
    </row>
    <row r="262" spans="1:3">
      <c r="A262" s="347">
        <v>46090</v>
      </c>
      <c r="B262" s="346" t="s">
        <v>968</v>
      </c>
      <c r="C262" s="346" t="s">
        <v>969</v>
      </c>
    </row>
    <row r="263" spans="1:3">
      <c r="A263" s="347">
        <v>46090</v>
      </c>
      <c r="B263" s="346" t="s">
        <v>970</v>
      </c>
      <c r="C263" s="346" t="s">
        <v>971</v>
      </c>
    </row>
    <row r="264" spans="1:3">
      <c r="A264" s="347">
        <v>46090</v>
      </c>
      <c r="B264" s="346" t="s">
        <v>972</v>
      </c>
      <c r="C264" s="346" t="s">
        <v>973</v>
      </c>
    </row>
    <row r="265" spans="1:3">
      <c r="A265" s="347">
        <v>46090</v>
      </c>
      <c r="B265" s="346" t="s">
        <v>974</v>
      </c>
      <c r="C265" s="346" t="s">
        <v>975</v>
      </c>
    </row>
    <row r="266" spans="1:3">
      <c r="A266" s="347">
        <v>46090</v>
      </c>
      <c r="B266" s="346" t="s">
        <v>976</v>
      </c>
      <c r="C266" s="346" t="s">
        <v>977</v>
      </c>
    </row>
    <row r="267" spans="1:3">
      <c r="A267" s="347">
        <v>46090</v>
      </c>
      <c r="B267" s="346" t="s">
        <v>978</v>
      </c>
      <c r="C267" s="346" t="s">
        <v>979</v>
      </c>
    </row>
    <row r="268" spans="1:3">
      <c r="A268" s="347">
        <v>46090</v>
      </c>
      <c r="B268" s="346" t="s">
        <v>980</v>
      </c>
      <c r="C268" s="346" t="s">
        <v>981</v>
      </c>
    </row>
    <row r="269" spans="1:3">
      <c r="A269" s="347">
        <v>46090</v>
      </c>
      <c r="B269" s="346" t="s">
        <v>982</v>
      </c>
      <c r="C269" s="346" t="s">
        <v>983</v>
      </c>
    </row>
    <row r="270" spans="1:3">
      <c r="A270" s="347">
        <v>46090</v>
      </c>
      <c r="B270" s="346" t="s">
        <v>984</v>
      </c>
      <c r="C270" s="346" t="s">
        <v>985</v>
      </c>
    </row>
    <row r="271" spans="1:3">
      <c r="A271" s="347">
        <v>46090</v>
      </c>
      <c r="B271" s="346" t="s">
        <v>986</v>
      </c>
      <c r="C271" s="346" t="s">
        <v>987</v>
      </c>
    </row>
    <row r="272" spans="1:3">
      <c r="A272" s="347">
        <v>46090</v>
      </c>
      <c r="B272" s="346" t="s">
        <v>988</v>
      </c>
      <c r="C272" s="346" t="s">
        <v>989</v>
      </c>
    </row>
    <row r="273" spans="1:3">
      <c r="A273" s="347">
        <v>46090</v>
      </c>
      <c r="B273" s="346" t="s">
        <v>990</v>
      </c>
      <c r="C273" s="346" t="s">
        <v>991</v>
      </c>
    </row>
    <row r="274" spans="1:3">
      <c r="A274" s="347">
        <v>46090</v>
      </c>
      <c r="B274" s="346" t="s">
        <v>992</v>
      </c>
      <c r="C274" s="346" t="s">
        <v>993</v>
      </c>
    </row>
    <row r="275" spans="1:3">
      <c r="A275" s="347">
        <v>46090</v>
      </c>
      <c r="B275" s="346" t="s">
        <v>994</v>
      </c>
      <c r="C275" s="346" t="s">
        <v>995</v>
      </c>
    </row>
    <row r="276" spans="1:3">
      <c r="A276" s="347">
        <v>46090</v>
      </c>
      <c r="B276" s="346" t="s">
        <v>996</v>
      </c>
      <c r="C276" s="346" t="s">
        <v>997</v>
      </c>
    </row>
    <row r="277" spans="1:3">
      <c r="A277" s="347">
        <v>46090</v>
      </c>
      <c r="B277" s="346" t="s">
        <v>998</v>
      </c>
      <c r="C277" s="346" t="s">
        <v>10510</v>
      </c>
    </row>
    <row r="278" spans="1:3">
      <c r="A278" s="347">
        <v>46090</v>
      </c>
      <c r="B278" s="346" t="s">
        <v>999</v>
      </c>
      <c r="C278" s="346" t="s">
        <v>1000</v>
      </c>
    </row>
    <row r="279" spans="1:3">
      <c r="A279" s="347">
        <v>46090</v>
      </c>
      <c r="B279" s="346" t="s">
        <v>1001</v>
      </c>
      <c r="C279" s="346" t="s">
        <v>10511</v>
      </c>
    </row>
    <row r="280" spans="1:3">
      <c r="A280" s="347">
        <v>46090</v>
      </c>
      <c r="B280" s="346" t="s">
        <v>1002</v>
      </c>
      <c r="C280" s="346" t="s">
        <v>1003</v>
      </c>
    </row>
    <row r="281" spans="1:3">
      <c r="A281" s="347">
        <v>46090</v>
      </c>
      <c r="B281" s="346" t="s">
        <v>1004</v>
      </c>
      <c r="C281" s="346" t="s">
        <v>1005</v>
      </c>
    </row>
    <row r="282" spans="1:3">
      <c r="A282" s="347">
        <v>46090</v>
      </c>
      <c r="B282" s="346" t="s">
        <v>1006</v>
      </c>
      <c r="C282" s="346" t="s">
        <v>1007</v>
      </c>
    </row>
    <row r="283" spans="1:3">
      <c r="A283" s="347">
        <v>46090</v>
      </c>
      <c r="B283" s="346" t="s">
        <v>1008</v>
      </c>
      <c r="C283" s="346" t="s">
        <v>1009</v>
      </c>
    </row>
    <row r="284" spans="1:3">
      <c r="A284" s="347">
        <v>46090</v>
      </c>
      <c r="B284" s="346" t="s">
        <v>1010</v>
      </c>
      <c r="C284" s="346" t="s">
        <v>1011</v>
      </c>
    </row>
    <row r="285" spans="1:3">
      <c r="A285" s="347">
        <v>46090</v>
      </c>
      <c r="B285" s="346" t="s">
        <v>1012</v>
      </c>
      <c r="C285" s="346" t="s">
        <v>1013</v>
      </c>
    </row>
    <row r="286" spans="1:3">
      <c r="A286" s="347">
        <v>46090</v>
      </c>
      <c r="B286" s="346" t="s">
        <v>1014</v>
      </c>
      <c r="C286" s="346" t="s">
        <v>11028</v>
      </c>
    </row>
    <row r="287" spans="1:3">
      <c r="A287" s="347">
        <v>46090</v>
      </c>
      <c r="B287" s="346" t="s">
        <v>1015</v>
      </c>
      <c r="C287" s="346" t="s">
        <v>1016</v>
      </c>
    </row>
    <row r="288" spans="1:3">
      <c r="A288" s="347">
        <v>46090</v>
      </c>
      <c r="B288" s="346" t="s">
        <v>1017</v>
      </c>
      <c r="C288" s="346" t="s">
        <v>10512</v>
      </c>
    </row>
    <row r="289" spans="1:3">
      <c r="A289" s="347">
        <v>46090</v>
      </c>
      <c r="B289" s="346" t="s">
        <v>1018</v>
      </c>
      <c r="C289" s="346" t="s">
        <v>1019</v>
      </c>
    </row>
    <row r="290" spans="1:3">
      <c r="A290" s="347">
        <v>46090</v>
      </c>
      <c r="B290" s="346" t="s">
        <v>1020</v>
      </c>
      <c r="C290" s="346" t="s">
        <v>1021</v>
      </c>
    </row>
    <row r="291" spans="1:3">
      <c r="A291" s="347">
        <v>46090</v>
      </c>
      <c r="B291" s="346" t="s">
        <v>1022</v>
      </c>
      <c r="C291" s="346" t="s">
        <v>1023</v>
      </c>
    </row>
    <row r="292" spans="1:3">
      <c r="A292" s="347">
        <v>46090</v>
      </c>
      <c r="B292" s="346" t="s">
        <v>1024</v>
      </c>
      <c r="C292" s="346" t="s">
        <v>1025</v>
      </c>
    </row>
    <row r="293" spans="1:3">
      <c r="A293" s="347">
        <v>46090</v>
      </c>
      <c r="B293" s="346" t="s">
        <v>1026</v>
      </c>
      <c r="C293" s="346" t="s">
        <v>1027</v>
      </c>
    </row>
    <row r="294" spans="1:3">
      <c r="A294" s="347">
        <v>46090</v>
      </c>
      <c r="B294" s="346" t="s">
        <v>1028</v>
      </c>
      <c r="C294" s="346" t="s">
        <v>1029</v>
      </c>
    </row>
    <row r="295" spans="1:3">
      <c r="A295" s="347">
        <v>46090</v>
      </c>
      <c r="B295" s="346" t="s">
        <v>1030</v>
      </c>
      <c r="C295" s="346" t="s">
        <v>1031</v>
      </c>
    </row>
    <row r="296" spans="1:3">
      <c r="A296" s="347">
        <v>46090</v>
      </c>
      <c r="B296" s="346" t="s">
        <v>1032</v>
      </c>
      <c r="C296" s="346" t="s">
        <v>1033</v>
      </c>
    </row>
    <row r="297" spans="1:3">
      <c r="A297" s="347">
        <v>46090</v>
      </c>
      <c r="B297" s="346" t="s">
        <v>1034</v>
      </c>
      <c r="C297" s="346" t="s">
        <v>10513</v>
      </c>
    </row>
    <row r="298" spans="1:3">
      <c r="A298" s="347">
        <v>46090</v>
      </c>
      <c r="B298" s="346" t="s">
        <v>1035</v>
      </c>
      <c r="C298" s="346" t="s">
        <v>1036</v>
      </c>
    </row>
    <row r="299" spans="1:3">
      <c r="A299" s="347">
        <v>46090</v>
      </c>
      <c r="B299" s="346" t="s">
        <v>1037</v>
      </c>
      <c r="C299" s="346" t="s">
        <v>1038</v>
      </c>
    </row>
    <row r="300" spans="1:3">
      <c r="A300" s="347">
        <v>46090</v>
      </c>
      <c r="B300" s="346" t="s">
        <v>1039</v>
      </c>
      <c r="C300" s="346" t="s">
        <v>1040</v>
      </c>
    </row>
    <row r="301" spans="1:3">
      <c r="A301" s="347">
        <v>46090</v>
      </c>
      <c r="B301" s="346" t="s">
        <v>1041</v>
      </c>
      <c r="C301" s="346" t="s">
        <v>1042</v>
      </c>
    </row>
    <row r="302" spans="1:3">
      <c r="A302" s="347">
        <v>46090</v>
      </c>
      <c r="B302" s="346" t="s">
        <v>1043</v>
      </c>
      <c r="C302" s="346" t="s">
        <v>1044</v>
      </c>
    </row>
    <row r="303" spans="1:3">
      <c r="A303" s="347">
        <v>46090</v>
      </c>
      <c r="B303" s="346" t="s">
        <v>1045</v>
      </c>
      <c r="C303" s="346" t="s">
        <v>1046</v>
      </c>
    </row>
    <row r="304" spans="1:3">
      <c r="A304" s="347">
        <v>46090</v>
      </c>
      <c r="B304" s="346" t="s">
        <v>1047</v>
      </c>
      <c r="C304" s="346" t="s">
        <v>1048</v>
      </c>
    </row>
    <row r="305" spans="1:3">
      <c r="A305" s="347">
        <v>46090</v>
      </c>
      <c r="B305" s="346" t="s">
        <v>1049</v>
      </c>
      <c r="C305" s="346" t="s">
        <v>1050</v>
      </c>
    </row>
    <row r="306" spans="1:3">
      <c r="A306" s="347">
        <v>46090</v>
      </c>
      <c r="B306" s="346" t="s">
        <v>1051</v>
      </c>
      <c r="C306" s="346" t="s">
        <v>10514</v>
      </c>
    </row>
    <row r="307" spans="1:3">
      <c r="A307" s="347">
        <v>46090</v>
      </c>
      <c r="B307" s="346" t="s">
        <v>1052</v>
      </c>
      <c r="C307" s="346" t="s">
        <v>11029</v>
      </c>
    </row>
    <row r="308" spans="1:3">
      <c r="A308" s="347">
        <v>46090</v>
      </c>
      <c r="B308" s="346" t="s">
        <v>1053</v>
      </c>
      <c r="C308" s="346" t="s">
        <v>1054</v>
      </c>
    </row>
    <row r="309" spans="1:3">
      <c r="A309" s="347">
        <v>46090</v>
      </c>
      <c r="B309" s="346" t="s">
        <v>1055</v>
      </c>
      <c r="C309" s="346" t="s">
        <v>1056</v>
      </c>
    </row>
    <row r="310" spans="1:3">
      <c r="A310" s="347">
        <v>46090</v>
      </c>
      <c r="B310" s="346" t="s">
        <v>1057</v>
      </c>
      <c r="C310" s="346" t="s">
        <v>1058</v>
      </c>
    </row>
    <row r="311" spans="1:3">
      <c r="A311" s="347">
        <v>46090</v>
      </c>
      <c r="B311" s="346" t="s">
        <v>1059</v>
      </c>
      <c r="C311" s="346" t="s">
        <v>1060</v>
      </c>
    </row>
    <row r="312" spans="1:3">
      <c r="A312" s="347">
        <v>46090</v>
      </c>
      <c r="B312" s="346" t="s">
        <v>1061</v>
      </c>
      <c r="C312" s="346" t="s">
        <v>1062</v>
      </c>
    </row>
    <row r="313" spans="1:3">
      <c r="A313" s="347">
        <v>46090</v>
      </c>
      <c r="B313" s="346" t="s">
        <v>1063</v>
      </c>
      <c r="C313" s="346" t="s">
        <v>1064</v>
      </c>
    </row>
    <row r="314" spans="1:3">
      <c r="A314" s="347">
        <v>46090</v>
      </c>
      <c r="B314" s="346" t="s">
        <v>1065</v>
      </c>
      <c r="C314" s="346" t="s">
        <v>1066</v>
      </c>
    </row>
    <row r="315" spans="1:3">
      <c r="A315" s="347">
        <v>46090</v>
      </c>
      <c r="B315" s="346" t="s">
        <v>1067</v>
      </c>
      <c r="C315" s="346" t="s">
        <v>1068</v>
      </c>
    </row>
    <row r="316" spans="1:3">
      <c r="A316" s="347">
        <v>46090</v>
      </c>
      <c r="B316" s="346" t="s">
        <v>1069</v>
      </c>
      <c r="C316" s="346" t="s">
        <v>1070</v>
      </c>
    </row>
    <row r="317" spans="1:3">
      <c r="A317" s="347">
        <v>46090</v>
      </c>
      <c r="B317" s="346" t="s">
        <v>1071</v>
      </c>
      <c r="C317" s="346" t="s">
        <v>1072</v>
      </c>
    </row>
    <row r="318" spans="1:3">
      <c r="A318" s="347">
        <v>46090</v>
      </c>
      <c r="B318" s="346" t="s">
        <v>1073</v>
      </c>
      <c r="C318" s="346" t="s">
        <v>1074</v>
      </c>
    </row>
    <row r="319" spans="1:3">
      <c r="A319" s="347">
        <v>46090</v>
      </c>
      <c r="B319" s="346" t="s">
        <v>1075</v>
      </c>
      <c r="C319" s="346" t="s">
        <v>10515</v>
      </c>
    </row>
    <row r="320" spans="1:3">
      <c r="A320" s="347">
        <v>46090</v>
      </c>
      <c r="B320" s="346" t="s">
        <v>1076</v>
      </c>
      <c r="C320" s="346" t="s">
        <v>1077</v>
      </c>
    </row>
    <row r="321" spans="1:3">
      <c r="A321" s="347">
        <v>46090</v>
      </c>
      <c r="B321" s="346" t="s">
        <v>1078</v>
      </c>
      <c r="C321" s="346" t="s">
        <v>1079</v>
      </c>
    </row>
    <row r="322" spans="1:3">
      <c r="A322" s="347">
        <v>46090</v>
      </c>
      <c r="B322" s="346" t="s">
        <v>1080</v>
      </c>
      <c r="C322" s="346" t="s">
        <v>1081</v>
      </c>
    </row>
    <row r="323" spans="1:3">
      <c r="A323" s="347">
        <v>46090</v>
      </c>
      <c r="B323" s="346" t="s">
        <v>1082</v>
      </c>
      <c r="C323" s="346" t="s">
        <v>1083</v>
      </c>
    </row>
    <row r="324" spans="1:3">
      <c r="A324" s="347">
        <v>46090</v>
      </c>
      <c r="B324" s="346" t="s">
        <v>1084</v>
      </c>
      <c r="C324" s="346" t="s">
        <v>1085</v>
      </c>
    </row>
    <row r="325" spans="1:3">
      <c r="A325" s="347">
        <v>46090</v>
      </c>
      <c r="B325" s="346" t="s">
        <v>1086</v>
      </c>
      <c r="C325" s="346" t="s">
        <v>1087</v>
      </c>
    </row>
    <row r="326" spans="1:3">
      <c r="A326" s="347">
        <v>46090</v>
      </c>
      <c r="B326" s="346" t="s">
        <v>1088</v>
      </c>
      <c r="C326" s="346" t="s">
        <v>1089</v>
      </c>
    </row>
    <row r="327" spans="1:3">
      <c r="A327" s="347">
        <v>46090</v>
      </c>
      <c r="B327" s="346" t="s">
        <v>1090</v>
      </c>
      <c r="C327" s="346" t="s">
        <v>1091</v>
      </c>
    </row>
    <row r="328" spans="1:3">
      <c r="A328" s="347">
        <v>46090</v>
      </c>
      <c r="B328" s="346" t="s">
        <v>1092</v>
      </c>
      <c r="C328" s="346" t="s">
        <v>1093</v>
      </c>
    </row>
    <row r="329" spans="1:3">
      <c r="A329" s="347">
        <v>46090</v>
      </c>
      <c r="B329" s="346" t="s">
        <v>1094</v>
      </c>
      <c r="C329" s="346" t="s">
        <v>1095</v>
      </c>
    </row>
    <row r="330" spans="1:3">
      <c r="A330" s="347">
        <v>46090</v>
      </c>
      <c r="B330" s="346" t="s">
        <v>1096</v>
      </c>
      <c r="C330" s="346" t="s">
        <v>1097</v>
      </c>
    </row>
    <row r="331" spans="1:3">
      <c r="A331" s="347">
        <v>46090</v>
      </c>
      <c r="B331" s="346" t="s">
        <v>1098</v>
      </c>
      <c r="C331" s="346" t="s">
        <v>11030</v>
      </c>
    </row>
    <row r="332" spans="1:3">
      <c r="A332" s="347">
        <v>46090</v>
      </c>
      <c r="B332" s="346" t="s">
        <v>1099</v>
      </c>
      <c r="C332" s="346" t="s">
        <v>1100</v>
      </c>
    </row>
    <row r="333" spans="1:3">
      <c r="A333" s="347">
        <v>46090</v>
      </c>
      <c r="B333" s="346" t="s">
        <v>1101</v>
      </c>
      <c r="C333" s="346" t="s">
        <v>1102</v>
      </c>
    </row>
    <row r="334" spans="1:3">
      <c r="A334" s="347">
        <v>46090</v>
      </c>
      <c r="B334" s="346" t="s">
        <v>1103</v>
      </c>
      <c r="C334" s="346" t="s">
        <v>1104</v>
      </c>
    </row>
    <row r="335" spans="1:3">
      <c r="A335" s="347">
        <v>46090</v>
      </c>
      <c r="B335" s="346" t="s">
        <v>1105</v>
      </c>
      <c r="C335" s="346" t="s">
        <v>1106</v>
      </c>
    </row>
    <row r="336" spans="1:3">
      <c r="A336" s="347">
        <v>46090</v>
      </c>
      <c r="B336" s="346" t="s">
        <v>1107</v>
      </c>
      <c r="C336" s="346" t="s">
        <v>1108</v>
      </c>
    </row>
    <row r="337" spans="1:3">
      <c r="A337" s="347">
        <v>46090</v>
      </c>
      <c r="B337" s="346" t="s">
        <v>1109</v>
      </c>
      <c r="C337" s="346" t="s">
        <v>1110</v>
      </c>
    </row>
    <row r="338" spans="1:3">
      <c r="A338" s="347">
        <v>46090</v>
      </c>
      <c r="B338" s="346" t="s">
        <v>1111</v>
      </c>
      <c r="C338" s="346" t="s">
        <v>1112</v>
      </c>
    </row>
    <row r="339" spans="1:3">
      <c r="A339" s="347">
        <v>46090</v>
      </c>
      <c r="B339" s="346" t="s">
        <v>1113</v>
      </c>
      <c r="C339" s="346" t="s">
        <v>1114</v>
      </c>
    </row>
    <row r="340" spans="1:3">
      <c r="A340" s="347">
        <v>46090</v>
      </c>
      <c r="B340" s="346" t="s">
        <v>1115</v>
      </c>
      <c r="C340" s="346" t="s">
        <v>1116</v>
      </c>
    </row>
    <row r="341" spans="1:3">
      <c r="A341" s="347">
        <v>46090</v>
      </c>
      <c r="B341" s="346" t="s">
        <v>1117</v>
      </c>
      <c r="C341" s="346" t="s">
        <v>1118</v>
      </c>
    </row>
    <row r="342" spans="1:3">
      <c r="A342" s="347">
        <v>46090</v>
      </c>
      <c r="B342" s="346" t="s">
        <v>1119</v>
      </c>
      <c r="C342" s="346" t="s">
        <v>1120</v>
      </c>
    </row>
    <row r="343" spans="1:3">
      <c r="A343" s="347">
        <v>46090</v>
      </c>
      <c r="B343" s="346" t="s">
        <v>1121</v>
      </c>
      <c r="C343" s="346" t="s">
        <v>10516</v>
      </c>
    </row>
    <row r="344" spans="1:3">
      <c r="A344" s="347">
        <v>46090</v>
      </c>
      <c r="B344" s="346" t="s">
        <v>1122</v>
      </c>
      <c r="C344" s="346" t="s">
        <v>1123</v>
      </c>
    </row>
    <row r="345" spans="1:3">
      <c r="A345" s="347">
        <v>46090</v>
      </c>
      <c r="B345" s="346" t="s">
        <v>1124</v>
      </c>
      <c r="C345" s="346" t="s">
        <v>1125</v>
      </c>
    </row>
    <row r="346" spans="1:3">
      <c r="A346" s="347">
        <v>46090</v>
      </c>
      <c r="B346" s="346" t="s">
        <v>1126</v>
      </c>
      <c r="C346" s="346" t="s">
        <v>1127</v>
      </c>
    </row>
    <row r="347" spans="1:3">
      <c r="A347" s="347">
        <v>46090</v>
      </c>
      <c r="B347" s="346" t="s">
        <v>1128</v>
      </c>
      <c r="C347" s="346" t="s">
        <v>1129</v>
      </c>
    </row>
    <row r="348" spans="1:3">
      <c r="A348" s="347">
        <v>46090</v>
      </c>
      <c r="B348" s="346" t="s">
        <v>1130</v>
      </c>
      <c r="C348" s="346" t="s">
        <v>1131</v>
      </c>
    </row>
    <row r="349" spans="1:3">
      <c r="A349" s="347">
        <v>46090</v>
      </c>
      <c r="B349" s="346" t="s">
        <v>1132</v>
      </c>
      <c r="C349" s="346" t="s">
        <v>1133</v>
      </c>
    </row>
    <row r="350" spans="1:3">
      <c r="A350" s="347">
        <v>46090</v>
      </c>
      <c r="B350" s="346" t="s">
        <v>1134</v>
      </c>
      <c r="C350" s="346" t="s">
        <v>1135</v>
      </c>
    </row>
    <row r="351" spans="1:3">
      <c r="A351" s="347">
        <v>46090</v>
      </c>
      <c r="B351" s="346" t="s">
        <v>1136</v>
      </c>
      <c r="C351" s="346" t="s">
        <v>1137</v>
      </c>
    </row>
    <row r="352" spans="1:3">
      <c r="A352" s="347">
        <v>46090</v>
      </c>
      <c r="B352" s="346" t="s">
        <v>1138</v>
      </c>
      <c r="C352" s="346" t="s">
        <v>1139</v>
      </c>
    </row>
    <row r="353" spans="1:3">
      <c r="A353" s="347">
        <v>46090</v>
      </c>
      <c r="B353" s="346" t="s">
        <v>1140</v>
      </c>
      <c r="C353" s="346" t="s">
        <v>1141</v>
      </c>
    </row>
    <row r="354" spans="1:3">
      <c r="A354" s="347">
        <v>46090</v>
      </c>
      <c r="B354" s="346" t="s">
        <v>1142</v>
      </c>
      <c r="C354" s="346" t="s">
        <v>10517</v>
      </c>
    </row>
    <row r="355" spans="1:3">
      <c r="A355" s="347">
        <v>46090</v>
      </c>
      <c r="B355" s="346" t="s">
        <v>1143</v>
      </c>
      <c r="C355" s="346" t="s">
        <v>1144</v>
      </c>
    </row>
    <row r="356" spans="1:3">
      <c r="A356" s="347">
        <v>46090</v>
      </c>
      <c r="B356" s="346" t="s">
        <v>1145</v>
      </c>
      <c r="C356" s="346" t="s">
        <v>1146</v>
      </c>
    </row>
    <row r="357" spans="1:3">
      <c r="A357" s="347">
        <v>46090</v>
      </c>
      <c r="B357" s="346" t="s">
        <v>1147</v>
      </c>
      <c r="C357" s="346" t="s">
        <v>11031</v>
      </c>
    </row>
    <row r="358" spans="1:3">
      <c r="A358" s="347">
        <v>46090</v>
      </c>
      <c r="B358" s="346" t="s">
        <v>1148</v>
      </c>
      <c r="C358" s="346" t="s">
        <v>1149</v>
      </c>
    </row>
    <row r="359" spans="1:3">
      <c r="A359" s="347">
        <v>46090</v>
      </c>
      <c r="B359" s="346" t="s">
        <v>1150</v>
      </c>
      <c r="C359" s="346" t="s">
        <v>1151</v>
      </c>
    </row>
    <row r="360" spans="1:3">
      <c r="A360" s="347">
        <v>46090</v>
      </c>
      <c r="B360" s="346" t="s">
        <v>1152</v>
      </c>
      <c r="C360" s="346" t="s">
        <v>1153</v>
      </c>
    </row>
    <row r="361" spans="1:3">
      <c r="A361" s="347">
        <v>46090</v>
      </c>
      <c r="B361" s="346" t="s">
        <v>1154</v>
      </c>
      <c r="C361" s="346" t="s">
        <v>1155</v>
      </c>
    </row>
    <row r="362" spans="1:3">
      <c r="A362" s="347">
        <v>46090</v>
      </c>
      <c r="B362" s="346" t="s">
        <v>1156</v>
      </c>
      <c r="C362" s="346" t="s">
        <v>1157</v>
      </c>
    </row>
    <row r="363" spans="1:3">
      <c r="A363" s="347">
        <v>46090</v>
      </c>
      <c r="B363" s="346" t="s">
        <v>1158</v>
      </c>
      <c r="C363" s="346" t="s">
        <v>1159</v>
      </c>
    </row>
    <row r="364" spans="1:3">
      <c r="A364" s="347">
        <v>46090</v>
      </c>
      <c r="B364" s="346" t="s">
        <v>1160</v>
      </c>
      <c r="C364" s="346" t="s">
        <v>1161</v>
      </c>
    </row>
    <row r="365" spans="1:3">
      <c r="A365" s="347">
        <v>46090</v>
      </c>
      <c r="B365" s="346" t="s">
        <v>1162</v>
      </c>
      <c r="C365" s="346" t="s">
        <v>1163</v>
      </c>
    </row>
    <row r="366" spans="1:3">
      <c r="A366" s="347">
        <v>46090</v>
      </c>
      <c r="B366" s="346" t="s">
        <v>1164</v>
      </c>
      <c r="C366" s="346" t="s">
        <v>1165</v>
      </c>
    </row>
    <row r="367" spans="1:3">
      <c r="A367" s="347">
        <v>46090</v>
      </c>
      <c r="B367" s="346" t="s">
        <v>1166</v>
      </c>
      <c r="C367" s="346" t="s">
        <v>1167</v>
      </c>
    </row>
    <row r="368" spans="1:3">
      <c r="A368" s="347">
        <v>46090</v>
      </c>
      <c r="B368" s="346" t="s">
        <v>1168</v>
      </c>
      <c r="C368" s="346" t="s">
        <v>1169</v>
      </c>
    </row>
    <row r="369" spans="1:3">
      <c r="A369" s="347">
        <v>46090</v>
      </c>
      <c r="B369" s="346" t="s">
        <v>1170</v>
      </c>
      <c r="C369" s="346" t="s">
        <v>1171</v>
      </c>
    </row>
    <row r="370" spans="1:3">
      <c r="A370" s="347">
        <v>46090</v>
      </c>
      <c r="B370" s="346" t="s">
        <v>1172</v>
      </c>
      <c r="C370" s="346" t="s">
        <v>1173</v>
      </c>
    </row>
    <row r="371" spans="1:3">
      <c r="A371" s="347">
        <v>46090</v>
      </c>
      <c r="B371" s="346" t="s">
        <v>1174</v>
      </c>
      <c r="C371" s="346" t="s">
        <v>1175</v>
      </c>
    </row>
    <row r="372" spans="1:3">
      <c r="A372" s="347">
        <v>46090</v>
      </c>
      <c r="B372" s="346" t="s">
        <v>1176</v>
      </c>
      <c r="C372" s="346" t="s">
        <v>1177</v>
      </c>
    </row>
    <row r="373" spans="1:3">
      <c r="A373" s="347">
        <v>46090</v>
      </c>
      <c r="B373" s="346" t="s">
        <v>1178</v>
      </c>
      <c r="C373" s="346" t="s">
        <v>1179</v>
      </c>
    </row>
    <row r="374" spans="1:3">
      <c r="A374" s="347">
        <v>46090</v>
      </c>
      <c r="B374" s="346" t="s">
        <v>1180</v>
      </c>
      <c r="C374" s="346" t="s">
        <v>10518</v>
      </c>
    </row>
    <row r="375" spans="1:3">
      <c r="A375" s="347">
        <v>46090</v>
      </c>
      <c r="B375" s="346" t="s">
        <v>1181</v>
      </c>
      <c r="C375" s="346" t="s">
        <v>1182</v>
      </c>
    </row>
    <row r="376" spans="1:3">
      <c r="A376" s="347">
        <v>46090</v>
      </c>
      <c r="B376" s="346" t="s">
        <v>1183</v>
      </c>
      <c r="C376" s="346" t="s">
        <v>1184</v>
      </c>
    </row>
    <row r="377" spans="1:3">
      <c r="A377" s="347">
        <v>46090</v>
      </c>
      <c r="B377" s="346" t="s">
        <v>1185</v>
      </c>
      <c r="C377" s="346" t="s">
        <v>1186</v>
      </c>
    </row>
    <row r="378" spans="1:3">
      <c r="A378" s="347">
        <v>46090</v>
      </c>
      <c r="B378" s="346" t="s">
        <v>1187</v>
      </c>
      <c r="C378" s="346" t="s">
        <v>1188</v>
      </c>
    </row>
    <row r="379" spans="1:3">
      <c r="A379" s="347">
        <v>46090</v>
      </c>
      <c r="B379" s="346" t="s">
        <v>1189</v>
      </c>
      <c r="C379" s="346" t="s">
        <v>1190</v>
      </c>
    </row>
    <row r="380" spans="1:3">
      <c r="A380" s="347">
        <v>46090</v>
      </c>
      <c r="B380" s="346" t="s">
        <v>1191</v>
      </c>
      <c r="C380" s="346" t="s">
        <v>1192</v>
      </c>
    </row>
    <row r="381" spans="1:3">
      <c r="A381" s="347">
        <v>46090</v>
      </c>
      <c r="B381" s="346" t="s">
        <v>1193</v>
      </c>
      <c r="C381" s="346" t="s">
        <v>1194</v>
      </c>
    </row>
    <row r="382" spans="1:3">
      <c r="A382" s="347">
        <v>46090</v>
      </c>
      <c r="B382" s="346" t="s">
        <v>1195</v>
      </c>
      <c r="C382" s="346" t="s">
        <v>1196</v>
      </c>
    </row>
    <row r="383" spans="1:3">
      <c r="A383" s="347">
        <v>46090</v>
      </c>
      <c r="B383" s="346" t="s">
        <v>1197</v>
      </c>
      <c r="C383" s="346" t="s">
        <v>1198</v>
      </c>
    </row>
    <row r="384" spans="1:3">
      <c r="A384" s="347">
        <v>46090</v>
      </c>
      <c r="B384" s="346" t="s">
        <v>1199</v>
      </c>
      <c r="C384" s="346" t="s">
        <v>1200</v>
      </c>
    </row>
    <row r="385" spans="1:3">
      <c r="A385" s="347">
        <v>46090</v>
      </c>
      <c r="B385" s="346" t="s">
        <v>1201</v>
      </c>
      <c r="C385" s="346" t="s">
        <v>1202</v>
      </c>
    </row>
    <row r="386" spans="1:3">
      <c r="A386" s="347">
        <v>46090</v>
      </c>
      <c r="B386" s="346" t="s">
        <v>1203</v>
      </c>
      <c r="C386" s="346" t="s">
        <v>1204</v>
      </c>
    </row>
    <row r="387" spans="1:3">
      <c r="A387" s="347">
        <v>46090</v>
      </c>
      <c r="B387" s="346" t="s">
        <v>1205</v>
      </c>
      <c r="C387" s="346" t="s">
        <v>1206</v>
      </c>
    </row>
    <row r="388" spans="1:3">
      <c r="A388" s="347">
        <v>46090</v>
      </c>
      <c r="B388" s="346" t="s">
        <v>1207</v>
      </c>
      <c r="C388" s="346" t="s">
        <v>1208</v>
      </c>
    </row>
    <row r="389" spans="1:3">
      <c r="A389" s="347">
        <v>46090</v>
      </c>
      <c r="B389" s="346" t="s">
        <v>1209</v>
      </c>
      <c r="C389" s="346" t="s">
        <v>1210</v>
      </c>
    </row>
    <row r="390" spans="1:3">
      <c r="A390" s="347">
        <v>46090</v>
      </c>
      <c r="B390" s="346" t="s">
        <v>1211</v>
      </c>
      <c r="C390" s="346" t="s">
        <v>1212</v>
      </c>
    </row>
    <row r="391" spans="1:3">
      <c r="A391" s="347">
        <v>46090</v>
      </c>
      <c r="B391" s="346" t="s">
        <v>1213</v>
      </c>
      <c r="C391" s="346" t="s">
        <v>1214</v>
      </c>
    </row>
    <row r="392" spans="1:3">
      <c r="A392" s="347">
        <v>46090</v>
      </c>
      <c r="B392" s="346" t="s">
        <v>1215</v>
      </c>
      <c r="C392" s="346" t="s">
        <v>1216</v>
      </c>
    </row>
    <row r="393" spans="1:3">
      <c r="A393" s="347">
        <v>46090</v>
      </c>
      <c r="B393" s="346" t="s">
        <v>1217</v>
      </c>
      <c r="C393" s="346" t="s">
        <v>1218</v>
      </c>
    </row>
    <row r="394" spans="1:3">
      <c r="A394" s="347">
        <v>46090</v>
      </c>
      <c r="B394" s="346" t="s">
        <v>1219</v>
      </c>
      <c r="C394" s="346" t="s">
        <v>1220</v>
      </c>
    </row>
    <row r="395" spans="1:3">
      <c r="A395" s="347">
        <v>46090</v>
      </c>
      <c r="B395" s="346" t="s">
        <v>1221</v>
      </c>
      <c r="C395" s="346" t="s">
        <v>1222</v>
      </c>
    </row>
    <row r="396" spans="1:3">
      <c r="A396" s="347">
        <v>46090</v>
      </c>
      <c r="B396" s="346" t="s">
        <v>1223</v>
      </c>
      <c r="C396" s="346" t="s">
        <v>1224</v>
      </c>
    </row>
    <row r="397" spans="1:3">
      <c r="A397" s="347">
        <v>46090</v>
      </c>
      <c r="B397" s="346" t="s">
        <v>1225</v>
      </c>
      <c r="C397" s="346" t="s">
        <v>1226</v>
      </c>
    </row>
    <row r="398" spans="1:3">
      <c r="A398" s="347">
        <v>46090</v>
      </c>
      <c r="B398" s="346" t="s">
        <v>1227</v>
      </c>
      <c r="C398" s="346" t="s">
        <v>1228</v>
      </c>
    </row>
    <row r="399" spans="1:3">
      <c r="A399" s="347">
        <v>46090</v>
      </c>
      <c r="B399" s="346" t="s">
        <v>1229</v>
      </c>
      <c r="C399" s="346" t="s">
        <v>1230</v>
      </c>
    </row>
    <row r="400" spans="1:3">
      <c r="A400" s="347">
        <v>46090</v>
      </c>
      <c r="B400" s="346" t="s">
        <v>1231</v>
      </c>
      <c r="C400" s="346" t="s">
        <v>1232</v>
      </c>
    </row>
    <row r="401" spans="1:3">
      <c r="A401" s="347">
        <v>46090</v>
      </c>
      <c r="B401" s="346" t="s">
        <v>1233</v>
      </c>
      <c r="C401" s="346" t="s">
        <v>1234</v>
      </c>
    </row>
    <row r="402" spans="1:3">
      <c r="A402" s="347">
        <v>46090</v>
      </c>
      <c r="B402" s="346" t="s">
        <v>1235</v>
      </c>
      <c r="C402" s="346" t="s">
        <v>10519</v>
      </c>
    </row>
    <row r="403" spans="1:3">
      <c r="A403" s="347">
        <v>46090</v>
      </c>
      <c r="B403" s="346" t="s">
        <v>1236</v>
      </c>
      <c r="C403" s="346" t="s">
        <v>1237</v>
      </c>
    </row>
    <row r="404" spans="1:3">
      <c r="A404" s="347">
        <v>46090</v>
      </c>
      <c r="B404" s="346" t="s">
        <v>1238</v>
      </c>
      <c r="C404" s="346" t="s">
        <v>10520</v>
      </c>
    </row>
    <row r="405" spans="1:3">
      <c r="A405" s="347">
        <v>46090</v>
      </c>
      <c r="B405" s="346" t="s">
        <v>1239</v>
      </c>
      <c r="C405" s="346" t="s">
        <v>1240</v>
      </c>
    </row>
    <row r="406" spans="1:3">
      <c r="A406" s="347">
        <v>46090</v>
      </c>
      <c r="B406" s="346" t="s">
        <v>1241</v>
      </c>
      <c r="C406" s="346" t="s">
        <v>1242</v>
      </c>
    </row>
    <row r="407" spans="1:3">
      <c r="A407" s="347">
        <v>46090</v>
      </c>
      <c r="B407" s="346" t="s">
        <v>1243</v>
      </c>
      <c r="C407" s="346" t="s">
        <v>1244</v>
      </c>
    </row>
    <row r="408" spans="1:3">
      <c r="A408" s="347">
        <v>46090</v>
      </c>
      <c r="B408" s="346" t="s">
        <v>1245</v>
      </c>
      <c r="C408" s="346" t="s">
        <v>1246</v>
      </c>
    </row>
    <row r="409" spans="1:3">
      <c r="A409" s="347">
        <v>46090</v>
      </c>
      <c r="B409" s="346" t="s">
        <v>1247</v>
      </c>
      <c r="C409" s="346" t="s">
        <v>1248</v>
      </c>
    </row>
    <row r="410" spans="1:3">
      <c r="A410" s="347">
        <v>46090</v>
      </c>
      <c r="B410" s="346" t="s">
        <v>1249</v>
      </c>
      <c r="C410" s="346" t="s">
        <v>1250</v>
      </c>
    </row>
    <row r="411" spans="1:3">
      <c r="A411" s="347">
        <v>46090</v>
      </c>
      <c r="B411" s="346" t="s">
        <v>1251</v>
      </c>
      <c r="C411" s="346" t="s">
        <v>1252</v>
      </c>
    </row>
    <row r="412" spans="1:3">
      <c r="A412" s="347">
        <v>46090</v>
      </c>
      <c r="B412" s="346" t="s">
        <v>1253</v>
      </c>
      <c r="C412" s="346" t="s">
        <v>1254</v>
      </c>
    </row>
    <row r="413" spans="1:3">
      <c r="A413" s="347">
        <v>46090</v>
      </c>
      <c r="B413" s="346" t="s">
        <v>1255</v>
      </c>
      <c r="C413" s="346" t="s">
        <v>1256</v>
      </c>
    </row>
    <row r="414" spans="1:3">
      <c r="A414" s="347">
        <v>46090</v>
      </c>
      <c r="B414" s="346" t="s">
        <v>1257</v>
      </c>
      <c r="C414" s="346" t="s">
        <v>1258</v>
      </c>
    </row>
    <row r="415" spans="1:3">
      <c r="A415" s="347">
        <v>46090</v>
      </c>
      <c r="B415" s="346" t="s">
        <v>1259</v>
      </c>
      <c r="C415" s="346" t="s">
        <v>1260</v>
      </c>
    </row>
    <row r="416" spans="1:3">
      <c r="A416" s="347">
        <v>46090</v>
      </c>
      <c r="B416" s="346" t="s">
        <v>1261</v>
      </c>
      <c r="C416" s="346" t="s">
        <v>1262</v>
      </c>
    </row>
    <row r="417" spans="1:3">
      <c r="A417" s="347">
        <v>46090</v>
      </c>
      <c r="B417" s="346" t="s">
        <v>1263</v>
      </c>
      <c r="C417" s="346" t="s">
        <v>1264</v>
      </c>
    </row>
    <row r="418" spans="1:3">
      <c r="A418" s="347">
        <v>46090</v>
      </c>
      <c r="B418" s="346" t="s">
        <v>1265</v>
      </c>
      <c r="C418" s="346" t="s">
        <v>1266</v>
      </c>
    </row>
    <row r="419" spans="1:3">
      <c r="A419" s="347">
        <v>46090</v>
      </c>
      <c r="B419" s="346" t="s">
        <v>1267</v>
      </c>
      <c r="C419" s="346" t="s">
        <v>1268</v>
      </c>
    </row>
    <row r="420" spans="1:3">
      <c r="A420" s="347">
        <v>46090</v>
      </c>
      <c r="B420" s="346" t="s">
        <v>1269</v>
      </c>
      <c r="C420" s="346" t="s">
        <v>1270</v>
      </c>
    </row>
    <row r="421" spans="1:3">
      <c r="A421" s="347">
        <v>46090</v>
      </c>
      <c r="B421" s="346" t="s">
        <v>1271</v>
      </c>
      <c r="C421" s="346" t="s">
        <v>1272</v>
      </c>
    </row>
    <row r="422" spans="1:3">
      <c r="A422" s="347">
        <v>46090</v>
      </c>
      <c r="B422" s="346" t="s">
        <v>1273</v>
      </c>
      <c r="C422" s="346" t="s">
        <v>1274</v>
      </c>
    </row>
    <row r="423" spans="1:3">
      <c r="A423" s="347">
        <v>46090</v>
      </c>
      <c r="B423" s="346" t="s">
        <v>1275</v>
      </c>
      <c r="C423" s="346" t="s">
        <v>1276</v>
      </c>
    </row>
    <row r="424" spans="1:3">
      <c r="A424" s="347">
        <v>46090</v>
      </c>
      <c r="B424" s="346" t="s">
        <v>1277</v>
      </c>
      <c r="C424" s="346" t="s">
        <v>1278</v>
      </c>
    </row>
    <row r="425" spans="1:3">
      <c r="A425" s="347">
        <v>46090</v>
      </c>
      <c r="B425" s="346" t="s">
        <v>1279</v>
      </c>
      <c r="C425" s="346" t="s">
        <v>1280</v>
      </c>
    </row>
    <row r="426" spans="1:3">
      <c r="A426" s="347">
        <v>46090</v>
      </c>
      <c r="B426" s="346" t="s">
        <v>1281</v>
      </c>
      <c r="C426" s="346" t="s">
        <v>1282</v>
      </c>
    </row>
    <row r="427" spans="1:3">
      <c r="A427" s="347">
        <v>46090</v>
      </c>
      <c r="B427" s="346" t="s">
        <v>1283</v>
      </c>
      <c r="C427" s="346" t="s">
        <v>1284</v>
      </c>
    </row>
    <row r="428" spans="1:3">
      <c r="A428" s="347">
        <v>46090</v>
      </c>
      <c r="B428" s="346" t="s">
        <v>1285</v>
      </c>
      <c r="C428" s="346" t="s">
        <v>1286</v>
      </c>
    </row>
    <row r="429" spans="1:3">
      <c r="A429" s="347">
        <v>46090</v>
      </c>
      <c r="B429" s="346" t="s">
        <v>1287</v>
      </c>
      <c r="C429" s="346" t="s">
        <v>1288</v>
      </c>
    </row>
    <row r="430" spans="1:3">
      <c r="A430" s="347">
        <v>46090</v>
      </c>
      <c r="B430" s="346" t="s">
        <v>1289</v>
      </c>
      <c r="C430" s="346" t="s">
        <v>1290</v>
      </c>
    </row>
    <row r="431" spans="1:3">
      <c r="A431" s="347">
        <v>46090</v>
      </c>
      <c r="B431" s="346" t="s">
        <v>1291</v>
      </c>
      <c r="C431" s="346" t="s">
        <v>1292</v>
      </c>
    </row>
    <row r="432" spans="1:3">
      <c r="A432" s="347">
        <v>46090</v>
      </c>
      <c r="B432" s="346" t="s">
        <v>1293</v>
      </c>
      <c r="C432" s="346" t="s">
        <v>1294</v>
      </c>
    </row>
    <row r="433" spans="1:3">
      <c r="A433" s="347">
        <v>46090</v>
      </c>
      <c r="B433" s="346" t="s">
        <v>1295</v>
      </c>
      <c r="C433" s="346" t="s">
        <v>1296</v>
      </c>
    </row>
    <row r="434" spans="1:3">
      <c r="A434" s="347">
        <v>46090</v>
      </c>
      <c r="B434" s="346" t="s">
        <v>1297</v>
      </c>
      <c r="C434" s="346" t="s">
        <v>1298</v>
      </c>
    </row>
    <row r="435" spans="1:3">
      <c r="A435" s="347">
        <v>46090</v>
      </c>
      <c r="B435" s="346" t="s">
        <v>1299</v>
      </c>
      <c r="C435" s="346" t="s">
        <v>1300</v>
      </c>
    </row>
    <row r="436" spans="1:3">
      <c r="A436" s="347">
        <v>46090</v>
      </c>
      <c r="B436" s="346" t="s">
        <v>1301</v>
      </c>
      <c r="C436" s="346" t="s">
        <v>1302</v>
      </c>
    </row>
    <row r="437" spans="1:3">
      <c r="A437" s="347">
        <v>46090</v>
      </c>
      <c r="B437" s="346" t="s">
        <v>11032</v>
      </c>
      <c r="C437" s="346" t="s">
        <v>11033</v>
      </c>
    </row>
    <row r="438" spans="1:3">
      <c r="A438" s="347">
        <v>46090</v>
      </c>
      <c r="B438" s="346" t="s">
        <v>10521</v>
      </c>
      <c r="C438" s="346" t="s">
        <v>10522</v>
      </c>
    </row>
    <row r="439" spans="1:3">
      <c r="A439" s="347">
        <v>46090</v>
      </c>
      <c r="B439" s="346" t="s">
        <v>1303</v>
      </c>
      <c r="C439" s="346" t="s">
        <v>1304</v>
      </c>
    </row>
    <row r="440" spans="1:3">
      <c r="A440" s="347">
        <v>46090</v>
      </c>
      <c r="B440" s="346" t="s">
        <v>1305</v>
      </c>
      <c r="C440" s="346" t="s">
        <v>1306</v>
      </c>
    </row>
    <row r="441" spans="1:3">
      <c r="A441" s="347">
        <v>46090</v>
      </c>
      <c r="B441" s="346" t="s">
        <v>1307</v>
      </c>
      <c r="C441" s="346" t="s">
        <v>1308</v>
      </c>
    </row>
    <row r="442" spans="1:3">
      <c r="A442" s="347">
        <v>46090</v>
      </c>
      <c r="B442" s="346" t="s">
        <v>1309</v>
      </c>
      <c r="C442" s="346" t="s">
        <v>1310</v>
      </c>
    </row>
    <row r="443" spans="1:3">
      <c r="A443" s="347">
        <v>46090</v>
      </c>
      <c r="B443" s="346" t="s">
        <v>1311</v>
      </c>
      <c r="C443" s="346" t="s">
        <v>1312</v>
      </c>
    </row>
    <row r="444" spans="1:3">
      <c r="A444" s="347">
        <v>46090</v>
      </c>
      <c r="B444" s="346" t="s">
        <v>1313</v>
      </c>
      <c r="C444" s="346" t="s">
        <v>1314</v>
      </c>
    </row>
    <row r="445" spans="1:3">
      <c r="A445" s="347">
        <v>46090</v>
      </c>
      <c r="B445" s="346" t="s">
        <v>1315</v>
      </c>
      <c r="C445" s="346" t="s">
        <v>1316</v>
      </c>
    </row>
    <row r="446" spans="1:3">
      <c r="A446" s="347">
        <v>46090</v>
      </c>
      <c r="B446" s="346" t="s">
        <v>1317</v>
      </c>
      <c r="C446" s="346" t="s">
        <v>1318</v>
      </c>
    </row>
    <row r="447" spans="1:3">
      <c r="A447" s="347">
        <v>46090</v>
      </c>
      <c r="B447" s="346" t="s">
        <v>1319</v>
      </c>
      <c r="C447" s="346" t="s">
        <v>1320</v>
      </c>
    </row>
    <row r="448" spans="1:3">
      <c r="A448" s="347">
        <v>46090</v>
      </c>
      <c r="B448" s="346" t="s">
        <v>11034</v>
      </c>
      <c r="C448" s="346" t="s">
        <v>11035</v>
      </c>
    </row>
    <row r="449" spans="1:3">
      <c r="A449" s="347">
        <v>46090</v>
      </c>
      <c r="B449" s="346" t="s">
        <v>1321</v>
      </c>
      <c r="C449" s="346" t="s">
        <v>1322</v>
      </c>
    </row>
    <row r="450" spans="1:3">
      <c r="A450" s="347">
        <v>46090</v>
      </c>
      <c r="B450" s="346" t="s">
        <v>1323</v>
      </c>
      <c r="C450" s="346" t="s">
        <v>1324</v>
      </c>
    </row>
    <row r="451" spans="1:3">
      <c r="A451" s="347">
        <v>46090</v>
      </c>
      <c r="B451" s="346" t="s">
        <v>1325</v>
      </c>
      <c r="C451" s="346" t="s">
        <v>1326</v>
      </c>
    </row>
    <row r="452" spans="1:3">
      <c r="A452" s="347">
        <v>46090</v>
      </c>
      <c r="B452" s="346" t="s">
        <v>1327</v>
      </c>
      <c r="C452" s="346" t="s">
        <v>1328</v>
      </c>
    </row>
    <row r="453" spans="1:3">
      <c r="A453" s="347">
        <v>46090</v>
      </c>
      <c r="B453" s="346" t="s">
        <v>1329</v>
      </c>
      <c r="C453" s="346" t="s">
        <v>1330</v>
      </c>
    </row>
    <row r="454" spans="1:3">
      <c r="A454" s="347">
        <v>46090</v>
      </c>
      <c r="B454" s="346" t="s">
        <v>1331</v>
      </c>
      <c r="C454" s="346" t="s">
        <v>1332</v>
      </c>
    </row>
    <row r="455" spans="1:3">
      <c r="A455" s="347">
        <v>46090</v>
      </c>
      <c r="B455" s="346" t="s">
        <v>1333</v>
      </c>
      <c r="C455" s="346" t="s">
        <v>1334</v>
      </c>
    </row>
    <row r="456" spans="1:3">
      <c r="A456" s="347">
        <v>46090</v>
      </c>
      <c r="B456" s="346" t="s">
        <v>1335</v>
      </c>
      <c r="C456" s="346" t="s">
        <v>1336</v>
      </c>
    </row>
    <row r="457" spans="1:3">
      <c r="A457" s="347">
        <v>46090</v>
      </c>
      <c r="B457" s="346" t="s">
        <v>1337</v>
      </c>
      <c r="C457" s="346" t="s">
        <v>1338</v>
      </c>
    </row>
    <row r="458" spans="1:3">
      <c r="A458" s="347">
        <v>46090</v>
      </c>
      <c r="B458" s="346" t="s">
        <v>1339</v>
      </c>
      <c r="C458" s="346" t="s">
        <v>1340</v>
      </c>
    </row>
    <row r="459" spans="1:3">
      <c r="A459" s="347">
        <v>46090</v>
      </c>
      <c r="B459" s="346" t="s">
        <v>1341</v>
      </c>
      <c r="C459" s="346" t="s">
        <v>1342</v>
      </c>
    </row>
    <row r="460" spans="1:3">
      <c r="A460" s="347">
        <v>46090</v>
      </c>
      <c r="B460" s="346" t="s">
        <v>1343</v>
      </c>
      <c r="C460" s="346" t="s">
        <v>1344</v>
      </c>
    </row>
    <row r="461" spans="1:3">
      <c r="A461" s="347">
        <v>46090</v>
      </c>
      <c r="B461" s="346" t="s">
        <v>1345</v>
      </c>
      <c r="C461" s="346" t="s">
        <v>1346</v>
      </c>
    </row>
    <row r="462" spans="1:3">
      <c r="A462" s="347">
        <v>46090</v>
      </c>
      <c r="B462" s="346" t="s">
        <v>1347</v>
      </c>
      <c r="C462" s="346" t="s">
        <v>10523</v>
      </c>
    </row>
    <row r="463" spans="1:3">
      <c r="A463" s="347">
        <v>46090</v>
      </c>
      <c r="B463" s="346" t="s">
        <v>10524</v>
      </c>
      <c r="C463" s="346" t="s">
        <v>10525</v>
      </c>
    </row>
    <row r="464" spans="1:3">
      <c r="A464" s="347">
        <v>46090</v>
      </c>
      <c r="B464" s="346" t="s">
        <v>1348</v>
      </c>
      <c r="C464" s="346" t="s">
        <v>1349</v>
      </c>
    </row>
    <row r="465" spans="1:3">
      <c r="A465" s="347">
        <v>46090</v>
      </c>
      <c r="B465" s="346" t="s">
        <v>10526</v>
      </c>
      <c r="C465" s="346" t="s">
        <v>10527</v>
      </c>
    </row>
    <row r="466" spans="1:3">
      <c r="A466" s="347">
        <v>46090</v>
      </c>
      <c r="B466" s="346" t="s">
        <v>11036</v>
      </c>
      <c r="C466" s="346" t="s">
        <v>11037</v>
      </c>
    </row>
    <row r="467" spans="1:3">
      <c r="A467" s="347">
        <v>46090</v>
      </c>
      <c r="B467" s="346" t="s">
        <v>1350</v>
      </c>
      <c r="C467" s="346" t="s">
        <v>1351</v>
      </c>
    </row>
    <row r="468" spans="1:3">
      <c r="A468" s="347">
        <v>46090</v>
      </c>
      <c r="B468" s="346" t="s">
        <v>1352</v>
      </c>
      <c r="C468" s="346" t="s">
        <v>1353</v>
      </c>
    </row>
    <row r="469" spans="1:3">
      <c r="A469" s="347">
        <v>46090</v>
      </c>
      <c r="B469" s="346" t="s">
        <v>11038</v>
      </c>
      <c r="C469" s="346" t="s">
        <v>11039</v>
      </c>
    </row>
    <row r="470" spans="1:3">
      <c r="A470" s="347">
        <v>46090</v>
      </c>
      <c r="B470" s="346" t="s">
        <v>1354</v>
      </c>
      <c r="C470" s="346" t="s">
        <v>1355</v>
      </c>
    </row>
    <row r="471" spans="1:3">
      <c r="A471" s="347">
        <v>46090</v>
      </c>
      <c r="B471" s="346" t="s">
        <v>1356</v>
      </c>
      <c r="C471" s="346" t="s">
        <v>1357</v>
      </c>
    </row>
    <row r="472" spans="1:3">
      <c r="A472" s="347">
        <v>46090</v>
      </c>
      <c r="B472" s="346" t="s">
        <v>1358</v>
      </c>
      <c r="C472" s="346" t="s">
        <v>1359</v>
      </c>
    </row>
    <row r="473" spans="1:3">
      <c r="A473" s="347">
        <v>46090</v>
      </c>
      <c r="B473" s="346" t="s">
        <v>1360</v>
      </c>
      <c r="C473" s="346" t="s">
        <v>1361</v>
      </c>
    </row>
    <row r="474" spans="1:3">
      <c r="A474" s="347">
        <v>46090</v>
      </c>
      <c r="B474" s="346" t="s">
        <v>1362</v>
      </c>
      <c r="C474" s="346" t="s">
        <v>1363</v>
      </c>
    </row>
    <row r="475" spans="1:3">
      <c r="A475" s="347">
        <v>46090</v>
      </c>
      <c r="B475" s="346" t="s">
        <v>1364</v>
      </c>
      <c r="C475" s="346" t="s">
        <v>1365</v>
      </c>
    </row>
    <row r="476" spans="1:3">
      <c r="A476" s="347">
        <v>46090</v>
      </c>
      <c r="B476" s="346" t="s">
        <v>1366</v>
      </c>
      <c r="C476" s="346" t="s">
        <v>1367</v>
      </c>
    </row>
    <row r="477" spans="1:3">
      <c r="A477" s="347">
        <v>46090</v>
      </c>
      <c r="B477" s="346" t="s">
        <v>1368</v>
      </c>
      <c r="C477" s="346" t="s">
        <v>1369</v>
      </c>
    </row>
    <row r="478" spans="1:3">
      <c r="A478" s="347">
        <v>46090</v>
      </c>
      <c r="B478" s="346" t="s">
        <v>1370</v>
      </c>
      <c r="C478" s="346" t="s">
        <v>1371</v>
      </c>
    </row>
    <row r="479" spans="1:3">
      <c r="A479" s="347">
        <v>46090</v>
      </c>
      <c r="B479" s="346" t="s">
        <v>1372</v>
      </c>
      <c r="C479" s="346" t="s">
        <v>1373</v>
      </c>
    </row>
    <row r="480" spans="1:3">
      <c r="A480" s="347">
        <v>46090</v>
      </c>
      <c r="B480" s="346" t="s">
        <v>1374</v>
      </c>
      <c r="C480" s="346" t="s">
        <v>1375</v>
      </c>
    </row>
    <row r="481" spans="1:3">
      <c r="A481" s="347">
        <v>46090</v>
      </c>
      <c r="B481" s="346" t="s">
        <v>1376</v>
      </c>
      <c r="C481" s="346" t="s">
        <v>1377</v>
      </c>
    </row>
    <row r="482" spans="1:3">
      <c r="A482" s="347">
        <v>46090</v>
      </c>
      <c r="B482" s="346" t="s">
        <v>1378</v>
      </c>
      <c r="C482" s="346" t="s">
        <v>1379</v>
      </c>
    </row>
    <row r="483" spans="1:3">
      <c r="A483" s="347">
        <v>46090</v>
      </c>
      <c r="B483" s="346" t="s">
        <v>1380</v>
      </c>
      <c r="C483" s="346" t="s">
        <v>1381</v>
      </c>
    </row>
    <row r="484" spans="1:3">
      <c r="A484" s="347">
        <v>46090</v>
      </c>
      <c r="B484" s="346" t="s">
        <v>1382</v>
      </c>
      <c r="C484" s="346" t="s">
        <v>1383</v>
      </c>
    </row>
    <row r="485" spans="1:3">
      <c r="A485" s="347">
        <v>46090</v>
      </c>
      <c r="B485" s="346" t="s">
        <v>1384</v>
      </c>
      <c r="C485" s="346" t="s">
        <v>1385</v>
      </c>
    </row>
    <row r="486" spans="1:3">
      <c r="A486" s="347">
        <v>46090</v>
      </c>
      <c r="B486" s="346" t="s">
        <v>1386</v>
      </c>
      <c r="C486" s="346" t="s">
        <v>1387</v>
      </c>
    </row>
    <row r="487" spans="1:3">
      <c r="A487" s="347">
        <v>46090</v>
      </c>
      <c r="B487" s="346" t="s">
        <v>1388</v>
      </c>
      <c r="C487" s="346" t="s">
        <v>1389</v>
      </c>
    </row>
    <row r="488" spans="1:3">
      <c r="A488" s="347">
        <v>46090</v>
      </c>
      <c r="B488" s="346" t="s">
        <v>1390</v>
      </c>
      <c r="C488" s="346" t="s">
        <v>1391</v>
      </c>
    </row>
    <row r="489" spans="1:3">
      <c r="A489" s="347">
        <v>46090</v>
      </c>
      <c r="B489" s="346" t="s">
        <v>1392</v>
      </c>
      <c r="C489" s="346" t="s">
        <v>1393</v>
      </c>
    </row>
    <row r="490" spans="1:3">
      <c r="A490" s="347">
        <v>46090</v>
      </c>
      <c r="B490" s="346" t="s">
        <v>1394</v>
      </c>
      <c r="C490" s="346" t="s">
        <v>1395</v>
      </c>
    </row>
    <row r="491" spans="1:3">
      <c r="A491" s="347">
        <v>46090</v>
      </c>
      <c r="B491" s="346" t="s">
        <v>1396</v>
      </c>
      <c r="C491" s="346" t="s">
        <v>1397</v>
      </c>
    </row>
    <row r="492" spans="1:3">
      <c r="A492" s="347">
        <v>46090</v>
      </c>
      <c r="B492" s="346" t="s">
        <v>11040</v>
      </c>
      <c r="C492" s="346" t="s">
        <v>11041</v>
      </c>
    </row>
    <row r="493" spans="1:3">
      <c r="A493" s="347">
        <v>46090</v>
      </c>
      <c r="B493" s="346" t="s">
        <v>1398</v>
      </c>
      <c r="C493" s="346" t="s">
        <v>1399</v>
      </c>
    </row>
    <row r="494" spans="1:3">
      <c r="A494" s="347">
        <v>46090</v>
      </c>
      <c r="B494" s="346" t="s">
        <v>1400</v>
      </c>
      <c r="C494" s="346" t="s">
        <v>1401</v>
      </c>
    </row>
    <row r="495" spans="1:3">
      <c r="A495" s="347">
        <v>46090</v>
      </c>
      <c r="B495" s="346" t="s">
        <v>1402</v>
      </c>
      <c r="C495" s="346" t="s">
        <v>1403</v>
      </c>
    </row>
    <row r="496" spans="1:3">
      <c r="A496" s="347">
        <v>46090</v>
      </c>
      <c r="B496" s="346" t="s">
        <v>1404</v>
      </c>
      <c r="C496" s="346" t="s">
        <v>1405</v>
      </c>
    </row>
    <row r="497" spans="1:3">
      <c r="A497" s="347">
        <v>46090</v>
      </c>
      <c r="B497" s="346" t="s">
        <v>1406</v>
      </c>
      <c r="C497" s="346" t="s">
        <v>1407</v>
      </c>
    </row>
    <row r="498" spans="1:3">
      <c r="A498" s="347">
        <v>46090</v>
      </c>
      <c r="B498" s="346" t="s">
        <v>1408</v>
      </c>
      <c r="C498" s="346" t="s">
        <v>1409</v>
      </c>
    </row>
    <row r="499" spans="1:3">
      <c r="A499" s="347">
        <v>46090</v>
      </c>
      <c r="B499" s="346" t="s">
        <v>10528</v>
      </c>
      <c r="C499" s="346" t="s">
        <v>10529</v>
      </c>
    </row>
    <row r="500" spans="1:3">
      <c r="A500" s="347">
        <v>46090</v>
      </c>
      <c r="B500" s="346" t="s">
        <v>1410</v>
      </c>
      <c r="C500" s="346" t="s">
        <v>1411</v>
      </c>
    </row>
    <row r="501" spans="1:3">
      <c r="A501" s="347">
        <v>46090</v>
      </c>
      <c r="B501" s="346" t="s">
        <v>1412</v>
      </c>
      <c r="C501" s="346" t="s">
        <v>1413</v>
      </c>
    </row>
    <row r="502" spans="1:3">
      <c r="A502" s="347">
        <v>46090</v>
      </c>
      <c r="B502" s="346" t="s">
        <v>1414</v>
      </c>
      <c r="C502" s="346" t="s">
        <v>1415</v>
      </c>
    </row>
    <row r="503" spans="1:3">
      <c r="A503" s="347">
        <v>46090</v>
      </c>
      <c r="B503" s="346" t="s">
        <v>1416</v>
      </c>
      <c r="C503" s="346" t="s">
        <v>1417</v>
      </c>
    </row>
    <row r="504" spans="1:3">
      <c r="A504" s="347">
        <v>46090</v>
      </c>
      <c r="B504" s="346" t="s">
        <v>10530</v>
      </c>
      <c r="C504" s="346" t="s">
        <v>10531</v>
      </c>
    </row>
    <row r="505" spans="1:3">
      <c r="A505" s="347">
        <v>46090</v>
      </c>
      <c r="B505" s="346" t="s">
        <v>1418</v>
      </c>
      <c r="C505" s="346" t="s">
        <v>1419</v>
      </c>
    </row>
    <row r="506" spans="1:3">
      <c r="A506" s="347">
        <v>46090</v>
      </c>
      <c r="B506" s="346" t="s">
        <v>1420</v>
      </c>
      <c r="C506" s="346" t="s">
        <v>1421</v>
      </c>
    </row>
    <row r="507" spans="1:3">
      <c r="A507" s="347">
        <v>46090</v>
      </c>
      <c r="B507" s="346" t="s">
        <v>1422</v>
      </c>
      <c r="C507" s="346" t="s">
        <v>1423</v>
      </c>
    </row>
    <row r="508" spans="1:3">
      <c r="A508" s="347">
        <v>46090</v>
      </c>
      <c r="B508" s="346" t="s">
        <v>1424</v>
      </c>
      <c r="C508" s="346" t="s">
        <v>1425</v>
      </c>
    </row>
    <row r="509" spans="1:3">
      <c r="A509" s="347">
        <v>46090</v>
      </c>
      <c r="B509" s="346" t="s">
        <v>1426</v>
      </c>
      <c r="C509" s="346" t="s">
        <v>1427</v>
      </c>
    </row>
    <row r="510" spans="1:3">
      <c r="A510" s="347">
        <v>46090</v>
      </c>
      <c r="B510" s="346" t="s">
        <v>1428</v>
      </c>
      <c r="C510" s="346" t="s">
        <v>1429</v>
      </c>
    </row>
    <row r="511" spans="1:3">
      <c r="A511" s="347">
        <v>46090</v>
      </c>
      <c r="B511" s="346" t="s">
        <v>11042</v>
      </c>
      <c r="C511" s="346" t="s">
        <v>11043</v>
      </c>
    </row>
    <row r="512" spans="1:3">
      <c r="A512" s="347">
        <v>46090</v>
      </c>
      <c r="B512" s="346" t="s">
        <v>1430</v>
      </c>
      <c r="C512" s="346" t="s">
        <v>1431</v>
      </c>
    </row>
    <row r="513" spans="1:3">
      <c r="A513" s="347">
        <v>46090</v>
      </c>
      <c r="B513" s="346" t="s">
        <v>1432</v>
      </c>
      <c r="C513" s="346" t="s">
        <v>1433</v>
      </c>
    </row>
    <row r="514" spans="1:3">
      <c r="A514" s="347">
        <v>46090</v>
      </c>
      <c r="B514" s="346" t="s">
        <v>1434</v>
      </c>
      <c r="C514" s="346" t="s">
        <v>1435</v>
      </c>
    </row>
    <row r="515" spans="1:3">
      <c r="A515" s="347">
        <v>46090</v>
      </c>
      <c r="B515" s="346" t="s">
        <v>1436</v>
      </c>
      <c r="C515" s="346" t="s">
        <v>1437</v>
      </c>
    </row>
    <row r="516" spans="1:3">
      <c r="A516" s="347">
        <v>46090</v>
      </c>
      <c r="B516" s="346" t="s">
        <v>1438</v>
      </c>
      <c r="C516" s="346" t="s">
        <v>1439</v>
      </c>
    </row>
    <row r="517" spans="1:3">
      <c r="A517" s="347">
        <v>46090</v>
      </c>
      <c r="B517" s="346" t="s">
        <v>10532</v>
      </c>
      <c r="C517" s="346" t="s">
        <v>10533</v>
      </c>
    </row>
    <row r="518" spans="1:3">
      <c r="A518" s="347">
        <v>46090</v>
      </c>
      <c r="B518" s="346" t="s">
        <v>11044</v>
      </c>
      <c r="C518" s="346" t="s">
        <v>11045</v>
      </c>
    </row>
    <row r="519" spans="1:3">
      <c r="A519" s="347">
        <v>46090</v>
      </c>
      <c r="B519" s="346" t="s">
        <v>1440</v>
      </c>
      <c r="C519" s="346" t="s">
        <v>1441</v>
      </c>
    </row>
    <row r="520" spans="1:3">
      <c r="A520" s="347">
        <v>46090</v>
      </c>
      <c r="B520" s="346" t="s">
        <v>10534</v>
      </c>
      <c r="C520" s="346" t="s">
        <v>10535</v>
      </c>
    </row>
    <row r="521" spans="1:3">
      <c r="A521" s="347">
        <v>46090</v>
      </c>
      <c r="B521" s="346" t="s">
        <v>1442</v>
      </c>
      <c r="C521" s="346" t="s">
        <v>1443</v>
      </c>
    </row>
    <row r="522" spans="1:3">
      <c r="A522" s="347">
        <v>46090</v>
      </c>
      <c r="B522" s="346" t="s">
        <v>10536</v>
      </c>
      <c r="C522" s="346" t="s">
        <v>10537</v>
      </c>
    </row>
    <row r="523" spans="1:3">
      <c r="A523" s="347">
        <v>46090</v>
      </c>
      <c r="B523" s="346" t="s">
        <v>10538</v>
      </c>
      <c r="C523" s="346" t="s">
        <v>10539</v>
      </c>
    </row>
    <row r="524" spans="1:3">
      <c r="A524" s="347">
        <v>46090</v>
      </c>
      <c r="B524" s="346" t="s">
        <v>10540</v>
      </c>
      <c r="C524" s="346" t="s">
        <v>10541</v>
      </c>
    </row>
    <row r="525" spans="1:3">
      <c r="A525" s="347">
        <v>46090</v>
      </c>
      <c r="B525" s="346" t="s">
        <v>11046</v>
      </c>
      <c r="C525" s="346" t="s">
        <v>11047</v>
      </c>
    </row>
    <row r="526" spans="1:3">
      <c r="A526" s="347">
        <v>46090</v>
      </c>
      <c r="B526" s="346" t="s">
        <v>10542</v>
      </c>
      <c r="C526" s="346" t="s">
        <v>10543</v>
      </c>
    </row>
    <row r="527" spans="1:3">
      <c r="A527" s="347">
        <v>46090</v>
      </c>
      <c r="B527" s="346" t="s">
        <v>1444</v>
      </c>
      <c r="C527" s="346" t="s">
        <v>1445</v>
      </c>
    </row>
    <row r="528" spans="1:3">
      <c r="A528" s="347">
        <v>46090</v>
      </c>
      <c r="B528" s="346" t="s">
        <v>1446</v>
      </c>
      <c r="C528" s="346" t="s">
        <v>1447</v>
      </c>
    </row>
    <row r="529" spans="1:3">
      <c r="A529" s="347">
        <v>46090</v>
      </c>
      <c r="B529" s="346" t="s">
        <v>1448</v>
      </c>
      <c r="C529" s="346" t="s">
        <v>1449</v>
      </c>
    </row>
    <row r="530" spans="1:3">
      <c r="A530" s="347">
        <v>46090</v>
      </c>
      <c r="B530" s="346" t="s">
        <v>1450</v>
      </c>
      <c r="C530" s="346" t="s">
        <v>1451</v>
      </c>
    </row>
    <row r="531" spans="1:3">
      <c r="A531" s="347">
        <v>46090</v>
      </c>
      <c r="B531" s="346" t="s">
        <v>1452</v>
      </c>
      <c r="C531" s="346" t="s">
        <v>1453</v>
      </c>
    </row>
    <row r="532" spans="1:3">
      <c r="A532" s="347">
        <v>46090</v>
      </c>
      <c r="B532" s="346" t="s">
        <v>1454</v>
      </c>
      <c r="C532" s="346" t="s">
        <v>1455</v>
      </c>
    </row>
    <row r="533" spans="1:3">
      <c r="A533" s="347">
        <v>46090</v>
      </c>
      <c r="B533" s="346" t="s">
        <v>1456</v>
      </c>
      <c r="C533" s="346" t="s">
        <v>1457</v>
      </c>
    </row>
    <row r="534" spans="1:3">
      <c r="A534" s="347">
        <v>46090</v>
      </c>
      <c r="B534" s="346" t="s">
        <v>1458</v>
      </c>
      <c r="C534" s="346" t="s">
        <v>1459</v>
      </c>
    </row>
    <row r="535" spans="1:3">
      <c r="A535" s="347">
        <v>46090</v>
      </c>
      <c r="B535" s="346" t="s">
        <v>1460</v>
      </c>
      <c r="C535" s="346" t="s">
        <v>1461</v>
      </c>
    </row>
    <row r="536" spans="1:3">
      <c r="A536" s="347">
        <v>46090</v>
      </c>
      <c r="B536" s="346" t="s">
        <v>1462</v>
      </c>
      <c r="C536" s="346" t="s">
        <v>1463</v>
      </c>
    </row>
    <row r="537" spans="1:3">
      <c r="A537" s="347">
        <v>46090</v>
      </c>
      <c r="B537" s="346" t="s">
        <v>1464</v>
      </c>
      <c r="C537" s="346" t="s">
        <v>1465</v>
      </c>
    </row>
    <row r="538" spans="1:3">
      <c r="A538" s="347">
        <v>46090</v>
      </c>
      <c r="B538" s="346" t="s">
        <v>1466</v>
      </c>
      <c r="C538" s="346" t="s">
        <v>1467</v>
      </c>
    </row>
    <row r="539" spans="1:3">
      <c r="A539" s="347">
        <v>46090</v>
      </c>
      <c r="B539" s="346" t="s">
        <v>1468</v>
      </c>
      <c r="C539" s="346" t="s">
        <v>1469</v>
      </c>
    </row>
    <row r="540" spans="1:3">
      <c r="A540" s="347">
        <v>46090</v>
      </c>
      <c r="B540" s="346" t="s">
        <v>1470</v>
      </c>
      <c r="C540" s="346" t="s">
        <v>1471</v>
      </c>
    </row>
    <row r="541" spans="1:3">
      <c r="A541" s="347">
        <v>46090</v>
      </c>
      <c r="B541" s="346" t="s">
        <v>1472</v>
      </c>
      <c r="C541" s="346" t="s">
        <v>1473</v>
      </c>
    </row>
    <row r="542" spans="1:3">
      <c r="A542" s="347">
        <v>46090</v>
      </c>
      <c r="B542" s="346" t="s">
        <v>1474</v>
      </c>
      <c r="C542" s="346" t="s">
        <v>1475</v>
      </c>
    </row>
    <row r="543" spans="1:3">
      <c r="A543" s="347">
        <v>46090</v>
      </c>
      <c r="B543" s="346" t="s">
        <v>1476</v>
      </c>
      <c r="C543" s="346" t="s">
        <v>1477</v>
      </c>
    </row>
    <row r="544" spans="1:3">
      <c r="A544" s="347">
        <v>46090</v>
      </c>
      <c r="B544" s="346" t="s">
        <v>1478</v>
      </c>
      <c r="C544" s="346" t="s">
        <v>1479</v>
      </c>
    </row>
    <row r="545" spans="1:3">
      <c r="A545" s="347">
        <v>46090</v>
      </c>
      <c r="B545" s="346" t="s">
        <v>1480</v>
      </c>
      <c r="C545" s="346" t="s">
        <v>1481</v>
      </c>
    </row>
    <row r="546" spans="1:3">
      <c r="A546" s="347">
        <v>46090</v>
      </c>
      <c r="B546" s="346" t="s">
        <v>1482</v>
      </c>
      <c r="C546" s="346" t="s">
        <v>1483</v>
      </c>
    </row>
    <row r="547" spans="1:3">
      <c r="A547" s="347">
        <v>46090</v>
      </c>
      <c r="B547" s="346" t="s">
        <v>1484</v>
      </c>
      <c r="C547" s="346" t="s">
        <v>1485</v>
      </c>
    </row>
    <row r="548" spans="1:3">
      <c r="A548" s="347">
        <v>46090</v>
      </c>
      <c r="B548" s="346" t="s">
        <v>1486</v>
      </c>
      <c r="C548" s="346" t="s">
        <v>1487</v>
      </c>
    </row>
    <row r="549" spans="1:3">
      <c r="A549" s="347">
        <v>46090</v>
      </c>
      <c r="B549" s="346" t="s">
        <v>1488</v>
      </c>
      <c r="C549" s="346" t="s">
        <v>1489</v>
      </c>
    </row>
    <row r="550" spans="1:3">
      <c r="A550" s="347">
        <v>46090</v>
      </c>
      <c r="B550" s="346" t="s">
        <v>1490</v>
      </c>
      <c r="C550" s="346" t="s">
        <v>10544</v>
      </c>
    </row>
    <row r="551" spans="1:3">
      <c r="A551" s="347">
        <v>46090</v>
      </c>
      <c r="B551" s="346" t="s">
        <v>1491</v>
      </c>
      <c r="C551" s="346" t="s">
        <v>1492</v>
      </c>
    </row>
    <row r="552" spans="1:3">
      <c r="A552" s="347">
        <v>46090</v>
      </c>
      <c r="B552" s="346" t="s">
        <v>1493</v>
      </c>
      <c r="C552" s="346" t="s">
        <v>1494</v>
      </c>
    </row>
    <row r="553" spans="1:3">
      <c r="A553" s="347">
        <v>46090</v>
      </c>
      <c r="B553" s="346" t="s">
        <v>1495</v>
      </c>
      <c r="C553" s="346" t="s">
        <v>1496</v>
      </c>
    </row>
    <row r="554" spans="1:3">
      <c r="A554" s="347">
        <v>46090</v>
      </c>
      <c r="B554" s="346" t="s">
        <v>1497</v>
      </c>
      <c r="C554" s="346" t="s">
        <v>1498</v>
      </c>
    </row>
    <row r="555" spans="1:3">
      <c r="A555" s="347">
        <v>46090</v>
      </c>
      <c r="B555" s="346" t="s">
        <v>1499</v>
      </c>
      <c r="C555" s="346" t="s">
        <v>1500</v>
      </c>
    </row>
    <row r="556" spans="1:3">
      <c r="A556" s="347">
        <v>46090</v>
      </c>
      <c r="B556" s="346" t="s">
        <v>1501</v>
      </c>
      <c r="C556" s="346" t="s">
        <v>1502</v>
      </c>
    </row>
    <row r="557" spans="1:3">
      <c r="A557" s="347">
        <v>46090</v>
      </c>
      <c r="B557" s="346" t="s">
        <v>1503</v>
      </c>
      <c r="C557" s="346" t="s">
        <v>1504</v>
      </c>
    </row>
    <row r="558" spans="1:3">
      <c r="A558" s="347">
        <v>46090</v>
      </c>
      <c r="B558" s="346" t="s">
        <v>1505</v>
      </c>
      <c r="C558" s="346" t="s">
        <v>1506</v>
      </c>
    </row>
    <row r="559" spans="1:3">
      <c r="A559" s="347">
        <v>46090</v>
      </c>
      <c r="B559" s="346" t="s">
        <v>1507</v>
      </c>
      <c r="C559" s="346" t="s">
        <v>1508</v>
      </c>
    </row>
    <row r="560" spans="1:3">
      <c r="A560" s="347">
        <v>46090</v>
      </c>
      <c r="B560" s="346" t="s">
        <v>1509</v>
      </c>
      <c r="C560" s="346" t="s">
        <v>1510</v>
      </c>
    </row>
    <row r="561" spans="1:3">
      <c r="A561" s="347">
        <v>46090</v>
      </c>
      <c r="B561" s="346" t="s">
        <v>1511</v>
      </c>
      <c r="C561" s="346" t="s">
        <v>1512</v>
      </c>
    </row>
    <row r="562" spans="1:3">
      <c r="A562" s="347">
        <v>46090</v>
      </c>
      <c r="B562" s="346" t="s">
        <v>1513</v>
      </c>
      <c r="C562" s="346" t="s">
        <v>1514</v>
      </c>
    </row>
    <row r="563" spans="1:3">
      <c r="A563" s="347">
        <v>46090</v>
      </c>
      <c r="B563" s="346" t="s">
        <v>1515</v>
      </c>
      <c r="C563" s="346" t="s">
        <v>1516</v>
      </c>
    </row>
    <row r="564" spans="1:3">
      <c r="A564" s="347">
        <v>46090</v>
      </c>
      <c r="B564" s="346" t="s">
        <v>1517</v>
      </c>
      <c r="C564" s="346" t="s">
        <v>1518</v>
      </c>
    </row>
    <row r="565" spans="1:3">
      <c r="A565" s="347">
        <v>46090</v>
      </c>
      <c r="B565" s="346" t="s">
        <v>1519</v>
      </c>
      <c r="C565" s="346" t="s">
        <v>1520</v>
      </c>
    </row>
    <row r="566" spans="1:3">
      <c r="A566" s="347">
        <v>46090</v>
      </c>
      <c r="B566" s="346" t="s">
        <v>1521</v>
      </c>
      <c r="C566" s="346" t="s">
        <v>1522</v>
      </c>
    </row>
    <row r="567" spans="1:3">
      <c r="A567" s="347">
        <v>46090</v>
      </c>
      <c r="B567" s="346" t="s">
        <v>1523</v>
      </c>
      <c r="C567" s="346" t="s">
        <v>1524</v>
      </c>
    </row>
    <row r="568" spans="1:3">
      <c r="A568" s="347">
        <v>46090</v>
      </c>
      <c r="B568" s="346" t="s">
        <v>1525</v>
      </c>
      <c r="C568" s="346" t="s">
        <v>1526</v>
      </c>
    </row>
    <row r="569" spans="1:3">
      <c r="A569" s="347">
        <v>46090</v>
      </c>
      <c r="B569" s="346" t="s">
        <v>1527</v>
      </c>
      <c r="C569" s="346" t="s">
        <v>1528</v>
      </c>
    </row>
    <row r="570" spans="1:3">
      <c r="A570" s="347">
        <v>46090</v>
      </c>
      <c r="B570" s="346" t="s">
        <v>1529</v>
      </c>
      <c r="C570" s="346" t="s">
        <v>1530</v>
      </c>
    </row>
    <row r="571" spans="1:3">
      <c r="A571" s="347">
        <v>46090</v>
      </c>
      <c r="B571" s="346" t="s">
        <v>1531</v>
      </c>
      <c r="C571" s="346" t="s">
        <v>1532</v>
      </c>
    </row>
    <row r="572" spans="1:3">
      <c r="A572" s="347">
        <v>46090</v>
      </c>
      <c r="B572" s="346" t="s">
        <v>1533</v>
      </c>
      <c r="C572" s="346" t="s">
        <v>1534</v>
      </c>
    </row>
    <row r="573" spans="1:3">
      <c r="A573" s="347">
        <v>46090</v>
      </c>
      <c r="B573" s="346" t="s">
        <v>1535</v>
      </c>
      <c r="C573" s="346" t="s">
        <v>1536</v>
      </c>
    </row>
    <row r="574" spans="1:3">
      <c r="A574" s="347">
        <v>46090</v>
      </c>
      <c r="B574" s="346" t="s">
        <v>1537</v>
      </c>
      <c r="C574" s="346" t="s">
        <v>1538</v>
      </c>
    </row>
    <row r="575" spans="1:3">
      <c r="A575" s="347">
        <v>46090</v>
      </c>
      <c r="B575" s="346" t="s">
        <v>1539</v>
      </c>
      <c r="C575" s="346" t="s">
        <v>1540</v>
      </c>
    </row>
    <row r="576" spans="1:3">
      <c r="A576" s="347">
        <v>46090</v>
      </c>
      <c r="B576" s="346" t="s">
        <v>1541</v>
      </c>
      <c r="C576" s="346" t="s">
        <v>10545</v>
      </c>
    </row>
    <row r="577" spans="1:3">
      <c r="A577" s="347">
        <v>46090</v>
      </c>
      <c r="B577" s="346" t="s">
        <v>1542</v>
      </c>
      <c r="C577" s="346" t="s">
        <v>1543</v>
      </c>
    </row>
    <row r="578" spans="1:3">
      <c r="A578" s="347">
        <v>46090</v>
      </c>
      <c r="B578" s="346" t="s">
        <v>1544</v>
      </c>
      <c r="C578" s="346" t="s">
        <v>1545</v>
      </c>
    </row>
    <row r="579" spans="1:3">
      <c r="A579" s="347">
        <v>46090</v>
      </c>
      <c r="B579" s="346" t="s">
        <v>1546</v>
      </c>
      <c r="C579" s="346" t="s">
        <v>1547</v>
      </c>
    </row>
    <row r="580" spans="1:3">
      <c r="A580" s="347">
        <v>46090</v>
      </c>
      <c r="B580" s="346" t="s">
        <v>1548</v>
      </c>
      <c r="C580" s="346" t="s">
        <v>1549</v>
      </c>
    </row>
    <row r="581" spans="1:3">
      <c r="A581" s="347">
        <v>46090</v>
      </c>
      <c r="B581" s="346" t="s">
        <v>1550</v>
      </c>
      <c r="C581" s="346" t="s">
        <v>10546</v>
      </c>
    </row>
    <row r="582" spans="1:3">
      <c r="A582" s="347">
        <v>46090</v>
      </c>
      <c r="B582" s="346" t="s">
        <v>1551</v>
      </c>
      <c r="C582" s="346" t="s">
        <v>1552</v>
      </c>
    </row>
    <row r="583" spans="1:3">
      <c r="A583" s="347">
        <v>46090</v>
      </c>
      <c r="B583" s="346" t="s">
        <v>1553</v>
      </c>
      <c r="C583" s="346" t="s">
        <v>1554</v>
      </c>
    </row>
    <row r="584" spans="1:3">
      <c r="A584" s="347">
        <v>46090</v>
      </c>
      <c r="B584" s="346" t="s">
        <v>1555</v>
      </c>
      <c r="C584" s="346" t="s">
        <v>11048</v>
      </c>
    </row>
    <row r="585" spans="1:3">
      <c r="A585" s="347">
        <v>46090</v>
      </c>
      <c r="B585" s="346" t="s">
        <v>1556</v>
      </c>
      <c r="C585" s="346" t="s">
        <v>1557</v>
      </c>
    </row>
    <row r="586" spans="1:3">
      <c r="A586" s="347">
        <v>46090</v>
      </c>
      <c r="B586" s="346" t="s">
        <v>1558</v>
      </c>
      <c r="C586" s="346" t="s">
        <v>1559</v>
      </c>
    </row>
    <row r="587" spans="1:3">
      <c r="A587" s="347">
        <v>46090</v>
      </c>
      <c r="B587" s="346" t="s">
        <v>1560</v>
      </c>
      <c r="C587" s="346" t="s">
        <v>10547</v>
      </c>
    </row>
    <row r="588" spans="1:3">
      <c r="A588" s="347">
        <v>46090</v>
      </c>
      <c r="B588" s="346" t="s">
        <v>1561</v>
      </c>
      <c r="C588" s="346" t="s">
        <v>1562</v>
      </c>
    </row>
    <row r="589" spans="1:3">
      <c r="A589" s="347">
        <v>46090</v>
      </c>
      <c r="B589" s="346" t="s">
        <v>1563</v>
      </c>
      <c r="C589" s="346" t="s">
        <v>1564</v>
      </c>
    </row>
    <row r="590" spans="1:3">
      <c r="A590" s="347">
        <v>46090</v>
      </c>
      <c r="B590" s="346" t="s">
        <v>1565</v>
      </c>
      <c r="C590" s="346" t="s">
        <v>1566</v>
      </c>
    </row>
    <row r="591" spans="1:3">
      <c r="A591" s="347">
        <v>46090</v>
      </c>
      <c r="B591" s="346" t="s">
        <v>1567</v>
      </c>
      <c r="C591" s="346" t="s">
        <v>1568</v>
      </c>
    </row>
    <row r="592" spans="1:3">
      <c r="A592" s="347">
        <v>46090</v>
      </c>
      <c r="B592" s="346" t="s">
        <v>1569</v>
      </c>
      <c r="C592" s="346" t="s">
        <v>1570</v>
      </c>
    </row>
    <row r="593" spans="1:3">
      <c r="A593" s="347">
        <v>46090</v>
      </c>
      <c r="B593" s="346" t="s">
        <v>1571</v>
      </c>
      <c r="C593" s="346" t="s">
        <v>1572</v>
      </c>
    </row>
    <row r="594" spans="1:3">
      <c r="A594" s="347">
        <v>46090</v>
      </c>
      <c r="B594" s="346" t="s">
        <v>1573</v>
      </c>
      <c r="C594" s="346" t="s">
        <v>1574</v>
      </c>
    </row>
    <row r="595" spans="1:3">
      <c r="A595" s="347">
        <v>46090</v>
      </c>
      <c r="B595" s="346" t="s">
        <v>1575</v>
      </c>
      <c r="C595" s="346" t="s">
        <v>1576</v>
      </c>
    </row>
    <row r="596" spans="1:3">
      <c r="A596" s="347">
        <v>46090</v>
      </c>
      <c r="B596" s="346" t="s">
        <v>1577</v>
      </c>
      <c r="C596" s="346" t="s">
        <v>1578</v>
      </c>
    </row>
    <row r="597" spans="1:3">
      <c r="A597" s="347">
        <v>46090</v>
      </c>
      <c r="B597" s="346" t="s">
        <v>1579</v>
      </c>
      <c r="C597" s="346" t="s">
        <v>1580</v>
      </c>
    </row>
    <row r="598" spans="1:3">
      <c r="A598" s="347">
        <v>46090</v>
      </c>
      <c r="B598" s="346" t="s">
        <v>1581</v>
      </c>
      <c r="C598" s="346" t="s">
        <v>1582</v>
      </c>
    </row>
    <row r="599" spans="1:3">
      <c r="A599" s="347">
        <v>46090</v>
      </c>
      <c r="B599" s="346" t="s">
        <v>1583</v>
      </c>
      <c r="C599" s="346" t="s">
        <v>1584</v>
      </c>
    </row>
    <row r="600" spans="1:3">
      <c r="A600" s="347">
        <v>46090</v>
      </c>
      <c r="B600" s="346" t="s">
        <v>1585</v>
      </c>
      <c r="C600" s="346" t="s">
        <v>1586</v>
      </c>
    </row>
    <row r="601" spans="1:3">
      <c r="A601" s="347">
        <v>46090</v>
      </c>
      <c r="B601" s="346" t="s">
        <v>1587</v>
      </c>
      <c r="C601" s="346" t="s">
        <v>1588</v>
      </c>
    </row>
    <row r="602" spans="1:3">
      <c r="A602" s="347">
        <v>46090</v>
      </c>
      <c r="B602" s="346" t="s">
        <v>1589</v>
      </c>
      <c r="C602" s="346" t="s">
        <v>1590</v>
      </c>
    </row>
    <row r="603" spans="1:3">
      <c r="A603" s="347">
        <v>46090</v>
      </c>
      <c r="B603" s="346" t="s">
        <v>1591</v>
      </c>
      <c r="C603" s="346" t="s">
        <v>10548</v>
      </c>
    </row>
    <row r="604" spans="1:3">
      <c r="A604" s="347">
        <v>46090</v>
      </c>
      <c r="B604" s="346" t="s">
        <v>1592</v>
      </c>
      <c r="C604" s="346" t="s">
        <v>1593</v>
      </c>
    </row>
    <row r="605" spans="1:3">
      <c r="A605" s="347">
        <v>46090</v>
      </c>
      <c r="B605" s="346" t="s">
        <v>1594</v>
      </c>
      <c r="C605" s="346" t="s">
        <v>1595</v>
      </c>
    </row>
    <row r="606" spans="1:3">
      <c r="A606" s="347">
        <v>46090</v>
      </c>
      <c r="B606" s="346" t="s">
        <v>1596</v>
      </c>
      <c r="C606" s="346" t="s">
        <v>1597</v>
      </c>
    </row>
    <row r="607" spans="1:3">
      <c r="A607" s="347">
        <v>46090</v>
      </c>
      <c r="B607" s="346" t="s">
        <v>1598</v>
      </c>
      <c r="C607" s="346" t="s">
        <v>1599</v>
      </c>
    </row>
    <row r="608" spans="1:3">
      <c r="A608" s="347">
        <v>46090</v>
      </c>
      <c r="B608" s="346" t="s">
        <v>1600</v>
      </c>
      <c r="C608" s="346" t="s">
        <v>1601</v>
      </c>
    </row>
    <row r="609" spans="1:3">
      <c r="A609" s="347">
        <v>46090</v>
      </c>
      <c r="B609" s="346" t="s">
        <v>1602</v>
      </c>
      <c r="C609" s="346" t="s">
        <v>1603</v>
      </c>
    </row>
    <row r="610" spans="1:3">
      <c r="A610" s="347">
        <v>46090</v>
      </c>
      <c r="B610" s="346" t="s">
        <v>1604</v>
      </c>
      <c r="C610" s="346" t="s">
        <v>1605</v>
      </c>
    </row>
    <row r="611" spans="1:3">
      <c r="A611" s="347">
        <v>46090</v>
      </c>
      <c r="B611" s="346" t="s">
        <v>1606</v>
      </c>
      <c r="C611" s="346" t="s">
        <v>1607</v>
      </c>
    </row>
    <row r="612" spans="1:3">
      <c r="A612" s="347">
        <v>46090</v>
      </c>
      <c r="B612" s="346" t="s">
        <v>1608</v>
      </c>
      <c r="C612" s="346" t="s">
        <v>1609</v>
      </c>
    </row>
    <row r="613" spans="1:3">
      <c r="A613" s="347">
        <v>46090</v>
      </c>
      <c r="B613" s="346" t="s">
        <v>1610</v>
      </c>
      <c r="C613" s="346" t="s">
        <v>10549</v>
      </c>
    </row>
    <row r="614" spans="1:3">
      <c r="A614" s="347">
        <v>46090</v>
      </c>
      <c r="B614" s="346" t="s">
        <v>1611</v>
      </c>
      <c r="C614" s="346" t="s">
        <v>1612</v>
      </c>
    </row>
    <row r="615" spans="1:3">
      <c r="A615" s="347">
        <v>46090</v>
      </c>
      <c r="B615" s="346" t="s">
        <v>1613</v>
      </c>
      <c r="C615" s="346" t="s">
        <v>1614</v>
      </c>
    </row>
    <row r="616" spans="1:3">
      <c r="A616" s="347">
        <v>46090</v>
      </c>
      <c r="B616" s="346" t="s">
        <v>1615</v>
      </c>
      <c r="C616" s="346" t="s">
        <v>1616</v>
      </c>
    </row>
    <row r="617" spans="1:3">
      <c r="A617" s="347">
        <v>46090</v>
      </c>
      <c r="B617" s="346" t="s">
        <v>1617</v>
      </c>
      <c r="C617" s="346" t="s">
        <v>1618</v>
      </c>
    </row>
    <row r="618" spans="1:3">
      <c r="A618" s="347">
        <v>46090</v>
      </c>
      <c r="B618" s="346" t="s">
        <v>1619</v>
      </c>
      <c r="C618" s="346" t="s">
        <v>1620</v>
      </c>
    </row>
    <row r="619" spans="1:3">
      <c r="A619" s="347">
        <v>46090</v>
      </c>
      <c r="B619" s="346" t="s">
        <v>1621</v>
      </c>
      <c r="C619" s="346" t="s">
        <v>1622</v>
      </c>
    </row>
    <row r="620" spans="1:3">
      <c r="A620" s="347">
        <v>46090</v>
      </c>
      <c r="B620" s="346" t="s">
        <v>1623</v>
      </c>
      <c r="C620" s="346" t="s">
        <v>1624</v>
      </c>
    </row>
    <row r="621" spans="1:3">
      <c r="A621" s="347">
        <v>46090</v>
      </c>
      <c r="B621" s="346" t="s">
        <v>1625</v>
      </c>
      <c r="C621" s="346" t="s">
        <v>1626</v>
      </c>
    </row>
    <row r="622" spans="1:3">
      <c r="A622" s="347">
        <v>46090</v>
      </c>
      <c r="B622" s="346" t="s">
        <v>1627</v>
      </c>
      <c r="C622" s="346" t="s">
        <v>1628</v>
      </c>
    </row>
    <row r="623" spans="1:3">
      <c r="A623" s="347">
        <v>46090</v>
      </c>
      <c r="B623" s="346" t="s">
        <v>1629</v>
      </c>
      <c r="C623" s="346" t="s">
        <v>1630</v>
      </c>
    </row>
    <row r="624" spans="1:3">
      <c r="A624" s="347">
        <v>46090</v>
      </c>
      <c r="B624" s="346" t="s">
        <v>1631</v>
      </c>
      <c r="C624" s="346" t="s">
        <v>1632</v>
      </c>
    </row>
    <row r="625" spans="1:3">
      <c r="A625" s="347">
        <v>46090</v>
      </c>
      <c r="B625" s="346" t="s">
        <v>1633</v>
      </c>
      <c r="C625" s="346" t="s">
        <v>1634</v>
      </c>
    </row>
    <row r="626" spans="1:3">
      <c r="A626" s="347">
        <v>46090</v>
      </c>
      <c r="B626" s="346" t="s">
        <v>1635</v>
      </c>
      <c r="C626" s="346" t="s">
        <v>1636</v>
      </c>
    </row>
    <row r="627" spans="1:3">
      <c r="A627" s="347">
        <v>46090</v>
      </c>
      <c r="B627" s="346" t="s">
        <v>1637</v>
      </c>
      <c r="C627" s="346" t="s">
        <v>1638</v>
      </c>
    </row>
    <row r="628" spans="1:3">
      <c r="A628" s="347">
        <v>46090</v>
      </c>
      <c r="B628" s="346" t="s">
        <v>1639</v>
      </c>
      <c r="C628" s="346" t="s">
        <v>1640</v>
      </c>
    </row>
    <row r="629" spans="1:3">
      <c r="A629" s="347">
        <v>46090</v>
      </c>
      <c r="B629" s="346" t="s">
        <v>1641</v>
      </c>
      <c r="C629" s="346" t="s">
        <v>1642</v>
      </c>
    </row>
    <row r="630" spans="1:3">
      <c r="A630" s="347">
        <v>46090</v>
      </c>
      <c r="B630" s="346" t="s">
        <v>1643</v>
      </c>
      <c r="C630" s="346" t="s">
        <v>1644</v>
      </c>
    </row>
    <row r="631" spans="1:3">
      <c r="A631" s="347">
        <v>46090</v>
      </c>
      <c r="B631" s="346" t="s">
        <v>1645</v>
      </c>
      <c r="C631" s="346" t="s">
        <v>1646</v>
      </c>
    </row>
    <row r="632" spans="1:3">
      <c r="A632" s="347">
        <v>46090</v>
      </c>
      <c r="B632" s="346" t="s">
        <v>1647</v>
      </c>
      <c r="C632" s="346" t="s">
        <v>1648</v>
      </c>
    </row>
    <row r="633" spans="1:3">
      <c r="A633" s="347">
        <v>46090</v>
      </c>
      <c r="B633" s="346" t="s">
        <v>1649</v>
      </c>
      <c r="C633" s="346" t="s">
        <v>1650</v>
      </c>
    </row>
    <row r="634" spans="1:3">
      <c r="A634" s="347">
        <v>46090</v>
      </c>
      <c r="B634" s="346" t="s">
        <v>1651</v>
      </c>
      <c r="C634" s="346" t="s">
        <v>1652</v>
      </c>
    </row>
    <row r="635" spans="1:3">
      <c r="A635" s="347">
        <v>46090</v>
      </c>
      <c r="B635" s="346" t="s">
        <v>1653</v>
      </c>
      <c r="C635" s="346" t="s">
        <v>1654</v>
      </c>
    </row>
    <row r="636" spans="1:3">
      <c r="A636" s="347">
        <v>46090</v>
      </c>
      <c r="B636" s="346" t="s">
        <v>1655</v>
      </c>
      <c r="C636" s="346" t="s">
        <v>1656</v>
      </c>
    </row>
    <row r="637" spans="1:3">
      <c r="A637" s="347">
        <v>46090</v>
      </c>
      <c r="B637" s="346" t="s">
        <v>1657</v>
      </c>
      <c r="C637" s="346" t="s">
        <v>1658</v>
      </c>
    </row>
    <row r="638" spans="1:3">
      <c r="A638" s="347">
        <v>46090</v>
      </c>
      <c r="B638" s="346" t="s">
        <v>1659</v>
      </c>
      <c r="C638" s="346" t="s">
        <v>1660</v>
      </c>
    </row>
    <row r="639" spans="1:3">
      <c r="A639" s="347">
        <v>46090</v>
      </c>
      <c r="B639" s="346" t="s">
        <v>1661</v>
      </c>
      <c r="C639" s="346" t="s">
        <v>1662</v>
      </c>
    </row>
    <row r="640" spans="1:3">
      <c r="A640" s="347">
        <v>46090</v>
      </c>
      <c r="B640" s="346" t="s">
        <v>1663</v>
      </c>
      <c r="C640" s="346" t="s">
        <v>1664</v>
      </c>
    </row>
    <row r="641" spans="1:3">
      <c r="A641" s="347">
        <v>46090</v>
      </c>
      <c r="B641" s="346" t="s">
        <v>1665</v>
      </c>
      <c r="C641" s="346" t="s">
        <v>1666</v>
      </c>
    </row>
    <row r="642" spans="1:3">
      <c r="A642" s="347">
        <v>46090</v>
      </c>
      <c r="B642" s="346" t="s">
        <v>1667</v>
      </c>
      <c r="C642" s="346" t="s">
        <v>1668</v>
      </c>
    </row>
    <row r="643" spans="1:3">
      <c r="A643" s="347">
        <v>46090</v>
      </c>
      <c r="B643" s="346" t="s">
        <v>1669</v>
      </c>
      <c r="C643" s="346" t="s">
        <v>1670</v>
      </c>
    </row>
    <row r="644" spans="1:3">
      <c r="A644" s="347">
        <v>46090</v>
      </c>
      <c r="B644" s="346" t="s">
        <v>1671</v>
      </c>
      <c r="C644" s="346" t="s">
        <v>1672</v>
      </c>
    </row>
    <row r="645" spans="1:3">
      <c r="A645" s="347">
        <v>46090</v>
      </c>
      <c r="B645" s="346" t="s">
        <v>1673</v>
      </c>
      <c r="C645" s="346" t="s">
        <v>11049</v>
      </c>
    </row>
    <row r="646" spans="1:3">
      <c r="A646" s="347">
        <v>46090</v>
      </c>
      <c r="B646" s="346" t="s">
        <v>1674</v>
      </c>
      <c r="C646" s="346" t="s">
        <v>1675</v>
      </c>
    </row>
    <row r="647" spans="1:3">
      <c r="A647" s="347">
        <v>46090</v>
      </c>
      <c r="B647" s="346" t="s">
        <v>1676</v>
      </c>
      <c r="C647" s="346" t="s">
        <v>1677</v>
      </c>
    </row>
    <row r="648" spans="1:3">
      <c r="A648" s="347">
        <v>46090</v>
      </c>
      <c r="B648" s="346" t="s">
        <v>1678</v>
      </c>
      <c r="C648" s="346" t="s">
        <v>1679</v>
      </c>
    </row>
    <row r="649" spans="1:3">
      <c r="A649" s="347">
        <v>46090</v>
      </c>
      <c r="B649" s="346" t="s">
        <v>1680</v>
      </c>
      <c r="C649" s="346" t="s">
        <v>1681</v>
      </c>
    </row>
    <row r="650" spans="1:3">
      <c r="A650" s="347">
        <v>46090</v>
      </c>
      <c r="B650" s="346" t="s">
        <v>1682</v>
      </c>
      <c r="C650" s="346" t="s">
        <v>1683</v>
      </c>
    </row>
    <row r="651" spans="1:3">
      <c r="A651" s="347">
        <v>46090</v>
      </c>
      <c r="B651" s="346" t="s">
        <v>1684</v>
      </c>
      <c r="C651" s="346" t="s">
        <v>1685</v>
      </c>
    </row>
    <row r="652" spans="1:3">
      <c r="A652" s="347">
        <v>46090</v>
      </c>
      <c r="B652" s="346" t="s">
        <v>1686</v>
      </c>
      <c r="C652" s="346" t="s">
        <v>1687</v>
      </c>
    </row>
    <row r="653" spans="1:3">
      <c r="A653" s="347">
        <v>46090</v>
      </c>
      <c r="B653" s="346" t="s">
        <v>1688</v>
      </c>
      <c r="C653" s="346" t="s">
        <v>1689</v>
      </c>
    </row>
    <row r="654" spans="1:3">
      <c r="A654" s="347">
        <v>46090</v>
      </c>
      <c r="B654" s="346" t="s">
        <v>1690</v>
      </c>
      <c r="C654" s="346" t="s">
        <v>1691</v>
      </c>
    </row>
    <row r="655" spans="1:3">
      <c r="A655" s="347">
        <v>46090</v>
      </c>
      <c r="B655" s="346" t="s">
        <v>1692</v>
      </c>
      <c r="C655" s="346" t="s">
        <v>1693</v>
      </c>
    </row>
    <row r="656" spans="1:3">
      <c r="A656" s="347">
        <v>46090</v>
      </c>
      <c r="B656" s="346" t="s">
        <v>1694</v>
      </c>
      <c r="C656" s="346" t="s">
        <v>1695</v>
      </c>
    </row>
    <row r="657" spans="1:3">
      <c r="A657" s="347">
        <v>46090</v>
      </c>
      <c r="B657" s="346" t="s">
        <v>1696</v>
      </c>
      <c r="C657" s="346" t="s">
        <v>1697</v>
      </c>
    </row>
    <row r="658" spans="1:3">
      <c r="A658" s="347">
        <v>46090</v>
      </c>
      <c r="B658" s="346" t="s">
        <v>1698</v>
      </c>
      <c r="C658" s="346" t="s">
        <v>1699</v>
      </c>
    </row>
    <row r="659" spans="1:3">
      <c r="A659" s="347">
        <v>46090</v>
      </c>
      <c r="B659" s="346" t="s">
        <v>1700</v>
      </c>
      <c r="C659" s="346" t="s">
        <v>1701</v>
      </c>
    </row>
    <row r="660" spans="1:3">
      <c r="A660" s="347">
        <v>46090</v>
      </c>
      <c r="B660" s="346" t="s">
        <v>1702</v>
      </c>
      <c r="C660" s="346" t="s">
        <v>1703</v>
      </c>
    </row>
    <row r="661" spans="1:3">
      <c r="A661" s="347">
        <v>46090</v>
      </c>
      <c r="B661" s="346" t="s">
        <v>1704</v>
      </c>
      <c r="C661" s="346" t="s">
        <v>1705</v>
      </c>
    </row>
    <row r="662" spans="1:3">
      <c r="A662" s="347">
        <v>46090</v>
      </c>
      <c r="B662" s="346" t="s">
        <v>1706</v>
      </c>
      <c r="C662" s="346" t="s">
        <v>1707</v>
      </c>
    </row>
    <row r="663" spans="1:3">
      <c r="A663" s="347">
        <v>46090</v>
      </c>
      <c r="B663" s="346" t="s">
        <v>1708</v>
      </c>
      <c r="C663" s="346" t="s">
        <v>1709</v>
      </c>
    </row>
    <row r="664" spans="1:3">
      <c r="A664" s="347">
        <v>46090</v>
      </c>
      <c r="B664" s="346" t="s">
        <v>1710</v>
      </c>
      <c r="C664" s="346" t="s">
        <v>1711</v>
      </c>
    </row>
    <row r="665" spans="1:3">
      <c r="A665" s="347">
        <v>46090</v>
      </c>
      <c r="B665" s="346" t="s">
        <v>1712</v>
      </c>
      <c r="C665" s="346" t="s">
        <v>1713</v>
      </c>
    </row>
    <row r="666" spans="1:3">
      <c r="A666" s="347">
        <v>46090</v>
      </c>
      <c r="B666" s="346" t="s">
        <v>1714</v>
      </c>
      <c r="C666" s="346" t="s">
        <v>1715</v>
      </c>
    </row>
    <row r="667" spans="1:3">
      <c r="A667" s="347">
        <v>46090</v>
      </c>
      <c r="B667" s="346" t="s">
        <v>1716</v>
      </c>
      <c r="C667" s="346" t="s">
        <v>11050</v>
      </c>
    </row>
    <row r="668" spans="1:3">
      <c r="A668" s="347">
        <v>46090</v>
      </c>
      <c r="B668" s="346" t="s">
        <v>1717</v>
      </c>
      <c r="C668" s="346" t="s">
        <v>1718</v>
      </c>
    </row>
    <row r="669" spans="1:3">
      <c r="A669" s="347">
        <v>46090</v>
      </c>
      <c r="B669" s="346" t="s">
        <v>1719</v>
      </c>
      <c r="C669" s="346" t="s">
        <v>1720</v>
      </c>
    </row>
    <row r="670" spans="1:3">
      <c r="A670" s="347">
        <v>46090</v>
      </c>
      <c r="B670" s="346" t="s">
        <v>1721</v>
      </c>
      <c r="C670" s="346" t="s">
        <v>1722</v>
      </c>
    </row>
    <row r="671" spans="1:3">
      <c r="A671" s="347">
        <v>46090</v>
      </c>
      <c r="B671" s="346" t="s">
        <v>1723</v>
      </c>
      <c r="C671" s="346" t="s">
        <v>11051</v>
      </c>
    </row>
    <row r="672" spans="1:3">
      <c r="A672" s="347">
        <v>46090</v>
      </c>
      <c r="B672" s="346" t="s">
        <v>1724</v>
      </c>
      <c r="C672" s="346" t="s">
        <v>1725</v>
      </c>
    </row>
    <row r="673" spans="1:3">
      <c r="A673" s="347">
        <v>46090</v>
      </c>
      <c r="B673" s="346" t="s">
        <v>1726</v>
      </c>
      <c r="C673" s="346" t="s">
        <v>1727</v>
      </c>
    </row>
    <row r="674" spans="1:3">
      <c r="A674" s="347">
        <v>46090</v>
      </c>
      <c r="B674" s="346" t="s">
        <v>1728</v>
      </c>
      <c r="C674" s="346" t="s">
        <v>1729</v>
      </c>
    </row>
    <row r="675" spans="1:3">
      <c r="A675" s="347">
        <v>46090</v>
      </c>
      <c r="B675" s="346" t="s">
        <v>1730</v>
      </c>
      <c r="C675" s="346" t="s">
        <v>1731</v>
      </c>
    </row>
    <row r="676" spans="1:3">
      <c r="A676" s="347">
        <v>46090</v>
      </c>
      <c r="B676" s="346" t="s">
        <v>1732</v>
      </c>
      <c r="C676" s="346" t="s">
        <v>1733</v>
      </c>
    </row>
    <row r="677" spans="1:3">
      <c r="A677" s="347">
        <v>46090</v>
      </c>
      <c r="B677" s="346" t="s">
        <v>1734</v>
      </c>
      <c r="C677" s="346" t="s">
        <v>1735</v>
      </c>
    </row>
    <row r="678" spans="1:3">
      <c r="A678" s="347">
        <v>46090</v>
      </c>
      <c r="B678" s="346" t="s">
        <v>1736</v>
      </c>
      <c r="C678" s="346" t="s">
        <v>10550</v>
      </c>
    </row>
    <row r="679" spans="1:3">
      <c r="A679" s="347">
        <v>46090</v>
      </c>
      <c r="B679" s="346" t="s">
        <v>1737</v>
      </c>
      <c r="C679" s="346" t="s">
        <v>1738</v>
      </c>
    </row>
    <row r="680" spans="1:3">
      <c r="A680" s="347">
        <v>46090</v>
      </c>
      <c r="B680" s="346" t="s">
        <v>1739</v>
      </c>
      <c r="C680" s="346" t="s">
        <v>1740</v>
      </c>
    </row>
    <row r="681" spans="1:3">
      <c r="A681" s="347">
        <v>46090</v>
      </c>
      <c r="B681" s="346" t="s">
        <v>1741</v>
      </c>
      <c r="C681" s="346" t="s">
        <v>1742</v>
      </c>
    </row>
    <row r="682" spans="1:3">
      <c r="A682" s="347">
        <v>46090</v>
      </c>
      <c r="B682" s="346" t="s">
        <v>1743</v>
      </c>
      <c r="C682" s="346" t="s">
        <v>1744</v>
      </c>
    </row>
    <row r="683" spans="1:3">
      <c r="A683" s="347">
        <v>46090</v>
      </c>
      <c r="B683" s="346" t="s">
        <v>1745</v>
      </c>
      <c r="C683" s="346" t="s">
        <v>1746</v>
      </c>
    </row>
    <row r="684" spans="1:3">
      <c r="A684" s="347">
        <v>46090</v>
      </c>
      <c r="B684" s="346" t="s">
        <v>1747</v>
      </c>
      <c r="C684" s="346" t="s">
        <v>1748</v>
      </c>
    </row>
    <row r="685" spans="1:3">
      <c r="A685" s="347">
        <v>46090</v>
      </c>
      <c r="B685" s="346" t="s">
        <v>1749</v>
      </c>
      <c r="C685" s="346" t="s">
        <v>1750</v>
      </c>
    </row>
    <row r="686" spans="1:3">
      <c r="A686" s="347">
        <v>46090</v>
      </c>
      <c r="B686" s="346" t="s">
        <v>1751</v>
      </c>
      <c r="C686" s="346" t="s">
        <v>1752</v>
      </c>
    </row>
    <row r="687" spans="1:3">
      <c r="A687" s="347">
        <v>46090</v>
      </c>
      <c r="B687" s="346" t="s">
        <v>1753</v>
      </c>
      <c r="C687" s="346" t="s">
        <v>1754</v>
      </c>
    </row>
    <row r="688" spans="1:3">
      <c r="A688" s="347">
        <v>46090</v>
      </c>
      <c r="B688" s="346" t="s">
        <v>1755</v>
      </c>
      <c r="C688" s="346" t="s">
        <v>1756</v>
      </c>
    </row>
    <row r="689" spans="1:3">
      <c r="A689" s="347">
        <v>46090</v>
      </c>
      <c r="B689" s="346" t="s">
        <v>1757</v>
      </c>
      <c r="C689" s="346" t="s">
        <v>10551</v>
      </c>
    </row>
    <row r="690" spans="1:3">
      <c r="A690" s="347">
        <v>46090</v>
      </c>
      <c r="B690" s="346" t="s">
        <v>1758</v>
      </c>
      <c r="C690" s="346" t="s">
        <v>1759</v>
      </c>
    </row>
    <row r="691" spans="1:3">
      <c r="A691" s="347">
        <v>46090</v>
      </c>
      <c r="B691" s="346" t="s">
        <v>1760</v>
      </c>
      <c r="C691" s="346" t="s">
        <v>1761</v>
      </c>
    </row>
    <row r="692" spans="1:3">
      <c r="A692" s="347">
        <v>46090</v>
      </c>
      <c r="B692" s="346" t="s">
        <v>1762</v>
      </c>
      <c r="C692" s="346" t="s">
        <v>1763</v>
      </c>
    </row>
    <row r="693" spans="1:3">
      <c r="A693" s="347">
        <v>46090</v>
      </c>
      <c r="B693" s="346" t="s">
        <v>1764</v>
      </c>
      <c r="C693" s="346" t="s">
        <v>1765</v>
      </c>
    </row>
    <row r="694" spans="1:3">
      <c r="A694" s="347">
        <v>46090</v>
      </c>
      <c r="B694" s="346" t="s">
        <v>1766</v>
      </c>
      <c r="C694" s="346" t="s">
        <v>1767</v>
      </c>
    </row>
    <row r="695" spans="1:3">
      <c r="A695" s="347">
        <v>46090</v>
      </c>
      <c r="B695" s="346" t="s">
        <v>1768</v>
      </c>
      <c r="C695" s="346" t="s">
        <v>1769</v>
      </c>
    </row>
    <row r="696" spans="1:3">
      <c r="A696" s="347">
        <v>46090</v>
      </c>
      <c r="B696" s="346" t="s">
        <v>1770</v>
      </c>
      <c r="C696" s="346" t="s">
        <v>1771</v>
      </c>
    </row>
    <row r="697" spans="1:3">
      <c r="A697" s="347">
        <v>46090</v>
      </c>
      <c r="B697" s="346" t="s">
        <v>1772</v>
      </c>
      <c r="C697" s="346" t="s">
        <v>1773</v>
      </c>
    </row>
    <row r="698" spans="1:3">
      <c r="A698" s="347">
        <v>46090</v>
      </c>
      <c r="B698" s="346" t="s">
        <v>1774</v>
      </c>
      <c r="C698" s="346" t="s">
        <v>1775</v>
      </c>
    </row>
    <row r="699" spans="1:3">
      <c r="A699" s="347">
        <v>46090</v>
      </c>
      <c r="B699" s="346" t="s">
        <v>1776</v>
      </c>
      <c r="C699" s="346" t="s">
        <v>1777</v>
      </c>
    </row>
    <row r="700" spans="1:3">
      <c r="A700" s="347">
        <v>46090</v>
      </c>
      <c r="B700" s="346" t="s">
        <v>1778</v>
      </c>
      <c r="C700" s="346" t="s">
        <v>1779</v>
      </c>
    </row>
    <row r="701" spans="1:3">
      <c r="A701" s="347">
        <v>46090</v>
      </c>
      <c r="B701" s="346" t="s">
        <v>1780</v>
      </c>
      <c r="C701" s="346" t="s">
        <v>1781</v>
      </c>
    </row>
    <row r="702" spans="1:3">
      <c r="A702" s="347">
        <v>46090</v>
      </c>
      <c r="B702" s="346" t="s">
        <v>1782</v>
      </c>
      <c r="C702" s="346" t="s">
        <v>1783</v>
      </c>
    </row>
    <row r="703" spans="1:3">
      <c r="A703" s="347">
        <v>46090</v>
      </c>
      <c r="B703" s="346" t="s">
        <v>1784</v>
      </c>
      <c r="C703" s="346" t="s">
        <v>1785</v>
      </c>
    </row>
    <row r="704" spans="1:3">
      <c r="A704" s="347">
        <v>46090</v>
      </c>
      <c r="B704" s="346" t="s">
        <v>1786</v>
      </c>
      <c r="C704" s="346" t="s">
        <v>1787</v>
      </c>
    </row>
    <row r="705" spans="1:3">
      <c r="A705" s="347">
        <v>46090</v>
      </c>
      <c r="B705" s="346" t="s">
        <v>1788</v>
      </c>
      <c r="C705" s="346" t="s">
        <v>1789</v>
      </c>
    </row>
    <row r="706" spans="1:3">
      <c r="A706" s="347">
        <v>46090</v>
      </c>
      <c r="B706" s="346" t="s">
        <v>1790</v>
      </c>
      <c r="C706" s="346" t="s">
        <v>1791</v>
      </c>
    </row>
    <row r="707" spans="1:3">
      <c r="A707" s="347">
        <v>46090</v>
      </c>
      <c r="B707" s="346" t="s">
        <v>1792</v>
      </c>
      <c r="C707" s="346" t="s">
        <v>1793</v>
      </c>
    </row>
    <row r="708" spans="1:3">
      <c r="A708" s="347">
        <v>46090</v>
      </c>
      <c r="B708" s="346" t="s">
        <v>1794</v>
      </c>
      <c r="C708" s="346" t="s">
        <v>1795</v>
      </c>
    </row>
    <row r="709" spans="1:3">
      <c r="A709" s="347">
        <v>46090</v>
      </c>
      <c r="B709" s="346" t="s">
        <v>1796</v>
      </c>
      <c r="C709" s="346" t="s">
        <v>1797</v>
      </c>
    </row>
    <row r="710" spans="1:3">
      <c r="A710" s="347">
        <v>46090</v>
      </c>
      <c r="B710" s="346" t="s">
        <v>1798</v>
      </c>
      <c r="C710" s="346" t="s">
        <v>1799</v>
      </c>
    </row>
    <row r="711" spans="1:3">
      <c r="A711" s="347">
        <v>46090</v>
      </c>
      <c r="B711" s="346" t="s">
        <v>1800</v>
      </c>
      <c r="C711" s="346" t="s">
        <v>1801</v>
      </c>
    </row>
    <row r="712" spans="1:3">
      <c r="A712" s="347">
        <v>46090</v>
      </c>
      <c r="B712" s="346" t="s">
        <v>1802</v>
      </c>
      <c r="C712" s="346" t="s">
        <v>1803</v>
      </c>
    </row>
    <row r="713" spans="1:3">
      <c r="A713" s="347">
        <v>46090</v>
      </c>
      <c r="B713" s="346" t="s">
        <v>1804</v>
      </c>
      <c r="C713" s="346" t="s">
        <v>1805</v>
      </c>
    </row>
    <row r="714" spans="1:3">
      <c r="A714" s="347">
        <v>46090</v>
      </c>
      <c r="B714" s="346" t="s">
        <v>1806</v>
      </c>
      <c r="C714" s="346" t="s">
        <v>1807</v>
      </c>
    </row>
    <row r="715" spans="1:3">
      <c r="A715" s="347">
        <v>46090</v>
      </c>
      <c r="B715" s="346" t="s">
        <v>1808</v>
      </c>
      <c r="C715" s="346" t="s">
        <v>1809</v>
      </c>
    </row>
    <row r="716" spans="1:3">
      <c r="A716" s="347">
        <v>46090</v>
      </c>
      <c r="B716" s="346" t="s">
        <v>1810</v>
      </c>
      <c r="C716" s="346" t="s">
        <v>1811</v>
      </c>
    </row>
    <row r="717" spans="1:3">
      <c r="A717" s="347">
        <v>46090</v>
      </c>
      <c r="B717" s="346" t="s">
        <v>1812</v>
      </c>
      <c r="C717" s="346" t="s">
        <v>1813</v>
      </c>
    </row>
    <row r="718" spans="1:3">
      <c r="A718" s="347">
        <v>46090</v>
      </c>
      <c r="B718" s="346" t="s">
        <v>1814</v>
      </c>
      <c r="C718" s="346" t="s">
        <v>11052</v>
      </c>
    </row>
    <row r="719" spans="1:3">
      <c r="A719" s="347">
        <v>46090</v>
      </c>
      <c r="B719" s="346" t="s">
        <v>1815</v>
      </c>
      <c r="C719" s="346" t="s">
        <v>1816</v>
      </c>
    </row>
    <row r="720" spans="1:3">
      <c r="A720" s="347">
        <v>46090</v>
      </c>
      <c r="B720" s="346" t="s">
        <v>1817</v>
      </c>
      <c r="C720" s="346" t="s">
        <v>10552</v>
      </c>
    </row>
    <row r="721" spans="1:3">
      <c r="A721" s="347">
        <v>46090</v>
      </c>
      <c r="B721" s="346" t="s">
        <v>1818</v>
      </c>
      <c r="C721" s="346" t="s">
        <v>10553</v>
      </c>
    </row>
    <row r="722" spans="1:3">
      <c r="A722" s="347">
        <v>46090</v>
      </c>
      <c r="B722" s="346" t="s">
        <v>1819</v>
      </c>
      <c r="C722" s="346" t="s">
        <v>10554</v>
      </c>
    </row>
    <row r="723" spans="1:3">
      <c r="A723" s="347">
        <v>46090</v>
      </c>
      <c r="B723" s="346" t="s">
        <v>1820</v>
      </c>
      <c r="C723" s="346" t="s">
        <v>1821</v>
      </c>
    </row>
    <row r="724" spans="1:3">
      <c r="A724" s="347">
        <v>46090</v>
      </c>
      <c r="B724" s="346" t="s">
        <v>1822</v>
      </c>
      <c r="C724" s="346" t="s">
        <v>1823</v>
      </c>
    </row>
    <row r="725" spans="1:3">
      <c r="A725" s="347">
        <v>46090</v>
      </c>
      <c r="B725" s="346" t="s">
        <v>1824</v>
      </c>
      <c r="C725" s="346" t="s">
        <v>1825</v>
      </c>
    </row>
    <row r="726" spans="1:3">
      <c r="A726" s="347">
        <v>46090</v>
      </c>
      <c r="B726" s="346" t="s">
        <v>1826</v>
      </c>
      <c r="C726" s="346" t="s">
        <v>1827</v>
      </c>
    </row>
    <row r="727" spans="1:3">
      <c r="A727" s="347">
        <v>46090</v>
      </c>
      <c r="B727" s="346" t="s">
        <v>1828</v>
      </c>
      <c r="C727" s="346" t="s">
        <v>1829</v>
      </c>
    </row>
    <row r="728" spans="1:3">
      <c r="A728" s="347">
        <v>46090</v>
      </c>
      <c r="B728" s="346" t="s">
        <v>1830</v>
      </c>
      <c r="C728" s="346" t="s">
        <v>1831</v>
      </c>
    </row>
    <row r="729" spans="1:3">
      <c r="A729" s="347">
        <v>46090</v>
      </c>
      <c r="B729" s="346" t="s">
        <v>1832</v>
      </c>
      <c r="C729" s="346" t="s">
        <v>1833</v>
      </c>
    </row>
    <row r="730" spans="1:3">
      <c r="A730" s="347">
        <v>46090</v>
      </c>
      <c r="B730" s="346" t="s">
        <v>1834</v>
      </c>
      <c r="C730" s="346" t="s">
        <v>1835</v>
      </c>
    </row>
    <row r="731" spans="1:3">
      <c r="A731" s="347">
        <v>46090</v>
      </c>
      <c r="B731" s="346" t="s">
        <v>1836</v>
      </c>
      <c r="C731" s="346" t="s">
        <v>1837</v>
      </c>
    </row>
    <row r="732" spans="1:3">
      <c r="A732" s="347">
        <v>46090</v>
      </c>
      <c r="B732" s="346" t="s">
        <v>1838</v>
      </c>
      <c r="C732" s="346" t="s">
        <v>10555</v>
      </c>
    </row>
    <row r="733" spans="1:3">
      <c r="A733" s="347">
        <v>46090</v>
      </c>
      <c r="B733" s="346" t="s">
        <v>1839</v>
      </c>
      <c r="C733" s="346" t="s">
        <v>1840</v>
      </c>
    </row>
    <row r="734" spans="1:3">
      <c r="A734" s="347">
        <v>46090</v>
      </c>
      <c r="B734" s="346" t="s">
        <v>1841</v>
      </c>
      <c r="C734" s="346" t="s">
        <v>1842</v>
      </c>
    </row>
    <row r="735" spans="1:3">
      <c r="A735" s="347">
        <v>46090</v>
      </c>
      <c r="B735" s="346" t="s">
        <v>1843</v>
      </c>
      <c r="C735" s="346" t="s">
        <v>10556</v>
      </c>
    </row>
    <row r="736" spans="1:3">
      <c r="A736" s="347">
        <v>46090</v>
      </c>
      <c r="B736" s="346" t="s">
        <v>1844</v>
      </c>
      <c r="C736" s="346" t="s">
        <v>1845</v>
      </c>
    </row>
    <row r="737" spans="1:3">
      <c r="A737" s="347">
        <v>46090</v>
      </c>
      <c r="B737" s="346" t="s">
        <v>1846</v>
      </c>
      <c r="C737" s="346" t="s">
        <v>1847</v>
      </c>
    </row>
    <row r="738" spans="1:3">
      <c r="A738" s="347">
        <v>46090</v>
      </c>
      <c r="B738" s="346" t="s">
        <v>1848</v>
      </c>
      <c r="C738" s="346" t="s">
        <v>1849</v>
      </c>
    </row>
    <row r="739" spans="1:3">
      <c r="A739" s="347">
        <v>46090</v>
      </c>
      <c r="B739" s="346" t="s">
        <v>1850</v>
      </c>
      <c r="C739" s="346" t="s">
        <v>1851</v>
      </c>
    </row>
    <row r="740" spans="1:3">
      <c r="A740" s="347">
        <v>46090</v>
      </c>
      <c r="B740" s="346" t="s">
        <v>1852</v>
      </c>
      <c r="C740" s="346" t="s">
        <v>1853</v>
      </c>
    </row>
    <row r="741" spans="1:3">
      <c r="A741" s="347">
        <v>46090</v>
      </c>
      <c r="B741" s="346" t="s">
        <v>1854</v>
      </c>
      <c r="C741" s="346" t="s">
        <v>1855</v>
      </c>
    </row>
    <row r="742" spans="1:3">
      <c r="A742" s="347">
        <v>46090</v>
      </c>
      <c r="B742" s="346" t="s">
        <v>1856</v>
      </c>
      <c r="C742" s="346" t="s">
        <v>1857</v>
      </c>
    </row>
    <row r="743" spans="1:3">
      <c r="A743" s="347">
        <v>46090</v>
      </c>
      <c r="B743" s="346" t="s">
        <v>1858</v>
      </c>
      <c r="C743" s="346" t="s">
        <v>1859</v>
      </c>
    </row>
    <row r="744" spans="1:3">
      <c r="A744" s="347">
        <v>46090</v>
      </c>
      <c r="B744" s="346" t="s">
        <v>1860</v>
      </c>
      <c r="C744" s="346" t="s">
        <v>1861</v>
      </c>
    </row>
    <row r="745" spans="1:3">
      <c r="A745" s="347">
        <v>46090</v>
      </c>
      <c r="B745" s="346" t="s">
        <v>1862</v>
      </c>
      <c r="C745" s="346" t="s">
        <v>1863</v>
      </c>
    </row>
    <row r="746" spans="1:3">
      <c r="A746" s="347">
        <v>46090</v>
      </c>
      <c r="B746" s="346" t="s">
        <v>1864</v>
      </c>
      <c r="C746" s="346" t="s">
        <v>1865</v>
      </c>
    </row>
    <row r="747" spans="1:3">
      <c r="A747" s="347">
        <v>46090</v>
      </c>
      <c r="B747" s="346" t="s">
        <v>1866</v>
      </c>
      <c r="C747" s="346" t="s">
        <v>1867</v>
      </c>
    </row>
    <row r="748" spans="1:3">
      <c r="A748" s="347">
        <v>46090</v>
      </c>
      <c r="B748" s="346" t="s">
        <v>1868</v>
      </c>
      <c r="C748" s="346" t="s">
        <v>1869</v>
      </c>
    </row>
    <row r="749" spans="1:3">
      <c r="A749" s="347">
        <v>46090</v>
      </c>
      <c r="B749" s="346" t="s">
        <v>1870</v>
      </c>
      <c r="C749" s="346" t="s">
        <v>1871</v>
      </c>
    </row>
    <row r="750" spans="1:3">
      <c r="A750" s="347">
        <v>46090</v>
      </c>
      <c r="B750" s="346" t="s">
        <v>1872</v>
      </c>
      <c r="C750" s="346" t="s">
        <v>1873</v>
      </c>
    </row>
    <row r="751" spans="1:3">
      <c r="A751" s="347">
        <v>46090</v>
      </c>
      <c r="B751" s="346" t="s">
        <v>1874</v>
      </c>
      <c r="C751" s="346" t="s">
        <v>10557</v>
      </c>
    </row>
    <row r="752" spans="1:3">
      <c r="A752" s="347">
        <v>46090</v>
      </c>
      <c r="B752" s="346" t="s">
        <v>1875</v>
      </c>
      <c r="C752" s="346" t="s">
        <v>1876</v>
      </c>
    </row>
    <row r="753" spans="1:3">
      <c r="A753" s="347">
        <v>46090</v>
      </c>
      <c r="B753" s="346" t="s">
        <v>1877</v>
      </c>
      <c r="C753" s="346" t="s">
        <v>1878</v>
      </c>
    </row>
    <row r="754" spans="1:3">
      <c r="A754" s="347">
        <v>46090</v>
      </c>
      <c r="B754" s="346" t="s">
        <v>1879</v>
      </c>
      <c r="C754" s="346" t="s">
        <v>1880</v>
      </c>
    </row>
    <row r="755" spans="1:3">
      <c r="A755" s="347">
        <v>46090</v>
      </c>
      <c r="B755" s="346" t="s">
        <v>1881</v>
      </c>
      <c r="C755" s="346" t="s">
        <v>1882</v>
      </c>
    </row>
    <row r="756" spans="1:3">
      <c r="A756" s="347">
        <v>46090</v>
      </c>
      <c r="B756" s="346" t="s">
        <v>1883</v>
      </c>
      <c r="C756" s="346" t="s">
        <v>1884</v>
      </c>
    </row>
    <row r="757" spans="1:3">
      <c r="A757" s="347">
        <v>46090</v>
      </c>
      <c r="B757" s="346" t="s">
        <v>1885</v>
      </c>
      <c r="C757" s="346" t="s">
        <v>1886</v>
      </c>
    </row>
    <row r="758" spans="1:3">
      <c r="A758" s="347">
        <v>46090</v>
      </c>
      <c r="B758" s="346" t="s">
        <v>1887</v>
      </c>
      <c r="C758" s="346" t="s">
        <v>1888</v>
      </c>
    </row>
    <row r="759" spans="1:3">
      <c r="A759" s="347">
        <v>46090</v>
      </c>
      <c r="B759" s="346" t="s">
        <v>1889</v>
      </c>
      <c r="C759" s="346" t="s">
        <v>1890</v>
      </c>
    </row>
    <row r="760" spans="1:3">
      <c r="A760" s="347">
        <v>46090</v>
      </c>
      <c r="B760" s="346" t="s">
        <v>1891</v>
      </c>
      <c r="C760" s="346" t="s">
        <v>1892</v>
      </c>
    </row>
    <row r="761" spans="1:3">
      <c r="A761" s="347">
        <v>46090</v>
      </c>
      <c r="B761" s="346" t="s">
        <v>1893</v>
      </c>
      <c r="C761" s="346" t="s">
        <v>1894</v>
      </c>
    </row>
    <row r="762" spans="1:3">
      <c r="A762" s="347">
        <v>46090</v>
      </c>
      <c r="B762" s="346" t="s">
        <v>1895</v>
      </c>
      <c r="C762" s="346" t="s">
        <v>1896</v>
      </c>
    </row>
    <row r="763" spans="1:3">
      <c r="A763" s="347">
        <v>46090</v>
      </c>
      <c r="B763" s="346" t="s">
        <v>1897</v>
      </c>
      <c r="C763" s="346" t="s">
        <v>1898</v>
      </c>
    </row>
    <row r="764" spans="1:3">
      <c r="A764" s="347">
        <v>46090</v>
      </c>
      <c r="B764" s="346" t="s">
        <v>1899</v>
      </c>
      <c r="C764" s="346" t="s">
        <v>1900</v>
      </c>
    </row>
    <row r="765" spans="1:3">
      <c r="A765" s="347">
        <v>46090</v>
      </c>
      <c r="B765" s="346" t="s">
        <v>1901</v>
      </c>
      <c r="C765" s="346" t="s">
        <v>1902</v>
      </c>
    </row>
    <row r="766" spans="1:3">
      <c r="A766" s="347">
        <v>46090</v>
      </c>
      <c r="B766" s="346" t="s">
        <v>1903</v>
      </c>
      <c r="C766" s="346" t="s">
        <v>1904</v>
      </c>
    </row>
    <row r="767" spans="1:3">
      <c r="A767" s="347">
        <v>46090</v>
      </c>
      <c r="B767" s="346" t="s">
        <v>1905</v>
      </c>
      <c r="C767" s="346" t="s">
        <v>1906</v>
      </c>
    </row>
    <row r="768" spans="1:3">
      <c r="A768" s="347">
        <v>46090</v>
      </c>
      <c r="B768" s="346" t="s">
        <v>1907</v>
      </c>
      <c r="C768" s="346" t="s">
        <v>1908</v>
      </c>
    </row>
    <row r="769" spans="1:3">
      <c r="A769" s="347">
        <v>46090</v>
      </c>
      <c r="B769" s="346" t="s">
        <v>1909</v>
      </c>
      <c r="C769" s="346" t="s">
        <v>1910</v>
      </c>
    </row>
    <row r="770" spans="1:3">
      <c r="A770" s="347">
        <v>46090</v>
      </c>
      <c r="B770" s="346" t="s">
        <v>1911</v>
      </c>
      <c r="C770" s="346" t="s">
        <v>1912</v>
      </c>
    </row>
    <row r="771" spans="1:3">
      <c r="A771" s="347">
        <v>46090</v>
      </c>
      <c r="B771" s="346" t="s">
        <v>1913</v>
      </c>
      <c r="C771" s="346" t="s">
        <v>10558</v>
      </c>
    </row>
    <row r="772" spans="1:3">
      <c r="A772" s="347">
        <v>46090</v>
      </c>
      <c r="B772" s="346" t="s">
        <v>1914</v>
      </c>
      <c r="C772" s="346" t="s">
        <v>1915</v>
      </c>
    </row>
    <row r="773" spans="1:3">
      <c r="A773" s="347">
        <v>46090</v>
      </c>
      <c r="B773" s="346" t="s">
        <v>1916</v>
      </c>
      <c r="C773" s="346" t="s">
        <v>10559</v>
      </c>
    </row>
    <row r="774" spans="1:3">
      <c r="A774" s="347">
        <v>46090</v>
      </c>
      <c r="B774" s="346" t="s">
        <v>1917</v>
      </c>
      <c r="C774" s="346" t="s">
        <v>1918</v>
      </c>
    </row>
    <row r="775" spans="1:3">
      <c r="A775" s="347">
        <v>46090</v>
      </c>
      <c r="B775" s="346" t="s">
        <v>1919</v>
      </c>
      <c r="C775" s="346" t="s">
        <v>1920</v>
      </c>
    </row>
    <row r="776" spans="1:3">
      <c r="A776" s="347">
        <v>46090</v>
      </c>
      <c r="B776" s="346" t="s">
        <v>1921</v>
      </c>
      <c r="C776" s="346" t="s">
        <v>1922</v>
      </c>
    </row>
    <row r="777" spans="1:3">
      <c r="A777" s="347">
        <v>46090</v>
      </c>
      <c r="B777" s="346" t="s">
        <v>1923</v>
      </c>
      <c r="C777" s="346" t="s">
        <v>1924</v>
      </c>
    </row>
    <row r="778" spans="1:3">
      <c r="A778" s="347">
        <v>46090</v>
      </c>
      <c r="B778" s="346" t="s">
        <v>1925</v>
      </c>
      <c r="C778" s="346" t="s">
        <v>10560</v>
      </c>
    </row>
    <row r="779" spans="1:3">
      <c r="A779" s="347">
        <v>46090</v>
      </c>
      <c r="B779" s="346" t="s">
        <v>1926</v>
      </c>
      <c r="C779" s="346" t="s">
        <v>1927</v>
      </c>
    </row>
    <row r="780" spans="1:3">
      <c r="A780" s="347">
        <v>46090</v>
      </c>
      <c r="B780" s="346" t="s">
        <v>1928</v>
      </c>
      <c r="C780" s="346" t="s">
        <v>1929</v>
      </c>
    </row>
    <row r="781" spans="1:3">
      <c r="A781" s="347">
        <v>46090</v>
      </c>
      <c r="B781" s="346" t="s">
        <v>1930</v>
      </c>
      <c r="C781" s="346" t="s">
        <v>1931</v>
      </c>
    </row>
    <row r="782" spans="1:3">
      <c r="A782" s="347">
        <v>46090</v>
      </c>
      <c r="B782" s="346" t="s">
        <v>1932</v>
      </c>
      <c r="C782" s="346" t="s">
        <v>1933</v>
      </c>
    </row>
    <row r="783" spans="1:3">
      <c r="A783" s="347">
        <v>46090</v>
      </c>
      <c r="B783" s="346" t="s">
        <v>1934</v>
      </c>
      <c r="C783" s="346" t="s">
        <v>1935</v>
      </c>
    </row>
    <row r="784" spans="1:3">
      <c r="A784" s="347">
        <v>46090</v>
      </c>
      <c r="B784" s="346" t="s">
        <v>1936</v>
      </c>
      <c r="C784" s="346" t="s">
        <v>1937</v>
      </c>
    </row>
    <row r="785" spans="1:3">
      <c r="A785" s="347">
        <v>46090</v>
      </c>
      <c r="B785" s="346" t="s">
        <v>1938</v>
      </c>
      <c r="C785" s="346" t="s">
        <v>1939</v>
      </c>
    </row>
    <row r="786" spans="1:3">
      <c r="A786" s="347">
        <v>46090</v>
      </c>
      <c r="B786" s="346" t="s">
        <v>1940</v>
      </c>
      <c r="C786" s="346" t="s">
        <v>1941</v>
      </c>
    </row>
    <row r="787" spans="1:3">
      <c r="A787" s="347">
        <v>46090</v>
      </c>
      <c r="B787" s="346" t="s">
        <v>1942</v>
      </c>
      <c r="C787" s="346" t="s">
        <v>1943</v>
      </c>
    </row>
    <row r="788" spans="1:3">
      <c r="A788" s="347">
        <v>46090</v>
      </c>
      <c r="B788" s="346" t="s">
        <v>1944</v>
      </c>
      <c r="C788" s="346" t="s">
        <v>1945</v>
      </c>
    </row>
    <row r="789" spans="1:3">
      <c r="A789" s="347">
        <v>46090</v>
      </c>
      <c r="B789" s="346" t="s">
        <v>1946</v>
      </c>
      <c r="C789" s="346" t="s">
        <v>1947</v>
      </c>
    </row>
    <row r="790" spans="1:3">
      <c r="A790" s="347">
        <v>46090</v>
      </c>
      <c r="B790" s="346" t="s">
        <v>1948</v>
      </c>
      <c r="C790" s="346" t="s">
        <v>1949</v>
      </c>
    </row>
    <row r="791" spans="1:3">
      <c r="A791" s="347">
        <v>46090</v>
      </c>
      <c r="B791" s="346" t="s">
        <v>1950</v>
      </c>
      <c r="C791" s="346" t="s">
        <v>1951</v>
      </c>
    </row>
    <row r="792" spans="1:3">
      <c r="A792" s="347">
        <v>46090</v>
      </c>
      <c r="B792" s="346" t="s">
        <v>1952</v>
      </c>
      <c r="C792" s="346" t="s">
        <v>1953</v>
      </c>
    </row>
    <row r="793" spans="1:3">
      <c r="A793" s="347">
        <v>46090</v>
      </c>
      <c r="B793" s="346" t="s">
        <v>1954</v>
      </c>
      <c r="C793" s="346" t="s">
        <v>1955</v>
      </c>
    </row>
    <row r="794" spans="1:3">
      <c r="A794" s="347">
        <v>46090</v>
      </c>
      <c r="B794" s="346" t="s">
        <v>1956</v>
      </c>
      <c r="C794" s="346" t="s">
        <v>1957</v>
      </c>
    </row>
    <row r="795" spans="1:3">
      <c r="A795" s="347">
        <v>46090</v>
      </c>
      <c r="B795" s="346" t="s">
        <v>1958</v>
      </c>
      <c r="C795" s="346" t="s">
        <v>1959</v>
      </c>
    </row>
    <row r="796" spans="1:3">
      <c r="A796" s="347">
        <v>46090</v>
      </c>
      <c r="B796" s="346" t="s">
        <v>1960</v>
      </c>
      <c r="C796" s="346" t="s">
        <v>1961</v>
      </c>
    </row>
    <row r="797" spans="1:3">
      <c r="A797" s="347">
        <v>46090</v>
      </c>
      <c r="B797" s="346" t="s">
        <v>1962</v>
      </c>
      <c r="C797" s="346" t="s">
        <v>1963</v>
      </c>
    </row>
    <row r="798" spans="1:3">
      <c r="A798" s="347">
        <v>46090</v>
      </c>
      <c r="B798" s="346" t="s">
        <v>1964</v>
      </c>
      <c r="C798" s="346" t="s">
        <v>1965</v>
      </c>
    </row>
    <row r="799" spans="1:3">
      <c r="A799" s="347">
        <v>46090</v>
      </c>
      <c r="B799" s="346" t="s">
        <v>1966</v>
      </c>
      <c r="C799" s="346" t="s">
        <v>1967</v>
      </c>
    </row>
    <row r="800" spans="1:3">
      <c r="A800" s="347">
        <v>46090</v>
      </c>
      <c r="B800" s="346" t="s">
        <v>1968</v>
      </c>
      <c r="C800" s="346" t="s">
        <v>1969</v>
      </c>
    </row>
    <row r="801" spans="1:3">
      <c r="A801" s="347">
        <v>46090</v>
      </c>
      <c r="B801" s="346" t="s">
        <v>1970</v>
      </c>
      <c r="C801" s="346" t="s">
        <v>1971</v>
      </c>
    </row>
    <row r="802" spans="1:3">
      <c r="A802" s="347">
        <v>46090</v>
      </c>
      <c r="B802" s="346" t="s">
        <v>1972</v>
      </c>
      <c r="C802" s="346" t="s">
        <v>1973</v>
      </c>
    </row>
    <row r="803" spans="1:3">
      <c r="A803" s="347">
        <v>46090</v>
      </c>
      <c r="B803" s="346" t="s">
        <v>1974</v>
      </c>
      <c r="C803" s="346" t="s">
        <v>1975</v>
      </c>
    </row>
    <row r="804" spans="1:3">
      <c r="A804" s="347">
        <v>46090</v>
      </c>
      <c r="B804" s="346" t="s">
        <v>1976</v>
      </c>
      <c r="C804" s="346" t="s">
        <v>1977</v>
      </c>
    </row>
    <row r="805" spans="1:3">
      <c r="A805" s="347">
        <v>46090</v>
      </c>
      <c r="B805" s="346" t="s">
        <v>1978</v>
      </c>
      <c r="C805" s="346" t="s">
        <v>10561</v>
      </c>
    </row>
    <row r="806" spans="1:3">
      <c r="A806" s="347">
        <v>46090</v>
      </c>
      <c r="B806" s="346" t="s">
        <v>1979</v>
      </c>
      <c r="C806" s="346" t="s">
        <v>1980</v>
      </c>
    </row>
    <row r="807" spans="1:3">
      <c r="A807" s="347">
        <v>46090</v>
      </c>
      <c r="B807" s="346" t="s">
        <v>1981</v>
      </c>
      <c r="C807" s="346" t="s">
        <v>1982</v>
      </c>
    </row>
    <row r="808" spans="1:3">
      <c r="A808" s="347">
        <v>46090</v>
      </c>
      <c r="B808" s="346" t="s">
        <v>1983</v>
      </c>
      <c r="C808" s="346" t="s">
        <v>1984</v>
      </c>
    </row>
    <row r="809" spans="1:3">
      <c r="A809" s="347">
        <v>46090</v>
      </c>
      <c r="B809" s="346" t="s">
        <v>1985</v>
      </c>
      <c r="C809" s="346" t="s">
        <v>1986</v>
      </c>
    </row>
    <row r="810" spans="1:3">
      <c r="A810" s="347">
        <v>46090</v>
      </c>
      <c r="B810" s="346" t="s">
        <v>1987</v>
      </c>
      <c r="C810" s="346" t="s">
        <v>1988</v>
      </c>
    </row>
    <row r="811" spans="1:3">
      <c r="A811" s="347">
        <v>46090</v>
      </c>
      <c r="B811" s="346" t="s">
        <v>1989</v>
      </c>
      <c r="C811" s="346" t="s">
        <v>1990</v>
      </c>
    </row>
    <row r="812" spans="1:3">
      <c r="A812" s="347">
        <v>46090</v>
      </c>
      <c r="B812" s="346" t="s">
        <v>1991</v>
      </c>
      <c r="C812" s="346" t="s">
        <v>1992</v>
      </c>
    </row>
    <row r="813" spans="1:3">
      <c r="A813" s="347">
        <v>46090</v>
      </c>
      <c r="B813" s="346" t="s">
        <v>1993</v>
      </c>
      <c r="C813" s="346" t="s">
        <v>1994</v>
      </c>
    </row>
    <row r="814" spans="1:3">
      <c r="A814" s="347">
        <v>46090</v>
      </c>
      <c r="B814" s="346" t="s">
        <v>1995</v>
      </c>
      <c r="C814" s="346" t="s">
        <v>10562</v>
      </c>
    </row>
    <row r="815" spans="1:3">
      <c r="A815" s="347">
        <v>46090</v>
      </c>
      <c r="B815" s="346" t="s">
        <v>1996</v>
      </c>
      <c r="C815" s="346" t="s">
        <v>1997</v>
      </c>
    </row>
    <row r="816" spans="1:3">
      <c r="A816" s="347">
        <v>46090</v>
      </c>
      <c r="B816" s="346" t="s">
        <v>1998</v>
      </c>
      <c r="C816" s="346" t="s">
        <v>1999</v>
      </c>
    </row>
    <row r="817" spans="1:3">
      <c r="A817" s="347">
        <v>46090</v>
      </c>
      <c r="B817" s="346" t="s">
        <v>2000</v>
      </c>
      <c r="C817" s="346" t="s">
        <v>2001</v>
      </c>
    </row>
    <row r="818" spans="1:3">
      <c r="A818" s="347">
        <v>46090</v>
      </c>
      <c r="B818" s="346" t="s">
        <v>2002</v>
      </c>
      <c r="C818" s="346" t="s">
        <v>2003</v>
      </c>
    </row>
    <row r="819" spans="1:3">
      <c r="A819" s="347">
        <v>46090</v>
      </c>
      <c r="B819" s="346" t="s">
        <v>2004</v>
      </c>
      <c r="C819" s="346" t="s">
        <v>2005</v>
      </c>
    </row>
    <row r="820" spans="1:3">
      <c r="A820" s="347">
        <v>46090</v>
      </c>
      <c r="B820" s="346" t="s">
        <v>2006</v>
      </c>
      <c r="C820" s="346" t="s">
        <v>2007</v>
      </c>
    </row>
    <row r="821" spans="1:3">
      <c r="A821" s="347">
        <v>46090</v>
      </c>
      <c r="B821" s="346" t="s">
        <v>2008</v>
      </c>
      <c r="C821" s="346" t="s">
        <v>10563</v>
      </c>
    </row>
    <row r="822" spans="1:3">
      <c r="A822" s="347">
        <v>46090</v>
      </c>
      <c r="B822" s="346" t="s">
        <v>2009</v>
      </c>
      <c r="C822" s="346" t="s">
        <v>10564</v>
      </c>
    </row>
    <row r="823" spans="1:3">
      <c r="A823" s="347">
        <v>46090</v>
      </c>
      <c r="B823" s="346" t="s">
        <v>2010</v>
      </c>
      <c r="C823" s="346" t="s">
        <v>2011</v>
      </c>
    </row>
    <row r="824" spans="1:3">
      <c r="A824" s="347">
        <v>46090</v>
      </c>
      <c r="B824" s="346" t="s">
        <v>2012</v>
      </c>
      <c r="C824" s="346" t="s">
        <v>10565</v>
      </c>
    </row>
    <row r="825" spans="1:3">
      <c r="A825" s="347">
        <v>46090</v>
      </c>
      <c r="B825" s="346" t="s">
        <v>2013</v>
      </c>
      <c r="C825" s="346" t="s">
        <v>11053</v>
      </c>
    </row>
    <row r="826" spans="1:3">
      <c r="A826" s="347">
        <v>46090</v>
      </c>
      <c r="B826" s="346" t="s">
        <v>2014</v>
      </c>
      <c r="C826" s="346" t="s">
        <v>2015</v>
      </c>
    </row>
    <row r="827" spans="1:3">
      <c r="A827" s="347">
        <v>46090</v>
      </c>
      <c r="B827" s="346" t="s">
        <v>2016</v>
      </c>
      <c r="C827" s="346" t="s">
        <v>2017</v>
      </c>
    </row>
    <row r="828" spans="1:3">
      <c r="A828" s="347">
        <v>46090</v>
      </c>
      <c r="B828" s="346" t="s">
        <v>2018</v>
      </c>
      <c r="C828" s="346" t="s">
        <v>2019</v>
      </c>
    </row>
    <row r="829" spans="1:3">
      <c r="A829" s="347">
        <v>46090</v>
      </c>
      <c r="B829" s="346" t="s">
        <v>2020</v>
      </c>
      <c r="C829" s="346" t="s">
        <v>2021</v>
      </c>
    </row>
    <row r="830" spans="1:3">
      <c r="A830" s="347">
        <v>46090</v>
      </c>
      <c r="B830" s="346" t="s">
        <v>2022</v>
      </c>
      <c r="C830" s="346" t="s">
        <v>2023</v>
      </c>
    </row>
    <row r="831" spans="1:3">
      <c r="A831" s="347">
        <v>46090</v>
      </c>
      <c r="B831" s="346" t="s">
        <v>2024</v>
      </c>
      <c r="C831" s="346" t="s">
        <v>2025</v>
      </c>
    </row>
    <row r="832" spans="1:3">
      <c r="A832" s="347">
        <v>46090</v>
      </c>
      <c r="B832" s="346" t="s">
        <v>2026</v>
      </c>
      <c r="C832" s="346" t="s">
        <v>2027</v>
      </c>
    </row>
    <row r="833" spans="1:3">
      <c r="A833" s="347">
        <v>46090</v>
      </c>
      <c r="B833" s="346" t="s">
        <v>2028</v>
      </c>
      <c r="C833" s="346" t="s">
        <v>2029</v>
      </c>
    </row>
    <row r="834" spans="1:3">
      <c r="A834" s="347">
        <v>46090</v>
      </c>
      <c r="B834" s="346" t="s">
        <v>2030</v>
      </c>
      <c r="C834" s="346" t="s">
        <v>2031</v>
      </c>
    </row>
    <row r="835" spans="1:3">
      <c r="A835" s="347">
        <v>46090</v>
      </c>
      <c r="B835" s="346" t="s">
        <v>2032</v>
      </c>
      <c r="C835" s="346" t="s">
        <v>2033</v>
      </c>
    </row>
    <row r="836" spans="1:3">
      <c r="A836" s="347">
        <v>46090</v>
      </c>
      <c r="B836" s="346" t="s">
        <v>2034</v>
      </c>
      <c r="C836" s="346" t="s">
        <v>2035</v>
      </c>
    </row>
    <row r="837" spans="1:3">
      <c r="A837" s="347">
        <v>46090</v>
      </c>
      <c r="B837" s="346" t="s">
        <v>2036</v>
      </c>
      <c r="C837" s="346" t="s">
        <v>2037</v>
      </c>
    </row>
    <row r="838" spans="1:3">
      <c r="A838" s="347">
        <v>46090</v>
      </c>
      <c r="B838" s="346" t="s">
        <v>2038</v>
      </c>
      <c r="C838" s="346" t="s">
        <v>2039</v>
      </c>
    </row>
    <row r="839" spans="1:3">
      <c r="A839" s="347">
        <v>46090</v>
      </c>
      <c r="B839" s="346" t="s">
        <v>2040</v>
      </c>
      <c r="C839" s="346" t="s">
        <v>2041</v>
      </c>
    </row>
    <row r="840" spans="1:3">
      <c r="A840" s="347">
        <v>46090</v>
      </c>
      <c r="B840" s="346" t="s">
        <v>2042</v>
      </c>
      <c r="C840" s="346" t="s">
        <v>2043</v>
      </c>
    </row>
    <row r="841" spans="1:3">
      <c r="A841" s="347">
        <v>46090</v>
      </c>
      <c r="B841" s="346" t="s">
        <v>2044</v>
      </c>
      <c r="C841" s="346" t="s">
        <v>2045</v>
      </c>
    </row>
    <row r="842" spans="1:3">
      <c r="A842" s="347">
        <v>46090</v>
      </c>
      <c r="B842" s="346" t="s">
        <v>2046</v>
      </c>
      <c r="C842" s="346" t="s">
        <v>2047</v>
      </c>
    </row>
    <row r="843" spans="1:3">
      <c r="A843" s="347">
        <v>46090</v>
      </c>
      <c r="B843" s="346" t="s">
        <v>2048</v>
      </c>
      <c r="C843" s="346" t="s">
        <v>2049</v>
      </c>
    </row>
    <row r="844" spans="1:3">
      <c r="A844" s="347">
        <v>46090</v>
      </c>
      <c r="B844" s="346" t="s">
        <v>2050</v>
      </c>
      <c r="C844" s="346" t="s">
        <v>2051</v>
      </c>
    </row>
    <row r="845" spans="1:3">
      <c r="A845" s="347">
        <v>46090</v>
      </c>
      <c r="B845" s="346" t="s">
        <v>2052</v>
      </c>
      <c r="C845" s="346" t="s">
        <v>2053</v>
      </c>
    </row>
    <row r="846" spans="1:3">
      <c r="A846" s="347">
        <v>46090</v>
      </c>
      <c r="B846" s="346" t="s">
        <v>2054</v>
      </c>
      <c r="C846" s="346" t="s">
        <v>2055</v>
      </c>
    </row>
    <row r="847" spans="1:3">
      <c r="A847" s="347">
        <v>46090</v>
      </c>
      <c r="B847" s="346" t="s">
        <v>2056</v>
      </c>
      <c r="C847" s="346" t="s">
        <v>2057</v>
      </c>
    </row>
    <row r="848" spans="1:3">
      <c r="A848" s="347">
        <v>46090</v>
      </c>
      <c r="B848" s="346" t="s">
        <v>2058</v>
      </c>
      <c r="C848" s="346" t="s">
        <v>2059</v>
      </c>
    </row>
    <row r="849" spans="1:3">
      <c r="A849" s="347">
        <v>46090</v>
      </c>
      <c r="B849" s="346" t="s">
        <v>2060</v>
      </c>
      <c r="C849" s="346" t="s">
        <v>2061</v>
      </c>
    </row>
    <row r="850" spans="1:3">
      <c r="A850" s="347">
        <v>46090</v>
      </c>
      <c r="B850" s="346" t="s">
        <v>2062</v>
      </c>
      <c r="C850" s="346" t="s">
        <v>2063</v>
      </c>
    </row>
    <row r="851" spans="1:3">
      <c r="A851" s="347">
        <v>46090</v>
      </c>
      <c r="B851" s="346" t="s">
        <v>2064</v>
      </c>
      <c r="C851" s="346" t="s">
        <v>2065</v>
      </c>
    </row>
    <row r="852" spans="1:3">
      <c r="A852" s="347">
        <v>46090</v>
      </c>
      <c r="B852" s="346" t="s">
        <v>2066</v>
      </c>
      <c r="C852" s="346" t="s">
        <v>2067</v>
      </c>
    </row>
    <row r="853" spans="1:3">
      <c r="A853" s="347">
        <v>46090</v>
      </c>
      <c r="B853" s="346" t="s">
        <v>2068</v>
      </c>
      <c r="C853" s="346" t="s">
        <v>2069</v>
      </c>
    </row>
    <row r="854" spans="1:3">
      <c r="A854" s="347">
        <v>46090</v>
      </c>
      <c r="B854" s="346" t="s">
        <v>2070</v>
      </c>
      <c r="C854" s="346" t="s">
        <v>2071</v>
      </c>
    </row>
    <row r="855" spans="1:3">
      <c r="A855" s="347">
        <v>46090</v>
      </c>
      <c r="B855" s="346" t="s">
        <v>2072</v>
      </c>
      <c r="C855" s="346" t="s">
        <v>2073</v>
      </c>
    </row>
    <row r="856" spans="1:3">
      <c r="A856" s="347">
        <v>46090</v>
      </c>
      <c r="B856" s="346" t="s">
        <v>2074</v>
      </c>
      <c r="C856" s="346" t="s">
        <v>2075</v>
      </c>
    </row>
    <row r="857" spans="1:3">
      <c r="A857" s="347">
        <v>46090</v>
      </c>
      <c r="B857" s="346" t="s">
        <v>2076</v>
      </c>
      <c r="C857" s="346" t="s">
        <v>2077</v>
      </c>
    </row>
    <row r="858" spans="1:3">
      <c r="A858" s="347">
        <v>46090</v>
      </c>
      <c r="B858" s="346" t="s">
        <v>2078</v>
      </c>
      <c r="C858" s="346" t="s">
        <v>2079</v>
      </c>
    </row>
    <row r="859" spans="1:3">
      <c r="A859" s="347">
        <v>46090</v>
      </c>
      <c r="B859" s="346" t="s">
        <v>2080</v>
      </c>
      <c r="C859" s="346" t="s">
        <v>2081</v>
      </c>
    </row>
    <row r="860" spans="1:3">
      <c r="A860" s="347">
        <v>46090</v>
      </c>
      <c r="B860" s="346" t="s">
        <v>2082</v>
      </c>
      <c r="C860" s="346" t="s">
        <v>2083</v>
      </c>
    </row>
    <row r="861" spans="1:3">
      <c r="A861" s="347">
        <v>46090</v>
      </c>
      <c r="B861" s="346" t="s">
        <v>2084</v>
      </c>
      <c r="C861" s="346" t="s">
        <v>2085</v>
      </c>
    </row>
    <row r="862" spans="1:3">
      <c r="A862" s="347">
        <v>46090</v>
      </c>
      <c r="B862" s="346" t="s">
        <v>2086</v>
      </c>
      <c r="C862" s="346" t="s">
        <v>2087</v>
      </c>
    </row>
    <row r="863" spans="1:3">
      <c r="A863" s="347">
        <v>46090</v>
      </c>
      <c r="B863" s="346" t="s">
        <v>2088</v>
      </c>
      <c r="C863" s="346" t="s">
        <v>2089</v>
      </c>
    </row>
    <row r="864" spans="1:3">
      <c r="A864" s="347">
        <v>46090</v>
      </c>
      <c r="B864" s="346" t="s">
        <v>2090</v>
      </c>
      <c r="C864" s="346" t="s">
        <v>2091</v>
      </c>
    </row>
    <row r="865" spans="1:3">
      <c r="A865" s="347">
        <v>46090</v>
      </c>
      <c r="B865" s="346" t="s">
        <v>2092</v>
      </c>
      <c r="C865" s="346" t="s">
        <v>2093</v>
      </c>
    </row>
    <row r="866" spans="1:3">
      <c r="A866" s="347">
        <v>46090</v>
      </c>
      <c r="B866" s="346" t="s">
        <v>2094</v>
      </c>
      <c r="C866" s="346" t="s">
        <v>2095</v>
      </c>
    </row>
    <row r="867" spans="1:3">
      <c r="A867" s="347">
        <v>46090</v>
      </c>
      <c r="B867" s="346" t="s">
        <v>2096</v>
      </c>
      <c r="C867" s="346" t="s">
        <v>2097</v>
      </c>
    </row>
    <row r="868" spans="1:3">
      <c r="A868" s="347">
        <v>46090</v>
      </c>
      <c r="B868" s="346" t="s">
        <v>2098</v>
      </c>
      <c r="C868" s="346" t="s">
        <v>2099</v>
      </c>
    </row>
    <row r="869" spans="1:3">
      <c r="A869" s="347">
        <v>46090</v>
      </c>
      <c r="B869" s="346" t="s">
        <v>2100</v>
      </c>
      <c r="C869" s="346" t="s">
        <v>2101</v>
      </c>
    </row>
    <row r="870" spans="1:3">
      <c r="A870" s="347">
        <v>46090</v>
      </c>
      <c r="B870" s="346" t="s">
        <v>2102</v>
      </c>
      <c r="C870" s="346" t="s">
        <v>2103</v>
      </c>
    </row>
    <row r="871" spans="1:3">
      <c r="A871" s="347">
        <v>46090</v>
      </c>
      <c r="B871" s="346" t="s">
        <v>2104</v>
      </c>
      <c r="C871" s="346" t="s">
        <v>2105</v>
      </c>
    </row>
    <row r="872" spans="1:3">
      <c r="A872" s="347">
        <v>46090</v>
      </c>
      <c r="B872" s="346" t="s">
        <v>2106</v>
      </c>
      <c r="C872" s="346" t="s">
        <v>2107</v>
      </c>
    </row>
    <row r="873" spans="1:3">
      <c r="A873" s="347">
        <v>46090</v>
      </c>
      <c r="B873" s="346" t="s">
        <v>2108</v>
      </c>
      <c r="C873" s="346" t="s">
        <v>2109</v>
      </c>
    </row>
    <row r="874" spans="1:3">
      <c r="A874" s="347">
        <v>46090</v>
      </c>
      <c r="B874" s="346" t="s">
        <v>2110</v>
      </c>
      <c r="C874" s="346" t="s">
        <v>2111</v>
      </c>
    </row>
    <row r="875" spans="1:3">
      <c r="A875" s="347">
        <v>46090</v>
      </c>
      <c r="B875" s="346" t="s">
        <v>2112</v>
      </c>
      <c r="C875" s="346" t="s">
        <v>2113</v>
      </c>
    </row>
    <row r="876" spans="1:3">
      <c r="A876" s="347">
        <v>46090</v>
      </c>
      <c r="B876" s="346" t="s">
        <v>2114</v>
      </c>
      <c r="C876" s="346" t="s">
        <v>2115</v>
      </c>
    </row>
    <row r="877" spans="1:3">
      <c r="A877" s="347">
        <v>46090</v>
      </c>
      <c r="B877" s="346" t="s">
        <v>2116</v>
      </c>
      <c r="C877" s="346" t="s">
        <v>2117</v>
      </c>
    </row>
    <row r="878" spans="1:3">
      <c r="A878" s="347">
        <v>46090</v>
      </c>
      <c r="B878" s="346" t="s">
        <v>2118</v>
      </c>
      <c r="C878" s="346" t="s">
        <v>2119</v>
      </c>
    </row>
    <row r="879" spans="1:3">
      <c r="A879" s="347">
        <v>46090</v>
      </c>
      <c r="B879" s="346" t="s">
        <v>2120</v>
      </c>
      <c r="C879" s="346" t="s">
        <v>2121</v>
      </c>
    </row>
    <row r="880" spans="1:3">
      <c r="A880" s="347">
        <v>46090</v>
      </c>
      <c r="B880" s="346" t="s">
        <v>2122</v>
      </c>
      <c r="C880" s="346" t="s">
        <v>2123</v>
      </c>
    </row>
    <row r="881" spans="1:3">
      <c r="A881" s="347">
        <v>46090</v>
      </c>
      <c r="B881" s="346" t="s">
        <v>2124</v>
      </c>
      <c r="C881" s="346" t="s">
        <v>2125</v>
      </c>
    </row>
    <row r="882" spans="1:3">
      <c r="A882" s="347">
        <v>46090</v>
      </c>
      <c r="B882" s="346" t="s">
        <v>2126</v>
      </c>
      <c r="C882" s="346" t="s">
        <v>2127</v>
      </c>
    </row>
    <row r="883" spans="1:3">
      <c r="A883" s="347">
        <v>46090</v>
      </c>
      <c r="B883" s="346" t="s">
        <v>2128</v>
      </c>
      <c r="C883" s="346" t="s">
        <v>2129</v>
      </c>
    </row>
    <row r="884" spans="1:3">
      <c r="A884" s="347">
        <v>46090</v>
      </c>
      <c r="B884" s="346" t="s">
        <v>2130</v>
      </c>
      <c r="C884" s="346" t="s">
        <v>2131</v>
      </c>
    </row>
    <row r="885" spans="1:3">
      <c r="A885" s="347">
        <v>46090</v>
      </c>
      <c r="B885" s="346" t="s">
        <v>2132</v>
      </c>
      <c r="C885" s="346" t="s">
        <v>2133</v>
      </c>
    </row>
    <row r="886" spans="1:3">
      <c r="A886" s="347">
        <v>46090</v>
      </c>
      <c r="B886" s="346" t="s">
        <v>2134</v>
      </c>
      <c r="C886" s="346" t="s">
        <v>2135</v>
      </c>
    </row>
    <row r="887" spans="1:3">
      <c r="A887" s="347">
        <v>46090</v>
      </c>
      <c r="B887" s="346" t="s">
        <v>2136</v>
      </c>
      <c r="C887" s="346" t="s">
        <v>2137</v>
      </c>
    </row>
    <row r="888" spans="1:3">
      <c r="A888" s="347">
        <v>46090</v>
      </c>
      <c r="B888" s="346" t="s">
        <v>2138</v>
      </c>
      <c r="C888" s="346" t="s">
        <v>2139</v>
      </c>
    </row>
    <row r="889" spans="1:3">
      <c r="A889" s="347">
        <v>46090</v>
      </c>
      <c r="B889" s="346" t="s">
        <v>2140</v>
      </c>
      <c r="C889" s="346" t="s">
        <v>2141</v>
      </c>
    </row>
    <row r="890" spans="1:3">
      <c r="A890" s="347">
        <v>46090</v>
      </c>
      <c r="B890" s="346" t="s">
        <v>2142</v>
      </c>
      <c r="C890" s="346" t="s">
        <v>11054</v>
      </c>
    </row>
    <row r="891" spans="1:3">
      <c r="A891" s="347">
        <v>46090</v>
      </c>
      <c r="B891" s="346" t="s">
        <v>2143</v>
      </c>
      <c r="C891" s="346" t="s">
        <v>2144</v>
      </c>
    </row>
    <row r="892" spans="1:3">
      <c r="A892" s="347">
        <v>46090</v>
      </c>
      <c r="B892" s="346" t="s">
        <v>2145</v>
      </c>
      <c r="C892" s="346" t="s">
        <v>2146</v>
      </c>
    </row>
    <row r="893" spans="1:3">
      <c r="A893" s="347">
        <v>46090</v>
      </c>
      <c r="B893" s="346" t="s">
        <v>2147</v>
      </c>
      <c r="C893" s="346" t="s">
        <v>2148</v>
      </c>
    </row>
    <row r="894" spans="1:3">
      <c r="A894" s="347">
        <v>46090</v>
      </c>
      <c r="B894" s="346" t="s">
        <v>2149</v>
      </c>
      <c r="C894" s="346" t="s">
        <v>2150</v>
      </c>
    </row>
    <row r="895" spans="1:3">
      <c r="A895" s="347">
        <v>46090</v>
      </c>
      <c r="B895" s="346" t="s">
        <v>2151</v>
      </c>
      <c r="C895" s="346" t="s">
        <v>2152</v>
      </c>
    </row>
    <row r="896" spans="1:3">
      <c r="A896" s="347">
        <v>46090</v>
      </c>
      <c r="B896" s="346" t="s">
        <v>2153</v>
      </c>
      <c r="C896" s="346" t="s">
        <v>2154</v>
      </c>
    </row>
    <row r="897" spans="1:3">
      <c r="A897" s="347">
        <v>46090</v>
      </c>
      <c r="B897" s="346" t="s">
        <v>2155</v>
      </c>
      <c r="C897" s="346" t="s">
        <v>2156</v>
      </c>
    </row>
    <row r="898" spans="1:3">
      <c r="A898" s="347">
        <v>46090</v>
      </c>
      <c r="B898" s="346" t="s">
        <v>2157</v>
      </c>
      <c r="C898" s="346" t="s">
        <v>2158</v>
      </c>
    </row>
    <row r="899" spans="1:3">
      <c r="A899" s="347">
        <v>46090</v>
      </c>
      <c r="B899" s="346" t="s">
        <v>2159</v>
      </c>
      <c r="C899" s="346" t="s">
        <v>11055</v>
      </c>
    </row>
    <row r="900" spans="1:3">
      <c r="A900" s="347">
        <v>46090</v>
      </c>
      <c r="B900" s="346" t="s">
        <v>2160</v>
      </c>
      <c r="C900" s="346" t="s">
        <v>2161</v>
      </c>
    </row>
    <row r="901" spans="1:3">
      <c r="A901" s="347">
        <v>46090</v>
      </c>
      <c r="B901" s="346" t="s">
        <v>2162</v>
      </c>
      <c r="C901" s="346" t="s">
        <v>2163</v>
      </c>
    </row>
    <row r="902" spans="1:3">
      <c r="A902" s="347">
        <v>46090</v>
      </c>
      <c r="B902" s="346" t="s">
        <v>2164</v>
      </c>
      <c r="C902" s="346" t="s">
        <v>2165</v>
      </c>
    </row>
    <row r="903" spans="1:3">
      <c r="A903" s="347">
        <v>46090</v>
      </c>
      <c r="B903" s="346" t="s">
        <v>2166</v>
      </c>
      <c r="C903" s="346" t="s">
        <v>2167</v>
      </c>
    </row>
    <row r="904" spans="1:3">
      <c r="A904" s="347">
        <v>46090</v>
      </c>
      <c r="B904" s="346" t="s">
        <v>2168</v>
      </c>
      <c r="C904" s="346" t="s">
        <v>2169</v>
      </c>
    </row>
    <row r="905" spans="1:3">
      <c r="A905" s="347">
        <v>46090</v>
      </c>
      <c r="B905" s="346" t="s">
        <v>2170</v>
      </c>
      <c r="C905" s="346" t="s">
        <v>2171</v>
      </c>
    </row>
    <row r="906" spans="1:3">
      <c r="A906" s="347">
        <v>46090</v>
      </c>
      <c r="B906" s="346" t="s">
        <v>2172</v>
      </c>
      <c r="C906" s="346" t="s">
        <v>2173</v>
      </c>
    </row>
    <row r="907" spans="1:3">
      <c r="A907" s="347">
        <v>46090</v>
      </c>
      <c r="B907" s="346" t="s">
        <v>2174</v>
      </c>
      <c r="C907" s="346" t="s">
        <v>2175</v>
      </c>
    </row>
    <row r="908" spans="1:3">
      <c r="A908" s="347">
        <v>46090</v>
      </c>
      <c r="B908" s="346" t="s">
        <v>2176</v>
      </c>
      <c r="C908" s="346" t="s">
        <v>2177</v>
      </c>
    </row>
    <row r="909" spans="1:3">
      <c r="A909" s="347">
        <v>46090</v>
      </c>
      <c r="B909" s="346" t="s">
        <v>2178</v>
      </c>
      <c r="C909" s="346" t="s">
        <v>2179</v>
      </c>
    </row>
    <row r="910" spans="1:3">
      <c r="A910" s="347">
        <v>46090</v>
      </c>
      <c r="B910" s="346" t="s">
        <v>2180</v>
      </c>
      <c r="C910" s="346" t="s">
        <v>2181</v>
      </c>
    </row>
    <row r="911" spans="1:3">
      <c r="A911" s="347">
        <v>46090</v>
      </c>
      <c r="B911" s="346" t="s">
        <v>2182</v>
      </c>
      <c r="C911" s="346" t="s">
        <v>2183</v>
      </c>
    </row>
    <row r="912" spans="1:3">
      <c r="A912" s="347">
        <v>46090</v>
      </c>
      <c r="B912" s="346" t="s">
        <v>2184</v>
      </c>
      <c r="C912" s="346" t="s">
        <v>2185</v>
      </c>
    </row>
    <row r="913" spans="1:3">
      <c r="A913" s="347">
        <v>46090</v>
      </c>
      <c r="B913" s="346" t="s">
        <v>2186</v>
      </c>
      <c r="C913" s="346" t="s">
        <v>2187</v>
      </c>
    </row>
    <row r="914" spans="1:3">
      <c r="A914" s="347">
        <v>46090</v>
      </c>
      <c r="B914" s="346" t="s">
        <v>2188</v>
      </c>
      <c r="C914" s="346" t="s">
        <v>2189</v>
      </c>
    </row>
    <row r="915" spans="1:3">
      <c r="A915" s="347">
        <v>46090</v>
      </c>
      <c r="B915" s="346" t="s">
        <v>2190</v>
      </c>
      <c r="C915" s="346" t="s">
        <v>2191</v>
      </c>
    </row>
    <row r="916" spans="1:3">
      <c r="A916" s="347">
        <v>46090</v>
      </c>
      <c r="B916" s="346" t="s">
        <v>2192</v>
      </c>
      <c r="C916" s="346" t="s">
        <v>2193</v>
      </c>
    </row>
    <row r="917" spans="1:3">
      <c r="A917" s="347">
        <v>46090</v>
      </c>
      <c r="B917" s="346" t="s">
        <v>2194</v>
      </c>
      <c r="C917" s="346" t="s">
        <v>2195</v>
      </c>
    </row>
    <row r="918" spans="1:3">
      <c r="A918" s="347">
        <v>46090</v>
      </c>
      <c r="B918" s="346" t="s">
        <v>2196</v>
      </c>
      <c r="C918" s="346" t="s">
        <v>2197</v>
      </c>
    </row>
    <row r="919" spans="1:3">
      <c r="A919" s="347">
        <v>46090</v>
      </c>
      <c r="B919" s="346" t="s">
        <v>2198</v>
      </c>
      <c r="C919" s="346" t="s">
        <v>2199</v>
      </c>
    </row>
    <row r="920" spans="1:3">
      <c r="A920" s="347">
        <v>46090</v>
      </c>
      <c r="B920" s="346" t="s">
        <v>2200</v>
      </c>
      <c r="C920" s="346" t="s">
        <v>2201</v>
      </c>
    </row>
    <row r="921" spans="1:3">
      <c r="A921" s="347">
        <v>46090</v>
      </c>
      <c r="B921" s="346" t="s">
        <v>2202</v>
      </c>
      <c r="C921" s="346" t="s">
        <v>2203</v>
      </c>
    </row>
    <row r="922" spans="1:3">
      <c r="A922" s="347">
        <v>46090</v>
      </c>
      <c r="B922" s="346" t="s">
        <v>2204</v>
      </c>
      <c r="C922" s="346" t="s">
        <v>2205</v>
      </c>
    </row>
    <row r="923" spans="1:3">
      <c r="A923" s="347">
        <v>46090</v>
      </c>
      <c r="B923" s="346" t="s">
        <v>2206</v>
      </c>
      <c r="C923" s="346" t="s">
        <v>2207</v>
      </c>
    </row>
    <row r="924" spans="1:3">
      <c r="A924" s="347">
        <v>46090</v>
      </c>
      <c r="B924" s="346" t="s">
        <v>2208</v>
      </c>
      <c r="C924" s="346" t="s">
        <v>2209</v>
      </c>
    </row>
    <row r="925" spans="1:3">
      <c r="A925" s="347">
        <v>46090</v>
      </c>
      <c r="B925" s="346" t="s">
        <v>2210</v>
      </c>
      <c r="C925" s="346" t="s">
        <v>2211</v>
      </c>
    </row>
    <row r="926" spans="1:3">
      <c r="A926" s="347">
        <v>46090</v>
      </c>
      <c r="B926" s="346" t="s">
        <v>2212</v>
      </c>
      <c r="C926" s="346" t="s">
        <v>2213</v>
      </c>
    </row>
    <row r="927" spans="1:3">
      <c r="A927" s="347">
        <v>46090</v>
      </c>
      <c r="B927" s="346" t="s">
        <v>2214</v>
      </c>
      <c r="C927" s="346" t="s">
        <v>2215</v>
      </c>
    </row>
    <row r="928" spans="1:3">
      <c r="A928" s="347">
        <v>46090</v>
      </c>
      <c r="B928" s="346" t="s">
        <v>2216</v>
      </c>
      <c r="C928" s="346" t="s">
        <v>2217</v>
      </c>
    </row>
    <row r="929" spans="1:3">
      <c r="A929" s="347">
        <v>46090</v>
      </c>
      <c r="B929" s="346" t="s">
        <v>2218</v>
      </c>
      <c r="C929" s="346" t="s">
        <v>2219</v>
      </c>
    </row>
    <row r="930" spans="1:3">
      <c r="A930" s="347">
        <v>46090</v>
      </c>
      <c r="B930" s="346" t="s">
        <v>2220</v>
      </c>
      <c r="C930" s="346" t="s">
        <v>2221</v>
      </c>
    </row>
    <row r="931" spans="1:3">
      <c r="A931" s="347">
        <v>46090</v>
      </c>
      <c r="B931" s="346" t="s">
        <v>2222</v>
      </c>
      <c r="C931" s="346" t="s">
        <v>2223</v>
      </c>
    </row>
    <row r="932" spans="1:3">
      <c r="A932" s="347">
        <v>46090</v>
      </c>
      <c r="B932" s="346" t="s">
        <v>2224</v>
      </c>
      <c r="C932" s="346" t="s">
        <v>2225</v>
      </c>
    </row>
    <row r="933" spans="1:3">
      <c r="A933" s="347">
        <v>46090</v>
      </c>
      <c r="B933" s="346" t="s">
        <v>2226</v>
      </c>
      <c r="C933" s="346" t="s">
        <v>11056</v>
      </c>
    </row>
    <row r="934" spans="1:3">
      <c r="A934" s="347">
        <v>46090</v>
      </c>
      <c r="B934" s="346" t="s">
        <v>2227</v>
      </c>
      <c r="C934" s="346" t="s">
        <v>11057</v>
      </c>
    </row>
    <row r="935" spans="1:3">
      <c r="A935" s="347">
        <v>46090</v>
      </c>
      <c r="B935" s="346" t="s">
        <v>2228</v>
      </c>
      <c r="C935" s="346" t="s">
        <v>2229</v>
      </c>
    </row>
    <row r="936" spans="1:3">
      <c r="A936" s="347">
        <v>46090</v>
      </c>
      <c r="B936" s="346" t="s">
        <v>2230</v>
      </c>
      <c r="C936" s="346" t="s">
        <v>2231</v>
      </c>
    </row>
    <row r="937" spans="1:3">
      <c r="A937" s="347">
        <v>46090</v>
      </c>
      <c r="B937" s="346" t="s">
        <v>2232</v>
      </c>
      <c r="C937" s="346" t="s">
        <v>2233</v>
      </c>
    </row>
    <row r="938" spans="1:3">
      <c r="A938" s="347">
        <v>46090</v>
      </c>
      <c r="B938" s="346" t="s">
        <v>2234</v>
      </c>
      <c r="C938" s="346" t="s">
        <v>2235</v>
      </c>
    </row>
    <row r="939" spans="1:3">
      <c r="A939" s="347">
        <v>46090</v>
      </c>
      <c r="B939" s="346" t="s">
        <v>2236</v>
      </c>
      <c r="C939" s="346" t="s">
        <v>2237</v>
      </c>
    </row>
    <row r="940" spans="1:3">
      <c r="A940" s="347">
        <v>46090</v>
      </c>
      <c r="B940" s="346" t="s">
        <v>2238</v>
      </c>
      <c r="C940" s="346" t="s">
        <v>2239</v>
      </c>
    </row>
    <row r="941" spans="1:3">
      <c r="A941" s="347">
        <v>46090</v>
      </c>
      <c r="B941" s="346" t="s">
        <v>2240</v>
      </c>
      <c r="C941" s="346" t="s">
        <v>2241</v>
      </c>
    </row>
    <row r="942" spans="1:3">
      <c r="A942" s="347">
        <v>46090</v>
      </c>
      <c r="B942" s="346" t="s">
        <v>2242</v>
      </c>
      <c r="C942" s="346" t="s">
        <v>2243</v>
      </c>
    </row>
    <row r="943" spans="1:3">
      <c r="A943" s="347">
        <v>46090</v>
      </c>
      <c r="B943" s="346" t="s">
        <v>2244</v>
      </c>
      <c r="C943" s="346" t="s">
        <v>2245</v>
      </c>
    </row>
    <row r="944" spans="1:3">
      <c r="A944" s="347">
        <v>46090</v>
      </c>
      <c r="B944" s="346" t="s">
        <v>2246</v>
      </c>
      <c r="C944" s="346" t="s">
        <v>2247</v>
      </c>
    </row>
    <row r="945" spans="1:3">
      <c r="A945" s="347">
        <v>46090</v>
      </c>
      <c r="B945" s="346" t="s">
        <v>2248</v>
      </c>
      <c r="C945" s="346" t="s">
        <v>2249</v>
      </c>
    </row>
    <row r="946" spans="1:3">
      <c r="A946" s="347">
        <v>46090</v>
      </c>
      <c r="B946" s="346" t="s">
        <v>2250</v>
      </c>
      <c r="C946" s="346" t="s">
        <v>2251</v>
      </c>
    </row>
    <row r="947" spans="1:3">
      <c r="A947" s="347">
        <v>46090</v>
      </c>
      <c r="B947" s="346" t="s">
        <v>2252</v>
      </c>
      <c r="C947" s="346" t="s">
        <v>2253</v>
      </c>
    </row>
    <row r="948" spans="1:3">
      <c r="A948" s="347">
        <v>46090</v>
      </c>
      <c r="B948" s="346" t="s">
        <v>2254</v>
      </c>
      <c r="C948" s="346" t="s">
        <v>2255</v>
      </c>
    </row>
    <row r="949" spans="1:3">
      <c r="A949" s="347">
        <v>46090</v>
      </c>
      <c r="B949" s="346" t="s">
        <v>2256</v>
      </c>
      <c r="C949" s="346" t="s">
        <v>10566</v>
      </c>
    </row>
    <row r="950" spans="1:3">
      <c r="A950" s="347">
        <v>46090</v>
      </c>
      <c r="B950" s="346" t="s">
        <v>2257</v>
      </c>
      <c r="C950" s="346" t="s">
        <v>2258</v>
      </c>
    </row>
    <row r="951" spans="1:3">
      <c r="A951" s="347">
        <v>46090</v>
      </c>
      <c r="B951" s="346" t="s">
        <v>2259</v>
      </c>
      <c r="C951" s="346" t="s">
        <v>2260</v>
      </c>
    </row>
    <row r="952" spans="1:3">
      <c r="A952" s="347">
        <v>46090</v>
      </c>
      <c r="B952" s="346" t="s">
        <v>2261</v>
      </c>
      <c r="C952" s="346" t="s">
        <v>2262</v>
      </c>
    </row>
    <row r="953" spans="1:3">
      <c r="A953" s="347">
        <v>46090</v>
      </c>
      <c r="B953" s="346" t="s">
        <v>2263</v>
      </c>
      <c r="C953" s="346" t="s">
        <v>2264</v>
      </c>
    </row>
    <row r="954" spans="1:3">
      <c r="A954" s="347">
        <v>46090</v>
      </c>
      <c r="B954" s="346" t="s">
        <v>2265</v>
      </c>
      <c r="C954" s="346" t="s">
        <v>2266</v>
      </c>
    </row>
    <row r="955" spans="1:3">
      <c r="A955" s="347">
        <v>46090</v>
      </c>
      <c r="B955" s="346" t="s">
        <v>2267</v>
      </c>
      <c r="C955" s="346" t="s">
        <v>2268</v>
      </c>
    </row>
    <row r="956" spans="1:3">
      <c r="A956" s="347">
        <v>46090</v>
      </c>
      <c r="B956" s="346" t="s">
        <v>2269</v>
      </c>
      <c r="C956" s="346" t="s">
        <v>2270</v>
      </c>
    </row>
    <row r="957" spans="1:3">
      <c r="A957" s="347">
        <v>46090</v>
      </c>
      <c r="B957" s="346" t="s">
        <v>2271</v>
      </c>
      <c r="C957" s="346" t="s">
        <v>2272</v>
      </c>
    </row>
    <row r="958" spans="1:3">
      <c r="A958" s="347">
        <v>46090</v>
      </c>
      <c r="B958" s="346" t="s">
        <v>2273</v>
      </c>
      <c r="C958" s="346" t="s">
        <v>2274</v>
      </c>
    </row>
    <row r="959" spans="1:3">
      <c r="A959" s="347">
        <v>46090</v>
      </c>
      <c r="B959" s="346" t="s">
        <v>2275</v>
      </c>
      <c r="C959" s="346" t="s">
        <v>2276</v>
      </c>
    </row>
    <row r="960" spans="1:3">
      <c r="A960" s="347">
        <v>46090</v>
      </c>
      <c r="B960" s="346" t="s">
        <v>2277</v>
      </c>
      <c r="C960" s="346" t="s">
        <v>2278</v>
      </c>
    </row>
    <row r="961" spans="1:3">
      <c r="A961" s="347">
        <v>46090</v>
      </c>
      <c r="B961" s="346" t="s">
        <v>2279</v>
      </c>
      <c r="C961" s="346" t="s">
        <v>2280</v>
      </c>
    </row>
    <row r="962" spans="1:3">
      <c r="A962" s="347">
        <v>46090</v>
      </c>
      <c r="B962" s="346" t="s">
        <v>2281</v>
      </c>
      <c r="C962" s="346" t="s">
        <v>2282</v>
      </c>
    </row>
    <row r="963" spans="1:3">
      <c r="A963" s="347">
        <v>46090</v>
      </c>
      <c r="B963" s="346" t="s">
        <v>2283</v>
      </c>
      <c r="C963" s="346" t="s">
        <v>2284</v>
      </c>
    </row>
    <row r="964" spans="1:3">
      <c r="A964" s="347">
        <v>46090</v>
      </c>
      <c r="B964" s="346" t="s">
        <v>2285</v>
      </c>
      <c r="C964" s="346" t="s">
        <v>2286</v>
      </c>
    </row>
    <row r="965" spans="1:3">
      <c r="A965" s="347">
        <v>46090</v>
      </c>
      <c r="B965" s="346" t="s">
        <v>2287</v>
      </c>
      <c r="C965" s="346" t="s">
        <v>2288</v>
      </c>
    </row>
    <row r="966" spans="1:3">
      <c r="A966" s="347">
        <v>46090</v>
      </c>
      <c r="B966" s="346" t="s">
        <v>2289</v>
      </c>
      <c r="C966" s="346" t="s">
        <v>2290</v>
      </c>
    </row>
    <row r="967" spans="1:3">
      <c r="A967" s="347">
        <v>46090</v>
      </c>
      <c r="B967" s="346" t="s">
        <v>2291</v>
      </c>
      <c r="C967" s="346" t="s">
        <v>2292</v>
      </c>
    </row>
    <row r="968" spans="1:3">
      <c r="A968" s="347">
        <v>46090</v>
      </c>
      <c r="B968" s="346" t="s">
        <v>2293</v>
      </c>
      <c r="C968" s="346" t="s">
        <v>2294</v>
      </c>
    </row>
    <row r="969" spans="1:3">
      <c r="A969" s="347">
        <v>46090</v>
      </c>
      <c r="B969" s="346" t="s">
        <v>2295</v>
      </c>
      <c r="C969" s="346" t="s">
        <v>2296</v>
      </c>
    </row>
    <row r="970" spans="1:3">
      <c r="A970" s="347">
        <v>46090</v>
      </c>
      <c r="B970" s="346" t="s">
        <v>2297</v>
      </c>
      <c r="C970" s="346" t="s">
        <v>2298</v>
      </c>
    </row>
    <row r="971" spans="1:3">
      <c r="A971" s="347">
        <v>46090</v>
      </c>
      <c r="B971" s="346" t="s">
        <v>2299</v>
      </c>
      <c r="C971" s="346" t="s">
        <v>2300</v>
      </c>
    </row>
    <row r="972" spans="1:3">
      <c r="A972" s="347">
        <v>46090</v>
      </c>
      <c r="B972" s="346" t="s">
        <v>2301</v>
      </c>
      <c r="C972" s="346" t="s">
        <v>2302</v>
      </c>
    </row>
    <row r="973" spans="1:3">
      <c r="A973" s="347">
        <v>46090</v>
      </c>
      <c r="B973" s="346" t="s">
        <v>2303</v>
      </c>
      <c r="C973" s="346" t="s">
        <v>2304</v>
      </c>
    </row>
    <row r="974" spans="1:3">
      <c r="A974" s="347">
        <v>46090</v>
      </c>
      <c r="B974" s="346" t="s">
        <v>2305</v>
      </c>
      <c r="C974" s="346" t="s">
        <v>2306</v>
      </c>
    </row>
    <row r="975" spans="1:3">
      <c r="A975" s="347">
        <v>46090</v>
      </c>
      <c r="B975" s="346" t="s">
        <v>2307</v>
      </c>
      <c r="C975" s="346" t="s">
        <v>2308</v>
      </c>
    </row>
    <row r="976" spans="1:3">
      <c r="A976" s="347">
        <v>46090</v>
      </c>
      <c r="B976" s="346" t="s">
        <v>2309</v>
      </c>
      <c r="C976" s="346" t="s">
        <v>2310</v>
      </c>
    </row>
    <row r="977" spans="1:3">
      <c r="A977" s="347">
        <v>46090</v>
      </c>
      <c r="B977" s="346" t="s">
        <v>2311</v>
      </c>
      <c r="C977" s="346" t="s">
        <v>2312</v>
      </c>
    </row>
    <row r="978" spans="1:3">
      <c r="A978" s="347">
        <v>46090</v>
      </c>
      <c r="B978" s="346" t="s">
        <v>2313</v>
      </c>
      <c r="C978" s="346" t="s">
        <v>2314</v>
      </c>
    </row>
    <row r="979" spans="1:3">
      <c r="A979" s="347">
        <v>46090</v>
      </c>
      <c r="B979" s="346" t="s">
        <v>2315</v>
      </c>
      <c r="C979" s="346" t="s">
        <v>2316</v>
      </c>
    </row>
    <row r="980" spans="1:3">
      <c r="A980" s="347">
        <v>46090</v>
      </c>
      <c r="B980" s="346" t="s">
        <v>2317</v>
      </c>
      <c r="C980" s="346" t="s">
        <v>2318</v>
      </c>
    </row>
    <row r="981" spans="1:3">
      <c r="A981" s="347">
        <v>46090</v>
      </c>
      <c r="B981" s="346" t="s">
        <v>2319</v>
      </c>
      <c r="C981" s="346" t="s">
        <v>2320</v>
      </c>
    </row>
    <row r="982" spans="1:3">
      <c r="A982" s="347">
        <v>46090</v>
      </c>
      <c r="B982" s="346" t="s">
        <v>2321</v>
      </c>
      <c r="C982" s="346" t="s">
        <v>2322</v>
      </c>
    </row>
    <row r="983" spans="1:3">
      <c r="A983" s="347">
        <v>46090</v>
      </c>
      <c r="B983" s="346" t="s">
        <v>2323</v>
      </c>
      <c r="C983" s="346" t="s">
        <v>2324</v>
      </c>
    </row>
    <row r="984" spans="1:3">
      <c r="A984" s="347">
        <v>46090</v>
      </c>
      <c r="B984" s="346" t="s">
        <v>2325</v>
      </c>
      <c r="C984" s="346" t="s">
        <v>10567</v>
      </c>
    </row>
    <row r="985" spans="1:3">
      <c r="A985" s="347">
        <v>46090</v>
      </c>
      <c r="B985" s="346" t="s">
        <v>2326</v>
      </c>
      <c r="C985" s="346" t="s">
        <v>2327</v>
      </c>
    </row>
    <row r="986" spans="1:3">
      <c r="A986" s="347">
        <v>46090</v>
      </c>
      <c r="B986" s="346" t="s">
        <v>2328</v>
      </c>
      <c r="C986" s="346" t="s">
        <v>2329</v>
      </c>
    </row>
    <row r="987" spans="1:3">
      <c r="A987" s="347">
        <v>46090</v>
      </c>
      <c r="B987" s="346" t="s">
        <v>2330</v>
      </c>
      <c r="C987" s="346" t="s">
        <v>2331</v>
      </c>
    </row>
    <row r="988" spans="1:3">
      <c r="A988" s="347">
        <v>46090</v>
      </c>
      <c r="B988" s="346" t="s">
        <v>2332</v>
      </c>
      <c r="C988" s="346" t="s">
        <v>2333</v>
      </c>
    </row>
    <row r="989" spans="1:3">
      <c r="A989" s="347">
        <v>46090</v>
      </c>
      <c r="B989" s="346" t="s">
        <v>2334</v>
      </c>
      <c r="C989" s="346" t="s">
        <v>2335</v>
      </c>
    </row>
    <row r="990" spans="1:3">
      <c r="A990" s="347">
        <v>46090</v>
      </c>
      <c r="B990" s="346" t="s">
        <v>2336</v>
      </c>
      <c r="C990" s="346" t="s">
        <v>2337</v>
      </c>
    </row>
    <row r="991" spans="1:3">
      <c r="A991" s="347">
        <v>46090</v>
      </c>
      <c r="B991" s="346" t="s">
        <v>2338</v>
      </c>
      <c r="C991" s="346" t="s">
        <v>2339</v>
      </c>
    </row>
    <row r="992" spans="1:3">
      <c r="A992" s="347">
        <v>46090</v>
      </c>
      <c r="B992" s="346" t="s">
        <v>2340</v>
      </c>
      <c r="C992" s="346" t="s">
        <v>10568</v>
      </c>
    </row>
    <row r="993" spans="1:3">
      <c r="A993" s="347">
        <v>46090</v>
      </c>
      <c r="B993" s="346" t="s">
        <v>2341</v>
      </c>
      <c r="C993" s="346" t="s">
        <v>2342</v>
      </c>
    </row>
    <row r="994" spans="1:3">
      <c r="A994" s="347">
        <v>46090</v>
      </c>
      <c r="B994" s="346" t="s">
        <v>2343</v>
      </c>
      <c r="C994" s="346" t="s">
        <v>2344</v>
      </c>
    </row>
    <row r="995" spans="1:3">
      <c r="A995" s="347">
        <v>46090</v>
      </c>
      <c r="B995" s="346" t="s">
        <v>2345</v>
      </c>
      <c r="C995" s="346" t="s">
        <v>2346</v>
      </c>
    </row>
    <row r="996" spans="1:3">
      <c r="A996" s="347">
        <v>46090</v>
      </c>
      <c r="B996" s="346" t="s">
        <v>2347</v>
      </c>
      <c r="C996" s="346" t="s">
        <v>2348</v>
      </c>
    </row>
    <row r="997" spans="1:3">
      <c r="A997" s="347">
        <v>46090</v>
      </c>
      <c r="B997" s="346" t="s">
        <v>2349</v>
      </c>
      <c r="C997" s="346" t="s">
        <v>2350</v>
      </c>
    </row>
    <row r="998" spans="1:3">
      <c r="A998" s="347">
        <v>46090</v>
      </c>
      <c r="B998" s="346" t="s">
        <v>2351</v>
      </c>
      <c r="C998" s="346" t="s">
        <v>10569</v>
      </c>
    </row>
    <row r="999" spans="1:3">
      <c r="A999" s="347">
        <v>46090</v>
      </c>
      <c r="B999" s="346" t="s">
        <v>2352</v>
      </c>
      <c r="C999" s="346" t="s">
        <v>2353</v>
      </c>
    </row>
    <row r="1000" spans="1:3">
      <c r="A1000" s="347">
        <v>46090</v>
      </c>
      <c r="B1000" s="346" t="s">
        <v>2354</v>
      </c>
      <c r="C1000" s="346" t="s">
        <v>2355</v>
      </c>
    </row>
    <row r="1001" spans="1:3">
      <c r="A1001" s="347">
        <v>46090</v>
      </c>
      <c r="B1001" s="346" t="s">
        <v>2356</v>
      </c>
      <c r="C1001" s="346" t="s">
        <v>2357</v>
      </c>
    </row>
    <row r="1002" spans="1:3">
      <c r="A1002" s="347">
        <v>46090</v>
      </c>
      <c r="B1002" s="346" t="s">
        <v>2358</v>
      </c>
      <c r="C1002" s="346" t="s">
        <v>2359</v>
      </c>
    </row>
    <row r="1003" spans="1:3">
      <c r="A1003" s="347">
        <v>46090</v>
      </c>
      <c r="B1003" s="346" t="s">
        <v>2360</v>
      </c>
      <c r="C1003" s="346" t="s">
        <v>2361</v>
      </c>
    </row>
    <row r="1004" spans="1:3">
      <c r="A1004" s="347">
        <v>46090</v>
      </c>
      <c r="B1004" s="346" t="s">
        <v>2362</v>
      </c>
      <c r="C1004" s="346" t="s">
        <v>2363</v>
      </c>
    </row>
    <row r="1005" spans="1:3">
      <c r="A1005" s="347">
        <v>46090</v>
      </c>
      <c r="B1005" s="346" t="s">
        <v>2364</v>
      </c>
      <c r="C1005" s="346" t="s">
        <v>2365</v>
      </c>
    </row>
    <row r="1006" spans="1:3">
      <c r="A1006" s="347">
        <v>46090</v>
      </c>
      <c r="B1006" s="346" t="s">
        <v>2366</v>
      </c>
      <c r="C1006" s="346" t="s">
        <v>2367</v>
      </c>
    </row>
    <row r="1007" spans="1:3">
      <c r="A1007" s="347">
        <v>46090</v>
      </c>
      <c r="B1007" s="346" t="s">
        <v>2368</v>
      </c>
      <c r="C1007" s="346" t="s">
        <v>2369</v>
      </c>
    </row>
    <row r="1008" spans="1:3">
      <c r="A1008" s="347">
        <v>46090</v>
      </c>
      <c r="B1008" s="346" t="s">
        <v>2370</v>
      </c>
      <c r="C1008" s="346" t="s">
        <v>11058</v>
      </c>
    </row>
    <row r="1009" spans="1:3">
      <c r="A1009" s="347">
        <v>46090</v>
      </c>
      <c r="B1009" s="346" t="s">
        <v>2371</v>
      </c>
      <c r="C1009" s="346" t="s">
        <v>2372</v>
      </c>
    </row>
    <row r="1010" spans="1:3">
      <c r="A1010" s="347">
        <v>46090</v>
      </c>
      <c r="B1010" s="346" t="s">
        <v>2373</v>
      </c>
      <c r="C1010" s="346" t="s">
        <v>2374</v>
      </c>
    </row>
    <row r="1011" spans="1:3">
      <c r="A1011" s="347">
        <v>46090</v>
      </c>
      <c r="B1011" s="346" t="s">
        <v>2375</v>
      </c>
      <c r="C1011" s="346" t="s">
        <v>2376</v>
      </c>
    </row>
    <row r="1012" spans="1:3">
      <c r="A1012" s="347">
        <v>46090</v>
      </c>
      <c r="B1012" s="346" t="s">
        <v>2377</v>
      </c>
      <c r="C1012" s="346" t="s">
        <v>2378</v>
      </c>
    </row>
    <row r="1013" spans="1:3">
      <c r="A1013" s="347">
        <v>46090</v>
      </c>
      <c r="B1013" s="346" t="s">
        <v>2379</v>
      </c>
      <c r="C1013" s="346" t="s">
        <v>2380</v>
      </c>
    </row>
    <row r="1014" spans="1:3">
      <c r="A1014" s="347">
        <v>46090</v>
      </c>
      <c r="B1014" s="346" t="s">
        <v>2381</v>
      </c>
      <c r="C1014" s="346" t="s">
        <v>2382</v>
      </c>
    </row>
    <row r="1015" spans="1:3">
      <c r="A1015" s="347">
        <v>46090</v>
      </c>
      <c r="B1015" s="346" t="s">
        <v>2383</v>
      </c>
      <c r="C1015" s="346" t="s">
        <v>2384</v>
      </c>
    </row>
    <row r="1016" spans="1:3">
      <c r="A1016" s="347">
        <v>46090</v>
      </c>
      <c r="B1016" s="346" t="s">
        <v>2385</v>
      </c>
      <c r="C1016" s="346" t="s">
        <v>2386</v>
      </c>
    </row>
    <row r="1017" spans="1:3">
      <c r="A1017" s="347">
        <v>46090</v>
      </c>
      <c r="B1017" s="346" t="s">
        <v>2387</v>
      </c>
      <c r="C1017" s="346" t="s">
        <v>2388</v>
      </c>
    </row>
    <row r="1018" spans="1:3">
      <c r="A1018" s="347">
        <v>46090</v>
      </c>
      <c r="B1018" s="346" t="s">
        <v>2389</v>
      </c>
      <c r="C1018" s="346" t="s">
        <v>2390</v>
      </c>
    </row>
    <row r="1019" spans="1:3">
      <c r="A1019" s="347">
        <v>46090</v>
      </c>
      <c r="B1019" s="346" t="s">
        <v>2391</v>
      </c>
      <c r="C1019" s="346" t="s">
        <v>2392</v>
      </c>
    </row>
    <row r="1020" spans="1:3">
      <c r="A1020" s="347">
        <v>46090</v>
      </c>
      <c r="B1020" s="346" t="s">
        <v>2393</v>
      </c>
      <c r="C1020" s="346" t="s">
        <v>2394</v>
      </c>
    </row>
    <row r="1021" spans="1:3">
      <c r="A1021" s="347">
        <v>46090</v>
      </c>
      <c r="B1021" s="346" t="s">
        <v>2395</v>
      </c>
      <c r="C1021" s="346" t="s">
        <v>2396</v>
      </c>
    </row>
    <row r="1022" spans="1:3">
      <c r="A1022" s="347">
        <v>46090</v>
      </c>
      <c r="B1022" s="346" t="s">
        <v>2397</v>
      </c>
      <c r="C1022" s="346" t="s">
        <v>2398</v>
      </c>
    </row>
    <row r="1023" spans="1:3">
      <c r="A1023" s="347">
        <v>46090</v>
      </c>
      <c r="B1023" s="346" t="s">
        <v>2399</v>
      </c>
      <c r="C1023" s="346" t="s">
        <v>10570</v>
      </c>
    </row>
    <row r="1024" spans="1:3">
      <c r="A1024" s="347">
        <v>46090</v>
      </c>
      <c r="B1024" s="346" t="s">
        <v>2400</v>
      </c>
      <c r="C1024" s="346" t="s">
        <v>10571</v>
      </c>
    </row>
    <row r="1025" spans="1:3">
      <c r="A1025" s="347">
        <v>46090</v>
      </c>
      <c r="B1025" s="346" t="s">
        <v>2401</v>
      </c>
      <c r="C1025" s="346" t="s">
        <v>2402</v>
      </c>
    </row>
    <row r="1026" spans="1:3">
      <c r="A1026" s="347">
        <v>46090</v>
      </c>
      <c r="B1026" s="346" t="s">
        <v>2403</v>
      </c>
      <c r="C1026" s="346" t="s">
        <v>2404</v>
      </c>
    </row>
    <row r="1027" spans="1:3">
      <c r="A1027" s="347">
        <v>46090</v>
      </c>
      <c r="B1027" s="346" t="s">
        <v>2405</v>
      </c>
      <c r="C1027" s="346" t="s">
        <v>2406</v>
      </c>
    </row>
    <row r="1028" spans="1:3">
      <c r="A1028" s="347">
        <v>46090</v>
      </c>
      <c r="B1028" s="346" t="s">
        <v>2407</v>
      </c>
      <c r="C1028" s="346" t="s">
        <v>2408</v>
      </c>
    </row>
    <row r="1029" spans="1:3">
      <c r="A1029" s="347">
        <v>46090</v>
      </c>
      <c r="B1029" s="346" t="s">
        <v>2409</v>
      </c>
      <c r="C1029" s="346" t="s">
        <v>2410</v>
      </c>
    </row>
    <row r="1030" spans="1:3">
      <c r="A1030" s="347">
        <v>46090</v>
      </c>
      <c r="B1030" s="346" t="s">
        <v>2411</v>
      </c>
      <c r="C1030" s="346" t="s">
        <v>2412</v>
      </c>
    </row>
    <row r="1031" spans="1:3">
      <c r="A1031" s="347">
        <v>46090</v>
      </c>
      <c r="B1031" s="346" t="s">
        <v>2413</v>
      </c>
      <c r="C1031" s="346" t="s">
        <v>2414</v>
      </c>
    </row>
    <row r="1032" spans="1:3">
      <c r="A1032" s="347">
        <v>46090</v>
      </c>
      <c r="B1032" s="346" t="s">
        <v>2415</v>
      </c>
      <c r="C1032" s="346" t="s">
        <v>2416</v>
      </c>
    </row>
    <row r="1033" spans="1:3">
      <c r="A1033" s="347">
        <v>46090</v>
      </c>
      <c r="B1033" s="346" t="s">
        <v>2417</v>
      </c>
      <c r="C1033" s="346" t="s">
        <v>2418</v>
      </c>
    </row>
    <row r="1034" spans="1:3">
      <c r="A1034" s="347">
        <v>46090</v>
      </c>
      <c r="B1034" s="346" t="s">
        <v>2419</v>
      </c>
      <c r="C1034" s="346" t="s">
        <v>2420</v>
      </c>
    </row>
    <row r="1035" spans="1:3">
      <c r="A1035" s="347">
        <v>46090</v>
      </c>
      <c r="B1035" s="346" t="s">
        <v>2421</v>
      </c>
      <c r="C1035" s="346" t="s">
        <v>2422</v>
      </c>
    </row>
    <row r="1036" spans="1:3">
      <c r="A1036" s="347">
        <v>46090</v>
      </c>
      <c r="B1036" s="346" t="s">
        <v>2423</v>
      </c>
      <c r="C1036" s="346" t="s">
        <v>2424</v>
      </c>
    </row>
    <row r="1037" spans="1:3">
      <c r="A1037" s="347">
        <v>46090</v>
      </c>
      <c r="B1037" s="346" t="s">
        <v>2425</v>
      </c>
      <c r="C1037" s="346" t="s">
        <v>2426</v>
      </c>
    </row>
    <row r="1038" spans="1:3">
      <c r="A1038" s="347">
        <v>46090</v>
      </c>
      <c r="B1038" s="346" t="s">
        <v>2427</v>
      </c>
      <c r="C1038" s="346" t="s">
        <v>2428</v>
      </c>
    </row>
    <row r="1039" spans="1:3">
      <c r="A1039" s="347">
        <v>46090</v>
      </c>
      <c r="B1039" s="346" t="s">
        <v>2429</v>
      </c>
      <c r="C1039" s="346" t="s">
        <v>2430</v>
      </c>
    </row>
    <row r="1040" spans="1:3">
      <c r="A1040" s="347">
        <v>46090</v>
      </c>
      <c r="B1040" s="346" t="s">
        <v>2431</v>
      </c>
      <c r="C1040" s="346" t="s">
        <v>2432</v>
      </c>
    </row>
    <row r="1041" spans="1:3">
      <c r="A1041" s="347">
        <v>46090</v>
      </c>
      <c r="B1041" s="346" t="s">
        <v>2433</v>
      </c>
      <c r="C1041" s="346" t="s">
        <v>2434</v>
      </c>
    </row>
    <row r="1042" spans="1:3">
      <c r="A1042" s="347">
        <v>46090</v>
      </c>
      <c r="B1042" s="346" t="s">
        <v>2435</v>
      </c>
      <c r="C1042" s="346" t="s">
        <v>2436</v>
      </c>
    </row>
    <row r="1043" spans="1:3">
      <c r="A1043" s="347">
        <v>46090</v>
      </c>
      <c r="B1043" s="346" t="s">
        <v>2437</v>
      </c>
      <c r="C1043" s="346" t="s">
        <v>2438</v>
      </c>
    </row>
    <row r="1044" spans="1:3">
      <c r="A1044" s="347">
        <v>46090</v>
      </c>
      <c r="B1044" s="346" t="s">
        <v>2439</v>
      </c>
      <c r="C1044" s="346" t="s">
        <v>2440</v>
      </c>
    </row>
    <row r="1045" spans="1:3">
      <c r="A1045" s="347">
        <v>46090</v>
      </c>
      <c r="B1045" s="346" t="s">
        <v>2441</v>
      </c>
      <c r="C1045" s="346" t="s">
        <v>2442</v>
      </c>
    </row>
    <row r="1046" spans="1:3">
      <c r="A1046" s="347">
        <v>46090</v>
      </c>
      <c r="B1046" s="346" t="s">
        <v>2443</v>
      </c>
      <c r="C1046" s="346" t="s">
        <v>2444</v>
      </c>
    </row>
    <row r="1047" spans="1:3">
      <c r="A1047" s="347">
        <v>46090</v>
      </c>
      <c r="B1047" s="346" t="s">
        <v>2445</v>
      </c>
      <c r="C1047" s="346" t="s">
        <v>2446</v>
      </c>
    </row>
    <row r="1048" spans="1:3">
      <c r="A1048" s="347">
        <v>46090</v>
      </c>
      <c r="B1048" s="346" t="s">
        <v>2447</v>
      </c>
      <c r="C1048" s="346" t="s">
        <v>2448</v>
      </c>
    </row>
    <row r="1049" spans="1:3">
      <c r="A1049" s="347">
        <v>46090</v>
      </c>
      <c r="B1049" s="346" t="s">
        <v>2449</v>
      </c>
      <c r="C1049" s="346" t="s">
        <v>2450</v>
      </c>
    </row>
    <row r="1050" spans="1:3">
      <c r="A1050" s="347">
        <v>46090</v>
      </c>
      <c r="B1050" s="346" t="s">
        <v>2451</v>
      </c>
      <c r="C1050" s="346" t="s">
        <v>2452</v>
      </c>
    </row>
    <row r="1051" spans="1:3">
      <c r="A1051" s="347">
        <v>46090</v>
      </c>
      <c r="B1051" s="346" t="s">
        <v>2453</v>
      </c>
      <c r="C1051" s="346" t="s">
        <v>2454</v>
      </c>
    </row>
    <row r="1052" spans="1:3">
      <c r="A1052" s="347">
        <v>46090</v>
      </c>
      <c r="B1052" s="346" t="s">
        <v>2455</v>
      </c>
      <c r="C1052" s="346" t="s">
        <v>2456</v>
      </c>
    </row>
    <row r="1053" spans="1:3">
      <c r="A1053" s="347">
        <v>46090</v>
      </c>
      <c r="B1053" s="346" t="s">
        <v>2457</v>
      </c>
      <c r="C1053" s="346" t="s">
        <v>2458</v>
      </c>
    </row>
    <row r="1054" spans="1:3">
      <c r="A1054" s="347">
        <v>46090</v>
      </c>
      <c r="B1054" s="346" t="s">
        <v>2459</v>
      </c>
      <c r="C1054" s="346" t="s">
        <v>2460</v>
      </c>
    </row>
    <row r="1055" spans="1:3">
      <c r="A1055" s="347">
        <v>46090</v>
      </c>
      <c r="B1055" s="346" t="s">
        <v>2461</v>
      </c>
      <c r="C1055" s="346" t="s">
        <v>2462</v>
      </c>
    </row>
    <row r="1056" spans="1:3">
      <c r="A1056" s="347">
        <v>46090</v>
      </c>
      <c r="B1056" s="346" t="s">
        <v>2463</v>
      </c>
      <c r="C1056" s="346" t="s">
        <v>2464</v>
      </c>
    </row>
    <row r="1057" spans="1:3">
      <c r="A1057" s="347">
        <v>46090</v>
      </c>
      <c r="B1057" s="346" t="s">
        <v>2465</v>
      </c>
      <c r="C1057" s="346" t="s">
        <v>2466</v>
      </c>
    </row>
    <row r="1058" spans="1:3">
      <c r="A1058" s="347">
        <v>46090</v>
      </c>
      <c r="B1058" s="346" t="s">
        <v>2467</v>
      </c>
      <c r="C1058" s="346" t="s">
        <v>2468</v>
      </c>
    </row>
    <row r="1059" spans="1:3">
      <c r="A1059" s="347">
        <v>46090</v>
      </c>
      <c r="B1059" s="346" t="s">
        <v>2469</v>
      </c>
      <c r="C1059" s="346" t="s">
        <v>10572</v>
      </c>
    </row>
    <row r="1060" spans="1:3">
      <c r="A1060" s="347">
        <v>46090</v>
      </c>
      <c r="B1060" s="346" t="s">
        <v>2470</v>
      </c>
      <c r="C1060" s="346" t="s">
        <v>2471</v>
      </c>
    </row>
    <row r="1061" spans="1:3">
      <c r="A1061" s="347">
        <v>46090</v>
      </c>
      <c r="B1061" s="346" t="s">
        <v>2472</v>
      </c>
      <c r="C1061" s="346" t="s">
        <v>2473</v>
      </c>
    </row>
    <row r="1062" spans="1:3">
      <c r="A1062" s="347">
        <v>46090</v>
      </c>
      <c r="B1062" s="346" t="s">
        <v>2474</v>
      </c>
      <c r="C1062" s="346" t="s">
        <v>2475</v>
      </c>
    </row>
    <row r="1063" spans="1:3">
      <c r="A1063" s="347">
        <v>46090</v>
      </c>
      <c r="B1063" s="346" t="s">
        <v>2476</v>
      </c>
      <c r="C1063" s="346" t="s">
        <v>2477</v>
      </c>
    </row>
    <row r="1064" spans="1:3">
      <c r="A1064" s="347">
        <v>46090</v>
      </c>
      <c r="B1064" s="346" t="s">
        <v>2478</v>
      </c>
      <c r="C1064" s="346" t="s">
        <v>10573</v>
      </c>
    </row>
    <row r="1065" spans="1:3">
      <c r="A1065" s="347">
        <v>46090</v>
      </c>
      <c r="B1065" s="346" t="s">
        <v>2479</v>
      </c>
      <c r="C1065" s="346" t="s">
        <v>2480</v>
      </c>
    </row>
    <row r="1066" spans="1:3">
      <c r="A1066" s="347">
        <v>46090</v>
      </c>
      <c r="B1066" s="346" t="s">
        <v>2481</v>
      </c>
      <c r="C1066" s="346" t="s">
        <v>2482</v>
      </c>
    </row>
    <row r="1067" spans="1:3">
      <c r="A1067" s="347">
        <v>46090</v>
      </c>
      <c r="B1067" s="346" t="s">
        <v>2483</v>
      </c>
      <c r="C1067" s="346" t="s">
        <v>2484</v>
      </c>
    </row>
    <row r="1068" spans="1:3">
      <c r="A1068" s="347">
        <v>46090</v>
      </c>
      <c r="B1068" s="346" t="s">
        <v>2485</v>
      </c>
      <c r="C1068" s="346" t="s">
        <v>2486</v>
      </c>
    </row>
    <row r="1069" spans="1:3">
      <c r="A1069" s="347">
        <v>46090</v>
      </c>
      <c r="B1069" s="346" t="s">
        <v>2487</v>
      </c>
      <c r="C1069" s="346" t="s">
        <v>2488</v>
      </c>
    </row>
    <row r="1070" spans="1:3">
      <c r="A1070" s="347">
        <v>46090</v>
      </c>
      <c r="B1070" s="346" t="s">
        <v>2489</v>
      </c>
      <c r="C1070" s="346" t="s">
        <v>2490</v>
      </c>
    </row>
    <row r="1071" spans="1:3">
      <c r="A1071" s="347">
        <v>46090</v>
      </c>
      <c r="B1071" s="346" t="s">
        <v>2491</v>
      </c>
      <c r="C1071" s="346" t="s">
        <v>2492</v>
      </c>
    </row>
    <row r="1072" spans="1:3">
      <c r="A1072" s="347">
        <v>46090</v>
      </c>
      <c r="B1072" s="346" t="s">
        <v>2493</v>
      </c>
      <c r="C1072" s="346" t="s">
        <v>2494</v>
      </c>
    </row>
    <row r="1073" spans="1:3">
      <c r="A1073" s="347">
        <v>46090</v>
      </c>
      <c r="B1073" s="346" t="s">
        <v>2495</v>
      </c>
      <c r="C1073" s="346" t="s">
        <v>2496</v>
      </c>
    </row>
    <row r="1074" spans="1:3">
      <c r="A1074" s="347">
        <v>46090</v>
      </c>
      <c r="B1074" s="346" t="s">
        <v>2497</v>
      </c>
      <c r="C1074" s="346" t="s">
        <v>2498</v>
      </c>
    </row>
    <row r="1075" spans="1:3">
      <c r="A1075" s="347">
        <v>46090</v>
      </c>
      <c r="B1075" s="346" t="s">
        <v>2499</v>
      </c>
      <c r="C1075" s="346" t="s">
        <v>2500</v>
      </c>
    </row>
    <row r="1076" spans="1:3">
      <c r="A1076" s="347">
        <v>46090</v>
      </c>
      <c r="B1076" s="346" t="s">
        <v>2501</v>
      </c>
      <c r="C1076" s="346" t="s">
        <v>10574</v>
      </c>
    </row>
    <row r="1077" spans="1:3">
      <c r="A1077" s="347">
        <v>46090</v>
      </c>
      <c r="B1077" s="346" t="s">
        <v>2502</v>
      </c>
      <c r="C1077" s="346" t="s">
        <v>2503</v>
      </c>
    </row>
    <row r="1078" spans="1:3">
      <c r="A1078" s="347">
        <v>46090</v>
      </c>
      <c r="B1078" s="346" t="s">
        <v>2504</v>
      </c>
      <c r="C1078" s="346" t="s">
        <v>2505</v>
      </c>
    </row>
    <row r="1079" spans="1:3">
      <c r="A1079" s="347">
        <v>46090</v>
      </c>
      <c r="B1079" s="346" t="s">
        <v>2506</v>
      </c>
      <c r="C1079" s="346" t="s">
        <v>2507</v>
      </c>
    </row>
    <row r="1080" spans="1:3">
      <c r="A1080" s="347">
        <v>46090</v>
      </c>
      <c r="B1080" s="346" t="s">
        <v>2508</v>
      </c>
      <c r="C1080" s="346" t="s">
        <v>2509</v>
      </c>
    </row>
    <row r="1081" spans="1:3">
      <c r="A1081" s="347">
        <v>46090</v>
      </c>
      <c r="B1081" s="346" t="s">
        <v>2510</v>
      </c>
      <c r="C1081" s="346" t="s">
        <v>11059</v>
      </c>
    </row>
    <row r="1082" spans="1:3">
      <c r="A1082" s="347">
        <v>46090</v>
      </c>
      <c r="B1082" s="346" t="s">
        <v>2511</v>
      </c>
      <c r="C1082" s="346" t="s">
        <v>2512</v>
      </c>
    </row>
    <row r="1083" spans="1:3">
      <c r="A1083" s="347">
        <v>46090</v>
      </c>
      <c r="B1083" s="346" t="s">
        <v>2513</v>
      </c>
      <c r="C1083" s="346" t="s">
        <v>2514</v>
      </c>
    </row>
    <row r="1084" spans="1:3">
      <c r="A1084" s="347">
        <v>46090</v>
      </c>
      <c r="B1084" s="346" t="s">
        <v>2515</v>
      </c>
      <c r="C1084" s="346" t="s">
        <v>2516</v>
      </c>
    </row>
    <row r="1085" spans="1:3">
      <c r="A1085" s="347">
        <v>46090</v>
      </c>
      <c r="B1085" s="346" t="s">
        <v>2517</v>
      </c>
      <c r="C1085" s="346" t="s">
        <v>2518</v>
      </c>
    </row>
    <row r="1086" spans="1:3">
      <c r="A1086" s="347">
        <v>46090</v>
      </c>
      <c r="B1086" s="346" t="s">
        <v>2519</v>
      </c>
      <c r="C1086" s="346" t="s">
        <v>2520</v>
      </c>
    </row>
    <row r="1087" spans="1:3">
      <c r="A1087" s="347">
        <v>46090</v>
      </c>
      <c r="B1087" s="346" t="s">
        <v>2521</v>
      </c>
      <c r="C1087" s="346" t="s">
        <v>2522</v>
      </c>
    </row>
    <row r="1088" spans="1:3">
      <c r="A1088" s="347">
        <v>46090</v>
      </c>
      <c r="B1088" s="346" t="s">
        <v>2523</v>
      </c>
      <c r="C1088" s="346" t="s">
        <v>2524</v>
      </c>
    </row>
    <row r="1089" spans="1:3">
      <c r="A1089" s="347">
        <v>46090</v>
      </c>
      <c r="B1089" s="346" t="s">
        <v>2525</v>
      </c>
      <c r="C1089" s="346" t="s">
        <v>2526</v>
      </c>
    </row>
    <row r="1090" spans="1:3">
      <c r="A1090" s="347">
        <v>46090</v>
      </c>
      <c r="B1090" s="346" t="s">
        <v>2527</v>
      </c>
      <c r="C1090" s="346" t="s">
        <v>2528</v>
      </c>
    </row>
    <row r="1091" spans="1:3">
      <c r="A1091" s="347">
        <v>46090</v>
      </c>
      <c r="B1091" s="346" t="s">
        <v>2529</v>
      </c>
      <c r="C1091" s="346" t="s">
        <v>2530</v>
      </c>
    </row>
    <row r="1092" spans="1:3">
      <c r="A1092" s="347">
        <v>46090</v>
      </c>
      <c r="B1092" s="346" t="s">
        <v>2531</v>
      </c>
      <c r="C1092" s="346" t="s">
        <v>2532</v>
      </c>
    </row>
    <row r="1093" spans="1:3">
      <c r="A1093" s="347">
        <v>46090</v>
      </c>
      <c r="B1093" s="346" t="s">
        <v>2533</v>
      </c>
      <c r="C1093" s="346" t="s">
        <v>2534</v>
      </c>
    </row>
    <row r="1094" spans="1:3">
      <c r="A1094" s="347">
        <v>46090</v>
      </c>
      <c r="B1094" s="346" t="s">
        <v>2535</v>
      </c>
      <c r="C1094" s="346" t="s">
        <v>2536</v>
      </c>
    </row>
    <row r="1095" spans="1:3">
      <c r="A1095" s="347">
        <v>46090</v>
      </c>
      <c r="B1095" s="346" t="s">
        <v>2537</v>
      </c>
      <c r="C1095" s="346" t="s">
        <v>2538</v>
      </c>
    </row>
    <row r="1096" spans="1:3">
      <c r="A1096" s="347">
        <v>46090</v>
      </c>
      <c r="B1096" s="346" t="s">
        <v>2539</v>
      </c>
      <c r="C1096" s="346" t="s">
        <v>2540</v>
      </c>
    </row>
    <row r="1097" spans="1:3">
      <c r="A1097" s="347">
        <v>46090</v>
      </c>
      <c r="B1097" s="346" t="s">
        <v>2541</v>
      </c>
      <c r="C1097" s="346" t="s">
        <v>11060</v>
      </c>
    </row>
    <row r="1098" spans="1:3">
      <c r="A1098" s="347">
        <v>46090</v>
      </c>
      <c r="B1098" s="346" t="s">
        <v>2542</v>
      </c>
      <c r="C1098" s="346" t="s">
        <v>2543</v>
      </c>
    </row>
    <row r="1099" spans="1:3">
      <c r="A1099" s="347">
        <v>46090</v>
      </c>
      <c r="B1099" s="346" t="s">
        <v>2544</v>
      </c>
      <c r="C1099" s="346" t="s">
        <v>2545</v>
      </c>
    </row>
    <row r="1100" spans="1:3">
      <c r="A1100" s="347">
        <v>46090</v>
      </c>
      <c r="B1100" s="346" t="s">
        <v>2546</v>
      </c>
      <c r="C1100" s="346" t="s">
        <v>2547</v>
      </c>
    </row>
    <row r="1101" spans="1:3">
      <c r="A1101" s="347">
        <v>46090</v>
      </c>
      <c r="B1101" s="346" t="s">
        <v>2548</v>
      </c>
      <c r="C1101" s="346" t="s">
        <v>2549</v>
      </c>
    </row>
    <row r="1102" spans="1:3">
      <c r="A1102" s="347">
        <v>46090</v>
      </c>
      <c r="B1102" s="346" t="s">
        <v>2550</v>
      </c>
      <c r="C1102" s="346" t="s">
        <v>2551</v>
      </c>
    </row>
    <row r="1103" spans="1:3">
      <c r="A1103" s="347">
        <v>46090</v>
      </c>
      <c r="B1103" s="346" t="s">
        <v>2552</v>
      </c>
      <c r="C1103" s="346" t="s">
        <v>2553</v>
      </c>
    </row>
    <row r="1104" spans="1:3">
      <c r="A1104" s="347">
        <v>46090</v>
      </c>
      <c r="B1104" s="346" t="s">
        <v>2554</v>
      </c>
      <c r="C1104" s="346" t="s">
        <v>2555</v>
      </c>
    </row>
    <row r="1105" spans="1:3">
      <c r="A1105" s="347">
        <v>46090</v>
      </c>
      <c r="B1105" s="346" t="s">
        <v>2556</v>
      </c>
      <c r="C1105" s="346" t="s">
        <v>2557</v>
      </c>
    </row>
    <row r="1106" spans="1:3">
      <c r="A1106" s="347">
        <v>46090</v>
      </c>
      <c r="B1106" s="346" t="s">
        <v>2558</v>
      </c>
      <c r="C1106" s="346" t="s">
        <v>2559</v>
      </c>
    </row>
    <row r="1107" spans="1:3">
      <c r="A1107" s="347">
        <v>46090</v>
      </c>
      <c r="B1107" s="346" t="s">
        <v>2560</v>
      </c>
      <c r="C1107" s="346" t="s">
        <v>2561</v>
      </c>
    </row>
    <row r="1108" spans="1:3">
      <c r="A1108" s="347">
        <v>46090</v>
      </c>
      <c r="B1108" s="346" t="s">
        <v>2562</v>
      </c>
      <c r="C1108" s="346" t="s">
        <v>2563</v>
      </c>
    </row>
    <row r="1109" spans="1:3">
      <c r="A1109" s="347">
        <v>46090</v>
      </c>
      <c r="B1109" s="346" t="s">
        <v>2564</v>
      </c>
      <c r="C1109" s="346" t="s">
        <v>2565</v>
      </c>
    </row>
    <row r="1110" spans="1:3">
      <c r="A1110" s="347">
        <v>46090</v>
      </c>
      <c r="B1110" s="346" t="s">
        <v>2566</v>
      </c>
      <c r="C1110" s="346" t="s">
        <v>2567</v>
      </c>
    </row>
    <row r="1111" spans="1:3">
      <c r="A1111" s="347">
        <v>46090</v>
      </c>
      <c r="B1111" s="346" t="s">
        <v>2568</v>
      </c>
      <c r="C1111" s="346" t="s">
        <v>10575</v>
      </c>
    </row>
    <row r="1112" spans="1:3">
      <c r="A1112" s="347">
        <v>46090</v>
      </c>
      <c r="B1112" s="346" t="s">
        <v>2569</v>
      </c>
      <c r="C1112" s="346" t="s">
        <v>2570</v>
      </c>
    </row>
    <row r="1113" spans="1:3">
      <c r="A1113" s="347">
        <v>46090</v>
      </c>
      <c r="B1113" s="346" t="s">
        <v>2571</v>
      </c>
      <c r="C1113" s="346" t="s">
        <v>2572</v>
      </c>
    </row>
    <row r="1114" spans="1:3">
      <c r="A1114" s="347">
        <v>46090</v>
      </c>
      <c r="B1114" s="346" t="s">
        <v>2573</v>
      </c>
      <c r="C1114" s="346" t="s">
        <v>2574</v>
      </c>
    </row>
    <row r="1115" spans="1:3">
      <c r="A1115" s="347">
        <v>46090</v>
      </c>
      <c r="B1115" s="346" t="s">
        <v>2575</v>
      </c>
      <c r="C1115" s="346" t="s">
        <v>2576</v>
      </c>
    </row>
    <row r="1116" spans="1:3">
      <c r="A1116" s="347">
        <v>46090</v>
      </c>
      <c r="B1116" s="346" t="s">
        <v>2577</v>
      </c>
      <c r="C1116" s="346" t="s">
        <v>2578</v>
      </c>
    </row>
    <row r="1117" spans="1:3">
      <c r="A1117" s="347">
        <v>46090</v>
      </c>
      <c r="B1117" s="346" t="s">
        <v>2579</v>
      </c>
      <c r="C1117" s="346" t="s">
        <v>2580</v>
      </c>
    </row>
    <row r="1118" spans="1:3">
      <c r="A1118" s="347">
        <v>46090</v>
      </c>
      <c r="B1118" s="346" t="s">
        <v>2581</v>
      </c>
      <c r="C1118" s="346" t="s">
        <v>2582</v>
      </c>
    </row>
    <row r="1119" spans="1:3">
      <c r="A1119" s="347">
        <v>46090</v>
      </c>
      <c r="B1119" s="346" t="s">
        <v>2583</v>
      </c>
      <c r="C1119" s="346" t="s">
        <v>2584</v>
      </c>
    </row>
    <row r="1120" spans="1:3">
      <c r="A1120" s="347">
        <v>46090</v>
      </c>
      <c r="B1120" s="346" t="s">
        <v>2585</v>
      </c>
      <c r="C1120" s="346" t="s">
        <v>10576</v>
      </c>
    </row>
    <row r="1121" spans="1:3">
      <c r="A1121" s="347">
        <v>46090</v>
      </c>
      <c r="B1121" s="346" t="s">
        <v>2586</v>
      </c>
      <c r="C1121" s="346" t="s">
        <v>2587</v>
      </c>
    </row>
    <row r="1122" spans="1:3">
      <c r="A1122" s="347">
        <v>46090</v>
      </c>
      <c r="B1122" s="346" t="s">
        <v>2588</v>
      </c>
      <c r="C1122" s="346" t="s">
        <v>2589</v>
      </c>
    </row>
    <row r="1123" spans="1:3">
      <c r="A1123" s="347">
        <v>46090</v>
      </c>
      <c r="B1123" s="346" t="s">
        <v>2590</v>
      </c>
      <c r="C1123" s="346" t="s">
        <v>2591</v>
      </c>
    </row>
    <row r="1124" spans="1:3">
      <c r="A1124" s="347">
        <v>46090</v>
      </c>
      <c r="B1124" s="346" t="s">
        <v>2592</v>
      </c>
      <c r="C1124" s="346" t="s">
        <v>2593</v>
      </c>
    </row>
    <row r="1125" spans="1:3">
      <c r="A1125" s="347">
        <v>46090</v>
      </c>
      <c r="B1125" s="346" t="s">
        <v>2594</v>
      </c>
      <c r="C1125" s="346" t="s">
        <v>2595</v>
      </c>
    </row>
    <row r="1126" spans="1:3">
      <c r="A1126" s="347">
        <v>46090</v>
      </c>
      <c r="B1126" s="346" t="s">
        <v>2596</v>
      </c>
      <c r="C1126" s="346" t="s">
        <v>2597</v>
      </c>
    </row>
    <row r="1127" spans="1:3">
      <c r="A1127" s="347">
        <v>46090</v>
      </c>
      <c r="B1127" s="346" t="s">
        <v>2598</v>
      </c>
      <c r="C1127" s="346" t="s">
        <v>2599</v>
      </c>
    </row>
    <row r="1128" spans="1:3">
      <c r="A1128" s="347">
        <v>46090</v>
      </c>
      <c r="B1128" s="346" t="s">
        <v>2600</v>
      </c>
      <c r="C1128" s="346" t="s">
        <v>2601</v>
      </c>
    </row>
    <row r="1129" spans="1:3">
      <c r="A1129" s="347">
        <v>46090</v>
      </c>
      <c r="B1129" s="346" t="s">
        <v>2602</v>
      </c>
      <c r="C1129" s="346" t="s">
        <v>10577</v>
      </c>
    </row>
    <row r="1130" spans="1:3">
      <c r="A1130" s="347">
        <v>46090</v>
      </c>
      <c r="B1130" s="346" t="s">
        <v>2603</v>
      </c>
      <c r="C1130" s="346" t="s">
        <v>2604</v>
      </c>
    </row>
    <row r="1131" spans="1:3">
      <c r="A1131" s="347">
        <v>46090</v>
      </c>
      <c r="B1131" s="346" t="s">
        <v>2605</v>
      </c>
      <c r="C1131" s="346" t="s">
        <v>2606</v>
      </c>
    </row>
    <row r="1132" spans="1:3">
      <c r="A1132" s="347">
        <v>46090</v>
      </c>
      <c r="B1132" s="346" t="s">
        <v>2607</v>
      </c>
      <c r="C1132" s="346" t="s">
        <v>2608</v>
      </c>
    </row>
    <row r="1133" spans="1:3">
      <c r="A1133" s="347">
        <v>46090</v>
      </c>
      <c r="B1133" s="346" t="s">
        <v>2609</v>
      </c>
      <c r="C1133" s="346" t="s">
        <v>2610</v>
      </c>
    </row>
    <row r="1134" spans="1:3">
      <c r="A1134" s="347">
        <v>46090</v>
      </c>
      <c r="B1134" s="346" t="s">
        <v>2611</v>
      </c>
      <c r="C1134" s="346" t="s">
        <v>2612</v>
      </c>
    </row>
    <row r="1135" spans="1:3">
      <c r="A1135" s="347">
        <v>46090</v>
      </c>
      <c r="B1135" s="346" t="s">
        <v>2613</v>
      </c>
      <c r="C1135" s="346" t="s">
        <v>2614</v>
      </c>
    </row>
    <row r="1136" spans="1:3">
      <c r="A1136" s="347">
        <v>46090</v>
      </c>
      <c r="B1136" s="346" t="s">
        <v>2615</v>
      </c>
      <c r="C1136" s="346" t="s">
        <v>2616</v>
      </c>
    </row>
    <row r="1137" spans="1:3">
      <c r="A1137" s="347">
        <v>46090</v>
      </c>
      <c r="B1137" s="346" t="s">
        <v>2617</v>
      </c>
      <c r="C1137" s="346" t="s">
        <v>10578</v>
      </c>
    </row>
    <row r="1138" spans="1:3">
      <c r="A1138" s="347">
        <v>46090</v>
      </c>
      <c r="B1138" s="346" t="s">
        <v>2618</v>
      </c>
      <c r="C1138" s="346" t="s">
        <v>2619</v>
      </c>
    </row>
    <row r="1139" spans="1:3">
      <c r="A1139" s="347">
        <v>46090</v>
      </c>
      <c r="B1139" s="346" t="s">
        <v>2620</v>
      </c>
      <c r="C1139" s="346" t="s">
        <v>2621</v>
      </c>
    </row>
    <row r="1140" spans="1:3">
      <c r="A1140" s="347">
        <v>46090</v>
      </c>
      <c r="B1140" s="346" t="s">
        <v>2622</v>
      </c>
      <c r="C1140" s="346" t="s">
        <v>10579</v>
      </c>
    </row>
    <row r="1141" spans="1:3">
      <c r="A1141" s="347">
        <v>46090</v>
      </c>
      <c r="B1141" s="346" t="s">
        <v>2623</v>
      </c>
      <c r="C1141" s="346" t="s">
        <v>2624</v>
      </c>
    </row>
    <row r="1142" spans="1:3">
      <c r="A1142" s="347">
        <v>46090</v>
      </c>
      <c r="B1142" s="346" t="s">
        <v>2625</v>
      </c>
      <c r="C1142" s="346" t="s">
        <v>2626</v>
      </c>
    </row>
    <row r="1143" spans="1:3">
      <c r="A1143" s="347">
        <v>46090</v>
      </c>
      <c r="B1143" s="346" t="s">
        <v>2627</v>
      </c>
      <c r="C1143" s="346" t="s">
        <v>2628</v>
      </c>
    </row>
    <row r="1144" spans="1:3">
      <c r="A1144" s="347">
        <v>46090</v>
      </c>
      <c r="B1144" s="346" t="s">
        <v>2629</v>
      </c>
      <c r="C1144" s="346" t="s">
        <v>2630</v>
      </c>
    </row>
    <row r="1145" spans="1:3">
      <c r="A1145" s="347">
        <v>46090</v>
      </c>
      <c r="B1145" s="346" t="s">
        <v>2631</v>
      </c>
      <c r="C1145" s="346" t="s">
        <v>2632</v>
      </c>
    </row>
    <row r="1146" spans="1:3">
      <c r="A1146" s="347">
        <v>46090</v>
      </c>
      <c r="B1146" s="346" t="s">
        <v>2633</v>
      </c>
      <c r="C1146" s="346" t="s">
        <v>10580</v>
      </c>
    </row>
    <row r="1147" spans="1:3">
      <c r="A1147" s="347">
        <v>46090</v>
      </c>
      <c r="B1147" s="346" t="s">
        <v>2634</v>
      </c>
      <c r="C1147" s="346" t="s">
        <v>2635</v>
      </c>
    </row>
    <row r="1148" spans="1:3">
      <c r="A1148" s="347">
        <v>46090</v>
      </c>
      <c r="B1148" s="346" t="s">
        <v>2636</v>
      </c>
      <c r="C1148" s="346" t="s">
        <v>2637</v>
      </c>
    </row>
    <row r="1149" spans="1:3">
      <c r="A1149" s="347">
        <v>46090</v>
      </c>
      <c r="B1149" s="346" t="s">
        <v>2638</v>
      </c>
      <c r="C1149" s="346" t="s">
        <v>2639</v>
      </c>
    </row>
    <row r="1150" spans="1:3">
      <c r="A1150" s="347">
        <v>46090</v>
      </c>
      <c r="B1150" s="346" t="s">
        <v>2640</v>
      </c>
      <c r="C1150" s="346" t="s">
        <v>2641</v>
      </c>
    </row>
    <row r="1151" spans="1:3">
      <c r="A1151" s="347">
        <v>46090</v>
      </c>
      <c r="B1151" s="346" t="s">
        <v>2642</v>
      </c>
      <c r="C1151" s="346" t="s">
        <v>2643</v>
      </c>
    </row>
    <row r="1152" spans="1:3">
      <c r="A1152" s="347">
        <v>46090</v>
      </c>
      <c r="B1152" s="346" t="s">
        <v>2644</v>
      </c>
      <c r="C1152" s="346" t="s">
        <v>10581</v>
      </c>
    </row>
    <row r="1153" spans="1:3">
      <c r="A1153" s="347">
        <v>46090</v>
      </c>
      <c r="B1153" s="346" t="s">
        <v>2645</v>
      </c>
      <c r="C1153" s="346" t="s">
        <v>2646</v>
      </c>
    </row>
    <row r="1154" spans="1:3">
      <c r="A1154" s="347">
        <v>46090</v>
      </c>
      <c r="B1154" s="346" t="s">
        <v>2647</v>
      </c>
      <c r="C1154" s="346" t="s">
        <v>2648</v>
      </c>
    </row>
    <row r="1155" spans="1:3">
      <c r="A1155" s="347">
        <v>46090</v>
      </c>
      <c r="B1155" s="346" t="s">
        <v>2649</v>
      </c>
      <c r="C1155" s="346" t="s">
        <v>2650</v>
      </c>
    </row>
    <row r="1156" spans="1:3">
      <c r="A1156" s="347">
        <v>46090</v>
      </c>
      <c r="B1156" s="346" t="s">
        <v>2651</v>
      </c>
      <c r="C1156" s="346" t="s">
        <v>2652</v>
      </c>
    </row>
    <row r="1157" spans="1:3">
      <c r="A1157" s="347">
        <v>46090</v>
      </c>
      <c r="B1157" s="346" t="s">
        <v>2653</v>
      </c>
      <c r="C1157" s="346" t="s">
        <v>10582</v>
      </c>
    </row>
    <row r="1158" spans="1:3">
      <c r="A1158" s="347">
        <v>46090</v>
      </c>
      <c r="B1158" s="346" t="s">
        <v>2654</v>
      </c>
      <c r="C1158" s="346" t="s">
        <v>2655</v>
      </c>
    </row>
    <row r="1159" spans="1:3">
      <c r="A1159" s="347">
        <v>46090</v>
      </c>
      <c r="B1159" s="346" t="s">
        <v>2656</v>
      </c>
      <c r="C1159" s="346" t="s">
        <v>11061</v>
      </c>
    </row>
    <row r="1160" spans="1:3">
      <c r="A1160" s="347">
        <v>46090</v>
      </c>
      <c r="B1160" s="346" t="s">
        <v>2657</v>
      </c>
      <c r="C1160" s="346" t="s">
        <v>2658</v>
      </c>
    </row>
    <row r="1161" spans="1:3">
      <c r="A1161" s="347">
        <v>46090</v>
      </c>
      <c r="B1161" s="346" t="s">
        <v>2659</v>
      </c>
      <c r="C1161" s="346" t="s">
        <v>2660</v>
      </c>
    </row>
    <row r="1162" spans="1:3">
      <c r="A1162" s="347">
        <v>46090</v>
      </c>
      <c r="B1162" s="346" t="s">
        <v>2661</v>
      </c>
      <c r="C1162" s="346" t="s">
        <v>2662</v>
      </c>
    </row>
    <row r="1163" spans="1:3">
      <c r="A1163" s="347">
        <v>46090</v>
      </c>
      <c r="B1163" s="346" t="s">
        <v>2663</v>
      </c>
      <c r="C1163" s="346" t="s">
        <v>2664</v>
      </c>
    </row>
    <row r="1164" spans="1:3">
      <c r="A1164" s="347">
        <v>46090</v>
      </c>
      <c r="B1164" s="346" t="s">
        <v>2665</v>
      </c>
      <c r="C1164" s="346" t="s">
        <v>2666</v>
      </c>
    </row>
    <row r="1165" spans="1:3">
      <c r="A1165" s="347">
        <v>46090</v>
      </c>
      <c r="B1165" s="346" t="s">
        <v>2667</v>
      </c>
      <c r="C1165" s="346" t="s">
        <v>2668</v>
      </c>
    </row>
    <row r="1166" spans="1:3">
      <c r="A1166" s="347">
        <v>46090</v>
      </c>
      <c r="B1166" s="346" t="s">
        <v>2669</v>
      </c>
      <c r="C1166" s="346" t="s">
        <v>2670</v>
      </c>
    </row>
    <row r="1167" spans="1:3">
      <c r="A1167" s="347">
        <v>46090</v>
      </c>
      <c r="B1167" s="346" t="s">
        <v>2671</v>
      </c>
      <c r="C1167" s="346" t="s">
        <v>2672</v>
      </c>
    </row>
    <row r="1168" spans="1:3">
      <c r="A1168" s="347">
        <v>46090</v>
      </c>
      <c r="B1168" s="346" t="s">
        <v>2673</v>
      </c>
      <c r="C1168" s="346" t="s">
        <v>2674</v>
      </c>
    </row>
    <row r="1169" spans="1:3">
      <c r="A1169" s="347">
        <v>46090</v>
      </c>
      <c r="B1169" s="346" t="s">
        <v>2675</v>
      </c>
      <c r="C1169" s="346" t="s">
        <v>2676</v>
      </c>
    </row>
    <row r="1170" spans="1:3">
      <c r="A1170" s="347">
        <v>46090</v>
      </c>
      <c r="B1170" s="346" t="s">
        <v>2677</v>
      </c>
      <c r="C1170" s="346" t="s">
        <v>2678</v>
      </c>
    </row>
    <row r="1171" spans="1:3">
      <c r="A1171" s="347">
        <v>46090</v>
      </c>
      <c r="B1171" s="346" t="s">
        <v>2679</v>
      </c>
      <c r="C1171" s="346" t="s">
        <v>2680</v>
      </c>
    </row>
    <row r="1172" spans="1:3">
      <c r="A1172" s="347">
        <v>46090</v>
      </c>
      <c r="B1172" s="346" t="s">
        <v>2681</v>
      </c>
      <c r="C1172" s="346" t="s">
        <v>2682</v>
      </c>
    </row>
    <row r="1173" spans="1:3">
      <c r="A1173" s="347">
        <v>46090</v>
      </c>
      <c r="B1173" s="346" t="s">
        <v>2683</v>
      </c>
      <c r="C1173" s="346" t="s">
        <v>2684</v>
      </c>
    </row>
    <row r="1174" spans="1:3">
      <c r="A1174" s="347">
        <v>46090</v>
      </c>
      <c r="B1174" s="346" t="s">
        <v>2685</v>
      </c>
      <c r="C1174" s="346" t="s">
        <v>2686</v>
      </c>
    </row>
    <row r="1175" spans="1:3">
      <c r="A1175" s="347">
        <v>46090</v>
      </c>
      <c r="B1175" s="346" t="s">
        <v>2687</v>
      </c>
      <c r="C1175" s="346" t="s">
        <v>2688</v>
      </c>
    </row>
    <row r="1176" spans="1:3">
      <c r="A1176" s="347">
        <v>46090</v>
      </c>
      <c r="B1176" s="346" t="s">
        <v>2689</v>
      </c>
      <c r="C1176" s="346" t="s">
        <v>11062</v>
      </c>
    </row>
    <row r="1177" spans="1:3">
      <c r="A1177" s="347">
        <v>46090</v>
      </c>
      <c r="B1177" s="346" t="s">
        <v>2690</v>
      </c>
      <c r="C1177" s="346" t="s">
        <v>2691</v>
      </c>
    </row>
    <row r="1178" spans="1:3">
      <c r="A1178" s="347">
        <v>46090</v>
      </c>
      <c r="B1178" s="346" t="s">
        <v>2692</v>
      </c>
      <c r="C1178" s="346" t="s">
        <v>2693</v>
      </c>
    </row>
    <row r="1179" spans="1:3">
      <c r="A1179" s="347">
        <v>46090</v>
      </c>
      <c r="B1179" s="346" t="s">
        <v>2694</v>
      </c>
      <c r="C1179" s="346" t="s">
        <v>2695</v>
      </c>
    </row>
    <row r="1180" spans="1:3">
      <c r="A1180" s="347">
        <v>46090</v>
      </c>
      <c r="B1180" s="346" t="s">
        <v>2696</v>
      </c>
      <c r="C1180" s="346" t="s">
        <v>10583</v>
      </c>
    </row>
    <row r="1181" spans="1:3">
      <c r="A1181" s="347">
        <v>46090</v>
      </c>
      <c r="B1181" s="346" t="s">
        <v>2697</v>
      </c>
      <c r="C1181" s="346" t="s">
        <v>2698</v>
      </c>
    </row>
    <row r="1182" spans="1:3">
      <c r="A1182" s="347">
        <v>46090</v>
      </c>
      <c r="B1182" s="346" t="s">
        <v>2699</v>
      </c>
      <c r="C1182" s="346" t="s">
        <v>2700</v>
      </c>
    </row>
    <row r="1183" spans="1:3">
      <c r="A1183" s="347">
        <v>46090</v>
      </c>
      <c r="B1183" s="346" t="s">
        <v>2701</v>
      </c>
      <c r="C1183" s="346" t="s">
        <v>2702</v>
      </c>
    </row>
    <row r="1184" spans="1:3">
      <c r="A1184" s="347">
        <v>46090</v>
      </c>
      <c r="B1184" s="346" t="s">
        <v>2703</v>
      </c>
      <c r="C1184" s="346" t="s">
        <v>2704</v>
      </c>
    </row>
    <row r="1185" spans="1:3">
      <c r="A1185" s="347">
        <v>46090</v>
      </c>
      <c r="B1185" s="346" t="s">
        <v>2705</v>
      </c>
      <c r="C1185" s="346" t="s">
        <v>2706</v>
      </c>
    </row>
    <row r="1186" spans="1:3">
      <c r="A1186" s="347">
        <v>46090</v>
      </c>
      <c r="B1186" s="346" t="s">
        <v>2707</v>
      </c>
      <c r="C1186" s="346" t="s">
        <v>10584</v>
      </c>
    </row>
    <row r="1187" spans="1:3">
      <c r="A1187" s="347">
        <v>46090</v>
      </c>
      <c r="B1187" s="346" t="s">
        <v>2708</v>
      </c>
      <c r="C1187" s="346" t="s">
        <v>2709</v>
      </c>
    </row>
    <row r="1188" spans="1:3">
      <c r="A1188" s="347">
        <v>46090</v>
      </c>
      <c r="B1188" s="346" t="s">
        <v>2710</v>
      </c>
      <c r="C1188" s="346" t="s">
        <v>2711</v>
      </c>
    </row>
    <row r="1189" spans="1:3">
      <c r="A1189" s="347">
        <v>46090</v>
      </c>
      <c r="B1189" s="346" t="s">
        <v>2712</v>
      </c>
      <c r="C1189" s="346" t="s">
        <v>2713</v>
      </c>
    </row>
    <row r="1190" spans="1:3">
      <c r="A1190" s="347">
        <v>46090</v>
      </c>
      <c r="B1190" s="346" t="s">
        <v>2714</v>
      </c>
      <c r="C1190" s="346" t="s">
        <v>2715</v>
      </c>
    </row>
    <row r="1191" spans="1:3">
      <c r="A1191" s="347">
        <v>46090</v>
      </c>
      <c r="B1191" s="346" t="s">
        <v>2716</v>
      </c>
      <c r="C1191" s="346" t="s">
        <v>2717</v>
      </c>
    </row>
    <row r="1192" spans="1:3">
      <c r="A1192" s="347">
        <v>46090</v>
      </c>
      <c r="B1192" s="346" t="s">
        <v>2718</v>
      </c>
      <c r="C1192" s="346" t="s">
        <v>2719</v>
      </c>
    </row>
    <row r="1193" spans="1:3">
      <c r="A1193" s="347">
        <v>46090</v>
      </c>
      <c r="B1193" s="346" t="s">
        <v>2720</v>
      </c>
      <c r="C1193" s="346" t="s">
        <v>2721</v>
      </c>
    </row>
    <row r="1194" spans="1:3">
      <c r="A1194" s="347">
        <v>46090</v>
      </c>
      <c r="B1194" s="346" t="s">
        <v>2722</v>
      </c>
      <c r="C1194" s="346" t="s">
        <v>2723</v>
      </c>
    </row>
    <row r="1195" spans="1:3">
      <c r="A1195" s="347">
        <v>46090</v>
      </c>
      <c r="B1195" s="346" t="s">
        <v>2724</v>
      </c>
      <c r="C1195" s="346" t="s">
        <v>2725</v>
      </c>
    </row>
    <row r="1196" spans="1:3">
      <c r="A1196" s="347">
        <v>46090</v>
      </c>
      <c r="B1196" s="346" t="s">
        <v>2726</v>
      </c>
      <c r="C1196" s="346" t="s">
        <v>10585</v>
      </c>
    </row>
    <row r="1197" spans="1:3">
      <c r="A1197" s="347">
        <v>46090</v>
      </c>
      <c r="B1197" s="346" t="s">
        <v>2727</v>
      </c>
      <c r="C1197" s="346" t="s">
        <v>2728</v>
      </c>
    </row>
    <row r="1198" spans="1:3">
      <c r="A1198" s="347">
        <v>46090</v>
      </c>
      <c r="B1198" s="346" t="s">
        <v>2729</v>
      </c>
      <c r="C1198" s="346" t="s">
        <v>2730</v>
      </c>
    </row>
    <row r="1199" spans="1:3">
      <c r="A1199" s="347">
        <v>46090</v>
      </c>
      <c r="B1199" s="346" t="s">
        <v>2731</v>
      </c>
      <c r="C1199" s="346" t="s">
        <v>2732</v>
      </c>
    </row>
    <row r="1200" spans="1:3">
      <c r="A1200" s="347">
        <v>46090</v>
      </c>
      <c r="B1200" s="346" t="s">
        <v>2733</v>
      </c>
      <c r="C1200" s="346" t="s">
        <v>10586</v>
      </c>
    </row>
    <row r="1201" spans="1:3">
      <c r="A1201" s="347">
        <v>46090</v>
      </c>
      <c r="B1201" s="346" t="s">
        <v>2734</v>
      </c>
      <c r="C1201" s="346" t="s">
        <v>2735</v>
      </c>
    </row>
    <row r="1202" spans="1:3">
      <c r="A1202" s="347">
        <v>46090</v>
      </c>
      <c r="B1202" s="346" t="s">
        <v>2736</v>
      </c>
      <c r="C1202" s="346" t="s">
        <v>2737</v>
      </c>
    </row>
    <row r="1203" spans="1:3">
      <c r="A1203" s="347">
        <v>46090</v>
      </c>
      <c r="B1203" s="346" t="s">
        <v>2738</v>
      </c>
      <c r="C1203" s="346" t="s">
        <v>10587</v>
      </c>
    </row>
    <row r="1204" spans="1:3">
      <c r="A1204" s="347">
        <v>46090</v>
      </c>
      <c r="B1204" s="346" t="s">
        <v>2739</v>
      </c>
      <c r="C1204" s="346" t="s">
        <v>2740</v>
      </c>
    </row>
    <row r="1205" spans="1:3">
      <c r="A1205" s="347">
        <v>46090</v>
      </c>
      <c r="B1205" s="346" t="s">
        <v>2741</v>
      </c>
      <c r="C1205" s="346" t="s">
        <v>2742</v>
      </c>
    </row>
    <row r="1206" spans="1:3">
      <c r="A1206" s="347">
        <v>46090</v>
      </c>
      <c r="B1206" s="346" t="s">
        <v>2743</v>
      </c>
      <c r="C1206" s="346" t="s">
        <v>2744</v>
      </c>
    </row>
    <row r="1207" spans="1:3">
      <c r="A1207" s="347">
        <v>46090</v>
      </c>
      <c r="B1207" s="346" t="s">
        <v>2745</v>
      </c>
      <c r="C1207" s="346" t="s">
        <v>2746</v>
      </c>
    </row>
    <row r="1208" spans="1:3">
      <c r="A1208" s="347">
        <v>46090</v>
      </c>
      <c r="B1208" s="346" t="s">
        <v>2747</v>
      </c>
      <c r="C1208" s="346" t="s">
        <v>2748</v>
      </c>
    </row>
    <row r="1209" spans="1:3">
      <c r="A1209" s="347">
        <v>46090</v>
      </c>
      <c r="B1209" s="346" t="s">
        <v>2749</v>
      </c>
      <c r="C1209" s="346" t="s">
        <v>2750</v>
      </c>
    </row>
    <row r="1210" spans="1:3">
      <c r="A1210" s="347">
        <v>46090</v>
      </c>
      <c r="B1210" s="346" t="s">
        <v>2751</v>
      </c>
      <c r="C1210" s="346" t="s">
        <v>2752</v>
      </c>
    </row>
    <row r="1211" spans="1:3">
      <c r="A1211" s="347">
        <v>46090</v>
      </c>
      <c r="B1211" s="346" t="s">
        <v>2753</v>
      </c>
      <c r="C1211" s="346" t="s">
        <v>2754</v>
      </c>
    </row>
    <row r="1212" spans="1:3">
      <c r="A1212" s="347">
        <v>46090</v>
      </c>
      <c r="B1212" s="346" t="s">
        <v>2755</v>
      </c>
      <c r="C1212" s="346" t="s">
        <v>2756</v>
      </c>
    </row>
    <row r="1213" spans="1:3">
      <c r="A1213" s="347">
        <v>46090</v>
      </c>
      <c r="B1213" s="346" t="s">
        <v>2757</v>
      </c>
      <c r="C1213" s="346" t="s">
        <v>11063</v>
      </c>
    </row>
    <row r="1214" spans="1:3">
      <c r="A1214" s="347">
        <v>46090</v>
      </c>
      <c r="B1214" s="346" t="s">
        <v>2758</v>
      </c>
      <c r="C1214" s="346" t="s">
        <v>2759</v>
      </c>
    </row>
    <row r="1215" spans="1:3">
      <c r="A1215" s="347">
        <v>46090</v>
      </c>
      <c r="B1215" s="346" t="s">
        <v>2760</v>
      </c>
      <c r="C1215" s="346" t="s">
        <v>2761</v>
      </c>
    </row>
    <row r="1216" spans="1:3">
      <c r="A1216" s="347">
        <v>46090</v>
      </c>
      <c r="B1216" s="346" t="s">
        <v>2762</v>
      </c>
      <c r="C1216" s="346" t="s">
        <v>2763</v>
      </c>
    </row>
    <row r="1217" spans="1:3">
      <c r="A1217" s="347">
        <v>46090</v>
      </c>
      <c r="B1217" s="346" t="s">
        <v>2764</v>
      </c>
      <c r="C1217" s="346" t="s">
        <v>2765</v>
      </c>
    </row>
    <row r="1218" spans="1:3">
      <c r="A1218" s="347">
        <v>46090</v>
      </c>
      <c r="B1218" s="346" t="s">
        <v>2766</v>
      </c>
      <c r="C1218" s="346" t="s">
        <v>2767</v>
      </c>
    </row>
    <row r="1219" spans="1:3">
      <c r="A1219" s="347">
        <v>46090</v>
      </c>
      <c r="B1219" s="346" t="s">
        <v>2768</v>
      </c>
      <c r="C1219" s="346" t="s">
        <v>2769</v>
      </c>
    </row>
    <row r="1220" spans="1:3">
      <c r="A1220" s="347">
        <v>46090</v>
      </c>
      <c r="B1220" s="346" t="s">
        <v>2770</v>
      </c>
      <c r="C1220" s="346" t="s">
        <v>2771</v>
      </c>
    </row>
    <row r="1221" spans="1:3">
      <c r="A1221" s="347">
        <v>46090</v>
      </c>
      <c r="B1221" s="346" t="s">
        <v>2772</v>
      </c>
      <c r="C1221" s="346" t="s">
        <v>2773</v>
      </c>
    </row>
    <row r="1222" spans="1:3">
      <c r="A1222" s="347">
        <v>46090</v>
      </c>
      <c r="B1222" s="346" t="s">
        <v>2774</v>
      </c>
      <c r="C1222" s="346" t="s">
        <v>2775</v>
      </c>
    </row>
    <row r="1223" spans="1:3">
      <c r="A1223" s="347">
        <v>46090</v>
      </c>
      <c r="B1223" s="346" t="s">
        <v>2776</v>
      </c>
      <c r="C1223" s="346" t="s">
        <v>10588</v>
      </c>
    </row>
    <row r="1224" spans="1:3">
      <c r="A1224" s="347">
        <v>46090</v>
      </c>
      <c r="B1224" s="346" t="s">
        <v>2777</v>
      </c>
      <c r="C1224" s="346" t="s">
        <v>2778</v>
      </c>
    </row>
    <row r="1225" spans="1:3">
      <c r="A1225" s="347">
        <v>46090</v>
      </c>
      <c r="B1225" s="346" t="s">
        <v>2779</v>
      </c>
      <c r="C1225" s="346" t="s">
        <v>2780</v>
      </c>
    </row>
    <row r="1226" spans="1:3">
      <c r="A1226" s="347">
        <v>46090</v>
      </c>
      <c r="B1226" s="346" t="s">
        <v>2781</v>
      </c>
      <c r="C1226" s="346" t="s">
        <v>2782</v>
      </c>
    </row>
    <row r="1227" spans="1:3">
      <c r="A1227" s="347">
        <v>46090</v>
      </c>
      <c r="B1227" s="346" t="s">
        <v>2783</v>
      </c>
      <c r="C1227" s="346" t="s">
        <v>2784</v>
      </c>
    </row>
    <row r="1228" spans="1:3">
      <c r="A1228" s="347">
        <v>46090</v>
      </c>
      <c r="B1228" s="346" t="s">
        <v>2785</v>
      </c>
      <c r="C1228" s="346" t="s">
        <v>2786</v>
      </c>
    </row>
    <row r="1229" spans="1:3">
      <c r="A1229" s="347">
        <v>46090</v>
      </c>
      <c r="B1229" s="346" t="s">
        <v>2787</v>
      </c>
      <c r="C1229" s="346" t="s">
        <v>2788</v>
      </c>
    </row>
    <row r="1230" spans="1:3">
      <c r="A1230" s="347">
        <v>46090</v>
      </c>
      <c r="B1230" s="346" t="s">
        <v>2789</v>
      </c>
      <c r="C1230" s="346" t="s">
        <v>2790</v>
      </c>
    </row>
    <row r="1231" spans="1:3">
      <c r="A1231" s="347">
        <v>46090</v>
      </c>
      <c r="B1231" s="346" t="s">
        <v>2791</v>
      </c>
      <c r="C1231" s="346" t="s">
        <v>2792</v>
      </c>
    </row>
    <row r="1232" spans="1:3">
      <c r="A1232" s="347">
        <v>46090</v>
      </c>
      <c r="B1232" s="346" t="s">
        <v>2793</v>
      </c>
      <c r="C1232" s="346" t="s">
        <v>2794</v>
      </c>
    </row>
    <row r="1233" spans="1:3">
      <c r="A1233" s="347">
        <v>46090</v>
      </c>
      <c r="B1233" s="346" t="s">
        <v>2795</v>
      </c>
      <c r="C1233" s="346" t="s">
        <v>2796</v>
      </c>
    </row>
    <row r="1234" spans="1:3">
      <c r="A1234" s="347">
        <v>46090</v>
      </c>
      <c r="B1234" s="346" t="s">
        <v>2797</v>
      </c>
      <c r="C1234" s="346" t="s">
        <v>2798</v>
      </c>
    </row>
    <row r="1235" spans="1:3">
      <c r="A1235" s="347">
        <v>46090</v>
      </c>
      <c r="B1235" s="346" t="s">
        <v>2799</v>
      </c>
      <c r="C1235" s="346" t="s">
        <v>2800</v>
      </c>
    </row>
    <row r="1236" spans="1:3">
      <c r="A1236" s="347">
        <v>46090</v>
      </c>
      <c r="B1236" s="346" t="s">
        <v>2801</v>
      </c>
      <c r="C1236" s="346" t="s">
        <v>2802</v>
      </c>
    </row>
    <row r="1237" spans="1:3">
      <c r="A1237" s="347">
        <v>46090</v>
      </c>
      <c r="B1237" s="346" t="s">
        <v>2803</v>
      </c>
      <c r="C1237" s="346" t="s">
        <v>2804</v>
      </c>
    </row>
    <row r="1238" spans="1:3">
      <c r="A1238" s="347">
        <v>46090</v>
      </c>
      <c r="B1238" s="346" t="s">
        <v>2805</v>
      </c>
      <c r="C1238" s="346" t="s">
        <v>2806</v>
      </c>
    </row>
    <row r="1239" spans="1:3">
      <c r="A1239" s="347">
        <v>46090</v>
      </c>
      <c r="B1239" s="346" t="s">
        <v>2807</v>
      </c>
      <c r="C1239" s="346" t="s">
        <v>10589</v>
      </c>
    </row>
    <row r="1240" spans="1:3">
      <c r="A1240" s="347">
        <v>46090</v>
      </c>
      <c r="B1240" s="346" t="s">
        <v>2808</v>
      </c>
      <c r="C1240" s="346" t="s">
        <v>2809</v>
      </c>
    </row>
    <row r="1241" spans="1:3">
      <c r="A1241" s="347">
        <v>46090</v>
      </c>
      <c r="B1241" s="346" t="s">
        <v>2810</v>
      </c>
      <c r="C1241" s="346" t="s">
        <v>2811</v>
      </c>
    </row>
    <row r="1242" spans="1:3">
      <c r="A1242" s="347">
        <v>46090</v>
      </c>
      <c r="B1242" s="346" t="s">
        <v>2812</v>
      </c>
      <c r="C1242" s="346" t="s">
        <v>2813</v>
      </c>
    </row>
    <row r="1243" spans="1:3">
      <c r="A1243" s="347">
        <v>46090</v>
      </c>
      <c r="B1243" s="346" t="s">
        <v>2814</v>
      </c>
      <c r="C1243" s="346" t="s">
        <v>2815</v>
      </c>
    </row>
    <row r="1244" spans="1:3">
      <c r="A1244" s="347">
        <v>46090</v>
      </c>
      <c r="B1244" s="346" t="s">
        <v>2816</v>
      </c>
      <c r="C1244" s="346" t="s">
        <v>2817</v>
      </c>
    </row>
    <row r="1245" spans="1:3">
      <c r="A1245" s="347">
        <v>46090</v>
      </c>
      <c r="B1245" s="346" t="s">
        <v>2818</v>
      </c>
      <c r="C1245" s="346" t="s">
        <v>2819</v>
      </c>
    </row>
    <row r="1246" spans="1:3">
      <c r="A1246" s="347">
        <v>46090</v>
      </c>
      <c r="B1246" s="346" t="s">
        <v>2820</v>
      </c>
      <c r="C1246" s="346" t="s">
        <v>2821</v>
      </c>
    </row>
    <row r="1247" spans="1:3">
      <c r="A1247" s="347">
        <v>46090</v>
      </c>
      <c r="B1247" s="346" t="s">
        <v>2822</v>
      </c>
      <c r="C1247" s="346" t="s">
        <v>2823</v>
      </c>
    </row>
    <row r="1248" spans="1:3">
      <c r="A1248" s="347">
        <v>46090</v>
      </c>
      <c r="B1248" s="346" t="s">
        <v>2824</v>
      </c>
      <c r="C1248" s="346" t="s">
        <v>2825</v>
      </c>
    </row>
    <row r="1249" spans="1:3">
      <c r="A1249" s="347">
        <v>46090</v>
      </c>
      <c r="B1249" s="346" t="s">
        <v>2826</v>
      </c>
      <c r="C1249" s="346" t="s">
        <v>2827</v>
      </c>
    </row>
    <row r="1250" spans="1:3">
      <c r="A1250" s="347">
        <v>46090</v>
      </c>
      <c r="B1250" s="346" t="s">
        <v>2828</v>
      </c>
      <c r="C1250" s="346" t="s">
        <v>2829</v>
      </c>
    </row>
    <row r="1251" spans="1:3">
      <c r="A1251" s="347">
        <v>46090</v>
      </c>
      <c r="B1251" s="346" t="s">
        <v>2830</v>
      </c>
      <c r="C1251" s="346" t="s">
        <v>2831</v>
      </c>
    </row>
    <row r="1252" spans="1:3">
      <c r="A1252" s="347">
        <v>46090</v>
      </c>
      <c r="B1252" s="346" t="s">
        <v>2832</v>
      </c>
      <c r="C1252" s="346" t="s">
        <v>2833</v>
      </c>
    </row>
    <row r="1253" spans="1:3">
      <c r="A1253" s="347">
        <v>46090</v>
      </c>
      <c r="B1253" s="346" t="s">
        <v>2834</v>
      </c>
      <c r="C1253" s="346" t="s">
        <v>2835</v>
      </c>
    </row>
    <row r="1254" spans="1:3">
      <c r="A1254" s="347">
        <v>46090</v>
      </c>
      <c r="B1254" s="346" t="s">
        <v>2836</v>
      </c>
      <c r="C1254" s="346" t="s">
        <v>2837</v>
      </c>
    </row>
    <row r="1255" spans="1:3">
      <c r="A1255" s="347">
        <v>46090</v>
      </c>
      <c r="B1255" s="346" t="s">
        <v>2838</v>
      </c>
      <c r="C1255" s="346" t="s">
        <v>2839</v>
      </c>
    </row>
    <row r="1256" spans="1:3">
      <c r="A1256" s="347">
        <v>46090</v>
      </c>
      <c r="B1256" s="346" t="s">
        <v>2840</v>
      </c>
      <c r="C1256" s="346" t="s">
        <v>2841</v>
      </c>
    </row>
    <row r="1257" spans="1:3">
      <c r="A1257" s="347">
        <v>46090</v>
      </c>
      <c r="B1257" s="346" t="s">
        <v>2842</v>
      </c>
      <c r="C1257" s="346" t="s">
        <v>2843</v>
      </c>
    </row>
    <row r="1258" spans="1:3">
      <c r="A1258" s="347">
        <v>46090</v>
      </c>
      <c r="B1258" s="346" t="s">
        <v>2844</v>
      </c>
      <c r="C1258" s="346" t="s">
        <v>2845</v>
      </c>
    </row>
    <row r="1259" spans="1:3">
      <c r="A1259" s="347">
        <v>46090</v>
      </c>
      <c r="B1259" s="346" t="s">
        <v>2846</v>
      </c>
      <c r="C1259" s="346" t="s">
        <v>2847</v>
      </c>
    </row>
    <row r="1260" spans="1:3">
      <c r="A1260" s="347">
        <v>46090</v>
      </c>
      <c r="B1260" s="346" t="s">
        <v>2848</v>
      </c>
      <c r="C1260" s="346" t="s">
        <v>2849</v>
      </c>
    </row>
    <row r="1261" spans="1:3">
      <c r="A1261" s="347">
        <v>46090</v>
      </c>
      <c r="B1261" s="346" t="s">
        <v>2850</v>
      </c>
      <c r="C1261" s="346" t="s">
        <v>10590</v>
      </c>
    </row>
    <row r="1262" spans="1:3">
      <c r="A1262" s="347">
        <v>46090</v>
      </c>
      <c r="B1262" s="346" t="s">
        <v>2851</v>
      </c>
      <c r="C1262" s="346" t="s">
        <v>2852</v>
      </c>
    </row>
    <row r="1263" spans="1:3">
      <c r="A1263" s="347">
        <v>46090</v>
      </c>
      <c r="B1263" s="346" t="s">
        <v>2853</v>
      </c>
      <c r="C1263" s="346" t="s">
        <v>2854</v>
      </c>
    </row>
    <row r="1264" spans="1:3">
      <c r="A1264" s="347">
        <v>46090</v>
      </c>
      <c r="B1264" s="346" t="s">
        <v>2855</v>
      </c>
      <c r="C1264" s="346" t="s">
        <v>2856</v>
      </c>
    </row>
    <row r="1265" spans="1:3">
      <c r="A1265" s="347">
        <v>46090</v>
      </c>
      <c r="B1265" s="346" t="s">
        <v>2857</v>
      </c>
      <c r="C1265" s="346" t="s">
        <v>2858</v>
      </c>
    </row>
    <row r="1266" spans="1:3">
      <c r="A1266" s="347">
        <v>46090</v>
      </c>
      <c r="B1266" s="346" t="s">
        <v>2859</v>
      </c>
      <c r="C1266" s="346" t="s">
        <v>2860</v>
      </c>
    </row>
    <row r="1267" spans="1:3">
      <c r="A1267" s="347">
        <v>46090</v>
      </c>
      <c r="B1267" s="346" t="s">
        <v>2861</v>
      </c>
      <c r="C1267" s="346" t="s">
        <v>2862</v>
      </c>
    </row>
    <row r="1268" spans="1:3">
      <c r="A1268" s="347">
        <v>46090</v>
      </c>
      <c r="B1268" s="346" t="s">
        <v>2863</v>
      </c>
      <c r="C1268" s="346" t="s">
        <v>2864</v>
      </c>
    </row>
    <row r="1269" spans="1:3">
      <c r="A1269" s="347">
        <v>46090</v>
      </c>
      <c r="B1269" s="346" t="s">
        <v>2865</v>
      </c>
      <c r="C1269" s="346" t="s">
        <v>10591</v>
      </c>
    </row>
    <row r="1270" spans="1:3">
      <c r="A1270" s="347">
        <v>46090</v>
      </c>
      <c r="B1270" s="346" t="s">
        <v>2866</v>
      </c>
      <c r="C1270" s="346" t="s">
        <v>2867</v>
      </c>
    </row>
    <row r="1271" spans="1:3">
      <c r="A1271" s="347">
        <v>46090</v>
      </c>
      <c r="B1271" s="346" t="s">
        <v>2868</v>
      </c>
      <c r="C1271" s="346" t="s">
        <v>10592</v>
      </c>
    </row>
    <row r="1272" spans="1:3">
      <c r="A1272" s="347">
        <v>46090</v>
      </c>
      <c r="B1272" s="346" t="s">
        <v>2869</v>
      </c>
      <c r="C1272" s="346" t="s">
        <v>2870</v>
      </c>
    </row>
    <row r="1273" spans="1:3">
      <c r="A1273" s="347">
        <v>46090</v>
      </c>
      <c r="B1273" s="346" t="s">
        <v>2871</v>
      </c>
      <c r="C1273" s="346" t="s">
        <v>2872</v>
      </c>
    </row>
    <row r="1274" spans="1:3">
      <c r="A1274" s="347">
        <v>46090</v>
      </c>
      <c r="B1274" s="346" t="s">
        <v>2873</v>
      </c>
      <c r="C1274" s="346" t="s">
        <v>2874</v>
      </c>
    </row>
    <row r="1275" spans="1:3">
      <c r="A1275" s="347">
        <v>46090</v>
      </c>
      <c r="B1275" s="346" t="s">
        <v>2875</v>
      </c>
      <c r="C1275" s="346" t="s">
        <v>2876</v>
      </c>
    </row>
    <row r="1276" spans="1:3">
      <c r="A1276" s="347">
        <v>46090</v>
      </c>
      <c r="B1276" s="346" t="s">
        <v>2877</v>
      </c>
      <c r="C1276" s="346" t="s">
        <v>2878</v>
      </c>
    </row>
    <row r="1277" spans="1:3">
      <c r="A1277" s="347">
        <v>46090</v>
      </c>
      <c r="B1277" s="346" t="s">
        <v>2879</v>
      </c>
      <c r="C1277" s="346" t="s">
        <v>2880</v>
      </c>
    </row>
    <row r="1278" spans="1:3">
      <c r="A1278" s="347">
        <v>46090</v>
      </c>
      <c r="B1278" s="346" t="s">
        <v>2881</v>
      </c>
      <c r="C1278" s="346" t="s">
        <v>10593</v>
      </c>
    </row>
    <row r="1279" spans="1:3">
      <c r="A1279" s="347">
        <v>46090</v>
      </c>
      <c r="B1279" s="346" t="s">
        <v>2882</v>
      </c>
      <c r="C1279" s="346" t="s">
        <v>2883</v>
      </c>
    </row>
    <row r="1280" spans="1:3">
      <c r="A1280" s="347">
        <v>46090</v>
      </c>
      <c r="B1280" s="346" t="s">
        <v>2884</v>
      </c>
      <c r="C1280" s="346" t="s">
        <v>2885</v>
      </c>
    </row>
    <row r="1281" spans="1:3">
      <c r="A1281" s="347">
        <v>46090</v>
      </c>
      <c r="B1281" s="346" t="s">
        <v>2886</v>
      </c>
      <c r="C1281" s="346" t="s">
        <v>2887</v>
      </c>
    </row>
    <row r="1282" spans="1:3">
      <c r="A1282" s="347">
        <v>46090</v>
      </c>
      <c r="B1282" s="346" t="s">
        <v>2888</v>
      </c>
      <c r="C1282" s="346" t="s">
        <v>2889</v>
      </c>
    </row>
    <row r="1283" spans="1:3">
      <c r="A1283" s="347">
        <v>46090</v>
      </c>
      <c r="B1283" s="346" t="s">
        <v>2890</v>
      </c>
      <c r="C1283" s="346" t="s">
        <v>2891</v>
      </c>
    </row>
    <row r="1284" spans="1:3">
      <c r="A1284" s="347">
        <v>46090</v>
      </c>
      <c r="B1284" s="346" t="s">
        <v>2892</v>
      </c>
      <c r="C1284" s="346" t="s">
        <v>2893</v>
      </c>
    </row>
    <row r="1285" spans="1:3">
      <c r="A1285" s="347">
        <v>46090</v>
      </c>
      <c r="B1285" s="346" t="s">
        <v>2894</v>
      </c>
      <c r="C1285" s="346" t="s">
        <v>2895</v>
      </c>
    </row>
    <row r="1286" spans="1:3">
      <c r="A1286" s="347">
        <v>46090</v>
      </c>
      <c r="B1286" s="346" t="s">
        <v>2896</v>
      </c>
      <c r="C1286" s="346" t="s">
        <v>2897</v>
      </c>
    </row>
    <row r="1287" spans="1:3">
      <c r="A1287" s="347">
        <v>46090</v>
      </c>
      <c r="B1287" s="346" t="s">
        <v>2898</v>
      </c>
      <c r="C1287" s="346" t="s">
        <v>2899</v>
      </c>
    </row>
    <row r="1288" spans="1:3">
      <c r="A1288" s="347">
        <v>46090</v>
      </c>
      <c r="B1288" s="346" t="s">
        <v>2900</v>
      </c>
      <c r="C1288" s="346" t="s">
        <v>2901</v>
      </c>
    </row>
    <row r="1289" spans="1:3">
      <c r="A1289" s="347">
        <v>46090</v>
      </c>
      <c r="B1289" s="346" t="s">
        <v>2902</v>
      </c>
      <c r="C1289" s="346" t="s">
        <v>2903</v>
      </c>
    </row>
    <row r="1290" spans="1:3">
      <c r="A1290" s="347">
        <v>46090</v>
      </c>
      <c r="B1290" s="346" t="s">
        <v>2904</v>
      </c>
      <c r="C1290" s="346" t="s">
        <v>2905</v>
      </c>
    </row>
    <row r="1291" spans="1:3">
      <c r="A1291" s="347">
        <v>46090</v>
      </c>
      <c r="B1291" s="346" t="s">
        <v>2906</v>
      </c>
      <c r="C1291" s="346" t="s">
        <v>11064</v>
      </c>
    </row>
    <row r="1292" spans="1:3">
      <c r="A1292" s="347">
        <v>46090</v>
      </c>
      <c r="B1292" s="346" t="s">
        <v>2907</v>
      </c>
      <c r="C1292" s="346" t="s">
        <v>2908</v>
      </c>
    </row>
    <row r="1293" spans="1:3">
      <c r="A1293" s="347">
        <v>46090</v>
      </c>
      <c r="B1293" s="346" t="s">
        <v>2909</v>
      </c>
      <c r="C1293" s="346" t="s">
        <v>2910</v>
      </c>
    </row>
    <row r="1294" spans="1:3">
      <c r="A1294" s="347">
        <v>46090</v>
      </c>
      <c r="B1294" s="346" t="s">
        <v>2911</v>
      </c>
      <c r="C1294" s="346" t="s">
        <v>2912</v>
      </c>
    </row>
    <row r="1295" spans="1:3">
      <c r="A1295" s="347">
        <v>46090</v>
      </c>
      <c r="B1295" s="346" t="s">
        <v>2913</v>
      </c>
      <c r="C1295" s="346" t="s">
        <v>2914</v>
      </c>
    </row>
    <row r="1296" spans="1:3">
      <c r="A1296" s="347">
        <v>46090</v>
      </c>
      <c r="B1296" s="346" t="s">
        <v>2915</v>
      </c>
      <c r="C1296" s="346" t="s">
        <v>2916</v>
      </c>
    </row>
    <row r="1297" spans="1:3">
      <c r="A1297" s="347">
        <v>46090</v>
      </c>
      <c r="B1297" s="346" t="s">
        <v>2917</v>
      </c>
      <c r="C1297" s="346" t="s">
        <v>2918</v>
      </c>
    </row>
    <row r="1298" spans="1:3">
      <c r="A1298" s="347">
        <v>46090</v>
      </c>
      <c r="B1298" s="346" t="s">
        <v>2919</v>
      </c>
      <c r="C1298" s="346" t="s">
        <v>2920</v>
      </c>
    </row>
    <row r="1299" spans="1:3">
      <c r="A1299" s="347">
        <v>46090</v>
      </c>
      <c r="B1299" s="346" t="s">
        <v>2921</v>
      </c>
      <c r="C1299" s="346" t="s">
        <v>2922</v>
      </c>
    </row>
    <row r="1300" spans="1:3">
      <c r="A1300" s="347">
        <v>46090</v>
      </c>
      <c r="B1300" s="346" t="s">
        <v>2923</v>
      </c>
      <c r="C1300" s="346" t="s">
        <v>2924</v>
      </c>
    </row>
    <row r="1301" spans="1:3">
      <c r="A1301" s="347">
        <v>46090</v>
      </c>
      <c r="B1301" s="346" t="s">
        <v>2925</v>
      </c>
      <c r="C1301" s="346" t="s">
        <v>2926</v>
      </c>
    </row>
    <row r="1302" spans="1:3">
      <c r="A1302" s="347">
        <v>46090</v>
      </c>
      <c r="B1302" s="346" t="s">
        <v>2927</v>
      </c>
      <c r="C1302" s="346" t="s">
        <v>2928</v>
      </c>
    </row>
    <row r="1303" spans="1:3">
      <c r="A1303" s="347">
        <v>46090</v>
      </c>
      <c r="B1303" s="346" t="s">
        <v>2929</v>
      </c>
      <c r="C1303" s="346" t="s">
        <v>2930</v>
      </c>
    </row>
    <row r="1304" spans="1:3">
      <c r="A1304" s="347">
        <v>46090</v>
      </c>
      <c r="B1304" s="346" t="s">
        <v>2931</v>
      </c>
      <c r="C1304" s="346" t="s">
        <v>2932</v>
      </c>
    </row>
    <row r="1305" spans="1:3">
      <c r="A1305" s="347">
        <v>46090</v>
      </c>
      <c r="B1305" s="346" t="s">
        <v>2933</v>
      </c>
      <c r="C1305" s="346" t="s">
        <v>2934</v>
      </c>
    </row>
    <row r="1306" spans="1:3">
      <c r="A1306" s="347">
        <v>46090</v>
      </c>
      <c r="B1306" s="346" t="s">
        <v>2935</v>
      </c>
      <c r="C1306" s="346" t="s">
        <v>2936</v>
      </c>
    </row>
    <row r="1307" spans="1:3">
      <c r="A1307" s="347">
        <v>46090</v>
      </c>
      <c r="B1307" s="346" t="s">
        <v>2937</v>
      </c>
      <c r="C1307" s="346" t="s">
        <v>2938</v>
      </c>
    </row>
    <row r="1308" spans="1:3">
      <c r="A1308" s="347">
        <v>46090</v>
      </c>
      <c r="B1308" s="346" t="s">
        <v>2939</v>
      </c>
      <c r="C1308" s="346" t="s">
        <v>2940</v>
      </c>
    </row>
    <row r="1309" spans="1:3">
      <c r="A1309" s="347">
        <v>46090</v>
      </c>
      <c r="B1309" s="346" t="s">
        <v>2941</v>
      </c>
      <c r="C1309" s="346" t="s">
        <v>2942</v>
      </c>
    </row>
    <row r="1310" spans="1:3">
      <c r="A1310" s="347">
        <v>46090</v>
      </c>
      <c r="B1310" s="346" t="s">
        <v>2943</v>
      </c>
      <c r="C1310" s="346" t="s">
        <v>2944</v>
      </c>
    </row>
    <row r="1311" spans="1:3">
      <c r="A1311" s="347">
        <v>46090</v>
      </c>
      <c r="B1311" s="346" t="s">
        <v>2945</v>
      </c>
      <c r="C1311" s="346" t="s">
        <v>2946</v>
      </c>
    </row>
    <row r="1312" spans="1:3">
      <c r="A1312" s="347">
        <v>46090</v>
      </c>
      <c r="B1312" s="346" t="s">
        <v>2947</v>
      </c>
      <c r="C1312" s="346" t="s">
        <v>2948</v>
      </c>
    </row>
    <row r="1313" spans="1:3">
      <c r="A1313" s="347">
        <v>46090</v>
      </c>
      <c r="B1313" s="346" t="s">
        <v>2949</v>
      </c>
      <c r="C1313" s="346" t="s">
        <v>2950</v>
      </c>
    </row>
    <row r="1314" spans="1:3">
      <c r="A1314" s="347">
        <v>46090</v>
      </c>
      <c r="B1314" s="346" t="s">
        <v>2951</v>
      </c>
      <c r="C1314" s="346" t="s">
        <v>2952</v>
      </c>
    </row>
    <row r="1315" spans="1:3">
      <c r="A1315" s="347">
        <v>46090</v>
      </c>
      <c r="B1315" s="346" t="s">
        <v>2953</v>
      </c>
      <c r="C1315" s="346" t="s">
        <v>10594</v>
      </c>
    </row>
    <row r="1316" spans="1:3">
      <c r="A1316" s="347">
        <v>46090</v>
      </c>
      <c r="B1316" s="346" t="s">
        <v>2954</v>
      </c>
      <c r="C1316" s="346" t="s">
        <v>2955</v>
      </c>
    </row>
    <row r="1317" spans="1:3">
      <c r="A1317" s="347">
        <v>46090</v>
      </c>
      <c r="B1317" s="346" t="s">
        <v>2956</v>
      </c>
      <c r="C1317" s="346" t="s">
        <v>2957</v>
      </c>
    </row>
    <row r="1318" spans="1:3">
      <c r="A1318" s="347">
        <v>46090</v>
      </c>
      <c r="B1318" s="346" t="s">
        <v>2958</v>
      </c>
      <c r="C1318" s="346" t="s">
        <v>2959</v>
      </c>
    </row>
    <row r="1319" spans="1:3">
      <c r="A1319" s="347">
        <v>46090</v>
      </c>
      <c r="B1319" s="346" t="s">
        <v>2960</v>
      </c>
      <c r="C1319" s="346" t="s">
        <v>2961</v>
      </c>
    </row>
    <row r="1320" spans="1:3">
      <c r="A1320" s="347">
        <v>46090</v>
      </c>
      <c r="B1320" s="346" t="s">
        <v>2962</v>
      </c>
      <c r="C1320" s="346" t="s">
        <v>2963</v>
      </c>
    </row>
    <row r="1321" spans="1:3">
      <c r="A1321" s="347">
        <v>46090</v>
      </c>
      <c r="B1321" s="346" t="s">
        <v>2964</v>
      </c>
      <c r="C1321" s="346" t="s">
        <v>2965</v>
      </c>
    </row>
    <row r="1322" spans="1:3">
      <c r="A1322" s="347">
        <v>46090</v>
      </c>
      <c r="B1322" s="346" t="s">
        <v>2966</v>
      </c>
      <c r="C1322" s="346" t="s">
        <v>2967</v>
      </c>
    </row>
    <row r="1323" spans="1:3">
      <c r="A1323" s="347">
        <v>46090</v>
      </c>
      <c r="B1323" s="346" t="s">
        <v>2968</v>
      </c>
      <c r="C1323" s="346" t="s">
        <v>2969</v>
      </c>
    </row>
    <row r="1324" spans="1:3">
      <c r="A1324" s="347">
        <v>46090</v>
      </c>
      <c r="B1324" s="346" t="s">
        <v>2970</v>
      </c>
      <c r="C1324" s="346" t="s">
        <v>2971</v>
      </c>
    </row>
    <row r="1325" spans="1:3">
      <c r="A1325" s="347">
        <v>46090</v>
      </c>
      <c r="B1325" s="346" t="s">
        <v>2972</v>
      </c>
      <c r="C1325" s="346" t="s">
        <v>2973</v>
      </c>
    </row>
    <row r="1326" spans="1:3">
      <c r="A1326" s="347">
        <v>46090</v>
      </c>
      <c r="B1326" s="346" t="s">
        <v>2974</v>
      </c>
      <c r="C1326" s="346" t="s">
        <v>2975</v>
      </c>
    </row>
    <row r="1327" spans="1:3">
      <c r="A1327" s="347">
        <v>46090</v>
      </c>
      <c r="B1327" s="346" t="s">
        <v>2976</v>
      </c>
      <c r="C1327" s="346" t="s">
        <v>2977</v>
      </c>
    </row>
    <row r="1328" spans="1:3">
      <c r="A1328" s="347">
        <v>46090</v>
      </c>
      <c r="B1328" s="346" t="s">
        <v>2978</v>
      </c>
      <c r="C1328" s="346" t="s">
        <v>2979</v>
      </c>
    </row>
    <row r="1329" spans="1:3">
      <c r="A1329" s="347">
        <v>46090</v>
      </c>
      <c r="B1329" s="346" t="s">
        <v>2980</v>
      </c>
      <c r="C1329" s="346" t="s">
        <v>2981</v>
      </c>
    </row>
    <row r="1330" spans="1:3">
      <c r="A1330" s="347">
        <v>46090</v>
      </c>
      <c r="B1330" s="346" t="s">
        <v>2982</v>
      </c>
      <c r="C1330" s="346" t="s">
        <v>2983</v>
      </c>
    </row>
    <row r="1331" spans="1:3">
      <c r="A1331" s="347">
        <v>46090</v>
      </c>
      <c r="B1331" s="346" t="s">
        <v>2984</v>
      </c>
      <c r="C1331" s="346" t="s">
        <v>2985</v>
      </c>
    </row>
    <row r="1332" spans="1:3">
      <c r="A1332" s="347">
        <v>46090</v>
      </c>
      <c r="B1332" s="346" t="s">
        <v>2986</v>
      </c>
      <c r="C1332" s="346" t="s">
        <v>2987</v>
      </c>
    </row>
    <row r="1333" spans="1:3">
      <c r="A1333" s="347">
        <v>46090</v>
      </c>
      <c r="B1333" s="346" t="s">
        <v>2988</v>
      </c>
      <c r="C1333" s="346" t="s">
        <v>2989</v>
      </c>
    </row>
    <row r="1334" spans="1:3">
      <c r="A1334" s="347">
        <v>46090</v>
      </c>
      <c r="B1334" s="346" t="s">
        <v>2990</v>
      </c>
      <c r="C1334" s="346" t="s">
        <v>10595</v>
      </c>
    </row>
    <row r="1335" spans="1:3">
      <c r="A1335" s="347">
        <v>46090</v>
      </c>
      <c r="B1335" s="346" t="s">
        <v>2991</v>
      </c>
      <c r="C1335" s="346" t="s">
        <v>2992</v>
      </c>
    </row>
    <row r="1336" spans="1:3">
      <c r="A1336" s="347">
        <v>46090</v>
      </c>
      <c r="B1336" s="346" t="s">
        <v>2993</v>
      </c>
      <c r="C1336" s="346" t="s">
        <v>2994</v>
      </c>
    </row>
    <row r="1337" spans="1:3">
      <c r="A1337" s="347">
        <v>46090</v>
      </c>
      <c r="B1337" s="346" t="s">
        <v>2995</v>
      </c>
      <c r="C1337" s="346" t="s">
        <v>2996</v>
      </c>
    </row>
    <row r="1338" spans="1:3">
      <c r="A1338" s="347">
        <v>46090</v>
      </c>
      <c r="B1338" s="346" t="s">
        <v>2997</v>
      </c>
      <c r="C1338" s="346" t="s">
        <v>2998</v>
      </c>
    </row>
    <row r="1339" spans="1:3">
      <c r="A1339" s="347">
        <v>46090</v>
      </c>
      <c r="B1339" s="346" t="s">
        <v>2999</v>
      </c>
      <c r="C1339" s="346" t="s">
        <v>3000</v>
      </c>
    </row>
    <row r="1340" spans="1:3">
      <c r="A1340" s="347">
        <v>46090</v>
      </c>
      <c r="B1340" s="346" t="s">
        <v>3001</v>
      </c>
      <c r="C1340" s="346" t="s">
        <v>3002</v>
      </c>
    </row>
    <row r="1341" spans="1:3">
      <c r="A1341" s="347">
        <v>46090</v>
      </c>
      <c r="B1341" s="346" t="s">
        <v>3003</v>
      </c>
      <c r="C1341" s="346" t="s">
        <v>3004</v>
      </c>
    </row>
    <row r="1342" spans="1:3">
      <c r="A1342" s="347">
        <v>46090</v>
      </c>
      <c r="B1342" s="346" t="s">
        <v>3005</v>
      </c>
      <c r="C1342" s="346" t="s">
        <v>3006</v>
      </c>
    </row>
    <row r="1343" spans="1:3">
      <c r="A1343" s="347">
        <v>46090</v>
      </c>
      <c r="B1343" s="346" t="s">
        <v>3007</v>
      </c>
      <c r="C1343" s="346" t="s">
        <v>3008</v>
      </c>
    </row>
    <row r="1344" spans="1:3">
      <c r="A1344" s="347">
        <v>46090</v>
      </c>
      <c r="B1344" s="346" t="s">
        <v>3009</v>
      </c>
      <c r="C1344" s="346" t="s">
        <v>3010</v>
      </c>
    </row>
    <row r="1345" spans="1:3">
      <c r="A1345" s="347">
        <v>46090</v>
      </c>
      <c r="B1345" s="346" t="s">
        <v>3011</v>
      </c>
      <c r="C1345" s="346" t="s">
        <v>3012</v>
      </c>
    </row>
    <row r="1346" spans="1:3">
      <c r="A1346" s="347">
        <v>46090</v>
      </c>
      <c r="B1346" s="346" t="s">
        <v>3013</v>
      </c>
      <c r="C1346" s="346" t="s">
        <v>3014</v>
      </c>
    </row>
    <row r="1347" spans="1:3">
      <c r="A1347" s="347">
        <v>46090</v>
      </c>
      <c r="B1347" s="346" t="s">
        <v>3015</v>
      </c>
      <c r="C1347" s="346" t="s">
        <v>3016</v>
      </c>
    </row>
    <row r="1348" spans="1:3">
      <c r="A1348" s="347">
        <v>46090</v>
      </c>
      <c r="B1348" s="346" t="s">
        <v>3017</v>
      </c>
      <c r="C1348" s="346" t="s">
        <v>3018</v>
      </c>
    </row>
    <row r="1349" spans="1:3">
      <c r="A1349" s="347">
        <v>46090</v>
      </c>
      <c r="B1349" s="346" t="s">
        <v>3019</v>
      </c>
      <c r="C1349" s="346" t="s">
        <v>3020</v>
      </c>
    </row>
    <row r="1350" spans="1:3">
      <c r="A1350" s="347">
        <v>46090</v>
      </c>
      <c r="B1350" s="346" t="s">
        <v>3021</v>
      </c>
      <c r="C1350" s="346" t="s">
        <v>3022</v>
      </c>
    </row>
    <row r="1351" spans="1:3">
      <c r="A1351" s="347">
        <v>46090</v>
      </c>
      <c r="B1351" s="346" t="s">
        <v>3023</v>
      </c>
      <c r="C1351" s="346" t="s">
        <v>3024</v>
      </c>
    </row>
    <row r="1352" spans="1:3">
      <c r="A1352" s="347">
        <v>46090</v>
      </c>
      <c r="B1352" s="346" t="s">
        <v>3025</v>
      </c>
      <c r="C1352" s="346" t="s">
        <v>3026</v>
      </c>
    </row>
    <row r="1353" spans="1:3">
      <c r="A1353" s="347">
        <v>46090</v>
      </c>
      <c r="B1353" s="346" t="s">
        <v>3027</v>
      </c>
      <c r="C1353" s="346" t="s">
        <v>3028</v>
      </c>
    </row>
    <row r="1354" spans="1:3">
      <c r="A1354" s="347">
        <v>46090</v>
      </c>
      <c r="B1354" s="346" t="s">
        <v>3029</v>
      </c>
      <c r="C1354" s="346" t="s">
        <v>3030</v>
      </c>
    </row>
    <row r="1355" spans="1:3">
      <c r="A1355" s="347">
        <v>46090</v>
      </c>
      <c r="B1355" s="346" t="s">
        <v>3031</v>
      </c>
      <c r="C1355" s="346" t="s">
        <v>3032</v>
      </c>
    </row>
    <row r="1356" spans="1:3">
      <c r="A1356" s="347">
        <v>46090</v>
      </c>
      <c r="B1356" s="346" t="s">
        <v>3033</v>
      </c>
      <c r="C1356" s="346" t="s">
        <v>3034</v>
      </c>
    </row>
    <row r="1357" spans="1:3">
      <c r="A1357" s="347">
        <v>46090</v>
      </c>
      <c r="B1357" s="346" t="s">
        <v>3035</v>
      </c>
      <c r="C1357" s="346" t="s">
        <v>3036</v>
      </c>
    </row>
    <row r="1358" spans="1:3">
      <c r="A1358" s="347">
        <v>46090</v>
      </c>
      <c r="B1358" s="346" t="s">
        <v>3037</v>
      </c>
      <c r="C1358" s="346" t="s">
        <v>3038</v>
      </c>
    </row>
    <row r="1359" spans="1:3">
      <c r="A1359" s="347">
        <v>46090</v>
      </c>
      <c r="B1359" s="346" t="s">
        <v>3039</v>
      </c>
      <c r="C1359" s="346" t="s">
        <v>3040</v>
      </c>
    </row>
    <row r="1360" spans="1:3">
      <c r="A1360" s="347">
        <v>46090</v>
      </c>
      <c r="B1360" s="346" t="s">
        <v>3041</v>
      </c>
      <c r="C1360" s="346" t="s">
        <v>3042</v>
      </c>
    </row>
    <row r="1361" spans="1:3">
      <c r="A1361" s="347">
        <v>46090</v>
      </c>
      <c r="B1361" s="346" t="s">
        <v>3043</v>
      </c>
      <c r="C1361" s="346" t="s">
        <v>3044</v>
      </c>
    </row>
    <row r="1362" spans="1:3">
      <c r="A1362" s="347">
        <v>46090</v>
      </c>
      <c r="B1362" s="346" t="s">
        <v>3045</v>
      </c>
      <c r="C1362" s="346" t="s">
        <v>10596</v>
      </c>
    </row>
    <row r="1363" spans="1:3">
      <c r="A1363" s="347">
        <v>46090</v>
      </c>
      <c r="B1363" s="346" t="s">
        <v>3046</v>
      </c>
      <c r="C1363" s="346" t="s">
        <v>3047</v>
      </c>
    </row>
    <row r="1364" spans="1:3">
      <c r="A1364" s="347">
        <v>46090</v>
      </c>
      <c r="B1364" s="346" t="s">
        <v>3048</v>
      </c>
      <c r="C1364" s="346" t="s">
        <v>3049</v>
      </c>
    </row>
    <row r="1365" spans="1:3">
      <c r="A1365" s="347">
        <v>46090</v>
      </c>
      <c r="B1365" s="346" t="s">
        <v>3050</v>
      </c>
      <c r="C1365" s="346" t="s">
        <v>3051</v>
      </c>
    </row>
    <row r="1366" spans="1:3">
      <c r="A1366" s="347">
        <v>46090</v>
      </c>
      <c r="B1366" s="346" t="s">
        <v>3052</v>
      </c>
      <c r="C1366" s="346" t="s">
        <v>3053</v>
      </c>
    </row>
    <row r="1367" spans="1:3">
      <c r="A1367" s="347">
        <v>46090</v>
      </c>
      <c r="B1367" s="346" t="s">
        <v>3054</v>
      </c>
      <c r="C1367" s="346" t="s">
        <v>3055</v>
      </c>
    </row>
    <row r="1368" spans="1:3">
      <c r="A1368" s="347">
        <v>46090</v>
      </c>
      <c r="B1368" s="346" t="s">
        <v>3056</v>
      </c>
      <c r="C1368" s="346" t="s">
        <v>3057</v>
      </c>
    </row>
    <row r="1369" spans="1:3">
      <c r="A1369" s="347">
        <v>46090</v>
      </c>
      <c r="B1369" s="346" t="s">
        <v>3058</v>
      </c>
      <c r="C1369" s="346" t="s">
        <v>3059</v>
      </c>
    </row>
    <row r="1370" spans="1:3">
      <c r="A1370" s="347">
        <v>46090</v>
      </c>
      <c r="B1370" s="346" t="s">
        <v>3060</v>
      </c>
      <c r="C1370" s="346" t="s">
        <v>3061</v>
      </c>
    </row>
    <row r="1371" spans="1:3">
      <c r="A1371" s="347">
        <v>46090</v>
      </c>
      <c r="B1371" s="346" t="s">
        <v>3062</v>
      </c>
      <c r="C1371" s="346" t="s">
        <v>3063</v>
      </c>
    </row>
    <row r="1372" spans="1:3">
      <c r="A1372" s="347">
        <v>46090</v>
      </c>
      <c r="B1372" s="346" t="s">
        <v>3064</v>
      </c>
      <c r="C1372" s="346" t="s">
        <v>3065</v>
      </c>
    </row>
    <row r="1373" spans="1:3">
      <c r="A1373" s="347">
        <v>46090</v>
      </c>
      <c r="B1373" s="346" t="s">
        <v>3066</v>
      </c>
      <c r="C1373" s="346" t="s">
        <v>3067</v>
      </c>
    </row>
    <row r="1374" spans="1:3">
      <c r="A1374" s="347">
        <v>46090</v>
      </c>
      <c r="B1374" s="346" t="s">
        <v>3068</v>
      </c>
      <c r="C1374" s="346" t="s">
        <v>3069</v>
      </c>
    </row>
    <row r="1375" spans="1:3">
      <c r="A1375" s="347">
        <v>46090</v>
      </c>
      <c r="B1375" s="346" t="s">
        <v>3070</v>
      </c>
      <c r="C1375" s="346" t="s">
        <v>3071</v>
      </c>
    </row>
    <row r="1376" spans="1:3">
      <c r="A1376" s="347">
        <v>46090</v>
      </c>
      <c r="B1376" s="346" t="s">
        <v>3072</v>
      </c>
      <c r="C1376" s="346" t="s">
        <v>3073</v>
      </c>
    </row>
    <row r="1377" spans="1:3">
      <c r="A1377" s="347">
        <v>46090</v>
      </c>
      <c r="B1377" s="346" t="s">
        <v>3074</v>
      </c>
      <c r="C1377" s="346" t="s">
        <v>3075</v>
      </c>
    </row>
    <row r="1378" spans="1:3">
      <c r="A1378" s="347">
        <v>46090</v>
      </c>
      <c r="B1378" s="346" t="s">
        <v>3076</v>
      </c>
      <c r="C1378" s="346" t="s">
        <v>3077</v>
      </c>
    </row>
    <row r="1379" spans="1:3">
      <c r="A1379" s="347">
        <v>46090</v>
      </c>
      <c r="B1379" s="346" t="s">
        <v>3078</v>
      </c>
      <c r="C1379" s="346" t="s">
        <v>3079</v>
      </c>
    </row>
    <row r="1380" spans="1:3">
      <c r="A1380" s="347">
        <v>46090</v>
      </c>
      <c r="B1380" s="346" t="s">
        <v>3080</v>
      </c>
      <c r="C1380" s="346" t="s">
        <v>3081</v>
      </c>
    </row>
    <row r="1381" spans="1:3">
      <c r="A1381" s="347">
        <v>46090</v>
      </c>
      <c r="B1381" s="346" t="s">
        <v>3082</v>
      </c>
      <c r="C1381" s="346" t="s">
        <v>3083</v>
      </c>
    </row>
    <row r="1382" spans="1:3">
      <c r="A1382" s="347">
        <v>46090</v>
      </c>
      <c r="B1382" s="346" t="s">
        <v>3084</v>
      </c>
      <c r="C1382" s="346" t="s">
        <v>3085</v>
      </c>
    </row>
    <row r="1383" spans="1:3">
      <c r="A1383" s="347">
        <v>46090</v>
      </c>
      <c r="B1383" s="346" t="s">
        <v>3086</v>
      </c>
      <c r="C1383" s="346" t="s">
        <v>3087</v>
      </c>
    </row>
    <row r="1384" spans="1:3">
      <c r="A1384" s="347">
        <v>46090</v>
      </c>
      <c r="B1384" s="346" t="s">
        <v>3088</v>
      </c>
      <c r="C1384" s="346" t="s">
        <v>3089</v>
      </c>
    </row>
    <row r="1385" spans="1:3">
      <c r="A1385" s="347">
        <v>46090</v>
      </c>
      <c r="B1385" s="346" t="s">
        <v>3090</v>
      </c>
      <c r="C1385" s="346" t="s">
        <v>3091</v>
      </c>
    </row>
    <row r="1386" spans="1:3">
      <c r="A1386" s="347">
        <v>46090</v>
      </c>
      <c r="B1386" s="346" t="s">
        <v>3092</v>
      </c>
      <c r="C1386" s="346" t="s">
        <v>3093</v>
      </c>
    </row>
    <row r="1387" spans="1:3">
      <c r="A1387" s="347">
        <v>46090</v>
      </c>
      <c r="B1387" s="346" t="s">
        <v>3094</v>
      </c>
      <c r="C1387" s="346" t="s">
        <v>3095</v>
      </c>
    </row>
    <row r="1388" spans="1:3">
      <c r="A1388" s="347">
        <v>46090</v>
      </c>
      <c r="B1388" s="346" t="s">
        <v>3096</v>
      </c>
      <c r="C1388" s="346" t="s">
        <v>3097</v>
      </c>
    </row>
    <row r="1389" spans="1:3">
      <c r="A1389" s="347">
        <v>46090</v>
      </c>
      <c r="B1389" s="346" t="s">
        <v>3098</v>
      </c>
      <c r="C1389" s="346" t="s">
        <v>3099</v>
      </c>
    </row>
    <row r="1390" spans="1:3">
      <c r="A1390" s="347">
        <v>46090</v>
      </c>
      <c r="B1390" s="346" t="s">
        <v>3100</v>
      </c>
      <c r="C1390" s="346" t="s">
        <v>3101</v>
      </c>
    </row>
    <row r="1391" spans="1:3">
      <c r="A1391" s="347">
        <v>46090</v>
      </c>
      <c r="B1391" s="346" t="s">
        <v>3102</v>
      </c>
      <c r="C1391" s="346" t="s">
        <v>3103</v>
      </c>
    </row>
    <row r="1392" spans="1:3">
      <c r="A1392" s="347">
        <v>46090</v>
      </c>
      <c r="B1392" s="346" t="s">
        <v>3104</v>
      </c>
      <c r="C1392" s="346" t="s">
        <v>3105</v>
      </c>
    </row>
    <row r="1393" spans="1:3">
      <c r="A1393" s="347">
        <v>46090</v>
      </c>
      <c r="B1393" s="346" t="s">
        <v>3106</v>
      </c>
      <c r="C1393" s="346" t="s">
        <v>3107</v>
      </c>
    </row>
    <row r="1394" spans="1:3">
      <c r="A1394" s="347">
        <v>46090</v>
      </c>
      <c r="B1394" s="346" t="s">
        <v>3108</v>
      </c>
      <c r="C1394" s="346" t="s">
        <v>3109</v>
      </c>
    </row>
    <row r="1395" spans="1:3">
      <c r="A1395" s="347">
        <v>46090</v>
      </c>
      <c r="B1395" s="346" t="s">
        <v>3110</v>
      </c>
      <c r="C1395" s="346" t="s">
        <v>3111</v>
      </c>
    </row>
    <row r="1396" spans="1:3">
      <c r="A1396" s="347">
        <v>46090</v>
      </c>
      <c r="B1396" s="346" t="s">
        <v>3112</v>
      </c>
      <c r="C1396" s="346" t="s">
        <v>3113</v>
      </c>
    </row>
    <row r="1397" spans="1:3">
      <c r="A1397" s="347">
        <v>46090</v>
      </c>
      <c r="B1397" s="346" t="s">
        <v>3114</v>
      </c>
      <c r="C1397" s="346" t="s">
        <v>3115</v>
      </c>
    </row>
    <row r="1398" spans="1:3">
      <c r="A1398" s="347">
        <v>46090</v>
      </c>
      <c r="B1398" s="346" t="s">
        <v>3116</v>
      </c>
      <c r="C1398" s="346" t="s">
        <v>3117</v>
      </c>
    </row>
    <row r="1399" spans="1:3">
      <c r="A1399" s="347">
        <v>46090</v>
      </c>
      <c r="B1399" s="346" t="s">
        <v>3118</v>
      </c>
      <c r="C1399" s="346" t="s">
        <v>3119</v>
      </c>
    </row>
    <row r="1400" spans="1:3">
      <c r="A1400" s="347">
        <v>46090</v>
      </c>
      <c r="B1400" s="346" t="s">
        <v>3120</v>
      </c>
      <c r="C1400" s="346" t="s">
        <v>3121</v>
      </c>
    </row>
    <row r="1401" spans="1:3">
      <c r="A1401" s="347">
        <v>46090</v>
      </c>
      <c r="B1401" s="346" t="s">
        <v>3122</v>
      </c>
      <c r="C1401" s="346" t="s">
        <v>3123</v>
      </c>
    </row>
    <row r="1402" spans="1:3">
      <c r="A1402" s="347">
        <v>46090</v>
      </c>
      <c r="B1402" s="346" t="s">
        <v>3124</v>
      </c>
      <c r="C1402" s="346" t="s">
        <v>3125</v>
      </c>
    </row>
    <row r="1403" spans="1:3">
      <c r="A1403" s="347">
        <v>46090</v>
      </c>
      <c r="B1403" s="346" t="s">
        <v>3126</v>
      </c>
      <c r="C1403" s="346" t="s">
        <v>3127</v>
      </c>
    </row>
    <row r="1404" spans="1:3">
      <c r="A1404" s="347">
        <v>46090</v>
      </c>
      <c r="B1404" s="346" t="s">
        <v>3128</v>
      </c>
      <c r="C1404" s="346" t="s">
        <v>3129</v>
      </c>
    </row>
    <row r="1405" spans="1:3">
      <c r="A1405" s="347">
        <v>46090</v>
      </c>
      <c r="B1405" s="346" t="s">
        <v>3130</v>
      </c>
      <c r="C1405" s="346" t="s">
        <v>3131</v>
      </c>
    </row>
    <row r="1406" spans="1:3">
      <c r="A1406" s="347">
        <v>46090</v>
      </c>
      <c r="B1406" s="346" t="s">
        <v>3132</v>
      </c>
      <c r="C1406" s="346" t="s">
        <v>3133</v>
      </c>
    </row>
    <row r="1407" spans="1:3">
      <c r="A1407" s="347">
        <v>46090</v>
      </c>
      <c r="B1407" s="346" t="s">
        <v>3134</v>
      </c>
      <c r="C1407" s="346" t="s">
        <v>3135</v>
      </c>
    </row>
    <row r="1408" spans="1:3">
      <c r="A1408" s="347">
        <v>46090</v>
      </c>
      <c r="B1408" s="346" t="s">
        <v>3136</v>
      </c>
      <c r="C1408" s="346" t="s">
        <v>3137</v>
      </c>
    </row>
    <row r="1409" spans="1:3">
      <c r="A1409" s="347">
        <v>46090</v>
      </c>
      <c r="B1409" s="346" t="s">
        <v>3138</v>
      </c>
      <c r="C1409" s="346" t="s">
        <v>3139</v>
      </c>
    </row>
    <row r="1410" spans="1:3">
      <c r="A1410" s="347">
        <v>46090</v>
      </c>
      <c r="B1410" s="346" t="s">
        <v>3140</v>
      </c>
      <c r="C1410" s="346" t="s">
        <v>10597</v>
      </c>
    </row>
    <row r="1411" spans="1:3">
      <c r="A1411" s="347">
        <v>46090</v>
      </c>
      <c r="B1411" s="346" t="s">
        <v>3141</v>
      </c>
      <c r="C1411" s="346" t="s">
        <v>3142</v>
      </c>
    </row>
    <row r="1412" spans="1:3">
      <c r="A1412" s="347">
        <v>46090</v>
      </c>
      <c r="B1412" s="346" t="s">
        <v>3143</v>
      </c>
      <c r="C1412" s="346" t="s">
        <v>3144</v>
      </c>
    </row>
    <row r="1413" spans="1:3">
      <c r="A1413" s="347">
        <v>46090</v>
      </c>
      <c r="B1413" s="346" t="s">
        <v>3145</v>
      </c>
      <c r="C1413" s="346" t="s">
        <v>3146</v>
      </c>
    </row>
    <row r="1414" spans="1:3">
      <c r="A1414" s="347">
        <v>46090</v>
      </c>
      <c r="B1414" s="346" t="s">
        <v>3147</v>
      </c>
      <c r="C1414" s="346" t="s">
        <v>3148</v>
      </c>
    </row>
    <row r="1415" spans="1:3">
      <c r="A1415" s="347">
        <v>46090</v>
      </c>
      <c r="B1415" s="346" t="s">
        <v>3149</v>
      </c>
      <c r="C1415" s="346" t="s">
        <v>3150</v>
      </c>
    </row>
    <row r="1416" spans="1:3">
      <c r="A1416" s="347">
        <v>46090</v>
      </c>
      <c r="B1416" s="346" t="s">
        <v>3151</v>
      </c>
      <c r="C1416" s="346" t="s">
        <v>3152</v>
      </c>
    </row>
    <row r="1417" spans="1:3">
      <c r="A1417" s="347">
        <v>46090</v>
      </c>
      <c r="B1417" s="346" t="s">
        <v>3153</v>
      </c>
      <c r="C1417" s="346" t="s">
        <v>3154</v>
      </c>
    </row>
    <row r="1418" spans="1:3">
      <c r="A1418" s="347">
        <v>46090</v>
      </c>
      <c r="B1418" s="346" t="s">
        <v>3155</v>
      </c>
      <c r="C1418" s="346" t="s">
        <v>3156</v>
      </c>
    </row>
    <row r="1419" spans="1:3">
      <c r="A1419" s="347">
        <v>46090</v>
      </c>
      <c r="B1419" s="346" t="s">
        <v>3157</v>
      </c>
      <c r="C1419" s="346" t="s">
        <v>3158</v>
      </c>
    </row>
    <row r="1420" spans="1:3">
      <c r="A1420" s="347">
        <v>46090</v>
      </c>
      <c r="B1420" s="346" t="s">
        <v>3159</v>
      </c>
      <c r="C1420" s="346" t="s">
        <v>3160</v>
      </c>
    </row>
    <row r="1421" spans="1:3">
      <c r="A1421" s="347">
        <v>46090</v>
      </c>
      <c r="B1421" s="346" t="s">
        <v>3161</v>
      </c>
      <c r="C1421" s="346" t="s">
        <v>3162</v>
      </c>
    </row>
    <row r="1422" spans="1:3">
      <c r="A1422" s="347">
        <v>46090</v>
      </c>
      <c r="B1422" s="346" t="s">
        <v>3163</v>
      </c>
      <c r="C1422" s="346" t="s">
        <v>3164</v>
      </c>
    </row>
    <row r="1423" spans="1:3">
      <c r="A1423" s="347">
        <v>46090</v>
      </c>
      <c r="B1423" s="346" t="s">
        <v>3165</v>
      </c>
      <c r="C1423" s="346" t="s">
        <v>3166</v>
      </c>
    </row>
    <row r="1424" spans="1:3">
      <c r="A1424" s="347">
        <v>46090</v>
      </c>
      <c r="B1424" s="346" t="s">
        <v>3167</v>
      </c>
      <c r="C1424" s="346" t="s">
        <v>3168</v>
      </c>
    </row>
    <row r="1425" spans="1:3">
      <c r="A1425" s="347">
        <v>46090</v>
      </c>
      <c r="B1425" s="346" t="s">
        <v>3169</v>
      </c>
      <c r="C1425" s="346" t="s">
        <v>3170</v>
      </c>
    </row>
    <row r="1426" spans="1:3">
      <c r="A1426" s="347">
        <v>46090</v>
      </c>
      <c r="B1426" s="346" t="s">
        <v>3171</v>
      </c>
      <c r="C1426" s="346" t="s">
        <v>3172</v>
      </c>
    </row>
    <row r="1427" spans="1:3">
      <c r="A1427" s="347">
        <v>46090</v>
      </c>
      <c r="B1427" s="346" t="s">
        <v>3173</v>
      </c>
      <c r="C1427" s="346" t="s">
        <v>3174</v>
      </c>
    </row>
    <row r="1428" spans="1:3">
      <c r="A1428" s="347">
        <v>46090</v>
      </c>
      <c r="B1428" s="346" t="s">
        <v>3175</v>
      </c>
      <c r="C1428" s="346" t="s">
        <v>3176</v>
      </c>
    </row>
    <row r="1429" spans="1:3">
      <c r="A1429" s="347">
        <v>46090</v>
      </c>
      <c r="B1429" s="346" t="s">
        <v>3177</v>
      </c>
      <c r="C1429" s="346" t="s">
        <v>3178</v>
      </c>
    </row>
    <row r="1430" spans="1:3">
      <c r="A1430" s="347">
        <v>46090</v>
      </c>
      <c r="B1430" s="346" t="s">
        <v>3179</v>
      </c>
      <c r="C1430" s="346" t="s">
        <v>3180</v>
      </c>
    </row>
    <row r="1431" spans="1:3">
      <c r="A1431" s="347">
        <v>46090</v>
      </c>
      <c r="B1431" s="346" t="s">
        <v>3181</v>
      </c>
      <c r="C1431" s="346" t="s">
        <v>3182</v>
      </c>
    </row>
    <row r="1432" spans="1:3">
      <c r="A1432" s="347">
        <v>46090</v>
      </c>
      <c r="B1432" s="346" t="s">
        <v>3183</v>
      </c>
      <c r="C1432" s="346" t="s">
        <v>3184</v>
      </c>
    </row>
    <row r="1433" spans="1:3">
      <c r="A1433" s="347">
        <v>46090</v>
      </c>
      <c r="B1433" s="346" t="s">
        <v>3185</v>
      </c>
      <c r="C1433" s="346" t="s">
        <v>3186</v>
      </c>
    </row>
    <row r="1434" spans="1:3">
      <c r="A1434" s="347">
        <v>46090</v>
      </c>
      <c r="B1434" s="346" t="s">
        <v>3187</v>
      </c>
      <c r="C1434" s="346" t="s">
        <v>3188</v>
      </c>
    </row>
    <row r="1435" spans="1:3">
      <c r="A1435" s="347">
        <v>46090</v>
      </c>
      <c r="B1435" s="346" t="s">
        <v>3189</v>
      </c>
      <c r="C1435" s="346" t="s">
        <v>3190</v>
      </c>
    </row>
    <row r="1436" spans="1:3">
      <c r="A1436" s="347">
        <v>46090</v>
      </c>
      <c r="B1436" s="346" t="s">
        <v>3191</v>
      </c>
      <c r="C1436" s="346" t="s">
        <v>3192</v>
      </c>
    </row>
    <row r="1437" spans="1:3">
      <c r="A1437" s="347">
        <v>46090</v>
      </c>
      <c r="B1437" s="346" t="s">
        <v>3193</v>
      </c>
      <c r="C1437" s="346" t="s">
        <v>3194</v>
      </c>
    </row>
    <row r="1438" spans="1:3">
      <c r="A1438" s="347">
        <v>46090</v>
      </c>
      <c r="B1438" s="346" t="s">
        <v>3195</v>
      </c>
      <c r="C1438" s="346" t="s">
        <v>3196</v>
      </c>
    </row>
    <row r="1439" spans="1:3">
      <c r="A1439" s="347">
        <v>46090</v>
      </c>
      <c r="B1439" s="346" t="s">
        <v>3197</v>
      </c>
      <c r="C1439" s="346" t="s">
        <v>3198</v>
      </c>
    </row>
    <row r="1440" spans="1:3">
      <c r="A1440" s="347">
        <v>46090</v>
      </c>
      <c r="B1440" s="346" t="s">
        <v>3199</v>
      </c>
      <c r="C1440" s="346" t="s">
        <v>3200</v>
      </c>
    </row>
    <row r="1441" spans="1:3">
      <c r="A1441" s="347">
        <v>46090</v>
      </c>
      <c r="B1441" s="346" t="s">
        <v>3201</v>
      </c>
      <c r="C1441" s="346" t="s">
        <v>3202</v>
      </c>
    </row>
    <row r="1442" spans="1:3">
      <c r="A1442" s="347">
        <v>46090</v>
      </c>
      <c r="B1442" s="346" t="s">
        <v>3203</v>
      </c>
      <c r="C1442" s="346" t="s">
        <v>3204</v>
      </c>
    </row>
    <row r="1443" spans="1:3">
      <c r="A1443" s="347">
        <v>46090</v>
      </c>
      <c r="B1443" s="346" t="s">
        <v>3205</v>
      </c>
      <c r="C1443" s="346" t="s">
        <v>3206</v>
      </c>
    </row>
    <row r="1444" spans="1:3">
      <c r="A1444" s="347">
        <v>46090</v>
      </c>
      <c r="B1444" s="346" t="s">
        <v>3207</v>
      </c>
      <c r="C1444" s="346" t="s">
        <v>3208</v>
      </c>
    </row>
    <row r="1445" spans="1:3">
      <c r="A1445" s="347">
        <v>46090</v>
      </c>
      <c r="B1445" s="346" t="s">
        <v>3209</v>
      </c>
      <c r="C1445" s="346" t="s">
        <v>3210</v>
      </c>
    </row>
    <row r="1446" spans="1:3">
      <c r="A1446" s="347">
        <v>46090</v>
      </c>
      <c r="B1446" s="346" t="s">
        <v>3211</v>
      </c>
      <c r="C1446" s="346" t="s">
        <v>3212</v>
      </c>
    </row>
    <row r="1447" spans="1:3">
      <c r="A1447" s="347">
        <v>46090</v>
      </c>
      <c r="B1447" s="346" t="s">
        <v>3213</v>
      </c>
      <c r="C1447" s="346" t="s">
        <v>3214</v>
      </c>
    </row>
    <row r="1448" spans="1:3">
      <c r="A1448" s="347">
        <v>46090</v>
      </c>
      <c r="B1448" s="346" t="s">
        <v>3215</v>
      </c>
      <c r="C1448" s="346" t="s">
        <v>3216</v>
      </c>
    </row>
    <row r="1449" spans="1:3">
      <c r="A1449" s="347">
        <v>46090</v>
      </c>
      <c r="B1449" s="346" t="s">
        <v>3217</v>
      </c>
      <c r="C1449" s="346" t="s">
        <v>3218</v>
      </c>
    </row>
    <row r="1450" spans="1:3">
      <c r="A1450" s="347">
        <v>46090</v>
      </c>
      <c r="B1450" s="346" t="s">
        <v>3219</v>
      </c>
      <c r="C1450" s="346" t="s">
        <v>3220</v>
      </c>
    </row>
    <row r="1451" spans="1:3">
      <c r="A1451" s="347">
        <v>46090</v>
      </c>
      <c r="B1451" s="346" t="s">
        <v>3221</v>
      </c>
      <c r="C1451" s="346" t="s">
        <v>3222</v>
      </c>
    </row>
    <row r="1452" spans="1:3">
      <c r="A1452" s="347">
        <v>46090</v>
      </c>
      <c r="B1452" s="346" t="s">
        <v>3223</v>
      </c>
      <c r="C1452" s="346" t="s">
        <v>3224</v>
      </c>
    </row>
    <row r="1453" spans="1:3">
      <c r="A1453" s="347">
        <v>46090</v>
      </c>
      <c r="B1453" s="346" t="s">
        <v>3225</v>
      </c>
      <c r="C1453" s="346" t="s">
        <v>3226</v>
      </c>
    </row>
    <row r="1454" spans="1:3">
      <c r="A1454" s="347">
        <v>46090</v>
      </c>
      <c r="B1454" s="346" t="s">
        <v>3227</v>
      </c>
      <c r="C1454" s="346" t="s">
        <v>3228</v>
      </c>
    </row>
    <row r="1455" spans="1:3">
      <c r="A1455" s="347">
        <v>46090</v>
      </c>
      <c r="B1455" s="346" t="s">
        <v>3229</v>
      </c>
      <c r="C1455" s="346" t="s">
        <v>3230</v>
      </c>
    </row>
    <row r="1456" spans="1:3">
      <c r="A1456" s="347">
        <v>46090</v>
      </c>
      <c r="B1456" s="346" t="s">
        <v>3231</v>
      </c>
      <c r="C1456" s="346" t="s">
        <v>3232</v>
      </c>
    </row>
    <row r="1457" spans="1:3">
      <c r="A1457" s="347">
        <v>46090</v>
      </c>
      <c r="B1457" s="346" t="s">
        <v>3233</v>
      </c>
      <c r="C1457" s="346" t="s">
        <v>3234</v>
      </c>
    </row>
    <row r="1458" spans="1:3">
      <c r="A1458" s="347">
        <v>46090</v>
      </c>
      <c r="B1458" s="346" t="s">
        <v>3235</v>
      </c>
      <c r="C1458" s="346" t="s">
        <v>3236</v>
      </c>
    </row>
    <row r="1459" spans="1:3">
      <c r="A1459" s="347">
        <v>46090</v>
      </c>
      <c r="B1459" s="346" t="s">
        <v>3237</v>
      </c>
      <c r="C1459" s="346" t="s">
        <v>10598</v>
      </c>
    </row>
    <row r="1460" spans="1:3">
      <c r="A1460" s="347">
        <v>46090</v>
      </c>
      <c r="B1460" s="346" t="s">
        <v>3238</v>
      </c>
      <c r="C1460" s="346" t="s">
        <v>3239</v>
      </c>
    </row>
    <row r="1461" spans="1:3">
      <c r="A1461" s="347">
        <v>46090</v>
      </c>
      <c r="B1461" s="346" t="s">
        <v>3240</v>
      </c>
      <c r="C1461" s="346" t="s">
        <v>3241</v>
      </c>
    </row>
    <row r="1462" spans="1:3">
      <c r="A1462" s="347">
        <v>46090</v>
      </c>
      <c r="B1462" s="346" t="s">
        <v>3242</v>
      </c>
      <c r="C1462" s="346" t="s">
        <v>3243</v>
      </c>
    </row>
    <row r="1463" spans="1:3">
      <c r="A1463" s="347">
        <v>46090</v>
      </c>
      <c r="B1463" s="346" t="s">
        <v>3244</v>
      </c>
      <c r="C1463" s="346" t="s">
        <v>3245</v>
      </c>
    </row>
    <row r="1464" spans="1:3">
      <c r="A1464" s="347">
        <v>46090</v>
      </c>
      <c r="B1464" s="346" t="s">
        <v>3246</v>
      </c>
      <c r="C1464" s="346" t="s">
        <v>3247</v>
      </c>
    </row>
    <row r="1465" spans="1:3">
      <c r="A1465" s="347">
        <v>46090</v>
      </c>
      <c r="B1465" s="346" t="s">
        <v>3248</v>
      </c>
      <c r="C1465" s="346" t="s">
        <v>3249</v>
      </c>
    </row>
    <row r="1466" spans="1:3">
      <c r="A1466" s="347">
        <v>46090</v>
      </c>
      <c r="B1466" s="346" t="s">
        <v>3250</v>
      </c>
      <c r="C1466" s="346" t="s">
        <v>3251</v>
      </c>
    </row>
    <row r="1467" spans="1:3">
      <c r="A1467" s="347">
        <v>46090</v>
      </c>
      <c r="B1467" s="346" t="s">
        <v>3252</v>
      </c>
      <c r="C1467" s="346" t="s">
        <v>3253</v>
      </c>
    </row>
    <row r="1468" spans="1:3">
      <c r="A1468" s="347">
        <v>46090</v>
      </c>
      <c r="B1468" s="346" t="s">
        <v>3254</v>
      </c>
      <c r="C1468" s="346" t="s">
        <v>3255</v>
      </c>
    </row>
    <row r="1469" spans="1:3">
      <c r="A1469" s="347">
        <v>46090</v>
      </c>
      <c r="B1469" s="346" t="s">
        <v>3256</v>
      </c>
      <c r="C1469" s="346" t="s">
        <v>3257</v>
      </c>
    </row>
    <row r="1470" spans="1:3">
      <c r="A1470" s="347">
        <v>46090</v>
      </c>
      <c r="B1470" s="346" t="s">
        <v>3258</v>
      </c>
      <c r="C1470" s="346" t="s">
        <v>3259</v>
      </c>
    </row>
    <row r="1471" spans="1:3">
      <c r="A1471" s="347">
        <v>46090</v>
      </c>
      <c r="B1471" s="346" t="s">
        <v>3260</v>
      </c>
      <c r="C1471" s="346" t="s">
        <v>3261</v>
      </c>
    </row>
    <row r="1472" spans="1:3">
      <c r="A1472" s="347">
        <v>46090</v>
      </c>
      <c r="B1472" s="346" t="s">
        <v>3262</v>
      </c>
      <c r="C1472" s="346" t="s">
        <v>3263</v>
      </c>
    </row>
    <row r="1473" spans="1:3">
      <c r="A1473" s="347">
        <v>46090</v>
      </c>
      <c r="B1473" s="346" t="s">
        <v>3264</v>
      </c>
      <c r="C1473" s="346" t="s">
        <v>3265</v>
      </c>
    </row>
    <row r="1474" spans="1:3">
      <c r="A1474" s="347">
        <v>46090</v>
      </c>
      <c r="B1474" s="346" t="s">
        <v>3266</v>
      </c>
      <c r="C1474" s="346" t="s">
        <v>3267</v>
      </c>
    </row>
    <row r="1475" spans="1:3">
      <c r="A1475" s="347">
        <v>46090</v>
      </c>
      <c r="B1475" s="346" t="s">
        <v>3268</v>
      </c>
      <c r="C1475" s="346" t="s">
        <v>3269</v>
      </c>
    </row>
    <row r="1476" spans="1:3">
      <c r="A1476" s="347">
        <v>46090</v>
      </c>
      <c r="B1476" s="346" t="s">
        <v>3270</v>
      </c>
      <c r="C1476" s="346" t="s">
        <v>3271</v>
      </c>
    </row>
    <row r="1477" spans="1:3">
      <c r="A1477" s="347">
        <v>46090</v>
      </c>
      <c r="B1477" s="346" t="s">
        <v>3272</v>
      </c>
      <c r="C1477" s="346" t="s">
        <v>3273</v>
      </c>
    </row>
    <row r="1478" spans="1:3">
      <c r="A1478" s="347">
        <v>46090</v>
      </c>
      <c r="B1478" s="346" t="s">
        <v>3274</v>
      </c>
      <c r="C1478" s="346" t="s">
        <v>3275</v>
      </c>
    </row>
    <row r="1479" spans="1:3">
      <c r="A1479" s="347">
        <v>46090</v>
      </c>
      <c r="B1479" s="346" t="s">
        <v>3276</v>
      </c>
      <c r="C1479" s="346" t="s">
        <v>3277</v>
      </c>
    </row>
    <row r="1480" spans="1:3">
      <c r="A1480" s="347">
        <v>46090</v>
      </c>
      <c r="B1480" s="346" t="s">
        <v>3278</v>
      </c>
      <c r="C1480" s="346" t="s">
        <v>10599</v>
      </c>
    </row>
    <row r="1481" spans="1:3">
      <c r="A1481" s="347">
        <v>46090</v>
      </c>
      <c r="B1481" s="346" t="s">
        <v>3279</v>
      </c>
      <c r="C1481" s="346" t="s">
        <v>3280</v>
      </c>
    </row>
    <row r="1482" spans="1:3">
      <c r="A1482" s="347">
        <v>46090</v>
      </c>
      <c r="B1482" s="346" t="s">
        <v>3281</v>
      </c>
      <c r="C1482" s="346" t="s">
        <v>3282</v>
      </c>
    </row>
    <row r="1483" spans="1:3">
      <c r="A1483" s="347">
        <v>46090</v>
      </c>
      <c r="B1483" s="346" t="s">
        <v>3283</v>
      </c>
      <c r="C1483" s="346" t="s">
        <v>3284</v>
      </c>
    </row>
    <row r="1484" spans="1:3">
      <c r="A1484" s="347">
        <v>46090</v>
      </c>
      <c r="B1484" s="346" t="s">
        <v>3285</v>
      </c>
      <c r="C1484" s="346" t="s">
        <v>3286</v>
      </c>
    </row>
    <row r="1485" spans="1:3">
      <c r="A1485" s="347">
        <v>46090</v>
      </c>
      <c r="B1485" s="346" t="s">
        <v>3287</v>
      </c>
      <c r="C1485" s="346" t="s">
        <v>10600</v>
      </c>
    </row>
    <row r="1486" spans="1:3">
      <c r="A1486" s="347">
        <v>46090</v>
      </c>
      <c r="B1486" s="346" t="s">
        <v>3288</v>
      </c>
      <c r="C1486" s="346" t="s">
        <v>3289</v>
      </c>
    </row>
    <row r="1487" spans="1:3">
      <c r="A1487" s="347">
        <v>46090</v>
      </c>
      <c r="B1487" s="346" t="s">
        <v>3290</v>
      </c>
      <c r="C1487" s="346" t="s">
        <v>3291</v>
      </c>
    </row>
    <row r="1488" spans="1:3">
      <c r="A1488" s="347">
        <v>46090</v>
      </c>
      <c r="B1488" s="346" t="s">
        <v>3292</v>
      </c>
      <c r="C1488" s="346" t="s">
        <v>3293</v>
      </c>
    </row>
    <row r="1489" spans="1:3">
      <c r="A1489" s="347">
        <v>46090</v>
      </c>
      <c r="B1489" s="346" t="s">
        <v>3294</v>
      </c>
      <c r="C1489" s="346" t="s">
        <v>3295</v>
      </c>
    </row>
    <row r="1490" spans="1:3">
      <c r="A1490" s="347">
        <v>46090</v>
      </c>
      <c r="B1490" s="346" t="s">
        <v>3296</v>
      </c>
      <c r="C1490" s="346" t="s">
        <v>3297</v>
      </c>
    </row>
    <row r="1491" spans="1:3">
      <c r="A1491" s="347">
        <v>46090</v>
      </c>
      <c r="B1491" s="346" t="s">
        <v>3298</v>
      </c>
      <c r="C1491" s="346" t="s">
        <v>3299</v>
      </c>
    </row>
    <row r="1492" spans="1:3">
      <c r="A1492" s="347">
        <v>46090</v>
      </c>
      <c r="B1492" s="346" t="s">
        <v>3300</v>
      </c>
      <c r="C1492" s="346" t="s">
        <v>3301</v>
      </c>
    </row>
    <row r="1493" spans="1:3">
      <c r="A1493" s="347">
        <v>46090</v>
      </c>
      <c r="B1493" s="346" t="s">
        <v>3302</v>
      </c>
      <c r="C1493" s="346" t="s">
        <v>3303</v>
      </c>
    </row>
    <row r="1494" spans="1:3">
      <c r="A1494" s="347">
        <v>46090</v>
      </c>
      <c r="B1494" s="346" t="s">
        <v>3304</v>
      </c>
      <c r="C1494" s="346" t="s">
        <v>3305</v>
      </c>
    </row>
    <row r="1495" spans="1:3">
      <c r="A1495" s="347">
        <v>46090</v>
      </c>
      <c r="B1495" s="346" t="s">
        <v>3306</v>
      </c>
      <c r="C1495" s="346" t="s">
        <v>3307</v>
      </c>
    </row>
    <row r="1496" spans="1:3">
      <c r="A1496" s="347">
        <v>46090</v>
      </c>
      <c r="B1496" s="346" t="s">
        <v>3308</v>
      </c>
      <c r="C1496" s="346" t="s">
        <v>3309</v>
      </c>
    </row>
    <row r="1497" spans="1:3">
      <c r="A1497" s="347">
        <v>46090</v>
      </c>
      <c r="B1497" s="346" t="s">
        <v>3310</v>
      </c>
      <c r="C1497" s="346" t="s">
        <v>3311</v>
      </c>
    </row>
    <row r="1498" spans="1:3">
      <c r="A1498" s="347">
        <v>46090</v>
      </c>
      <c r="B1498" s="346" t="s">
        <v>3312</v>
      </c>
      <c r="C1498" s="346" t="s">
        <v>3313</v>
      </c>
    </row>
    <row r="1499" spans="1:3">
      <c r="A1499" s="347">
        <v>46090</v>
      </c>
      <c r="B1499" s="346" t="s">
        <v>3314</v>
      </c>
      <c r="C1499" s="346" t="s">
        <v>3315</v>
      </c>
    </row>
    <row r="1500" spans="1:3">
      <c r="A1500" s="347">
        <v>46090</v>
      </c>
      <c r="B1500" s="346" t="s">
        <v>3316</v>
      </c>
      <c r="C1500" s="346" t="s">
        <v>3317</v>
      </c>
    </row>
    <row r="1501" spans="1:3">
      <c r="A1501" s="347">
        <v>46090</v>
      </c>
      <c r="B1501" s="346" t="s">
        <v>3318</v>
      </c>
      <c r="C1501" s="346" t="s">
        <v>3319</v>
      </c>
    </row>
    <row r="1502" spans="1:3">
      <c r="A1502" s="347">
        <v>46090</v>
      </c>
      <c r="B1502" s="346" t="s">
        <v>3320</v>
      </c>
      <c r="C1502" s="346" t="s">
        <v>3321</v>
      </c>
    </row>
    <row r="1503" spans="1:3">
      <c r="A1503" s="347">
        <v>46090</v>
      </c>
      <c r="B1503" s="346" t="s">
        <v>3322</v>
      </c>
      <c r="C1503" s="346" t="s">
        <v>3323</v>
      </c>
    </row>
    <row r="1504" spans="1:3">
      <c r="A1504" s="347">
        <v>46090</v>
      </c>
      <c r="B1504" s="346" t="s">
        <v>3324</v>
      </c>
      <c r="C1504" s="346" t="s">
        <v>3325</v>
      </c>
    </row>
    <row r="1505" spans="1:3">
      <c r="A1505" s="347">
        <v>46090</v>
      </c>
      <c r="B1505" s="346" t="s">
        <v>3326</v>
      </c>
      <c r="C1505" s="346" t="s">
        <v>3327</v>
      </c>
    </row>
    <row r="1506" spans="1:3">
      <c r="A1506" s="347">
        <v>46090</v>
      </c>
      <c r="B1506" s="346" t="s">
        <v>3328</v>
      </c>
      <c r="C1506" s="346" t="s">
        <v>10601</v>
      </c>
    </row>
    <row r="1507" spans="1:3">
      <c r="A1507" s="347">
        <v>46090</v>
      </c>
      <c r="B1507" s="346" t="s">
        <v>3329</v>
      </c>
      <c r="C1507" s="346" t="s">
        <v>3330</v>
      </c>
    </row>
    <row r="1508" spans="1:3">
      <c r="A1508" s="347">
        <v>46090</v>
      </c>
      <c r="B1508" s="346" t="s">
        <v>3331</v>
      </c>
      <c r="C1508" s="346" t="s">
        <v>3332</v>
      </c>
    </row>
    <row r="1509" spans="1:3">
      <c r="A1509" s="347">
        <v>46090</v>
      </c>
      <c r="B1509" s="346" t="s">
        <v>3333</v>
      </c>
      <c r="C1509" s="346" t="s">
        <v>3334</v>
      </c>
    </row>
    <row r="1510" spans="1:3">
      <c r="A1510" s="347">
        <v>46090</v>
      </c>
      <c r="B1510" s="346" t="s">
        <v>3335</v>
      </c>
      <c r="C1510" s="346" t="s">
        <v>3336</v>
      </c>
    </row>
    <row r="1511" spans="1:3">
      <c r="A1511" s="347">
        <v>46090</v>
      </c>
      <c r="B1511" s="346" t="s">
        <v>3337</v>
      </c>
      <c r="C1511" s="346" t="s">
        <v>3338</v>
      </c>
    </row>
    <row r="1512" spans="1:3">
      <c r="A1512" s="347">
        <v>46090</v>
      </c>
      <c r="B1512" s="346" t="s">
        <v>3339</v>
      </c>
      <c r="C1512" s="346" t="s">
        <v>3340</v>
      </c>
    </row>
    <row r="1513" spans="1:3">
      <c r="A1513" s="347">
        <v>46090</v>
      </c>
      <c r="B1513" s="346" t="s">
        <v>3341</v>
      </c>
      <c r="C1513" s="346" t="s">
        <v>3342</v>
      </c>
    </row>
    <row r="1514" spans="1:3">
      <c r="A1514" s="347">
        <v>46090</v>
      </c>
      <c r="B1514" s="346" t="s">
        <v>3343</v>
      </c>
      <c r="C1514" s="346" t="s">
        <v>3344</v>
      </c>
    </row>
    <row r="1515" spans="1:3">
      <c r="A1515" s="347">
        <v>46090</v>
      </c>
      <c r="B1515" s="346" t="s">
        <v>3345</v>
      </c>
      <c r="C1515" s="346" t="s">
        <v>3346</v>
      </c>
    </row>
    <row r="1516" spans="1:3">
      <c r="A1516" s="347">
        <v>46090</v>
      </c>
      <c r="B1516" s="346" t="s">
        <v>3347</v>
      </c>
      <c r="C1516" s="346" t="s">
        <v>10602</v>
      </c>
    </row>
    <row r="1517" spans="1:3">
      <c r="A1517" s="347">
        <v>46090</v>
      </c>
      <c r="B1517" s="346" t="s">
        <v>3348</v>
      </c>
      <c r="C1517" s="346" t="s">
        <v>3349</v>
      </c>
    </row>
    <row r="1518" spans="1:3">
      <c r="A1518" s="347">
        <v>46090</v>
      </c>
      <c r="B1518" s="346" t="s">
        <v>3350</v>
      </c>
      <c r="C1518" s="346" t="s">
        <v>3351</v>
      </c>
    </row>
    <row r="1519" spans="1:3">
      <c r="A1519" s="347">
        <v>46090</v>
      </c>
      <c r="B1519" s="346" t="s">
        <v>3352</v>
      </c>
      <c r="C1519" s="346" t="s">
        <v>3353</v>
      </c>
    </row>
    <row r="1520" spans="1:3">
      <c r="A1520" s="347">
        <v>46090</v>
      </c>
      <c r="B1520" s="346" t="s">
        <v>3354</v>
      </c>
      <c r="C1520" s="346" t="s">
        <v>3355</v>
      </c>
    </row>
    <row r="1521" spans="1:3">
      <c r="A1521" s="347">
        <v>46090</v>
      </c>
      <c r="B1521" s="346" t="s">
        <v>3356</v>
      </c>
      <c r="C1521" s="346" t="s">
        <v>3357</v>
      </c>
    </row>
    <row r="1522" spans="1:3">
      <c r="A1522" s="347">
        <v>46090</v>
      </c>
      <c r="B1522" s="346" t="s">
        <v>3358</v>
      </c>
      <c r="C1522" s="346" t="s">
        <v>3359</v>
      </c>
    </row>
    <row r="1523" spans="1:3">
      <c r="A1523" s="347">
        <v>46090</v>
      </c>
      <c r="B1523" s="346" t="s">
        <v>3360</v>
      </c>
      <c r="C1523" s="346" t="s">
        <v>10603</v>
      </c>
    </row>
    <row r="1524" spans="1:3">
      <c r="A1524" s="347">
        <v>46090</v>
      </c>
      <c r="B1524" s="346" t="s">
        <v>3361</v>
      </c>
      <c r="C1524" s="346" t="s">
        <v>3362</v>
      </c>
    </row>
    <row r="1525" spans="1:3">
      <c r="A1525" s="347">
        <v>46090</v>
      </c>
      <c r="B1525" s="346" t="s">
        <v>3363</v>
      </c>
      <c r="C1525" s="346" t="s">
        <v>3364</v>
      </c>
    </row>
    <row r="1526" spans="1:3">
      <c r="A1526" s="347">
        <v>46090</v>
      </c>
      <c r="B1526" s="346" t="s">
        <v>3365</v>
      </c>
      <c r="C1526" s="346" t="s">
        <v>3366</v>
      </c>
    </row>
    <row r="1527" spans="1:3">
      <c r="A1527" s="347">
        <v>46090</v>
      </c>
      <c r="B1527" s="346" t="s">
        <v>3367</v>
      </c>
      <c r="C1527" s="346" t="s">
        <v>3368</v>
      </c>
    </row>
    <row r="1528" spans="1:3">
      <c r="A1528" s="347">
        <v>46090</v>
      </c>
      <c r="B1528" s="346" t="s">
        <v>3369</v>
      </c>
      <c r="C1528" s="346" t="s">
        <v>3370</v>
      </c>
    </row>
    <row r="1529" spans="1:3">
      <c r="A1529" s="347">
        <v>46090</v>
      </c>
      <c r="B1529" s="346" t="s">
        <v>3371</v>
      </c>
      <c r="C1529" s="346" t="s">
        <v>3372</v>
      </c>
    </row>
    <row r="1530" spans="1:3">
      <c r="A1530" s="347">
        <v>46090</v>
      </c>
      <c r="B1530" s="346" t="s">
        <v>3373</v>
      </c>
      <c r="C1530" s="346" t="s">
        <v>3374</v>
      </c>
    </row>
    <row r="1531" spans="1:3">
      <c r="A1531" s="347">
        <v>46090</v>
      </c>
      <c r="B1531" s="346" t="s">
        <v>3375</v>
      </c>
      <c r="C1531" s="346" t="s">
        <v>3376</v>
      </c>
    </row>
    <row r="1532" spans="1:3">
      <c r="A1532" s="347">
        <v>46090</v>
      </c>
      <c r="B1532" s="346" t="s">
        <v>3377</v>
      </c>
      <c r="C1532" s="346" t="s">
        <v>3378</v>
      </c>
    </row>
    <row r="1533" spans="1:3">
      <c r="A1533" s="347">
        <v>46090</v>
      </c>
      <c r="B1533" s="346" t="s">
        <v>3379</v>
      </c>
      <c r="C1533" s="346" t="s">
        <v>3380</v>
      </c>
    </row>
    <row r="1534" spans="1:3">
      <c r="A1534" s="347">
        <v>46090</v>
      </c>
      <c r="B1534" s="346" t="s">
        <v>3381</v>
      </c>
      <c r="C1534" s="346" t="s">
        <v>3382</v>
      </c>
    </row>
    <row r="1535" spans="1:3">
      <c r="A1535" s="347">
        <v>46090</v>
      </c>
      <c r="B1535" s="346" t="s">
        <v>3383</v>
      </c>
      <c r="C1535" s="346" t="s">
        <v>3384</v>
      </c>
    </row>
    <row r="1536" spans="1:3">
      <c r="A1536" s="347">
        <v>46090</v>
      </c>
      <c r="B1536" s="346" t="s">
        <v>3385</v>
      </c>
      <c r="C1536" s="346" t="s">
        <v>3386</v>
      </c>
    </row>
    <row r="1537" spans="1:3">
      <c r="A1537" s="347">
        <v>46090</v>
      </c>
      <c r="B1537" s="346" t="s">
        <v>3387</v>
      </c>
      <c r="C1537" s="346" t="s">
        <v>10604</v>
      </c>
    </row>
    <row r="1538" spans="1:3">
      <c r="A1538" s="347">
        <v>46090</v>
      </c>
      <c r="B1538" s="346" t="s">
        <v>3388</v>
      </c>
      <c r="C1538" s="346" t="s">
        <v>3389</v>
      </c>
    </row>
    <row r="1539" spans="1:3">
      <c r="A1539" s="347">
        <v>46090</v>
      </c>
      <c r="B1539" s="346" t="s">
        <v>3390</v>
      </c>
      <c r="C1539" s="346" t="s">
        <v>3391</v>
      </c>
    </row>
    <row r="1540" spans="1:3">
      <c r="A1540" s="347">
        <v>46090</v>
      </c>
      <c r="B1540" s="346" t="s">
        <v>3392</v>
      </c>
      <c r="C1540" s="346" t="s">
        <v>3393</v>
      </c>
    </row>
    <row r="1541" spans="1:3">
      <c r="A1541" s="347">
        <v>46090</v>
      </c>
      <c r="B1541" s="346" t="s">
        <v>3394</v>
      </c>
      <c r="C1541" s="346" t="s">
        <v>3395</v>
      </c>
    </row>
    <row r="1542" spans="1:3">
      <c r="A1542" s="347">
        <v>46090</v>
      </c>
      <c r="B1542" s="346" t="s">
        <v>3396</v>
      </c>
      <c r="C1542" s="346" t="s">
        <v>11065</v>
      </c>
    </row>
    <row r="1543" spans="1:3">
      <c r="A1543" s="347">
        <v>46090</v>
      </c>
      <c r="B1543" s="346" t="s">
        <v>3397</v>
      </c>
      <c r="C1543" s="346" t="s">
        <v>3398</v>
      </c>
    </row>
    <row r="1544" spans="1:3">
      <c r="A1544" s="347">
        <v>46090</v>
      </c>
      <c r="B1544" s="346" t="s">
        <v>3399</v>
      </c>
      <c r="C1544" s="346" t="s">
        <v>3400</v>
      </c>
    </row>
    <row r="1545" spans="1:3">
      <c r="A1545" s="347">
        <v>46090</v>
      </c>
      <c r="B1545" s="346" t="s">
        <v>3401</v>
      </c>
      <c r="C1545" s="346" t="s">
        <v>10605</v>
      </c>
    </row>
    <row r="1546" spans="1:3">
      <c r="A1546" s="347">
        <v>46090</v>
      </c>
      <c r="B1546" s="346" t="s">
        <v>3402</v>
      </c>
      <c r="C1546" s="346" t="s">
        <v>3403</v>
      </c>
    </row>
    <row r="1547" spans="1:3">
      <c r="A1547" s="347">
        <v>46090</v>
      </c>
      <c r="B1547" s="346" t="s">
        <v>3404</v>
      </c>
      <c r="C1547" s="346" t="s">
        <v>3405</v>
      </c>
    </row>
    <row r="1548" spans="1:3">
      <c r="A1548" s="347">
        <v>46090</v>
      </c>
      <c r="B1548" s="346" t="s">
        <v>3406</v>
      </c>
      <c r="C1548" s="346" t="s">
        <v>3407</v>
      </c>
    </row>
    <row r="1549" spans="1:3">
      <c r="A1549" s="347">
        <v>46090</v>
      </c>
      <c r="B1549" s="346" t="s">
        <v>3408</v>
      </c>
      <c r="C1549" s="346" t="s">
        <v>3409</v>
      </c>
    </row>
    <row r="1550" spans="1:3">
      <c r="A1550" s="347">
        <v>46090</v>
      </c>
      <c r="B1550" s="346" t="s">
        <v>3410</v>
      </c>
      <c r="C1550" s="346" t="s">
        <v>3411</v>
      </c>
    </row>
    <row r="1551" spans="1:3">
      <c r="A1551" s="347">
        <v>46090</v>
      </c>
      <c r="B1551" s="346" t="s">
        <v>3412</v>
      </c>
      <c r="C1551" s="346" t="s">
        <v>3413</v>
      </c>
    </row>
    <row r="1552" spans="1:3">
      <c r="A1552" s="347">
        <v>46090</v>
      </c>
      <c r="B1552" s="346" t="s">
        <v>3414</v>
      </c>
      <c r="C1552" s="346" t="s">
        <v>3415</v>
      </c>
    </row>
    <row r="1553" spans="1:3">
      <c r="A1553" s="347">
        <v>46090</v>
      </c>
      <c r="B1553" s="346" t="s">
        <v>3416</v>
      </c>
      <c r="C1553" s="346" t="s">
        <v>3417</v>
      </c>
    </row>
    <row r="1554" spans="1:3">
      <c r="A1554" s="347">
        <v>46090</v>
      </c>
      <c r="B1554" s="346" t="s">
        <v>3418</v>
      </c>
      <c r="C1554" s="346" t="s">
        <v>3419</v>
      </c>
    </row>
    <row r="1555" spans="1:3">
      <c r="A1555" s="347">
        <v>46090</v>
      </c>
      <c r="B1555" s="346" t="s">
        <v>3420</v>
      </c>
      <c r="C1555" s="346" t="s">
        <v>3421</v>
      </c>
    </row>
    <row r="1556" spans="1:3">
      <c r="A1556" s="347">
        <v>46090</v>
      </c>
      <c r="B1556" s="346" t="s">
        <v>3422</v>
      </c>
      <c r="C1556" s="346" t="s">
        <v>3423</v>
      </c>
    </row>
    <row r="1557" spans="1:3">
      <c r="A1557" s="347">
        <v>46090</v>
      </c>
      <c r="B1557" s="346" t="s">
        <v>3424</v>
      </c>
      <c r="C1557" s="346" t="s">
        <v>3425</v>
      </c>
    </row>
    <row r="1558" spans="1:3">
      <c r="A1558" s="347">
        <v>46090</v>
      </c>
      <c r="B1558" s="346" t="s">
        <v>3426</v>
      </c>
      <c r="C1558" s="346" t="s">
        <v>3427</v>
      </c>
    </row>
    <row r="1559" spans="1:3">
      <c r="A1559" s="347">
        <v>46090</v>
      </c>
      <c r="B1559" s="346" t="s">
        <v>3428</v>
      </c>
      <c r="C1559" s="346" t="s">
        <v>3429</v>
      </c>
    </row>
    <row r="1560" spans="1:3">
      <c r="A1560" s="347">
        <v>46090</v>
      </c>
      <c r="B1560" s="346" t="s">
        <v>3430</v>
      </c>
      <c r="C1560" s="346" t="s">
        <v>3431</v>
      </c>
    </row>
    <row r="1561" spans="1:3">
      <c r="A1561" s="347">
        <v>46090</v>
      </c>
      <c r="B1561" s="346" t="s">
        <v>3432</v>
      </c>
      <c r="C1561" s="346" t="s">
        <v>3433</v>
      </c>
    </row>
    <row r="1562" spans="1:3">
      <c r="A1562" s="347">
        <v>46090</v>
      </c>
      <c r="B1562" s="346" t="s">
        <v>3434</v>
      </c>
      <c r="C1562" s="346" t="s">
        <v>3435</v>
      </c>
    </row>
    <row r="1563" spans="1:3">
      <c r="A1563" s="347">
        <v>46090</v>
      </c>
      <c r="B1563" s="346" t="s">
        <v>3436</v>
      </c>
      <c r="C1563" s="346" t="s">
        <v>3437</v>
      </c>
    </row>
    <row r="1564" spans="1:3">
      <c r="A1564" s="347">
        <v>46090</v>
      </c>
      <c r="B1564" s="346" t="s">
        <v>3438</v>
      </c>
      <c r="C1564" s="346" t="s">
        <v>3439</v>
      </c>
    </row>
    <row r="1565" spans="1:3">
      <c r="A1565" s="347">
        <v>46090</v>
      </c>
      <c r="B1565" s="346" t="s">
        <v>3440</v>
      </c>
      <c r="C1565" s="346" t="s">
        <v>3441</v>
      </c>
    </row>
    <row r="1566" spans="1:3">
      <c r="A1566" s="347">
        <v>46090</v>
      </c>
      <c r="B1566" s="346" t="s">
        <v>3442</v>
      </c>
      <c r="C1566" s="346" t="s">
        <v>3443</v>
      </c>
    </row>
    <row r="1567" spans="1:3">
      <c r="A1567" s="347">
        <v>46090</v>
      </c>
      <c r="B1567" s="346" t="s">
        <v>3444</v>
      </c>
      <c r="C1567" s="346" t="s">
        <v>3445</v>
      </c>
    </row>
    <row r="1568" spans="1:3">
      <c r="A1568" s="347">
        <v>46090</v>
      </c>
      <c r="B1568" s="346" t="s">
        <v>3446</v>
      </c>
      <c r="C1568" s="346" t="s">
        <v>3447</v>
      </c>
    </row>
    <row r="1569" spans="1:3">
      <c r="A1569" s="347">
        <v>46090</v>
      </c>
      <c r="B1569" s="346" t="s">
        <v>3448</v>
      </c>
      <c r="C1569" s="346" t="s">
        <v>11066</v>
      </c>
    </row>
    <row r="1570" spans="1:3">
      <c r="A1570" s="347">
        <v>46090</v>
      </c>
      <c r="B1570" s="346" t="s">
        <v>3449</v>
      </c>
      <c r="C1570" s="346" t="s">
        <v>3450</v>
      </c>
    </row>
    <row r="1571" spans="1:3">
      <c r="A1571" s="347">
        <v>46090</v>
      </c>
      <c r="B1571" s="346" t="s">
        <v>3451</v>
      </c>
      <c r="C1571" s="346" t="s">
        <v>3452</v>
      </c>
    </row>
    <row r="1572" spans="1:3">
      <c r="A1572" s="347">
        <v>46090</v>
      </c>
      <c r="B1572" s="346" t="s">
        <v>3453</v>
      </c>
      <c r="C1572" s="346" t="s">
        <v>3454</v>
      </c>
    </row>
    <row r="1573" spans="1:3">
      <c r="A1573" s="347">
        <v>46090</v>
      </c>
      <c r="B1573" s="346" t="s">
        <v>3455</v>
      </c>
      <c r="C1573" s="346" t="s">
        <v>3456</v>
      </c>
    </row>
    <row r="1574" spans="1:3">
      <c r="A1574" s="347">
        <v>46090</v>
      </c>
      <c r="B1574" s="346" t="s">
        <v>3457</v>
      </c>
      <c r="C1574" s="346" t="s">
        <v>3458</v>
      </c>
    </row>
    <row r="1575" spans="1:3">
      <c r="A1575" s="347">
        <v>46090</v>
      </c>
      <c r="B1575" s="346" t="s">
        <v>3459</v>
      </c>
      <c r="C1575" s="346" t="s">
        <v>3460</v>
      </c>
    </row>
    <row r="1576" spans="1:3">
      <c r="A1576" s="347">
        <v>46090</v>
      </c>
      <c r="B1576" s="346" t="s">
        <v>3461</v>
      </c>
      <c r="C1576" s="346" t="s">
        <v>3462</v>
      </c>
    </row>
    <row r="1577" spans="1:3">
      <c r="A1577" s="347">
        <v>46090</v>
      </c>
      <c r="B1577" s="346" t="s">
        <v>3463</v>
      </c>
      <c r="C1577" s="346" t="s">
        <v>3464</v>
      </c>
    </row>
    <row r="1578" spans="1:3">
      <c r="A1578" s="347">
        <v>46090</v>
      </c>
      <c r="B1578" s="346" t="s">
        <v>3465</v>
      </c>
      <c r="C1578" s="346" t="s">
        <v>3466</v>
      </c>
    </row>
    <row r="1579" spans="1:3">
      <c r="A1579" s="347">
        <v>46090</v>
      </c>
      <c r="B1579" s="346" t="s">
        <v>3467</v>
      </c>
      <c r="C1579" s="346" t="s">
        <v>3468</v>
      </c>
    </row>
    <row r="1580" spans="1:3">
      <c r="A1580" s="347">
        <v>46090</v>
      </c>
      <c r="B1580" s="346" t="s">
        <v>3469</v>
      </c>
      <c r="C1580" s="346" t="s">
        <v>11067</v>
      </c>
    </row>
    <row r="1581" spans="1:3">
      <c r="A1581" s="347">
        <v>46090</v>
      </c>
      <c r="B1581" s="346" t="s">
        <v>3470</v>
      </c>
      <c r="C1581" s="346" t="s">
        <v>3471</v>
      </c>
    </row>
    <row r="1582" spans="1:3">
      <c r="A1582" s="347">
        <v>46090</v>
      </c>
      <c r="B1582" s="346" t="s">
        <v>3472</v>
      </c>
      <c r="C1582" s="346" t="s">
        <v>10606</v>
      </c>
    </row>
    <row r="1583" spans="1:3">
      <c r="A1583" s="347">
        <v>46090</v>
      </c>
      <c r="B1583" s="346" t="s">
        <v>3473</v>
      </c>
      <c r="C1583" s="346" t="s">
        <v>3474</v>
      </c>
    </row>
    <row r="1584" spans="1:3">
      <c r="A1584" s="347">
        <v>46090</v>
      </c>
      <c r="B1584" s="346" t="s">
        <v>3475</v>
      </c>
      <c r="C1584" s="346" t="s">
        <v>3476</v>
      </c>
    </row>
    <row r="1585" spans="1:3">
      <c r="A1585" s="347">
        <v>46090</v>
      </c>
      <c r="B1585" s="346" t="s">
        <v>3477</v>
      </c>
      <c r="C1585" s="346" t="s">
        <v>3478</v>
      </c>
    </row>
    <row r="1586" spans="1:3">
      <c r="A1586" s="347">
        <v>46090</v>
      </c>
      <c r="B1586" s="346" t="s">
        <v>3479</v>
      </c>
      <c r="C1586" s="346" t="s">
        <v>10607</v>
      </c>
    </row>
    <row r="1587" spans="1:3">
      <c r="A1587" s="347">
        <v>46090</v>
      </c>
      <c r="B1587" s="346" t="s">
        <v>3480</v>
      </c>
      <c r="C1587" s="346" t="s">
        <v>3481</v>
      </c>
    </row>
    <row r="1588" spans="1:3">
      <c r="A1588" s="347">
        <v>46090</v>
      </c>
      <c r="B1588" s="346" t="s">
        <v>3482</v>
      </c>
      <c r="C1588" s="346" t="s">
        <v>3483</v>
      </c>
    </row>
    <row r="1589" spans="1:3">
      <c r="A1589" s="347">
        <v>46090</v>
      </c>
      <c r="B1589" s="346" t="s">
        <v>3484</v>
      </c>
      <c r="C1589" s="346" t="s">
        <v>3485</v>
      </c>
    </row>
    <row r="1590" spans="1:3">
      <c r="A1590" s="347">
        <v>46090</v>
      </c>
      <c r="B1590" s="346" t="s">
        <v>3486</v>
      </c>
      <c r="C1590" s="346" t="s">
        <v>3487</v>
      </c>
    </row>
    <row r="1591" spans="1:3">
      <c r="A1591" s="347">
        <v>46090</v>
      </c>
      <c r="B1591" s="346" t="s">
        <v>3488</v>
      </c>
      <c r="C1591" s="346" t="s">
        <v>3489</v>
      </c>
    </row>
    <row r="1592" spans="1:3">
      <c r="A1592" s="347">
        <v>46090</v>
      </c>
      <c r="B1592" s="346" t="s">
        <v>3490</v>
      </c>
      <c r="C1592" s="346" t="s">
        <v>3491</v>
      </c>
    </row>
    <row r="1593" spans="1:3">
      <c r="A1593" s="347">
        <v>46090</v>
      </c>
      <c r="B1593" s="346" t="s">
        <v>3492</v>
      </c>
      <c r="C1593" s="346" t="s">
        <v>3493</v>
      </c>
    </row>
    <row r="1594" spans="1:3">
      <c r="A1594" s="347">
        <v>46090</v>
      </c>
      <c r="B1594" s="346" t="s">
        <v>3494</v>
      </c>
      <c r="C1594" s="346" t="s">
        <v>3495</v>
      </c>
    </row>
    <row r="1595" spans="1:3">
      <c r="A1595" s="347">
        <v>46090</v>
      </c>
      <c r="B1595" s="346" t="s">
        <v>3496</v>
      </c>
      <c r="C1595" s="346" t="s">
        <v>3497</v>
      </c>
    </row>
    <row r="1596" spans="1:3">
      <c r="A1596" s="347">
        <v>46090</v>
      </c>
      <c r="B1596" s="346" t="s">
        <v>3498</v>
      </c>
      <c r="C1596" s="346" t="s">
        <v>3499</v>
      </c>
    </row>
    <row r="1597" spans="1:3">
      <c r="A1597" s="347">
        <v>46090</v>
      </c>
      <c r="B1597" s="346" t="s">
        <v>3500</v>
      </c>
      <c r="C1597" s="346" t="s">
        <v>3501</v>
      </c>
    </row>
    <row r="1598" spans="1:3">
      <c r="A1598" s="347">
        <v>46090</v>
      </c>
      <c r="B1598" s="346" t="s">
        <v>3502</v>
      </c>
      <c r="C1598" s="346" t="s">
        <v>3503</v>
      </c>
    </row>
    <row r="1599" spans="1:3">
      <c r="A1599" s="347">
        <v>46090</v>
      </c>
      <c r="B1599" s="346" t="s">
        <v>3504</v>
      </c>
      <c r="C1599" s="346" t="s">
        <v>3505</v>
      </c>
    </row>
    <row r="1600" spans="1:3">
      <c r="A1600" s="347">
        <v>46090</v>
      </c>
      <c r="B1600" s="346" t="s">
        <v>3506</v>
      </c>
      <c r="C1600" s="346" t="s">
        <v>3507</v>
      </c>
    </row>
    <row r="1601" spans="1:3">
      <c r="A1601" s="347">
        <v>46090</v>
      </c>
      <c r="B1601" s="346" t="s">
        <v>3508</v>
      </c>
      <c r="C1601" s="346" t="s">
        <v>3509</v>
      </c>
    </row>
    <row r="1602" spans="1:3">
      <c r="A1602" s="347">
        <v>46090</v>
      </c>
      <c r="B1602" s="346" t="s">
        <v>3510</v>
      </c>
      <c r="C1602" s="346" t="s">
        <v>3511</v>
      </c>
    </row>
    <row r="1603" spans="1:3">
      <c r="A1603" s="347">
        <v>46090</v>
      </c>
      <c r="B1603" s="346" t="s">
        <v>3512</v>
      </c>
      <c r="C1603" s="346" t="s">
        <v>3513</v>
      </c>
    </row>
    <row r="1604" spans="1:3">
      <c r="A1604" s="347">
        <v>46090</v>
      </c>
      <c r="B1604" s="346" t="s">
        <v>3514</v>
      </c>
      <c r="C1604" s="346" t="s">
        <v>3515</v>
      </c>
    </row>
    <row r="1605" spans="1:3">
      <c r="A1605" s="347">
        <v>46090</v>
      </c>
      <c r="B1605" s="346" t="s">
        <v>3516</v>
      </c>
      <c r="C1605" s="346" t="s">
        <v>3517</v>
      </c>
    </row>
    <row r="1606" spans="1:3">
      <c r="A1606" s="347">
        <v>46090</v>
      </c>
      <c r="B1606" s="346" t="s">
        <v>3518</v>
      </c>
      <c r="C1606" s="346" t="s">
        <v>3519</v>
      </c>
    </row>
    <row r="1607" spans="1:3">
      <c r="A1607" s="347">
        <v>46090</v>
      </c>
      <c r="B1607" s="346" t="s">
        <v>3520</v>
      </c>
      <c r="C1607" s="346" t="s">
        <v>3521</v>
      </c>
    </row>
    <row r="1608" spans="1:3">
      <c r="A1608" s="347">
        <v>46090</v>
      </c>
      <c r="B1608" s="346" t="s">
        <v>3522</v>
      </c>
      <c r="C1608" s="346" t="s">
        <v>3523</v>
      </c>
    </row>
    <row r="1609" spans="1:3">
      <c r="A1609" s="347">
        <v>46090</v>
      </c>
      <c r="B1609" s="346" t="s">
        <v>3524</v>
      </c>
      <c r="C1609" s="346" t="s">
        <v>10608</v>
      </c>
    </row>
    <row r="1610" spans="1:3">
      <c r="A1610" s="347">
        <v>46090</v>
      </c>
      <c r="B1610" s="346" t="s">
        <v>3525</v>
      </c>
      <c r="C1610" s="346" t="s">
        <v>3526</v>
      </c>
    </row>
    <row r="1611" spans="1:3">
      <c r="A1611" s="347">
        <v>46090</v>
      </c>
      <c r="B1611" s="346" t="s">
        <v>3527</v>
      </c>
      <c r="C1611" s="346" t="s">
        <v>3528</v>
      </c>
    </row>
    <row r="1612" spans="1:3">
      <c r="A1612" s="347">
        <v>46090</v>
      </c>
      <c r="B1612" s="346" t="s">
        <v>3529</v>
      </c>
      <c r="C1612" s="346" t="s">
        <v>3530</v>
      </c>
    </row>
    <row r="1613" spans="1:3">
      <c r="A1613" s="347">
        <v>46090</v>
      </c>
      <c r="B1613" s="346" t="s">
        <v>3531</v>
      </c>
      <c r="C1613" s="346" t="s">
        <v>3532</v>
      </c>
    </row>
    <row r="1614" spans="1:3">
      <c r="A1614" s="347">
        <v>46090</v>
      </c>
      <c r="B1614" s="346" t="s">
        <v>3533</v>
      </c>
      <c r="C1614" s="346" t="s">
        <v>3534</v>
      </c>
    </row>
    <row r="1615" spans="1:3">
      <c r="A1615" s="347">
        <v>46090</v>
      </c>
      <c r="B1615" s="346" t="s">
        <v>3535</v>
      </c>
      <c r="C1615" s="346" t="s">
        <v>3536</v>
      </c>
    </row>
    <row r="1616" spans="1:3">
      <c r="A1616" s="347">
        <v>46090</v>
      </c>
      <c r="B1616" s="346" t="s">
        <v>3537</v>
      </c>
      <c r="C1616" s="346" t="s">
        <v>3538</v>
      </c>
    </row>
    <row r="1617" spans="1:3">
      <c r="A1617" s="347">
        <v>46090</v>
      </c>
      <c r="B1617" s="346" t="s">
        <v>3539</v>
      </c>
      <c r="C1617" s="346" t="s">
        <v>3540</v>
      </c>
    </row>
    <row r="1618" spans="1:3">
      <c r="A1618" s="347">
        <v>46090</v>
      </c>
      <c r="B1618" s="346" t="s">
        <v>3541</v>
      </c>
      <c r="C1618" s="346" t="s">
        <v>3542</v>
      </c>
    </row>
    <row r="1619" spans="1:3">
      <c r="A1619" s="347">
        <v>46090</v>
      </c>
      <c r="B1619" s="346" t="s">
        <v>3543</v>
      </c>
      <c r="C1619" s="346" t="s">
        <v>3544</v>
      </c>
    </row>
    <row r="1620" spans="1:3">
      <c r="A1620" s="347">
        <v>46090</v>
      </c>
      <c r="B1620" s="346" t="s">
        <v>3545</v>
      </c>
      <c r="C1620" s="346" t="s">
        <v>3546</v>
      </c>
    </row>
    <row r="1621" spans="1:3">
      <c r="A1621" s="347">
        <v>46090</v>
      </c>
      <c r="B1621" s="346" t="s">
        <v>3547</v>
      </c>
      <c r="C1621" s="346" t="s">
        <v>11068</v>
      </c>
    </row>
    <row r="1622" spans="1:3">
      <c r="A1622" s="347">
        <v>46090</v>
      </c>
      <c r="B1622" s="346" t="s">
        <v>3548</v>
      </c>
      <c r="C1622" s="346" t="s">
        <v>3549</v>
      </c>
    </row>
    <row r="1623" spans="1:3">
      <c r="A1623" s="347">
        <v>46090</v>
      </c>
      <c r="B1623" s="346" t="s">
        <v>3550</v>
      </c>
      <c r="C1623" s="346" t="s">
        <v>3551</v>
      </c>
    </row>
    <row r="1624" spans="1:3">
      <c r="A1624" s="347">
        <v>46090</v>
      </c>
      <c r="B1624" s="346" t="s">
        <v>3552</v>
      </c>
      <c r="C1624" s="346" t="s">
        <v>3553</v>
      </c>
    </row>
    <row r="1625" spans="1:3">
      <c r="A1625" s="347">
        <v>46090</v>
      </c>
      <c r="B1625" s="346" t="s">
        <v>3554</v>
      </c>
      <c r="C1625" s="346" t="s">
        <v>3555</v>
      </c>
    </row>
    <row r="1626" spans="1:3">
      <c r="A1626" s="347">
        <v>46090</v>
      </c>
      <c r="B1626" s="346" t="s">
        <v>3556</v>
      </c>
      <c r="C1626" s="346" t="s">
        <v>3557</v>
      </c>
    </row>
    <row r="1627" spans="1:3">
      <c r="A1627" s="347">
        <v>46090</v>
      </c>
      <c r="B1627" s="346" t="s">
        <v>3558</v>
      </c>
      <c r="C1627" s="346" t="s">
        <v>3559</v>
      </c>
    </row>
    <row r="1628" spans="1:3">
      <c r="A1628" s="347">
        <v>46090</v>
      </c>
      <c r="B1628" s="346" t="s">
        <v>3560</v>
      </c>
      <c r="C1628" s="346" t="s">
        <v>3561</v>
      </c>
    </row>
    <row r="1629" spans="1:3">
      <c r="A1629" s="347">
        <v>46090</v>
      </c>
      <c r="B1629" s="346" t="s">
        <v>3562</v>
      </c>
      <c r="C1629" s="346" t="s">
        <v>10609</v>
      </c>
    </row>
    <row r="1630" spans="1:3">
      <c r="A1630" s="347">
        <v>46090</v>
      </c>
      <c r="B1630" s="346" t="s">
        <v>3563</v>
      </c>
      <c r="C1630" s="346" t="s">
        <v>3564</v>
      </c>
    </row>
    <row r="1631" spans="1:3">
      <c r="A1631" s="347">
        <v>46090</v>
      </c>
      <c r="B1631" s="346" t="s">
        <v>3565</v>
      </c>
      <c r="C1631" s="346" t="s">
        <v>10610</v>
      </c>
    </row>
    <row r="1632" spans="1:3">
      <c r="A1632" s="347">
        <v>46090</v>
      </c>
      <c r="B1632" s="346" t="s">
        <v>3566</v>
      </c>
      <c r="C1632" s="346" t="s">
        <v>3567</v>
      </c>
    </row>
    <row r="1633" spans="1:3">
      <c r="A1633" s="347">
        <v>46090</v>
      </c>
      <c r="B1633" s="346" t="s">
        <v>3568</v>
      </c>
      <c r="C1633" s="346" t="s">
        <v>3569</v>
      </c>
    </row>
    <row r="1634" spans="1:3">
      <c r="A1634" s="347">
        <v>46090</v>
      </c>
      <c r="B1634" s="346" t="s">
        <v>3570</v>
      </c>
      <c r="C1634" s="346" t="s">
        <v>3571</v>
      </c>
    </row>
    <row r="1635" spans="1:3">
      <c r="A1635" s="347">
        <v>46090</v>
      </c>
      <c r="B1635" s="346" t="s">
        <v>3572</v>
      </c>
      <c r="C1635" s="346" t="s">
        <v>3573</v>
      </c>
    </row>
    <row r="1636" spans="1:3">
      <c r="A1636" s="347">
        <v>46090</v>
      </c>
      <c r="B1636" s="346" t="s">
        <v>3574</v>
      </c>
      <c r="C1636" s="346" t="s">
        <v>10611</v>
      </c>
    </row>
    <row r="1637" spans="1:3">
      <c r="A1637" s="347">
        <v>46090</v>
      </c>
      <c r="B1637" s="346" t="s">
        <v>3575</v>
      </c>
      <c r="C1637" s="346" t="s">
        <v>3576</v>
      </c>
    </row>
    <row r="1638" spans="1:3">
      <c r="A1638" s="347">
        <v>46090</v>
      </c>
      <c r="B1638" s="346" t="s">
        <v>3577</v>
      </c>
      <c r="C1638" s="346" t="s">
        <v>3578</v>
      </c>
    </row>
    <row r="1639" spans="1:3">
      <c r="A1639" s="347">
        <v>46090</v>
      </c>
      <c r="B1639" s="346" t="s">
        <v>3579</v>
      </c>
      <c r="C1639" s="346" t="s">
        <v>3580</v>
      </c>
    </row>
    <row r="1640" spans="1:3">
      <c r="A1640" s="347">
        <v>46090</v>
      </c>
      <c r="B1640" s="346" t="s">
        <v>3581</v>
      </c>
      <c r="C1640" s="346" t="s">
        <v>3582</v>
      </c>
    </row>
    <row r="1641" spans="1:3">
      <c r="A1641" s="347">
        <v>46090</v>
      </c>
      <c r="B1641" s="346" t="s">
        <v>3583</v>
      </c>
      <c r="C1641" s="346" t="s">
        <v>3584</v>
      </c>
    </row>
    <row r="1642" spans="1:3">
      <c r="A1642" s="347">
        <v>46090</v>
      </c>
      <c r="B1642" s="346" t="s">
        <v>3585</v>
      </c>
      <c r="C1642" s="346" t="s">
        <v>10612</v>
      </c>
    </row>
    <row r="1643" spans="1:3">
      <c r="A1643" s="347">
        <v>46090</v>
      </c>
      <c r="B1643" s="346" t="s">
        <v>3586</v>
      </c>
      <c r="C1643" s="346" t="s">
        <v>3587</v>
      </c>
    </row>
    <row r="1644" spans="1:3">
      <c r="A1644" s="347">
        <v>46090</v>
      </c>
      <c r="B1644" s="346" t="s">
        <v>3588</v>
      </c>
      <c r="C1644" s="346" t="s">
        <v>3589</v>
      </c>
    </row>
    <row r="1645" spans="1:3">
      <c r="A1645" s="347">
        <v>46090</v>
      </c>
      <c r="B1645" s="346" t="s">
        <v>3590</v>
      </c>
      <c r="C1645" s="346" t="s">
        <v>3591</v>
      </c>
    </row>
    <row r="1646" spans="1:3">
      <c r="A1646" s="347">
        <v>46090</v>
      </c>
      <c r="B1646" s="346" t="s">
        <v>3592</v>
      </c>
      <c r="C1646" s="346" t="s">
        <v>3593</v>
      </c>
    </row>
    <row r="1647" spans="1:3">
      <c r="A1647" s="347">
        <v>46090</v>
      </c>
      <c r="B1647" s="346" t="s">
        <v>3594</v>
      </c>
      <c r="C1647" s="346" t="s">
        <v>3595</v>
      </c>
    </row>
    <row r="1648" spans="1:3">
      <c r="A1648" s="347">
        <v>46090</v>
      </c>
      <c r="B1648" s="346" t="s">
        <v>3596</v>
      </c>
      <c r="C1648" s="346" t="s">
        <v>10613</v>
      </c>
    </row>
    <row r="1649" spans="1:3">
      <c r="A1649" s="347">
        <v>46090</v>
      </c>
      <c r="B1649" s="346" t="s">
        <v>3597</v>
      </c>
      <c r="C1649" s="346" t="s">
        <v>3598</v>
      </c>
    </row>
    <row r="1650" spans="1:3">
      <c r="A1650" s="347">
        <v>46090</v>
      </c>
      <c r="B1650" s="346" t="s">
        <v>3599</v>
      </c>
      <c r="C1650" s="346" t="s">
        <v>3600</v>
      </c>
    </row>
    <row r="1651" spans="1:3">
      <c r="A1651" s="347">
        <v>46090</v>
      </c>
      <c r="B1651" s="346" t="s">
        <v>3601</v>
      </c>
      <c r="C1651" s="346" t="s">
        <v>3602</v>
      </c>
    </row>
    <row r="1652" spans="1:3">
      <c r="A1652" s="347">
        <v>46090</v>
      </c>
      <c r="B1652" s="346" t="s">
        <v>3603</v>
      </c>
      <c r="C1652" s="346" t="s">
        <v>3604</v>
      </c>
    </row>
    <row r="1653" spans="1:3">
      <c r="A1653" s="347">
        <v>46090</v>
      </c>
      <c r="B1653" s="346" t="s">
        <v>3605</v>
      </c>
      <c r="C1653" s="346" t="s">
        <v>3606</v>
      </c>
    </row>
    <row r="1654" spans="1:3">
      <c r="A1654" s="347">
        <v>46090</v>
      </c>
      <c r="B1654" s="346" t="s">
        <v>3607</v>
      </c>
      <c r="C1654" s="346" t="s">
        <v>3608</v>
      </c>
    </row>
    <row r="1655" spans="1:3">
      <c r="A1655" s="347">
        <v>46090</v>
      </c>
      <c r="B1655" s="346" t="s">
        <v>3609</v>
      </c>
      <c r="C1655" s="346" t="s">
        <v>3610</v>
      </c>
    </row>
    <row r="1656" spans="1:3">
      <c r="A1656" s="347">
        <v>46090</v>
      </c>
      <c r="B1656" s="346" t="s">
        <v>3611</v>
      </c>
      <c r="C1656" s="346" t="s">
        <v>11069</v>
      </c>
    </row>
    <row r="1657" spans="1:3">
      <c r="A1657" s="347">
        <v>46090</v>
      </c>
      <c r="B1657" s="346" t="s">
        <v>3612</v>
      </c>
      <c r="C1657" s="346" t="s">
        <v>3613</v>
      </c>
    </row>
    <row r="1658" spans="1:3">
      <c r="A1658" s="347">
        <v>46090</v>
      </c>
      <c r="B1658" s="346" t="s">
        <v>3614</v>
      </c>
      <c r="C1658" s="346" t="s">
        <v>10614</v>
      </c>
    </row>
    <row r="1659" spans="1:3">
      <c r="A1659" s="347">
        <v>46090</v>
      </c>
      <c r="B1659" s="346" t="s">
        <v>3615</v>
      </c>
      <c r="C1659" s="346" t="s">
        <v>10615</v>
      </c>
    </row>
    <row r="1660" spans="1:3">
      <c r="A1660" s="347">
        <v>46090</v>
      </c>
      <c r="B1660" s="346" t="s">
        <v>3616</v>
      </c>
      <c r="C1660" s="346" t="s">
        <v>3617</v>
      </c>
    </row>
    <row r="1661" spans="1:3">
      <c r="A1661" s="347">
        <v>46090</v>
      </c>
      <c r="B1661" s="346" t="s">
        <v>3618</v>
      </c>
      <c r="C1661" s="346" t="s">
        <v>3619</v>
      </c>
    </row>
    <row r="1662" spans="1:3">
      <c r="A1662" s="347">
        <v>46090</v>
      </c>
      <c r="B1662" s="346" t="s">
        <v>3620</v>
      </c>
      <c r="C1662" s="346" t="s">
        <v>3621</v>
      </c>
    </row>
    <row r="1663" spans="1:3">
      <c r="A1663" s="347">
        <v>46090</v>
      </c>
      <c r="B1663" s="346" t="s">
        <v>3622</v>
      </c>
      <c r="C1663" s="346" t="s">
        <v>3623</v>
      </c>
    </row>
    <row r="1664" spans="1:3">
      <c r="A1664" s="347">
        <v>46090</v>
      </c>
      <c r="B1664" s="346" t="s">
        <v>3624</v>
      </c>
      <c r="C1664" s="346" t="s">
        <v>3625</v>
      </c>
    </row>
    <row r="1665" spans="1:3">
      <c r="A1665" s="347">
        <v>46090</v>
      </c>
      <c r="B1665" s="346" t="s">
        <v>3626</v>
      </c>
      <c r="C1665" s="346" t="s">
        <v>3627</v>
      </c>
    </row>
    <row r="1666" spans="1:3">
      <c r="A1666" s="347">
        <v>46090</v>
      </c>
      <c r="B1666" s="346" t="s">
        <v>3628</v>
      </c>
      <c r="C1666" s="346" t="s">
        <v>3629</v>
      </c>
    </row>
    <row r="1667" spans="1:3">
      <c r="A1667" s="347">
        <v>46090</v>
      </c>
      <c r="B1667" s="346" t="s">
        <v>3630</v>
      </c>
      <c r="C1667" s="346" t="s">
        <v>3631</v>
      </c>
    </row>
    <row r="1668" spans="1:3">
      <c r="A1668" s="347">
        <v>46090</v>
      </c>
      <c r="B1668" s="346" t="s">
        <v>3632</v>
      </c>
      <c r="C1668" s="346" t="s">
        <v>3633</v>
      </c>
    </row>
    <row r="1669" spans="1:3">
      <c r="A1669" s="347">
        <v>46090</v>
      </c>
      <c r="B1669" s="346" t="s">
        <v>3634</v>
      </c>
      <c r="C1669" s="346" t="s">
        <v>3635</v>
      </c>
    </row>
    <row r="1670" spans="1:3">
      <c r="A1670" s="347">
        <v>46090</v>
      </c>
      <c r="B1670" s="346" t="s">
        <v>3636</v>
      </c>
      <c r="C1670" s="346" t="s">
        <v>10616</v>
      </c>
    </row>
    <row r="1671" spans="1:3">
      <c r="A1671" s="347">
        <v>46090</v>
      </c>
      <c r="B1671" s="346" t="s">
        <v>3637</v>
      </c>
      <c r="C1671" s="346" t="s">
        <v>3638</v>
      </c>
    </row>
    <row r="1672" spans="1:3">
      <c r="A1672" s="347">
        <v>46090</v>
      </c>
      <c r="B1672" s="346" t="s">
        <v>3639</v>
      </c>
      <c r="C1672" s="346" t="s">
        <v>3640</v>
      </c>
    </row>
    <row r="1673" spans="1:3">
      <c r="A1673" s="347">
        <v>46090</v>
      </c>
      <c r="B1673" s="346" t="s">
        <v>3641</v>
      </c>
      <c r="C1673" s="346" t="s">
        <v>3642</v>
      </c>
    </row>
    <row r="1674" spans="1:3">
      <c r="A1674" s="347">
        <v>46090</v>
      </c>
      <c r="B1674" s="346" t="s">
        <v>3643</v>
      </c>
      <c r="C1674" s="346" t="s">
        <v>3644</v>
      </c>
    </row>
    <row r="1675" spans="1:3">
      <c r="A1675" s="347">
        <v>46090</v>
      </c>
      <c r="B1675" s="346" t="s">
        <v>3645</v>
      </c>
      <c r="C1675" s="346" t="s">
        <v>3646</v>
      </c>
    </row>
    <row r="1676" spans="1:3">
      <c r="A1676" s="347">
        <v>46090</v>
      </c>
      <c r="B1676" s="346" t="s">
        <v>3647</v>
      </c>
      <c r="C1676" s="346" t="s">
        <v>3648</v>
      </c>
    </row>
    <row r="1677" spans="1:3">
      <c r="A1677" s="347">
        <v>46090</v>
      </c>
      <c r="B1677" s="346" t="s">
        <v>3649</v>
      </c>
      <c r="C1677" s="346" t="s">
        <v>3650</v>
      </c>
    </row>
    <row r="1678" spans="1:3">
      <c r="A1678" s="347">
        <v>46090</v>
      </c>
      <c r="B1678" s="346" t="s">
        <v>3651</v>
      </c>
      <c r="C1678" s="346" t="s">
        <v>3652</v>
      </c>
    </row>
    <row r="1679" spans="1:3">
      <c r="A1679" s="347">
        <v>46090</v>
      </c>
      <c r="B1679" s="346" t="s">
        <v>3653</v>
      </c>
      <c r="C1679" s="346" t="s">
        <v>10617</v>
      </c>
    </row>
    <row r="1680" spans="1:3">
      <c r="A1680" s="347">
        <v>46090</v>
      </c>
      <c r="B1680" s="346" t="s">
        <v>3654</v>
      </c>
      <c r="C1680" s="346" t="s">
        <v>3655</v>
      </c>
    </row>
    <row r="1681" spans="1:3">
      <c r="A1681" s="347">
        <v>46090</v>
      </c>
      <c r="B1681" s="346" t="s">
        <v>3656</v>
      </c>
      <c r="C1681" s="346" t="s">
        <v>3657</v>
      </c>
    </row>
    <row r="1682" spans="1:3">
      <c r="A1682" s="347">
        <v>46090</v>
      </c>
      <c r="B1682" s="346" t="s">
        <v>3658</v>
      </c>
      <c r="C1682" s="346" t="s">
        <v>3659</v>
      </c>
    </row>
    <row r="1683" spans="1:3">
      <c r="A1683" s="347">
        <v>46090</v>
      </c>
      <c r="B1683" s="346" t="s">
        <v>3660</v>
      </c>
      <c r="C1683" s="346" t="s">
        <v>3661</v>
      </c>
    </row>
    <row r="1684" spans="1:3">
      <c r="A1684" s="347">
        <v>46090</v>
      </c>
      <c r="B1684" s="346" t="s">
        <v>3662</v>
      </c>
      <c r="C1684" s="346" t="s">
        <v>3663</v>
      </c>
    </row>
    <row r="1685" spans="1:3">
      <c r="A1685" s="347">
        <v>46090</v>
      </c>
      <c r="B1685" s="346" t="s">
        <v>3664</v>
      </c>
      <c r="C1685" s="346" t="s">
        <v>10618</v>
      </c>
    </row>
    <row r="1686" spans="1:3">
      <c r="A1686" s="347">
        <v>46090</v>
      </c>
      <c r="B1686" s="346" t="s">
        <v>3665</v>
      </c>
      <c r="C1686" s="346" t="s">
        <v>3666</v>
      </c>
    </row>
    <row r="1687" spans="1:3">
      <c r="A1687" s="347">
        <v>46090</v>
      </c>
      <c r="B1687" s="346" t="s">
        <v>3667</v>
      </c>
      <c r="C1687" s="346" t="s">
        <v>3668</v>
      </c>
    </row>
    <row r="1688" spans="1:3">
      <c r="A1688" s="347">
        <v>46090</v>
      </c>
      <c r="B1688" s="346" t="s">
        <v>3669</v>
      </c>
      <c r="C1688" s="346" t="s">
        <v>11070</v>
      </c>
    </row>
    <row r="1689" spans="1:3">
      <c r="A1689" s="347">
        <v>46090</v>
      </c>
      <c r="B1689" s="346" t="s">
        <v>3670</v>
      </c>
      <c r="C1689" s="346" t="s">
        <v>3671</v>
      </c>
    </row>
    <row r="1690" spans="1:3">
      <c r="A1690" s="347">
        <v>46090</v>
      </c>
      <c r="B1690" s="346" t="s">
        <v>3672</v>
      </c>
      <c r="C1690" s="346" t="s">
        <v>10619</v>
      </c>
    </row>
    <row r="1691" spans="1:3">
      <c r="A1691" s="347">
        <v>46090</v>
      </c>
      <c r="B1691" s="346" t="s">
        <v>3673</v>
      </c>
      <c r="C1691" s="346" t="s">
        <v>3674</v>
      </c>
    </row>
    <row r="1692" spans="1:3">
      <c r="A1692" s="347">
        <v>46090</v>
      </c>
      <c r="B1692" s="346" t="s">
        <v>3675</v>
      </c>
      <c r="C1692" s="346" t="s">
        <v>3676</v>
      </c>
    </row>
    <row r="1693" spans="1:3">
      <c r="A1693" s="347">
        <v>46090</v>
      </c>
      <c r="B1693" s="346" t="s">
        <v>3677</v>
      </c>
      <c r="C1693" s="346" t="s">
        <v>3678</v>
      </c>
    </row>
    <row r="1694" spans="1:3">
      <c r="A1694" s="347">
        <v>46090</v>
      </c>
      <c r="B1694" s="346" t="s">
        <v>3679</v>
      </c>
      <c r="C1694" s="346" t="s">
        <v>3680</v>
      </c>
    </row>
    <row r="1695" spans="1:3">
      <c r="A1695" s="347">
        <v>46090</v>
      </c>
      <c r="B1695" s="346" t="s">
        <v>3681</v>
      </c>
      <c r="C1695" s="346" t="s">
        <v>3682</v>
      </c>
    </row>
    <row r="1696" spans="1:3">
      <c r="A1696" s="347">
        <v>46090</v>
      </c>
      <c r="B1696" s="346" t="s">
        <v>3683</v>
      </c>
      <c r="C1696" s="346" t="s">
        <v>3684</v>
      </c>
    </row>
    <row r="1697" spans="1:3">
      <c r="A1697" s="347">
        <v>46090</v>
      </c>
      <c r="B1697" s="346" t="s">
        <v>3685</v>
      </c>
      <c r="C1697" s="346" t="s">
        <v>3686</v>
      </c>
    </row>
    <row r="1698" spans="1:3">
      <c r="A1698" s="347">
        <v>46090</v>
      </c>
      <c r="B1698" s="346" t="s">
        <v>3687</v>
      </c>
      <c r="C1698" s="346" t="s">
        <v>10620</v>
      </c>
    </row>
    <row r="1699" spans="1:3">
      <c r="A1699" s="347">
        <v>46090</v>
      </c>
      <c r="B1699" s="346" t="s">
        <v>3688</v>
      </c>
      <c r="C1699" s="346" t="s">
        <v>3689</v>
      </c>
    </row>
    <row r="1700" spans="1:3">
      <c r="A1700" s="347">
        <v>46090</v>
      </c>
      <c r="B1700" s="346" t="s">
        <v>3690</v>
      </c>
      <c r="C1700" s="346" t="s">
        <v>3691</v>
      </c>
    </row>
    <row r="1701" spans="1:3">
      <c r="A1701" s="347">
        <v>46090</v>
      </c>
      <c r="B1701" s="346" t="s">
        <v>3692</v>
      </c>
      <c r="C1701" s="346" t="s">
        <v>3693</v>
      </c>
    </row>
    <row r="1702" spans="1:3">
      <c r="A1702" s="347">
        <v>46090</v>
      </c>
      <c r="B1702" s="346" t="s">
        <v>3694</v>
      </c>
      <c r="C1702" s="346" t="s">
        <v>3695</v>
      </c>
    </row>
    <row r="1703" spans="1:3">
      <c r="A1703" s="347">
        <v>46090</v>
      </c>
      <c r="B1703" s="346" t="s">
        <v>3696</v>
      </c>
      <c r="C1703" s="346" t="s">
        <v>10621</v>
      </c>
    </row>
    <row r="1704" spans="1:3">
      <c r="A1704" s="347">
        <v>46090</v>
      </c>
      <c r="B1704" s="346" t="s">
        <v>3697</v>
      </c>
      <c r="C1704" s="346" t="s">
        <v>3698</v>
      </c>
    </row>
    <row r="1705" spans="1:3">
      <c r="A1705" s="347">
        <v>46090</v>
      </c>
      <c r="B1705" s="346" t="s">
        <v>3699</v>
      </c>
      <c r="C1705" s="346" t="s">
        <v>3700</v>
      </c>
    </row>
    <row r="1706" spans="1:3">
      <c r="A1706" s="347">
        <v>46090</v>
      </c>
      <c r="B1706" s="346" t="s">
        <v>3701</v>
      </c>
      <c r="C1706" s="346" t="s">
        <v>3702</v>
      </c>
    </row>
    <row r="1707" spans="1:3">
      <c r="A1707" s="347">
        <v>46090</v>
      </c>
      <c r="B1707" s="346" t="s">
        <v>3703</v>
      </c>
      <c r="C1707" s="346" t="s">
        <v>3704</v>
      </c>
    </row>
    <row r="1708" spans="1:3">
      <c r="A1708" s="347">
        <v>46090</v>
      </c>
      <c r="B1708" s="346" t="s">
        <v>3705</v>
      </c>
      <c r="C1708" s="346" t="s">
        <v>3706</v>
      </c>
    </row>
    <row r="1709" spans="1:3">
      <c r="A1709" s="347">
        <v>46090</v>
      </c>
      <c r="B1709" s="346" t="s">
        <v>3707</v>
      </c>
      <c r="C1709" s="346" t="s">
        <v>3708</v>
      </c>
    </row>
    <row r="1710" spans="1:3">
      <c r="A1710" s="347">
        <v>46090</v>
      </c>
      <c r="B1710" s="346" t="s">
        <v>3709</v>
      </c>
      <c r="C1710" s="346" t="s">
        <v>3710</v>
      </c>
    </row>
    <row r="1711" spans="1:3">
      <c r="A1711" s="347">
        <v>46090</v>
      </c>
      <c r="B1711" s="346" t="s">
        <v>3711</v>
      </c>
      <c r="C1711" s="346" t="s">
        <v>3712</v>
      </c>
    </row>
    <row r="1712" spans="1:3">
      <c r="A1712" s="347">
        <v>46090</v>
      </c>
      <c r="B1712" s="346" t="s">
        <v>3713</v>
      </c>
      <c r="C1712" s="346" t="s">
        <v>3714</v>
      </c>
    </row>
    <row r="1713" spans="1:3">
      <c r="A1713" s="347">
        <v>46090</v>
      </c>
      <c r="B1713" s="346" t="s">
        <v>3715</v>
      </c>
      <c r="C1713" s="346" t="s">
        <v>3716</v>
      </c>
    </row>
    <row r="1714" spans="1:3">
      <c r="A1714" s="347">
        <v>46090</v>
      </c>
      <c r="B1714" s="346" t="s">
        <v>3717</v>
      </c>
      <c r="C1714" s="346" t="s">
        <v>3718</v>
      </c>
    </row>
    <row r="1715" spans="1:3">
      <c r="A1715" s="347">
        <v>46090</v>
      </c>
      <c r="B1715" s="346" t="s">
        <v>3719</v>
      </c>
      <c r="C1715" s="346" t="s">
        <v>11071</v>
      </c>
    </row>
    <row r="1716" spans="1:3">
      <c r="A1716" s="347">
        <v>46090</v>
      </c>
      <c r="B1716" s="346" t="s">
        <v>3720</v>
      </c>
      <c r="C1716" s="346" t="s">
        <v>3721</v>
      </c>
    </row>
    <row r="1717" spans="1:3">
      <c r="A1717" s="347">
        <v>46090</v>
      </c>
      <c r="B1717" s="346" t="s">
        <v>3722</v>
      </c>
      <c r="C1717" s="346" t="s">
        <v>3723</v>
      </c>
    </row>
    <row r="1718" spans="1:3">
      <c r="A1718" s="347">
        <v>46090</v>
      </c>
      <c r="B1718" s="346" t="s">
        <v>3724</v>
      </c>
      <c r="C1718" s="346" t="s">
        <v>3725</v>
      </c>
    </row>
    <row r="1719" spans="1:3">
      <c r="A1719" s="347">
        <v>46090</v>
      </c>
      <c r="B1719" s="346" t="s">
        <v>3726</v>
      </c>
      <c r="C1719" s="346" t="s">
        <v>3727</v>
      </c>
    </row>
    <row r="1720" spans="1:3">
      <c r="A1720" s="347">
        <v>46090</v>
      </c>
      <c r="B1720" s="346" t="s">
        <v>3728</v>
      </c>
      <c r="C1720" s="346" t="s">
        <v>3729</v>
      </c>
    </row>
    <row r="1721" spans="1:3">
      <c r="A1721" s="347">
        <v>46090</v>
      </c>
      <c r="B1721" s="346" t="s">
        <v>3730</v>
      </c>
      <c r="C1721" s="346" t="s">
        <v>3731</v>
      </c>
    </row>
    <row r="1722" spans="1:3">
      <c r="A1722" s="347">
        <v>46090</v>
      </c>
      <c r="B1722" s="346" t="s">
        <v>3732</v>
      </c>
      <c r="C1722" s="346" t="s">
        <v>3733</v>
      </c>
    </row>
    <row r="1723" spans="1:3">
      <c r="A1723" s="347">
        <v>46090</v>
      </c>
      <c r="B1723" s="346" t="s">
        <v>3734</v>
      </c>
      <c r="C1723" s="346" t="s">
        <v>3735</v>
      </c>
    </row>
    <row r="1724" spans="1:3">
      <c r="A1724" s="347">
        <v>46090</v>
      </c>
      <c r="B1724" s="346" t="s">
        <v>3736</v>
      </c>
      <c r="C1724" s="346" t="s">
        <v>3737</v>
      </c>
    </row>
    <row r="1725" spans="1:3">
      <c r="A1725" s="347">
        <v>46090</v>
      </c>
      <c r="B1725" s="346" t="s">
        <v>3738</v>
      </c>
      <c r="C1725" s="346" t="s">
        <v>3739</v>
      </c>
    </row>
    <row r="1726" spans="1:3">
      <c r="A1726" s="347">
        <v>46090</v>
      </c>
      <c r="B1726" s="346" t="s">
        <v>3740</v>
      </c>
      <c r="C1726" s="346" t="s">
        <v>3741</v>
      </c>
    </row>
    <row r="1727" spans="1:3">
      <c r="A1727" s="347">
        <v>46090</v>
      </c>
      <c r="B1727" s="346" t="s">
        <v>3742</v>
      </c>
      <c r="C1727" s="346" t="s">
        <v>3743</v>
      </c>
    </row>
    <row r="1728" spans="1:3">
      <c r="A1728" s="347">
        <v>46090</v>
      </c>
      <c r="B1728" s="346" t="s">
        <v>3744</v>
      </c>
      <c r="C1728" s="346" t="s">
        <v>3745</v>
      </c>
    </row>
    <row r="1729" spans="1:3">
      <c r="A1729" s="347">
        <v>46090</v>
      </c>
      <c r="B1729" s="346" t="s">
        <v>3746</v>
      </c>
      <c r="C1729" s="346" t="s">
        <v>3747</v>
      </c>
    </row>
    <row r="1730" spans="1:3">
      <c r="A1730" s="347">
        <v>46090</v>
      </c>
      <c r="B1730" s="346" t="s">
        <v>3748</v>
      </c>
      <c r="C1730" s="346" t="s">
        <v>3749</v>
      </c>
    </row>
    <row r="1731" spans="1:3">
      <c r="A1731" s="347">
        <v>46090</v>
      </c>
      <c r="B1731" s="346" t="s">
        <v>3750</v>
      </c>
      <c r="C1731" s="346" t="s">
        <v>3751</v>
      </c>
    </row>
    <row r="1732" spans="1:3">
      <c r="A1732" s="347">
        <v>46090</v>
      </c>
      <c r="B1732" s="346" t="s">
        <v>3752</v>
      </c>
      <c r="C1732" s="346" t="s">
        <v>3753</v>
      </c>
    </row>
    <row r="1733" spans="1:3">
      <c r="A1733" s="347">
        <v>46090</v>
      </c>
      <c r="B1733" s="346" t="s">
        <v>3754</v>
      </c>
      <c r="C1733" s="346" t="s">
        <v>3755</v>
      </c>
    </row>
    <row r="1734" spans="1:3">
      <c r="A1734" s="347">
        <v>46090</v>
      </c>
      <c r="B1734" s="346" t="s">
        <v>3756</v>
      </c>
      <c r="C1734" s="346" t="s">
        <v>3757</v>
      </c>
    </row>
    <row r="1735" spans="1:3">
      <c r="A1735" s="347">
        <v>46090</v>
      </c>
      <c r="B1735" s="346" t="s">
        <v>3758</v>
      </c>
      <c r="C1735" s="346" t="s">
        <v>3759</v>
      </c>
    </row>
    <row r="1736" spans="1:3">
      <c r="A1736" s="347">
        <v>46090</v>
      </c>
      <c r="B1736" s="346" t="s">
        <v>3760</v>
      </c>
      <c r="C1736" s="346" t="s">
        <v>3761</v>
      </c>
    </row>
    <row r="1737" spans="1:3">
      <c r="A1737" s="347">
        <v>46090</v>
      </c>
      <c r="B1737" s="346" t="s">
        <v>3762</v>
      </c>
      <c r="C1737" s="346" t="s">
        <v>3763</v>
      </c>
    </row>
    <row r="1738" spans="1:3">
      <c r="A1738" s="347">
        <v>46090</v>
      </c>
      <c r="B1738" s="346" t="s">
        <v>3764</v>
      </c>
      <c r="C1738" s="346" t="s">
        <v>3765</v>
      </c>
    </row>
    <row r="1739" spans="1:3">
      <c r="A1739" s="347">
        <v>46090</v>
      </c>
      <c r="B1739" s="346" t="s">
        <v>3766</v>
      </c>
      <c r="C1739" s="346" t="s">
        <v>3767</v>
      </c>
    </row>
    <row r="1740" spans="1:3">
      <c r="A1740" s="347">
        <v>46090</v>
      </c>
      <c r="B1740" s="346" t="s">
        <v>3768</v>
      </c>
      <c r="C1740" s="346" t="s">
        <v>3769</v>
      </c>
    </row>
    <row r="1741" spans="1:3">
      <c r="A1741" s="347">
        <v>46090</v>
      </c>
      <c r="B1741" s="346" t="s">
        <v>3770</v>
      </c>
      <c r="C1741" s="346" t="s">
        <v>3771</v>
      </c>
    </row>
    <row r="1742" spans="1:3">
      <c r="A1742" s="347">
        <v>46090</v>
      </c>
      <c r="B1742" s="346" t="s">
        <v>3772</v>
      </c>
      <c r="C1742" s="346" t="s">
        <v>3773</v>
      </c>
    </row>
    <row r="1743" spans="1:3">
      <c r="A1743" s="347">
        <v>46090</v>
      </c>
      <c r="B1743" s="346" t="s">
        <v>3774</v>
      </c>
      <c r="C1743" s="346" t="s">
        <v>3775</v>
      </c>
    </row>
    <row r="1744" spans="1:3">
      <c r="A1744" s="347">
        <v>46090</v>
      </c>
      <c r="B1744" s="346" t="s">
        <v>3776</v>
      </c>
      <c r="C1744" s="346" t="s">
        <v>3777</v>
      </c>
    </row>
    <row r="1745" spans="1:3">
      <c r="A1745" s="347">
        <v>46090</v>
      </c>
      <c r="B1745" s="346" t="s">
        <v>3778</v>
      </c>
      <c r="C1745" s="346" t="s">
        <v>3779</v>
      </c>
    </row>
    <row r="1746" spans="1:3">
      <c r="A1746" s="347">
        <v>46090</v>
      </c>
      <c r="B1746" s="346" t="s">
        <v>3780</v>
      </c>
      <c r="C1746" s="346" t="s">
        <v>3781</v>
      </c>
    </row>
    <row r="1747" spans="1:3">
      <c r="A1747" s="347">
        <v>46090</v>
      </c>
      <c r="B1747" s="346" t="s">
        <v>3782</v>
      </c>
      <c r="C1747" s="346" t="s">
        <v>3783</v>
      </c>
    </row>
    <row r="1748" spans="1:3">
      <c r="A1748" s="347">
        <v>46090</v>
      </c>
      <c r="B1748" s="346" t="s">
        <v>3784</v>
      </c>
      <c r="C1748" s="346" t="s">
        <v>3785</v>
      </c>
    </row>
    <row r="1749" spans="1:3">
      <c r="A1749" s="347">
        <v>46090</v>
      </c>
      <c r="B1749" s="346" t="s">
        <v>3786</v>
      </c>
      <c r="C1749" s="346" t="s">
        <v>3787</v>
      </c>
    </row>
    <row r="1750" spans="1:3">
      <c r="A1750" s="347">
        <v>46090</v>
      </c>
      <c r="B1750" s="346" t="s">
        <v>3788</v>
      </c>
      <c r="C1750" s="346" t="s">
        <v>3789</v>
      </c>
    </row>
    <row r="1751" spans="1:3">
      <c r="A1751" s="347">
        <v>46090</v>
      </c>
      <c r="B1751" s="346" t="s">
        <v>3790</v>
      </c>
      <c r="C1751" s="346" t="s">
        <v>3791</v>
      </c>
    </row>
    <row r="1752" spans="1:3">
      <c r="A1752" s="347">
        <v>46090</v>
      </c>
      <c r="B1752" s="346" t="s">
        <v>3792</v>
      </c>
      <c r="C1752" s="346" t="s">
        <v>3793</v>
      </c>
    </row>
    <row r="1753" spans="1:3">
      <c r="A1753" s="347">
        <v>46090</v>
      </c>
      <c r="B1753" s="346" t="s">
        <v>3794</v>
      </c>
      <c r="C1753" s="346" t="s">
        <v>3795</v>
      </c>
    </row>
    <row r="1754" spans="1:3">
      <c r="A1754" s="347">
        <v>46090</v>
      </c>
      <c r="B1754" s="346" t="s">
        <v>3796</v>
      </c>
      <c r="C1754" s="346" t="s">
        <v>3797</v>
      </c>
    </row>
    <row r="1755" spans="1:3">
      <c r="A1755" s="347">
        <v>46090</v>
      </c>
      <c r="B1755" s="346" t="s">
        <v>3798</v>
      </c>
      <c r="C1755" s="346" t="s">
        <v>3799</v>
      </c>
    </row>
    <row r="1756" spans="1:3">
      <c r="A1756" s="347">
        <v>46090</v>
      </c>
      <c r="B1756" s="346" t="s">
        <v>3800</v>
      </c>
      <c r="C1756" s="346" t="s">
        <v>3801</v>
      </c>
    </row>
    <row r="1757" spans="1:3">
      <c r="A1757" s="347">
        <v>46090</v>
      </c>
      <c r="B1757" s="346" t="s">
        <v>3802</v>
      </c>
      <c r="C1757" s="346" t="s">
        <v>3803</v>
      </c>
    </row>
    <row r="1758" spans="1:3">
      <c r="A1758" s="347">
        <v>46090</v>
      </c>
      <c r="B1758" s="346" t="s">
        <v>3804</v>
      </c>
      <c r="C1758" s="346" t="s">
        <v>3805</v>
      </c>
    </row>
    <row r="1759" spans="1:3">
      <c r="A1759" s="347">
        <v>46090</v>
      </c>
      <c r="B1759" s="346" t="s">
        <v>3806</v>
      </c>
      <c r="C1759" s="346" t="s">
        <v>3807</v>
      </c>
    </row>
    <row r="1760" spans="1:3">
      <c r="A1760" s="347">
        <v>46090</v>
      </c>
      <c r="B1760" s="346" t="s">
        <v>3808</v>
      </c>
      <c r="C1760" s="346" t="s">
        <v>3809</v>
      </c>
    </row>
    <row r="1761" spans="1:3">
      <c r="A1761" s="347">
        <v>46090</v>
      </c>
      <c r="B1761" s="346" t="s">
        <v>3810</v>
      </c>
      <c r="C1761" s="346" t="s">
        <v>3811</v>
      </c>
    </row>
    <row r="1762" spans="1:3">
      <c r="A1762" s="347">
        <v>46090</v>
      </c>
      <c r="B1762" s="346" t="s">
        <v>3812</v>
      </c>
      <c r="C1762" s="346" t="s">
        <v>3813</v>
      </c>
    </row>
    <row r="1763" spans="1:3">
      <c r="A1763" s="347">
        <v>46090</v>
      </c>
      <c r="B1763" s="346" t="s">
        <v>3814</v>
      </c>
      <c r="C1763" s="346" t="s">
        <v>3815</v>
      </c>
    </row>
    <row r="1764" spans="1:3">
      <c r="A1764" s="347">
        <v>46090</v>
      </c>
      <c r="B1764" s="346" t="s">
        <v>3816</v>
      </c>
      <c r="C1764" s="346" t="s">
        <v>3817</v>
      </c>
    </row>
    <row r="1765" spans="1:3">
      <c r="A1765" s="347">
        <v>46090</v>
      </c>
      <c r="B1765" s="346" t="s">
        <v>3818</v>
      </c>
      <c r="C1765" s="346" t="s">
        <v>3819</v>
      </c>
    </row>
    <row r="1766" spans="1:3">
      <c r="A1766" s="347">
        <v>46090</v>
      </c>
      <c r="B1766" s="346" t="s">
        <v>3820</v>
      </c>
      <c r="C1766" s="346" t="s">
        <v>3821</v>
      </c>
    </row>
    <row r="1767" spans="1:3">
      <c r="A1767" s="347">
        <v>46090</v>
      </c>
      <c r="B1767" s="346" t="s">
        <v>3822</v>
      </c>
      <c r="C1767" s="346" t="s">
        <v>3823</v>
      </c>
    </row>
    <row r="1768" spans="1:3">
      <c r="A1768" s="347">
        <v>46090</v>
      </c>
      <c r="B1768" s="346" t="s">
        <v>3824</v>
      </c>
      <c r="C1768" s="346" t="s">
        <v>3825</v>
      </c>
    </row>
    <row r="1769" spans="1:3">
      <c r="A1769" s="347">
        <v>46090</v>
      </c>
      <c r="B1769" s="346" t="s">
        <v>3826</v>
      </c>
      <c r="C1769" s="346" t="s">
        <v>3827</v>
      </c>
    </row>
    <row r="1770" spans="1:3">
      <c r="A1770" s="347">
        <v>46090</v>
      </c>
      <c r="B1770" s="346" t="s">
        <v>3828</v>
      </c>
      <c r="C1770" s="346" t="s">
        <v>3829</v>
      </c>
    </row>
    <row r="1771" spans="1:3">
      <c r="A1771" s="347">
        <v>46090</v>
      </c>
      <c r="B1771" s="346" t="s">
        <v>3830</v>
      </c>
      <c r="C1771" s="346" t="s">
        <v>3831</v>
      </c>
    </row>
    <row r="1772" spans="1:3">
      <c r="A1772" s="347">
        <v>46090</v>
      </c>
      <c r="B1772" s="346" t="s">
        <v>3832</v>
      </c>
      <c r="C1772" s="346" t="s">
        <v>3833</v>
      </c>
    </row>
    <row r="1773" spans="1:3">
      <c r="A1773" s="347">
        <v>46090</v>
      </c>
      <c r="B1773" s="346" t="s">
        <v>3834</v>
      </c>
      <c r="C1773" s="346" t="s">
        <v>3835</v>
      </c>
    </row>
    <row r="1774" spans="1:3">
      <c r="A1774" s="347">
        <v>46090</v>
      </c>
      <c r="B1774" s="346" t="s">
        <v>3836</v>
      </c>
      <c r="C1774" s="346" t="s">
        <v>10622</v>
      </c>
    </row>
    <row r="1775" spans="1:3">
      <c r="A1775" s="347">
        <v>46090</v>
      </c>
      <c r="B1775" s="346" t="s">
        <v>3837</v>
      </c>
      <c r="C1775" s="346" t="s">
        <v>3838</v>
      </c>
    </row>
    <row r="1776" spans="1:3">
      <c r="A1776" s="347">
        <v>46090</v>
      </c>
      <c r="B1776" s="346" t="s">
        <v>3839</v>
      </c>
      <c r="C1776" s="346" t="s">
        <v>3840</v>
      </c>
    </row>
    <row r="1777" spans="1:3">
      <c r="A1777" s="347">
        <v>46090</v>
      </c>
      <c r="B1777" s="346" t="s">
        <v>3841</v>
      </c>
      <c r="C1777" s="346" t="s">
        <v>3842</v>
      </c>
    </row>
    <row r="1778" spans="1:3">
      <c r="A1778" s="347">
        <v>46090</v>
      </c>
      <c r="B1778" s="346" t="s">
        <v>3843</v>
      </c>
      <c r="C1778" s="346" t="s">
        <v>3844</v>
      </c>
    </row>
    <row r="1779" spans="1:3">
      <c r="A1779" s="347">
        <v>46090</v>
      </c>
      <c r="B1779" s="346" t="s">
        <v>3845</v>
      </c>
      <c r="C1779" s="346" t="s">
        <v>3846</v>
      </c>
    </row>
    <row r="1780" spans="1:3">
      <c r="A1780" s="347">
        <v>46090</v>
      </c>
      <c r="B1780" s="346" t="s">
        <v>3847</v>
      </c>
      <c r="C1780" s="346" t="s">
        <v>3848</v>
      </c>
    </row>
    <row r="1781" spans="1:3">
      <c r="A1781" s="347">
        <v>46090</v>
      </c>
      <c r="B1781" s="346" t="s">
        <v>3849</v>
      </c>
      <c r="C1781" s="346" t="s">
        <v>3850</v>
      </c>
    </row>
    <row r="1782" spans="1:3">
      <c r="A1782" s="347">
        <v>46090</v>
      </c>
      <c r="B1782" s="346" t="s">
        <v>3851</v>
      </c>
      <c r="C1782" s="346" t="s">
        <v>3852</v>
      </c>
    </row>
    <row r="1783" spans="1:3">
      <c r="A1783" s="347">
        <v>46090</v>
      </c>
      <c r="B1783" s="346" t="s">
        <v>3853</v>
      </c>
      <c r="C1783" s="346" t="s">
        <v>10623</v>
      </c>
    </row>
    <row r="1784" spans="1:3">
      <c r="A1784" s="347">
        <v>46090</v>
      </c>
      <c r="B1784" s="346" t="s">
        <v>3854</v>
      </c>
      <c r="C1784" s="346" t="s">
        <v>3855</v>
      </c>
    </row>
    <row r="1785" spans="1:3">
      <c r="A1785" s="347">
        <v>46090</v>
      </c>
      <c r="B1785" s="346" t="s">
        <v>3856</v>
      </c>
      <c r="C1785" s="346" t="s">
        <v>3857</v>
      </c>
    </row>
    <row r="1786" spans="1:3">
      <c r="A1786" s="347">
        <v>46090</v>
      </c>
      <c r="B1786" s="346" t="s">
        <v>3858</v>
      </c>
      <c r="C1786" s="346" t="s">
        <v>3859</v>
      </c>
    </row>
    <row r="1787" spans="1:3">
      <c r="A1787" s="347">
        <v>46090</v>
      </c>
      <c r="B1787" s="346" t="s">
        <v>3860</v>
      </c>
      <c r="C1787" s="346" t="s">
        <v>3861</v>
      </c>
    </row>
    <row r="1788" spans="1:3">
      <c r="A1788" s="347">
        <v>46090</v>
      </c>
      <c r="B1788" s="346" t="s">
        <v>3862</v>
      </c>
      <c r="C1788" s="346" t="s">
        <v>3863</v>
      </c>
    </row>
    <row r="1789" spans="1:3">
      <c r="A1789" s="347">
        <v>46090</v>
      </c>
      <c r="B1789" s="346" t="s">
        <v>3864</v>
      </c>
      <c r="C1789" s="346" t="s">
        <v>3865</v>
      </c>
    </row>
    <row r="1790" spans="1:3">
      <c r="A1790" s="347">
        <v>46090</v>
      </c>
      <c r="B1790" s="346" t="s">
        <v>3866</v>
      </c>
      <c r="C1790" s="346" t="s">
        <v>3867</v>
      </c>
    </row>
    <row r="1791" spans="1:3">
      <c r="A1791" s="347">
        <v>46090</v>
      </c>
      <c r="B1791" s="346" t="s">
        <v>3868</v>
      </c>
      <c r="C1791" s="346" t="s">
        <v>3869</v>
      </c>
    </row>
    <row r="1792" spans="1:3">
      <c r="A1792" s="347">
        <v>46090</v>
      </c>
      <c r="B1792" s="346" t="s">
        <v>3870</v>
      </c>
      <c r="C1792" s="346" t="s">
        <v>3871</v>
      </c>
    </row>
    <row r="1793" spans="1:3">
      <c r="A1793" s="347">
        <v>46090</v>
      </c>
      <c r="B1793" s="346" t="s">
        <v>3872</v>
      </c>
      <c r="C1793" s="346" t="s">
        <v>3873</v>
      </c>
    </row>
    <row r="1794" spans="1:3">
      <c r="A1794" s="347">
        <v>46090</v>
      </c>
      <c r="B1794" s="346" t="s">
        <v>3874</v>
      </c>
      <c r="C1794" s="346" t="s">
        <v>3875</v>
      </c>
    </row>
    <row r="1795" spans="1:3">
      <c r="A1795" s="347">
        <v>46090</v>
      </c>
      <c r="B1795" s="346" t="s">
        <v>3876</v>
      </c>
      <c r="C1795" s="346" t="s">
        <v>3877</v>
      </c>
    </row>
    <row r="1796" spans="1:3">
      <c r="A1796" s="347">
        <v>46090</v>
      </c>
      <c r="B1796" s="346" t="s">
        <v>3878</v>
      </c>
      <c r="C1796" s="346" t="s">
        <v>10624</v>
      </c>
    </row>
    <row r="1797" spans="1:3">
      <c r="A1797" s="347">
        <v>46090</v>
      </c>
      <c r="B1797" s="346" t="s">
        <v>3879</v>
      </c>
      <c r="C1797" s="346" t="s">
        <v>3880</v>
      </c>
    </row>
    <row r="1798" spans="1:3">
      <c r="A1798" s="347">
        <v>46090</v>
      </c>
      <c r="B1798" s="346" t="s">
        <v>3881</v>
      </c>
      <c r="C1798" s="346" t="s">
        <v>3882</v>
      </c>
    </row>
    <row r="1799" spans="1:3">
      <c r="A1799" s="347">
        <v>46090</v>
      </c>
      <c r="B1799" s="346" t="s">
        <v>3883</v>
      </c>
      <c r="C1799" s="346" t="s">
        <v>3884</v>
      </c>
    </row>
    <row r="1800" spans="1:3">
      <c r="A1800" s="347">
        <v>46090</v>
      </c>
      <c r="B1800" s="346" t="s">
        <v>3885</v>
      </c>
      <c r="C1800" s="346" t="s">
        <v>3886</v>
      </c>
    </row>
    <row r="1801" spans="1:3">
      <c r="A1801" s="347">
        <v>46090</v>
      </c>
      <c r="B1801" s="346" t="s">
        <v>3887</v>
      </c>
      <c r="C1801" s="346" t="s">
        <v>3888</v>
      </c>
    </row>
    <row r="1802" spans="1:3">
      <c r="A1802" s="347">
        <v>46090</v>
      </c>
      <c r="B1802" s="346" t="s">
        <v>3889</v>
      </c>
      <c r="C1802" s="346" t="s">
        <v>3890</v>
      </c>
    </row>
    <row r="1803" spans="1:3">
      <c r="A1803" s="347">
        <v>46090</v>
      </c>
      <c r="B1803" s="346" t="s">
        <v>3891</v>
      </c>
      <c r="C1803" s="346" t="s">
        <v>3892</v>
      </c>
    </row>
    <row r="1804" spans="1:3">
      <c r="A1804" s="347">
        <v>46090</v>
      </c>
      <c r="B1804" s="346" t="s">
        <v>3893</v>
      </c>
      <c r="C1804" s="346" t="s">
        <v>3894</v>
      </c>
    </row>
    <row r="1805" spans="1:3">
      <c r="A1805" s="347">
        <v>46090</v>
      </c>
      <c r="B1805" s="346" t="s">
        <v>3895</v>
      </c>
      <c r="C1805" s="346" t="s">
        <v>3896</v>
      </c>
    </row>
    <row r="1806" spans="1:3">
      <c r="A1806" s="347">
        <v>46090</v>
      </c>
      <c r="B1806" s="346" t="s">
        <v>3897</v>
      </c>
      <c r="C1806" s="346" t="s">
        <v>10625</v>
      </c>
    </row>
    <row r="1807" spans="1:3">
      <c r="A1807" s="347">
        <v>46090</v>
      </c>
      <c r="B1807" s="346" t="s">
        <v>3898</v>
      </c>
      <c r="C1807" s="346" t="s">
        <v>3899</v>
      </c>
    </row>
    <row r="1808" spans="1:3">
      <c r="A1808" s="347">
        <v>46090</v>
      </c>
      <c r="B1808" s="346" t="s">
        <v>3900</v>
      </c>
      <c r="C1808" s="346" t="s">
        <v>3901</v>
      </c>
    </row>
    <row r="1809" spans="1:3">
      <c r="A1809" s="347">
        <v>46090</v>
      </c>
      <c r="B1809" s="346" t="s">
        <v>3902</v>
      </c>
      <c r="C1809" s="346" t="s">
        <v>3903</v>
      </c>
    </row>
    <row r="1810" spans="1:3">
      <c r="A1810" s="347">
        <v>46090</v>
      </c>
      <c r="B1810" s="346" t="s">
        <v>3904</v>
      </c>
      <c r="C1810" s="346" t="s">
        <v>3905</v>
      </c>
    </row>
    <row r="1811" spans="1:3">
      <c r="A1811" s="347">
        <v>46090</v>
      </c>
      <c r="B1811" s="346" t="s">
        <v>3906</v>
      </c>
      <c r="C1811" s="346" t="s">
        <v>10626</v>
      </c>
    </row>
    <row r="1812" spans="1:3">
      <c r="A1812" s="347">
        <v>46090</v>
      </c>
      <c r="B1812" s="346" t="s">
        <v>3907</v>
      </c>
      <c r="C1812" s="346" t="s">
        <v>11072</v>
      </c>
    </row>
    <row r="1813" spans="1:3">
      <c r="A1813" s="347">
        <v>46090</v>
      </c>
      <c r="B1813" s="346" t="s">
        <v>3908</v>
      </c>
      <c r="C1813" s="346" t="s">
        <v>3909</v>
      </c>
    </row>
    <row r="1814" spans="1:3">
      <c r="A1814" s="347">
        <v>46090</v>
      </c>
      <c r="B1814" s="346" t="s">
        <v>3910</v>
      </c>
      <c r="C1814" s="346" t="s">
        <v>3911</v>
      </c>
    </row>
    <row r="1815" spans="1:3">
      <c r="A1815" s="347">
        <v>46090</v>
      </c>
      <c r="B1815" s="346" t="s">
        <v>3912</v>
      </c>
      <c r="C1815" s="346" t="s">
        <v>3913</v>
      </c>
    </row>
    <row r="1816" spans="1:3">
      <c r="A1816" s="347">
        <v>46090</v>
      </c>
      <c r="B1816" s="346" t="s">
        <v>3914</v>
      </c>
      <c r="C1816" s="346" t="s">
        <v>3915</v>
      </c>
    </row>
    <row r="1817" spans="1:3">
      <c r="A1817" s="347">
        <v>46090</v>
      </c>
      <c r="B1817" s="346" t="s">
        <v>3916</v>
      </c>
      <c r="C1817" s="346" t="s">
        <v>3917</v>
      </c>
    </row>
    <row r="1818" spans="1:3">
      <c r="A1818" s="347">
        <v>46090</v>
      </c>
      <c r="B1818" s="346" t="s">
        <v>3918</v>
      </c>
      <c r="C1818" s="346" t="s">
        <v>3919</v>
      </c>
    </row>
    <row r="1819" spans="1:3">
      <c r="A1819" s="347">
        <v>46090</v>
      </c>
      <c r="B1819" s="346" t="s">
        <v>3920</v>
      </c>
      <c r="C1819" s="346" t="s">
        <v>3921</v>
      </c>
    </row>
    <row r="1820" spans="1:3">
      <c r="A1820" s="347">
        <v>46090</v>
      </c>
      <c r="B1820" s="346" t="s">
        <v>3922</v>
      </c>
      <c r="C1820" s="346" t="s">
        <v>3923</v>
      </c>
    </row>
    <row r="1821" spans="1:3">
      <c r="A1821" s="347">
        <v>46090</v>
      </c>
      <c r="B1821" s="346" t="s">
        <v>3924</v>
      </c>
      <c r="C1821" s="346" t="s">
        <v>3925</v>
      </c>
    </row>
    <row r="1822" spans="1:3">
      <c r="A1822" s="347">
        <v>46090</v>
      </c>
      <c r="B1822" s="346" t="s">
        <v>3926</v>
      </c>
      <c r="C1822" s="346" t="s">
        <v>3927</v>
      </c>
    </row>
    <row r="1823" spans="1:3">
      <c r="A1823" s="347">
        <v>46090</v>
      </c>
      <c r="B1823" s="346" t="s">
        <v>3928</v>
      </c>
      <c r="C1823" s="346" t="s">
        <v>3929</v>
      </c>
    </row>
    <row r="1824" spans="1:3">
      <c r="A1824" s="347">
        <v>46090</v>
      </c>
      <c r="B1824" s="346" t="s">
        <v>3930</v>
      </c>
      <c r="C1824" s="346" t="s">
        <v>3931</v>
      </c>
    </row>
    <row r="1825" spans="1:3">
      <c r="A1825" s="347">
        <v>46090</v>
      </c>
      <c r="B1825" s="346" t="s">
        <v>3932</v>
      </c>
      <c r="C1825" s="346" t="s">
        <v>3933</v>
      </c>
    </row>
    <row r="1826" spans="1:3">
      <c r="A1826" s="347">
        <v>46090</v>
      </c>
      <c r="B1826" s="346" t="s">
        <v>3934</v>
      </c>
      <c r="C1826" s="346" t="s">
        <v>3935</v>
      </c>
    </row>
    <row r="1827" spans="1:3">
      <c r="A1827" s="347">
        <v>46090</v>
      </c>
      <c r="B1827" s="346" t="s">
        <v>3936</v>
      </c>
      <c r="C1827" s="346" t="s">
        <v>3937</v>
      </c>
    </row>
    <row r="1828" spans="1:3">
      <c r="A1828" s="347">
        <v>46090</v>
      </c>
      <c r="B1828" s="346" t="s">
        <v>3938</v>
      </c>
      <c r="C1828" s="346" t="s">
        <v>3939</v>
      </c>
    </row>
    <row r="1829" spans="1:3">
      <c r="A1829" s="347">
        <v>46090</v>
      </c>
      <c r="B1829" s="346" t="s">
        <v>3940</v>
      </c>
      <c r="C1829" s="346" t="s">
        <v>3941</v>
      </c>
    </row>
    <row r="1830" spans="1:3">
      <c r="A1830" s="347">
        <v>46090</v>
      </c>
      <c r="B1830" s="346" t="s">
        <v>3942</v>
      </c>
      <c r="C1830" s="346" t="s">
        <v>3943</v>
      </c>
    </row>
    <row r="1831" spans="1:3">
      <c r="A1831" s="347">
        <v>46090</v>
      </c>
      <c r="B1831" s="346" t="s">
        <v>3944</v>
      </c>
      <c r="C1831" s="346" t="s">
        <v>11073</v>
      </c>
    </row>
    <row r="1832" spans="1:3">
      <c r="A1832" s="347">
        <v>46090</v>
      </c>
      <c r="B1832" s="346" t="s">
        <v>3945</v>
      </c>
      <c r="C1832" s="346" t="s">
        <v>3946</v>
      </c>
    </row>
    <row r="1833" spans="1:3">
      <c r="A1833" s="347">
        <v>46090</v>
      </c>
      <c r="B1833" s="346" t="s">
        <v>3947</v>
      </c>
      <c r="C1833" s="346" t="s">
        <v>3948</v>
      </c>
    </row>
    <row r="1834" spans="1:3">
      <c r="A1834" s="347">
        <v>46090</v>
      </c>
      <c r="B1834" s="346" t="s">
        <v>3949</v>
      </c>
      <c r="C1834" s="346" t="s">
        <v>3950</v>
      </c>
    </row>
    <row r="1835" spans="1:3">
      <c r="A1835" s="347">
        <v>46090</v>
      </c>
      <c r="B1835" s="346" t="s">
        <v>3951</v>
      </c>
      <c r="C1835" s="346" t="s">
        <v>3952</v>
      </c>
    </row>
    <row r="1836" spans="1:3">
      <c r="A1836" s="347">
        <v>46090</v>
      </c>
      <c r="B1836" s="346" t="s">
        <v>3953</v>
      </c>
      <c r="C1836" s="346" t="s">
        <v>3954</v>
      </c>
    </row>
    <row r="1837" spans="1:3">
      <c r="A1837" s="347">
        <v>46090</v>
      </c>
      <c r="B1837" s="346" t="s">
        <v>3955</v>
      </c>
      <c r="C1837" s="346" t="s">
        <v>3956</v>
      </c>
    </row>
    <row r="1838" spans="1:3">
      <c r="A1838" s="347">
        <v>46090</v>
      </c>
      <c r="B1838" s="346" t="s">
        <v>3957</v>
      </c>
      <c r="C1838" s="346" t="s">
        <v>3958</v>
      </c>
    </row>
    <row r="1839" spans="1:3">
      <c r="A1839" s="347">
        <v>46090</v>
      </c>
      <c r="B1839" s="346" t="s">
        <v>3959</v>
      </c>
      <c r="C1839" s="346" t="s">
        <v>11074</v>
      </c>
    </row>
    <row r="1840" spans="1:3">
      <c r="A1840" s="347">
        <v>46090</v>
      </c>
      <c r="B1840" s="346" t="s">
        <v>3960</v>
      </c>
      <c r="C1840" s="346" t="s">
        <v>3961</v>
      </c>
    </row>
    <row r="1841" spans="1:3">
      <c r="A1841" s="347">
        <v>46090</v>
      </c>
      <c r="B1841" s="346" t="s">
        <v>3962</v>
      </c>
      <c r="C1841" s="346" t="s">
        <v>10627</v>
      </c>
    </row>
    <row r="1842" spans="1:3">
      <c r="A1842" s="347">
        <v>46090</v>
      </c>
      <c r="B1842" s="346" t="s">
        <v>3963</v>
      </c>
      <c r="C1842" s="346" t="s">
        <v>3964</v>
      </c>
    </row>
    <row r="1843" spans="1:3">
      <c r="A1843" s="347">
        <v>46090</v>
      </c>
      <c r="B1843" s="346" t="s">
        <v>3965</v>
      </c>
      <c r="C1843" s="346" t="s">
        <v>3966</v>
      </c>
    </row>
    <row r="1844" spans="1:3">
      <c r="A1844" s="347">
        <v>46090</v>
      </c>
      <c r="B1844" s="346" t="s">
        <v>3967</v>
      </c>
      <c r="C1844" s="346" t="s">
        <v>3968</v>
      </c>
    </row>
    <row r="1845" spans="1:3">
      <c r="A1845" s="347">
        <v>46090</v>
      </c>
      <c r="B1845" s="346" t="s">
        <v>3969</v>
      </c>
      <c r="C1845" s="346" t="s">
        <v>3970</v>
      </c>
    </row>
    <row r="1846" spans="1:3">
      <c r="A1846" s="347">
        <v>46090</v>
      </c>
      <c r="B1846" s="346" t="s">
        <v>3971</v>
      </c>
      <c r="C1846" s="346" t="s">
        <v>3972</v>
      </c>
    </row>
    <row r="1847" spans="1:3">
      <c r="A1847" s="347">
        <v>46090</v>
      </c>
      <c r="B1847" s="346" t="s">
        <v>3973</v>
      </c>
      <c r="C1847" s="346" t="s">
        <v>3974</v>
      </c>
    </row>
    <row r="1848" spans="1:3">
      <c r="A1848" s="347">
        <v>46090</v>
      </c>
      <c r="B1848" s="346" t="s">
        <v>3975</v>
      </c>
      <c r="C1848" s="346" t="s">
        <v>3976</v>
      </c>
    </row>
    <row r="1849" spans="1:3">
      <c r="A1849" s="347">
        <v>46090</v>
      </c>
      <c r="B1849" s="346" t="s">
        <v>3977</v>
      </c>
      <c r="C1849" s="346" t="s">
        <v>10628</v>
      </c>
    </row>
    <row r="1850" spans="1:3">
      <c r="A1850" s="347">
        <v>46090</v>
      </c>
      <c r="B1850" s="346" t="s">
        <v>3978</v>
      </c>
      <c r="C1850" s="346" t="s">
        <v>3979</v>
      </c>
    </row>
    <row r="1851" spans="1:3">
      <c r="A1851" s="347">
        <v>46090</v>
      </c>
      <c r="B1851" s="346" t="s">
        <v>3980</v>
      </c>
      <c r="C1851" s="346" t="s">
        <v>3981</v>
      </c>
    </row>
    <row r="1852" spans="1:3">
      <c r="A1852" s="347">
        <v>46090</v>
      </c>
      <c r="B1852" s="346" t="s">
        <v>3982</v>
      </c>
      <c r="C1852" s="346" t="s">
        <v>3983</v>
      </c>
    </row>
    <row r="1853" spans="1:3">
      <c r="A1853" s="347">
        <v>46090</v>
      </c>
      <c r="B1853" s="346" t="s">
        <v>3984</v>
      </c>
      <c r="C1853" s="346" t="s">
        <v>10629</v>
      </c>
    </row>
    <row r="1854" spans="1:3">
      <c r="A1854" s="347">
        <v>46090</v>
      </c>
      <c r="B1854" s="346" t="s">
        <v>3985</v>
      </c>
      <c r="C1854" s="346" t="s">
        <v>3986</v>
      </c>
    </row>
    <row r="1855" spans="1:3">
      <c r="A1855" s="347">
        <v>46090</v>
      </c>
      <c r="B1855" s="346" t="s">
        <v>3987</v>
      </c>
      <c r="C1855" s="346" t="s">
        <v>3988</v>
      </c>
    </row>
    <row r="1856" spans="1:3">
      <c r="A1856" s="347">
        <v>46090</v>
      </c>
      <c r="B1856" s="346" t="s">
        <v>3989</v>
      </c>
      <c r="C1856" s="346" t="s">
        <v>3990</v>
      </c>
    </row>
    <row r="1857" spans="1:3">
      <c r="A1857" s="347">
        <v>46090</v>
      </c>
      <c r="B1857" s="346" t="s">
        <v>3991</v>
      </c>
      <c r="C1857" s="346" t="s">
        <v>3992</v>
      </c>
    </row>
    <row r="1858" spans="1:3">
      <c r="A1858" s="347">
        <v>46090</v>
      </c>
      <c r="B1858" s="346" t="s">
        <v>3993</v>
      </c>
      <c r="C1858" s="346" t="s">
        <v>3994</v>
      </c>
    </row>
    <row r="1859" spans="1:3">
      <c r="A1859" s="347">
        <v>46090</v>
      </c>
      <c r="B1859" s="346" t="s">
        <v>3995</v>
      </c>
      <c r="C1859" s="346" t="s">
        <v>3996</v>
      </c>
    </row>
    <row r="1860" spans="1:3">
      <c r="A1860" s="347">
        <v>46090</v>
      </c>
      <c r="B1860" s="346" t="s">
        <v>3997</v>
      </c>
      <c r="C1860" s="346" t="s">
        <v>3998</v>
      </c>
    </row>
    <row r="1861" spans="1:3">
      <c r="A1861" s="347">
        <v>46090</v>
      </c>
      <c r="B1861" s="346" t="s">
        <v>3999</v>
      </c>
      <c r="C1861" s="346" t="s">
        <v>4000</v>
      </c>
    </row>
    <row r="1862" spans="1:3">
      <c r="A1862" s="347">
        <v>46090</v>
      </c>
      <c r="B1862" s="346" t="s">
        <v>4001</v>
      </c>
      <c r="C1862" s="346" t="s">
        <v>4002</v>
      </c>
    </row>
    <row r="1863" spans="1:3">
      <c r="A1863" s="347">
        <v>46090</v>
      </c>
      <c r="B1863" s="346" t="s">
        <v>4003</v>
      </c>
      <c r="C1863" s="346" t="s">
        <v>4004</v>
      </c>
    </row>
    <row r="1864" spans="1:3">
      <c r="A1864" s="347">
        <v>46090</v>
      </c>
      <c r="B1864" s="346" t="s">
        <v>4005</v>
      </c>
      <c r="C1864" s="346" t="s">
        <v>4006</v>
      </c>
    </row>
    <row r="1865" spans="1:3">
      <c r="A1865" s="347">
        <v>46090</v>
      </c>
      <c r="B1865" s="346" t="s">
        <v>4007</v>
      </c>
      <c r="C1865" s="346" t="s">
        <v>4008</v>
      </c>
    </row>
    <row r="1866" spans="1:3">
      <c r="A1866" s="347">
        <v>46090</v>
      </c>
      <c r="B1866" s="346" t="s">
        <v>4009</v>
      </c>
      <c r="C1866" s="346" t="s">
        <v>4010</v>
      </c>
    </row>
    <row r="1867" spans="1:3">
      <c r="A1867" s="347">
        <v>46090</v>
      </c>
      <c r="B1867" s="346" t="s">
        <v>4011</v>
      </c>
      <c r="C1867" s="346" t="s">
        <v>4012</v>
      </c>
    </row>
    <row r="1868" spans="1:3">
      <c r="A1868" s="347">
        <v>46090</v>
      </c>
      <c r="B1868" s="346" t="s">
        <v>4013</v>
      </c>
      <c r="C1868" s="346" t="s">
        <v>4014</v>
      </c>
    </row>
    <row r="1869" spans="1:3">
      <c r="A1869" s="347">
        <v>46090</v>
      </c>
      <c r="B1869" s="346" t="s">
        <v>4015</v>
      </c>
      <c r="C1869" s="346" t="s">
        <v>4016</v>
      </c>
    </row>
    <row r="1870" spans="1:3">
      <c r="A1870" s="347">
        <v>46090</v>
      </c>
      <c r="B1870" s="346" t="s">
        <v>4017</v>
      </c>
      <c r="C1870" s="346" t="s">
        <v>4018</v>
      </c>
    </row>
    <row r="1871" spans="1:3">
      <c r="A1871" s="347">
        <v>46090</v>
      </c>
      <c r="B1871" s="346" t="s">
        <v>4019</v>
      </c>
      <c r="C1871" s="346" t="s">
        <v>4020</v>
      </c>
    </row>
    <row r="1872" spans="1:3">
      <c r="A1872" s="347">
        <v>46090</v>
      </c>
      <c r="B1872" s="346" t="s">
        <v>4021</v>
      </c>
      <c r="C1872" s="346" t="s">
        <v>4022</v>
      </c>
    </row>
    <row r="1873" spans="1:3">
      <c r="A1873" s="347">
        <v>46090</v>
      </c>
      <c r="B1873" s="346" t="s">
        <v>4023</v>
      </c>
      <c r="C1873" s="346" t="s">
        <v>4024</v>
      </c>
    </row>
    <row r="1874" spans="1:3">
      <c r="A1874" s="347">
        <v>46090</v>
      </c>
      <c r="B1874" s="346" t="s">
        <v>4025</v>
      </c>
      <c r="C1874" s="346" t="s">
        <v>4026</v>
      </c>
    </row>
    <row r="1875" spans="1:3">
      <c r="A1875" s="347">
        <v>46090</v>
      </c>
      <c r="B1875" s="346" t="s">
        <v>4027</v>
      </c>
      <c r="C1875" s="346" t="s">
        <v>4028</v>
      </c>
    </row>
    <row r="1876" spans="1:3">
      <c r="A1876" s="347">
        <v>46090</v>
      </c>
      <c r="B1876" s="346" t="s">
        <v>4029</v>
      </c>
      <c r="C1876" s="346" t="s">
        <v>4030</v>
      </c>
    </row>
    <row r="1877" spans="1:3">
      <c r="A1877" s="347">
        <v>46090</v>
      </c>
      <c r="B1877" s="346" t="s">
        <v>4031</v>
      </c>
      <c r="C1877" s="346" t="s">
        <v>4032</v>
      </c>
    </row>
    <row r="1878" spans="1:3">
      <c r="A1878" s="347">
        <v>46090</v>
      </c>
      <c r="B1878" s="346" t="s">
        <v>4033</v>
      </c>
      <c r="C1878" s="346" t="s">
        <v>4034</v>
      </c>
    </row>
    <row r="1879" spans="1:3">
      <c r="A1879" s="347">
        <v>46090</v>
      </c>
      <c r="B1879" s="346" t="s">
        <v>4035</v>
      </c>
      <c r="C1879" s="346" t="s">
        <v>4036</v>
      </c>
    </row>
    <row r="1880" spans="1:3">
      <c r="A1880" s="347">
        <v>46090</v>
      </c>
      <c r="B1880" s="346" t="s">
        <v>4037</v>
      </c>
      <c r="C1880" s="346" t="s">
        <v>10630</v>
      </c>
    </row>
    <row r="1881" spans="1:3">
      <c r="A1881" s="347">
        <v>46090</v>
      </c>
      <c r="B1881" s="346" t="s">
        <v>4038</v>
      </c>
      <c r="C1881" s="346" t="s">
        <v>4039</v>
      </c>
    </row>
    <row r="1882" spans="1:3">
      <c r="A1882" s="347">
        <v>46090</v>
      </c>
      <c r="B1882" s="346" t="s">
        <v>4040</v>
      </c>
      <c r="C1882" s="346" t="s">
        <v>4041</v>
      </c>
    </row>
    <row r="1883" spans="1:3">
      <c r="A1883" s="347">
        <v>46090</v>
      </c>
      <c r="B1883" s="346" t="s">
        <v>4042</v>
      </c>
      <c r="C1883" s="346" t="s">
        <v>4043</v>
      </c>
    </row>
    <row r="1884" spans="1:3">
      <c r="A1884" s="347">
        <v>46090</v>
      </c>
      <c r="B1884" s="346" t="s">
        <v>4044</v>
      </c>
      <c r="C1884" s="346" t="s">
        <v>4045</v>
      </c>
    </row>
    <row r="1885" spans="1:3">
      <c r="A1885" s="347">
        <v>46090</v>
      </c>
      <c r="B1885" s="346" t="s">
        <v>4046</v>
      </c>
      <c r="C1885" s="346" t="s">
        <v>4047</v>
      </c>
    </row>
    <row r="1886" spans="1:3">
      <c r="A1886" s="347">
        <v>46090</v>
      </c>
      <c r="B1886" s="346" t="s">
        <v>4048</v>
      </c>
      <c r="C1886" s="346" t="s">
        <v>4049</v>
      </c>
    </row>
    <row r="1887" spans="1:3">
      <c r="A1887" s="347">
        <v>46090</v>
      </c>
      <c r="B1887" s="346" t="s">
        <v>4050</v>
      </c>
      <c r="C1887" s="346" t="s">
        <v>10631</v>
      </c>
    </row>
    <row r="1888" spans="1:3">
      <c r="A1888" s="347">
        <v>46090</v>
      </c>
      <c r="B1888" s="346" t="s">
        <v>4051</v>
      </c>
      <c r="C1888" s="346" t="s">
        <v>10632</v>
      </c>
    </row>
    <row r="1889" spans="1:3">
      <c r="A1889" s="347">
        <v>46090</v>
      </c>
      <c r="B1889" s="346" t="s">
        <v>4052</v>
      </c>
      <c r="C1889" s="346" t="s">
        <v>4053</v>
      </c>
    </row>
    <row r="1890" spans="1:3">
      <c r="A1890" s="347">
        <v>46090</v>
      </c>
      <c r="B1890" s="346" t="s">
        <v>4054</v>
      </c>
      <c r="C1890" s="346" t="s">
        <v>4055</v>
      </c>
    </row>
    <row r="1891" spans="1:3">
      <c r="A1891" s="347">
        <v>46090</v>
      </c>
      <c r="B1891" s="346" t="s">
        <v>4056</v>
      </c>
      <c r="C1891" s="346" t="s">
        <v>4057</v>
      </c>
    </row>
    <row r="1892" spans="1:3">
      <c r="A1892" s="347">
        <v>46090</v>
      </c>
      <c r="B1892" s="346" t="s">
        <v>4058</v>
      </c>
      <c r="C1892" s="346" t="s">
        <v>4059</v>
      </c>
    </row>
    <row r="1893" spans="1:3">
      <c r="A1893" s="347">
        <v>46090</v>
      </c>
      <c r="B1893" s="346" t="s">
        <v>4060</v>
      </c>
      <c r="C1893" s="346" t="s">
        <v>4061</v>
      </c>
    </row>
    <row r="1894" spans="1:3">
      <c r="A1894" s="347">
        <v>46090</v>
      </c>
      <c r="B1894" s="346" t="s">
        <v>4062</v>
      </c>
      <c r="C1894" s="346" t="s">
        <v>4063</v>
      </c>
    </row>
    <row r="1895" spans="1:3">
      <c r="A1895" s="347">
        <v>46090</v>
      </c>
      <c r="B1895" s="346" t="s">
        <v>4064</v>
      </c>
      <c r="C1895" s="346" t="s">
        <v>4065</v>
      </c>
    </row>
    <row r="1896" spans="1:3">
      <c r="A1896" s="347">
        <v>46090</v>
      </c>
      <c r="B1896" s="346" t="s">
        <v>4066</v>
      </c>
      <c r="C1896" s="346" t="s">
        <v>4067</v>
      </c>
    </row>
    <row r="1897" spans="1:3">
      <c r="A1897" s="347">
        <v>46090</v>
      </c>
      <c r="B1897" s="346" t="s">
        <v>4068</v>
      </c>
      <c r="C1897" s="346" t="s">
        <v>4069</v>
      </c>
    </row>
    <row r="1898" spans="1:3">
      <c r="A1898" s="347">
        <v>46090</v>
      </c>
      <c r="B1898" s="346" t="s">
        <v>4070</v>
      </c>
      <c r="C1898" s="346" t="s">
        <v>4071</v>
      </c>
    </row>
    <row r="1899" spans="1:3">
      <c r="A1899" s="347">
        <v>46090</v>
      </c>
      <c r="B1899" s="346" t="s">
        <v>4072</v>
      </c>
      <c r="C1899" s="346" t="s">
        <v>4073</v>
      </c>
    </row>
    <row r="1900" spans="1:3">
      <c r="A1900" s="347">
        <v>46090</v>
      </c>
      <c r="B1900" s="346" t="s">
        <v>4074</v>
      </c>
      <c r="C1900" s="346" t="s">
        <v>4075</v>
      </c>
    </row>
    <row r="1901" spans="1:3">
      <c r="A1901" s="347">
        <v>46090</v>
      </c>
      <c r="B1901" s="346" t="s">
        <v>4076</v>
      </c>
      <c r="C1901" s="346" t="s">
        <v>4077</v>
      </c>
    </row>
    <row r="1902" spans="1:3">
      <c r="A1902" s="347">
        <v>46090</v>
      </c>
      <c r="B1902" s="346" t="s">
        <v>4078</v>
      </c>
      <c r="C1902" s="346" t="s">
        <v>4079</v>
      </c>
    </row>
    <row r="1903" spans="1:3">
      <c r="A1903" s="347">
        <v>46090</v>
      </c>
      <c r="B1903" s="346" t="s">
        <v>4080</v>
      </c>
      <c r="C1903" s="346" t="s">
        <v>4081</v>
      </c>
    </row>
    <row r="1904" spans="1:3">
      <c r="A1904" s="347">
        <v>46090</v>
      </c>
      <c r="B1904" s="346" t="s">
        <v>4082</v>
      </c>
      <c r="C1904" s="346" t="s">
        <v>4083</v>
      </c>
    </row>
    <row r="1905" spans="1:3">
      <c r="A1905" s="347">
        <v>46090</v>
      </c>
      <c r="B1905" s="346" t="s">
        <v>4084</v>
      </c>
      <c r="C1905" s="346" t="s">
        <v>4085</v>
      </c>
    </row>
    <row r="1906" spans="1:3">
      <c r="A1906" s="347">
        <v>46090</v>
      </c>
      <c r="B1906" s="346" t="s">
        <v>4086</v>
      </c>
      <c r="C1906" s="346" t="s">
        <v>4087</v>
      </c>
    </row>
    <row r="1907" spans="1:3">
      <c r="A1907" s="347">
        <v>46090</v>
      </c>
      <c r="B1907" s="346" t="s">
        <v>4088</v>
      </c>
      <c r="C1907" s="346" t="s">
        <v>4089</v>
      </c>
    </row>
    <row r="1908" spans="1:3">
      <c r="A1908" s="347">
        <v>46090</v>
      </c>
      <c r="B1908" s="346" t="s">
        <v>4090</v>
      </c>
      <c r="C1908" s="346" t="s">
        <v>4091</v>
      </c>
    </row>
    <row r="1909" spans="1:3">
      <c r="A1909" s="347">
        <v>46090</v>
      </c>
      <c r="B1909" s="346" t="s">
        <v>4092</v>
      </c>
      <c r="C1909" s="346" t="s">
        <v>4093</v>
      </c>
    </row>
    <row r="1910" spans="1:3">
      <c r="A1910" s="347">
        <v>46090</v>
      </c>
      <c r="B1910" s="346" t="s">
        <v>4094</v>
      </c>
      <c r="C1910" s="346" t="s">
        <v>4095</v>
      </c>
    </row>
    <row r="1911" spans="1:3">
      <c r="A1911" s="347">
        <v>46090</v>
      </c>
      <c r="B1911" s="346" t="s">
        <v>4096</v>
      </c>
      <c r="C1911" s="346" t="s">
        <v>4097</v>
      </c>
    </row>
    <row r="1912" spans="1:3">
      <c r="A1912" s="347">
        <v>46090</v>
      </c>
      <c r="B1912" s="346" t="s">
        <v>4098</v>
      </c>
      <c r="C1912" s="346" t="s">
        <v>4099</v>
      </c>
    </row>
    <row r="1913" spans="1:3">
      <c r="A1913" s="347">
        <v>46090</v>
      </c>
      <c r="B1913" s="346" t="s">
        <v>4100</v>
      </c>
      <c r="C1913" s="346" t="s">
        <v>4101</v>
      </c>
    </row>
    <row r="1914" spans="1:3">
      <c r="A1914" s="347">
        <v>46090</v>
      </c>
      <c r="B1914" s="346" t="s">
        <v>4102</v>
      </c>
      <c r="C1914" s="346" t="s">
        <v>4103</v>
      </c>
    </row>
    <row r="1915" spans="1:3">
      <c r="A1915" s="347">
        <v>46090</v>
      </c>
      <c r="B1915" s="346" t="s">
        <v>4104</v>
      </c>
      <c r="C1915" s="346" t="s">
        <v>4105</v>
      </c>
    </row>
    <row r="1916" spans="1:3">
      <c r="A1916" s="347">
        <v>46090</v>
      </c>
      <c r="B1916" s="346" t="s">
        <v>4106</v>
      </c>
      <c r="C1916" s="346" t="s">
        <v>4107</v>
      </c>
    </row>
    <row r="1917" spans="1:3">
      <c r="A1917" s="347">
        <v>46090</v>
      </c>
      <c r="B1917" s="346" t="s">
        <v>4108</v>
      </c>
      <c r="C1917" s="346" t="s">
        <v>4109</v>
      </c>
    </row>
    <row r="1918" spans="1:3">
      <c r="A1918" s="347">
        <v>46090</v>
      </c>
      <c r="B1918" s="346" t="s">
        <v>4110</v>
      </c>
      <c r="C1918" s="346" t="s">
        <v>4111</v>
      </c>
    </row>
    <row r="1919" spans="1:3">
      <c r="A1919" s="347">
        <v>46090</v>
      </c>
      <c r="B1919" s="346" t="s">
        <v>4112</v>
      </c>
      <c r="C1919" s="346" t="s">
        <v>4113</v>
      </c>
    </row>
    <row r="1920" spans="1:3">
      <c r="A1920" s="347">
        <v>46090</v>
      </c>
      <c r="B1920" s="346" t="s">
        <v>4114</v>
      </c>
      <c r="C1920" s="346" t="s">
        <v>11075</v>
      </c>
    </row>
    <row r="1921" spans="1:3">
      <c r="A1921" s="347">
        <v>46090</v>
      </c>
      <c r="B1921" s="346" t="s">
        <v>4115</v>
      </c>
      <c r="C1921" s="346" t="s">
        <v>4116</v>
      </c>
    </row>
    <row r="1922" spans="1:3">
      <c r="A1922" s="347">
        <v>46090</v>
      </c>
      <c r="B1922" s="346" t="s">
        <v>4117</v>
      </c>
      <c r="C1922" s="346" t="s">
        <v>10633</v>
      </c>
    </row>
    <row r="1923" spans="1:3">
      <c r="A1923" s="347">
        <v>46090</v>
      </c>
      <c r="B1923" s="346" t="s">
        <v>4118</v>
      </c>
      <c r="C1923" s="346" t="s">
        <v>4119</v>
      </c>
    </row>
    <row r="1924" spans="1:3">
      <c r="A1924" s="347">
        <v>46090</v>
      </c>
      <c r="B1924" s="346" t="s">
        <v>4120</v>
      </c>
      <c r="C1924" s="346" t="s">
        <v>4121</v>
      </c>
    </row>
    <row r="1925" spans="1:3">
      <c r="A1925" s="347">
        <v>46090</v>
      </c>
      <c r="B1925" s="346" t="s">
        <v>4122</v>
      </c>
      <c r="C1925" s="346" t="s">
        <v>4123</v>
      </c>
    </row>
    <row r="1926" spans="1:3">
      <c r="A1926" s="347">
        <v>46090</v>
      </c>
      <c r="B1926" s="346" t="s">
        <v>4124</v>
      </c>
      <c r="C1926" s="346" t="s">
        <v>4125</v>
      </c>
    </row>
    <row r="1927" spans="1:3">
      <c r="A1927" s="347">
        <v>46090</v>
      </c>
      <c r="B1927" s="346" t="s">
        <v>4126</v>
      </c>
      <c r="C1927" s="346" t="s">
        <v>4127</v>
      </c>
    </row>
    <row r="1928" spans="1:3">
      <c r="A1928" s="347">
        <v>46090</v>
      </c>
      <c r="B1928" s="346" t="s">
        <v>4128</v>
      </c>
      <c r="C1928" s="346" t="s">
        <v>4129</v>
      </c>
    </row>
    <row r="1929" spans="1:3">
      <c r="A1929" s="347">
        <v>46090</v>
      </c>
      <c r="B1929" s="346" t="s">
        <v>4130</v>
      </c>
      <c r="C1929" s="346" t="s">
        <v>4131</v>
      </c>
    </row>
    <row r="1930" spans="1:3">
      <c r="A1930" s="347">
        <v>46090</v>
      </c>
      <c r="B1930" s="346" t="s">
        <v>4132</v>
      </c>
      <c r="C1930" s="346" t="s">
        <v>4133</v>
      </c>
    </row>
    <row r="1931" spans="1:3">
      <c r="A1931" s="347">
        <v>46090</v>
      </c>
      <c r="B1931" s="346" t="s">
        <v>4134</v>
      </c>
      <c r="C1931" s="346" t="s">
        <v>4135</v>
      </c>
    </row>
    <row r="1932" spans="1:3">
      <c r="A1932" s="347">
        <v>46090</v>
      </c>
      <c r="B1932" s="346" t="s">
        <v>4136</v>
      </c>
      <c r="C1932" s="346" t="s">
        <v>10634</v>
      </c>
    </row>
    <row r="1933" spans="1:3">
      <c r="A1933" s="347">
        <v>46090</v>
      </c>
      <c r="B1933" s="346" t="s">
        <v>4137</v>
      </c>
      <c r="C1933" s="346" t="s">
        <v>4138</v>
      </c>
    </row>
    <row r="1934" spans="1:3">
      <c r="A1934" s="347">
        <v>46090</v>
      </c>
      <c r="B1934" s="346" t="s">
        <v>4139</v>
      </c>
      <c r="C1934" s="346" t="s">
        <v>4140</v>
      </c>
    </row>
    <row r="1935" spans="1:3">
      <c r="A1935" s="347">
        <v>46090</v>
      </c>
      <c r="B1935" s="346" t="s">
        <v>4141</v>
      </c>
      <c r="C1935" s="346" t="s">
        <v>4142</v>
      </c>
    </row>
    <row r="1936" spans="1:3">
      <c r="A1936" s="347">
        <v>46090</v>
      </c>
      <c r="B1936" s="346" t="s">
        <v>4143</v>
      </c>
      <c r="C1936" s="346" t="s">
        <v>4144</v>
      </c>
    </row>
    <row r="1937" spans="1:3">
      <c r="A1937" s="347">
        <v>46090</v>
      </c>
      <c r="B1937" s="346" t="s">
        <v>4145</v>
      </c>
      <c r="C1937" s="346" t="s">
        <v>10635</v>
      </c>
    </row>
    <row r="1938" spans="1:3">
      <c r="A1938" s="347">
        <v>46090</v>
      </c>
      <c r="B1938" s="346" t="s">
        <v>4146</v>
      </c>
      <c r="C1938" s="346" t="s">
        <v>4147</v>
      </c>
    </row>
    <row r="1939" spans="1:3">
      <c r="A1939" s="347">
        <v>46090</v>
      </c>
      <c r="B1939" s="346" t="s">
        <v>4148</v>
      </c>
      <c r="C1939" s="346" t="s">
        <v>4149</v>
      </c>
    </row>
    <row r="1940" spans="1:3">
      <c r="A1940" s="347">
        <v>46090</v>
      </c>
      <c r="B1940" s="346" t="s">
        <v>4150</v>
      </c>
      <c r="C1940" s="346" t="s">
        <v>4151</v>
      </c>
    </row>
    <row r="1941" spans="1:3">
      <c r="A1941" s="347">
        <v>46090</v>
      </c>
      <c r="B1941" s="346" t="s">
        <v>4152</v>
      </c>
      <c r="C1941" s="346" t="s">
        <v>4153</v>
      </c>
    </row>
    <row r="1942" spans="1:3">
      <c r="A1942" s="347">
        <v>46090</v>
      </c>
      <c r="B1942" s="346" t="s">
        <v>4154</v>
      </c>
      <c r="C1942" s="346" t="s">
        <v>4155</v>
      </c>
    </row>
    <row r="1943" spans="1:3">
      <c r="A1943" s="347">
        <v>46090</v>
      </c>
      <c r="B1943" s="346" t="s">
        <v>4156</v>
      </c>
      <c r="C1943" s="346" t="s">
        <v>4157</v>
      </c>
    </row>
    <row r="1944" spans="1:3">
      <c r="A1944" s="347">
        <v>46090</v>
      </c>
      <c r="B1944" s="346" t="s">
        <v>4158</v>
      </c>
      <c r="C1944" s="346" t="s">
        <v>4159</v>
      </c>
    </row>
    <row r="1945" spans="1:3">
      <c r="A1945" s="347">
        <v>46090</v>
      </c>
      <c r="B1945" s="346" t="s">
        <v>4160</v>
      </c>
      <c r="C1945" s="346" t="s">
        <v>4161</v>
      </c>
    </row>
    <row r="1946" spans="1:3">
      <c r="A1946" s="347">
        <v>46090</v>
      </c>
      <c r="B1946" s="346" t="s">
        <v>4162</v>
      </c>
      <c r="C1946" s="346" t="s">
        <v>4163</v>
      </c>
    </row>
    <row r="1947" spans="1:3">
      <c r="A1947" s="347">
        <v>46090</v>
      </c>
      <c r="B1947" s="346" t="s">
        <v>4164</v>
      </c>
      <c r="C1947" s="346" t="s">
        <v>4165</v>
      </c>
    </row>
    <row r="1948" spans="1:3">
      <c r="A1948" s="347">
        <v>46090</v>
      </c>
      <c r="B1948" s="346" t="s">
        <v>4166</v>
      </c>
      <c r="C1948" s="346" t="s">
        <v>4167</v>
      </c>
    </row>
    <row r="1949" spans="1:3">
      <c r="A1949" s="347">
        <v>46090</v>
      </c>
      <c r="B1949" s="346" t="s">
        <v>4168</v>
      </c>
      <c r="C1949" s="346" t="s">
        <v>4169</v>
      </c>
    </row>
    <row r="1950" spans="1:3">
      <c r="A1950" s="347">
        <v>46090</v>
      </c>
      <c r="B1950" s="346" t="s">
        <v>4170</v>
      </c>
      <c r="C1950" s="346" t="s">
        <v>4171</v>
      </c>
    </row>
    <row r="1951" spans="1:3">
      <c r="A1951" s="347">
        <v>46090</v>
      </c>
      <c r="B1951" s="346" t="s">
        <v>4172</v>
      </c>
      <c r="C1951" s="346" t="s">
        <v>4173</v>
      </c>
    </row>
    <row r="1952" spans="1:3">
      <c r="A1952" s="347">
        <v>46090</v>
      </c>
      <c r="B1952" s="346" t="s">
        <v>4174</v>
      </c>
      <c r="C1952" s="346" t="s">
        <v>4175</v>
      </c>
    </row>
    <row r="1953" spans="1:3">
      <c r="A1953" s="347">
        <v>46090</v>
      </c>
      <c r="B1953" s="346" t="s">
        <v>4176</v>
      </c>
      <c r="C1953" s="346" t="s">
        <v>4177</v>
      </c>
    </row>
    <row r="1954" spans="1:3">
      <c r="A1954" s="347">
        <v>46090</v>
      </c>
      <c r="B1954" s="346" t="s">
        <v>4178</v>
      </c>
      <c r="C1954" s="346" t="s">
        <v>4179</v>
      </c>
    </row>
    <row r="1955" spans="1:3">
      <c r="A1955" s="347">
        <v>46090</v>
      </c>
      <c r="B1955" s="346" t="s">
        <v>4180</v>
      </c>
      <c r="C1955" s="346" t="s">
        <v>4181</v>
      </c>
    </row>
    <row r="1956" spans="1:3">
      <c r="A1956" s="347">
        <v>46090</v>
      </c>
      <c r="B1956" s="346" t="s">
        <v>4182</v>
      </c>
      <c r="C1956" s="346" t="s">
        <v>4183</v>
      </c>
    </row>
    <row r="1957" spans="1:3">
      <c r="A1957" s="347">
        <v>46090</v>
      </c>
      <c r="B1957" s="346" t="s">
        <v>4184</v>
      </c>
      <c r="C1957" s="346" t="s">
        <v>4185</v>
      </c>
    </row>
    <row r="1958" spans="1:3">
      <c r="A1958" s="347">
        <v>46090</v>
      </c>
      <c r="B1958" s="346" t="s">
        <v>4186</v>
      </c>
      <c r="C1958" s="346" t="s">
        <v>4187</v>
      </c>
    </row>
    <row r="1959" spans="1:3">
      <c r="A1959" s="347">
        <v>46090</v>
      </c>
      <c r="B1959" s="346" t="s">
        <v>4188</v>
      </c>
      <c r="C1959" s="346" t="s">
        <v>4189</v>
      </c>
    </row>
    <row r="1960" spans="1:3">
      <c r="A1960" s="347">
        <v>46090</v>
      </c>
      <c r="B1960" s="346" t="s">
        <v>4190</v>
      </c>
      <c r="C1960" s="346" t="s">
        <v>4191</v>
      </c>
    </row>
    <row r="1961" spans="1:3">
      <c r="A1961" s="347">
        <v>46090</v>
      </c>
      <c r="B1961" s="346" t="s">
        <v>4192</v>
      </c>
      <c r="C1961" s="346" t="s">
        <v>4193</v>
      </c>
    </row>
    <row r="1962" spans="1:3">
      <c r="A1962" s="347">
        <v>46090</v>
      </c>
      <c r="B1962" s="346" t="s">
        <v>4194</v>
      </c>
      <c r="C1962" s="346" t="s">
        <v>4195</v>
      </c>
    </row>
    <row r="1963" spans="1:3">
      <c r="A1963" s="347">
        <v>46090</v>
      </c>
      <c r="B1963" s="346" t="s">
        <v>4196</v>
      </c>
      <c r="C1963" s="346" t="s">
        <v>4197</v>
      </c>
    </row>
    <row r="1964" spans="1:3">
      <c r="A1964" s="347">
        <v>46090</v>
      </c>
      <c r="B1964" s="346" t="s">
        <v>4198</v>
      </c>
      <c r="C1964" s="346" t="s">
        <v>4199</v>
      </c>
    </row>
    <row r="1965" spans="1:3">
      <c r="A1965" s="347">
        <v>46090</v>
      </c>
      <c r="B1965" s="346" t="s">
        <v>4200</v>
      </c>
      <c r="C1965" s="346" t="s">
        <v>10636</v>
      </c>
    </row>
    <row r="1966" spans="1:3">
      <c r="A1966" s="347">
        <v>46090</v>
      </c>
      <c r="B1966" s="346" t="s">
        <v>4201</v>
      </c>
      <c r="C1966" s="346" t="s">
        <v>4202</v>
      </c>
    </row>
    <row r="1967" spans="1:3">
      <c r="A1967" s="347">
        <v>46090</v>
      </c>
      <c r="B1967" s="346" t="s">
        <v>4203</v>
      </c>
      <c r="C1967" s="346" t="s">
        <v>4204</v>
      </c>
    </row>
    <row r="1968" spans="1:3">
      <c r="A1968" s="347">
        <v>46090</v>
      </c>
      <c r="B1968" s="346" t="s">
        <v>4205</v>
      </c>
      <c r="C1968" s="346" t="s">
        <v>4206</v>
      </c>
    </row>
    <row r="1969" spans="1:3">
      <c r="A1969" s="347">
        <v>46090</v>
      </c>
      <c r="B1969" s="346" t="s">
        <v>4207</v>
      </c>
      <c r="C1969" s="346" t="s">
        <v>4208</v>
      </c>
    </row>
    <row r="1970" spans="1:3">
      <c r="A1970" s="347">
        <v>46090</v>
      </c>
      <c r="B1970" s="346" t="s">
        <v>4209</v>
      </c>
      <c r="C1970" s="346" t="s">
        <v>4210</v>
      </c>
    </row>
    <row r="1971" spans="1:3">
      <c r="A1971" s="347">
        <v>46090</v>
      </c>
      <c r="B1971" s="346" t="s">
        <v>4211</v>
      </c>
      <c r="C1971" s="346" t="s">
        <v>4212</v>
      </c>
    </row>
    <row r="1972" spans="1:3">
      <c r="A1972" s="347">
        <v>46090</v>
      </c>
      <c r="B1972" s="346" t="s">
        <v>4213</v>
      </c>
      <c r="C1972" s="346" t="s">
        <v>4214</v>
      </c>
    </row>
    <row r="1973" spans="1:3">
      <c r="A1973" s="347">
        <v>46090</v>
      </c>
      <c r="B1973" s="346" t="s">
        <v>4215</v>
      </c>
      <c r="C1973" s="346" t="s">
        <v>4216</v>
      </c>
    </row>
    <row r="1974" spans="1:3">
      <c r="A1974" s="347">
        <v>46090</v>
      </c>
      <c r="B1974" s="346" t="s">
        <v>4217</v>
      </c>
      <c r="C1974" s="346" t="s">
        <v>4218</v>
      </c>
    </row>
    <row r="1975" spans="1:3">
      <c r="A1975" s="347">
        <v>46090</v>
      </c>
      <c r="B1975" s="346" t="s">
        <v>4219</v>
      </c>
      <c r="C1975" s="346" t="s">
        <v>4220</v>
      </c>
    </row>
    <row r="1976" spans="1:3">
      <c r="A1976" s="347">
        <v>46090</v>
      </c>
      <c r="B1976" s="346" t="s">
        <v>4221</v>
      </c>
      <c r="C1976" s="346" t="s">
        <v>4222</v>
      </c>
    </row>
    <row r="1977" spans="1:3">
      <c r="A1977" s="347">
        <v>46090</v>
      </c>
      <c r="B1977" s="346" t="s">
        <v>4223</v>
      </c>
      <c r="C1977" s="346" t="s">
        <v>4224</v>
      </c>
    </row>
    <row r="1978" spans="1:3">
      <c r="A1978" s="347">
        <v>46090</v>
      </c>
      <c r="B1978" s="346" t="s">
        <v>4225</v>
      </c>
      <c r="C1978" s="346" t="s">
        <v>4226</v>
      </c>
    </row>
    <row r="1979" spans="1:3">
      <c r="A1979" s="347">
        <v>46090</v>
      </c>
      <c r="B1979" s="346" t="s">
        <v>4227</v>
      </c>
      <c r="C1979" s="346" t="s">
        <v>4228</v>
      </c>
    </row>
    <row r="1980" spans="1:3">
      <c r="A1980" s="347">
        <v>46090</v>
      </c>
      <c r="B1980" s="346" t="s">
        <v>4229</v>
      </c>
      <c r="C1980" s="346" t="s">
        <v>4230</v>
      </c>
    </row>
    <row r="1981" spans="1:3">
      <c r="A1981" s="347">
        <v>46090</v>
      </c>
      <c r="B1981" s="346" t="s">
        <v>4231</v>
      </c>
      <c r="C1981" s="346" t="s">
        <v>4232</v>
      </c>
    </row>
    <row r="1982" spans="1:3">
      <c r="A1982" s="347">
        <v>46090</v>
      </c>
      <c r="B1982" s="346" t="s">
        <v>4233</v>
      </c>
      <c r="C1982" s="346" t="s">
        <v>4234</v>
      </c>
    </row>
    <row r="1983" spans="1:3">
      <c r="A1983" s="347">
        <v>46090</v>
      </c>
      <c r="B1983" s="346" t="s">
        <v>4235</v>
      </c>
      <c r="C1983" s="346" t="s">
        <v>4236</v>
      </c>
    </row>
    <row r="1984" spans="1:3">
      <c r="A1984" s="347">
        <v>46090</v>
      </c>
      <c r="B1984" s="346" t="s">
        <v>4237</v>
      </c>
      <c r="C1984" s="346" t="s">
        <v>10637</v>
      </c>
    </row>
    <row r="1985" spans="1:3">
      <c r="A1985" s="347">
        <v>46090</v>
      </c>
      <c r="B1985" s="346" t="s">
        <v>4238</v>
      </c>
      <c r="C1985" s="346" t="s">
        <v>4239</v>
      </c>
    </row>
    <row r="1986" spans="1:3">
      <c r="A1986" s="347">
        <v>46090</v>
      </c>
      <c r="B1986" s="346" t="s">
        <v>4240</v>
      </c>
      <c r="C1986" s="346" t="s">
        <v>4241</v>
      </c>
    </row>
    <row r="1987" spans="1:3">
      <c r="A1987" s="347">
        <v>46090</v>
      </c>
      <c r="B1987" s="346" t="s">
        <v>4242</v>
      </c>
      <c r="C1987" s="346" t="s">
        <v>4243</v>
      </c>
    </row>
    <row r="1988" spans="1:3">
      <c r="A1988" s="347">
        <v>46090</v>
      </c>
      <c r="B1988" s="346" t="s">
        <v>4244</v>
      </c>
      <c r="C1988" s="346" t="s">
        <v>4245</v>
      </c>
    </row>
    <row r="1989" spans="1:3">
      <c r="A1989" s="347">
        <v>46090</v>
      </c>
      <c r="B1989" s="346" t="s">
        <v>4246</v>
      </c>
      <c r="C1989" s="346" t="s">
        <v>4247</v>
      </c>
    </row>
    <row r="1990" spans="1:3">
      <c r="A1990" s="347">
        <v>46090</v>
      </c>
      <c r="B1990" s="346" t="s">
        <v>4248</v>
      </c>
      <c r="C1990" s="346" t="s">
        <v>4249</v>
      </c>
    </row>
    <row r="1991" spans="1:3">
      <c r="A1991" s="347">
        <v>46090</v>
      </c>
      <c r="B1991" s="346" t="s">
        <v>4250</v>
      </c>
      <c r="C1991" s="346" t="s">
        <v>4251</v>
      </c>
    </row>
    <row r="1992" spans="1:3">
      <c r="A1992" s="347">
        <v>46090</v>
      </c>
      <c r="B1992" s="346" t="s">
        <v>4252</v>
      </c>
      <c r="C1992" s="346" t="s">
        <v>4253</v>
      </c>
    </row>
    <row r="1993" spans="1:3">
      <c r="A1993" s="347">
        <v>46090</v>
      </c>
      <c r="B1993" s="346" t="s">
        <v>4254</v>
      </c>
      <c r="C1993" s="346" t="s">
        <v>4255</v>
      </c>
    </row>
    <row r="1994" spans="1:3">
      <c r="A1994" s="347">
        <v>46090</v>
      </c>
      <c r="B1994" s="346" t="s">
        <v>4256</v>
      </c>
      <c r="C1994" s="346" t="s">
        <v>4257</v>
      </c>
    </row>
    <row r="1995" spans="1:3">
      <c r="A1995" s="347">
        <v>46090</v>
      </c>
      <c r="B1995" s="346" t="s">
        <v>4258</v>
      </c>
      <c r="C1995" s="346" t="s">
        <v>4259</v>
      </c>
    </row>
    <row r="1996" spans="1:3">
      <c r="A1996" s="347">
        <v>46090</v>
      </c>
      <c r="B1996" s="346" t="s">
        <v>4260</v>
      </c>
      <c r="C1996" s="346" t="s">
        <v>4261</v>
      </c>
    </row>
    <row r="1997" spans="1:3">
      <c r="A1997" s="347">
        <v>46090</v>
      </c>
      <c r="B1997" s="346" t="s">
        <v>4262</v>
      </c>
      <c r="C1997" s="346" t="s">
        <v>4263</v>
      </c>
    </row>
    <row r="1998" spans="1:3">
      <c r="A1998" s="347">
        <v>46090</v>
      </c>
      <c r="B1998" s="346" t="s">
        <v>4264</v>
      </c>
      <c r="C1998" s="346" t="s">
        <v>4265</v>
      </c>
    </row>
    <row r="1999" spans="1:3">
      <c r="A1999" s="347">
        <v>46090</v>
      </c>
      <c r="B1999" s="346" t="s">
        <v>4266</v>
      </c>
      <c r="C1999" s="346" t="s">
        <v>4267</v>
      </c>
    </row>
    <row r="2000" spans="1:3">
      <c r="A2000" s="347">
        <v>46090</v>
      </c>
      <c r="B2000" s="346" t="s">
        <v>4268</v>
      </c>
      <c r="C2000" s="346" t="s">
        <v>4269</v>
      </c>
    </row>
    <row r="2001" spans="1:3">
      <c r="A2001" s="347">
        <v>46090</v>
      </c>
      <c r="B2001" s="346" t="s">
        <v>4270</v>
      </c>
      <c r="C2001" s="346" t="s">
        <v>4271</v>
      </c>
    </row>
    <row r="2002" spans="1:3">
      <c r="A2002" s="347">
        <v>46090</v>
      </c>
      <c r="B2002" s="346" t="s">
        <v>4272</v>
      </c>
      <c r="C2002" s="346" t="s">
        <v>4273</v>
      </c>
    </row>
    <row r="2003" spans="1:3">
      <c r="A2003" s="347">
        <v>46090</v>
      </c>
      <c r="B2003" s="346" t="s">
        <v>4274</v>
      </c>
      <c r="C2003" s="346" t="s">
        <v>4275</v>
      </c>
    </row>
    <row r="2004" spans="1:3">
      <c r="A2004" s="347">
        <v>46090</v>
      </c>
      <c r="B2004" s="346" t="s">
        <v>4276</v>
      </c>
      <c r="C2004" s="346" t="s">
        <v>10638</v>
      </c>
    </row>
    <row r="2005" spans="1:3">
      <c r="A2005" s="347">
        <v>46090</v>
      </c>
      <c r="B2005" s="346" t="s">
        <v>4277</v>
      </c>
      <c r="C2005" s="346" t="s">
        <v>4278</v>
      </c>
    </row>
    <row r="2006" spans="1:3">
      <c r="A2006" s="347">
        <v>46090</v>
      </c>
      <c r="B2006" s="346" t="s">
        <v>4279</v>
      </c>
      <c r="C2006" s="346" t="s">
        <v>4280</v>
      </c>
    </row>
    <row r="2007" spans="1:3">
      <c r="A2007" s="347">
        <v>46090</v>
      </c>
      <c r="B2007" s="346" t="s">
        <v>4281</v>
      </c>
      <c r="C2007" s="346" t="s">
        <v>4282</v>
      </c>
    </row>
    <row r="2008" spans="1:3">
      <c r="A2008" s="347">
        <v>46090</v>
      </c>
      <c r="B2008" s="346" t="s">
        <v>4283</v>
      </c>
      <c r="C2008" s="346" t="s">
        <v>4284</v>
      </c>
    </row>
    <row r="2009" spans="1:3">
      <c r="A2009" s="347">
        <v>46090</v>
      </c>
      <c r="B2009" s="346" t="s">
        <v>4285</v>
      </c>
      <c r="C2009" s="346" t="s">
        <v>4286</v>
      </c>
    </row>
    <row r="2010" spans="1:3">
      <c r="A2010" s="347">
        <v>46090</v>
      </c>
      <c r="B2010" s="346" t="s">
        <v>4287</v>
      </c>
      <c r="C2010" s="346" t="s">
        <v>4288</v>
      </c>
    </row>
    <row r="2011" spans="1:3">
      <c r="A2011" s="347">
        <v>46090</v>
      </c>
      <c r="B2011" s="346" t="s">
        <v>4289</v>
      </c>
      <c r="C2011" s="346" t="s">
        <v>4290</v>
      </c>
    </row>
    <row r="2012" spans="1:3">
      <c r="A2012" s="347">
        <v>46090</v>
      </c>
      <c r="B2012" s="346" t="s">
        <v>4291</v>
      </c>
      <c r="C2012" s="346" t="s">
        <v>4292</v>
      </c>
    </row>
    <row r="2013" spans="1:3">
      <c r="A2013" s="347">
        <v>46090</v>
      </c>
      <c r="B2013" s="346" t="s">
        <v>4293</v>
      </c>
      <c r="C2013" s="346" t="s">
        <v>4294</v>
      </c>
    </row>
    <row r="2014" spans="1:3">
      <c r="A2014" s="347">
        <v>46090</v>
      </c>
      <c r="B2014" s="346" t="s">
        <v>4295</v>
      </c>
      <c r="C2014" s="346" t="s">
        <v>4296</v>
      </c>
    </row>
    <row r="2015" spans="1:3">
      <c r="A2015" s="347">
        <v>46090</v>
      </c>
      <c r="B2015" s="346" t="s">
        <v>4297</v>
      </c>
      <c r="C2015" s="346" t="s">
        <v>4298</v>
      </c>
    </row>
    <row r="2016" spans="1:3">
      <c r="A2016" s="347">
        <v>46090</v>
      </c>
      <c r="B2016" s="346" t="s">
        <v>4299</v>
      </c>
      <c r="C2016" s="346" t="s">
        <v>4300</v>
      </c>
    </row>
    <row r="2017" spans="1:3">
      <c r="A2017" s="347">
        <v>46090</v>
      </c>
      <c r="B2017" s="346" t="s">
        <v>4301</v>
      </c>
      <c r="C2017" s="346" t="s">
        <v>10639</v>
      </c>
    </row>
    <row r="2018" spans="1:3">
      <c r="A2018" s="347">
        <v>46090</v>
      </c>
      <c r="B2018" s="346" t="s">
        <v>4302</v>
      </c>
      <c r="C2018" s="346" t="s">
        <v>4303</v>
      </c>
    </row>
    <row r="2019" spans="1:3">
      <c r="A2019" s="347">
        <v>46090</v>
      </c>
      <c r="B2019" s="346" t="s">
        <v>4304</v>
      </c>
      <c r="C2019" s="346" t="s">
        <v>4305</v>
      </c>
    </row>
    <row r="2020" spans="1:3">
      <c r="A2020" s="347">
        <v>46090</v>
      </c>
      <c r="B2020" s="346" t="s">
        <v>4306</v>
      </c>
      <c r="C2020" s="346" t="s">
        <v>4307</v>
      </c>
    </row>
    <row r="2021" spans="1:3">
      <c r="A2021" s="347">
        <v>46090</v>
      </c>
      <c r="B2021" s="346" t="s">
        <v>4308</v>
      </c>
      <c r="C2021" s="346" t="s">
        <v>4309</v>
      </c>
    </row>
    <row r="2022" spans="1:3">
      <c r="A2022" s="347">
        <v>46090</v>
      </c>
      <c r="B2022" s="346" t="s">
        <v>4310</v>
      </c>
      <c r="C2022" s="346" t="s">
        <v>4311</v>
      </c>
    </row>
    <row r="2023" spans="1:3">
      <c r="A2023" s="347">
        <v>46090</v>
      </c>
      <c r="B2023" s="346" t="s">
        <v>4312</v>
      </c>
      <c r="C2023" s="346" t="s">
        <v>4313</v>
      </c>
    </row>
    <row r="2024" spans="1:3">
      <c r="A2024" s="347">
        <v>46090</v>
      </c>
      <c r="B2024" s="346" t="s">
        <v>4314</v>
      </c>
      <c r="C2024" s="346" t="s">
        <v>4315</v>
      </c>
    </row>
    <row r="2025" spans="1:3">
      <c r="A2025" s="347">
        <v>46090</v>
      </c>
      <c r="B2025" s="346" t="s">
        <v>4316</v>
      </c>
      <c r="C2025" s="346" t="s">
        <v>4317</v>
      </c>
    </row>
    <row r="2026" spans="1:3">
      <c r="A2026" s="347">
        <v>46090</v>
      </c>
      <c r="B2026" s="346" t="s">
        <v>4318</v>
      </c>
      <c r="C2026" s="346" t="s">
        <v>4319</v>
      </c>
    </row>
    <row r="2027" spans="1:3">
      <c r="A2027" s="347">
        <v>46090</v>
      </c>
      <c r="B2027" s="346" t="s">
        <v>4320</v>
      </c>
      <c r="C2027" s="346" t="s">
        <v>4321</v>
      </c>
    </row>
    <row r="2028" spans="1:3">
      <c r="A2028" s="347">
        <v>46090</v>
      </c>
      <c r="B2028" s="346" t="s">
        <v>4322</v>
      </c>
      <c r="C2028" s="346" t="s">
        <v>4323</v>
      </c>
    </row>
    <row r="2029" spans="1:3">
      <c r="A2029" s="347">
        <v>46090</v>
      </c>
      <c r="B2029" s="346" t="s">
        <v>4324</v>
      </c>
      <c r="C2029" s="346" t="s">
        <v>4325</v>
      </c>
    </row>
    <row r="2030" spans="1:3">
      <c r="A2030" s="347">
        <v>46090</v>
      </c>
      <c r="B2030" s="346" t="s">
        <v>4326</v>
      </c>
      <c r="C2030" s="346" t="s">
        <v>4327</v>
      </c>
    </row>
    <row r="2031" spans="1:3">
      <c r="A2031" s="347">
        <v>46090</v>
      </c>
      <c r="B2031" s="346" t="s">
        <v>4328</v>
      </c>
      <c r="C2031" s="346" t="s">
        <v>4329</v>
      </c>
    </row>
    <row r="2032" spans="1:3">
      <c r="A2032" s="347">
        <v>46090</v>
      </c>
      <c r="B2032" s="346" t="s">
        <v>4330</v>
      </c>
      <c r="C2032" s="346" t="s">
        <v>4331</v>
      </c>
    </row>
    <row r="2033" spans="1:3">
      <c r="A2033" s="347">
        <v>46090</v>
      </c>
      <c r="B2033" s="346" t="s">
        <v>4332</v>
      </c>
      <c r="C2033" s="346" t="s">
        <v>11076</v>
      </c>
    </row>
    <row r="2034" spans="1:3">
      <c r="A2034" s="347">
        <v>46090</v>
      </c>
      <c r="B2034" s="346" t="s">
        <v>4333</v>
      </c>
      <c r="C2034" s="346" t="s">
        <v>4334</v>
      </c>
    </row>
    <row r="2035" spans="1:3">
      <c r="A2035" s="347">
        <v>46090</v>
      </c>
      <c r="B2035" s="346" t="s">
        <v>4335</v>
      </c>
      <c r="C2035" s="346" t="s">
        <v>4336</v>
      </c>
    </row>
    <row r="2036" spans="1:3">
      <c r="A2036" s="347">
        <v>46090</v>
      </c>
      <c r="B2036" s="346" t="s">
        <v>4337</v>
      </c>
      <c r="C2036" s="346" t="s">
        <v>4338</v>
      </c>
    </row>
    <row r="2037" spans="1:3">
      <c r="A2037" s="347">
        <v>46090</v>
      </c>
      <c r="B2037" s="346" t="s">
        <v>4339</v>
      </c>
      <c r="C2037" s="346" t="s">
        <v>4340</v>
      </c>
    </row>
    <row r="2038" spans="1:3">
      <c r="A2038" s="347">
        <v>46090</v>
      </c>
      <c r="B2038" s="346" t="s">
        <v>4341</v>
      </c>
      <c r="C2038" s="346" t="s">
        <v>4342</v>
      </c>
    </row>
    <row r="2039" spans="1:3">
      <c r="A2039" s="347">
        <v>46090</v>
      </c>
      <c r="B2039" s="346" t="s">
        <v>4343</v>
      </c>
      <c r="C2039" s="346" t="s">
        <v>4344</v>
      </c>
    </row>
    <row r="2040" spans="1:3">
      <c r="A2040" s="347">
        <v>46090</v>
      </c>
      <c r="B2040" s="346" t="s">
        <v>4345</v>
      </c>
      <c r="C2040" s="346" t="s">
        <v>4346</v>
      </c>
    </row>
    <row r="2041" spans="1:3">
      <c r="A2041" s="347">
        <v>46090</v>
      </c>
      <c r="B2041" s="346" t="s">
        <v>4347</v>
      </c>
      <c r="C2041" s="346" t="s">
        <v>4348</v>
      </c>
    </row>
    <row r="2042" spans="1:3">
      <c r="A2042" s="347">
        <v>46090</v>
      </c>
      <c r="B2042" s="346" t="s">
        <v>4349</v>
      </c>
      <c r="C2042" s="346" t="s">
        <v>10640</v>
      </c>
    </row>
    <row r="2043" spans="1:3">
      <c r="A2043" s="347">
        <v>46090</v>
      </c>
      <c r="B2043" s="346" t="s">
        <v>4350</v>
      </c>
      <c r="C2043" s="346" t="s">
        <v>4351</v>
      </c>
    </row>
    <row r="2044" spans="1:3">
      <c r="A2044" s="347">
        <v>46090</v>
      </c>
      <c r="B2044" s="346" t="s">
        <v>4352</v>
      </c>
      <c r="C2044" s="346" t="s">
        <v>4353</v>
      </c>
    </row>
    <row r="2045" spans="1:3">
      <c r="A2045" s="347">
        <v>46090</v>
      </c>
      <c r="B2045" s="346" t="s">
        <v>4354</v>
      </c>
      <c r="C2045" s="346" t="s">
        <v>4355</v>
      </c>
    </row>
    <row r="2046" spans="1:3">
      <c r="A2046" s="347">
        <v>46090</v>
      </c>
      <c r="B2046" s="346" t="s">
        <v>4356</v>
      </c>
      <c r="C2046" s="346" t="s">
        <v>4357</v>
      </c>
    </row>
    <row r="2047" spans="1:3">
      <c r="A2047" s="347">
        <v>46090</v>
      </c>
      <c r="B2047" s="346" t="s">
        <v>4358</v>
      </c>
      <c r="C2047" s="346" t="s">
        <v>4359</v>
      </c>
    </row>
    <row r="2048" spans="1:3">
      <c r="A2048" s="347">
        <v>46090</v>
      </c>
      <c r="B2048" s="346" t="s">
        <v>4360</v>
      </c>
      <c r="C2048" s="346" t="s">
        <v>4361</v>
      </c>
    </row>
    <row r="2049" spans="1:3">
      <c r="A2049" s="347">
        <v>46090</v>
      </c>
      <c r="B2049" s="346" t="s">
        <v>4362</v>
      </c>
      <c r="C2049" s="346" t="s">
        <v>4363</v>
      </c>
    </row>
    <row r="2050" spans="1:3">
      <c r="A2050" s="347">
        <v>46090</v>
      </c>
      <c r="B2050" s="346" t="s">
        <v>4364</v>
      </c>
      <c r="C2050" s="346" t="s">
        <v>4365</v>
      </c>
    </row>
    <row r="2051" spans="1:3">
      <c r="A2051" s="347">
        <v>46090</v>
      </c>
      <c r="B2051" s="346" t="s">
        <v>4366</v>
      </c>
      <c r="C2051" s="346" t="s">
        <v>4367</v>
      </c>
    </row>
    <row r="2052" spans="1:3">
      <c r="A2052" s="347">
        <v>46090</v>
      </c>
      <c r="B2052" s="346" t="s">
        <v>4368</v>
      </c>
      <c r="C2052" s="346" t="s">
        <v>4369</v>
      </c>
    </row>
    <row r="2053" spans="1:3">
      <c r="A2053" s="347">
        <v>46090</v>
      </c>
      <c r="B2053" s="346" t="s">
        <v>4370</v>
      </c>
      <c r="C2053" s="346" t="s">
        <v>4371</v>
      </c>
    </row>
    <row r="2054" spans="1:3">
      <c r="A2054" s="347">
        <v>46090</v>
      </c>
      <c r="B2054" s="346" t="s">
        <v>4372</v>
      </c>
      <c r="C2054" s="346" t="s">
        <v>4373</v>
      </c>
    </row>
    <row r="2055" spans="1:3">
      <c r="A2055" s="347">
        <v>46090</v>
      </c>
      <c r="B2055" s="346" t="s">
        <v>4374</v>
      </c>
      <c r="C2055" s="346" t="s">
        <v>4375</v>
      </c>
    </row>
    <row r="2056" spans="1:3">
      <c r="A2056" s="347">
        <v>46090</v>
      </c>
      <c r="B2056" s="346" t="s">
        <v>4376</v>
      </c>
      <c r="C2056" s="346" t="s">
        <v>4377</v>
      </c>
    </row>
    <row r="2057" spans="1:3">
      <c r="A2057" s="347">
        <v>46090</v>
      </c>
      <c r="B2057" s="346" t="s">
        <v>4378</v>
      </c>
      <c r="C2057" s="346" t="s">
        <v>4379</v>
      </c>
    </row>
    <row r="2058" spans="1:3">
      <c r="A2058" s="347">
        <v>46090</v>
      </c>
      <c r="B2058" s="346" t="s">
        <v>4380</v>
      </c>
      <c r="C2058" s="346" t="s">
        <v>4381</v>
      </c>
    </row>
    <row r="2059" spans="1:3">
      <c r="A2059" s="347">
        <v>46090</v>
      </c>
      <c r="B2059" s="346" t="s">
        <v>4382</v>
      </c>
      <c r="C2059" s="346" t="s">
        <v>4383</v>
      </c>
    </row>
    <row r="2060" spans="1:3">
      <c r="A2060" s="347">
        <v>46090</v>
      </c>
      <c r="B2060" s="346" t="s">
        <v>4384</v>
      </c>
      <c r="C2060" s="346" t="s">
        <v>4385</v>
      </c>
    </row>
    <row r="2061" spans="1:3">
      <c r="A2061" s="347">
        <v>46090</v>
      </c>
      <c r="B2061" s="346" t="s">
        <v>4386</v>
      </c>
      <c r="C2061" s="346" t="s">
        <v>4387</v>
      </c>
    </row>
    <row r="2062" spans="1:3">
      <c r="A2062" s="347">
        <v>46090</v>
      </c>
      <c r="B2062" s="346" t="s">
        <v>4388</v>
      </c>
      <c r="C2062" s="346" t="s">
        <v>4389</v>
      </c>
    </row>
    <row r="2063" spans="1:3">
      <c r="A2063" s="347">
        <v>46090</v>
      </c>
      <c r="B2063" s="346" t="s">
        <v>4390</v>
      </c>
      <c r="C2063" s="346" t="s">
        <v>4391</v>
      </c>
    </row>
    <row r="2064" spans="1:3">
      <c r="A2064" s="347">
        <v>46090</v>
      </c>
      <c r="B2064" s="346" t="s">
        <v>4392</v>
      </c>
      <c r="C2064" s="346" t="s">
        <v>4393</v>
      </c>
    </row>
    <row r="2065" spans="1:3">
      <c r="A2065" s="347">
        <v>46090</v>
      </c>
      <c r="B2065" s="346" t="s">
        <v>4394</v>
      </c>
      <c r="C2065" s="346" t="s">
        <v>4395</v>
      </c>
    </row>
    <row r="2066" spans="1:3">
      <c r="A2066" s="347">
        <v>46090</v>
      </c>
      <c r="B2066" s="346" t="s">
        <v>4396</v>
      </c>
      <c r="C2066" s="346" t="s">
        <v>4397</v>
      </c>
    </row>
    <row r="2067" spans="1:3">
      <c r="A2067" s="347">
        <v>46090</v>
      </c>
      <c r="B2067" s="346" t="s">
        <v>4398</v>
      </c>
      <c r="C2067" s="346" t="s">
        <v>4399</v>
      </c>
    </row>
    <row r="2068" spans="1:3">
      <c r="A2068" s="347">
        <v>46090</v>
      </c>
      <c r="B2068" s="346" t="s">
        <v>4400</v>
      </c>
      <c r="C2068" s="346" t="s">
        <v>4401</v>
      </c>
    </row>
    <row r="2069" spans="1:3">
      <c r="A2069" s="347">
        <v>46090</v>
      </c>
      <c r="B2069" s="346" t="s">
        <v>4402</v>
      </c>
      <c r="C2069" s="346" t="s">
        <v>4403</v>
      </c>
    </row>
    <row r="2070" spans="1:3">
      <c r="A2070" s="347">
        <v>46090</v>
      </c>
      <c r="B2070" s="346" t="s">
        <v>4404</v>
      </c>
      <c r="C2070" s="346" t="s">
        <v>4405</v>
      </c>
    </row>
    <row r="2071" spans="1:3">
      <c r="A2071" s="347">
        <v>46090</v>
      </c>
      <c r="B2071" s="346" t="s">
        <v>4406</v>
      </c>
      <c r="C2071" s="346" t="s">
        <v>4407</v>
      </c>
    </row>
    <row r="2072" spans="1:3">
      <c r="A2072" s="347">
        <v>46090</v>
      </c>
      <c r="B2072" s="346" t="s">
        <v>4408</v>
      </c>
      <c r="C2072" s="346" t="s">
        <v>4409</v>
      </c>
    </row>
    <row r="2073" spans="1:3">
      <c r="A2073" s="347">
        <v>46090</v>
      </c>
      <c r="B2073" s="346" t="s">
        <v>4410</v>
      </c>
      <c r="C2073" s="346" t="s">
        <v>4411</v>
      </c>
    </row>
    <row r="2074" spans="1:3">
      <c r="A2074" s="347">
        <v>46090</v>
      </c>
      <c r="B2074" s="346" t="s">
        <v>4412</v>
      </c>
      <c r="C2074" s="346" t="s">
        <v>4413</v>
      </c>
    </row>
    <row r="2075" spans="1:3">
      <c r="A2075" s="347">
        <v>46090</v>
      </c>
      <c r="B2075" s="346" t="s">
        <v>4414</v>
      </c>
      <c r="C2075" s="346" t="s">
        <v>4415</v>
      </c>
    </row>
    <row r="2076" spans="1:3">
      <c r="A2076" s="347">
        <v>46090</v>
      </c>
      <c r="B2076" s="346" t="s">
        <v>4416</v>
      </c>
      <c r="C2076" s="346" t="s">
        <v>4417</v>
      </c>
    </row>
    <row r="2077" spans="1:3">
      <c r="A2077" s="347">
        <v>46090</v>
      </c>
      <c r="B2077" s="346" t="s">
        <v>4418</v>
      </c>
      <c r="C2077" s="346" t="s">
        <v>4419</v>
      </c>
    </row>
    <row r="2078" spans="1:3">
      <c r="A2078" s="347">
        <v>46090</v>
      </c>
      <c r="B2078" s="346" t="s">
        <v>4420</v>
      </c>
      <c r="C2078" s="346" t="s">
        <v>4421</v>
      </c>
    </row>
    <row r="2079" spans="1:3">
      <c r="A2079" s="347">
        <v>46090</v>
      </c>
      <c r="B2079" s="346" t="s">
        <v>4422</v>
      </c>
      <c r="C2079" s="346" t="s">
        <v>4423</v>
      </c>
    </row>
    <row r="2080" spans="1:3">
      <c r="A2080" s="347">
        <v>46090</v>
      </c>
      <c r="B2080" s="346" t="s">
        <v>4424</v>
      </c>
      <c r="C2080" s="346" t="s">
        <v>4425</v>
      </c>
    </row>
    <row r="2081" spans="1:3">
      <c r="A2081" s="347">
        <v>46090</v>
      </c>
      <c r="B2081" s="346" t="s">
        <v>4426</v>
      </c>
      <c r="C2081" s="346" t="s">
        <v>4427</v>
      </c>
    </row>
    <row r="2082" spans="1:3">
      <c r="A2082" s="347">
        <v>46090</v>
      </c>
      <c r="B2082" s="346" t="s">
        <v>4428</v>
      </c>
      <c r="C2082" s="346" t="s">
        <v>4429</v>
      </c>
    </row>
    <row r="2083" spans="1:3">
      <c r="A2083" s="347">
        <v>46090</v>
      </c>
      <c r="B2083" s="346" t="s">
        <v>4430</v>
      </c>
      <c r="C2083" s="346" t="s">
        <v>4431</v>
      </c>
    </row>
    <row r="2084" spans="1:3">
      <c r="A2084" s="347">
        <v>46090</v>
      </c>
      <c r="B2084" s="346" t="s">
        <v>4432</v>
      </c>
      <c r="C2084" s="346" t="s">
        <v>4433</v>
      </c>
    </row>
    <row r="2085" spans="1:3">
      <c r="A2085" s="347">
        <v>46090</v>
      </c>
      <c r="B2085" s="346" t="s">
        <v>4434</v>
      </c>
      <c r="C2085" s="346" t="s">
        <v>4435</v>
      </c>
    </row>
    <row r="2086" spans="1:3">
      <c r="A2086" s="347">
        <v>46090</v>
      </c>
      <c r="B2086" s="346" t="s">
        <v>4436</v>
      </c>
      <c r="C2086" s="346" t="s">
        <v>4437</v>
      </c>
    </row>
    <row r="2087" spans="1:3">
      <c r="A2087" s="347">
        <v>46090</v>
      </c>
      <c r="B2087" s="346" t="s">
        <v>4438</v>
      </c>
      <c r="C2087" s="346" t="s">
        <v>4439</v>
      </c>
    </row>
    <row r="2088" spans="1:3">
      <c r="A2088" s="347">
        <v>46090</v>
      </c>
      <c r="B2088" s="346" t="s">
        <v>4440</v>
      </c>
      <c r="C2088" s="346" t="s">
        <v>4441</v>
      </c>
    </row>
    <row r="2089" spans="1:3">
      <c r="A2089" s="347">
        <v>46090</v>
      </c>
      <c r="B2089" s="346" t="s">
        <v>4442</v>
      </c>
      <c r="C2089" s="346" t="s">
        <v>4443</v>
      </c>
    </row>
    <row r="2090" spans="1:3">
      <c r="A2090" s="347">
        <v>46090</v>
      </c>
      <c r="B2090" s="346" t="s">
        <v>4444</v>
      </c>
      <c r="C2090" s="346" t="s">
        <v>4445</v>
      </c>
    </row>
    <row r="2091" spans="1:3">
      <c r="A2091" s="347">
        <v>46090</v>
      </c>
      <c r="B2091" s="346" t="s">
        <v>4446</v>
      </c>
      <c r="C2091" s="346" t="s">
        <v>4447</v>
      </c>
    </row>
    <row r="2092" spans="1:3">
      <c r="A2092" s="347">
        <v>46090</v>
      </c>
      <c r="B2092" s="346" t="s">
        <v>4448</v>
      </c>
      <c r="C2092" s="346" t="s">
        <v>4449</v>
      </c>
    </row>
    <row r="2093" spans="1:3">
      <c r="A2093" s="347">
        <v>46090</v>
      </c>
      <c r="B2093" s="346" t="s">
        <v>4450</v>
      </c>
      <c r="C2093" s="346" t="s">
        <v>4451</v>
      </c>
    </row>
    <row r="2094" spans="1:3">
      <c r="A2094" s="347">
        <v>46090</v>
      </c>
      <c r="B2094" s="346" t="s">
        <v>4452</v>
      </c>
      <c r="C2094" s="346" t="s">
        <v>4453</v>
      </c>
    </row>
    <row r="2095" spans="1:3">
      <c r="A2095" s="347">
        <v>46090</v>
      </c>
      <c r="B2095" s="346" t="s">
        <v>4454</v>
      </c>
      <c r="C2095" s="346" t="s">
        <v>4455</v>
      </c>
    </row>
    <row r="2096" spans="1:3">
      <c r="A2096" s="347">
        <v>46090</v>
      </c>
      <c r="B2096" s="346" t="s">
        <v>4456</v>
      </c>
      <c r="C2096" s="346" t="s">
        <v>4457</v>
      </c>
    </row>
    <row r="2097" spans="1:3">
      <c r="A2097" s="347">
        <v>46090</v>
      </c>
      <c r="B2097" s="346" t="s">
        <v>4458</v>
      </c>
      <c r="C2097" s="346" t="s">
        <v>4459</v>
      </c>
    </row>
    <row r="2098" spans="1:3">
      <c r="A2098" s="347">
        <v>46090</v>
      </c>
      <c r="B2098" s="346" t="s">
        <v>4460</v>
      </c>
      <c r="C2098" s="346" t="s">
        <v>4461</v>
      </c>
    </row>
    <row r="2099" spans="1:3">
      <c r="A2099" s="347">
        <v>46090</v>
      </c>
      <c r="B2099" s="346" t="s">
        <v>4462</v>
      </c>
      <c r="C2099" s="346" t="s">
        <v>4463</v>
      </c>
    </row>
    <row r="2100" spans="1:3">
      <c r="A2100" s="347">
        <v>46090</v>
      </c>
      <c r="B2100" s="346" t="s">
        <v>4464</v>
      </c>
      <c r="C2100" s="346" t="s">
        <v>4465</v>
      </c>
    </row>
    <row r="2101" spans="1:3">
      <c r="A2101" s="347">
        <v>46090</v>
      </c>
      <c r="B2101" s="346" t="s">
        <v>4466</v>
      </c>
      <c r="C2101" s="346" t="s">
        <v>4467</v>
      </c>
    </row>
    <row r="2102" spans="1:3">
      <c r="A2102" s="347">
        <v>46090</v>
      </c>
      <c r="B2102" s="346" t="s">
        <v>4468</v>
      </c>
      <c r="C2102" s="346" t="s">
        <v>4469</v>
      </c>
    </row>
    <row r="2103" spans="1:3">
      <c r="A2103" s="347">
        <v>46090</v>
      </c>
      <c r="B2103" s="346" t="s">
        <v>4470</v>
      </c>
      <c r="C2103" s="346" t="s">
        <v>4471</v>
      </c>
    </row>
    <row r="2104" spans="1:3">
      <c r="A2104" s="347">
        <v>46090</v>
      </c>
      <c r="B2104" s="346" t="s">
        <v>4472</v>
      </c>
      <c r="C2104" s="346" t="s">
        <v>4473</v>
      </c>
    </row>
    <row r="2105" spans="1:3">
      <c r="A2105" s="347">
        <v>46090</v>
      </c>
      <c r="B2105" s="346" t="s">
        <v>4474</v>
      </c>
      <c r="C2105" s="346" t="s">
        <v>4475</v>
      </c>
    </row>
    <row r="2106" spans="1:3">
      <c r="A2106" s="347">
        <v>46090</v>
      </c>
      <c r="B2106" s="346" t="s">
        <v>4476</v>
      </c>
      <c r="C2106" s="346" t="s">
        <v>4477</v>
      </c>
    </row>
    <row r="2107" spans="1:3">
      <c r="A2107" s="347">
        <v>46090</v>
      </c>
      <c r="B2107" s="346" t="s">
        <v>4478</v>
      </c>
      <c r="C2107" s="346" t="s">
        <v>4479</v>
      </c>
    </row>
    <row r="2108" spans="1:3">
      <c r="A2108" s="347">
        <v>46090</v>
      </c>
      <c r="B2108" s="346" t="s">
        <v>4480</v>
      </c>
      <c r="C2108" s="346" t="s">
        <v>4481</v>
      </c>
    </row>
    <row r="2109" spans="1:3">
      <c r="A2109" s="347">
        <v>46090</v>
      </c>
      <c r="B2109" s="346" t="s">
        <v>4482</v>
      </c>
      <c r="C2109" s="346" t="s">
        <v>4483</v>
      </c>
    </row>
    <row r="2110" spans="1:3">
      <c r="A2110" s="347">
        <v>46090</v>
      </c>
      <c r="B2110" s="346" t="s">
        <v>4484</v>
      </c>
      <c r="C2110" s="346" t="s">
        <v>4485</v>
      </c>
    </row>
    <row r="2111" spans="1:3">
      <c r="A2111" s="347">
        <v>46090</v>
      </c>
      <c r="B2111" s="346" t="s">
        <v>4486</v>
      </c>
      <c r="C2111" s="346" t="s">
        <v>4487</v>
      </c>
    </row>
    <row r="2112" spans="1:3">
      <c r="A2112" s="347">
        <v>46090</v>
      </c>
      <c r="B2112" s="346" t="s">
        <v>4488</v>
      </c>
      <c r="C2112" s="346" t="s">
        <v>4489</v>
      </c>
    </row>
    <row r="2113" spans="1:3">
      <c r="A2113" s="347">
        <v>46090</v>
      </c>
      <c r="B2113" s="346" t="s">
        <v>4490</v>
      </c>
      <c r="C2113" s="346" t="s">
        <v>4491</v>
      </c>
    </row>
    <row r="2114" spans="1:3">
      <c r="A2114" s="347">
        <v>46090</v>
      </c>
      <c r="B2114" s="346" t="s">
        <v>4492</v>
      </c>
      <c r="C2114" s="346" t="s">
        <v>4493</v>
      </c>
    </row>
    <row r="2115" spans="1:3">
      <c r="A2115" s="347">
        <v>46090</v>
      </c>
      <c r="B2115" s="346" t="s">
        <v>4494</v>
      </c>
      <c r="C2115" s="346" t="s">
        <v>4495</v>
      </c>
    </row>
    <row r="2116" spans="1:3">
      <c r="A2116" s="347">
        <v>46090</v>
      </c>
      <c r="B2116" s="346" t="s">
        <v>4496</v>
      </c>
      <c r="C2116" s="346" t="s">
        <v>4497</v>
      </c>
    </row>
    <row r="2117" spans="1:3">
      <c r="A2117" s="347">
        <v>46090</v>
      </c>
      <c r="B2117" s="346" t="s">
        <v>4498</v>
      </c>
      <c r="C2117" s="346" t="s">
        <v>4499</v>
      </c>
    </row>
    <row r="2118" spans="1:3">
      <c r="A2118" s="347">
        <v>46090</v>
      </c>
      <c r="B2118" s="346" t="s">
        <v>4500</v>
      </c>
      <c r="C2118" s="346" t="s">
        <v>4501</v>
      </c>
    </row>
    <row r="2119" spans="1:3">
      <c r="A2119" s="347">
        <v>46090</v>
      </c>
      <c r="B2119" s="346" t="s">
        <v>4502</v>
      </c>
      <c r="C2119" s="346" t="s">
        <v>4503</v>
      </c>
    </row>
    <row r="2120" spans="1:3">
      <c r="A2120" s="347">
        <v>46090</v>
      </c>
      <c r="B2120" s="346" t="s">
        <v>4504</v>
      </c>
      <c r="C2120" s="346" t="s">
        <v>4505</v>
      </c>
    </row>
    <row r="2121" spans="1:3">
      <c r="A2121" s="347">
        <v>46090</v>
      </c>
      <c r="B2121" s="346" t="s">
        <v>4506</v>
      </c>
      <c r="C2121" s="346" t="s">
        <v>4507</v>
      </c>
    </row>
    <row r="2122" spans="1:3">
      <c r="A2122" s="347">
        <v>46090</v>
      </c>
      <c r="B2122" s="346" t="s">
        <v>4508</v>
      </c>
      <c r="C2122" s="346" t="s">
        <v>4509</v>
      </c>
    </row>
    <row r="2123" spans="1:3">
      <c r="A2123" s="347">
        <v>46090</v>
      </c>
      <c r="B2123" s="346" t="s">
        <v>4510</v>
      </c>
      <c r="C2123" s="346" t="s">
        <v>4511</v>
      </c>
    </row>
    <row r="2124" spans="1:3">
      <c r="A2124" s="347">
        <v>46090</v>
      </c>
      <c r="B2124" s="346" t="s">
        <v>4512</v>
      </c>
      <c r="C2124" s="346" t="s">
        <v>4513</v>
      </c>
    </row>
    <row r="2125" spans="1:3">
      <c r="A2125" s="347">
        <v>46090</v>
      </c>
      <c r="B2125" s="346" t="s">
        <v>4514</v>
      </c>
      <c r="C2125" s="346" t="s">
        <v>4515</v>
      </c>
    </row>
    <row r="2126" spans="1:3">
      <c r="A2126" s="347">
        <v>46090</v>
      </c>
      <c r="B2126" s="346" t="s">
        <v>4516</v>
      </c>
      <c r="C2126" s="346" t="s">
        <v>4517</v>
      </c>
    </row>
    <row r="2127" spans="1:3">
      <c r="A2127" s="347">
        <v>46090</v>
      </c>
      <c r="B2127" s="346" t="s">
        <v>4518</v>
      </c>
      <c r="C2127" s="346" t="s">
        <v>4519</v>
      </c>
    </row>
    <row r="2128" spans="1:3">
      <c r="A2128" s="347">
        <v>46090</v>
      </c>
      <c r="B2128" s="346" t="s">
        <v>4520</v>
      </c>
      <c r="C2128" s="346" t="s">
        <v>4521</v>
      </c>
    </row>
    <row r="2129" spans="1:3">
      <c r="A2129" s="347">
        <v>46090</v>
      </c>
      <c r="B2129" s="346" t="s">
        <v>4522</v>
      </c>
      <c r="C2129" s="346" t="s">
        <v>4523</v>
      </c>
    </row>
    <row r="2130" spans="1:3">
      <c r="A2130" s="347">
        <v>46090</v>
      </c>
      <c r="B2130" s="346" t="s">
        <v>4524</v>
      </c>
      <c r="C2130" s="346" t="s">
        <v>4525</v>
      </c>
    </row>
    <row r="2131" spans="1:3">
      <c r="A2131" s="347">
        <v>46090</v>
      </c>
      <c r="B2131" s="346" t="s">
        <v>4526</v>
      </c>
      <c r="C2131" s="346" t="s">
        <v>4527</v>
      </c>
    </row>
    <row r="2132" spans="1:3">
      <c r="A2132" s="347">
        <v>46090</v>
      </c>
      <c r="B2132" s="346" t="s">
        <v>4528</v>
      </c>
      <c r="C2132" s="346" t="s">
        <v>4529</v>
      </c>
    </row>
    <row r="2133" spans="1:3">
      <c r="A2133" s="347">
        <v>46090</v>
      </c>
      <c r="B2133" s="346" t="s">
        <v>4530</v>
      </c>
      <c r="C2133" s="346" t="s">
        <v>4531</v>
      </c>
    </row>
    <row r="2134" spans="1:3">
      <c r="A2134" s="347">
        <v>46090</v>
      </c>
      <c r="B2134" s="346" t="s">
        <v>4532</v>
      </c>
      <c r="C2134" s="346" t="s">
        <v>4533</v>
      </c>
    </row>
    <row r="2135" spans="1:3">
      <c r="A2135" s="347">
        <v>46090</v>
      </c>
      <c r="B2135" s="346" t="s">
        <v>4534</v>
      </c>
      <c r="C2135" s="346" t="s">
        <v>11077</v>
      </c>
    </row>
    <row r="2136" spans="1:3">
      <c r="A2136" s="347">
        <v>46090</v>
      </c>
      <c r="B2136" s="346" t="s">
        <v>4535</v>
      </c>
      <c r="C2136" s="346" t="s">
        <v>4536</v>
      </c>
    </row>
    <row r="2137" spans="1:3">
      <c r="A2137" s="347">
        <v>46090</v>
      </c>
      <c r="B2137" s="346" t="s">
        <v>4537</v>
      </c>
      <c r="C2137" s="346" t="s">
        <v>4538</v>
      </c>
    </row>
    <row r="2138" spans="1:3">
      <c r="A2138" s="347">
        <v>46090</v>
      </c>
      <c r="B2138" s="346" t="s">
        <v>4539</v>
      </c>
      <c r="C2138" s="346" t="s">
        <v>4540</v>
      </c>
    </row>
    <row r="2139" spans="1:3">
      <c r="A2139" s="347">
        <v>46090</v>
      </c>
      <c r="B2139" s="346" t="s">
        <v>4541</v>
      </c>
      <c r="C2139" s="346" t="s">
        <v>4542</v>
      </c>
    </row>
    <row r="2140" spans="1:3">
      <c r="A2140" s="347">
        <v>46090</v>
      </c>
      <c r="B2140" s="346" t="s">
        <v>4543</v>
      </c>
      <c r="C2140" s="346" t="s">
        <v>4544</v>
      </c>
    </row>
    <row r="2141" spans="1:3">
      <c r="A2141" s="347">
        <v>46090</v>
      </c>
      <c r="B2141" s="346" t="s">
        <v>4545</v>
      </c>
      <c r="C2141" s="346" t="s">
        <v>4546</v>
      </c>
    </row>
    <row r="2142" spans="1:3">
      <c r="A2142" s="347">
        <v>46090</v>
      </c>
      <c r="B2142" s="346" t="s">
        <v>4547</v>
      </c>
      <c r="C2142" s="346" t="s">
        <v>4548</v>
      </c>
    </row>
    <row r="2143" spans="1:3">
      <c r="A2143" s="347">
        <v>46090</v>
      </c>
      <c r="B2143" s="346" t="s">
        <v>4549</v>
      </c>
      <c r="C2143" s="346" t="s">
        <v>4550</v>
      </c>
    </row>
    <row r="2144" spans="1:3">
      <c r="A2144" s="347">
        <v>46090</v>
      </c>
      <c r="B2144" s="346" t="s">
        <v>4551</v>
      </c>
      <c r="C2144" s="346" t="s">
        <v>4552</v>
      </c>
    </row>
    <row r="2145" spans="1:3">
      <c r="A2145" s="347">
        <v>46090</v>
      </c>
      <c r="B2145" s="346" t="s">
        <v>4553</v>
      </c>
      <c r="C2145" s="346" t="s">
        <v>11078</v>
      </c>
    </row>
    <row r="2146" spans="1:3">
      <c r="A2146" s="347">
        <v>46090</v>
      </c>
      <c r="B2146" s="346" t="s">
        <v>4554</v>
      </c>
      <c r="C2146" s="346" t="s">
        <v>4555</v>
      </c>
    </row>
    <row r="2147" spans="1:3">
      <c r="A2147" s="347">
        <v>46090</v>
      </c>
      <c r="B2147" s="346" t="s">
        <v>4556</v>
      </c>
      <c r="C2147" s="346" t="s">
        <v>4557</v>
      </c>
    </row>
    <row r="2148" spans="1:3">
      <c r="A2148" s="347">
        <v>46090</v>
      </c>
      <c r="B2148" s="346" t="s">
        <v>4558</v>
      </c>
      <c r="C2148" s="346" t="s">
        <v>4559</v>
      </c>
    </row>
    <row r="2149" spans="1:3">
      <c r="A2149" s="347">
        <v>46090</v>
      </c>
      <c r="B2149" s="346" t="s">
        <v>4560</v>
      </c>
      <c r="C2149" s="346" t="s">
        <v>4561</v>
      </c>
    </row>
    <row r="2150" spans="1:3">
      <c r="A2150" s="347">
        <v>46090</v>
      </c>
      <c r="B2150" s="346" t="s">
        <v>4562</v>
      </c>
      <c r="C2150" s="346" t="s">
        <v>4563</v>
      </c>
    </row>
    <row r="2151" spans="1:3">
      <c r="A2151" s="347">
        <v>46090</v>
      </c>
      <c r="B2151" s="346" t="s">
        <v>4564</v>
      </c>
      <c r="C2151" s="346" t="s">
        <v>4565</v>
      </c>
    </row>
    <row r="2152" spans="1:3">
      <c r="A2152" s="347">
        <v>46090</v>
      </c>
      <c r="B2152" s="346" t="s">
        <v>4566</v>
      </c>
      <c r="C2152" s="346" t="s">
        <v>4567</v>
      </c>
    </row>
    <row r="2153" spans="1:3">
      <c r="A2153" s="347">
        <v>46090</v>
      </c>
      <c r="B2153" s="346" t="s">
        <v>4568</v>
      </c>
      <c r="C2153" s="346" t="s">
        <v>4569</v>
      </c>
    </row>
    <row r="2154" spans="1:3">
      <c r="A2154" s="347">
        <v>46090</v>
      </c>
      <c r="B2154" s="346" t="s">
        <v>4570</v>
      </c>
      <c r="C2154" s="346" t="s">
        <v>4571</v>
      </c>
    </row>
    <row r="2155" spans="1:3">
      <c r="A2155" s="347">
        <v>46090</v>
      </c>
      <c r="B2155" s="346" t="s">
        <v>4572</v>
      </c>
      <c r="C2155" s="346" t="s">
        <v>4573</v>
      </c>
    </row>
    <row r="2156" spans="1:3">
      <c r="A2156" s="347">
        <v>46090</v>
      </c>
      <c r="B2156" s="346" t="s">
        <v>4574</v>
      </c>
      <c r="C2156" s="346" t="s">
        <v>4575</v>
      </c>
    </row>
    <row r="2157" spans="1:3">
      <c r="A2157" s="347">
        <v>46090</v>
      </c>
      <c r="B2157" s="346" t="s">
        <v>4576</v>
      </c>
      <c r="C2157" s="346" t="s">
        <v>4577</v>
      </c>
    </row>
    <row r="2158" spans="1:3">
      <c r="A2158" s="347">
        <v>46090</v>
      </c>
      <c r="B2158" s="346" t="s">
        <v>4578</v>
      </c>
      <c r="C2158" s="346" t="s">
        <v>4579</v>
      </c>
    </row>
    <row r="2159" spans="1:3">
      <c r="A2159" s="347">
        <v>46090</v>
      </c>
      <c r="B2159" s="346" t="s">
        <v>4580</v>
      </c>
      <c r="C2159" s="346" t="s">
        <v>4581</v>
      </c>
    </row>
    <row r="2160" spans="1:3">
      <c r="A2160" s="347">
        <v>46090</v>
      </c>
      <c r="B2160" s="346" t="s">
        <v>4582</v>
      </c>
      <c r="C2160" s="346" t="s">
        <v>4583</v>
      </c>
    </row>
    <row r="2161" spans="1:3">
      <c r="A2161" s="347">
        <v>46090</v>
      </c>
      <c r="B2161" s="346" t="s">
        <v>4584</v>
      </c>
      <c r="C2161" s="346" t="s">
        <v>4585</v>
      </c>
    </row>
    <row r="2162" spans="1:3">
      <c r="A2162" s="347">
        <v>46090</v>
      </c>
      <c r="B2162" s="346" t="s">
        <v>4586</v>
      </c>
      <c r="C2162" s="346" t="s">
        <v>4587</v>
      </c>
    </row>
    <row r="2163" spans="1:3">
      <c r="A2163" s="347">
        <v>46090</v>
      </c>
      <c r="B2163" s="346" t="s">
        <v>4588</v>
      </c>
      <c r="C2163" s="346" t="s">
        <v>4589</v>
      </c>
    </row>
    <row r="2164" spans="1:3">
      <c r="A2164" s="347">
        <v>46090</v>
      </c>
      <c r="B2164" s="346" t="s">
        <v>4590</v>
      </c>
      <c r="C2164" s="346" t="s">
        <v>4591</v>
      </c>
    </row>
    <row r="2165" spans="1:3">
      <c r="A2165" s="347">
        <v>46090</v>
      </c>
      <c r="B2165" s="346" t="s">
        <v>4592</v>
      </c>
      <c r="C2165" s="346" t="s">
        <v>4593</v>
      </c>
    </row>
    <row r="2166" spans="1:3">
      <c r="A2166" s="347">
        <v>46090</v>
      </c>
      <c r="B2166" s="346" t="s">
        <v>4594</v>
      </c>
      <c r="C2166" s="346" t="s">
        <v>4595</v>
      </c>
    </row>
    <row r="2167" spans="1:3">
      <c r="A2167" s="347">
        <v>46090</v>
      </c>
      <c r="B2167" s="346" t="s">
        <v>4596</v>
      </c>
      <c r="C2167" s="346" t="s">
        <v>10641</v>
      </c>
    </row>
    <row r="2168" spans="1:3">
      <c r="A2168" s="347">
        <v>46090</v>
      </c>
      <c r="B2168" s="346" t="s">
        <v>4597</v>
      </c>
      <c r="C2168" s="346" t="s">
        <v>4598</v>
      </c>
    </row>
    <row r="2169" spans="1:3">
      <c r="A2169" s="347">
        <v>46090</v>
      </c>
      <c r="B2169" s="346" t="s">
        <v>4599</v>
      </c>
      <c r="C2169" s="346" t="s">
        <v>4600</v>
      </c>
    </row>
    <row r="2170" spans="1:3">
      <c r="A2170" s="347">
        <v>46090</v>
      </c>
      <c r="B2170" s="346" t="s">
        <v>4601</v>
      </c>
      <c r="C2170" s="346" t="s">
        <v>4602</v>
      </c>
    </row>
    <row r="2171" spans="1:3">
      <c r="A2171" s="347">
        <v>46090</v>
      </c>
      <c r="B2171" s="346" t="s">
        <v>4603</v>
      </c>
      <c r="C2171" s="346" t="s">
        <v>4604</v>
      </c>
    </row>
    <row r="2172" spans="1:3">
      <c r="A2172" s="347">
        <v>46090</v>
      </c>
      <c r="B2172" s="346" t="s">
        <v>4605</v>
      </c>
      <c r="C2172" s="346" t="s">
        <v>4606</v>
      </c>
    </row>
    <row r="2173" spans="1:3">
      <c r="A2173" s="347">
        <v>46090</v>
      </c>
      <c r="B2173" s="346" t="s">
        <v>4607</v>
      </c>
      <c r="C2173" s="346" t="s">
        <v>4608</v>
      </c>
    </row>
    <row r="2174" spans="1:3">
      <c r="A2174" s="347">
        <v>46090</v>
      </c>
      <c r="B2174" s="346" t="s">
        <v>4609</v>
      </c>
      <c r="C2174" s="346" t="s">
        <v>4610</v>
      </c>
    </row>
    <row r="2175" spans="1:3">
      <c r="A2175" s="347">
        <v>46090</v>
      </c>
      <c r="B2175" s="346" t="s">
        <v>4611</v>
      </c>
      <c r="C2175" s="346" t="s">
        <v>4612</v>
      </c>
    </row>
    <row r="2176" spans="1:3">
      <c r="A2176" s="347">
        <v>46090</v>
      </c>
      <c r="B2176" s="346" t="s">
        <v>4613</v>
      </c>
      <c r="C2176" s="346" t="s">
        <v>4614</v>
      </c>
    </row>
    <row r="2177" spans="1:3">
      <c r="A2177" s="347">
        <v>46090</v>
      </c>
      <c r="B2177" s="346" t="s">
        <v>4615</v>
      </c>
      <c r="C2177" s="346" t="s">
        <v>4616</v>
      </c>
    </row>
    <row r="2178" spans="1:3">
      <c r="A2178" s="347">
        <v>46090</v>
      </c>
      <c r="B2178" s="346" t="s">
        <v>4617</v>
      </c>
      <c r="C2178" s="346" t="s">
        <v>4618</v>
      </c>
    </row>
    <row r="2179" spans="1:3">
      <c r="A2179" s="347">
        <v>46090</v>
      </c>
      <c r="B2179" s="346" t="s">
        <v>4619</v>
      </c>
      <c r="C2179" s="346" t="s">
        <v>4620</v>
      </c>
    </row>
    <row r="2180" spans="1:3">
      <c r="A2180" s="347">
        <v>46090</v>
      </c>
      <c r="B2180" s="346" t="s">
        <v>4621</v>
      </c>
      <c r="C2180" s="346" t="s">
        <v>4622</v>
      </c>
    </row>
    <row r="2181" spans="1:3">
      <c r="A2181" s="347">
        <v>46090</v>
      </c>
      <c r="B2181" s="346" t="s">
        <v>4623</v>
      </c>
      <c r="C2181" s="346" t="s">
        <v>4624</v>
      </c>
    </row>
    <row r="2182" spans="1:3">
      <c r="A2182" s="347">
        <v>46090</v>
      </c>
      <c r="B2182" s="346" t="s">
        <v>4625</v>
      </c>
      <c r="C2182" s="346" t="s">
        <v>4626</v>
      </c>
    </row>
    <row r="2183" spans="1:3">
      <c r="A2183" s="347">
        <v>46090</v>
      </c>
      <c r="B2183" s="346" t="s">
        <v>4627</v>
      </c>
      <c r="C2183" s="346" t="s">
        <v>4628</v>
      </c>
    </row>
    <row r="2184" spans="1:3">
      <c r="A2184" s="347">
        <v>46090</v>
      </c>
      <c r="B2184" s="346" t="s">
        <v>4629</v>
      </c>
      <c r="C2184" s="346" t="s">
        <v>4630</v>
      </c>
    </row>
    <row r="2185" spans="1:3">
      <c r="A2185" s="347">
        <v>46090</v>
      </c>
      <c r="B2185" s="346" t="s">
        <v>4631</v>
      </c>
      <c r="C2185" s="346" t="s">
        <v>4632</v>
      </c>
    </row>
    <row r="2186" spans="1:3">
      <c r="A2186" s="347">
        <v>46090</v>
      </c>
      <c r="B2186" s="346" t="s">
        <v>4633</v>
      </c>
      <c r="C2186" s="346" t="s">
        <v>4634</v>
      </c>
    </row>
    <row r="2187" spans="1:3">
      <c r="A2187" s="347">
        <v>46090</v>
      </c>
      <c r="B2187" s="346" t="s">
        <v>4635</v>
      </c>
      <c r="C2187" s="346" t="s">
        <v>4636</v>
      </c>
    </row>
    <row r="2188" spans="1:3">
      <c r="A2188" s="347">
        <v>46090</v>
      </c>
      <c r="B2188" s="346" t="s">
        <v>4637</v>
      </c>
      <c r="C2188" s="346" t="s">
        <v>4638</v>
      </c>
    </row>
    <row r="2189" spans="1:3">
      <c r="A2189" s="347">
        <v>46090</v>
      </c>
      <c r="B2189" s="346" t="s">
        <v>4639</v>
      </c>
      <c r="C2189" s="346" t="s">
        <v>4640</v>
      </c>
    </row>
    <row r="2190" spans="1:3">
      <c r="A2190" s="347">
        <v>46090</v>
      </c>
      <c r="B2190" s="346" t="s">
        <v>4641</v>
      </c>
      <c r="C2190" s="346" t="s">
        <v>4642</v>
      </c>
    </row>
    <row r="2191" spans="1:3">
      <c r="A2191" s="347">
        <v>46090</v>
      </c>
      <c r="B2191" s="346" t="s">
        <v>4643</v>
      </c>
      <c r="C2191" s="346" t="s">
        <v>4644</v>
      </c>
    </row>
    <row r="2192" spans="1:3">
      <c r="A2192" s="347">
        <v>46090</v>
      </c>
      <c r="B2192" s="346" t="s">
        <v>4645</v>
      </c>
      <c r="C2192" s="346" t="s">
        <v>4646</v>
      </c>
    </row>
    <row r="2193" spans="1:3">
      <c r="A2193" s="347">
        <v>46090</v>
      </c>
      <c r="B2193" s="346" t="s">
        <v>4647</v>
      </c>
      <c r="C2193" s="346" t="s">
        <v>11079</v>
      </c>
    </row>
    <row r="2194" spans="1:3">
      <c r="A2194" s="347">
        <v>46090</v>
      </c>
      <c r="B2194" s="346" t="s">
        <v>4648</v>
      </c>
      <c r="C2194" s="346" t="s">
        <v>4649</v>
      </c>
    </row>
    <row r="2195" spans="1:3">
      <c r="A2195" s="347">
        <v>46090</v>
      </c>
      <c r="B2195" s="346" t="s">
        <v>4650</v>
      </c>
      <c r="C2195" s="346" t="s">
        <v>4651</v>
      </c>
    </row>
    <row r="2196" spans="1:3">
      <c r="A2196" s="347">
        <v>46090</v>
      </c>
      <c r="B2196" s="346" t="s">
        <v>4652</v>
      </c>
      <c r="C2196" s="346" t="s">
        <v>4653</v>
      </c>
    </row>
    <row r="2197" spans="1:3">
      <c r="A2197" s="347">
        <v>46090</v>
      </c>
      <c r="B2197" s="346" t="s">
        <v>4654</v>
      </c>
      <c r="C2197" s="346" t="s">
        <v>4655</v>
      </c>
    </row>
    <row r="2198" spans="1:3">
      <c r="A2198" s="347">
        <v>46090</v>
      </c>
      <c r="B2198" s="346" t="s">
        <v>4656</v>
      </c>
      <c r="C2198" s="346" t="s">
        <v>4657</v>
      </c>
    </row>
    <row r="2199" spans="1:3">
      <c r="A2199" s="347">
        <v>46090</v>
      </c>
      <c r="B2199" s="346" t="s">
        <v>4658</v>
      </c>
      <c r="C2199" s="346" t="s">
        <v>4659</v>
      </c>
    </row>
    <row r="2200" spans="1:3">
      <c r="A2200" s="347">
        <v>46090</v>
      </c>
      <c r="B2200" s="346" t="s">
        <v>4660</v>
      </c>
      <c r="C2200" s="346" t="s">
        <v>4661</v>
      </c>
    </row>
    <row r="2201" spans="1:3">
      <c r="A2201" s="347">
        <v>46090</v>
      </c>
      <c r="B2201" s="346" t="s">
        <v>4662</v>
      </c>
      <c r="C2201" s="346" t="s">
        <v>4663</v>
      </c>
    </row>
    <row r="2202" spans="1:3">
      <c r="A2202" s="347">
        <v>46090</v>
      </c>
      <c r="B2202" s="346" t="s">
        <v>4664</v>
      </c>
      <c r="C2202" s="346" t="s">
        <v>4665</v>
      </c>
    </row>
    <row r="2203" spans="1:3">
      <c r="A2203" s="347">
        <v>46090</v>
      </c>
      <c r="B2203" s="346" t="s">
        <v>4666</v>
      </c>
      <c r="C2203" s="346" t="s">
        <v>4667</v>
      </c>
    </row>
    <row r="2204" spans="1:3">
      <c r="A2204" s="347">
        <v>46090</v>
      </c>
      <c r="B2204" s="346" t="s">
        <v>4668</v>
      </c>
      <c r="C2204" s="346" t="s">
        <v>4669</v>
      </c>
    </row>
    <row r="2205" spans="1:3">
      <c r="A2205" s="347">
        <v>46090</v>
      </c>
      <c r="B2205" s="346" t="s">
        <v>4670</v>
      </c>
      <c r="C2205" s="346" t="s">
        <v>4671</v>
      </c>
    </row>
    <row r="2206" spans="1:3">
      <c r="A2206" s="347">
        <v>46090</v>
      </c>
      <c r="B2206" s="346" t="s">
        <v>4672</v>
      </c>
      <c r="C2206" s="346" t="s">
        <v>4673</v>
      </c>
    </row>
    <row r="2207" spans="1:3">
      <c r="A2207" s="347">
        <v>46090</v>
      </c>
      <c r="B2207" s="346" t="s">
        <v>4674</v>
      </c>
      <c r="C2207" s="346" t="s">
        <v>4675</v>
      </c>
    </row>
    <row r="2208" spans="1:3">
      <c r="A2208" s="347">
        <v>46090</v>
      </c>
      <c r="B2208" s="346" t="s">
        <v>4676</v>
      </c>
      <c r="C2208" s="346" t="s">
        <v>4677</v>
      </c>
    </row>
    <row r="2209" spans="1:3">
      <c r="A2209" s="347">
        <v>46090</v>
      </c>
      <c r="B2209" s="346" t="s">
        <v>4678</v>
      </c>
      <c r="C2209" s="346" t="s">
        <v>4679</v>
      </c>
    </row>
    <row r="2210" spans="1:3">
      <c r="A2210" s="347">
        <v>46090</v>
      </c>
      <c r="B2210" s="346" t="s">
        <v>4680</v>
      </c>
      <c r="C2210" s="346" t="s">
        <v>4681</v>
      </c>
    </row>
    <row r="2211" spans="1:3">
      <c r="A2211" s="347">
        <v>46090</v>
      </c>
      <c r="B2211" s="346" t="s">
        <v>4682</v>
      </c>
      <c r="C2211" s="346" t="s">
        <v>4683</v>
      </c>
    </row>
    <row r="2212" spans="1:3">
      <c r="A2212" s="347">
        <v>46090</v>
      </c>
      <c r="B2212" s="346" t="s">
        <v>4684</v>
      </c>
      <c r="C2212" s="346" t="s">
        <v>4685</v>
      </c>
    </row>
    <row r="2213" spans="1:3">
      <c r="A2213" s="347">
        <v>46090</v>
      </c>
      <c r="B2213" s="346" t="s">
        <v>4686</v>
      </c>
      <c r="C2213" s="346" t="s">
        <v>4687</v>
      </c>
    </row>
    <row r="2214" spans="1:3">
      <c r="A2214" s="347">
        <v>46090</v>
      </c>
      <c r="B2214" s="346" t="s">
        <v>4688</v>
      </c>
      <c r="C2214" s="346" t="s">
        <v>4689</v>
      </c>
    </row>
    <row r="2215" spans="1:3">
      <c r="A2215" s="347">
        <v>46090</v>
      </c>
      <c r="B2215" s="346" t="s">
        <v>4690</v>
      </c>
      <c r="C2215" s="346" t="s">
        <v>4691</v>
      </c>
    </row>
    <row r="2216" spans="1:3">
      <c r="A2216" s="347">
        <v>46090</v>
      </c>
      <c r="B2216" s="346" t="s">
        <v>4692</v>
      </c>
      <c r="C2216" s="346" t="s">
        <v>4693</v>
      </c>
    </row>
    <row r="2217" spans="1:3">
      <c r="A2217" s="347">
        <v>46090</v>
      </c>
      <c r="B2217" s="346" t="s">
        <v>4694</v>
      </c>
      <c r="C2217" s="346" t="s">
        <v>4695</v>
      </c>
    </row>
    <row r="2218" spans="1:3">
      <c r="A2218" s="347">
        <v>46090</v>
      </c>
      <c r="B2218" s="346" t="s">
        <v>4696</v>
      </c>
      <c r="C2218" s="346" t="s">
        <v>4697</v>
      </c>
    </row>
    <row r="2219" spans="1:3">
      <c r="A2219" s="347">
        <v>46090</v>
      </c>
      <c r="B2219" s="346" t="s">
        <v>4698</v>
      </c>
      <c r="C2219" s="346" t="s">
        <v>4699</v>
      </c>
    </row>
    <row r="2220" spans="1:3">
      <c r="A2220" s="347">
        <v>46090</v>
      </c>
      <c r="B2220" s="346" t="s">
        <v>4700</v>
      </c>
      <c r="C2220" s="346" t="s">
        <v>4701</v>
      </c>
    </row>
    <row r="2221" spans="1:3">
      <c r="A2221" s="347">
        <v>46090</v>
      </c>
      <c r="B2221" s="346" t="s">
        <v>4702</v>
      </c>
      <c r="C2221" s="346" t="s">
        <v>4703</v>
      </c>
    </row>
    <row r="2222" spans="1:3">
      <c r="A2222" s="347">
        <v>46090</v>
      </c>
      <c r="B2222" s="346" t="s">
        <v>4704</v>
      </c>
      <c r="C2222" s="346" t="s">
        <v>4705</v>
      </c>
    </row>
    <row r="2223" spans="1:3">
      <c r="A2223" s="347">
        <v>46090</v>
      </c>
      <c r="B2223" s="346" t="s">
        <v>4706</v>
      </c>
      <c r="C2223" s="346" t="s">
        <v>4707</v>
      </c>
    </row>
    <row r="2224" spans="1:3">
      <c r="A2224" s="347">
        <v>46090</v>
      </c>
      <c r="B2224" s="346" t="s">
        <v>4708</v>
      </c>
      <c r="C2224" s="346" t="s">
        <v>4709</v>
      </c>
    </row>
    <row r="2225" spans="1:3">
      <c r="A2225" s="347">
        <v>46090</v>
      </c>
      <c r="B2225" s="346" t="s">
        <v>4710</v>
      </c>
      <c r="C2225" s="346" t="s">
        <v>4711</v>
      </c>
    </row>
    <row r="2226" spans="1:3">
      <c r="A2226" s="347">
        <v>46090</v>
      </c>
      <c r="B2226" s="346" t="s">
        <v>4712</v>
      </c>
      <c r="C2226" s="346" t="s">
        <v>4713</v>
      </c>
    </row>
    <row r="2227" spans="1:3">
      <c r="A2227" s="347">
        <v>46090</v>
      </c>
      <c r="B2227" s="346" t="s">
        <v>4714</v>
      </c>
      <c r="C2227" s="346" t="s">
        <v>4715</v>
      </c>
    </row>
    <row r="2228" spans="1:3">
      <c r="A2228" s="347">
        <v>46090</v>
      </c>
      <c r="B2228" s="346" t="s">
        <v>4716</v>
      </c>
      <c r="C2228" s="346" t="s">
        <v>4717</v>
      </c>
    </row>
    <row r="2229" spans="1:3">
      <c r="A2229" s="347">
        <v>46090</v>
      </c>
      <c r="B2229" s="346" t="s">
        <v>10642</v>
      </c>
      <c r="C2229" s="346" t="s">
        <v>10643</v>
      </c>
    </row>
    <row r="2230" spans="1:3">
      <c r="A2230" s="347">
        <v>46090</v>
      </c>
      <c r="B2230" s="346" t="s">
        <v>4718</v>
      </c>
      <c r="C2230" s="346" t="s">
        <v>4719</v>
      </c>
    </row>
    <row r="2231" spans="1:3">
      <c r="A2231" s="347">
        <v>46090</v>
      </c>
      <c r="B2231" s="346" t="s">
        <v>4720</v>
      </c>
      <c r="C2231" s="346" t="s">
        <v>4721</v>
      </c>
    </row>
    <row r="2232" spans="1:3">
      <c r="A2232" s="347">
        <v>46090</v>
      </c>
      <c r="B2232" s="346" t="s">
        <v>4722</v>
      </c>
      <c r="C2232" s="346" t="s">
        <v>4723</v>
      </c>
    </row>
    <row r="2233" spans="1:3">
      <c r="A2233" s="347">
        <v>46090</v>
      </c>
      <c r="B2233" s="346" t="s">
        <v>4724</v>
      </c>
      <c r="C2233" s="346" t="s">
        <v>4725</v>
      </c>
    </row>
    <row r="2234" spans="1:3">
      <c r="A2234" s="347">
        <v>46090</v>
      </c>
      <c r="B2234" s="346" t="s">
        <v>4726</v>
      </c>
      <c r="C2234" s="346" t="s">
        <v>4727</v>
      </c>
    </row>
    <row r="2235" spans="1:3">
      <c r="A2235" s="347">
        <v>46090</v>
      </c>
      <c r="B2235" s="346" t="s">
        <v>4728</v>
      </c>
      <c r="C2235" s="346" t="s">
        <v>4729</v>
      </c>
    </row>
    <row r="2236" spans="1:3">
      <c r="A2236" s="347">
        <v>46090</v>
      </c>
      <c r="B2236" s="346" t="s">
        <v>4730</v>
      </c>
      <c r="C2236" s="346" t="s">
        <v>4731</v>
      </c>
    </row>
    <row r="2237" spans="1:3">
      <c r="A2237" s="347">
        <v>46090</v>
      </c>
      <c r="B2237" s="346" t="s">
        <v>4732</v>
      </c>
      <c r="C2237" s="346" t="s">
        <v>4733</v>
      </c>
    </row>
    <row r="2238" spans="1:3">
      <c r="A2238" s="347">
        <v>46090</v>
      </c>
      <c r="B2238" s="346" t="s">
        <v>4734</v>
      </c>
      <c r="C2238" s="346" t="s">
        <v>4735</v>
      </c>
    </row>
    <row r="2239" spans="1:3">
      <c r="A2239" s="347">
        <v>46090</v>
      </c>
      <c r="B2239" s="346" t="s">
        <v>4736</v>
      </c>
      <c r="C2239" s="346" t="s">
        <v>4737</v>
      </c>
    </row>
    <row r="2240" spans="1:3">
      <c r="A2240" s="347">
        <v>46090</v>
      </c>
      <c r="B2240" s="346" t="s">
        <v>4738</v>
      </c>
      <c r="C2240" s="346" t="s">
        <v>4739</v>
      </c>
    </row>
    <row r="2241" spans="1:3">
      <c r="A2241" s="347">
        <v>46090</v>
      </c>
      <c r="B2241" s="346" t="s">
        <v>4740</v>
      </c>
      <c r="C2241" s="346" t="s">
        <v>4741</v>
      </c>
    </row>
    <row r="2242" spans="1:3">
      <c r="A2242" s="347">
        <v>46090</v>
      </c>
      <c r="B2242" s="346" t="s">
        <v>4742</v>
      </c>
      <c r="C2242" s="346" t="s">
        <v>4743</v>
      </c>
    </row>
    <row r="2243" spans="1:3">
      <c r="A2243" s="347">
        <v>46090</v>
      </c>
      <c r="B2243" s="346" t="s">
        <v>4744</v>
      </c>
      <c r="C2243" s="346" t="s">
        <v>4745</v>
      </c>
    </row>
    <row r="2244" spans="1:3">
      <c r="A2244" s="347">
        <v>46090</v>
      </c>
      <c r="B2244" s="346" t="s">
        <v>4746</v>
      </c>
      <c r="C2244" s="346" t="s">
        <v>4747</v>
      </c>
    </row>
    <row r="2245" spans="1:3">
      <c r="A2245" s="347">
        <v>46090</v>
      </c>
      <c r="B2245" s="346" t="s">
        <v>4748</v>
      </c>
      <c r="C2245" s="346" t="s">
        <v>4749</v>
      </c>
    </row>
    <row r="2246" spans="1:3">
      <c r="A2246" s="347">
        <v>46090</v>
      </c>
      <c r="B2246" s="346" t="s">
        <v>4750</v>
      </c>
      <c r="C2246" s="346" t="s">
        <v>4751</v>
      </c>
    </row>
    <row r="2247" spans="1:3">
      <c r="A2247" s="347">
        <v>46090</v>
      </c>
      <c r="B2247" s="346" t="s">
        <v>4752</v>
      </c>
      <c r="C2247" s="346" t="s">
        <v>4753</v>
      </c>
    </row>
    <row r="2248" spans="1:3">
      <c r="A2248" s="347">
        <v>46090</v>
      </c>
      <c r="B2248" s="346" t="s">
        <v>4754</v>
      </c>
      <c r="C2248" s="346" t="s">
        <v>4755</v>
      </c>
    </row>
    <row r="2249" spans="1:3">
      <c r="A2249" s="347">
        <v>46090</v>
      </c>
      <c r="B2249" s="346" t="s">
        <v>4756</v>
      </c>
      <c r="C2249" s="346" t="s">
        <v>4757</v>
      </c>
    </row>
    <row r="2250" spans="1:3">
      <c r="A2250" s="347">
        <v>46090</v>
      </c>
      <c r="B2250" s="346" t="s">
        <v>4758</v>
      </c>
      <c r="C2250" s="346" t="s">
        <v>4759</v>
      </c>
    </row>
    <row r="2251" spans="1:3">
      <c r="A2251" s="347">
        <v>46090</v>
      </c>
      <c r="B2251" s="346" t="s">
        <v>4760</v>
      </c>
      <c r="C2251" s="346" t="s">
        <v>4761</v>
      </c>
    </row>
    <row r="2252" spans="1:3">
      <c r="A2252" s="347">
        <v>46090</v>
      </c>
      <c r="B2252" s="346" t="s">
        <v>4762</v>
      </c>
      <c r="C2252" s="346" t="s">
        <v>4763</v>
      </c>
    </row>
    <row r="2253" spans="1:3">
      <c r="A2253" s="347">
        <v>46090</v>
      </c>
      <c r="B2253" s="346" t="s">
        <v>4764</v>
      </c>
      <c r="C2253" s="346" t="s">
        <v>4765</v>
      </c>
    </row>
    <row r="2254" spans="1:3">
      <c r="A2254" s="347">
        <v>46090</v>
      </c>
      <c r="B2254" s="346" t="s">
        <v>4766</v>
      </c>
      <c r="C2254" s="346" t="s">
        <v>4767</v>
      </c>
    </row>
    <row r="2255" spans="1:3">
      <c r="A2255" s="347">
        <v>46090</v>
      </c>
      <c r="B2255" s="346" t="s">
        <v>4768</v>
      </c>
      <c r="C2255" s="346" t="s">
        <v>4769</v>
      </c>
    </row>
    <row r="2256" spans="1:3">
      <c r="A2256" s="347">
        <v>46090</v>
      </c>
      <c r="B2256" s="346" t="s">
        <v>4770</v>
      </c>
      <c r="C2256" s="346" t="s">
        <v>4771</v>
      </c>
    </row>
    <row r="2257" spans="1:3">
      <c r="A2257" s="347">
        <v>46090</v>
      </c>
      <c r="B2257" s="346" t="s">
        <v>4772</v>
      </c>
      <c r="C2257" s="346" t="s">
        <v>4773</v>
      </c>
    </row>
    <row r="2258" spans="1:3">
      <c r="A2258" s="347">
        <v>46090</v>
      </c>
      <c r="B2258" s="346" t="s">
        <v>4774</v>
      </c>
      <c r="C2258" s="346" t="s">
        <v>4775</v>
      </c>
    </row>
    <row r="2259" spans="1:3">
      <c r="A2259" s="347">
        <v>46090</v>
      </c>
      <c r="B2259" s="346" t="s">
        <v>4776</v>
      </c>
      <c r="C2259" s="346" t="s">
        <v>4777</v>
      </c>
    </row>
    <row r="2260" spans="1:3">
      <c r="A2260" s="347">
        <v>46090</v>
      </c>
      <c r="B2260" s="346" t="s">
        <v>4778</v>
      </c>
      <c r="C2260" s="346" t="s">
        <v>4779</v>
      </c>
    </row>
    <row r="2261" spans="1:3">
      <c r="A2261" s="347">
        <v>46090</v>
      </c>
      <c r="B2261" s="346" t="s">
        <v>4780</v>
      </c>
      <c r="C2261" s="346" t="s">
        <v>4781</v>
      </c>
    </row>
    <row r="2262" spans="1:3">
      <c r="A2262" s="347">
        <v>46090</v>
      </c>
      <c r="B2262" s="346" t="s">
        <v>4782</v>
      </c>
      <c r="C2262" s="346" t="s">
        <v>4783</v>
      </c>
    </row>
    <row r="2263" spans="1:3">
      <c r="A2263" s="347">
        <v>46090</v>
      </c>
      <c r="B2263" s="346" t="s">
        <v>4784</v>
      </c>
      <c r="C2263" s="346" t="s">
        <v>4785</v>
      </c>
    </row>
    <row r="2264" spans="1:3">
      <c r="A2264" s="347">
        <v>46090</v>
      </c>
      <c r="B2264" s="346" t="s">
        <v>4786</v>
      </c>
      <c r="C2264" s="346" t="s">
        <v>4787</v>
      </c>
    </row>
    <row r="2265" spans="1:3">
      <c r="A2265" s="347">
        <v>46090</v>
      </c>
      <c r="B2265" s="346" t="s">
        <v>4788</v>
      </c>
      <c r="C2265" s="346" t="s">
        <v>4789</v>
      </c>
    </row>
    <row r="2266" spans="1:3">
      <c r="A2266" s="347">
        <v>46090</v>
      </c>
      <c r="B2266" s="346" t="s">
        <v>4790</v>
      </c>
      <c r="C2266" s="346" t="s">
        <v>10644</v>
      </c>
    </row>
    <row r="2267" spans="1:3">
      <c r="A2267" s="347">
        <v>46090</v>
      </c>
      <c r="B2267" s="346" t="s">
        <v>4791</v>
      </c>
      <c r="C2267" s="346" t="s">
        <v>4792</v>
      </c>
    </row>
    <row r="2268" spans="1:3">
      <c r="A2268" s="347">
        <v>46090</v>
      </c>
      <c r="B2268" s="346" t="s">
        <v>4793</v>
      </c>
      <c r="C2268" s="346" t="s">
        <v>4794</v>
      </c>
    </row>
    <row r="2269" spans="1:3">
      <c r="A2269" s="347">
        <v>46090</v>
      </c>
      <c r="B2269" s="346" t="s">
        <v>4795</v>
      </c>
      <c r="C2269" s="346" t="s">
        <v>4796</v>
      </c>
    </row>
    <row r="2270" spans="1:3">
      <c r="A2270" s="347">
        <v>46090</v>
      </c>
      <c r="B2270" s="346" t="s">
        <v>4797</v>
      </c>
      <c r="C2270" s="346" t="s">
        <v>4798</v>
      </c>
    </row>
    <row r="2271" spans="1:3">
      <c r="A2271" s="347">
        <v>46090</v>
      </c>
      <c r="B2271" s="346" t="s">
        <v>4799</v>
      </c>
      <c r="C2271" s="346" t="s">
        <v>4800</v>
      </c>
    </row>
    <row r="2272" spans="1:3">
      <c r="A2272" s="347">
        <v>46090</v>
      </c>
      <c r="B2272" s="346" t="s">
        <v>4801</v>
      </c>
      <c r="C2272" s="346" t="s">
        <v>4802</v>
      </c>
    </row>
    <row r="2273" spans="1:3">
      <c r="A2273" s="347">
        <v>46090</v>
      </c>
      <c r="B2273" s="346" t="s">
        <v>4803</v>
      </c>
      <c r="C2273" s="346" t="s">
        <v>4804</v>
      </c>
    </row>
    <row r="2274" spans="1:3">
      <c r="A2274" s="347">
        <v>46090</v>
      </c>
      <c r="B2274" s="346" t="s">
        <v>4805</v>
      </c>
      <c r="C2274" s="346" t="s">
        <v>4806</v>
      </c>
    </row>
    <row r="2275" spans="1:3">
      <c r="A2275" s="347">
        <v>46090</v>
      </c>
      <c r="B2275" s="346" t="s">
        <v>4807</v>
      </c>
      <c r="C2275" s="346" t="s">
        <v>4808</v>
      </c>
    </row>
    <row r="2276" spans="1:3">
      <c r="A2276" s="347">
        <v>46090</v>
      </c>
      <c r="B2276" s="346" t="s">
        <v>4809</v>
      </c>
      <c r="C2276" s="346" t="s">
        <v>4810</v>
      </c>
    </row>
    <row r="2277" spans="1:3">
      <c r="A2277" s="347">
        <v>46090</v>
      </c>
      <c r="B2277" s="346" t="s">
        <v>4811</v>
      </c>
      <c r="C2277" s="346" t="s">
        <v>4812</v>
      </c>
    </row>
    <row r="2278" spans="1:3">
      <c r="A2278" s="347">
        <v>46090</v>
      </c>
      <c r="B2278" s="346" t="s">
        <v>4813</v>
      </c>
      <c r="C2278" s="346" t="s">
        <v>4814</v>
      </c>
    </row>
    <row r="2279" spans="1:3">
      <c r="A2279" s="347">
        <v>46090</v>
      </c>
      <c r="B2279" s="346" t="s">
        <v>4815</v>
      </c>
      <c r="C2279" s="346" t="s">
        <v>4816</v>
      </c>
    </row>
    <row r="2280" spans="1:3">
      <c r="A2280" s="347">
        <v>46090</v>
      </c>
      <c r="B2280" s="346" t="s">
        <v>4817</v>
      </c>
      <c r="C2280" s="346" t="s">
        <v>4818</v>
      </c>
    </row>
    <row r="2281" spans="1:3">
      <c r="A2281" s="347">
        <v>46090</v>
      </c>
      <c r="B2281" s="346" t="s">
        <v>4819</v>
      </c>
      <c r="C2281" s="346" t="s">
        <v>4820</v>
      </c>
    </row>
    <row r="2282" spans="1:3">
      <c r="A2282" s="347">
        <v>46090</v>
      </c>
      <c r="B2282" s="346" t="s">
        <v>4821</v>
      </c>
      <c r="C2282" s="346" t="s">
        <v>4822</v>
      </c>
    </row>
    <row r="2283" spans="1:3">
      <c r="A2283" s="347">
        <v>46090</v>
      </c>
      <c r="B2283" s="346" t="s">
        <v>4823</v>
      </c>
      <c r="C2283" s="346" t="s">
        <v>4824</v>
      </c>
    </row>
    <row r="2284" spans="1:3">
      <c r="A2284" s="347">
        <v>46090</v>
      </c>
      <c r="B2284" s="346" t="s">
        <v>4825</v>
      </c>
      <c r="C2284" s="346" t="s">
        <v>4826</v>
      </c>
    </row>
    <row r="2285" spans="1:3">
      <c r="A2285" s="347">
        <v>46090</v>
      </c>
      <c r="B2285" s="346" t="s">
        <v>4827</v>
      </c>
      <c r="C2285" s="346" t="s">
        <v>4828</v>
      </c>
    </row>
    <row r="2286" spans="1:3">
      <c r="A2286" s="347">
        <v>46090</v>
      </c>
      <c r="B2286" s="346" t="s">
        <v>4829</v>
      </c>
      <c r="C2286" s="346" t="s">
        <v>4830</v>
      </c>
    </row>
    <row r="2287" spans="1:3">
      <c r="A2287" s="347">
        <v>46090</v>
      </c>
      <c r="B2287" s="346" t="s">
        <v>4831</v>
      </c>
      <c r="C2287" s="346" t="s">
        <v>4832</v>
      </c>
    </row>
    <row r="2288" spans="1:3">
      <c r="A2288" s="347">
        <v>46090</v>
      </c>
      <c r="B2288" s="346" t="s">
        <v>4833</v>
      </c>
      <c r="C2288" s="346" t="s">
        <v>4834</v>
      </c>
    </row>
    <row r="2289" spans="1:3">
      <c r="A2289" s="347">
        <v>46090</v>
      </c>
      <c r="B2289" s="346" t="s">
        <v>4835</v>
      </c>
      <c r="C2289" s="346" t="s">
        <v>4836</v>
      </c>
    </row>
    <row r="2290" spans="1:3">
      <c r="A2290" s="347">
        <v>46090</v>
      </c>
      <c r="B2290" s="346" t="s">
        <v>4837</v>
      </c>
      <c r="C2290" s="346" t="s">
        <v>4838</v>
      </c>
    </row>
    <row r="2291" spans="1:3">
      <c r="A2291" s="347">
        <v>46090</v>
      </c>
      <c r="B2291" s="346" t="s">
        <v>4839</v>
      </c>
      <c r="C2291" s="346" t="s">
        <v>4840</v>
      </c>
    </row>
    <row r="2292" spans="1:3">
      <c r="A2292" s="347">
        <v>46090</v>
      </c>
      <c r="B2292" s="346" t="s">
        <v>4841</v>
      </c>
      <c r="C2292" s="346" t="s">
        <v>4842</v>
      </c>
    </row>
    <row r="2293" spans="1:3">
      <c r="A2293" s="347">
        <v>46090</v>
      </c>
      <c r="B2293" s="346" t="s">
        <v>4843</v>
      </c>
      <c r="C2293" s="346" t="s">
        <v>4844</v>
      </c>
    </row>
    <row r="2294" spans="1:3">
      <c r="A2294" s="347">
        <v>46090</v>
      </c>
      <c r="B2294" s="346" t="s">
        <v>4845</v>
      </c>
      <c r="C2294" s="346" t="s">
        <v>4846</v>
      </c>
    </row>
    <row r="2295" spans="1:3">
      <c r="A2295" s="347">
        <v>46090</v>
      </c>
      <c r="B2295" s="346" t="s">
        <v>4847</v>
      </c>
      <c r="C2295" s="346" t="s">
        <v>4848</v>
      </c>
    </row>
    <row r="2296" spans="1:3">
      <c r="A2296" s="347">
        <v>46090</v>
      </c>
      <c r="B2296" s="346" t="s">
        <v>4849</v>
      </c>
      <c r="C2296" s="346" t="s">
        <v>4850</v>
      </c>
    </row>
    <row r="2297" spans="1:3">
      <c r="A2297" s="347">
        <v>46090</v>
      </c>
      <c r="B2297" s="346" t="s">
        <v>4851</v>
      </c>
      <c r="C2297" s="346" t="s">
        <v>4852</v>
      </c>
    </row>
    <row r="2298" spans="1:3">
      <c r="A2298" s="347">
        <v>46090</v>
      </c>
      <c r="B2298" s="346" t="s">
        <v>4853</v>
      </c>
      <c r="C2298" s="346" t="s">
        <v>4854</v>
      </c>
    </row>
    <row r="2299" spans="1:3">
      <c r="A2299" s="347">
        <v>46090</v>
      </c>
      <c r="B2299" s="346" t="s">
        <v>4855</v>
      </c>
      <c r="C2299" s="346" t="s">
        <v>4856</v>
      </c>
    </row>
    <row r="2300" spans="1:3">
      <c r="A2300" s="347">
        <v>46090</v>
      </c>
      <c r="B2300" s="346" t="s">
        <v>4857</v>
      </c>
      <c r="C2300" s="346" t="s">
        <v>4858</v>
      </c>
    </row>
    <row r="2301" spans="1:3">
      <c r="A2301" s="347">
        <v>46090</v>
      </c>
      <c r="B2301" s="346" t="s">
        <v>4859</v>
      </c>
      <c r="C2301" s="346" t="s">
        <v>4860</v>
      </c>
    </row>
    <row r="2302" spans="1:3">
      <c r="A2302" s="347">
        <v>46090</v>
      </c>
      <c r="B2302" s="346" t="s">
        <v>4861</v>
      </c>
      <c r="C2302" s="346" t="s">
        <v>10645</v>
      </c>
    </row>
    <row r="2303" spans="1:3">
      <c r="A2303" s="347">
        <v>46090</v>
      </c>
      <c r="B2303" s="346" t="s">
        <v>4862</v>
      </c>
      <c r="C2303" s="346" t="s">
        <v>4863</v>
      </c>
    </row>
    <row r="2304" spans="1:3">
      <c r="A2304" s="347">
        <v>46090</v>
      </c>
      <c r="B2304" s="346" t="s">
        <v>4864</v>
      </c>
      <c r="C2304" s="346" t="s">
        <v>4865</v>
      </c>
    </row>
    <row r="2305" spans="1:3">
      <c r="A2305" s="347">
        <v>46090</v>
      </c>
      <c r="B2305" s="346" t="s">
        <v>4866</v>
      </c>
      <c r="C2305" s="346" t="s">
        <v>4867</v>
      </c>
    </row>
    <row r="2306" spans="1:3">
      <c r="A2306" s="347">
        <v>46090</v>
      </c>
      <c r="B2306" s="346" t="s">
        <v>4868</v>
      </c>
      <c r="C2306" s="346" t="s">
        <v>4869</v>
      </c>
    </row>
    <row r="2307" spans="1:3">
      <c r="A2307" s="347">
        <v>46090</v>
      </c>
      <c r="B2307" s="346" t="s">
        <v>4870</v>
      </c>
      <c r="C2307" s="346" t="s">
        <v>4871</v>
      </c>
    </row>
    <row r="2308" spans="1:3">
      <c r="A2308" s="347">
        <v>46090</v>
      </c>
      <c r="B2308" s="346" t="s">
        <v>4872</v>
      </c>
      <c r="C2308" s="346" t="s">
        <v>4873</v>
      </c>
    </row>
    <row r="2309" spans="1:3">
      <c r="A2309" s="347">
        <v>46090</v>
      </c>
      <c r="B2309" s="346" t="s">
        <v>4874</v>
      </c>
      <c r="C2309" s="346" t="s">
        <v>4875</v>
      </c>
    </row>
    <row r="2310" spans="1:3">
      <c r="A2310" s="347">
        <v>46090</v>
      </c>
      <c r="B2310" s="346" t="s">
        <v>4876</v>
      </c>
      <c r="C2310" s="346" t="s">
        <v>4877</v>
      </c>
    </row>
    <row r="2311" spans="1:3">
      <c r="A2311" s="347">
        <v>46090</v>
      </c>
      <c r="B2311" s="346" t="s">
        <v>4878</v>
      </c>
      <c r="C2311" s="346" t="s">
        <v>4879</v>
      </c>
    </row>
    <row r="2312" spans="1:3">
      <c r="A2312" s="347">
        <v>46090</v>
      </c>
      <c r="B2312" s="346" t="s">
        <v>4880</v>
      </c>
      <c r="C2312" s="346" t="s">
        <v>4881</v>
      </c>
    </row>
    <row r="2313" spans="1:3">
      <c r="A2313" s="347">
        <v>46090</v>
      </c>
      <c r="B2313" s="346" t="s">
        <v>4882</v>
      </c>
      <c r="C2313" s="346" t="s">
        <v>4883</v>
      </c>
    </row>
    <row r="2314" spans="1:3">
      <c r="A2314" s="347">
        <v>46090</v>
      </c>
      <c r="B2314" s="346" t="s">
        <v>4884</v>
      </c>
      <c r="C2314" s="346" t="s">
        <v>4885</v>
      </c>
    </row>
    <row r="2315" spans="1:3">
      <c r="A2315" s="347">
        <v>46090</v>
      </c>
      <c r="B2315" s="346" t="s">
        <v>4886</v>
      </c>
      <c r="C2315" s="346" t="s">
        <v>4887</v>
      </c>
    </row>
    <row r="2316" spans="1:3">
      <c r="A2316" s="347">
        <v>46090</v>
      </c>
      <c r="B2316" s="346" t="s">
        <v>4888</v>
      </c>
      <c r="C2316" s="346" t="s">
        <v>4889</v>
      </c>
    </row>
    <row r="2317" spans="1:3">
      <c r="A2317" s="347">
        <v>46090</v>
      </c>
      <c r="B2317" s="346" t="s">
        <v>4890</v>
      </c>
      <c r="C2317" s="346" t="s">
        <v>4891</v>
      </c>
    </row>
    <row r="2318" spans="1:3">
      <c r="A2318" s="347">
        <v>46090</v>
      </c>
      <c r="B2318" s="346" t="s">
        <v>4892</v>
      </c>
      <c r="C2318" s="346" t="s">
        <v>4893</v>
      </c>
    </row>
    <row r="2319" spans="1:3">
      <c r="A2319" s="347">
        <v>46090</v>
      </c>
      <c r="B2319" s="346" t="s">
        <v>4894</v>
      </c>
      <c r="C2319" s="346" t="s">
        <v>4895</v>
      </c>
    </row>
    <row r="2320" spans="1:3">
      <c r="A2320" s="347">
        <v>46090</v>
      </c>
      <c r="B2320" s="346" t="s">
        <v>4896</v>
      </c>
      <c r="C2320" s="346" t="s">
        <v>4897</v>
      </c>
    </row>
    <row r="2321" spans="1:3">
      <c r="A2321" s="347">
        <v>46090</v>
      </c>
      <c r="B2321" s="346" t="s">
        <v>4898</v>
      </c>
      <c r="C2321" s="346" t="s">
        <v>4899</v>
      </c>
    </row>
    <row r="2322" spans="1:3">
      <c r="A2322" s="347">
        <v>46090</v>
      </c>
      <c r="B2322" s="346" t="s">
        <v>4900</v>
      </c>
      <c r="C2322" s="346" t="s">
        <v>4901</v>
      </c>
    </row>
    <row r="2323" spans="1:3">
      <c r="A2323" s="347">
        <v>46090</v>
      </c>
      <c r="B2323" s="346" t="s">
        <v>4902</v>
      </c>
      <c r="C2323" s="346" t="s">
        <v>4903</v>
      </c>
    </row>
    <row r="2324" spans="1:3">
      <c r="A2324" s="347">
        <v>46090</v>
      </c>
      <c r="B2324" s="346" t="s">
        <v>4904</v>
      </c>
      <c r="C2324" s="346" t="s">
        <v>4905</v>
      </c>
    </row>
    <row r="2325" spans="1:3">
      <c r="A2325" s="347">
        <v>46090</v>
      </c>
      <c r="B2325" s="346" t="s">
        <v>4906</v>
      </c>
      <c r="C2325" s="346" t="s">
        <v>4907</v>
      </c>
    </row>
    <row r="2326" spans="1:3">
      <c r="A2326" s="347">
        <v>46090</v>
      </c>
      <c r="B2326" s="346" t="s">
        <v>4908</v>
      </c>
      <c r="C2326" s="346" t="s">
        <v>4909</v>
      </c>
    </row>
    <row r="2327" spans="1:3">
      <c r="A2327" s="347">
        <v>46090</v>
      </c>
      <c r="B2327" s="346" t="s">
        <v>4910</v>
      </c>
      <c r="C2327" s="346" t="s">
        <v>4911</v>
      </c>
    </row>
    <row r="2328" spans="1:3">
      <c r="A2328" s="347">
        <v>46090</v>
      </c>
      <c r="B2328" s="346" t="s">
        <v>4912</v>
      </c>
      <c r="C2328" s="346" t="s">
        <v>4913</v>
      </c>
    </row>
    <row r="2329" spans="1:3">
      <c r="A2329" s="347">
        <v>46090</v>
      </c>
      <c r="B2329" s="346" t="s">
        <v>4914</v>
      </c>
      <c r="C2329" s="346" t="s">
        <v>4915</v>
      </c>
    </row>
    <row r="2330" spans="1:3">
      <c r="A2330" s="347">
        <v>46090</v>
      </c>
      <c r="B2330" s="346" t="s">
        <v>4916</v>
      </c>
      <c r="C2330" s="346" t="s">
        <v>4917</v>
      </c>
    </row>
    <row r="2331" spans="1:3">
      <c r="A2331" s="347">
        <v>46090</v>
      </c>
      <c r="B2331" s="346" t="s">
        <v>4918</v>
      </c>
      <c r="C2331" s="346" t="s">
        <v>4919</v>
      </c>
    </row>
    <row r="2332" spans="1:3">
      <c r="A2332" s="347">
        <v>46090</v>
      </c>
      <c r="B2332" s="346" t="s">
        <v>4920</v>
      </c>
      <c r="C2332" s="346" t="s">
        <v>4921</v>
      </c>
    </row>
    <row r="2333" spans="1:3">
      <c r="A2333" s="347">
        <v>46090</v>
      </c>
      <c r="B2333" s="346" t="s">
        <v>4922</v>
      </c>
      <c r="C2333" s="346" t="s">
        <v>4923</v>
      </c>
    </row>
    <row r="2334" spans="1:3">
      <c r="A2334" s="347">
        <v>46090</v>
      </c>
      <c r="B2334" s="346" t="s">
        <v>4924</v>
      </c>
      <c r="C2334" s="346" t="s">
        <v>4925</v>
      </c>
    </row>
    <row r="2335" spans="1:3">
      <c r="A2335" s="347">
        <v>46090</v>
      </c>
      <c r="B2335" s="346" t="s">
        <v>4926</v>
      </c>
      <c r="C2335" s="346" t="s">
        <v>10646</v>
      </c>
    </row>
    <row r="2336" spans="1:3">
      <c r="A2336" s="347">
        <v>46090</v>
      </c>
      <c r="B2336" s="346" t="s">
        <v>4927</v>
      </c>
      <c r="C2336" s="346" t="s">
        <v>4928</v>
      </c>
    </row>
    <row r="2337" spans="1:3">
      <c r="A2337" s="347">
        <v>46090</v>
      </c>
      <c r="B2337" s="346" t="s">
        <v>4929</v>
      </c>
      <c r="C2337" s="346" t="s">
        <v>4930</v>
      </c>
    </row>
    <row r="2338" spans="1:3">
      <c r="A2338" s="347">
        <v>46090</v>
      </c>
      <c r="B2338" s="346" t="s">
        <v>4931</v>
      </c>
      <c r="C2338" s="346" t="s">
        <v>4932</v>
      </c>
    </row>
    <row r="2339" spans="1:3">
      <c r="A2339" s="347">
        <v>46090</v>
      </c>
      <c r="B2339" s="346" t="s">
        <v>4933</v>
      </c>
      <c r="C2339" s="346" t="s">
        <v>4934</v>
      </c>
    </row>
    <row r="2340" spans="1:3">
      <c r="A2340" s="347">
        <v>46090</v>
      </c>
      <c r="B2340" s="346" t="s">
        <v>4935</v>
      </c>
      <c r="C2340" s="346" t="s">
        <v>4936</v>
      </c>
    </row>
    <row r="2341" spans="1:3">
      <c r="A2341" s="347">
        <v>46090</v>
      </c>
      <c r="B2341" s="346" t="s">
        <v>4937</v>
      </c>
      <c r="C2341" s="346" t="s">
        <v>10647</v>
      </c>
    </row>
    <row r="2342" spans="1:3">
      <c r="A2342" s="347">
        <v>46090</v>
      </c>
      <c r="B2342" s="346" t="s">
        <v>4938</v>
      </c>
      <c r="C2342" s="346" t="s">
        <v>4939</v>
      </c>
    </row>
    <row r="2343" spans="1:3">
      <c r="A2343" s="347">
        <v>46090</v>
      </c>
      <c r="B2343" s="346" t="s">
        <v>4940</v>
      </c>
      <c r="C2343" s="346" t="s">
        <v>4941</v>
      </c>
    </row>
    <row r="2344" spans="1:3">
      <c r="A2344" s="347">
        <v>46090</v>
      </c>
      <c r="B2344" s="346" t="s">
        <v>4942</v>
      </c>
      <c r="C2344" s="346" t="s">
        <v>4943</v>
      </c>
    </row>
    <row r="2345" spans="1:3">
      <c r="A2345" s="347">
        <v>46090</v>
      </c>
      <c r="B2345" s="346" t="s">
        <v>4944</v>
      </c>
      <c r="C2345" s="346" t="s">
        <v>4945</v>
      </c>
    </row>
    <row r="2346" spans="1:3">
      <c r="A2346" s="347">
        <v>46090</v>
      </c>
      <c r="B2346" s="346" t="s">
        <v>4946</v>
      </c>
      <c r="C2346" s="346" t="s">
        <v>4947</v>
      </c>
    </row>
    <row r="2347" spans="1:3">
      <c r="A2347" s="347">
        <v>46090</v>
      </c>
      <c r="B2347" s="346" t="s">
        <v>4948</v>
      </c>
      <c r="C2347" s="346" t="s">
        <v>4949</v>
      </c>
    </row>
    <row r="2348" spans="1:3">
      <c r="A2348" s="347">
        <v>46090</v>
      </c>
      <c r="B2348" s="346" t="s">
        <v>4950</v>
      </c>
      <c r="C2348" s="346" t="s">
        <v>4951</v>
      </c>
    </row>
    <row r="2349" spans="1:3">
      <c r="A2349" s="347">
        <v>46090</v>
      </c>
      <c r="B2349" s="346" t="s">
        <v>4952</v>
      </c>
      <c r="C2349" s="346" t="s">
        <v>4953</v>
      </c>
    </row>
    <row r="2350" spans="1:3">
      <c r="A2350" s="347">
        <v>46090</v>
      </c>
      <c r="B2350" s="346" t="s">
        <v>4954</v>
      </c>
      <c r="C2350" s="346" t="s">
        <v>4955</v>
      </c>
    </row>
    <row r="2351" spans="1:3">
      <c r="A2351" s="347">
        <v>46090</v>
      </c>
      <c r="B2351" s="346" t="s">
        <v>4956</v>
      </c>
      <c r="C2351" s="346" t="s">
        <v>4957</v>
      </c>
    </row>
    <row r="2352" spans="1:3">
      <c r="A2352" s="347">
        <v>46090</v>
      </c>
      <c r="B2352" s="346" t="s">
        <v>4958</v>
      </c>
      <c r="C2352" s="346" t="s">
        <v>4959</v>
      </c>
    </row>
    <row r="2353" spans="1:3">
      <c r="A2353" s="347">
        <v>46090</v>
      </c>
      <c r="B2353" s="346" t="s">
        <v>4960</v>
      </c>
      <c r="C2353" s="346" t="s">
        <v>4961</v>
      </c>
    </row>
    <row r="2354" spans="1:3">
      <c r="A2354" s="347">
        <v>46090</v>
      </c>
      <c r="B2354" s="346" t="s">
        <v>4962</v>
      </c>
      <c r="C2354" s="346" t="s">
        <v>4963</v>
      </c>
    </row>
    <row r="2355" spans="1:3">
      <c r="A2355" s="347">
        <v>46090</v>
      </c>
      <c r="B2355" s="346" t="s">
        <v>4964</v>
      </c>
      <c r="C2355" s="346" t="s">
        <v>4965</v>
      </c>
    </row>
    <row r="2356" spans="1:3">
      <c r="A2356" s="347">
        <v>46090</v>
      </c>
      <c r="B2356" s="346" t="s">
        <v>4966</v>
      </c>
      <c r="C2356" s="346" t="s">
        <v>4967</v>
      </c>
    </row>
    <row r="2357" spans="1:3">
      <c r="A2357" s="347">
        <v>46090</v>
      </c>
      <c r="B2357" s="346" t="s">
        <v>4968</v>
      </c>
      <c r="C2357" s="346" t="s">
        <v>4969</v>
      </c>
    </row>
    <row r="2358" spans="1:3">
      <c r="A2358" s="347">
        <v>46090</v>
      </c>
      <c r="B2358" s="346" t="s">
        <v>4970</v>
      </c>
      <c r="C2358" s="346" t="s">
        <v>4971</v>
      </c>
    </row>
    <row r="2359" spans="1:3">
      <c r="A2359" s="347">
        <v>46090</v>
      </c>
      <c r="B2359" s="346" t="s">
        <v>4972</v>
      </c>
      <c r="C2359" s="346" t="s">
        <v>4973</v>
      </c>
    </row>
    <row r="2360" spans="1:3">
      <c r="A2360" s="347">
        <v>46090</v>
      </c>
      <c r="B2360" s="346" t="s">
        <v>4974</v>
      </c>
      <c r="C2360" s="346" t="s">
        <v>11080</v>
      </c>
    </row>
    <row r="2361" spans="1:3">
      <c r="A2361" s="347">
        <v>46090</v>
      </c>
      <c r="B2361" s="346" t="s">
        <v>4975</v>
      </c>
      <c r="C2361" s="346" t="s">
        <v>4976</v>
      </c>
    </row>
    <row r="2362" spans="1:3">
      <c r="A2362" s="347">
        <v>46090</v>
      </c>
      <c r="B2362" s="346" t="s">
        <v>4977</v>
      </c>
      <c r="C2362" s="346" t="s">
        <v>4978</v>
      </c>
    </row>
    <row r="2363" spans="1:3">
      <c r="A2363" s="347">
        <v>46090</v>
      </c>
      <c r="B2363" s="346" t="s">
        <v>4979</v>
      </c>
      <c r="C2363" s="346" t="s">
        <v>4980</v>
      </c>
    </row>
    <row r="2364" spans="1:3">
      <c r="A2364" s="347">
        <v>46090</v>
      </c>
      <c r="B2364" s="346" t="s">
        <v>4981</v>
      </c>
      <c r="C2364" s="346" t="s">
        <v>4982</v>
      </c>
    </row>
    <row r="2365" spans="1:3">
      <c r="A2365" s="347">
        <v>46090</v>
      </c>
      <c r="B2365" s="346" t="s">
        <v>4983</v>
      </c>
      <c r="C2365" s="346" t="s">
        <v>4984</v>
      </c>
    </row>
    <row r="2366" spans="1:3">
      <c r="A2366" s="347">
        <v>46090</v>
      </c>
      <c r="B2366" s="346" t="s">
        <v>4985</v>
      </c>
      <c r="C2366" s="346" t="s">
        <v>4986</v>
      </c>
    </row>
    <row r="2367" spans="1:3">
      <c r="A2367" s="347">
        <v>46090</v>
      </c>
      <c r="B2367" s="346" t="s">
        <v>4987</v>
      </c>
      <c r="C2367" s="346" t="s">
        <v>4988</v>
      </c>
    </row>
    <row r="2368" spans="1:3">
      <c r="A2368" s="347">
        <v>46090</v>
      </c>
      <c r="B2368" s="346" t="s">
        <v>4989</v>
      </c>
      <c r="C2368" s="346" t="s">
        <v>4990</v>
      </c>
    </row>
    <row r="2369" spans="1:3">
      <c r="A2369" s="347">
        <v>46090</v>
      </c>
      <c r="B2369" s="346" t="s">
        <v>4991</v>
      </c>
      <c r="C2369" s="346" t="s">
        <v>4992</v>
      </c>
    </row>
    <row r="2370" spans="1:3">
      <c r="A2370" s="347">
        <v>46090</v>
      </c>
      <c r="B2370" s="346" t="s">
        <v>4993</v>
      </c>
      <c r="C2370" s="346" t="s">
        <v>4994</v>
      </c>
    </row>
    <row r="2371" spans="1:3">
      <c r="A2371" s="347">
        <v>46090</v>
      </c>
      <c r="B2371" s="346" t="s">
        <v>4995</v>
      </c>
      <c r="C2371" s="346" t="s">
        <v>4996</v>
      </c>
    </row>
    <row r="2372" spans="1:3">
      <c r="A2372" s="347">
        <v>46090</v>
      </c>
      <c r="B2372" s="346" t="s">
        <v>4997</v>
      </c>
      <c r="C2372" s="346" t="s">
        <v>4998</v>
      </c>
    </row>
    <row r="2373" spans="1:3">
      <c r="A2373" s="347">
        <v>46090</v>
      </c>
      <c r="B2373" s="346" t="s">
        <v>4999</v>
      </c>
      <c r="C2373" s="346" t="s">
        <v>5000</v>
      </c>
    </row>
    <row r="2374" spans="1:3">
      <c r="A2374" s="347">
        <v>46090</v>
      </c>
      <c r="B2374" s="346" t="s">
        <v>5001</v>
      </c>
      <c r="C2374" s="346" t="s">
        <v>5002</v>
      </c>
    </row>
    <row r="2375" spans="1:3">
      <c r="A2375" s="347">
        <v>46090</v>
      </c>
      <c r="B2375" s="346" t="s">
        <v>5003</v>
      </c>
      <c r="C2375" s="346" t="s">
        <v>5004</v>
      </c>
    </row>
    <row r="2376" spans="1:3">
      <c r="A2376" s="347">
        <v>46090</v>
      </c>
      <c r="B2376" s="346" t="s">
        <v>5005</v>
      </c>
      <c r="C2376" s="346" t="s">
        <v>5006</v>
      </c>
    </row>
    <row r="2377" spans="1:3">
      <c r="A2377" s="347">
        <v>46090</v>
      </c>
      <c r="B2377" s="346" t="s">
        <v>5007</v>
      </c>
      <c r="C2377" s="346" t="s">
        <v>5008</v>
      </c>
    </row>
    <row r="2378" spans="1:3">
      <c r="A2378" s="347">
        <v>46090</v>
      </c>
      <c r="B2378" s="346" t="s">
        <v>5009</v>
      </c>
      <c r="C2378" s="346" t="s">
        <v>5010</v>
      </c>
    </row>
    <row r="2379" spans="1:3">
      <c r="A2379" s="347">
        <v>46090</v>
      </c>
      <c r="B2379" s="346" t="s">
        <v>5011</v>
      </c>
      <c r="C2379" s="346" t="s">
        <v>5012</v>
      </c>
    </row>
    <row r="2380" spans="1:3">
      <c r="A2380" s="347">
        <v>46090</v>
      </c>
      <c r="B2380" s="346" t="s">
        <v>5013</v>
      </c>
      <c r="C2380" s="346" t="s">
        <v>5014</v>
      </c>
    </row>
    <row r="2381" spans="1:3">
      <c r="A2381" s="347">
        <v>46090</v>
      </c>
      <c r="B2381" s="346" t="s">
        <v>5015</v>
      </c>
      <c r="C2381" s="346" t="s">
        <v>5016</v>
      </c>
    </row>
    <row r="2382" spans="1:3">
      <c r="A2382" s="347">
        <v>46090</v>
      </c>
      <c r="B2382" s="346" t="s">
        <v>5017</v>
      </c>
      <c r="C2382" s="346" t="s">
        <v>5018</v>
      </c>
    </row>
    <row r="2383" spans="1:3">
      <c r="A2383" s="347">
        <v>46090</v>
      </c>
      <c r="B2383" s="346" t="s">
        <v>5019</v>
      </c>
      <c r="C2383" s="346" t="s">
        <v>5020</v>
      </c>
    </row>
    <row r="2384" spans="1:3">
      <c r="A2384" s="347">
        <v>46090</v>
      </c>
      <c r="B2384" s="346" t="s">
        <v>5021</v>
      </c>
      <c r="C2384" s="346" t="s">
        <v>5022</v>
      </c>
    </row>
    <row r="2385" spans="1:3">
      <c r="A2385" s="347">
        <v>46090</v>
      </c>
      <c r="B2385" s="346" t="s">
        <v>5023</v>
      </c>
      <c r="C2385" s="346" t="s">
        <v>5024</v>
      </c>
    </row>
    <row r="2386" spans="1:3">
      <c r="A2386" s="347">
        <v>46090</v>
      </c>
      <c r="B2386" s="346" t="s">
        <v>5025</v>
      </c>
      <c r="C2386" s="346" t="s">
        <v>5026</v>
      </c>
    </row>
    <row r="2387" spans="1:3">
      <c r="A2387" s="347">
        <v>46090</v>
      </c>
      <c r="B2387" s="346" t="s">
        <v>5027</v>
      </c>
      <c r="C2387" s="346" t="s">
        <v>5028</v>
      </c>
    </row>
    <row r="2388" spans="1:3">
      <c r="A2388" s="347">
        <v>46090</v>
      </c>
      <c r="B2388" s="346" t="s">
        <v>5029</v>
      </c>
      <c r="C2388" s="346" t="s">
        <v>5030</v>
      </c>
    </row>
    <row r="2389" spans="1:3">
      <c r="A2389" s="347">
        <v>46090</v>
      </c>
      <c r="B2389" s="346" t="s">
        <v>5031</v>
      </c>
      <c r="C2389" s="346" t="s">
        <v>5032</v>
      </c>
    </row>
    <row r="2390" spans="1:3">
      <c r="A2390" s="347">
        <v>46090</v>
      </c>
      <c r="B2390" s="346" t="s">
        <v>5033</v>
      </c>
      <c r="C2390" s="346" t="s">
        <v>5034</v>
      </c>
    </row>
    <row r="2391" spans="1:3">
      <c r="A2391" s="347">
        <v>46090</v>
      </c>
      <c r="B2391" s="346" t="s">
        <v>5035</v>
      </c>
      <c r="C2391" s="346" t="s">
        <v>5036</v>
      </c>
    </row>
    <row r="2392" spans="1:3">
      <c r="A2392" s="347">
        <v>46090</v>
      </c>
      <c r="B2392" s="346" t="s">
        <v>5037</v>
      </c>
      <c r="C2392" s="346" t="s">
        <v>5038</v>
      </c>
    </row>
    <row r="2393" spans="1:3">
      <c r="A2393" s="347">
        <v>46090</v>
      </c>
      <c r="B2393" s="346" t="s">
        <v>5039</v>
      </c>
      <c r="C2393" s="346" t="s">
        <v>5040</v>
      </c>
    </row>
    <row r="2394" spans="1:3">
      <c r="A2394" s="347">
        <v>46090</v>
      </c>
      <c r="B2394" s="346" t="s">
        <v>5041</v>
      </c>
      <c r="C2394" s="346" t="s">
        <v>5042</v>
      </c>
    </row>
    <row r="2395" spans="1:3">
      <c r="A2395" s="347">
        <v>46090</v>
      </c>
      <c r="B2395" s="346" t="s">
        <v>5043</v>
      </c>
      <c r="C2395" s="346" t="s">
        <v>5044</v>
      </c>
    </row>
    <row r="2396" spans="1:3">
      <c r="A2396" s="347">
        <v>46090</v>
      </c>
      <c r="B2396" s="346" t="s">
        <v>5045</v>
      </c>
      <c r="C2396" s="346" t="s">
        <v>5046</v>
      </c>
    </row>
    <row r="2397" spans="1:3">
      <c r="A2397" s="347">
        <v>46090</v>
      </c>
      <c r="B2397" s="346" t="s">
        <v>5047</v>
      </c>
      <c r="C2397" s="346" t="s">
        <v>5048</v>
      </c>
    </row>
    <row r="2398" spans="1:3">
      <c r="A2398" s="347">
        <v>46090</v>
      </c>
      <c r="B2398" s="346" t="s">
        <v>5049</v>
      </c>
      <c r="C2398" s="346" t="s">
        <v>5050</v>
      </c>
    </row>
    <row r="2399" spans="1:3">
      <c r="A2399" s="347">
        <v>46090</v>
      </c>
      <c r="B2399" s="346" t="s">
        <v>5051</v>
      </c>
      <c r="C2399" s="346" t="s">
        <v>5052</v>
      </c>
    </row>
    <row r="2400" spans="1:3">
      <c r="A2400" s="347">
        <v>46090</v>
      </c>
      <c r="B2400" s="346" t="s">
        <v>5053</v>
      </c>
      <c r="C2400" s="346" t="s">
        <v>5054</v>
      </c>
    </row>
    <row r="2401" spans="1:3">
      <c r="A2401" s="347">
        <v>46090</v>
      </c>
      <c r="B2401" s="346" t="s">
        <v>5055</v>
      </c>
      <c r="C2401" s="346" t="s">
        <v>5056</v>
      </c>
    </row>
    <row r="2402" spans="1:3">
      <c r="A2402" s="347">
        <v>46090</v>
      </c>
      <c r="B2402" s="346" t="s">
        <v>5057</v>
      </c>
      <c r="C2402" s="346" t="s">
        <v>5058</v>
      </c>
    </row>
    <row r="2403" spans="1:3">
      <c r="A2403" s="347">
        <v>46090</v>
      </c>
      <c r="B2403" s="346" t="s">
        <v>5059</v>
      </c>
      <c r="C2403" s="346" t="s">
        <v>5060</v>
      </c>
    </row>
    <row r="2404" spans="1:3">
      <c r="A2404" s="347">
        <v>46090</v>
      </c>
      <c r="B2404" s="346" t="s">
        <v>5061</v>
      </c>
      <c r="C2404" s="346" t="s">
        <v>5062</v>
      </c>
    </row>
    <row r="2405" spans="1:3">
      <c r="A2405" s="347">
        <v>46090</v>
      </c>
      <c r="B2405" s="346" t="s">
        <v>5063</v>
      </c>
      <c r="C2405" s="346" t="s">
        <v>5064</v>
      </c>
    </row>
    <row r="2406" spans="1:3">
      <c r="A2406" s="347">
        <v>46090</v>
      </c>
      <c r="B2406" s="346" t="s">
        <v>5065</v>
      </c>
      <c r="C2406" s="346" t="s">
        <v>5066</v>
      </c>
    </row>
    <row r="2407" spans="1:3">
      <c r="A2407" s="347">
        <v>46090</v>
      </c>
      <c r="B2407" s="346" t="s">
        <v>5067</v>
      </c>
      <c r="C2407" s="346" t="s">
        <v>5068</v>
      </c>
    </row>
    <row r="2408" spans="1:3">
      <c r="A2408" s="347">
        <v>46090</v>
      </c>
      <c r="B2408" s="346" t="s">
        <v>5069</v>
      </c>
      <c r="C2408" s="346" t="s">
        <v>5070</v>
      </c>
    </row>
    <row r="2409" spans="1:3">
      <c r="A2409" s="347">
        <v>46090</v>
      </c>
      <c r="B2409" s="346" t="s">
        <v>5071</v>
      </c>
      <c r="C2409" s="346" t="s">
        <v>5072</v>
      </c>
    </row>
    <row r="2410" spans="1:3">
      <c r="A2410" s="347">
        <v>46090</v>
      </c>
      <c r="B2410" s="346" t="s">
        <v>5073</v>
      </c>
      <c r="C2410" s="346" t="s">
        <v>5074</v>
      </c>
    </row>
    <row r="2411" spans="1:3">
      <c r="A2411" s="347">
        <v>46090</v>
      </c>
      <c r="B2411" s="346" t="s">
        <v>5075</v>
      </c>
      <c r="C2411" s="346" t="s">
        <v>5076</v>
      </c>
    </row>
    <row r="2412" spans="1:3">
      <c r="A2412" s="347">
        <v>46090</v>
      </c>
      <c r="B2412" s="346" t="s">
        <v>5077</v>
      </c>
      <c r="C2412" s="346" t="s">
        <v>5078</v>
      </c>
    </row>
    <row r="2413" spans="1:3">
      <c r="A2413" s="347">
        <v>46090</v>
      </c>
      <c r="B2413" s="346" t="s">
        <v>5079</v>
      </c>
      <c r="C2413" s="346" t="s">
        <v>5080</v>
      </c>
    </row>
    <row r="2414" spans="1:3">
      <c r="A2414" s="347">
        <v>46090</v>
      </c>
      <c r="B2414" s="346" t="s">
        <v>5081</v>
      </c>
      <c r="C2414" s="346" t="s">
        <v>5082</v>
      </c>
    </row>
    <row r="2415" spans="1:3">
      <c r="A2415" s="347">
        <v>46090</v>
      </c>
      <c r="B2415" s="346" t="s">
        <v>5083</v>
      </c>
      <c r="C2415" s="346" t="s">
        <v>5084</v>
      </c>
    </row>
    <row r="2416" spans="1:3">
      <c r="A2416" s="347">
        <v>46090</v>
      </c>
      <c r="B2416" s="346" t="s">
        <v>5085</v>
      </c>
      <c r="C2416" s="346" t="s">
        <v>5086</v>
      </c>
    </row>
    <row r="2417" spans="1:3">
      <c r="A2417" s="347">
        <v>46090</v>
      </c>
      <c r="B2417" s="346" t="s">
        <v>5087</v>
      </c>
      <c r="C2417" s="346" t="s">
        <v>5088</v>
      </c>
    </row>
    <row r="2418" spans="1:3">
      <c r="A2418" s="347">
        <v>46090</v>
      </c>
      <c r="B2418" s="346" t="s">
        <v>5089</v>
      </c>
      <c r="C2418" s="346" t="s">
        <v>5090</v>
      </c>
    </row>
    <row r="2419" spans="1:3">
      <c r="A2419" s="347">
        <v>46090</v>
      </c>
      <c r="B2419" s="346" t="s">
        <v>5091</v>
      </c>
      <c r="C2419" s="346" t="s">
        <v>5092</v>
      </c>
    </row>
    <row r="2420" spans="1:3">
      <c r="A2420" s="347">
        <v>46090</v>
      </c>
      <c r="B2420" s="346" t="s">
        <v>5093</v>
      </c>
      <c r="C2420" s="346" t="s">
        <v>5094</v>
      </c>
    </row>
    <row r="2421" spans="1:3">
      <c r="A2421" s="347">
        <v>46090</v>
      </c>
      <c r="B2421" s="346" t="s">
        <v>5095</v>
      </c>
      <c r="C2421" s="346" t="s">
        <v>5096</v>
      </c>
    </row>
    <row r="2422" spans="1:3">
      <c r="A2422" s="347">
        <v>46090</v>
      </c>
      <c r="B2422" s="346" t="s">
        <v>5097</v>
      </c>
      <c r="C2422" s="346" t="s">
        <v>5098</v>
      </c>
    </row>
    <row r="2423" spans="1:3">
      <c r="A2423" s="347">
        <v>46090</v>
      </c>
      <c r="B2423" s="346" t="s">
        <v>5099</v>
      </c>
      <c r="C2423" s="346" t="s">
        <v>5100</v>
      </c>
    </row>
    <row r="2424" spans="1:3">
      <c r="A2424" s="347">
        <v>46090</v>
      </c>
      <c r="B2424" s="346" t="s">
        <v>5101</v>
      </c>
      <c r="C2424" s="346" t="s">
        <v>5102</v>
      </c>
    </row>
    <row r="2425" spans="1:3">
      <c r="A2425" s="347">
        <v>46090</v>
      </c>
      <c r="B2425" s="346" t="s">
        <v>5103</v>
      </c>
      <c r="C2425" s="346" t="s">
        <v>5104</v>
      </c>
    </row>
    <row r="2426" spans="1:3">
      <c r="A2426" s="347">
        <v>46090</v>
      </c>
      <c r="B2426" s="346" t="s">
        <v>5105</v>
      </c>
      <c r="C2426" s="346" t="s">
        <v>5106</v>
      </c>
    </row>
    <row r="2427" spans="1:3">
      <c r="A2427" s="347">
        <v>46090</v>
      </c>
      <c r="B2427" s="346" t="s">
        <v>5107</v>
      </c>
      <c r="C2427" s="346" t="s">
        <v>5108</v>
      </c>
    </row>
    <row r="2428" spans="1:3">
      <c r="A2428" s="347">
        <v>46090</v>
      </c>
      <c r="B2428" s="346" t="s">
        <v>5109</v>
      </c>
      <c r="C2428" s="346" t="s">
        <v>5110</v>
      </c>
    </row>
    <row r="2429" spans="1:3">
      <c r="A2429" s="347">
        <v>46090</v>
      </c>
      <c r="B2429" s="346" t="s">
        <v>5111</v>
      </c>
      <c r="C2429" s="346" t="s">
        <v>10648</v>
      </c>
    </row>
    <row r="2430" spans="1:3">
      <c r="A2430" s="347">
        <v>46090</v>
      </c>
      <c r="B2430" s="346" t="s">
        <v>5112</v>
      </c>
      <c r="C2430" s="346" t="s">
        <v>5113</v>
      </c>
    </row>
    <row r="2431" spans="1:3">
      <c r="A2431" s="347">
        <v>46090</v>
      </c>
      <c r="B2431" s="346" t="s">
        <v>5114</v>
      </c>
      <c r="C2431" s="346" t="s">
        <v>5115</v>
      </c>
    </row>
    <row r="2432" spans="1:3">
      <c r="A2432" s="347">
        <v>46090</v>
      </c>
      <c r="B2432" s="346" t="s">
        <v>5116</v>
      </c>
      <c r="C2432" s="346" t="s">
        <v>5117</v>
      </c>
    </row>
    <row r="2433" spans="1:3">
      <c r="A2433" s="347">
        <v>46090</v>
      </c>
      <c r="B2433" s="346" t="s">
        <v>5118</v>
      </c>
      <c r="C2433" s="346" t="s">
        <v>5119</v>
      </c>
    </row>
    <row r="2434" spans="1:3">
      <c r="A2434" s="347">
        <v>46090</v>
      </c>
      <c r="B2434" s="346" t="s">
        <v>5120</v>
      </c>
      <c r="C2434" s="346" t="s">
        <v>5121</v>
      </c>
    </row>
    <row r="2435" spans="1:3">
      <c r="A2435" s="347">
        <v>46090</v>
      </c>
      <c r="B2435" s="346" t="s">
        <v>5122</v>
      </c>
      <c r="C2435" s="346" t="s">
        <v>5123</v>
      </c>
    </row>
    <row r="2436" spans="1:3">
      <c r="A2436" s="347">
        <v>46090</v>
      </c>
      <c r="B2436" s="346" t="s">
        <v>5124</v>
      </c>
      <c r="C2436" s="346" t="s">
        <v>5125</v>
      </c>
    </row>
    <row r="2437" spans="1:3">
      <c r="A2437" s="347">
        <v>46090</v>
      </c>
      <c r="B2437" s="346" t="s">
        <v>5126</v>
      </c>
      <c r="C2437" s="346" t="s">
        <v>5127</v>
      </c>
    </row>
    <row r="2438" spans="1:3">
      <c r="A2438" s="347">
        <v>46090</v>
      </c>
      <c r="B2438" s="346" t="s">
        <v>5128</v>
      </c>
      <c r="C2438" s="346" t="s">
        <v>5129</v>
      </c>
    </row>
    <row r="2439" spans="1:3">
      <c r="A2439" s="347">
        <v>46090</v>
      </c>
      <c r="B2439" s="346" t="s">
        <v>5130</v>
      </c>
      <c r="C2439" s="346" t="s">
        <v>5131</v>
      </c>
    </row>
    <row r="2440" spans="1:3">
      <c r="A2440" s="347">
        <v>46090</v>
      </c>
      <c r="B2440" s="346" t="s">
        <v>5132</v>
      </c>
      <c r="C2440" s="346" t="s">
        <v>5133</v>
      </c>
    </row>
    <row r="2441" spans="1:3">
      <c r="A2441" s="347">
        <v>46090</v>
      </c>
      <c r="B2441" s="346" t="s">
        <v>5134</v>
      </c>
      <c r="C2441" s="346" t="s">
        <v>5135</v>
      </c>
    </row>
    <row r="2442" spans="1:3">
      <c r="A2442" s="347">
        <v>46090</v>
      </c>
      <c r="B2442" s="346" t="s">
        <v>5136</v>
      </c>
      <c r="C2442" s="346" t="s">
        <v>5137</v>
      </c>
    </row>
    <row r="2443" spans="1:3">
      <c r="A2443" s="347">
        <v>46090</v>
      </c>
      <c r="B2443" s="346" t="s">
        <v>5138</v>
      </c>
      <c r="C2443" s="346" t="s">
        <v>5139</v>
      </c>
    </row>
    <row r="2444" spans="1:3">
      <c r="A2444" s="347">
        <v>46090</v>
      </c>
      <c r="B2444" s="346" t="s">
        <v>5140</v>
      </c>
      <c r="C2444" s="346" t="s">
        <v>5141</v>
      </c>
    </row>
    <row r="2445" spans="1:3">
      <c r="A2445" s="347">
        <v>46090</v>
      </c>
      <c r="B2445" s="346" t="s">
        <v>5142</v>
      </c>
      <c r="C2445" s="346" t="s">
        <v>5143</v>
      </c>
    </row>
    <row r="2446" spans="1:3">
      <c r="A2446" s="347">
        <v>46090</v>
      </c>
      <c r="B2446" s="346" t="s">
        <v>5144</v>
      </c>
      <c r="C2446" s="346" t="s">
        <v>5145</v>
      </c>
    </row>
    <row r="2447" spans="1:3">
      <c r="A2447" s="347">
        <v>46090</v>
      </c>
      <c r="B2447" s="346" t="s">
        <v>5146</v>
      </c>
      <c r="C2447" s="346" t="s">
        <v>5147</v>
      </c>
    </row>
    <row r="2448" spans="1:3">
      <c r="A2448" s="347">
        <v>46090</v>
      </c>
      <c r="B2448" s="346" t="s">
        <v>5148</v>
      </c>
      <c r="C2448" s="346" t="s">
        <v>5149</v>
      </c>
    </row>
    <row r="2449" spans="1:3">
      <c r="A2449" s="347">
        <v>46090</v>
      </c>
      <c r="B2449" s="346" t="s">
        <v>5150</v>
      </c>
      <c r="C2449" s="346" t="s">
        <v>5151</v>
      </c>
    </row>
    <row r="2450" spans="1:3">
      <c r="A2450" s="347">
        <v>46090</v>
      </c>
      <c r="B2450" s="346" t="s">
        <v>5152</v>
      </c>
      <c r="C2450" s="346" t="s">
        <v>5153</v>
      </c>
    </row>
    <row r="2451" spans="1:3">
      <c r="A2451" s="347">
        <v>46090</v>
      </c>
      <c r="B2451" s="346" t="s">
        <v>5154</v>
      </c>
      <c r="C2451" s="346" t="s">
        <v>5155</v>
      </c>
    </row>
    <row r="2452" spans="1:3">
      <c r="A2452" s="347">
        <v>46090</v>
      </c>
      <c r="B2452" s="346" t="s">
        <v>5156</v>
      </c>
      <c r="C2452" s="346" t="s">
        <v>5157</v>
      </c>
    </row>
    <row r="2453" spans="1:3">
      <c r="A2453" s="347">
        <v>46090</v>
      </c>
      <c r="B2453" s="346" t="s">
        <v>5158</v>
      </c>
      <c r="C2453" s="346" t="s">
        <v>5159</v>
      </c>
    </row>
    <row r="2454" spans="1:3">
      <c r="A2454" s="347">
        <v>46090</v>
      </c>
      <c r="B2454" s="346" t="s">
        <v>5160</v>
      </c>
      <c r="C2454" s="346" t="s">
        <v>5161</v>
      </c>
    </row>
    <row r="2455" spans="1:3">
      <c r="A2455" s="347">
        <v>46090</v>
      </c>
      <c r="B2455" s="346" t="s">
        <v>5162</v>
      </c>
      <c r="C2455" s="346" t="s">
        <v>5163</v>
      </c>
    </row>
    <row r="2456" spans="1:3">
      <c r="A2456" s="347">
        <v>46090</v>
      </c>
      <c r="B2456" s="346" t="s">
        <v>5164</v>
      </c>
      <c r="C2456" s="346" t="s">
        <v>5165</v>
      </c>
    </row>
    <row r="2457" spans="1:3">
      <c r="A2457" s="347">
        <v>46090</v>
      </c>
      <c r="B2457" s="346" t="s">
        <v>5166</v>
      </c>
      <c r="C2457" s="346" t="s">
        <v>5167</v>
      </c>
    </row>
    <row r="2458" spans="1:3">
      <c r="A2458" s="347">
        <v>46090</v>
      </c>
      <c r="B2458" s="346" t="s">
        <v>5168</v>
      </c>
      <c r="C2458" s="346" t="s">
        <v>11081</v>
      </c>
    </row>
    <row r="2459" spans="1:3">
      <c r="A2459" s="347">
        <v>46090</v>
      </c>
      <c r="B2459" s="346" t="s">
        <v>5169</v>
      </c>
      <c r="C2459" s="346" t="s">
        <v>5170</v>
      </c>
    </row>
    <row r="2460" spans="1:3">
      <c r="A2460" s="347">
        <v>46090</v>
      </c>
      <c r="B2460" s="346" t="s">
        <v>5171</v>
      </c>
      <c r="C2460" s="346" t="s">
        <v>5172</v>
      </c>
    </row>
    <row r="2461" spans="1:3">
      <c r="A2461" s="347">
        <v>46090</v>
      </c>
      <c r="B2461" s="346" t="s">
        <v>5173</v>
      </c>
      <c r="C2461" s="346" t="s">
        <v>5174</v>
      </c>
    </row>
    <row r="2462" spans="1:3">
      <c r="A2462" s="347">
        <v>46090</v>
      </c>
      <c r="B2462" s="346" t="s">
        <v>5175</v>
      </c>
      <c r="C2462" s="346" t="s">
        <v>5176</v>
      </c>
    </row>
    <row r="2463" spans="1:3">
      <c r="A2463" s="347">
        <v>46090</v>
      </c>
      <c r="B2463" s="346" t="s">
        <v>5177</v>
      </c>
      <c r="C2463" s="346" t="s">
        <v>11082</v>
      </c>
    </row>
    <row r="2464" spans="1:3">
      <c r="A2464" s="347">
        <v>46090</v>
      </c>
      <c r="B2464" s="346" t="s">
        <v>5178</v>
      </c>
      <c r="C2464" s="346" t="s">
        <v>5179</v>
      </c>
    </row>
    <row r="2465" spans="1:3">
      <c r="A2465" s="347">
        <v>46090</v>
      </c>
      <c r="B2465" s="346" t="s">
        <v>5180</v>
      </c>
      <c r="C2465" s="346" t="s">
        <v>5181</v>
      </c>
    </row>
    <row r="2466" spans="1:3">
      <c r="A2466" s="347">
        <v>46090</v>
      </c>
      <c r="B2466" s="346" t="s">
        <v>5182</v>
      </c>
      <c r="C2466" s="346" t="s">
        <v>5183</v>
      </c>
    </row>
    <row r="2467" spans="1:3">
      <c r="A2467" s="347">
        <v>46090</v>
      </c>
      <c r="B2467" s="346" t="s">
        <v>5184</v>
      </c>
      <c r="C2467" s="346" t="s">
        <v>5185</v>
      </c>
    </row>
    <row r="2468" spans="1:3">
      <c r="A2468" s="347">
        <v>46090</v>
      </c>
      <c r="B2468" s="346" t="s">
        <v>5186</v>
      </c>
      <c r="C2468" s="346" t="s">
        <v>5187</v>
      </c>
    </row>
    <row r="2469" spans="1:3">
      <c r="A2469" s="347">
        <v>46090</v>
      </c>
      <c r="B2469" s="346" t="s">
        <v>5188</v>
      </c>
      <c r="C2469" s="346" t="s">
        <v>5189</v>
      </c>
    </row>
    <row r="2470" spans="1:3">
      <c r="A2470" s="347">
        <v>46090</v>
      </c>
      <c r="B2470" s="346" t="s">
        <v>5190</v>
      </c>
      <c r="C2470" s="346" t="s">
        <v>5191</v>
      </c>
    </row>
    <row r="2471" spans="1:3">
      <c r="A2471" s="347">
        <v>46090</v>
      </c>
      <c r="B2471" s="346" t="s">
        <v>5192</v>
      </c>
      <c r="C2471" s="346" t="s">
        <v>5193</v>
      </c>
    </row>
    <row r="2472" spans="1:3">
      <c r="A2472" s="347">
        <v>46090</v>
      </c>
      <c r="B2472" s="346" t="s">
        <v>5194</v>
      </c>
      <c r="C2472" s="346" t="s">
        <v>5195</v>
      </c>
    </row>
    <row r="2473" spans="1:3">
      <c r="A2473" s="347">
        <v>46090</v>
      </c>
      <c r="B2473" s="346" t="s">
        <v>5196</v>
      </c>
      <c r="C2473" s="346" t="s">
        <v>5197</v>
      </c>
    </row>
    <row r="2474" spans="1:3">
      <c r="A2474" s="347">
        <v>46090</v>
      </c>
      <c r="B2474" s="346" t="s">
        <v>5198</v>
      </c>
      <c r="C2474" s="346" t="s">
        <v>5199</v>
      </c>
    </row>
    <row r="2475" spans="1:3">
      <c r="A2475" s="347">
        <v>46090</v>
      </c>
      <c r="B2475" s="346" t="s">
        <v>5200</v>
      </c>
      <c r="C2475" s="346" t="s">
        <v>5201</v>
      </c>
    </row>
    <row r="2476" spans="1:3">
      <c r="A2476" s="347">
        <v>46090</v>
      </c>
      <c r="B2476" s="346" t="s">
        <v>5202</v>
      </c>
      <c r="C2476" s="346" t="s">
        <v>5203</v>
      </c>
    </row>
    <row r="2477" spans="1:3">
      <c r="A2477" s="347">
        <v>46090</v>
      </c>
      <c r="B2477" s="346" t="s">
        <v>5204</v>
      </c>
      <c r="C2477" s="346" t="s">
        <v>5205</v>
      </c>
    </row>
    <row r="2478" spans="1:3">
      <c r="A2478" s="347">
        <v>46090</v>
      </c>
      <c r="B2478" s="346" t="s">
        <v>5206</v>
      </c>
      <c r="C2478" s="346" t="s">
        <v>5207</v>
      </c>
    </row>
    <row r="2479" spans="1:3">
      <c r="A2479" s="347">
        <v>46090</v>
      </c>
      <c r="B2479" s="346" t="s">
        <v>5208</v>
      </c>
      <c r="C2479" s="346" t="s">
        <v>5209</v>
      </c>
    </row>
    <row r="2480" spans="1:3">
      <c r="A2480" s="347">
        <v>46090</v>
      </c>
      <c r="B2480" s="346" t="s">
        <v>5210</v>
      </c>
      <c r="C2480" s="346" t="s">
        <v>5211</v>
      </c>
    </row>
    <row r="2481" spans="1:3">
      <c r="A2481" s="347">
        <v>46090</v>
      </c>
      <c r="B2481" s="346" t="s">
        <v>5212</v>
      </c>
      <c r="C2481" s="346" t="s">
        <v>5213</v>
      </c>
    </row>
    <row r="2482" spans="1:3">
      <c r="A2482" s="347">
        <v>46090</v>
      </c>
      <c r="B2482" s="346" t="s">
        <v>5214</v>
      </c>
      <c r="C2482" s="346" t="s">
        <v>5215</v>
      </c>
    </row>
    <row r="2483" spans="1:3">
      <c r="A2483" s="347">
        <v>46090</v>
      </c>
      <c r="B2483" s="346" t="s">
        <v>5216</v>
      </c>
      <c r="C2483" s="346" t="s">
        <v>5217</v>
      </c>
    </row>
    <row r="2484" spans="1:3">
      <c r="A2484" s="347">
        <v>46090</v>
      </c>
      <c r="B2484" s="346" t="s">
        <v>5218</v>
      </c>
      <c r="C2484" s="346" t="s">
        <v>5219</v>
      </c>
    </row>
    <row r="2485" spans="1:3">
      <c r="A2485" s="347">
        <v>46090</v>
      </c>
      <c r="B2485" s="346" t="s">
        <v>5220</v>
      </c>
      <c r="C2485" s="346" t="s">
        <v>5221</v>
      </c>
    </row>
    <row r="2486" spans="1:3">
      <c r="A2486" s="347">
        <v>46090</v>
      </c>
      <c r="B2486" s="346" t="s">
        <v>5222</v>
      </c>
      <c r="C2486" s="346" t="s">
        <v>5223</v>
      </c>
    </row>
    <row r="2487" spans="1:3">
      <c r="A2487" s="347">
        <v>46090</v>
      </c>
      <c r="B2487" s="346" t="s">
        <v>5224</v>
      </c>
      <c r="C2487" s="346" t="s">
        <v>5225</v>
      </c>
    </row>
    <row r="2488" spans="1:3">
      <c r="A2488" s="347">
        <v>46090</v>
      </c>
      <c r="B2488" s="346" t="s">
        <v>5226</v>
      </c>
      <c r="C2488" s="346" t="s">
        <v>5227</v>
      </c>
    </row>
    <row r="2489" spans="1:3">
      <c r="A2489" s="347">
        <v>46090</v>
      </c>
      <c r="B2489" s="346" t="s">
        <v>5228</v>
      </c>
      <c r="C2489" s="346" t="s">
        <v>5229</v>
      </c>
    </row>
    <row r="2490" spans="1:3">
      <c r="A2490" s="347">
        <v>46090</v>
      </c>
      <c r="B2490" s="346" t="s">
        <v>5230</v>
      </c>
      <c r="C2490" s="346" t="s">
        <v>5231</v>
      </c>
    </row>
    <row r="2491" spans="1:3">
      <c r="A2491" s="347">
        <v>46090</v>
      </c>
      <c r="B2491" s="346" t="s">
        <v>5232</v>
      </c>
      <c r="C2491" s="346" t="s">
        <v>5233</v>
      </c>
    </row>
    <row r="2492" spans="1:3">
      <c r="A2492" s="347">
        <v>46090</v>
      </c>
      <c r="B2492" s="346" t="s">
        <v>5234</v>
      </c>
      <c r="C2492" s="346" t="s">
        <v>5235</v>
      </c>
    </row>
    <row r="2493" spans="1:3">
      <c r="A2493" s="347">
        <v>46090</v>
      </c>
      <c r="B2493" s="346" t="s">
        <v>5236</v>
      </c>
      <c r="C2493" s="346" t="s">
        <v>5237</v>
      </c>
    </row>
    <row r="2494" spans="1:3">
      <c r="A2494" s="347">
        <v>46090</v>
      </c>
      <c r="B2494" s="346" t="s">
        <v>5238</v>
      </c>
      <c r="C2494" s="346" t="s">
        <v>5239</v>
      </c>
    </row>
    <row r="2495" spans="1:3">
      <c r="A2495" s="347">
        <v>46090</v>
      </c>
      <c r="B2495" s="346" t="s">
        <v>5240</v>
      </c>
      <c r="C2495" s="346" t="s">
        <v>5241</v>
      </c>
    </row>
    <row r="2496" spans="1:3">
      <c r="A2496" s="347">
        <v>46090</v>
      </c>
      <c r="B2496" s="346" t="s">
        <v>5242</v>
      </c>
      <c r="C2496" s="346" t="s">
        <v>5243</v>
      </c>
    </row>
    <row r="2497" spans="1:3">
      <c r="A2497" s="347">
        <v>46090</v>
      </c>
      <c r="B2497" s="346" t="s">
        <v>5244</v>
      </c>
      <c r="C2497" s="346" t="s">
        <v>5245</v>
      </c>
    </row>
    <row r="2498" spans="1:3">
      <c r="A2498" s="347">
        <v>46090</v>
      </c>
      <c r="B2498" s="346" t="s">
        <v>5246</v>
      </c>
      <c r="C2498" s="346" t="s">
        <v>5247</v>
      </c>
    </row>
    <row r="2499" spans="1:3">
      <c r="A2499" s="347">
        <v>46090</v>
      </c>
      <c r="B2499" s="346" t="s">
        <v>5248</v>
      </c>
      <c r="C2499" s="346" t="s">
        <v>5249</v>
      </c>
    </row>
    <row r="2500" spans="1:3">
      <c r="A2500" s="347">
        <v>46090</v>
      </c>
      <c r="B2500" s="346" t="s">
        <v>5250</v>
      </c>
      <c r="C2500" s="346" t="s">
        <v>5251</v>
      </c>
    </row>
    <row r="2501" spans="1:3">
      <c r="A2501" s="347">
        <v>46090</v>
      </c>
      <c r="B2501" s="346" t="s">
        <v>5252</v>
      </c>
      <c r="C2501" s="346" t="s">
        <v>5253</v>
      </c>
    </row>
    <row r="2502" spans="1:3">
      <c r="A2502" s="347">
        <v>46090</v>
      </c>
      <c r="B2502" s="346" t="s">
        <v>5254</v>
      </c>
      <c r="C2502" s="346" t="s">
        <v>5255</v>
      </c>
    </row>
    <row r="2503" spans="1:3">
      <c r="A2503" s="347">
        <v>46090</v>
      </c>
      <c r="B2503" s="346" t="s">
        <v>5256</v>
      </c>
      <c r="C2503" s="346" t="s">
        <v>5257</v>
      </c>
    </row>
    <row r="2504" spans="1:3">
      <c r="A2504" s="347">
        <v>46090</v>
      </c>
      <c r="B2504" s="346" t="s">
        <v>5258</v>
      </c>
      <c r="C2504" s="346" t="s">
        <v>5259</v>
      </c>
    </row>
    <row r="2505" spans="1:3">
      <c r="A2505" s="347">
        <v>46090</v>
      </c>
      <c r="B2505" s="346" t="s">
        <v>5260</v>
      </c>
      <c r="C2505" s="346" t="s">
        <v>5261</v>
      </c>
    </row>
    <row r="2506" spans="1:3">
      <c r="A2506" s="347">
        <v>46090</v>
      </c>
      <c r="B2506" s="346" t="s">
        <v>5262</v>
      </c>
      <c r="C2506" s="346" t="s">
        <v>5263</v>
      </c>
    </row>
    <row r="2507" spans="1:3">
      <c r="A2507" s="347">
        <v>46090</v>
      </c>
      <c r="B2507" s="346" t="s">
        <v>5264</v>
      </c>
      <c r="C2507" s="346" t="s">
        <v>5265</v>
      </c>
    </row>
    <row r="2508" spans="1:3">
      <c r="A2508" s="347">
        <v>46090</v>
      </c>
      <c r="B2508" s="346" t="s">
        <v>5266</v>
      </c>
      <c r="C2508" s="346" t="s">
        <v>5267</v>
      </c>
    </row>
    <row r="2509" spans="1:3">
      <c r="A2509" s="347">
        <v>46090</v>
      </c>
      <c r="B2509" s="346" t="s">
        <v>5268</v>
      </c>
      <c r="C2509" s="346" t="s">
        <v>5269</v>
      </c>
    </row>
    <row r="2510" spans="1:3">
      <c r="A2510" s="347">
        <v>46090</v>
      </c>
      <c r="B2510" s="346" t="s">
        <v>5270</v>
      </c>
      <c r="C2510" s="346" t="s">
        <v>5271</v>
      </c>
    </row>
    <row r="2511" spans="1:3">
      <c r="A2511" s="347">
        <v>46090</v>
      </c>
      <c r="B2511" s="346" t="s">
        <v>5272</v>
      </c>
      <c r="C2511" s="346" t="s">
        <v>5273</v>
      </c>
    </row>
    <row r="2512" spans="1:3">
      <c r="A2512" s="347">
        <v>46090</v>
      </c>
      <c r="B2512" s="346" t="s">
        <v>5274</v>
      </c>
      <c r="C2512" s="346" t="s">
        <v>5275</v>
      </c>
    </row>
    <row r="2513" spans="1:3">
      <c r="A2513" s="347">
        <v>46090</v>
      </c>
      <c r="B2513" s="346" t="s">
        <v>5276</v>
      </c>
      <c r="C2513" s="346" t="s">
        <v>5277</v>
      </c>
    </row>
    <row r="2514" spans="1:3">
      <c r="A2514" s="347">
        <v>46090</v>
      </c>
      <c r="B2514" s="346" t="s">
        <v>5278</v>
      </c>
      <c r="C2514" s="346" t="s">
        <v>5279</v>
      </c>
    </row>
    <row r="2515" spans="1:3">
      <c r="A2515" s="347">
        <v>46090</v>
      </c>
      <c r="B2515" s="346" t="s">
        <v>5280</v>
      </c>
      <c r="C2515" s="346" t="s">
        <v>5281</v>
      </c>
    </row>
    <row r="2516" spans="1:3">
      <c r="A2516" s="347">
        <v>46090</v>
      </c>
      <c r="B2516" s="346" t="s">
        <v>5282</v>
      </c>
      <c r="C2516" s="346" t="s">
        <v>5283</v>
      </c>
    </row>
    <row r="2517" spans="1:3">
      <c r="A2517" s="347">
        <v>46090</v>
      </c>
      <c r="B2517" s="346" t="s">
        <v>5284</v>
      </c>
      <c r="C2517" s="346" t="s">
        <v>5285</v>
      </c>
    </row>
    <row r="2518" spans="1:3">
      <c r="A2518" s="347">
        <v>46090</v>
      </c>
      <c r="B2518" s="346" t="s">
        <v>5286</v>
      </c>
      <c r="C2518" s="346" t="s">
        <v>5287</v>
      </c>
    </row>
    <row r="2519" spans="1:3">
      <c r="A2519" s="347">
        <v>46090</v>
      </c>
      <c r="B2519" s="346" t="s">
        <v>5288</v>
      </c>
      <c r="C2519" s="346" t="s">
        <v>5289</v>
      </c>
    </row>
    <row r="2520" spans="1:3">
      <c r="A2520" s="347">
        <v>46090</v>
      </c>
      <c r="B2520" s="346" t="s">
        <v>5290</v>
      </c>
      <c r="C2520" s="346" t="s">
        <v>5291</v>
      </c>
    </row>
    <row r="2521" spans="1:3">
      <c r="A2521" s="347">
        <v>46090</v>
      </c>
      <c r="B2521" s="346" t="s">
        <v>5292</v>
      </c>
      <c r="C2521" s="346" t="s">
        <v>5293</v>
      </c>
    </row>
    <row r="2522" spans="1:3">
      <c r="A2522" s="347">
        <v>46090</v>
      </c>
      <c r="B2522" s="346" t="s">
        <v>5294</v>
      </c>
      <c r="C2522" s="346" t="s">
        <v>5295</v>
      </c>
    </row>
    <row r="2523" spans="1:3">
      <c r="A2523" s="347">
        <v>46090</v>
      </c>
      <c r="B2523" s="346" t="s">
        <v>5296</v>
      </c>
      <c r="C2523" s="346" t="s">
        <v>5297</v>
      </c>
    </row>
    <row r="2524" spans="1:3">
      <c r="A2524" s="347">
        <v>46090</v>
      </c>
      <c r="B2524" s="346" t="s">
        <v>5298</v>
      </c>
      <c r="C2524" s="346" t="s">
        <v>5299</v>
      </c>
    </row>
    <row r="2525" spans="1:3">
      <c r="A2525" s="347">
        <v>46090</v>
      </c>
      <c r="B2525" s="346" t="s">
        <v>5300</v>
      </c>
      <c r="C2525" s="346" t="s">
        <v>5301</v>
      </c>
    </row>
    <row r="2526" spans="1:3">
      <c r="A2526" s="347">
        <v>46090</v>
      </c>
      <c r="B2526" s="346" t="s">
        <v>5302</v>
      </c>
      <c r="C2526" s="346" t="s">
        <v>5303</v>
      </c>
    </row>
    <row r="2527" spans="1:3">
      <c r="A2527" s="347">
        <v>46090</v>
      </c>
      <c r="B2527" s="346" t="s">
        <v>5304</v>
      </c>
      <c r="C2527" s="346" t="s">
        <v>5305</v>
      </c>
    </row>
    <row r="2528" spans="1:3">
      <c r="A2528" s="347">
        <v>46090</v>
      </c>
      <c r="B2528" s="346" t="s">
        <v>5306</v>
      </c>
      <c r="C2528" s="346" t="s">
        <v>5307</v>
      </c>
    </row>
    <row r="2529" spans="1:3">
      <c r="A2529" s="347">
        <v>46090</v>
      </c>
      <c r="B2529" s="346" t="s">
        <v>5308</v>
      </c>
      <c r="C2529" s="346" t="s">
        <v>5309</v>
      </c>
    </row>
    <row r="2530" spans="1:3">
      <c r="A2530" s="347">
        <v>46090</v>
      </c>
      <c r="B2530" s="346" t="s">
        <v>5310</v>
      </c>
      <c r="C2530" s="346" t="s">
        <v>5311</v>
      </c>
    </row>
    <row r="2531" spans="1:3">
      <c r="A2531" s="347">
        <v>46090</v>
      </c>
      <c r="B2531" s="346" t="s">
        <v>5312</v>
      </c>
      <c r="C2531" s="346" t="s">
        <v>5313</v>
      </c>
    </row>
    <row r="2532" spans="1:3">
      <c r="A2532" s="347">
        <v>46090</v>
      </c>
      <c r="B2532" s="346" t="s">
        <v>5314</v>
      </c>
      <c r="C2532" s="346" t="s">
        <v>5315</v>
      </c>
    </row>
    <row r="2533" spans="1:3">
      <c r="A2533" s="347">
        <v>46090</v>
      </c>
      <c r="B2533" s="346" t="s">
        <v>5316</v>
      </c>
      <c r="C2533" s="346" t="s">
        <v>5317</v>
      </c>
    </row>
    <row r="2534" spans="1:3">
      <c r="A2534" s="347">
        <v>46090</v>
      </c>
      <c r="B2534" s="346" t="s">
        <v>5318</v>
      </c>
      <c r="C2534" s="346" t="s">
        <v>5319</v>
      </c>
    </row>
    <row r="2535" spans="1:3">
      <c r="A2535" s="347">
        <v>46090</v>
      </c>
      <c r="B2535" s="346" t="s">
        <v>5320</v>
      </c>
      <c r="C2535" s="346" t="s">
        <v>5321</v>
      </c>
    </row>
    <row r="2536" spans="1:3">
      <c r="A2536" s="347">
        <v>46090</v>
      </c>
      <c r="B2536" s="346" t="s">
        <v>5322</v>
      </c>
      <c r="C2536" s="346" t="s">
        <v>5323</v>
      </c>
    </row>
    <row r="2537" spans="1:3">
      <c r="A2537" s="347">
        <v>46090</v>
      </c>
      <c r="B2537" s="346" t="s">
        <v>5324</v>
      </c>
      <c r="C2537" s="346" t="s">
        <v>10649</v>
      </c>
    </row>
    <row r="2538" spans="1:3">
      <c r="A2538" s="347">
        <v>46090</v>
      </c>
      <c r="B2538" s="346" t="s">
        <v>5325</v>
      </c>
      <c r="C2538" s="346" t="s">
        <v>5326</v>
      </c>
    </row>
    <row r="2539" spans="1:3">
      <c r="A2539" s="347">
        <v>46090</v>
      </c>
      <c r="B2539" s="346" t="s">
        <v>5327</v>
      </c>
      <c r="C2539" s="346" t="s">
        <v>5328</v>
      </c>
    </row>
    <row r="2540" spans="1:3">
      <c r="A2540" s="347">
        <v>46090</v>
      </c>
      <c r="B2540" s="346" t="s">
        <v>5329</v>
      </c>
      <c r="C2540" s="346" t="s">
        <v>5330</v>
      </c>
    </row>
    <row r="2541" spans="1:3">
      <c r="A2541" s="347">
        <v>46090</v>
      </c>
      <c r="B2541" s="346" t="s">
        <v>5331</v>
      </c>
      <c r="C2541" s="346" t="s">
        <v>10650</v>
      </c>
    </row>
    <row r="2542" spans="1:3">
      <c r="A2542" s="347">
        <v>46090</v>
      </c>
      <c r="B2542" s="346" t="s">
        <v>5332</v>
      </c>
      <c r="C2542" s="346" t="s">
        <v>5333</v>
      </c>
    </row>
    <row r="2543" spans="1:3">
      <c r="A2543" s="347">
        <v>46090</v>
      </c>
      <c r="B2543" s="346" t="s">
        <v>5334</v>
      </c>
      <c r="C2543" s="346" t="s">
        <v>5335</v>
      </c>
    </row>
    <row r="2544" spans="1:3">
      <c r="A2544" s="347">
        <v>46090</v>
      </c>
      <c r="B2544" s="346" t="s">
        <v>5336</v>
      </c>
      <c r="C2544" s="346" t="s">
        <v>5337</v>
      </c>
    </row>
    <row r="2545" spans="1:3">
      <c r="A2545" s="347">
        <v>46090</v>
      </c>
      <c r="B2545" s="346" t="s">
        <v>5338</v>
      </c>
      <c r="C2545" s="346" t="s">
        <v>5339</v>
      </c>
    </row>
    <row r="2546" spans="1:3">
      <c r="A2546" s="347">
        <v>46090</v>
      </c>
      <c r="B2546" s="346" t="s">
        <v>5340</v>
      </c>
      <c r="C2546" s="346" t="s">
        <v>5341</v>
      </c>
    </row>
    <row r="2547" spans="1:3">
      <c r="A2547" s="347">
        <v>46090</v>
      </c>
      <c r="B2547" s="346" t="s">
        <v>5342</v>
      </c>
      <c r="C2547" s="346" t="s">
        <v>5343</v>
      </c>
    </row>
    <row r="2548" spans="1:3">
      <c r="A2548" s="347">
        <v>46090</v>
      </c>
      <c r="B2548" s="346" t="s">
        <v>5344</v>
      </c>
      <c r="C2548" s="346" t="s">
        <v>5345</v>
      </c>
    </row>
    <row r="2549" spans="1:3">
      <c r="A2549" s="347">
        <v>46090</v>
      </c>
      <c r="B2549" s="346" t="s">
        <v>5346</v>
      </c>
      <c r="C2549" s="346" t="s">
        <v>5347</v>
      </c>
    </row>
    <row r="2550" spans="1:3">
      <c r="A2550" s="347">
        <v>46090</v>
      </c>
      <c r="B2550" s="346" t="s">
        <v>5348</v>
      </c>
      <c r="C2550" s="346" t="s">
        <v>5349</v>
      </c>
    </row>
    <row r="2551" spans="1:3">
      <c r="A2551" s="347">
        <v>46090</v>
      </c>
      <c r="B2551" s="346" t="s">
        <v>5350</v>
      </c>
      <c r="C2551" s="346" t="s">
        <v>5351</v>
      </c>
    </row>
    <row r="2552" spans="1:3">
      <c r="A2552" s="347">
        <v>46090</v>
      </c>
      <c r="B2552" s="346" t="s">
        <v>5352</v>
      </c>
      <c r="C2552" s="346" t="s">
        <v>10651</v>
      </c>
    </row>
    <row r="2553" spans="1:3">
      <c r="A2553" s="347">
        <v>46090</v>
      </c>
      <c r="B2553" s="346" t="s">
        <v>5353</v>
      </c>
      <c r="C2553" s="346" t="s">
        <v>5354</v>
      </c>
    </row>
    <row r="2554" spans="1:3">
      <c r="A2554" s="347">
        <v>46090</v>
      </c>
      <c r="B2554" s="346" t="s">
        <v>5355</v>
      </c>
      <c r="C2554" s="346" t="s">
        <v>5356</v>
      </c>
    </row>
    <row r="2555" spans="1:3">
      <c r="A2555" s="347">
        <v>46090</v>
      </c>
      <c r="B2555" s="346" t="s">
        <v>5357</v>
      </c>
      <c r="C2555" s="346" t="s">
        <v>5358</v>
      </c>
    </row>
    <row r="2556" spans="1:3">
      <c r="A2556" s="347">
        <v>46090</v>
      </c>
      <c r="B2556" s="346" t="s">
        <v>5359</v>
      </c>
      <c r="C2556" s="346" t="s">
        <v>5360</v>
      </c>
    </row>
    <row r="2557" spans="1:3">
      <c r="A2557" s="347">
        <v>46090</v>
      </c>
      <c r="B2557" s="346" t="s">
        <v>5361</v>
      </c>
      <c r="C2557" s="346" t="s">
        <v>5362</v>
      </c>
    </row>
    <row r="2558" spans="1:3">
      <c r="A2558" s="347">
        <v>46090</v>
      </c>
      <c r="B2558" s="346" t="s">
        <v>5363</v>
      </c>
      <c r="C2558" s="346" t="s">
        <v>5364</v>
      </c>
    </row>
    <row r="2559" spans="1:3">
      <c r="A2559" s="347">
        <v>46090</v>
      </c>
      <c r="B2559" s="346" t="s">
        <v>5365</v>
      </c>
      <c r="C2559" s="346" t="s">
        <v>5366</v>
      </c>
    </row>
    <row r="2560" spans="1:3">
      <c r="A2560" s="347">
        <v>46090</v>
      </c>
      <c r="B2560" s="346" t="s">
        <v>5367</v>
      </c>
      <c r="C2560" s="346" t="s">
        <v>5368</v>
      </c>
    </row>
    <row r="2561" spans="1:3">
      <c r="A2561" s="347">
        <v>46090</v>
      </c>
      <c r="B2561" s="346" t="s">
        <v>5369</v>
      </c>
      <c r="C2561" s="346" t="s">
        <v>5370</v>
      </c>
    </row>
    <row r="2562" spans="1:3">
      <c r="A2562" s="347">
        <v>46090</v>
      </c>
      <c r="B2562" s="346" t="s">
        <v>5371</v>
      </c>
      <c r="C2562" s="346" t="s">
        <v>5372</v>
      </c>
    </row>
    <row r="2563" spans="1:3">
      <c r="A2563" s="347">
        <v>46090</v>
      </c>
      <c r="B2563" s="346" t="s">
        <v>5373</v>
      </c>
      <c r="C2563" s="346" t="s">
        <v>5374</v>
      </c>
    </row>
    <row r="2564" spans="1:3">
      <c r="A2564" s="347">
        <v>46090</v>
      </c>
      <c r="B2564" s="346" t="s">
        <v>5375</v>
      </c>
      <c r="C2564" s="346" t="s">
        <v>5376</v>
      </c>
    </row>
    <row r="2565" spans="1:3">
      <c r="A2565" s="347">
        <v>46090</v>
      </c>
      <c r="B2565" s="346" t="s">
        <v>5377</v>
      </c>
      <c r="C2565" s="346" t="s">
        <v>5378</v>
      </c>
    </row>
    <row r="2566" spans="1:3">
      <c r="A2566" s="347">
        <v>46090</v>
      </c>
      <c r="B2566" s="346" t="s">
        <v>5379</v>
      </c>
      <c r="C2566" s="346" t="s">
        <v>5380</v>
      </c>
    </row>
    <row r="2567" spans="1:3">
      <c r="A2567" s="347">
        <v>46090</v>
      </c>
      <c r="B2567" s="346" t="s">
        <v>5381</v>
      </c>
      <c r="C2567" s="346" t="s">
        <v>5382</v>
      </c>
    </row>
    <row r="2568" spans="1:3">
      <c r="A2568" s="347">
        <v>46090</v>
      </c>
      <c r="B2568" s="346" t="s">
        <v>5383</v>
      </c>
      <c r="C2568" s="346" t="s">
        <v>5384</v>
      </c>
    </row>
    <row r="2569" spans="1:3">
      <c r="A2569" s="347">
        <v>46090</v>
      </c>
      <c r="B2569" s="346" t="s">
        <v>5385</v>
      </c>
      <c r="C2569" s="346" t="s">
        <v>5386</v>
      </c>
    </row>
    <row r="2570" spans="1:3">
      <c r="A2570" s="347">
        <v>46090</v>
      </c>
      <c r="B2570" s="346" t="s">
        <v>5387</v>
      </c>
      <c r="C2570" s="346" t="s">
        <v>5388</v>
      </c>
    </row>
    <row r="2571" spans="1:3">
      <c r="A2571" s="347">
        <v>46090</v>
      </c>
      <c r="B2571" s="346" t="s">
        <v>5389</v>
      </c>
      <c r="C2571" s="346" t="s">
        <v>5390</v>
      </c>
    </row>
    <row r="2572" spans="1:3">
      <c r="A2572" s="347">
        <v>46090</v>
      </c>
      <c r="B2572" s="346" t="s">
        <v>5391</v>
      </c>
      <c r="C2572" s="346" t="s">
        <v>5392</v>
      </c>
    </row>
    <row r="2573" spans="1:3">
      <c r="A2573" s="347">
        <v>46090</v>
      </c>
      <c r="B2573" s="346" t="s">
        <v>5393</v>
      </c>
      <c r="C2573" s="346" t="s">
        <v>5394</v>
      </c>
    </row>
    <row r="2574" spans="1:3">
      <c r="A2574" s="347">
        <v>46090</v>
      </c>
      <c r="B2574" s="346" t="s">
        <v>5395</v>
      </c>
      <c r="C2574" s="346" t="s">
        <v>5396</v>
      </c>
    </row>
    <row r="2575" spans="1:3">
      <c r="A2575" s="347">
        <v>46090</v>
      </c>
      <c r="B2575" s="346" t="s">
        <v>5397</v>
      </c>
      <c r="C2575" s="346" t="s">
        <v>5398</v>
      </c>
    </row>
    <row r="2576" spans="1:3">
      <c r="A2576" s="347">
        <v>46090</v>
      </c>
      <c r="B2576" s="346" t="s">
        <v>5399</v>
      </c>
      <c r="C2576" s="346" t="s">
        <v>5400</v>
      </c>
    </row>
    <row r="2577" spans="1:3">
      <c r="A2577" s="347">
        <v>46090</v>
      </c>
      <c r="B2577" s="346" t="s">
        <v>5401</v>
      </c>
      <c r="C2577" s="346" t="s">
        <v>5402</v>
      </c>
    </row>
    <row r="2578" spans="1:3">
      <c r="A2578" s="347">
        <v>46090</v>
      </c>
      <c r="B2578" s="346" t="s">
        <v>5403</v>
      </c>
      <c r="C2578" s="346" t="s">
        <v>5404</v>
      </c>
    </row>
    <row r="2579" spans="1:3">
      <c r="A2579" s="347">
        <v>46090</v>
      </c>
      <c r="B2579" s="346" t="s">
        <v>5405</v>
      </c>
      <c r="C2579" s="346" t="s">
        <v>5406</v>
      </c>
    </row>
    <row r="2580" spans="1:3">
      <c r="A2580" s="347">
        <v>46090</v>
      </c>
      <c r="B2580" s="346" t="s">
        <v>5407</v>
      </c>
      <c r="C2580" s="346" t="s">
        <v>5408</v>
      </c>
    </row>
    <row r="2581" spans="1:3">
      <c r="A2581" s="347">
        <v>46090</v>
      </c>
      <c r="B2581" s="346" t="s">
        <v>5409</v>
      </c>
      <c r="C2581" s="346" t="s">
        <v>5410</v>
      </c>
    </row>
    <row r="2582" spans="1:3">
      <c r="A2582" s="347">
        <v>46090</v>
      </c>
      <c r="B2582" s="346" t="s">
        <v>5411</v>
      </c>
      <c r="C2582" s="346" t="s">
        <v>5412</v>
      </c>
    </row>
    <row r="2583" spans="1:3">
      <c r="A2583" s="347">
        <v>46090</v>
      </c>
      <c r="B2583" s="346" t="s">
        <v>5413</v>
      </c>
      <c r="C2583" s="346" t="s">
        <v>5414</v>
      </c>
    </row>
    <row r="2584" spans="1:3">
      <c r="A2584" s="347">
        <v>46090</v>
      </c>
      <c r="B2584" s="346" t="s">
        <v>5415</v>
      </c>
      <c r="C2584" s="346" t="s">
        <v>5416</v>
      </c>
    </row>
    <row r="2585" spans="1:3">
      <c r="A2585" s="347">
        <v>46090</v>
      </c>
      <c r="B2585" s="346" t="s">
        <v>5417</v>
      </c>
      <c r="C2585" s="346" t="s">
        <v>5418</v>
      </c>
    </row>
    <row r="2586" spans="1:3">
      <c r="A2586" s="347">
        <v>46090</v>
      </c>
      <c r="B2586" s="346" t="s">
        <v>5419</v>
      </c>
      <c r="C2586" s="346" t="s">
        <v>5420</v>
      </c>
    </row>
    <row r="2587" spans="1:3">
      <c r="A2587" s="347">
        <v>46090</v>
      </c>
      <c r="B2587" s="346" t="s">
        <v>5421</v>
      </c>
      <c r="C2587" s="346" t="s">
        <v>5422</v>
      </c>
    </row>
    <row r="2588" spans="1:3">
      <c r="A2588" s="347">
        <v>46090</v>
      </c>
      <c r="B2588" s="346" t="s">
        <v>10652</v>
      </c>
      <c r="C2588" s="346" t="s">
        <v>10653</v>
      </c>
    </row>
    <row r="2589" spans="1:3">
      <c r="A2589" s="347">
        <v>46090</v>
      </c>
      <c r="B2589" s="346" t="s">
        <v>5423</v>
      </c>
      <c r="C2589" s="346" t="s">
        <v>5424</v>
      </c>
    </row>
    <row r="2590" spans="1:3">
      <c r="A2590" s="347">
        <v>46090</v>
      </c>
      <c r="B2590" s="346" t="s">
        <v>5425</v>
      </c>
      <c r="C2590" s="346" t="s">
        <v>5426</v>
      </c>
    </row>
    <row r="2591" spans="1:3">
      <c r="A2591" s="347">
        <v>46090</v>
      </c>
      <c r="B2591" s="346" t="s">
        <v>5427</v>
      </c>
      <c r="C2591" s="346" t="s">
        <v>5428</v>
      </c>
    </row>
    <row r="2592" spans="1:3">
      <c r="A2592" s="347">
        <v>46090</v>
      </c>
      <c r="B2592" s="346" t="s">
        <v>5429</v>
      </c>
      <c r="C2592" s="346" t="s">
        <v>5430</v>
      </c>
    </row>
    <row r="2593" spans="1:3">
      <c r="A2593" s="347">
        <v>46090</v>
      </c>
      <c r="B2593" s="346" t="s">
        <v>5431</v>
      </c>
      <c r="C2593" s="346" t="s">
        <v>5432</v>
      </c>
    </row>
    <row r="2594" spans="1:3">
      <c r="A2594" s="347">
        <v>46090</v>
      </c>
      <c r="B2594" s="346" t="s">
        <v>5433</v>
      </c>
      <c r="C2594" s="346" t="s">
        <v>5434</v>
      </c>
    </row>
    <row r="2595" spans="1:3">
      <c r="A2595" s="347">
        <v>46090</v>
      </c>
      <c r="B2595" s="346" t="s">
        <v>5435</v>
      </c>
      <c r="C2595" s="346" t="s">
        <v>5436</v>
      </c>
    </row>
    <row r="2596" spans="1:3">
      <c r="A2596" s="347">
        <v>46090</v>
      </c>
      <c r="B2596" s="346" t="s">
        <v>5437</v>
      </c>
      <c r="C2596" s="346" t="s">
        <v>5438</v>
      </c>
    </row>
    <row r="2597" spans="1:3">
      <c r="A2597" s="347">
        <v>46090</v>
      </c>
      <c r="B2597" s="346" t="s">
        <v>5439</v>
      </c>
      <c r="C2597" s="346" t="s">
        <v>5440</v>
      </c>
    </row>
    <row r="2598" spans="1:3">
      <c r="A2598" s="347">
        <v>46090</v>
      </c>
      <c r="B2598" s="346" t="s">
        <v>5441</v>
      </c>
      <c r="C2598" s="346" t="s">
        <v>5442</v>
      </c>
    </row>
    <row r="2599" spans="1:3">
      <c r="A2599" s="347">
        <v>46090</v>
      </c>
      <c r="B2599" s="346" t="s">
        <v>5443</v>
      </c>
      <c r="C2599" s="346" t="s">
        <v>5444</v>
      </c>
    </row>
    <row r="2600" spans="1:3">
      <c r="A2600" s="347">
        <v>46090</v>
      </c>
      <c r="B2600" s="346" t="s">
        <v>5445</v>
      </c>
      <c r="C2600" s="346" t="s">
        <v>5446</v>
      </c>
    </row>
    <row r="2601" spans="1:3">
      <c r="A2601" s="347">
        <v>46090</v>
      </c>
      <c r="B2601" s="346" t="s">
        <v>5447</v>
      </c>
      <c r="C2601" s="346" t="s">
        <v>10654</v>
      </c>
    </row>
    <row r="2602" spans="1:3">
      <c r="A2602" s="347">
        <v>46090</v>
      </c>
      <c r="B2602" s="346" t="s">
        <v>5448</v>
      </c>
      <c r="C2602" s="346" t="s">
        <v>5449</v>
      </c>
    </row>
    <row r="2603" spans="1:3">
      <c r="A2603" s="347">
        <v>46090</v>
      </c>
      <c r="B2603" s="346" t="s">
        <v>5450</v>
      </c>
      <c r="C2603" s="346" t="s">
        <v>5451</v>
      </c>
    </row>
    <row r="2604" spans="1:3">
      <c r="A2604" s="347">
        <v>46090</v>
      </c>
      <c r="B2604" s="346" t="s">
        <v>5452</v>
      </c>
      <c r="C2604" s="346" t="s">
        <v>5453</v>
      </c>
    </row>
    <row r="2605" spans="1:3">
      <c r="A2605" s="347">
        <v>46090</v>
      </c>
      <c r="B2605" s="346" t="s">
        <v>5454</v>
      </c>
      <c r="C2605" s="346" t="s">
        <v>5455</v>
      </c>
    </row>
    <row r="2606" spans="1:3">
      <c r="A2606" s="347">
        <v>46090</v>
      </c>
      <c r="B2606" s="346" t="s">
        <v>5456</v>
      </c>
      <c r="C2606" s="346" t="s">
        <v>5457</v>
      </c>
    </row>
    <row r="2607" spans="1:3">
      <c r="A2607" s="347">
        <v>46090</v>
      </c>
      <c r="B2607" s="346" t="s">
        <v>5458</v>
      </c>
      <c r="C2607" s="346" t="s">
        <v>5459</v>
      </c>
    </row>
    <row r="2608" spans="1:3">
      <c r="A2608" s="347">
        <v>46090</v>
      </c>
      <c r="B2608" s="346" t="s">
        <v>5460</v>
      </c>
      <c r="C2608" s="346" t="s">
        <v>5461</v>
      </c>
    </row>
    <row r="2609" spans="1:3">
      <c r="A2609" s="347">
        <v>46090</v>
      </c>
      <c r="B2609" s="346" t="s">
        <v>5462</v>
      </c>
      <c r="C2609" s="346" t="s">
        <v>5463</v>
      </c>
    </row>
    <row r="2610" spans="1:3">
      <c r="A2610" s="347">
        <v>46090</v>
      </c>
      <c r="B2610" s="346" t="s">
        <v>5464</v>
      </c>
      <c r="C2610" s="346" t="s">
        <v>5465</v>
      </c>
    </row>
    <row r="2611" spans="1:3">
      <c r="A2611" s="347">
        <v>46090</v>
      </c>
      <c r="B2611" s="346" t="s">
        <v>5466</v>
      </c>
      <c r="C2611" s="346" t="s">
        <v>5467</v>
      </c>
    </row>
    <row r="2612" spans="1:3">
      <c r="A2612" s="347">
        <v>46090</v>
      </c>
      <c r="B2612" s="346" t="s">
        <v>5468</v>
      </c>
      <c r="C2612" s="346" t="s">
        <v>5469</v>
      </c>
    </row>
    <row r="2613" spans="1:3">
      <c r="A2613" s="347">
        <v>46090</v>
      </c>
      <c r="B2613" s="346" t="s">
        <v>5470</v>
      </c>
      <c r="C2613" s="346" t="s">
        <v>5471</v>
      </c>
    </row>
    <row r="2614" spans="1:3">
      <c r="A2614" s="347">
        <v>46090</v>
      </c>
      <c r="B2614" s="346" t="s">
        <v>5472</v>
      </c>
      <c r="C2614" s="346" t="s">
        <v>5473</v>
      </c>
    </row>
    <row r="2615" spans="1:3">
      <c r="A2615" s="347">
        <v>46090</v>
      </c>
      <c r="B2615" s="346" t="s">
        <v>5474</v>
      </c>
      <c r="C2615" s="346" t="s">
        <v>5475</v>
      </c>
    </row>
    <row r="2616" spans="1:3">
      <c r="A2616" s="347">
        <v>46090</v>
      </c>
      <c r="B2616" s="346" t="s">
        <v>5476</v>
      </c>
      <c r="C2616" s="346" t="s">
        <v>5477</v>
      </c>
    </row>
    <row r="2617" spans="1:3">
      <c r="A2617" s="347">
        <v>46090</v>
      </c>
      <c r="B2617" s="346" t="s">
        <v>5478</v>
      </c>
      <c r="C2617" s="346" t="s">
        <v>5479</v>
      </c>
    </row>
    <row r="2618" spans="1:3">
      <c r="A2618" s="347">
        <v>46090</v>
      </c>
      <c r="B2618" s="346" t="s">
        <v>5480</v>
      </c>
      <c r="C2618" s="346" t="s">
        <v>5481</v>
      </c>
    </row>
    <row r="2619" spans="1:3">
      <c r="A2619" s="347">
        <v>46090</v>
      </c>
      <c r="B2619" s="346" t="s">
        <v>5482</v>
      </c>
      <c r="C2619" s="346" t="s">
        <v>5483</v>
      </c>
    </row>
    <row r="2620" spans="1:3">
      <c r="A2620" s="347">
        <v>46090</v>
      </c>
      <c r="B2620" s="346" t="s">
        <v>5484</v>
      </c>
      <c r="C2620" s="346" t="s">
        <v>5485</v>
      </c>
    </row>
    <row r="2621" spans="1:3">
      <c r="A2621" s="347">
        <v>46090</v>
      </c>
      <c r="B2621" s="346" t="s">
        <v>5486</v>
      </c>
      <c r="C2621" s="346" t="s">
        <v>11083</v>
      </c>
    </row>
    <row r="2622" spans="1:3">
      <c r="A2622" s="347">
        <v>46090</v>
      </c>
      <c r="B2622" s="346" t="s">
        <v>5487</v>
      </c>
      <c r="C2622" s="346" t="s">
        <v>5488</v>
      </c>
    </row>
    <row r="2623" spans="1:3">
      <c r="A2623" s="347">
        <v>46090</v>
      </c>
      <c r="B2623" s="346" t="s">
        <v>5489</v>
      </c>
      <c r="C2623" s="346" t="s">
        <v>5490</v>
      </c>
    </row>
    <row r="2624" spans="1:3">
      <c r="A2624" s="347">
        <v>46090</v>
      </c>
      <c r="B2624" s="346" t="s">
        <v>5491</v>
      </c>
      <c r="C2624" s="346" t="s">
        <v>5492</v>
      </c>
    </row>
    <row r="2625" spans="1:3">
      <c r="A2625" s="347">
        <v>46090</v>
      </c>
      <c r="B2625" s="346" t="s">
        <v>5493</v>
      </c>
      <c r="C2625" s="346" t="s">
        <v>5494</v>
      </c>
    </row>
    <row r="2626" spans="1:3">
      <c r="A2626" s="347">
        <v>46090</v>
      </c>
      <c r="B2626" s="346" t="s">
        <v>5495</v>
      </c>
      <c r="C2626" s="346" t="s">
        <v>5496</v>
      </c>
    </row>
    <row r="2627" spans="1:3">
      <c r="A2627" s="347">
        <v>46090</v>
      </c>
      <c r="B2627" s="346" t="s">
        <v>5497</v>
      </c>
      <c r="C2627" s="346" t="s">
        <v>5498</v>
      </c>
    </row>
    <row r="2628" spans="1:3">
      <c r="A2628" s="347">
        <v>46090</v>
      </c>
      <c r="B2628" s="346" t="s">
        <v>5499</v>
      </c>
      <c r="C2628" s="346" t="s">
        <v>5500</v>
      </c>
    </row>
    <row r="2629" spans="1:3">
      <c r="A2629" s="347">
        <v>46090</v>
      </c>
      <c r="B2629" s="346" t="s">
        <v>5501</v>
      </c>
      <c r="C2629" s="346" t="s">
        <v>5502</v>
      </c>
    </row>
    <row r="2630" spans="1:3">
      <c r="A2630" s="347">
        <v>46090</v>
      </c>
      <c r="B2630" s="346" t="s">
        <v>5503</v>
      </c>
      <c r="C2630" s="346" t="s">
        <v>5504</v>
      </c>
    </row>
    <row r="2631" spans="1:3">
      <c r="A2631" s="347">
        <v>46090</v>
      </c>
      <c r="B2631" s="346" t="s">
        <v>5505</v>
      </c>
      <c r="C2631" s="346" t="s">
        <v>5506</v>
      </c>
    </row>
    <row r="2632" spans="1:3">
      <c r="A2632" s="347">
        <v>46090</v>
      </c>
      <c r="B2632" s="346" t="s">
        <v>5507</v>
      </c>
      <c r="C2632" s="346" t="s">
        <v>5508</v>
      </c>
    </row>
    <row r="2633" spans="1:3">
      <c r="A2633" s="347">
        <v>46090</v>
      </c>
      <c r="B2633" s="346" t="s">
        <v>5509</v>
      </c>
      <c r="C2633" s="346" t="s">
        <v>5510</v>
      </c>
    </row>
    <row r="2634" spans="1:3">
      <c r="A2634" s="347">
        <v>46090</v>
      </c>
      <c r="B2634" s="346" t="s">
        <v>5511</v>
      </c>
      <c r="C2634" s="346" t="s">
        <v>5512</v>
      </c>
    </row>
    <row r="2635" spans="1:3">
      <c r="A2635" s="347">
        <v>46090</v>
      </c>
      <c r="B2635" s="346" t="s">
        <v>5513</v>
      </c>
      <c r="C2635" s="346" t="s">
        <v>5514</v>
      </c>
    </row>
    <row r="2636" spans="1:3">
      <c r="A2636" s="347">
        <v>46090</v>
      </c>
      <c r="B2636" s="346" t="s">
        <v>5515</v>
      </c>
      <c r="C2636" s="346" t="s">
        <v>5516</v>
      </c>
    </row>
    <row r="2637" spans="1:3">
      <c r="A2637" s="347">
        <v>46090</v>
      </c>
      <c r="B2637" s="346" t="s">
        <v>5517</v>
      </c>
      <c r="C2637" s="346" t="s">
        <v>5518</v>
      </c>
    </row>
    <row r="2638" spans="1:3">
      <c r="A2638" s="347">
        <v>46090</v>
      </c>
      <c r="B2638" s="346" t="s">
        <v>5519</v>
      </c>
      <c r="C2638" s="346" t="s">
        <v>5520</v>
      </c>
    </row>
    <row r="2639" spans="1:3">
      <c r="A2639" s="347">
        <v>46090</v>
      </c>
      <c r="B2639" s="346" t="s">
        <v>5521</v>
      </c>
      <c r="C2639" s="346" t="s">
        <v>5522</v>
      </c>
    </row>
    <row r="2640" spans="1:3">
      <c r="A2640" s="347">
        <v>46090</v>
      </c>
      <c r="B2640" s="346" t="s">
        <v>5523</v>
      </c>
      <c r="C2640" s="346" t="s">
        <v>5524</v>
      </c>
    </row>
    <row r="2641" spans="1:3">
      <c r="A2641" s="347">
        <v>46090</v>
      </c>
      <c r="B2641" s="346" t="s">
        <v>5525</v>
      </c>
      <c r="C2641" s="346" t="s">
        <v>5526</v>
      </c>
    </row>
    <row r="2642" spans="1:3">
      <c r="A2642" s="347">
        <v>46090</v>
      </c>
      <c r="B2642" s="346" t="s">
        <v>5527</v>
      </c>
      <c r="C2642" s="346" t="s">
        <v>5528</v>
      </c>
    </row>
    <row r="2643" spans="1:3">
      <c r="A2643" s="347">
        <v>46090</v>
      </c>
      <c r="B2643" s="346" t="s">
        <v>5529</v>
      </c>
      <c r="C2643" s="346" t="s">
        <v>5530</v>
      </c>
    </row>
    <row r="2644" spans="1:3">
      <c r="A2644" s="347">
        <v>46090</v>
      </c>
      <c r="B2644" s="346" t="s">
        <v>5531</v>
      </c>
      <c r="C2644" s="346" t="s">
        <v>10655</v>
      </c>
    </row>
    <row r="2645" spans="1:3">
      <c r="A2645" s="347">
        <v>46090</v>
      </c>
      <c r="B2645" s="346" t="s">
        <v>5532</v>
      </c>
      <c r="C2645" s="346" t="s">
        <v>5533</v>
      </c>
    </row>
    <row r="2646" spans="1:3">
      <c r="A2646" s="347">
        <v>46090</v>
      </c>
      <c r="B2646" s="346" t="s">
        <v>5534</v>
      </c>
      <c r="C2646" s="346" t="s">
        <v>5535</v>
      </c>
    </row>
    <row r="2647" spans="1:3">
      <c r="A2647" s="347">
        <v>46090</v>
      </c>
      <c r="B2647" s="346" t="s">
        <v>5536</v>
      </c>
      <c r="C2647" s="346" t="s">
        <v>5537</v>
      </c>
    </row>
    <row r="2648" spans="1:3">
      <c r="A2648" s="347">
        <v>46090</v>
      </c>
      <c r="B2648" s="346" t="s">
        <v>5538</v>
      </c>
      <c r="C2648" s="346" t="s">
        <v>5539</v>
      </c>
    </row>
    <row r="2649" spans="1:3">
      <c r="A2649" s="347">
        <v>46090</v>
      </c>
      <c r="B2649" s="346" t="s">
        <v>5540</v>
      </c>
      <c r="C2649" s="346" t="s">
        <v>5541</v>
      </c>
    </row>
    <row r="2650" spans="1:3">
      <c r="A2650" s="347">
        <v>46090</v>
      </c>
      <c r="B2650" s="346" t="s">
        <v>5542</v>
      </c>
      <c r="C2650" s="346" t="s">
        <v>5543</v>
      </c>
    </row>
    <row r="2651" spans="1:3">
      <c r="A2651" s="347">
        <v>46090</v>
      </c>
      <c r="B2651" s="346" t="s">
        <v>5544</v>
      </c>
      <c r="C2651" s="346" t="s">
        <v>5545</v>
      </c>
    </row>
    <row r="2652" spans="1:3">
      <c r="A2652" s="347">
        <v>46090</v>
      </c>
      <c r="B2652" s="346" t="s">
        <v>5546</v>
      </c>
      <c r="C2652" s="346" t="s">
        <v>5547</v>
      </c>
    </row>
    <row r="2653" spans="1:3">
      <c r="A2653" s="347">
        <v>46090</v>
      </c>
      <c r="B2653" s="346" t="s">
        <v>5548</v>
      </c>
      <c r="C2653" s="346" t="s">
        <v>5549</v>
      </c>
    </row>
    <row r="2654" spans="1:3">
      <c r="A2654" s="347">
        <v>46090</v>
      </c>
      <c r="B2654" s="346" t="s">
        <v>5550</v>
      </c>
      <c r="C2654" s="346" t="s">
        <v>5551</v>
      </c>
    </row>
    <row r="2655" spans="1:3">
      <c r="A2655" s="347">
        <v>46090</v>
      </c>
      <c r="B2655" s="346" t="s">
        <v>5552</v>
      </c>
      <c r="C2655" s="346" t="s">
        <v>5553</v>
      </c>
    </row>
    <row r="2656" spans="1:3">
      <c r="A2656" s="347">
        <v>46090</v>
      </c>
      <c r="B2656" s="346" t="s">
        <v>5554</v>
      </c>
      <c r="C2656" s="346" t="s">
        <v>5555</v>
      </c>
    </row>
    <row r="2657" spans="1:3">
      <c r="A2657" s="347">
        <v>46090</v>
      </c>
      <c r="B2657" s="346" t="s">
        <v>5556</v>
      </c>
      <c r="C2657" s="346" t="s">
        <v>5557</v>
      </c>
    </row>
    <row r="2658" spans="1:3">
      <c r="A2658" s="347">
        <v>46090</v>
      </c>
      <c r="B2658" s="346" t="s">
        <v>5558</v>
      </c>
      <c r="C2658" s="346" t="s">
        <v>5559</v>
      </c>
    </row>
    <row r="2659" spans="1:3">
      <c r="A2659" s="347">
        <v>46090</v>
      </c>
      <c r="B2659" s="346" t="s">
        <v>5560</v>
      </c>
      <c r="C2659" s="346" t="s">
        <v>5561</v>
      </c>
    </row>
    <row r="2660" spans="1:3">
      <c r="A2660" s="347">
        <v>46090</v>
      </c>
      <c r="B2660" s="346" t="s">
        <v>5562</v>
      </c>
      <c r="C2660" s="346" t="s">
        <v>5563</v>
      </c>
    </row>
    <row r="2661" spans="1:3">
      <c r="A2661" s="347">
        <v>46090</v>
      </c>
      <c r="B2661" s="346" t="s">
        <v>5564</v>
      </c>
      <c r="C2661" s="346" t="s">
        <v>5565</v>
      </c>
    </row>
    <row r="2662" spans="1:3">
      <c r="A2662" s="347">
        <v>46090</v>
      </c>
      <c r="B2662" s="346" t="s">
        <v>5566</v>
      </c>
      <c r="C2662" s="346" t="s">
        <v>5567</v>
      </c>
    </row>
    <row r="2663" spans="1:3">
      <c r="A2663" s="347">
        <v>46090</v>
      </c>
      <c r="B2663" s="346" t="s">
        <v>5568</v>
      </c>
      <c r="C2663" s="346" t="s">
        <v>5569</v>
      </c>
    </row>
    <row r="2664" spans="1:3">
      <c r="A2664" s="347">
        <v>46090</v>
      </c>
      <c r="B2664" s="346" t="s">
        <v>5570</v>
      </c>
      <c r="C2664" s="346" t="s">
        <v>5571</v>
      </c>
    </row>
    <row r="2665" spans="1:3">
      <c r="A2665" s="347">
        <v>46090</v>
      </c>
      <c r="B2665" s="346" t="s">
        <v>5572</v>
      </c>
      <c r="C2665" s="346" t="s">
        <v>5573</v>
      </c>
    </row>
    <row r="2666" spans="1:3">
      <c r="A2666" s="347">
        <v>46090</v>
      </c>
      <c r="B2666" s="346" t="s">
        <v>5574</v>
      </c>
      <c r="C2666" s="346" t="s">
        <v>5575</v>
      </c>
    </row>
    <row r="2667" spans="1:3">
      <c r="A2667" s="347">
        <v>46090</v>
      </c>
      <c r="B2667" s="346" t="s">
        <v>5576</v>
      </c>
      <c r="C2667" s="346" t="s">
        <v>5577</v>
      </c>
    </row>
    <row r="2668" spans="1:3">
      <c r="A2668" s="347">
        <v>46090</v>
      </c>
      <c r="B2668" s="346" t="s">
        <v>5578</v>
      </c>
      <c r="C2668" s="346" t="s">
        <v>5579</v>
      </c>
    </row>
    <row r="2669" spans="1:3">
      <c r="A2669" s="347">
        <v>46090</v>
      </c>
      <c r="B2669" s="346" t="s">
        <v>5580</v>
      </c>
      <c r="C2669" s="346" t="s">
        <v>5581</v>
      </c>
    </row>
    <row r="2670" spans="1:3">
      <c r="A2670" s="347">
        <v>46090</v>
      </c>
      <c r="B2670" s="346" t="s">
        <v>10656</v>
      </c>
      <c r="C2670" s="346" t="s">
        <v>10657</v>
      </c>
    </row>
    <row r="2671" spans="1:3">
      <c r="A2671" s="347">
        <v>46090</v>
      </c>
      <c r="B2671" s="346" t="s">
        <v>5582</v>
      </c>
      <c r="C2671" s="346" t="s">
        <v>5583</v>
      </c>
    </row>
    <row r="2672" spans="1:3">
      <c r="A2672" s="347">
        <v>46090</v>
      </c>
      <c r="B2672" s="346" t="s">
        <v>5584</v>
      </c>
      <c r="C2672" s="346" t="s">
        <v>5585</v>
      </c>
    </row>
    <row r="2673" spans="1:3">
      <c r="A2673" s="347">
        <v>46090</v>
      </c>
      <c r="B2673" s="346" t="s">
        <v>5586</v>
      </c>
      <c r="C2673" s="346" t="s">
        <v>5587</v>
      </c>
    </row>
    <row r="2674" spans="1:3">
      <c r="A2674" s="347">
        <v>46090</v>
      </c>
      <c r="B2674" s="346" t="s">
        <v>5588</v>
      </c>
      <c r="C2674" s="346" t="s">
        <v>5589</v>
      </c>
    </row>
    <row r="2675" spans="1:3">
      <c r="A2675" s="347">
        <v>46090</v>
      </c>
      <c r="B2675" s="346" t="s">
        <v>5590</v>
      </c>
      <c r="C2675" s="346" t="s">
        <v>5591</v>
      </c>
    </row>
    <row r="2676" spans="1:3">
      <c r="A2676" s="347">
        <v>46090</v>
      </c>
      <c r="B2676" s="346" t="s">
        <v>5592</v>
      </c>
      <c r="C2676" s="346" t="s">
        <v>5593</v>
      </c>
    </row>
    <row r="2677" spans="1:3">
      <c r="A2677" s="347">
        <v>46090</v>
      </c>
      <c r="B2677" s="346" t="s">
        <v>5594</v>
      </c>
      <c r="C2677" s="346" t="s">
        <v>5595</v>
      </c>
    </row>
    <row r="2678" spans="1:3">
      <c r="A2678" s="347">
        <v>46090</v>
      </c>
      <c r="B2678" s="346" t="s">
        <v>5596</v>
      </c>
      <c r="C2678" s="346" t="s">
        <v>5597</v>
      </c>
    </row>
    <row r="2679" spans="1:3">
      <c r="A2679" s="347">
        <v>46090</v>
      </c>
      <c r="B2679" s="346" t="s">
        <v>5598</v>
      </c>
      <c r="C2679" s="346" t="s">
        <v>5599</v>
      </c>
    </row>
    <row r="2680" spans="1:3">
      <c r="A2680" s="347">
        <v>46090</v>
      </c>
      <c r="B2680" s="346" t="s">
        <v>5600</v>
      </c>
      <c r="C2680" s="346" t="s">
        <v>5601</v>
      </c>
    </row>
    <row r="2681" spans="1:3">
      <c r="A2681" s="347">
        <v>46090</v>
      </c>
      <c r="B2681" s="346" t="s">
        <v>5602</v>
      </c>
      <c r="C2681" s="346" t="s">
        <v>5603</v>
      </c>
    </row>
    <row r="2682" spans="1:3">
      <c r="A2682" s="347">
        <v>46090</v>
      </c>
      <c r="B2682" s="346" t="s">
        <v>5604</v>
      </c>
      <c r="C2682" s="346" t="s">
        <v>10658</v>
      </c>
    </row>
    <row r="2683" spans="1:3">
      <c r="A2683" s="347">
        <v>46090</v>
      </c>
      <c r="B2683" s="346" t="s">
        <v>5605</v>
      </c>
      <c r="C2683" s="346" t="s">
        <v>5606</v>
      </c>
    </row>
    <row r="2684" spans="1:3">
      <c r="A2684" s="347">
        <v>46090</v>
      </c>
      <c r="B2684" s="346" t="s">
        <v>5607</v>
      </c>
      <c r="C2684" s="346" t="s">
        <v>5608</v>
      </c>
    </row>
    <row r="2685" spans="1:3">
      <c r="A2685" s="347">
        <v>46090</v>
      </c>
      <c r="B2685" s="346" t="s">
        <v>5609</v>
      </c>
      <c r="C2685" s="346" t="s">
        <v>5610</v>
      </c>
    </row>
    <row r="2686" spans="1:3">
      <c r="A2686" s="347">
        <v>46090</v>
      </c>
      <c r="B2686" s="346" t="s">
        <v>5611</v>
      </c>
      <c r="C2686" s="346" t="s">
        <v>5612</v>
      </c>
    </row>
    <row r="2687" spans="1:3">
      <c r="A2687" s="347">
        <v>46090</v>
      </c>
      <c r="B2687" s="346" t="s">
        <v>5613</v>
      </c>
      <c r="C2687" s="346" t="s">
        <v>5614</v>
      </c>
    </row>
    <row r="2688" spans="1:3">
      <c r="A2688" s="347">
        <v>46090</v>
      </c>
      <c r="B2688" s="346" t="s">
        <v>5615</v>
      </c>
      <c r="C2688" s="346" t="s">
        <v>5616</v>
      </c>
    </row>
    <row r="2689" spans="1:3">
      <c r="A2689" s="347">
        <v>46090</v>
      </c>
      <c r="B2689" s="346" t="s">
        <v>5617</v>
      </c>
      <c r="C2689" s="346" t="s">
        <v>5618</v>
      </c>
    </row>
    <row r="2690" spans="1:3">
      <c r="A2690" s="347">
        <v>46090</v>
      </c>
      <c r="B2690" s="346" t="s">
        <v>5619</v>
      </c>
      <c r="C2690" s="346" t="s">
        <v>5620</v>
      </c>
    </row>
    <row r="2691" spans="1:3">
      <c r="A2691" s="347">
        <v>46090</v>
      </c>
      <c r="B2691" s="346" t="s">
        <v>5621</v>
      </c>
      <c r="C2691" s="346" t="s">
        <v>5622</v>
      </c>
    </row>
    <row r="2692" spans="1:3">
      <c r="A2692" s="347">
        <v>46090</v>
      </c>
      <c r="B2692" s="346" t="s">
        <v>5623</v>
      </c>
      <c r="C2692" s="346" t="s">
        <v>5624</v>
      </c>
    </row>
    <row r="2693" spans="1:3">
      <c r="A2693" s="347">
        <v>46090</v>
      </c>
      <c r="B2693" s="346" t="s">
        <v>5625</v>
      </c>
      <c r="C2693" s="346" t="s">
        <v>5626</v>
      </c>
    </row>
    <row r="2694" spans="1:3">
      <c r="A2694" s="347">
        <v>46090</v>
      </c>
      <c r="B2694" s="346" t="s">
        <v>5627</v>
      </c>
      <c r="C2694" s="346" t="s">
        <v>5628</v>
      </c>
    </row>
    <row r="2695" spans="1:3">
      <c r="A2695" s="347">
        <v>46090</v>
      </c>
      <c r="B2695" s="346" t="s">
        <v>5629</v>
      </c>
      <c r="C2695" s="346" t="s">
        <v>5630</v>
      </c>
    </row>
    <row r="2696" spans="1:3">
      <c r="A2696" s="347">
        <v>46090</v>
      </c>
      <c r="B2696" s="346" t="s">
        <v>5631</v>
      </c>
      <c r="C2696" s="346" t="s">
        <v>5632</v>
      </c>
    </row>
    <row r="2697" spans="1:3">
      <c r="A2697" s="347">
        <v>46090</v>
      </c>
      <c r="B2697" s="346" t="s">
        <v>5633</v>
      </c>
      <c r="C2697" s="346" t="s">
        <v>10659</v>
      </c>
    </row>
    <row r="2698" spans="1:3">
      <c r="A2698" s="347">
        <v>46090</v>
      </c>
      <c r="B2698" s="346" t="s">
        <v>5634</v>
      </c>
      <c r="C2698" s="346" t="s">
        <v>5635</v>
      </c>
    </row>
    <row r="2699" spans="1:3">
      <c r="A2699" s="347">
        <v>46090</v>
      </c>
      <c r="B2699" s="346" t="s">
        <v>5636</v>
      </c>
      <c r="C2699" s="346" t="s">
        <v>5637</v>
      </c>
    </row>
    <row r="2700" spans="1:3">
      <c r="A2700" s="347">
        <v>46090</v>
      </c>
      <c r="B2700" s="346" t="s">
        <v>5638</v>
      </c>
      <c r="C2700" s="346" t="s">
        <v>5639</v>
      </c>
    </row>
    <row r="2701" spans="1:3">
      <c r="A2701" s="347">
        <v>46090</v>
      </c>
      <c r="B2701" s="346" t="s">
        <v>5640</v>
      </c>
      <c r="C2701" s="346" t="s">
        <v>5641</v>
      </c>
    </row>
    <row r="2702" spans="1:3">
      <c r="A2702" s="347">
        <v>46090</v>
      </c>
      <c r="B2702" s="346" t="s">
        <v>5642</v>
      </c>
      <c r="C2702" s="346" t="s">
        <v>5643</v>
      </c>
    </row>
    <row r="2703" spans="1:3">
      <c r="A2703" s="347">
        <v>46090</v>
      </c>
      <c r="B2703" s="346" t="s">
        <v>5644</v>
      </c>
      <c r="C2703" s="346" t="s">
        <v>5645</v>
      </c>
    </row>
    <row r="2704" spans="1:3">
      <c r="A2704" s="347">
        <v>46090</v>
      </c>
      <c r="B2704" s="346" t="s">
        <v>5646</v>
      </c>
      <c r="C2704" s="346" t="s">
        <v>5647</v>
      </c>
    </row>
    <row r="2705" spans="1:3">
      <c r="A2705" s="347">
        <v>46090</v>
      </c>
      <c r="B2705" s="346" t="s">
        <v>5648</v>
      </c>
      <c r="C2705" s="346" t="s">
        <v>5649</v>
      </c>
    </row>
    <row r="2706" spans="1:3">
      <c r="A2706" s="347">
        <v>46090</v>
      </c>
      <c r="B2706" s="346" t="s">
        <v>5650</v>
      </c>
      <c r="C2706" s="346" t="s">
        <v>5651</v>
      </c>
    </row>
    <row r="2707" spans="1:3">
      <c r="A2707" s="347">
        <v>46090</v>
      </c>
      <c r="B2707" s="346" t="s">
        <v>5652</v>
      </c>
      <c r="C2707" s="346" t="s">
        <v>5653</v>
      </c>
    </row>
    <row r="2708" spans="1:3">
      <c r="A2708" s="347">
        <v>46090</v>
      </c>
      <c r="B2708" s="346" t="s">
        <v>5654</v>
      </c>
      <c r="C2708" s="346" t="s">
        <v>5655</v>
      </c>
    </row>
    <row r="2709" spans="1:3">
      <c r="A2709" s="347">
        <v>46090</v>
      </c>
      <c r="B2709" s="346" t="s">
        <v>5656</v>
      </c>
      <c r="C2709" s="346" t="s">
        <v>5657</v>
      </c>
    </row>
    <row r="2710" spans="1:3">
      <c r="A2710" s="347">
        <v>46090</v>
      </c>
      <c r="B2710" s="346" t="s">
        <v>5658</v>
      </c>
      <c r="C2710" s="346" t="s">
        <v>5659</v>
      </c>
    </row>
    <row r="2711" spans="1:3">
      <c r="A2711" s="347">
        <v>46090</v>
      </c>
      <c r="B2711" s="346" t="s">
        <v>5660</v>
      </c>
      <c r="C2711" s="346" t="s">
        <v>5661</v>
      </c>
    </row>
    <row r="2712" spans="1:3">
      <c r="A2712" s="347">
        <v>46090</v>
      </c>
      <c r="B2712" s="346" t="s">
        <v>5662</v>
      </c>
      <c r="C2712" s="346" t="s">
        <v>5663</v>
      </c>
    </row>
    <row r="2713" spans="1:3">
      <c r="A2713" s="347">
        <v>46090</v>
      </c>
      <c r="B2713" s="346" t="s">
        <v>5664</v>
      </c>
      <c r="C2713" s="346" t="s">
        <v>5665</v>
      </c>
    </row>
    <row r="2714" spans="1:3">
      <c r="A2714" s="347">
        <v>46090</v>
      </c>
      <c r="B2714" s="346" t="s">
        <v>5666</v>
      </c>
      <c r="C2714" s="346" t="s">
        <v>5667</v>
      </c>
    </row>
    <row r="2715" spans="1:3">
      <c r="A2715" s="347">
        <v>46090</v>
      </c>
      <c r="B2715" s="346" t="s">
        <v>5668</v>
      </c>
      <c r="C2715" s="346" t="s">
        <v>5669</v>
      </c>
    </row>
    <row r="2716" spans="1:3">
      <c r="A2716" s="347">
        <v>46090</v>
      </c>
      <c r="B2716" s="346" t="s">
        <v>5670</v>
      </c>
      <c r="C2716" s="346" t="s">
        <v>5671</v>
      </c>
    </row>
    <row r="2717" spans="1:3">
      <c r="A2717" s="347">
        <v>46090</v>
      </c>
      <c r="B2717" s="346" t="s">
        <v>5672</v>
      </c>
      <c r="C2717" s="346" t="s">
        <v>5673</v>
      </c>
    </row>
    <row r="2718" spans="1:3">
      <c r="A2718" s="347">
        <v>46090</v>
      </c>
      <c r="B2718" s="346" t="s">
        <v>5674</v>
      </c>
      <c r="C2718" s="346" t="s">
        <v>5675</v>
      </c>
    </row>
    <row r="2719" spans="1:3">
      <c r="A2719" s="347">
        <v>46090</v>
      </c>
      <c r="B2719" s="346" t="s">
        <v>5676</v>
      </c>
      <c r="C2719" s="346" t="s">
        <v>5677</v>
      </c>
    </row>
    <row r="2720" spans="1:3">
      <c r="A2720" s="347">
        <v>46090</v>
      </c>
      <c r="B2720" s="346" t="s">
        <v>5678</v>
      </c>
      <c r="C2720" s="346" t="s">
        <v>5679</v>
      </c>
    </row>
    <row r="2721" spans="1:3">
      <c r="A2721" s="347">
        <v>46090</v>
      </c>
      <c r="B2721" s="346" t="s">
        <v>5680</v>
      </c>
      <c r="C2721" s="346" t="s">
        <v>5681</v>
      </c>
    </row>
    <row r="2722" spans="1:3">
      <c r="A2722" s="347">
        <v>46090</v>
      </c>
      <c r="B2722" s="346" t="s">
        <v>5682</v>
      </c>
      <c r="C2722" s="346" t="s">
        <v>5683</v>
      </c>
    </row>
    <row r="2723" spans="1:3">
      <c r="A2723" s="347">
        <v>46090</v>
      </c>
      <c r="B2723" s="346" t="s">
        <v>5684</v>
      </c>
      <c r="C2723" s="346" t="s">
        <v>5685</v>
      </c>
    </row>
    <row r="2724" spans="1:3">
      <c r="A2724" s="347">
        <v>46090</v>
      </c>
      <c r="B2724" s="346" t="s">
        <v>5686</v>
      </c>
      <c r="C2724" s="346" t="s">
        <v>5687</v>
      </c>
    </row>
    <row r="2725" spans="1:3">
      <c r="A2725" s="347">
        <v>46090</v>
      </c>
      <c r="B2725" s="346" t="s">
        <v>5688</v>
      </c>
      <c r="C2725" s="346" t="s">
        <v>5689</v>
      </c>
    </row>
    <row r="2726" spans="1:3">
      <c r="A2726" s="347">
        <v>46090</v>
      </c>
      <c r="B2726" s="346" t="s">
        <v>5690</v>
      </c>
      <c r="C2726" s="346" t="s">
        <v>5691</v>
      </c>
    </row>
    <row r="2727" spans="1:3">
      <c r="A2727" s="347">
        <v>46090</v>
      </c>
      <c r="B2727" s="346" t="s">
        <v>5692</v>
      </c>
      <c r="C2727" s="346" t="s">
        <v>5693</v>
      </c>
    </row>
    <row r="2728" spans="1:3">
      <c r="A2728" s="347">
        <v>46090</v>
      </c>
      <c r="B2728" s="346" t="s">
        <v>5694</v>
      </c>
      <c r="C2728" s="346" t="s">
        <v>5695</v>
      </c>
    </row>
    <row r="2729" spans="1:3">
      <c r="A2729" s="347">
        <v>46090</v>
      </c>
      <c r="B2729" s="346" t="s">
        <v>5696</v>
      </c>
      <c r="C2729" s="346" t="s">
        <v>5697</v>
      </c>
    </row>
    <row r="2730" spans="1:3">
      <c r="A2730" s="347">
        <v>46090</v>
      </c>
      <c r="B2730" s="346" t="s">
        <v>5698</v>
      </c>
      <c r="C2730" s="346" t="s">
        <v>5699</v>
      </c>
    </row>
    <row r="2731" spans="1:3">
      <c r="A2731" s="347">
        <v>46090</v>
      </c>
      <c r="B2731" s="346" t="s">
        <v>5700</v>
      </c>
      <c r="C2731" s="346" t="s">
        <v>5701</v>
      </c>
    </row>
    <row r="2732" spans="1:3">
      <c r="A2732" s="347">
        <v>46090</v>
      </c>
      <c r="B2732" s="346" t="s">
        <v>5702</v>
      </c>
      <c r="C2732" s="346" t="s">
        <v>5703</v>
      </c>
    </row>
    <row r="2733" spans="1:3">
      <c r="A2733" s="347">
        <v>46090</v>
      </c>
      <c r="B2733" s="346" t="s">
        <v>5704</v>
      </c>
      <c r="C2733" s="346" t="s">
        <v>5705</v>
      </c>
    </row>
    <row r="2734" spans="1:3">
      <c r="A2734" s="347">
        <v>46090</v>
      </c>
      <c r="B2734" s="346" t="s">
        <v>5706</v>
      </c>
      <c r="C2734" s="346" t="s">
        <v>5707</v>
      </c>
    </row>
    <row r="2735" spans="1:3">
      <c r="A2735" s="347">
        <v>46090</v>
      </c>
      <c r="B2735" s="346" t="s">
        <v>5708</v>
      </c>
      <c r="C2735" s="346" t="s">
        <v>5709</v>
      </c>
    </row>
    <row r="2736" spans="1:3">
      <c r="A2736" s="347">
        <v>46090</v>
      </c>
      <c r="B2736" s="346" t="s">
        <v>5710</v>
      </c>
      <c r="C2736" s="346" t="s">
        <v>5711</v>
      </c>
    </row>
    <row r="2737" spans="1:3">
      <c r="A2737" s="347">
        <v>46090</v>
      </c>
      <c r="B2737" s="346" t="s">
        <v>5712</v>
      </c>
      <c r="C2737" s="346" t="s">
        <v>5713</v>
      </c>
    </row>
    <row r="2738" spans="1:3">
      <c r="A2738" s="347">
        <v>46090</v>
      </c>
      <c r="B2738" s="346" t="s">
        <v>5714</v>
      </c>
      <c r="C2738" s="346" t="s">
        <v>5715</v>
      </c>
    </row>
    <row r="2739" spans="1:3">
      <c r="A2739" s="347">
        <v>46090</v>
      </c>
      <c r="B2739" s="346" t="s">
        <v>5716</v>
      </c>
      <c r="C2739" s="346" t="s">
        <v>5717</v>
      </c>
    </row>
    <row r="2740" spans="1:3">
      <c r="A2740" s="347">
        <v>46090</v>
      </c>
      <c r="B2740" s="346" t="s">
        <v>5718</v>
      </c>
      <c r="C2740" s="346" t="s">
        <v>5719</v>
      </c>
    </row>
    <row r="2741" spans="1:3">
      <c r="A2741" s="347">
        <v>46090</v>
      </c>
      <c r="B2741" s="346" t="s">
        <v>5720</v>
      </c>
      <c r="C2741" s="346" t="s">
        <v>5721</v>
      </c>
    </row>
    <row r="2742" spans="1:3">
      <c r="A2742" s="347">
        <v>46090</v>
      </c>
      <c r="B2742" s="346" t="s">
        <v>5722</v>
      </c>
      <c r="C2742" s="346" t="s">
        <v>5723</v>
      </c>
    </row>
    <row r="2743" spans="1:3">
      <c r="A2743" s="347">
        <v>46090</v>
      </c>
      <c r="B2743" s="346" t="s">
        <v>5724</v>
      </c>
      <c r="C2743" s="346" t="s">
        <v>5725</v>
      </c>
    </row>
    <row r="2744" spans="1:3">
      <c r="A2744" s="347">
        <v>46090</v>
      </c>
      <c r="B2744" s="346" t="s">
        <v>5726</v>
      </c>
      <c r="C2744" s="346" t="s">
        <v>5727</v>
      </c>
    </row>
    <row r="2745" spans="1:3">
      <c r="A2745" s="347">
        <v>46090</v>
      </c>
      <c r="B2745" s="346" t="s">
        <v>5728</v>
      </c>
      <c r="C2745" s="346" t="s">
        <v>10660</v>
      </c>
    </row>
    <row r="2746" spans="1:3">
      <c r="A2746" s="347">
        <v>46090</v>
      </c>
      <c r="B2746" s="346" t="s">
        <v>5729</v>
      </c>
      <c r="C2746" s="346" t="s">
        <v>5730</v>
      </c>
    </row>
    <row r="2747" spans="1:3">
      <c r="A2747" s="347">
        <v>46090</v>
      </c>
      <c r="B2747" s="346" t="s">
        <v>5731</v>
      </c>
      <c r="C2747" s="346" t="s">
        <v>5732</v>
      </c>
    </row>
    <row r="2748" spans="1:3">
      <c r="A2748" s="347">
        <v>46090</v>
      </c>
      <c r="B2748" s="346" t="s">
        <v>5733</v>
      </c>
      <c r="C2748" s="346" t="s">
        <v>5734</v>
      </c>
    </row>
    <row r="2749" spans="1:3">
      <c r="A2749" s="347">
        <v>46090</v>
      </c>
      <c r="B2749" s="346" t="s">
        <v>5735</v>
      </c>
      <c r="C2749" s="346" t="s">
        <v>5736</v>
      </c>
    </row>
    <row r="2750" spans="1:3">
      <c r="A2750" s="347">
        <v>46090</v>
      </c>
      <c r="B2750" s="346" t="s">
        <v>5737</v>
      </c>
      <c r="C2750" s="346" t="s">
        <v>5738</v>
      </c>
    </row>
    <row r="2751" spans="1:3">
      <c r="A2751" s="347">
        <v>46090</v>
      </c>
      <c r="B2751" s="346" t="s">
        <v>5739</v>
      </c>
      <c r="C2751" s="346" t="s">
        <v>5740</v>
      </c>
    </row>
    <row r="2752" spans="1:3">
      <c r="A2752" s="347">
        <v>46090</v>
      </c>
      <c r="B2752" s="346" t="s">
        <v>5741</v>
      </c>
      <c r="C2752" s="346" t="s">
        <v>5742</v>
      </c>
    </row>
    <row r="2753" spans="1:3">
      <c r="A2753" s="347">
        <v>46090</v>
      </c>
      <c r="B2753" s="346" t="s">
        <v>5743</v>
      </c>
      <c r="C2753" s="346" t="s">
        <v>5744</v>
      </c>
    </row>
    <row r="2754" spans="1:3">
      <c r="A2754" s="347">
        <v>46090</v>
      </c>
      <c r="B2754" s="346" t="s">
        <v>5745</v>
      </c>
      <c r="C2754" s="346" t="s">
        <v>5746</v>
      </c>
    </row>
    <row r="2755" spans="1:3">
      <c r="A2755" s="347">
        <v>46090</v>
      </c>
      <c r="B2755" s="346" t="s">
        <v>5747</v>
      </c>
      <c r="C2755" s="346" t="s">
        <v>5748</v>
      </c>
    </row>
    <row r="2756" spans="1:3">
      <c r="A2756" s="347">
        <v>46090</v>
      </c>
      <c r="B2756" s="346" t="s">
        <v>5749</v>
      </c>
      <c r="C2756" s="346" t="s">
        <v>5750</v>
      </c>
    </row>
    <row r="2757" spans="1:3">
      <c r="A2757" s="347">
        <v>46090</v>
      </c>
      <c r="B2757" s="346" t="s">
        <v>5751</v>
      </c>
      <c r="C2757" s="346" t="s">
        <v>5752</v>
      </c>
    </row>
    <row r="2758" spans="1:3">
      <c r="A2758" s="347">
        <v>46090</v>
      </c>
      <c r="B2758" s="346" t="s">
        <v>5753</v>
      </c>
      <c r="C2758" s="346" t="s">
        <v>5754</v>
      </c>
    </row>
    <row r="2759" spans="1:3">
      <c r="A2759" s="347">
        <v>46090</v>
      </c>
      <c r="B2759" s="346" t="s">
        <v>5755</v>
      </c>
      <c r="C2759" s="346" t="s">
        <v>5756</v>
      </c>
    </row>
    <row r="2760" spans="1:3">
      <c r="A2760" s="347">
        <v>46090</v>
      </c>
      <c r="B2760" s="346" t="s">
        <v>5757</v>
      </c>
      <c r="C2760" s="346" t="s">
        <v>5758</v>
      </c>
    </row>
    <row r="2761" spans="1:3">
      <c r="A2761" s="347">
        <v>46090</v>
      </c>
      <c r="B2761" s="346" t="s">
        <v>5759</v>
      </c>
      <c r="C2761" s="346" t="s">
        <v>5760</v>
      </c>
    </row>
    <row r="2762" spans="1:3">
      <c r="A2762" s="347">
        <v>46090</v>
      </c>
      <c r="B2762" s="346" t="s">
        <v>5761</v>
      </c>
      <c r="C2762" s="346" t="s">
        <v>5762</v>
      </c>
    </row>
    <row r="2763" spans="1:3">
      <c r="A2763" s="347">
        <v>46090</v>
      </c>
      <c r="B2763" s="346" t="s">
        <v>5763</v>
      </c>
      <c r="C2763" s="346" t="s">
        <v>5764</v>
      </c>
    </row>
    <row r="2764" spans="1:3">
      <c r="A2764" s="347">
        <v>46090</v>
      </c>
      <c r="B2764" s="346" t="s">
        <v>5765</v>
      </c>
      <c r="C2764" s="346" t="s">
        <v>5766</v>
      </c>
    </row>
    <row r="2765" spans="1:3">
      <c r="A2765" s="347">
        <v>46090</v>
      </c>
      <c r="B2765" s="346" t="s">
        <v>5767</v>
      </c>
      <c r="C2765" s="346" t="s">
        <v>5768</v>
      </c>
    </row>
    <row r="2766" spans="1:3">
      <c r="A2766" s="347">
        <v>46090</v>
      </c>
      <c r="B2766" s="346" t="s">
        <v>10661</v>
      </c>
      <c r="C2766" s="346" t="s">
        <v>10662</v>
      </c>
    </row>
    <row r="2767" spans="1:3">
      <c r="A2767" s="347">
        <v>46090</v>
      </c>
      <c r="B2767" s="346" t="s">
        <v>5769</v>
      </c>
      <c r="C2767" s="346" t="s">
        <v>5770</v>
      </c>
    </row>
    <row r="2768" spans="1:3">
      <c r="A2768" s="347">
        <v>46090</v>
      </c>
      <c r="B2768" s="346" t="s">
        <v>5771</v>
      </c>
      <c r="C2768" s="346" t="s">
        <v>5772</v>
      </c>
    </row>
    <row r="2769" spans="1:3">
      <c r="A2769" s="347">
        <v>46090</v>
      </c>
      <c r="B2769" s="346" t="s">
        <v>5773</v>
      </c>
      <c r="C2769" s="346" t="s">
        <v>5774</v>
      </c>
    </row>
    <row r="2770" spans="1:3">
      <c r="A2770" s="347">
        <v>46090</v>
      </c>
      <c r="B2770" s="346" t="s">
        <v>5775</v>
      </c>
      <c r="C2770" s="346" t="s">
        <v>5776</v>
      </c>
    </row>
    <row r="2771" spans="1:3">
      <c r="A2771" s="347">
        <v>46090</v>
      </c>
      <c r="B2771" s="346" t="s">
        <v>5777</v>
      </c>
      <c r="C2771" s="346" t="s">
        <v>5778</v>
      </c>
    </row>
    <row r="2772" spans="1:3">
      <c r="A2772" s="347">
        <v>46090</v>
      </c>
      <c r="B2772" s="346" t="s">
        <v>5779</v>
      </c>
      <c r="C2772" s="346" t="s">
        <v>5780</v>
      </c>
    </row>
    <row r="2773" spans="1:3">
      <c r="A2773" s="347">
        <v>46090</v>
      </c>
      <c r="B2773" s="346" t="s">
        <v>5781</v>
      </c>
      <c r="C2773" s="346" t="s">
        <v>5782</v>
      </c>
    </row>
    <row r="2774" spans="1:3">
      <c r="A2774" s="347">
        <v>46090</v>
      </c>
      <c r="B2774" s="346" t="s">
        <v>5783</v>
      </c>
      <c r="C2774" s="346" t="s">
        <v>5784</v>
      </c>
    </row>
    <row r="2775" spans="1:3">
      <c r="A2775" s="347">
        <v>46090</v>
      </c>
      <c r="B2775" s="346" t="s">
        <v>5785</v>
      </c>
      <c r="C2775" s="346" t="s">
        <v>5786</v>
      </c>
    </row>
    <row r="2776" spans="1:3">
      <c r="A2776" s="347">
        <v>46090</v>
      </c>
      <c r="B2776" s="346" t="s">
        <v>5787</v>
      </c>
      <c r="C2776" s="346" t="s">
        <v>5788</v>
      </c>
    </row>
    <row r="2777" spans="1:3">
      <c r="A2777" s="347">
        <v>46090</v>
      </c>
      <c r="B2777" s="346" t="s">
        <v>5789</v>
      </c>
      <c r="C2777" s="346" t="s">
        <v>5790</v>
      </c>
    </row>
    <row r="2778" spans="1:3">
      <c r="A2778" s="347">
        <v>46090</v>
      </c>
      <c r="B2778" s="346" t="s">
        <v>5791</v>
      </c>
      <c r="C2778" s="346" t="s">
        <v>5792</v>
      </c>
    </row>
    <row r="2779" spans="1:3">
      <c r="A2779" s="347">
        <v>46090</v>
      </c>
      <c r="B2779" s="346" t="s">
        <v>5793</v>
      </c>
      <c r="C2779" s="346" t="s">
        <v>5794</v>
      </c>
    </row>
    <row r="2780" spans="1:3">
      <c r="A2780" s="347">
        <v>46090</v>
      </c>
      <c r="B2780" s="346" t="s">
        <v>5795</v>
      </c>
      <c r="C2780" s="346" t="s">
        <v>5796</v>
      </c>
    </row>
    <row r="2781" spans="1:3">
      <c r="A2781" s="347">
        <v>46090</v>
      </c>
      <c r="B2781" s="346" t="s">
        <v>5797</v>
      </c>
      <c r="C2781" s="346" t="s">
        <v>5798</v>
      </c>
    </row>
    <row r="2782" spans="1:3">
      <c r="A2782" s="347">
        <v>46090</v>
      </c>
      <c r="B2782" s="346" t="s">
        <v>5799</v>
      </c>
      <c r="C2782" s="346" t="s">
        <v>5800</v>
      </c>
    </row>
    <row r="2783" spans="1:3">
      <c r="A2783" s="347">
        <v>46090</v>
      </c>
      <c r="B2783" s="346" t="s">
        <v>11084</v>
      </c>
      <c r="C2783" s="346" t="s">
        <v>11085</v>
      </c>
    </row>
    <row r="2784" spans="1:3">
      <c r="A2784" s="347">
        <v>46090</v>
      </c>
      <c r="B2784" s="346" t="s">
        <v>5801</v>
      </c>
      <c r="C2784" s="346" t="s">
        <v>5802</v>
      </c>
    </row>
    <row r="2785" spans="1:3">
      <c r="A2785" s="347">
        <v>46090</v>
      </c>
      <c r="B2785" s="346" t="s">
        <v>10663</v>
      </c>
      <c r="C2785" s="346" t="s">
        <v>10664</v>
      </c>
    </row>
    <row r="2786" spans="1:3">
      <c r="A2786" s="347">
        <v>46090</v>
      </c>
      <c r="B2786" s="346" t="s">
        <v>5803</v>
      </c>
      <c r="C2786" s="346" t="s">
        <v>5804</v>
      </c>
    </row>
    <row r="2787" spans="1:3">
      <c r="A2787" s="347">
        <v>46090</v>
      </c>
      <c r="B2787" s="346" t="s">
        <v>5805</v>
      </c>
      <c r="C2787" s="346" t="s">
        <v>5806</v>
      </c>
    </row>
    <row r="2788" spans="1:3">
      <c r="A2788" s="347">
        <v>46090</v>
      </c>
      <c r="B2788" s="346" t="s">
        <v>5807</v>
      </c>
      <c r="C2788" s="346" t="s">
        <v>5808</v>
      </c>
    </row>
    <row r="2789" spans="1:3">
      <c r="A2789" s="347">
        <v>46090</v>
      </c>
      <c r="B2789" s="346" t="s">
        <v>10665</v>
      </c>
      <c r="C2789" s="346" t="s">
        <v>10666</v>
      </c>
    </row>
    <row r="2790" spans="1:3">
      <c r="A2790" s="347">
        <v>46090</v>
      </c>
      <c r="B2790" s="346" t="s">
        <v>5809</v>
      </c>
      <c r="C2790" s="346" t="s">
        <v>5810</v>
      </c>
    </row>
    <row r="2791" spans="1:3">
      <c r="A2791" s="347">
        <v>46090</v>
      </c>
      <c r="B2791" s="346" t="s">
        <v>5811</v>
      </c>
      <c r="C2791" s="346" t="s">
        <v>5812</v>
      </c>
    </row>
    <row r="2792" spans="1:3">
      <c r="A2792" s="347">
        <v>46090</v>
      </c>
      <c r="B2792" s="346" t="s">
        <v>5813</v>
      </c>
      <c r="C2792" s="346" t="s">
        <v>5814</v>
      </c>
    </row>
    <row r="2793" spans="1:3">
      <c r="A2793" s="347">
        <v>46090</v>
      </c>
      <c r="B2793" s="346" t="s">
        <v>5815</v>
      </c>
      <c r="C2793" s="346" t="s">
        <v>5816</v>
      </c>
    </row>
    <row r="2794" spans="1:3">
      <c r="A2794" s="347">
        <v>46090</v>
      </c>
      <c r="B2794" s="346" t="s">
        <v>10667</v>
      </c>
      <c r="C2794" s="346" t="s">
        <v>10668</v>
      </c>
    </row>
    <row r="2795" spans="1:3">
      <c r="A2795" s="347">
        <v>46090</v>
      </c>
      <c r="B2795" s="346" t="s">
        <v>5817</v>
      </c>
      <c r="C2795" s="346" t="s">
        <v>5818</v>
      </c>
    </row>
    <row r="2796" spans="1:3">
      <c r="A2796" s="347">
        <v>46090</v>
      </c>
      <c r="B2796" s="346" t="s">
        <v>5819</v>
      </c>
      <c r="C2796" s="346" t="s">
        <v>5820</v>
      </c>
    </row>
    <row r="2797" spans="1:3">
      <c r="A2797" s="347">
        <v>46090</v>
      </c>
      <c r="B2797" s="346" t="s">
        <v>5821</v>
      </c>
      <c r="C2797" s="346" t="s">
        <v>5822</v>
      </c>
    </row>
    <row r="2798" spans="1:3">
      <c r="A2798" s="347">
        <v>46090</v>
      </c>
      <c r="B2798" s="346" t="s">
        <v>10669</v>
      </c>
      <c r="C2798" s="346" t="s">
        <v>10670</v>
      </c>
    </row>
    <row r="2799" spans="1:3">
      <c r="A2799" s="347">
        <v>46090</v>
      </c>
      <c r="B2799" s="346" t="s">
        <v>5823</v>
      </c>
      <c r="C2799" s="346" t="s">
        <v>5824</v>
      </c>
    </row>
    <row r="2800" spans="1:3">
      <c r="A2800" s="347">
        <v>46090</v>
      </c>
      <c r="B2800" s="346" t="s">
        <v>5825</v>
      </c>
      <c r="C2800" s="346" t="s">
        <v>5826</v>
      </c>
    </row>
    <row r="2801" spans="1:3">
      <c r="A2801" s="347">
        <v>46090</v>
      </c>
      <c r="B2801" s="346" t="s">
        <v>5827</v>
      </c>
      <c r="C2801" s="346" t="s">
        <v>5828</v>
      </c>
    </row>
    <row r="2802" spans="1:3">
      <c r="A2802" s="347">
        <v>46090</v>
      </c>
      <c r="B2802" s="346" t="s">
        <v>5829</v>
      </c>
      <c r="C2802" s="346" t="s">
        <v>5830</v>
      </c>
    </row>
    <row r="2803" spans="1:3">
      <c r="A2803" s="347">
        <v>46090</v>
      </c>
      <c r="B2803" s="346" t="s">
        <v>5831</v>
      </c>
      <c r="C2803" s="346" t="s">
        <v>5832</v>
      </c>
    </row>
    <row r="2804" spans="1:3">
      <c r="A2804" s="347">
        <v>46090</v>
      </c>
      <c r="B2804" s="346" t="s">
        <v>5833</v>
      </c>
      <c r="C2804" s="346" t="s">
        <v>5834</v>
      </c>
    </row>
    <row r="2805" spans="1:3">
      <c r="A2805" s="347">
        <v>46090</v>
      </c>
      <c r="B2805" s="346" t="s">
        <v>5835</v>
      </c>
      <c r="C2805" s="346" t="s">
        <v>5836</v>
      </c>
    </row>
    <row r="2806" spans="1:3">
      <c r="A2806" s="347">
        <v>46090</v>
      </c>
      <c r="B2806" s="346" t="s">
        <v>5837</v>
      </c>
      <c r="C2806" s="346" t="s">
        <v>5838</v>
      </c>
    </row>
    <row r="2807" spans="1:3">
      <c r="A2807" s="347">
        <v>46090</v>
      </c>
      <c r="B2807" s="346" t="s">
        <v>5839</v>
      </c>
      <c r="C2807" s="346" t="s">
        <v>5840</v>
      </c>
    </row>
    <row r="2808" spans="1:3">
      <c r="A2808" s="347">
        <v>46090</v>
      </c>
      <c r="B2808" s="346" t="s">
        <v>5841</v>
      </c>
      <c r="C2808" s="346" t="s">
        <v>5842</v>
      </c>
    </row>
    <row r="2809" spans="1:3">
      <c r="A2809" s="347">
        <v>46090</v>
      </c>
      <c r="B2809" s="346" t="s">
        <v>5843</v>
      </c>
      <c r="C2809" s="346" t="s">
        <v>5844</v>
      </c>
    </row>
    <row r="2810" spans="1:3">
      <c r="A2810" s="347">
        <v>46090</v>
      </c>
      <c r="B2810" s="346" t="s">
        <v>5845</v>
      </c>
      <c r="C2810" s="346" t="s">
        <v>5846</v>
      </c>
    </row>
    <row r="2811" spans="1:3">
      <c r="A2811" s="347">
        <v>46090</v>
      </c>
      <c r="B2811" s="346" t="s">
        <v>5847</v>
      </c>
      <c r="C2811" s="346" t="s">
        <v>5848</v>
      </c>
    </row>
    <row r="2812" spans="1:3">
      <c r="A2812" s="347">
        <v>46090</v>
      </c>
      <c r="B2812" s="346" t="s">
        <v>5849</v>
      </c>
      <c r="C2812" s="346" t="s">
        <v>5850</v>
      </c>
    </row>
    <row r="2813" spans="1:3">
      <c r="A2813" s="347">
        <v>46090</v>
      </c>
      <c r="B2813" s="346" t="s">
        <v>5851</v>
      </c>
      <c r="C2813" s="346" t="s">
        <v>5852</v>
      </c>
    </row>
    <row r="2814" spans="1:3">
      <c r="A2814" s="347">
        <v>46090</v>
      </c>
      <c r="B2814" s="346" t="s">
        <v>10671</v>
      </c>
      <c r="C2814" s="346" t="s">
        <v>10672</v>
      </c>
    </row>
    <row r="2815" spans="1:3">
      <c r="A2815" s="347">
        <v>46090</v>
      </c>
      <c r="B2815" s="346" t="s">
        <v>5853</v>
      </c>
      <c r="C2815" s="346" t="s">
        <v>5854</v>
      </c>
    </row>
    <row r="2816" spans="1:3">
      <c r="A2816" s="347">
        <v>46090</v>
      </c>
      <c r="B2816" s="346" t="s">
        <v>5855</v>
      </c>
      <c r="C2816" s="346" t="s">
        <v>5856</v>
      </c>
    </row>
    <row r="2817" spans="1:3">
      <c r="A2817" s="347">
        <v>46090</v>
      </c>
      <c r="B2817" s="346" t="s">
        <v>5857</v>
      </c>
      <c r="C2817" s="346" t="s">
        <v>5858</v>
      </c>
    </row>
    <row r="2818" spans="1:3">
      <c r="A2818" s="347">
        <v>46090</v>
      </c>
      <c r="B2818" s="346" t="s">
        <v>5859</v>
      </c>
      <c r="C2818" s="346" t="s">
        <v>5860</v>
      </c>
    </row>
    <row r="2819" spans="1:3">
      <c r="A2819" s="347">
        <v>46090</v>
      </c>
      <c r="B2819" s="346" t="s">
        <v>5861</v>
      </c>
      <c r="C2819" s="346" t="s">
        <v>5862</v>
      </c>
    </row>
    <row r="2820" spans="1:3">
      <c r="A2820" s="347">
        <v>46090</v>
      </c>
      <c r="B2820" s="346" t="s">
        <v>10673</v>
      </c>
      <c r="C2820" s="346" t="s">
        <v>10674</v>
      </c>
    </row>
    <row r="2821" spans="1:3">
      <c r="A2821" s="347">
        <v>46090</v>
      </c>
      <c r="B2821" s="346" t="s">
        <v>5863</v>
      </c>
      <c r="C2821" s="346" t="s">
        <v>5864</v>
      </c>
    </row>
    <row r="2822" spans="1:3">
      <c r="A2822" s="347">
        <v>46090</v>
      </c>
      <c r="B2822" s="346" t="s">
        <v>5865</v>
      </c>
      <c r="C2822" s="346" t="s">
        <v>5866</v>
      </c>
    </row>
    <row r="2823" spans="1:3">
      <c r="A2823" s="347">
        <v>46090</v>
      </c>
      <c r="B2823" s="346" t="s">
        <v>5867</v>
      </c>
      <c r="C2823" s="346" t="s">
        <v>5868</v>
      </c>
    </row>
    <row r="2824" spans="1:3">
      <c r="A2824" s="347">
        <v>46090</v>
      </c>
      <c r="B2824" s="346" t="s">
        <v>5869</v>
      </c>
      <c r="C2824" s="346" t="s">
        <v>5870</v>
      </c>
    </row>
    <row r="2825" spans="1:3">
      <c r="A2825" s="347">
        <v>46090</v>
      </c>
      <c r="B2825" s="346" t="s">
        <v>5871</v>
      </c>
      <c r="C2825" s="346" t="s">
        <v>11086</v>
      </c>
    </row>
    <row r="2826" spans="1:3">
      <c r="A2826" s="347">
        <v>46090</v>
      </c>
      <c r="B2826" s="346" t="s">
        <v>10675</v>
      </c>
      <c r="C2826" s="346" t="s">
        <v>10676</v>
      </c>
    </row>
    <row r="2827" spans="1:3">
      <c r="A2827" s="347">
        <v>46090</v>
      </c>
      <c r="B2827" s="346" t="s">
        <v>10677</v>
      </c>
      <c r="C2827" s="346" t="s">
        <v>10678</v>
      </c>
    </row>
    <row r="2828" spans="1:3">
      <c r="A2828" s="347">
        <v>46090</v>
      </c>
      <c r="B2828" s="346" t="s">
        <v>5872</v>
      </c>
      <c r="C2828" s="346" t="s">
        <v>5873</v>
      </c>
    </row>
    <row r="2829" spans="1:3">
      <c r="A2829" s="347">
        <v>46090</v>
      </c>
      <c r="B2829" s="346" t="s">
        <v>10679</v>
      </c>
      <c r="C2829" s="346" t="s">
        <v>10680</v>
      </c>
    </row>
    <row r="2830" spans="1:3">
      <c r="A2830" s="347">
        <v>46090</v>
      </c>
      <c r="B2830" s="346" t="s">
        <v>10681</v>
      </c>
      <c r="C2830" s="346" t="s">
        <v>10682</v>
      </c>
    </row>
    <row r="2831" spans="1:3">
      <c r="A2831" s="347">
        <v>46090</v>
      </c>
      <c r="B2831" s="346" t="s">
        <v>5874</v>
      </c>
      <c r="C2831" s="346" t="s">
        <v>5875</v>
      </c>
    </row>
    <row r="2832" spans="1:3">
      <c r="A2832" s="347">
        <v>46090</v>
      </c>
      <c r="B2832" s="346" t="s">
        <v>5876</v>
      </c>
      <c r="C2832" s="346" t="s">
        <v>5877</v>
      </c>
    </row>
    <row r="2833" spans="1:3">
      <c r="A2833" s="347">
        <v>46090</v>
      </c>
      <c r="B2833" s="346" t="s">
        <v>10683</v>
      </c>
      <c r="C2833" s="346" t="s">
        <v>10684</v>
      </c>
    </row>
    <row r="2834" spans="1:3">
      <c r="A2834" s="347">
        <v>46090</v>
      </c>
      <c r="B2834" s="346" t="s">
        <v>11087</v>
      </c>
      <c r="C2834" s="346" t="s">
        <v>11088</v>
      </c>
    </row>
    <row r="2835" spans="1:3">
      <c r="A2835" s="347">
        <v>46090</v>
      </c>
      <c r="B2835" s="346" t="s">
        <v>10685</v>
      </c>
      <c r="C2835" s="346" t="s">
        <v>10686</v>
      </c>
    </row>
    <row r="2836" spans="1:3">
      <c r="A2836" s="347">
        <v>46090</v>
      </c>
      <c r="B2836" s="346" t="s">
        <v>5878</v>
      </c>
      <c r="C2836" s="346" t="s">
        <v>5879</v>
      </c>
    </row>
    <row r="2837" spans="1:3">
      <c r="A2837" s="347">
        <v>46090</v>
      </c>
      <c r="B2837" s="346" t="s">
        <v>5880</v>
      </c>
      <c r="C2837" s="346" t="s">
        <v>5881</v>
      </c>
    </row>
    <row r="2838" spans="1:3">
      <c r="A2838" s="347">
        <v>46090</v>
      </c>
      <c r="B2838" s="346" t="s">
        <v>5882</v>
      </c>
      <c r="C2838" s="346" t="s">
        <v>5883</v>
      </c>
    </row>
    <row r="2839" spans="1:3">
      <c r="A2839" s="347">
        <v>46090</v>
      </c>
      <c r="B2839" s="346" t="s">
        <v>10687</v>
      </c>
      <c r="C2839" s="346" t="s">
        <v>10688</v>
      </c>
    </row>
    <row r="2840" spans="1:3">
      <c r="A2840" s="347">
        <v>46090</v>
      </c>
      <c r="B2840" s="346" t="s">
        <v>10689</v>
      </c>
      <c r="C2840" s="346" t="s">
        <v>10690</v>
      </c>
    </row>
    <row r="2841" spans="1:3">
      <c r="A2841" s="347">
        <v>46090</v>
      </c>
      <c r="B2841" s="346" t="s">
        <v>5884</v>
      </c>
      <c r="C2841" s="346" t="s">
        <v>5885</v>
      </c>
    </row>
    <row r="2842" spans="1:3">
      <c r="A2842" s="347">
        <v>46090</v>
      </c>
      <c r="B2842" s="346" t="s">
        <v>5886</v>
      </c>
      <c r="C2842" s="346" t="s">
        <v>5887</v>
      </c>
    </row>
    <row r="2843" spans="1:3">
      <c r="A2843" s="347">
        <v>46090</v>
      </c>
      <c r="B2843" s="346" t="s">
        <v>10691</v>
      </c>
      <c r="C2843" s="346" t="s">
        <v>10692</v>
      </c>
    </row>
    <row r="2844" spans="1:3">
      <c r="A2844" s="347">
        <v>46090</v>
      </c>
      <c r="B2844" s="346" t="s">
        <v>10693</v>
      </c>
      <c r="C2844" s="346" t="s">
        <v>10694</v>
      </c>
    </row>
    <row r="2845" spans="1:3">
      <c r="A2845" s="347">
        <v>46090</v>
      </c>
      <c r="B2845" s="346" t="s">
        <v>11089</v>
      </c>
      <c r="C2845" s="346" t="s">
        <v>11090</v>
      </c>
    </row>
    <row r="2846" spans="1:3">
      <c r="A2846" s="347">
        <v>46090</v>
      </c>
      <c r="B2846" s="346" t="s">
        <v>10695</v>
      </c>
      <c r="C2846" s="346" t="s">
        <v>10696</v>
      </c>
    </row>
    <row r="2847" spans="1:3">
      <c r="A2847" s="347">
        <v>46090</v>
      </c>
      <c r="B2847" s="346" t="s">
        <v>10697</v>
      </c>
      <c r="C2847" s="346" t="s">
        <v>10698</v>
      </c>
    </row>
    <row r="2848" spans="1:3">
      <c r="A2848" s="347">
        <v>46090</v>
      </c>
      <c r="B2848" s="346" t="s">
        <v>5888</v>
      </c>
      <c r="C2848" s="346" t="s">
        <v>5889</v>
      </c>
    </row>
    <row r="2849" spans="1:3">
      <c r="A2849" s="347">
        <v>46090</v>
      </c>
      <c r="B2849" s="346" t="s">
        <v>5890</v>
      </c>
      <c r="C2849" s="346" t="s">
        <v>5891</v>
      </c>
    </row>
    <row r="2850" spans="1:3">
      <c r="A2850" s="347">
        <v>46090</v>
      </c>
      <c r="B2850" s="346" t="s">
        <v>5892</v>
      </c>
      <c r="C2850" s="346" t="s">
        <v>5893</v>
      </c>
    </row>
    <row r="2851" spans="1:3">
      <c r="A2851" s="347">
        <v>46090</v>
      </c>
      <c r="B2851" s="346" t="s">
        <v>10699</v>
      </c>
      <c r="C2851" s="346" t="s">
        <v>10700</v>
      </c>
    </row>
    <row r="2852" spans="1:3">
      <c r="A2852" s="347">
        <v>46090</v>
      </c>
      <c r="B2852" s="346" t="s">
        <v>5894</v>
      </c>
      <c r="C2852" s="346" t="s">
        <v>5895</v>
      </c>
    </row>
    <row r="2853" spans="1:3">
      <c r="A2853" s="347">
        <v>46090</v>
      </c>
      <c r="B2853" s="346" t="s">
        <v>10701</v>
      </c>
      <c r="C2853" s="346" t="s">
        <v>10702</v>
      </c>
    </row>
    <row r="2854" spans="1:3">
      <c r="A2854" s="347">
        <v>46090</v>
      </c>
      <c r="B2854" s="346" t="s">
        <v>10703</v>
      </c>
      <c r="C2854" s="346" t="s">
        <v>10704</v>
      </c>
    </row>
    <row r="2855" spans="1:3">
      <c r="A2855" s="347">
        <v>46090</v>
      </c>
      <c r="B2855" s="346" t="s">
        <v>10705</v>
      </c>
      <c r="C2855" s="346" t="s">
        <v>10706</v>
      </c>
    </row>
    <row r="2856" spans="1:3">
      <c r="A2856" s="347">
        <v>46090</v>
      </c>
      <c r="B2856" s="346" t="s">
        <v>10707</v>
      </c>
      <c r="C2856" s="346" t="s">
        <v>10708</v>
      </c>
    </row>
    <row r="2857" spans="1:3">
      <c r="A2857" s="347">
        <v>46090</v>
      </c>
      <c r="B2857" s="346" t="s">
        <v>10709</v>
      </c>
      <c r="C2857" s="346" t="s">
        <v>10710</v>
      </c>
    </row>
    <row r="2858" spans="1:3">
      <c r="A2858" s="347">
        <v>46090</v>
      </c>
      <c r="B2858" s="346" t="s">
        <v>10711</v>
      </c>
      <c r="C2858" s="346" t="s">
        <v>10712</v>
      </c>
    </row>
    <row r="2859" spans="1:3">
      <c r="A2859" s="347">
        <v>46090</v>
      </c>
      <c r="B2859" s="346" t="s">
        <v>10713</v>
      </c>
      <c r="C2859" s="346" t="s">
        <v>10714</v>
      </c>
    </row>
    <row r="2860" spans="1:3">
      <c r="A2860" s="347">
        <v>46090</v>
      </c>
      <c r="B2860" s="346" t="s">
        <v>10715</v>
      </c>
      <c r="C2860" s="346" t="s">
        <v>10716</v>
      </c>
    </row>
    <row r="2861" spans="1:3">
      <c r="A2861" s="347">
        <v>46090</v>
      </c>
      <c r="B2861" s="346" t="s">
        <v>10717</v>
      </c>
      <c r="C2861" s="346" t="s">
        <v>10718</v>
      </c>
    </row>
    <row r="2862" spans="1:3">
      <c r="A2862" s="347">
        <v>46090</v>
      </c>
      <c r="B2862" s="346" t="s">
        <v>10719</v>
      </c>
      <c r="C2862" s="346" t="s">
        <v>10720</v>
      </c>
    </row>
    <row r="2863" spans="1:3">
      <c r="A2863" s="347">
        <v>46090</v>
      </c>
      <c r="B2863" s="346" t="s">
        <v>10721</v>
      </c>
      <c r="C2863" s="346" t="s">
        <v>10722</v>
      </c>
    </row>
    <row r="2864" spans="1:3">
      <c r="A2864" s="347">
        <v>46090</v>
      </c>
      <c r="B2864" s="346" t="s">
        <v>10723</v>
      </c>
      <c r="C2864" s="346" t="s">
        <v>10724</v>
      </c>
    </row>
    <row r="2865" spans="1:3">
      <c r="A2865" s="347">
        <v>46090</v>
      </c>
      <c r="B2865" s="346" t="s">
        <v>10725</v>
      </c>
      <c r="C2865" s="346" t="s">
        <v>10726</v>
      </c>
    </row>
    <row r="2866" spans="1:3">
      <c r="A2866" s="347">
        <v>46090</v>
      </c>
      <c r="B2866" s="346" t="s">
        <v>10727</v>
      </c>
      <c r="C2866" s="346" t="s">
        <v>10728</v>
      </c>
    </row>
    <row r="2867" spans="1:3">
      <c r="A2867" s="347">
        <v>46090</v>
      </c>
      <c r="B2867" s="346" t="s">
        <v>10729</v>
      </c>
      <c r="C2867" s="346" t="s">
        <v>10730</v>
      </c>
    </row>
    <row r="2868" spans="1:3">
      <c r="A2868" s="347">
        <v>46090</v>
      </c>
      <c r="B2868" s="346" t="s">
        <v>10731</v>
      </c>
      <c r="C2868" s="346" t="s">
        <v>10732</v>
      </c>
    </row>
    <row r="2869" spans="1:3">
      <c r="A2869" s="347">
        <v>46090</v>
      </c>
      <c r="B2869" s="346" t="s">
        <v>10733</v>
      </c>
      <c r="C2869" s="346" t="s">
        <v>10734</v>
      </c>
    </row>
    <row r="2870" spans="1:3">
      <c r="A2870" s="347">
        <v>46090</v>
      </c>
      <c r="B2870" s="346" t="s">
        <v>10735</v>
      </c>
      <c r="C2870" s="346" t="s">
        <v>10736</v>
      </c>
    </row>
    <row r="2871" spans="1:3">
      <c r="A2871" s="347">
        <v>46090</v>
      </c>
      <c r="B2871" s="346" t="s">
        <v>10737</v>
      </c>
      <c r="C2871" s="346" t="s">
        <v>10738</v>
      </c>
    </row>
    <row r="2872" spans="1:3">
      <c r="A2872" s="347">
        <v>46090</v>
      </c>
      <c r="B2872" s="346" t="s">
        <v>10739</v>
      </c>
      <c r="C2872" s="346" t="s">
        <v>10740</v>
      </c>
    </row>
    <row r="2873" spans="1:3">
      <c r="A2873" s="347">
        <v>46090</v>
      </c>
      <c r="B2873" s="346" t="s">
        <v>10741</v>
      </c>
      <c r="C2873" s="346" t="s">
        <v>10742</v>
      </c>
    </row>
    <row r="2874" spans="1:3">
      <c r="A2874" s="347">
        <v>46090</v>
      </c>
      <c r="B2874" s="346" t="s">
        <v>10743</v>
      </c>
      <c r="C2874" s="346" t="s">
        <v>10744</v>
      </c>
    </row>
    <row r="2875" spans="1:3">
      <c r="A2875" s="347">
        <v>46090</v>
      </c>
      <c r="B2875" s="346" t="s">
        <v>10745</v>
      </c>
      <c r="C2875" s="346" t="s">
        <v>10746</v>
      </c>
    </row>
    <row r="2876" spans="1:3">
      <c r="A2876" s="347">
        <v>46090</v>
      </c>
      <c r="B2876" s="346" t="s">
        <v>10747</v>
      </c>
      <c r="C2876" s="346" t="s">
        <v>10748</v>
      </c>
    </row>
    <row r="2877" spans="1:3">
      <c r="A2877" s="347">
        <v>46090</v>
      </c>
      <c r="B2877" s="346" t="s">
        <v>10749</v>
      </c>
      <c r="C2877" s="346" t="s">
        <v>10750</v>
      </c>
    </row>
    <row r="2878" spans="1:3">
      <c r="A2878" s="347">
        <v>46090</v>
      </c>
      <c r="B2878" s="346" t="s">
        <v>10751</v>
      </c>
      <c r="C2878" s="346" t="s">
        <v>10752</v>
      </c>
    </row>
    <row r="2879" spans="1:3">
      <c r="A2879" s="347">
        <v>46090</v>
      </c>
      <c r="B2879" s="346" t="s">
        <v>11091</v>
      </c>
      <c r="C2879" s="346" t="s">
        <v>11092</v>
      </c>
    </row>
    <row r="2880" spans="1:3">
      <c r="A2880" s="347">
        <v>46090</v>
      </c>
      <c r="B2880" s="346" t="s">
        <v>11093</v>
      </c>
      <c r="C2880" s="346" t="s">
        <v>11094</v>
      </c>
    </row>
    <row r="2881" spans="1:3">
      <c r="A2881" s="347">
        <v>46090</v>
      </c>
      <c r="B2881" s="346" t="s">
        <v>10753</v>
      </c>
      <c r="C2881" s="346" t="s">
        <v>10754</v>
      </c>
    </row>
    <row r="2882" spans="1:3">
      <c r="A2882" s="347">
        <v>46090</v>
      </c>
      <c r="B2882" s="346" t="s">
        <v>10755</v>
      </c>
      <c r="C2882" s="346" t="s">
        <v>10756</v>
      </c>
    </row>
    <row r="2883" spans="1:3">
      <c r="A2883" s="347">
        <v>46090</v>
      </c>
      <c r="B2883" s="346" t="s">
        <v>10757</v>
      </c>
      <c r="C2883" s="346" t="s">
        <v>10758</v>
      </c>
    </row>
    <row r="2884" spans="1:3">
      <c r="A2884" s="347">
        <v>46090</v>
      </c>
      <c r="B2884" s="346" t="s">
        <v>11095</v>
      </c>
      <c r="C2884" s="346" t="s">
        <v>11096</v>
      </c>
    </row>
    <row r="2885" spans="1:3">
      <c r="A2885" s="347">
        <v>46090</v>
      </c>
      <c r="B2885" s="346" t="s">
        <v>11097</v>
      </c>
      <c r="C2885" s="346" t="s">
        <v>11098</v>
      </c>
    </row>
    <row r="2886" spans="1:3">
      <c r="A2886" s="347">
        <v>46090</v>
      </c>
      <c r="B2886" s="346" t="s">
        <v>10759</v>
      </c>
      <c r="C2886" s="346" t="s">
        <v>10760</v>
      </c>
    </row>
    <row r="2887" spans="1:3">
      <c r="A2887" s="347">
        <v>46090</v>
      </c>
      <c r="B2887" s="346" t="s">
        <v>11099</v>
      </c>
      <c r="C2887" s="346" t="s">
        <v>11100</v>
      </c>
    </row>
    <row r="2888" spans="1:3">
      <c r="A2888" s="347">
        <v>46090</v>
      </c>
      <c r="B2888" s="346" t="s">
        <v>11101</v>
      </c>
      <c r="C2888" s="346" t="s">
        <v>11102</v>
      </c>
    </row>
    <row r="2889" spans="1:3">
      <c r="A2889" s="347">
        <v>46090</v>
      </c>
      <c r="B2889" s="346" t="s">
        <v>10761</v>
      </c>
      <c r="C2889" s="346" t="s">
        <v>10762</v>
      </c>
    </row>
    <row r="2890" spans="1:3">
      <c r="A2890" s="347">
        <v>46090</v>
      </c>
      <c r="B2890" s="346" t="s">
        <v>5912</v>
      </c>
      <c r="C2890" s="346" t="s">
        <v>5913</v>
      </c>
    </row>
    <row r="2891" spans="1:3">
      <c r="A2891" s="347">
        <v>46090</v>
      </c>
      <c r="B2891" s="346" t="s">
        <v>5914</v>
      </c>
      <c r="C2891" s="346" t="s">
        <v>5915</v>
      </c>
    </row>
    <row r="2892" spans="1:3">
      <c r="A2892" s="347">
        <v>46090</v>
      </c>
      <c r="B2892" s="346" t="s">
        <v>5916</v>
      </c>
      <c r="C2892" s="346" t="s">
        <v>10763</v>
      </c>
    </row>
    <row r="2893" spans="1:3">
      <c r="A2893" s="347">
        <v>46090</v>
      </c>
      <c r="B2893" s="346" t="s">
        <v>5917</v>
      </c>
      <c r="C2893" s="346" t="s">
        <v>5918</v>
      </c>
    </row>
    <row r="2894" spans="1:3">
      <c r="A2894" s="347">
        <v>46090</v>
      </c>
      <c r="B2894" s="346" t="s">
        <v>5919</v>
      </c>
      <c r="C2894" s="346" t="s">
        <v>5920</v>
      </c>
    </row>
    <row r="2895" spans="1:3">
      <c r="A2895" s="347">
        <v>46090</v>
      </c>
      <c r="B2895" s="346" t="s">
        <v>5921</v>
      </c>
      <c r="C2895" s="346" t="s">
        <v>5922</v>
      </c>
    </row>
    <row r="2896" spans="1:3">
      <c r="A2896" s="347">
        <v>46090</v>
      </c>
      <c r="B2896" s="346" t="s">
        <v>5923</v>
      </c>
      <c r="C2896" s="346" t="s">
        <v>5924</v>
      </c>
    </row>
    <row r="2897" spans="1:3">
      <c r="A2897" s="347">
        <v>46090</v>
      </c>
      <c r="B2897" s="346" t="s">
        <v>5925</v>
      </c>
      <c r="C2897" s="346" t="s">
        <v>5926</v>
      </c>
    </row>
    <row r="2898" spans="1:3">
      <c r="A2898" s="347">
        <v>46090</v>
      </c>
      <c r="B2898" s="346" t="s">
        <v>5927</v>
      </c>
      <c r="C2898" s="346" t="s">
        <v>5928</v>
      </c>
    </row>
    <row r="2899" spans="1:3">
      <c r="A2899" s="347">
        <v>46090</v>
      </c>
      <c r="B2899" s="346" t="s">
        <v>5929</v>
      </c>
      <c r="C2899" s="346" t="s">
        <v>5930</v>
      </c>
    </row>
    <row r="2900" spans="1:3">
      <c r="A2900" s="347">
        <v>46090</v>
      </c>
      <c r="B2900" s="346" t="s">
        <v>5931</v>
      </c>
      <c r="C2900" s="346" t="s">
        <v>5932</v>
      </c>
    </row>
    <row r="2901" spans="1:3">
      <c r="A2901" s="347">
        <v>46090</v>
      </c>
      <c r="B2901" s="346" t="s">
        <v>5933</v>
      </c>
      <c r="C2901" s="346" t="s">
        <v>5934</v>
      </c>
    </row>
    <row r="2902" spans="1:3">
      <c r="A2902" s="347">
        <v>46090</v>
      </c>
      <c r="B2902" s="346" t="s">
        <v>5935</v>
      </c>
      <c r="C2902" s="346" t="s">
        <v>5936</v>
      </c>
    </row>
    <row r="2903" spans="1:3">
      <c r="A2903" s="347">
        <v>46090</v>
      </c>
      <c r="B2903" s="346" t="s">
        <v>5937</v>
      </c>
      <c r="C2903" s="346" t="s">
        <v>5938</v>
      </c>
    </row>
    <row r="2904" spans="1:3">
      <c r="A2904" s="347">
        <v>46090</v>
      </c>
      <c r="B2904" s="346" t="s">
        <v>5939</v>
      </c>
      <c r="C2904" s="346" t="s">
        <v>5940</v>
      </c>
    </row>
    <row r="2905" spans="1:3">
      <c r="A2905" s="347">
        <v>46090</v>
      </c>
      <c r="B2905" s="346" t="s">
        <v>5941</v>
      </c>
      <c r="C2905" s="346" t="s">
        <v>5942</v>
      </c>
    </row>
    <row r="2906" spans="1:3">
      <c r="A2906" s="347">
        <v>46090</v>
      </c>
      <c r="B2906" s="346" t="s">
        <v>5943</v>
      </c>
      <c r="C2906" s="346" t="s">
        <v>5944</v>
      </c>
    </row>
    <row r="2907" spans="1:3">
      <c r="A2907" s="347">
        <v>46090</v>
      </c>
      <c r="B2907" s="346" t="s">
        <v>5945</v>
      </c>
      <c r="C2907" s="346" t="s">
        <v>5946</v>
      </c>
    </row>
    <row r="2908" spans="1:3">
      <c r="A2908" s="347">
        <v>46090</v>
      </c>
      <c r="B2908" s="346" t="s">
        <v>5947</v>
      </c>
      <c r="C2908" s="346" t="s">
        <v>5948</v>
      </c>
    </row>
    <row r="2909" spans="1:3">
      <c r="A2909" s="347">
        <v>46090</v>
      </c>
      <c r="B2909" s="346" t="s">
        <v>5949</v>
      </c>
      <c r="C2909" s="346" t="s">
        <v>5950</v>
      </c>
    </row>
    <row r="2910" spans="1:3">
      <c r="A2910" s="347">
        <v>46090</v>
      </c>
      <c r="B2910" s="346" t="s">
        <v>5951</v>
      </c>
      <c r="C2910" s="346" t="s">
        <v>5952</v>
      </c>
    </row>
    <row r="2911" spans="1:3">
      <c r="A2911" s="347">
        <v>46090</v>
      </c>
      <c r="B2911" s="346" t="s">
        <v>5953</v>
      </c>
      <c r="C2911" s="346" t="s">
        <v>5954</v>
      </c>
    </row>
    <row r="2912" spans="1:3">
      <c r="A2912" s="347">
        <v>46090</v>
      </c>
      <c r="B2912" s="346" t="s">
        <v>5955</v>
      </c>
      <c r="C2912" s="346" t="s">
        <v>5956</v>
      </c>
    </row>
    <row r="2913" spans="1:3">
      <c r="A2913" s="347">
        <v>46090</v>
      </c>
      <c r="B2913" s="346" t="s">
        <v>5957</v>
      </c>
      <c r="C2913" s="346" t="s">
        <v>5958</v>
      </c>
    </row>
    <row r="2914" spans="1:3">
      <c r="A2914" s="347">
        <v>46090</v>
      </c>
      <c r="B2914" s="346" t="s">
        <v>5959</v>
      </c>
      <c r="C2914" s="346" t="s">
        <v>5960</v>
      </c>
    </row>
    <row r="2915" spans="1:3">
      <c r="A2915" s="347">
        <v>46090</v>
      </c>
      <c r="B2915" s="346" t="s">
        <v>5961</v>
      </c>
      <c r="C2915" s="346" t="s">
        <v>5962</v>
      </c>
    </row>
    <row r="2916" spans="1:3">
      <c r="A2916" s="347">
        <v>46090</v>
      </c>
      <c r="B2916" s="346" t="s">
        <v>5963</v>
      </c>
      <c r="C2916" s="346" t="s">
        <v>5964</v>
      </c>
    </row>
    <row r="2917" spans="1:3">
      <c r="A2917" s="347">
        <v>46090</v>
      </c>
      <c r="B2917" s="346" t="s">
        <v>5965</v>
      </c>
      <c r="C2917" s="346" t="s">
        <v>5966</v>
      </c>
    </row>
    <row r="2918" spans="1:3">
      <c r="A2918" s="347">
        <v>46090</v>
      </c>
      <c r="B2918" s="346" t="s">
        <v>5967</v>
      </c>
      <c r="C2918" s="346" t="s">
        <v>5968</v>
      </c>
    </row>
    <row r="2919" spans="1:3">
      <c r="A2919" s="347">
        <v>46090</v>
      </c>
      <c r="B2919" s="346" t="s">
        <v>5969</v>
      </c>
      <c r="C2919" s="346" t="s">
        <v>5970</v>
      </c>
    </row>
    <row r="2920" spans="1:3">
      <c r="A2920" s="347">
        <v>46090</v>
      </c>
      <c r="B2920" s="346" t="s">
        <v>5971</v>
      </c>
      <c r="C2920" s="346" t="s">
        <v>5972</v>
      </c>
    </row>
    <row r="2921" spans="1:3">
      <c r="A2921" s="347">
        <v>46090</v>
      </c>
      <c r="B2921" s="346" t="s">
        <v>5973</v>
      </c>
      <c r="C2921" s="346" t="s">
        <v>5974</v>
      </c>
    </row>
    <row r="2922" spans="1:3">
      <c r="A2922" s="347">
        <v>46090</v>
      </c>
      <c r="B2922" s="346" t="s">
        <v>5975</v>
      </c>
      <c r="C2922" s="346" t="s">
        <v>5976</v>
      </c>
    </row>
    <row r="2923" spans="1:3">
      <c r="A2923" s="347">
        <v>46090</v>
      </c>
      <c r="B2923" s="346" t="s">
        <v>5977</v>
      </c>
      <c r="C2923" s="346" t="s">
        <v>5978</v>
      </c>
    </row>
    <row r="2924" spans="1:3">
      <c r="A2924" s="347">
        <v>46090</v>
      </c>
      <c r="B2924" s="346" t="s">
        <v>5979</v>
      </c>
      <c r="C2924" s="346" t="s">
        <v>5980</v>
      </c>
    </row>
    <row r="2925" spans="1:3">
      <c r="A2925" s="347">
        <v>46090</v>
      </c>
      <c r="B2925" s="346" t="s">
        <v>5981</v>
      </c>
      <c r="C2925" s="346" t="s">
        <v>5982</v>
      </c>
    </row>
    <row r="2926" spans="1:3">
      <c r="A2926" s="347">
        <v>46090</v>
      </c>
      <c r="B2926" s="346" t="s">
        <v>5983</v>
      </c>
      <c r="C2926" s="346" t="s">
        <v>5984</v>
      </c>
    </row>
    <row r="2927" spans="1:3">
      <c r="A2927" s="347">
        <v>46090</v>
      </c>
      <c r="B2927" s="346" t="s">
        <v>5985</v>
      </c>
      <c r="C2927" s="346" t="s">
        <v>5986</v>
      </c>
    </row>
    <row r="2928" spans="1:3">
      <c r="A2928" s="347">
        <v>46090</v>
      </c>
      <c r="B2928" s="346" t="s">
        <v>5987</v>
      </c>
      <c r="C2928" s="346" t="s">
        <v>5988</v>
      </c>
    </row>
    <row r="2929" spans="1:3">
      <c r="A2929" s="347">
        <v>46090</v>
      </c>
      <c r="B2929" s="346" t="s">
        <v>5989</v>
      </c>
      <c r="C2929" s="346" t="s">
        <v>5990</v>
      </c>
    </row>
    <row r="2930" spans="1:3">
      <c r="A2930" s="347">
        <v>46090</v>
      </c>
      <c r="B2930" s="346" t="s">
        <v>5991</v>
      </c>
      <c r="C2930" s="346" t="s">
        <v>5992</v>
      </c>
    </row>
    <row r="2931" spans="1:3">
      <c r="A2931" s="347">
        <v>46090</v>
      </c>
      <c r="B2931" s="346" t="s">
        <v>5993</v>
      </c>
      <c r="C2931" s="346" t="s">
        <v>5994</v>
      </c>
    </row>
    <row r="2932" spans="1:3">
      <c r="A2932" s="347">
        <v>46090</v>
      </c>
      <c r="B2932" s="346" t="s">
        <v>5995</v>
      </c>
      <c r="C2932" s="346" t="s">
        <v>5996</v>
      </c>
    </row>
    <row r="2933" spans="1:3">
      <c r="A2933" s="347">
        <v>46090</v>
      </c>
      <c r="B2933" s="346" t="s">
        <v>5997</v>
      </c>
      <c r="C2933" s="346" t="s">
        <v>5998</v>
      </c>
    </row>
    <row r="2934" spans="1:3">
      <c r="A2934" s="347">
        <v>46090</v>
      </c>
      <c r="B2934" s="346" t="s">
        <v>5999</v>
      </c>
      <c r="C2934" s="346" t="s">
        <v>6000</v>
      </c>
    </row>
    <row r="2935" spans="1:3">
      <c r="A2935" s="347">
        <v>46090</v>
      </c>
      <c r="B2935" s="346" t="s">
        <v>6001</v>
      </c>
      <c r="C2935" s="346" t="s">
        <v>6002</v>
      </c>
    </row>
    <row r="2936" spans="1:3">
      <c r="A2936" s="347">
        <v>46090</v>
      </c>
      <c r="B2936" s="346" t="s">
        <v>6003</v>
      </c>
      <c r="C2936" s="346" t="s">
        <v>6004</v>
      </c>
    </row>
    <row r="2937" spans="1:3">
      <c r="A2937" s="347">
        <v>46090</v>
      </c>
      <c r="B2937" s="346" t="s">
        <v>6005</v>
      </c>
      <c r="C2937" s="346" t="s">
        <v>6006</v>
      </c>
    </row>
    <row r="2938" spans="1:3">
      <c r="A2938" s="347">
        <v>46090</v>
      </c>
      <c r="B2938" s="346" t="s">
        <v>6007</v>
      </c>
      <c r="C2938" s="346" t="s">
        <v>6008</v>
      </c>
    </row>
    <row r="2939" spans="1:3">
      <c r="A2939" s="347">
        <v>46090</v>
      </c>
      <c r="B2939" s="346" t="s">
        <v>6009</v>
      </c>
      <c r="C2939" s="346" t="s">
        <v>10764</v>
      </c>
    </row>
    <row r="2940" spans="1:3">
      <c r="A2940" s="347">
        <v>46090</v>
      </c>
      <c r="B2940" s="346" t="s">
        <v>6010</v>
      </c>
      <c r="C2940" s="346" t="s">
        <v>6011</v>
      </c>
    </row>
    <row r="2941" spans="1:3">
      <c r="A2941" s="347">
        <v>46090</v>
      </c>
      <c r="B2941" s="346" t="s">
        <v>6012</v>
      </c>
      <c r="C2941" s="346" t="s">
        <v>6013</v>
      </c>
    </row>
    <row r="2942" spans="1:3">
      <c r="A2942" s="347">
        <v>46090</v>
      </c>
      <c r="B2942" s="346" t="s">
        <v>6014</v>
      </c>
      <c r="C2942" s="346" t="s">
        <v>10765</v>
      </c>
    </row>
    <row r="2943" spans="1:3">
      <c r="A2943" s="347">
        <v>46090</v>
      </c>
      <c r="B2943" s="346" t="s">
        <v>6015</v>
      </c>
      <c r="C2943" s="346" t="s">
        <v>6016</v>
      </c>
    </row>
    <row r="2944" spans="1:3">
      <c r="A2944" s="347">
        <v>46090</v>
      </c>
      <c r="B2944" s="346" t="s">
        <v>6017</v>
      </c>
      <c r="C2944" s="346" t="s">
        <v>6018</v>
      </c>
    </row>
    <row r="2945" spans="1:3">
      <c r="A2945" s="347">
        <v>46090</v>
      </c>
      <c r="B2945" s="346" t="s">
        <v>6019</v>
      </c>
      <c r="C2945" s="346" t="s">
        <v>10766</v>
      </c>
    </row>
    <row r="2946" spans="1:3">
      <c r="A2946" s="347">
        <v>46090</v>
      </c>
      <c r="B2946" s="346" t="s">
        <v>6020</v>
      </c>
      <c r="C2946" s="346" t="s">
        <v>11103</v>
      </c>
    </row>
    <row r="2947" spans="1:3">
      <c r="A2947" s="347">
        <v>46090</v>
      </c>
      <c r="B2947" s="346" t="s">
        <v>6021</v>
      </c>
      <c r="C2947" s="346" t="s">
        <v>6022</v>
      </c>
    </row>
    <row r="2948" spans="1:3">
      <c r="A2948" s="347">
        <v>46090</v>
      </c>
      <c r="B2948" s="346" t="s">
        <v>6023</v>
      </c>
      <c r="C2948" s="346" t="s">
        <v>6024</v>
      </c>
    </row>
    <row r="2949" spans="1:3">
      <c r="A2949" s="347">
        <v>46090</v>
      </c>
      <c r="B2949" s="346" t="s">
        <v>6025</v>
      </c>
      <c r="C2949" s="346" t="s">
        <v>6026</v>
      </c>
    </row>
    <row r="2950" spans="1:3">
      <c r="A2950" s="347">
        <v>46090</v>
      </c>
      <c r="B2950" s="346" t="s">
        <v>6027</v>
      </c>
      <c r="C2950" s="346" t="s">
        <v>6028</v>
      </c>
    </row>
    <row r="2951" spans="1:3">
      <c r="A2951" s="347">
        <v>46090</v>
      </c>
      <c r="B2951" s="346" t="s">
        <v>6029</v>
      </c>
      <c r="C2951" s="346" t="s">
        <v>6030</v>
      </c>
    </row>
    <row r="2952" spans="1:3">
      <c r="A2952" s="347">
        <v>46090</v>
      </c>
      <c r="B2952" s="346" t="s">
        <v>6031</v>
      </c>
      <c r="C2952" s="346" t="s">
        <v>6032</v>
      </c>
    </row>
    <row r="2953" spans="1:3">
      <c r="A2953" s="347">
        <v>46090</v>
      </c>
      <c r="B2953" s="346" t="s">
        <v>6033</v>
      </c>
      <c r="C2953" s="346" t="s">
        <v>6034</v>
      </c>
    </row>
    <row r="2954" spans="1:3">
      <c r="A2954" s="347">
        <v>46090</v>
      </c>
      <c r="B2954" s="346" t="s">
        <v>6035</v>
      </c>
      <c r="C2954" s="346" t="s">
        <v>6036</v>
      </c>
    </row>
    <row r="2955" spans="1:3">
      <c r="A2955" s="347">
        <v>46090</v>
      </c>
      <c r="B2955" s="346" t="s">
        <v>6037</v>
      </c>
      <c r="C2955" s="346" t="s">
        <v>6038</v>
      </c>
    </row>
    <row r="2956" spans="1:3">
      <c r="A2956" s="347">
        <v>46090</v>
      </c>
      <c r="B2956" s="346" t="s">
        <v>6039</v>
      </c>
      <c r="C2956" s="346" t="s">
        <v>6040</v>
      </c>
    </row>
    <row r="2957" spans="1:3">
      <c r="A2957" s="347">
        <v>46090</v>
      </c>
      <c r="B2957" s="346" t="s">
        <v>6041</v>
      </c>
      <c r="C2957" s="346" t="s">
        <v>6042</v>
      </c>
    </row>
    <row r="2958" spans="1:3">
      <c r="A2958" s="347">
        <v>46090</v>
      </c>
      <c r="B2958" s="346" t="s">
        <v>6043</v>
      </c>
      <c r="C2958" s="346" t="s">
        <v>6044</v>
      </c>
    </row>
    <row r="2959" spans="1:3">
      <c r="A2959" s="347">
        <v>46090</v>
      </c>
      <c r="B2959" s="346" t="s">
        <v>6045</v>
      </c>
      <c r="C2959" s="346" t="s">
        <v>6046</v>
      </c>
    </row>
    <row r="2960" spans="1:3">
      <c r="A2960" s="347">
        <v>46090</v>
      </c>
      <c r="B2960" s="346" t="s">
        <v>6047</v>
      </c>
      <c r="C2960" s="346" t="s">
        <v>6048</v>
      </c>
    </row>
    <row r="2961" spans="1:3">
      <c r="A2961" s="347">
        <v>46090</v>
      </c>
      <c r="B2961" s="346" t="s">
        <v>6049</v>
      </c>
      <c r="C2961" s="346" t="s">
        <v>6050</v>
      </c>
    </row>
    <row r="2962" spans="1:3">
      <c r="A2962" s="347">
        <v>46090</v>
      </c>
      <c r="B2962" s="346" t="s">
        <v>6051</v>
      </c>
      <c r="C2962" s="346" t="s">
        <v>6052</v>
      </c>
    </row>
    <row r="2963" spans="1:3">
      <c r="A2963" s="347">
        <v>46090</v>
      </c>
      <c r="B2963" s="346" t="s">
        <v>6053</v>
      </c>
      <c r="C2963" s="346" t="s">
        <v>6054</v>
      </c>
    </row>
    <row r="2964" spans="1:3">
      <c r="A2964" s="347">
        <v>46090</v>
      </c>
      <c r="B2964" s="346" t="s">
        <v>6055</v>
      </c>
      <c r="C2964" s="346" t="s">
        <v>6056</v>
      </c>
    </row>
    <row r="2965" spans="1:3">
      <c r="A2965" s="347">
        <v>46090</v>
      </c>
      <c r="B2965" s="346" t="s">
        <v>6057</v>
      </c>
      <c r="C2965" s="346" t="s">
        <v>6058</v>
      </c>
    </row>
    <row r="2966" spans="1:3">
      <c r="A2966" s="347">
        <v>46090</v>
      </c>
      <c r="B2966" s="346" t="s">
        <v>6059</v>
      </c>
      <c r="C2966" s="346" t="s">
        <v>10767</v>
      </c>
    </row>
    <row r="2967" spans="1:3">
      <c r="A2967" s="347">
        <v>46090</v>
      </c>
      <c r="B2967" s="346" t="s">
        <v>6060</v>
      </c>
      <c r="C2967" s="346" t="s">
        <v>6061</v>
      </c>
    </row>
    <row r="2968" spans="1:3">
      <c r="A2968" s="347">
        <v>46090</v>
      </c>
      <c r="B2968" s="346" t="s">
        <v>6062</v>
      </c>
      <c r="C2968" s="346" t="s">
        <v>6063</v>
      </c>
    </row>
    <row r="2969" spans="1:3">
      <c r="A2969" s="347">
        <v>46090</v>
      </c>
      <c r="B2969" s="346" t="s">
        <v>6064</v>
      </c>
      <c r="C2969" s="346" t="s">
        <v>6065</v>
      </c>
    </row>
    <row r="2970" spans="1:3">
      <c r="A2970" s="347">
        <v>46090</v>
      </c>
      <c r="B2970" s="346" t="s">
        <v>6066</v>
      </c>
      <c r="C2970" s="346" t="s">
        <v>6067</v>
      </c>
    </row>
    <row r="2971" spans="1:3">
      <c r="A2971" s="347">
        <v>46090</v>
      </c>
      <c r="B2971" s="346" t="s">
        <v>6068</v>
      </c>
      <c r="C2971" s="346" t="s">
        <v>6069</v>
      </c>
    </row>
    <row r="2972" spans="1:3">
      <c r="A2972" s="347">
        <v>46090</v>
      </c>
      <c r="B2972" s="346" t="s">
        <v>6070</v>
      </c>
      <c r="C2972" s="346" t="s">
        <v>6071</v>
      </c>
    </row>
    <row r="2973" spans="1:3">
      <c r="A2973" s="347">
        <v>46090</v>
      </c>
      <c r="B2973" s="346" t="s">
        <v>6072</v>
      </c>
      <c r="C2973" s="346" t="s">
        <v>6073</v>
      </c>
    </row>
    <row r="2974" spans="1:3">
      <c r="A2974" s="347">
        <v>46090</v>
      </c>
      <c r="B2974" s="346" t="s">
        <v>6074</v>
      </c>
      <c r="C2974" s="346" t="s">
        <v>6075</v>
      </c>
    </row>
    <row r="2975" spans="1:3">
      <c r="A2975" s="347">
        <v>46090</v>
      </c>
      <c r="B2975" s="346" t="s">
        <v>6076</v>
      </c>
      <c r="C2975" s="346" t="s">
        <v>10768</v>
      </c>
    </row>
    <row r="2976" spans="1:3">
      <c r="A2976" s="347">
        <v>46090</v>
      </c>
      <c r="B2976" s="346" t="s">
        <v>6077</v>
      </c>
      <c r="C2976" s="346" t="s">
        <v>6078</v>
      </c>
    </row>
    <row r="2977" spans="1:3">
      <c r="A2977" s="347">
        <v>46090</v>
      </c>
      <c r="B2977" s="346" t="s">
        <v>6079</v>
      </c>
      <c r="C2977" s="346" t="s">
        <v>6080</v>
      </c>
    </row>
    <row r="2978" spans="1:3">
      <c r="A2978" s="347">
        <v>46090</v>
      </c>
      <c r="B2978" s="346" t="s">
        <v>6081</v>
      </c>
      <c r="C2978" s="346" t="s">
        <v>6082</v>
      </c>
    </row>
    <row r="2979" spans="1:3">
      <c r="A2979" s="347">
        <v>46090</v>
      </c>
      <c r="B2979" s="346" t="s">
        <v>6083</v>
      </c>
      <c r="C2979" s="346" t="s">
        <v>6084</v>
      </c>
    </row>
    <row r="2980" spans="1:3">
      <c r="A2980" s="347">
        <v>46090</v>
      </c>
      <c r="B2980" s="346" t="s">
        <v>6085</v>
      </c>
      <c r="C2980" s="346" t="s">
        <v>6086</v>
      </c>
    </row>
    <row r="2981" spans="1:3">
      <c r="A2981" s="347">
        <v>46090</v>
      </c>
      <c r="B2981" s="346" t="s">
        <v>6087</v>
      </c>
      <c r="C2981" s="346" t="s">
        <v>6088</v>
      </c>
    </row>
    <row r="2982" spans="1:3">
      <c r="A2982" s="347">
        <v>46090</v>
      </c>
      <c r="B2982" s="346" t="s">
        <v>6089</v>
      </c>
      <c r="C2982" s="346" t="s">
        <v>6090</v>
      </c>
    </row>
    <row r="2983" spans="1:3">
      <c r="A2983" s="347">
        <v>46090</v>
      </c>
      <c r="B2983" s="346" t="s">
        <v>6091</v>
      </c>
      <c r="C2983" s="346" t="s">
        <v>6092</v>
      </c>
    </row>
    <row r="2984" spans="1:3">
      <c r="A2984" s="347">
        <v>46090</v>
      </c>
      <c r="B2984" s="346" t="s">
        <v>6093</v>
      </c>
      <c r="C2984" s="346" t="s">
        <v>6094</v>
      </c>
    </row>
    <row r="2985" spans="1:3">
      <c r="A2985" s="347">
        <v>46090</v>
      </c>
      <c r="B2985" s="346" t="s">
        <v>6095</v>
      </c>
      <c r="C2985" s="346" t="s">
        <v>6096</v>
      </c>
    </row>
    <row r="2986" spans="1:3">
      <c r="A2986" s="347">
        <v>46090</v>
      </c>
      <c r="B2986" s="346" t="s">
        <v>6097</v>
      </c>
      <c r="C2986" s="346" t="s">
        <v>10769</v>
      </c>
    </row>
    <row r="2987" spans="1:3">
      <c r="A2987" s="347">
        <v>46090</v>
      </c>
      <c r="B2987" s="346" t="s">
        <v>6098</v>
      </c>
      <c r="C2987" s="346" t="s">
        <v>6099</v>
      </c>
    </row>
    <row r="2988" spans="1:3">
      <c r="A2988" s="347">
        <v>46090</v>
      </c>
      <c r="B2988" s="346" t="s">
        <v>6100</v>
      </c>
      <c r="C2988" s="346" t="s">
        <v>6101</v>
      </c>
    </row>
    <row r="2989" spans="1:3">
      <c r="A2989" s="347">
        <v>46090</v>
      </c>
      <c r="B2989" s="346" t="s">
        <v>6102</v>
      </c>
      <c r="C2989" s="346" t="s">
        <v>6103</v>
      </c>
    </row>
    <row r="2990" spans="1:3">
      <c r="A2990" s="347">
        <v>46090</v>
      </c>
      <c r="B2990" s="346" t="s">
        <v>6104</v>
      </c>
      <c r="C2990" s="346" t="s">
        <v>6105</v>
      </c>
    </row>
    <row r="2991" spans="1:3">
      <c r="A2991" s="347">
        <v>46090</v>
      </c>
      <c r="B2991" s="346" t="s">
        <v>6106</v>
      </c>
      <c r="C2991" s="346" t="s">
        <v>10770</v>
      </c>
    </row>
    <row r="2992" spans="1:3">
      <c r="A2992" s="347">
        <v>46090</v>
      </c>
      <c r="B2992" s="346" t="s">
        <v>6107</v>
      </c>
      <c r="C2992" s="346" t="s">
        <v>6108</v>
      </c>
    </row>
    <row r="2993" spans="1:3">
      <c r="A2993" s="347">
        <v>46090</v>
      </c>
      <c r="B2993" s="346" t="s">
        <v>6109</v>
      </c>
      <c r="C2993" s="346" t="s">
        <v>6110</v>
      </c>
    </row>
    <row r="2994" spans="1:3">
      <c r="A2994" s="347">
        <v>46090</v>
      </c>
      <c r="B2994" s="346" t="s">
        <v>6111</v>
      </c>
      <c r="C2994" s="346" t="s">
        <v>6112</v>
      </c>
    </row>
    <row r="2995" spans="1:3">
      <c r="A2995" s="347">
        <v>46090</v>
      </c>
      <c r="B2995" s="346" t="s">
        <v>6113</v>
      </c>
      <c r="C2995" s="346" t="s">
        <v>6114</v>
      </c>
    </row>
    <row r="2996" spans="1:3">
      <c r="A2996" s="347">
        <v>46090</v>
      </c>
      <c r="B2996" s="346" t="s">
        <v>6115</v>
      </c>
      <c r="C2996" s="346" t="s">
        <v>6116</v>
      </c>
    </row>
    <row r="2997" spans="1:3">
      <c r="A2997" s="347">
        <v>46090</v>
      </c>
      <c r="B2997" s="346" t="s">
        <v>6117</v>
      </c>
      <c r="C2997" s="346" t="s">
        <v>6118</v>
      </c>
    </row>
    <row r="2998" spans="1:3">
      <c r="A2998" s="347">
        <v>46090</v>
      </c>
      <c r="B2998" s="346" t="s">
        <v>6119</v>
      </c>
      <c r="C2998" s="346" t="s">
        <v>6120</v>
      </c>
    </row>
    <row r="2999" spans="1:3">
      <c r="A2999" s="347">
        <v>46090</v>
      </c>
      <c r="B2999" s="346" t="s">
        <v>6121</v>
      </c>
      <c r="C2999" s="346" t="s">
        <v>6122</v>
      </c>
    </row>
    <row r="3000" spans="1:3">
      <c r="A3000" s="347">
        <v>46090</v>
      </c>
      <c r="B3000" s="346" t="s">
        <v>6123</v>
      </c>
      <c r="C3000" s="346" t="s">
        <v>6124</v>
      </c>
    </row>
    <row r="3001" spans="1:3">
      <c r="A3001" s="347">
        <v>46090</v>
      </c>
      <c r="B3001" s="346" t="s">
        <v>6125</v>
      </c>
      <c r="C3001" s="346" t="s">
        <v>6126</v>
      </c>
    </row>
    <row r="3002" spans="1:3">
      <c r="A3002" s="347">
        <v>46090</v>
      </c>
      <c r="B3002" s="346" t="s">
        <v>6127</v>
      </c>
      <c r="C3002" s="346" t="s">
        <v>6128</v>
      </c>
    </row>
    <row r="3003" spans="1:3">
      <c r="A3003" s="347">
        <v>46090</v>
      </c>
      <c r="B3003" s="346" t="s">
        <v>6129</v>
      </c>
      <c r="C3003" s="346" t="s">
        <v>6130</v>
      </c>
    </row>
    <row r="3004" spans="1:3">
      <c r="A3004" s="347">
        <v>46090</v>
      </c>
      <c r="B3004" s="346" t="s">
        <v>6131</v>
      </c>
      <c r="C3004" s="346" t="s">
        <v>6132</v>
      </c>
    </row>
    <row r="3005" spans="1:3">
      <c r="A3005" s="347">
        <v>46090</v>
      </c>
      <c r="B3005" s="346" t="s">
        <v>6133</v>
      </c>
      <c r="C3005" s="346" t="s">
        <v>6134</v>
      </c>
    </row>
    <row r="3006" spans="1:3">
      <c r="A3006" s="347">
        <v>46090</v>
      </c>
      <c r="B3006" s="346" t="s">
        <v>6135</v>
      </c>
      <c r="C3006" s="346" t="s">
        <v>6136</v>
      </c>
    </row>
    <row r="3007" spans="1:3">
      <c r="A3007" s="347">
        <v>46090</v>
      </c>
      <c r="B3007" s="346" t="s">
        <v>6137</v>
      </c>
      <c r="C3007" s="346" t="s">
        <v>6138</v>
      </c>
    </row>
    <row r="3008" spans="1:3">
      <c r="A3008" s="347">
        <v>46090</v>
      </c>
      <c r="B3008" s="346" t="s">
        <v>6139</v>
      </c>
      <c r="C3008" s="346" t="s">
        <v>6140</v>
      </c>
    </row>
    <row r="3009" spans="1:3">
      <c r="A3009" s="347">
        <v>46090</v>
      </c>
      <c r="B3009" s="346" t="s">
        <v>6141</v>
      </c>
      <c r="C3009" s="346" t="s">
        <v>6142</v>
      </c>
    </row>
    <row r="3010" spans="1:3">
      <c r="A3010" s="347">
        <v>46090</v>
      </c>
      <c r="B3010" s="346" t="s">
        <v>6143</v>
      </c>
      <c r="C3010" s="346" t="s">
        <v>6144</v>
      </c>
    </row>
    <row r="3011" spans="1:3">
      <c r="A3011" s="347">
        <v>46090</v>
      </c>
      <c r="B3011" s="346" t="s">
        <v>6145</v>
      </c>
      <c r="C3011" s="346" t="s">
        <v>11104</v>
      </c>
    </row>
    <row r="3012" spans="1:3">
      <c r="A3012" s="347">
        <v>46090</v>
      </c>
      <c r="B3012" s="346" t="s">
        <v>6146</v>
      </c>
      <c r="C3012" s="346" t="s">
        <v>6147</v>
      </c>
    </row>
    <row r="3013" spans="1:3">
      <c r="A3013" s="347">
        <v>46090</v>
      </c>
      <c r="B3013" s="346" t="s">
        <v>6148</v>
      </c>
      <c r="C3013" s="346" t="s">
        <v>6149</v>
      </c>
    </row>
    <row r="3014" spans="1:3">
      <c r="A3014" s="347">
        <v>46090</v>
      </c>
      <c r="B3014" s="346" t="s">
        <v>6150</v>
      </c>
      <c r="C3014" s="346" t="s">
        <v>6151</v>
      </c>
    </row>
    <row r="3015" spans="1:3">
      <c r="A3015" s="347">
        <v>46090</v>
      </c>
      <c r="B3015" s="346" t="s">
        <v>6152</v>
      </c>
      <c r="C3015" s="346" t="s">
        <v>11105</v>
      </c>
    </row>
    <row r="3016" spans="1:3">
      <c r="A3016" s="347">
        <v>46090</v>
      </c>
      <c r="B3016" s="346" t="s">
        <v>6153</v>
      </c>
      <c r="C3016" s="346" t="s">
        <v>6154</v>
      </c>
    </row>
    <row r="3017" spans="1:3">
      <c r="A3017" s="347">
        <v>46090</v>
      </c>
      <c r="B3017" s="346" t="s">
        <v>6155</v>
      </c>
      <c r="C3017" s="346" t="s">
        <v>6156</v>
      </c>
    </row>
    <row r="3018" spans="1:3">
      <c r="A3018" s="347">
        <v>46090</v>
      </c>
      <c r="B3018" s="346" t="s">
        <v>6157</v>
      </c>
      <c r="C3018" s="346" t="s">
        <v>6158</v>
      </c>
    </row>
    <row r="3019" spans="1:3">
      <c r="A3019" s="347">
        <v>46090</v>
      </c>
      <c r="B3019" s="346" t="s">
        <v>6159</v>
      </c>
      <c r="C3019" s="346" t="s">
        <v>10771</v>
      </c>
    </row>
    <row r="3020" spans="1:3">
      <c r="A3020" s="347">
        <v>46090</v>
      </c>
      <c r="B3020" s="346" t="s">
        <v>6160</v>
      </c>
      <c r="C3020" s="346" t="s">
        <v>6161</v>
      </c>
    </row>
    <row r="3021" spans="1:3">
      <c r="A3021" s="347">
        <v>46090</v>
      </c>
      <c r="B3021" s="346" t="s">
        <v>6162</v>
      </c>
      <c r="C3021" s="346" t="s">
        <v>6163</v>
      </c>
    </row>
    <row r="3022" spans="1:3">
      <c r="A3022" s="347">
        <v>46090</v>
      </c>
      <c r="B3022" s="346" t="s">
        <v>6164</v>
      </c>
      <c r="C3022" s="346" t="s">
        <v>6165</v>
      </c>
    </row>
    <row r="3023" spans="1:3">
      <c r="A3023" s="347">
        <v>46090</v>
      </c>
      <c r="B3023" s="346" t="s">
        <v>6166</v>
      </c>
      <c r="C3023" s="346" t="s">
        <v>6167</v>
      </c>
    </row>
    <row r="3024" spans="1:3">
      <c r="A3024" s="347">
        <v>46090</v>
      </c>
      <c r="B3024" s="346" t="s">
        <v>6168</v>
      </c>
      <c r="C3024" s="346" t="s">
        <v>6169</v>
      </c>
    </row>
    <row r="3025" spans="1:3">
      <c r="A3025" s="347">
        <v>46090</v>
      </c>
      <c r="B3025" s="346" t="s">
        <v>6170</v>
      </c>
      <c r="C3025" s="346" t="s">
        <v>6171</v>
      </c>
    </row>
    <row r="3026" spans="1:3">
      <c r="A3026" s="347">
        <v>46090</v>
      </c>
      <c r="B3026" s="346" t="s">
        <v>6172</v>
      </c>
      <c r="C3026" s="346" t="s">
        <v>6173</v>
      </c>
    </row>
    <row r="3027" spans="1:3">
      <c r="A3027" s="347">
        <v>46090</v>
      </c>
      <c r="B3027" s="346" t="s">
        <v>6174</v>
      </c>
      <c r="C3027" s="346" t="s">
        <v>6175</v>
      </c>
    </row>
    <row r="3028" spans="1:3">
      <c r="A3028" s="347">
        <v>46090</v>
      </c>
      <c r="B3028" s="346" t="s">
        <v>6176</v>
      </c>
      <c r="C3028" s="346" t="s">
        <v>10772</v>
      </c>
    </row>
    <row r="3029" spans="1:3">
      <c r="A3029" s="347">
        <v>46090</v>
      </c>
      <c r="B3029" s="346" t="s">
        <v>6177</v>
      </c>
      <c r="C3029" s="346" t="s">
        <v>10773</v>
      </c>
    </row>
    <row r="3030" spans="1:3">
      <c r="A3030" s="347">
        <v>46090</v>
      </c>
      <c r="B3030" s="346" t="s">
        <v>6178</v>
      </c>
      <c r="C3030" s="346" t="s">
        <v>6179</v>
      </c>
    </row>
    <row r="3031" spans="1:3">
      <c r="A3031" s="347">
        <v>46090</v>
      </c>
      <c r="B3031" s="346" t="s">
        <v>6180</v>
      </c>
      <c r="C3031" s="346" t="s">
        <v>6181</v>
      </c>
    </row>
    <row r="3032" spans="1:3">
      <c r="A3032" s="347">
        <v>46090</v>
      </c>
      <c r="B3032" s="346" t="s">
        <v>6182</v>
      </c>
      <c r="C3032" s="346" t="s">
        <v>6183</v>
      </c>
    </row>
    <row r="3033" spans="1:3">
      <c r="A3033" s="347">
        <v>46090</v>
      </c>
      <c r="B3033" s="346" t="s">
        <v>6184</v>
      </c>
      <c r="C3033" s="346" t="s">
        <v>6185</v>
      </c>
    </row>
    <row r="3034" spans="1:3">
      <c r="A3034" s="347">
        <v>46090</v>
      </c>
      <c r="B3034" s="346" t="s">
        <v>6186</v>
      </c>
      <c r="C3034" s="346" t="s">
        <v>6187</v>
      </c>
    </row>
    <row r="3035" spans="1:3">
      <c r="A3035" s="347">
        <v>46090</v>
      </c>
      <c r="B3035" s="346" t="s">
        <v>6188</v>
      </c>
      <c r="C3035" s="346" t="s">
        <v>10774</v>
      </c>
    </row>
    <row r="3036" spans="1:3">
      <c r="A3036" s="347">
        <v>46090</v>
      </c>
      <c r="B3036" s="346" t="s">
        <v>6189</v>
      </c>
      <c r="C3036" s="346" t="s">
        <v>6190</v>
      </c>
    </row>
    <row r="3037" spans="1:3">
      <c r="A3037" s="347">
        <v>46090</v>
      </c>
      <c r="B3037" s="346" t="s">
        <v>6191</v>
      </c>
      <c r="C3037" s="346" t="s">
        <v>6192</v>
      </c>
    </row>
    <row r="3038" spans="1:3">
      <c r="A3038" s="347">
        <v>46090</v>
      </c>
      <c r="B3038" s="346" t="s">
        <v>6193</v>
      </c>
      <c r="C3038" s="346" t="s">
        <v>6194</v>
      </c>
    </row>
    <row r="3039" spans="1:3">
      <c r="A3039" s="347">
        <v>46090</v>
      </c>
      <c r="B3039" s="346" t="s">
        <v>6195</v>
      </c>
      <c r="C3039" s="346" t="s">
        <v>6196</v>
      </c>
    </row>
    <row r="3040" spans="1:3">
      <c r="A3040" s="347">
        <v>46090</v>
      </c>
      <c r="B3040" s="346" t="s">
        <v>6197</v>
      </c>
      <c r="C3040" s="346" t="s">
        <v>6198</v>
      </c>
    </row>
    <row r="3041" spans="1:3">
      <c r="A3041" s="347">
        <v>46090</v>
      </c>
      <c r="B3041" s="346" t="s">
        <v>6199</v>
      </c>
      <c r="C3041" s="346" t="s">
        <v>6200</v>
      </c>
    </row>
    <row r="3042" spans="1:3">
      <c r="A3042" s="347">
        <v>46090</v>
      </c>
      <c r="B3042" s="346" t="s">
        <v>6201</v>
      </c>
      <c r="C3042" s="346" t="s">
        <v>6202</v>
      </c>
    </row>
    <row r="3043" spans="1:3">
      <c r="A3043" s="347">
        <v>46090</v>
      </c>
      <c r="B3043" s="346" t="s">
        <v>6203</v>
      </c>
      <c r="C3043" s="346" t="s">
        <v>6204</v>
      </c>
    </row>
    <row r="3044" spans="1:3">
      <c r="A3044" s="347">
        <v>46090</v>
      </c>
      <c r="B3044" s="346" t="s">
        <v>6205</v>
      </c>
      <c r="C3044" s="346" t="s">
        <v>6206</v>
      </c>
    </row>
    <row r="3045" spans="1:3">
      <c r="A3045" s="347">
        <v>46090</v>
      </c>
      <c r="B3045" s="346" t="s">
        <v>6207</v>
      </c>
      <c r="C3045" s="346" t="s">
        <v>6208</v>
      </c>
    </row>
    <row r="3046" spans="1:3">
      <c r="A3046" s="347">
        <v>46090</v>
      </c>
      <c r="B3046" s="346" t="s">
        <v>6209</v>
      </c>
      <c r="C3046" s="346" t="s">
        <v>10775</v>
      </c>
    </row>
    <row r="3047" spans="1:3">
      <c r="A3047" s="347">
        <v>46090</v>
      </c>
      <c r="B3047" s="346" t="s">
        <v>6210</v>
      </c>
      <c r="C3047" s="346" t="s">
        <v>6211</v>
      </c>
    </row>
    <row r="3048" spans="1:3">
      <c r="A3048" s="347">
        <v>46090</v>
      </c>
      <c r="B3048" s="346" t="s">
        <v>6212</v>
      </c>
      <c r="C3048" s="346" t="s">
        <v>6213</v>
      </c>
    </row>
    <row r="3049" spans="1:3">
      <c r="A3049" s="347">
        <v>46090</v>
      </c>
      <c r="B3049" s="346" t="s">
        <v>6214</v>
      </c>
      <c r="C3049" s="346" t="s">
        <v>6215</v>
      </c>
    </row>
    <row r="3050" spans="1:3">
      <c r="A3050" s="347">
        <v>46090</v>
      </c>
      <c r="B3050" s="346" t="s">
        <v>6216</v>
      </c>
      <c r="C3050" s="346" t="s">
        <v>6217</v>
      </c>
    </row>
    <row r="3051" spans="1:3">
      <c r="A3051" s="347">
        <v>46090</v>
      </c>
      <c r="B3051" s="346" t="s">
        <v>6218</v>
      </c>
      <c r="C3051" s="346" t="s">
        <v>6219</v>
      </c>
    </row>
    <row r="3052" spans="1:3">
      <c r="A3052" s="347">
        <v>46090</v>
      </c>
      <c r="B3052" s="346" t="s">
        <v>6220</v>
      </c>
      <c r="C3052" s="346" t="s">
        <v>6221</v>
      </c>
    </row>
    <row r="3053" spans="1:3">
      <c r="A3053" s="347">
        <v>46090</v>
      </c>
      <c r="B3053" s="346" t="s">
        <v>6222</v>
      </c>
      <c r="C3053" s="346" t="s">
        <v>6223</v>
      </c>
    </row>
    <row r="3054" spans="1:3">
      <c r="A3054" s="347">
        <v>46090</v>
      </c>
      <c r="B3054" s="346" t="s">
        <v>6224</v>
      </c>
      <c r="C3054" s="346" t="s">
        <v>6225</v>
      </c>
    </row>
    <row r="3055" spans="1:3">
      <c r="A3055" s="347">
        <v>46090</v>
      </c>
      <c r="B3055" s="346" t="s">
        <v>6226</v>
      </c>
      <c r="C3055" s="346" t="s">
        <v>6227</v>
      </c>
    </row>
    <row r="3056" spans="1:3">
      <c r="A3056" s="347">
        <v>46090</v>
      </c>
      <c r="B3056" s="346" t="s">
        <v>6228</v>
      </c>
      <c r="C3056" s="346" t="s">
        <v>6229</v>
      </c>
    </row>
    <row r="3057" spans="1:3">
      <c r="A3057" s="347">
        <v>46090</v>
      </c>
      <c r="B3057" s="346" t="s">
        <v>6230</v>
      </c>
      <c r="C3057" s="346" t="s">
        <v>6231</v>
      </c>
    </row>
    <row r="3058" spans="1:3">
      <c r="A3058" s="347">
        <v>46090</v>
      </c>
      <c r="B3058" s="346" t="s">
        <v>6232</v>
      </c>
      <c r="C3058" s="346" t="s">
        <v>10776</v>
      </c>
    </row>
    <row r="3059" spans="1:3">
      <c r="A3059" s="347">
        <v>46090</v>
      </c>
      <c r="B3059" s="346" t="s">
        <v>6233</v>
      </c>
      <c r="C3059" s="346" t="s">
        <v>6234</v>
      </c>
    </row>
    <row r="3060" spans="1:3">
      <c r="A3060" s="347">
        <v>46090</v>
      </c>
      <c r="B3060" s="346" t="s">
        <v>6235</v>
      </c>
      <c r="C3060" s="346" t="s">
        <v>10777</v>
      </c>
    </row>
    <row r="3061" spans="1:3">
      <c r="A3061" s="347">
        <v>46090</v>
      </c>
      <c r="B3061" s="346" t="s">
        <v>6236</v>
      </c>
      <c r="C3061" s="346" t="s">
        <v>6237</v>
      </c>
    </row>
    <row r="3062" spans="1:3">
      <c r="A3062" s="347">
        <v>46090</v>
      </c>
      <c r="B3062" s="346" t="s">
        <v>6238</v>
      </c>
      <c r="C3062" s="346" t="s">
        <v>6239</v>
      </c>
    </row>
    <row r="3063" spans="1:3">
      <c r="A3063" s="347">
        <v>46090</v>
      </c>
      <c r="B3063" s="346" t="s">
        <v>6240</v>
      </c>
      <c r="C3063" s="346" t="s">
        <v>6241</v>
      </c>
    </row>
    <row r="3064" spans="1:3">
      <c r="A3064" s="347">
        <v>46090</v>
      </c>
      <c r="B3064" s="346" t="s">
        <v>6242</v>
      </c>
      <c r="C3064" s="346" t="s">
        <v>6243</v>
      </c>
    </row>
    <row r="3065" spans="1:3">
      <c r="A3065" s="347">
        <v>46090</v>
      </c>
      <c r="B3065" s="346" t="s">
        <v>6244</v>
      </c>
      <c r="C3065" s="346" t="s">
        <v>6245</v>
      </c>
    </row>
    <row r="3066" spans="1:3">
      <c r="A3066" s="347">
        <v>46090</v>
      </c>
      <c r="B3066" s="346" t="s">
        <v>6246</v>
      </c>
      <c r="C3066" s="346" t="s">
        <v>6247</v>
      </c>
    </row>
    <row r="3067" spans="1:3">
      <c r="A3067" s="347">
        <v>46090</v>
      </c>
      <c r="B3067" s="346" t="s">
        <v>6248</v>
      </c>
      <c r="C3067" s="346" t="s">
        <v>6249</v>
      </c>
    </row>
    <row r="3068" spans="1:3">
      <c r="A3068" s="347">
        <v>46090</v>
      </c>
      <c r="B3068" s="346" t="s">
        <v>6250</v>
      </c>
      <c r="C3068" s="346" t="s">
        <v>6251</v>
      </c>
    </row>
    <row r="3069" spans="1:3">
      <c r="A3069" s="347">
        <v>46090</v>
      </c>
      <c r="B3069" s="346" t="s">
        <v>6252</v>
      </c>
      <c r="C3069" s="346" t="s">
        <v>6253</v>
      </c>
    </row>
    <row r="3070" spans="1:3">
      <c r="A3070" s="347">
        <v>46090</v>
      </c>
      <c r="B3070" s="346" t="s">
        <v>6254</v>
      </c>
      <c r="C3070" s="346" t="s">
        <v>10778</v>
      </c>
    </row>
    <row r="3071" spans="1:3">
      <c r="A3071" s="347">
        <v>46090</v>
      </c>
      <c r="B3071" s="346" t="s">
        <v>6255</v>
      </c>
      <c r="C3071" s="346" t="s">
        <v>6256</v>
      </c>
    </row>
    <row r="3072" spans="1:3">
      <c r="A3072" s="347">
        <v>46090</v>
      </c>
      <c r="B3072" s="346" t="s">
        <v>6257</v>
      </c>
      <c r="C3072" s="346" t="s">
        <v>6258</v>
      </c>
    </row>
    <row r="3073" spans="1:3">
      <c r="A3073" s="347">
        <v>46090</v>
      </c>
      <c r="B3073" s="346" t="s">
        <v>6259</v>
      </c>
      <c r="C3073" s="346" t="s">
        <v>10779</v>
      </c>
    </row>
    <row r="3074" spans="1:3">
      <c r="A3074" s="347">
        <v>46090</v>
      </c>
      <c r="B3074" s="346" t="s">
        <v>6260</v>
      </c>
      <c r="C3074" s="346" t="s">
        <v>6261</v>
      </c>
    </row>
    <row r="3075" spans="1:3">
      <c r="A3075" s="347">
        <v>46090</v>
      </c>
      <c r="B3075" s="346" t="s">
        <v>6262</v>
      </c>
      <c r="C3075" s="346" t="s">
        <v>6263</v>
      </c>
    </row>
    <row r="3076" spans="1:3">
      <c r="A3076" s="347">
        <v>46090</v>
      </c>
      <c r="B3076" s="346" t="s">
        <v>6264</v>
      </c>
      <c r="C3076" s="346" t="s">
        <v>6265</v>
      </c>
    </row>
    <row r="3077" spans="1:3">
      <c r="A3077" s="347">
        <v>46090</v>
      </c>
      <c r="B3077" s="346" t="s">
        <v>6266</v>
      </c>
      <c r="C3077" s="346" t="s">
        <v>6267</v>
      </c>
    </row>
    <row r="3078" spans="1:3">
      <c r="A3078" s="347">
        <v>46090</v>
      </c>
      <c r="B3078" s="346" t="s">
        <v>6268</v>
      </c>
      <c r="C3078" s="346" t="s">
        <v>6269</v>
      </c>
    </row>
    <row r="3079" spans="1:3">
      <c r="A3079" s="347">
        <v>46090</v>
      </c>
      <c r="B3079" s="346" t="s">
        <v>6270</v>
      </c>
      <c r="C3079" s="346" t="s">
        <v>6271</v>
      </c>
    </row>
    <row r="3080" spans="1:3">
      <c r="A3080" s="347">
        <v>46090</v>
      </c>
      <c r="B3080" s="346" t="s">
        <v>6272</v>
      </c>
      <c r="C3080" s="346" t="s">
        <v>6273</v>
      </c>
    </row>
    <row r="3081" spans="1:3">
      <c r="A3081" s="347">
        <v>46090</v>
      </c>
      <c r="B3081" s="346" t="s">
        <v>6274</v>
      </c>
      <c r="C3081" s="346" t="s">
        <v>6275</v>
      </c>
    </row>
    <row r="3082" spans="1:3">
      <c r="A3082" s="347">
        <v>46090</v>
      </c>
      <c r="B3082" s="346" t="s">
        <v>6276</v>
      </c>
      <c r="C3082" s="346" t="s">
        <v>6277</v>
      </c>
    </row>
    <row r="3083" spans="1:3">
      <c r="A3083" s="347">
        <v>46090</v>
      </c>
      <c r="B3083" s="346" t="s">
        <v>6278</v>
      </c>
      <c r="C3083" s="346" t="s">
        <v>6279</v>
      </c>
    </row>
    <row r="3084" spans="1:3">
      <c r="A3084" s="347">
        <v>46090</v>
      </c>
      <c r="B3084" s="346" t="s">
        <v>6280</v>
      </c>
      <c r="C3084" s="346" t="s">
        <v>11106</v>
      </c>
    </row>
    <row r="3085" spans="1:3">
      <c r="A3085" s="347">
        <v>46090</v>
      </c>
      <c r="B3085" s="346" t="s">
        <v>6281</v>
      </c>
      <c r="C3085" s="346" t="s">
        <v>6282</v>
      </c>
    </row>
    <row r="3086" spans="1:3">
      <c r="A3086" s="347">
        <v>46090</v>
      </c>
      <c r="B3086" s="346" t="s">
        <v>6283</v>
      </c>
      <c r="C3086" s="346" t="s">
        <v>6284</v>
      </c>
    </row>
    <row r="3087" spans="1:3">
      <c r="A3087" s="347">
        <v>46090</v>
      </c>
      <c r="B3087" s="346" t="s">
        <v>6285</v>
      </c>
      <c r="C3087" s="346" t="s">
        <v>6286</v>
      </c>
    </row>
    <row r="3088" spans="1:3">
      <c r="A3088" s="347">
        <v>46090</v>
      </c>
      <c r="B3088" s="346" t="s">
        <v>6287</v>
      </c>
      <c r="C3088" s="346" t="s">
        <v>6288</v>
      </c>
    </row>
    <row r="3089" spans="1:3">
      <c r="A3089" s="347">
        <v>46090</v>
      </c>
      <c r="B3089" s="346" t="s">
        <v>6289</v>
      </c>
      <c r="C3089" s="346" t="s">
        <v>6290</v>
      </c>
    </row>
    <row r="3090" spans="1:3">
      <c r="A3090" s="347">
        <v>46090</v>
      </c>
      <c r="B3090" s="346" t="s">
        <v>6291</v>
      </c>
      <c r="C3090" s="346" t="s">
        <v>6292</v>
      </c>
    </row>
    <row r="3091" spans="1:3">
      <c r="A3091" s="347">
        <v>46090</v>
      </c>
      <c r="B3091" s="346" t="s">
        <v>6293</v>
      </c>
      <c r="C3091" s="346" t="s">
        <v>6294</v>
      </c>
    </row>
    <row r="3092" spans="1:3">
      <c r="A3092" s="347">
        <v>46090</v>
      </c>
      <c r="B3092" s="346" t="s">
        <v>6295</v>
      </c>
      <c r="C3092" s="346" t="s">
        <v>6296</v>
      </c>
    </row>
    <row r="3093" spans="1:3">
      <c r="A3093" s="347">
        <v>46090</v>
      </c>
      <c r="B3093" s="346" t="s">
        <v>6297</v>
      </c>
      <c r="C3093" s="346" t="s">
        <v>6298</v>
      </c>
    </row>
    <row r="3094" spans="1:3">
      <c r="A3094" s="347">
        <v>46090</v>
      </c>
      <c r="B3094" s="346" t="s">
        <v>6299</v>
      </c>
      <c r="C3094" s="346" t="s">
        <v>6300</v>
      </c>
    </row>
    <row r="3095" spans="1:3">
      <c r="A3095" s="347">
        <v>46090</v>
      </c>
      <c r="B3095" s="346" t="s">
        <v>6301</v>
      </c>
      <c r="C3095" s="346" t="s">
        <v>6302</v>
      </c>
    </row>
    <row r="3096" spans="1:3">
      <c r="A3096" s="347">
        <v>46090</v>
      </c>
      <c r="B3096" s="346" t="s">
        <v>6303</v>
      </c>
      <c r="C3096" s="346" t="s">
        <v>6304</v>
      </c>
    </row>
    <row r="3097" spans="1:3">
      <c r="A3097" s="347">
        <v>46090</v>
      </c>
      <c r="B3097" s="346" t="s">
        <v>6305</v>
      </c>
      <c r="C3097" s="346" t="s">
        <v>6306</v>
      </c>
    </row>
    <row r="3098" spans="1:3">
      <c r="A3098" s="347">
        <v>46090</v>
      </c>
      <c r="B3098" s="346" t="s">
        <v>6307</v>
      </c>
      <c r="C3098" s="346" t="s">
        <v>6308</v>
      </c>
    </row>
    <row r="3099" spans="1:3">
      <c r="A3099" s="347">
        <v>46090</v>
      </c>
      <c r="B3099" s="346" t="s">
        <v>6309</v>
      </c>
      <c r="C3099" s="346" t="s">
        <v>6310</v>
      </c>
    </row>
    <row r="3100" spans="1:3">
      <c r="A3100" s="347">
        <v>46090</v>
      </c>
      <c r="B3100" s="346" t="s">
        <v>6311</v>
      </c>
      <c r="C3100" s="346" t="s">
        <v>6312</v>
      </c>
    </row>
    <row r="3101" spans="1:3">
      <c r="A3101" s="347">
        <v>46090</v>
      </c>
      <c r="B3101" s="346" t="s">
        <v>6313</v>
      </c>
      <c r="C3101" s="346" t="s">
        <v>6314</v>
      </c>
    </row>
    <row r="3102" spans="1:3">
      <c r="A3102" s="347">
        <v>46090</v>
      </c>
      <c r="B3102" s="346" t="s">
        <v>6315</v>
      </c>
      <c r="C3102" s="346" t="s">
        <v>6316</v>
      </c>
    </row>
    <row r="3103" spans="1:3">
      <c r="A3103" s="347">
        <v>46090</v>
      </c>
      <c r="B3103" s="346" t="s">
        <v>6317</v>
      </c>
      <c r="C3103" s="346" t="s">
        <v>6318</v>
      </c>
    </row>
    <row r="3104" spans="1:3">
      <c r="A3104" s="347">
        <v>46090</v>
      </c>
      <c r="B3104" s="346" t="s">
        <v>6319</v>
      </c>
      <c r="C3104" s="346" t="s">
        <v>10780</v>
      </c>
    </row>
    <row r="3105" spans="1:3">
      <c r="A3105" s="347">
        <v>46090</v>
      </c>
      <c r="B3105" s="346" t="s">
        <v>6320</v>
      </c>
      <c r="C3105" s="346" t="s">
        <v>6321</v>
      </c>
    </row>
    <row r="3106" spans="1:3">
      <c r="A3106" s="347">
        <v>46090</v>
      </c>
      <c r="B3106" s="346" t="s">
        <v>6322</v>
      </c>
      <c r="C3106" s="346" t="s">
        <v>6323</v>
      </c>
    </row>
    <row r="3107" spans="1:3">
      <c r="A3107" s="347">
        <v>46090</v>
      </c>
      <c r="B3107" s="346" t="s">
        <v>6324</v>
      </c>
      <c r="C3107" s="346" t="s">
        <v>11107</v>
      </c>
    </row>
    <row r="3108" spans="1:3">
      <c r="A3108" s="347">
        <v>46090</v>
      </c>
      <c r="B3108" s="346" t="s">
        <v>6325</v>
      </c>
      <c r="C3108" s="346" t="s">
        <v>6326</v>
      </c>
    </row>
    <row r="3109" spans="1:3">
      <c r="A3109" s="347">
        <v>46090</v>
      </c>
      <c r="B3109" s="346" t="s">
        <v>6327</v>
      </c>
      <c r="C3109" s="346" t="s">
        <v>6328</v>
      </c>
    </row>
    <row r="3110" spans="1:3">
      <c r="A3110" s="347">
        <v>46090</v>
      </c>
      <c r="B3110" s="346" t="s">
        <v>6329</v>
      </c>
      <c r="C3110" s="346" t="s">
        <v>6330</v>
      </c>
    </row>
    <row r="3111" spans="1:3">
      <c r="A3111" s="347">
        <v>46090</v>
      </c>
      <c r="B3111" s="346" t="s">
        <v>6331</v>
      </c>
      <c r="C3111" s="346" t="s">
        <v>6332</v>
      </c>
    </row>
    <row r="3112" spans="1:3">
      <c r="A3112" s="347">
        <v>46090</v>
      </c>
      <c r="B3112" s="346" t="s">
        <v>6333</v>
      </c>
      <c r="C3112" s="346" t="s">
        <v>6334</v>
      </c>
    </row>
    <row r="3113" spans="1:3">
      <c r="A3113" s="347">
        <v>46090</v>
      </c>
      <c r="B3113" s="346" t="s">
        <v>6335</v>
      </c>
      <c r="C3113" s="346" t="s">
        <v>6336</v>
      </c>
    </row>
    <row r="3114" spans="1:3">
      <c r="A3114" s="347">
        <v>46090</v>
      </c>
      <c r="B3114" s="346" t="s">
        <v>6337</v>
      </c>
      <c r="C3114" s="346" t="s">
        <v>6338</v>
      </c>
    </row>
    <row r="3115" spans="1:3">
      <c r="A3115" s="347">
        <v>46090</v>
      </c>
      <c r="B3115" s="346" t="s">
        <v>6339</v>
      </c>
      <c r="C3115" s="346" t="s">
        <v>10781</v>
      </c>
    </row>
    <row r="3116" spans="1:3">
      <c r="A3116" s="347">
        <v>46090</v>
      </c>
      <c r="B3116" s="346" t="s">
        <v>6340</v>
      </c>
      <c r="C3116" s="346" t="s">
        <v>6341</v>
      </c>
    </row>
    <row r="3117" spans="1:3">
      <c r="A3117" s="347">
        <v>46090</v>
      </c>
      <c r="B3117" s="346" t="s">
        <v>6342</v>
      </c>
      <c r="C3117" s="346" t="s">
        <v>6343</v>
      </c>
    </row>
    <row r="3118" spans="1:3">
      <c r="A3118" s="347">
        <v>46090</v>
      </c>
      <c r="B3118" s="346" t="s">
        <v>6344</v>
      </c>
      <c r="C3118" s="346" t="s">
        <v>6345</v>
      </c>
    </row>
    <row r="3119" spans="1:3">
      <c r="A3119" s="347">
        <v>46090</v>
      </c>
      <c r="B3119" s="346" t="s">
        <v>6346</v>
      </c>
      <c r="C3119" s="346" t="s">
        <v>6347</v>
      </c>
    </row>
    <row r="3120" spans="1:3">
      <c r="A3120" s="347">
        <v>46090</v>
      </c>
      <c r="B3120" s="346" t="s">
        <v>6348</v>
      </c>
      <c r="C3120" s="346" t="s">
        <v>6349</v>
      </c>
    </row>
    <row r="3121" spans="1:3">
      <c r="A3121" s="347">
        <v>46090</v>
      </c>
      <c r="B3121" s="346" t="s">
        <v>6350</v>
      </c>
      <c r="C3121" s="346" t="s">
        <v>6351</v>
      </c>
    </row>
    <row r="3122" spans="1:3">
      <c r="A3122" s="347">
        <v>46090</v>
      </c>
      <c r="B3122" s="346" t="s">
        <v>6352</v>
      </c>
      <c r="C3122" s="346" t="s">
        <v>6353</v>
      </c>
    </row>
    <row r="3123" spans="1:3">
      <c r="A3123" s="347">
        <v>46090</v>
      </c>
      <c r="B3123" s="346" t="s">
        <v>6354</v>
      </c>
      <c r="C3123" s="346" t="s">
        <v>6355</v>
      </c>
    </row>
    <row r="3124" spans="1:3">
      <c r="A3124" s="347">
        <v>46090</v>
      </c>
      <c r="B3124" s="346" t="s">
        <v>6356</v>
      </c>
      <c r="C3124" s="346" t="s">
        <v>6357</v>
      </c>
    </row>
    <row r="3125" spans="1:3">
      <c r="A3125" s="347">
        <v>46090</v>
      </c>
      <c r="B3125" s="346" t="s">
        <v>6358</v>
      </c>
      <c r="C3125" s="346" t="s">
        <v>6359</v>
      </c>
    </row>
    <row r="3126" spans="1:3">
      <c r="A3126" s="347">
        <v>46090</v>
      </c>
      <c r="B3126" s="346" t="s">
        <v>6360</v>
      </c>
      <c r="C3126" s="346" t="s">
        <v>6361</v>
      </c>
    </row>
    <row r="3127" spans="1:3">
      <c r="A3127" s="347">
        <v>46090</v>
      </c>
      <c r="B3127" s="346" t="s">
        <v>6362</v>
      </c>
      <c r="C3127" s="346" t="s">
        <v>6363</v>
      </c>
    </row>
    <row r="3128" spans="1:3">
      <c r="A3128" s="347">
        <v>46090</v>
      </c>
      <c r="B3128" s="346" t="s">
        <v>6364</v>
      </c>
      <c r="C3128" s="346" t="s">
        <v>6365</v>
      </c>
    </row>
    <row r="3129" spans="1:3">
      <c r="A3129" s="347">
        <v>46090</v>
      </c>
      <c r="B3129" s="346" t="s">
        <v>6366</v>
      </c>
      <c r="C3129" s="346" t="s">
        <v>6367</v>
      </c>
    </row>
    <row r="3130" spans="1:3">
      <c r="A3130" s="347">
        <v>46090</v>
      </c>
      <c r="B3130" s="346" t="s">
        <v>6368</v>
      </c>
      <c r="C3130" s="346" t="s">
        <v>6369</v>
      </c>
    </row>
    <row r="3131" spans="1:3">
      <c r="A3131" s="347">
        <v>46090</v>
      </c>
      <c r="B3131" s="346" t="s">
        <v>6370</v>
      </c>
      <c r="C3131" s="346" t="s">
        <v>6371</v>
      </c>
    </row>
    <row r="3132" spans="1:3">
      <c r="A3132" s="347">
        <v>46090</v>
      </c>
      <c r="B3132" s="346" t="s">
        <v>6372</v>
      </c>
      <c r="C3132" s="346" t="s">
        <v>6373</v>
      </c>
    </row>
    <row r="3133" spans="1:3">
      <c r="A3133" s="347">
        <v>46090</v>
      </c>
      <c r="B3133" s="346" t="s">
        <v>6374</v>
      </c>
      <c r="C3133" s="346" t="s">
        <v>6375</v>
      </c>
    </row>
    <row r="3134" spans="1:3">
      <c r="A3134" s="347">
        <v>46090</v>
      </c>
      <c r="B3134" s="346" t="s">
        <v>6376</v>
      </c>
      <c r="C3134" s="346" t="s">
        <v>6377</v>
      </c>
    </row>
    <row r="3135" spans="1:3">
      <c r="A3135" s="347">
        <v>46090</v>
      </c>
      <c r="B3135" s="346" t="s">
        <v>6378</v>
      </c>
      <c r="C3135" s="346" t="s">
        <v>6379</v>
      </c>
    </row>
    <row r="3136" spans="1:3">
      <c r="A3136" s="347">
        <v>46090</v>
      </c>
      <c r="B3136" s="346" t="s">
        <v>6380</v>
      </c>
      <c r="C3136" s="346" t="s">
        <v>6381</v>
      </c>
    </row>
    <row r="3137" spans="1:3">
      <c r="A3137" s="347">
        <v>46090</v>
      </c>
      <c r="B3137" s="346" t="s">
        <v>6382</v>
      </c>
      <c r="C3137" s="346" t="s">
        <v>6383</v>
      </c>
    </row>
    <row r="3138" spans="1:3">
      <c r="A3138" s="347">
        <v>46090</v>
      </c>
      <c r="B3138" s="346" t="s">
        <v>6384</v>
      </c>
      <c r="C3138" s="346" t="s">
        <v>6385</v>
      </c>
    </row>
    <row r="3139" spans="1:3">
      <c r="A3139" s="347">
        <v>46090</v>
      </c>
      <c r="B3139" s="346" t="s">
        <v>6386</v>
      </c>
      <c r="C3139" s="346" t="s">
        <v>6387</v>
      </c>
    </row>
    <row r="3140" spans="1:3">
      <c r="A3140" s="347">
        <v>46090</v>
      </c>
      <c r="B3140" s="346" t="s">
        <v>6388</v>
      </c>
      <c r="C3140" s="346" t="s">
        <v>6389</v>
      </c>
    </row>
    <row r="3141" spans="1:3">
      <c r="A3141" s="347">
        <v>46090</v>
      </c>
      <c r="B3141" s="346" t="s">
        <v>6390</v>
      </c>
      <c r="C3141" s="346" t="s">
        <v>6391</v>
      </c>
    </row>
    <row r="3142" spans="1:3">
      <c r="A3142" s="347">
        <v>46090</v>
      </c>
      <c r="B3142" s="346" t="s">
        <v>6392</v>
      </c>
      <c r="C3142" s="346" t="s">
        <v>6393</v>
      </c>
    </row>
    <row r="3143" spans="1:3">
      <c r="A3143" s="347">
        <v>46090</v>
      </c>
      <c r="B3143" s="346" t="s">
        <v>6394</v>
      </c>
      <c r="C3143" s="346" t="s">
        <v>6395</v>
      </c>
    </row>
    <row r="3144" spans="1:3">
      <c r="A3144" s="347">
        <v>46090</v>
      </c>
      <c r="B3144" s="346" t="s">
        <v>6396</v>
      </c>
      <c r="C3144" s="346" t="s">
        <v>6397</v>
      </c>
    </row>
    <row r="3145" spans="1:3">
      <c r="A3145" s="347">
        <v>46090</v>
      </c>
      <c r="B3145" s="346" t="s">
        <v>6398</v>
      </c>
      <c r="C3145" s="346" t="s">
        <v>6399</v>
      </c>
    </row>
    <row r="3146" spans="1:3">
      <c r="A3146" s="347">
        <v>46090</v>
      </c>
      <c r="B3146" s="346" t="s">
        <v>6400</v>
      </c>
      <c r="C3146" s="346" t="s">
        <v>6401</v>
      </c>
    </row>
    <row r="3147" spans="1:3">
      <c r="A3147" s="347">
        <v>46090</v>
      </c>
      <c r="B3147" s="346" t="s">
        <v>6402</v>
      </c>
      <c r="C3147" s="346" t="s">
        <v>6403</v>
      </c>
    </row>
    <row r="3148" spans="1:3">
      <c r="A3148" s="347">
        <v>46090</v>
      </c>
      <c r="B3148" s="346" t="s">
        <v>6404</v>
      </c>
      <c r="C3148" s="346" t="s">
        <v>6405</v>
      </c>
    </row>
    <row r="3149" spans="1:3">
      <c r="A3149" s="347">
        <v>46090</v>
      </c>
      <c r="B3149" s="346" t="s">
        <v>6406</v>
      </c>
      <c r="C3149" s="346" t="s">
        <v>6407</v>
      </c>
    </row>
    <row r="3150" spans="1:3">
      <c r="A3150" s="347">
        <v>46090</v>
      </c>
      <c r="B3150" s="346" t="s">
        <v>6408</v>
      </c>
      <c r="C3150" s="346" t="s">
        <v>6409</v>
      </c>
    </row>
    <row r="3151" spans="1:3">
      <c r="A3151" s="347">
        <v>46090</v>
      </c>
      <c r="B3151" s="346" t="s">
        <v>6410</v>
      </c>
      <c r="C3151" s="346" t="s">
        <v>6411</v>
      </c>
    </row>
    <row r="3152" spans="1:3">
      <c r="A3152" s="347">
        <v>46090</v>
      </c>
      <c r="B3152" s="346" t="s">
        <v>6412</v>
      </c>
      <c r="C3152" s="346" t="s">
        <v>6413</v>
      </c>
    </row>
    <row r="3153" spans="1:3">
      <c r="A3153" s="347">
        <v>46090</v>
      </c>
      <c r="B3153" s="346" t="s">
        <v>6414</v>
      </c>
      <c r="C3153" s="346" t="s">
        <v>6415</v>
      </c>
    </row>
    <row r="3154" spans="1:3">
      <c r="A3154" s="347">
        <v>46090</v>
      </c>
      <c r="B3154" s="346" t="s">
        <v>6416</v>
      </c>
      <c r="C3154" s="346" t="s">
        <v>10782</v>
      </c>
    </row>
    <row r="3155" spans="1:3">
      <c r="A3155" s="347">
        <v>46090</v>
      </c>
      <c r="B3155" s="346" t="s">
        <v>6417</v>
      </c>
      <c r="C3155" s="346" t="s">
        <v>6418</v>
      </c>
    </row>
    <row r="3156" spans="1:3">
      <c r="A3156" s="347">
        <v>46090</v>
      </c>
      <c r="B3156" s="346" t="s">
        <v>6419</v>
      </c>
      <c r="C3156" s="346" t="s">
        <v>10783</v>
      </c>
    </row>
    <row r="3157" spans="1:3">
      <c r="A3157" s="347">
        <v>46090</v>
      </c>
      <c r="B3157" s="346" t="s">
        <v>6420</v>
      </c>
      <c r="C3157" s="346" t="s">
        <v>6421</v>
      </c>
    </row>
    <row r="3158" spans="1:3">
      <c r="A3158" s="347">
        <v>46090</v>
      </c>
      <c r="B3158" s="346" t="s">
        <v>6422</v>
      </c>
      <c r="C3158" s="346" t="s">
        <v>10784</v>
      </c>
    </row>
    <row r="3159" spans="1:3">
      <c r="A3159" s="347">
        <v>46090</v>
      </c>
      <c r="B3159" s="346" t="s">
        <v>6423</v>
      </c>
      <c r="C3159" s="346" t="s">
        <v>6424</v>
      </c>
    </row>
    <row r="3160" spans="1:3">
      <c r="A3160" s="347">
        <v>46090</v>
      </c>
      <c r="B3160" s="346" t="s">
        <v>6425</v>
      </c>
      <c r="C3160" s="346" t="s">
        <v>6426</v>
      </c>
    </row>
    <row r="3161" spans="1:3">
      <c r="A3161" s="347">
        <v>46090</v>
      </c>
      <c r="B3161" s="346" t="s">
        <v>6427</v>
      </c>
      <c r="C3161" s="346" t="s">
        <v>6428</v>
      </c>
    </row>
    <row r="3162" spans="1:3">
      <c r="A3162" s="347">
        <v>46090</v>
      </c>
      <c r="B3162" s="346" t="s">
        <v>6429</v>
      </c>
      <c r="C3162" s="346" t="s">
        <v>6430</v>
      </c>
    </row>
    <row r="3163" spans="1:3">
      <c r="A3163" s="347">
        <v>46090</v>
      </c>
      <c r="B3163" s="346" t="s">
        <v>6431</v>
      </c>
      <c r="C3163" s="346" t="s">
        <v>6432</v>
      </c>
    </row>
    <row r="3164" spans="1:3">
      <c r="A3164" s="347">
        <v>46090</v>
      </c>
      <c r="B3164" s="346" t="s">
        <v>6433</v>
      </c>
      <c r="C3164" s="346" t="s">
        <v>6434</v>
      </c>
    </row>
    <row r="3165" spans="1:3">
      <c r="A3165" s="347">
        <v>46090</v>
      </c>
      <c r="B3165" s="346" t="s">
        <v>6435</v>
      </c>
      <c r="C3165" s="346" t="s">
        <v>6436</v>
      </c>
    </row>
    <row r="3166" spans="1:3">
      <c r="A3166" s="347">
        <v>46090</v>
      </c>
      <c r="B3166" s="346" t="s">
        <v>6437</v>
      </c>
      <c r="C3166" s="346" t="s">
        <v>6438</v>
      </c>
    </row>
    <row r="3167" spans="1:3">
      <c r="A3167" s="347">
        <v>46090</v>
      </c>
      <c r="B3167" s="346" t="s">
        <v>6439</v>
      </c>
      <c r="C3167" s="346" t="s">
        <v>6440</v>
      </c>
    </row>
    <row r="3168" spans="1:3">
      <c r="A3168" s="347">
        <v>46090</v>
      </c>
      <c r="B3168" s="346" t="s">
        <v>6441</v>
      </c>
      <c r="C3168" s="346" t="s">
        <v>6442</v>
      </c>
    </row>
    <row r="3169" spans="1:3">
      <c r="A3169" s="347">
        <v>46090</v>
      </c>
      <c r="B3169" s="346" t="s">
        <v>6443</v>
      </c>
      <c r="C3169" s="346" t="s">
        <v>6444</v>
      </c>
    </row>
    <row r="3170" spans="1:3">
      <c r="A3170" s="347">
        <v>46090</v>
      </c>
      <c r="B3170" s="346" t="s">
        <v>6445</v>
      </c>
      <c r="C3170" s="346" t="s">
        <v>6446</v>
      </c>
    </row>
    <row r="3171" spans="1:3">
      <c r="A3171" s="347">
        <v>46090</v>
      </c>
      <c r="B3171" s="346" t="s">
        <v>6447</v>
      </c>
      <c r="C3171" s="346" t="s">
        <v>10785</v>
      </c>
    </row>
    <row r="3172" spans="1:3">
      <c r="A3172" s="347">
        <v>46090</v>
      </c>
      <c r="B3172" s="346" t="s">
        <v>6448</v>
      </c>
      <c r="C3172" s="346" t="s">
        <v>6449</v>
      </c>
    </row>
    <row r="3173" spans="1:3">
      <c r="A3173" s="347">
        <v>46090</v>
      </c>
      <c r="B3173" s="346" t="s">
        <v>6450</v>
      </c>
      <c r="C3173" s="346" t="s">
        <v>6451</v>
      </c>
    </row>
    <row r="3174" spans="1:3">
      <c r="A3174" s="347">
        <v>46090</v>
      </c>
      <c r="B3174" s="346" t="s">
        <v>6452</v>
      </c>
      <c r="C3174" s="346" t="s">
        <v>6453</v>
      </c>
    </row>
    <row r="3175" spans="1:3">
      <c r="A3175" s="347">
        <v>46090</v>
      </c>
      <c r="B3175" s="346" t="s">
        <v>6454</v>
      </c>
      <c r="C3175" s="346" t="s">
        <v>6455</v>
      </c>
    </row>
    <row r="3176" spans="1:3">
      <c r="A3176" s="347">
        <v>46090</v>
      </c>
      <c r="B3176" s="346" t="s">
        <v>6456</v>
      </c>
      <c r="C3176" s="346" t="s">
        <v>6457</v>
      </c>
    </row>
    <row r="3177" spans="1:3">
      <c r="A3177" s="347">
        <v>46090</v>
      </c>
      <c r="B3177" s="346" t="s">
        <v>6458</v>
      </c>
      <c r="C3177" s="346" t="s">
        <v>10786</v>
      </c>
    </row>
    <row r="3178" spans="1:3">
      <c r="A3178" s="347">
        <v>46090</v>
      </c>
      <c r="B3178" s="346" t="s">
        <v>6459</v>
      </c>
      <c r="C3178" s="346" t="s">
        <v>6460</v>
      </c>
    </row>
    <row r="3179" spans="1:3">
      <c r="A3179" s="347">
        <v>46090</v>
      </c>
      <c r="B3179" s="346" t="s">
        <v>6461</v>
      </c>
      <c r="C3179" s="346" t="s">
        <v>6462</v>
      </c>
    </row>
    <row r="3180" spans="1:3">
      <c r="A3180" s="347">
        <v>46090</v>
      </c>
      <c r="B3180" s="346" t="s">
        <v>6463</v>
      </c>
      <c r="C3180" s="346" t="s">
        <v>6464</v>
      </c>
    </row>
    <row r="3181" spans="1:3">
      <c r="A3181" s="347">
        <v>46090</v>
      </c>
      <c r="B3181" s="346" t="s">
        <v>6465</v>
      </c>
      <c r="C3181" s="346" t="s">
        <v>6466</v>
      </c>
    </row>
    <row r="3182" spans="1:3">
      <c r="A3182" s="347">
        <v>46090</v>
      </c>
      <c r="B3182" s="346" t="s">
        <v>6467</v>
      </c>
      <c r="C3182" s="346" t="s">
        <v>6468</v>
      </c>
    </row>
    <row r="3183" spans="1:3">
      <c r="A3183" s="347">
        <v>46090</v>
      </c>
      <c r="B3183" s="346" t="s">
        <v>6469</v>
      </c>
      <c r="C3183" s="346" t="s">
        <v>6470</v>
      </c>
    </row>
    <row r="3184" spans="1:3">
      <c r="A3184" s="347">
        <v>46090</v>
      </c>
      <c r="B3184" s="346" t="s">
        <v>6471</v>
      </c>
      <c r="C3184" s="346" t="s">
        <v>6472</v>
      </c>
    </row>
    <row r="3185" spans="1:3">
      <c r="A3185" s="347">
        <v>46090</v>
      </c>
      <c r="B3185" s="346" t="s">
        <v>6473</v>
      </c>
      <c r="C3185" s="346" t="s">
        <v>6474</v>
      </c>
    </row>
    <row r="3186" spans="1:3">
      <c r="A3186" s="347">
        <v>46090</v>
      </c>
      <c r="B3186" s="346" t="s">
        <v>6475</v>
      </c>
      <c r="C3186" s="346" t="s">
        <v>6476</v>
      </c>
    </row>
    <row r="3187" spans="1:3">
      <c r="A3187" s="347">
        <v>46090</v>
      </c>
      <c r="B3187" s="346" t="s">
        <v>6477</v>
      </c>
      <c r="C3187" s="346" t="s">
        <v>10787</v>
      </c>
    </row>
    <row r="3188" spans="1:3">
      <c r="A3188" s="347">
        <v>46090</v>
      </c>
      <c r="B3188" s="346" t="s">
        <v>6478</v>
      </c>
      <c r="C3188" s="346" t="s">
        <v>11108</v>
      </c>
    </row>
    <row r="3189" spans="1:3">
      <c r="A3189" s="347">
        <v>46090</v>
      </c>
      <c r="B3189" s="346" t="s">
        <v>6479</v>
      </c>
      <c r="C3189" s="346" t="s">
        <v>6480</v>
      </c>
    </row>
    <row r="3190" spans="1:3">
      <c r="A3190" s="347">
        <v>46090</v>
      </c>
      <c r="B3190" s="346" t="s">
        <v>6481</v>
      </c>
      <c r="C3190" s="346" t="s">
        <v>6482</v>
      </c>
    </row>
    <row r="3191" spans="1:3">
      <c r="A3191" s="347">
        <v>46090</v>
      </c>
      <c r="B3191" s="346" t="s">
        <v>6483</v>
      </c>
      <c r="C3191" s="346" t="s">
        <v>6484</v>
      </c>
    </row>
    <row r="3192" spans="1:3">
      <c r="A3192" s="347">
        <v>46090</v>
      </c>
      <c r="B3192" s="346" t="s">
        <v>6485</v>
      </c>
      <c r="C3192" s="346" t="s">
        <v>6486</v>
      </c>
    </row>
    <row r="3193" spans="1:3">
      <c r="A3193" s="347">
        <v>46090</v>
      </c>
      <c r="B3193" s="346" t="s">
        <v>6487</v>
      </c>
      <c r="C3193" s="346" t="s">
        <v>6488</v>
      </c>
    </row>
    <row r="3194" spans="1:3">
      <c r="A3194" s="347">
        <v>46090</v>
      </c>
      <c r="B3194" s="346" t="s">
        <v>6489</v>
      </c>
      <c r="C3194" s="346" t="s">
        <v>6490</v>
      </c>
    </row>
    <row r="3195" spans="1:3">
      <c r="A3195" s="347">
        <v>46090</v>
      </c>
      <c r="B3195" s="346" t="s">
        <v>6491</v>
      </c>
      <c r="C3195" s="346" t="s">
        <v>6492</v>
      </c>
    </row>
    <row r="3196" spans="1:3">
      <c r="A3196" s="347">
        <v>46090</v>
      </c>
      <c r="B3196" s="346" t="s">
        <v>6493</v>
      </c>
      <c r="C3196" s="346" t="s">
        <v>6494</v>
      </c>
    </row>
    <row r="3197" spans="1:3">
      <c r="A3197" s="347">
        <v>46090</v>
      </c>
      <c r="B3197" s="346" t="s">
        <v>6495</v>
      </c>
      <c r="C3197" s="346" t="s">
        <v>6496</v>
      </c>
    </row>
    <row r="3198" spans="1:3">
      <c r="A3198" s="347">
        <v>46090</v>
      </c>
      <c r="B3198" s="346" t="s">
        <v>6497</v>
      </c>
      <c r="C3198" s="346" t="s">
        <v>6498</v>
      </c>
    </row>
    <row r="3199" spans="1:3">
      <c r="A3199" s="347">
        <v>46090</v>
      </c>
      <c r="B3199" s="346" t="s">
        <v>6499</v>
      </c>
      <c r="C3199" s="346" t="s">
        <v>6500</v>
      </c>
    </row>
    <row r="3200" spans="1:3">
      <c r="A3200" s="347">
        <v>46090</v>
      </c>
      <c r="B3200" s="346" t="s">
        <v>6501</v>
      </c>
      <c r="C3200" s="346" t="s">
        <v>6502</v>
      </c>
    </row>
    <row r="3201" spans="1:3">
      <c r="A3201" s="347">
        <v>46090</v>
      </c>
      <c r="B3201" s="346" t="s">
        <v>6503</v>
      </c>
      <c r="C3201" s="346" t="s">
        <v>6504</v>
      </c>
    </row>
    <row r="3202" spans="1:3">
      <c r="A3202" s="347">
        <v>46090</v>
      </c>
      <c r="B3202" s="346" t="s">
        <v>6505</v>
      </c>
      <c r="C3202" s="346" t="s">
        <v>6506</v>
      </c>
    </row>
    <row r="3203" spans="1:3">
      <c r="A3203" s="347">
        <v>46090</v>
      </c>
      <c r="B3203" s="346" t="s">
        <v>6507</v>
      </c>
      <c r="C3203" s="346" t="s">
        <v>10788</v>
      </c>
    </row>
    <row r="3204" spans="1:3">
      <c r="A3204" s="347">
        <v>46090</v>
      </c>
      <c r="B3204" s="346" t="s">
        <v>6508</v>
      </c>
      <c r="C3204" s="346" t="s">
        <v>6509</v>
      </c>
    </row>
    <row r="3205" spans="1:3">
      <c r="A3205" s="347">
        <v>46090</v>
      </c>
      <c r="B3205" s="346" t="s">
        <v>6510</v>
      </c>
      <c r="C3205" s="346" t="s">
        <v>6511</v>
      </c>
    </row>
    <row r="3206" spans="1:3">
      <c r="A3206" s="347">
        <v>46090</v>
      </c>
      <c r="B3206" s="346" t="s">
        <v>6512</v>
      </c>
      <c r="C3206" s="346" t="s">
        <v>6513</v>
      </c>
    </row>
    <row r="3207" spans="1:3">
      <c r="A3207" s="347">
        <v>46090</v>
      </c>
      <c r="B3207" s="346" t="s">
        <v>6514</v>
      </c>
      <c r="C3207" s="346" t="s">
        <v>6515</v>
      </c>
    </row>
    <row r="3208" spans="1:3">
      <c r="A3208" s="347">
        <v>46090</v>
      </c>
      <c r="B3208" s="346" t="s">
        <v>6516</v>
      </c>
      <c r="C3208" s="346" t="s">
        <v>6517</v>
      </c>
    </row>
    <row r="3209" spans="1:3">
      <c r="A3209" s="347">
        <v>46090</v>
      </c>
      <c r="B3209" s="346" t="s">
        <v>6518</v>
      </c>
      <c r="C3209" s="346" t="s">
        <v>6519</v>
      </c>
    </row>
    <row r="3210" spans="1:3">
      <c r="A3210" s="347">
        <v>46090</v>
      </c>
      <c r="B3210" s="346" t="s">
        <v>6520</v>
      </c>
      <c r="C3210" s="346" t="s">
        <v>6521</v>
      </c>
    </row>
    <row r="3211" spans="1:3">
      <c r="A3211" s="347">
        <v>46090</v>
      </c>
      <c r="B3211" s="346" t="s">
        <v>6522</v>
      </c>
      <c r="C3211" s="346" t="s">
        <v>6523</v>
      </c>
    </row>
    <row r="3212" spans="1:3">
      <c r="A3212" s="347">
        <v>46090</v>
      </c>
      <c r="B3212" s="346" t="s">
        <v>6524</v>
      </c>
      <c r="C3212" s="346" t="s">
        <v>6525</v>
      </c>
    </row>
    <row r="3213" spans="1:3">
      <c r="A3213" s="347">
        <v>46090</v>
      </c>
      <c r="B3213" s="346" t="s">
        <v>6526</v>
      </c>
      <c r="C3213" s="346" t="s">
        <v>6527</v>
      </c>
    </row>
    <row r="3214" spans="1:3">
      <c r="A3214" s="347">
        <v>46090</v>
      </c>
      <c r="B3214" s="346" t="s">
        <v>6528</v>
      </c>
      <c r="C3214" s="346" t="s">
        <v>6529</v>
      </c>
    </row>
    <row r="3215" spans="1:3">
      <c r="A3215" s="347">
        <v>46090</v>
      </c>
      <c r="B3215" s="346" t="s">
        <v>6530</v>
      </c>
      <c r="C3215" s="346" t="s">
        <v>6531</v>
      </c>
    </row>
    <row r="3216" spans="1:3">
      <c r="A3216" s="347">
        <v>46090</v>
      </c>
      <c r="B3216" s="346" t="s">
        <v>6532</v>
      </c>
      <c r="C3216" s="346" t="s">
        <v>6533</v>
      </c>
    </row>
    <row r="3217" spans="1:3">
      <c r="A3217" s="347">
        <v>46090</v>
      </c>
      <c r="B3217" s="346" t="s">
        <v>6534</v>
      </c>
      <c r="C3217" s="346" t="s">
        <v>6535</v>
      </c>
    </row>
    <row r="3218" spans="1:3">
      <c r="A3218" s="347">
        <v>46090</v>
      </c>
      <c r="B3218" s="346" t="s">
        <v>6536</v>
      </c>
      <c r="C3218" s="346" t="s">
        <v>6537</v>
      </c>
    </row>
    <row r="3219" spans="1:3">
      <c r="A3219" s="347">
        <v>46090</v>
      </c>
      <c r="B3219" s="346" t="s">
        <v>6538</v>
      </c>
      <c r="C3219" s="346" t="s">
        <v>6539</v>
      </c>
    </row>
    <row r="3220" spans="1:3">
      <c r="A3220" s="347">
        <v>46090</v>
      </c>
      <c r="B3220" s="346" t="s">
        <v>6540</v>
      </c>
      <c r="C3220" s="346" t="s">
        <v>6541</v>
      </c>
    </row>
    <row r="3221" spans="1:3">
      <c r="A3221" s="347">
        <v>46090</v>
      </c>
      <c r="B3221" s="346" t="s">
        <v>6542</v>
      </c>
      <c r="C3221" s="346" t="s">
        <v>6543</v>
      </c>
    </row>
    <row r="3222" spans="1:3">
      <c r="A3222" s="347">
        <v>46090</v>
      </c>
      <c r="B3222" s="346" t="s">
        <v>6544</v>
      </c>
      <c r="C3222" s="346" t="s">
        <v>6545</v>
      </c>
    </row>
    <row r="3223" spans="1:3">
      <c r="A3223" s="347">
        <v>46090</v>
      </c>
      <c r="B3223" s="346" t="s">
        <v>6546</v>
      </c>
      <c r="C3223" s="346" t="s">
        <v>6547</v>
      </c>
    </row>
    <row r="3224" spans="1:3">
      <c r="A3224" s="347">
        <v>46090</v>
      </c>
      <c r="B3224" s="346" t="s">
        <v>6548</v>
      </c>
      <c r="C3224" s="346" t="s">
        <v>6549</v>
      </c>
    </row>
    <row r="3225" spans="1:3">
      <c r="A3225" s="347">
        <v>46090</v>
      </c>
      <c r="B3225" s="346" t="s">
        <v>6550</v>
      </c>
      <c r="C3225" s="346" t="s">
        <v>6551</v>
      </c>
    </row>
    <row r="3226" spans="1:3">
      <c r="A3226" s="347">
        <v>46090</v>
      </c>
      <c r="B3226" s="346" t="s">
        <v>6552</v>
      </c>
      <c r="C3226" s="346" t="s">
        <v>6553</v>
      </c>
    </row>
    <row r="3227" spans="1:3">
      <c r="A3227" s="347">
        <v>46090</v>
      </c>
      <c r="B3227" s="346" t="s">
        <v>6554</v>
      </c>
      <c r="C3227" s="346" t="s">
        <v>6555</v>
      </c>
    </row>
    <row r="3228" spans="1:3">
      <c r="A3228" s="347">
        <v>46090</v>
      </c>
      <c r="B3228" s="346" t="s">
        <v>6556</v>
      </c>
      <c r="C3228" s="346" t="s">
        <v>6557</v>
      </c>
    </row>
    <row r="3229" spans="1:3">
      <c r="A3229" s="347">
        <v>46090</v>
      </c>
      <c r="B3229" s="346" t="s">
        <v>6558</v>
      </c>
      <c r="C3229" s="346" t="s">
        <v>6559</v>
      </c>
    </row>
    <row r="3230" spans="1:3">
      <c r="A3230" s="347">
        <v>46090</v>
      </c>
      <c r="B3230" s="346" t="s">
        <v>6560</v>
      </c>
      <c r="C3230" s="346" t="s">
        <v>6561</v>
      </c>
    </row>
    <row r="3231" spans="1:3">
      <c r="A3231" s="347">
        <v>46090</v>
      </c>
      <c r="B3231" s="346" t="s">
        <v>6562</v>
      </c>
      <c r="C3231" s="346" t="s">
        <v>6563</v>
      </c>
    </row>
    <row r="3232" spans="1:3">
      <c r="A3232" s="347">
        <v>46090</v>
      </c>
      <c r="B3232" s="346" t="s">
        <v>6564</v>
      </c>
      <c r="C3232" s="346" t="s">
        <v>6565</v>
      </c>
    </row>
    <row r="3233" spans="1:3">
      <c r="A3233" s="347">
        <v>46090</v>
      </c>
      <c r="B3233" s="346" t="s">
        <v>6566</v>
      </c>
      <c r="C3233" s="346" t="s">
        <v>6567</v>
      </c>
    </row>
    <row r="3234" spans="1:3">
      <c r="A3234" s="347">
        <v>46090</v>
      </c>
      <c r="B3234" s="346" t="s">
        <v>6568</v>
      </c>
      <c r="C3234" s="346" t="s">
        <v>6569</v>
      </c>
    </row>
    <row r="3235" spans="1:3">
      <c r="A3235" s="347">
        <v>46090</v>
      </c>
      <c r="B3235" s="346" t="s">
        <v>6570</v>
      </c>
      <c r="C3235" s="346" t="s">
        <v>6571</v>
      </c>
    </row>
    <row r="3236" spans="1:3">
      <c r="A3236" s="347">
        <v>46090</v>
      </c>
      <c r="B3236" s="346" t="s">
        <v>6572</v>
      </c>
      <c r="C3236" s="346" t="s">
        <v>6573</v>
      </c>
    </row>
    <row r="3237" spans="1:3">
      <c r="A3237" s="347">
        <v>46090</v>
      </c>
      <c r="B3237" s="346" t="s">
        <v>6574</v>
      </c>
      <c r="C3237" s="346" t="s">
        <v>6575</v>
      </c>
    </row>
    <row r="3238" spans="1:3">
      <c r="A3238" s="347">
        <v>46090</v>
      </c>
      <c r="B3238" s="346" t="s">
        <v>6576</v>
      </c>
      <c r="C3238" s="346" t="s">
        <v>6577</v>
      </c>
    </row>
    <row r="3239" spans="1:3">
      <c r="A3239" s="347">
        <v>46090</v>
      </c>
      <c r="B3239" s="346" t="s">
        <v>6578</v>
      </c>
      <c r="C3239" s="346" t="s">
        <v>6579</v>
      </c>
    </row>
    <row r="3240" spans="1:3">
      <c r="A3240" s="347">
        <v>46090</v>
      </c>
      <c r="B3240" s="346" t="s">
        <v>6580</v>
      </c>
      <c r="C3240" s="346" t="s">
        <v>6581</v>
      </c>
    </row>
    <row r="3241" spans="1:3">
      <c r="A3241" s="347">
        <v>46090</v>
      </c>
      <c r="B3241" s="346" t="s">
        <v>6582</v>
      </c>
      <c r="C3241" s="346" t="s">
        <v>6583</v>
      </c>
    </row>
    <row r="3242" spans="1:3">
      <c r="A3242" s="347">
        <v>46090</v>
      </c>
      <c r="B3242" s="346" t="s">
        <v>6584</v>
      </c>
      <c r="C3242" s="346" t="s">
        <v>6585</v>
      </c>
    </row>
    <row r="3243" spans="1:3">
      <c r="A3243" s="347">
        <v>46090</v>
      </c>
      <c r="B3243" s="346" t="s">
        <v>6586</v>
      </c>
      <c r="C3243" s="346" t="s">
        <v>6587</v>
      </c>
    </row>
    <row r="3244" spans="1:3">
      <c r="A3244" s="347">
        <v>46090</v>
      </c>
      <c r="B3244" s="346" t="s">
        <v>6588</v>
      </c>
      <c r="C3244" s="346" t="s">
        <v>6589</v>
      </c>
    </row>
    <row r="3245" spans="1:3">
      <c r="A3245" s="347">
        <v>46090</v>
      </c>
      <c r="B3245" s="346" t="s">
        <v>6590</v>
      </c>
      <c r="C3245" s="346" t="s">
        <v>6591</v>
      </c>
    </row>
    <row r="3246" spans="1:3">
      <c r="A3246" s="347">
        <v>46090</v>
      </c>
      <c r="B3246" s="346" t="s">
        <v>6592</v>
      </c>
      <c r="C3246" s="346" t="s">
        <v>6593</v>
      </c>
    </row>
    <row r="3247" spans="1:3">
      <c r="A3247" s="347">
        <v>46090</v>
      </c>
      <c r="B3247" s="346" t="s">
        <v>6594</v>
      </c>
      <c r="C3247" s="346" t="s">
        <v>6595</v>
      </c>
    </row>
    <row r="3248" spans="1:3">
      <c r="A3248" s="347">
        <v>46090</v>
      </c>
      <c r="B3248" s="346" t="s">
        <v>6596</v>
      </c>
      <c r="C3248" s="346" t="s">
        <v>6597</v>
      </c>
    </row>
    <row r="3249" spans="1:3">
      <c r="A3249" s="347">
        <v>46090</v>
      </c>
      <c r="B3249" s="346" t="s">
        <v>6598</v>
      </c>
      <c r="C3249" s="346" t="s">
        <v>6599</v>
      </c>
    </row>
    <row r="3250" spans="1:3">
      <c r="A3250" s="347">
        <v>46090</v>
      </c>
      <c r="B3250" s="346" t="s">
        <v>6600</v>
      </c>
      <c r="C3250" s="346" t="s">
        <v>6601</v>
      </c>
    </row>
    <row r="3251" spans="1:3">
      <c r="A3251" s="347">
        <v>46090</v>
      </c>
      <c r="B3251" s="346" t="s">
        <v>6602</v>
      </c>
      <c r="C3251" s="346" t="s">
        <v>6603</v>
      </c>
    </row>
    <row r="3252" spans="1:3">
      <c r="A3252" s="347">
        <v>46090</v>
      </c>
      <c r="B3252" s="346" t="s">
        <v>6604</v>
      </c>
      <c r="C3252" s="346" t="s">
        <v>6605</v>
      </c>
    </row>
    <row r="3253" spans="1:3">
      <c r="A3253" s="347">
        <v>46090</v>
      </c>
      <c r="B3253" s="346" t="s">
        <v>6606</v>
      </c>
      <c r="C3253" s="346" t="s">
        <v>6607</v>
      </c>
    </row>
    <row r="3254" spans="1:3">
      <c r="A3254" s="347">
        <v>46090</v>
      </c>
      <c r="B3254" s="346" t="s">
        <v>6608</v>
      </c>
      <c r="C3254" s="346" t="s">
        <v>6609</v>
      </c>
    </row>
    <row r="3255" spans="1:3">
      <c r="A3255" s="347">
        <v>46090</v>
      </c>
      <c r="B3255" s="346" t="s">
        <v>6610</v>
      </c>
      <c r="C3255" s="346" t="s">
        <v>6611</v>
      </c>
    </row>
    <row r="3256" spans="1:3">
      <c r="A3256" s="347">
        <v>46090</v>
      </c>
      <c r="B3256" s="346" t="s">
        <v>6612</v>
      </c>
      <c r="C3256" s="346" t="s">
        <v>6613</v>
      </c>
    </row>
    <row r="3257" spans="1:3">
      <c r="A3257" s="347">
        <v>46090</v>
      </c>
      <c r="B3257" s="346" t="s">
        <v>6614</v>
      </c>
      <c r="C3257" s="346" t="s">
        <v>6615</v>
      </c>
    </row>
    <row r="3258" spans="1:3">
      <c r="A3258" s="347">
        <v>46090</v>
      </c>
      <c r="B3258" s="346" t="s">
        <v>6616</v>
      </c>
      <c r="C3258" s="346" t="s">
        <v>6617</v>
      </c>
    </row>
    <row r="3259" spans="1:3">
      <c r="A3259" s="347">
        <v>46090</v>
      </c>
      <c r="B3259" s="346" t="s">
        <v>6618</v>
      </c>
      <c r="C3259" s="346" t="s">
        <v>6619</v>
      </c>
    </row>
    <row r="3260" spans="1:3">
      <c r="A3260" s="347">
        <v>46090</v>
      </c>
      <c r="B3260" s="346" t="s">
        <v>6620</v>
      </c>
      <c r="C3260" s="346" t="s">
        <v>6621</v>
      </c>
    </row>
    <row r="3261" spans="1:3">
      <c r="A3261" s="347">
        <v>46090</v>
      </c>
      <c r="B3261" s="346" t="s">
        <v>6622</v>
      </c>
      <c r="C3261" s="346" t="s">
        <v>6623</v>
      </c>
    </row>
    <row r="3262" spans="1:3">
      <c r="A3262" s="347">
        <v>46090</v>
      </c>
      <c r="B3262" s="346" t="s">
        <v>6624</v>
      </c>
      <c r="C3262" s="346" t="s">
        <v>6625</v>
      </c>
    </row>
    <row r="3263" spans="1:3">
      <c r="A3263" s="347">
        <v>46090</v>
      </c>
      <c r="B3263" s="346" t="s">
        <v>6626</v>
      </c>
      <c r="C3263" s="346" t="s">
        <v>6627</v>
      </c>
    </row>
    <row r="3264" spans="1:3">
      <c r="A3264" s="347">
        <v>46090</v>
      </c>
      <c r="B3264" s="346" t="s">
        <v>6628</v>
      </c>
      <c r="C3264" s="346" t="s">
        <v>6629</v>
      </c>
    </row>
    <row r="3265" spans="1:3">
      <c r="A3265" s="347">
        <v>46090</v>
      </c>
      <c r="B3265" s="346" t="s">
        <v>6630</v>
      </c>
      <c r="C3265" s="346" t="s">
        <v>6631</v>
      </c>
    </row>
    <row r="3266" spans="1:3">
      <c r="A3266" s="347">
        <v>46090</v>
      </c>
      <c r="B3266" s="346" t="s">
        <v>6632</v>
      </c>
      <c r="C3266" s="346" t="s">
        <v>6633</v>
      </c>
    </row>
    <row r="3267" spans="1:3">
      <c r="A3267" s="347">
        <v>46090</v>
      </c>
      <c r="B3267" s="346" t="s">
        <v>6634</v>
      </c>
      <c r="C3267" s="346" t="s">
        <v>6635</v>
      </c>
    </row>
    <row r="3268" spans="1:3">
      <c r="A3268" s="347">
        <v>46090</v>
      </c>
      <c r="B3268" s="346" t="s">
        <v>6636</v>
      </c>
      <c r="C3268" s="346" t="s">
        <v>10789</v>
      </c>
    </row>
    <row r="3269" spans="1:3">
      <c r="A3269" s="347">
        <v>46090</v>
      </c>
      <c r="B3269" s="346" t="s">
        <v>6637</v>
      </c>
      <c r="C3269" s="346" t="s">
        <v>6638</v>
      </c>
    </row>
    <row r="3270" spans="1:3">
      <c r="A3270" s="347">
        <v>46090</v>
      </c>
      <c r="B3270" s="346" t="s">
        <v>6639</v>
      </c>
      <c r="C3270" s="346" t="s">
        <v>10790</v>
      </c>
    </row>
    <row r="3271" spans="1:3">
      <c r="A3271" s="347">
        <v>46090</v>
      </c>
      <c r="B3271" s="346" t="s">
        <v>6640</v>
      </c>
      <c r="C3271" s="346" t="s">
        <v>6641</v>
      </c>
    </row>
    <row r="3272" spans="1:3">
      <c r="A3272" s="347">
        <v>46090</v>
      </c>
      <c r="B3272" s="346" t="s">
        <v>6642</v>
      </c>
      <c r="C3272" s="346" t="s">
        <v>6643</v>
      </c>
    </row>
    <row r="3273" spans="1:3">
      <c r="A3273" s="347">
        <v>46090</v>
      </c>
      <c r="B3273" s="346" t="s">
        <v>6644</v>
      </c>
      <c r="C3273" s="346" t="s">
        <v>6645</v>
      </c>
    </row>
    <row r="3274" spans="1:3">
      <c r="A3274" s="347">
        <v>46090</v>
      </c>
      <c r="B3274" s="346" t="s">
        <v>6646</v>
      </c>
      <c r="C3274" s="346" t="s">
        <v>10791</v>
      </c>
    </row>
    <row r="3275" spans="1:3">
      <c r="A3275" s="347">
        <v>46090</v>
      </c>
      <c r="B3275" s="346" t="s">
        <v>6647</v>
      </c>
      <c r="C3275" s="346" t="s">
        <v>6648</v>
      </c>
    </row>
    <row r="3276" spans="1:3">
      <c r="A3276" s="347">
        <v>46090</v>
      </c>
      <c r="B3276" s="346" t="s">
        <v>6649</v>
      </c>
      <c r="C3276" s="346" t="s">
        <v>6650</v>
      </c>
    </row>
    <row r="3277" spans="1:3">
      <c r="A3277" s="347">
        <v>46090</v>
      </c>
      <c r="B3277" s="346" t="s">
        <v>6651</v>
      </c>
      <c r="C3277" s="346" t="s">
        <v>6652</v>
      </c>
    </row>
    <row r="3278" spans="1:3">
      <c r="A3278" s="347">
        <v>46090</v>
      </c>
      <c r="B3278" s="346" t="s">
        <v>6653</v>
      </c>
      <c r="C3278" s="346" t="s">
        <v>6654</v>
      </c>
    </row>
    <row r="3279" spans="1:3">
      <c r="A3279" s="347">
        <v>46090</v>
      </c>
      <c r="B3279" s="346" t="s">
        <v>6655</v>
      </c>
      <c r="C3279" s="346" t="s">
        <v>10792</v>
      </c>
    </row>
    <row r="3280" spans="1:3">
      <c r="A3280" s="347">
        <v>46090</v>
      </c>
      <c r="B3280" s="346" t="s">
        <v>6656</v>
      </c>
      <c r="C3280" s="346" t="s">
        <v>6657</v>
      </c>
    </row>
    <row r="3281" spans="1:3">
      <c r="A3281" s="347">
        <v>46090</v>
      </c>
      <c r="B3281" s="346" t="s">
        <v>6658</v>
      </c>
      <c r="C3281" s="346" t="s">
        <v>6659</v>
      </c>
    </row>
    <row r="3282" spans="1:3">
      <c r="A3282" s="347">
        <v>46090</v>
      </c>
      <c r="B3282" s="346" t="s">
        <v>6660</v>
      </c>
      <c r="C3282" s="346" t="s">
        <v>6661</v>
      </c>
    </row>
    <row r="3283" spans="1:3">
      <c r="A3283" s="347">
        <v>46090</v>
      </c>
      <c r="B3283" s="346" t="s">
        <v>6662</v>
      </c>
      <c r="C3283" s="346" t="s">
        <v>6663</v>
      </c>
    </row>
    <row r="3284" spans="1:3">
      <c r="A3284" s="347">
        <v>46090</v>
      </c>
      <c r="B3284" s="346" t="s">
        <v>6664</v>
      </c>
      <c r="C3284" s="346" t="s">
        <v>6665</v>
      </c>
    </row>
    <row r="3285" spans="1:3">
      <c r="A3285" s="347">
        <v>46090</v>
      </c>
      <c r="B3285" s="346" t="s">
        <v>6666</v>
      </c>
      <c r="C3285" s="346" t="s">
        <v>6667</v>
      </c>
    </row>
    <row r="3286" spans="1:3">
      <c r="A3286" s="347">
        <v>46090</v>
      </c>
      <c r="B3286" s="346" t="s">
        <v>6668</v>
      </c>
      <c r="C3286" s="346" t="s">
        <v>6669</v>
      </c>
    </row>
    <row r="3287" spans="1:3">
      <c r="A3287" s="347">
        <v>46090</v>
      </c>
      <c r="B3287" s="346" t="s">
        <v>6670</v>
      </c>
      <c r="C3287" s="346" t="s">
        <v>6671</v>
      </c>
    </row>
    <row r="3288" spans="1:3">
      <c r="A3288" s="347">
        <v>46090</v>
      </c>
      <c r="B3288" s="346" t="s">
        <v>6672</v>
      </c>
      <c r="C3288" s="346" t="s">
        <v>10793</v>
      </c>
    </row>
    <row r="3289" spans="1:3">
      <c r="A3289" s="347">
        <v>46090</v>
      </c>
      <c r="B3289" s="346" t="s">
        <v>6673</v>
      </c>
      <c r="C3289" s="346" t="s">
        <v>6674</v>
      </c>
    </row>
    <row r="3290" spans="1:3">
      <c r="A3290" s="347">
        <v>46090</v>
      </c>
      <c r="B3290" s="346" t="s">
        <v>6675</v>
      </c>
      <c r="C3290" s="346" t="s">
        <v>6676</v>
      </c>
    </row>
    <row r="3291" spans="1:3">
      <c r="A3291" s="347">
        <v>46090</v>
      </c>
      <c r="B3291" s="346" t="s">
        <v>6677</v>
      </c>
      <c r="C3291" s="346" t="s">
        <v>6678</v>
      </c>
    </row>
    <row r="3292" spans="1:3">
      <c r="A3292" s="347">
        <v>46090</v>
      </c>
      <c r="B3292" s="346" t="s">
        <v>6679</v>
      </c>
      <c r="C3292" s="346" t="s">
        <v>6680</v>
      </c>
    </row>
    <row r="3293" spans="1:3">
      <c r="A3293" s="347">
        <v>46090</v>
      </c>
      <c r="B3293" s="346" t="s">
        <v>6681</v>
      </c>
      <c r="C3293" s="346" t="s">
        <v>6682</v>
      </c>
    </row>
    <row r="3294" spans="1:3">
      <c r="A3294" s="347">
        <v>46090</v>
      </c>
      <c r="B3294" s="346" t="s">
        <v>6683</v>
      </c>
      <c r="C3294" s="346" t="s">
        <v>6684</v>
      </c>
    </row>
    <row r="3295" spans="1:3">
      <c r="A3295" s="347">
        <v>46090</v>
      </c>
      <c r="B3295" s="346" t="s">
        <v>6685</v>
      </c>
      <c r="C3295" s="346" t="s">
        <v>6686</v>
      </c>
    </row>
    <row r="3296" spans="1:3">
      <c r="A3296" s="347">
        <v>46090</v>
      </c>
      <c r="B3296" s="346" t="s">
        <v>6687</v>
      </c>
      <c r="C3296" s="346" t="s">
        <v>6688</v>
      </c>
    </row>
    <row r="3297" spans="1:3">
      <c r="A3297" s="347">
        <v>46090</v>
      </c>
      <c r="B3297" s="346" t="s">
        <v>6689</v>
      </c>
      <c r="C3297" s="346" t="s">
        <v>6690</v>
      </c>
    </row>
    <row r="3298" spans="1:3">
      <c r="A3298" s="347">
        <v>46090</v>
      </c>
      <c r="B3298" s="346" t="s">
        <v>6691</v>
      </c>
      <c r="C3298" s="346" t="s">
        <v>6692</v>
      </c>
    </row>
    <row r="3299" spans="1:3">
      <c r="A3299" s="347">
        <v>46090</v>
      </c>
      <c r="B3299" s="346" t="s">
        <v>6693</v>
      </c>
      <c r="C3299" s="346" t="s">
        <v>6694</v>
      </c>
    </row>
    <row r="3300" spans="1:3">
      <c r="A3300" s="347">
        <v>46090</v>
      </c>
      <c r="B3300" s="346" t="s">
        <v>6695</v>
      </c>
      <c r="C3300" s="346" t="s">
        <v>6696</v>
      </c>
    </row>
    <row r="3301" spans="1:3">
      <c r="A3301" s="347">
        <v>46090</v>
      </c>
      <c r="B3301" s="346" t="s">
        <v>6697</v>
      </c>
      <c r="C3301" s="346" t="s">
        <v>6698</v>
      </c>
    </row>
    <row r="3302" spans="1:3">
      <c r="A3302" s="347">
        <v>46090</v>
      </c>
      <c r="B3302" s="346" t="s">
        <v>6699</v>
      </c>
      <c r="C3302" s="346" t="s">
        <v>6700</v>
      </c>
    </row>
    <row r="3303" spans="1:3">
      <c r="A3303" s="347">
        <v>46090</v>
      </c>
      <c r="B3303" s="346" t="s">
        <v>6701</v>
      </c>
      <c r="C3303" s="346" t="s">
        <v>6702</v>
      </c>
    </row>
    <row r="3304" spans="1:3">
      <c r="A3304" s="347">
        <v>46090</v>
      </c>
      <c r="B3304" s="346" t="s">
        <v>6703</v>
      </c>
      <c r="C3304" s="346" t="s">
        <v>6704</v>
      </c>
    </row>
    <row r="3305" spans="1:3">
      <c r="A3305" s="347">
        <v>46090</v>
      </c>
      <c r="B3305" s="346" t="s">
        <v>6705</v>
      </c>
      <c r="C3305" s="346" t="s">
        <v>6706</v>
      </c>
    </row>
    <row r="3306" spans="1:3">
      <c r="A3306" s="347">
        <v>46090</v>
      </c>
      <c r="B3306" s="346" t="s">
        <v>6707</v>
      </c>
      <c r="C3306" s="346" t="s">
        <v>6708</v>
      </c>
    </row>
    <row r="3307" spans="1:3">
      <c r="A3307" s="347">
        <v>46090</v>
      </c>
      <c r="B3307" s="346" t="s">
        <v>6709</v>
      </c>
      <c r="C3307" s="346" t="s">
        <v>6710</v>
      </c>
    </row>
    <row r="3308" spans="1:3">
      <c r="A3308" s="347">
        <v>46090</v>
      </c>
      <c r="B3308" s="346" t="s">
        <v>6711</v>
      </c>
      <c r="C3308" s="346" t="s">
        <v>6712</v>
      </c>
    </row>
    <row r="3309" spans="1:3">
      <c r="A3309" s="347">
        <v>46090</v>
      </c>
      <c r="B3309" s="346" t="s">
        <v>6713</v>
      </c>
      <c r="C3309" s="346" t="s">
        <v>6714</v>
      </c>
    </row>
    <row r="3310" spans="1:3">
      <c r="A3310" s="347">
        <v>46090</v>
      </c>
      <c r="B3310" s="346" t="s">
        <v>6715</v>
      </c>
      <c r="C3310" s="346" t="s">
        <v>6716</v>
      </c>
    </row>
    <row r="3311" spans="1:3">
      <c r="A3311" s="347">
        <v>46090</v>
      </c>
      <c r="B3311" s="346" t="s">
        <v>6717</v>
      </c>
      <c r="C3311" s="346" t="s">
        <v>6718</v>
      </c>
    </row>
    <row r="3312" spans="1:3">
      <c r="A3312" s="347">
        <v>46090</v>
      </c>
      <c r="B3312" s="346" t="s">
        <v>6719</v>
      </c>
      <c r="C3312" s="346" t="s">
        <v>6720</v>
      </c>
    </row>
    <row r="3313" spans="1:3">
      <c r="A3313" s="347">
        <v>46090</v>
      </c>
      <c r="B3313" s="346" t="s">
        <v>6721</v>
      </c>
      <c r="C3313" s="346" t="s">
        <v>6722</v>
      </c>
    </row>
    <row r="3314" spans="1:3">
      <c r="A3314" s="347">
        <v>46090</v>
      </c>
      <c r="B3314" s="346" t="s">
        <v>6723</v>
      </c>
      <c r="C3314" s="346" t="s">
        <v>6724</v>
      </c>
    </row>
    <row r="3315" spans="1:3">
      <c r="A3315" s="347">
        <v>46090</v>
      </c>
      <c r="B3315" s="346" t="s">
        <v>6725</v>
      </c>
      <c r="C3315" s="346" t="s">
        <v>6726</v>
      </c>
    </row>
    <row r="3316" spans="1:3">
      <c r="A3316" s="347">
        <v>46090</v>
      </c>
      <c r="B3316" s="346" t="s">
        <v>6727</v>
      </c>
      <c r="C3316" s="346" t="s">
        <v>6728</v>
      </c>
    </row>
    <row r="3317" spans="1:3">
      <c r="A3317" s="347">
        <v>46090</v>
      </c>
      <c r="B3317" s="346" t="s">
        <v>6729</v>
      </c>
      <c r="C3317" s="346" t="s">
        <v>10794</v>
      </c>
    </row>
    <row r="3318" spans="1:3">
      <c r="A3318" s="347">
        <v>46090</v>
      </c>
      <c r="B3318" s="346" t="s">
        <v>6730</v>
      </c>
      <c r="C3318" s="346" t="s">
        <v>6731</v>
      </c>
    </row>
    <row r="3319" spans="1:3">
      <c r="A3319" s="347">
        <v>46090</v>
      </c>
      <c r="B3319" s="346" t="s">
        <v>6732</v>
      </c>
      <c r="C3319" s="346" t="s">
        <v>6733</v>
      </c>
    </row>
    <row r="3320" spans="1:3">
      <c r="A3320" s="347">
        <v>46090</v>
      </c>
      <c r="B3320" s="346" t="s">
        <v>6734</v>
      </c>
      <c r="C3320" s="346" t="s">
        <v>6735</v>
      </c>
    </row>
    <row r="3321" spans="1:3">
      <c r="A3321" s="347">
        <v>46090</v>
      </c>
      <c r="B3321" s="346" t="s">
        <v>6736</v>
      </c>
      <c r="C3321" s="346" t="s">
        <v>6737</v>
      </c>
    </row>
    <row r="3322" spans="1:3">
      <c r="A3322" s="347">
        <v>46090</v>
      </c>
      <c r="B3322" s="346" t="s">
        <v>6738</v>
      </c>
      <c r="C3322" s="346" t="s">
        <v>6739</v>
      </c>
    </row>
    <row r="3323" spans="1:3">
      <c r="A3323" s="347">
        <v>46090</v>
      </c>
      <c r="B3323" s="346" t="s">
        <v>6740</v>
      </c>
      <c r="C3323" s="346" t="s">
        <v>6741</v>
      </c>
    </row>
    <row r="3324" spans="1:3">
      <c r="A3324" s="347">
        <v>46090</v>
      </c>
      <c r="B3324" s="346" t="s">
        <v>6742</v>
      </c>
      <c r="C3324" s="346" t="s">
        <v>6743</v>
      </c>
    </row>
    <row r="3325" spans="1:3">
      <c r="A3325" s="347">
        <v>46090</v>
      </c>
      <c r="B3325" s="346" t="s">
        <v>6744</v>
      </c>
      <c r="C3325" s="346" t="s">
        <v>6745</v>
      </c>
    </row>
    <row r="3326" spans="1:3">
      <c r="A3326" s="347">
        <v>46090</v>
      </c>
      <c r="B3326" s="346" t="s">
        <v>6746</v>
      </c>
      <c r="C3326" s="346" t="s">
        <v>6747</v>
      </c>
    </row>
    <row r="3327" spans="1:3">
      <c r="A3327" s="347">
        <v>46090</v>
      </c>
      <c r="B3327" s="346" t="s">
        <v>6748</v>
      </c>
      <c r="C3327" s="346" t="s">
        <v>10795</v>
      </c>
    </row>
    <row r="3328" spans="1:3">
      <c r="A3328" s="347">
        <v>46090</v>
      </c>
      <c r="B3328" s="346" t="s">
        <v>6749</v>
      </c>
      <c r="C3328" s="346" t="s">
        <v>6750</v>
      </c>
    </row>
    <row r="3329" spans="1:3">
      <c r="A3329" s="347">
        <v>46090</v>
      </c>
      <c r="B3329" s="346" t="s">
        <v>6751</v>
      </c>
      <c r="C3329" s="346" t="s">
        <v>6752</v>
      </c>
    </row>
    <row r="3330" spans="1:3">
      <c r="A3330" s="347">
        <v>46090</v>
      </c>
      <c r="B3330" s="346" t="s">
        <v>6753</v>
      </c>
      <c r="C3330" s="346" t="s">
        <v>6754</v>
      </c>
    </row>
    <row r="3331" spans="1:3">
      <c r="A3331" s="347">
        <v>46090</v>
      </c>
      <c r="B3331" s="346" t="s">
        <v>6755</v>
      </c>
      <c r="C3331" s="346" t="s">
        <v>6756</v>
      </c>
    </row>
    <row r="3332" spans="1:3">
      <c r="A3332" s="347">
        <v>46090</v>
      </c>
      <c r="B3332" s="346" t="s">
        <v>6757</v>
      </c>
      <c r="C3332" s="346" t="s">
        <v>6758</v>
      </c>
    </row>
    <row r="3333" spans="1:3">
      <c r="A3333" s="347">
        <v>46090</v>
      </c>
      <c r="B3333" s="346" t="s">
        <v>6759</v>
      </c>
      <c r="C3333" s="346" t="s">
        <v>6760</v>
      </c>
    </row>
    <row r="3334" spans="1:3">
      <c r="A3334" s="347">
        <v>46090</v>
      </c>
      <c r="B3334" s="346" t="s">
        <v>6761</v>
      </c>
      <c r="C3334" s="346" t="s">
        <v>6762</v>
      </c>
    </row>
    <row r="3335" spans="1:3">
      <c r="A3335" s="347">
        <v>46090</v>
      </c>
      <c r="B3335" s="346" t="s">
        <v>6763</v>
      </c>
      <c r="C3335" s="346" t="s">
        <v>6764</v>
      </c>
    </row>
    <row r="3336" spans="1:3">
      <c r="A3336" s="347">
        <v>46090</v>
      </c>
      <c r="B3336" s="346" t="s">
        <v>6765</v>
      </c>
      <c r="C3336" s="346" t="s">
        <v>10796</v>
      </c>
    </row>
    <row r="3337" spans="1:3">
      <c r="A3337" s="347">
        <v>46090</v>
      </c>
      <c r="B3337" s="346" t="s">
        <v>6766</v>
      </c>
      <c r="C3337" s="346" t="s">
        <v>6767</v>
      </c>
    </row>
    <row r="3338" spans="1:3">
      <c r="A3338" s="347">
        <v>46090</v>
      </c>
      <c r="B3338" s="346" t="s">
        <v>6768</v>
      </c>
      <c r="C3338" s="346" t="s">
        <v>6769</v>
      </c>
    </row>
    <row r="3339" spans="1:3">
      <c r="A3339" s="347">
        <v>46090</v>
      </c>
      <c r="B3339" s="346" t="s">
        <v>6770</v>
      </c>
      <c r="C3339" s="346" t="s">
        <v>6771</v>
      </c>
    </row>
    <row r="3340" spans="1:3">
      <c r="A3340" s="347">
        <v>46090</v>
      </c>
      <c r="B3340" s="346" t="s">
        <v>6772</v>
      </c>
      <c r="C3340" s="346" t="s">
        <v>11109</v>
      </c>
    </row>
    <row r="3341" spans="1:3">
      <c r="A3341" s="347">
        <v>46090</v>
      </c>
      <c r="B3341" s="346" t="s">
        <v>6773</v>
      </c>
      <c r="C3341" s="346" t="s">
        <v>6774</v>
      </c>
    </row>
    <row r="3342" spans="1:3">
      <c r="A3342" s="347">
        <v>46090</v>
      </c>
      <c r="B3342" s="346" t="s">
        <v>6775</v>
      </c>
      <c r="C3342" s="346" t="s">
        <v>6776</v>
      </c>
    </row>
    <row r="3343" spans="1:3">
      <c r="A3343" s="347">
        <v>46090</v>
      </c>
      <c r="B3343" s="346" t="s">
        <v>6777</v>
      </c>
      <c r="C3343" s="346" t="s">
        <v>6778</v>
      </c>
    </row>
    <row r="3344" spans="1:3">
      <c r="A3344" s="347">
        <v>46090</v>
      </c>
      <c r="B3344" s="346" t="s">
        <v>6779</v>
      </c>
      <c r="C3344" s="346" t="s">
        <v>10797</v>
      </c>
    </row>
    <row r="3345" spans="1:3">
      <c r="A3345" s="347">
        <v>46090</v>
      </c>
      <c r="B3345" s="346" t="s">
        <v>6780</v>
      </c>
      <c r="C3345" s="346" t="s">
        <v>6781</v>
      </c>
    </row>
    <row r="3346" spans="1:3">
      <c r="A3346" s="347">
        <v>46090</v>
      </c>
      <c r="B3346" s="346" t="s">
        <v>6782</v>
      </c>
      <c r="C3346" s="346" t="s">
        <v>6783</v>
      </c>
    </row>
    <row r="3347" spans="1:3">
      <c r="A3347" s="347">
        <v>46090</v>
      </c>
      <c r="B3347" s="346" t="s">
        <v>6784</v>
      </c>
      <c r="C3347" s="346" t="s">
        <v>6785</v>
      </c>
    </row>
    <row r="3348" spans="1:3">
      <c r="A3348" s="347">
        <v>46090</v>
      </c>
      <c r="B3348" s="346" t="s">
        <v>6786</v>
      </c>
      <c r="C3348" s="346" t="s">
        <v>6787</v>
      </c>
    </row>
    <row r="3349" spans="1:3">
      <c r="A3349" s="347">
        <v>46090</v>
      </c>
      <c r="B3349" s="346" t="s">
        <v>6788</v>
      </c>
      <c r="C3349" s="346" t="s">
        <v>6789</v>
      </c>
    </row>
    <row r="3350" spans="1:3">
      <c r="A3350" s="347">
        <v>46090</v>
      </c>
      <c r="B3350" s="346" t="s">
        <v>6790</v>
      </c>
      <c r="C3350" s="346" t="s">
        <v>10798</v>
      </c>
    </row>
    <row r="3351" spans="1:3">
      <c r="A3351" s="347">
        <v>46090</v>
      </c>
      <c r="B3351" s="346" t="s">
        <v>6791</v>
      </c>
      <c r="C3351" s="346" t="s">
        <v>6792</v>
      </c>
    </row>
    <row r="3352" spans="1:3">
      <c r="A3352" s="347">
        <v>46090</v>
      </c>
      <c r="B3352" s="346" t="s">
        <v>6793</v>
      </c>
      <c r="C3352" s="346" t="s">
        <v>6794</v>
      </c>
    </row>
    <row r="3353" spans="1:3">
      <c r="A3353" s="347">
        <v>46090</v>
      </c>
      <c r="B3353" s="346" t="s">
        <v>6795</v>
      </c>
      <c r="C3353" s="346" t="s">
        <v>6796</v>
      </c>
    </row>
    <row r="3354" spans="1:3">
      <c r="A3354" s="347">
        <v>46090</v>
      </c>
      <c r="B3354" s="346" t="s">
        <v>6797</v>
      </c>
      <c r="C3354" s="346" t="s">
        <v>6798</v>
      </c>
    </row>
    <row r="3355" spans="1:3">
      <c r="A3355" s="347">
        <v>46090</v>
      </c>
      <c r="B3355" s="346" t="s">
        <v>6799</v>
      </c>
      <c r="C3355" s="346" t="s">
        <v>6800</v>
      </c>
    </row>
    <row r="3356" spans="1:3">
      <c r="A3356" s="347">
        <v>46090</v>
      </c>
      <c r="B3356" s="346" t="s">
        <v>6801</v>
      </c>
      <c r="C3356" s="346" t="s">
        <v>6802</v>
      </c>
    </row>
    <row r="3357" spans="1:3">
      <c r="A3357" s="347">
        <v>46090</v>
      </c>
      <c r="B3357" s="346" t="s">
        <v>6803</v>
      </c>
      <c r="C3357" s="346" t="s">
        <v>6804</v>
      </c>
    </row>
    <row r="3358" spans="1:3">
      <c r="A3358" s="347">
        <v>46090</v>
      </c>
      <c r="B3358" s="346" t="s">
        <v>6805</v>
      </c>
      <c r="C3358" s="346" t="s">
        <v>6806</v>
      </c>
    </row>
    <row r="3359" spans="1:3">
      <c r="A3359" s="347">
        <v>46090</v>
      </c>
      <c r="B3359" s="346" t="s">
        <v>6807</v>
      </c>
      <c r="C3359" s="346" t="s">
        <v>11110</v>
      </c>
    </row>
    <row r="3360" spans="1:3">
      <c r="A3360" s="347">
        <v>46090</v>
      </c>
      <c r="B3360" s="346" t="s">
        <v>6808</v>
      </c>
      <c r="C3360" s="346" t="s">
        <v>6809</v>
      </c>
    </row>
    <row r="3361" spans="1:3">
      <c r="A3361" s="347">
        <v>46090</v>
      </c>
      <c r="B3361" s="346" t="s">
        <v>6810</v>
      </c>
      <c r="C3361" s="346" t="s">
        <v>6811</v>
      </c>
    </row>
    <row r="3362" spans="1:3">
      <c r="A3362" s="347">
        <v>46090</v>
      </c>
      <c r="B3362" s="346" t="s">
        <v>6812</v>
      </c>
      <c r="C3362" s="346" t="s">
        <v>6813</v>
      </c>
    </row>
    <row r="3363" spans="1:3">
      <c r="A3363" s="347">
        <v>46090</v>
      </c>
      <c r="B3363" s="346" t="s">
        <v>6814</v>
      </c>
      <c r="C3363" s="346" t="s">
        <v>6815</v>
      </c>
    </row>
    <row r="3364" spans="1:3">
      <c r="A3364" s="347">
        <v>46090</v>
      </c>
      <c r="B3364" s="346" t="s">
        <v>6816</v>
      </c>
      <c r="C3364" s="346" t="s">
        <v>6817</v>
      </c>
    </row>
    <row r="3365" spans="1:3">
      <c r="A3365" s="347">
        <v>46090</v>
      </c>
      <c r="B3365" s="346" t="s">
        <v>6818</v>
      </c>
      <c r="C3365" s="346" t="s">
        <v>6819</v>
      </c>
    </row>
    <row r="3366" spans="1:3">
      <c r="A3366" s="347">
        <v>46090</v>
      </c>
      <c r="B3366" s="346" t="s">
        <v>6820</v>
      </c>
      <c r="C3366" s="346" t="s">
        <v>10799</v>
      </c>
    </row>
    <row r="3367" spans="1:3">
      <c r="A3367" s="347">
        <v>46090</v>
      </c>
      <c r="B3367" s="346" t="s">
        <v>6821</v>
      </c>
      <c r="C3367" s="346" t="s">
        <v>6822</v>
      </c>
    </row>
    <row r="3368" spans="1:3">
      <c r="A3368" s="347">
        <v>46090</v>
      </c>
      <c r="B3368" s="346" t="s">
        <v>6823</v>
      </c>
      <c r="C3368" s="346" t="s">
        <v>6824</v>
      </c>
    </row>
    <row r="3369" spans="1:3">
      <c r="A3369" s="347">
        <v>46090</v>
      </c>
      <c r="B3369" s="346" t="s">
        <v>6825</v>
      </c>
      <c r="C3369" s="346" t="s">
        <v>6826</v>
      </c>
    </row>
    <row r="3370" spans="1:3">
      <c r="A3370" s="347">
        <v>46090</v>
      </c>
      <c r="B3370" s="346" t="s">
        <v>6827</v>
      </c>
      <c r="C3370" s="346" t="s">
        <v>6828</v>
      </c>
    </row>
    <row r="3371" spans="1:3">
      <c r="A3371" s="347">
        <v>46090</v>
      </c>
      <c r="B3371" s="346" t="s">
        <v>6829</v>
      </c>
      <c r="C3371" s="346" t="s">
        <v>11111</v>
      </c>
    </row>
    <row r="3372" spans="1:3">
      <c r="A3372" s="347">
        <v>46090</v>
      </c>
      <c r="B3372" s="346" t="s">
        <v>6830</v>
      </c>
      <c r="C3372" s="346" t="s">
        <v>6831</v>
      </c>
    </row>
    <row r="3373" spans="1:3">
      <c r="A3373" s="347">
        <v>46090</v>
      </c>
      <c r="B3373" s="346" t="s">
        <v>6832</v>
      </c>
      <c r="C3373" s="346" t="s">
        <v>6833</v>
      </c>
    </row>
    <row r="3374" spans="1:3">
      <c r="A3374" s="347">
        <v>46090</v>
      </c>
      <c r="B3374" s="346" t="s">
        <v>6834</v>
      </c>
      <c r="C3374" s="346" t="s">
        <v>6835</v>
      </c>
    </row>
    <row r="3375" spans="1:3">
      <c r="A3375" s="347">
        <v>46090</v>
      </c>
      <c r="B3375" s="346" t="s">
        <v>6836</v>
      </c>
      <c r="C3375" s="346" t="s">
        <v>6837</v>
      </c>
    </row>
    <row r="3376" spans="1:3">
      <c r="A3376" s="347">
        <v>46090</v>
      </c>
      <c r="B3376" s="346" t="s">
        <v>6838</v>
      </c>
      <c r="C3376" s="346" t="s">
        <v>6839</v>
      </c>
    </row>
    <row r="3377" spans="1:3">
      <c r="A3377" s="347">
        <v>46090</v>
      </c>
      <c r="B3377" s="346" t="s">
        <v>6840</v>
      </c>
      <c r="C3377" s="346" t="s">
        <v>6841</v>
      </c>
    </row>
    <row r="3378" spans="1:3">
      <c r="A3378" s="347">
        <v>46090</v>
      </c>
      <c r="B3378" s="346" t="s">
        <v>6842</v>
      </c>
      <c r="C3378" s="346" t="s">
        <v>6843</v>
      </c>
    </row>
    <row r="3379" spans="1:3">
      <c r="A3379" s="347">
        <v>46090</v>
      </c>
      <c r="B3379" s="346" t="s">
        <v>6844</v>
      </c>
      <c r="C3379" s="346" t="s">
        <v>6845</v>
      </c>
    </row>
    <row r="3380" spans="1:3">
      <c r="A3380" s="347">
        <v>46090</v>
      </c>
      <c r="B3380" s="346" t="s">
        <v>6846</v>
      </c>
      <c r="C3380" s="346" t="s">
        <v>6847</v>
      </c>
    </row>
    <row r="3381" spans="1:3">
      <c r="A3381" s="347">
        <v>46090</v>
      </c>
      <c r="B3381" s="346" t="s">
        <v>6848</v>
      </c>
      <c r="C3381" s="346" t="s">
        <v>10800</v>
      </c>
    </row>
    <row r="3382" spans="1:3">
      <c r="A3382" s="347">
        <v>46090</v>
      </c>
      <c r="B3382" s="346" t="s">
        <v>6849</v>
      </c>
      <c r="C3382" s="346" t="s">
        <v>6850</v>
      </c>
    </row>
    <row r="3383" spans="1:3">
      <c r="A3383" s="347">
        <v>46090</v>
      </c>
      <c r="B3383" s="346" t="s">
        <v>6851</v>
      </c>
      <c r="C3383" s="346" t="s">
        <v>6852</v>
      </c>
    </row>
    <row r="3384" spans="1:3">
      <c r="A3384" s="347">
        <v>46090</v>
      </c>
      <c r="B3384" s="346" t="s">
        <v>6853</v>
      </c>
      <c r="C3384" s="346" t="s">
        <v>6854</v>
      </c>
    </row>
    <row r="3385" spans="1:3">
      <c r="A3385" s="347">
        <v>46090</v>
      </c>
      <c r="B3385" s="346" t="s">
        <v>6855</v>
      </c>
      <c r="C3385" s="346" t="s">
        <v>6856</v>
      </c>
    </row>
    <row r="3386" spans="1:3">
      <c r="A3386" s="347">
        <v>46090</v>
      </c>
      <c r="B3386" s="346" t="s">
        <v>6857</v>
      </c>
      <c r="C3386" s="346" t="s">
        <v>6858</v>
      </c>
    </row>
    <row r="3387" spans="1:3">
      <c r="A3387" s="347">
        <v>46090</v>
      </c>
      <c r="B3387" s="346" t="s">
        <v>6859</v>
      </c>
      <c r="C3387" s="346" t="s">
        <v>6860</v>
      </c>
    </row>
    <row r="3388" spans="1:3">
      <c r="A3388" s="347">
        <v>46090</v>
      </c>
      <c r="B3388" s="346" t="s">
        <v>6861</v>
      </c>
      <c r="C3388" s="346" t="s">
        <v>6862</v>
      </c>
    </row>
    <row r="3389" spans="1:3">
      <c r="A3389" s="347">
        <v>46090</v>
      </c>
      <c r="B3389" s="346" t="s">
        <v>6863</v>
      </c>
      <c r="C3389" s="346" t="s">
        <v>6864</v>
      </c>
    </row>
    <row r="3390" spans="1:3">
      <c r="A3390" s="347">
        <v>46090</v>
      </c>
      <c r="B3390" s="346" t="s">
        <v>6865</v>
      </c>
      <c r="C3390" s="346" t="s">
        <v>6866</v>
      </c>
    </row>
    <row r="3391" spans="1:3">
      <c r="A3391" s="347">
        <v>46090</v>
      </c>
      <c r="B3391" s="346" t="s">
        <v>6867</v>
      </c>
      <c r="C3391" s="346" t="s">
        <v>10801</v>
      </c>
    </row>
    <row r="3392" spans="1:3">
      <c r="A3392" s="347">
        <v>46090</v>
      </c>
      <c r="B3392" s="346" t="s">
        <v>6868</v>
      </c>
      <c r="C3392" s="346" t="s">
        <v>6869</v>
      </c>
    </row>
    <row r="3393" spans="1:3">
      <c r="A3393" s="347">
        <v>46090</v>
      </c>
      <c r="B3393" s="346" t="s">
        <v>6870</v>
      </c>
      <c r="C3393" s="346" t="s">
        <v>6871</v>
      </c>
    </row>
    <row r="3394" spans="1:3">
      <c r="A3394" s="347">
        <v>46090</v>
      </c>
      <c r="B3394" s="346" t="s">
        <v>6872</v>
      </c>
      <c r="C3394" s="346" t="s">
        <v>10802</v>
      </c>
    </row>
    <row r="3395" spans="1:3">
      <c r="A3395" s="347">
        <v>46090</v>
      </c>
      <c r="B3395" s="346" t="s">
        <v>6873</v>
      </c>
      <c r="C3395" s="346" t="s">
        <v>6874</v>
      </c>
    </row>
    <row r="3396" spans="1:3">
      <c r="A3396" s="347">
        <v>46090</v>
      </c>
      <c r="B3396" s="346" t="s">
        <v>6875</v>
      </c>
      <c r="C3396" s="346" t="s">
        <v>6876</v>
      </c>
    </row>
    <row r="3397" spans="1:3">
      <c r="A3397" s="347">
        <v>46090</v>
      </c>
      <c r="B3397" s="346" t="s">
        <v>6877</v>
      </c>
      <c r="C3397" s="346" t="s">
        <v>6878</v>
      </c>
    </row>
    <row r="3398" spans="1:3">
      <c r="A3398" s="347">
        <v>46090</v>
      </c>
      <c r="B3398" s="346" t="s">
        <v>6879</v>
      </c>
      <c r="C3398" s="346" t="s">
        <v>6880</v>
      </c>
    </row>
    <row r="3399" spans="1:3">
      <c r="A3399" s="347">
        <v>46090</v>
      </c>
      <c r="B3399" s="346" t="s">
        <v>6881</v>
      </c>
      <c r="C3399" s="346" t="s">
        <v>6882</v>
      </c>
    </row>
    <row r="3400" spans="1:3">
      <c r="A3400" s="347">
        <v>46090</v>
      </c>
      <c r="B3400" s="346" t="s">
        <v>6883</v>
      </c>
      <c r="C3400" s="346" t="s">
        <v>6884</v>
      </c>
    </row>
    <row r="3401" spans="1:3">
      <c r="A3401" s="347">
        <v>46090</v>
      </c>
      <c r="B3401" s="346" t="s">
        <v>6885</v>
      </c>
      <c r="C3401" s="346" t="s">
        <v>6886</v>
      </c>
    </row>
    <row r="3402" spans="1:3">
      <c r="A3402" s="347">
        <v>46090</v>
      </c>
      <c r="B3402" s="346" t="s">
        <v>6887</v>
      </c>
      <c r="C3402" s="346" t="s">
        <v>6888</v>
      </c>
    </row>
    <row r="3403" spans="1:3">
      <c r="A3403" s="347">
        <v>46090</v>
      </c>
      <c r="B3403" s="346" t="s">
        <v>6889</v>
      </c>
      <c r="C3403" s="346" t="s">
        <v>6890</v>
      </c>
    </row>
    <row r="3404" spans="1:3">
      <c r="A3404" s="347">
        <v>46090</v>
      </c>
      <c r="B3404" s="346" t="s">
        <v>6891</v>
      </c>
      <c r="C3404" s="346" t="s">
        <v>6892</v>
      </c>
    </row>
    <row r="3405" spans="1:3">
      <c r="A3405" s="347">
        <v>46090</v>
      </c>
      <c r="B3405" s="346" t="s">
        <v>6893</v>
      </c>
      <c r="C3405" s="346" t="s">
        <v>6894</v>
      </c>
    </row>
    <row r="3406" spans="1:3">
      <c r="A3406" s="347">
        <v>46090</v>
      </c>
      <c r="B3406" s="346" t="s">
        <v>6895</v>
      </c>
      <c r="C3406" s="346" t="s">
        <v>6896</v>
      </c>
    </row>
    <row r="3407" spans="1:3">
      <c r="A3407" s="347">
        <v>46090</v>
      </c>
      <c r="B3407" s="346" t="s">
        <v>6897</v>
      </c>
      <c r="C3407" s="346" t="s">
        <v>6898</v>
      </c>
    </row>
    <row r="3408" spans="1:3">
      <c r="A3408" s="347">
        <v>46090</v>
      </c>
      <c r="B3408" s="346" t="s">
        <v>6899</v>
      </c>
      <c r="C3408" s="346" t="s">
        <v>6900</v>
      </c>
    </row>
    <row r="3409" spans="1:3">
      <c r="A3409" s="347">
        <v>46090</v>
      </c>
      <c r="B3409" s="346" t="s">
        <v>6901</v>
      </c>
      <c r="C3409" s="346" t="s">
        <v>6902</v>
      </c>
    </row>
    <row r="3410" spans="1:3">
      <c r="A3410" s="347">
        <v>46090</v>
      </c>
      <c r="B3410" s="346" t="s">
        <v>6903</v>
      </c>
      <c r="C3410" s="346" t="s">
        <v>10803</v>
      </c>
    </row>
    <row r="3411" spans="1:3">
      <c r="A3411" s="347">
        <v>46090</v>
      </c>
      <c r="B3411" s="346" t="s">
        <v>6904</v>
      </c>
      <c r="C3411" s="346" t="s">
        <v>6905</v>
      </c>
    </row>
    <row r="3412" spans="1:3">
      <c r="A3412" s="347">
        <v>46090</v>
      </c>
      <c r="B3412" s="346" t="s">
        <v>6906</v>
      </c>
      <c r="C3412" s="346" t="s">
        <v>6907</v>
      </c>
    </row>
    <row r="3413" spans="1:3">
      <c r="A3413" s="347">
        <v>46090</v>
      </c>
      <c r="B3413" s="346" t="s">
        <v>6908</v>
      </c>
      <c r="C3413" s="346" t="s">
        <v>6909</v>
      </c>
    </row>
    <row r="3414" spans="1:3">
      <c r="A3414" s="347">
        <v>46090</v>
      </c>
      <c r="B3414" s="346" t="s">
        <v>6910</v>
      </c>
      <c r="C3414" s="346" t="s">
        <v>10804</v>
      </c>
    </row>
    <row r="3415" spans="1:3">
      <c r="A3415" s="347">
        <v>46090</v>
      </c>
      <c r="B3415" s="346" t="s">
        <v>6911</v>
      </c>
      <c r="C3415" s="346" t="s">
        <v>6912</v>
      </c>
    </row>
    <row r="3416" spans="1:3">
      <c r="A3416" s="347">
        <v>46090</v>
      </c>
      <c r="B3416" s="346" t="s">
        <v>6913</v>
      </c>
      <c r="C3416" s="346" t="s">
        <v>6914</v>
      </c>
    </row>
    <row r="3417" spans="1:3">
      <c r="A3417" s="347">
        <v>46090</v>
      </c>
      <c r="B3417" s="346" t="s">
        <v>6915</v>
      </c>
      <c r="C3417" s="346" t="s">
        <v>6916</v>
      </c>
    </row>
    <row r="3418" spans="1:3">
      <c r="A3418" s="347">
        <v>46090</v>
      </c>
      <c r="B3418" s="346" t="s">
        <v>6917</v>
      </c>
      <c r="C3418" s="346" t="s">
        <v>6918</v>
      </c>
    </row>
    <row r="3419" spans="1:3">
      <c r="A3419" s="347">
        <v>46090</v>
      </c>
      <c r="B3419" s="346" t="s">
        <v>6919</v>
      </c>
      <c r="C3419" s="346" t="s">
        <v>6920</v>
      </c>
    </row>
    <row r="3420" spans="1:3">
      <c r="A3420" s="347">
        <v>46090</v>
      </c>
      <c r="B3420" s="346" t="s">
        <v>6921</v>
      </c>
      <c r="C3420" s="346" t="s">
        <v>6922</v>
      </c>
    </row>
    <row r="3421" spans="1:3">
      <c r="A3421" s="347">
        <v>46090</v>
      </c>
      <c r="B3421" s="346" t="s">
        <v>6923</v>
      </c>
      <c r="C3421" s="346" t="s">
        <v>6924</v>
      </c>
    </row>
    <row r="3422" spans="1:3">
      <c r="A3422" s="347">
        <v>46090</v>
      </c>
      <c r="B3422" s="346" t="s">
        <v>6925</v>
      </c>
      <c r="C3422" s="346" t="s">
        <v>6926</v>
      </c>
    </row>
    <row r="3423" spans="1:3">
      <c r="A3423" s="347">
        <v>46090</v>
      </c>
      <c r="B3423" s="346" t="s">
        <v>6927</v>
      </c>
      <c r="C3423" s="346" t="s">
        <v>6928</v>
      </c>
    </row>
    <row r="3424" spans="1:3">
      <c r="A3424" s="347">
        <v>46090</v>
      </c>
      <c r="B3424" s="346" t="s">
        <v>6929</v>
      </c>
      <c r="C3424" s="346" t="s">
        <v>6930</v>
      </c>
    </row>
    <row r="3425" spans="1:3">
      <c r="A3425" s="347">
        <v>46090</v>
      </c>
      <c r="B3425" s="346" t="s">
        <v>6931</v>
      </c>
      <c r="C3425" s="346" t="s">
        <v>6932</v>
      </c>
    </row>
    <row r="3426" spans="1:3">
      <c r="A3426" s="347">
        <v>46090</v>
      </c>
      <c r="B3426" s="346" t="s">
        <v>6933</v>
      </c>
      <c r="C3426" s="346" t="s">
        <v>6934</v>
      </c>
    </row>
    <row r="3427" spans="1:3">
      <c r="A3427" s="347">
        <v>46090</v>
      </c>
      <c r="B3427" s="346" t="s">
        <v>6935</v>
      </c>
      <c r="C3427" s="346" t="s">
        <v>6936</v>
      </c>
    </row>
    <row r="3428" spans="1:3">
      <c r="A3428" s="347">
        <v>46090</v>
      </c>
      <c r="B3428" s="346" t="s">
        <v>6937</v>
      </c>
      <c r="C3428" s="346" t="s">
        <v>6938</v>
      </c>
    </row>
    <row r="3429" spans="1:3">
      <c r="A3429" s="347">
        <v>46090</v>
      </c>
      <c r="B3429" s="346" t="s">
        <v>6939</v>
      </c>
      <c r="C3429" s="346" t="s">
        <v>6940</v>
      </c>
    </row>
    <row r="3430" spans="1:3">
      <c r="A3430" s="347">
        <v>46090</v>
      </c>
      <c r="B3430" s="346" t="s">
        <v>6941</v>
      </c>
      <c r="C3430" s="346" t="s">
        <v>6942</v>
      </c>
    </row>
    <row r="3431" spans="1:3">
      <c r="A3431" s="347">
        <v>46090</v>
      </c>
      <c r="B3431" s="346" t="s">
        <v>6943</v>
      </c>
      <c r="C3431" s="346" t="s">
        <v>6944</v>
      </c>
    </row>
    <row r="3432" spans="1:3">
      <c r="A3432" s="347">
        <v>46090</v>
      </c>
      <c r="B3432" s="346" t="s">
        <v>6945</v>
      </c>
      <c r="C3432" s="346" t="s">
        <v>6946</v>
      </c>
    </row>
    <row r="3433" spans="1:3">
      <c r="A3433" s="347">
        <v>46090</v>
      </c>
      <c r="B3433" s="346" t="s">
        <v>6947</v>
      </c>
      <c r="C3433" s="346" t="s">
        <v>6948</v>
      </c>
    </row>
    <row r="3434" spans="1:3">
      <c r="A3434" s="347">
        <v>46090</v>
      </c>
      <c r="B3434" s="346" t="s">
        <v>6949</v>
      </c>
      <c r="C3434" s="346" t="s">
        <v>6950</v>
      </c>
    </row>
    <row r="3435" spans="1:3">
      <c r="A3435" s="347">
        <v>46090</v>
      </c>
      <c r="B3435" s="346" t="s">
        <v>6951</v>
      </c>
      <c r="C3435" s="346" t="s">
        <v>6952</v>
      </c>
    </row>
    <row r="3436" spans="1:3">
      <c r="A3436" s="347">
        <v>46090</v>
      </c>
      <c r="B3436" s="346" t="s">
        <v>6953</v>
      </c>
      <c r="C3436" s="346" t="s">
        <v>6954</v>
      </c>
    </row>
    <row r="3437" spans="1:3">
      <c r="A3437" s="347">
        <v>46090</v>
      </c>
      <c r="B3437" s="346" t="s">
        <v>6955</v>
      </c>
      <c r="C3437" s="346" t="s">
        <v>6956</v>
      </c>
    </row>
    <row r="3438" spans="1:3">
      <c r="A3438" s="347">
        <v>46090</v>
      </c>
      <c r="B3438" s="346" t="s">
        <v>6957</v>
      </c>
      <c r="C3438" s="346" t="s">
        <v>6958</v>
      </c>
    </row>
    <row r="3439" spans="1:3">
      <c r="A3439" s="347">
        <v>46090</v>
      </c>
      <c r="B3439" s="346" t="s">
        <v>6959</v>
      </c>
      <c r="C3439" s="346" t="s">
        <v>6960</v>
      </c>
    </row>
    <row r="3440" spans="1:3">
      <c r="A3440" s="347">
        <v>46090</v>
      </c>
      <c r="B3440" s="346" t="s">
        <v>6961</v>
      </c>
      <c r="C3440" s="346" t="s">
        <v>6962</v>
      </c>
    </row>
    <row r="3441" spans="1:3">
      <c r="A3441" s="347">
        <v>46090</v>
      </c>
      <c r="B3441" s="346" t="s">
        <v>6963</v>
      </c>
      <c r="C3441" s="346" t="s">
        <v>6964</v>
      </c>
    </row>
    <row r="3442" spans="1:3">
      <c r="A3442" s="347">
        <v>46090</v>
      </c>
      <c r="B3442" s="346" t="s">
        <v>6965</v>
      </c>
      <c r="C3442" s="346" t="s">
        <v>6966</v>
      </c>
    </row>
    <row r="3443" spans="1:3">
      <c r="A3443" s="347">
        <v>46090</v>
      </c>
      <c r="B3443" s="346" t="s">
        <v>6967</v>
      </c>
      <c r="C3443" s="346" t="s">
        <v>6968</v>
      </c>
    </row>
    <row r="3444" spans="1:3">
      <c r="A3444" s="347">
        <v>46090</v>
      </c>
      <c r="B3444" s="346" t="s">
        <v>6969</v>
      </c>
      <c r="C3444" s="346" t="s">
        <v>6970</v>
      </c>
    </row>
    <row r="3445" spans="1:3">
      <c r="A3445" s="347">
        <v>46090</v>
      </c>
      <c r="B3445" s="346" t="s">
        <v>6971</v>
      </c>
      <c r="C3445" s="346" t="s">
        <v>6972</v>
      </c>
    </row>
    <row r="3446" spans="1:3">
      <c r="A3446" s="347">
        <v>46090</v>
      </c>
      <c r="B3446" s="346" t="s">
        <v>6973</v>
      </c>
      <c r="C3446" s="346" t="s">
        <v>6974</v>
      </c>
    </row>
    <row r="3447" spans="1:3">
      <c r="A3447" s="347">
        <v>46090</v>
      </c>
      <c r="B3447" s="346" t="s">
        <v>6975</v>
      </c>
      <c r="C3447" s="346" t="s">
        <v>10805</v>
      </c>
    </row>
    <row r="3448" spans="1:3">
      <c r="A3448" s="347">
        <v>46090</v>
      </c>
      <c r="B3448" s="346" t="s">
        <v>6976</v>
      </c>
      <c r="C3448" s="346" t="s">
        <v>11112</v>
      </c>
    </row>
    <row r="3449" spans="1:3">
      <c r="A3449" s="347">
        <v>46090</v>
      </c>
      <c r="B3449" s="346" t="s">
        <v>6977</v>
      </c>
      <c r="C3449" s="346" t="s">
        <v>6978</v>
      </c>
    </row>
    <row r="3450" spans="1:3">
      <c r="A3450" s="347">
        <v>46090</v>
      </c>
      <c r="B3450" s="346" t="s">
        <v>6979</v>
      </c>
      <c r="C3450" s="346" t="s">
        <v>6980</v>
      </c>
    </row>
    <row r="3451" spans="1:3">
      <c r="A3451" s="347">
        <v>46090</v>
      </c>
      <c r="B3451" s="346" t="s">
        <v>6981</v>
      </c>
      <c r="C3451" s="346" t="s">
        <v>6982</v>
      </c>
    </row>
    <row r="3452" spans="1:3">
      <c r="A3452" s="347">
        <v>46090</v>
      </c>
      <c r="B3452" s="346" t="s">
        <v>6983</v>
      </c>
      <c r="C3452" s="346" t="s">
        <v>6984</v>
      </c>
    </row>
    <row r="3453" spans="1:3">
      <c r="A3453" s="347">
        <v>46090</v>
      </c>
      <c r="B3453" s="346" t="s">
        <v>6985</v>
      </c>
      <c r="C3453" s="346" t="s">
        <v>6986</v>
      </c>
    </row>
    <row r="3454" spans="1:3">
      <c r="A3454" s="347">
        <v>46090</v>
      </c>
      <c r="B3454" s="346" t="s">
        <v>6987</v>
      </c>
      <c r="C3454" s="346" t="s">
        <v>6988</v>
      </c>
    </row>
    <row r="3455" spans="1:3">
      <c r="A3455" s="347">
        <v>46090</v>
      </c>
      <c r="B3455" s="346" t="s">
        <v>6989</v>
      </c>
      <c r="C3455" s="346" t="s">
        <v>10806</v>
      </c>
    </row>
    <row r="3456" spans="1:3">
      <c r="A3456" s="347">
        <v>46090</v>
      </c>
      <c r="B3456" s="346" t="s">
        <v>6990</v>
      </c>
      <c r="C3456" s="346" t="s">
        <v>10807</v>
      </c>
    </row>
    <row r="3457" spans="1:3">
      <c r="A3457" s="347">
        <v>46090</v>
      </c>
      <c r="B3457" s="346" t="s">
        <v>6991</v>
      </c>
      <c r="C3457" s="346" t="s">
        <v>6992</v>
      </c>
    </row>
    <row r="3458" spans="1:3">
      <c r="A3458" s="347">
        <v>46090</v>
      </c>
      <c r="B3458" s="346" t="s">
        <v>6993</v>
      </c>
      <c r="C3458" s="346" t="s">
        <v>6994</v>
      </c>
    </row>
    <row r="3459" spans="1:3">
      <c r="A3459" s="347">
        <v>46090</v>
      </c>
      <c r="B3459" s="346" t="s">
        <v>6995</v>
      </c>
      <c r="C3459" s="346" t="s">
        <v>6996</v>
      </c>
    </row>
    <row r="3460" spans="1:3">
      <c r="A3460" s="347">
        <v>46090</v>
      </c>
      <c r="B3460" s="346" t="s">
        <v>6997</v>
      </c>
      <c r="C3460" s="346" t="s">
        <v>6998</v>
      </c>
    </row>
    <row r="3461" spans="1:3">
      <c r="A3461" s="347">
        <v>46090</v>
      </c>
      <c r="B3461" s="346" t="s">
        <v>6999</v>
      </c>
      <c r="C3461" s="346" t="s">
        <v>7000</v>
      </c>
    </row>
    <row r="3462" spans="1:3">
      <c r="A3462" s="347">
        <v>46090</v>
      </c>
      <c r="B3462" s="346" t="s">
        <v>7001</v>
      </c>
      <c r="C3462" s="346" t="s">
        <v>11113</v>
      </c>
    </row>
    <row r="3463" spans="1:3">
      <c r="A3463" s="347">
        <v>46090</v>
      </c>
      <c r="B3463" s="346" t="s">
        <v>7002</v>
      </c>
      <c r="C3463" s="346" t="s">
        <v>7003</v>
      </c>
    </row>
    <row r="3464" spans="1:3">
      <c r="A3464" s="347">
        <v>46090</v>
      </c>
      <c r="B3464" s="346" t="s">
        <v>7004</v>
      </c>
      <c r="C3464" s="346" t="s">
        <v>10808</v>
      </c>
    </row>
    <row r="3465" spans="1:3">
      <c r="A3465" s="347">
        <v>46090</v>
      </c>
      <c r="B3465" s="346" t="s">
        <v>7005</v>
      </c>
      <c r="C3465" s="346" t="s">
        <v>7006</v>
      </c>
    </row>
    <row r="3466" spans="1:3">
      <c r="A3466" s="347">
        <v>46090</v>
      </c>
      <c r="B3466" s="346" t="s">
        <v>7007</v>
      </c>
      <c r="C3466" s="346" t="s">
        <v>7008</v>
      </c>
    </row>
    <row r="3467" spans="1:3">
      <c r="A3467" s="347">
        <v>46090</v>
      </c>
      <c r="B3467" s="346" t="s">
        <v>7009</v>
      </c>
      <c r="C3467" s="346" t="s">
        <v>7010</v>
      </c>
    </row>
    <row r="3468" spans="1:3">
      <c r="A3468" s="347">
        <v>46090</v>
      </c>
      <c r="B3468" s="346" t="s">
        <v>7011</v>
      </c>
      <c r="C3468" s="346" t="s">
        <v>7012</v>
      </c>
    </row>
    <row r="3469" spans="1:3">
      <c r="A3469" s="347">
        <v>46090</v>
      </c>
      <c r="B3469" s="346" t="s">
        <v>7013</v>
      </c>
      <c r="C3469" s="346" t="s">
        <v>7014</v>
      </c>
    </row>
    <row r="3470" spans="1:3">
      <c r="A3470" s="347">
        <v>46090</v>
      </c>
      <c r="B3470" s="346" t="s">
        <v>7015</v>
      </c>
      <c r="C3470" s="346" t="s">
        <v>10809</v>
      </c>
    </row>
    <row r="3471" spans="1:3">
      <c r="A3471" s="347">
        <v>46090</v>
      </c>
      <c r="B3471" s="346" t="s">
        <v>7016</v>
      </c>
      <c r="C3471" s="346" t="s">
        <v>7017</v>
      </c>
    </row>
    <row r="3472" spans="1:3">
      <c r="A3472" s="347">
        <v>46090</v>
      </c>
      <c r="B3472" s="346" t="s">
        <v>7018</v>
      </c>
      <c r="C3472" s="346" t="s">
        <v>7019</v>
      </c>
    </row>
    <row r="3473" spans="1:3">
      <c r="A3473" s="347">
        <v>46090</v>
      </c>
      <c r="B3473" s="346" t="s">
        <v>7020</v>
      </c>
      <c r="C3473" s="346" t="s">
        <v>7021</v>
      </c>
    </row>
    <row r="3474" spans="1:3">
      <c r="A3474" s="347">
        <v>46090</v>
      </c>
      <c r="B3474" s="346" t="s">
        <v>7022</v>
      </c>
      <c r="C3474" s="346" t="s">
        <v>7023</v>
      </c>
    </row>
    <row r="3475" spans="1:3">
      <c r="A3475" s="347">
        <v>46090</v>
      </c>
      <c r="B3475" s="346" t="s">
        <v>7024</v>
      </c>
      <c r="C3475" s="346" t="s">
        <v>7025</v>
      </c>
    </row>
    <row r="3476" spans="1:3">
      <c r="A3476" s="347">
        <v>46090</v>
      </c>
      <c r="B3476" s="346" t="s">
        <v>7026</v>
      </c>
      <c r="C3476" s="346" t="s">
        <v>7027</v>
      </c>
    </row>
    <row r="3477" spans="1:3">
      <c r="A3477" s="347">
        <v>46090</v>
      </c>
      <c r="B3477" s="346" t="s">
        <v>7028</v>
      </c>
      <c r="C3477" s="346" t="s">
        <v>7029</v>
      </c>
    </row>
    <row r="3478" spans="1:3">
      <c r="A3478" s="347">
        <v>46090</v>
      </c>
      <c r="B3478" s="346" t="s">
        <v>7030</v>
      </c>
      <c r="C3478" s="346" t="s">
        <v>7031</v>
      </c>
    </row>
    <row r="3479" spans="1:3">
      <c r="A3479" s="347">
        <v>46090</v>
      </c>
      <c r="B3479" s="346" t="s">
        <v>7032</v>
      </c>
      <c r="C3479" s="346" t="s">
        <v>7033</v>
      </c>
    </row>
    <row r="3480" spans="1:3">
      <c r="A3480" s="347">
        <v>46090</v>
      </c>
      <c r="B3480" s="346" t="s">
        <v>7034</v>
      </c>
      <c r="C3480" s="346" t="s">
        <v>7035</v>
      </c>
    </row>
    <row r="3481" spans="1:3">
      <c r="A3481" s="347">
        <v>46090</v>
      </c>
      <c r="B3481" s="346" t="s">
        <v>7036</v>
      </c>
      <c r="C3481" s="346" t="s">
        <v>7037</v>
      </c>
    </row>
    <row r="3482" spans="1:3">
      <c r="A3482" s="347">
        <v>46090</v>
      </c>
      <c r="B3482" s="346" t="s">
        <v>7038</v>
      </c>
      <c r="C3482" s="346" t="s">
        <v>7039</v>
      </c>
    </row>
    <row r="3483" spans="1:3">
      <c r="A3483" s="347">
        <v>46090</v>
      </c>
      <c r="B3483" s="346" t="s">
        <v>7040</v>
      </c>
      <c r="C3483" s="346" t="s">
        <v>7041</v>
      </c>
    </row>
    <row r="3484" spans="1:3">
      <c r="A3484" s="347">
        <v>46090</v>
      </c>
      <c r="B3484" s="346" t="s">
        <v>7042</v>
      </c>
      <c r="C3484" s="346" t="s">
        <v>10810</v>
      </c>
    </row>
    <row r="3485" spans="1:3">
      <c r="A3485" s="347">
        <v>46090</v>
      </c>
      <c r="B3485" s="346" t="s">
        <v>7043</v>
      </c>
      <c r="C3485" s="346" t="s">
        <v>7044</v>
      </c>
    </row>
    <row r="3486" spans="1:3">
      <c r="A3486" s="347">
        <v>46090</v>
      </c>
      <c r="B3486" s="346" t="s">
        <v>7045</v>
      </c>
      <c r="C3486" s="346" t="s">
        <v>7046</v>
      </c>
    </row>
    <row r="3487" spans="1:3">
      <c r="A3487" s="347">
        <v>46090</v>
      </c>
      <c r="B3487" s="346" t="s">
        <v>7047</v>
      </c>
      <c r="C3487" s="346" t="s">
        <v>7048</v>
      </c>
    </row>
    <row r="3488" spans="1:3">
      <c r="A3488" s="347">
        <v>46090</v>
      </c>
      <c r="B3488" s="346" t="s">
        <v>7049</v>
      </c>
      <c r="C3488" s="346" t="s">
        <v>7050</v>
      </c>
    </row>
    <row r="3489" spans="1:3">
      <c r="A3489" s="347">
        <v>46090</v>
      </c>
      <c r="B3489" s="346" t="s">
        <v>7051</v>
      </c>
      <c r="C3489" s="346" t="s">
        <v>7052</v>
      </c>
    </row>
    <row r="3490" spans="1:3">
      <c r="A3490" s="347">
        <v>46090</v>
      </c>
      <c r="B3490" s="346" t="s">
        <v>7053</v>
      </c>
      <c r="C3490" s="346" t="s">
        <v>7054</v>
      </c>
    </row>
    <row r="3491" spans="1:3">
      <c r="A3491" s="347">
        <v>46090</v>
      </c>
      <c r="B3491" s="346" t="s">
        <v>7055</v>
      </c>
      <c r="C3491" s="346" t="s">
        <v>7056</v>
      </c>
    </row>
    <row r="3492" spans="1:3">
      <c r="A3492" s="347">
        <v>46090</v>
      </c>
      <c r="B3492" s="346" t="s">
        <v>7057</v>
      </c>
      <c r="C3492" s="346" t="s">
        <v>7058</v>
      </c>
    </row>
    <row r="3493" spans="1:3">
      <c r="A3493" s="347">
        <v>46090</v>
      </c>
      <c r="B3493" s="346" t="s">
        <v>7059</v>
      </c>
      <c r="C3493" s="346" t="s">
        <v>7060</v>
      </c>
    </row>
    <row r="3494" spans="1:3">
      <c r="A3494" s="347">
        <v>46090</v>
      </c>
      <c r="B3494" s="346" t="s">
        <v>7061</v>
      </c>
      <c r="C3494" s="346" t="s">
        <v>7062</v>
      </c>
    </row>
    <row r="3495" spans="1:3">
      <c r="A3495" s="347">
        <v>46090</v>
      </c>
      <c r="B3495" s="346" t="s">
        <v>7063</v>
      </c>
      <c r="C3495" s="346" t="s">
        <v>7064</v>
      </c>
    </row>
    <row r="3496" spans="1:3">
      <c r="A3496" s="347">
        <v>46090</v>
      </c>
      <c r="B3496" s="346" t="s">
        <v>7065</v>
      </c>
      <c r="C3496" s="346" t="s">
        <v>7066</v>
      </c>
    </row>
    <row r="3497" spans="1:3">
      <c r="A3497" s="347">
        <v>46090</v>
      </c>
      <c r="B3497" s="346" t="s">
        <v>7067</v>
      </c>
      <c r="C3497" s="346" t="s">
        <v>7068</v>
      </c>
    </row>
    <row r="3498" spans="1:3">
      <c r="A3498" s="347">
        <v>46090</v>
      </c>
      <c r="B3498" s="346" t="s">
        <v>7069</v>
      </c>
      <c r="C3498" s="346" t="s">
        <v>7070</v>
      </c>
    </row>
    <row r="3499" spans="1:3">
      <c r="A3499" s="347">
        <v>46090</v>
      </c>
      <c r="B3499" s="346" t="s">
        <v>7071</v>
      </c>
      <c r="C3499" s="346" t="s">
        <v>7072</v>
      </c>
    </row>
    <row r="3500" spans="1:3">
      <c r="A3500" s="347">
        <v>46090</v>
      </c>
      <c r="B3500" s="346" t="s">
        <v>7073</v>
      </c>
      <c r="C3500" s="346" t="s">
        <v>7074</v>
      </c>
    </row>
    <row r="3501" spans="1:3">
      <c r="A3501" s="347">
        <v>46090</v>
      </c>
      <c r="B3501" s="346" t="s">
        <v>7075</v>
      </c>
      <c r="C3501" s="346" t="s">
        <v>7076</v>
      </c>
    </row>
    <row r="3502" spans="1:3">
      <c r="A3502" s="347">
        <v>46090</v>
      </c>
      <c r="B3502" s="346" t="s">
        <v>7077</v>
      </c>
      <c r="C3502" s="346" t="s">
        <v>7078</v>
      </c>
    </row>
    <row r="3503" spans="1:3">
      <c r="A3503" s="347">
        <v>46090</v>
      </c>
      <c r="B3503" s="346" t="s">
        <v>7079</v>
      </c>
      <c r="C3503" s="346" t="s">
        <v>7080</v>
      </c>
    </row>
    <row r="3504" spans="1:3">
      <c r="A3504" s="347">
        <v>46090</v>
      </c>
      <c r="B3504" s="346" t="s">
        <v>7081</v>
      </c>
      <c r="C3504" s="346" t="s">
        <v>11114</v>
      </c>
    </row>
    <row r="3505" spans="1:3">
      <c r="A3505" s="347">
        <v>46090</v>
      </c>
      <c r="B3505" s="346" t="s">
        <v>7082</v>
      </c>
      <c r="C3505" s="346" t="s">
        <v>7083</v>
      </c>
    </row>
    <row r="3506" spans="1:3">
      <c r="A3506" s="347">
        <v>46090</v>
      </c>
      <c r="B3506" s="346" t="s">
        <v>7084</v>
      </c>
      <c r="C3506" s="346" t="s">
        <v>7085</v>
      </c>
    </row>
    <row r="3507" spans="1:3">
      <c r="A3507" s="347">
        <v>46090</v>
      </c>
      <c r="B3507" s="346" t="s">
        <v>7086</v>
      </c>
      <c r="C3507" s="346" t="s">
        <v>7087</v>
      </c>
    </row>
    <row r="3508" spans="1:3">
      <c r="A3508" s="347">
        <v>46090</v>
      </c>
      <c r="B3508" s="346" t="s">
        <v>7088</v>
      </c>
      <c r="C3508" s="346" t="s">
        <v>10811</v>
      </c>
    </row>
    <row r="3509" spans="1:3">
      <c r="A3509" s="347">
        <v>46090</v>
      </c>
      <c r="B3509" s="346" t="s">
        <v>7089</v>
      </c>
      <c r="C3509" s="346" t="s">
        <v>7090</v>
      </c>
    </row>
    <row r="3510" spans="1:3">
      <c r="A3510" s="347">
        <v>46090</v>
      </c>
      <c r="B3510" s="346" t="s">
        <v>7091</v>
      </c>
      <c r="C3510" s="346" t="s">
        <v>7092</v>
      </c>
    </row>
    <row r="3511" spans="1:3">
      <c r="A3511" s="347">
        <v>46090</v>
      </c>
      <c r="B3511" s="346" t="s">
        <v>7093</v>
      </c>
      <c r="C3511" s="346" t="s">
        <v>7094</v>
      </c>
    </row>
    <row r="3512" spans="1:3">
      <c r="A3512" s="347">
        <v>46090</v>
      </c>
      <c r="B3512" s="346" t="s">
        <v>7095</v>
      </c>
      <c r="C3512" s="346" t="s">
        <v>7096</v>
      </c>
    </row>
    <row r="3513" spans="1:3">
      <c r="A3513" s="347">
        <v>46090</v>
      </c>
      <c r="B3513" s="346" t="s">
        <v>7097</v>
      </c>
      <c r="C3513" s="346" t="s">
        <v>7098</v>
      </c>
    </row>
    <row r="3514" spans="1:3">
      <c r="A3514" s="347">
        <v>46090</v>
      </c>
      <c r="B3514" s="346" t="s">
        <v>7099</v>
      </c>
      <c r="C3514" s="346" t="s">
        <v>7100</v>
      </c>
    </row>
    <row r="3515" spans="1:3">
      <c r="A3515" s="347">
        <v>46090</v>
      </c>
      <c r="B3515" s="346" t="s">
        <v>7101</v>
      </c>
      <c r="C3515" s="346" t="s">
        <v>7102</v>
      </c>
    </row>
    <row r="3516" spans="1:3">
      <c r="A3516" s="347">
        <v>46090</v>
      </c>
      <c r="B3516" s="346" t="s">
        <v>7103</v>
      </c>
      <c r="C3516" s="346" t="s">
        <v>7104</v>
      </c>
    </row>
    <row r="3517" spans="1:3">
      <c r="A3517" s="347">
        <v>46090</v>
      </c>
      <c r="B3517" s="346" t="s">
        <v>7105</v>
      </c>
      <c r="C3517" s="346" t="s">
        <v>7106</v>
      </c>
    </row>
    <row r="3518" spans="1:3">
      <c r="A3518" s="347">
        <v>46090</v>
      </c>
      <c r="B3518" s="346" t="s">
        <v>7107</v>
      </c>
      <c r="C3518" s="346" t="s">
        <v>7108</v>
      </c>
    </row>
    <row r="3519" spans="1:3">
      <c r="A3519" s="347">
        <v>46090</v>
      </c>
      <c r="B3519" s="346" t="s">
        <v>7109</v>
      </c>
      <c r="C3519" s="346" t="s">
        <v>7110</v>
      </c>
    </row>
    <row r="3520" spans="1:3">
      <c r="A3520" s="347">
        <v>46090</v>
      </c>
      <c r="B3520" s="346" t="s">
        <v>7111</v>
      </c>
      <c r="C3520" s="346" t="s">
        <v>7112</v>
      </c>
    </row>
    <row r="3521" spans="1:3">
      <c r="A3521" s="347">
        <v>46090</v>
      </c>
      <c r="B3521" s="346" t="s">
        <v>7113</v>
      </c>
      <c r="C3521" s="346" t="s">
        <v>7114</v>
      </c>
    </row>
    <row r="3522" spans="1:3">
      <c r="A3522" s="347">
        <v>46090</v>
      </c>
      <c r="B3522" s="346" t="s">
        <v>7115</v>
      </c>
      <c r="C3522" s="346" t="s">
        <v>7116</v>
      </c>
    </row>
    <row r="3523" spans="1:3">
      <c r="A3523" s="347">
        <v>46090</v>
      </c>
      <c r="B3523" s="346" t="s">
        <v>7117</v>
      </c>
      <c r="C3523" s="346" t="s">
        <v>7118</v>
      </c>
    </row>
    <row r="3524" spans="1:3">
      <c r="A3524" s="347">
        <v>46090</v>
      </c>
      <c r="B3524" s="346" t="s">
        <v>7119</v>
      </c>
      <c r="C3524" s="346" t="s">
        <v>7120</v>
      </c>
    </row>
    <row r="3525" spans="1:3">
      <c r="A3525" s="347">
        <v>46090</v>
      </c>
      <c r="B3525" s="346" t="s">
        <v>7121</v>
      </c>
      <c r="C3525" s="346" t="s">
        <v>7122</v>
      </c>
    </row>
    <row r="3526" spans="1:3">
      <c r="A3526" s="347">
        <v>46090</v>
      </c>
      <c r="B3526" s="346" t="s">
        <v>7123</v>
      </c>
      <c r="C3526" s="346" t="s">
        <v>7124</v>
      </c>
    </row>
    <row r="3527" spans="1:3">
      <c r="A3527" s="347">
        <v>46090</v>
      </c>
      <c r="B3527" s="346" t="s">
        <v>7125</v>
      </c>
      <c r="C3527" s="346" t="s">
        <v>7126</v>
      </c>
    </row>
    <row r="3528" spans="1:3">
      <c r="A3528" s="347">
        <v>46090</v>
      </c>
      <c r="B3528" s="346" t="s">
        <v>7127</v>
      </c>
      <c r="C3528" s="346" t="s">
        <v>7128</v>
      </c>
    </row>
    <row r="3529" spans="1:3">
      <c r="A3529" s="347">
        <v>46090</v>
      </c>
      <c r="B3529" s="346" t="s">
        <v>7129</v>
      </c>
      <c r="C3529" s="346" t="s">
        <v>11115</v>
      </c>
    </row>
    <row r="3530" spans="1:3">
      <c r="A3530" s="347">
        <v>46090</v>
      </c>
      <c r="B3530" s="346" t="s">
        <v>7130</v>
      </c>
      <c r="C3530" s="346" t="s">
        <v>7131</v>
      </c>
    </row>
    <row r="3531" spans="1:3">
      <c r="A3531" s="347">
        <v>46090</v>
      </c>
      <c r="B3531" s="346" t="s">
        <v>7132</v>
      </c>
      <c r="C3531" s="346" t="s">
        <v>7133</v>
      </c>
    </row>
    <row r="3532" spans="1:3">
      <c r="A3532" s="347">
        <v>46090</v>
      </c>
      <c r="B3532" s="346" t="s">
        <v>7134</v>
      </c>
      <c r="C3532" s="346" t="s">
        <v>7135</v>
      </c>
    </row>
    <row r="3533" spans="1:3">
      <c r="A3533" s="347">
        <v>46090</v>
      </c>
      <c r="B3533" s="346" t="s">
        <v>7136</v>
      </c>
      <c r="C3533" s="346" t="s">
        <v>7137</v>
      </c>
    </row>
    <row r="3534" spans="1:3">
      <c r="A3534" s="347">
        <v>46090</v>
      </c>
      <c r="B3534" s="346" t="s">
        <v>7138</v>
      </c>
      <c r="C3534" s="346" t="s">
        <v>7139</v>
      </c>
    </row>
    <row r="3535" spans="1:3">
      <c r="A3535" s="347">
        <v>46090</v>
      </c>
      <c r="B3535" s="346" t="s">
        <v>7140</v>
      </c>
      <c r="C3535" s="346" t="s">
        <v>7141</v>
      </c>
    </row>
    <row r="3536" spans="1:3">
      <c r="A3536" s="347">
        <v>46090</v>
      </c>
      <c r="B3536" s="346" t="s">
        <v>7142</v>
      </c>
      <c r="C3536" s="346" t="s">
        <v>7143</v>
      </c>
    </row>
    <row r="3537" spans="1:3">
      <c r="A3537" s="347">
        <v>46090</v>
      </c>
      <c r="B3537" s="346" t="s">
        <v>7144</v>
      </c>
      <c r="C3537" s="346" t="s">
        <v>10812</v>
      </c>
    </row>
    <row r="3538" spans="1:3">
      <c r="A3538" s="347">
        <v>46090</v>
      </c>
      <c r="B3538" s="346" t="s">
        <v>7145</v>
      </c>
      <c r="C3538" s="346" t="s">
        <v>7146</v>
      </c>
    </row>
    <row r="3539" spans="1:3">
      <c r="A3539" s="347">
        <v>46090</v>
      </c>
      <c r="B3539" s="346" t="s">
        <v>7147</v>
      </c>
      <c r="C3539" s="346" t="s">
        <v>7148</v>
      </c>
    </row>
    <row r="3540" spans="1:3">
      <c r="A3540" s="347">
        <v>46090</v>
      </c>
      <c r="B3540" s="346" t="s">
        <v>7149</v>
      </c>
      <c r="C3540" s="346" t="s">
        <v>7150</v>
      </c>
    </row>
    <row r="3541" spans="1:3">
      <c r="A3541" s="347">
        <v>46090</v>
      </c>
      <c r="B3541" s="346" t="s">
        <v>7151</v>
      </c>
      <c r="C3541" s="346" t="s">
        <v>7152</v>
      </c>
    </row>
    <row r="3542" spans="1:3">
      <c r="A3542" s="347">
        <v>46090</v>
      </c>
      <c r="B3542" s="346" t="s">
        <v>7153</v>
      </c>
      <c r="C3542" s="346" t="s">
        <v>7154</v>
      </c>
    </row>
    <row r="3543" spans="1:3">
      <c r="A3543" s="347">
        <v>46090</v>
      </c>
      <c r="B3543" s="346" t="s">
        <v>7155</v>
      </c>
      <c r="C3543" s="346" t="s">
        <v>7156</v>
      </c>
    </row>
    <row r="3544" spans="1:3">
      <c r="A3544" s="347">
        <v>46090</v>
      </c>
      <c r="B3544" s="346" t="s">
        <v>7157</v>
      </c>
      <c r="C3544" s="346" t="s">
        <v>7158</v>
      </c>
    </row>
    <row r="3545" spans="1:3">
      <c r="A3545" s="347">
        <v>46090</v>
      </c>
      <c r="B3545" s="346" t="s">
        <v>7159</v>
      </c>
      <c r="C3545" s="346" t="s">
        <v>7160</v>
      </c>
    </row>
    <row r="3546" spans="1:3">
      <c r="A3546" s="347">
        <v>46090</v>
      </c>
      <c r="B3546" s="346" t="s">
        <v>7161</v>
      </c>
      <c r="C3546" s="346" t="s">
        <v>7162</v>
      </c>
    </row>
    <row r="3547" spans="1:3">
      <c r="A3547" s="347">
        <v>46090</v>
      </c>
      <c r="B3547" s="346" t="s">
        <v>7163</v>
      </c>
      <c r="C3547" s="346" t="s">
        <v>7164</v>
      </c>
    </row>
    <row r="3548" spans="1:3">
      <c r="A3548" s="347">
        <v>46090</v>
      </c>
      <c r="B3548" s="346" t="s">
        <v>7165</v>
      </c>
      <c r="C3548" s="346" t="s">
        <v>7166</v>
      </c>
    </row>
    <row r="3549" spans="1:3">
      <c r="A3549" s="347">
        <v>46090</v>
      </c>
      <c r="B3549" s="346" t="s">
        <v>7167</v>
      </c>
      <c r="C3549" s="346" t="s">
        <v>7168</v>
      </c>
    </row>
    <row r="3550" spans="1:3">
      <c r="A3550" s="347">
        <v>46090</v>
      </c>
      <c r="B3550" s="346" t="s">
        <v>7169</v>
      </c>
      <c r="C3550" s="346" t="s">
        <v>7170</v>
      </c>
    </row>
    <row r="3551" spans="1:3">
      <c r="A3551" s="347">
        <v>46090</v>
      </c>
      <c r="B3551" s="346" t="s">
        <v>7171</v>
      </c>
      <c r="C3551" s="346" t="s">
        <v>7172</v>
      </c>
    </row>
    <row r="3552" spans="1:3">
      <c r="A3552" s="347">
        <v>46090</v>
      </c>
      <c r="B3552" s="346" t="s">
        <v>7173</v>
      </c>
      <c r="C3552" s="346" t="s">
        <v>7174</v>
      </c>
    </row>
    <row r="3553" spans="1:3">
      <c r="A3553" s="347">
        <v>46090</v>
      </c>
      <c r="B3553" s="346" t="s">
        <v>7175</v>
      </c>
      <c r="C3553" s="346" t="s">
        <v>11116</v>
      </c>
    </row>
    <row r="3554" spans="1:3">
      <c r="A3554" s="347">
        <v>46090</v>
      </c>
      <c r="B3554" s="346" t="s">
        <v>7176</v>
      </c>
      <c r="C3554" s="346" t="s">
        <v>7177</v>
      </c>
    </row>
    <row r="3555" spans="1:3">
      <c r="A3555" s="347">
        <v>46090</v>
      </c>
      <c r="B3555" s="346" t="s">
        <v>7178</v>
      </c>
      <c r="C3555" s="346" t="s">
        <v>7179</v>
      </c>
    </row>
    <row r="3556" spans="1:3">
      <c r="A3556" s="347">
        <v>46090</v>
      </c>
      <c r="B3556" s="346" t="s">
        <v>7180</v>
      </c>
      <c r="C3556" s="346" t="s">
        <v>7181</v>
      </c>
    </row>
    <row r="3557" spans="1:3">
      <c r="A3557" s="347">
        <v>46090</v>
      </c>
      <c r="B3557" s="346" t="s">
        <v>7182</v>
      </c>
      <c r="C3557" s="346" t="s">
        <v>7183</v>
      </c>
    </row>
    <row r="3558" spans="1:3">
      <c r="A3558" s="347">
        <v>46090</v>
      </c>
      <c r="B3558" s="346" t="s">
        <v>7184</v>
      </c>
      <c r="C3558" s="346" t="s">
        <v>7185</v>
      </c>
    </row>
    <row r="3559" spans="1:3">
      <c r="A3559" s="347">
        <v>46090</v>
      </c>
      <c r="B3559" s="346" t="s">
        <v>7186</v>
      </c>
      <c r="C3559" s="346" t="s">
        <v>7187</v>
      </c>
    </row>
    <row r="3560" spans="1:3">
      <c r="A3560" s="347">
        <v>46090</v>
      </c>
      <c r="B3560" s="346" t="s">
        <v>7188</v>
      </c>
      <c r="C3560" s="346" t="s">
        <v>7189</v>
      </c>
    </row>
    <row r="3561" spans="1:3">
      <c r="A3561" s="347">
        <v>46090</v>
      </c>
      <c r="B3561" s="346" t="s">
        <v>7190</v>
      </c>
      <c r="C3561" s="346" t="s">
        <v>7191</v>
      </c>
    </row>
    <row r="3562" spans="1:3">
      <c r="A3562" s="347">
        <v>46090</v>
      </c>
      <c r="B3562" s="346" t="s">
        <v>7192</v>
      </c>
      <c r="C3562" s="346" t="s">
        <v>7193</v>
      </c>
    </row>
    <row r="3563" spans="1:3">
      <c r="A3563" s="347">
        <v>46090</v>
      </c>
      <c r="B3563" s="346" t="s">
        <v>7194</v>
      </c>
      <c r="C3563" s="346" t="s">
        <v>7195</v>
      </c>
    </row>
    <row r="3564" spans="1:3">
      <c r="A3564" s="347">
        <v>46090</v>
      </c>
      <c r="B3564" s="346" t="s">
        <v>7196</v>
      </c>
      <c r="C3564" s="346" t="s">
        <v>7197</v>
      </c>
    </row>
    <row r="3565" spans="1:3">
      <c r="A3565" s="347">
        <v>46090</v>
      </c>
      <c r="B3565" s="346" t="s">
        <v>7198</v>
      </c>
      <c r="C3565" s="346" t="s">
        <v>7199</v>
      </c>
    </row>
    <row r="3566" spans="1:3">
      <c r="A3566" s="347">
        <v>46090</v>
      </c>
      <c r="B3566" s="346" t="s">
        <v>7200</v>
      </c>
      <c r="C3566" s="346" t="s">
        <v>7201</v>
      </c>
    </row>
    <row r="3567" spans="1:3">
      <c r="A3567" s="347">
        <v>46090</v>
      </c>
      <c r="B3567" s="346" t="s">
        <v>7202</v>
      </c>
      <c r="C3567" s="346" t="s">
        <v>7203</v>
      </c>
    </row>
    <row r="3568" spans="1:3">
      <c r="A3568" s="347">
        <v>46090</v>
      </c>
      <c r="B3568" s="346" t="s">
        <v>7204</v>
      </c>
      <c r="C3568" s="346" t="s">
        <v>7205</v>
      </c>
    </row>
    <row r="3569" spans="1:3">
      <c r="A3569" s="347">
        <v>46090</v>
      </c>
      <c r="B3569" s="346" t="s">
        <v>7206</v>
      </c>
      <c r="C3569" s="346" t="s">
        <v>7207</v>
      </c>
    </row>
    <row r="3570" spans="1:3">
      <c r="A3570" s="347">
        <v>46090</v>
      </c>
      <c r="B3570" s="346" t="s">
        <v>7208</v>
      </c>
      <c r="C3570" s="346" t="s">
        <v>7209</v>
      </c>
    </row>
    <row r="3571" spans="1:3">
      <c r="A3571" s="347">
        <v>46090</v>
      </c>
      <c r="B3571" s="346" t="s">
        <v>7210</v>
      </c>
      <c r="C3571" s="346" t="s">
        <v>7211</v>
      </c>
    </row>
    <row r="3572" spans="1:3">
      <c r="A3572" s="347">
        <v>46090</v>
      </c>
      <c r="B3572" s="346" t="s">
        <v>7212</v>
      </c>
      <c r="C3572" s="346" t="s">
        <v>7213</v>
      </c>
    </row>
    <row r="3573" spans="1:3">
      <c r="A3573" s="347">
        <v>46090</v>
      </c>
      <c r="B3573" s="346" t="s">
        <v>7214</v>
      </c>
      <c r="C3573" s="346" t="s">
        <v>7215</v>
      </c>
    </row>
    <row r="3574" spans="1:3">
      <c r="A3574" s="347">
        <v>46090</v>
      </c>
      <c r="B3574" s="346" t="s">
        <v>7216</v>
      </c>
      <c r="C3574" s="346" t="s">
        <v>7217</v>
      </c>
    </row>
    <row r="3575" spans="1:3">
      <c r="A3575" s="347">
        <v>46090</v>
      </c>
      <c r="B3575" s="346" t="s">
        <v>7218</v>
      </c>
      <c r="C3575" s="346" t="s">
        <v>7219</v>
      </c>
    </row>
    <row r="3576" spans="1:3">
      <c r="A3576" s="347">
        <v>46090</v>
      </c>
      <c r="B3576" s="346" t="s">
        <v>7220</v>
      </c>
      <c r="C3576" s="346" t="s">
        <v>7221</v>
      </c>
    </row>
    <row r="3577" spans="1:3">
      <c r="A3577" s="347">
        <v>46090</v>
      </c>
      <c r="B3577" s="346" t="s">
        <v>7222</v>
      </c>
      <c r="C3577" s="346" t="s">
        <v>7223</v>
      </c>
    </row>
    <row r="3578" spans="1:3">
      <c r="A3578" s="347">
        <v>46090</v>
      </c>
      <c r="B3578" s="346" t="s">
        <v>7224</v>
      </c>
      <c r="C3578" s="346" t="s">
        <v>10813</v>
      </c>
    </row>
    <row r="3579" spans="1:3">
      <c r="A3579" s="347">
        <v>46090</v>
      </c>
      <c r="B3579" s="346" t="s">
        <v>7225</v>
      </c>
      <c r="C3579" s="346" t="s">
        <v>7226</v>
      </c>
    </row>
    <row r="3580" spans="1:3">
      <c r="A3580" s="347">
        <v>46090</v>
      </c>
      <c r="B3580" s="346" t="s">
        <v>7227</v>
      </c>
      <c r="C3580" s="346" t="s">
        <v>7228</v>
      </c>
    </row>
    <row r="3581" spans="1:3">
      <c r="A3581" s="347">
        <v>46090</v>
      </c>
      <c r="B3581" s="346" t="s">
        <v>7229</v>
      </c>
      <c r="C3581" s="346" t="s">
        <v>7230</v>
      </c>
    </row>
    <row r="3582" spans="1:3">
      <c r="A3582" s="347">
        <v>46090</v>
      </c>
      <c r="B3582" s="346" t="s">
        <v>7231</v>
      </c>
      <c r="C3582" s="346" t="s">
        <v>7232</v>
      </c>
    </row>
    <row r="3583" spans="1:3">
      <c r="A3583" s="347">
        <v>46090</v>
      </c>
      <c r="B3583" s="346" t="s">
        <v>7233</v>
      </c>
      <c r="C3583" s="346" t="s">
        <v>7234</v>
      </c>
    </row>
    <row r="3584" spans="1:3">
      <c r="A3584" s="347">
        <v>46090</v>
      </c>
      <c r="B3584" s="346" t="s">
        <v>7235</v>
      </c>
      <c r="C3584" s="346" t="s">
        <v>7236</v>
      </c>
    </row>
    <row r="3585" spans="1:3">
      <c r="A3585" s="347">
        <v>46090</v>
      </c>
      <c r="B3585" s="346" t="s">
        <v>7237</v>
      </c>
      <c r="C3585" s="346" t="s">
        <v>7238</v>
      </c>
    </row>
    <row r="3586" spans="1:3">
      <c r="A3586" s="347">
        <v>46090</v>
      </c>
      <c r="B3586" s="346" t="s">
        <v>7239</v>
      </c>
      <c r="C3586" s="346" t="s">
        <v>7240</v>
      </c>
    </row>
    <row r="3587" spans="1:3">
      <c r="A3587" s="347">
        <v>46090</v>
      </c>
      <c r="B3587" s="346" t="s">
        <v>7241</v>
      </c>
      <c r="C3587" s="346" t="s">
        <v>7242</v>
      </c>
    </row>
    <row r="3588" spans="1:3">
      <c r="A3588" s="347">
        <v>46090</v>
      </c>
      <c r="B3588" s="346" t="s">
        <v>7243</v>
      </c>
      <c r="C3588" s="346" t="s">
        <v>7244</v>
      </c>
    </row>
    <row r="3589" spans="1:3">
      <c r="A3589" s="347">
        <v>46090</v>
      </c>
      <c r="B3589" s="346" t="s">
        <v>7245</v>
      </c>
      <c r="C3589" s="346" t="s">
        <v>7246</v>
      </c>
    </row>
    <row r="3590" spans="1:3">
      <c r="A3590" s="347">
        <v>46090</v>
      </c>
      <c r="B3590" s="346" t="s">
        <v>7247</v>
      </c>
      <c r="C3590" s="346" t="s">
        <v>7248</v>
      </c>
    </row>
    <row r="3591" spans="1:3">
      <c r="A3591" s="347">
        <v>46090</v>
      </c>
      <c r="B3591" s="346" t="s">
        <v>7249</v>
      </c>
      <c r="C3591" s="346" t="s">
        <v>7250</v>
      </c>
    </row>
    <row r="3592" spans="1:3">
      <c r="A3592" s="347">
        <v>46090</v>
      </c>
      <c r="B3592" s="346" t="s">
        <v>7251</v>
      </c>
      <c r="C3592" s="346" t="s">
        <v>7252</v>
      </c>
    </row>
    <row r="3593" spans="1:3">
      <c r="A3593" s="347">
        <v>46090</v>
      </c>
      <c r="B3593" s="346" t="s">
        <v>7253</v>
      </c>
      <c r="C3593" s="346" t="s">
        <v>7254</v>
      </c>
    </row>
    <row r="3594" spans="1:3">
      <c r="A3594" s="347">
        <v>46090</v>
      </c>
      <c r="B3594" s="346" t="s">
        <v>7255</v>
      </c>
      <c r="C3594" s="346" t="s">
        <v>7256</v>
      </c>
    </row>
    <row r="3595" spans="1:3">
      <c r="A3595" s="347">
        <v>46090</v>
      </c>
      <c r="B3595" s="346" t="s">
        <v>7257</v>
      </c>
      <c r="C3595" s="346" t="s">
        <v>7258</v>
      </c>
    </row>
    <row r="3596" spans="1:3">
      <c r="A3596" s="347">
        <v>46090</v>
      </c>
      <c r="B3596" s="346" t="s">
        <v>7259</v>
      </c>
      <c r="C3596" s="346" t="s">
        <v>7260</v>
      </c>
    </row>
    <row r="3597" spans="1:3">
      <c r="A3597" s="347">
        <v>46090</v>
      </c>
      <c r="B3597" s="346" t="s">
        <v>7261</v>
      </c>
      <c r="C3597" s="346" t="s">
        <v>7262</v>
      </c>
    </row>
    <row r="3598" spans="1:3">
      <c r="A3598" s="347">
        <v>46090</v>
      </c>
      <c r="B3598" s="346" t="s">
        <v>7263</v>
      </c>
      <c r="C3598" s="346" t="s">
        <v>7264</v>
      </c>
    </row>
    <row r="3599" spans="1:3">
      <c r="A3599" s="347">
        <v>46090</v>
      </c>
      <c r="B3599" s="346" t="s">
        <v>10814</v>
      </c>
      <c r="C3599" s="346" t="s">
        <v>10815</v>
      </c>
    </row>
    <row r="3600" spans="1:3">
      <c r="A3600" s="347">
        <v>46090</v>
      </c>
      <c r="B3600" s="346" t="s">
        <v>7265</v>
      </c>
      <c r="C3600" s="346" t="s">
        <v>7266</v>
      </c>
    </row>
    <row r="3601" spans="1:3">
      <c r="A3601" s="347">
        <v>46090</v>
      </c>
      <c r="B3601" s="346" t="s">
        <v>7267</v>
      </c>
      <c r="C3601" s="346" t="s">
        <v>7268</v>
      </c>
    </row>
    <row r="3602" spans="1:3">
      <c r="A3602" s="347">
        <v>46090</v>
      </c>
      <c r="B3602" s="346" t="s">
        <v>7269</v>
      </c>
      <c r="C3602" s="346" t="s">
        <v>11117</v>
      </c>
    </row>
    <row r="3603" spans="1:3">
      <c r="A3603" s="347">
        <v>46090</v>
      </c>
      <c r="B3603" s="346" t="s">
        <v>7270</v>
      </c>
      <c r="C3603" s="346" t="s">
        <v>7271</v>
      </c>
    </row>
    <row r="3604" spans="1:3">
      <c r="A3604" s="347">
        <v>46090</v>
      </c>
      <c r="B3604" s="346" t="s">
        <v>7272</v>
      </c>
      <c r="C3604" s="346" t="s">
        <v>7273</v>
      </c>
    </row>
    <row r="3605" spans="1:3">
      <c r="A3605" s="347">
        <v>46090</v>
      </c>
      <c r="B3605" s="346" t="s">
        <v>7274</v>
      </c>
      <c r="C3605" s="346" t="s">
        <v>7275</v>
      </c>
    </row>
    <row r="3606" spans="1:3">
      <c r="A3606" s="347">
        <v>46090</v>
      </c>
      <c r="B3606" s="346" t="s">
        <v>7276</v>
      </c>
      <c r="C3606" s="346" t="s">
        <v>7277</v>
      </c>
    </row>
    <row r="3607" spans="1:3">
      <c r="A3607" s="347">
        <v>46090</v>
      </c>
      <c r="B3607" s="346" t="s">
        <v>7278</v>
      </c>
      <c r="C3607" s="346" t="s">
        <v>7279</v>
      </c>
    </row>
    <row r="3608" spans="1:3">
      <c r="A3608" s="347">
        <v>46090</v>
      </c>
      <c r="B3608" s="346" t="s">
        <v>7280</v>
      </c>
      <c r="C3608" s="346" t="s">
        <v>7281</v>
      </c>
    </row>
    <row r="3609" spans="1:3">
      <c r="A3609" s="347">
        <v>46090</v>
      </c>
      <c r="B3609" s="346" t="s">
        <v>7282</v>
      </c>
      <c r="C3609" s="346" t="s">
        <v>7283</v>
      </c>
    </row>
    <row r="3610" spans="1:3">
      <c r="A3610" s="347">
        <v>46090</v>
      </c>
      <c r="B3610" s="346" t="s">
        <v>7284</v>
      </c>
      <c r="C3610" s="346" t="s">
        <v>7285</v>
      </c>
    </row>
    <row r="3611" spans="1:3">
      <c r="A3611" s="347">
        <v>46090</v>
      </c>
      <c r="B3611" s="346" t="s">
        <v>7286</v>
      </c>
      <c r="C3611" s="346" t="s">
        <v>7287</v>
      </c>
    </row>
    <row r="3612" spans="1:3">
      <c r="A3612" s="347">
        <v>46090</v>
      </c>
      <c r="B3612" s="346" t="s">
        <v>7288</v>
      </c>
      <c r="C3612" s="346" t="s">
        <v>7289</v>
      </c>
    </row>
    <row r="3613" spans="1:3">
      <c r="A3613" s="347">
        <v>46090</v>
      </c>
      <c r="B3613" s="346" t="s">
        <v>7290</v>
      </c>
      <c r="C3613" s="346" t="s">
        <v>7291</v>
      </c>
    </row>
    <row r="3614" spans="1:3">
      <c r="A3614" s="347">
        <v>46090</v>
      </c>
      <c r="B3614" s="346" t="s">
        <v>7292</v>
      </c>
      <c r="C3614" s="346" t="s">
        <v>7293</v>
      </c>
    </row>
    <row r="3615" spans="1:3">
      <c r="A3615" s="347">
        <v>46090</v>
      </c>
      <c r="B3615" s="346" t="s">
        <v>7294</v>
      </c>
      <c r="C3615" s="346" t="s">
        <v>7295</v>
      </c>
    </row>
    <row r="3616" spans="1:3">
      <c r="A3616" s="347">
        <v>46090</v>
      </c>
      <c r="B3616" s="346" t="s">
        <v>7296</v>
      </c>
      <c r="C3616" s="346" t="s">
        <v>7297</v>
      </c>
    </row>
    <row r="3617" spans="1:3">
      <c r="A3617" s="347">
        <v>46090</v>
      </c>
      <c r="B3617" s="346" t="s">
        <v>7298</v>
      </c>
      <c r="C3617" s="346" t="s">
        <v>7299</v>
      </c>
    </row>
    <row r="3618" spans="1:3">
      <c r="A3618" s="347">
        <v>46090</v>
      </c>
      <c r="B3618" s="346" t="s">
        <v>7300</v>
      </c>
      <c r="C3618" s="346" t="s">
        <v>7301</v>
      </c>
    </row>
    <row r="3619" spans="1:3">
      <c r="A3619" s="347">
        <v>46090</v>
      </c>
      <c r="B3619" s="346" t="s">
        <v>7302</v>
      </c>
      <c r="C3619" s="346" t="s">
        <v>7303</v>
      </c>
    </row>
    <row r="3620" spans="1:3">
      <c r="A3620" s="347">
        <v>46090</v>
      </c>
      <c r="B3620" s="346" t="s">
        <v>7304</v>
      </c>
      <c r="C3620" s="346" t="s">
        <v>7305</v>
      </c>
    </row>
    <row r="3621" spans="1:3">
      <c r="A3621" s="347">
        <v>46090</v>
      </c>
      <c r="B3621" s="346" t="s">
        <v>7306</v>
      </c>
      <c r="C3621" s="346" t="s">
        <v>7307</v>
      </c>
    </row>
    <row r="3622" spans="1:3">
      <c r="A3622" s="347">
        <v>46090</v>
      </c>
      <c r="B3622" s="346" t="s">
        <v>7308</v>
      </c>
      <c r="C3622" s="346" t="s">
        <v>7309</v>
      </c>
    </row>
    <row r="3623" spans="1:3">
      <c r="A3623" s="347">
        <v>46090</v>
      </c>
      <c r="B3623" s="346" t="s">
        <v>7310</v>
      </c>
      <c r="C3623" s="346" t="s">
        <v>7311</v>
      </c>
    </row>
    <row r="3624" spans="1:3">
      <c r="A3624" s="347">
        <v>46090</v>
      </c>
      <c r="B3624" s="346" t="s">
        <v>7312</v>
      </c>
      <c r="C3624" s="346" t="s">
        <v>7313</v>
      </c>
    </row>
    <row r="3625" spans="1:3">
      <c r="A3625" s="347">
        <v>46090</v>
      </c>
      <c r="B3625" s="346" t="s">
        <v>7314</v>
      </c>
      <c r="C3625" s="346" t="s">
        <v>7315</v>
      </c>
    </row>
    <row r="3626" spans="1:3">
      <c r="A3626" s="347">
        <v>46090</v>
      </c>
      <c r="B3626" s="346" t="s">
        <v>7316</v>
      </c>
      <c r="C3626" s="346" t="s">
        <v>7317</v>
      </c>
    </row>
    <row r="3627" spans="1:3">
      <c r="A3627" s="347">
        <v>46090</v>
      </c>
      <c r="B3627" s="346" t="s">
        <v>7318</v>
      </c>
      <c r="C3627" s="346" t="s">
        <v>10816</v>
      </c>
    </row>
    <row r="3628" spans="1:3">
      <c r="A3628" s="347">
        <v>46090</v>
      </c>
      <c r="B3628" s="346" t="s">
        <v>7319</v>
      </c>
      <c r="C3628" s="346" t="s">
        <v>7320</v>
      </c>
    </row>
    <row r="3629" spans="1:3">
      <c r="A3629" s="347">
        <v>46090</v>
      </c>
      <c r="B3629" s="346" t="s">
        <v>7321</v>
      </c>
      <c r="C3629" s="346" t="s">
        <v>7322</v>
      </c>
    </row>
    <row r="3630" spans="1:3">
      <c r="A3630" s="347">
        <v>46090</v>
      </c>
      <c r="B3630" s="346" t="s">
        <v>7323</v>
      </c>
      <c r="C3630" s="346" t="s">
        <v>7324</v>
      </c>
    </row>
    <row r="3631" spans="1:3">
      <c r="A3631" s="347">
        <v>46090</v>
      </c>
      <c r="B3631" s="346" t="s">
        <v>7325</v>
      </c>
      <c r="C3631" s="346" t="s">
        <v>7326</v>
      </c>
    </row>
    <row r="3632" spans="1:3">
      <c r="A3632" s="347">
        <v>46090</v>
      </c>
      <c r="B3632" s="346" t="s">
        <v>7327</v>
      </c>
      <c r="C3632" s="346" t="s">
        <v>7328</v>
      </c>
    </row>
    <row r="3633" spans="1:3">
      <c r="A3633" s="347">
        <v>46090</v>
      </c>
      <c r="B3633" s="346" t="s">
        <v>7329</v>
      </c>
      <c r="C3633" s="346" t="s">
        <v>7330</v>
      </c>
    </row>
    <row r="3634" spans="1:3">
      <c r="A3634" s="347">
        <v>46090</v>
      </c>
      <c r="B3634" s="346" t="s">
        <v>7331</v>
      </c>
      <c r="C3634" s="346" t="s">
        <v>7332</v>
      </c>
    </row>
    <row r="3635" spans="1:3">
      <c r="A3635" s="347">
        <v>46090</v>
      </c>
      <c r="B3635" s="346" t="s">
        <v>7333</v>
      </c>
      <c r="C3635" s="346" t="s">
        <v>7334</v>
      </c>
    </row>
    <row r="3636" spans="1:3">
      <c r="A3636" s="347">
        <v>46090</v>
      </c>
      <c r="B3636" s="346" t="s">
        <v>7335</v>
      </c>
      <c r="C3636" s="346" t="s">
        <v>7336</v>
      </c>
    </row>
    <row r="3637" spans="1:3">
      <c r="A3637" s="347">
        <v>46090</v>
      </c>
      <c r="B3637" s="346" t="s">
        <v>7337</v>
      </c>
      <c r="C3637" s="346" t="s">
        <v>7338</v>
      </c>
    </row>
    <row r="3638" spans="1:3">
      <c r="A3638" s="347">
        <v>46090</v>
      </c>
      <c r="B3638" s="346" t="s">
        <v>7339</v>
      </c>
      <c r="C3638" s="346" t="s">
        <v>7340</v>
      </c>
    </row>
    <row r="3639" spans="1:3">
      <c r="A3639" s="347">
        <v>46090</v>
      </c>
      <c r="B3639" s="346" t="s">
        <v>7341</v>
      </c>
      <c r="C3639" s="346" t="s">
        <v>7342</v>
      </c>
    </row>
    <row r="3640" spans="1:3">
      <c r="A3640" s="347">
        <v>46090</v>
      </c>
      <c r="B3640" s="346" t="s">
        <v>7343</v>
      </c>
      <c r="C3640" s="346" t="s">
        <v>7344</v>
      </c>
    </row>
    <row r="3641" spans="1:3">
      <c r="A3641" s="347">
        <v>46090</v>
      </c>
      <c r="B3641" s="346" t="s">
        <v>7345</v>
      </c>
      <c r="C3641" s="346" t="s">
        <v>7346</v>
      </c>
    </row>
    <row r="3642" spans="1:3">
      <c r="A3642" s="347">
        <v>46090</v>
      </c>
      <c r="B3642" s="346" t="s">
        <v>7347</v>
      </c>
      <c r="C3642" s="346" t="s">
        <v>7348</v>
      </c>
    </row>
    <row r="3643" spans="1:3">
      <c r="A3643" s="347">
        <v>46090</v>
      </c>
      <c r="B3643" s="346" t="s">
        <v>7349</v>
      </c>
      <c r="C3643" s="346" t="s">
        <v>7350</v>
      </c>
    </row>
    <row r="3644" spans="1:3">
      <c r="A3644" s="347">
        <v>46090</v>
      </c>
      <c r="B3644" s="346" t="s">
        <v>7351</v>
      </c>
      <c r="C3644" s="346" t="s">
        <v>7352</v>
      </c>
    </row>
    <row r="3645" spans="1:3">
      <c r="A3645" s="347">
        <v>46090</v>
      </c>
      <c r="B3645" s="346" t="s">
        <v>7353</v>
      </c>
      <c r="C3645" s="346" t="s">
        <v>7354</v>
      </c>
    </row>
    <row r="3646" spans="1:3">
      <c r="A3646" s="347">
        <v>46090</v>
      </c>
      <c r="B3646" s="346" t="s">
        <v>7355</v>
      </c>
      <c r="C3646" s="346" t="s">
        <v>7356</v>
      </c>
    </row>
    <row r="3647" spans="1:3">
      <c r="A3647" s="347">
        <v>46090</v>
      </c>
      <c r="B3647" s="346" t="s">
        <v>7357</v>
      </c>
      <c r="C3647" s="346" t="s">
        <v>7358</v>
      </c>
    </row>
    <row r="3648" spans="1:3">
      <c r="A3648" s="347">
        <v>46090</v>
      </c>
      <c r="B3648" s="346" t="s">
        <v>7359</v>
      </c>
      <c r="C3648" s="346" t="s">
        <v>7360</v>
      </c>
    </row>
    <row r="3649" spans="1:3">
      <c r="A3649" s="347">
        <v>46090</v>
      </c>
      <c r="B3649" s="346" t="s">
        <v>7361</v>
      </c>
      <c r="C3649" s="346" t="s">
        <v>7362</v>
      </c>
    </row>
    <row r="3650" spans="1:3">
      <c r="A3650" s="347">
        <v>46090</v>
      </c>
      <c r="B3650" s="346" t="s">
        <v>7363</v>
      </c>
      <c r="C3650" s="346" t="s">
        <v>7364</v>
      </c>
    </row>
    <row r="3651" spans="1:3">
      <c r="A3651" s="347">
        <v>46090</v>
      </c>
      <c r="B3651" s="346" t="s">
        <v>7365</v>
      </c>
      <c r="C3651" s="346" t="s">
        <v>7366</v>
      </c>
    </row>
    <row r="3652" spans="1:3">
      <c r="A3652" s="347">
        <v>46090</v>
      </c>
      <c r="B3652" s="346" t="s">
        <v>7367</v>
      </c>
      <c r="C3652" s="346" t="s">
        <v>7368</v>
      </c>
    </row>
    <row r="3653" spans="1:3">
      <c r="A3653" s="347">
        <v>46090</v>
      </c>
      <c r="B3653" s="346" t="s">
        <v>7369</v>
      </c>
      <c r="C3653" s="346" t="s">
        <v>7370</v>
      </c>
    </row>
    <row r="3654" spans="1:3">
      <c r="A3654" s="347">
        <v>46090</v>
      </c>
      <c r="B3654" s="346" t="s">
        <v>7371</v>
      </c>
      <c r="C3654" s="346" t="s">
        <v>7372</v>
      </c>
    </row>
    <row r="3655" spans="1:3">
      <c r="A3655" s="347">
        <v>46090</v>
      </c>
      <c r="B3655" s="346" t="s">
        <v>7373</v>
      </c>
      <c r="C3655" s="346" t="s">
        <v>7374</v>
      </c>
    </row>
    <row r="3656" spans="1:3">
      <c r="A3656" s="347">
        <v>46090</v>
      </c>
      <c r="B3656" s="346" t="s">
        <v>7375</v>
      </c>
      <c r="C3656" s="346" t="s">
        <v>7376</v>
      </c>
    </row>
    <row r="3657" spans="1:3">
      <c r="A3657" s="347">
        <v>46090</v>
      </c>
      <c r="B3657" s="346" t="s">
        <v>7377</v>
      </c>
      <c r="C3657" s="346" t="s">
        <v>7378</v>
      </c>
    </row>
    <row r="3658" spans="1:3">
      <c r="A3658" s="347">
        <v>46090</v>
      </c>
      <c r="B3658" s="346" t="s">
        <v>7379</v>
      </c>
      <c r="C3658" s="346" t="s">
        <v>7380</v>
      </c>
    </row>
    <row r="3659" spans="1:3">
      <c r="A3659" s="347">
        <v>46090</v>
      </c>
      <c r="B3659" s="346" t="s">
        <v>7381</v>
      </c>
      <c r="C3659" s="346" t="s">
        <v>7382</v>
      </c>
    </row>
    <row r="3660" spans="1:3">
      <c r="A3660" s="347">
        <v>46090</v>
      </c>
      <c r="B3660" s="346" t="s">
        <v>7383</v>
      </c>
      <c r="C3660" s="346" t="s">
        <v>7384</v>
      </c>
    </row>
    <row r="3661" spans="1:3">
      <c r="A3661" s="347">
        <v>46090</v>
      </c>
      <c r="B3661" s="346" t="s">
        <v>7385</v>
      </c>
      <c r="C3661" s="346" t="s">
        <v>7386</v>
      </c>
    </row>
    <row r="3662" spans="1:3">
      <c r="A3662" s="347">
        <v>46090</v>
      </c>
      <c r="B3662" s="346" t="s">
        <v>7387</v>
      </c>
      <c r="C3662" s="346" t="s">
        <v>7388</v>
      </c>
    </row>
    <row r="3663" spans="1:3">
      <c r="A3663" s="347">
        <v>46090</v>
      </c>
      <c r="B3663" s="346" t="s">
        <v>11118</v>
      </c>
      <c r="C3663" s="346" t="s">
        <v>11119</v>
      </c>
    </row>
    <row r="3664" spans="1:3">
      <c r="A3664" s="347">
        <v>46090</v>
      </c>
      <c r="B3664" s="346" t="s">
        <v>7389</v>
      </c>
      <c r="C3664" s="346" t="s">
        <v>7390</v>
      </c>
    </row>
    <row r="3665" spans="1:3">
      <c r="A3665" s="347">
        <v>46090</v>
      </c>
      <c r="B3665" s="346" t="s">
        <v>7391</v>
      </c>
      <c r="C3665" s="346" t="s">
        <v>7392</v>
      </c>
    </row>
    <row r="3666" spans="1:3">
      <c r="A3666" s="347">
        <v>46090</v>
      </c>
      <c r="B3666" s="346" t="s">
        <v>7393</v>
      </c>
      <c r="C3666" s="346" t="s">
        <v>7394</v>
      </c>
    </row>
    <row r="3667" spans="1:3">
      <c r="A3667" s="347">
        <v>46090</v>
      </c>
      <c r="B3667" s="346" t="s">
        <v>7395</v>
      </c>
      <c r="C3667" s="346" t="s">
        <v>7396</v>
      </c>
    </row>
    <row r="3668" spans="1:3">
      <c r="A3668" s="347">
        <v>46090</v>
      </c>
      <c r="B3668" s="346" t="s">
        <v>7397</v>
      </c>
      <c r="C3668" s="346" t="s">
        <v>7398</v>
      </c>
    </row>
    <row r="3669" spans="1:3">
      <c r="A3669" s="347">
        <v>46090</v>
      </c>
      <c r="B3669" s="346" t="s">
        <v>7399</v>
      </c>
      <c r="C3669" s="346" t="s">
        <v>7400</v>
      </c>
    </row>
    <row r="3670" spans="1:3">
      <c r="A3670" s="347">
        <v>46090</v>
      </c>
      <c r="B3670" s="346" t="s">
        <v>7401</v>
      </c>
      <c r="C3670" s="346" t="s">
        <v>7402</v>
      </c>
    </row>
    <row r="3671" spans="1:3">
      <c r="A3671" s="347">
        <v>46090</v>
      </c>
      <c r="B3671" s="346" t="s">
        <v>7403</v>
      </c>
      <c r="C3671" s="346" t="s">
        <v>7404</v>
      </c>
    </row>
    <row r="3672" spans="1:3">
      <c r="A3672" s="347">
        <v>46090</v>
      </c>
      <c r="B3672" s="346" t="s">
        <v>7405</v>
      </c>
      <c r="C3672" s="346" t="s">
        <v>7406</v>
      </c>
    </row>
    <row r="3673" spans="1:3">
      <c r="A3673" s="347">
        <v>46090</v>
      </c>
      <c r="B3673" s="346" t="s">
        <v>7407</v>
      </c>
      <c r="C3673" s="346" t="s">
        <v>7408</v>
      </c>
    </row>
    <row r="3674" spans="1:3">
      <c r="A3674" s="347">
        <v>46090</v>
      </c>
      <c r="B3674" s="346" t="s">
        <v>7409</v>
      </c>
      <c r="C3674" s="346" t="s">
        <v>7410</v>
      </c>
    </row>
    <row r="3675" spans="1:3">
      <c r="A3675" s="347">
        <v>46090</v>
      </c>
      <c r="B3675" s="346" t="s">
        <v>7411</v>
      </c>
      <c r="C3675" s="346" t="s">
        <v>7412</v>
      </c>
    </row>
    <row r="3676" spans="1:3">
      <c r="A3676" s="347">
        <v>46090</v>
      </c>
      <c r="B3676" s="346" t="s">
        <v>7413</v>
      </c>
      <c r="C3676" s="346" t="s">
        <v>7414</v>
      </c>
    </row>
    <row r="3677" spans="1:3">
      <c r="A3677" s="347">
        <v>46090</v>
      </c>
      <c r="B3677" s="346" t="s">
        <v>7415</v>
      </c>
      <c r="C3677" s="346" t="s">
        <v>7416</v>
      </c>
    </row>
    <row r="3678" spans="1:3">
      <c r="A3678" s="347">
        <v>46090</v>
      </c>
      <c r="B3678" s="346" t="s">
        <v>7417</v>
      </c>
      <c r="C3678" s="346" t="s">
        <v>7418</v>
      </c>
    </row>
    <row r="3679" spans="1:3">
      <c r="A3679" s="347">
        <v>46090</v>
      </c>
      <c r="B3679" s="346" t="s">
        <v>7419</v>
      </c>
      <c r="C3679" s="346" t="s">
        <v>7420</v>
      </c>
    </row>
    <row r="3680" spans="1:3">
      <c r="A3680" s="347">
        <v>46090</v>
      </c>
      <c r="B3680" s="346" t="s">
        <v>7421</v>
      </c>
      <c r="C3680" s="346" t="s">
        <v>7422</v>
      </c>
    </row>
    <row r="3681" spans="1:3">
      <c r="A3681" s="347">
        <v>46090</v>
      </c>
      <c r="B3681" s="346" t="s">
        <v>7423</v>
      </c>
      <c r="C3681" s="346" t="s">
        <v>7424</v>
      </c>
    </row>
    <row r="3682" spans="1:3">
      <c r="A3682" s="347">
        <v>46090</v>
      </c>
      <c r="B3682" s="346" t="s">
        <v>7425</v>
      </c>
      <c r="C3682" s="346" t="s">
        <v>7426</v>
      </c>
    </row>
    <row r="3683" spans="1:3">
      <c r="A3683" s="347">
        <v>46090</v>
      </c>
      <c r="B3683" s="346" t="s">
        <v>7427</v>
      </c>
      <c r="C3683" s="346" t="s">
        <v>7428</v>
      </c>
    </row>
    <row r="3684" spans="1:3">
      <c r="A3684" s="347">
        <v>46090</v>
      </c>
      <c r="B3684" s="346" t="s">
        <v>7429</v>
      </c>
      <c r="C3684" s="346" t="s">
        <v>7430</v>
      </c>
    </row>
    <row r="3685" spans="1:3">
      <c r="A3685" s="347">
        <v>46090</v>
      </c>
      <c r="B3685" s="346" t="s">
        <v>7431</v>
      </c>
      <c r="C3685" s="346" t="s">
        <v>7432</v>
      </c>
    </row>
    <row r="3686" spans="1:3">
      <c r="A3686" s="347">
        <v>46090</v>
      </c>
      <c r="B3686" s="346" t="s">
        <v>7433</v>
      </c>
      <c r="C3686" s="346" t="s">
        <v>7434</v>
      </c>
    </row>
    <row r="3687" spans="1:3">
      <c r="A3687" s="347">
        <v>46090</v>
      </c>
      <c r="B3687" s="346" t="s">
        <v>11120</v>
      </c>
      <c r="C3687" s="346" t="s">
        <v>11121</v>
      </c>
    </row>
    <row r="3688" spans="1:3">
      <c r="A3688" s="347">
        <v>46090</v>
      </c>
      <c r="B3688" s="346" t="s">
        <v>7435</v>
      </c>
      <c r="C3688" s="346" t="s">
        <v>7436</v>
      </c>
    </row>
    <row r="3689" spans="1:3">
      <c r="A3689" s="347">
        <v>46090</v>
      </c>
      <c r="B3689" s="346" t="s">
        <v>7437</v>
      </c>
      <c r="C3689" s="346" t="s">
        <v>7438</v>
      </c>
    </row>
    <row r="3690" spans="1:3">
      <c r="A3690" s="347">
        <v>46090</v>
      </c>
      <c r="B3690" s="346" t="s">
        <v>7439</v>
      </c>
      <c r="C3690" s="346" t="s">
        <v>7440</v>
      </c>
    </row>
    <row r="3691" spans="1:3">
      <c r="A3691" s="347">
        <v>46090</v>
      </c>
      <c r="B3691" s="346" t="s">
        <v>7441</v>
      </c>
      <c r="C3691" s="346" t="s">
        <v>7442</v>
      </c>
    </row>
    <row r="3692" spans="1:3">
      <c r="A3692" s="347">
        <v>46090</v>
      </c>
      <c r="B3692" s="346" t="s">
        <v>7443</v>
      </c>
      <c r="C3692" s="346" t="s">
        <v>7444</v>
      </c>
    </row>
    <row r="3693" spans="1:3">
      <c r="A3693" s="347">
        <v>46090</v>
      </c>
      <c r="B3693" s="346" t="s">
        <v>7445</v>
      </c>
      <c r="C3693" s="346" t="s">
        <v>7446</v>
      </c>
    </row>
    <row r="3694" spans="1:3">
      <c r="A3694" s="347">
        <v>46090</v>
      </c>
      <c r="B3694" s="346" t="s">
        <v>7447</v>
      </c>
      <c r="C3694" s="346" t="s">
        <v>7448</v>
      </c>
    </row>
    <row r="3695" spans="1:3">
      <c r="A3695" s="347">
        <v>46090</v>
      </c>
      <c r="B3695" s="346" t="s">
        <v>7449</v>
      </c>
      <c r="C3695" s="346" t="s">
        <v>7450</v>
      </c>
    </row>
    <row r="3696" spans="1:3">
      <c r="A3696" s="347">
        <v>46090</v>
      </c>
      <c r="B3696" s="346" t="s">
        <v>7451</v>
      </c>
      <c r="C3696" s="346" t="s">
        <v>7452</v>
      </c>
    </row>
    <row r="3697" spans="1:3">
      <c r="A3697" s="347">
        <v>46090</v>
      </c>
      <c r="B3697" s="346" t="s">
        <v>7453</v>
      </c>
      <c r="C3697" s="346" t="s">
        <v>7454</v>
      </c>
    </row>
    <row r="3698" spans="1:3">
      <c r="A3698" s="347">
        <v>46090</v>
      </c>
      <c r="B3698" s="346" t="s">
        <v>7455</v>
      </c>
      <c r="C3698" s="346" t="s">
        <v>7456</v>
      </c>
    </row>
    <row r="3699" spans="1:3">
      <c r="A3699" s="347">
        <v>46090</v>
      </c>
      <c r="B3699" s="346" t="s">
        <v>7457</v>
      </c>
      <c r="C3699" s="346" t="s">
        <v>7458</v>
      </c>
    </row>
    <row r="3700" spans="1:3">
      <c r="A3700" s="347">
        <v>46090</v>
      </c>
      <c r="B3700" s="346" t="s">
        <v>7459</v>
      </c>
      <c r="C3700" s="346" t="s">
        <v>7460</v>
      </c>
    </row>
    <row r="3701" spans="1:3">
      <c r="A3701" s="347">
        <v>46090</v>
      </c>
      <c r="B3701" s="346" t="s">
        <v>7461</v>
      </c>
      <c r="C3701" s="346" t="s">
        <v>7462</v>
      </c>
    </row>
    <row r="3702" spans="1:3">
      <c r="A3702" s="347">
        <v>46090</v>
      </c>
      <c r="B3702" s="346" t="s">
        <v>7463</v>
      </c>
      <c r="C3702" s="346" t="s">
        <v>7464</v>
      </c>
    </row>
    <row r="3703" spans="1:3">
      <c r="A3703" s="347">
        <v>46090</v>
      </c>
      <c r="B3703" s="346" t="s">
        <v>7465</v>
      </c>
      <c r="C3703" s="346" t="s">
        <v>7466</v>
      </c>
    </row>
    <row r="3704" spans="1:3">
      <c r="A3704" s="347">
        <v>46090</v>
      </c>
      <c r="B3704" s="346" t="s">
        <v>7467</v>
      </c>
      <c r="C3704" s="346" t="s">
        <v>7468</v>
      </c>
    </row>
    <row r="3705" spans="1:3">
      <c r="A3705" s="347">
        <v>46090</v>
      </c>
      <c r="B3705" s="346" t="s">
        <v>7469</v>
      </c>
      <c r="C3705" s="346" t="s">
        <v>7470</v>
      </c>
    </row>
    <row r="3706" spans="1:3">
      <c r="A3706" s="347">
        <v>46090</v>
      </c>
      <c r="B3706" s="346" t="s">
        <v>7471</v>
      </c>
      <c r="C3706" s="346" t="s">
        <v>7472</v>
      </c>
    </row>
    <row r="3707" spans="1:3">
      <c r="A3707" s="347">
        <v>46090</v>
      </c>
      <c r="B3707" s="346" t="s">
        <v>7473</v>
      </c>
      <c r="C3707" s="346" t="s">
        <v>7474</v>
      </c>
    </row>
    <row r="3708" spans="1:3">
      <c r="A3708" s="347">
        <v>46090</v>
      </c>
      <c r="B3708" s="346" t="s">
        <v>7475</v>
      </c>
      <c r="C3708" s="346" t="s">
        <v>7476</v>
      </c>
    </row>
    <row r="3709" spans="1:3">
      <c r="A3709" s="347">
        <v>46090</v>
      </c>
      <c r="B3709" s="346" t="s">
        <v>7477</v>
      </c>
      <c r="C3709" s="346" t="s">
        <v>7478</v>
      </c>
    </row>
    <row r="3710" spans="1:3">
      <c r="A3710" s="347">
        <v>46090</v>
      </c>
      <c r="B3710" s="346" t="s">
        <v>7479</v>
      </c>
      <c r="C3710" s="346" t="s">
        <v>7480</v>
      </c>
    </row>
    <row r="3711" spans="1:3">
      <c r="A3711" s="347">
        <v>46090</v>
      </c>
      <c r="B3711" s="346" t="s">
        <v>7481</v>
      </c>
      <c r="C3711" s="346" t="s">
        <v>7482</v>
      </c>
    </row>
    <row r="3712" spans="1:3">
      <c r="A3712" s="347">
        <v>46090</v>
      </c>
      <c r="B3712" s="346" t="s">
        <v>7483</v>
      </c>
      <c r="C3712" s="346" t="s">
        <v>7484</v>
      </c>
    </row>
    <row r="3713" spans="1:3">
      <c r="A3713" s="347">
        <v>46090</v>
      </c>
      <c r="B3713" s="346" t="s">
        <v>7485</v>
      </c>
      <c r="C3713" s="346" t="s">
        <v>7486</v>
      </c>
    </row>
    <row r="3714" spans="1:3">
      <c r="A3714" s="347">
        <v>46090</v>
      </c>
      <c r="B3714" s="346" t="s">
        <v>7487</v>
      </c>
      <c r="C3714" s="346" t="s">
        <v>7488</v>
      </c>
    </row>
    <row r="3715" spans="1:3">
      <c r="A3715" s="347">
        <v>46090</v>
      </c>
      <c r="B3715" s="346" t="s">
        <v>7489</v>
      </c>
      <c r="C3715" s="346" t="s">
        <v>7490</v>
      </c>
    </row>
    <row r="3716" spans="1:3">
      <c r="A3716" s="347">
        <v>46090</v>
      </c>
      <c r="B3716" s="346" t="s">
        <v>7491</v>
      </c>
      <c r="C3716" s="346" t="s">
        <v>7492</v>
      </c>
    </row>
    <row r="3717" spans="1:3">
      <c r="A3717" s="347">
        <v>46090</v>
      </c>
      <c r="B3717" s="346" t="s">
        <v>7493</v>
      </c>
      <c r="C3717" s="346" t="s">
        <v>7494</v>
      </c>
    </row>
    <row r="3718" spans="1:3">
      <c r="A3718" s="347">
        <v>46090</v>
      </c>
      <c r="B3718" s="346" t="s">
        <v>7495</v>
      </c>
      <c r="C3718" s="346" t="s">
        <v>10817</v>
      </c>
    </row>
    <row r="3719" spans="1:3">
      <c r="A3719" s="347">
        <v>46090</v>
      </c>
      <c r="B3719" s="346" t="s">
        <v>7496</v>
      </c>
      <c r="C3719" s="346" t="s">
        <v>7497</v>
      </c>
    </row>
    <row r="3720" spans="1:3">
      <c r="A3720" s="347">
        <v>46090</v>
      </c>
      <c r="B3720" s="346" t="s">
        <v>7498</v>
      </c>
      <c r="C3720" s="346" t="s">
        <v>7499</v>
      </c>
    </row>
    <row r="3721" spans="1:3">
      <c r="A3721" s="347">
        <v>46090</v>
      </c>
      <c r="B3721" s="346" t="s">
        <v>7500</v>
      </c>
      <c r="C3721" s="346" t="s">
        <v>7501</v>
      </c>
    </row>
    <row r="3722" spans="1:3">
      <c r="A3722" s="347">
        <v>46090</v>
      </c>
      <c r="B3722" s="346" t="s">
        <v>7502</v>
      </c>
      <c r="C3722" s="346" t="s">
        <v>7503</v>
      </c>
    </row>
    <row r="3723" spans="1:3">
      <c r="A3723" s="347">
        <v>46090</v>
      </c>
      <c r="B3723" s="346" t="s">
        <v>7504</v>
      </c>
      <c r="C3723" s="346" t="s">
        <v>7505</v>
      </c>
    </row>
    <row r="3724" spans="1:3">
      <c r="A3724" s="347">
        <v>46090</v>
      </c>
      <c r="B3724" s="346" t="s">
        <v>7506</v>
      </c>
      <c r="C3724" s="346" t="s">
        <v>10818</v>
      </c>
    </row>
    <row r="3725" spans="1:3">
      <c r="A3725" s="347">
        <v>46090</v>
      </c>
      <c r="B3725" s="346" t="s">
        <v>7507</v>
      </c>
      <c r="C3725" s="346" t="s">
        <v>7508</v>
      </c>
    </row>
    <row r="3726" spans="1:3">
      <c r="A3726" s="347">
        <v>46090</v>
      </c>
      <c r="B3726" s="346" t="s">
        <v>7509</v>
      </c>
      <c r="C3726" s="346" t="s">
        <v>7510</v>
      </c>
    </row>
    <row r="3727" spans="1:3">
      <c r="A3727" s="347">
        <v>46090</v>
      </c>
      <c r="B3727" s="346" t="s">
        <v>7511</v>
      </c>
      <c r="C3727" s="346" t="s">
        <v>7512</v>
      </c>
    </row>
    <row r="3728" spans="1:3">
      <c r="A3728" s="347">
        <v>46090</v>
      </c>
      <c r="B3728" s="346" t="s">
        <v>7513</v>
      </c>
      <c r="C3728" s="346" t="s">
        <v>7514</v>
      </c>
    </row>
    <row r="3729" spans="1:3">
      <c r="A3729" s="347">
        <v>46090</v>
      </c>
      <c r="B3729" s="346" t="s">
        <v>7515</v>
      </c>
      <c r="C3729" s="346" t="s">
        <v>7516</v>
      </c>
    </row>
    <row r="3730" spans="1:3">
      <c r="A3730" s="347">
        <v>46090</v>
      </c>
      <c r="B3730" s="346" t="s">
        <v>7517</v>
      </c>
      <c r="C3730" s="346" t="s">
        <v>7518</v>
      </c>
    </row>
    <row r="3731" spans="1:3">
      <c r="A3731" s="347">
        <v>46090</v>
      </c>
      <c r="B3731" s="346" t="s">
        <v>7519</v>
      </c>
      <c r="C3731" s="346" t="s">
        <v>7520</v>
      </c>
    </row>
    <row r="3732" spans="1:3">
      <c r="A3732" s="347">
        <v>46090</v>
      </c>
      <c r="B3732" s="346" t="s">
        <v>7521</v>
      </c>
      <c r="C3732" s="346" t="s">
        <v>7522</v>
      </c>
    </row>
    <row r="3733" spans="1:3">
      <c r="A3733" s="347">
        <v>46090</v>
      </c>
      <c r="B3733" s="346" t="s">
        <v>7523</v>
      </c>
      <c r="C3733" s="346" t="s">
        <v>7524</v>
      </c>
    </row>
    <row r="3734" spans="1:3">
      <c r="A3734" s="347">
        <v>46090</v>
      </c>
      <c r="B3734" s="346" t="s">
        <v>7525</v>
      </c>
      <c r="C3734" s="346" t="s">
        <v>7526</v>
      </c>
    </row>
    <row r="3735" spans="1:3">
      <c r="A3735" s="347">
        <v>46090</v>
      </c>
      <c r="B3735" s="346" t="s">
        <v>7527</v>
      </c>
      <c r="C3735" s="346" t="s">
        <v>7528</v>
      </c>
    </row>
    <row r="3736" spans="1:3">
      <c r="A3736" s="347">
        <v>46090</v>
      </c>
      <c r="B3736" s="346" t="s">
        <v>7529</v>
      </c>
      <c r="C3736" s="346" t="s">
        <v>7530</v>
      </c>
    </row>
    <row r="3737" spans="1:3">
      <c r="A3737" s="347">
        <v>46090</v>
      </c>
      <c r="B3737" s="346" t="s">
        <v>7531</v>
      </c>
      <c r="C3737" s="346" t="s">
        <v>7532</v>
      </c>
    </row>
    <row r="3738" spans="1:3">
      <c r="A3738" s="347">
        <v>46090</v>
      </c>
      <c r="B3738" s="346" t="s">
        <v>7533</v>
      </c>
      <c r="C3738" s="346" t="s">
        <v>7534</v>
      </c>
    </row>
    <row r="3739" spans="1:3">
      <c r="A3739" s="347">
        <v>46090</v>
      </c>
      <c r="B3739" s="346" t="s">
        <v>7535</v>
      </c>
      <c r="C3739" s="346" t="s">
        <v>7536</v>
      </c>
    </row>
    <row r="3740" spans="1:3">
      <c r="A3740" s="347">
        <v>46090</v>
      </c>
      <c r="B3740" s="346" t="s">
        <v>7537</v>
      </c>
      <c r="C3740" s="346" t="s">
        <v>7538</v>
      </c>
    </row>
    <row r="3741" spans="1:3">
      <c r="A3741" s="347">
        <v>46090</v>
      </c>
      <c r="B3741" s="346" t="s">
        <v>7539</v>
      </c>
      <c r="C3741" s="346" t="s">
        <v>7540</v>
      </c>
    </row>
    <row r="3742" spans="1:3">
      <c r="A3742" s="347">
        <v>46090</v>
      </c>
      <c r="B3742" s="346" t="s">
        <v>7541</v>
      </c>
      <c r="C3742" s="346" t="s">
        <v>7542</v>
      </c>
    </row>
    <row r="3743" spans="1:3">
      <c r="A3743" s="347">
        <v>46090</v>
      </c>
      <c r="B3743" s="346" t="s">
        <v>7543</v>
      </c>
      <c r="C3743" s="346" t="s">
        <v>7544</v>
      </c>
    </row>
    <row r="3744" spans="1:3">
      <c r="A3744" s="347">
        <v>46090</v>
      </c>
      <c r="B3744" s="346" t="s">
        <v>7545</v>
      </c>
      <c r="C3744" s="346" t="s">
        <v>7546</v>
      </c>
    </row>
    <row r="3745" spans="1:3">
      <c r="A3745" s="347">
        <v>46090</v>
      </c>
      <c r="B3745" s="346" t="s">
        <v>7547</v>
      </c>
      <c r="C3745" s="346" t="s">
        <v>7548</v>
      </c>
    </row>
    <row r="3746" spans="1:3">
      <c r="A3746" s="347">
        <v>46090</v>
      </c>
      <c r="B3746" s="346" t="s">
        <v>7549</v>
      </c>
      <c r="C3746" s="346" t="s">
        <v>7550</v>
      </c>
    </row>
    <row r="3747" spans="1:3">
      <c r="A3747" s="347">
        <v>46090</v>
      </c>
      <c r="B3747" s="346" t="s">
        <v>7551</v>
      </c>
      <c r="C3747" s="346" t="s">
        <v>7552</v>
      </c>
    </row>
    <row r="3748" spans="1:3">
      <c r="A3748" s="347">
        <v>46090</v>
      </c>
      <c r="B3748" s="346" t="s">
        <v>7553</v>
      </c>
      <c r="C3748" s="346" t="s">
        <v>7554</v>
      </c>
    </row>
    <row r="3749" spans="1:3">
      <c r="A3749" s="347">
        <v>46090</v>
      </c>
      <c r="B3749" s="346" t="s">
        <v>7555</v>
      </c>
      <c r="C3749" s="346" t="s">
        <v>7556</v>
      </c>
    </row>
    <row r="3750" spans="1:3">
      <c r="A3750" s="347">
        <v>46090</v>
      </c>
      <c r="B3750" s="346" t="s">
        <v>7557</v>
      </c>
      <c r="C3750" s="346" t="s">
        <v>7558</v>
      </c>
    </row>
    <row r="3751" spans="1:3">
      <c r="A3751" s="347">
        <v>46090</v>
      </c>
      <c r="B3751" s="346" t="s">
        <v>7559</v>
      </c>
      <c r="C3751" s="346" t="s">
        <v>7560</v>
      </c>
    </row>
    <row r="3752" spans="1:3">
      <c r="A3752" s="347">
        <v>46090</v>
      </c>
      <c r="B3752" s="346" t="s">
        <v>7561</v>
      </c>
      <c r="C3752" s="346" t="s">
        <v>7562</v>
      </c>
    </row>
    <row r="3753" spans="1:3">
      <c r="A3753" s="347">
        <v>46090</v>
      </c>
      <c r="B3753" s="346" t="s">
        <v>7563</v>
      </c>
      <c r="C3753" s="346" t="s">
        <v>10819</v>
      </c>
    </row>
    <row r="3754" spans="1:3">
      <c r="A3754" s="347">
        <v>46090</v>
      </c>
      <c r="B3754" s="346" t="s">
        <v>7564</v>
      </c>
      <c r="C3754" s="346" t="s">
        <v>7565</v>
      </c>
    </row>
    <row r="3755" spans="1:3">
      <c r="A3755" s="347">
        <v>46090</v>
      </c>
      <c r="B3755" s="346" t="s">
        <v>7566</v>
      </c>
      <c r="C3755" s="346" t="s">
        <v>7567</v>
      </c>
    </row>
    <row r="3756" spans="1:3">
      <c r="A3756" s="347">
        <v>46090</v>
      </c>
      <c r="B3756" s="346" t="s">
        <v>7568</v>
      </c>
      <c r="C3756" s="346" t="s">
        <v>11122</v>
      </c>
    </row>
    <row r="3757" spans="1:3">
      <c r="A3757" s="347">
        <v>46090</v>
      </c>
      <c r="B3757" s="346" t="s">
        <v>7569</v>
      </c>
      <c r="C3757" s="346" t="s">
        <v>7570</v>
      </c>
    </row>
    <row r="3758" spans="1:3">
      <c r="A3758" s="347">
        <v>46090</v>
      </c>
      <c r="B3758" s="346" t="s">
        <v>7571</v>
      </c>
      <c r="C3758" s="346" t="s">
        <v>7572</v>
      </c>
    </row>
    <row r="3759" spans="1:3">
      <c r="A3759" s="347">
        <v>46090</v>
      </c>
      <c r="B3759" s="346" t="s">
        <v>7573</v>
      </c>
      <c r="C3759" s="346" t="s">
        <v>7574</v>
      </c>
    </row>
    <row r="3760" spans="1:3">
      <c r="A3760" s="347">
        <v>46090</v>
      </c>
      <c r="B3760" s="346" t="s">
        <v>7575</v>
      </c>
      <c r="C3760" s="346" t="s">
        <v>7576</v>
      </c>
    </row>
    <row r="3761" spans="1:3">
      <c r="A3761" s="347">
        <v>46090</v>
      </c>
      <c r="B3761" s="346" t="s">
        <v>7577</v>
      </c>
      <c r="C3761" s="346" t="s">
        <v>7578</v>
      </c>
    </row>
    <row r="3762" spans="1:3">
      <c r="A3762" s="347">
        <v>46090</v>
      </c>
      <c r="B3762" s="346" t="s">
        <v>7579</v>
      </c>
      <c r="C3762" s="346" t="s">
        <v>7580</v>
      </c>
    </row>
    <row r="3763" spans="1:3">
      <c r="A3763" s="347">
        <v>46090</v>
      </c>
      <c r="B3763" s="346" t="s">
        <v>7581</v>
      </c>
      <c r="C3763" s="346" t="s">
        <v>7582</v>
      </c>
    </row>
    <row r="3764" spans="1:3">
      <c r="A3764" s="347">
        <v>46090</v>
      </c>
      <c r="B3764" s="346" t="s">
        <v>7583</v>
      </c>
      <c r="C3764" s="346" t="s">
        <v>7584</v>
      </c>
    </row>
    <row r="3765" spans="1:3">
      <c r="A3765" s="347">
        <v>46090</v>
      </c>
      <c r="B3765" s="346" t="s">
        <v>7585</v>
      </c>
      <c r="C3765" s="346" t="s">
        <v>7586</v>
      </c>
    </row>
    <row r="3766" spans="1:3">
      <c r="A3766" s="347">
        <v>46090</v>
      </c>
      <c r="B3766" s="346" t="s">
        <v>7587</v>
      </c>
      <c r="C3766" s="346" t="s">
        <v>7588</v>
      </c>
    </row>
    <row r="3767" spans="1:3">
      <c r="A3767" s="347">
        <v>46090</v>
      </c>
      <c r="B3767" s="346" t="s">
        <v>7589</v>
      </c>
      <c r="C3767" s="346" t="s">
        <v>7590</v>
      </c>
    </row>
    <row r="3768" spans="1:3">
      <c r="A3768" s="347">
        <v>46090</v>
      </c>
      <c r="B3768" s="346" t="s">
        <v>7591</v>
      </c>
      <c r="C3768" s="346" t="s">
        <v>7592</v>
      </c>
    </row>
    <row r="3769" spans="1:3">
      <c r="A3769" s="347">
        <v>46090</v>
      </c>
      <c r="B3769" s="346" t="s">
        <v>7593</v>
      </c>
      <c r="C3769" s="346" t="s">
        <v>7594</v>
      </c>
    </row>
    <row r="3770" spans="1:3">
      <c r="A3770" s="347">
        <v>46090</v>
      </c>
      <c r="B3770" s="346" t="s">
        <v>7595</v>
      </c>
      <c r="C3770" s="346" t="s">
        <v>7596</v>
      </c>
    </row>
    <row r="3771" spans="1:3">
      <c r="A3771" s="347">
        <v>46090</v>
      </c>
      <c r="B3771" s="346" t="s">
        <v>7597</v>
      </c>
      <c r="C3771" s="346" t="s">
        <v>7598</v>
      </c>
    </row>
    <row r="3772" spans="1:3">
      <c r="A3772" s="347">
        <v>46090</v>
      </c>
      <c r="B3772" s="346" t="s">
        <v>7599</v>
      </c>
      <c r="C3772" s="346" t="s">
        <v>7600</v>
      </c>
    </row>
    <row r="3773" spans="1:3">
      <c r="A3773" s="347">
        <v>46090</v>
      </c>
      <c r="B3773" s="346" t="s">
        <v>7601</v>
      </c>
      <c r="C3773" s="346" t="s">
        <v>7602</v>
      </c>
    </row>
    <row r="3774" spans="1:3">
      <c r="A3774" s="347">
        <v>46090</v>
      </c>
      <c r="B3774" s="346" t="s">
        <v>7603</v>
      </c>
      <c r="C3774" s="346" t="s">
        <v>7604</v>
      </c>
    </row>
    <row r="3775" spans="1:3">
      <c r="A3775" s="347">
        <v>46090</v>
      </c>
      <c r="B3775" s="346" t="s">
        <v>7605</v>
      </c>
      <c r="C3775" s="346" t="s">
        <v>7606</v>
      </c>
    </row>
    <row r="3776" spans="1:3">
      <c r="A3776" s="347">
        <v>46090</v>
      </c>
      <c r="B3776" s="346" t="s">
        <v>7607</v>
      </c>
      <c r="C3776" s="346" t="s">
        <v>7608</v>
      </c>
    </row>
    <row r="3777" spans="1:3">
      <c r="A3777" s="347">
        <v>46090</v>
      </c>
      <c r="B3777" s="346" t="s">
        <v>7609</v>
      </c>
      <c r="C3777" s="346" t="s">
        <v>7610</v>
      </c>
    </row>
    <row r="3778" spans="1:3">
      <c r="A3778" s="347">
        <v>46090</v>
      </c>
      <c r="B3778" s="346" t="s">
        <v>7611</v>
      </c>
      <c r="C3778" s="346" t="s">
        <v>7612</v>
      </c>
    </row>
    <row r="3779" spans="1:3">
      <c r="A3779" s="347">
        <v>46090</v>
      </c>
      <c r="B3779" s="346" t="s">
        <v>7613</v>
      </c>
      <c r="C3779" s="346" t="s">
        <v>7614</v>
      </c>
    </row>
    <row r="3780" spans="1:3">
      <c r="A3780" s="347">
        <v>46090</v>
      </c>
      <c r="B3780" s="346" t="s">
        <v>7615</v>
      </c>
      <c r="C3780" s="346" t="s">
        <v>7616</v>
      </c>
    </row>
    <row r="3781" spans="1:3">
      <c r="A3781" s="347">
        <v>46090</v>
      </c>
      <c r="B3781" s="346" t="s">
        <v>7617</v>
      </c>
      <c r="C3781" s="346" t="s">
        <v>7618</v>
      </c>
    </row>
    <row r="3782" spans="1:3">
      <c r="A3782" s="347">
        <v>46090</v>
      </c>
      <c r="B3782" s="346" t="s">
        <v>7619</v>
      </c>
      <c r="C3782" s="346" t="s">
        <v>7620</v>
      </c>
    </row>
    <row r="3783" spans="1:3">
      <c r="A3783" s="347">
        <v>46090</v>
      </c>
      <c r="B3783" s="346" t="s">
        <v>7621</v>
      </c>
      <c r="C3783" s="346" t="s">
        <v>7622</v>
      </c>
    </row>
    <row r="3784" spans="1:3">
      <c r="A3784" s="347">
        <v>46090</v>
      </c>
      <c r="B3784" s="346" t="s">
        <v>7623</v>
      </c>
      <c r="C3784" s="346" t="s">
        <v>7624</v>
      </c>
    </row>
    <row r="3785" spans="1:3">
      <c r="A3785" s="347">
        <v>46090</v>
      </c>
      <c r="B3785" s="346" t="s">
        <v>7625</v>
      </c>
      <c r="C3785" s="346" t="s">
        <v>7626</v>
      </c>
    </row>
    <row r="3786" spans="1:3">
      <c r="A3786" s="347">
        <v>46090</v>
      </c>
      <c r="B3786" s="346" t="s">
        <v>7627</v>
      </c>
      <c r="C3786" s="346" t="s">
        <v>7628</v>
      </c>
    </row>
    <row r="3787" spans="1:3">
      <c r="A3787" s="347">
        <v>46090</v>
      </c>
      <c r="B3787" s="346" t="s">
        <v>7629</v>
      </c>
      <c r="C3787" s="346" t="s">
        <v>7630</v>
      </c>
    </row>
    <row r="3788" spans="1:3">
      <c r="A3788" s="347">
        <v>46090</v>
      </c>
      <c r="B3788" s="346" t="s">
        <v>7631</v>
      </c>
      <c r="C3788" s="346" t="s">
        <v>7632</v>
      </c>
    </row>
    <row r="3789" spans="1:3">
      <c r="A3789" s="347">
        <v>46090</v>
      </c>
      <c r="B3789" s="346" t="s">
        <v>7633</v>
      </c>
      <c r="C3789" s="346" t="s">
        <v>7634</v>
      </c>
    </row>
    <row r="3790" spans="1:3">
      <c r="A3790" s="347">
        <v>46090</v>
      </c>
      <c r="B3790" s="346" t="s">
        <v>7635</v>
      </c>
      <c r="C3790" s="346" t="s">
        <v>7636</v>
      </c>
    </row>
    <row r="3791" spans="1:3">
      <c r="A3791" s="347">
        <v>46090</v>
      </c>
      <c r="B3791" s="346" t="s">
        <v>7637</v>
      </c>
      <c r="C3791" s="346" t="s">
        <v>7638</v>
      </c>
    </row>
    <row r="3792" spans="1:3">
      <c r="A3792" s="347">
        <v>46090</v>
      </c>
      <c r="B3792" s="346" t="s">
        <v>7639</v>
      </c>
      <c r="C3792" s="346" t="s">
        <v>7640</v>
      </c>
    </row>
    <row r="3793" spans="1:3">
      <c r="A3793" s="347">
        <v>46090</v>
      </c>
      <c r="B3793" s="346" t="s">
        <v>7641</v>
      </c>
      <c r="C3793" s="346" t="s">
        <v>7642</v>
      </c>
    </row>
    <row r="3794" spans="1:3">
      <c r="A3794" s="347">
        <v>46090</v>
      </c>
      <c r="B3794" s="346" t="s">
        <v>7643</v>
      </c>
      <c r="C3794" s="346" t="s">
        <v>7644</v>
      </c>
    </row>
    <row r="3795" spans="1:3">
      <c r="A3795" s="347">
        <v>46090</v>
      </c>
      <c r="B3795" s="346" t="s">
        <v>7645</v>
      </c>
      <c r="C3795" s="346" t="s">
        <v>7646</v>
      </c>
    </row>
    <row r="3796" spans="1:3">
      <c r="A3796" s="347">
        <v>46090</v>
      </c>
      <c r="B3796" s="346" t="s">
        <v>7647</v>
      </c>
      <c r="C3796" s="346" t="s">
        <v>7648</v>
      </c>
    </row>
    <row r="3797" spans="1:3">
      <c r="A3797" s="347">
        <v>46090</v>
      </c>
      <c r="B3797" s="346" t="s">
        <v>7649</v>
      </c>
      <c r="C3797" s="346" t="s">
        <v>7650</v>
      </c>
    </row>
    <row r="3798" spans="1:3">
      <c r="A3798" s="347">
        <v>46090</v>
      </c>
      <c r="B3798" s="346" t="s">
        <v>7651</v>
      </c>
      <c r="C3798" s="346" t="s">
        <v>7652</v>
      </c>
    </row>
    <row r="3799" spans="1:3">
      <c r="A3799" s="347">
        <v>46090</v>
      </c>
      <c r="B3799" s="346" t="s">
        <v>7653</v>
      </c>
      <c r="C3799" s="346" t="s">
        <v>10820</v>
      </c>
    </row>
    <row r="3800" spans="1:3">
      <c r="A3800" s="347">
        <v>46090</v>
      </c>
      <c r="B3800" s="346" t="s">
        <v>7654</v>
      </c>
      <c r="C3800" s="346" t="s">
        <v>7655</v>
      </c>
    </row>
    <row r="3801" spans="1:3">
      <c r="A3801" s="347">
        <v>46090</v>
      </c>
      <c r="B3801" s="346" t="s">
        <v>7656</v>
      </c>
      <c r="C3801" s="346" t="s">
        <v>7657</v>
      </c>
    </row>
    <row r="3802" spans="1:3">
      <c r="A3802" s="347">
        <v>46090</v>
      </c>
      <c r="B3802" s="346" t="s">
        <v>7658</v>
      </c>
      <c r="C3802" s="346" t="s">
        <v>7659</v>
      </c>
    </row>
    <row r="3803" spans="1:3">
      <c r="A3803" s="347">
        <v>46090</v>
      </c>
      <c r="B3803" s="346" t="s">
        <v>7660</v>
      </c>
      <c r="C3803" s="346" t="s">
        <v>7661</v>
      </c>
    </row>
    <row r="3804" spans="1:3">
      <c r="A3804" s="347">
        <v>46090</v>
      </c>
      <c r="B3804" s="346" t="s">
        <v>7662</v>
      </c>
      <c r="C3804" s="346" t="s">
        <v>10821</v>
      </c>
    </row>
    <row r="3805" spans="1:3">
      <c r="A3805" s="347">
        <v>46090</v>
      </c>
      <c r="B3805" s="346" t="s">
        <v>7663</v>
      </c>
      <c r="C3805" s="346" t="s">
        <v>7664</v>
      </c>
    </row>
    <row r="3806" spans="1:3">
      <c r="A3806" s="347">
        <v>46090</v>
      </c>
      <c r="B3806" s="346" t="s">
        <v>7665</v>
      </c>
      <c r="C3806" s="346" t="s">
        <v>7666</v>
      </c>
    </row>
    <row r="3807" spans="1:3">
      <c r="A3807" s="347">
        <v>46090</v>
      </c>
      <c r="B3807" s="346" t="s">
        <v>7667</v>
      </c>
      <c r="C3807" s="346" t="s">
        <v>7668</v>
      </c>
    </row>
    <row r="3808" spans="1:3">
      <c r="A3808" s="347">
        <v>46090</v>
      </c>
      <c r="B3808" s="346" t="s">
        <v>7669</v>
      </c>
      <c r="C3808" s="346" t="s">
        <v>7670</v>
      </c>
    </row>
    <row r="3809" spans="1:3">
      <c r="A3809" s="347">
        <v>46090</v>
      </c>
      <c r="B3809" s="346" t="s">
        <v>7671</v>
      </c>
      <c r="C3809" s="346" t="s">
        <v>7672</v>
      </c>
    </row>
    <row r="3810" spans="1:3">
      <c r="A3810" s="347">
        <v>46090</v>
      </c>
      <c r="B3810" s="346" t="s">
        <v>7673</v>
      </c>
      <c r="C3810" s="346" t="s">
        <v>7674</v>
      </c>
    </row>
    <row r="3811" spans="1:3">
      <c r="A3811" s="347">
        <v>46090</v>
      </c>
      <c r="B3811" s="346" t="s">
        <v>7675</v>
      </c>
      <c r="C3811" s="346" t="s">
        <v>7676</v>
      </c>
    </row>
    <row r="3812" spans="1:3">
      <c r="A3812" s="347">
        <v>46090</v>
      </c>
      <c r="B3812" s="346" t="s">
        <v>7677</v>
      </c>
      <c r="C3812" s="346" t="s">
        <v>7678</v>
      </c>
    </row>
    <row r="3813" spans="1:3">
      <c r="A3813" s="347">
        <v>46090</v>
      </c>
      <c r="B3813" s="346" t="s">
        <v>7679</v>
      </c>
      <c r="C3813" s="346" t="s">
        <v>7680</v>
      </c>
    </row>
    <row r="3814" spans="1:3">
      <c r="A3814" s="347">
        <v>46090</v>
      </c>
      <c r="B3814" s="346" t="s">
        <v>7681</v>
      </c>
      <c r="C3814" s="346" t="s">
        <v>7682</v>
      </c>
    </row>
    <row r="3815" spans="1:3">
      <c r="A3815" s="347">
        <v>46090</v>
      </c>
      <c r="B3815" s="346" t="s">
        <v>7683</v>
      </c>
      <c r="C3815" s="346" t="s">
        <v>7684</v>
      </c>
    </row>
    <row r="3816" spans="1:3">
      <c r="A3816" s="347">
        <v>46090</v>
      </c>
      <c r="B3816" s="346" t="s">
        <v>7685</v>
      </c>
      <c r="C3816" s="346" t="s">
        <v>7686</v>
      </c>
    </row>
    <row r="3817" spans="1:3">
      <c r="A3817" s="347">
        <v>46090</v>
      </c>
      <c r="B3817" s="346" t="s">
        <v>7687</v>
      </c>
      <c r="C3817" s="346" t="s">
        <v>7688</v>
      </c>
    </row>
    <row r="3818" spans="1:3">
      <c r="A3818" s="347">
        <v>46090</v>
      </c>
      <c r="B3818" s="346" t="s">
        <v>7689</v>
      </c>
      <c r="C3818" s="346" t="s">
        <v>7690</v>
      </c>
    </row>
    <row r="3819" spans="1:3">
      <c r="A3819" s="347">
        <v>46090</v>
      </c>
      <c r="B3819" s="346" t="s">
        <v>7691</v>
      </c>
      <c r="C3819" s="346" t="s">
        <v>7692</v>
      </c>
    </row>
    <row r="3820" spans="1:3">
      <c r="A3820" s="347">
        <v>46090</v>
      </c>
      <c r="B3820" s="346" t="s">
        <v>7693</v>
      </c>
      <c r="C3820" s="346" t="s">
        <v>7694</v>
      </c>
    </row>
    <row r="3821" spans="1:3">
      <c r="A3821" s="347">
        <v>46090</v>
      </c>
      <c r="B3821" s="346" t="s">
        <v>7695</v>
      </c>
      <c r="C3821" s="346" t="s">
        <v>7696</v>
      </c>
    </row>
    <row r="3822" spans="1:3">
      <c r="A3822" s="347">
        <v>46090</v>
      </c>
      <c r="B3822" s="346" t="s">
        <v>7697</v>
      </c>
      <c r="C3822" s="346" t="s">
        <v>7698</v>
      </c>
    </row>
    <row r="3823" spans="1:3">
      <c r="A3823" s="347">
        <v>46090</v>
      </c>
      <c r="B3823" s="346" t="s">
        <v>7699</v>
      </c>
      <c r="C3823" s="346" t="s">
        <v>7700</v>
      </c>
    </row>
    <row r="3824" spans="1:3">
      <c r="A3824" s="347">
        <v>46090</v>
      </c>
      <c r="B3824" s="346" t="s">
        <v>7701</v>
      </c>
      <c r="C3824" s="346" t="s">
        <v>7702</v>
      </c>
    </row>
    <row r="3825" spans="1:3">
      <c r="A3825" s="347">
        <v>46090</v>
      </c>
      <c r="B3825" s="346" t="s">
        <v>7703</v>
      </c>
      <c r="C3825" s="346" t="s">
        <v>7704</v>
      </c>
    </row>
    <row r="3826" spans="1:3">
      <c r="A3826" s="347">
        <v>46090</v>
      </c>
      <c r="B3826" s="346" t="s">
        <v>7705</v>
      </c>
      <c r="C3826" s="346" t="s">
        <v>7706</v>
      </c>
    </row>
    <row r="3827" spans="1:3">
      <c r="A3827" s="347">
        <v>46090</v>
      </c>
      <c r="B3827" s="346" t="s">
        <v>7707</v>
      </c>
      <c r="C3827" s="346" t="s">
        <v>7708</v>
      </c>
    </row>
    <row r="3828" spans="1:3">
      <c r="A3828" s="347">
        <v>46090</v>
      </c>
      <c r="B3828" s="346" t="s">
        <v>7709</v>
      </c>
      <c r="C3828" s="346" t="s">
        <v>7710</v>
      </c>
    </row>
    <row r="3829" spans="1:3">
      <c r="A3829" s="347">
        <v>46090</v>
      </c>
      <c r="B3829" s="346" t="s">
        <v>7711</v>
      </c>
      <c r="C3829" s="346" t="s">
        <v>7712</v>
      </c>
    </row>
    <row r="3830" spans="1:3">
      <c r="A3830" s="347">
        <v>46090</v>
      </c>
      <c r="B3830" s="346" t="s">
        <v>7713</v>
      </c>
      <c r="C3830" s="346" t="s">
        <v>7714</v>
      </c>
    </row>
    <row r="3831" spans="1:3">
      <c r="A3831" s="347">
        <v>46090</v>
      </c>
      <c r="B3831" s="346" t="s">
        <v>7715</v>
      </c>
      <c r="C3831" s="346" t="s">
        <v>7716</v>
      </c>
    </row>
    <row r="3832" spans="1:3">
      <c r="A3832" s="347">
        <v>46090</v>
      </c>
      <c r="B3832" s="346" t="s">
        <v>7717</v>
      </c>
      <c r="C3832" s="346" t="s">
        <v>7718</v>
      </c>
    </row>
    <row r="3833" spans="1:3">
      <c r="A3833" s="347">
        <v>46090</v>
      </c>
      <c r="B3833" s="346" t="s">
        <v>7719</v>
      </c>
      <c r="C3833" s="346" t="s">
        <v>7720</v>
      </c>
    </row>
    <row r="3834" spans="1:3">
      <c r="A3834" s="347">
        <v>46090</v>
      </c>
      <c r="B3834" s="346" t="s">
        <v>7721</v>
      </c>
      <c r="C3834" s="346" t="s">
        <v>7722</v>
      </c>
    </row>
    <row r="3835" spans="1:3">
      <c r="A3835" s="347">
        <v>46090</v>
      </c>
      <c r="B3835" s="346" t="s">
        <v>7723</v>
      </c>
      <c r="C3835" s="346" t="s">
        <v>7724</v>
      </c>
    </row>
    <row r="3836" spans="1:3">
      <c r="A3836" s="347">
        <v>46090</v>
      </c>
      <c r="B3836" s="346" t="s">
        <v>7725</v>
      </c>
      <c r="C3836" s="346" t="s">
        <v>7726</v>
      </c>
    </row>
    <row r="3837" spans="1:3">
      <c r="A3837" s="347">
        <v>46090</v>
      </c>
      <c r="B3837" s="346" t="s">
        <v>7727</v>
      </c>
      <c r="C3837" s="346" t="s">
        <v>7728</v>
      </c>
    </row>
    <row r="3838" spans="1:3">
      <c r="A3838" s="347">
        <v>46090</v>
      </c>
      <c r="B3838" s="346" t="s">
        <v>7729</v>
      </c>
      <c r="C3838" s="346" t="s">
        <v>7730</v>
      </c>
    </row>
    <row r="3839" spans="1:3">
      <c r="A3839" s="347">
        <v>46090</v>
      </c>
      <c r="B3839" s="346" t="s">
        <v>7731</v>
      </c>
      <c r="C3839" s="346" t="s">
        <v>7732</v>
      </c>
    </row>
    <row r="3840" spans="1:3">
      <c r="A3840" s="347">
        <v>46090</v>
      </c>
      <c r="B3840" s="346" t="s">
        <v>7733</v>
      </c>
      <c r="C3840" s="346" t="s">
        <v>7734</v>
      </c>
    </row>
    <row r="3841" spans="1:3">
      <c r="A3841" s="347">
        <v>46090</v>
      </c>
      <c r="B3841" s="346" t="s">
        <v>7735</v>
      </c>
      <c r="C3841" s="346" t="s">
        <v>7736</v>
      </c>
    </row>
    <row r="3842" spans="1:3">
      <c r="A3842" s="347">
        <v>46090</v>
      </c>
      <c r="B3842" s="346" t="s">
        <v>7737</v>
      </c>
      <c r="C3842" s="346" t="s">
        <v>7738</v>
      </c>
    </row>
    <row r="3843" spans="1:3">
      <c r="A3843" s="347">
        <v>46090</v>
      </c>
      <c r="B3843" s="346" t="s">
        <v>7739</v>
      </c>
      <c r="C3843" s="346" t="s">
        <v>7740</v>
      </c>
    </row>
    <row r="3844" spans="1:3">
      <c r="A3844" s="347">
        <v>46090</v>
      </c>
      <c r="B3844" s="346" t="s">
        <v>7741</v>
      </c>
      <c r="C3844" s="346" t="s">
        <v>7742</v>
      </c>
    </row>
    <row r="3845" spans="1:3">
      <c r="A3845" s="347">
        <v>46090</v>
      </c>
      <c r="B3845" s="346" t="s">
        <v>7743</v>
      </c>
      <c r="C3845" s="346" t="s">
        <v>7744</v>
      </c>
    </row>
    <row r="3846" spans="1:3">
      <c r="A3846" s="347">
        <v>46090</v>
      </c>
      <c r="B3846" s="346" t="s">
        <v>7745</v>
      </c>
      <c r="C3846" s="346" t="s">
        <v>7746</v>
      </c>
    </row>
    <row r="3847" spans="1:3">
      <c r="A3847" s="347">
        <v>46090</v>
      </c>
      <c r="B3847" s="346" t="s">
        <v>7747</v>
      </c>
      <c r="C3847" s="346" t="s">
        <v>7748</v>
      </c>
    </row>
    <row r="3848" spans="1:3">
      <c r="A3848" s="347">
        <v>46090</v>
      </c>
      <c r="B3848" s="346" t="s">
        <v>7749</v>
      </c>
      <c r="C3848" s="346" t="s">
        <v>7750</v>
      </c>
    </row>
    <row r="3849" spans="1:3">
      <c r="A3849" s="347">
        <v>46090</v>
      </c>
      <c r="B3849" s="346" t="s">
        <v>7751</v>
      </c>
      <c r="C3849" s="346" t="s">
        <v>7752</v>
      </c>
    </row>
    <row r="3850" spans="1:3">
      <c r="A3850" s="347">
        <v>46090</v>
      </c>
      <c r="B3850" s="346" t="s">
        <v>7753</v>
      </c>
      <c r="C3850" s="346" t="s">
        <v>7754</v>
      </c>
    </row>
    <row r="3851" spans="1:3">
      <c r="A3851" s="347">
        <v>46090</v>
      </c>
      <c r="B3851" s="346" t="s">
        <v>7755</v>
      </c>
      <c r="C3851" s="346" t="s">
        <v>7756</v>
      </c>
    </row>
    <row r="3852" spans="1:3">
      <c r="A3852" s="347">
        <v>46090</v>
      </c>
      <c r="B3852" s="346" t="s">
        <v>7757</v>
      </c>
      <c r="C3852" s="346" t="s">
        <v>7758</v>
      </c>
    </row>
    <row r="3853" spans="1:3">
      <c r="A3853" s="347">
        <v>46090</v>
      </c>
      <c r="B3853" s="346" t="s">
        <v>7759</v>
      </c>
      <c r="C3853" s="346" t="s">
        <v>7760</v>
      </c>
    </row>
    <row r="3854" spans="1:3">
      <c r="A3854" s="347">
        <v>46090</v>
      </c>
      <c r="B3854" s="346" t="s">
        <v>7761</v>
      </c>
      <c r="C3854" s="346" t="s">
        <v>7762</v>
      </c>
    </row>
    <row r="3855" spans="1:3">
      <c r="A3855" s="347">
        <v>46090</v>
      </c>
      <c r="B3855" s="346" t="s">
        <v>7763</v>
      </c>
      <c r="C3855" s="346" t="s">
        <v>7764</v>
      </c>
    </row>
    <row r="3856" spans="1:3">
      <c r="A3856" s="347">
        <v>46090</v>
      </c>
      <c r="B3856" s="346" t="s">
        <v>7765</v>
      </c>
      <c r="C3856" s="346" t="s">
        <v>7766</v>
      </c>
    </row>
    <row r="3857" spans="1:3">
      <c r="A3857" s="347">
        <v>46090</v>
      </c>
      <c r="B3857" s="346" t="s">
        <v>7767</v>
      </c>
      <c r="C3857" s="346" t="s">
        <v>7768</v>
      </c>
    </row>
    <row r="3858" spans="1:3">
      <c r="A3858" s="347">
        <v>46090</v>
      </c>
      <c r="B3858" s="346" t="s">
        <v>7769</v>
      </c>
      <c r="C3858" s="346" t="s">
        <v>7770</v>
      </c>
    </row>
    <row r="3859" spans="1:3">
      <c r="A3859" s="347">
        <v>46090</v>
      </c>
      <c r="B3859" s="346" t="s">
        <v>7771</v>
      </c>
      <c r="C3859" s="346" t="s">
        <v>7772</v>
      </c>
    </row>
    <row r="3860" spans="1:3">
      <c r="A3860" s="347">
        <v>46090</v>
      </c>
      <c r="B3860" s="346" t="s">
        <v>7773</v>
      </c>
      <c r="C3860" s="346" t="s">
        <v>7774</v>
      </c>
    </row>
    <row r="3861" spans="1:3">
      <c r="A3861" s="347">
        <v>46090</v>
      </c>
      <c r="B3861" s="346" t="s">
        <v>7775</v>
      </c>
      <c r="C3861" s="346" t="s">
        <v>7776</v>
      </c>
    </row>
    <row r="3862" spans="1:3">
      <c r="A3862" s="347">
        <v>46090</v>
      </c>
      <c r="B3862" s="346" t="s">
        <v>7777</v>
      </c>
      <c r="C3862" s="346" t="s">
        <v>7778</v>
      </c>
    </row>
    <row r="3863" spans="1:3">
      <c r="A3863" s="347">
        <v>46090</v>
      </c>
      <c r="B3863" s="346" t="s">
        <v>7779</v>
      </c>
      <c r="C3863" s="346" t="s">
        <v>7780</v>
      </c>
    </row>
    <row r="3864" spans="1:3">
      <c r="A3864" s="347">
        <v>46090</v>
      </c>
      <c r="B3864" s="346" t="s">
        <v>7781</v>
      </c>
      <c r="C3864" s="346" t="s">
        <v>7782</v>
      </c>
    </row>
    <row r="3865" spans="1:3">
      <c r="A3865" s="347">
        <v>46090</v>
      </c>
      <c r="B3865" s="346" t="s">
        <v>7783</v>
      </c>
      <c r="C3865" s="346" t="s">
        <v>7784</v>
      </c>
    </row>
    <row r="3866" spans="1:3">
      <c r="A3866" s="347">
        <v>46090</v>
      </c>
      <c r="B3866" s="346" t="s">
        <v>7785</v>
      </c>
      <c r="C3866" s="346" t="s">
        <v>7786</v>
      </c>
    </row>
    <row r="3867" spans="1:3">
      <c r="A3867" s="347">
        <v>46090</v>
      </c>
      <c r="B3867" s="346" t="s">
        <v>7787</v>
      </c>
      <c r="C3867" s="346" t="s">
        <v>7788</v>
      </c>
    </row>
    <row r="3868" spans="1:3">
      <c r="A3868" s="347">
        <v>46090</v>
      </c>
      <c r="B3868" s="346" t="s">
        <v>7789</v>
      </c>
      <c r="C3868" s="346" t="s">
        <v>7790</v>
      </c>
    </row>
    <row r="3869" spans="1:3">
      <c r="A3869" s="347">
        <v>46090</v>
      </c>
      <c r="B3869" s="346" t="s">
        <v>7791</v>
      </c>
      <c r="C3869" s="346" t="s">
        <v>7792</v>
      </c>
    </row>
    <row r="3870" spans="1:3">
      <c r="A3870" s="347">
        <v>46090</v>
      </c>
      <c r="B3870" s="346" t="s">
        <v>7793</v>
      </c>
      <c r="C3870" s="346" t="s">
        <v>10822</v>
      </c>
    </row>
    <row r="3871" spans="1:3">
      <c r="A3871" s="347">
        <v>46090</v>
      </c>
      <c r="B3871" s="346" t="s">
        <v>7794</v>
      </c>
      <c r="C3871" s="346" t="s">
        <v>7795</v>
      </c>
    </row>
    <row r="3872" spans="1:3">
      <c r="A3872" s="347">
        <v>46090</v>
      </c>
      <c r="B3872" s="346" t="s">
        <v>7796</v>
      </c>
      <c r="C3872" s="346" t="s">
        <v>7797</v>
      </c>
    </row>
    <row r="3873" spans="1:3">
      <c r="A3873" s="347">
        <v>46090</v>
      </c>
      <c r="B3873" s="346" t="s">
        <v>7798</v>
      </c>
      <c r="C3873" s="346" t="s">
        <v>7799</v>
      </c>
    </row>
    <row r="3874" spans="1:3">
      <c r="A3874" s="347">
        <v>46090</v>
      </c>
      <c r="B3874" s="346" t="s">
        <v>7800</v>
      </c>
      <c r="C3874" s="346" t="s">
        <v>7801</v>
      </c>
    </row>
    <row r="3875" spans="1:3">
      <c r="A3875" s="347">
        <v>46090</v>
      </c>
      <c r="B3875" s="346" t="s">
        <v>7802</v>
      </c>
      <c r="C3875" s="346" t="s">
        <v>10823</v>
      </c>
    </row>
    <row r="3876" spans="1:3">
      <c r="A3876" s="347">
        <v>46090</v>
      </c>
      <c r="B3876" s="346" t="s">
        <v>7803</v>
      </c>
      <c r="C3876" s="346" t="s">
        <v>7804</v>
      </c>
    </row>
    <row r="3877" spans="1:3">
      <c r="A3877" s="347">
        <v>46090</v>
      </c>
      <c r="B3877" s="346" t="s">
        <v>7805</v>
      </c>
      <c r="C3877" s="346" t="s">
        <v>7806</v>
      </c>
    </row>
    <row r="3878" spans="1:3">
      <c r="A3878" s="347">
        <v>46090</v>
      </c>
      <c r="B3878" s="346" t="s">
        <v>7807</v>
      </c>
      <c r="C3878" s="346" t="s">
        <v>7808</v>
      </c>
    </row>
    <row r="3879" spans="1:3">
      <c r="A3879" s="347">
        <v>46090</v>
      </c>
      <c r="B3879" s="346" t="s">
        <v>7809</v>
      </c>
      <c r="C3879" s="346" t="s">
        <v>7810</v>
      </c>
    </row>
    <row r="3880" spans="1:3">
      <c r="A3880" s="347">
        <v>46090</v>
      </c>
      <c r="B3880" s="346" t="s">
        <v>7811</v>
      </c>
      <c r="C3880" s="346" t="s">
        <v>7812</v>
      </c>
    </row>
    <row r="3881" spans="1:3">
      <c r="A3881" s="347">
        <v>46090</v>
      </c>
      <c r="B3881" s="346" t="s">
        <v>7813</v>
      </c>
      <c r="C3881" s="346" t="s">
        <v>7814</v>
      </c>
    </row>
    <row r="3882" spans="1:3">
      <c r="A3882" s="347">
        <v>46090</v>
      </c>
      <c r="B3882" s="346" t="s">
        <v>10824</v>
      </c>
      <c r="C3882" s="346" t="s">
        <v>10825</v>
      </c>
    </row>
    <row r="3883" spans="1:3">
      <c r="A3883" s="347">
        <v>46090</v>
      </c>
      <c r="B3883" s="346" t="s">
        <v>7815</v>
      </c>
      <c r="C3883" s="346" t="s">
        <v>7816</v>
      </c>
    </row>
    <row r="3884" spans="1:3">
      <c r="A3884" s="347">
        <v>46090</v>
      </c>
      <c r="B3884" s="346" t="s">
        <v>7817</v>
      </c>
      <c r="C3884" s="346" t="s">
        <v>7818</v>
      </c>
    </row>
    <row r="3885" spans="1:3">
      <c r="A3885" s="347">
        <v>46090</v>
      </c>
      <c r="B3885" s="346" t="s">
        <v>7819</v>
      </c>
      <c r="C3885" s="346" t="s">
        <v>7820</v>
      </c>
    </row>
    <row r="3886" spans="1:3">
      <c r="A3886" s="347">
        <v>46090</v>
      </c>
      <c r="B3886" s="346" t="s">
        <v>7821</v>
      </c>
      <c r="C3886" s="346" t="s">
        <v>7822</v>
      </c>
    </row>
    <row r="3887" spans="1:3">
      <c r="A3887" s="347">
        <v>46090</v>
      </c>
      <c r="B3887" s="346" t="s">
        <v>7823</v>
      </c>
      <c r="C3887" s="346" t="s">
        <v>7824</v>
      </c>
    </row>
    <row r="3888" spans="1:3">
      <c r="A3888" s="347">
        <v>46090</v>
      </c>
      <c r="B3888" s="346" t="s">
        <v>7825</v>
      </c>
      <c r="C3888" s="346" t="s">
        <v>7826</v>
      </c>
    </row>
    <row r="3889" spans="1:3">
      <c r="A3889" s="347">
        <v>46090</v>
      </c>
      <c r="B3889" s="346" t="s">
        <v>7827</v>
      </c>
      <c r="C3889" s="346" t="s">
        <v>10826</v>
      </c>
    </row>
    <row r="3890" spans="1:3">
      <c r="A3890" s="347">
        <v>46090</v>
      </c>
      <c r="B3890" s="346" t="s">
        <v>7828</v>
      </c>
      <c r="C3890" s="346" t="s">
        <v>7829</v>
      </c>
    </row>
    <row r="3891" spans="1:3">
      <c r="A3891" s="347">
        <v>46090</v>
      </c>
      <c r="B3891" s="346" t="s">
        <v>7830</v>
      </c>
      <c r="C3891" s="346" t="s">
        <v>7831</v>
      </c>
    </row>
    <row r="3892" spans="1:3">
      <c r="A3892" s="347">
        <v>46090</v>
      </c>
      <c r="B3892" s="346" t="s">
        <v>7832</v>
      </c>
      <c r="C3892" s="346" t="s">
        <v>7833</v>
      </c>
    </row>
    <row r="3893" spans="1:3">
      <c r="A3893" s="347">
        <v>46090</v>
      </c>
      <c r="B3893" s="346" t="s">
        <v>7834</v>
      </c>
      <c r="C3893" s="346" t="s">
        <v>10827</v>
      </c>
    </row>
    <row r="3894" spans="1:3">
      <c r="A3894" s="347">
        <v>46090</v>
      </c>
      <c r="B3894" s="346" t="s">
        <v>7835</v>
      </c>
      <c r="C3894" s="346" t="s">
        <v>7836</v>
      </c>
    </row>
    <row r="3895" spans="1:3">
      <c r="A3895" s="347">
        <v>46090</v>
      </c>
      <c r="B3895" s="346" t="s">
        <v>7837</v>
      </c>
      <c r="C3895" s="346" t="s">
        <v>7838</v>
      </c>
    </row>
    <row r="3896" spans="1:3">
      <c r="A3896" s="347">
        <v>46090</v>
      </c>
      <c r="B3896" s="346" t="s">
        <v>7839</v>
      </c>
      <c r="C3896" s="346" t="s">
        <v>7840</v>
      </c>
    </row>
    <row r="3897" spans="1:3">
      <c r="A3897" s="347">
        <v>46090</v>
      </c>
      <c r="B3897" s="346" t="s">
        <v>7841</v>
      </c>
      <c r="C3897" s="346" t="s">
        <v>10828</v>
      </c>
    </row>
    <row r="3898" spans="1:3">
      <c r="A3898" s="347">
        <v>46090</v>
      </c>
      <c r="B3898" s="346" t="s">
        <v>7842</v>
      </c>
      <c r="C3898" s="346" t="s">
        <v>7843</v>
      </c>
    </row>
    <row r="3899" spans="1:3">
      <c r="A3899" s="347">
        <v>46090</v>
      </c>
      <c r="B3899" s="346" t="s">
        <v>7844</v>
      </c>
      <c r="C3899" s="346" t="s">
        <v>7845</v>
      </c>
    </row>
    <row r="3900" spans="1:3">
      <c r="A3900" s="347">
        <v>46090</v>
      </c>
      <c r="B3900" s="346" t="s">
        <v>7846</v>
      </c>
      <c r="C3900" s="346" t="s">
        <v>7847</v>
      </c>
    </row>
    <row r="3901" spans="1:3">
      <c r="A3901" s="347">
        <v>46090</v>
      </c>
      <c r="B3901" s="346" t="s">
        <v>7848</v>
      </c>
      <c r="C3901" s="346" t="s">
        <v>7849</v>
      </c>
    </row>
    <row r="3902" spans="1:3">
      <c r="A3902" s="347">
        <v>46090</v>
      </c>
      <c r="B3902" s="346" t="s">
        <v>7850</v>
      </c>
      <c r="C3902" s="346" t="s">
        <v>7851</v>
      </c>
    </row>
    <row r="3903" spans="1:3">
      <c r="A3903" s="347">
        <v>46090</v>
      </c>
      <c r="B3903" s="346" t="s">
        <v>7852</v>
      </c>
      <c r="C3903" s="346" t="s">
        <v>7853</v>
      </c>
    </row>
    <row r="3904" spans="1:3">
      <c r="A3904" s="347">
        <v>46090</v>
      </c>
      <c r="B3904" s="346" t="s">
        <v>7854</v>
      </c>
      <c r="C3904" s="346" t="s">
        <v>7855</v>
      </c>
    </row>
    <row r="3905" spans="1:3">
      <c r="A3905" s="347">
        <v>46090</v>
      </c>
      <c r="B3905" s="346" t="s">
        <v>7856</v>
      </c>
      <c r="C3905" s="346" t="s">
        <v>7857</v>
      </c>
    </row>
    <row r="3906" spans="1:3">
      <c r="A3906" s="347">
        <v>46090</v>
      </c>
      <c r="B3906" s="346" t="s">
        <v>7858</v>
      </c>
      <c r="C3906" s="346" t="s">
        <v>7859</v>
      </c>
    </row>
    <row r="3907" spans="1:3">
      <c r="A3907" s="347">
        <v>46090</v>
      </c>
      <c r="B3907" s="346" t="s">
        <v>7860</v>
      </c>
      <c r="C3907" s="346" t="s">
        <v>7861</v>
      </c>
    </row>
    <row r="3908" spans="1:3">
      <c r="A3908" s="347">
        <v>46090</v>
      </c>
      <c r="B3908" s="346" t="s">
        <v>7862</v>
      </c>
      <c r="C3908" s="346" t="s">
        <v>7863</v>
      </c>
    </row>
    <row r="3909" spans="1:3">
      <c r="A3909" s="347">
        <v>46090</v>
      </c>
      <c r="B3909" s="346" t="s">
        <v>7864</v>
      </c>
      <c r="C3909" s="346" t="s">
        <v>7865</v>
      </c>
    </row>
    <row r="3910" spans="1:3">
      <c r="A3910" s="347">
        <v>46090</v>
      </c>
      <c r="B3910" s="346" t="s">
        <v>7866</v>
      </c>
      <c r="C3910" s="346" t="s">
        <v>7867</v>
      </c>
    </row>
    <row r="3911" spans="1:3">
      <c r="A3911" s="347">
        <v>46090</v>
      </c>
      <c r="B3911" s="346" t="s">
        <v>7868</v>
      </c>
      <c r="C3911" s="346" t="s">
        <v>7869</v>
      </c>
    </row>
    <row r="3912" spans="1:3">
      <c r="A3912" s="347">
        <v>46090</v>
      </c>
      <c r="B3912" s="346" t="s">
        <v>10829</v>
      </c>
      <c r="C3912" s="346" t="s">
        <v>10830</v>
      </c>
    </row>
    <row r="3913" spans="1:3">
      <c r="A3913" s="347">
        <v>46090</v>
      </c>
      <c r="B3913" s="346" t="s">
        <v>7870</v>
      </c>
      <c r="C3913" s="346" t="s">
        <v>7871</v>
      </c>
    </row>
    <row r="3914" spans="1:3">
      <c r="A3914" s="347">
        <v>46090</v>
      </c>
      <c r="B3914" s="346" t="s">
        <v>7872</v>
      </c>
      <c r="C3914" s="346" t="s">
        <v>7873</v>
      </c>
    </row>
    <row r="3915" spans="1:3">
      <c r="A3915" s="347">
        <v>46090</v>
      </c>
      <c r="B3915" s="346" t="s">
        <v>7874</v>
      </c>
      <c r="C3915" s="346" t="s">
        <v>7875</v>
      </c>
    </row>
    <row r="3916" spans="1:3">
      <c r="A3916" s="347">
        <v>46090</v>
      </c>
      <c r="B3916" s="346" t="s">
        <v>7876</v>
      </c>
      <c r="C3916" s="346" t="s">
        <v>7877</v>
      </c>
    </row>
    <row r="3917" spans="1:3">
      <c r="A3917" s="347">
        <v>46090</v>
      </c>
      <c r="B3917" s="346" t="s">
        <v>7878</v>
      </c>
      <c r="C3917" s="346" t="s">
        <v>7879</v>
      </c>
    </row>
    <row r="3918" spans="1:3">
      <c r="A3918" s="347">
        <v>46090</v>
      </c>
      <c r="B3918" s="346" t="s">
        <v>7880</v>
      </c>
      <c r="C3918" s="346" t="s">
        <v>7881</v>
      </c>
    </row>
    <row r="3919" spans="1:3">
      <c r="A3919" s="347">
        <v>46090</v>
      </c>
      <c r="B3919" s="346" t="s">
        <v>7882</v>
      </c>
      <c r="C3919" s="346" t="s">
        <v>7883</v>
      </c>
    </row>
    <row r="3920" spans="1:3">
      <c r="A3920" s="347">
        <v>46090</v>
      </c>
      <c r="B3920" s="346" t="s">
        <v>7884</v>
      </c>
      <c r="C3920" s="346" t="s">
        <v>7885</v>
      </c>
    </row>
    <row r="3921" spans="1:3">
      <c r="A3921" s="347">
        <v>46090</v>
      </c>
      <c r="B3921" s="346" t="s">
        <v>7886</v>
      </c>
      <c r="C3921" s="346" t="s">
        <v>7887</v>
      </c>
    </row>
    <row r="3922" spans="1:3">
      <c r="A3922" s="347">
        <v>46090</v>
      </c>
      <c r="B3922" s="346" t="s">
        <v>7888</v>
      </c>
      <c r="C3922" s="346" t="s">
        <v>7889</v>
      </c>
    </row>
    <row r="3923" spans="1:3">
      <c r="A3923" s="347">
        <v>46090</v>
      </c>
      <c r="B3923" s="346" t="s">
        <v>7890</v>
      </c>
      <c r="C3923" s="346" t="s">
        <v>7891</v>
      </c>
    </row>
    <row r="3924" spans="1:3">
      <c r="A3924" s="347">
        <v>46090</v>
      </c>
      <c r="B3924" s="346" t="s">
        <v>7892</v>
      </c>
      <c r="C3924" s="346" t="s">
        <v>7893</v>
      </c>
    </row>
    <row r="3925" spans="1:3">
      <c r="A3925" s="347">
        <v>46090</v>
      </c>
      <c r="B3925" s="346" t="s">
        <v>7894</v>
      </c>
      <c r="C3925" s="346" t="s">
        <v>7895</v>
      </c>
    </row>
    <row r="3926" spans="1:3">
      <c r="A3926" s="347">
        <v>46090</v>
      </c>
      <c r="B3926" s="346" t="s">
        <v>7896</v>
      </c>
      <c r="C3926" s="346" t="s">
        <v>7897</v>
      </c>
    </row>
    <row r="3927" spans="1:3">
      <c r="A3927" s="347">
        <v>46090</v>
      </c>
      <c r="B3927" s="346" t="s">
        <v>7898</v>
      </c>
      <c r="C3927" s="346" t="s">
        <v>7899</v>
      </c>
    </row>
    <row r="3928" spans="1:3">
      <c r="A3928" s="347">
        <v>46090</v>
      </c>
      <c r="B3928" s="346" t="s">
        <v>7900</v>
      </c>
      <c r="C3928" s="346" t="s">
        <v>7901</v>
      </c>
    </row>
    <row r="3929" spans="1:3">
      <c r="A3929" s="347">
        <v>46090</v>
      </c>
      <c r="B3929" s="346" t="s">
        <v>7902</v>
      </c>
      <c r="C3929" s="346" t="s">
        <v>7903</v>
      </c>
    </row>
    <row r="3930" spans="1:3">
      <c r="A3930" s="347">
        <v>46090</v>
      </c>
      <c r="B3930" s="346" t="s">
        <v>7904</v>
      </c>
      <c r="C3930" s="346" t="s">
        <v>7905</v>
      </c>
    </row>
    <row r="3931" spans="1:3">
      <c r="A3931" s="347">
        <v>46090</v>
      </c>
      <c r="B3931" s="346" t="s">
        <v>7906</v>
      </c>
      <c r="C3931" s="346" t="s">
        <v>7907</v>
      </c>
    </row>
    <row r="3932" spans="1:3">
      <c r="A3932" s="347">
        <v>46090</v>
      </c>
      <c r="B3932" s="346" t="s">
        <v>7908</v>
      </c>
      <c r="C3932" s="346" t="s">
        <v>7909</v>
      </c>
    </row>
    <row r="3933" spans="1:3">
      <c r="A3933" s="347">
        <v>46090</v>
      </c>
      <c r="B3933" s="346" t="s">
        <v>10831</v>
      </c>
      <c r="C3933" s="346" t="s">
        <v>10832</v>
      </c>
    </row>
    <row r="3934" spans="1:3">
      <c r="A3934" s="347">
        <v>46090</v>
      </c>
      <c r="B3934" s="346" t="s">
        <v>7910</v>
      </c>
      <c r="C3934" s="346" t="s">
        <v>7911</v>
      </c>
    </row>
    <row r="3935" spans="1:3">
      <c r="A3935" s="347">
        <v>46090</v>
      </c>
      <c r="B3935" s="346" t="s">
        <v>7912</v>
      </c>
      <c r="C3935" s="346" t="s">
        <v>7913</v>
      </c>
    </row>
    <row r="3936" spans="1:3">
      <c r="A3936" s="347">
        <v>46090</v>
      </c>
      <c r="B3936" s="346" t="s">
        <v>7914</v>
      </c>
      <c r="C3936" s="346" t="s">
        <v>7915</v>
      </c>
    </row>
    <row r="3937" spans="1:3">
      <c r="A3937" s="347">
        <v>46090</v>
      </c>
      <c r="B3937" s="346" t="s">
        <v>7916</v>
      </c>
      <c r="C3937" s="346" t="s">
        <v>7917</v>
      </c>
    </row>
    <row r="3938" spans="1:3">
      <c r="A3938" s="347">
        <v>46090</v>
      </c>
      <c r="B3938" s="346" t="s">
        <v>7918</v>
      </c>
      <c r="C3938" s="346" t="s">
        <v>7919</v>
      </c>
    </row>
    <row r="3939" spans="1:3">
      <c r="A3939" s="347">
        <v>46090</v>
      </c>
      <c r="B3939" s="346" t="s">
        <v>7920</v>
      </c>
      <c r="C3939" s="346" t="s">
        <v>7921</v>
      </c>
    </row>
    <row r="3940" spans="1:3">
      <c r="A3940" s="347">
        <v>46090</v>
      </c>
      <c r="B3940" s="346" t="s">
        <v>7922</v>
      </c>
      <c r="C3940" s="346" t="s">
        <v>7923</v>
      </c>
    </row>
    <row r="3941" spans="1:3">
      <c r="A3941" s="347">
        <v>46090</v>
      </c>
      <c r="B3941" s="346" t="s">
        <v>7924</v>
      </c>
      <c r="C3941" s="346" t="s">
        <v>7925</v>
      </c>
    </row>
    <row r="3942" spans="1:3">
      <c r="A3942" s="347">
        <v>46090</v>
      </c>
      <c r="B3942" s="346" t="s">
        <v>7926</v>
      </c>
      <c r="C3942" s="346" t="s">
        <v>7927</v>
      </c>
    </row>
    <row r="3943" spans="1:3">
      <c r="A3943" s="347">
        <v>46090</v>
      </c>
      <c r="B3943" s="346" t="s">
        <v>7928</v>
      </c>
      <c r="C3943" s="346" t="s">
        <v>7929</v>
      </c>
    </row>
    <row r="3944" spans="1:3">
      <c r="A3944" s="347">
        <v>46090</v>
      </c>
      <c r="B3944" s="346" t="s">
        <v>7930</v>
      </c>
      <c r="C3944" s="346" t="s">
        <v>7931</v>
      </c>
    </row>
    <row r="3945" spans="1:3">
      <c r="A3945" s="347">
        <v>46090</v>
      </c>
      <c r="B3945" s="346" t="s">
        <v>7932</v>
      </c>
      <c r="C3945" s="346" t="s">
        <v>7933</v>
      </c>
    </row>
    <row r="3946" spans="1:3">
      <c r="A3946" s="347">
        <v>46090</v>
      </c>
      <c r="B3946" s="346" t="s">
        <v>7934</v>
      </c>
      <c r="C3946" s="346" t="s">
        <v>7935</v>
      </c>
    </row>
    <row r="3947" spans="1:3">
      <c r="A3947" s="347">
        <v>46090</v>
      </c>
      <c r="B3947" s="346" t="s">
        <v>7936</v>
      </c>
      <c r="C3947" s="346" t="s">
        <v>7937</v>
      </c>
    </row>
    <row r="3948" spans="1:3">
      <c r="A3948" s="347">
        <v>46090</v>
      </c>
      <c r="B3948" s="346" t="s">
        <v>7938</v>
      </c>
      <c r="C3948" s="346" t="s">
        <v>7939</v>
      </c>
    </row>
    <row r="3949" spans="1:3">
      <c r="A3949" s="347">
        <v>46090</v>
      </c>
      <c r="B3949" s="346" t="s">
        <v>7940</v>
      </c>
      <c r="C3949" s="346" t="s">
        <v>7941</v>
      </c>
    </row>
    <row r="3950" spans="1:3">
      <c r="A3950" s="347">
        <v>46090</v>
      </c>
      <c r="B3950" s="346" t="s">
        <v>10833</v>
      </c>
      <c r="C3950" s="346" t="s">
        <v>10834</v>
      </c>
    </row>
    <row r="3951" spans="1:3">
      <c r="A3951" s="347">
        <v>46090</v>
      </c>
      <c r="B3951" s="346" t="s">
        <v>11123</v>
      </c>
      <c r="C3951" s="346" t="s">
        <v>11124</v>
      </c>
    </row>
    <row r="3952" spans="1:3">
      <c r="A3952" s="347">
        <v>46090</v>
      </c>
      <c r="B3952" s="346" t="s">
        <v>7942</v>
      </c>
      <c r="C3952" s="346" t="s">
        <v>7943</v>
      </c>
    </row>
    <row r="3953" spans="1:3">
      <c r="A3953" s="347">
        <v>46090</v>
      </c>
      <c r="B3953" s="346" t="s">
        <v>7944</v>
      </c>
      <c r="C3953" s="346" t="s">
        <v>7945</v>
      </c>
    </row>
    <row r="3954" spans="1:3">
      <c r="A3954" s="347">
        <v>46090</v>
      </c>
      <c r="B3954" s="346" t="s">
        <v>7946</v>
      </c>
      <c r="C3954" s="346" t="s">
        <v>7947</v>
      </c>
    </row>
    <row r="3955" spans="1:3">
      <c r="A3955" s="347">
        <v>46090</v>
      </c>
      <c r="B3955" s="346" t="s">
        <v>7948</v>
      </c>
      <c r="C3955" s="346" t="s">
        <v>7949</v>
      </c>
    </row>
    <row r="3956" spans="1:3">
      <c r="A3956" s="347">
        <v>46090</v>
      </c>
      <c r="B3956" s="346" t="s">
        <v>7950</v>
      </c>
      <c r="C3956" s="346" t="s">
        <v>7951</v>
      </c>
    </row>
    <row r="3957" spans="1:3">
      <c r="A3957" s="347">
        <v>46090</v>
      </c>
      <c r="B3957" s="346" t="s">
        <v>7952</v>
      </c>
      <c r="C3957" s="346" t="s">
        <v>7953</v>
      </c>
    </row>
    <row r="3958" spans="1:3">
      <c r="A3958" s="347">
        <v>46090</v>
      </c>
      <c r="B3958" s="346" t="s">
        <v>7954</v>
      </c>
      <c r="C3958" s="346" t="s">
        <v>7955</v>
      </c>
    </row>
    <row r="3959" spans="1:3">
      <c r="A3959" s="347">
        <v>46090</v>
      </c>
      <c r="B3959" s="346" t="s">
        <v>7956</v>
      </c>
      <c r="C3959" s="346" t="s">
        <v>7957</v>
      </c>
    </row>
    <row r="3960" spans="1:3">
      <c r="A3960" s="347">
        <v>46090</v>
      </c>
      <c r="B3960" s="346" t="s">
        <v>7958</v>
      </c>
      <c r="C3960" s="346" t="s">
        <v>7959</v>
      </c>
    </row>
    <row r="3961" spans="1:3">
      <c r="A3961" s="347">
        <v>46090</v>
      </c>
      <c r="B3961" s="346" t="s">
        <v>7960</v>
      </c>
      <c r="C3961" s="346" t="s">
        <v>7961</v>
      </c>
    </row>
    <row r="3962" spans="1:3">
      <c r="A3962" s="347">
        <v>46090</v>
      </c>
      <c r="B3962" s="346" t="s">
        <v>7962</v>
      </c>
      <c r="C3962" s="346" t="s">
        <v>7963</v>
      </c>
    </row>
    <row r="3963" spans="1:3">
      <c r="A3963" s="347">
        <v>46090</v>
      </c>
      <c r="B3963" s="346" t="s">
        <v>7964</v>
      </c>
      <c r="C3963" s="346" t="s">
        <v>7965</v>
      </c>
    </row>
    <row r="3964" spans="1:3">
      <c r="A3964" s="347">
        <v>46090</v>
      </c>
      <c r="B3964" s="346" t="s">
        <v>7966</v>
      </c>
      <c r="C3964" s="346" t="s">
        <v>7967</v>
      </c>
    </row>
    <row r="3965" spans="1:3">
      <c r="A3965" s="347">
        <v>46090</v>
      </c>
      <c r="B3965" s="346" t="s">
        <v>7968</v>
      </c>
      <c r="C3965" s="346" t="s">
        <v>7969</v>
      </c>
    </row>
    <row r="3966" spans="1:3">
      <c r="A3966" s="347">
        <v>46090</v>
      </c>
      <c r="B3966" s="346" t="s">
        <v>7970</v>
      </c>
      <c r="C3966" s="346" t="s">
        <v>7971</v>
      </c>
    </row>
    <row r="3967" spans="1:3">
      <c r="A3967" s="347">
        <v>46090</v>
      </c>
      <c r="B3967" s="346" t="s">
        <v>7972</v>
      </c>
      <c r="C3967" s="346" t="s">
        <v>7973</v>
      </c>
    </row>
    <row r="3968" spans="1:3">
      <c r="A3968" s="347">
        <v>46090</v>
      </c>
      <c r="B3968" s="346" t="s">
        <v>7974</v>
      </c>
      <c r="C3968" s="346" t="s">
        <v>7975</v>
      </c>
    </row>
    <row r="3969" spans="1:3">
      <c r="A3969" s="347">
        <v>46090</v>
      </c>
      <c r="B3969" s="346" t="s">
        <v>7976</v>
      </c>
      <c r="C3969" s="346" t="s">
        <v>7977</v>
      </c>
    </row>
    <row r="3970" spans="1:3">
      <c r="A3970" s="347">
        <v>46090</v>
      </c>
      <c r="B3970" s="346" t="s">
        <v>7978</v>
      </c>
      <c r="C3970" s="346" t="s">
        <v>7979</v>
      </c>
    </row>
    <row r="3971" spans="1:3">
      <c r="A3971" s="347">
        <v>46090</v>
      </c>
      <c r="B3971" s="346" t="s">
        <v>7980</v>
      </c>
      <c r="C3971" s="346" t="s">
        <v>7981</v>
      </c>
    </row>
    <row r="3972" spans="1:3">
      <c r="A3972" s="347">
        <v>46090</v>
      </c>
      <c r="B3972" s="346" t="s">
        <v>7982</v>
      </c>
      <c r="C3972" s="346" t="s">
        <v>7983</v>
      </c>
    </row>
    <row r="3973" spans="1:3">
      <c r="A3973" s="347">
        <v>46090</v>
      </c>
      <c r="B3973" s="346" t="s">
        <v>7984</v>
      </c>
      <c r="C3973" s="346" t="s">
        <v>10835</v>
      </c>
    </row>
    <row r="3974" spans="1:3">
      <c r="A3974" s="347">
        <v>46090</v>
      </c>
      <c r="B3974" s="346" t="s">
        <v>7985</v>
      </c>
      <c r="C3974" s="346" t="s">
        <v>7986</v>
      </c>
    </row>
    <row r="3975" spans="1:3">
      <c r="A3975" s="347">
        <v>46090</v>
      </c>
      <c r="B3975" s="346" t="s">
        <v>7987</v>
      </c>
      <c r="C3975" s="346" t="s">
        <v>7988</v>
      </c>
    </row>
    <row r="3976" spans="1:3">
      <c r="A3976" s="347">
        <v>46090</v>
      </c>
      <c r="B3976" s="346" t="s">
        <v>10836</v>
      </c>
      <c r="C3976" s="346" t="s">
        <v>10837</v>
      </c>
    </row>
    <row r="3977" spans="1:3">
      <c r="A3977" s="347">
        <v>46090</v>
      </c>
      <c r="B3977" s="346" t="s">
        <v>7989</v>
      </c>
      <c r="C3977" s="346" t="s">
        <v>7990</v>
      </c>
    </row>
    <row r="3978" spans="1:3">
      <c r="A3978" s="347">
        <v>46090</v>
      </c>
      <c r="B3978" s="346" t="s">
        <v>7991</v>
      </c>
      <c r="C3978" s="346" t="s">
        <v>7992</v>
      </c>
    </row>
    <row r="3979" spans="1:3">
      <c r="A3979" s="347">
        <v>46090</v>
      </c>
      <c r="B3979" s="346" t="s">
        <v>7993</v>
      </c>
      <c r="C3979" s="346" t="s">
        <v>7994</v>
      </c>
    </row>
    <row r="3980" spans="1:3">
      <c r="A3980" s="347">
        <v>46090</v>
      </c>
      <c r="B3980" s="346" t="s">
        <v>10838</v>
      </c>
      <c r="C3980" s="346" t="s">
        <v>10839</v>
      </c>
    </row>
    <row r="3981" spans="1:3">
      <c r="A3981" s="347">
        <v>46090</v>
      </c>
      <c r="B3981" s="346" t="s">
        <v>7995</v>
      </c>
      <c r="C3981" s="346" t="s">
        <v>7996</v>
      </c>
    </row>
    <row r="3982" spans="1:3">
      <c r="A3982" s="347">
        <v>46090</v>
      </c>
      <c r="B3982" s="346" t="s">
        <v>7997</v>
      </c>
      <c r="C3982" s="346" t="s">
        <v>7998</v>
      </c>
    </row>
    <row r="3983" spans="1:3">
      <c r="A3983" s="347">
        <v>46090</v>
      </c>
      <c r="B3983" s="346" t="s">
        <v>7999</v>
      </c>
      <c r="C3983" s="346" t="s">
        <v>8000</v>
      </c>
    </row>
    <row r="3984" spans="1:3">
      <c r="A3984" s="347">
        <v>46090</v>
      </c>
      <c r="B3984" s="346" t="s">
        <v>8001</v>
      </c>
      <c r="C3984" s="346" t="s">
        <v>8002</v>
      </c>
    </row>
    <row r="3985" spans="1:3">
      <c r="A3985" s="347">
        <v>46090</v>
      </c>
      <c r="B3985" s="346" t="s">
        <v>8003</v>
      </c>
      <c r="C3985" s="346" t="s">
        <v>8004</v>
      </c>
    </row>
    <row r="3986" spans="1:3">
      <c r="A3986" s="347">
        <v>46090</v>
      </c>
      <c r="B3986" s="346" t="s">
        <v>8005</v>
      </c>
      <c r="C3986" s="346" t="s">
        <v>8006</v>
      </c>
    </row>
    <row r="3987" spans="1:3">
      <c r="A3987" s="347">
        <v>46090</v>
      </c>
      <c r="B3987" s="346" t="s">
        <v>8007</v>
      </c>
      <c r="C3987" s="346" t="s">
        <v>8008</v>
      </c>
    </row>
    <row r="3988" spans="1:3">
      <c r="A3988" s="347">
        <v>46090</v>
      </c>
      <c r="B3988" s="346" t="s">
        <v>8009</v>
      </c>
      <c r="C3988" s="346" t="s">
        <v>8010</v>
      </c>
    </row>
    <row r="3989" spans="1:3">
      <c r="A3989" s="347">
        <v>46090</v>
      </c>
      <c r="B3989" s="346" t="s">
        <v>8011</v>
      </c>
      <c r="C3989" s="346" t="s">
        <v>8012</v>
      </c>
    </row>
    <row r="3990" spans="1:3">
      <c r="A3990" s="347">
        <v>46090</v>
      </c>
      <c r="B3990" s="346" t="s">
        <v>8013</v>
      </c>
      <c r="C3990" s="346" t="s">
        <v>8014</v>
      </c>
    </row>
    <row r="3991" spans="1:3">
      <c r="A3991" s="347">
        <v>46090</v>
      </c>
      <c r="B3991" s="346" t="s">
        <v>8015</v>
      </c>
      <c r="C3991" s="346" t="s">
        <v>8016</v>
      </c>
    </row>
    <row r="3992" spans="1:3">
      <c r="A3992" s="347">
        <v>46090</v>
      </c>
      <c r="B3992" s="346" t="s">
        <v>8017</v>
      </c>
      <c r="C3992" s="346" t="s">
        <v>8018</v>
      </c>
    </row>
    <row r="3993" spans="1:3">
      <c r="A3993" s="347">
        <v>46090</v>
      </c>
      <c r="B3993" s="346" t="s">
        <v>8019</v>
      </c>
      <c r="C3993" s="346" t="s">
        <v>11125</v>
      </c>
    </row>
    <row r="3994" spans="1:3">
      <c r="A3994" s="347">
        <v>46090</v>
      </c>
      <c r="B3994" s="346" t="s">
        <v>8020</v>
      </c>
      <c r="C3994" s="346" t="s">
        <v>8021</v>
      </c>
    </row>
    <row r="3995" spans="1:3">
      <c r="A3995" s="347">
        <v>46090</v>
      </c>
      <c r="B3995" s="346" t="s">
        <v>8022</v>
      </c>
      <c r="C3995" s="346" t="s">
        <v>8023</v>
      </c>
    </row>
    <row r="3996" spans="1:3">
      <c r="A3996" s="347">
        <v>46090</v>
      </c>
      <c r="B3996" s="346" t="s">
        <v>8024</v>
      </c>
      <c r="C3996" s="346" t="s">
        <v>8025</v>
      </c>
    </row>
    <row r="3997" spans="1:3">
      <c r="A3997" s="347">
        <v>46090</v>
      </c>
      <c r="B3997" s="346" t="s">
        <v>8026</v>
      </c>
      <c r="C3997" s="346" t="s">
        <v>8027</v>
      </c>
    </row>
    <row r="3998" spans="1:3">
      <c r="A3998" s="347">
        <v>46090</v>
      </c>
      <c r="B3998" s="346" t="s">
        <v>8028</v>
      </c>
      <c r="C3998" s="346" t="s">
        <v>8029</v>
      </c>
    </row>
    <row r="3999" spans="1:3">
      <c r="A3999" s="347">
        <v>46090</v>
      </c>
      <c r="B3999" s="346" t="s">
        <v>8030</v>
      </c>
      <c r="C3999" s="346" t="s">
        <v>8031</v>
      </c>
    </row>
    <row r="4000" spans="1:3">
      <c r="A4000" s="347">
        <v>46090</v>
      </c>
      <c r="B4000" s="346" t="s">
        <v>8032</v>
      </c>
      <c r="C4000" s="346" t="s">
        <v>8033</v>
      </c>
    </row>
    <row r="4001" spans="1:3">
      <c r="A4001" s="347">
        <v>46090</v>
      </c>
      <c r="B4001" s="346" t="s">
        <v>8034</v>
      </c>
      <c r="C4001" s="346" t="s">
        <v>8035</v>
      </c>
    </row>
    <row r="4002" spans="1:3">
      <c r="A4002" s="347">
        <v>46090</v>
      </c>
      <c r="B4002" s="346" t="s">
        <v>8036</v>
      </c>
      <c r="C4002" s="346" t="s">
        <v>8037</v>
      </c>
    </row>
    <row r="4003" spans="1:3">
      <c r="A4003" s="347">
        <v>46090</v>
      </c>
      <c r="B4003" s="346" t="s">
        <v>8038</v>
      </c>
      <c r="C4003" s="346" t="s">
        <v>8039</v>
      </c>
    </row>
    <row r="4004" spans="1:3">
      <c r="A4004" s="347">
        <v>46090</v>
      </c>
      <c r="B4004" s="346" t="s">
        <v>8040</v>
      </c>
      <c r="C4004" s="346" t="s">
        <v>8041</v>
      </c>
    </row>
    <row r="4005" spans="1:3">
      <c r="A4005" s="347">
        <v>46090</v>
      </c>
      <c r="B4005" s="346" t="s">
        <v>8042</v>
      </c>
      <c r="C4005" s="346" t="s">
        <v>8043</v>
      </c>
    </row>
    <row r="4006" spans="1:3">
      <c r="A4006" s="347">
        <v>46090</v>
      </c>
      <c r="B4006" s="346" t="s">
        <v>8044</v>
      </c>
      <c r="C4006" s="346" t="s">
        <v>8045</v>
      </c>
    </row>
    <row r="4007" spans="1:3">
      <c r="A4007" s="347">
        <v>46090</v>
      </c>
      <c r="B4007" s="346" t="s">
        <v>8046</v>
      </c>
      <c r="C4007" s="346" t="s">
        <v>8047</v>
      </c>
    </row>
    <row r="4008" spans="1:3">
      <c r="A4008" s="347">
        <v>46090</v>
      </c>
      <c r="B4008" s="346" t="s">
        <v>8048</v>
      </c>
      <c r="C4008" s="346" t="s">
        <v>8049</v>
      </c>
    </row>
    <row r="4009" spans="1:3">
      <c r="A4009" s="347">
        <v>46090</v>
      </c>
      <c r="B4009" s="346" t="s">
        <v>8050</v>
      </c>
      <c r="C4009" s="346" t="s">
        <v>8051</v>
      </c>
    </row>
    <row r="4010" spans="1:3">
      <c r="A4010" s="347">
        <v>46090</v>
      </c>
      <c r="B4010" s="346" t="s">
        <v>8052</v>
      </c>
      <c r="C4010" s="346" t="s">
        <v>8053</v>
      </c>
    </row>
    <row r="4011" spans="1:3">
      <c r="A4011" s="347">
        <v>46090</v>
      </c>
      <c r="B4011" s="346" t="s">
        <v>8054</v>
      </c>
      <c r="C4011" s="346" t="s">
        <v>8055</v>
      </c>
    </row>
    <row r="4012" spans="1:3">
      <c r="A4012" s="347">
        <v>46090</v>
      </c>
      <c r="B4012" s="346" t="s">
        <v>8056</v>
      </c>
      <c r="C4012" s="346" t="s">
        <v>8057</v>
      </c>
    </row>
    <row r="4013" spans="1:3">
      <c r="A4013" s="347">
        <v>46090</v>
      </c>
      <c r="B4013" s="346" t="s">
        <v>8058</v>
      </c>
      <c r="C4013" s="346" t="s">
        <v>8059</v>
      </c>
    </row>
    <row r="4014" spans="1:3">
      <c r="A4014" s="347">
        <v>46090</v>
      </c>
      <c r="B4014" s="346" t="s">
        <v>11126</v>
      </c>
      <c r="C4014" s="346" t="s">
        <v>11127</v>
      </c>
    </row>
    <row r="4015" spans="1:3">
      <c r="A4015" s="347">
        <v>46090</v>
      </c>
      <c r="B4015" s="346" t="s">
        <v>8060</v>
      </c>
      <c r="C4015" s="346" t="s">
        <v>8061</v>
      </c>
    </row>
    <row r="4016" spans="1:3">
      <c r="A4016" s="347">
        <v>46090</v>
      </c>
      <c r="B4016" s="346" t="s">
        <v>8062</v>
      </c>
      <c r="C4016" s="346" t="s">
        <v>8063</v>
      </c>
    </row>
    <row r="4017" spans="1:3">
      <c r="A4017" s="347">
        <v>46090</v>
      </c>
      <c r="B4017" s="346" t="s">
        <v>8064</v>
      </c>
      <c r="C4017" s="346" t="s">
        <v>8065</v>
      </c>
    </row>
    <row r="4018" spans="1:3">
      <c r="A4018" s="347">
        <v>46090</v>
      </c>
      <c r="B4018" s="346" t="s">
        <v>8066</v>
      </c>
      <c r="C4018" s="346" t="s">
        <v>8067</v>
      </c>
    </row>
    <row r="4019" spans="1:3">
      <c r="A4019" s="347">
        <v>46090</v>
      </c>
      <c r="B4019" s="346" t="s">
        <v>8068</v>
      </c>
      <c r="C4019" s="346" t="s">
        <v>10840</v>
      </c>
    </row>
    <row r="4020" spans="1:3">
      <c r="A4020" s="347">
        <v>46090</v>
      </c>
      <c r="B4020" s="346" t="s">
        <v>8069</v>
      </c>
      <c r="C4020" s="346" t="s">
        <v>8070</v>
      </c>
    </row>
    <row r="4021" spans="1:3">
      <c r="A4021" s="347">
        <v>46090</v>
      </c>
      <c r="B4021" s="346" t="s">
        <v>8071</v>
      </c>
      <c r="C4021" s="346" t="s">
        <v>8072</v>
      </c>
    </row>
    <row r="4022" spans="1:3">
      <c r="A4022" s="347">
        <v>46090</v>
      </c>
      <c r="B4022" s="346" t="s">
        <v>8073</v>
      </c>
      <c r="C4022" s="346" t="s">
        <v>8074</v>
      </c>
    </row>
    <row r="4023" spans="1:3">
      <c r="A4023" s="347">
        <v>46090</v>
      </c>
      <c r="B4023" s="346" t="s">
        <v>8075</v>
      </c>
      <c r="C4023" s="346" t="s">
        <v>8076</v>
      </c>
    </row>
    <row r="4024" spans="1:3">
      <c r="A4024" s="347">
        <v>46090</v>
      </c>
      <c r="B4024" s="346" t="s">
        <v>8077</v>
      </c>
      <c r="C4024" s="346" t="s">
        <v>8078</v>
      </c>
    </row>
    <row r="4025" spans="1:3">
      <c r="A4025" s="347">
        <v>46090</v>
      </c>
      <c r="B4025" s="346" t="s">
        <v>8079</v>
      </c>
      <c r="C4025" s="346" t="s">
        <v>8080</v>
      </c>
    </row>
    <row r="4026" spans="1:3">
      <c r="A4026" s="347">
        <v>46090</v>
      </c>
      <c r="B4026" s="346" t="s">
        <v>8081</v>
      </c>
      <c r="C4026" s="346" t="s">
        <v>8082</v>
      </c>
    </row>
    <row r="4027" spans="1:3">
      <c r="A4027" s="347">
        <v>46090</v>
      </c>
      <c r="B4027" s="346" t="s">
        <v>8083</v>
      </c>
      <c r="C4027" s="346" t="s">
        <v>8084</v>
      </c>
    </row>
    <row r="4028" spans="1:3">
      <c r="A4028" s="347">
        <v>46090</v>
      </c>
      <c r="B4028" s="346" t="s">
        <v>8085</v>
      </c>
      <c r="C4028" s="346" t="s">
        <v>8086</v>
      </c>
    </row>
    <row r="4029" spans="1:3">
      <c r="A4029" s="347">
        <v>46090</v>
      </c>
      <c r="B4029" s="346" t="s">
        <v>8087</v>
      </c>
      <c r="C4029" s="346" t="s">
        <v>8088</v>
      </c>
    </row>
    <row r="4030" spans="1:3">
      <c r="A4030" s="347">
        <v>46090</v>
      </c>
      <c r="B4030" s="346" t="s">
        <v>8089</v>
      </c>
      <c r="C4030" s="346" t="s">
        <v>8090</v>
      </c>
    </row>
    <row r="4031" spans="1:3">
      <c r="A4031" s="347">
        <v>46090</v>
      </c>
      <c r="B4031" s="346" t="s">
        <v>8091</v>
      </c>
      <c r="C4031" s="346" t="s">
        <v>8092</v>
      </c>
    </row>
    <row r="4032" spans="1:3">
      <c r="A4032" s="347">
        <v>46090</v>
      </c>
      <c r="B4032" s="346" t="s">
        <v>10841</v>
      </c>
      <c r="C4032" s="346" t="s">
        <v>10842</v>
      </c>
    </row>
    <row r="4033" spans="1:3">
      <c r="A4033" s="347">
        <v>46090</v>
      </c>
      <c r="B4033" s="346" t="s">
        <v>8093</v>
      </c>
      <c r="C4033" s="346" t="s">
        <v>8094</v>
      </c>
    </row>
    <row r="4034" spans="1:3">
      <c r="A4034" s="347">
        <v>46090</v>
      </c>
      <c r="B4034" s="346" t="s">
        <v>8095</v>
      </c>
      <c r="C4034" s="346" t="s">
        <v>8096</v>
      </c>
    </row>
    <row r="4035" spans="1:3">
      <c r="A4035" s="347">
        <v>46090</v>
      </c>
      <c r="B4035" s="346" t="s">
        <v>8097</v>
      </c>
      <c r="C4035" s="346" t="s">
        <v>8098</v>
      </c>
    </row>
    <row r="4036" spans="1:3">
      <c r="A4036" s="347">
        <v>46090</v>
      </c>
      <c r="B4036" s="346" t="s">
        <v>8099</v>
      </c>
      <c r="C4036" s="346" t="s">
        <v>8100</v>
      </c>
    </row>
    <row r="4037" spans="1:3">
      <c r="A4037" s="347">
        <v>46090</v>
      </c>
      <c r="B4037" s="346" t="s">
        <v>8101</v>
      </c>
      <c r="C4037" s="346" t="s">
        <v>8102</v>
      </c>
    </row>
    <row r="4038" spans="1:3">
      <c r="A4038" s="347">
        <v>46090</v>
      </c>
      <c r="B4038" s="346" t="s">
        <v>8103</v>
      </c>
      <c r="C4038" s="346" t="s">
        <v>8104</v>
      </c>
    </row>
    <row r="4039" spans="1:3">
      <c r="A4039" s="347">
        <v>46090</v>
      </c>
      <c r="B4039" s="346" t="s">
        <v>8105</v>
      </c>
      <c r="C4039" s="346" t="s">
        <v>8106</v>
      </c>
    </row>
    <row r="4040" spans="1:3">
      <c r="A4040" s="347">
        <v>46090</v>
      </c>
      <c r="B4040" s="346" t="s">
        <v>10843</v>
      </c>
      <c r="C4040" s="346" t="s">
        <v>10844</v>
      </c>
    </row>
    <row r="4041" spans="1:3">
      <c r="A4041" s="347">
        <v>46090</v>
      </c>
      <c r="B4041" s="346" t="s">
        <v>8107</v>
      </c>
      <c r="C4041" s="346" t="s">
        <v>8108</v>
      </c>
    </row>
    <row r="4042" spans="1:3">
      <c r="A4042" s="347">
        <v>46090</v>
      </c>
      <c r="B4042" s="346" t="s">
        <v>10845</v>
      </c>
      <c r="C4042" s="346" t="s">
        <v>10846</v>
      </c>
    </row>
    <row r="4043" spans="1:3">
      <c r="A4043" s="347">
        <v>46090</v>
      </c>
      <c r="B4043" s="346" t="s">
        <v>8109</v>
      </c>
      <c r="C4043" s="346" t="s">
        <v>8110</v>
      </c>
    </row>
    <row r="4044" spans="1:3">
      <c r="A4044" s="347">
        <v>46090</v>
      </c>
      <c r="B4044" s="346" t="s">
        <v>10847</v>
      </c>
      <c r="C4044" s="346" t="s">
        <v>10848</v>
      </c>
    </row>
    <row r="4045" spans="1:3">
      <c r="A4045" s="347">
        <v>46090</v>
      </c>
      <c r="B4045" s="346" t="s">
        <v>8111</v>
      </c>
      <c r="C4045" s="346" t="s">
        <v>8112</v>
      </c>
    </row>
    <row r="4046" spans="1:3">
      <c r="A4046" s="347">
        <v>46090</v>
      </c>
      <c r="B4046" s="346" t="s">
        <v>8113</v>
      </c>
      <c r="C4046" s="346" t="s">
        <v>8114</v>
      </c>
    </row>
    <row r="4047" spans="1:3">
      <c r="A4047" s="347">
        <v>46090</v>
      </c>
      <c r="B4047" s="346" t="s">
        <v>10849</v>
      </c>
      <c r="C4047" s="346" t="s">
        <v>10850</v>
      </c>
    </row>
    <row r="4048" spans="1:3">
      <c r="A4048" s="347">
        <v>46090</v>
      </c>
      <c r="B4048" s="346" t="s">
        <v>8115</v>
      </c>
      <c r="C4048" s="346" t="s">
        <v>8116</v>
      </c>
    </row>
    <row r="4049" spans="1:3">
      <c r="A4049" s="347">
        <v>46090</v>
      </c>
      <c r="B4049" s="346" t="s">
        <v>8117</v>
      </c>
      <c r="C4049" s="346" t="s">
        <v>8118</v>
      </c>
    </row>
    <row r="4050" spans="1:3">
      <c r="A4050" s="347">
        <v>46090</v>
      </c>
      <c r="B4050" s="346" t="s">
        <v>8119</v>
      </c>
      <c r="C4050" s="346" t="s">
        <v>8120</v>
      </c>
    </row>
    <row r="4051" spans="1:3">
      <c r="A4051" s="347">
        <v>46090</v>
      </c>
      <c r="B4051" s="346" t="s">
        <v>8121</v>
      </c>
      <c r="C4051" s="346" t="s">
        <v>8122</v>
      </c>
    </row>
    <row r="4052" spans="1:3">
      <c r="A4052" s="347">
        <v>46090</v>
      </c>
      <c r="B4052" s="346" t="s">
        <v>8123</v>
      </c>
      <c r="C4052" s="346" t="s">
        <v>8124</v>
      </c>
    </row>
    <row r="4053" spans="1:3">
      <c r="A4053" s="347">
        <v>46090</v>
      </c>
      <c r="B4053" s="346" t="s">
        <v>8125</v>
      </c>
      <c r="C4053" s="346" t="s">
        <v>8126</v>
      </c>
    </row>
    <row r="4054" spans="1:3">
      <c r="A4054" s="347">
        <v>46090</v>
      </c>
      <c r="B4054" s="346" t="s">
        <v>8127</v>
      </c>
      <c r="C4054" s="346" t="s">
        <v>8128</v>
      </c>
    </row>
    <row r="4055" spans="1:3">
      <c r="A4055" s="347">
        <v>46090</v>
      </c>
      <c r="B4055" s="346" t="s">
        <v>8129</v>
      </c>
      <c r="C4055" s="346" t="s">
        <v>8130</v>
      </c>
    </row>
    <row r="4056" spans="1:3">
      <c r="A4056" s="347">
        <v>46090</v>
      </c>
      <c r="B4056" s="346" t="s">
        <v>8131</v>
      </c>
      <c r="C4056" s="346" t="s">
        <v>8132</v>
      </c>
    </row>
    <row r="4057" spans="1:3">
      <c r="A4057" s="347">
        <v>46090</v>
      </c>
      <c r="B4057" s="346" t="s">
        <v>8133</v>
      </c>
      <c r="C4057" s="346" t="s">
        <v>8134</v>
      </c>
    </row>
    <row r="4058" spans="1:3">
      <c r="A4058" s="347">
        <v>46090</v>
      </c>
      <c r="B4058" s="346" t="s">
        <v>8135</v>
      </c>
      <c r="C4058" s="346" t="s">
        <v>8136</v>
      </c>
    </row>
    <row r="4059" spans="1:3">
      <c r="A4059" s="347">
        <v>46090</v>
      </c>
      <c r="B4059" s="346" t="s">
        <v>8137</v>
      </c>
      <c r="C4059" s="346" t="s">
        <v>10851</v>
      </c>
    </row>
    <row r="4060" spans="1:3">
      <c r="A4060" s="347">
        <v>46090</v>
      </c>
      <c r="B4060" s="346" t="s">
        <v>8138</v>
      </c>
      <c r="C4060" s="346" t="s">
        <v>8139</v>
      </c>
    </row>
    <row r="4061" spans="1:3">
      <c r="A4061" s="347">
        <v>46090</v>
      </c>
      <c r="B4061" s="346" t="s">
        <v>8140</v>
      </c>
      <c r="C4061" s="346" t="s">
        <v>8141</v>
      </c>
    </row>
    <row r="4062" spans="1:3">
      <c r="A4062" s="347">
        <v>46090</v>
      </c>
      <c r="B4062" s="346" t="s">
        <v>8142</v>
      </c>
      <c r="C4062" s="346" t="s">
        <v>8143</v>
      </c>
    </row>
    <row r="4063" spans="1:3">
      <c r="A4063" s="347">
        <v>46090</v>
      </c>
      <c r="B4063" s="346" t="s">
        <v>8144</v>
      </c>
      <c r="C4063" s="346" t="s">
        <v>8145</v>
      </c>
    </row>
    <row r="4064" spans="1:3">
      <c r="A4064" s="347">
        <v>46090</v>
      </c>
      <c r="B4064" s="346" t="s">
        <v>8146</v>
      </c>
      <c r="C4064" s="346" t="s">
        <v>8147</v>
      </c>
    </row>
    <row r="4065" spans="1:3">
      <c r="A4065" s="347">
        <v>46090</v>
      </c>
      <c r="B4065" s="346" t="s">
        <v>8148</v>
      </c>
      <c r="C4065" s="346" t="s">
        <v>8149</v>
      </c>
    </row>
    <row r="4066" spans="1:3">
      <c r="A4066" s="347">
        <v>46090</v>
      </c>
      <c r="B4066" s="346" t="s">
        <v>8150</v>
      </c>
      <c r="C4066" s="346" t="s">
        <v>8151</v>
      </c>
    </row>
    <row r="4067" spans="1:3">
      <c r="A4067" s="347">
        <v>46090</v>
      </c>
      <c r="B4067" s="346" t="s">
        <v>8152</v>
      </c>
      <c r="C4067" s="346" t="s">
        <v>8153</v>
      </c>
    </row>
    <row r="4068" spans="1:3">
      <c r="A4068" s="347">
        <v>46090</v>
      </c>
      <c r="B4068" s="346" t="s">
        <v>8154</v>
      </c>
      <c r="C4068" s="346" t="s">
        <v>8155</v>
      </c>
    </row>
    <row r="4069" spans="1:3">
      <c r="A4069" s="347">
        <v>46090</v>
      </c>
      <c r="B4069" s="346" t="s">
        <v>8156</v>
      </c>
      <c r="C4069" s="346" t="s">
        <v>8157</v>
      </c>
    </row>
    <row r="4070" spans="1:3">
      <c r="A4070" s="347">
        <v>46090</v>
      </c>
      <c r="B4070" s="346" t="s">
        <v>8158</v>
      </c>
      <c r="C4070" s="346" t="s">
        <v>8159</v>
      </c>
    </row>
    <row r="4071" spans="1:3">
      <c r="A4071" s="347">
        <v>46090</v>
      </c>
      <c r="B4071" s="346" t="s">
        <v>8160</v>
      </c>
      <c r="C4071" s="346" t="s">
        <v>8161</v>
      </c>
    </row>
    <row r="4072" spans="1:3">
      <c r="A4072" s="347">
        <v>46090</v>
      </c>
      <c r="B4072" s="346" t="s">
        <v>8162</v>
      </c>
      <c r="C4072" s="346" t="s">
        <v>8163</v>
      </c>
    </row>
    <row r="4073" spans="1:3">
      <c r="A4073" s="347">
        <v>46090</v>
      </c>
      <c r="B4073" s="346" t="s">
        <v>8164</v>
      </c>
      <c r="C4073" s="346" t="s">
        <v>8165</v>
      </c>
    </row>
    <row r="4074" spans="1:3">
      <c r="A4074" s="347">
        <v>46090</v>
      </c>
      <c r="B4074" s="346" t="s">
        <v>8166</v>
      </c>
      <c r="C4074" s="346" t="s">
        <v>8167</v>
      </c>
    </row>
    <row r="4075" spans="1:3">
      <c r="A4075" s="347">
        <v>46090</v>
      </c>
      <c r="B4075" s="346" t="s">
        <v>11128</v>
      </c>
      <c r="C4075" s="346" t="s">
        <v>11129</v>
      </c>
    </row>
    <row r="4076" spans="1:3">
      <c r="A4076" s="347">
        <v>46090</v>
      </c>
      <c r="B4076" s="346" t="s">
        <v>8168</v>
      </c>
      <c r="C4076" s="346" t="s">
        <v>8169</v>
      </c>
    </row>
    <row r="4077" spans="1:3">
      <c r="A4077" s="347">
        <v>46090</v>
      </c>
      <c r="B4077" s="346" t="s">
        <v>8170</v>
      </c>
      <c r="C4077" s="346" t="s">
        <v>8171</v>
      </c>
    </row>
    <row r="4078" spans="1:3">
      <c r="A4078" s="347">
        <v>46090</v>
      </c>
      <c r="B4078" s="346" t="s">
        <v>10852</v>
      </c>
      <c r="C4078" s="346" t="s">
        <v>10853</v>
      </c>
    </row>
    <row r="4079" spans="1:3">
      <c r="A4079" s="347">
        <v>46090</v>
      </c>
      <c r="B4079" s="346" t="s">
        <v>8172</v>
      </c>
      <c r="C4079" s="346" t="s">
        <v>8173</v>
      </c>
    </row>
    <row r="4080" spans="1:3">
      <c r="A4080" s="347">
        <v>46090</v>
      </c>
      <c r="B4080" s="346" t="s">
        <v>8174</v>
      </c>
      <c r="C4080" s="346" t="s">
        <v>8175</v>
      </c>
    </row>
    <row r="4081" spans="1:3">
      <c r="A4081" s="347">
        <v>46090</v>
      </c>
      <c r="B4081" s="346" t="s">
        <v>8176</v>
      </c>
      <c r="C4081" s="346" t="s">
        <v>8177</v>
      </c>
    </row>
    <row r="4082" spans="1:3">
      <c r="A4082" s="347">
        <v>46090</v>
      </c>
      <c r="B4082" s="346" t="s">
        <v>8178</v>
      </c>
      <c r="C4082" s="346" t="s">
        <v>10854</v>
      </c>
    </row>
    <row r="4083" spans="1:3">
      <c r="A4083" s="347">
        <v>46090</v>
      </c>
      <c r="B4083" s="346" t="s">
        <v>10855</v>
      </c>
      <c r="C4083" s="346" t="s">
        <v>10856</v>
      </c>
    </row>
    <row r="4084" spans="1:3">
      <c r="A4084" s="347">
        <v>46090</v>
      </c>
      <c r="B4084" s="346" t="s">
        <v>8179</v>
      </c>
      <c r="C4084" s="346" t="s">
        <v>8180</v>
      </c>
    </row>
    <row r="4085" spans="1:3">
      <c r="A4085" s="347">
        <v>46090</v>
      </c>
      <c r="B4085" s="346" t="s">
        <v>8181</v>
      </c>
      <c r="C4085" s="346" t="s">
        <v>8182</v>
      </c>
    </row>
    <row r="4086" spans="1:3">
      <c r="A4086" s="347">
        <v>46090</v>
      </c>
      <c r="B4086" s="346" t="s">
        <v>8183</v>
      </c>
      <c r="C4086" s="346" t="s">
        <v>10857</v>
      </c>
    </row>
    <row r="4087" spans="1:3">
      <c r="A4087" s="347">
        <v>46090</v>
      </c>
      <c r="B4087" s="346" t="s">
        <v>8184</v>
      </c>
      <c r="C4087" s="346" t="s">
        <v>8185</v>
      </c>
    </row>
    <row r="4088" spans="1:3">
      <c r="A4088" s="347">
        <v>46090</v>
      </c>
      <c r="B4088" s="346" t="s">
        <v>8186</v>
      </c>
      <c r="C4088" s="346" t="s">
        <v>8187</v>
      </c>
    </row>
    <row r="4089" spans="1:3">
      <c r="A4089" s="347">
        <v>46090</v>
      </c>
      <c r="B4089" s="346" t="s">
        <v>10858</v>
      </c>
      <c r="C4089" s="346" t="s">
        <v>10859</v>
      </c>
    </row>
    <row r="4090" spans="1:3">
      <c r="A4090" s="347">
        <v>46090</v>
      </c>
      <c r="B4090" s="346" t="s">
        <v>8188</v>
      </c>
      <c r="C4090" s="346" t="s">
        <v>8189</v>
      </c>
    </row>
    <row r="4091" spans="1:3">
      <c r="A4091" s="347">
        <v>46090</v>
      </c>
      <c r="B4091" s="346" t="s">
        <v>8190</v>
      </c>
      <c r="C4091" s="346" t="s">
        <v>8191</v>
      </c>
    </row>
    <row r="4092" spans="1:3">
      <c r="A4092" s="347">
        <v>46090</v>
      </c>
      <c r="B4092" s="346" t="s">
        <v>8192</v>
      </c>
      <c r="C4092" s="346" t="s">
        <v>8193</v>
      </c>
    </row>
    <row r="4093" spans="1:3">
      <c r="A4093" s="347">
        <v>46090</v>
      </c>
      <c r="B4093" s="346" t="s">
        <v>8194</v>
      </c>
      <c r="C4093" s="346" t="s">
        <v>8195</v>
      </c>
    </row>
    <row r="4094" spans="1:3">
      <c r="A4094" s="347">
        <v>46090</v>
      </c>
      <c r="B4094" s="346" t="s">
        <v>8196</v>
      </c>
      <c r="C4094" s="346" t="s">
        <v>8197</v>
      </c>
    </row>
    <row r="4095" spans="1:3">
      <c r="A4095" s="347">
        <v>46090</v>
      </c>
      <c r="B4095" s="346" t="s">
        <v>8198</v>
      </c>
      <c r="C4095" s="346" t="s">
        <v>8199</v>
      </c>
    </row>
    <row r="4096" spans="1:3">
      <c r="A4096" s="347">
        <v>46090</v>
      </c>
      <c r="B4096" s="346" t="s">
        <v>8200</v>
      </c>
      <c r="C4096" s="346" t="s">
        <v>8201</v>
      </c>
    </row>
    <row r="4097" spans="1:3">
      <c r="A4097" s="347">
        <v>46090</v>
      </c>
      <c r="B4097" s="346" t="s">
        <v>8202</v>
      </c>
      <c r="C4097" s="346" t="s">
        <v>8203</v>
      </c>
    </row>
    <row r="4098" spans="1:3">
      <c r="A4098" s="347">
        <v>46090</v>
      </c>
      <c r="B4098" s="346" t="s">
        <v>8204</v>
      </c>
      <c r="C4098" s="346" t="s">
        <v>8205</v>
      </c>
    </row>
    <row r="4099" spans="1:3">
      <c r="A4099" s="347">
        <v>46090</v>
      </c>
      <c r="B4099" s="346" t="s">
        <v>8206</v>
      </c>
      <c r="C4099" s="346" t="s">
        <v>8207</v>
      </c>
    </row>
    <row r="4100" spans="1:3">
      <c r="A4100" s="347">
        <v>46090</v>
      </c>
      <c r="B4100" s="346" t="s">
        <v>8208</v>
      </c>
      <c r="C4100" s="346" t="s">
        <v>8209</v>
      </c>
    </row>
    <row r="4101" spans="1:3">
      <c r="A4101" s="347">
        <v>46090</v>
      </c>
      <c r="B4101" s="346" t="s">
        <v>11130</v>
      </c>
      <c r="C4101" s="346" t="s">
        <v>11131</v>
      </c>
    </row>
    <row r="4102" spans="1:3">
      <c r="A4102" s="347">
        <v>46090</v>
      </c>
      <c r="B4102" s="346" t="s">
        <v>10860</v>
      </c>
      <c r="C4102" s="346" t="s">
        <v>10861</v>
      </c>
    </row>
    <row r="4103" spans="1:3">
      <c r="A4103" s="347">
        <v>46090</v>
      </c>
      <c r="B4103" s="346" t="s">
        <v>8210</v>
      </c>
      <c r="C4103" s="346" t="s">
        <v>8211</v>
      </c>
    </row>
    <row r="4104" spans="1:3">
      <c r="A4104" s="347">
        <v>46090</v>
      </c>
      <c r="B4104" s="346" t="s">
        <v>8212</v>
      </c>
      <c r="C4104" s="346" t="s">
        <v>8213</v>
      </c>
    </row>
    <row r="4105" spans="1:3">
      <c r="A4105" s="347">
        <v>46090</v>
      </c>
      <c r="B4105" s="346" t="s">
        <v>8214</v>
      </c>
      <c r="C4105" s="346" t="s">
        <v>8215</v>
      </c>
    </row>
    <row r="4106" spans="1:3">
      <c r="A4106" s="347">
        <v>46090</v>
      </c>
      <c r="B4106" s="346" t="s">
        <v>8216</v>
      </c>
      <c r="C4106" s="346" t="s">
        <v>8217</v>
      </c>
    </row>
    <row r="4107" spans="1:3">
      <c r="A4107" s="347">
        <v>46090</v>
      </c>
      <c r="B4107" s="346" t="s">
        <v>8218</v>
      </c>
      <c r="C4107" s="346" t="s">
        <v>8219</v>
      </c>
    </row>
    <row r="4108" spans="1:3">
      <c r="A4108" s="347">
        <v>46090</v>
      </c>
      <c r="B4108" s="346" t="s">
        <v>8220</v>
      </c>
      <c r="C4108" s="346" t="s">
        <v>8221</v>
      </c>
    </row>
    <row r="4109" spans="1:3">
      <c r="A4109" s="347">
        <v>46090</v>
      </c>
      <c r="B4109" s="346" t="s">
        <v>8222</v>
      </c>
      <c r="C4109" s="346" t="s">
        <v>8223</v>
      </c>
    </row>
    <row r="4110" spans="1:3">
      <c r="A4110" s="347">
        <v>46090</v>
      </c>
      <c r="B4110" s="346" t="s">
        <v>8224</v>
      </c>
      <c r="C4110" s="346" t="s">
        <v>8225</v>
      </c>
    </row>
    <row r="4111" spans="1:3">
      <c r="A4111" s="347">
        <v>46090</v>
      </c>
      <c r="B4111" s="346" t="s">
        <v>8226</v>
      </c>
      <c r="C4111" s="346" t="s">
        <v>8227</v>
      </c>
    </row>
    <row r="4112" spans="1:3">
      <c r="A4112" s="347">
        <v>46090</v>
      </c>
      <c r="B4112" s="346" t="s">
        <v>8228</v>
      </c>
      <c r="C4112" s="346" t="s">
        <v>10862</v>
      </c>
    </row>
    <row r="4113" spans="1:3">
      <c r="A4113" s="347">
        <v>46090</v>
      </c>
      <c r="B4113" s="346" t="s">
        <v>8229</v>
      </c>
      <c r="C4113" s="346" t="s">
        <v>8230</v>
      </c>
    </row>
    <row r="4114" spans="1:3">
      <c r="A4114" s="347">
        <v>46090</v>
      </c>
      <c r="B4114" s="346" t="s">
        <v>8231</v>
      </c>
      <c r="C4114" s="346" t="s">
        <v>8232</v>
      </c>
    </row>
    <row r="4115" spans="1:3">
      <c r="A4115" s="347">
        <v>46090</v>
      </c>
      <c r="B4115" s="346" t="s">
        <v>8233</v>
      </c>
      <c r="C4115" s="346" t="s">
        <v>8234</v>
      </c>
    </row>
    <row r="4116" spans="1:3">
      <c r="A4116" s="347">
        <v>46090</v>
      </c>
      <c r="B4116" s="346" t="s">
        <v>8235</v>
      </c>
      <c r="C4116" s="346" t="s">
        <v>8236</v>
      </c>
    </row>
    <row r="4117" spans="1:3">
      <c r="A4117" s="347">
        <v>46090</v>
      </c>
      <c r="B4117" s="346" t="s">
        <v>8237</v>
      </c>
      <c r="C4117" s="346" t="s">
        <v>8238</v>
      </c>
    </row>
    <row r="4118" spans="1:3">
      <c r="A4118" s="347">
        <v>46090</v>
      </c>
      <c r="B4118" s="346" t="s">
        <v>8239</v>
      </c>
      <c r="C4118" s="346" t="s">
        <v>8240</v>
      </c>
    </row>
    <row r="4119" spans="1:3">
      <c r="A4119" s="347">
        <v>46090</v>
      </c>
      <c r="B4119" s="346" t="s">
        <v>8241</v>
      </c>
      <c r="C4119" s="346" t="s">
        <v>8242</v>
      </c>
    </row>
    <row r="4120" spans="1:3">
      <c r="A4120" s="347">
        <v>46090</v>
      </c>
      <c r="B4120" s="346" t="s">
        <v>10863</v>
      </c>
      <c r="C4120" s="346" t="s">
        <v>10864</v>
      </c>
    </row>
    <row r="4121" spans="1:3">
      <c r="A4121" s="347">
        <v>46090</v>
      </c>
      <c r="B4121" s="346" t="s">
        <v>8243</v>
      </c>
      <c r="C4121" s="346" t="s">
        <v>8244</v>
      </c>
    </row>
    <row r="4122" spans="1:3">
      <c r="A4122" s="347">
        <v>46090</v>
      </c>
      <c r="B4122" s="346" t="s">
        <v>8245</v>
      </c>
      <c r="C4122" s="346" t="s">
        <v>8246</v>
      </c>
    </row>
    <row r="4123" spans="1:3">
      <c r="A4123" s="347">
        <v>46090</v>
      </c>
      <c r="B4123" s="346" t="s">
        <v>8247</v>
      </c>
      <c r="C4123" s="346" t="s">
        <v>8248</v>
      </c>
    </row>
    <row r="4124" spans="1:3">
      <c r="A4124" s="347">
        <v>46090</v>
      </c>
      <c r="B4124" s="346" t="s">
        <v>8249</v>
      </c>
      <c r="C4124" s="346" t="s">
        <v>8250</v>
      </c>
    </row>
    <row r="4125" spans="1:3">
      <c r="A4125" s="347">
        <v>46090</v>
      </c>
      <c r="B4125" s="346" t="s">
        <v>8251</v>
      </c>
      <c r="C4125" s="346" t="s">
        <v>8252</v>
      </c>
    </row>
    <row r="4126" spans="1:3">
      <c r="A4126" s="347">
        <v>46090</v>
      </c>
      <c r="B4126" s="346" t="s">
        <v>8253</v>
      </c>
      <c r="C4126" s="346" t="s">
        <v>8254</v>
      </c>
    </row>
    <row r="4127" spans="1:3">
      <c r="A4127" s="347">
        <v>46090</v>
      </c>
      <c r="B4127" s="346" t="s">
        <v>8255</v>
      </c>
      <c r="C4127" s="346" t="s">
        <v>8256</v>
      </c>
    </row>
    <row r="4128" spans="1:3">
      <c r="A4128" s="347">
        <v>46090</v>
      </c>
      <c r="B4128" s="346" t="s">
        <v>8257</v>
      </c>
      <c r="C4128" s="346" t="s">
        <v>10865</v>
      </c>
    </row>
    <row r="4129" spans="1:3">
      <c r="A4129" s="347">
        <v>46090</v>
      </c>
      <c r="B4129" s="346" t="s">
        <v>8258</v>
      </c>
      <c r="C4129" s="346" t="s">
        <v>8259</v>
      </c>
    </row>
    <row r="4130" spans="1:3">
      <c r="A4130" s="347">
        <v>46090</v>
      </c>
      <c r="B4130" s="346" t="s">
        <v>8260</v>
      </c>
      <c r="C4130" s="346" t="s">
        <v>8261</v>
      </c>
    </row>
    <row r="4131" spans="1:3">
      <c r="A4131" s="347">
        <v>46090</v>
      </c>
      <c r="B4131" s="346" t="s">
        <v>8262</v>
      </c>
      <c r="C4131" s="346" t="s">
        <v>8263</v>
      </c>
    </row>
    <row r="4132" spans="1:3">
      <c r="A4132" s="347">
        <v>46090</v>
      </c>
      <c r="B4132" s="346" t="s">
        <v>8264</v>
      </c>
      <c r="C4132" s="346" t="s">
        <v>8265</v>
      </c>
    </row>
    <row r="4133" spans="1:3">
      <c r="A4133" s="347">
        <v>46090</v>
      </c>
      <c r="B4133" s="346" t="s">
        <v>8266</v>
      </c>
      <c r="C4133" s="346" t="s">
        <v>10866</v>
      </c>
    </row>
    <row r="4134" spans="1:3">
      <c r="A4134" s="347">
        <v>46090</v>
      </c>
      <c r="B4134" s="346" t="s">
        <v>8267</v>
      </c>
      <c r="C4134" s="346" t="s">
        <v>8268</v>
      </c>
    </row>
    <row r="4135" spans="1:3">
      <c r="A4135" s="347">
        <v>46090</v>
      </c>
      <c r="B4135" s="346" t="s">
        <v>8269</v>
      </c>
      <c r="C4135" s="346" t="s">
        <v>8270</v>
      </c>
    </row>
    <row r="4136" spans="1:3">
      <c r="A4136" s="347">
        <v>46090</v>
      </c>
      <c r="B4136" s="346" t="s">
        <v>8271</v>
      </c>
      <c r="C4136" s="346" t="s">
        <v>8272</v>
      </c>
    </row>
    <row r="4137" spans="1:3">
      <c r="A4137" s="347">
        <v>46090</v>
      </c>
      <c r="B4137" s="346" t="s">
        <v>8273</v>
      </c>
      <c r="C4137" s="346" t="s">
        <v>8274</v>
      </c>
    </row>
    <row r="4138" spans="1:3">
      <c r="A4138" s="347">
        <v>46090</v>
      </c>
      <c r="B4138" s="346" t="s">
        <v>8275</v>
      </c>
      <c r="C4138" s="346" t="s">
        <v>8276</v>
      </c>
    </row>
    <row r="4139" spans="1:3">
      <c r="A4139" s="347">
        <v>46090</v>
      </c>
      <c r="B4139" s="346" t="s">
        <v>8277</v>
      </c>
      <c r="C4139" s="346" t="s">
        <v>8278</v>
      </c>
    </row>
    <row r="4140" spans="1:3">
      <c r="A4140" s="347">
        <v>46090</v>
      </c>
      <c r="B4140" s="346" t="s">
        <v>8279</v>
      </c>
      <c r="C4140" s="346" t="s">
        <v>8280</v>
      </c>
    </row>
    <row r="4141" spans="1:3">
      <c r="A4141" s="347">
        <v>46090</v>
      </c>
      <c r="B4141" s="346" t="s">
        <v>8281</v>
      </c>
      <c r="C4141" s="346" t="s">
        <v>8282</v>
      </c>
    </row>
    <row r="4142" spans="1:3">
      <c r="A4142" s="347">
        <v>46090</v>
      </c>
      <c r="B4142" s="346" t="s">
        <v>8283</v>
      </c>
      <c r="C4142" s="346" t="s">
        <v>8284</v>
      </c>
    </row>
    <row r="4143" spans="1:3">
      <c r="A4143" s="347">
        <v>46090</v>
      </c>
      <c r="B4143" s="346" t="s">
        <v>11132</v>
      </c>
      <c r="C4143" s="346" t="s">
        <v>11133</v>
      </c>
    </row>
    <row r="4144" spans="1:3">
      <c r="A4144" s="347">
        <v>46090</v>
      </c>
      <c r="B4144" s="346" t="s">
        <v>8285</v>
      </c>
      <c r="C4144" s="346" t="s">
        <v>8286</v>
      </c>
    </row>
    <row r="4145" spans="1:3">
      <c r="A4145" s="347">
        <v>46090</v>
      </c>
      <c r="B4145" s="346" t="s">
        <v>8287</v>
      </c>
      <c r="C4145" s="346" t="s">
        <v>8288</v>
      </c>
    </row>
    <row r="4146" spans="1:3">
      <c r="A4146" s="347">
        <v>46090</v>
      </c>
      <c r="B4146" s="346" t="s">
        <v>8289</v>
      </c>
      <c r="C4146" s="346" t="s">
        <v>10867</v>
      </c>
    </row>
    <row r="4147" spans="1:3">
      <c r="A4147" s="347">
        <v>46090</v>
      </c>
      <c r="B4147" s="346" t="s">
        <v>8290</v>
      </c>
      <c r="C4147" s="346" t="s">
        <v>8291</v>
      </c>
    </row>
    <row r="4148" spans="1:3">
      <c r="A4148" s="347">
        <v>46090</v>
      </c>
      <c r="B4148" s="346" t="s">
        <v>8292</v>
      </c>
      <c r="C4148" s="346" t="s">
        <v>8293</v>
      </c>
    </row>
    <row r="4149" spans="1:3">
      <c r="A4149" s="347">
        <v>46090</v>
      </c>
      <c r="B4149" s="346" t="s">
        <v>8294</v>
      </c>
      <c r="C4149" s="346" t="s">
        <v>8295</v>
      </c>
    </row>
    <row r="4150" spans="1:3">
      <c r="A4150" s="347">
        <v>46090</v>
      </c>
      <c r="B4150" s="346" t="s">
        <v>8296</v>
      </c>
      <c r="C4150" s="346" t="s">
        <v>8297</v>
      </c>
    </row>
    <row r="4151" spans="1:3">
      <c r="A4151" s="347">
        <v>46090</v>
      </c>
      <c r="B4151" s="346" t="s">
        <v>8298</v>
      </c>
      <c r="C4151" s="346" t="s">
        <v>8299</v>
      </c>
    </row>
    <row r="4152" spans="1:3">
      <c r="A4152" s="347">
        <v>46090</v>
      </c>
      <c r="B4152" s="346" t="s">
        <v>8300</v>
      </c>
      <c r="C4152" s="346" t="s">
        <v>8301</v>
      </c>
    </row>
    <row r="4153" spans="1:3">
      <c r="A4153" s="347">
        <v>46090</v>
      </c>
      <c r="B4153" s="346" t="s">
        <v>10868</v>
      </c>
      <c r="C4153" s="346" t="s">
        <v>10869</v>
      </c>
    </row>
    <row r="4154" spans="1:3">
      <c r="A4154" s="347">
        <v>46090</v>
      </c>
      <c r="B4154" s="346" t="s">
        <v>8302</v>
      </c>
      <c r="C4154" s="346" t="s">
        <v>8303</v>
      </c>
    </row>
    <row r="4155" spans="1:3">
      <c r="A4155" s="347">
        <v>46090</v>
      </c>
      <c r="B4155" s="346" t="s">
        <v>11134</v>
      </c>
      <c r="C4155" s="346" t="s">
        <v>11135</v>
      </c>
    </row>
    <row r="4156" spans="1:3">
      <c r="A4156" s="347">
        <v>46090</v>
      </c>
      <c r="B4156" s="346" t="s">
        <v>8304</v>
      </c>
      <c r="C4156" s="346" t="s">
        <v>8305</v>
      </c>
    </row>
    <row r="4157" spans="1:3">
      <c r="A4157" s="347">
        <v>46090</v>
      </c>
      <c r="B4157" s="346" t="s">
        <v>8306</v>
      </c>
      <c r="C4157" s="346" t="s">
        <v>8307</v>
      </c>
    </row>
    <row r="4158" spans="1:3">
      <c r="A4158" s="347">
        <v>46090</v>
      </c>
      <c r="B4158" s="346" t="s">
        <v>8308</v>
      </c>
      <c r="C4158" s="346" t="s">
        <v>8309</v>
      </c>
    </row>
    <row r="4159" spans="1:3">
      <c r="A4159" s="347">
        <v>46090</v>
      </c>
      <c r="B4159" s="346" t="s">
        <v>8310</v>
      </c>
      <c r="C4159" s="346" t="s">
        <v>8311</v>
      </c>
    </row>
    <row r="4160" spans="1:3">
      <c r="A4160" s="347">
        <v>46090</v>
      </c>
      <c r="B4160" s="346" t="s">
        <v>8312</v>
      </c>
      <c r="C4160" s="346" t="s">
        <v>8313</v>
      </c>
    </row>
    <row r="4161" spans="1:3">
      <c r="A4161" s="347">
        <v>46090</v>
      </c>
      <c r="B4161" s="346" t="s">
        <v>8314</v>
      </c>
      <c r="C4161" s="346" t="s">
        <v>8315</v>
      </c>
    </row>
    <row r="4162" spans="1:3">
      <c r="A4162" s="347">
        <v>46090</v>
      </c>
      <c r="B4162" s="346" t="s">
        <v>8316</v>
      </c>
      <c r="C4162" s="346" t="s">
        <v>8317</v>
      </c>
    </row>
    <row r="4163" spans="1:3">
      <c r="A4163" s="347">
        <v>46090</v>
      </c>
      <c r="B4163" s="346" t="s">
        <v>8318</v>
      </c>
      <c r="C4163" s="346" t="s">
        <v>8319</v>
      </c>
    </row>
    <row r="4164" spans="1:3">
      <c r="A4164" s="347">
        <v>46090</v>
      </c>
      <c r="B4164" s="346" t="s">
        <v>8320</v>
      </c>
      <c r="C4164" s="346" t="s">
        <v>8321</v>
      </c>
    </row>
    <row r="4165" spans="1:3">
      <c r="A4165" s="347">
        <v>46090</v>
      </c>
      <c r="B4165" s="346" t="s">
        <v>8322</v>
      </c>
      <c r="C4165" s="346" t="s">
        <v>8323</v>
      </c>
    </row>
    <row r="4166" spans="1:3">
      <c r="A4166" s="347">
        <v>46090</v>
      </c>
      <c r="B4166" s="346" t="s">
        <v>8324</v>
      </c>
      <c r="C4166" s="346" t="s">
        <v>8325</v>
      </c>
    </row>
    <row r="4167" spans="1:3">
      <c r="A4167" s="347">
        <v>46090</v>
      </c>
      <c r="B4167" s="346" t="s">
        <v>8326</v>
      </c>
      <c r="C4167" s="346" t="s">
        <v>8327</v>
      </c>
    </row>
    <row r="4168" spans="1:3">
      <c r="A4168" s="347">
        <v>46090</v>
      </c>
      <c r="B4168" s="346" t="s">
        <v>8328</v>
      </c>
      <c r="C4168" s="346" t="s">
        <v>8329</v>
      </c>
    </row>
    <row r="4169" spans="1:3">
      <c r="A4169" s="347">
        <v>46090</v>
      </c>
      <c r="B4169" s="346" t="s">
        <v>10870</v>
      </c>
      <c r="C4169" s="346" t="s">
        <v>10871</v>
      </c>
    </row>
    <row r="4170" spans="1:3">
      <c r="A4170" s="347">
        <v>46090</v>
      </c>
      <c r="B4170" s="346" t="s">
        <v>8330</v>
      </c>
      <c r="C4170" s="346" t="s">
        <v>8331</v>
      </c>
    </row>
    <row r="4171" spans="1:3">
      <c r="A4171" s="347">
        <v>46090</v>
      </c>
      <c r="B4171" s="346" t="s">
        <v>8332</v>
      </c>
      <c r="C4171" s="346" t="s">
        <v>8333</v>
      </c>
    </row>
    <row r="4172" spans="1:3">
      <c r="A4172" s="347">
        <v>46090</v>
      </c>
      <c r="B4172" s="346" t="s">
        <v>11136</v>
      </c>
      <c r="C4172" s="346" t="s">
        <v>11137</v>
      </c>
    </row>
    <row r="4173" spans="1:3">
      <c r="A4173" s="347">
        <v>46090</v>
      </c>
      <c r="B4173" s="346" t="s">
        <v>8334</v>
      </c>
      <c r="C4173" s="346" t="s">
        <v>10872</v>
      </c>
    </row>
    <row r="4174" spans="1:3">
      <c r="A4174" s="347">
        <v>46090</v>
      </c>
      <c r="B4174" s="346" t="s">
        <v>8335</v>
      </c>
      <c r="C4174" s="346" t="s">
        <v>8336</v>
      </c>
    </row>
    <row r="4175" spans="1:3">
      <c r="A4175" s="347">
        <v>46090</v>
      </c>
      <c r="B4175" s="346" t="s">
        <v>8337</v>
      </c>
      <c r="C4175" s="346" t="s">
        <v>8338</v>
      </c>
    </row>
    <row r="4176" spans="1:3">
      <c r="A4176" s="347">
        <v>46090</v>
      </c>
      <c r="B4176" s="346" t="s">
        <v>8339</v>
      </c>
      <c r="C4176" s="346" t="s">
        <v>8340</v>
      </c>
    </row>
    <row r="4177" spans="1:3">
      <c r="A4177" s="347">
        <v>46090</v>
      </c>
      <c r="B4177" s="346" t="s">
        <v>10873</v>
      </c>
      <c r="C4177" s="346" t="s">
        <v>10874</v>
      </c>
    </row>
    <row r="4178" spans="1:3">
      <c r="A4178" s="347">
        <v>46090</v>
      </c>
      <c r="B4178" s="346" t="s">
        <v>10875</v>
      </c>
      <c r="C4178" s="346" t="s">
        <v>10876</v>
      </c>
    </row>
    <row r="4179" spans="1:3">
      <c r="A4179" s="347">
        <v>46090</v>
      </c>
      <c r="B4179" s="346" t="s">
        <v>8341</v>
      </c>
      <c r="C4179" s="346" t="s">
        <v>8342</v>
      </c>
    </row>
    <row r="4180" spans="1:3">
      <c r="A4180" s="347">
        <v>46090</v>
      </c>
      <c r="B4180" s="346" t="s">
        <v>8343</v>
      </c>
      <c r="C4180" s="346" t="s">
        <v>8344</v>
      </c>
    </row>
    <row r="4181" spans="1:3">
      <c r="A4181" s="347">
        <v>46090</v>
      </c>
      <c r="B4181" s="346" t="s">
        <v>8345</v>
      </c>
      <c r="C4181" s="346" t="s">
        <v>8346</v>
      </c>
    </row>
    <row r="4182" spans="1:3">
      <c r="A4182" s="347">
        <v>46090</v>
      </c>
      <c r="B4182" s="346" t="s">
        <v>8347</v>
      </c>
      <c r="C4182" s="346" t="s">
        <v>8348</v>
      </c>
    </row>
    <row r="4183" spans="1:3">
      <c r="A4183" s="347">
        <v>46090</v>
      </c>
      <c r="B4183" s="346" t="s">
        <v>8349</v>
      </c>
      <c r="C4183" s="346" t="s">
        <v>10877</v>
      </c>
    </row>
    <row r="4184" spans="1:3">
      <c r="A4184" s="347">
        <v>46090</v>
      </c>
      <c r="B4184" s="346" t="s">
        <v>8350</v>
      </c>
      <c r="C4184" s="346" t="s">
        <v>8351</v>
      </c>
    </row>
    <row r="4185" spans="1:3">
      <c r="A4185" s="347">
        <v>46090</v>
      </c>
      <c r="B4185" s="346" t="s">
        <v>10878</v>
      </c>
      <c r="C4185" s="346" t="s">
        <v>10879</v>
      </c>
    </row>
    <row r="4186" spans="1:3">
      <c r="A4186" s="347">
        <v>46090</v>
      </c>
      <c r="B4186" s="346" t="s">
        <v>8352</v>
      </c>
      <c r="C4186" s="346" t="s">
        <v>8353</v>
      </c>
    </row>
    <row r="4187" spans="1:3">
      <c r="A4187" s="347">
        <v>46090</v>
      </c>
      <c r="B4187" s="346" t="s">
        <v>8354</v>
      </c>
      <c r="C4187" s="346" t="s">
        <v>8355</v>
      </c>
    </row>
    <row r="4188" spans="1:3">
      <c r="A4188" s="347">
        <v>46090</v>
      </c>
      <c r="B4188" s="346" t="s">
        <v>10880</v>
      </c>
      <c r="C4188" s="346" t="s">
        <v>10881</v>
      </c>
    </row>
    <row r="4189" spans="1:3">
      <c r="A4189" s="347">
        <v>46090</v>
      </c>
      <c r="B4189" s="346" t="s">
        <v>8356</v>
      </c>
      <c r="C4189" s="346" t="s">
        <v>8357</v>
      </c>
    </row>
    <row r="4190" spans="1:3">
      <c r="A4190" s="347">
        <v>46090</v>
      </c>
      <c r="B4190" s="346" t="s">
        <v>8358</v>
      </c>
      <c r="C4190" s="346" t="s">
        <v>10882</v>
      </c>
    </row>
    <row r="4191" spans="1:3">
      <c r="A4191" s="347">
        <v>46090</v>
      </c>
      <c r="B4191" s="346" t="s">
        <v>8359</v>
      </c>
      <c r="C4191" s="346" t="s">
        <v>10883</v>
      </c>
    </row>
    <row r="4192" spans="1:3">
      <c r="A4192" s="347">
        <v>46090</v>
      </c>
      <c r="B4192" s="346" t="s">
        <v>10884</v>
      </c>
      <c r="C4192" s="346" t="s">
        <v>10885</v>
      </c>
    </row>
    <row r="4193" spans="1:3">
      <c r="A4193" s="347">
        <v>46090</v>
      </c>
      <c r="B4193" s="346" t="s">
        <v>11138</v>
      </c>
      <c r="C4193" s="346" t="s">
        <v>11139</v>
      </c>
    </row>
    <row r="4194" spans="1:3">
      <c r="A4194" s="347">
        <v>46090</v>
      </c>
      <c r="B4194" s="346" t="s">
        <v>10886</v>
      </c>
      <c r="C4194" s="346" t="s">
        <v>10887</v>
      </c>
    </row>
    <row r="4195" spans="1:3">
      <c r="A4195" s="347">
        <v>46090</v>
      </c>
      <c r="B4195" s="346" t="s">
        <v>8360</v>
      </c>
      <c r="C4195" s="346" t="s">
        <v>8361</v>
      </c>
    </row>
    <row r="4196" spans="1:3">
      <c r="A4196" s="347">
        <v>46090</v>
      </c>
      <c r="B4196" s="346" t="s">
        <v>10888</v>
      </c>
      <c r="C4196" s="346" t="s">
        <v>10889</v>
      </c>
    </row>
    <row r="4197" spans="1:3">
      <c r="A4197" s="347">
        <v>46090</v>
      </c>
      <c r="B4197" s="346" t="s">
        <v>8362</v>
      </c>
      <c r="C4197" s="346" t="s">
        <v>8363</v>
      </c>
    </row>
    <row r="4198" spans="1:3">
      <c r="A4198" s="347">
        <v>46090</v>
      </c>
      <c r="B4198" s="346" t="s">
        <v>11140</v>
      </c>
      <c r="C4198" s="346" t="s">
        <v>11141</v>
      </c>
    </row>
    <row r="4199" spans="1:3">
      <c r="A4199" s="347">
        <v>46090</v>
      </c>
      <c r="B4199" s="346" t="s">
        <v>8364</v>
      </c>
      <c r="C4199" s="346" t="s">
        <v>8365</v>
      </c>
    </row>
    <row r="4200" spans="1:3">
      <c r="A4200" s="347">
        <v>46090</v>
      </c>
      <c r="B4200" s="346" t="s">
        <v>8366</v>
      </c>
      <c r="C4200" s="346" t="s">
        <v>8367</v>
      </c>
    </row>
    <row r="4201" spans="1:3">
      <c r="A4201" s="347">
        <v>46090</v>
      </c>
      <c r="B4201" s="346" t="s">
        <v>8368</v>
      </c>
      <c r="C4201" s="346" t="s">
        <v>11142</v>
      </c>
    </row>
    <row r="4202" spans="1:3">
      <c r="A4202" s="347">
        <v>46090</v>
      </c>
      <c r="B4202" s="346" t="s">
        <v>8369</v>
      </c>
      <c r="C4202" s="346" t="s">
        <v>8370</v>
      </c>
    </row>
    <row r="4203" spans="1:3">
      <c r="A4203" s="347">
        <v>46090</v>
      </c>
      <c r="B4203" s="346" t="s">
        <v>8371</v>
      </c>
      <c r="C4203" s="346" t="s">
        <v>8372</v>
      </c>
    </row>
    <row r="4204" spans="1:3">
      <c r="A4204" s="347">
        <v>46090</v>
      </c>
      <c r="B4204" s="346" t="s">
        <v>8373</v>
      </c>
      <c r="C4204" s="346" t="s">
        <v>8374</v>
      </c>
    </row>
    <row r="4205" spans="1:3">
      <c r="A4205" s="347">
        <v>46090</v>
      </c>
      <c r="B4205" s="346" t="s">
        <v>8375</v>
      </c>
      <c r="C4205" s="346" t="s">
        <v>8376</v>
      </c>
    </row>
    <row r="4206" spans="1:3">
      <c r="A4206" s="347">
        <v>46090</v>
      </c>
      <c r="B4206" s="346" t="s">
        <v>8377</v>
      </c>
      <c r="C4206" s="346" t="s">
        <v>8378</v>
      </c>
    </row>
    <row r="4207" spans="1:3">
      <c r="A4207" s="347">
        <v>46090</v>
      </c>
      <c r="B4207" s="346" t="s">
        <v>8379</v>
      </c>
      <c r="C4207" s="346" t="s">
        <v>8380</v>
      </c>
    </row>
    <row r="4208" spans="1:3">
      <c r="A4208" s="347">
        <v>46090</v>
      </c>
      <c r="B4208" s="346" t="s">
        <v>8381</v>
      </c>
      <c r="C4208" s="346" t="s">
        <v>8382</v>
      </c>
    </row>
    <row r="4209" spans="1:3">
      <c r="A4209" s="347">
        <v>46090</v>
      </c>
      <c r="B4209" s="346" t="s">
        <v>8383</v>
      </c>
      <c r="C4209" s="346" t="s">
        <v>8384</v>
      </c>
    </row>
    <row r="4210" spans="1:3">
      <c r="A4210" s="347">
        <v>46090</v>
      </c>
      <c r="B4210" s="346" t="s">
        <v>8385</v>
      </c>
      <c r="C4210" s="346" t="s">
        <v>8386</v>
      </c>
    </row>
    <row r="4211" spans="1:3">
      <c r="A4211" s="347">
        <v>46090</v>
      </c>
      <c r="B4211" s="346" t="s">
        <v>8387</v>
      </c>
      <c r="C4211" s="346" t="s">
        <v>8388</v>
      </c>
    </row>
    <row r="4212" spans="1:3">
      <c r="A4212" s="347">
        <v>46090</v>
      </c>
      <c r="B4212" s="346" t="s">
        <v>8389</v>
      </c>
      <c r="C4212" s="346" t="s">
        <v>8390</v>
      </c>
    </row>
    <row r="4213" spans="1:3">
      <c r="A4213" s="347">
        <v>46090</v>
      </c>
      <c r="B4213" s="346" t="s">
        <v>8391</v>
      </c>
      <c r="C4213" s="346" t="s">
        <v>10890</v>
      </c>
    </row>
    <row r="4214" spans="1:3">
      <c r="A4214" s="347">
        <v>46090</v>
      </c>
      <c r="B4214" s="346" t="s">
        <v>8392</v>
      </c>
      <c r="C4214" s="346" t="s">
        <v>8393</v>
      </c>
    </row>
    <row r="4215" spans="1:3">
      <c r="A4215" s="347">
        <v>46090</v>
      </c>
      <c r="B4215" s="346" t="s">
        <v>8394</v>
      </c>
      <c r="C4215" s="346" t="s">
        <v>8395</v>
      </c>
    </row>
    <row r="4216" spans="1:3">
      <c r="A4216" s="347">
        <v>46090</v>
      </c>
      <c r="B4216" s="346" t="s">
        <v>8396</v>
      </c>
      <c r="C4216" s="346" t="s">
        <v>8397</v>
      </c>
    </row>
    <row r="4217" spans="1:3">
      <c r="A4217" s="347">
        <v>46090</v>
      </c>
      <c r="B4217" s="346" t="s">
        <v>8398</v>
      </c>
      <c r="C4217" s="346" t="s">
        <v>8399</v>
      </c>
    </row>
    <row r="4218" spans="1:3">
      <c r="A4218" s="347">
        <v>46090</v>
      </c>
      <c r="B4218" s="346" t="s">
        <v>8400</v>
      </c>
      <c r="C4218" s="346" t="s">
        <v>8401</v>
      </c>
    </row>
    <row r="4219" spans="1:3">
      <c r="A4219" s="347">
        <v>46090</v>
      </c>
      <c r="B4219" s="346" t="s">
        <v>8402</v>
      </c>
      <c r="C4219" s="346" t="s">
        <v>8403</v>
      </c>
    </row>
    <row r="4220" spans="1:3">
      <c r="A4220" s="347">
        <v>46090</v>
      </c>
      <c r="B4220" s="346" t="s">
        <v>8404</v>
      </c>
      <c r="C4220" s="346" t="s">
        <v>8405</v>
      </c>
    </row>
    <row r="4221" spans="1:3">
      <c r="A4221" s="347">
        <v>46090</v>
      </c>
      <c r="B4221" s="346" t="s">
        <v>8406</v>
      </c>
      <c r="C4221" s="346" t="s">
        <v>11143</v>
      </c>
    </row>
    <row r="4222" spans="1:3">
      <c r="A4222" s="347">
        <v>46090</v>
      </c>
      <c r="B4222" s="346" t="s">
        <v>8407</v>
      </c>
      <c r="C4222" s="346" t="s">
        <v>8408</v>
      </c>
    </row>
    <row r="4223" spans="1:3">
      <c r="A4223" s="347">
        <v>46090</v>
      </c>
      <c r="B4223" s="346" t="s">
        <v>8409</v>
      </c>
      <c r="C4223" s="346" t="s">
        <v>8410</v>
      </c>
    </row>
    <row r="4224" spans="1:3">
      <c r="A4224" s="347">
        <v>46090</v>
      </c>
      <c r="B4224" s="346" t="s">
        <v>8411</v>
      </c>
      <c r="C4224" s="346" t="s">
        <v>8412</v>
      </c>
    </row>
    <row r="4225" spans="1:3">
      <c r="A4225" s="347">
        <v>46090</v>
      </c>
      <c r="B4225" s="346" t="s">
        <v>8413</v>
      </c>
      <c r="C4225" s="346" t="s">
        <v>8414</v>
      </c>
    </row>
    <row r="4226" spans="1:3">
      <c r="A4226" s="347">
        <v>46090</v>
      </c>
      <c r="B4226" s="346" t="s">
        <v>8415</v>
      </c>
      <c r="C4226" s="346" t="s">
        <v>8416</v>
      </c>
    </row>
    <row r="4227" spans="1:3">
      <c r="A4227" s="347">
        <v>46090</v>
      </c>
      <c r="B4227" s="346" t="s">
        <v>8417</v>
      </c>
      <c r="C4227" s="346" t="s">
        <v>8418</v>
      </c>
    </row>
    <row r="4228" spans="1:3">
      <c r="A4228" s="347">
        <v>46090</v>
      </c>
      <c r="B4228" s="346" t="s">
        <v>8419</v>
      </c>
      <c r="C4228" s="346" t="s">
        <v>8420</v>
      </c>
    </row>
    <row r="4229" spans="1:3">
      <c r="A4229" s="347">
        <v>46090</v>
      </c>
      <c r="B4229" s="346" t="s">
        <v>8421</v>
      </c>
      <c r="C4229" s="346" t="s">
        <v>8422</v>
      </c>
    </row>
    <row r="4230" spans="1:3">
      <c r="A4230" s="347">
        <v>46090</v>
      </c>
      <c r="B4230" s="346" t="s">
        <v>8423</v>
      </c>
      <c r="C4230" s="346" t="s">
        <v>8424</v>
      </c>
    </row>
    <row r="4231" spans="1:3">
      <c r="A4231" s="347">
        <v>46090</v>
      </c>
      <c r="B4231" s="346" t="s">
        <v>8425</v>
      </c>
      <c r="C4231" s="346" t="s">
        <v>8426</v>
      </c>
    </row>
    <row r="4232" spans="1:3">
      <c r="A4232" s="347">
        <v>46090</v>
      </c>
      <c r="B4232" s="346" t="s">
        <v>8427</v>
      </c>
      <c r="C4232" s="346" t="s">
        <v>8428</v>
      </c>
    </row>
    <row r="4233" spans="1:3">
      <c r="A4233" s="347">
        <v>46090</v>
      </c>
      <c r="B4233" s="346" t="s">
        <v>8429</v>
      </c>
      <c r="C4233" s="346" t="s">
        <v>10891</v>
      </c>
    </row>
    <row r="4234" spans="1:3">
      <c r="A4234" s="347">
        <v>46090</v>
      </c>
      <c r="B4234" s="346" t="s">
        <v>8430</v>
      </c>
      <c r="C4234" s="346" t="s">
        <v>8431</v>
      </c>
    </row>
    <row r="4235" spans="1:3">
      <c r="A4235" s="347">
        <v>46090</v>
      </c>
      <c r="B4235" s="346" t="s">
        <v>8432</v>
      </c>
      <c r="C4235" s="346" t="s">
        <v>8433</v>
      </c>
    </row>
    <row r="4236" spans="1:3">
      <c r="A4236" s="347">
        <v>46090</v>
      </c>
      <c r="B4236" s="346" t="s">
        <v>8434</v>
      </c>
      <c r="C4236" s="346" t="s">
        <v>8435</v>
      </c>
    </row>
    <row r="4237" spans="1:3">
      <c r="A4237" s="347">
        <v>46090</v>
      </c>
      <c r="B4237" s="346" t="s">
        <v>8436</v>
      </c>
      <c r="C4237" s="346" t="s">
        <v>8437</v>
      </c>
    </row>
    <row r="4238" spans="1:3">
      <c r="A4238" s="347">
        <v>46090</v>
      </c>
      <c r="B4238" s="346" t="s">
        <v>8438</v>
      </c>
      <c r="C4238" s="346" t="s">
        <v>8439</v>
      </c>
    </row>
    <row r="4239" spans="1:3">
      <c r="A4239" s="347">
        <v>46090</v>
      </c>
      <c r="B4239" s="346" t="s">
        <v>8440</v>
      </c>
      <c r="C4239" s="346" t="s">
        <v>8441</v>
      </c>
    </row>
    <row r="4240" spans="1:3">
      <c r="A4240" s="347">
        <v>46090</v>
      </c>
      <c r="B4240" s="346" t="s">
        <v>8442</v>
      </c>
      <c r="C4240" s="346" t="s">
        <v>8443</v>
      </c>
    </row>
    <row r="4241" spans="1:3">
      <c r="A4241" s="347">
        <v>46090</v>
      </c>
      <c r="B4241" s="346" t="s">
        <v>8444</v>
      </c>
      <c r="C4241" s="346" t="s">
        <v>8445</v>
      </c>
    </row>
    <row r="4242" spans="1:3">
      <c r="A4242" s="347">
        <v>46090</v>
      </c>
      <c r="B4242" s="346" t="s">
        <v>8446</v>
      </c>
      <c r="C4242" s="346" t="s">
        <v>8447</v>
      </c>
    </row>
    <row r="4243" spans="1:3">
      <c r="A4243" s="347">
        <v>46090</v>
      </c>
      <c r="B4243" s="346" t="s">
        <v>8448</v>
      </c>
      <c r="C4243" s="346" t="s">
        <v>8449</v>
      </c>
    </row>
    <row r="4244" spans="1:3">
      <c r="A4244" s="347">
        <v>46090</v>
      </c>
      <c r="B4244" s="346" t="s">
        <v>8450</v>
      </c>
      <c r="C4244" s="346" t="s">
        <v>8451</v>
      </c>
    </row>
    <row r="4245" spans="1:3">
      <c r="A4245" s="347">
        <v>46090</v>
      </c>
      <c r="B4245" s="346" t="s">
        <v>8452</v>
      </c>
      <c r="C4245" s="346" t="s">
        <v>8453</v>
      </c>
    </row>
    <row r="4246" spans="1:3">
      <c r="A4246" s="347">
        <v>46090</v>
      </c>
      <c r="B4246" s="346" t="s">
        <v>8454</v>
      </c>
      <c r="C4246" s="346" t="s">
        <v>10892</v>
      </c>
    </row>
    <row r="4247" spans="1:3">
      <c r="A4247" s="347">
        <v>46090</v>
      </c>
      <c r="B4247" s="346" t="s">
        <v>8455</v>
      </c>
      <c r="C4247" s="346" t="s">
        <v>8456</v>
      </c>
    </row>
    <row r="4248" spans="1:3">
      <c r="A4248" s="347">
        <v>46090</v>
      </c>
      <c r="B4248" s="346" t="s">
        <v>8457</v>
      </c>
      <c r="C4248" s="346" t="s">
        <v>8458</v>
      </c>
    </row>
    <row r="4249" spans="1:3">
      <c r="A4249" s="347">
        <v>46090</v>
      </c>
      <c r="B4249" s="346" t="s">
        <v>8459</v>
      </c>
      <c r="C4249" s="346" t="s">
        <v>8460</v>
      </c>
    </row>
    <row r="4250" spans="1:3">
      <c r="A4250" s="347">
        <v>46090</v>
      </c>
      <c r="B4250" s="346" t="s">
        <v>8461</v>
      </c>
      <c r="C4250" s="346" t="s">
        <v>8462</v>
      </c>
    </row>
    <row r="4251" spans="1:3">
      <c r="A4251" s="347">
        <v>46090</v>
      </c>
      <c r="B4251" s="346" t="s">
        <v>8463</v>
      </c>
      <c r="C4251" s="346" t="s">
        <v>8464</v>
      </c>
    </row>
    <row r="4252" spans="1:3">
      <c r="A4252" s="347">
        <v>46090</v>
      </c>
      <c r="B4252" s="346" t="s">
        <v>8465</v>
      </c>
      <c r="C4252" s="346" t="s">
        <v>8466</v>
      </c>
    </row>
    <row r="4253" spans="1:3">
      <c r="A4253" s="347">
        <v>46090</v>
      </c>
      <c r="B4253" s="346" t="s">
        <v>8467</v>
      </c>
      <c r="C4253" s="346" t="s">
        <v>8468</v>
      </c>
    </row>
    <row r="4254" spans="1:3">
      <c r="A4254" s="347">
        <v>46090</v>
      </c>
      <c r="B4254" s="346" t="s">
        <v>8469</v>
      </c>
      <c r="C4254" s="346" t="s">
        <v>11144</v>
      </c>
    </row>
    <row r="4255" spans="1:3">
      <c r="A4255" s="347">
        <v>46090</v>
      </c>
      <c r="B4255" s="346" t="s">
        <v>8470</v>
      </c>
      <c r="C4255" s="346" t="s">
        <v>8471</v>
      </c>
    </row>
    <row r="4256" spans="1:3">
      <c r="A4256" s="347">
        <v>46090</v>
      </c>
      <c r="B4256" s="346" t="s">
        <v>8472</v>
      </c>
      <c r="C4256" s="346" t="s">
        <v>8473</v>
      </c>
    </row>
    <row r="4257" spans="1:3">
      <c r="A4257" s="347">
        <v>46090</v>
      </c>
      <c r="B4257" s="346" t="s">
        <v>8474</v>
      </c>
      <c r="C4257" s="346" t="s">
        <v>8475</v>
      </c>
    </row>
    <row r="4258" spans="1:3">
      <c r="A4258" s="347">
        <v>46090</v>
      </c>
      <c r="B4258" s="346" t="s">
        <v>8476</v>
      </c>
      <c r="C4258" s="346" t="s">
        <v>8477</v>
      </c>
    </row>
    <row r="4259" spans="1:3">
      <c r="A4259" s="347">
        <v>46090</v>
      </c>
      <c r="B4259" s="346" t="s">
        <v>8478</v>
      </c>
      <c r="C4259" s="346" t="s">
        <v>8479</v>
      </c>
    </row>
    <row r="4260" spans="1:3">
      <c r="A4260" s="347">
        <v>46090</v>
      </c>
      <c r="B4260" s="346" t="s">
        <v>8480</v>
      </c>
      <c r="C4260" s="346" t="s">
        <v>8481</v>
      </c>
    </row>
    <row r="4261" spans="1:3">
      <c r="A4261" s="347">
        <v>46090</v>
      </c>
      <c r="B4261" s="346" t="s">
        <v>8482</v>
      </c>
      <c r="C4261" s="346" t="s">
        <v>8483</v>
      </c>
    </row>
    <row r="4262" spans="1:3">
      <c r="A4262" s="347">
        <v>46090</v>
      </c>
      <c r="B4262" s="346" t="s">
        <v>8484</v>
      </c>
      <c r="C4262" s="346" t="s">
        <v>8485</v>
      </c>
    </row>
    <row r="4263" spans="1:3">
      <c r="A4263" s="347">
        <v>46090</v>
      </c>
      <c r="B4263" s="346" t="s">
        <v>8486</v>
      </c>
      <c r="C4263" s="346" t="s">
        <v>8487</v>
      </c>
    </row>
    <row r="4264" spans="1:3">
      <c r="A4264" s="347">
        <v>46090</v>
      </c>
      <c r="B4264" s="346" t="s">
        <v>8488</v>
      </c>
      <c r="C4264" s="346" t="s">
        <v>8489</v>
      </c>
    </row>
    <row r="4265" spans="1:3">
      <c r="A4265" s="347">
        <v>46090</v>
      </c>
      <c r="B4265" s="346" t="s">
        <v>8490</v>
      </c>
      <c r="C4265" s="346" t="s">
        <v>8491</v>
      </c>
    </row>
    <row r="4266" spans="1:3">
      <c r="A4266" s="347">
        <v>46090</v>
      </c>
      <c r="B4266" s="346" t="s">
        <v>8492</v>
      </c>
      <c r="C4266" s="346" t="s">
        <v>8493</v>
      </c>
    </row>
    <row r="4267" spans="1:3">
      <c r="A4267" s="347">
        <v>46090</v>
      </c>
      <c r="B4267" s="346" t="s">
        <v>8494</v>
      </c>
      <c r="C4267" s="346" t="s">
        <v>8495</v>
      </c>
    </row>
    <row r="4268" spans="1:3">
      <c r="A4268" s="347">
        <v>46090</v>
      </c>
      <c r="B4268" s="346" t="s">
        <v>8496</v>
      </c>
      <c r="C4268" s="346" t="s">
        <v>8497</v>
      </c>
    </row>
    <row r="4269" spans="1:3">
      <c r="A4269" s="347">
        <v>46090</v>
      </c>
      <c r="B4269" s="346" t="s">
        <v>8498</v>
      </c>
      <c r="C4269" s="346" t="s">
        <v>8499</v>
      </c>
    </row>
    <row r="4270" spans="1:3">
      <c r="A4270" s="347">
        <v>46090</v>
      </c>
      <c r="B4270" s="346" t="s">
        <v>8500</v>
      </c>
      <c r="C4270" s="346" t="s">
        <v>8501</v>
      </c>
    </row>
    <row r="4271" spans="1:3">
      <c r="A4271" s="347">
        <v>46090</v>
      </c>
      <c r="B4271" s="346" t="s">
        <v>8502</v>
      </c>
      <c r="C4271" s="346" t="s">
        <v>8503</v>
      </c>
    </row>
    <row r="4272" spans="1:3">
      <c r="A4272" s="347">
        <v>46090</v>
      </c>
      <c r="B4272" s="346" t="s">
        <v>8504</v>
      </c>
      <c r="C4272" s="346" t="s">
        <v>8505</v>
      </c>
    </row>
    <row r="4273" spans="1:3">
      <c r="A4273" s="347">
        <v>46090</v>
      </c>
      <c r="B4273" s="346" t="s">
        <v>8506</v>
      </c>
      <c r="C4273" s="346" t="s">
        <v>8507</v>
      </c>
    </row>
    <row r="4274" spans="1:3">
      <c r="A4274" s="347">
        <v>46090</v>
      </c>
      <c r="B4274" s="346" t="s">
        <v>8508</v>
      </c>
      <c r="C4274" s="346" t="s">
        <v>8509</v>
      </c>
    </row>
    <row r="4275" spans="1:3">
      <c r="A4275" s="347">
        <v>46090</v>
      </c>
      <c r="B4275" s="346" t="s">
        <v>8510</v>
      </c>
      <c r="C4275" s="346" t="s">
        <v>8511</v>
      </c>
    </row>
    <row r="4276" spans="1:3">
      <c r="A4276" s="347">
        <v>46090</v>
      </c>
      <c r="B4276" s="346" t="s">
        <v>8512</v>
      </c>
      <c r="C4276" s="346" t="s">
        <v>8513</v>
      </c>
    </row>
    <row r="4277" spans="1:3">
      <c r="A4277" s="347">
        <v>46090</v>
      </c>
      <c r="B4277" s="346" t="s">
        <v>8514</v>
      </c>
      <c r="C4277" s="346" t="s">
        <v>8515</v>
      </c>
    </row>
    <row r="4278" spans="1:3">
      <c r="A4278" s="347">
        <v>46090</v>
      </c>
      <c r="B4278" s="346" t="s">
        <v>8516</v>
      </c>
      <c r="C4278" s="346" t="s">
        <v>8517</v>
      </c>
    </row>
    <row r="4279" spans="1:3">
      <c r="A4279" s="347">
        <v>46090</v>
      </c>
      <c r="B4279" s="346" t="s">
        <v>8518</v>
      </c>
      <c r="C4279" s="346" t="s">
        <v>8519</v>
      </c>
    </row>
    <row r="4280" spans="1:3">
      <c r="A4280" s="347">
        <v>46090</v>
      </c>
      <c r="B4280" s="346" t="s">
        <v>8520</v>
      </c>
      <c r="C4280" s="346" t="s">
        <v>8521</v>
      </c>
    </row>
    <row r="4281" spans="1:3">
      <c r="A4281" s="347">
        <v>46090</v>
      </c>
      <c r="B4281" s="346" t="s">
        <v>8522</v>
      </c>
      <c r="C4281" s="346" t="s">
        <v>8523</v>
      </c>
    </row>
    <row r="4282" spans="1:3">
      <c r="A4282" s="347">
        <v>46090</v>
      </c>
      <c r="B4282" s="346" t="s">
        <v>8524</v>
      </c>
      <c r="C4282" s="346" t="s">
        <v>8525</v>
      </c>
    </row>
    <row r="4283" spans="1:3">
      <c r="A4283" s="347">
        <v>46090</v>
      </c>
      <c r="B4283" s="346" t="s">
        <v>8526</v>
      </c>
      <c r="C4283" s="346" t="s">
        <v>8527</v>
      </c>
    </row>
    <row r="4284" spans="1:3">
      <c r="A4284" s="347">
        <v>46090</v>
      </c>
      <c r="B4284" s="346" t="s">
        <v>8528</v>
      </c>
      <c r="C4284" s="346" t="s">
        <v>8529</v>
      </c>
    </row>
    <row r="4285" spans="1:3">
      <c r="A4285" s="347">
        <v>46090</v>
      </c>
      <c r="B4285" s="346" t="s">
        <v>8530</v>
      </c>
      <c r="C4285" s="346" t="s">
        <v>8531</v>
      </c>
    </row>
    <row r="4286" spans="1:3">
      <c r="A4286" s="347">
        <v>46090</v>
      </c>
      <c r="B4286" s="346" t="s">
        <v>8532</v>
      </c>
      <c r="C4286" s="346" t="s">
        <v>8533</v>
      </c>
    </row>
    <row r="4287" spans="1:3">
      <c r="A4287" s="347">
        <v>46090</v>
      </c>
      <c r="B4287" s="346" t="s">
        <v>8534</v>
      </c>
      <c r="C4287" s="346" t="s">
        <v>8535</v>
      </c>
    </row>
    <row r="4288" spans="1:3">
      <c r="A4288" s="347">
        <v>46090</v>
      </c>
      <c r="B4288" s="346" t="s">
        <v>8536</v>
      </c>
      <c r="C4288" s="346" t="s">
        <v>8537</v>
      </c>
    </row>
    <row r="4289" spans="1:3">
      <c r="A4289" s="347">
        <v>46090</v>
      </c>
      <c r="B4289" s="346" t="s">
        <v>8538</v>
      </c>
      <c r="C4289" s="346" t="s">
        <v>8539</v>
      </c>
    </row>
    <row r="4290" spans="1:3">
      <c r="A4290" s="347">
        <v>46090</v>
      </c>
      <c r="B4290" s="346" t="s">
        <v>8540</v>
      </c>
      <c r="C4290" s="346" t="s">
        <v>8541</v>
      </c>
    </row>
    <row r="4291" spans="1:3">
      <c r="A4291" s="347">
        <v>46090</v>
      </c>
      <c r="B4291" s="346" t="s">
        <v>8542</v>
      </c>
      <c r="C4291" s="346" t="s">
        <v>8543</v>
      </c>
    </row>
    <row r="4292" spans="1:3">
      <c r="A4292" s="347">
        <v>46090</v>
      </c>
      <c r="B4292" s="346" t="s">
        <v>8544</v>
      </c>
      <c r="C4292" s="346" t="s">
        <v>8545</v>
      </c>
    </row>
    <row r="4293" spans="1:3">
      <c r="A4293" s="347">
        <v>46090</v>
      </c>
      <c r="B4293" s="346" t="s">
        <v>8546</v>
      </c>
      <c r="C4293" s="346" t="s">
        <v>8547</v>
      </c>
    </row>
    <row r="4294" spans="1:3">
      <c r="A4294" s="347">
        <v>46090</v>
      </c>
      <c r="B4294" s="346" t="s">
        <v>8548</v>
      </c>
      <c r="C4294" s="346" t="s">
        <v>8549</v>
      </c>
    </row>
    <row r="4295" spans="1:3">
      <c r="A4295" s="347">
        <v>46090</v>
      </c>
      <c r="B4295" s="346" t="s">
        <v>8550</v>
      </c>
      <c r="C4295" s="346" t="s">
        <v>8551</v>
      </c>
    </row>
    <row r="4296" spans="1:3">
      <c r="A4296" s="347">
        <v>46090</v>
      </c>
      <c r="B4296" s="346" t="s">
        <v>8552</v>
      </c>
      <c r="C4296" s="346" t="s">
        <v>8553</v>
      </c>
    </row>
    <row r="4297" spans="1:3">
      <c r="A4297" s="347">
        <v>46090</v>
      </c>
      <c r="B4297" s="346" t="s">
        <v>8554</v>
      </c>
      <c r="C4297" s="346" t="s">
        <v>8555</v>
      </c>
    </row>
    <row r="4298" spans="1:3">
      <c r="A4298" s="347">
        <v>46090</v>
      </c>
      <c r="B4298" s="346" t="s">
        <v>8556</v>
      </c>
      <c r="C4298" s="346" t="s">
        <v>8557</v>
      </c>
    </row>
    <row r="4299" spans="1:3">
      <c r="A4299" s="347">
        <v>46090</v>
      </c>
      <c r="B4299" s="346" t="s">
        <v>8558</v>
      </c>
      <c r="C4299" s="346" t="s">
        <v>8559</v>
      </c>
    </row>
    <row r="4300" spans="1:3">
      <c r="A4300" s="347">
        <v>46090</v>
      </c>
      <c r="B4300" s="346" t="s">
        <v>8560</v>
      </c>
      <c r="C4300" s="346" t="s">
        <v>8561</v>
      </c>
    </row>
    <row r="4301" spans="1:3">
      <c r="A4301" s="347">
        <v>46090</v>
      </c>
      <c r="B4301" s="346" t="s">
        <v>8562</v>
      </c>
      <c r="C4301" s="346" t="s">
        <v>8563</v>
      </c>
    </row>
    <row r="4302" spans="1:3">
      <c r="A4302" s="347">
        <v>46090</v>
      </c>
      <c r="B4302" s="346" t="s">
        <v>8564</v>
      </c>
      <c r="C4302" s="346" t="s">
        <v>8565</v>
      </c>
    </row>
    <row r="4303" spans="1:3">
      <c r="A4303" s="347">
        <v>46090</v>
      </c>
      <c r="B4303" s="346" t="s">
        <v>8566</v>
      </c>
      <c r="C4303" s="346" t="s">
        <v>8567</v>
      </c>
    </row>
    <row r="4304" spans="1:3">
      <c r="A4304" s="347">
        <v>46090</v>
      </c>
      <c r="B4304" s="346" t="s">
        <v>8568</v>
      </c>
      <c r="C4304" s="346" t="s">
        <v>8569</v>
      </c>
    </row>
    <row r="4305" spans="1:3">
      <c r="A4305" s="347">
        <v>46090</v>
      </c>
      <c r="B4305" s="346" t="s">
        <v>8570</v>
      </c>
      <c r="C4305" s="346" t="s">
        <v>8571</v>
      </c>
    </row>
    <row r="4306" spans="1:3">
      <c r="A4306" s="347">
        <v>46090</v>
      </c>
      <c r="B4306" s="346" t="s">
        <v>8572</v>
      </c>
      <c r="C4306" s="346" t="s">
        <v>8573</v>
      </c>
    </row>
    <row r="4307" spans="1:3">
      <c r="A4307" s="347">
        <v>46090</v>
      </c>
      <c r="B4307" s="346" t="s">
        <v>8574</v>
      </c>
      <c r="C4307" s="346" t="s">
        <v>8575</v>
      </c>
    </row>
    <row r="4308" spans="1:3">
      <c r="A4308" s="347">
        <v>46090</v>
      </c>
      <c r="B4308" s="346" t="s">
        <v>8576</v>
      </c>
      <c r="C4308" s="346" t="s">
        <v>8577</v>
      </c>
    </row>
    <row r="4309" spans="1:3">
      <c r="A4309" s="347">
        <v>46090</v>
      </c>
      <c r="B4309" s="346" t="s">
        <v>8578</v>
      </c>
      <c r="C4309" s="346" t="s">
        <v>8579</v>
      </c>
    </row>
    <row r="4310" spans="1:3">
      <c r="A4310" s="347">
        <v>46090</v>
      </c>
      <c r="B4310" s="346" t="s">
        <v>8580</v>
      </c>
      <c r="C4310" s="346" t="s">
        <v>8581</v>
      </c>
    </row>
    <row r="4311" spans="1:3">
      <c r="A4311" s="347">
        <v>46090</v>
      </c>
      <c r="B4311" s="346" t="s">
        <v>8582</v>
      </c>
      <c r="C4311" s="346" t="s">
        <v>8583</v>
      </c>
    </row>
    <row r="4312" spans="1:3">
      <c r="A4312" s="347">
        <v>46090</v>
      </c>
      <c r="B4312" s="346" t="s">
        <v>8584</v>
      </c>
      <c r="C4312" s="346" t="s">
        <v>8585</v>
      </c>
    </row>
    <row r="4313" spans="1:3">
      <c r="A4313" s="347">
        <v>46090</v>
      </c>
      <c r="B4313" s="346" t="s">
        <v>8586</v>
      </c>
      <c r="C4313" s="346" t="s">
        <v>8587</v>
      </c>
    </row>
    <row r="4314" spans="1:3">
      <c r="A4314" s="347">
        <v>46090</v>
      </c>
      <c r="B4314" s="346" t="s">
        <v>8588</v>
      </c>
      <c r="C4314" s="346" t="s">
        <v>8589</v>
      </c>
    </row>
    <row r="4315" spans="1:3">
      <c r="A4315" s="347">
        <v>46090</v>
      </c>
      <c r="B4315" s="346" t="s">
        <v>8590</v>
      </c>
      <c r="C4315" s="346" t="s">
        <v>8591</v>
      </c>
    </row>
    <row r="4316" spans="1:3">
      <c r="A4316" s="347">
        <v>46090</v>
      </c>
      <c r="B4316" s="346" t="s">
        <v>8592</v>
      </c>
      <c r="C4316" s="346" t="s">
        <v>8593</v>
      </c>
    </row>
    <row r="4317" spans="1:3">
      <c r="A4317" s="347">
        <v>46090</v>
      </c>
      <c r="B4317" s="346" t="s">
        <v>8594</v>
      </c>
      <c r="C4317" s="346" t="s">
        <v>8595</v>
      </c>
    </row>
    <row r="4318" spans="1:3">
      <c r="A4318" s="347">
        <v>46090</v>
      </c>
      <c r="B4318" s="346" t="s">
        <v>8596</v>
      </c>
      <c r="C4318" s="346" t="s">
        <v>8597</v>
      </c>
    </row>
    <row r="4319" spans="1:3">
      <c r="A4319" s="347">
        <v>46090</v>
      </c>
      <c r="B4319" s="346" t="s">
        <v>8598</v>
      </c>
      <c r="C4319" s="346" t="s">
        <v>8599</v>
      </c>
    </row>
    <row r="4320" spans="1:3">
      <c r="A4320" s="347">
        <v>46090</v>
      </c>
      <c r="B4320" s="346" t="s">
        <v>8600</v>
      </c>
      <c r="C4320" s="346" t="s">
        <v>8601</v>
      </c>
    </row>
    <row r="4321" spans="1:3">
      <c r="A4321" s="347">
        <v>46090</v>
      </c>
      <c r="B4321" s="346" t="s">
        <v>8602</v>
      </c>
      <c r="C4321" s="346" t="s">
        <v>8603</v>
      </c>
    </row>
    <row r="4322" spans="1:3">
      <c r="A4322" s="347">
        <v>46090</v>
      </c>
      <c r="B4322" s="346" t="s">
        <v>8604</v>
      </c>
      <c r="C4322" s="346" t="s">
        <v>8605</v>
      </c>
    </row>
    <row r="4323" spans="1:3">
      <c r="A4323" s="347">
        <v>46090</v>
      </c>
      <c r="B4323" s="346" t="s">
        <v>8606</v>
      </c>
      <c r="C4323" s="346" t="s">
        <v>8607</v>
      </c>
    </row>
    <row r="4324" spans="1:3">
      <c r="A4324" s="347">
        <v>46090</v>
      </c>
      <c r="B4324" s="346" t="s">
        <v>8608</v>
      </c>
      <c r="C4324" s="346" t="s">
        <v>8609</v>
      </c>
    </row>
    <row r="4325" spans="1:3">
      <c r="A4325" s="347">
        <v>46090</v>
      </c>
      <c r="B4325" s="346" t="s">
        <v>8610</v>
      </c>
      <c r="C4325" s="346" t="s">
        <v>8611</v>
      </c>
    </row>
    <row r="4326" spans="1:3">
      <c r="A4326" s="347">
        <v>46090</v>
      </c>
      <c r="B4326" s="346" t="s">
        <v>8612</v>
      </c>
      <c r="C4326" s="346" t="s">
        <v>8613</v>
      </c>
    </row>
    <row r="4327" spans="1:3">
      <c r="A4327" s="347">
        <v>46090</v>
      </c>
      <c r="B4327" s="346" t="s">
        <v>8614</v>
      </c>
      <c r="C4327" s="346" t="s">
        <v>8615</v>
      </c>
    </row>
    <row r="4328" spans="1:3">
      <c r="A4328" s="347">
        <v>46090</v>
      </c>
      <c r="B4328" s="346" t="s">
        <v>8616</v>
      </c>
      <c r="C4328" s="346" t="s">
        <v>8617</v>
      </c>
    </row>
    <row r="4329" spans="1:3">
      <c r="A4329" s="347">
        <v>46090</v>
      </c>
      <c r="B4329" s="346" t="s">
        <v>8618</v>
      </c>
      <c r="C4329" s="346" t="s">
        <v>8619</v>
      </c>
    </row>
    <row r="4330" spans="1:3">
      <c r="A4330" s="347">
        <v>46090</v>
      </c>
      <c r="B4330" s="346" t="s">
        <v>8620</v>
      </c>
      <c r="C4330" s="346" t="s">
        <v>10893</v>
      </c>
    </row>
    <row r="4331" spans="1:3">
      <c r="A4331" s="347">
        <v>46090</v>
      </c>
      <c r="B4331" s="346" t="s">
        <v>8621</v>
      </c>
      <c r="C4331" s="346" t="s">
        <v>8622</v>
      </c>
    </row>
    <row r="4332" spans="1:3">
      <c r="A4332" s="347">
        <v>46090</v>
      </c>
      <c r="B4332" s="346" t="s">
        <v>8623</v>
      </c>
      <c r="C4332" s="346" t="s">
        <v>8624</v>
      </c>
    </row>
    <row r="4333" spans="1:3">
      <c r="A4333" s="347">
        <v>46090</v>
      </c>
      <c r="B4333" s="346" t="s">
        <v>8625</v>
      </c>
      <c r="C4333" s="346" t="s">
        <v>10894</v>
      </c>
    </row>
    <row r="4334" spans="1:3">
      <c r="A4334" s="347">
        <v>46090</v>
      </c>
      <c r="B4334" s="346" t="s">
        <v>8626</v>
      </c>
      <c r="C4334" s="346" t="s">
        <v>8627</v>
      </c>
    </row>
    <row r="4335" spans="1:3">
      <c r="A4335" s="347">
        <v>46090</v>
      </c>
      <c r="B4335" s="346" t="s">
        <v>8628</v>
      </c>
      <c r="C4335" s="346" t="s">
        <v>8629</v>
      </c>
    </row>
    <row r="4336" spans="1:3">
      <c r="A4336" s="347">
        <v>46090</v>
      </c>
      <c r="B4336" s="346" t="s">
        <v>8630</v>
      </c>
      <c r="C4336" s="346" t="s">
        <v>8631</v>
      </c>
    </row>
    <row r="4337" spans="1:3">
      <c r="A4337" s="347">
        <v>46090</v>
      </c>
      <c r="B4337" s="346" t="s">
        <v>8632</v>
      </c>
      <c r="C4337" s="346" t="s">
        <v>8633</v>
      </c>
    </row>
    <row r="4338" spans="1:3">
      <c r="A4338" s="347">
        <v>46090</v>
      </c>
      <c r="B4338" s="346" t="s">
        <v>8634</v>
      </c>
      <c r="C4338" s="346" t="s">
        <v>8635</v>
      </c>
    </row>
    <row r="4339" spans="1:3">
      <c r="A4339" s="347">
        <v>46090</v>
      </c>
      <c r="B4339" s="346" t="s">
        <v>8636</v>
      </c>
      <c r="C4339" s="346" t="s">
        <v>8637</v>
      </c>
    </row>
    <row r="4340" spans="1:3">
      <c r="A4340" s="347">
        <v>46090</v>
      </c>
      <c r="B4340" s="346" t="s">
        <v>8638</v>
      </c>
      <c r="C4340" s="346" t="s">
        <v>8639</v>
      </c>
    </row>
    <row r="4341" spans="1:3">
      <c r="A4341" s="347">
        <v>46090</v>
      </c>
      <c r="B4341" s="346" t="s">
        <v>8640</v>
      </c>
      <c r="C4341" s="346" t="s">
        <v>8641</v>
      </c>
    </row>
    <row r="4342" spans="1:3">
      <c r="A4342" s="347">
        <v>46090</v>
      </c>
      <c r="B4342" s="346" t="s">
        <v>8642</v>
      </c>
      <c r="C4342" s="346" t="s">
        <v>8643</v>
      </c>
    </row>
    <row r="4343" spans="1:3">
      <c r="A4343" s="347">
        <v>46090</v>
      </c>
      <c r="B4343" s="346" t="s">
        <v>8644</v>
      </c>
      <c r="C4343" s="346" t="s">
        <v>8645</v>
      </c>
    </row>
    <row r="4344" spans="1:3">
      <c r="A4344" s="347">
        <v>46090</v>
      </c>
      <c r="B4344" s="346" t="s">
        <v>8646</v>
      </c>
      <c r="C4344" s="346" t="s">
        <v>8647</v>
      </c>
    </row>
    <row r="4345" spans="1:3">
      <c r="A4345" s="347">
        <v>46090</v>
      </c>
      <c r="B4345" s="346" t="s">
        <v>8648</v>
      </c>
      <c r="C4345" s="346" t="s">
        <v>8649</v>
      </c>
    </row>
    <row r="4346" spans="1:3">
      <c r="A4346" s="347">
        <v>46090</v>
      </c>
      <c r="B4346" s="346" t="s">
        <v>8650</v>
      </c>
      <c r="C4346" s="346" t="s">
        <v>8651</v>
      </c>
    </row>
    <row r="4347" spans="1:3">
      <c r="A4347" s="347">
        <v>46090</v>
      </c>
      <c r="B4347" s="346" t="s">
        <v>8652</v>
      </c>
      <c r="C4347" s="346" t="s">
        <v>8653</v>
      </c>
    </row>
    <row r="4348" spans="1:3">
      <c r="A4348" s="347">
        <v>46090</v>
      </c>
      <c r="B4348" s="346" t="s">
        <v>8654</v>
      </c>
      <c r="C4348" s="346" t="s">
        <v>8655</v>
      </c>
    </row>
    <row r="4349" spans="1:3">
      <c r="A4349" s="347">
        <v>46090</v>
      </c>
      <c r="B4349" s="346" t="s">
        <v>8656</v>
      </c>
      <c r="C4349" s="346" t="s">
        <v>8657</v>
      </c>
    </row>
    <row r="4350" spans="1:3">
      <c r="A4350" s="347">
        <v>46090</v>
      </c>
      <c r="B4350" s="346" t="s">
        <v>8658</v>
      </c>
      <c r="C4350" s="346" t="s">
        <v>8659</v>
      </c>
    </row>
    <row r="4351" spans="1:3">
      <c r="A4351" s="347">
        <v>46090</v>
      </c>
      <c r="B4351" s="346" t="s">
        <v>8660</v>
      </c>
      <c r="C4351" s="346" t="s">
        <v>8661</v>
      </c>
    </row>
    <row r="4352" spans="1:3">
      <c r="A4352" s="347">
        <v>46090</v>
      </c>
      <c r="B4352" s="346" t="s">
        <v>8662</v>
      </c>
      <c r="C4352" s="346" t="s">
        <v>8663</v>
      </c>
    </row>
    <row r="4353" spans="1:3">
      <c r="A4353" s="347">
        <v>46090</v>
      </c>
      <c r="B4353" s="346" t="s">
        <v>8664</v>
      </c>
      <c r="C4353" s="346" t="s">
        <v>8665</v>
      </c>
    </row>
    <row r="4354" spans="1:3">
      <c r="A4354" s="347">
        <v>46090</v>
      </c>
      <c r="B4354" s="346" t="s">
        <v>8666</v>
      </c>
      <c r="C4354" s="346" t="s">
        <v>8667</v>
      </c>
    </row>
    <row r="4355" spans="1:3">
      <c r="A4355" s="347">
        <v>46090</v>
      </c>
      <c r="B4355" s="346" t="s">
        <v>8668</v>
      </c>
      <c r="C4355" s="346" t="s">
        <v>8669</v>
      </c>
    </row>
    <row r="4356" spans="1:3">
      <c r="A4356" s="347">
        <v>46090</v>
      </c>
      <c r="B4356" s="346" t="s">
        <v>8670</v>
      </c>
      <c r="C4356" s="346" t="s">
        <v>8671</v>
      </c>
    </row>
    <row r="4357" spans="1:3">
      <c r="A4357" s="347">
        <v>46090</v>
      </c>
      <c r="B4357" s="346" t="s">
        <v>8672</v>
      </c>
      <c r="C4357" s="346" t="s">
        <v>8673</v>
      </c>
    </row>
    <row r="4358" spans="1:3">
      <c r="A4358" s="347">
        <v>46090</v>
      </c>
      <c r="B4358" s="346" t="s">
        <v>8674</v>
      </c>
      <c r="C4358" s="346" t="s">
        <v>8675</v>
      </c>
    </row>
    <row r="4359" spans="1:3">
      <c r="A4359" s="347">
        <v>46090</v>
      </c>
      <c r="B4359" s="346" t="s">
        <v>8676</v>
      </c>
      <c r="C4359" s="346" t="s">
        <v>8677</v>
      </c>
    </row>
    <row r="4360" spans="1:3">
      <c r="A4360" s="347">
        <v>46090</v>
      </c>
      <c r="B4360" s="346" t="s">
        <v>8678</v>
      </c>
      <c r="C4360" s="346" t="s">
        <v>10895</v>
      </c>
    </row>
    <row r="4361" spans="1:3">
      <c r="A4361" s="347">
        <v>46090</v>
      </c>
      <c r="B4361" s="346" t="s">
        <v>8679</v>
      </c>
      <c r="C4361" s="346" t="s">
        <v>8680</v>
      </c>
    </row>
    <row r="4362" spans="1:3">
      <c r="A4362" s="347">
        <v>46090</v>
      </c>
      <c r="B4362" s="346" t="s">
        <v>8681</v>
      </c>
      <c r="C4362" s="346" t="s">
        <v>8682</v>
      </c>
    </row>
    <row r="4363" spans="1:3">
      <c r="A4363" s="347">
        <v>46090</v>
      </c>
      <c r="B4363" s="346" t="s">
        <v>8683</v>
      </c>
      <c r="C4363" s="346" t="s">
        <v>8684</v>
      </c>
    </row>
    <row r="4364" spans="1:3">
      <c r="A4364" s="347">
        <v>46090</v>
      </c>
      <c r="B4364" s="346" t="s">
        <v>8685</v>
      </c>
      <c r="C4364" s="346" t="s">
        <v>8686</v>
      </c>
    </row>
    <row r="4365" spans="1:3">
      <c r="A4365" s="347">
        <v>46090</v>
      </c>
      <c r="B4365" s="346" t="s">
        <v>8687</v>
      </c>
      <c r="C4365" s="346" t="s">
        <v>10896</v>
      </c>
    </row>
    <row r="4366" spans="1:3">
      <c r="A4366" s="347">
        <v>46090</v>
      </c>
      <c r="B4366" s="346" t="s">
        <v>8688</v>
      </c>
      <c r="C4366" s="346" t="s">
        <v>8689</v>
      </c>
    </row>
    <row r="4367" spans="1:3">
      <c r="A4367" s="347">
        <v>46090</v>
      </c>
      <c r="B4367" s="346" t="s">
        <v>8690</v>
      </c>
      <c r="C4367" s="346" t="s">
        <v>8691</v>
      </c>
    </row>
    <row r="4368" spans="1:3">
      <c r="A4368" s="347">
        <v>46090</v>
      </c>
      <c r="B4368" s="346" t="s">
        <v>8692</v>
      </c>
      <c r="C4368" s="346" t="s">
        <v>8693</v>
      </c>
    </row>
    <row r="4369" spans="1:3">
      <c r="A4369" s="347">
        <v>46090</v>
      </c>
      <c r="B4369" s="346" t="s">
        <v>8694</v>
      </c>
      <c r="C4369" s="346" t="s">
        <v>8695</v>
      </c>
    </row>
    <row r="4370" spans="1:3">
      <c r="A4370" s="347">
        <v>46090</v>
      </c>
      <c r="B4370" s="346" t="s">
        <v>8696</v>
      </c>
      <c r="C4370" s="346" t="s">
        <v>8697</v>
      </c>
    </row>
    <row r="4371" spans="1:3">
      <c r="A4371" s="347">
        <v>46090</v>
      </c>
      <c r="B4371" s="346" t="s">
        <v>8698</v>
      </c>
      <c r="C4371" s="346" t="s">
        <v>8699</v>
      </c>
    </row>
    <row r="4372" spans="1:3">
      <c r="A4372" s="347">
        <v>46090</v>
      </c>
      <c r="B4372" s="346" t="s">
        <v>8700</v>
      </c>
      <c r="C4372" s="346" t="s">
        <v>8701</v>
      </c>
    </row>
    <row r="4373" spans="1:3">
      <c r="A4373" s="347">
        <v>46090</v>
      </c>
      <c r="B4373" s="346" t="s">
        <v>8702</v>
      </c>
      <c r="C4373" s="346" t="s">
        <v>10897</v>
      </c>
    </row>
    <row r="4374" spans="1:3">
      <c r="A4374" s="347">
        <v>46090</v>
      </c>
      <c r="B4374" s="346" t="s">
        <v>8703</v>
      </c>
      <c r="C4374" s="346" t="s">
        <v>8704</v>
      </c>
    </row>
    <row r="4375" spans="1:3">
      <c r="A4375" s="347">
        <v>46090</v>
      </c>
      <c r="B4375" s="346" t="s">
        <v>8705</v>
      </c>
      <c r="C4375" s="346" t="s">
        <v>8706</v>
      </c>
    </row>
    <row r="4376" spans="1:3">
      <c r="A4376" s="347">
        <v>46090</v>
      </c>
      <c r="B4376" s="346" t="s">
        <v>8707</v>
      </c>
      <c r="C4376" s="346" t="s">
        <v>8708</v>
      </c>
    </row>
    <row r="4377" spans="1:3">
      <c r="A4377" s="347">
        <v>46090</v>
      </c>
      <c r="B4377" s="346" t="s">
        <v>8709</v>
      </c>
      <c r="C4377" s="346" t="s">
        <v>8710</v>
      </c>
    </row>
    <row r="4378" spans="1:3">
      <c r="A4378" s="347">
        <v>46090</v>
      </c>
      <c r="B4378" s="346" t="s">
        <v>8711</v>
      </c>
      <c r="C4378" s="346" t="s">
        <v>8712</v>
      </c>
    </row>
    <row r="4379" spans="1:3">
      <c r="A4379" s="347">
        <v>46090</v>
      </c>
      <c r="B4379" s="346" t="s">
        <v>8713</v>
      </c>
      <c r="C4379" s="346" t="s">
        <v>11145</v>
      </c>
    </row>
    <row r="4380" spans="1:3">
      <c r="A4380" s="347">
        <v>46090</v>
      </c>
      <c r="B4380" s="346" t="s">
        <v>8714</v>
      </c>
      <c r="C4380" s="346" t="s">
        <v>8715</v>
      </c>
    </row>
    <row r="4381" spans="1:3">
      <c r="A4381" s="347">
        <v>46090</v>
      </c>
      <c r="B4381" s="346" t="s">
        <v>8716</v>
      </c>
      <c r="C4381" s="346" t="s">
        <v>10898</v>
      </c>
    </row>
    <row r="4382" spans="1:3">
      <c r="A4382" s="347">
        <v>46090</v>
      </c>
      <c r="B4382" s="346" t="s">
        <v>8717</v>
      </c>
      <c r="C4382" s="346" t="s">
        <v>8718</v>
      </c>
    </row>
    <row r="4383" spans="1:3">
      <c r="A4383" s="347">
        <v>46090</v>
      </c>
      <c r="B4383" s="346" t="s">
        <v>8719</v>
      </c>
      <c r="C4383" s="346" t="s">
        <v>10899</v>
      </c>
    </row>
    <row r="4384" spans="1:3">
      <c r="A4384" s="347">
        <v>46090</v>
      </c>
      <c r="B4384" s="346" t="s">
        <v>8720</v>
      </c>
      <c r="C4384" s="346" t="s">
        <v>8721</v>
      </c>
    </row>
    <row r="4385" spans="1:3">
      <c r="A4385" s="347">
        <v>46090</v>
      </c>
      <c r="B4385" s="346" t="s">
        <v>8722</v>
      </c>
      <c r="C4385" s="346" t="s">
        <v>8723</v>
      </c>
    </row>
    <row r="4386" spans="1:3">
      <c r="A4386" s="347">
        <v>46090</v>
      </c>
      <c r="B4386" s="346" t="s">
        <v>8724</v>
      </c>
      <c r="C4386" s="346" t="s">
        <v>8725</v>
      </c>
    </row>
    <row r="4387" spans="1:3">
      <c r="A4387" s="347">
        <v>46090</v>
      </c>
      <c r="B4387" s="346" t="s">
        <v>8726</v>
      </c>
      <c r="C4387" s="346" t="s">
        <v>10900</v>
      </c>
    </row>
    <row r="4388" spans="1:3">
      <c r="A4388" s="347">
        <v>46090</v>
      </c>
      <c r="B4388" s="346" t="s">
        <v>8727</v>
      </c>
      <c r="C4388" s="346" t="s">
        <v>8728</v>
      </c>
    </row>
    <row r="4389" spans="1:3">
      <c r="A4389" s="347">
        <v>46090</v>
      </c>
      <c r="B4389" s="346" t="s">
        <v>8729</v>
      </c>
      <c r="C4389" s="346" t="s">
        <v>10901</v>
      </c>
    </row>
    <row r="4390" spans="1:3">
      <c r="A4390" s="347">
        <v>46090</v>
      </c>
      <c r="B4390" s="346" t="s">
        <v>8730</v>
      </c>
      <c r="C4390" s="346" t="s">
        <v>8731</v>
      </c>
    </row>
    <row r="4391" spans="1:3">
      <c r="A4391" s="347">
        <v>46090</v>
      </c>
      <c r="B4391" s="346" t="s">
        <v>8732</v>
      </c>
      <c r="C4391" s="346" t="s">
        <v>8733</v>
      </c>
    </row>
    <row r="4392" spans="1:3">
      <c r="A4392" s="347">
        <v>46090</v>
      </c>
      <c r="B4392" s="346" t="s">
        <v>8734</v>
      </c>
      <c r="C4392" s="346" t="s">
        <v>8735</v>
      </c>
    </row>
    <row r="4393" spans="1:3">
      <c r="A4393" s="347">
        <v>46090</v>
      </c>
      <c r="B4393" s="346" t="s">
        <v>8736</v>
      </c>
      <c r="C4393" s="346" t="s">
        <v>8737</v>
      </c>
    </row>
    <row r="4394" spans="1:3">
      <c r="A4394" s="347">
        <v>46090</v>
      </c>
      <c r="B4394" s="346" t="s">
        <v>8738</v>
      </c>
      <c r="C4394" s="346" t="s">
        <v>8739</v>
      </c>
    </row>
    <row r="4395" spans="1:3">
      <c r="A4395" s="347">
        <v>46090</v>
      </c>
      <c r="B4395" s="346" t="s">
        <v>8740</v>
      </c>
      <c r="C4395" s="346" t="s">
        <v>8741</v>
      </c>
    </row>
    <row r="4396" spans="1:3">
      <c r="A4396" s="347">
        <v>46090</v>
      </c>
      <c r="B4396" s="346" t="s">
        <v>8742</v>
      </c>
      <c r="C4396" s="346" t="s">
        <v>8743</v>
      </c>
    </row>
    <row r="4397" spans="1:3">
      <c r="A4397" s="347">
        <v>46090</v>
      </c>
      <c r="B4397" s="346" t="s">
        <v>8744</v>
      </c>
      <c r="C4397" s="346" t="s">
        <v>8745</v>
      </c>
    </row>
    <row r="4398" spans="1:3">
      <c r="A4398" s="347">
        <v>46090</v>
      </c>
      <c r="B4398" s="346" t="s">
        <v>8746</v>
      </c>
      <c r="C4398" s="346" t="s">
        <v>8747</v>
      </c>
    </row>
    <row r="4399" spans="1:3">
      <c r="A4399" s="347">
        <v>46090</v>
      </c>
      <c r="B4399" s="346" t="s">
        <v>8748</v>
      </c>
      <c r="C4399" s="346" t="s">
        <v>8749</v>
      </c>
    </row>
    <row r="4400" spans="1:3">
      <c r="A4400" s="347">
        <v>46090</v>
      </c>
      <c r="B4400" s="346" t="s">
        <v>8750</v>
      </c>
      <c r="C4400" s="346" t="s">
        <v>8751</v>
      </c>
    </row>
    <row r="4401" spans="1:3">
      <c r="A4401" s="347">
        <v>46090</v>
      </c>
      <c r="B4401" s="346" t="s">
        <v>8752</v>
      </c>
      <c r="C4401" s="346" t="s">
        <v>10902</v>
      </c>
    </row>
    <row r="4402" spans="1:3">
      <c r="A4402" s="347">
        <v>46090</v>
      </c>
      <c r="B4402" s="346" t="s">
        <v>8753</v>
      </c>
      <c r="C4402" s="346" t="s">
        <v>8754</v>
      </c>
    </row>
    <row r="4403" spans="1:3">
      <c r="A4403" s="347">
        <v>46090</v>
      </c>
      <c r="B4403" s="346" t="s">
        <v>8755</v>
      </c>
      <c r="C4403" s="346" t="s">
        <v>8756</v>
      </c>
    </row>
    <row r="4404" spans="1:3">
      <c r="A4404" s="347">
        <v>46090</v>
      </c>
      <c r="B4404" s="346" t="s">
        <v>8757</v>
      </c>
      <c r="C4404" s="346" t="s">
        <v>8758</v>
      </c>
    </row>
    <row r="4405" spans="1:3">
      <c r="A4405" s="347">
        <v>46090</v>
      </c>
      <c r="B4405" s="346" t="s">
        <v>8759</v>
      </c>
      <c r="C4405" s="346" t="s">
        <v>8760</v>
      </c>
    </row>
    <row r="4406" spans="1:3">
      <c r="A4406" s="347">
        <v>46090</v>
      </c>
      <c r="B4406" s="346" t="s">
        <v>8761</v>
      </c>
      <c r="C4406" s="346" t="s">
        <v>8762</v>
      </c>
    </row>
    <row r="4407" spans="1:3">
      <c r="A4407" s="347">
        <v>46090</v>
      </c>
      <c r="B4407" s="346" t="s">
        <v>8763</v>
      </c>
      <c r="C4407" s="346" t="s">
        <v>10903</v>
      </c>
    </row>
    <row r="4408" spans="1:3">
      <c r="A4408" s="347">
        <v>46090</v>
      </c>
      <c r="B4408" s="346" t="s">
        <v>8764</v>
      </c>
      <c r="C4408" s="346" t="s">
        <v>8765</v>
      </c>
    </row>
    <row r="4409" spans="1:3">
      <c r="A4409" s="347">
        <v>46090</v>
      </c>
      <c r="B4409" s="346" t="s">
        <v>8766</v>
      </c>
      <c r="C4409" s="346" t="s">
        <v>8767</v>
      </c>
    </row>
    <row r="4410" spans="1:3">
      <c r="A4410" s="347">
        <v>46090</v>
      </c>
      <c r="B4410" s="346" t="s">
        <v>8768</v>
      </c>
      <c r="C4410" s="346" t="s">
        <v>8769</v>
      </c>
    </row>
    <row r="4411" spans="1:3">
      <c r="A4411" s="347">
        <v>46090</v>
      </c>
      <c r="B4411" s="346" t="s">
        <v>8770</v>
      </c>
      <c r="C4411" s="346" t="s">
        <v>8771</v>
      </c>
    </row>
    <row r="4412" spans="1:3">
      <c r="A4412" s="347">
        <v>46090</v>
      </c>
      <c r="B4412" s="346" t="s">
        <v>8772</v>
      </c>
      <c r="C4412" s="346" t="s">
        <v>8773</v>
      </c>
    </row>
    <row r="4413" spans="1:3">
      <c r="A4413" s="347">
        <v>46090</v>
      </c>
      <c r="B4413" s="346" t="s">
        <v>8774</v>
      </c>
      <c r="C4413" s="346" t="s">
        <v>8775</v>
      </c>
    </row>
    <row r="4414" spans="1:3">
      <c r="A4414" s="347">
        <v>46090</v>
      </c>
      <c r="B4414" s="346" t="s">
        <v>8776</v>
      </c>
      <c r="C4414" s="346" t="s">
        <v>8777</v>
      </c>
    </row>
    <row r="4415" spans="1:3">
      <c r="A4415" s="347">
        <v>46090</v>
      </c>
      <c r="B4415" s="346" t="s">
        <v>8778</v>
      </c>
      <c r="C4415" s="346" t="s">
        <v>8779</v>
      </c>
    </row>
    <row r="4416" spans="1:3">
      <c r="A4416" s="347">
        <v>46090</v>
      </c>
      <c r="B4416" s="346" t="s">
        <v>8780</v>
      </c>
      <c r="C4416" s="346" t="s">
        <v>8781</v>
      </c>
    </row>
    <row r="4417" spans="1:3">
      <c r="A4417" s="347">
        <v>46090</v>
      </c>
      <c r="B4417" s="346" t="s">
        <v>8782</v>
      </c>
      <c r="C4417" s="346" t="s">
        <v>8783</v>
      </c>
    </row>
    <row r="4418" spans="1:3">
      <c r="A4418" s="347">
        <v>46090</v>
      </c>
      <c r="B4418" s="346" t="s">
        <v>8784</v>
      </c>
      <c r="C4418" s="346" t="s">
        <v>8785</v>
      </c>
    </row>
    <row r="4419" spans="1:3">
      <c r="A4419" s="347">
        <v>46090</v>
      </c>
      <c r="B4419" s="346" t="s">
        <v>8786</v>
      </c>
      <c r="C4419" s="346" t="s">
        <v>8787</v>
      </c>
    </row>
    <row r="4420" spans="1:3">
      <c r="A4420" s="347">
        <v>46090</v>
      </c>
      <c r="B4420" s="346" t="s">
        <v>8788</v>
      </c>
      <c r="C4420" s="346" t="s">
        <v>8789</v>
      </c>
    </row>
    <row r="4421" spans="1:3">
      <c r="A4421" s="347">
        <v>46090</v>
      </c>
      <c r="B4421" s="346" t="s">
        <v>8790</v>
      </c>
      <c r="C4421" s="346" t="s">
        <v>8791</v>
      </c>
    </row>
    <row r="4422" spans="1:3">
      <c r="A4422" s="347">
        <v>46090</v>
      </c>
      <c r="B4422" s="346" t="s">
        <v>8792</v>
      </c>
      <c r="C4422" s="346" t="s">
        <v>8793</v>
      </c>
    </row>
    <row r="4423" spans="1:3">
      <c r="A4423" s="347">
        <v>46090</v>
      </c>
      <c r="B4423" s="346" t="s">
        <v>8794</v>
      </c>
      <c r="C4423" s="346" t="s">
        <v>8795</v>
      </c>
    </row>
    <row r="4424" spans="1:3">
      <c r="A4424" s="347">
        <v>46090</v>
      </c>
      <c r="B4424" s="346" t="s">
        <v>8796</v>
      </c>
      <c r="C4424" s="346" t="s">
        <v>8797</v>
      </c>
    </row>
    <row r="4425" spans="1:3">
      <c r="A4425" s="347">
        <v>46090</v>
      </c>
      <c r="B4425" s="346" t="s">
        <v>8798</v>
      </c>
      <c r="C4425" s="346" t="s">
        <v>8799</v>
      </c>
    </row>
    <row r="4426" spans="1:3">
      <c r="A4426" s="347">
        <v>46090</v>
      </c>
      <c r="B4426" s="346" t="s">
        <v>8800</v>
      </c>
      <c r="C4426" s="346" t="s">
        <v>8801</v>
      </c>
    </row>
    <row r="4427" spans="1:3">
      <c r="A4427" s="347">
        <v>46090</v>
      </c>
      <c r="B4427" s="346" t="s">
        <v>8802</v>
      </c>
      <c r="C4427" s="346" t="s">
        <v>8803</v>
      </c>
    </row>
    <row r="4428" spans="1:3">
      <c r="A4428" s="347">
        <v>46090</v>
      </c>
      <c r="B4428" s="346" t="s">
        <v>8804</v>
      </c>
      <c r="C4428" s="346" t="s">
        <v>8805</v>
      </c>
    </row>
    <row r="4429" spans="1:3">
      <c r="A4429" s="347">
        <v>46090</v>
      </c>
      <c r="B4429" s="346" t="s">
        <v>8806</v>
      </c>
      <c r="C4429" s="346" t="s">
        <v>8807</v>
      </c>
    </row>
    <row r="4430" spans="1:3">
      <c r="A4430" s="347">
        <v>46090</v>
      </c>
      <c r="B4430" s="346" t="s">
        <v>8808</v>
      </c>
      <c r="C4430" s="346" t="s">
        <v>8809</v>
      </c>
    </row>
    <row r="4431" spans="1:3">
      <c r="A4431" s="347">
        <v>46090</v>
      </c>
      <c r="B4431" s="346" t="s">
        <v>8810</v>
      </c>
      <c r="C4431" s="346" t="s">
        <v>8811</v>
      </c>
    </row>
    <row r="4432" spans="1:3">
      <c r="A4432" s="347">
        <v>46090</v>
      </c>
      <c r="B4432" s="346" t="s">
        <v>8812</v>
      </c>
      <c r="C4432" s="346" t="s">
        <v>8813</v>
      </c>
    </row>
    <row r="4433" spans="1:3">
      <c r="A4433" s="347">
        <v>46090</v>
      </c>
      <c r="B4433" s="346" t="s">
        <v>8814</v>
      </c>
      <c r="C4433" s="346" t="s">
        <v>8815</v>
      </c>
    </row>
    <row r="4434" spans="1:3">
      <c r="A4434" s="347">
        <v>46090</v>
      </c>
      <c r="B4434" s="346" t="s">
        <v>8816</v>
      </c>
      <c r="C4434" s="346" t="s">
        <v>8817</v>
      </c>
    </row>
    <row r="4435" spans="1:3">
      <c r="A4435" s="347">
        <v>46090</v>
      </c>
      <c r="B4435" s="346" t="s">
        <v>8818</v>
      </c>
      <c r="C4435" s="346" t="s">
        <v>8819</v>
      </c>
    </row>
    <row r="4436" spans="1:3">
      <c r="A4436" s="347">
        <v>46090</v>
      </c>
      <c r="B4436" s="346" t="s">
        <v>8820</v>
      </c>
      <c r="C4436" s="346" t="s">
        <v>8821</v>
      </c>
    </row>
    <row r="4437" spans="1:3">
      <c r="A4437" s="347">
        <v>46090</v>
      </c>
      <c r="B4437" s="346" t="s">
        <v>8822</v>
      </c>
      <c r="C4437" s="346" t="s">
        <v>8823</v>
      </c>
    </row>
    <row r="4438" spans="1:3">
      <c r="A4438" s="347">
        <v>46090</v>
      </c>
      <c r="B4438" s="346" t="s">
        <v>8824</v>
      </c>
      <c r="C4438" s="346" t="s">
        <v>8825</v>
      </c>
    </row>
    <row r="4439" spans="1:3">
      <c r="A4439" s="347">
        <v>46090</v>
      </c>
      <c r="B4439" s="346" t="s">
        <v>8826</v>
      </c>
      <c r="C4439" s="346" t="s">
        <v>8827</v>
      </c>
    </row>
    <row r="4440" spans="1:3">
      <c r="A4440" s="347">
        <v>46090</v>
      </c>
      <c r="B4440" s="346" t="s">
        <v>8828</v>
      </c>
      <c r="C4440" s="346" t="s">
        <v>8829</v>
      </c>
    </row>
    <row r="4441" spans="1:3">
      <c r="A4441" s="347">
        <v>46090</v>
      </c>
      <c r="B4441" s="346" t="s">
        <v>8830</v>
      </c>
      <c r="C4441" s="346" t="s">
        <v>8831</v>
      </c>
    </row>
    <row r="4442" spans="1:3">
      <c r="A4442" s="347">
        <v>46090</v>
      </c>
      <c r="B4442" s="346" t="s">
        <v>8832</v>
      </c>
      <c r="C4442" s="346" t="s">
        <v>8833</v>
      </c>
    </row>
    <row r="4443" spans="1:3">
      <c r="A4443" s="347">
        <v>46090</v>
      </c>
      <c r="B4443" s="346" t="s">
        <v>8834</v>
      </c>
      <c r="C4443" s="346" t="s">
        <v>8835</v>
      </c>
    </row>
    <row r="4444" spans="1:3">
      <c r="A4444" s="347">
        <v>46090</v>
      </c>
      <c r="B4444" s="346" t="s">
        <v>8836</v>
      </c>
      <c r="C4444" s="346" t="s">
        <v>8837</v>
      </c>
    </row>
    <row r="4445" spans="1:3">
      <c r="A4445" s="347">
        <v>46090</v>
      </c>
      <c r="B4445" s="346" t="s">
        <v>8838</v>
      </c>
      <c r="C4445" s="346" t="s">
        <v>8839</v>
      </c>
    </row>
    <row r="4446" spans="1:3">
      <c r="A4446" s="347">
        <v>46090</v>
      </c>
      <c r="B4446" s="346" t="s">
        <v>8840</v>
      </c>
      <c r="C4446" s="346" t="s">
        <v>8841</v>
      </c>
    </row>
    <row r="4447" spans="1:3">
      <c r="A4447" s="347">
        <v>46090</v>
      </c>
      <c r="B4447" s="346" t="s">
        <v>8842</v>
      </c>
      <c r="C4447" s="346" t="s">
        <v>8843</v>
      </c>
    </row>
    <row r="4448" spans="1:3">
      <c r="A4448" s="347">
        <v>46090</v>
      </c>
      <c r="B4448" s="346" t="s">
        <v>8844</v>
      </c>
      <c r="C4448" s="346" t="s">
        <v>8845</v>
      </c>
    </row>
    <row r="4449" spans="1:3">
      <c r="A4449" s="347">
        <v>46090</v>
      </c>
      <c r="B4449" s="346" t="s">
        <v>8846</v>
      </c>
      <c r="C4449" s="346" t="s">
        <v>8847</v>
      </c>
    </row>
    <row r="4450" spans="1:3">
      <c r="A4450" s="347">
        <v>46090</v>
      </c>
      <c r="B4450" s="346" t="s">
        <v>8848</v>
      </c>
      <c r="C4450" s="346" t="s">
        <v>8849</v>
      </c>
    </row>
    <row r="4451" spans="1:3">
      <c r="A4451" s="347">
        <v>46090</v>
      </c>
      <c r="B4451" s="346" t="s">
        <v>8850</v>
      </c>
      <c r="C4451" s="346" t="s">
        <v>8851</v>
      </c>
    </row>
    <row r="4452" spans="1:3">
      <c r="A4452" s="347">
        <v>46090</v>
      </c>
      <c r="B4452" s="346" t="s">
        <v>8852</v>
      </c>
      <c r="C4452" s="346" t="s">
        <v>8853</v>
      </c>
    </row>
    <row r="4453" spans="1:3">
      <c r="A4453" s="347">
        <v>46090</v>
      </c>
      <c r="B4453" s="346" t="s">
        <v>8854</v>
      </c>
      <c r="C4453" s="346" t="s">
        <v>8855</v>
      </c>
    </row>
    <row r="4454" spans="1:3">
      <c r="A4454" s="347">
        <v>46090</v>
      </c>
      <c r="B4454" s="346" t="s">
        <v>8856</v>
      </c>
      <c r="C4454" s="346" t="s">
        <v>8857</v>
      </c>
    </row>
    <row r="4455" spans="1:3">
      <c r="A4455" s="347">
        <v>46090</v>
      </c>
      <c r="B4455" s="346" t="s">
        <v>8858</v>
      </c>
      <c r="C4455" s="346" t="s">
        <v>8859</v>
      </c>
    </row>
    <row r="4456" spans="1:3">
      <c r="A4456" s="347">
        <v>46090</v>
      </c>
      <c r="B4456" s="346" t="s">
        <v>8860</v>
      </c>
      <c r="C4456" s="346" t="s">
        <v>8861</v>
      </c>
    </row>
    <row r="4457" spans="1:3">
      <c r="A4457" s="347">
        <v>46090</v>
      </c>
      <c r="B4457" s="346" t="s">
        <v>8862</v>
      </c>
      <c r="C4457" s="346" t="s">
        <v>8863</v>
      </c>
    </row>
    <row r="4458" spans="1:3">
      <c r="A4458" s="347">
        <v>46090</v>
      </c>
      <c r="B4458" s="346" t="s">
        <v>8864</v>
      </c>
      <c r="C4458" s="346" t="s">
        <v>8865</v>
      </c>
    </row>
    <row r="4459" spans="1:3">
      <c r="A4459" s="347">
        <v>46090</v>
      </c>
      <c r="B4459" s="346" t="s">
        <v>8866</v>
      </c>
      <c r="C4459" s="346" t="s">
        <v>8867</v>
      </c>
    </row>
    <row r="4460" spans="1:3">
      <c r="A4460" s="347">
        <v>46090</v>
      </c>
      <c r="B4460" s="346" t="s">
        <v>8868</v>
      </c>
      <c r="C4460" s="346" t="s">
        <v>8869</v>
      </c>
    </row>
    <row r="4461" spans="1:3">
      <c r="A4461" s="347">
        <v>46090</v>
      </c>
      <c r="B4461" s="346" t="s">
        <v>8870</v>
      </c>
      <c r="C4461" s="346" t="s">
        <v>8871</v>
      </c>
    </row>
    <row r="4462" spans="1:3">
      <c r="A4462" s="347">
        <v>46090</v>
      </c>
      <c r="B4462" s="346" t="s">
        <v>8872</v>
      </c>
      <c r="C4462" s="346" t="s">
        <v>8873</v>
      </c>
    </row>
    <row r="4463" spans="1:3">
      <c r="A4463" s="347">
        <v>46090</v>
      </c>
      <c r="B4463" s="346" t="s">
        <v>8874</v>
      </c>
      <c r="C4463" s="346" t="s">
        <v>8875</v>
      </c>
    </row>
    <row r="4464" spans="1:3">
      <c r="A4464" s="347">
        <v>46090</v>
      </c>
      <c r="B4464" s="346" t="s">
        <v>8876</v>
      </c>
      <c r="C4464" s="346" t="s">
        <v>8877</v>
      </c>
    </row>
    <row r="4465" spans="1:3">
      <c r="A4465" s="347">
        <v>46090</v>
      </c>
      <c r="B4465" s="346" t="s">
        <v>8878</v>
      </c>
      <c r="C4465" s="346" t="s">
        <v>8879</v>
      </c>
    </row>
    <row r="4466" spans="1:3">
      <c r="A4466" s="347">
        <v>46090</v>
      </c>
      <c r="B4466" s="346" t="s">
        <v>8880</v>
      </c>
      <c r="C4466" s="346" t="s">
        <v>10904</v>
      </c>
    </row>
    <row r="4467" spans="1:3">
      <c r="A4467" s="347">
        <v>46090</v>
      </c>
      <c r="B4467" s="346" t="s">
        <v>8881</v>
      </c>
      <c r="C4467" s="346" t="s">
        <v>8882</v>
      </c>
    </row>
    <row r="4468" spans="1:3">
      <c r="A4468" s="347">
        <v>46090</v>
      </c>
      <c r="B4468" s="346" t="s">
        <v>8883</v>
      </c>
      <c r="C4468" s="346" t="s">
        <v>8884</v>
      </c>
    </row>
    <row r="4469" spans="1:3">
      <c r="A4469" s="347">
        <v>46090</v>
      </c>
      <c r="B4469" s="346" t="s">
        <v>8885</v>
      </c>
      <c r="C4469" s="346" t="s">
        <v>8886</v>
      </c>
    </row>
    <row r="4470" spans="1:3">
      <c r="A4470" s="347">
        <v>46090</v>
      </c>
      <c r="B4470" s="346" t="s">
        <v>8887</v>
      </c>
      <c r="C4470" s="346" t="s">
        <v>8888</v>
      </c>
    </row>
    <row r="4471" spans="1:3">
      <c r="A4471" s="347">
        <v>46090</v>
      </c>
      <c r="B4471" s="346" t="s">
        <v>8889</v>
      </c>
      <c r="C4471" s="346" t="s">
        <v>8890</v>
      </c>
    </row>
    <row r="4472" spans="1:3">
      <c r="A4472" s="347">
        <v>46090</v>
      </c>
      <c r="B4472" s="346" t="s">
        <v>8891</v>
      </c>
      <c r="C4472" s="346" t="s">
        <v>8892</v>
      </c>
    </row>
    <row r="4473" spans="1:3">
      <c r="A4473" s="347">
        <v>46090</v>
      </c>
      <c r="B4473" s="346" t="s">
        <v>8893</v>
      </c>
      <c r="C4473" s="346" t="s">
        <v>8894</v>
      </c>
    </row>
    <row r="4474" spans="1:3">
      <c r="A4474" s="347">
        <v>46090</v>
      </c>
      <c r="B4474" s="346" t="s">
        <v>8895</v>
      </c>
      <c r="C4474" s="346" t="s">
        <v>8896</v>
      </c>
    </row>
    <row r="4475" spans="1:3">
      <c r="A4475" s="347">
        <v>46090</v>
      </c>
      <c r="B4475" s="346" t="s">
        <v>8897</v>
      </c>
      <c r="C4475" s="346" t="s">
        <v>8898</v>
      </c>
    </row>
    <row r="4476" spans="1:3">
      <c r="A4476" s="347">
        <v>46090</v>
      </c>
      <c r="B4476" s="346" t="s">
        <v>8899</v>
      </c>
      <c r="C4476" s="346" t="s">
        <v>8900</v>
      </c>
    </row>
    <row r="4477" spans="1:3">
      <c r="A4477" s="347">
        <v>46090</v>
      </c>
      <c r="B4477" s="346" t="s">
        <v>8901</v>
      </c>
      <c r="C4477" s="346" t="s">
        <v>8902</v>
      </c>
    </row>
    <row r="4478" spans="1:3">
      <c r="A4478" s="347">
        <v>46090</v>
      </c>
      <c r="B4478" s="346" t="s">
        <v>8903</v>
      </c>
      <c r="C4478" s="346" t="s">
        <v>8904</v>
      </c>
    </row>
    <row r="4479" spans="1:3">
      <c r="A4479" s="347">
        <v>46090</v>
      </c>
      <c r="B4479" s="346" t="s">
        <v>8905</v>
      </c>
      <c r="C4479" s="346" t="s">
        <v>8906</v>
      </c>
    </row>
    <row r="4480" spans="1:3">
      <c r="A4480" s="347">
        <v>46090</v>
      </c>
      <c r="B4480" s="346" t="s">
        <v>8907</v>
      </c>
      <c r="C4480" s="346" t="s">
        <v>8908</v>
      </c>
    </row>
    <row r="4481" spans="1:3">
      <c r="A4481" s="347">
        <v>46090</v>
      </c>
      <c r="B4481" s="346" t="s">
        <v>8909</v>
      </c>
      <c r="C4481" s="346" t="s">
        <v>8910</v>
      </c>
    </row>
    <row r="4482" spans="1:3">
      <c r="A4482" s="347">
        <v>46090</v>
      </c>
      <c r="B4482" s="346" t="s">
        <v>8911</v>
      </c>
      <c r="C4482" s="346" t="s">
        <v>8912</v>
      </c>
    </row>
    <row r="4483" spans="1:3">
      <c r="A4483" s="347">
        <v>46090</v>
      </c>
      <c r="B4483" s="346" t="s">
        <v>8913</v>
      </c>
      <c r="C4483" s="346" t="s">
        <v>8914</v>
      </c>
    </row>
    <row r="4484" spans="1:3">
      <c r="A4484" s="347">
        <v>46090</v>
      </c>
      <c r="B4484" s="346" t="s">
        <v>8915</v>
      </c>
      <c r="C4484" s="346" t="s">
        <v>8916</v>
      </c>
    </row>
    <row r="4485" spans="1:3">
      <c r="A4485" s="347">
        <v>46090</v>
      </c>
      <c r="B4485" s="346" t="s">
        <v>8917</v>
      </c>
      <c r="C4485" s="346" t="s">
        <v>8918</v>
      </c>
    </row>
    <row r="4486" spans="1:3">
      <c r="A4486" s="347">
        <v>46090</v>
      </c>
      <c r="B4486" s="346" t="s">
        <v>8919</v>
      </c>
      <c r="C4486" s="346" t="s">
        <v>8920</v>
      </c>
    </row>
    <row r="4487" spans="1:3">
      <c r="A4487" s="347">
        <v>46090</v>
      </c>
      <c r="B4487" s="346" t="s">
        <v>8921</v>
      </c>
      <c r="C4487" s="346" t="s">
        <v>8922</v>
      </c>
    </row>
    <row r="4488" spans="1:3">
      <c r="A4488" s="347">
        <v>46090</v>
      </c>
      <c r="B4488" s="346" t="s">
        <v>8923</v>
      </c>
      <c r="C4488" s="346" t="s">
        <v>8924</v>
      </c>
    </row>
    <row r="4489" spans="1:3">
      <c r="A4489" s="347">
        <v>46090</v>
      </c>
      <c r="B4489" s="346" t="s">
        <v>8925</v>
      </c>
      <c r="C4489" s="346" t="s">
        <v>8926</v>
      </c>
    </row>
    <row r="4490" spans="1:3">
      <c r="A4490" s="347">
        <v>46090</v>
      </c>
      <c r="B4490" s="346" t="s">
        <v>8927</v>
      </c>
      <c r="C4490" s="346" t="s">
        <v>8928</v>
      </c>
    </row>
    <row r="4491" spans="1:3">
      <c r="A4491" s="347">
        <v>46090</v>
      </c>
      <c r="B4491" s="346" t="s">
        <v>8929</v>
      </c>
      <c r="C4491" s="346" t="s">
        <v>8930</v>
      </c>
    </row>
    <row r="4492" spans="1:3">
      <c r="A4492" s="347">
        <v>46090</v>
      </c>
      <c r="B4492" s="346" t="s">
        <v>8931</v>
      </c>
      <c r="C4492" s="346" t="s">
        <v>8932</v>
      </c>
    </row>
    <row r="4493" spans="1:3">
      <c r="A4493" s="347">
        <v>46090</v>
      </c>
      <c r="B4493" s="346" t="s">
        <v>8933</v>
      </c>
      <c r="C4493" s="346" t="s">
        <v>8934</v>
      </c>
    </row>
    <row r="4494" spans="1:3">
      <c r="A4494" s="347">
        <v>46090</v>
      </c>
      <c r="B4494" s="346" t="s">
        <v>8935</v>
      </c>
      <c r="C4494" s="346" t="s">
        <v>8936</v>
      </c>
    </row>
    <row r="4495" spans="1:3">
      <c r="A4495" s="347">
        <v>46090</v>
      </c>
      <c r="B4495" s="346" t="s">
        <v>8937</v>
      </c>
      <c r="C4495" s="346" t="s">
        <v>8938</v>
      </c>
    </row>
    <row r="4496" spans="1:3">
      <c r="A4496" s="347">
        <v>46090</v>
      </c>
      <c r="B4496" s="346" t="s">
        <v>8939</v>
      </c>
      <c r="C4496" s="346" t="s">
        <v>8940</v>
      </c>
    </row>
    <row r="4497" spans="1:3">
      <c r="A4497" s="347">
        <v>46090</v>
      </c>
      <c r="B4497" s="346" t="s">
        <v>8941</v>
      </c>
      <c r="C4497" s="346" t="s">
        <v>8942</v>
      </c>
    </row>
    <row r="4498" spans="1:3">
      <c r="A4498" s="347">
        <v>46090</v>
      </c>
      <c r="B4498" s="346" t="s">
        <v>8943</v>
      </c>
      <c r="C4498" s="346" t="s">
        <v>8944</v>
      </c>
    </row>
    <row r="4499" spans="1:3">
      <c r="A4499" s="347">
        <v>46090</v>
      </c>
      <c r="B4499" s="346" t="s">
        <v>8945</v>
      </c>
      <c r="C4499" s="346" t="s">
        <v>8946</v>
      </c>
    </row>
    <row r="4500" spans="1:3">
      <c r="A4500" s="347">
        <v>46090</v>
      </c>
      <c r="B4500" s="346" t="s">
        <v>8947</v>
      </c>
      <c r="C4500" s="346" t="s">
        <v>8948</v>
      </c>
    </row>
    <row r="4501" spans="1:3">
      <c r="A4501" s="347">
        <v>46090</v>
      </c>
      <c r="B4501" s="346" t="s">
        <v>8949</v>
      </c>
      <c r="C4501" s="346" t="s">
        <v>8950</v>
      </c>
    </row>
    <row r="4502" spans="1:3">
      <c r="A4502" s="347">
        <v>46090</v>
      </c>
      <c r="B4502" s="346" t="s">
        <v>8951</v>
      </c>
      <c r="C4502" s="346" t="s">
        <v>8952</v>
      </c>
    </row>
    <row r="4503" spans="1:3">
      <c r="A4503" s="347">
        <v>46090</v>
      </c>
      <c r="B4503" s="346" t="s">
        <v>8953</v>
      </c>
      <c r="C4503" s="346" t="s">
        <v>10905</v>
      </c>
    </row>
    <row r="4504" spans="1:3">
      <c r="A4504" s="347">
        <v>46090</v>
      </c>
      <c r="B4504" s="346" t="s">
        <v>8954</v>
      </c>
      <c r="C4504" s="346" t="s">
        <v>8955</v>
      </c>
    </row>
    <row r="4505" spans="1:3">
      <c r="A4505" s="347">
        <v>46090</v>
      </c>
      <c r="B4505" s="346" t="s">
        <v>8956</v>
      </c>
      <c r="C4505" s="346" t="s">
        <v>8957</v>
      </c>
    </row>
    <row r="4506" spans="1:3">
      <c r="A4506" s="347">
        <v>46090</v>
      </c>
      <c r="B4506" s="346" t="s">
        <v>8958</v>
      </c>
      <c r="C4506" s="346" t="s">
        <v>8959</v>
      </c>
    </row>
    <row r="4507" spans="1:3">
      <c r="A4507" s="347">
        <v>46090</v>
      </c>
      <c r="B4507" s="346" t="s">
        <v>8960</v>
      </c>
      <c r="C4507" s="346" t="s">
        <v>8961</v>
      </c>
    </row>
    <row r="4508" spans="1:3">
      <c r="A4508" s="347">
        <v>46090</v>
      </c>
      <c r="B4508" s="346" t="s">
        <v>8962</v>
      </c>
      <c r="C4508" s="346" t="s">
        <v>8963</v>
      </c>
    </row>
    <row r="4509" spans="1:3">
      <c r="A4509" s="347">
        <v>46090</v>
      </c>
      <c r="B4509" s="346" t="s">
        <v>8964</v>
      </c>
      <c r="C4509" s="346" t="s">
        <v>8965</v>
      </c>
    </row>
    <row r="4510" spans="1:3">
      <c r="A4510" s="347">
        <v>46090</v>
      </c>
      <c r="B4510" s="346" t="s">
        <v>8966</v>
      </c>
      <c r="C4510" s="346" t="s">
        <v>8967</v>
      </c>
    </row>
    <row r="4511" spans="1:3">
      <c r="A4511" s="347">
        <v>46090</v>
      </c>
      <c r="B4511" s="346" t="s">
        <v>8968</v>
      </c>
      <c r="C4511" s="346" t="s">
        <v>8969</v>
      </c>
    </row>
    <row r="4512" spans="1:3">
      <c r="A4512" s="347">
        <v>46090</v>
      </c>
      <c r="B4512" s="346" t="s">
        <v>8970</v>
      </c>
      <c r="C4512" s="346" t="s">
        <v>8971</v>
      </c>
    </row>
    <row r="4513" spans="1:3">
      <c r="A4513" s="347">
        <v>46090</v>
      </c>
      <c r="B4513" s="346" t="s">
        <v>8972</v>
      </c>
      <c r="C4513" s="346" t="s">
        <v>8973</v>
      </c>
    </row>
    <row r="4514" spans="1:3">
      <c r="A4514" s="347">
        <v>46090</v>
      </c>
      <c r="B4514" s="346" t="s">
        <v>8974</v>
      </c>
      <c r="C4514" s="346" t="s">
        <v>8975</v>
      </c>
    </row>
    <row r="4515" spans="1:3">
      <c r="A4515" s="347">
        <v>46090</v>
      </c>
      <c r="B4515" s="346" t="s">
        <v>8976</v>
      </c>
      <c r="C4515" s="346" t="s">
        <v>8977</v>
      </c>
    </row>
    <row r="4516" spans="1:3">
      <c r="A4516" s="347">
        <v>46090</v>
      </c>
      <c r="B4516" s="346" t="s">
        <v>8978</v>
      </c>
      <c r="C4516" s="346" t="s">
        <v>8979</v>
      </c>
    </row>
    <row r="4517" spans="1:3">
      <c r="A4517" s="347">
        <v>46090</v>
      </c>
      <c r="B4517" s="346" t="s">
        <v>8980</v>
      </c>
      <c r="C4517" s="346" t="s">
        <v>8981</v>
      </c>
    </row>
    <row r="4518" spans="1:3">
      <c r="A4518" s="347">
        <v>46090</v>
      </c>
      <c r="B4518" s="346" t="s">
        <v>8982</v>
      </c>
      <c r="C4518" s="346" t="s">
        <v>8983</v>
      </c>
    </row>
    <row r="4519" spans="1:3">
      <c r="A4519" s="347">
        <v>46090</v>
      </c>
      <c r="B4519" s="346" t="s">
        <v>8984</v>
      </c>
      <c r="C4519" s="346" t="s">
        <v>8985</v>
      </c>
    </row>
    <row r="4520" spans="1:3">
      <c r="A4520" s="347">
        <v>46090</v>
      </c>
      <c r="B4520" s="346" t="s">
        <v>8986</v>
      </c>
      <c r="C4520" s="346" t="s">
        <v>8987</v>
      </c>
    </row>
    <row r="4521" spans="1:3">
      <c r="A4521" s="347">
        <v>46090</v>
      </c>
      <c r="B4521" s="346" t="s">
        <v>8988</v>
      </c>
      <c r="C4521" s="346" t="s">
        <v>8989</v>
      </c>
    </row>
    <row r="4522" spans="1:3">
      <c r="A4522" s="347">
        <v>46090</v>
      </c>
      <c r="B4522" s="346" t="s">
        <v>8990</v>
      </c>
      <c r="C4522" s="346" t="s">
        <v>8991</v>
      </c>
    </row>
    <row r="4523" spans="1:3">
      <c r="A4523" s="347">
        <v>46090</v>
      </c>
      <c r="B4523" s="346" t="s">
        <v>8992</v>
      </c>
      <c r="C4523" s="346" t="s">
        <v>8993</v>
      </c>
    </row>
    <row r="4524" spans="1:3">
      <c r="A4524" s="347">
        <v>46090</v>
      </c>
      <c r="B4524" s="346" t="s">
        <v>8994</v>
      </c>
      <c r="C4524" s="346" t="s">
        <v>8995</v>
      </c>
    </row>
    <row r="4525" spans="1:3">
      <c r="A4525" s="347">
        <v>46090</v>
      </c>
      <c r="B4525" s="346" t="s">
        <v>8996</v>
      </c>
      <c r="C4525" s="346" t="s">
        <v>8997</v>
      </c>
    </row>
    <row r="4526" spans="1:3">
      <c r="A4526" s="347">
        <v>46090</v>
      </c>
      <c r="B4526" s="346" t="s">
        <v>8998</v>
      </c>
      <c r="C4526" s="346" t="s">
        <v>8999</v>
      </c>
    </row>
    <row r="4527" spans="1:3">
      <c r="A4527" s="347">
        <v>46090</v>
      </c>
      <c r="B4527" s="346" t="s">
        <v>9000</v>
      </c>
      <c r="C4527" s="346" t="s">
        <v>9001</v>
      </c>
    </row>
    <row r="4528" spans="1:3">
      <c r="A4528" s="347">
        <v>46090</v>
      </c>
      <c r="B4528" s="346" t="s">
        <v>9002</v>
      </c>
      <c r="C4528" s="346" t="s">
        <v>9003</v>
      </c>
    </row>
    <row r="4529" spans="1:3">
      <c r="A4529" s="347">
        <v>46090</v>
      </c>
      <c r="B4529" s="346" t="s">
        <v>9004</v>
      </c>
      <c r="C4529" s="346" t="s">
        <v>9005</v>
      </c>
    </row>
    <row r="4530" spans="1:3">
      <c r="A4530" s="347">
        <v>46090</v>
      </c>
      <c r="B4530" s="346" t="s">
        <v>9006</v>
      </c>
      <c r="C4530" s="346" t="s">
        <v>9007</v>
      </c>
    </row>
    <row r="4531" spans="1:3">
      <c r="A4531" s="347">
        <v>46090</v>
      </c>
      <c r="B4531" s="346" t="s">
        <v>9008</v>
      </c>
      <c r="C4531" s="346" t="s">
        <v>9009</v>
      </c>
    </row>
    <row r="4532" spans="1:3">
      <c r="A4532" s="347">
        <v>46090</v>
      </c>
      <c r="B4532" s="346" t="s">
        <v>9010</v>
      </c>
      <c r="C4532" s="346" t="s">
        <v>9011</v>
      </c>
    </row>
    <row r="4533" spans="1:3">
      <c r="A4533" s="347">
        <v>46090</v>
      </c>
      <c r="B4533" s="346" t="s">
        <v>9012</v>
      </c>
      <c r="C4533" s="346" t="s">
        <v>9013</v>
      </c>
    </row>
    <row r="4534" spans="1:3">
      <c r="A4534" s="347">
        <v>46090</v>
      </c>
      <c r="B4534" s="346" t="s">
        <v>9014</v>
      </c>
      <c r="C4534" s="346" t="s">
        <v>9015</v>
      </c>
    </row>
    <row r="4535" spans="1:3">
      <c r="A4535" s="347">
        <v>46090</v>
      </c>
      <c r="B4535" s="346" t="s">
        <v>9016</v>
      </c>
      <c r="C4535" s="346" t="s">
        <v>9017</v>
      </c>
    </row>
    <row r="4536" spans="1:3">
      <c r="A4536" s="347">
        <v>46090</v>
      </c>
      <c r="B4536" s="346" t="s">
        <v>9018</v>
      </c>
      <c r="C4536" s="346" t="s">
        <v>9019</v>
      </c>
    </row>
    <row r="4537" spans="1:3">
      <c r="A4537" s="347">
        <v>46090</v>
      </c>
      <c r="B4537" s="346" t="s">
        <v>9020</v>
      </c>
      <c r="C4537" s="346" t="s">
        <v>9021</v>
      </c>
    </row>
    <row r="4538" spans="1:3">
      <c r="A4538" s="347">
        <v>46090</v>
      </c>
      <c r="B4538" s="346" t="s">
        <v>9022</v>
      </c>
      <c r="C4538" s="346" t="s">
        <v>9023</v>
      </c>
    </row>
    <row r="4539" spans="1:3">
      <c r="A4539" s="347">
        <v>46090</v>
      </c>
      <c r="B4539" s="346" t="s">
        <v>9024</v>
      </c>
      <c r="C4539" s="346" t="s">
        <v>9025</v>
      </c>
    </row>
    <row r="4540" spans="1:3">
      <c r="A4540" s="347">
        <v>46090</v>
      </c>
      <c r="B4540" s="346" t="s">
        <v>9026</v>
      </c>
      <c r="C4540" s="346" t="s">
        <v>10906</v>
      </c>
    </row>
    <row r="4541" spans="1:3">
      <c r="A4541" s="347">
        <v>46090</v>
      </c>
      <c r="B4541" s="346" t="s">
        <v>9027</v>
      </c>
      <c r="C4541" s="346" t="s">
        <v>9028</v>
      </c>
    </row>
    <row r="4542" spans="1:3">
      <c r="A4542" s="347">
        <v>46090</v>
      </c>
      <c r="B4542" s="346" t="s">
        <v>9029</v>
      </c>
      <c r="C4542" s="346" t="s">
        <v>9030</v>
      </c>
    </row>
    <row r="4543" spans="1:3">
      <c r="A4543" s="347">
        <v>46090</v>
      </c>
      <c r="B4543" s="346" t="s">
        <v>9031</v>
      </c>
      <c r="C4543" s="346" t="s">
        <v>9032</v>
      </c>
    </row>
    <row r="4544" spans="1:3">
      <c r="A4544" s="347">
        <v>46090</v>
      </c>
      <c r="B4544" s="346" t="s">
        <v>9033</v>
      </c>
      <c r="C4544" s="346" t="s">
        <v>9034</v>
      </c>
    </row>
    <row r="4545" spans="1:3">
      <c r="A4545" s="347">
        <v>46090</v>
      </c>
      <c r="B4545" s="346" t="s">
        <v>9035</v>
      </c>
      <c r="C4545" s="346" t="s">
        <v>9036</v>
      </c>
    </row>
    <row r="4546" spans="1:3">
      <c r="A4546" s="347">
        <v>46090</v>
      </c>
      <c r="B4546" s="346" t="s">
        <v>9037</v>
      </c>
      <c r="C4546" s="346" t="s">
        <v>9038</v>
      </c>
    </row>
    <row r="4547" spans="1:3">
      <c r="A4547" s="347">
        <v>46090</v>
      </c>
      <c r="B4547" s="346" t="s">
        <v>9039</v>
      </c>
      <c r="C4547" s="346" t="s">
        <v>9040</v>
      </c>
    </row>
    <row r="4548" spans="1:3">
      <c r="A4548" s="347">
        <v>46090</v>
      </c>
      <c r="B4548" s="346" t="s">
        <v>9041</v>
      </c>
      <c r="C4548" s="346" t="s">
        <v>9042</v>
      </c>
    </row>
    <row r="4549" spans="1:3">
      <c r="A4549" s="347">
        <v>46090</v>
      </c>
      <c r="B4549" s="346" t="s">
        <v>9043</v>
      </c>
      <c r="C4549" s="346" t="s">
        <v>9044</v>
      </c>
    </row>
    <row r="4550" spans="1:3">
      <c r="A4550" s="347">
        <v>46090</v>
      </c>
      <c r="B4550" s="346" t="s">
        <v>9045</v>
      </c>
      <c r="C4550" s="346" t="s">
        <v>9046</v>
      </c>
    </row>
    <row r="4551" spans="1:3">
      <c r="A4551" s="347">
        <v>46090</v>
      </c>
      <c r="B4551" s="346" t="s">
        <v>9047</v>
      </c>
      <c r="C4551" s="346" t="s">
        <v>11146</v>
      </c>
    </row>
    <row r="4552" spans="1:3">
      <c r="A4552" s="347">
        <v>46090</v>
      </c>
      <c r="B4552" s="346" t="s">
        <v>9048</v>
      </c>
      <c r="C4552" s="346" t="s">
        <v>9049</v>
      </c>
    </row>
    <row r="4553" spans="1:3">
      <c r="A4553" s="347">
        <v>46090</v>
      </c>
      <c r="B4553" s="346" t="s">
        <v>9050</v>
      </c>
      <c r="C4553" s="346" t="s">
        <v>9051</v>
      </c>
    </row>
    <row r="4554" spans="1:3">
      <c r="A4554" s="347">
        <v>46090</v>
      </c>
      <c r="B4554" s="346" t="s">
        <v>9052</v>
      </c>
      <c r="C4554" s="346" t="s">
        <v>9053</v>
      </c>
    </row>
    <row r="4555" spans="1:3">
      <c r="A4555" s="347">
        <v>46090</v>
      </c>
      <c r="B4555" s="346" t="s">
        <v>9054</v>
      </c>
      <c r="C4555" s="346" t="s">
        <v>9055</v>
      </c>
    </row>
    <row r="4556" spans="1:3">
      <c r="A4556" s="347">
        <v>46090</v>
      </c>
      <c r="B4556" s="346" t="s">
        <v>9056</v>
      </c>
      <c r="C4556" s="346" t="s">
        <v>9057</v>
      </c>
    </row>
    <row r="4557" spans="1:3">
      <c r="A4557" s="347">
        <v>46090</v>
      </c>
      <c r="B4557" s="346" t="s">
        <v>9058</v>
      </c>
      <c r="C4557" s="346" t="s">
        <v>9059</v>
      </c>
    </row>
    <row r="4558" spans="1:3">
      <c r="A4558" s="347">
        <v>46090</v>
      </c>
      <c r="B4558" s="346" t="s">
        <v>9060</v>
      </c>
      <c r="C4558" s="346" t="s">
        <v>9061</v>
      </c>
    </row>
    <row r="4559" spans="1:3">
      <c r="A4559" s="347">
        <v>46090</v>
      </c>
      <c r="B4559" s="346" t="s">
        <v>9062</v>
      </c>
      <c r="C4559" s="346" t="s">
        <v>9063</v>
      </c>
    </row>
    <row r="4560" spans="1:3">
      <c r="A4560" s="347">
        <v>46090</v>
      </c>
      <c r="B4560" s="346" t="s">
        <v>9064</v>
      </c>
      <c r="C4560" s="346" t="s">
        <v>9065</v>
      </c>
    </row>
    <row r="4561" spans="1:3">
      <c r="A4561" s="347">
        <v>46090</v>
      </c>
      <c r="B4561" s="346" t="s">
        <v>9066</v>
      </c>
      <c r="C4561" s="346" t="s">
        <v>9067</v>
      </c>
    </row>
    <row r="4562" spans="1:3">
      <c r="A4562" s="347">
        <v>46090</v>
      </c>
      <c r="B4562" s="346" t="s">
        <v>9068</v>
      </c>
      <c r="C4562" s="346" t="s">
        <v>9069</v>
      </c>
    </row>
    <row r="4563" spans="1:3">
      <c r="A4563" s="347">
        <v>46090</v>
      </c>
      <c r="B4563" s="346" t="s">
        <v>9070</v>
      </c>
      <c r="C4563" s="346" t="s">
        <v>9071</v>
      </c>
    </row>
    <row r="4564" spans="1:3">
      <c r="A4564" s="347">
        <v>46090</v>
      </c>
      <c r="B4564" s="346" t="s">
        <v>9072</v>
      </c>
      <c r="C4564" s="346" t="s">
        <v>9073</v>
      </c>
    </row>
    <row r="4565" spans="1:3">
      <c r="A4565" s="347">
        <v>46090</v>
      </c>
      <c r="B4565" s="346" t="s">
        <v>9074</v>
      </c>
      <c r="C4565" s="346" t="s">
        <v>9075</v>
      </c>
    </row>
    <row r="4566" spans="1:3">
      <c r="A4566" s="347">
        <v>46090</v>
      </c>
      <c r="B4566" s="346" t="s">
        <v>9076</v>
      </c>
      <c r="C4566" s="346" t="s">
        <v>9077</v>
      </c>
    </row>
    <row r="4567" spans="1:3">
      <c r="A4567" s="347">
        <v>46090</v>
      </c>
      <c r="B4567" s="346" t="s">
        <v>9078</v>
      </c>
      <c r="C4567" s="346" t="s">
        <v>9079</v>
      </c>
    </row>
    <row r="4568" spans="1:3">
      <c r="A4568" s="347">
        <v>46090</v>
      </c>
      <c r="B4568" s="346" t="s">
        <v>9080</v>
      </c>
      <c r="C4568" s="346" t="s">
        <v>9081</v>
      </c>
    </row>
    <row r="4569" spans="1:3">
      <c r="A4569" s="347">
        <v>46090</v>
      </c>
      <c r="B4569" s="346" t="s">
        <v>9082</v>
      </c>
      <c r="C4569" s="346" t="s">
        <v>9083</v>
      </c>
    </row>
    <row r="4570" spans="1:3">
      <c r="A4570" s="347">
        <v>46090</v>
      </c>
      <c r="B4570" s="346" t="s">
        <v>9084</v>
      </c>
      <c r="C4570" s="346" t="s">
        <v>9085</v>
      </c>
    </row>
    <row r="4571" spans="1:3">
      <c r="A4571" s="347">
        <v>46090</v>
      </c>
      <c r="B4571" s="346" t="s">
        <v>9086</v>
      </c>
      <c r="C4571" s="346" t="s">
        <v>9087</v>
      </c>
    </row>
    <row r="4572" spans="1:3">
      <c r="A4572" s="347">
        <v>46090</v>
      </c>
      <c r="B4572" s="346" t="s">
        <v>9088</v>
      </c>
      <c r="C4572" s="346" t="s">
        <v>9089</v>
      </c>
    </row>
    <row r="4573" spans="1:3">
      <c r="A4573" s="347">
        <v>46090</v>
      </c>
      <c r="B4573" s="346" t="s">
        <v>9090</v>
      </c>
      <c r="C4573" s="346" t="s">
        <v>9091</v>
      </c>
    </row>
    <row r="4574" spans="1:3">
      <c r="A4574" s="347">
        <v>46090</v>
      </c>
      <c r="B4574" s="346" t="s">
        <v>9092</v>
      </c>
      <c r="C4574" s="346" t="s">
        <v>9093</v>
      </c>
    </row>
    <row r="4575" spans="1:3">
      <c r="A4575" s="347">
        <v>46090</v>
      </c>
      <c r="B4575" s="346" t="s">
        <v>9094</v>
      </c>
      <c r="C4575" s="346" t="s">
        <v>9095</v>
      </c>
    </row>
    <row r="4576" spans="1:3">
      <c r="A4576" s="347">
        <v>46090</v>
      </c>
      <c r="B4576" s="346" t="s">
        <v>9096</v>
      </c>
      <c r="C4576" s="346" t="s">
        <v>9097</v>
      </c>
    </row>
    <row r="4577" spans="1:3">
      <c r="A4577" s="347">
        <v>46090</v>
      </c>
      <c r="B4577" s="346" t="s">
        <v>9098</v>
      </c>
      <c r="C4577" s="346" t="s">
        <v>9099</v>
      </c>
    </row>
    <row r="4578" spans="1:3">
      <c r="A4578" s="347">
        <v>46090</v>
      </c>
      <c r="B4578" s="346" t="s">
        <v>9100</v>
      </c>
      <c r="C4578" s="346" t="s">
        <v>9101</v>
      </c>
    </row>
    <row r="4579" spans="1:3">
      <c r="A4579" s="347">
        <v>46090</v>
      </c>
      <c r="B4579" s="346" t="s">
        <v>9102</v>
      </c>
      <c r="C4579" s="346" t="s">
        <v>9103</v>
      </c>
    </row>
    <row r="4580" spans="1:3">
      <c r="A4580" s="347">
        <v>46090</v>
      </c>
      <c r="B4580" s="346" t="s">
        <v>9104</v>
      </c>
      <c r="C4580" s="346" t="s">
        <v>9105</v>
      </c>
    </row>
    <row r="4581" spans="1:3">
      <c r="A4581" s="347">
        <v>46090</v>
      </c>
      <c r="B4581" s="346" t="s">
        <v>9106</v>
      </c>
      <c r="C4581" s="346" t="s">
        <v>9107</v>
      </c>
    </row>
    <row r="4582" spans="1:3">
      <c r="A4582" s="347">
        <v>46090</v>
      </c>
      <c r="B4582" s="346" t="s">
        <v>9108</v>
      </c>
      <c r="C4582" s="346" t="s">
        <v>9109</v>
      </c>
    </row>
    <row r="4583" spans="1:3">
      <c r="A4583" s="347">
        <v>46090</v>
      </c>
      <c r="B4583" s="346" t="s">
        <v>9110</v>
      </c>
      <c r="C4583" s="346" t="s">
        <v>9111</v>
      </c>
    </row>
    <row r="4584" spans="1:3">
      <c r="A4584" s="347">
        <v>46090</v>
      </c>
      <c r="B4584" s="346" t="s">
        <v>9112</v>
      </c>
      <c r="C4584" s="346" t="s">
        <v>9113</v>
      </c>
    </row>
    <row r="4585" spans="1:3">
      <c r="A4585" s="347">
        <v>46090</v>
      </c>
      <c r="B4585" s="346" t="s">
        <v>9114</v>
      </c>
      <c r="C4585" s="346" t="s">
        <v>9115</v>
      </c>
    </row>
    <row r="4586" spans="1:3">
      <c r="A4586" s="347">
        <v>46090</v>
      </c>
      <c r="B4586" s="346" t="s">
        <v>9116</v>
      </c>
      <c r="C4586" s="346" t="s">
        <v>9117</v>
      </c>
    </row>
    <row r="4587" spans="1:3">
      <c r="A4587" s="347">
        <v>46090</v>
      </c>
      <c r="B4587" s="346" t="s">
        <v>9118</v>
      </c>
      <c r="C4587" s="346" t="s">
        <v>9119</v>
      </c>
    </row>
    <row r="4588" spans="1:3">
      <c r="A4588" s="347">
        <v>46090</v>
      </c>
      <c r="B4588" s="346" t="s">
        <v>9120</v>
      </c>
      <c r="C4588" s="346" t="s">
        <v>9121</v>
      </c>
    </row>
    <row r="4589" spans="1:3">
      <c r="A4589" s="347">
        <v>46090</v>
      </c>
      <c r="B4589" s="346" t="s">
        <v>9122</v>
      </c>
      <c r="C4589" s="346" t="s">
        <v>9123</v>
      </c>
    </row>
    <row r="4590" spans="1:3">
      <c r="A4590" s="347">
        <v>46090</v>
      </c>
      <c r="B4590" s="346" t="s">
        <v>9124</v>
      </c>
      <c r="C4590" s="346" t="s">
        <v>9125</v>
      </c>
    </row>
    <row r="4591" spans="1:3">
      <c r="A4591" s="347">
        <v>46090</v>
      </c>
      <c r="B4591" s="346" t="s">
        <v>9126</v>
      </c>
      <c r="C4591" s="346" t="s">
        <v>9127</v>
      </c>
    </row>
    <row r="4592" spans="1:3">
      <c r="A4592" s="347">
        <v>46090</v>
      </c>
      <c r="B4592" s="346" t="s">
        <v>9128</v>
      </c>
      <c r="C4592" s="346" t="s">
        <v>9129</v>
      </c>
    </row>
    <row r="4593" spans="1:3">
      <c r="A4593" s="347">
        <v>46090</v>
      </c>
      <c r="B4593" s="346" t="s">
        <v>9130</v>
      </c>
      <c r="C4593" s="346" t="s">
        <v>9131</v>
      </c>
    </row>
    <row r="4594" spans="1:3">
      <c r="A4594" s="347">
        <v>46090</v>
      </c>
      <c r="B4594" s="346" t="s">
        <v>9132</v>
      </c>
      <c r="C4594" s="346" t="s">
        <v>9133</v>
      </c>
    </row>
    <row r="4595" spans="1:3">
      <c r="A4595" s="347">
        <v>46090</v>
      </c>
      <c r="B4595" s="346" t="s">
        <v>9134</v>
      </c>
      <c r="C4595" s="346" t="s">
        <v>9135</v>
      </c>
    </row>
    <row r="4596" spans="1:3">
      <c r="A4596" s="347">
        <v>46090</v>
      </c>
      <c r="B4596" s="346" t="s">
        <v>9136</v>
      </c>
      <c r="C4596" s="346" t="s">
        <v>9137</v>
      </c>
    </row>
    <row r="4597" spans="1:3">
      <c r="A4597" s="347">
        <v>46090</v>
      </c>
      <c r="B4597" s="346" t="s">
        <v>9138</v>
      </c>
      <c r="C4597" s="346" t="s">
        <v>9139</v>
      </c>
    </row>
    <row r="4598" spans="1:3">
      <c r="A4598" s="347">
        <v>46090</v>
      </c>
      <c r="B4598" s="346" t="s">
        <v>9140</v>
      </c>
      <c r="C4598" s="346" t="s">
        <v>9141</v>
      </c>
    </row>
    <row r="4599" spans="1:3">
      <c r="A4599" s="347">
        <v>46090</v>
      </c>
      <c r="B4599" s="346" t="s">
        <v>9142</v>
      </c>
      <c r="C4599" s="346" t="s">
        <v>9143</v>
      </c>
    </row>
    <row r="4600" spans="1:3">
      <c r="A4600" s="347">
        <v>46090</v>
      </c>
      <c r="B4600" s="346" t="s">
        <v>9144</v>
      </c>
      <c r="C4600" s="346" t="s">
        <v>9145</v>
      </c>
    </row>
    <row r="4601" spans="1:3">
      <c r="A4601" s="347">
        <v>46090</v>
      </c>
      <c r="B4601" s="346" t="s">
        <v>9146</v>
      </c>
      <c r="C4601" s="346" t="s">
        <v>9147</v>
      </c>
    </row>
    <row r="4602" spans="1:3">
      <c r="A4602" s="347">
        <v>46090</v>
      </c>
      <c r="B4602" s="346" t="s">
        <v>9148</v>
      </c>
      <c r="C4602" s="346" t="s">
        <v>9149</v>
      </c>
    </row>
    <row r="4603" spans="1:3">
      <c r="A4603" s="347">
        <v>46090</v>
      </c>
      <c r="B4603" s="346" t="s">
        <v>9150</v>
      </c>
      <c r="C4603" s="346" t="s">
        <v>9151</v>
      </c>
    </row>
    <row r="4604" spans="1:3">
      <c r="A4604" s="347">
        <v>46090</v>
      </c>
      <c r="B4604" s="346" t="s">
        <v>9152</v>
      </c>
      <c r="C4604" s="346" t="s">
        <v>9153</v>
      </c>
    </row>
    <row r="4605" spans="1:3">
      <c r="A4605" s="347">
        <v>46090</v>
      </c>
      <c r="B4605" s="346" t="s">
        <v>9154</v>
      </c>
      <c r="C4605" s="346" t="s">
        <v>9155</v>
      </c>
    </row>
    <row r="4606" spans="1:3">
      <c r="A4606" s="347">
        <v>46090</v>
      </c>
      <c r="B4606" s="346" t="s">
        <v>9156</v>
      </c>
      <c r="C4606" s="346" t="s">
        <v>9157</v>
      </c>
    </row>
    <row r="4607" spans="1:3">
      <c r="A4607" s="347">
        <v>46090</v>
      </c>
      <c r="B4607" s="346" t="s">
        <v>9158</v>
      </c>
      <c r="C4607" s="346" t="s">
        <v>9159</v>
      </c>
    </row>
    <row r="4608" spans="1:3">
      <c r="A4608" s="347">
        <v>46090</v>
      </c>
      <c r="B4608" s="346" t="s">
        <v>9160</v>
      </c>
      <c r="C4608" s="346" t="s">
        <v>9161</v>
      </c>
    </row>
    <row r="4609" spans="1:3">
      <c r="A4609" s="347">
        <v>46090</v>
      </c>
      <c r="B4609" s="346" t="s">
        <v>9162</v>
      </c>
      <c r="C4609" s="346" t="s">
        <v>9163</v>
      </c>
    </row>
    <row r="4610" spans="1:3">
      <c r="A4610" s="347">
        <v>46090</v>
      </c>
      <c r="B4610" s="346" t="s">
        <v>9164</v>
      </c>
      <c r="C4610" s="346" t="s">
        <v>9165</v>
      </c>
    </row>
    <row r="4611" spans="1:3">
      <c r="A4611" s="347">
        <v>46090</v>
      </c>
      <c r="B4611" s="346" t="s">
        <v>9166</v>
      </c>
      <c r="C4611" s="346" t="s">
        <v>9167</v>
      </c>
    </row>
    <row r="4612" spans="1:3">
      <c r="A4612" s="347">
        <v>46090</v>
      </c>
      <c r="B4612" s="346" t="s">
        <v>9168</v>
      </c>
      <c r="C4612" s="346" t="s">
        <v>10907</v>
      </c>
    </row>
    <row r="4613" spans="1:3">
      <c r="A4613" s="347">
        <v>46090</v>
      </c>
      <c r="B4613" s="346" t="s">
        <v>9169</v>
      </c>
      <c r="C4613" s="346" t="s">
        <v>9170</v>
      </c>
    </row>
    <row r="4614" spans="1:3">
      <c r="A4614" s="347">
        <v>46090</v>
      </c>
      <c r="B4614" s="346" t="s">
        <v>9171</v>
      </c>
      <c r="C4614" s="346" t="s">
        <v>9172</v>
      </c>
    </row>
    <row r="4615" spans="1:3">
      <c r="A4615" s="347">
        <v>46090</v>
      </c>
      <c r="B4615" s="346" t="s">
        <v>9173</v>
      </c>
      <c r="C4615" s="346" t="s">
        <v>9174</v>
      </c>
    </row>
    <row r="4616" spans="1:3">
      <c r="A4616" s="347">
        <v>46090</v>
      </c>
      <c r="B4616" s="346" t="s">
        <v>9175</v>
      </c>
      <c r="C4616" s="346" t="s">
        <v>9176</v>
      </c>
    </row>
    <row r="4617" spans="1:3">
      <c r="A4617" s="347">
        <v>46090</v>
      </c>
      <c r="B4617" s="346" t="s">
        <v>9177</v>
      </c>
      <c r="C4617" s="346" t="s">
        <v>9178</v>
      </c>
    </row>
    <row r="4618" spans="1:3">
      <c r="A4618" s="347">
        <v>46090</v>
      </c>
      <c r="B4618" s="346" t="s">
        <v>9179</v>
      </c>
      <c r="C4618" s="346" t="s">
        <v>9180</v>
      </c>
    </row>
    <row r="4619" spans="1:3">
      <c r="A4619" s="347">
        <v>46090</v>
      </c>
      <c r="B4619" s="346" t="s">
        <v>9181</v>
      </c>
      <c r="C4619" s="346" t="s">
        <v>9182</v>
      </c>
    </row>
    <row r="4620" spans="1:3">
      <c r="A4620" s="347">
        <v>46090</v>
      </c>
      <c r="B4620" s="346" t="s">
        <v>9183</v>
      </c>
      <c r="C4620" s="346" t="s">
        <v>9184</v>
      </c>
    </row>
    <row r="4621" spans="1:3">
      <c r="A4621" s="347">
        <v>46090</v>
      </c>
      <c r="B4621" s="346" t="s">
        <v>9185</v>
      </c>
      <c r="C4621" s="346" t="s">
        <v>9186</v>
      </c>
    </row>
    <row r="4622" spans="1:3">
      <c r="A4622" s="347">
        <v>46090</v>
      </c>
      <c r="B4622" s="346" t="s">
        <v>9187</v>
      </c>
      <c r="C4622" s="346" t="s">
        <v>9188</v>
      </c>
    </row>
    <row r="4623" spans="1:3">
      <c r="A4623" s="347">
        <v>46090</v>
      </c>
      <c r="B4623" s="346" t="s">
        <v>9189</v>
      </c>
      <c r="C4623" s="346" t="s">
        <v>10908</v>
      </c>
    </row>
    <row r="4624" spans="1:3">
      <c r="A4624" s="347">
        <v>46090</v>
      </c>
      <c r="B4624" s="346" t="s">
        <v>9190</v>
      </c>
      <c r="C4624" s="346" t="s">
        <v>9191</v>
      </c>
    </row>
    <row r="4625" spans="1:3">
      <c r="A4625" s="347">
        <v>46090</v>
      </c>
      <c r="B4625" s="346" t="s">
        <v>9192</v>
      </c>
      <c r="C4625" s="346" t="s">
        <v>9193</v>
      </c>
    </row>
    <row r="4626" spans="1:3">
      <c r="A4626" s="347">
        <v>46090</v>
      </c>
      <c r="B4626" s="346" t="s">
        <v>9194</v>
      </c>
      <c r="C4626" s="346" t="s">
        <v>9195</v>
      </c>
    </row>
    <row r="4627" spans="1:3">
      <c r="A4627" s="347">
        <v>46090</v>
      </c>
      <c r="B4627" s="346" t="s">
        <v>9196</v>
      </c>
      <c r="C4627" s="346" t="s">
        <v>9197</v>
      </c>
    </row>
    <row r="4628" spans="1:3">
      <c r="A4628" s="347">
        <v>46090</v>
      </c>
      <c r="B4628" s="346" t="s">
        <v>9198</v>
      </c>
      <c r="C4628" s="346" t="s">
        <v>9199</v>
      </c>
    </row>
    <row r="4629" spans="1:3">
      <c r="A4629" s="347">
        <v>46090</v>
      </c>
      <c r="B4629" s="346" t="s">
        <v>9200</v>
      </c>
      <c r="C4629" s="346" t="s">
        <v>9201</v>
      </c>
    </row>
    <row r="4630" spans="1:3">
      <c r="A4630" s="347">
        <v>46090</v>
      </c>
      <c r="B4630" s="346" t="s">
        <v>9202</v>
      </c>
      <c r="C4630" s="346" t="s">
        <v>9203</v>
      </c>
    </row>
    <row r="4631" spans="1:3">
      <c r="A4631" s="347">
        <v>46090</v>
      </c>
      <c r="B4631" s="346" t="s">
        <v>9204</v>
      </c>
      <c r="C4631" s="346" t="s">
        <v>9205</v>
      </c>
    </row>
    <row r="4632" spans="1:3">
      <c r="A4632" s="347">
        <v>46090</v>
      </c>
      <c r="B4632" s="346" t="s">
        <v>9206</v>
      </c>
      <c r="C4632" s="346" t="s">
        <v>9207</v>
      </c>
    </row>
    <row r="4633" spans="1:3">
      <c r="A4633" s="347">
        <v>46090</v>
      </c>
      <c r="B4633" s="346" t="s">
        <v>9208</v>
      </c>
      <c r="C4633" s="346" t="s">
        <v>9209</v>
      </c>
    </row>
    <row r="4634" spans="1:3">
      <c r="A4634" s="347">
        <v>46090</v>
      </c>
      <c r="B4634" s="346" t="s">
        <v>9210</v>
      </c>
      <c r="C4634" s="346" t="s">
        <v>9211</v>
      </c>
    </row>
    <row r="4635" spans="1:3">
      <c r="A4635" s="347">
        <v>46090</v>
      </c>
      <c r="B4635" s="346" t="s">
        <v>9212</v>
      </c>
      <c r="C4635" s="346" t="s">
        <v>9213</v>
      </c>
    </row>
    <row r="4636" spans="1:3">
      <c r="A4636" s="347">
        <v>46090</v>
      </c>
      <c r="B4636" s="346" t="s">
        <v>9214</v>
      </c>
      <c r="C4636" s="346" t="s">
        <v>9215</v>
      </c>
    </row>
    <row r="4637" spans="1:3">
      <c r="A4637" s="347">
        <v>46090</v>
      </c>
      <c r="B4637" s="346" t="s">
        <v>9216</v>
      </c>
      <c r="C4637" s="346" t="s">
        <v>9217</v>
      </c>
    </row>
    <row r="4638" spans="1:3">
      <c r="A4638" s="347">
        <v>46090</v>
      </c>
      <c r="B4638" s="346" t="s">
        <v>9218</v>
      </c>
      <c r="C4638" s="346" t="s">
        <v>11147</v>
      </c>
    </row>
    <row r="4639" spans="1:3">
      <c r="A4639" s="347">
        <v>46090</v>
      </c>
      <c r="B4639" s="346" t="s">
        <v>9219</v>
      </c>
      <c r="C4639" s="346" t="s">
        <v>9220</v>
      </c>
    </row>
    <row r="4640" spans="1:3">
      <c r="A4640" s="347">
        <v>46090</v>
      </c>
      <c r="B4640" s="346" t="s">
        <v>9221</v>
      </c>
      <c r="C4640" s="346" t="s">
        <v>9222</v>
      </c>
    </row>
    <row r="4641" spans="1:3">
      <c r="A4641" s="347">
        <v>46090</v>
      </c>
      <c r="B4641" s="346" t="s">
        <v>9223</v>
      </c>
      <c r="C4641" s="346" t="s">
        <v>9224</v>
      </c>
    </row>
    <row r="4642" spans="1:3">
      <c r="A4642" s="347">
        <v>46090</v>
      </c>
      <c r="B4642" s="346" t="s">
        <v>9225</v>
      </c>
      <c r="C4642" s="346" t="s">
        <v>9226</v>
      </c>
    </row>
    <row r="4643" spans="1:3">
      <c r="A4643" s="347">
        <v>46090</v>
      </c>
      <c r="B4643" s="346" t="s">
        <v>9227</v>
      </c>
      <c r="C4643" s="346" t="s">
        <v>9228</v>
      </c>
    </row>
    <row r="4644" spans="1:3">
      <c r="A4644" s="347">
        <v>46090</v>
      </c>
      <c r="B4644" s="346" t="s">
        <v>9229</v>
      </c>
      <c r="C4644" s="346" t="s">
        <v>9230</v>
      </c>
    </row>
    <row r="4645" spans="1:3">
      <c r="A4645" s="347">
        <v>46090</v>
      </c>
      <c r="B4645" s="346" t="s">
        <v>9231</v>
      </c>
      <c r="C4645" s="346" t="s">
        <v>9232</v>
      </c>
    </row>
    <row r="4646" spans="1:3">
      <c r="A4646" s="347">
        <v>46090</v>
      </c>
      <c r="B4646" s="346" t="s">
        <v>9233</v>
      </c>
      <c r="C4646" s="346" t="s">
        <v>9234</v>
      </c>
    </row>
    <row r="4647" spans="1:3">
      <c r="A4647" s="347">
        <v>46090</v>
      </c>
      <c r="B4647" s="346" t="s">
        <v>9235</v>
      </c>
      <c r="C4647" s="346" t="s">
        <v>9236</v>
      </c>
    </row>
    <row r="4648" spans="1:3">
      <c r="A4648" s="347">
        <v>46090</v>
      </c>
      <c r="B4648" s="346" t="s">
        <v>9237</v>
      </c>
      <c r="C4648" s="346" t="s">
        <v>9238</v>
      </c>
    </row>
    <row r="4649" spans="1:3">
      <c r="A4649" s="347">
        <v>46090</v>
      </c>
      <c r="B4649" s="346" t="s">
        <v>9239</v>
      </c>
      <c r="C4649" s="346" t="s">
        <v>9240</v>
      </c>
    </row>
    <row r="4650" spans="1:3">
      <c r="A4650" s="347">
        <v>46090</v>
      </c>
      <c r="B4650" s="346" t="s">
        <v>9241</v>
      </c>
      <c r="C4650" s="346" t="s">
        <v>9242</v>
      </c>
    </row>
    <row r="4651" spans="1:3">
      <c r="A4651" s="347">
        <v>46090</v>
      </c>
      <c r="B4651" s="346" t="s">
        <v>9243</v>
      </c>
      <c r="C4651" s="346" t="s">
        <v>9244</v>
      </c>
    </row>
    <row r="4652" spans="1:3">
      <c r="A4652" s="347">
        <v>46090</v>
      </c>
      <c r="B4652" s="346" t="s">
        <v>9245</v>
      </c>
      <c r="C4652" s="346" t="s">
        <v>9246</v>
      </c>
    </row>
    <row r="4653" spans="1:3">
      <c r="A4653" s="347">
        <v>46090</v>
      </c>
      <c r="B4653" s="346" t="s">
        <v>9247</v>
      </c>
      <c r="C4653" s="346" t="s">
        <v>9248</v>
      </c>
    </row>
    <row r="4654" spans="1:3">
      <c r="A4654" s="347">
        <v>46090</v>
      </c>
      <c r="B4654" s="346" t="s">
        <v>9249</v>
      </c>
      <c r="C4654" s="346" t="s">
        <v>9250</v>
      </c>
    </row>
    <row r="4655" spans="1:3">
      <c r="A4655" s="347">
        <v>46090</v>
      </c>
      <c r="B4655" s="346" t="s">
        <v>9251</v>
      </c>
      <c r="C4655" s="346" t="s">
        <v>9252</v>
      </c>
    </row>
    <row r="4656" spans="1:3">
      <c r="A4656" s="347">
        <v>46090</v>
      </c>
      <c r="B4656" s="346" t="s">
        <v>9253</v>
      </c>
      <c r="C4656" s="346" t="s">
        <v>9254</v>
      </c>
    </row>
    <row r="4657" spans="1:3">
      <c r="A4657" s="347">
        <v>46090</v>
      </c>
      <c r="B4657" s="346" t="s">
        <v>9255</v>
      </c>
      <c r="C4657" s="346" t="s">
        <v>9256</v>
      </c>
    </row>
    <row r="4658" spans="1:3">
      <c r="A4658" s="347">
        <v>46090</v>
      </c>
      <c r="B4658" s="346" t="s">
        <v>9257</v>
      </c>
      <c r="C4658" s="346" t="s">
        <v>10909</v>
      </c>
    </row>
    <row r="4659" spans="1:3">
      <c r="A4659" s="347">
        <v>46090</v>
      </c>
      <c r="B4659" s="346" t="s">
        <v>9258</v>
      </c>
      <c r="C4659" s="346" t="s">
        <v>9259</v>
      </c>
    </row>
    <row r="4660" spans="1:3">
      <c r="A4660" s="347">
        <v>46090</v>
      </c>
      <c r="B4660" s="346" t="s">
        <v>9260</v>
      </c>
      <c r="C4660" s="346" t="s">
        <v>9261</v>
      </c>
    </row>
    <row r="4661" spans="1:3">
      <c r="A4661" s="347">
        <v>46090</v>
      </c>
      <c r="B4661" s="346" t="s">
        <v>9262</v>
      </c>
      <c r="C4661" s="346" t="s">
        <v>9263</v>
      </c>
    </row>
    <row r="4662" spans="1:3">
      <c r="A4662" s="347">
        <v>46090</v>
      </c>
      <c r="B4662" s="346" t="s">
        <v>9264</v>
      </c>
      <c r="C4662" s="346" t="s">
        <v>9265</v>
      </c>
    </row>
    <row r="4663" spans="1:3">
      <c r="A4663" s="347">
        <v>46090</v>
      </c>
      <c r="B4663" s="346" t="s">
        <v>9266</v>
      </c>
      <c r="C4663" s="346" t="s">
        <v>9267</v>
      </c>
    </row>
    <row r="4664" spans="1:3">
      <c r="A4664" s="347">
        <v>46090</v>
      </c>
      <c r="B4664" s="346" t="s">
        <v>9268</v>
      </c>
      <c r="C4664" s="346" t="s">
        <v>9269</v>
      </c>
    </row>
    <row r="4665" spans="1:3">
      <c r="A4665" s="347">
        <v>46090</v>
      </c>
      <c r="B4665" s="346" t="s">
        <v>9270</v>
      </c>
      <c r="C4665" s="346" t="s">
        <v>9271</v>
      </c>
    </row>
    <row r="4666" spans="1:3">
      <c r="A4666" s="347">
        <v>46090</v>
      </c>
      <c r="B4666" s="346" t="s">
        <v>9272</v>
      </c>
      <c r="C4666" s="346" t="s">
        <v>9273</v>
      </c>
    </row>
    <row r="4667" spans="1:3">
      <c r="A4667" s="347">
        <v>46090</v>
      </c>
      <c r="B4667" s="346" t="s">
        <v>9274</v>
      </c>
      <c r="C4667" s="346" t="s">
        <v>9275</v>
      </c>
    </row>
    <row r="4668" spans="1:3">
      <c r="A4668" s="347">
        <v>46090</v>
      </c>
      <c r="B4668" s="346" t="s">
        <v>9276</v>
      </c>
      <c r="C4668" s="346" t="s">
        <v>9277</v>
      </c>
    </row>
    <row r="4669" spans="1:3">
      <c r="A4669" s="347">
        <v>46090</v>
      </c>
      <c r="B4669" s="346" t="s">
        <v>9278</v>
      </c>
      <c r="C4669" s="346" t="s">
        <v>9279</v>
      </c>
    </row>
    <row r="4670" spans="1:3">
      <c r="A4670" s="347">
        <v>46090</v>
      </c>
      <c r="B4670" s="346" t="s">
        <v>9280</v>
      </c>
      <c r="C4670" s="346" t="s">
        <v>9281</v>
      </c>
    </row>
    <row r="4671" spans="1:3">
      <c r="A4671" s="347">
        <v>46090</v>
      </c>
      <c r="B4671" s="346" t="s">
        <v>9282</v>
      </c>
      <c r="C4671" s="346" t="s">
        <v>9283</v>
      </c>
    </row>
    <row r="4672" spans="1:3">
      <c r="A4672" s="347">
        <v>46090</v>
      </c>
      <c r="B4672" s="346" t="s">
        <v>9284</v>
      </c>
      <c r="C4672" s="346" t="s">
        <v>9285</v>
      </c>
    </row>
    <row r="4673" spans="1:3">
      <c r="A4673" s="347">
        <v>46090</v>
      </c>
      <c r="B4673" s="346" t="s">
        <v>9286</v>
      </c>
      <c r="C4673" s="346" t="s">
        <v>9287</v>
      </c>
    </row>
    <row r="4674" spans="1:3">
      <c r="A4674" s="347">
        <v>46090</v>
      </c>
      <c r="B4674" s="346" t="s">
        <v>9288</v>
      </c>
      <c r="C4674" s="346" t="s">
        <v>9289</v>
      </c>
    </row>
    <row r="4675" spans="1:3">
      <c r="A4675" s="347">
        <v>46090</v>
      </c>
      <c r="B4675" s="346" t="s">
        <v>9290</v>
      </c>
      <c r="C4675" s="346" t="s">
        <v>9291</v>
      </c>
    </row>
    <row r="4676" spans="1:3">
      <c r="A4676" s="347">
        <v>46090</v>
      </c>
      <c r="B4676" s="346" t="s">
        <v>9292</v>
      </c>
      <c r="C4676" s="346" t="s">
        <v>9293</v>
      </c>
    </row>
    <row r="4677" spans="1:3">
      <c r="A4677" s="347">
        <v>46090</v>
      </c>
      <c r="B4677" s="346" t="s">
        <v>9294</v>
      </c>
      <c r="C4677" s="346" t="s">
        <v>9295</v>
      </c>
    </row>
    <row r="4678" spans="1:3">
      <c r="A4678" s="347">
        <v>46090</v>
      </c>
      <c r="B4678" s="346" t="s">
        <v>9296</v>
      </c>
      <c r="C4678" s="346" t="s">
        <v>9297</v>
      </c>
    </row>
    <row r="4679" spans="1:3">
      <c r="A4679" s="347">
        <v>46090</v>
      </c>
      <c r="B4679" s="346" t="s">
        <v>9298</v>
      </c>
      <c r="C4679" s="346" t="s">
        <v>9299</v>
      </c>
    </row>
    <row r="4680" spans="1:3">
      <c r="A4680" s="347">
        <v>46090</v>
      </c>
      <c r="B4680" s="346" t="s">
        <v>9300</v>
      </c>
      <c r="C4680" s="346" t="s">
        <v>9301</v>
      </c>
    </row>
    <row r="4681" spans="1:3">
      <c r="A4681" s="347">
        <v>46090</v>
      </c>
      <c r="B4681" s="346" t="s">
        <v>9302</v>
      </c>
      <c r="C4681" s="346" t="s">
        <v>9303</v>
      </c>
    </row>
    <row r="4682" spans="1:3">
      <c r="A4682" s="347">
        <v>46090</v>
      </c>
      <c r="B4682" s="346" t="s">
        <v>9304</v>
      </c>
      <c r="C4682" s="346" t="s">
        <v>9305</v>
      </c>
    </row>
    <row r="4683" spans="1:3">
      <c r="A4683" s="347">
        <v>46090</v>
      </c>
      <c r="B4683" s="346" t="s">
        <v>9306</v>
      </c>
      <c r="C4683" s="346" t="s">
        <v>10910</v>
      </c>
    </row>
    <row r="4684" spans="1:3">
      <c r="A4684" s="347">
        <v>46090</v>
      </c>
      <c r="B4684" s="346" t="s">
        <v>9307</v>
      </c>
      <c r="C4684" s="346" t="s">
        <v>9308</v>
      </c>
    </row>
    <row r="4685" spans="1:3">
      <c r="A4685" s="347">
        <v>46090</v>
      </c>
      <c r="B4685" s="346" t="s">
        <v>9309</v>
      </c>
      <c r="C4685" s="346" t="s">
        <v>9310</v>
      </c>
    </row>
    <row r="4686" spans="1:3">
      <c r="A4686" s="347">
        <v>46090</v>
      </c>
      <c r="B4686" s="346" t="s">
        <v>9311</v>
      </c>
      <c r="C4686" s="346" t="s">
        <v>9312</v>
      </c>
    </row>
    <row r="4687" spans="1:3">
      <c r="A4687" s="347">
        <v>46090</v>
      </c>
      <c r="B4687" s="346" t="s">
        <v>9313</v>
      </c>
      <c r="C4687" s="346" t="s">
        <v>9314</v>
      </c>
    </row>
    <row r="4688" spans="1:3">
      <c r="A4688" s="347">
        <v>46090</v>
      </c>
      <c r="B4688" s="346" t="s">
        <v>9315</v>
      </c>
      <c r="C4688" s="346" t="s">
        <v>9316</v>
      </c>
    </row>
    <row r="4689" spans="1:3">
      <c r="A4689" s="347">
        <v>46090</v>
      </c>
      <c r="B4689" s="346" t="s">
        <v>9317</v>
      </c>
      <c r="C4689" s="346" t="s">
        <v>9318</v>
      </c>
    </row>
    <row r="4690" spans="1:3">
      <c r="A4690" s="347">
        <v>46090</v>
      </c>
      <c r="B4690" s="346" t="s">
        <v>9319</v>
      </c>
      <c r="C4690" s="346" t="s">
        <v>9320</v>
      </c>
    </row>
    <row r="4691" spans="1:3">
      <c r="A4691" s="347">
        <v>46090</v>
      </c>
      <c r="B4691" s="346" t="s">
        <v>9321</v>
      </c>
      <c r="C4691" s="346" t="s">
        <v>9322</v>
      </c>
    </row>
    <row r="4692" spans="1:3">
      <c r="A4692" s="347">
        <v>46090</v>
      </c>
      <c r="B4692" s="346" t="s">
        <v>9323</v>
      </c>
      <c r="C4692" s="346" t="s">
        <v>9324</v>
      </c>
    </row>
    <row r="4693" spans="1:3">
      <c r="A4693" s="347">
        <v>46090</v>
      </c>
      <c r="B4693" s="346" t="s">
        <v>9325</v>
      </c>
      <c r="C4693" s="346" t="s">
        <v>9326</v>
      </c>
    </row>
    <row r="4694" spans="1:3">
      <c r="A4694" s="347">
        <v>46090</v>
      </c>
      <c r="B4694" s="346" t="s">
        <v>9327</v>
      </c>
      <c r="C4694" s="346" t="s">
        <v>9328</v>
      </c>
    </row>
    <row r="4695" spans="1:3">
      <c r="A4695" s="347">
        <v>46090</v>
      </c>
      <c r="B4695" s="346" t="s">
        <v>9329</v>
      </c>
      <c r="C4695" s="346" t="s">
        <v>9330</v>
      </c>
    </row>
    <row r="4696" spans="1:3">
      <c r="A4696" s="347">
        <v>46090</v>
      </c>
      <c r="B4696" s="346" t="s">
        <v>9331</v>
      </c>
      <c r="C4696" s="346" t="s">
        <v>9332</v>
      </c>
    </row>
    <row r="4697" spans="1:3">
      <c r="A4697" s="347">
        <v>46090</v>
      </c>
      <c r="B4697" s="346" t="s">
        <v>9333</v>
      </c>
      <c r="C4697" s="346" t="s">
        <v>9334</v>
      </c>
    </row>
    <row r="4698" spans="1:3">
      <c r="A4698" s="347">
        <v>46090</v>
      </c>
      <c r="B4698" s="346" t="s">
        <v>9335</v>
      </c>
      <c r="C4698" s="346" t="s">
        <v>9336</v>
      </c>
    </row>
    <row r="4699" spans="1:3">
      <c r="A4699" s="347">
        <v>46090</v>
      </c>
      <c r="B4699" s="346" t="s">
        <v>9337</v>
      </c>
      <c r="C4699" s="346" t="s">
        <v>9338</v>
      </c>
    </row>
    <row r="4700" spans="1:3">
      <c r="A4700" s="347">
        <v>46090</v>
      </c>
      <c r="B4700" s="346" t="s">
        <v>9339</v>
      </c>
      <c r="C4700" s="346" t="s">
        <v>9340</v>
      </c>
    </row>
    <row r="4701" spans="1:3">
      <c r="A4701" s="347">
        <v>46090</v>
      </c>
      <c r="B4701" s="346" t="s">
        <v>9341</v>
      </c>
      <c r="C4701" s="346" t="s">
        <v>9342</v>
      </c>
    </row>
    <row r="4702" spans="1:3">
      <c r="A4702" s="347">
        <v>46090</v>
      </c>
      <c r="B4702" s="346" t="s">
        <v>9343</v>
      </c>
      <c r="C4702" s="346" t="s">
        <v>9344</v>
      </c>
    </row>
    <row r="4703" spans="1:3">
      <c r="A4703" s="347">
        <v>46090</v>
      </c>
      <c r="B4703" s="346" t="s">
        <v>9345</v>
      </c>
      <c r="C4703" s="346" t="s">
        <v>9346</v>
      </c>
    </row>
    <row r="4704" spans="1:3">
      <c r="A4704" s="347">
        <v>46090</v>
      </c>
      <c r="B4704" s="346" t="s">
        <v>9347</v>
      </c>
      <c r="C4704" s="346" t="s">
        <v>9348</v>
      </c>
    </row>
    <row r="4705" spans="1:3">
      <c r="A4705" s="347">
        <v>46090</v>
      </c>
      <c r="B4705" s="346" t="s">
        <v>9349</v>
      </c>
      <c r="C4705" s="346" t="s">
        <v>9350</v>
      </c>
    </row>
    <row r="4706" spans="1:3">
      <c r="A4706" s="347">
        <v>46090</v>
      </c>
      <c r="B4706" s="346" t="s">
        <v>9351</v>
      </c>
      <c r="C4706" s="346" t="s">
        <v>9352</v>
      </c>
    </row>
    <row r="4707" spans="1:3">
      <c r="A4707" s="347">
        <v>46090</v>
      </c>
      <c r="B4707" s="346" t="s">
        <v>9353</v>
      </c>
      <c r="C4707" s="346" t="s">
        <v>9354</v>
      </c>
    </row>
    <row r="4708" spans="1:3">
      <c r="A4708" s="347">
        <v>46090</v>
      </c>
      <c r="B4708" s="346" t="s">
        <v>9355</v>
      </c>
      <c r="C4708" s="346" t="s">
        <v>9356</v>
      </c>
    </row>
    <row r="4709" spans="1:3">
      <c r="A4709" s="347">
        <v>46090</v>
      </c>
      <c r="B4709" s="346" t="s">
        <v>9357</v>
      </c>
      <c r="C4709" s="346" t="s">
        <v>9358</v>
      </c>
    </row>
    <row r="4710" spans="1:3">
      <c r="A4710" s="347">
        <v>46090</v>
      </c>
      <c r="B4710" s="346" t="s">
        <v>9359</v>
      </c>
      <c r="C4710" s="346" t="s">
        <v>9360</v>
      </c>
    </row>
    <row r="4711" spans="1:3">
      <c r="A4711" s="347">
        <v>46090</v>
      </c>
      <c r="B4711" s="346" t="s">
        <v>9361</v>
      </c>
      <c r="C4711" s="346" t="s">
        <v>9362</v>
      </c>
    </row>
    <row r="4712" spans="1:3">
      <c r="A4712" s="347">
        <v>46090</v>
      </c>
      <c r="B4712" s="346" t="s">
        <v>9363</v>
      </c>
      <c r="C4712" s="346" t="s">
        <v>9364</v>
      </c>
    </row>
    <row r="4713" spans="1:3">
      <c r="A4713" s="347">
        <v>46090</v>
      </c>
      <c r="B4713" s="346" t="s">
        <v>9365</v>
      </c>
      <c r="C4713" s="346" t="s">
        <v>9366</v>
      </c>
    </row>
    <row r="4714" spans="1:3">
      <c r="A4714" s="347">
        <v>46090</v>
      </c>
      <c r="B4714" s="346" t="s">
        <v>9367</v>
      </c>
      <c r="C4714" s="346" t="s">
        <v>9368</v>
      </c>
    </row>
    <row r="4715" spans="1:3">
      <c r="A4715" s="347">
        <v>46090</v>
      </c>
      <c r="B4715" s="346" t="s">
        <v>9369</v>
      </c>
      <c r="C4715" s="346" t="s">
        <v>9370</v>
      </c>
    </row>
    <row r="4716" spans="1:3">
      <c r="A4716" s="347">
        <v>46090</v>
      </c>
      <c r="B4716" s="346" t="s">
        <v>9371</v>
      </c>
      <c r="C4716" s="346" t="s">
        <v>9372</v>
      </c>
    </row>
    <row r="4717" spans="1:3">
      <c r="A4717" s="347">
        <v>46090</v>
      </c>
      <c r="B4717" s="346" t="s">
        <v>9373</v>
      </c>
      <c r="C4717" s="346" t="s">
        <v>9374</v>
      </c>
    </row>
    <row r="4718" spans="1:3">
      <c r="A4718" s="347">
        <v>46090</v>
      </c>
      <c r="B4718" s="346" t="s">
        <v>9375</v>
      </c>
      <c r="C4718" s="346" t="s">
        <v>9376</v>
      </c>
    </row>
    <row r="4719" spans="1:3">
      <c r="A4719" s="347">
        <v>46090</v>
      </c>
      <c r="B4719" s="346" t="s">
        <v>9377</v>
      </c>
      <c r="C4719" s="346" t="s">
        <v>9378</v>
      </c>
    </row>
    <row r="4720" spans="1:3">
      <c r="A4720" s="347">
        <v>46090</v>
      </c>
      <c r="B4720" s="346" t="s">
        <v>9379</v>
      </c>
      <c r="C4720" s="346" t="s">
        <v>9380</v>
      </c>
    </row>
    <row r="4721" spans="1:3">
      <c r="A4721" s="347">
        <v>46090</v>
      </c>
      <c r="B4721" s="346" t="s">
        <v>9381</v>
      </c>
      <c r="C4721" s="346" t="s">
        <v>9382</v>
      </c>
    </row>
    <row r="4722" spans="1:3">
      <c r="A4722" s="347">
        <v>46090</v>
      </c>
      <c r="B4722" s="346" t="s">
        <v>9383</v>
      </c>
      <c r="C4722" s="346" t="s">
        <v>9384</v>
      </c>
    </row>
    <row r="4723" spans="1:3">
      <c r="A4723" s="347">
        <v>46090</v>
      </c>
      <c r="B4723" s="346" t="s">
        <v>9385</v>
      </c>
      <c r="C4723" s="346" t="s">
        <v>9386</v>
      </c>
    </row>
    <row r="4724" spans="1:3">
      <c r="A4724" s="347">
        <v>46090</v>
      </c>
      <c r="B4724" s="346" t="s">
        <v>9387</v>
      </c>
      <c r="C4724" s="346" t="s">
        <v>9388</v>
      </c>
    </row>
    <row r="4725" spans="1:3">
      <c r="A4725" s="347">
        <v>46090</v>
      </c>
      <c r="B4725" s="346" t="s">
        <v>9389</v>
      </c>
      <c r="C4725" s="346" t="s">
        <v>9390</v>
      </c>
    </row>
    <row r="4726" spans="1:3">
      <c r="A4726" s="347">
        <v>46090</v>
      </c>
      <c r="B4726" s="346" t="s">
        <v>9391</v>
      </c>
      <c r="C4726" s="346" t="s">
        <v>9392</v>
      </c>
    </row>
    <row r="4727" spans="1:3">
      <c r="A4727" s="347">
        <v>46090</v>
      </c>
      <c r="B4727" s="346" t="s">
        <v>9393</v>
      </c>
      <c r="C4727" s="346" t="s">
        <v>11148</v>
      </c>
    </row>
    <row r="4728" spans="1:3">
      <c r="A4728" s="347">
        <v>46090</v>
      </c>
      <c r="B4728" s="346" t="s">
        <v>9394</v>
      </c>
      <c r="C4728" s="346" t="s">
        <v>9395</v>
      </c>
    </row>
    <row r="4729" spans="1:3">
      <c r="A4729" s="347">
        <v>46090</v>
      </c>
      <c r="B4729" s="346" t="s">
        <v>9396</v>
      </c>
      <c r="C4729" s="346" t="s">
        <v>9397</v>
      </c>
    </row>
    <row r="4730" spans="1:3">
      <c r="A4730" s="347">
        <v>46090</v>
      </c>
      <c r="B4730" s="346" t="s">
        <v>9398</v>
      </c>
      <c r="C4730" s="346" t="s">
        <v>9399</v>
      </c>
    </row>
    <row r="4731" spans="1:3">
      <c r="A4731" s="347">
        <v>46090</v>
      </c>
      <c r="B4731" s="346" t="s">
        <v>9400</v>
      </c>
      <c r="C4731" s="346" t="s">
        <v>9401</v>
      </c>
    </row>
    <row r="4732" spans="1:3">
      <c r="A4732" s="347">
        <v>46090</v>
      </c>
      <c r="B4732" s="346" t="s">
        <v>9402</v>
      </c>
      <c r="C4732" s="346" t="s">
        <v>9403</v>
      </c>
    </row>
    <row r="4733" spans="1:3">
      <c r="A4733" s="347">
        <v>46090</v>
      </c>
      <c r="B4733" s="346" t="s">
        <v>9404</v>
      </c>
      <c r="C4733" s="346" t="s">
        <v>9405</v>
      </c>
    </row>
    <row r="4734" spans="1:3">
      <c r="A4734" s="347">
        <v>46090</v>
      </c>
      <c r="B4734" s="346" t="s">
        <v>9406</v>
      </c>
      <c r="C4734" s="346" t="s">
        <v>9407</v>
      </c>
    </row>
    <row r="4735" spans="1:3">
      <c r="A4735" s="347">
        <v>46090</v>
      </c>
      <c r="B4735" s="346" t="s">
        <v>9408</v>
      </c>
      <c r="C4735" s="346" t="s">
        <v>9409</v>
      </c>
    </row>
    <row r="4736" spans="1:3">
      <c r="A4736" s="347">
        <v>46090</v>
      </c>
      <c r="B4736" s="346" t="s">
        <v>9410</v>
      </c>
      <c r="C4736" s="346" t="s">
        <v>9411</v>
      </c>
    </row>
    <row r="4737" spans="1:3">
      <c r="A4737" s="347">
        <v>46090</v>
      </c>
      <c r="B4737" s="346" t="s">
        <v>9412</v>
      </c>
      <c r="C4737" s="346" t="s">
        <v>9413</v>
      </c>
    </row>
    <row r="4738" spans="1:3">
      <c r="A4738" s="347">
        <v>46090</v>
      </c>
      <c r="B4738" s="346" t="s">
        <v>9414</v>
      </c>
      <c r="C4738" s="346" t="s">
        <v>9415</v>
      </c>
    </row>
    <row r="4739" spans="1:3">
      <c r="A4739" s="347">
        <v>46090</v>
      </c>
      <c r="B4739" s="346" t="s">
        <v>9416</v>
      </c>
      <c r="C4739" s="346" t="s">
        <v>9417</v>
      </c>
    </row>
    <row r="4740" spans="1:3">
      <c r="A4740" s="347">
        <v>46090</v>
      </c>
      <c r="B4740" s="346" t="s">
        <v>9418</v>
      </c>
      <c r="C4740" s="346" t="s">
        <v>9419</v>
      </c>
    </row>
    <row r="4741" spans="1:3">
      <c r="A4741" s="347">
        <v>46090</v>
      </c>
      <c r="B4741" s="346" t="s">
        <v>9420</v>
      </c>
      <c r="C4741" s="346" t="s">
        <v>9421</v>
      </c>
    </row>
    <row r="4742" spans="1:3">
      <c r="A4742" s="347">
        <v>46090</v>
      </c>
      <c r="B4742" s="346" t="s">
        <v>9422</v>
      </c>
      <c r="C4742" s="346" t="s">
        <v>9423</v>
      </c>
    </row>
    <row r="4743" spans="1:3">
      <c r="A4743" s="347">
        <v>46090</v>
      </c>
      <c r="B4743" s="346" t="s">
        <v>9424</v>
      </c>
      <c r="C4743" s="346" t="s">
        <v>9425</v>
      </c>
    </row>
    <row r="4744" spans="1:3">
      <c r="A4744" s="347">
        <v>46090</v>
      </c>
      <c r="B4744" s="346" t="s">
        <v>9426</v>
      </c>
      <c r="C4744" s="346" t="s">
        <v>9427</v>
      </c>
    </row>
    <row r="4745" spans="1:3">
      <c r="A4745" s="347">
        <v>46090</v>
      </c>
      <c r="B4745" s="346" t="s">
        <v>9428</v>
      </c>
      <c r="C4745" s="346" t="s">
        <v>9429</v>
      </c>
    </row>
    <row r="4746" spans="1:3">
      <c r="A4746" s="347">
        <v>46090</v>
      </c>
      <c r="B4746" s="346" t="s">
        <v>9430</v>
      </c>
      <c r="C4746" s="346" t="s">
        <v>9431</v>
      </c>
    </row>
    <row r="4747" spans="1:3">
      <c r="A4747" s="347">
        <v>46090</v>
      </c>
      <c r="B4747" s="346" t="s">
        <v>9432</v>
      </c>
      <c r="C4747" s="346" t="s">
        <v>9433</v>
      </c>
    </row>
    <row r="4748" spans="1:3">
      <c r="A4748" s="347">
        <v>46090</v>
      </c>
      <c r="B4748" s="346" t="s">
        <v>9434</v>
      </c>
      <c r="C4748" s="346" t="s">
        <v>9435</v>
      </c>
    </row>
    <row r="4749" spans="1:3">
      <c r="A4749" s="347">
        <v>46090</v>
      </c>
      <c r="B4749" s="346" t="s">
        <v>9436</v>
      </c>
      <c r="C4749" s="346" t="s">
        <v>9437</v>
      </c>
    </row>
    <row r="4750" spans="1:3">
      <c r="A4750" s="347">
        <v>46090</v>
      </c>
      <c r="B4750" s="346" t="s">
        <v>9438</v>
      </c>
      <c r="C4750" s="346" t="s">
        <v>9439</v>
      </c>
    </row>
    <row r="4751" spans="1:3">
      <c r="A4751" s="347">
        <v>46090</v>
      </c>
      <c r="B4751" s="346" t="s">
        <v>9440</v>
      </c>
      <c r="C4751" s="346" t="s">
        <v>9441</v>
      </c>
    </row>
    <row r="4752" spans="1:3">
      <c r="A4752" s="347">
        <v>46090</v>
      </c>
      <c r="B4752" s="346" t="s">
        <v>9442</v>
      </c>
      <c r="C4752" s="346" t="s">
        <v>9443</v>
      </c>
    </row>
    <row r="4753" spans="1:3">
      <c r="A4753" s="347">
        <v>46090</v>
      </c>
      <c r="B4753" s="346" t="s">
        <v>9444</v>
      </c>
      <c r="C4753" s="346" t="s">
        <v>10911</v>
      </c>
    </row>
    <row r="4754" spans="1:3">
      <c r="A4754" s="347">
        <v>46090</v>
      </c>
      <c r="B4754" s="346" t="s">
        <v>9445</v>
      </c>
      <c r="C4754" s="346" t="s">
        <v>9446</v>
      </c>
    </row>
    <row r="4755" spans="1:3">
      <c r="A4755" s="347">
        <v>46090</v>
      </c>
      <c r="B4755" s="346" t="s">
        <v>9447</v>
      </c>
      <c r="C4755" s="346" t="s">
        <v>9448</v>
      </c>
    </row>
    <row r="4756" spans="1:3">
      <c r="A4756" s="347">
        <v>46090</v>
      </c>
      <c r="B4756" s="346" t="s">
        <v>9449</v>
      </c>
      <c r="C4756" s="346" t="s">
        <v>9450</v>
      </c>
    </row>
    <row r="4757" spans="1:3">
      <c r="A4757" s="347">
        <v>46090</v>
      </c>
      <c r="B4757" s="346" t="s">
        <v>9451</v>
      </c>
      <c r="C4757" s="346" t="s">
        <v>9452</v>
      </c>
    </row>
    <row r="4758" spans="1:3">
      <c r="A4758" s="347">
        <v>46090</v>
      </c>
      <c r="B4758" s="346" t="s">
        <v>9453</v>
      </c>
      <c r="C4758" s="346" t="s">
        <v>9454</v>
      </c>
    </row>
    <row r="4759" spans="1:3">
      <c r="A4759" s="347">
        <v>46090</v>
      </c>
      <c r="B4759" s="346" t="s">
        <v>9455</v>
      </c>
      <c r="C4759" s="346" t="s">
        <v>9456</v>
      </c>
    </row>
    <row r="4760" spans="1:3">
      <c r="A4760" s="347">
        <v>46090</v>
      </c>
      <c r="B4760" s="346" t="s">
        <v>9457</v>
      </c>
      <c r="C4760" s="346" t="s">
        <v>9458</v>
      </c>
    </row>
    <row r="4761" spans="1:3">
      <c r="A4761" s="347">
        <v>46090</v>
      </c>
      <c r="B4761" s="346" t="s">
        <v>9459</v>
      </c>
      <c r="C4761" s="346" t="s">
        <v>9460</v>
      </c>
    </row>
    <row r="4762" spans="1:3">
      <c r="A4762" s="347">
        <v>46090</v>
      </c>
      <c r="B4762" s="346" t="s">
        <v>9461</v>
      </c>
      <c r="C4762" s="346" t="s">
        <v>9462</v>
      </c>
    </row>
    <row r="4763" spans="1:3">
      <c r="A4763" s="347">
        <v>46090</v>
      </c>
      <c r="B4763" s="346" t="s">
        <v>9463</v>
      </c>
      <c r="C4763" s="346" t="s">
        <v>9464</v>
      </c>
    </row>
    <row r="4764" spans="1:3">
      <c r="A4764" s="347">
        <v>46090</v>
      </c>
      <c r="B4764" s="346" t="s">
        <v>9465</v>
      </c>
      <c r="C4764" s="346" t="s">
        <v>9466</v>
      </c>
    </row>
    <row r="4765" spans="1:3">
      <c r="A4765" s="347">
        <v>46090</v>
      </c>
      <c r="B4765" s="346" t="s">
        <v>9467</v>
      </c>
      <c r="C4765" s="346" t="s">
        <v>9468</v>
      </c>
    </row>
    <row r="4766" spans="1:3">
      <c r="A4766" s="347">
        <v>46090</v>
      </c>
      <c r="B4766" s="346" t="s">
        <v>9469</v>
      </c>
      <c r="C4766" s="346" t="s">
        <v>9470</v>
      </c>
    </row>
    <row r="4767" spans="1:3">
      <c r="A4767" s="347">
        <v>46090</v>
      </c>
      <c r="B4767" s="346" t="s">
        <v>9471</v>
      </c>
      <c r="C4767" s="346" t="s">
        <v>9472</v>
      </c>
    </row>
    <row r="4768" spans="1:3">
      <c r="A4768" s="347">
        <v>46090</v>
      </c>
      <c r="B4768" s="346" t="s">
        <v>9473</v>
      </c>
      <c r="C4768" s="346" t="s">
        <v>9474</v>
      </c>
    </row>
    <row r="4769" spans="1:3">
      <c r="A4769" s="347">
        <v>46090</v>
      </c>
      <c r="B4769" s="346" t="s">
        <v>9475</v>
      </c>
      <c r="C4769" s="346" t="s">
        <v>9476</v>
      </c>
    </row>
    <row r="4770" spans="1:3">
      <c r="A4770" s="347">
        <v>46090</v>
      </c>
      <c r="B4770" s="346" t="s">
        <v>9477</v>
      </c>
      <c r="C4770" s="346" t="s">
        <v>9478</v>
      </c>
    </row>
    <row r="4771" spans="1:3">
      <c r="A4771" s="347">
        <v>46090</v>
      </c>
      <c r="B4771" s="346" t="s">
        <v>9479</v>
      </c>
      <c r="C4771" s="346" t="s">
        <v>9480</v>
      </c>
    </row>
    <row r="4772" spans="1:3">
      <c r="A4772" s="347">
        <v>46090</v>
      </c>
      <c r="B4772" s="346" t="s">
        <v>9481</v>
      </c>
      <c r="C4772" s="346" t="s">
        <v>9482</v>
      </c>
    </row>
    <row r="4773" spans="1:3">
      <c r="A4773" s="347">
        <v>46090</v>
      </c>
      <c r="B4773" s="346" t="s">
        <v>9483</v>
      </c>
      <c r="C4773" s="346" t="s">
        <v>9484</v>
      </c>
    </row>
    <row r="4774" spans="1:3">
      <c r="A4774" s="347">
        <v>46090</v>
      </c>
      <c r="B4774" s="346" t="s">
        <v>9485</v>
      </c>
      <c r="C4774" s="346" t="s">
        <v>9486</v>
      </c>
    </row>
    <row r="4775" spans="1:3">
      <c r="A4775" s="347">
        <v>46090</v>
      </c>
      <c r="B4775" s="346" t="s">
        <v>9487</v>
      </c>
      <c r="C4775" s="346" t="s">
        <v>9488</v>
      </c>
    </row>
    <row r="4776" spans="1:3">
      <c r="A4776" s="347">
        <v>46090</v>
      </c>
      <c r="B4776" s="346" t="s">
        <v>9489</v>
      </c>
      <c r="C4776" s="346" t="s">
        <v>9490</v>
      </c>
    </row>
    <row r="4777" spans="1:3">
      <c r="A4777" s="347">
        <v>46090</v>
      </c>
      <c r="B4777" s="346" t="s">
        <v>9491</v>
      </c>
      <c r="C4777" s="346" t="s">
        <v>9492</v>
      </c>
    </row>
    <row r="4778" spans="1:3">
      <c r="A4778" s="347">
        <v>46090</v>
      </c>
      <c r="B4778" s="346" t="s">
        <v>9493</v>
      </c>
      <c r="C4778" s="346" t="s">
        <v>9494</v>
      </c>
    </row>
    <row r="4779" spans="1:3">
      <c r="A4779" s="347">
        <v>46090</v>
      </c>
      <c r="B4779" s="346" t="s">
        <v>9495</v>
      </c>
      <c r="C4779" s="346" t="s">
        <v>9496</v>
      </c>
    </row>
    <row r="4780" spans="1:3">
      <c r="A4780" s="347">
        <v>46090</v>
      </c>
      <c r="B4780" s="346" t="s">
        <v>9497</v>
      </c>
      <c r="C4780" s="346" t="s">
        <v>9498</v>
      </c>
    </row>
    <row r="4781" spans="1:3">
      <c r="A4781" s="347">
        <v>46090</v>
      </c>
      <c r="B4781" s="346" t="s">
        <v>9499</v>
      </c>
      <c r="C4781" s="346" t="s">
        <v>9500</v>
      </c>
    </row>
    <row r="4782" spans="1:3">
      <c r="A4782" s="347">
        <v>46090</v>
      </c>
      <c r="B4782" s="346" t="s">
        <v>9501</v>
      </c>
      <c r="C4782" s="346" t="s">
        <v>9502</v>
      </c>
    </row>
    <row r="4783" spans="1:3">
      <c r="A4783" s="347">
        <v>46090</v>
      </c>
      <c r="B4783" s="346" t="s">
        <v>9503</v>
      </c>
      <c r="C4783" s="346" t="s">
        <v>9504</v>
      </c>
    </row>
    <row r="4784" spans="1:3">
      <c r="A4784" s="347">
        <v>46090</v>
      </c>
      <c r="B4784" s="346" t="s">
        <v>9505</v>
      </c>
      <c r="C4784" s="346" t="s">
        <v>9506</v>
      </c>
    </row>
    <row r="4785" spans="1:3">
      <c r="A4785" s="347">
        <v>46090</v>
      </c>
      <c r="B4785" s="346" t="s">
        <v>9507</v>
      </c>
      <c r="C4785" s="346" t="s">
        <v>9508</v>
      </c>
    </row>
    <row r="4786" spans="1:3">
      <c r="A4786" s="347">
        <v>46090</v>
      </c>
      <c r="B4786" s="346" t="s">
        <v>9509</v>
      </c>
      <c r="C4786" s="346" t="s">
        <v>9510</v>
      </c>
    </row>
    <row r="4787" spans="1:3">
      <c r="A4787" s="347">
        <v>46090</v>
      </c>
      <c r="B4787" s="346" t="s">
        <v>9511</v>
      </c>
      <c r="C4787" s="346" t="s">
        <v>9512</v>
      </c>
    </row>
    <row r="4788" spans="1:3">
      <c r="A4788" s="347">
        <v>46090</v>
      </c>
      <c r="B4788" s="346" t="s">
        <v>9513</v>
      </c>
      <c r="C4788" s="346" t="s">
        <v>9514</v>
      </c>
    </row>
    <row r="4789" spans="1:3">
      <c r="A4789" s="347">
        <v>46090</v>
      </c>
      <c r="B4789" s="346" t="s">
        <v>9515</v>
      </c>
      <c r="C4789" s="346" t="s">
        <v>9516</v>
      </c>
    </row>
    <row r="4790" spans="1:3">
      <c r="A4790" s="347">
        <v>46090</v>
      </c>
      <c r="B4790" s="346" t="s">
        <v>9517</v>
      </c>
      <c r="C4790" s="346" t="s">
        <v>9518</v>
      </c>
    </row>
    <row r="4791" spans="1:3">
      <c r="A4791" s="347">
        <v>46090</v>
      </c>
      <c r="B4791" s="346" t="s">
        <v>9519</v>
      </c>
      <c r="C4791" s="346" t="s">
        <v>9520</v>
      </c>
    </row>
    <row r="4792" spans="1:3">
      <c r="A4792" s="347">
        <v>46090</v>
      </c>
      <c r="B4792" s="346" t="s">
        <v>9521</v>
      </c>
      <c r="C4792" s="346" t="s">
        <v>9522</v>
      </c>
    </row>
    <row r="4793" spans="1:3">
      <c r="A4793" s="347">
        <v>46090</v>
      </c>
      <c r="B4793" s="346" t="s">
        <v>9523</v>
      </c>
      <c r="C4793" s="346" t="s">
        <v>9524</v>
      </c>
    </row>
    <row r="4794" spans="1:3">
      <c r="A4794" s="347">
        <v>46090</v>
      </c>
      <c r="B4794" s="346" t="s">
        <v>9525</v>
      </c>
      <c r="C4794" s="346" t="s">
        <v>9526</v>
      </c>
    </row>
    <row r="4795" spans="1:3">
      <c r="A4795" s="347">
        <v>46090</v>
      </c>
      <c r="B4795" s="346" t="s">
        <v>9527</v>
      </c>
      <c r="C4795" s="346" t="s">
        <v>9528</v>
      </c>
    </row>
    <row r="4796" spans="1:3">
      <c r="A4796" s="347">
        <v>46090</v>
      </c>
      <c r="B4796" s="346" t="s">
        <v>9529</v>
      </c>
      <c r="C4796" s="346" t="s">
        <v>9530</v>
      </c>
    </row>
    <row r="4797" spans="1:3">
      <c r="A4797" s="347">
        <v>46090</v>
      </c>
      <c r="B4797" s="346" t="s">
        <v>9531</v>
      </c>
      <c r="C4797" s="346" t="s">
        <v>9532</v>
      </c>
    </row>
    <row r="4798" spans="1:3">
      <c r="A4798" s="347">
        <v>46090</v>
      </c>
      <c r="B4798" s="346" t="s">
        <v>9533</v>
      </c>
      <c r="C4798" s="346" t="s">
        <v>9534</v>
      </c>
    </row>
    <row r="4799" spans="1:3">
      <c r="A4799" s="347">
        <v>46090</v>
      </c>
      <c r="B4799" s="346" t="s">
        <v>9535</v>
      </c>
      <c r="C4799" s="346" t="s">
        <v>9536</v>
      </c>
    </row>
    <row r="4800" spans="1:3">
      <c r="A4800" s="347">
        <v>46090</v>
      </c>
      <c r="B4800" s="346" t="s">
        <v>9537</v>
      </c>
      <c r="C4800" s="346" t="s">
        <v>9538</v>
      </c>
    </row>
    <row r="4801" spans="1:3">
      <c r="A4801" s="347">
        <v>46090</v>
      </c>
      <c r="B4801" s="346" t="s">
        <v>9539</v>
      </c>
      <c r="C4801" s="346" t="s">
        <v>9540</v>
      </c>
    </row>
    <row r="4802" spans="1:3">
      <c r="A4802" s="347">
        <v>46090</v>
      </c>
      <c r="B4802" s="346" t="s">
        <v>9541</v>
      </c>
      <c r="C4802" s="346" t="s">
        <v>9542</v>
      </c>
    </row>
    <row r="4803" spans="1:3">
      <c r="A4803" s="347">
        <v>46090</v>
      </c>
      <c r="B4803" s="346" t="s">
        <v>9543</v>
      </c>
      <c r="C4803" s="346" t="s">
        <v>9544</v>
      </c>
    </row>
    <row r="4804" spans="1:3">
      <c r="A4804" s="347">
        <v>46090</v>
      </c>
      <c r="B4804" s="346" t="s">
        <v>9545</v>
      </c>
      <c r="C4804" s="346" t="s">
        <v>9546</v>
      </c>
    </row>
    <row r="4805" spans="1:3">
      <c r="A4805" s="347">
        <v>46090</v>
      </c>
      <c r="B4805" s="346" t="s">
        <v>9547</v>
      </c>
      <c r="C4805" s="346" t="s">
        <v>9548</v>
      </c>
    </row>
    <row r="4806" spans="1:3">
      <c r="A4806" s="347">
        <v>46090</v>
      </c>
      <c r="B4806" s="346" t="s">
        <v>9549</v>
      </c>
      <c r="C4806" s="346" t="s">
        <v>9550</v>
      </c>
    </row>
    <row r="4807" spans="1:3">
      <c r="A4807" s="347">
        <v>46090</v>
      </c>
      <c r="B4807" s="346" t="s">
        <v>9551</v>
      </c>
      <c r="C4807" s="346" t="s">
        <v>9552</v>
      </c>
    </row>
    <row r="4808" spans="1:3">
      <c r="A4808" s="347">
        <v>46090</v>
      </c>
      <c r="B4808" s="346" t="s">
        <v>9553</v>
      </c>
      <c r="C4808" s="346" t="s">
        <v>9554</v>
      </c>
    </row>
    <row r="4809" spans="1:3">
      <c r="A4809" s="347">
        <v>46090</v>
      </c>
      <c r="B4809" s="346" t="s">
        <v>9555</v>
      </c>
      <c r="C4809" s="346" t="s">
        <v>9556</v>
      </c>
    </row>
    <row r="4810" spans="1:3">
      <c r="A4810" s="347">
        <v>46090</v>
      </c>
      <c r="B4810" s="346" t="s">
        <v>9557</v>
      </c>
      <c r="C4810" s="346" t="s">
        <v>9558</v>
      </c>
    </row>
    <row r="4811" spans="1:3">
      <c r="A4811" s="347">
        <v>46090</v>
      </c>
      <c r="B4811" s="346" t="s">
        <v>9559</v>
      </c>
      <c r="C4811" s="346" t="s">
        <v>9560</v>
      </c>
    </row>
    <row r="4812" spans="1:3">
      <c r="A4812" s="347">
        <v>46090</v>
      </c>
      <c r="B4812" s="346" t="s">
        <v>9561</v>
      </c>
      <c r="C4812" s="346" t="s">
        <v>9562</v>
      </c>
    </row>
    <row r="4813" spans="1:3">
      <c r="A4813" s="347">
        <v>46090</v>
      </c>
      <c r="B4813" s="346" t="s">
        <v>9563</v>
      </c>
      <c r="C4813" s="346" t="s">
        <v>9564</v>
      </c>
    </row>
    <row r="4814" spans="1:3">
      <c r="A4814" s="347">
        <v>46090</v>
      </c>
      <c r="B4814" s="346" t="s">
        <v>9565</v>
      </c>
      <c r="C4814" s="346" t="s">
        <v>9566</v>
      </c>
    </row>
    <row r="4815" spans="1:3">
      <c r="A4815" s="347">
        <v>46090</v>
      </c>
      <c r="B4815" s="346" t="s">
        <v>9567</v>
      </c>
      <c r="C4815" s="346" t="s">
        <v>9568</v>
      </c>
    </row>
    <row r="4816" spans="1:3">
      <c r="A4816" s="347">
        <v>46090</v>
      </c>
      <c r="B4816" s="346" t="s">
        <v>9569</v>
      </c>
      <c r="C4816" s="346" t="s">
        <v>9570</v>
      </c>
    </row>
    <row r="4817" spans="1:3">
      <c r="A4817" s="347">
        <v>46090</v>
      </c>
      <c r="B4817" s="346" t="s">
        <v>9571</v>
      </c>
      <c r="C4817" s="346" t="s">
        <v>9572</v>
      </c>
    </row>
    <row r="4818" spans="1:3">
      <c r="A4818" s="347">
        <v>46090</v>
      </c>
      <c r="B4818" s="346" t="s">
        <v>9573</v>
      </c>
      <c r="C4818" s="346" t="s">
        <v>9574</v>
      </c>
    </row>
    <row r="4819" spans="1:3">
      <c r="A4819" s="347">
        <v>46090</v>
      </c>
      <c r="B4819" s="346" t="s">
        <v>9575</v>
      </c>
      <c r="C4819" s="346" t="s">
        <v>9576</v>
      </c>
    </row>
    <row r="4820" spans="1:3">
      <c r="A4820" s="347">
        <v>46090</v>
      </c>
      <c r="B4820" s="346" t="s">
        <v>9577</v>
      </c>
      <c r="C4820" s="346" t="s">
        <v>9578</v>
      </c>
    </row>
    <row r="4821" spans="1:3">
      <c r="A4821" s="347">
        <v>46090</v>
      </c>
      <c r="B4821" s="346" t="s">
        <v>9579</v>
      </c>
      <c r="C4821" s="346" t="s">
        <v>9580</v>
      </c>
    </row>
    <row r="4822" spans="1:3">
      <c r="A4822" s="347">
        <v>46090</v>
      </c>
      <c r="B4822" s="346" t="s">
        <v>9581</v>
      </c>
      <c r="C4822" s="346" t="s">
        <v>9582</v>
      </c>
    </row>
    <row r="4823" spans="1:3">
      <c r="A4823" s="347">
        <v>46090</v>
      </c>
      <c r="B4823" s="346" t="s">
        <v>9583</v>
      </c>
      <c r="C4823" s="346" t="s">
        <v>9584</v>
      </c>
    </row>
    <row r="4824" spans="1:3">
      <c r="A4824" s="347">
        <v>46090</v>
      </c>
      <c r="B4824" s="346" t="s">
        <v>9585</v>
      </c>
      <c r="C4824" s="346" t="s">
        <v>9586</v>
      </c>
    </row>
    <row r="4825" spans="1:3">
      <c r="A4825" s="347">
        <v>46090</v>
      </c>
      <c r="B4825" s="346" t="s">
        <v>9587</v>
      </c>
      <c r="C4825" s="346" t="s">
        <v>9588</v>
      </c>
    </row>
    <row r="4826" spans="1:3">
      <c r="A4826" s="347">
        <v>46090</v>
      </c>
      <c r="B4826" s="346" t="s">
        <v>9589</v>
      </c>
      <c r="C4826" s="346" t="s">
        <v>9590</v>
      </c>
    </row>
    <row r="4827" spans="1:3">
      <c r="A4827" s="347">
        <v>46090</v>
      </c>
      <c r="B4827" s="346" t="s">
        <v>9591</v>
      </c>
      <c r="C4827" s="346" t="s">
        <v>9592</v>
      </c>
    </row>
    <row r="4828" spans="1:3">
      <c r="A4828" s="347">
        <v>46090</v>
      </c>
      <c r="B4828" s="346" t="s">
        <v>9593</v>
      </c>
      <c r="C4828" s="346" t="s">
        <v>10912</v>
      </c>
    </row>
    <row r="4829" spans="1:3">
      <c r="A4829" s="347">
        <v>46090</v>
      </c>
      <c r="B4829" s="346" t="s">
        <v>9594</v>
      </c>
      <c r="C4829" s="346" t="s">
        <v>9595</v>
      </c>
    </row>
    <row r="4830" spans="1:3">
      <c r="A4830" s="347">
        <v>46090</v>
      </c>
      <c r="B4830" s="346" t="s">
        <v>9596</v>
      </c>
      <c r="C4830" s="346" t="s">
        <v>9597</v>
      </c>
    </row>
    <row r="4831" spans="1:3">
      <c r="A4831" s="347">
        <v>46090</v>
      </c>
      <c r="B4831" s="346" t="s">
        <v>9598</v>
      </c>
      <c r="C4831" s="346" t="s">
        <v>9599</v>
      </c>
    </row>
    <row r="4832" spans="1:3">
      <c r="A4832" s="347">
        <v>46090</v>
      </c>
      <c r="B4832" s="346" t="s">
        <v>9600</v>
      </c>
      <c r="C4832" s="346" t="s">
        <v>9601</v>
      </c>
    </row>
    <row r="4833" spans="1:3">
      <c r="A4833" s="347">
        <v>46090</v>
      </c>
      <c r="B4833" s="346" t="s">
        <v>9602</v>
      </c>
      <c r="C4833" s="346" t="s">
        <v>9603</v>
      </c>
    </row>
    <row r="4834" spans="1:3">
      <c r="A4834" s="347">
        <v>46090</v>
      </c>
      <c r="B4834" s="346" t="s">
        <v>9604</v>
      </c>
      <c r="C4834" s="346" t="s">
        <v>9605</v>
      </c>
    </row>
    <row r="4835" spans="1:3">
      <c r="A4835" s="347">
        <v>46090</v>
      </c>
      <c r="B4835" s="346" t="s">
        <v>9606</v>
      </c>
      <c r="C4835" s="346" t="s">
        <v>9607</v>
      </c>
    </row>
    <row r="4836" spans="1:3">
      <c r="A4836" s="347">
        <v>46090</v>
      </c>
      <c r="B4836" s="346" t="s">
        <v>9608</v>
      </c>
      <c r="C4836" s="346" t="s">
        <v>9609</v>
      </c>
    </row>
    <row r="4837" spans="1:3">
      <c r="A4837" s="347">
        <v>46090</v>
      </c>
      <c r="B4837" s="346" t="s">
        <v>9610</v>
      </c>
      <c r="C4837" s="346" t="s">
        <v>9611</v>
      </c>
    </row>
    <row r="4838" spans="1:3">
      <c r="A4838" s="347">
        <v>46090</v>
      </c>
      <c r="B4838" s="346" t="s">
        <v>9612</v>
      </c>
      <c r="C4838" s="346" t="s">
        <v>9613</v>
      </c>
    </row>
    <row r="4839" spans="1:3">
      <c r="A4839" s="347">
        <v>46090</v>
      </c>
      <c r="B4839" s="346" t="s">
        <v>9614</v>
      </c>
      <c r="C4839" s="346" t="s">
        <v>9615</v>
      </c>
    </row>
    <row r="4840" spans="1:3">
      <c r="A4840" s="347">
        <v>46090</v>
      </c>
      <c r="B4840" s="346" t="s">
        <v>9616</v>
      </c>
      <c r="C4840" s="346" t="s">
        <v>9617</v>
      </c>
    </row>
    <row r="4841" spans="1:3">
      <c r="A4841" s="347">
        <v>46090</v>
      </c>
      <c r="B4841" s="346" t="s">
        <v>9618</v>
      </c>
      <c r="C4841" s="346" t="s">
        <v>10913</v>
      </c>
    </row>
    <row r="4842" spans="1:3">
      <c r="A4842" s="347">
        <v>46090</v>
      </c>
      <c r="B4842" s="346" t="s">
        <v>9619</v>
      </c>
      <c r="C4842" s="346" t="s">
        <v>11149</v>
      </c>
    </row>
    <row r="4843" spans="1:3">
      <c r="A4843" s="347">
        <v>46090</v>
      </c>
      <c r="B4843" s="346" t="s">
        <v>9620</v>
      </c>
      <c r="C4843" s="346" t="s">
        <v>9621</v>
      </c>
    </row>
    <row r="4844" spans="1:3">
      <c r="A4844" s="347">
        <v>46090</v>
      </c>
      <c r="B4844" s="346" t="s">
        <v>9622</v>
      </c>
      <c r="C4844" s="346" t="s">
        <v>9623</v>
      </c>
    </row>
    <row r="4845" spans="1:3">
      <c r="A4845" s="347">
        <v>46090</v>
      </c>
      <c r="B4845" s="346" t="s">
        <v>9624</v>
      </c>
      <c r="C4845" s="346" t="s">
        <v>9625</v>
      </c>
    </row>
    <row r="4846" spans="1:3">
      <c r="A4846" s="347">
        <v>46090</v>
      </c>
      <c r="B4846" s="346" t="s">
        <v>9626</v>
      </c>
      <c r="C4846" s="346" t="s">
        <v>9627</v>
      </c>
    </row>
    <row r="4847" spans="1:3">
      <c r="A4847" s="347">
        <v>46090</v>
      </c>
      <c r="B4847" s="346" t="s">
        <v>9628</v>
      </c>
      <c r="C4847" s="346" t="s">
        <v>9629</v>
      </c>
    </row>
    <row r="4848" spans="1:3">
      <c r="A4848" s="347">
        <v>46090</v>
      </c>
      <c r="B4848" s="346" t="s">
        <v>9630</v>
      </c>
      <c r="C4848" s="346" t="s">
        <v>9631</v>
      </c>
    </row>
    <row r="4849" spans="1:3">
      <c r="A4849" s="347">
        <v>46090</v>
      </c>
      <c r="B4849" s="346" t="s">
        <v>9632</v>
      </c>
      <c r="C4849" s="346" t="s">
        <v>9633</v>
      </c>
    </row>
    <row r="4850" spans="1:3">
      <c r="A4850" s="347">
        <v>46090</v>
      </c>
      <c r="B4850" s="346" t="s">
        <v>9634</v>
      </c>
      <c r="C4850" s="346" t="s">
        <v>9635</v>
      </c>
    </row>
    <row r="4851" spans="1:3">
      <c r="A4851" s="347">
        <v>46090</v>
      </c>
      <c r="B4851" s="346" t="s">
        <v>9636</v>
      </c>
      <c r="C4851" s="346" t="s">
        <v>9637</v>
      </c>
    </row>
    <row r="4852" spans="1:3">
      <c r="A4852" s="347">
        <v>46090</v>
      </c>
      <c r="B4852" s="346" t="s">
        <v>9638</v>
      </c>
      <c r="C4852" s="346" t="s">
        <v>9639</v>
      </c>
    </row>
    <row r="4853" spans="1:3">
      <c r="A4853" s="347">
        <v>46090</v>
      </c>
      <c r="B4853" s="346" t="s">
        <v>9640</v>
      </c>
      <c r="C4853" s="346" t="s">
        <v>9641</v>
      </c>
    </row>
    <row r="4854" spans="1:3">
      <c r="A4854" s="347">
        <v>46090</v>
      </c>
      <c r="B4854" s="346" t="s">
        <v>9642</v>
      </c>
      <c r="C4854" s="346" t="s">
        <v>9643</v>
      </c>
    </row>
    <row r="4855" spans="1:3">
      <c r="A4855" s="347">
        <v>46090</v>
      </c>
      <c r="B4855" s="346" t="s">
        <v>9644</v>
      </c>
      <c r="C4855" s="346" t="s">
        <v>9645</v>
      </c>
    </row>
    <row r="4856" spans="1:3">
      <c r="A4856" s="347">
        <v>46090</v>
      </c>
      <c r="B4856" s="346" t="s">
        <v>9646</v>
      </c>
      <c r="C4856" s="346" t="s">
        <v>9647</v>
      </c>
    </row>
    <row r="4857" spans="1:3">
      <c r="A4857" s="347">
        <v>46090</v>
      </c>
      <c r="B4857" s="346" t="s">
        <v>9648</v>
      </c>
      <c r="C4857" s="346" t="s">
        <v>9649</v>
      </c>
    </row>
    <row r="4858" spans="1:3">
      <c r="A4858" s="347">
        <v>46090</v>
      </c>
      <c r="B4858" s="346" t="s">
        <v>9650</v>
      </c>
      <c r="C4858" s="346" t="s">
        <v>9651</v>
      </c>
    </row>
    <row r="4859" spans="1:3">
      <c r="A4859" s="347">
        <v>46090</v>
      </c>
      <c r="B4859" s="346" t="s">
        <v>9652</v>
      </c>
      <c r="C4859" s="346" t="s">
        <v>9653</v>
      </c>
    </row>
    <row r="4860" spans="1:3">
      <c r="A4860" s="347">
        <v>46090</v>
      </c>
      <c r="B4860" s="346" t="s">
        <v>9654</v>
      </c>
      <c r="C4860" s="346" t="s">
        <v>9655</v>
      </c>
    </row>
    <row r="4861" spans="1:3">
      <c r="A4861" s="347">
        <v>46090</v>
      </c>
      <c r="B4861" s="346" t="s">
        <v>9656</v>
      </c>
      <c r="C4861" s="346" t="s">
        <v>9657</v>
      </c>
    </row>
    <row r="4862" spans="1:3">
      <c r="A4862" s="347">
        <v>46090</v>
      </c>
      <c r="B4862" s="346" t="s">
        <v>9658</v>
      </c>
      <c r="C4862" s="346" t="s">
        <v>9659</v>
      </c>
    </row>
    <row r="4863" spans="1:3">
      <c r="A4863" s="347">
        <v>46090</v>
      </c>
      <c r="B4863" s="346" t="s">
        <v>9660</v>
      </c>
      <c r="C4863" s="346" t="s">
        <v>9661</v>
      </c>
    </row>
    <row r="4864" spans="1:3">
      <c r="A4864" s="347">
        <v>46090</v>
      </c>
      <c r="B4864" s="346" t="s">
        <v>9662</v>
      </c>
      <c r="C4864" s="346" t="s">
        <v>9663</v>
      </c>
    </row>
    <row r="4865" spans="1:3">
      <c r="A4865" s="347">
        <v>46090</v>
      </c>
      <c r="B4865" s="346" t="s">
        <v>9664</v>
      </c>
      <c r="C4865" s="346" t="s">
        <v>9665</v>
      </c>
    </row>
    <row r="4866" spans="1:3">
      <c r="A4866" s="347">
        <v>46090</v>
      </c>
      <c r="B4866" s="346" t="s">
        <v>9666</v>
      </c>
      <c r="C4866" s="346" t="s">
        <v>9667</v>
      </c>
    </row>
    <row r="4867" spans="1:3">
      <c r="A4867" s="347">
        <v>46090</v>
      </c>
      <c r="B4867" s="346" t="s">
        <v>9668</v>
      </c>
      <c r="C4867" s="346" t="s">
        <v>9669</v>
      </c>
    </row>
    <row r="4868" spans="1:3">
      <c r="A4868" s="347">
        <v>46090</v>
      </c>
      <c r="B4868" s="346" t="s">
        <v>9670</v>
      </c>
      <c r="C4868" s="346" t="s">
        <v>9671</v>
      </c>
    </row>
    <row r="4869" spans="1:3">
      <c r="A4869" s="347">
        <v>46090</v>
      </c>
      <c r="B4869" s="346" t="s">
        <v>9672</v>
      </c>
      <c r="C4869" s="346" t="s">
        <v>9673</v>
      </c>
    </row>
    <row r="4870" spans="1:3">
      <c r="A4870" s="347">
        <v>46090</v>
      </c>
      <c r="B4870" s="346" t="s">
        <v>9674</v>
      </c>
      <c r="C4870" s="346" t="s">
        <v>9675</v>
      </c>
    </row>
    <row r="4871" spans="1:3">
      <c r="A4871" s="347">
        <v>46090</v>
      </c>
      <c r="B4871" s="346" t="s">
        <v>9676</v>
      </c>
      <c r="C4871" s="346" t="s">
        <v>9677</v>
      </c>
    </row>
    <row r="4872" spans="1:3">
      <c r="A4872" s="347">
        <v>46090</v>
      </c>
      <c r="B4872" s="346" t="s">
        <v>9678</v>
      </c>
      <c r="C4872" s="346" t="s">
        <v>9679</v>
      </c>
    </row>
    <row r="4873" spans="1:3">
      <c r="A4873" s="347">
        <v>46090</v>
      </c>
      <c r="B4873" s="346" t="s">
        <v>9680</v>
      </c>
      <c r="C4873" s="346" t="s">
        <v>9681</v>
      </c>
    </row>
    <row r="4874" spans="1:3">
      <c r="A4874" s="347">
        <v>46090</v>
      </c>
      <c r="B4874" s="346" t="s">
        <v>9682</v>
      </c>
      <c r="C4874" s="346" t="s">
        <v>9683</v>
      </c>
    </row>
    <row r="4875" spans="1:3">
      <c r="A4875" s="347">
        <v>46090</v>
      </c>
      <c r="B4875" s="346" t="s">
        <v>9684</v>
      </c>
      <c r="C4875" s="346" t="s">
        <v>9685</v>
      </c>
    </row>
    <row r="4876" spans="1:3">
      <c r="A4876" s="347">
        <v>46090</v>
      </c>
      <c r="B4876" s="346" t="s">
        <v>9686</v>
      </c>
      <c r="C4876" s="346" t="s">
        <v>9687</v>
      </c>
    </row>
    <row r="4877" spans="1:3">
      <c r="A4877" s="347">
        <v>46090</v>
      </c>
      <c r="B4877" s="346" t="s">
        <v>9688</v>
      </c>
      <c r="C4877" s="346" t="s">
        <v>9689</v>
      </c>
    </row>
    <row r="4878" spans="1:3">
      <c r="A4878" s="347">
        <v>46090</v>
      </c>
      <c r="B4878" s="346" t="s">
        <v>9690</v>
      </c>
      <c r="C4878" s="346" t="s">
        <v>9691</v>
      </c>
    </row>
    <row r="4879" spans="1:3">
      <c r="A4879" s="347">
        <v>46090</v>
      </c>
      <c r="B4879" s="346" t="s">
        <v>9692</v>
      </c>
      <c r="C4879" s="346" t="s">
        <v>9693</v>
      </c>
    </row>
    <row r="4880" spans="1:3">
      <c r="A4880" s="347">
        <v>46090</v>
      </c>
      <c r="B4880" s="346" t="s">
        <v>9694</v>
      </c>
      <c r="C4880" s="346" t="s">
        <v>9695</v>
      </c>
    </row>
    <row r="4881" spans="1:3">
      <c r="A4881" s="347">
        <v>46090</v>
      </c>
      <c r="B4881" s="346" t="s">
        <v>9696</v>
      </c>
      <c r="C4881" s="346" t="s">
        <v>9697</v>
      </c>
    </row>
    <row r="4882" spans="1:3">
      <c r="A4882" s="347">
        <v>46090</v>
      </c>
      <c r="B4882" s="346" t="s">
        <v>9698</v>
      </c>
      <c r="C4882" s="346" t="s">
        <v>9699</v>
      </c>
    </row>
    <row r="4883" spans="1:3">
      <c r="A4883" s="347">
        <v>46090</v>
      </c>
      <c r="B4883" s="346" t="s">
        <v>9700</v>
      </c>
      <c r="C4883" s="346" t="s">
        <v>9701</v>
      </c>
    </row>
    <row r="4884" spans="1:3">
      <c r="A4884" s="347">
        <v>46090</v>
      </c>
      <c r="B4884" s="346" t="s">
        <v>9702</v>
      </c>
      <c r="C4884" s="346" t="s">
        <v>9703</v>
      </c>
    </row>
    <row r="4885" spans="1:3">
      <c r="A4885" s="347">
        <v>46090</v>
      </c>
      <c r="B4885" s="346" t="s">
        <v>9704</v>
      </c>
      <c r="C4885" s="346" t="s">
        <v>9705</v>
      </c>
    </row>
    <row r="4886" spans="1:3">
      <c r="A4886" s="347">
        <v>46090</v>
      </c>
      <c r="B4886" s="346" t="s">
        <v>9706</v>
      </c>
      <c r="C4886" s="346" t="s">
        <v>11150</v>
      </c>
    </row>
    <row r="4887" spans="1:3">
      <c r="A4887" s="347">
        <v>46090</v>
      </c>
      <c r="B4887" s="346" t="s">
        <v>9707</v>
      </c>
      <c r="C4887" s="346" t="s">
        <v>9708</v>
      </c>
    </row>
    <row r="4888" spans="1:3">
      <c r="A4888" s="347">
        <v>46090</v>
      </c>
      <c r="B4888" s="346" t="s">
        <v>9709</v>
      </c>
      <c r="C4888" s="346" t="s">
        <v>9710</v>
      </c>
    </row>
    <row r="4889" spans="1:3">
      <c r="A4889" s="347">
        <v>46090</v>
      </c>
      <c r="B4889" s="346" t="s">
        <v>9711</v>
      </c>
      <c r="C4889" s="346" t="s">
        <v>9712</v>
      </c>
    </row>
    <row r="4890" spans="1:3">
      <c r="A4890" s="347">
        <v>46090</v>
      </c>
      <c r="B4890" s="346" t="s">
        <v>9713</v>
      </c>
      <c r="C4890" s="346" t="s">
        <v>9714</v>
      </c>
    </row>
    <row r="4891" spans="1:3">
      <c r="A4891" s="347">
        <v>46090</v>
      </c>
      <c r="B4891" s="346" t="s">
        <v>9715</v>
      </c>
      <c r="C4891" s="346" t="s">
        <v>9716</v>
      </c>
    </row>
    <row r="4892" spans="1:3">
      <c r="A4892" s="347">
        <v>46090</v>
      </c>
      <c r="B4892" s="346" t="s">
        <v>9717</v>
      </c>
      <c r="C4892" s="346" t="s">
        <v>9718</v>
      </c>
    </row>
    <row r="4893" spans="1:3">
      <c r="A4893" s="347">
        <v>46090</v>
      </c>
      <c r="B4893" s="346" t="s">
        <v>9719</v>
      </c>
      <c r="C4893" s="346" t="s">
        <v>9720</v>
      </c>
    </row>
    <row r="4894" spans="1:3">
      <c r="A4894" s="347">
        <v>46090</v>
      </c>
      <c r="B4894" s="346" t="s">
        <v>9721</v>
      </c>
      <c r="C4894" s="346" t="s">
        <v>9722</v>
      </c>
    </row>
    <row r="4895" spans="1:3">
      <c r="A4895" s="347">
        <v>46090</v>
      </c>
      <c r="B4895" s="346" t="s">
        <v>9723</v>
      </c>
      <c r="C4895" s="346" t="s">
        <v>9724</v>
      </c>
    </row>
    <row r="4896" spans="1:3">
      <c r="A4896" s="347">
        <v>46090</v>
      </c>
      <c r="B4896" s="346" t="s">
        <v>9725</v>
      </c>
      <c r="C4896" s="346" t="s">
        <v>9726</v>
      </c>
    </row>
    <row r="4897" spans="1:3">
      <c r="A4897" s="347">
        <v>46090</v>
      </c>
      <c r="B4897" s="346" t="s">
        <v>9727</v>
      </c>
      <c r="C4897" s="346" t="s">
        <v>10914</v>
      </c>
    </row>
    <row r="4898" spans="1:3">
      <c r="A4898" s="347">
        <v>46090</v>
      </c>
      <c r="B4898" s="346" t="s">
        <v>9728</v>
      </c>
      <c r="C4898" s="346" t="s">
        <v>9729</v>
      </c>
    </row>
    <row r="4899" spans="1:3">
      <c r="A4899" s="347">
        <v>46090</v>
      </c>
      <c r="B4899" s="346" t="s">
        <v>9730</v>
      </c>
      <c r="C4899" s="346" t="s">
        <v>9731</v>
      </c>
    </row>
    <row r="4900" spans="1:3">
      <c r="A4900" s="347">
        <v>46090</v>
      </c>
      <c r="B4900" s="346" t="s">
        <v>9732</v>
      </c>
      <c r="C4900" s="346" t="s">
        <v>9733</v>
      </c>
    </row>
    <row r="4901" spans="1:3">
      <c r="A4901" s="347">
        <v>46090</v>
      </c>
      <c r="B4901" s="346" t="s">
        <v>9734</v>
      </c>
      <c r="C4901" s="346" t="s">
        <v>9735</v>
      </c>
    </row>
    <row r="4902" spans="1:3">
      <c r="A4902" s="347">
        <v>46090</v>
      </c>
      <c r="B4902" s="346" t="s">
        <v>9736</v>
      </c>
      <c r="C4902" s="346" t="s">
        <v>9737</v>
      </c>
    </row>
    <row r="4903" spans="1:3">
      <c r="A4903" s="347">
        <v>46090</v>
      </c>
      <c r="B4903" s="346" t="s">
        <v>9738</v>
      </c>
      <c r="C4903" s="346" t="s">
        <v>9739</v>
      </c>
    </row>
    <row r="4904" spans="1:3">
      <c r="A4904" s="347">
        <v>46090</v>
      </c>
      <c r="B4904" s="346" t="s">
        <v>9740</v>
      </c>
      <c r="C4904" s="346" t="s">
        <v>9741</v>
      </c>
    </row>
    <row r="4905" spans="1:3">
      <c r="A4905" s="347">
        <v>46090</v>
      </c>
      <c r="B4905" s="346" t="s">
        <v>9742</v>
      </c>
      <c r="C4905" s="346" t="s">
        <v>9743</v>
      </c>
    </row>
    <row r="4906" spans="1:3">
      <c r="A4906" s="347">
        <v>46090</v>
      </c>
      <c r="B4906" s="346" t="s">
        <v>9744</v>
      </c>
      <c r="C4906" s="346" t="s">
        <v>10915</v>
      </c>
    </row>
    <row r="4907" spans="1:3">
      <c r="A4907" s="347">
        <v>46090</v>
      </c>
      <c r="B4907" s="346" t="s">
        <v>9745</v>
      </c>
      <c r="C4907" s="346" t="s">
        <v>9746</v>
      </c>
    </row>
    <row r="4908" spans="1:3">
      <c r="A4908" s="347">
        <v>46090</v>
      </c>
      <c r="B4908" s="346" t="s">
        <v>9747</v>
      </c>
      <c r="C4908" s="346" t="s">
        <v>9748</v>
      </c>
    </row>
    <row r="4909" spans="1:3">
      <c r="A4909" s="347">
        <v>46090</v>
      </c>
      <c r="B4909" s="346" t="s">
        <v>9749</v>
      </c>
      <c r="C4909" s="346" t="s">
        <v>9750</v>
      </c>
    </row>
    <row r="4910" spans="1:3">
      <c r="A4910" s="347">
        <v>46090</v>
      </c>
      <c r="B4910" s="346" t="s">
        <v>9751</v>
      </c>
      <c r="C4910" s="346" t="s">
        <v>9752</v>
      </c>
    </row>
    <row r="4911" spans="1:3">
      <c r="A4911" s="347">
        <v>46090</v>
      </c>
      <c r="B4911" s="346" t="s">
        <v>9753</v>
      </c>
      <c r="C4911" s="346" t="s">
        <v>9754</v>
      </c>
    </row>
    <row r="4912" spans="1:3">
      <c r="A4912" s="347">
        <v>46090</v>
      </c>
      <c r="B4912" s="346" t="s">
        <v>9755</v>
      </c>
      <c r="C4912" s="346" t="s">
        <v>9756</v>
      </c>
    </row>
    <row r="4913" spans="1:3">
      <c r="A4913" s="347">
        <v>46090</v>
      </c>
      <c r="B4913" s="346" t="s">
        <v>9757</v>
      </c>
      <c r="C4913" s="346" t="s">
        <v>9758</v>
      </c>
    </row>
    <row r="4914" spans="1:3">
      <c r="A4914" s="347">
        <v>46090</v>
      </c>
      <c r="B4914" s="346" t="s">
        <v>9759</v>
      </c>
      <c r="C4914" s="346" t="s">
        <v>9760</v>
      </c>
    </row>
    <row r="4915" spans="1:3">
      <c r="A4915" s="347">
        <v>46090</v>
      </c>
      <c r="B4915" s="346" t="s">
        <v>9761</v>
      </c>
      <c r="C4915" s="346" t="s">
        <v>9762</v>
      </c>
    </row>
    <row r="4916" spans="1:3">
      <c r="A4916" s="347">
        <v>46090</v>
      </c>
      <c r="B4916" s="346" t="s">
        <v>9763</v>
      </c>
      <c r="C4916" s="346" t="s">
        <v>9764</v>
      </c>
    </row>
    <row r="4917" spans="1:3">
      <c r="A4917" s="347">
        <v>46090</v>
      </c>
      <c r="B4917" s="346" t="s">
        <v>9765</v>
      </c>
      <c r="C4917" s="346" t="s">
        <v>9766</v>
      </c>
    </row>
    <row r="4918" spans="1:3">
      <c r="A4918" s="347">
        <v>46090</v>
      </c>
      <c r="B4918" s="346" t="s">
        <v>9767</v>
      </c>
      <c r="C4918" s="346" t="s">
        <v>9768</v>
      </c>
    </row>
    <row r="4919" spans="1:3">
      <c r="A4919" s="347">
        <v>46090</v>
      </c>
      <c r="B4919" s="346" t="s">
        <v>9769</v>
      </c>
      <c r="C4919" s="346" t="s">
        <v>9770</v>
      </c>
    </row>
    <row r="4920" spans="1:3">
      <c r="A4920" s="347">
        <v>46090</v>
      </c>
      <c r="B4920" s="346" t="s">
        <v>9771</v>
      </c>
      <c r="C4920" s="346" t="s">
        <v>9772</v>
      </c>
    </row>
    <row r="4921" spans="1:3">
      <c r="A4921" s="347">
        <v>46090</v>
      </c>
      <c r="B4921" s="346" t="s">
        <v>9773</v>
      </c>
      <c r="C4921" s="346" t="s">
        <v>9774</v>
      </c>
    </row>
    <row r="4922" spans="1:3">
      <c r="A4922" s="347">
        <v>46090</v>
      </c>
      <c r="B4922" s="346" t="s">
        <v>9775</v>
      </c>
      <c r="C4922" s="346" t="s">
        <v>9776</v>
      </c>
    </row>
    <row r="4923" spans="1:3">
      <c r="A4923" s="347">
        <v>46090</v>
      </c>
      <c r="B4923" s="346" t="s">
        <v>9777</v>
      </c>
      <c r="C4923" s="346" t="s">
        <v>9778</v>
      </c>
    </row>
    <row r="4924" spans="1:3">
      <c r="A4924" s="347">
        <v>46090</v>
      </c>
      <c r="B4924" s="346" t="s">
        <v>9779</v>
      </c>
      <c r="C4924" s="346" t="s">
        <v>9780</v>
      </c>
    </row>
    <row r="4925" spans="1:3">
      <c r="A4925" s="347">
        <v>46090</v>
      </c>
      <c r="B4925" s="346" t="s">
        <v>9781</v>
      </c>
      <c r="C4925" s="346" t="s">
        <v>9782</v>
      </c>
    </row>
    <row r="4926" spans="1:3">
      <c r="A4926" s="347">
        <v>46090</v>
      </c>
      <c r="B4926" s="346" t="s">
        <v>9783</v>
      </c>
      <c r="C4926" s="346" t="s">
        <v>9784</v>
      </c>
    </row>
    <row r="4927" spans="1:3">
      <c r="A4927" s="347">
        <v>46090</v>
      </c>
      <c r="B4927" s="346" t="s">
        <v>9785</v>
      </c>
      <c r="C4927" s="346" t="s">
        <v>9786</v>
      </c>
    </row>
    <row r="4928" spans="1:3">
      <c r="A4928" s="347">
        <v>46090</v>
      </c>
      <c r="B4928" s="346" t="s">
        <v>9787</v>
      </c>
      <c r="C4928" s="346" t="s">
        <v>9788</v>
      </c>
    </row>
    <row r="4929" spans="1:3">
      <c r="A4929" s="347">
        <v>46090</v>
      </c>
      <c r="B4929" s="346" t="s">
        <v>9789</v>
      </c>
      <c r="C4929" s="346" t="s">
        <v>9790</v>
      </c>
    </row>
    <row r="4930" spans="1:3">
      <c r="A4930" s="347">
        <v>46090</v>
      </c>
      <c r="B4930" s="346" t="s">
        <v>9791</v>
      </c>
      <c r="C4930" s="346" t="s">
        <v>9792</v>
      </c>
    </row>
    <row r="4931" spans="1:3">
      <c r="A4931" s="347">
        <v>46090</v>
      </c>
      <c r="B4931" s="346" t="s">
        <v>9793</v>
      </c>
      <c r="C4931" s="346" t="s">
        <v>9794</v>
      </c>
    </row>
    <row r="4932" spans="1:3">
      <c r="A4932" s="347">
        <v>46090</v>
      </c>
      <c r="B4932" s="346" t="s">
        <v>9795</v>
      </c>
      <c r="C4932" s="346" t="s">
        <v>9796</v>
      </c>
    </row>
    <row r="4933" spans="1:3">
      <c r="A4933" s="347">
        <v>46090</v>
      </c>
      <c r="B4933" s="346" t="s">
        <v>9797</v>
      </c>
      <c r="C4933" s="346" t="s">
        <v>9798</v>
      </c>
    </row>
    <row r="4934" spans="1:3">
      <c r="A4934" s="347">
        <v>46090</v>
      </c>
      <c r="B4934" s="346" t="s">
        <v>9799</v>
      </c>
      <c r="C4934" s="346" t="s">
        <v>9800</v>
      </c>
    </row>
    <row r="4935" spans="1:3">
      <c r="A4935" s="347">
        <v>46090</v>
      </c>
      <c r="B4935" s="346" t="s">
        <v>9801</v>
      </c>
      <c r="C4935" s="346" t="s">
        <v>9802</v>
      </c>
    </row>
    <row r="4936" spans="1:3">
      <c r="A4936" s="347">
        <v>46090</v>
      </c>
      <c r="B4936" s="346" t="s">
        <v>9803</v>
      </c>
      <c r="C4936" s="346" t="s">
        <v>9804</v>
      </c>
    </row>
    <row r="4937" spans="1:3">
      <c r="A4937" s="347">
        <v>46090</v>
      </c>
      <c r="B4937" s="346" t="s">
        <v>9805</v>
      </c>
      <c r="C4937" s="346" t="s">
        <v>9806</v>
      </c>
    </row>
    <row r="4938" spans="1:3">
      <c r="A4938" s="347">
        <v>46090</v>
      </c>
      <c r="B4938" s="346" t="s">
        <v>9807</v>
      </c>
      <c r="C4938" s="346" t="s">
        <v>9808</v>
      </c>
    </row>
    <row r="4939" spans="1:3">
      <c r="A4939" s="347">
        <v>46090</v>
      </c>
      <c r="B4939" s="346" t="s">
        <v>9809</v>
      </c>
      <c r="C4939" s="346" t="s">
        <v>9810</v>
      </c>
    </row>
    <row r="4940" spans="1:3">
      <c r="A4940" s="347">
        <v>46090</v>
      </c>
      <c r="B4940" s="346" t="s">
        <v>9811</v>
      </c>
      <c r="C4940" s="346" t="s">
        <v>9812</v>
      </c>
    </row>
    <row r="4941" spans="1:3">
      <c r="A4941" s="347">
        <v>46090</v>
      </c>
      <c r="B4941" s="346" t="s">
        <v>9813</v>
      </c>
      <c r="C4941" s="346" t="s">
        <v>9814</v>
      </c>
    </row>
    <row r="4942" spans="1:3">
      <c r="A4942" s="347">
        <v>46090</v>
      </c>
      <c r="B4942" s="346" t="s">
        <v>9815</v>
      </c>
      <c r="C4942" s="346" t="s">
        <v>9816</v>
      </c>
    </row>
    <row r="4943" spans="1:3">
      <c r="A4943" s="347">
        <v>46090</v>
      </c>
      <c r="B4943" s="346" t="s">
        <v>9817</v>
      </c>
      <c r="C4943" s="346" t="s">
        <v>9818</v>
      </c>
    </row>
    <row r="4944" spans="1:3">
      <c r="A4944" s="347">
        <v>46090</v>
      </c>
      <c r="B4944" s="346" t="s">
        <v>9819</v>
      </c>
      <c r="C4944" s="346" t="s">
        <v>9820</v>
      </c>
    </row>
    <row r="4945" spans="1:3">
      <c r="A4945" s="347">
        <v>46090</v>
      </c>
      <c r="B4945" s="346" t="s">
        <v>9821</v>
      </c>
      <c r="C4945" s="346" t="s">
        <v>9822</v>
      </c>
    </row>
    <row r="4946" spans="1:3">
      <c r="A4946" s="347">
        <v>46090</v>
      </c>
      <c r="B4946" s="346" t="s">
        <v>10916</v>
      </c>
      <c r="C4946" s="346" t="s">
        <v>10917</v>
      </c>
    </row>
    <row r="4947" spans="1:3">
      <c r="A4947" s="347">
        <v>46090</v>
      </c>
      <c r="B4947" s="346" t="s">
        <v>9823</v>
      </c>
      <c r="C4947" s="346" t="s">
        <v>9824</v>
      </c>
    </row>
    <row r="4948" spans="1:3">
      <c r="A4948" s="347">
        <v>46090</v>
      </c>
      <c r="B4948" s="346" t="s">
        <v>9825</v>
      </c>
      <c r="C4948" s="346" t="s">
        <v>9826</v>
      </c>
    </row>
    <row r="4949" spans="1:3">
      <c r="A4949" s="347">
        <v>46090</v>
      </c>
      <c r="B4949" s="346" t="s">
        <v>9827</v>
      </c>
      <c r="C4949" s="346" t="s">
        <v>9828</v>
      </c>
    </row>
    <row r="4950" spans="1:3">
      <c r="A4950" s="347">
        <v>46090</v>
      </c>
      <c r="B4950" s="346" t="s">
        <v>9829</v>
      </c>
      <c r="C4950" s="346" t="s">
        <v>9830</v>
      </c>
    </row>
    <row r="4951" spans="1:3">
      <c r="A4951" s="347">
        <v>46090</v>
      </c>
      <c r="B4951" s="346" t="s">
        <v>9831</v>
      </c>
      <c r="C4951" s="346" t="s">
        <v>9832</v>
      </c>
    </row>
    <row r="4952" spans="1:3">
      <c r="A4952" s="347">
        <v>46090</v>
      </c>
      <c r="B4952" s="346" t="s">
        <v>9833</v>
      </c>
      <c r="C4952" s="346" t="s">
        <v>9834</v>
      </c>
    </row>
    <row r="4953" spans="1:3">
      <c r="A4953" s="347">
        <v>46090</v>
      </c>
      <c r="B4953" s="346" t="s">
        <v>9835</v>
      </c>
      <c r="C4953" s="346" t="s">
        <v>9836</v>
      </c>
    </row>
    <row r="4954" spans="1:3">
      <c r="A4954" s="347">
        <v>46090</v>
      </c>
      <c r="B4954" s="346" t="s">
        <v>9837</v>
      </c>
      <c r="C4954" s="346" t="s">
        <v>9838</v>
      </c>
    </row>
    <row r="4955" spans="1:3">
      <c r="A4955" s="347">
        <v>46090</v>
      </c>
      <c r="B4955" s="346" t="s">
        <v>9839</v>
      </c>
      <c r="C4955" s="346" t="s">
        <v>9840</v>
      </c>
    </row>
    <row r="4956" spans="1:3">
      <c r="A4956" s="347">
        <v>46090</v>
      </c>
      <c r="B4956" s="346" t="s">
        <v>9841</v>
      </c>
      <c r="C4956" s="346" t="s">
        <v>9842</v>
      </c>
    </row>
    <row r="4957" spans="1:3">
      <c r="A4957" s="347">
        <v>46090</v>
      </c>
      <c r="B4957" s="346" t="s">
        <v>9843</v>
      </c>
      <c r="C4957" s="346" t="s">
        <v>9844</v>
      </c>
    </row>
    <row r="4958" spans="1:3">
      <c r="A4958" s="347">
        <v>46090</v>
      </c>
      <c r="B4958" s="346" t="s">
        <v>9845</v>
      </c>
      <c r="C4958" s="346" t="s">
        <v>9846</v>
      </c>
    </row>
    <row r="4959" spans="1:3">
      <c r="A4959" s="347">
        <v>46090</v>
      </c>
      <c r="B4959" s="346" t="s">
        <v>9847</v>
      </c>
      <c r="C4959" s="346" t="s">
        <v>9848</v>
      </c>
    </row>
    <row r="4960" spans="1:3">
      <c r="A4960" s="347">
        <v>46090</v>
      </c>
      <c r="B4960" s="346" t="s">
        <v>9849</v>
      </c>
      <c r="C4960" s="346" t="s">
        <v>9850</v>
      </c>
    </row>
    <row r="4961" spans="1:3">
      <c r="A4961" s="347">
        <v>46090</v>
      </c>
      <c r="B4961" s="346" t="s">
        <v>10918</v>
      </c>
      <c r="C4961" s="346" t="s">
        <v>10919</v>
      </c>
    </row>
    <row r="4962" spans="1:3">
      <c r="A4962" s="347">
        <v>46090</v>
      </c>
      <c r="B4962" s="346" t="s">
        <v>9851</v>
      </c>
      <c r="C4962" s="346" t="s">
        <v>9852</v>
      </c>
    </row>
    <row r="4963" spans="1:3">
      <c r="A4963" s="347">
        <v>46090</v>
      </c>
      <c r="B4963" s="346" t="s">
        <v>9853</v>
      </c>
      <c r="C4963" s="346" t="s">
        <v>9854</v>
      </c>
    </row>
    <row r="4964" spans="1:3">
      <c r="A4964" s="347">
        <v>46090</v>
      </c>
      <c r="B4964" s="346" t="s">
        <v>9855</v>
      </c>
      <c r="C4964" s="346" t="s">
        <v>9856</v>
      </c>
    </row>
    <row r="4965" spans="1:3">
      <c r="A4965" s="347">
        <v>46090</v>
      </c>
      <c r="B4965" s="346" t="s">
        <v>9857</v>
      </c>
      <c r="C4965" s="346" t="s">
        <v>9858</v>
      </c>
    </row>
    <row r="4966" spans="1:3">
      <c r="A4966" s="347">
        <v>46090</v>
      </c>
      <c r="B4966" s="346" t="s">
        <v>9859</v>
      </c>
      <c r="C4966" s="346" t="s">
        <v>9860</v>
      </c>
    </row>
    <row r="4967" spans="1:3">
      <c r="A4967" s="347">
        <v>46090</v>
      </c>
      <c r="B4967" s="346" t="s">
        <v>9861</v>
      </c>
      <c r="C4967" s="346" t="s">
        <v>9862</v>
      </c>
    </row>
    <row r="4968" spans="1:3">
      <c r="A4968" s="347">
        <v>46090</v>
      </c>
      <c r="B4968" s="346" t="s">
        <v>9863</v>
      </c>
      <c r="C4968" s="346" t="s">
        <v>9864</v>
      </c>
    </row>
    <row r="4969" spans="1:3">
      <c r="A4969" s="347">
        <v>46090</v>
      </c>
      <c r="B4969" s="346" t="s">
        <v>9865</v>
      </c>
      <c r="C4969" s="346" t="s">
        <v>9866</v>
      </c>
    </row>
    <row r="4970" spans="1:3">
      <c r="A4970" s="347">
        <v>46090</v>
      </c>
      <c r="B4970" s="346" t="s">
        <v>9867</v>
      </c>
      <c r="C4970" s="346" t="s">
        <v>9868</v>
      </c>
    </row>
    <row r="4971" spans="1:3">
      <c r="A4971" s="347">
        <v>46090</v>
      </c>
      <c r="B4971" s="346" t="s">
        <v>9869</v>
      </c>
      <c r="C4971" s="346" t="s">
        <v>9870</v>
      </c>
    </row>
    <row r="4972" spans="1:3">
      <c r="A4972" s="347">
        <v>46090</v>
      </c>
      <c r="B4972" s="346" t="s">
        <v>9871</v>
      </c>
      <c r="C4972" s="346" t="s">
        <v>9872</v>
      </c>
    </row>
    <row r="4973" spans="1:3">
      <c r="A4973" s="347">
        <v>46090</v>
      </c>
      <c r="B4973" s="346" t="s">
        <v>9873</v>
      </c>
      <c r="C4973" s="346" t="s">
        <v>9874</v>
      </c>
    </row>
    <row r="4974" spans="1:3">
      <c r="A4974" s="347">
        <v>46090</v>
      </c>
      <c r="B4974" s="346" t="s">
        <v>9875</v>
      </c>
      <c r="C4974" s="346" t="s">
        <v>9876</v>
      </c>
    </row>
    <row r="4975" spans="1:3">
      <c r="A4975" s="347">
        <v>46090</v>
      </c>
      <c r="B4975" s="346" t="s">
        <v>9877</v>
      </c>
      <c r="C4975" s="346" t="s">
        <v>9878</v>
      </c>
    </row>
    <row r="4976" spans="1:3">
      <c r="A4976" s="347">
        <v>46090</v>
      </c>
      <c r="B4976" s="346" t="s">
        <v>9879</v>
      </c>
      <c r="C4976" s="346" t="s">
        <v>9880</v>
      </c>
    </row>
    <row r="4977" spans="1:3">
      <c r="A4977" s="347">
        <v>46090</v>
      </c>
      <c r="B4977" s="346" t="s">
        <v>9881</v>
      </c>
      <c r="C4977" s="346" t="s">
        <v>9882</v>
      </c>
    </row>
    <row r="4978" spans="1:3">
      <c r="A4978" s="347">
        <v>46090</v>
      </c>
      <c r="B4978" s="346" t="s">
        <v>9883</v>
      </c>
      <c r="C4978" s="346" t="s">
        <v>9884</v>
      </c>
    </row>
    <row r="4979" spans="1:3">
      <c r="A4979" s="347">
        <v>46090</v>
      </c>
      <c r="B4979" s="346" t="s">
        <v>9885</v>
      </c>
      <c r="C4979" s="346" t="s">
        <v>9886</v>
      </c>
    </row>
    <row r="4980" spans="1:3">
      <c r="A4980" s="347">
        <v>46090</v>
      </c>
      <c r="B4980" s="346" t="s">
        <v>9887</v>
      </c>
      <c r="C4980" s="346" t="s">
        <v>9888</v>
      </c>
    </row>
    <row r="4981" spans="1:3">
      <c r="A4981" s="347">
        <v>46090</v>
      </c>
      <c r="B4981" s="346" t="s">
        <v>9889</v>
      </c>
      <c r="C4981" s="346" t="s">
        <v>9890</v>
      </c>
    </row>
    <row r="4982" spans="1:3">
      <c r="A4982" s="347">
        <v>46090</v>
      </c>
      <c r="B4982" s="346" t="s">
        <v>9891</v>
      </c>
      <c r="C4982" s="346" t="s">
        <v>9892</v>
      </c>
    </row>
    <row r="4983" spans="1:3">
      <c r="A4983" s="347">
        <v>46090</v>
      </c>
      <c r="B4983" s="346" t="s">
        <v>9893</v>
      </c>
      <c r="C4983" s="346" t="s">
        <v>10920</v>
      </c>
    </row>
    <row r="4984" spans="1:3">
      <c r="A4984" s="347">
        <v>46090</v>
      </c>
      <c r="B4984" s="346" t="s">
        <v>9894</v>
      </c>
      <c r="C4984" s="346" t="s">
        <v>9895</v>
      </c>
    </row>
    <row r="4985" spans="1:3">
      <c r="A4985" s="347">
        <v>46090</v>
      </c>
      <c r="B4985" s="346" t="s">
        <v>9896</v>
      </c>
      <c r="C4985" s="346" t="s">
        <v>9897</v>
      </c>
    </row>
    <row r="4986" spans="1:3">
      <c r="A4986" s="347">
        <v>46090</v>
      </c>
      <c r="B4986" s="346" t="s">
        <v>9898</v>
      </c>
      <c r="C4986" s="346" t="s">
        <v>9899</v>
      </c>
    </row>
    <row r="4987" spans="1:3">
      <c r="A4987" s="347">
        <v>46090</v>
      </c>
      <c r="B4987" s="346" t="s">
        <v>9900</v>
      </c>
      <c r="C4987" s="346" t="s">
        <v>9901</v>
      </c>
    </row>
    <row r="4988" spans="1:3">
      <c r="A4988" s="347">
        <v>46090</v>
      </c>
      <c r="B4988" s="346" t="s">
        <v>9902</v>
      </c>
      <c r="C4988" s="346" t="s">
        <v>10921</v>
      </c>
    </row>
    <row r="4989" spans="1:3">
      <c r="A4989" s="347">
        <v>46090</v>
      </c>
      <c r="B4989" s="346" t="s">
        <v>9903</v>
      </c>
      <c r="C4989" s="346" t="s">
        <v>9904</v>
      </c>
    </row>
    <row r="4990" spans="1:3">
      <c r="A4990" s="347">
        <v>46090</v>
      </c>
      <c r="B4990" s="346" t="s">
        <v>9905</v>
      </c>
      <c r="C4990" s="346" t="s">
        <v>9906</v>
      </c>
    </row>
    <row r="4991" spans="1:3">
      <c r="A4991" s="347">
        <v>46090</v>
      </c>
      <c r="B4991" s="346" t="s">
        <v>9907</v>
      </c>
      <c r="C4991" s="346" t="s">
        <v>9908</v>
      </c>
    </row>
    <row r="4992" spans="1:3">
      <c r="A4992" s="347">
        <v>46090</v>
      </c>
      <c r="B4992" s="346" t="s">
        <v>9909</v>
      </c>
      <c r="C4992" s="346" t="s">
        <v>9910</v>
      </c>
    </row>
    <row r="4993" spans="1:3">
      <c r="A4993" s="347">
        <v>46090</v>
      </c>
      <c r="B4993" s="346" t="s">
        <v>9911</v>
      </c>
      <c r="C4993" s="346" t="s">
        <v>10922</v>
      </c>
    </row>
    <row r="4994" spans="1:3">
      <c r="A4994" s="347">
        <v>46090</v>
      </c>
      <c r="B4994" s="346" t="s">
        <v>9912</v>
      </c>
      <c r="C4994" s="346" t="s">
        <v>9913</v>
      </c>
    </row>
    <row r="4995" spans="1:3">
      <c r="A4995" s="347">
        <v>46090</v>
      </c>
      <c r="B4995" s="346" t="s">
        <v>9914</v>
      </c>
      <c r="C4995" s="346" t="s">
        <v>9915</v>
      </c>
    </row>
    <row r="4996" spans="1:3">
      <c r="A4996" s="347">
        <v>46090</v>
      </c>
      <c r="B4996" s="346" t="s">
        <v>9916</v>
      </c>
      <c r="C4996" s="346" t="s">
        <v>9917</v>
      </c>
    </row>
    <row r="4997" spans="1:3">
      <c r="A4997" s="347">
        <v>46090</v>
      </c>
      <c r="B4997" s="346" t="s">
        <v>9918</v>
      </c>
      <c r="C4997" s="346" t="s">
        <v>9919</v>
      </c>
    </row>
    <row r="4998" spans="1:3">
      <c r="A4998" s="347">
        <v>46090</v>
      </c>
      <c r="B4998" s="346" t="s">
        <v>9920</v>
      </c>
      <c r="C4998" s="346" t="s">
        <v>9921</v>
      </c>
    </row>
    <row r="4999" spans="1:3">
      <c r="A4999" s="347">
        <v>46090</v>
      </c>
      <c r="B4999" s="346" t="s">
        <v>9922</v>
      </c>
      <c r="C4999" s="346" t="s">
        <v>9923</v>
      </c>
    </row>
    <row r="5000" spans="1:3">
      <c r="A5000" s="347">
        <v>46090</v>
      </c>
      <c r="B5000" s="346" t="s">
        <v>9924</v>
      </c>
      <c r="C5000" s="346" t="s">
        <v>9925</v>
      </c>
    </row>
    <row r="5001" spans="1:3">
      <c r="A5001" s="347">
        <v>46090</v>
      </c>
      <c r="B5001" s="346" t="s">
        <v>9926</v>
      </c>
      <c r="C5001" s="346" t="s">
        <v>10923</v>
      </c>
    </row>
    <row r="5002" spans="1:3">
      <c r="A5002" s="347">
        <v>46090</v>
      </c>
      <c r="B5002" s="346" t="s">
        <v>9927</v>
      </c>
      <c r="C5002" s="346" t="s">
        <v>9928</v>
      </c>
    </row>
    <row r="5003" spans="1:3">
      <c r="A5003" s="347">
        <v>46090</v>
      </c>
      <c r="B5003" s="346" t="s">
        <v>9929</v>
      </c>
      <c r="C5003" s="346" t="s">
        <v>9930</v>
      </c>
    </row>
    <row r="5004" spans="1:3">
      <c r="A5004" s="347">
        <v>46090</v>
      </c>
      <c r="B5004" s="346" t="s">
        <v>9931</v>
      </c>
      <c r="C5004" s="346" t="s">
        <v>9932</v>
      </c>
    </row>
    <row r="5005" spans="1:3">
      <c r="A5005" s="347">
        <v>46090</v>
      </c>
      <c r="B5005" s="346" t="s">
        <v>9933</v>
      </c>
      <c r="C5005" s="346" t="s">
        <v>9934</v>
      </c>
    </row>
    <row r="5006" spans="1:3">
      <c r="A5006" s="347">
        <v>46090</v>
      </c>
      <c r="B5006" s="346" t="s">
        <v>9935</v>
      </c>
      <c r="C5006" s="346" t="s">
        <v>9936</v>
      </c>
    </row>
    <row r="5007" spans="1:3">
      <c r="A5007" s="347">
        <v>46090</v>
      </c>
      <c r="B5007" s="346" t="s">
        <v>9937</v>
      </c>
      <c r="C5007" s="346" t="s">
        <v>9938</v>
      </c>
    </row>
    <row r="5008" spans="1:3">
      <c r="A5008" s="347">
        <v>46090</v>
      </c>
      <c r="B5008" s="346" t="s">
        <v>9939</v>
      </c>
      <c r="C5008" s="346" t="s">
        <v>9940</v>
      </c>
    </row>
    <row r="5009" spans="1:3">
      <c r="A5009" s="347">
        <v>46090</v>
      </c>
      <c r="B5009" s="346" t="s">
        <v>10924</v>
      </c>
      <c r="C5009" s="346" t="s">
        <v>10925</v>
      </c>
    </row>
    <row r="5010" spans="1:3">
      <c r="A5010" s="347">
        <v>46090</v>
      </c>
      <c r="B5010" s="346" t="s">
        <v>9941</v>
      </c>
      <c r="C5010" s="346" t="s">
        <v>9942</v>
      </c>
    </row>
    <row r="5011" spans="1:3">
      <c r="A5011" s="347">
        <v>46090</v>
      </c>
      <c r="B5011" s="346" t="s">
        <v>9943</v>
      </c>
      <c r="C5011" s="346" t="s">
        <v>9944</v>
      </c>
    </row>
    <row r="5012" spans="1:3">
      <c r="A5012" s="347">
        <v>46090</v>
      </c>
      <c r="B5012" s="346" t="s">
        <v>9945</v>
      </c>
      <c r="C5012" s="346" t="s">
        <v>9946</v>
      </c>
    </row>
    <row r="5013" spans="1:3">
      <c r="A5013" s="347">
        <v>46090</v>
      </c>
      <c r="B5013" s="346" t="s">
        <v>9947</v>
      </c>
      <c r="C5013" s="346" t="s">
        <v>9948</v>
      </c>
    </row>
    <row r="5014" spans="1:3">
      <c r="A5014" s="347">
        <v>46090</v>
      </c>
      <c r="B5014" s="346" t="s">
        <v>9949</v>
      </c>
      <c r="C5014" s="346" t="s">
        <v>9950</v>
      </c>
    </row>
    <row r="5015" spans="1:3">
      <c r="A5015" s="347">
        <v>46090</v>
      </c>
      <c r="B5015" s="346" t="s">
        <v>9951</v>
      </c>
      <c r="C5015" s="346" t="s">
        <v>9952</v>
      </c>
    </row>
    <row r="5016" spans="1:3">
      <c r="A5016" s="347">
        <v>46090</v>
      </c>
      <c r="B5016" s="346" t="s">
        <v>9953</v>
      </c>
      <c r="C5016" s="346" t="s">
        <v>9954</v>
      </c>
    </row>
    <row r="5017" spans="1:3">
      <c r="A5017" s="347">
        <v>46090</v>
      </c>
      <c r="B5017" s="346" t="s">
        <v>10926</v>
      </c>
      <c r="C5017" s="346" t="s">
        <v>10927</v>
      </c>
    </row>
    <row r="5018" spans="1:3">
      <c r="A5018" s="347">
        <v>46090</v>
      </c>
      <c r="B5018" s="346" t="s">
        <v>9955</v>
      </c>
      <c r="C5018" s="346" t="s">
        <v>9956</v>
      </c>
    </row>
    <row r="5019" spans="1:3">
      <c r="A5019" s="347">
        <v>46090</v>
      </c>
      <c r="B5019" s="346" t="s">
        <v>9957</v>
      </c>
      <c r="C5019" s="346" t="s">
        <v>9958</v>
      </c>
    </row>
    <row r="5020" spans="1:3">
      <c r="A5020" s="347">
        <v>46090</v>
      </c>
      <c r="B5020" s="346" t="s">
        <v>9959</v>
      </c>
      <c r="C5020" s="346" t="s">
        <v>9960</v>
      </c>
    </row>
    <row r="5021" spans="1:3">
      <c r="A5021" s="347">
        <v>46090</v>
      </c>
      <c r="B5021" s="346" t="s">
        <v>9961</v>
      </c>
      <c r="C5021" s="346" t="s">
        <v>9962</v>
      </c>
    </row>
    <row r="5022" spans="1:3">
      <c r="A5022" s="347">
        <v>46090</v>
      </c>
      <c r="B5022" s="346" t="s">
        <v>9963</v>
      </c>
      <c r="C5022" s="346" t="s">
        <v>9964</v>
      </c>
    </row>
    <row r="5023" spans="1:3">
      <c r="A5023" s="347">
        <v>46090</v>
      </c>
      <c r="B5023" s="346" t="s">
        <v>9965</v>
      </c>
      <c r="C5023" s="346" t="s">
        <v>9966</v>
      </c>
    </row>
    <row r="5024" spans="1:3">
      <c r="A5024" s="347">
        <v>46090</v>
      </c>
      <c r="B5024" s="346" t="s">
        <v>9967</v>
      </c>
      <c r="C5024" s="346" t="s">
        <v>9968</v>
      </c>
    </row>
    <row r="5025" spans="1:3">
      <c r="A5025" s="347">
        <v>46090</v>
      </c>
      <c r="B5025" s="346" t="s">
        <v>9969</v>
      </c>
      <c r="C5025" s="346" t="s">
        <v>9970</v>
      </c>
    </row>
    <row r="5026" spans="1:3">
      <c r="A5026" s="347">
        <v>46090</v>
      </c>
      <c r="B5026" s="346" t="s">
        <v>9971</v>
      </c>
      <c r="C5026" s="346" t="s">
        <v>9972</v>
      </c>
    </row>
    <row r="5027" spans="1:3">
      <c r="A5027" s="347">
        <v>46090</v>
      </c>
      <c r="B5027" s="346" t="s">
        <v>9973</v>
      </c>
      <c r="C5027" s="346" t="s">
        <v>9974</v>
      </c>
    </row>
    <row r="5028" spans="1:3">
      <c r="A5028" s="347">
        <v>46090</v>
      </c>
      <c r="B5028" s="346" t="s">
        <v>9975</v>
      </c>
      <c r="C5028" s="346" t="s">
        <v>9976</v>
      </c>
    </row>
    <row r="5029" spans="1:3">
      <c r="A5029" s="347">
        <v>46090</v>
      </c>
      <c r="B5029" s="346" t="s">
        <v>9977</v>
      </c>
      <c r="C5029" s="346" t="s">
        <v>9978</v>
      </c>
    </row>
    <row r="5030" spans="1:3">
      <c r="A5030" s="347">
        <v>46090</v>
      </c>
      <c r="B5030" s="346" t="s">
        <v>9979</v>
      </c>
      <c r="C5030" s="346" t="s">
        <v>9980</v>
      </c>
    </row>
    <row r="5031" spans="1:3">
      <c r="A5031" s="347">
        <v>46090</v>
      </c>
      <c r="B5031" s="346" t="s">
        <v>9981</v>
      </c>
      <c r="C5031" s="346" t="s">
        <v>9982</v>
      </c>
    </row>
    <row r="5032" spans="1:3">
      <c r="A5032" s="347">
        <v>46090</v>
      </c>
      <c r="B5032" s="346" t="s">
        <v>9983</v>
      </c>
      <c r="C5032" s="346" t="s">
        <v>9984</v>
      </c>
    </row>
    <row r="5033" spans="1:3">
      <c r="A5033" s="347">
        <v>46090</v>
      </c>
      <c r="B5033" s="346" t="s">
        <v>9985</v>
      </c>
      <c r="C5033" s="346" t="s">
        <v>9986</v>
      </c>
    </row>
    <row r="5034" spans="1:3">
      <c r="A5034" s="347">
        <v>46090</v>
      </c>
      <c r="B5034" s="346" t="s">
        <v>9987</v>
      </c>
      <c r="C5034" s="346" t="s">
        <v>9988</v>
      </c>
    </row>
    <row r="5035" spans="1:3">
      <c r="A5035" s="347">
        <v>46090</v>
      </c>
      <c r="B5035" s="346" t="s">
        <v>9989</v>
      </c>
      <c r="C5035" s="346" t="s">
        <v>9990</v>
      </c>
    </row>
    <row r="5036" spans="1:3">
      <c r="A5036" s="347">
        <v>46090</v>
      </c>
      <c r="B5036" s="346" t="s">
        <v>9991</v>
      </c>
      <c r="C5036" s="346" t="s">
        <v>9992</v>
      </c>
    </row>
    <row r="5037" spans="1:3">
      <c r="A5037" s="347">
        <v>46090</v>
      </c>
      <c r="B5037" s="346" t="s">
        <v>9993</v>
      </c>
      <c r="C5037" s="346" t="s">
        <v>9994</v>
      </c>
    </row>
    <row r="5038" spans="1:3">
      <c r="A5038" s="347">
        <v>46090</v>
      </c>
      <c r="B5038" s="346" t="s">
        <v>9995</v>
      </c>
      <c r="C5038" s="346" t="s">
        <v>9996</v>
      </c>
    </row>
    <row r="5039" spans="1:3">
      <c r="A5039" s="347">
        <v>46090</v>
      </c>
      <c r="B5039" s="346" t="s">
        <v>9997</v>
      </c>
      <c r="C5039" s="346" t="s">
        <v>9998</v>
      </c>
    </row>
    <row r="5040" spans="1:3">
      <c r="A5040" s="347">
        <v>46090</v>
      </c>
      <c r="B5040" s="346" t="s">
        <v>9999</v>
      </c>
      <c r="C5040" s="346" t="s">
        <v>10000</v>
      </c>
    </row>
    <row r="5041" spans="1:3">
      <c r="A5041" s="347">
        <v>46090</v>
      </c>
      <c r="B5041" s="346" t="s">
        <v>10001</v>
      </c>
      <c r="C5041" s="346" t="s">
        <v>10002</v>
      </c>
    </row>
    <row r="5042" spans="1:3">
      <c r="A5042" s="347">
        <v>46090</v>
      </c>
      <c r="B5042" s="346" t="s">
        <v>10003</v>
      </c>
      <c r="C5042" s="346" t="s">
        <v>10004</v>
      </c>
    </row>
    <row r="5043" spans="1:3">
      <c r="A5043" s="347">
        <v>46090</v>
      </c>
      <c r="B5043" s="346" t="s">
        <v>10005</v>
      </c>
      <c r="C5043" s="346" t="s">
        <v>10006</v>
      </c>
    </row>
    <row r="5044" spans="1:3">
      <c r="A5044" s="347">
        <v>46090</v>
      </c>
      <c r="B5044" s="346" t="s">
        <v>10007</v>
      </c>
      <c r="C5044" s="346" t="s">
        <v>11151</v>
      </c>
    </row>
    <row r="5045" spans="1:3">
      <c r="A5045" s="347">
        <v>46090</v>
      </c>
      <c r="B5045" s="346" t="s">
        <v>10008</v>
      </c>
      <c r="C5045" s="346" t="s">
        <v>10009</v>
      </c>
    </row>
    <row r="5046" spans="1:3">
      <c r="A5046" s="347">
        <v>46090</v>
      </c>
      <c r="B5046" s="346" t="s">
        <v>10010</v>
      </c>
      <c r="C5046" s="346" t="s">
        <v>10011</v>
      </c>
    </row>
    <row r="5047" spans="1:3">
      <c r="A5047" s="347">
        <v>46090</v>
      </c>
      <c r="B5047" s="346" t="s">
        <v>10012</v>
      </c>
      <c r="C5047" s="346" t="s">
        <v>10013</v>
      </c>
    </row>
    <row r="5048" spans="1:3">
      <c r="A5048" s="347">
        <v>46090</v>
      </c>
      <c r="B5048" s="346" t="s">
        <v>10928</v>
      </c>
      <c r="C5048" s="346" t="s">
        <v>10929</v>
      </c>
    </row>
    <row r="5049" spans="1:3">
      <c r="A5049" s="347">
        <v>46090</v>
      </c>
      <c r="B5049" s="346" t="s">
        <v>10014</v>
      </c>
      <c r="C5049" s="346" t="s">
        <v>10015</v>
      </c>
    </row>
    <row r="5050" spans="1:3">
      <c r="A5050" s="347">
        <v>46090</v>
      </c>
      <c r="B5050" s="346" t="s">
        <v>10016</v>
      </c>
      <c r="C5050" s="346" t="s">
        <v>10017</v>
      </c>
    </row>
    <row r="5051" spans="1:3">
      <c r="A5051" s="347">
        <v>46090</v>
      </c>
      <c r="B5051" s="346" t="s">
        <v>10018</v>
      </c>
      <c r="C5051" s="346" t="s">
        <v>10019</v>
      </c>
    </row>
    <row r="5052" spans="1:3">
      <c r="A5052" s="347">
        <v>46090</v>
      </c>
      <c r="B5052" s="346" t="s">
        <v>10020</v>
      </c>
      <c r="C5052" s="346" t="s">
        <v>10021</v>
      </c>
    </row>
    <row r="5053" spans="1:3">
      <c r="A5053" s="347">
        <v>46090</v>
      </c>
      <c r="B5053" s="346" t="s">
        <v>10022</v>
      </c>
      <c r="C5053" s="346" t="s">
        <v>10023</v>
      </c>
    </row>
    <row r="5054" spans="1:3">
      <c r="A5054" s="347">
        <v>46090</v>
      </c>
      <c r="B5054" s="346" t="s">
        <v>10024</v>
      </c>
      <c r="C5054" s="346" t="s">
        <v>10025</v>
      </c>
    </row>
    <row r="5055" spans="1:3">
      <c r="A5055" s="347">
        <v>46090</v>
      </c>
      <c r="B5055" s="346" t="s">
        <v>10026</v>
      </c>
      <c r="C5055" s="346" t="s">
        <v>10027</v>
      </c>
    </row>
    <row r="5056" spans="1:3">
      <c r="A5056" s="347">
        <v>46090</v>
      </c>
      <c r="B5056" s="346" t="s">
        <v>10028</v>
      </c>
      <c r="C5056" s="346" t="s">
        <v>10029</v>
      </c>
    </row>
    <row r="5057" spans="1:3">
      <c r="A5057" s="347">
        <v>46090</v>
      </c>
      <c r="B5057" s="346" t="s">
        <v>10030</v>
      </c>
      <c r="C5057" s="346" t="s">
        <v>10031</v>
      </c>
    </row>
    <row r="5058" spans="1:3">
      <c r="A5058" s="347">
        <v>46090</v>
      </c>
      <c r="B5058" s="346" t="s">
        <v>10032</v>
      </c>
      <c r="C5058" s="346" t="s">
        <v>10033</v>
      </c>
    </row>
    <row r="5059" spans="1:3">
      <c r="A5059" s="347">
        <v>46090</v>
      </c>
      <c r="B5059" s="346" t="s">
        <v>10034</v>
      </c>
      <c r="C5059" s="346" t="s">
        <v>10035</v>
      </c>
    </row>
    <row r="5060" spans="1:3">
      <c r="A5060" s="347">
        <v>46090</v>
      </c>
      <c r="B5060" s="346" t="s">
        <v>10036</v>
      </c>
      <c r="C5060" s="346" t="s">
        <v>10037</v>
      </c>
    </row>
    <row r="5061" spans="1:3">
      <c r="A5061" s="347">
        <v>46090</v>
      </c>
      <c r="B5061" s="346" t="s">
        <v>10038</v>
      </c>
      <c r="C5061" s="346" t="s">
        <v>10039</v>
      </c>
    </row>
    <row r="5062" spans="1:3">
      <c r="A5062" s="347">
        <v>46090</v>
      </c>
      <c r="B5062" s="346" t="s">
        <v>10040</v>
      </c>
      <c r="C5062" s="346" t="s">
        <v>10041</v>
      </c>
    </row>
    <row r="5063" spans="1:3">
      <c r="A5063" s="347">
        <v>46090</v>
      </c>
      <c r="B5063" s="346" t="s">
        <v>10042</v>
      </c>
      <c r="C5063" s="346" t="s">
        <v>10043</v>
      </c>
    </row>
    <row r="5064" spans="1:3">
      <c r="A5064" s="347">
        <v>46090</v>
      </c>
      <c r="B5064" s="346" t="s">
        <v>10044</v>
      </c>
      <c r="C5064" s="346" t="s">
        <v>10045</v>
      </c>
    </row>
    <row r="5065" spans="1:3">
      <c r="A5065" s="347">
        <v>46090</v>
      </c>
      <c r="B5065" s="346" t="s">
        <v>10046</v>
      </c>
      <c r="C5065" s="346" t="s">
        <v>10047</v>
      </c>
    </row>
    <row r="5066" spans="1:3">
      <c r="A5066" s="347">
        <v>46090</v>
      </c>
      <c r="B5066" s="346" t="s">
        <v>10048</v>
      </c>
      <c r="C5066" s="346" t="s">
        <v>10049</v>
      </c>
    </row>
    <row r="5067" spans="1:3">
      <c r="A5067" s="347">
        <v>46090</v>
      </c>
      <c r="B5067" s="346" t="s">
        <v>10930</v>
      </c>
      <c r="C5067" s="346" t="s">
        <v>10931</v>
      </c>
    </row>
    <row r="5068" spans="1:3">
      <c r="A5068" s="347">
        <v>46090</v>
      </c>
      <c r="B5068" s="346" t="s">
        <v>10050</v>
      </c>
      <c r="C5068" s="346" t="s">
        <v>10051</v>
      </c>
    </row>
    <row r="5069" spans="1:3">
      <c r="A5069" s="347">
        <v>46090</v>
      </c>
      <c r="B5069" s="346" t="s">
        <v>10052</v>
      </c>
      <c r="C5069" s="346" t="s">
        <v>10053</v>
      </c>
    </row>
    <row r="5070" spans="1:3">
      <c r="A5070" s="347">
        <v>46090</v>
      </c>
      <c r="B5070" s="346" t="s">
        <v>10054</v>
      </c>
      <c r="C5070" s="346" t="s">
        <v>10055</v>
      </c>
    </row>
    <row r="5071" spans="1:3">
      <c r="A5071" s="347">
        <v>46090</v>
      </c>
      <c r="B5071" s="346" t="s">
        <v>10056</v>
      </c>
      <c r="C5071" s="346" t="s">
        <v>10057</v>
      </c>
    </row>
    <row r="5072" spans="1:3">
      <c r="A5072" s="347">
        <v>46090</v>
      </c>
      <c r="B5072" s="346" t="s">
        <v>10058</v>
      </c>
      <c r="C5072" s="346" t="s">
        <v>10059</v>
      </c>
    </row>
    <row r="5073" spans="1:3">
      <c r="A5073" s="347">
        <v>46090</v>
      </c>
      <c r="B5073" s="346" t="s">
        <v>10060</v>
      </c>
      <c r="C5073" s="346" t="s">
        <v>10061</v>
      </c>
    </row>
    <row r="5074" spans="1:3">
      <c r="A5074" s="347">
        <v>46090</v>
      </c>
      <c r="B5074" s="346" t="s">
        <v>10062</v>
      </c>
      <c r="C5074" s="346" t="s">
        <v>10063</v>
      </c>
    </row>
    <row r="5075" spans="1:3">
      <c r="A5075" s="347">
        <v>46090</v>
      </c>
      <c r="B5075" s="346" t="s">
        <v>10064</v>
      </c>
      <c r="C5075" s="346" t="s">
        <v>10065</v>
      </c>
    </row>
    <row r="5076" spans="1:3">
      <c r="A5076" s="347">
        <v>46090</v>
      </c>
      <c r="B5076" s="346" t="s">
        <v>10932</v>
      </c>
      <c r="C5076" s="346" t="s">
        <v>10933</v>
      </c>
    </row>
    <row r="5077" spans="1:3">
      <c r="A5077" s="347">
        <v>46090</v>
      </c>
      <c r="B5077" s="346" t="s">
        <v>10066</v>
      </c>
      <c r="C5077" s="346" t="s">
        <v>10067</v>
      </c>
    </row>
    <row r="5078" spans="1:3">
      <c r="A5078" s="347">
        <v>46090</v>
      </c>
      <c r="B5078" s="346" t="s">
        <v>10068</v>
      </c>
      <c r="C5078" s="346" t="s">
        <v>10069</v>
      </c>
    </row>
    <row r="5079" spans="1:3">
      <c r="A5079" s="347">
        <v>46090</v>
      </c>
      <c r="B5079" s="346" t="s">
        <v>10070</v>
      </c>
      <c r="C5079" s="346" t="s">
        <v>10071</v>
      </c>
    </row>
    <row r="5080" spans="1:3">
      <c r="A5080" s="347">
        <v>46090</v>
      </c>
      <c r="B5080" s="346" t="s">
        <v>10072</v>
      </c>
      <c r="C5080" s="346" t="s">
        <v>10073</v>
      </c>
    </row>
    <row r="5081" spans="1:3">
      <c r="A5081" s="347">
        <v>46090</v>
      </c>
      <c r="B5081" s="346" t="s">
        <v>10074</v>
      </c>
      <c r="C5081" s="346" t="s">
        <v>10075</v>
      </c>
    </row>
    <row r="5082" spans="1:3">
      <c r="A5082" s="347">
        <v>46090</v>
      </c>
      <c r="B5082" s="346" t="s">
        <v>10076</v>
      </c>
      <c r="C5082" s="346" t="s">
        <v>10077</v>
      </c>
    </row>
    <row r="5083" spans="1:3">
      <c r="A5083" s="347">
        <v>46090</v>
      </c>
      <c r="B5083" s="346" t="s">
        <v>10078</v>
      </c>
      <c r="C5083" s="346" t="s">
        <v>10079</v>
      </c>
    </row>
    <row r="5084" spans="1:3">
      <c r="A5084" s="347">
        <v>46090</v>
      </c>
      <c r="B5084" s="346" t="s">
        <v>10080</v>
      </c>
      <c r="C5084" s="346" t="s">
        <v>10081</v>
      </c>
    </row>
    <row r="5085" spans="1:3">
      <c r="A5085" s="347">
        <v>46090</v>
      </c>
      <c r="B5085" s="346" t="s">
        <v>10082</v>
      </c>
      <c r="C5085" s="346" t="s">
        <v>10083</v>
      </c>
    </row>
    <row r="5086" spans="1:3">
      <c r="A5086" s="347">
        <v>46090</v>
      </c>
      <c r="B5086" s="346" t="s">
        <v>10084</v>
      </c>
      <c r="C5086" s="346" t="s">
        <v>10085</v>
      </c>
    </row>
    <row r="5087" spans="1:3">
      <c r="A5087" s="347">
        <v>46090</v>
      </c>
      <c r="B5087" s="346" t="s">
        <v>10086</v>
      </c>
      <c r="C5087" s="346" t="s">
        <v>10087</v>
      </c>
    </row>
    <row r="5088" spans="1:3">
      <c r="A5088" s="347">
        <v>46090</v>
      </c>
      <c r="B5088" s="346" t="s">
        <v>10088</v>
      </c>
      <c r="C5088" s="346" t="s">
        <v>10089</v>
      </c>
    </row>
    <row r="5089" spans="1:3">
      <c r="A5089" s="347">
        <v>46090</v>
      </c>
      <c r="B5089" s="346" t="s">
        <v>10090</v>
      </c>
      <c r="C5089" s="346" t="s">
        <v>10091</v>
      </c>
    </row>
    <row r="5090" spans="1:3">
      <c r="A5090" s="347">
        <v>46090</v>
      </c>
      <c r="B5090" s="346" t="s">
        <v>10092</v>
      </c>
      <c r="C5090" s="346" t="s">
        <v>10093</v>
      </c>
    </row>
    <row r="5091" spans="1:3">
      <c r="A5091" s="347">
        <v>46090</v>
      </c>
      <c r="B5091" s="346" t="s">
        <v>10094</v>
      </c>
      <c r="C5091" s="346" t="s">
        <v>10095</v>
      </c>
    </row>
    <row r="5092" spans="1:3">
      <c r="A5092" s="347">
        <v>46090</v>
      </c>
      <c r="B5092" s="346" t="s">
        <v>10096</v>
      </c>
      <c r="C5092" s="346" t="s">
        <v>10097</v>
      </c>
    </row>
    <row r="5093" spans="1:3">
      <c r="A5093" s="347">
        <v>46090</v>
      </c>
      <c r="B5093" s="346" t="s">
        <v>10098</v>
      </c>
      <c r="C5093" s="346" t="s">
        <v>10099</v>
      </c>
    </row>
    <row r="5094" spans="1:3">
      <c r="A5094" s="347">
        <v>46090</v>
      </c>
      <c r="B5094" s="346" t="s">
        <v>10100</v>
      </c>
      <c r="C5094" s="346" t="s">
        <v>10101</v>
      </c>
    </row>
    <row r="5095" spans="1:3">
      <c r="A5095" s="347">
        <v>46090</v>
      </c>
      <c r="B5095" s="346" t="s">
        <v>10102</v>
      </c>
      <c r="C5095" s="346" t="s">
        <v>10103</v>
      </c>
    </row>
    <row r="5096" spans="1:3">
      <c r="A5096" s="347">
        <v>46090</v>
      </c>
      <c r="B5096" s="346" t="s">
        <v>10104</v>
      </c>
      <c r="C5096" s="346" t="s">
        <v>10934</v>
      </c>
    </row>
    <row r="5097" spans="1:3">
      <c r="A5097" s="347">
        <v>46090</v>
      </c>
      <c r="B5097" s="346" t="s">
        <v>10105</v>
      </c>
      <c r="C5097" s="346" t="s">
        <v>10106</v>
      </c>
    </row>
    <row r="5098" spans="1:3">
      <c r="A5098" s="347">
        <v>46090</v>
      </c>
      <c r="B5098" s="346" t="s">
        <v>10107</v>
      </c>
      <c r="C5098" s="346" t="s">
        <v>10108</v>
      </c>
    </row>
    <row r="5099" spans="1:3">
      <c r="A5099" s="347">
        <v>46090</v>
      </c>
      <c r="B5099" s="346" t="s">
        <v>10109</v>
      </c>
      <c r="C5099" s="346" t="s">
        <v>10110</v>
      </c>
    </row>
    <row r="5100" spans="1:3">
      <c r="A5100" s="347">
        <v>46090</v>
      </c>
      <c r="B5100" s="346" t="s">
        <v>10111</v>
      </c>
      <c r="C5100" s="346" t="s">
        <v>10112</v>
      </c>
    </row>
    <row r="5101" spans="1:3">
      <c r="A5101" s="347">
        <v>46090</v>
      </c>
      <c r="B5101" s="346" t="s">
        <v>10113</v>
      </c>
      <c r="C5101" s="346" t="s">
        <v>10114</v>
      </c>
    </row>
    <row r="5102" spans="1:3">
      <c r="A5102" s="347">
        <v>46090</v>
      </c>
      <c r="B5102" s="346" t="s">
        <v>10115</v>
      </c>
      <c r="C5102" s="346" t="s">
        <v>10116</v>
      </c>
    </row>
    <row r="5103" spans="1:3">
      <c r="A5103" s="347">
        <v>46090</v>
      </c>
      <c r="B5103" s="346" t="s">
        <v>10117</v>
      </c>
      <c r="C5103" s="346" t="s">
        <v>10118</v>
      </c>
    </row>
    <row r="5104" spans="1:3">
      <c r="A5104" s="347">
        <v>46090</v>
      </c>
      <c r="B5104" s="346" t="s">
        <v>10119</v>
      </c>
      <c r="C5104" s="346" t="s">
        <v>10120</v>
      </c>
    </row>
    <row r="5105" spans="1:3">
      <c r="A5105" s="347">
        <v>46090</v>
      </c>
      <c r="B5105" s="346" t="s">
        <v>10121</v>
      </c>
      <c r="C5105" s="346" t="s">
        <v>10122</v>
      </c>
    </row>
    <row r="5106" spans="1:3">
      <c r="A5106" s="347">
        <v>46090</v>
      </c>
      <c r="B5106" s="346" t="s">
        <v>10123</v>
      </c>
      <c r="C5106" s="346" t="s">
        <v>10124</v>
      </c>
    </row>
    <row r="5107" spans="1:3">
      <c r="A5107" s="347">
        <v>46090</v>
      </c>
      <c r="B5107" s="346" t="s">
        <v>10125</v>
      </c>
      <c r="C5107" s="346" t="s">
        <v>10126</v>
      </c>
    </row>
    <row r="5108" spans="1:3">
      <c r="A5108" s="347">
        <v>46090</v>
      </c>
      <c r="B5108" s="346" t="s">
        <v>10127</v>
      </c>
      <c r="C5108" s="346" t="s">
        <v>10128</v>
      </c>
    </row>
    <row r="5109" spans="1:3">
      <c r="A5109" s="347">
        <v>46090</v>
      </c>
      <c r="B5109" s="346" t="s">
        <v>10129</v>
      </c>
      <c r="C5109" s="346" t="s">
        <v>10130</v>
      </c>
    </row>
    <row r="5110" spans="1:3">
      <c r="A5110" s="347">
        <v>46090</v>
      </c>
      <c r="B5110" s="346" t="s">
        <v>10131</v>
      </c>
      <c r="C5110" s="346" t="s">
        <v>10132</v>
      </c>
    </row>
    <row r="5111" spans="1:3">
      <c r="A5111" s="347">
        <v>46090</v>
      </c>
      <c r="B5111" s="346" t="s">
        <v>10133</v>
      </c>
      <c r="C5111" s="346" t="s">
        <v>10134</v>
      </c>
    </row>
    <row r="5112" spans="1:3">
      <c r="A5112" s="347">
        <v>46090</v>
      </c>
      <c r="B5112" s="346" t="s">
        <v>10135</v>
      </c>
      <c r="C5112" s="346" t="s">
        <v>10136</v>
      </c>
    </row>
    <row r="5113" spans="1:3">
      <c r="A5113" s="347">
        <v>46090</v>
      </c>
      <c r="B5113" s="346" t="s">
        <v>10137</v>
      </c>
      <c r="C5113" s="346" t="s">
        <v>10138</v>
      </c>
    </row>
    <row r="5114" spans="1:3">
      <c r="A5114" s="347">
        <v>46090</v>
      </c>
      <c r="B5114" s="346" t="s">
        <v>10139</v>
      </c>
      <c r="C5114" s="346" t="s">
        <v>10140</v>
      </c>
    </row>
    <row r="5115" spans="1:3">
      <c r="A5115" s="347">
        <v>46090</v>
      </c>
      <c r="B5115" s="346" t="s">
        <v>10141</v>
      </c>
      <c r="C5115" s="346" t="s">
        <v>10142</v>
      </c>
    </row>
    <row r="5116" spans="1:3">
      <c r="A5116" s="347">
        <v>46090</v>
      </c>
      <c r="B5116" s="346" t="s">
        <v>10143</v>
      </c>
      <c r="C5116" s="346" t="s">
        <v>10144</v>
      </c>
    </row>
    <row r="5117" spans="1:3">
      <c r="A5117" s="347">
        <v>46090</v>
      </c>
      <c r="B5117" s="346" t="s">
        <v>10145</v>
      </c>
      <c r="C5117" s="346" t="s">
        <v>10146</v>
      </c>
    </row>
    <row r="5118" spans="1:3">
      <c r="A5118" s="347">
        <v>46090</v>
      </c>
      <c r="B5118" s="346" t="s">
        <v>10147</v>
      </c>
      <c r="C5118" s="346" t="s">
        <v>10148</v>
      </c>
    </row>
    <row r="5119" spans="1:3">
      <c r="A5119" s="347">
        <v>46090</v>
      </c>
      <c r="B5119" s="346" t="s">
        <v>10149</v>
      </c>
      <c r="C5119" s="346" t="s">
        <v>10150</v>
      </c>
    </row>
    <row r="5120" spans="1:3">
      <c r="A5120" s="347">
        <v>46090</v>
      </c>
      <c r="B5120" s="346" t="s">
        <v>10151</v>
      </c>
      <c r="C5120" s="346" t="s">
        <v>10152</v>
      </c>
    </row>
    <row r="5121" spans="1:3">
      <c r="A5121" s="347">
        <v>46090</v>
      </c>
      <c r="B5121" s="346" t="s">
        <v>10153</v>
      </c>
      <c r="C5121" s="346" t="s">
        <v>10154</v>
      </c>
    </row>
    <row r="5122" spans="1:3">
      <c r="A5122" s="347">
        <v>46090</v>
      </c>
      <c r="B5122" s="346" t="s">
        <v>10155</v>
      </c>
      <c r="C5122" s="346" t="s">
        <v>10156</v>
      </c>
    </row>
    <row r="5123" spans="1:3">
      <c r="A5123" s="347">
        <v>46090</v>
      </c>
      <c r="B5123" s="346" t="s">
        <v>10157</v>
      </c>
      <c r="C5123" s="346" t="s">
        <v>10158</v>
      </c>
    </row>
    <row r="5124" spans="1:3">
      <c r="A5124" s="347">
        <v>46090</v>
      </c>
      <c r="B5124" s="346" t="s">
        <v>10159</v>
      </c>
      <c r="C5124" s="346" t="s">
        <v>10160</v>
      </c>
    </row>
    <row r="5125" spans="1:3">
      <c r="A5125" s="347">
        <v>46090</v>
      </c>
      <c r="B5125" s="346" t="s">
        <v>10161</v>
      </c>
      <c r="C5125" s="346" t="s">
        <v>10162</v>
      </c>
    </row>
    <row r="5126" spans="1:3">
      <c r="A5126" s="347">
        <v>46090</v>
      </c>
      <c r="B5126" s="346" t="s">
        <v>10163</v>
      </c>
      <c r="C5126" s="346" t="s">
        <v>10164</v>
      </c>
    </row>
    <row r="5127" spans="1:3">
      <c r="A5127" s="347">
        <v>46090</v>
      </c>
      <c r="B5127" s="346" t="s">
        <v>10165</v>
      </c>
      <c r="C5127" s="346" t="s">
        <v>10166</v>
      </c>
    </row>
    <row r="5128" spans="1:3">
      <c r="A5128" s="347">
        <v>46090</v>
      </c>
      <c r="B5128" s="346" t="s">
        <v>10167</v>
      </c>
      <c r="C5128" s="346" t="s">
        <v>10168</v>
      </c>
    </row>
    <row r="5129" spans="1:3">
      <c r="A5129" s="347">
        <v>46090</v>
      </c>
      <c r="B5129" s="346" t="s">
        <v>10169</v>
      </c>
      <c r="C5129" s="346" t="s">
        <v>10170</v>
      </c>
    </row>
    <row r="5130" spans="1:3">
      <c r="A5130" s="347">
        <v>46090</v>
      </c>
      <c r="B5130" s="346" t="s">
        <v>10935</v>
      </c>
      <c r="C5130" s="346" t="s">
        <v>10936</v>
      </c>
    </row>
    <row r="5131" spans="1:3">
      <c r="A5131" s="347">
        <v>46090</v>
      </c>
      <c r="B5131" s="346" t="s">
        <v>10171</v>
      </c>
      <c r="C5131" s="346" t="s">
        <v>10172</v>
      </c>
    </row>
    <row r="5132" spans="1:3">
      <c r="A5132" s="347">
        <v>46090</v>
      </c>
      <c r="B5132" s="346" t="s">
        <v>10173</v>
      </c>
      <c r="C5132" s="346" t="s">
        <v>10174</v>
      </c>
    </row>
    <row r="5133" spans="1:3">
      <c r="A5133" s="347">
        <v>46090</v>
      </c>
      <c r="B5133" s="346" t="s">
        <v>10175</v>
      </c>
      <c r="C5133" s="346" t="s">
        <v>10176</v>
      </c>
    </row>
    <row r="5134" spans="1:3">
      <c r="A5134" s="347">
        <v>46090</v>
      </c>
      <c r="B5134" s="346" t="s">
        <v>10177</v>
      </c>
      <c r="C5134" s="346" t="s">
        <v>10178</v>
      </c>
    </row>
    <row r="5135" spans="1:3">
      <c r="A5135" s="347">
        <v>46090</v>
      </c>
      <c r="B5135" s="346" t="s">
        <v>10179</v>
      </c>
      <c r="C5135" s="346" t="s">
        <v>10180</v>
      </c>
    </row>
    <row r="5136" spans="1:3">
      <c r="A5136" s="347">
        <v>46090</v>
      </c>
      <c r="B5136" s="346" t="s">
        <v>10181</v>
      </c>
      <c r="C5136" s="346" t="s">
        <v>10182</v>
      </c>
    </row>
    <row r="5137" spans="1:3">
      <c r="A5137" s="347">
        <v>46090</v>
      </c>
      <c r="B5137" s="346" t="s">
        <v>10183</v>
      </c>
      <c r="C5137" s="346" t="s">
        <v>10184</v>
      </c>
    </row>
    <row r="5138" spans="1:3">
      <c r="A5138" s="347">
        <v>46090</v>
      </c>
      <c r="B5138" s="346" t="s">
        <v>10185</v>
      </c>
      <c r="C5138" s="346" t="s">
        <v>10186</v>
      </c>
    </row>
    <row r="5139" spans="1:3">
      <c r="A5139" s="347">
        <v>46090</v>
      </c>
      <c r="B5139" s="346" t="s">
        <v>10187</v>
      </c>
      <c r="C5139" s="346" t="s">
        <v>10188</v>
      </c>
    </row>
    <row r="5140" spans="1:3">
      <c r="A5140" s="347">
        <v>46090</v>
      </c>
      <c r="B5140" s="346" t="s">
        <v>10189</v>
      </c>
      <c r="C5140" s="346" t="s">
        <v>10190</v>
      </c>
    </row>
    <row r="5141" spans="1:3">
      <c r="A5141" s="347">
        <v>46090</v>
      </c>
      <c r="B5141" s="346" t="s">
        <v>10937</v>
      </c>
      <c r="C5141" s="346" t="s">
        <v>10938</v>
      </c>
    </row>
    <row r="5142" spans="1:3">
      <c r="A5142" s="347">
        <v>46090</v>
      </c>
      <c r="B5142" s="346" t="s">
        <v>10191</v>
      </c>
      <c r="C5142" s="346" t="s">
        <v>10192</v>
      </c>
    </row>
    <row r="5143" spans="1:3">
      <c r="A5143" s="347">
        <v>46090</v>
      </c>
      <c r="B5143" s="346" t="s">
        <v>10939</v>
      </c>
      <c r="C5143" s="346" t="s">
        <v>10940</v>
      </c>
    </row>
    <row r="5144" spans="1:3">
      <c r="A5144" s="347">
        <v>46090</v>
      </c>
      <c r="B5144" s="346" t="s">
        <v>10193</v>
      </c>
      <c r="C5144" s="346" t="s">
        <v>10194</v>
      </c>
    </row>
    <row r="5145" spans="1:3">
      <c r="A5145" s="347">
        <v>46090</v>
      </c>
      <c r="B5145" s="346" t="s">
        <v>11152</v>
      </c>
      <c r="C5145" s="346" t="s">
        <v>11153</v>
      </c>
    </row>
    <row r="5146" spans="1:3">
      <c r="A5146" s="347">
        <v>46090</v>
      </c>
      <c r="B5146" s="346" t="s">
        <v>10195</v>
      </c>
      <c r="C5146" s="346" t="s">
        <v>10196</v>
      </c>
    </row>
    <row r="5147" spans="1:3">
      <c r="A5147" s="347">
        <v>46090</v>
      </c>
      <c r="B5147" s="346" t="s">
        <v>10197</v>
      </c>
      <c r="C5147" s="346" t="s">
        <v>10198</v>
      </c>
    </row>
    <row r="5148" spans="1:3">
      <c r="A5148" s="347">
        <v>46090</v>
      </c>
      <c r="B5148" s="346" t="s">
        <v>10199</v>
      </c>
      <c r="C5148" s="346" t="s">
        <v>10200</v>
      </c>
    </row>
    <row r="5149" spans="1:3">
      <c r="A5149" s="347">
        <v>46090</v>
      </c>
      <c r="B5149" s="346" t="s">
        <v>10201</v>
      </c>
      <c r="C5149" s="346" t="s">
        <v>10202</v>
      </c>
    </row>
    <row r="5150" spans="1:3">
      <c r="A5150" s="347">
        <v>46090</v>
      </c>
      <c r="B5150" s="346" t="s">
        <v>10203</v>
      </c>
      <c r="C5150" s="346" t="s">
        <v>10204</v>
      </c>
    </row>
    <row r="5151" spans="1:3">
      <c r="A5151" s="347">
        <v>46090</v>
      </c>
      <c r="B5151" s="346" t="s">
        <v>10941</v>
      </c>
      <c r="C5151" s="346" t="s">
        <v>10942</v>
      </c>
    </row>
    <row r="5152" spans="1:3">
      <c r="A5152" s="347">
        <v>46090</v>
      </c>
      <c r="B5152" s="346" t="s">
        <v>10205</v>
      </c>
      <c r="C5152" s="346" t="s">
        <v>10206</v>
      </c>
    </row>
    <row r="5153" spans="1:3">
      <c r="A5153" s="347">
        <v>46090</v>
      </c>
      <c r="B5153" s="346" t="s">
        <v>10943</v>
      </c>
      <c r="C5153" s="346" t="s">
        <v>10944</v>
      </c>
    </row>
    <row r="5154" spans="1:3">
      <c r="A5154" s="347">
        <v>46090</v>
      </c>
      <c r="B5154" s="346" t="s">
        <v>11154</v>
      </c>
      <c r="C5154" s="346" t="s">
        <v>11155</v>
      </c>
    </row>
    <row r="5155" spans="1:3">
      <c r="A5155" s="347">
        <v>46090</v>
      </c>
      <c r="B5155" s="346" t="s">
        <v>10207</v>
      </c>
      <c r="C5155" s="346" t="s">
        <v>10208</v>
      </c>
    </row>
    <row r="5156" spans="1:3">
      <c r="A5156" s="347">
        <v>46090</v>
      </c>
      <c r="B5156" s="346" t="s">
        <v>10945</v>
      </c>
      <c r="C5156" s="346" t="s">
        <v>10946</v>
      </c>
    </row>
    <row r="5157" spans="1:3">
      <c r="A5157" s="347">
        <v>46090</v>
      </c>
      <c r="B5157" s="346" t="s">
        <v>10209</v>
      </c>
      <c r="C5157" s="346" t="s">
        <v>10210</v>
      </c>
    </row>
    <row r="5158" spans="1:3">
      <c r="A5158" s="347">
        <v>46090</v>
      </c>
      <c r="B5158" s="346" t="s">
        <v>10211</v>
      </c>
      <c r="C5158" s="346" t="s">
        <v>10212</v>
      </c>
    </row>
    <row r="5159" spans="1:3">
      <c r="A5159" s="347">
        <v>46090</v>
      </c>
      <c r="B5159" s="346" t="s">
        <v>10213</v>
      </c>
      <c r="C5159" s="346" t="s">
        <v>10214</v>
      </c>
    </row>
    <row r="5160" spans="1:3">
      <c r="A5160" s="347">
        <v>46090</v>
      </c>
      <c r="B5160" s="346" t="s">
        <v>10947</v>
      </c>
      <c r="C5160" s="346" t="s">
        <v>10948</v>
      </c>
    </row>
    <row r="5161" spans="1:3">
      <c r="A5161" s="347">
        <v>46090</v>
      </c>
      <c r="B5161" s="346" t="s">
        <v>10949</v>
      </c>
      <c r="C5161" s="346" t="s">
        <v>10950</v>
      </c>
    </row>
    <row r="5162" spans="1:3">
      <c r="A5162" s="347">
        <v>46090</v>
      </c>
      <c r="B5162" s="346" t="s">
        <v>10951</v>
      </c>
      <c r="C5162" s="346" t="s">
        <v>10952</v>
      </c>
    </row>
    <row r="5163" spans="1:3">
      <c r="A5163" s="347">
        <v>46090</v>
      </c>
      <c r="B5163" s="346" t="s">
        <v>10953</v>
      </c>
      <c r="C5163" s="346" t="s">
        <v>10954</v>
      </c>
    </row>
    <row r="5164" spans="1:3">
      <c r="A5164" s="347">
        <v>46090</v>
      </c>
      <c r="B5164" s="346" t="s">
        <v>11156</v>
      </c>
      <c r="C5164" s="346" t="s">
        <v>11157</v>
      </c>
    </row>
    <row r="5165" spans="1:3">
      <c r="A5165" s="347">
        <v>46090</v>
      </c>
      <c r="B5165" s="346" t="s">
        <v>11158</v>
      </c>
      <c r="C5165" s="346" t="s">
        <v>11159</v>
      </c>
    </row>
    <row r="5166" spans="1:3">
      <c r="A5166" s="347">
        <v>46090</v>
      </c>
      <c r="B5166" s="346" t="s">
        <v>10215</v>
      </c>
      <c r="C5166" s="346" t="s">
        <v>10216</v>
      </c>
    </row>
    <row r="5167" spans="1:3">
      <c r="A5167" s="347">
        <v>46090</v>
      </c>
      <c r="B5167" s="346" t="s">
        <v>10217</v>
      </c>
      <c r="C5167" s="346" t="s">
        <v>10218</v>
      </c>
    </row>
    <row r="5168" spans="1:3">
      <c r="A5168" s="347">
        <v>46090</v>
      </c>
      <c r="B5168" s="346" t="s">
        <v>10219</v>
      </c>
      <c r="C5168" s="346" t="s">
        <v>10220</v>
      </c>
    </row>
    <row r="5169" spans="1:3">
      <c r="A5169" s="347">
        <v>46090</v>
      </c>
      <c r="B5169" s="346" t="s">
        <v>10221</v>
      </c>
      <c r="C5169" s="346" t="s">
        <v>10222</v>
      </c>
    </row>
    <row r="5170" spans="1:3">
      <c r="A5170" s="347">
        <v>46090</v>
      </c>
      <c r="B5170" s="346" t="s">
        <v>10955</v>
      </c>
      <c r="C5170" s="346" t="s">
        <v>10956</v>
      </c>
    </row>
    <row r="5171" spans="1:3">
      <c r="A5171" s="347">
        <v>46090</v>
      </c>
      <c r="B5171" s="346" t="s">
        <v>10223</v>
      </c>
      <c r="C5171" s="346" t="s">
        <v>10224</v>
      </c>
    </row>
    <row r="5172" spans="1:3">
      <c r="A5172" s="347">
        <v>46090</v>
      </c>
      <c r="B5172" s="346" t="s">
        <v>10225</v>
      </c>
      <c r="C5172" s="346" t="s">
        <v>10226</v>
      </c>
    </row>
    <row r="5173" spans="1:3">
      <c r="A5173" s="347">
        <v>46090</v>
      </c>
      <c r="B5173" s="346" t="s">
        <v>10227</v>
      </c>
      <c r="C5173" s="346" t="s">
        <v>10228</v>
      </c>
    </row>
    <row r="5174" spans="1:3">
      <c r="A5174" s="347">
        <v>46090</v>
      </c>
      <c r="B5174" s="346" t="s">
        <v>10229</v>
      </c>
      <c r="C5174" s="346" t="s">
        <v>10957</v>
      </c>
    </row>
    <row r="5175" spans="1:3">
      <c r="A5175" s="347">
        <v>46090</v>
      </c>
      <c r="B5175" s="346" t="s">
        <v>11160</v>
      </c>
      <c r="C5175" s="346" t="s">
        <v>11161</v>
      </c>
    </row>
    <row r="5176" spans="1:3">
      <c r="A5176" s="347">
        <v>46090</v>
      </c>
      <c r="B5176" s="346" t="s">
        <v>11162</v>
      </c>
      <c r="C5176" s="346" t="s">
        <v>11163</v>
      </c>
    </row>
    <row r="5177" spans="1:3">
      <c r="A5177" s="347">
        <v>46090</v>
      </c>
      <c r="B5177" s="346" t="s">
        <v>10230</v>
      </c>
      <c r="C5177" s="346" t="s">
        <v>10231</v>
      </c>
    </row>
    <row r="5178" spans="1:3">
      <c r="A5178" s="347">
        <v>46090</v>
      </c>
      <c r="B5178" s="346" t="s">
        <v>10232</v>
      </c>
      <c r="C5178" s="346" t="s">
        <v>10233</v>
      </c>
    </row>
    <row r="5179" spans="1:3">
      <c r="A5179" s="347">
        <v>46090</v>
      </c>
      <c r="B5179" s="346" t="s">
        <v>10234</v>
      </c>
      <c r="C5179" s="346" t="s">
        <v>10235</v>
      </c>
    </row>
    <row r="5180" spans="1:3">
      <c r="A5180" s="347">
        <v>46090</v>
      </c>
      <c r="B5180" s="346" t="s">
        <v>10236</v>
      </c>
      <c r="C5180" s="346" t="s">
        <v>10237</v>
      </c>
    </row>
    <row r="5181" spans="1:3">
      <c r="A5181" s="347">
        <v>46090</v>
      </c>
      <c r="B5181" s="346" t="s">
        <v>11164</v>
      </c>
      <c r="C5181" s="346" t="s">
        <v>11165</v>
      </c>
    </row>
    <row r="5182" spans="1:3">
      <c r="A5182" s="347">
        <v>46090</v>
      </c>
      <c r="B5182" s="346" t="s">
        <v>10238</v>
      </c>
      <c r="C5182" s="346" t="s">
        <v>10239</v>
      </c>
    </row>
    <row r="5183" spans="1:3">
      <c r="A5183" s="347">
        <v>46090</v>
      </c>
      <c r="B5183" s="346" t="s">
        <v>11166</v>
      </c>
      <c r="C5183" s="346" t="s">
        <v>11167</v>
      </c>
    </row>
    <row r="5184" spans="1:3">
      <c r="A5184" s="347">
        <v>46090</v>
      </c>
      <c r="B5184" s="346" t="s">
        <v>11168</v>
      </c>
      <c r="C5184" s="346" t="s">
        <v>11169</v>
      </c>
    </row>
    <row r="5185" spans="1:3">
      <c r="A5185" s="347">
        <v>46090</v>
      </c>
      <c r="B5185" s="346" t="s">
        <v>10240</v>
      </c>
      <c r="C5185" s="346" t="s">
        <v>10241</v>
      </c>
    </row>
    <row r="5186" spans="1:3">
      <c r="A5186" s="347">
        <v>46090</v>
      </c>
      <c r="B5186" s="346" t="s">
        <v>10242</v>
      </c>
      <c r="C5186" s="346" t="s">
        <v>10243</v>
      </c>
    </row>
    <row r="5187" spans="1:3">
      <c r="A5187" s="347">
        <v>46090</v>
      </c>
      <c r="B5187" s="346" t="s">
        <v>10244</v>
      </c>
      <c r="C5187" s="346" t="s">
        <v>10245</v>
      </c>
    </row>
    <row r="5188" spans="1:3">
      <c r="A5188" s="347">
        <v>46090</v>
      </c>
      <c r="B5188" s="346" t="s">
        <v>11170</v>
      </c>
      <c r="C5188" s="346" t="s">
        <v>11171</v>
      </c>
    </row>
    <row r="5189" spans="1:3">
      <c r="A5189" s="347">
        <v>46090</v>
      </c>
      <c r="B5189" s="346" t="s">
        <v>11172</v>
      </c>
      <c r="C5189" s="346" t="s">
        <v>11173</v>
      </c>
    </row>
    <row r="5190" spans="1:3">
      <c r="A5190" s="347">
        <v>46090</v>
      </c>
      <c r="B5190" s="346" t="s">
        <v>11174</v>
      </c>
      <c r="C5190" s="346" t="s">
        <v>11175</v>
      </c>
    </row>
    <row r="5191" spans="1:3">
      <c r="A5191" s="347">
        <v>46090</v>
      </c>
      <c r="B5191" s="346" t="s">
        <v>11176</v>
      </c>
      <c r="C5191" s="346" t="s">
        <v>11177</v>
      </c>
    </row>
    <row r="5192" spans="1:3">
      <c r="A5192" s="347">
        <v>46090</v>
      </c>
      <c r="B5192" s="346" t="s">
        <v>11178</v>
      </c>
      <c r="C5192" s="346" t="s">
        <v>11179</v>
      </c>
    </row>
    <row r="5193" spans="1:3">
      <c r="A5193" s="347">
        <v>46090</v>
      </c>
      <c r="B5193" s="346" t="s">
        <v>11180</v>
      </c>
      <c r="C5193" s="346" t="s">
        <v>11181</v>
      </c>
    </row>
    <row r="5194" spans="1:3">
      <c r="A5194" s="347">
        <v>46090</v>
      </c>
      <c r="B5194" s="346" t="s">
        <v>10246</v>
      </c>
      <c r="C5194" s="346" t="s">
        <v>10247</v>
      </c>
    </row>
    <row r="5195" spans="1:3">
      <c r="A5195" s="347">
        <v>46090</v>
      </c>
      <c r="B5195" s="346" t="s">
        <v>10248</v>
      </c>
      <c r="C5195" s="346" t="s">
        <v>10249</v>
      </c>
    </row>
    <row r="5196" spans="1:3">
      <c r="A5196" s="347">
        <v>46090</v>
      </c>
      <c r="B5196" s="346" t="s">
        <v>10250</v>
      </c>
      <c r="C5196" s="346" t="s">
        <v>10251</v>
      </c>
    </row>
    <row r="5197" spans="1:3">
      <c r="A5197" s="347">
        <v>46090</v>
      </c>
      <c r="B5197" s="346" t="s">
        <v>11182</v>
      </c>
      <c r="C5197" s="346" t="s">
        <v>10285</v>
      </c>
    </row>
    <row r="5198" spans="1:3">
      <c r="A5198" s="347">
        <v>46090</v>
      </c>
      <c r="B5198" s="346" t="s">
        <v>11183</v>
      </c>
      <c r="C5198" s="346" t="s">
        <v>10457</v>
      </c>
    </row>
    <row r="5199" spans="1:3">
      <c r="A5199" s="347">
        <v>46090</v>
      </c>
      <c r="B5199" s="346" t="s">
        <v>10962</v>
      </c>
      <c r="C5199" s="346" t="s">
        <v>10963</v>
      </c>
    </row>
    <row r="5200" spans="1:3">
      <c r="A5200" s="347">
        <v>46090</v>
      </c>
      <c r="B5200" s="346" t="s">
        <v>11184</v>
      </c>
      <c r="C5200" s="346" t="s">
        <v>11185</v>
      </c>
    </row>
    <row r="5201" spans="1:3">
      <c r="A5201" s="347">
        <v>46090</v>
      </c>
      <c r="B5201" s="346" t="s">
        <v>10964</v>
      </c>
      <c r="C5201" s="346" t="s">
        <v>10965</v>
      </c>
    </row>
    <row r="5202" spans="1:3">
      <c r="A5202" s="347">
        <v>46090</v>
      </c>
      <c r="B5202" s="346" t="s">
        <v>11186</v>
      </c>
      <c r="C5202" s="346" t="s">
        <v>10390</v>
      </c>
    </row>
    <row r="5203" spans="1:3">
      <c r="A5203" s="347">
        <v>46090</v>
      </c>
      <c r="B5203" s="346" t="s">
        <v>10966</v>
      </c>
      <c r="C5203" s="346" t="s">
        <v>10967</v>
      </c>
    </row>
    <row r="5204" spans="1:3">
      <c r="A5204" s="347">
        <v>46090</v>
      </c>
      <c r="B5204" s="346" t="s">
        <v>10968</v>
      </c>
      <c r="C5204" s="346" t="s">
        <v>10969</v>
      </c>
    </row>
    <row r="5205" spans="1:3">
      <c r="A5205" s="347">
        <v>46090</v>
      </c>
      <c r="B5205" s="346" t="s">
        <v>11187</v>
      </c>
      <c r="C5205" s="346" t="s">
        <v>11188</v>
      </c>
    </row>
    <row r="5206" spans="1:3">
      <c r="A5206" s="347">
        <v>46090</v>
      </c>
      <c r="B5206" s="346" t="s">
        <v>11189</v>
      </c>
      <c r="C5206" s="346" t="s">
        <v>10261</v>
      </c>
    </row>
    <row r="5207" spans="1:3">
      <c r="A5207" s="347">
        <v>46090</v>
      </c>
      <c r="B5207" s="346" t="s">
        <v>11190</v>
      </c>
      <c r="C5207" s="346" t="s">
        <v>10333</v>
      </c>
    </row>
    <row r="5208" spans="1:3">
      <c r="A5208" s="347">
        <v>46090</v>
      </c>
      <c r="B5208" s="346" t="s">
        <v>11191</v>
      </c>
      <c r="C5208" s="346" t="s">
        <v>11192</v>
      </c>
    </row>
    <row r="5209" spans="1:3">
      <c r="A5209" s="347">
        <v>46090</v>
      </c>
      <c r="B5209" s="346" t="s">
        <v>10970</v>
      </c>
      <c r="C5209" s="346" t="s">
        <v>10971</v>
      </c>
    </row>
    <row r="5210" spans="1:3">
      <c r="A5210" s="347">
        <v>46090</v>
      </c>
      <c r="B5210" s="346" t="s">
        <v>11193</v>
      </c>
      <c r="C5210" s="346" t="s">
        <v>5896</v>
      </c>
    </row>
    <row r="5211" spans="1:3">
      <c r="A5211" s="347">
        <v>46090</v>
      </c>
      <c r="B5211" s="346" t="s">
        <v>10972</v>
      </c>
      <c r="C5211" s="346" t="s">
        <v>10973</v>
      </c>
    </row>
    <row r="5212" spans="1:3">
      <c r="A5212" s="347">
        <v>46090</v>
      </c>
      <c r="B5212" s="346" t="s">
        <v>10974</v>
      </c>
      <c r="C5212" s="346" t="s">
        <v>10975</v>
      </c>
    </row>
    <row r="5213" spans="1:3">
      <c r="A5213" s="347">
        <v>46090</v>
      </c>
      <c r="B5213" s="346" t="s">
        <v>11194</v>
      </c>
      <c r="C5213" s="346" t="s">
        <v>11195</v>
      </c>
    </row>
    <row r="5214" spans="1:3">
      <c r="A5214" s="347">
        <v>46090</v>
      </c>
      <c r="B5214" s="346" t="s">
        <v>11196</v>
      </c>
      <c r="C5214" s="346" t="s">
        <v>10334</v>
      </c>
    </row>
    <row r="5215" spans="1:3">
      <c r="A5215" s="347">
        <v>46090</v>
      </c>
      <c r="B5215" s="346" t="s">
        <v>10976</v>
      </c>
      <c r="C5215" s="346" t="s">
        <v>10977</v>
      </c>
    </row>
    <row r="5216" spans="1:3">
      <c r="A5216" s="347">
        <v>46090</v>
      </c>
      <c r="B5216" s="346" t="s">
        <v>11197</v>
      </c>
      <c r="C5216" s="346" t="s">
        <v>10286</v>
      </c>
    </row>
    <row r="5217" spans="1:3">
      <c r="A5217" s="347">
        <v>46090</v>
      </c>
      <c r="B5217" s="346" t="s">
        <v>11198</v>
      </c>
      <c r="C5217" s="346" t="s">
        <v>10476</v>
      </c>
    </row>
    <row r="5218" spans="1:3">
      <c r="A5218" s="347">
        <v>46090</v>
      </c>
      <c r="B5218" s="346" t="s">
        <v>10978</v>
      </c>
      <c r="C5218" s="346" t="s">
        <v>10979</v>
      </c>
    </row>
    <row r="5219" spans="1:3">
      <c r="A5219" s="347">
        <v>46090</v>
      </c>
      <c r="B5219" s="346" t="s">
        <v>10980</v>
      </c>
      <c r="C5219" s="346" t="s">
        <v>10981</v>
      </c>
    </row>
    <row r="5220" spans="1:3">
      <c r="A5220" s="347">
        <v>46090</v>
      </c>
      <c r="B5220" s="346" t="s">
        <v>11199</v>
      </c>
      <c r="C5220" s="346" t="s">
        <v>10403</v>
      </c>
    </row>
    <row r="5221" spans="1:3">
      <c r="A5221" s="347">
        <v>46090</v>
      </c>
      <c r="B5221" s="346" t="s">
        <v>11200</v>
      </c>
      <c r="C5221" s="346" t="s">
        <v>10335</v>
      </c>
    </row>
    <row r="5222" spans="1:3">
      <c r="A5222" s="347">
        <v>46090</v>
      </c>
      <c r="B5222" s="346" t="s">
        <v>11201</v>
      </c>
      <c r="C5222" s="346" t="s">
        <v>11202</v>
      </c>
    </row>
    <row r="5223" spans="1:3">
      <c r="A5223" s="347">
        <v>46090</v>
      </c>
      <c r="B5223" s="346" t="s">
        <v>11468</v>
      </c>
      <c r="C5223" s="346" t="s">
        <v>11469</v>
      </c>
    </row>
    <row r="5224" spans="1:3">
      <c r="A5224" s="347">
        <v>46090</v>
      </c>
      <c r="B5224" s="346" t="s">
        <v>10982</v>
      </c>
      <c r="C5224" s="346" t="s">
        <v>10983</v>
      </c>
    </row>
    <row r="5225" spans="1:3">
      <c r="A5225" s="347">
        <v>46090</v>
      </c>
      <c r="B5225" s="346" t="s">
        <v>11203</v>
      </c>
      <c r="C5225" s="346" t="s">
        <v>10262</v>
      </c>
    </row>
    <row r="5226" spans="1:3">
      <c r="A5226" s="347">
        <v>46090</v>
      </c>
      <c r="B5226" s="346" t="s">
        <v>11204</v>
      </c>
      <c r="C5226" s="346" t="s">
        <v>11205</v>
      </c>
    </row>
    <row r="5227" spans="1:3">
      <c r="A5227" s="347">
        <v>46090</v>
      </c>
      <c r="B5227" s="346" t="s">
        <v>11206</v>
      </c>
      <c r="C5227" s="346" t="s">
        <v>10392</v>
      </c>
    </row>
    <row r="5228" spans="1:3">
      <c r="A5228" s="347">
        <v>46090</v>
      </c>
      <c r="B5228" s="346" t="s">
        <v>11207</v>
      </c>
      <c r="C5228" s="346" t="s">
        <v>5897</v>
      </c>
    </row>
    <row r="5229" spans="1:3">
      <c r="A5229" s="347">
        <v>46090</v>
      </c>
      <c r="B5229" s="346" t="s">
        <v>11208</v>
      </c>
      <c r="C5229" s="346" t="s">
        <v>11209</v>
      </c>
    </row>
    <row r="5230" spans="1:3">
      <c r="A5230" s="347">
        <v>46090</v>
      </c>
      <c r="B5230" s="346" t="s">
        <v>10984</v>
      </c>
      <c r="C5230" s="346" t="s">
        <v>10985</v>
      </c>
    </row>
    <row r="5231" spans="1:3">
      <c r="A5231" s="347">
        <v>46090</v>
      </c>
      <c r="B5231" s="346" t="s">
        <v>11210</v>
      </c>
      <c r="C5231" s="346" t="s">
        <v>10360</v>
      </c>
    </row>
    <row r="5232" spans="1:3">
      <c r="A5232" s="347">
        <v>46090</v>
      </c>
      <c r="B5232" s="346" t="s">
        <v>11211</v>
      </c>
      <c r="C5232" s="346" t="s">
        <v>10336</v>
      </c>
    </row>
    <row r="5233" spans="1:3">
      <c r="A5233" s="347">
        <v>46090</v>
      </c>
      <c r="B5233" s="346" t="s">
        <v>10986</v>
      </c>
      <c r="C5233" s="346" t="s">
        <v>10987</v>
      </c>
    </row>
    <row r="5234" spans="1:3">
      <c r="A5234" s="347">
        <v>46090</v>
      </c>
      <c r="B5234" s="346" t="s">
        <v>11212</v>
      </c>
      <c r="C5234" s="346" t="s">
        <v>10389</v>
      </c>
    </row>
    <row r="5235" spans="1:3">
      <c r="A5235" s="347">
        <v>46090</v>
      </c>
      <c r="B5235" s="346" t="s">
        <v>11213</v>
      </c>
      <c r="C5235" s="346" t="s">
        <v>10337</v>
      </c>
    </row>
    <row r="5236" spans="1:3">
      <c r="A5236" s="347">
        <v>46090</v>
      </c>
      <c r="B5236" s="346" t="s">
        <v>10988</v>
      </c>
      <c r="C5236" s="346" t="s">
        <v>10989</v>
      </c>
    </row>
    <row r="5237" spans="1:3">
      <c r="A5237" s="347">
        <v>46090</v>
      </c>
      <c r="B5237" s="346" t="s">
        <v>10990</v>
      </c>
      <c r="C5237" s="346" t="s">
        <v>10991</v>
      </c>
    </row>
    <row r="5238" spans="1:3">
      <c r="A5238" s="347">
        <v>46090</v>
      </c>
      <c r="B5238" s="346" t="s">
        <v>11214</v>
      </c>
      <c r="C5238" s="346" t="s">
        <v>10311</v>
      </c>
    </row>
    <row r="5239" spans="1:3">
      <c r="A5239" s="347">
        <v>46090</v>
      </c>
      <c r="B5239" s="346" t="s">
        <v>11215</v>
      </c>
      <c r="C5239" s="346" t="s">
        <v>11216</v>
      </c>
    </row>
    <row r="5240" spans="1:3">
      <c r="A5240" s="347">
        <v>46090</v>
      </c>
      <c r="B5240" s="346" t="s">
        <v>11217</v>
      </c>
      <c r="C5240" s="346" t="s">
        <v>10363</v>
      </c>
    </row>
    <row r="5241" spans="1:3">
      <c r="A5241" s="347">
        <v>46090</v>
      </c>
      <c r="B5241" s="346" t="s">
        <v>11218</v>
      </c>
      <c r="C5241" s="346" t="s">
        <v>11219</v>
      </c>
    </row>
    <row r="5242" spans="1:3">
      <c r="A5242" s="347">
        <v>46090</v>
      </c>
      <c r="B5242" s="346" t="s">
        <v>10992</v>
      </c>
      <c r="C5242" s="346" t="s">
        <v>10993</v>
      </c>
    </row>
    <row r="5243" spans="1:3">
      <c r="A5243" s="347">
        <v>46090</v>
      </c>
      <c r="B5243" s="346" t="s">
        <v>11220</v>
      </c>
      <c r="C5243" s="346" t="s">
        <v>11221</v>
      </c>
    </row>
    <row r="5244" spans="1:3">
      <c r="A5244" s="347">
        <v>46090</v>
      </c>
      <c r="B5244" s="346" t="s">
        <v>11222</v>
      </c>
      <c r="C5244" s="346" t="s">
        <v>10263</v>
      </c>
    </row>
    <row r="5245" spans="1:3">
      <c r="A5245" s="347">
        <v>46090</v>
      </c>
      <c r="B5245" s="346" t="s">
        <v>10994</v>
      </c>
      <c r="C5245" s="346" t="s">
        <v>10995</v>
      </c>
    </row>
    <row r="5246" spans="1:3">
      <c r="A5246" s="347">
        <v>46090</v>
      </c>
      <c r="B5246" s="346" t="s">
        <v>11223</v>
      </c>
      <c r="C5246" s="346" t="s">
        <v>10287</v>
      </c>
    </row>
    <row r="5247" spans="1:3">
      <c r="A5247" s="347">
        <v>46090</v>
      </c>
      <c r="B5247" s="346" t="s">
        <v>11224</v>
      </c>
      <c r="C5247" s="346" t="s">
        <v>5898</v>
      </c>
    </row>
    <row r="5248" spans="1:3">
      <c r="A5248" s="347">
        <v>46090</v>
      </c>
      <c r="B5248" s="346" t="s">
        <v>11225</v>
      </c>
      <c r="C5248" s="346" t="s">
        <v>11226</v>
      </c>
    </row>
    <row r="5249" spans="1:3">
      <c r="A5249" s="347">
        <v>46090</v>
      </c>
      <c r="B5249" s="346" t="s">
        <v>11227</v>
      </c>
      <c r="C5249" s="346" t="s">
        <v>10393</v>
      </c>
    </row>
    <row r="5250" spans="1:3">
      <c r="A5250" s="347">
        <v>46090</v>
      </c>
      <c r="B5250" s="346" t="s">
        <v>10996</v>
      </c>
      <c r="C5250" s="346" t="s">
        <v>10997</v>
      </c>
    </row>
    <row r="5251" spans="1:3">
      <c r="A5251" s="347">
        <v>46090</v>
      </c>
      <c r="B5251" s="346" t="s">
        <v>10998</v>
      </c>
      <c r="C5251" s="346" t="s">
        <v>10999</v>
      </c>
    </row>
    <row r="5252" spans="1:3">
      <c r="A5252" s="347">
        <v>46090</v>
      </c>
      <c r="B5252" s="346" t="s">
        <v>11000</v>
      </c>
      <c r="C5252" s="346" t="s">
        <v>11001</v>
      </c>
    </row>
    <row r="5253" spans="1:3">
      <c r="A5253" s="347">
        <v>46090</v>
      </c>
      <c r="B5253" s="346" t="s">
        <v>11002</v>
      </c>
      <c r="C5253" s="346" t="s">
        <v>11003</v>
      </c>
    </row>
    <row r="5254" spans="1:3">
      <c r="A5254" s="347">
        <v>46090</v>
      </c>
      <c r="B5254" s="346" t="s">
        <v>11004</v>
      </c>
      <c r="C5254" s="346" t="s">
        <v>11005</v>
      </c>
    </row>
    <row r="5255" spans="1:3">
      <c r="A5255" s="347">
        <v>46090</v>
      </c>
      <c r="B5255" s="346" t="s">
        <v>11006</v>
      </c>
      <c r="C5255" s="346" t="s">
        <v>11007</v>
      </c>
    </row>
    <row r="5256" spans="1:3">
      <c r="A5256" s="347">
        <v>46090</v>
      </c>
      <c r="B5256" s="346" t="s">
        <v>11228</v>
      </c>
      <c r="C5256" s="346" t="s">
        <v>10288</v>
      </c>
    </row>
    <row r="5257" spans="1:3">
      <c r="A5257" s="347">
        <v>46090</v>
      </c>
      <c r="B5257" s="346" t="s">
        <v>11008</v>
      </c>
      <c r="C5257" s="346" t="s">
        <v>11009</v>
      </c>
    </row>
    <row r="5258" spans="1:3">
      <c r="A5258" s="347">
        <v>46090</v>
      </c>
      <c r="B5258" s="346" t="s">
        <v>11010</v>
      </c>
      <c r="C5258" s="346" t="s">
        <v>11011</v>
      </c>
    </row>
    <row r="5259" spans="1:3">
      <c r="A5259" s="347">
        <v>46090</v>
      </c>
      <c r="B5259" s="346" t="s">
        <v>11012</v>
      </c>
      <c r="C5259" s="346" t="s">
        <v>11013</v>
      </c>
    </row>
    <row r="5260" spans="1:3">
      <c r="A5260" s="347">
        <v>46090</v>
      </c>
      <c r="B5260" s="346" t="s">
        <v>11014</v>
      </c>
      <c r="C5260" s="346" t="s">
        <v>11015</v>
      </c>
    </row>
    <row r="5261" spans="1:3">
      <c r="A5261" s="347">
        <v>46090</v>
      </c>
      <c r="B5261" s="346" t="s">
        <v>11229</v>
      </c>
      <c r="C5261" s="346" t="s">
        <v>11230</v>
      </c>
    </row>
    <row r="5262" spans="1:3">
      <c r="A5262" s="347">
        <v>46090</v>
      </c>
      <c r="B5262" s="346" t="s">
        <v>11231</v>
      </c>
      <c r="C5262" s="346" t="s">
        <v>11232</v>
      </c>
    </row>
    <row r="5263" spans="1:3">
      <c r="A5263" s="347">
        <v>46090</v>
      </c>
      <c r="B5263" s="346" t="s">
        <v>11233</v>
      </c>
      <c r="C5263" s="346" t="s">
        <v>10458</v>
      </c>
    </row>
    <row r="5264" spans="1:3">
      <c r="A5264" s="347">
        <v>46090</v>
      </c>
      <c r="B5264" s="346" t="s">
        <v>11234</v>
      </c>
      <c r="C5264" s="346" t="s">
        <v>10391</v>
      </c>
    </row>
    <row r="5265" spans="1:3">
      <c r="A5265" s="347">
        <v>46090</v>
      </c>
      <c r="B5265" s="346" t="s">
        <v>11235</v>
      </c>
      <c r="C5265" s="346" t="s">
        <v>11236</v>
      </c>
    </row>
    <row r="5266" spans="1:3">
      <c r="A5266" s="347">
        <v>46090</v>
      </c>
      <c r="B5266" s="346" t="s">
        <v>11016</v>
      </c>
      <c r="C5266" s="346" t="s">
        <v>11017</v>
      </c>
    </row>
    <row r="5267" spans="1:3">
      <c r="A5267" s="347">
        <v>46090</v>
      </c>
      <c r="B5267" s="346" t="s">
        <v>11237</v>
      </c>
      <c r="C5267" s="346" t="s">
        <v>10310</v>
      </c>
    </row>
    <row r="5268" spans="1:3">
      <c r="A5268" s="347">
        <v>46090</v>
      </c>
      <c r="B5268" s="346" t="s">
        <v>11238</v>
      </c>
      <c r="C5268" s="346" t="s">
        <v>10459</v>
      </c>
    </row>
    <row r="5269" spans="1:3">
      <c r="A5269" s="347">
        <v>46090</v>
      </c>
      <c r="B5269" s="346" t="s">
        <v>11239</v>
      </c>
      <c r="C5269" s="346" t="s">
        <v>5899</v>
      </c>
    </row>
    <row r="5270" spans="1:3">
      <c r="A5270" s="347">
        <v>46090</v>
      </c>
      <c r="B5270" s="346" t="s">
        <v>11240</v>
      </c>
      <c r="C5270" s="346" t="s">
        <v>10289</v>
      </c>
    </row>
    <row r="5271" spans="1:3">
      <c r="A5271" s="347">
        <v>46090</v>
      </c>
      <c r="B5271" s="346" t="s">
        <v>11241</v>
      </c>
      <c r="C5271" s="346" t="s">
        <v>10424</v>
      </c>
    </row>
    <row r="5272" spans="1:3">
      <c r="A5272" s="347">
        <v>46090</v>
      </c>
      <c r="B5272" s="346" t="s">
        <v>11242</v>
      </c>
      <c r="C5272" s="346" t="s">
        <v>10364</v>
      </c>
    </row>
    <row r="5273" spans="1:3">
      <c r="A5273" s="347">
        <v>46090</v>
      </c>
      <c r="B5273" s="346" t="s">
        <v>11243</v>
      </c>
      <c r="C5273" s="346" t="s">
        <v>10264</v>
      </c>
    </row>
    <row r="5274" spans="1:3">
      <c r="A5274" s="347">
        <v>46090</v>
      </c>
      <c r="B5274" s="346" t="s">
        <v>11244</v>
      </c>
      <c r="C5274" s="346" t="s">
        <v>11245</v>
      </c>
    </row>
    <row r="5275" spans="1:3">
      <c r="A5275" s="347">
        <v>46090</v>
      </c>
      <c r="B5275" s="346" t="s">
        <v>11246</v>
      </c>
      <c r="C5275" s="346" t="s">
        <v>11247</v>
      </c>
    </row>
    <row r="5276" spans="1:3">
      <c r="A5276" s="347">
        <v>46090</v>
      </c>
      <c r="B5276" s="346" t="s">
        <v>11248</v>
      </c>
      <c r="C5276" s="346" t="s">
        <v>11249</v>
      </c>
    </row>
    <row r="5277" spans="1:3">
      <c r="A5277" s="347">
        <v>46090</v>
      </c>
      <c r="B5277" s="346" t="s">
        <v>11250</v>
      </c>
      <c r="C5277" s="346" t="s">
        <v>10404</v>
      </c>
    </row>
    <row r="5278" spans="1:3">
      <c r="A5278" s="347">
        <v>46090</v>
      </c>
      <c r="B5278" s="346" t="s">
        <v>11251</v>
      </c>
      <c r="C5278" s="346" t="s">
        <v>11252</v>
      </c>
    </row>
    <row r="5279" spans="1:3">
      <c r="A5279" s="347">
        <v>46090</v>
      </c>
      <c r="B5279" s="346" t="s">
        <v>11018</v>
      </c>
      <c r="C5279" s="346" t="s">
        <v>10415</v>
      </c>
    </row>
    <row r="5280" spans="1:3">
      <c r="A5280" s="347">
        <v>46090</v>
      </c>
      <c r="B5280" s="346" t="s">
        <v>11253</v>
      </c>
      <c r="C5280" s="346" t="s">
        <v>11254</v>
      </c>
    </row>
    <row r="5281" spans="1:3">
      <c r="A5281" s="347">
        <v>46090</v>
      </c>
      <c r="B5281" s="346" t="s">
        <v>11255</v>
      </c>
      <c r="C5281" s="346" t="s">
        <v>10462</v>
      </c>
    </row>
    <row r="5282" spans="1:3">
      <c r="A5282" s="347">
        <v>46090</v>
      </c>
      <c r="B5282" s="346" t="s">
        <v>11256</v>
      </c>
      <c r="C5282" s="346" t="s">
        <v>10291</v>
      </c>
    </row>
    <row r="5283" spans="1:3">
      <c r="A5283" s="347">
        <v>46090</v>
      </c>
      <c r="B5283" s="346" t="s">
        <v>11257</v>
      </c>
      <c r="C5283" s="346" t="s">
        <v>10348</v>
      </c>
    </row>
    <row r="5284" spans="1:3">
      <c r="A5284" s="347">
        <v>46090</v>
      </c>
      <c r="B5284" s="346" t="s">
        <v>11258</v>
      </c>
      <c r="C5284" s="346" t="s">
        <v>10292</v>
      </c>
    </row>
    <row r="5285" spans="1:3">
      <c r="A5285" s="347">
        <v>46090</v>
      </c>
      <c r="B5285" s="346" t="s">
        <v>11259</v>
      </c>
      <c r="C5285" s="346" t="s">
        <v>10349</v>
      </c>
    </row>
    <row r="5286" spans="1:3">
      <c r="A5286" s="347">
        <v>46090</v>
      </c>
      <c r="B5286" s="346" t="s">
        <v>11260</v>
      </c>
      <c r="C5286" s="346" t="s">
        <v>11261</v>
      </c>
    </row>
    <row r="5287" spans="1:3">
      <c r="A5287" s="347">
        <v>46090</v>
      </c>
      <c r="B5287" s="346" t="s">
        <v>11262</v>
      </c>
      <c r="C5287" s="346" t="s">
        <v>11263</v>
      </c>
    </row>
    <row r="5288" spans="1:3">
      <c r="A5288" s="347">
        <v>46090</v>
      </c>
      <c r="B5288" s="346" t="s">
        <v>11264</v>
      </c>
      <c r="C5288" s="346" t="s">
        <v>10350</v>
      </c>
    </row>
    <row r="5289" spans="1:3">
      <c r="A5289" s="347">
        <v>46090</v>
      </c>
      <c r="B5289" s="346" t="s">
        <v>11265</v>
      </c>
      <c r="C5289" s="346" t="s">
        <v>10351</v>
      </c>
    </row>
    <row r="5290" spans="1:3">
      <c r="A5290" s="347">
        <v>46090</v>
      </c>
      <c r="B5290" s="346" t="s">
        <v>11266</v>
      </c>
      <c r="C5290" s="346" t="s">
        <v>11267</v>
      </c>
    </row>
    <row r="5291" spans="1:3">
      <c r="A5291" s="347">
        <v>46090</v>
      </c>
      <c r="B5291" s="346" t="s">
        <v>11268</v>
      </c>
      <c r="C5291" s="346" t="s">
        <v>10447</v>
      </c>
    </row>
    <row r="5292" spans="1:3">
      <c r="A5292" s="347">
        <v>46090</v>
      </c>
      <c r="B5292" s="346" t="s">
        <v>11269</v>
      </c>
      <c r="C5292" s="346" t="s">
        <v>10267</v>
      </c>
    </row>
    <row r="5293" spans="1:3">
      <c r="A5293" s="347">
        <v>46090</v>
      </c>
      <c r="B5293" s="346" t="s">
        <v>11270</v>
      </c>
      <c r="C5293" s="346" t="s">
        <v>5900</v>
      </c>
    </row>
    <row r="5294" spans="1:3">
      <c r="A5294" s="347">
        <v>46090</v>
      </c>
      <c r="B5294" s="346" t="s">
        <v>11271</v>
      </c>
      <c r="C5294" s="346" t="s">
        <v>10425</v>
      </c>
    </row>
    <row r="5295" spans="1:3">
      <c r="A5295" s="347">
        <v>46090</v>
      </c>
      <c r="B5295" s="346" t="s">
        <v>11272</v>
      </c>
      <c r="C5295" s="346" t="s">
        <v>10426</v>
      </c>
    </row>
    <row r="5296" spans="1:3">
      <c r="A5296" s="347">
        <v>46090</v>
      </c>
      <c r="B5296" s="346" t="s">
        <v>11273</v>
      </c>
      <c r="C5296" s="346" t="s">
        <v>10352</v>
      </c>
    </row>
    <row r="5297" spans="1:3">
      <c r="A5297" s="347">
        <v>46090</v>
      </c>
      <c r="B5297" s="346" t="s">
        <v>11274</v>
      </c>
      <c r="C5297" s="346" t="s">
        <v>10365</v>
      </c>
    </row>
    <row r="5298" spans="1:3">
      <c r="A5298" s="347">
        <v>46090</v>
      </c>
      <c r="B5298" s="346" t="s">
        <v>11275</v>
      </c>
      <c r="C5298" s="346" t="s">
        <v>10395</v>
      </c>
    </row>
    <row r="5299" spans="1:3">
      <c r="A5299" s="347">
        <v>46090</v>
      </c>
      <c r="B5299" s="346" t="s">
        <v>11276</v>
      </c>
      <c r="C5299" s="346" t="s">
        <v>10366</v>
      </c>
    </row>
    <row r="5300" spans="1:3">
      <c r="A5300" s="347">
        <v>46090</v>
      </c>
      <c r="B5300" s="346" t="s">
        <v>11277</v>
      </c>
      <c r="C5300" s="346" t="s">
        <v>10463</v>
      </c>
    </row>
    <row r="5301" spans="1:3">
      <c r="A5301" s="347">
        <v>46090</v>
      </c>
      <c r="B5301" s="346" t="s">
        <v>11278</v>
      </c>
      <c r="C5301" s="346" t="s">
        <v>10293</v>
      </c>
    </row>
    <row r="5302" spans="1:3">
      <c r="A5302" s="347">
        <v>46090</v>
      </c>
      <c r="B5302" s="346" t="s">
        <v>11279</v>
      </c>
      <c r="C5302" s="346" t="s">
        <v>10406</v>
      </c>
    </row>
    <row r="5303" spans="1:3">
      <c r="A5303" s="347">
        <v>46090</v>
      </c>
      <c r="B5303" s="346" t="s">
        <v>11280</v>
      </c>
      <c r="C5303" s="346" t="s">
        <v>10313</v>
      </c>
    </row>
    <row r="5304" spans="1:3">
      <c r="A5304" s="347">
        <v>46090</v>
      </c>
      <c r="B5304" s="346" t="s">
        <v>11281</v>
      </c>
      <c r="C5304" s="346" t="s">
        <v>10353</v>
      </c>
    </row>
    <row r="5305" spans="1:3">
      <c r="A5305" s="347">
        <v>46090</v>
      </c>
      <c r="B5305" s="346" t="s">
        <v>11282</v>
      </c>
      <c r="C5305" s="346" t="s">
        <v>10367</v>
      </c>
    </row>
    <row r="5306" spans="1:3">
      <c r="A5306" s="347">
        <v>46090</v>
      </c>
      <c r="B5306" s="346" t="s">
        <v>11283</v>
      </c>
      <c r="C5306" s="346" t="s">
        <v>10396</v>
      </c>
    </row>
    <row r="5307" spans="1:3">
      <c r="A5307" s="347">
        <v>46090</v>
      </c>
      <c r="B5307" s="346" t="s">
        <v>11284</v>
      </c>
      <c r="C5307" s="346" t="s">
        <v>10435</v>
      </c>
    </row>
    <row r="5308" spans="1:3">
      <c r="A5308" s="347">
        <v>46090</v>
      </c>
      <c r="B5308" s="346" t="s">
        <v>11285</v>
      </c>
      <c r="C5308" s="346" t="s">
        <v>10368</v>
      </c>
    </row>
    <row r="5309" spans="1:3">
      <c r="A5309" s="347">
        <v>46090</v>
      </c>
      <c r="B5309" s="346" t="s">
        <v>11286</v>
      </c>
      <c r="C5309" s="346" t="s">
        <v>10290</v>
      </c>
    </row>
    <row r="5310" spans="1:3">
      <c r="A5310" s="347">
        <v>46090</v>
      </c>
      <c r="B5310" s="346" t="s">
        <v>11287</v>
      </c>
      <c r="C5310" s="346" t="s">
        <v>10460</v>
      </c>
    </row>
    <row r="5311" spans="1:3">
      <c r="A5311" s="347">
        <v>46090</v>
      </c>
      <c r="B5311" s="346" t="s">
        <v>11288</v>
      </c>
      <c r="C5311" s="346" t="s">
        <v>10369</v>
      </c>
    </row>
    <row r="5312" spans="1:3">
      <c r="A5312" s="347">
        <v>46090</v>
      </c>
      <c r="B5312" s="346" t="s">
        <v>11289</v>
      </c>
      <c r="C5312" s="346" t="s">
        <v>10338</v>
      </c>
    </row>
    <row r="5313" spans="1:3">
      <c r="A5313" s="347">
        <v>46090</v>
      </c>
      <c r="B5313" s="346" t="s">
        <v>11290</v>
      </c>
      <c r="C5313" s="346" t="s">
        <v>10407</v>
      </c>
    </row>
    <row r="5314" spans="1:3">
      <c r="A5314" s="347">
        <v>46090</v>
      </c>
      <c r="B5314" s="346" t="s">
        <v>11291</v>
      </c>
      <c r="C5314" s="346" t="s">
        <v>10370</v>
      </c>
    </row>
    <row r="5315" spans="1:3">
      <c r="A5315" s="347">
        <v>46090</v>
      </c>
      <c r="B5315" s="346" t="s">
        <v>11292</v>
      </c>
      <c r="C5315" s="346" t="s">
        <v>10314</v>
      </c>
    </row>
    <row r="5316" spans="1:3">
      <c r="A5316" s="347">
        <v>46090</v>
      </c>
      <c r="B5316" s="346" t="s">
        <v>11293</v>
      </c>
      <c r="C5316" s="346" t="s">
        <v>10265</v>
      </c>
    </row>
    <row r="5317" spans="1:3">
      <c r="A5317" s="347">
        <v>46090</v>
      </c>
      <c r="B5317" s="346" t="s">
        <v>11294</v>
      </c>
      <c r="C5317" s="346" t="s">
        <v>10371</v>
      </c>
    </row>
    <row r="5318" spans="1:3">
      <c r="A5318" s="347">
        <v>46090</v>
      </c>
      <c r="B5318" s="346" t="s">
        <v>11295</v>
      </c>
      <c r="C5318" s="346" t="s">
        <v>10405</v>
      </c>
    </row>
    <row r="5319" spans="1:3">
      <c r="A5319" s="347">
        <v>46090</v>
      </c>
      <c r="B5319" s="346" t="s">
        <v>11296</v>
      </c>
      <c r="C5319" s="346" t="s">
        <v>10416</v>
      </c>
    </row>
    <row r="5320" spans="1:3">
      <c r="A5320" s="347">
        <v>46090</v>
      </c>
      <c r="B5320" s="346" t="s">
        <v>11297</v>
      </c>
      <c r="C5320" s="346" t="s">
        <v>10394</v>
      </c>
    </row>
    <row r="5321" spans="1:3">
      <c r="A5321" s="347">
        <v>46090</v>
      </c>
      <c r="B5321" s="346" t="s">
        <v>11298</v>
      </c>
      <c r="C5321" s="346" t="s">
        <v>10408</v>
      </c>
    </row>
    <row r="5322" spans="1:3">
      <c r="A5322" s="347">
        <v>46090</v>
      </c>
      <c r="B5322" s="346" t="s">
        <v>11299</v>
      </c>
      <c r="C5322" s="346" t="s">
        <v>10294</v>
      </c>
    </row>
    <row r="5323" spans="1:3">
      <c r="A5323" s="347">
        <v>46090</v>
      </c>
      <c r="B5323" s="346" t="s">
        <v>11300</v>
      </c>
      <c r="C5323" s="346" t="s">
        <v>10315</v>
      </c>
    </row>
    <row r="5324" spans="1:3">
      <c r="A5324" s="347">
        <v>46090</v>
      </c>
      <c r="B5324" s="346" t="s">
        <v>11301</v>
      </c>
      <c r="C5324" s="346" t="s">
        <v>10427</v>
      </c>
    </row>
    <row r="5325" spans="1:3">
      <c r="A5325" s="347">
        <v>46090</v>
      </c>
      <c r="B5325" s="346" t="s">
        <v>11302</v>
      </c>
      <c r="C5325" s="346" t="s">
        <v>5901</v>
      </c>
    </row>
    <row r="5326" spans="1:3">
      <c r="A5326" s="347">
        <v>46090</v>
      </c>
      <c r="B5326" s="346" t="s">
        <v>11303</v>
      </c>
      <c r="C5326" s="346" t="s">
        <v>10269</v>
      </c>
    </row>
    <row r="5327" spans="1:3">
      <c r="A5327" s="347">
        <v>46090</v>
      </c>
      <c r="B5327" s="346" t="s">
        <v>11304</v>
      </c>
      <c r="C5327" s="346" t="s">
        <v>10960</v>
      </c>
    </row>
    <row r="5328" spans="1:3">
      <c r="A5328" s="347">
        <v>46090</v>
      </c>
      <c r="B5328" s="346" t="s">
        <v>11305</v>
      </c>
      <c r="C5328" s="346" t="s">
        <v>10465</v>
      </c>
    </row>
    <row r="5329" spans="1:3">
      <c r="A5329" s="347">
        <v>46090</v>
      </c>
      <c r="B5329" s="346" t="s">
        <v>11306</v>
      </c>
      <c r="C5329" s="346" t="s">
        <v>10397</v>
      </c>
    </row>
    <row r="5330" spans="1:3">
      <c r="A5330" s="347">
        <v>46090</v>
      </c>
      <c r="B5330" s="346" t="s">
        <v>11307</v>
      </c>
      <c r="C5330" s="346" t="s">
        <v>10316</v>
      </c>
    </row>
    <row r="5331" spans="1:3">
      <c r="A5331" s="347">
        <v>46090</v>
      </c>
      <c r="B5331" s="346" t="s">
        <v>11308</v>
      </c>
      <c r="C5331" s="346" t="s">
        <v>10448</v>
      </c>
    </row>
    <row r="5332" spans="1:3">
      <c r="A5332" s="347">
        <v>46090</v>
      </c>
      <c r="B5332" s="346" t="s">
        <v>11309</v>
      </c>
      <c r="C5332" s="346" t="s">
        <v>10428</v>
      </c>
    </row>
    <row r="5333" spans="1:3">
      <c r="A5333" s="347">
        <v>46090</v>
      </c>
      <c r="B5333" s="346" t="s">
        <v>11310</v>
      </c>
      <c r="C5333" s="346" t="s">
        <v>10436</v>
      </c>
    </row>
    <row r="5334" spans="1:3">
      <c r="A5334" s="347">
        <v>46090</v>
      </c>
      <c r="B5334" s="346" t="s">
        <v>11311</v>
      </c>
      <c r="C5334" s="346" t="s">
        <v>10461</v>
      </c>
    </row>
    <row r="5335" spans="1:3">
      <c r="A5335" s="347">
        <v>46090</v>
      </c>
      <c r="B5335" s="346" t="s">
        <v>11312</v>
      </c>
      <c r="C5335" s="346" t="s">
        <v>10354</v>
      </c>
    </row>
    <row r="5336" spans="1:3">
      <c r="A5336" s="347">
        <v>46090</v>
      </c>
      <c r="B5336" s="346" t="s">
        <v>11313</v>
      </c>
      <c r="C5336" s="346" t="s">
        <v>10271</v>
      </c>
    </row>
    <row r="5337" spans="1:3">
      <c r="A5337" s="347">
        <v>46090</v>
      </c>
      <c r="B5337" s="346" t="s">
        <v>11314</v>
      </c>
      <c r="C5337" s="346" t="s">
        <v>10417</v>
      </c>
    </row>
    <row r="5338" spans="1:3">
      <c r="A5338" s="347">
        <v>46090</v>
      </c>
      <c r="B5338" s="346" t="s">
        <v>11315</v>
      </c>
      <c r="C5338" s="346" t="s">
        <v>10449</v>
      </c>
    </row>
    <row r="5339" spans="1:3">
      <c r="A5339" s="347">
        <v>46090</v>
      </c>
      <c r="B5339" s="346" t="s">
        <v>11316</v>
      </c>
      <c r="C5339" s="346" t="s">
        <v>10266</v>
      </c>
    </row>
    <row r="5340" spans="1:3">
      <c r="A5340" s="347">
        <v>46090</v>
      </c>
      <c r="B5340" s="346" t="s">
        <v>11317</v>
      </c>
      <c r="C5340" s="346" t="s">
        <v>10268</v>
      </c>
    </row>
    <row r="5341" spans="1:3">
      <c r="A5341" s="347">
        <v>46090</v>
      </c>
      <c r="B5341" s="346" t="s">
        <v>11318</v>
      </c>
      <c r="C5341" s="346" t="s">
        <v>10450</v>
      </c>
    </row>
    <row r="5342" spans="1:3">
      <c r="A5342" s="347">
        <v>46090</v>
      </c>
      <c r="B5342" s="346" t="s">
        <v>11319</v>
      </c>
      <c r="C5342" s="346" t="s">
        <v>10317</v>
      </c>
    </row>
    <row r="5343" spans="1:3">
      <c r="A5343" s="347">
        <v>46090</v>
      </c>
      <c r="B5343" s="346" t="s">
        <v>11320</v>
      </c>
      <c r="C5343" s="346" t="s">
        <v>10372</v>
      </c>
    </row>
    <row r="5344" spans="1:3">
      <c r="A5344" s="347">
        <v>46090</v>
      </c>
      <c r="B5344" s="346" t="s">
        <v>11321</v>
      </c>
      <c r="C5344" s="346" t="s">
        <v>10437</v>
      </c>
    </row>
    <row r="5345" spans="1:3">
      <c r="A5345" s="347">
        <v>46090</v>
      </c>
      <c r="B5345" s="346" t="s">
        <v>11322</v>
      </c>
      <c r="C5345" s="346" t="s">
        <v>10409</v>
      </c>
    </row>
    <row r="5346" spans="1:3">
      <c r="A5346" s="347">
        <v>46090</v>
      </c>
      <c r="B5346" s="346" t="s">
        <v>11323</v>
      </c>
      <c r="C5346" s="346" t="s">
        <v>10398</v>
      </c>
    </row>
    <row r="5347" spans="1:3">
      <c r="A5347" s="347">
        <v>46090</v>
      </c>
      <c r="B5347" s="346" t="s">
        <v>11324</v>
      </c>
      <c r="C5347" s="346" t="s">
        <v>10270</v>
      </c>
    </row>
    <row r="5348" spans="1:3">
      <c r="A5348" s="347">
        <v>46090</v>
      </c>
      <c r="B5348" s="346" t="s">
        <v>11325</v>
      </c>
      <c r="C5348" s="346" t="s">
        <v>10339</v>
      </c>
    </row>
    <row r="5349" spans="1:3">
      <c r="A5349" s="347">
        <v>46090</v>
      </c>
      <c r="B5349" s="346" t="s">
        <v>11326</v>
      </c>
      <c r="C5349" s="346" t="s">
        <v>10373</v>
      </c>
    </row>
    <row r="5350" spans="1:3">
      <c r="A5350" s="347">
        <v>46090</v>
      </c>
      <c r="B5350" s="346" t="s">
        <v>11327</v>
      </c>
      <c r="C5350" s="346" t="s">
        <v>10340</v>
      </c>
    </row>
    <row r="5351" spans="1:3">
      <c r="A5351" s="347">
        <v>46090</v>
      </c>
      <c r="B5351" s="346" t="s">
        <v>11328</v>
      </c>
      <c r="C5351" s="346" t="s">
        <v>5902</v>
      </c>
    </row>
    <row r="5352" spans="1:3">
      <c r="A5352" s="347">
        <v>46090</v>
      </c>
      <c r="B5352" s="346" t="s">
        <v>11329</v>
      </c>
      <c r="C5352" s="346" t="s">
        <v>10295</v>
      </c>
    </row>
    <row r="5353" spans="1:3">
      <c r="A5353" s="347">
        <v>46090</v>
      </c>
      <c r="B5353" s="346" t="s">
        <v>11330</v>
      </c>
      <c r="C5353" s="346" t="s">
        <v>10375</v>
      </c>
    </row>
    <row r="5354" spans="1:3">
      <c r="A5354" s="347">
        <v>46090</v>
      </c>
      <c r="B5354" s="346" t="s">
        <v>11331</v>
      </c>
      <c r="C5354" s="346" t="s">
        <v>5903</v>
      </c>
    </row>
    <row r="5355" spans="1:3">
      <c r="A5355" s="347">
        <v>46090</v>
      </c>
      <c r="B5355" s="346" t="s">
        <v>11332</v>
      </c>
      <c r="C5355" s="346" t="s">
        <v>10318</v>
      </c>
    </row>
    <row r="5356" spans="1:3">
      <c r="A5356" s="347">
        <v>46090</v>
      </c>
      <c r="B5356" s="346" t="s">
        <v>11333</v>
      </c>
      <c r="C5356" s="346" t="s">
        <v>10319</v>
      </c>
    </row>
    <row r="5357" spans="1:3">
      <c r="A5357" s="347">
        <v>46090</v>
      </c>
      <c r="B5357" s="346" t="s">
        <v>11334</v>
      </c>
      <c r="C5357" s="346" t="s">
        <v>10376</v>
      </c>
    </row>
    <row r="5358" spans="1:3">
      <c r="A5358" s="347">
        <v>46090</v>
      </c>
      <c r="B5358" s="346" t="s">
        <v>11335</v>
      </c>
      <c r="C5358" s="346" t="s">
        <v>10429</v>
      </c>
    </row>
    <row r="5359" spans="1:3">
      <c r="A5359" s="347">
        <v>46090</v>
      </c>
      <c r="B5359" s="346" t="s">
        <v>11336</v>
      </c>
      <c r="C5359" s="346" t="s">
        <v>10355</v>
      </c>
    </row>
    <row r="5360" spans="1:3">
      <c r="A5360" s="347">
        <v>46090</v>
      </c>
      <c r="B5360" s="346" t="s">
        <v>11019</v>
      </c>
      <c r="C5360" s="346" t="s">
        <v>10273</v>
      </c>
    </row>
    <row r="5361" spans="1:3">
      <c r="A5361" s="347">
        <v>46090</v>
      </c>
      <c r="B5361" s="346" t="s">
        <v>11337</v>
      </c>
      <c r="C5361" s="346" t="s">
        <v>10320</v>
      </c>
    </row>
    <row r="5362" spans="1:3">
      <c r="A5362" s="347">
        <v>46090</v>
      </c>
      <c r="B5362" s="346" t="s">
        <v>11338</v>
      </c>
      <c r="C5362" s="346" t="s">
        <v>10321</v>
      </c>
    </row>
    <row r="5363" spans="1:3">
      <c r="A5363" s="347">
        <v>46090</v>
      </c>
      <c r="B5363" s="346" t="s">
        <v>11339</v>
      </c>
      <c r="C5363" s="346" t="s">
        <v>10296</v>
      </c>
    </row>
    <row r="5364" spans="1:3">
      <c r="A5364" s="347">
        <v>46090</v>
      </c>
      <c r="B5364" s="346" t="s">
        <v>11340</v>
      </c>
      <c r="C5364" s="346" t="s">
        <v>10297</v>
      </c>
    </row>
    <row r="5365" spans="1:3">
      <c r="A5365" s="347">
        <v>46090</v>
      </c>
      <c r="B5365" s="346" t="s">
        <v>11341</v>
      </c>
      <c r="C5365" s="346" t="s">
        <v>10341</v>
      </c>
    </row>
    <row r="5366" spans="1:3">
      <c r="A5366" s="347">
        <v>46090</v>
      </c>
      <c r="B5366" s="346" t="s">
        <v>11342</v>
      </c>
      <c r="C5366" s="346" t="s">
        <v>5904</v>
      </c>
    </row>
    <row r="5367" spans="1:3">
      <c r="A5367" s="347">
        <v>46090</v>
      </c>
      <c r="B5367" s="346" t="s">
        <v>11343</v>
      </c>
      <c r="C5367" s="346" t="s">
        <v>5905</v>
      </c>
    </row>
    <row r="5368" spans="1:3">
      <c r="A5368" s="347">
        <v>46090</v>
      </c>
      <c r="B5368" s="346" t="s">
        <v>11020</v>
      </c>
      <c r="C5368" s="346" t="s">
        <v>5906</v>
      </c>
    </row>
    <row r="5369" spans="1:3">
      <c r="A5369" s="347">
        <v>46090</v>
      </c>
      <c r="B5369" s="346" t="s">
        <v>11344</v>
      </c>
      <c r="C5369" s="346" t="s">
        <v>10298</v>
      </c>
    </row>
    <row r="5370" spans="1:3">
      <c r="A5370" s="347">
        <v>46090</v>
      </c>
      <c r="B5370" s="346" t="s">
        <v>11345</v>
      </c>
      <c r="C5370" s="346" t="s">
        <v>10418</v>
      </c>
    </row>
    <row r="5371" spans="1:3">
      <c r="A5371" s="347">
        <v>46090</v>
      </c>
      <c r="B5371" s="346" t="s">
        <v>11346</v>
      </c>
      <c r="C5371" s="346" t="s">
        <v>10272</v>
      </c>
    </row>
    <row r="5372" spans="1:3">
      <c r="A5372" s="347">
        <v>46090</v>
      </c>
      <c r="B5372" s="346" t="s">
        <v>11347</v>
      </c>
      <c r="C5372" s="346" t="s">
        <v>10377</v>
      </c>
    </row>
    <row r="5373" spans="1:3">
      <c r="A5373" s="347">
        <v>46090</v>
      </c>
      <c r="B5373" s="346" t="s">
        <v>11348</v>
      </c>
      <c r="C5373" s="346" t="s">
        <v>10464</v>
      </c>
    </row>
    <row r="5374" spans="1:3">
      <c r="A5374" s="347">
        <v>46090</v>
      </c>
      <c r="B5374" s="346" t="s">
        <v>11349</v>
      </c>
      <c r="C5374" s="346" t="s">
        <v>10356</v>
      </c>
    </row>
    <row r="5375" spans="1:3">
      <c r="A5375" s="347">
        <v>46090</v>
      </c>
      <c r="B5375" s="346" t="s">
        <v>11350</v>
      </c>
      <c r="C5375" s="346" t="s">
        <v>10322</v>
      </c>
    </row>
    <row r="5376" spans="1:3">
      <c r="A5376" s="347">
        <v>46090</v>
      </c>
      <c r="B5376" s="346" t="s">
        <v>11351</v>
      </c>
      <c r="C5376" s="346" t="s">
        <v>5907</v>
      </c>
    </row>
    <row r="5377" spans="1:3">
      <c r="A5377" s="347">
        <v>46090</v>
      </c>
      <c r="B5377" s="346" t="s">
        <v>11352</v>
      </c>
      <c r="C5377" s="346" t="s">
        <v>10374</v>
      </c>
    </row>
    <row r="5378" spans="1:3">
      <c r="A5378" s="347">
        <v>46090</v>
      </c>
      <c r="B5378" s="346" t="s">
        <v>11353</v>
      </c>
      <c r="C5378" s="346" t="s">
        <v>10299</v>
      </c>
    </row>
    <row r="5379" spans="1:3">
      <c r="A5379" s="347">
        <v>46090</v>
      </c>
      <c r="B5379" s="346" t="s">
        <v>11354</v>
      </c>
      <c r="C5379" s="346" t="s">
        <v>10323</v>
      </c>
    </row>
    <row r="5380" spans="1:3">
      <c r="A5380" s="347">
        <v>46090</v>
      </c>
      <c r="B5380" s="346" t="s">
        <v>11355</v>
      </c>
      <c r="C5380" s="346" t="s">
        <v>10274</v>
      </c>
    </row>
    <row r="5381" spans="1:3">
      <c r="A5381" s="347">
        <v>46090</v>
      </c>
      <c r="B5381" s="346" t="s">
        <v>11356</v>
      </c>
      <c r="C5381" s="346" t="s">
        <v>10466</v>
      </c>
    </row>
    <row r="5382" spans="1:3">
      <c r="A5382" s="347">
        <v>46090</v>
      </c>
      <c r="B5382" s="346" t="s">
        <v>11357</v>
      </c>
      <c r="C5382" s="346" t="s">
        <v>10324</v>
      </c>
    </row>
    <row r="5383" spans="1:3">
      <c r="A5383" s="347">
        <v>46090</v>
      </c>
      <c r="B5383" s="346" t="s">
        <v>11358</v>
      </c>
      <c r="C5383" s="346" t="s">
        <v>10451</v>
      </c>
    </row>
    <row r="5384" spans="1:3">
      <c r="A5384" s="347">
        <v>46090</v>
      </c>
      <c r="B5384" s="346" t="s">
        <v>11359</v>
      </c>
      <c r="C5384" s="346" t="s">
        <v>10378</v>
      </c>
    </row>
    <row r="5385" spans="1:3">
      <c r="A5385" s="347">
        <v>46090</v>
      </c>
      <c r="B5385" s="346" t="s">
        <v>11360</v>
      </c>
      <c r="C5385" s="346" t="s">
        <v>10439</v>
      </c>
    </row>
    <row r="5386" spans="1:3">
      <c r="A5386" s="347">
        <v>46090</v>
      </c>
      <c r="B5386" s="346" t="s">
        <v>11361</v>
      </c>
      <c r="C5386" s="346" t="s">
        <v>5908</v>
      </c>
    </row>
    <row r="5387" spans="1:3">
      <c r="A5387" s="347">
        <v>46090</v>
      </c>
      <c r="B5387" s="346" t="s">
        <v>11362</v>
      </c>
      <c r="C5387" s="346" t="s">
        <v>5909</v>
      </c>
    </row>
    <row r="5388" spans="1:3">
      <c r="A5388" s="347">
        <v>46090</v>
      </c>
      <c r="B5388" s="346" t="s">
        <v>11363</v>
      </c>
      <c r="C5388" s="346" t="s">
        <v>10300</v>
      </c>
    </row>
    <row r="5389" spans="1:3">
      <c r="A5389" s="347">
        <v>46090</v>
      </c>
      <c r="B5389" s="346" t="s">
        <v>11364</v>
      </c>
      <c r="C5389" s="346" t="s">
        <v>10467</v>
      </c>
    </row>
    <row r="5390" spans="1:3">
      <c r="A5390" s="347">
        <v>46090</v>
      </c>
      <c r="B5390" s="346" t="s">
        <v>11365</v>
      </c>
      <c r="C5390" s="346" t="s">
        <v>10312</v>
      </c>
    </row>
    <row r="5391" spans="1:3">
      <c r="A5391" s="347">
        <v>46090</v>
      </c>
      <c r="B5391" s="346" t="s">
        <v>11366</v>
      </c>
      <c r="C5391" s="346" t="s">
        <v>10325</v>
      </c>
    </row>
    <row r="5392" spans="1:3">
      <c r="A5392" s="347">
        <v>46090</v>
      </c>
      <c r="B5392" s="346" t="s">
        <v>11367</v>
      </c>
      <c r="C5392" s="346" t="s">
        <v>10468</v>
      </c>
    </row>
    <row r="5393" spans="1:3">
      <c r="A5393" s="347">
        <v>46090</v>
      </c>
      <c r="B5393" s="346" t="s">
        <v>11368</v>
      </c>
      <c r="C5393" s="346" t="s">
        <v>10438</v>
      </c>
    </row>
    <row r="5394" spans="1:3">
      <c r="A5394" s="347">
        <v>46090</v>
      </c>
      <c r="B5394" s="346" t="s">
        <v>11369</v>
      </c>
      <c r="C5394" s="346" t="s">
        <v>10357</v>
      </c>
    </row>
    <row r="5395" spans="1:3">
      <c r="A5395" s="347">
        <v>46090</v>
      </c>
      <c r="B5395" s="346" t="s">
        <v>11370</v>
      </c>
      <c r="C5395" s="346" t="s">
        <v>10326</v>
      </c>
    </row>
    <row r="5396" spans="1:3">
      <c r="A5396" s="347">
        <v>46090</v>
      </c>
      <c r="B5396" s="346" t="s">
        <v>11371</v>
      </c>
      <c r="C5396" s="346" t="s">
        <v>10399</v>
      </c>
    </row>
    <row r="5397" spans="1:3">
      <c r="A5397" s="347">
        <v>46090</v>
      </c>
      <c r="B5397" s="346" t="s">
        <v>11372</v>
      </c>
      <c r="C5397" s="346" t="s">
        <v>10469</v>
      </c>
    </row>
    <row r="5398" spans="1:3">
      <c r="A5398" s="347">
        <v>46090</v>
      </c>
      <c r="B5398" s="346" t="s">
        <v>11373</v>
      </c>
      <c r="C5398" s="346" t="s">
        <v>10342</v>
      </c>
    </row>
    <row r="5399" spans="1:3">
      <c r="A5399" s="347">
        <v>46090</v>
      </c>
      <c r="B5399" s="346" t="s">
        <v>11374</v>
      </c>
      <c r="C5399" s="346" t="s">
        <v>10430</v>
      </c>
    </row>
    <row r="5400" spans="1:3">
      <c r="A5400" s="347">
        <v>46090</v>
      </c>
      <c r="B5400" s="346" t="s">
        <v>11375</v>
      </c>
      <c r="C5400" s="346" t="s">
        <v>10275</v>
      </c>
    </row>
    <row r="5401" spans="1:3">
      <c r="A5401" s="347">
        <v>46090</v>
      </c>
      <c r="B5401" s="346" t="s">
        <v>11376</v>
      </c>
      <c r="C5401" s="346" t="s">
        <v>10440</v>
      </c>
    </row>
    <row r="5402" spans="1:3">
      <c r="A5402" s="347">
        <v>46090</v>
      </c>
      <c r="B5402" s="346" t="s">
        <v>11377</v>
      </c>
      <c r="C5402" s="346" t="s">
        <v>10343</v>
      </c>
    </row>
    <row r="5403" spans="1:3">
      <c r="A5403" s="347">
        <v>46090</v>
      </c>
      <c r="B5403" s="346" t="s">
        <v>11378</v>
      </c>
      <c r="C5403" s="346" t="s">
        <v>10358</v>
      </c>
    </row>
    <row r="5404" spans="1:3">
      <c r="A5404" s="347">
        <v>46090</v>
      </c>
      <c r="B5404" s="346" t="s">
        <v>11379</v>
      </c>
      <c r="C5404" s="346" t="s">
        <v>10276</v>
      </c>
    </row>
    <row r="5405" spans="1:3">
      <c r="A5405" s="347">
        <v>46090</v>
      </c>
      <c r="B5405" s="346" t="s">
        <v>11380</v>
      </c>
      <c r="C5405" s="346" t="s">
        <v>10441</v>
      </c>
    </row>
    <row r="5406" spans="1:3">
      <c r="A5406" s="347">
        <v>46090</v>
      </c>
      <c r="B5406" s="346" t="s">
        <v>11381</v>
      </c>
      <c r="C5406" s="346" t="s">
        <v>10301</v>
      </c>
    </row>
    <row r="5407" spans="1:3">
      <c r="A5407" s="347">
        <v>46090</v>
      </c>
      <c r="B5407" s="346" t="s">
        <v>11382</v>
      </c>
      <c r="C5407" s="346" t="s">
        <v>10431</v>
      </c>
    </row>
    <row r="5408" spans="1:3">
      <c r="A5408" s="347">
        <v>46090</v>
      </c>
      <c r="B5408" s="346" t="s">
        <v>11383</v>
      </c>
      <c r="C5408" s="346" t="s">
        <v>10302</v>
      </c>
    </row>
    <row r="5409" spans="1:3">
      <c r="A5409" s="347">
        <v>46090</v>
      </c>
      <c r="B5409" s="346" t="s">
        <v>11384</v>
      </c>
      <c r="C5409" s="346" t="s">
        <v>10400</v>
      </c>
    </row>
    <row r="5410" spans="1:3">
      <c r="A5410" s="347">
        <v>46090</v>
      </c>
      <c r="B5410" s="346" t="s">
        <v>11385</v>
      </c>
      <c r="C5410" s="346" t="s">
        <v>10470</v>
      </c>
    </row>
    <row r="5411" spans="1:3">
      <c r="A5411" s="347">
        <v>46090</v>
      </c>
      <c r="B5411" s="346" t="s">
        <v>11386</v>
      </c>
      <c r="C5411" s="346" t="s">
        <v>10359</v>
      </c>
    </row>
    <row r="5412" spans="1:3">
      <c r="A5412" s="347">
        <v>46090</v>
      </c>
      <c r="B5412" s="346" t="s">
        <v>11387</v>
      </c>
      <c r="C5412" s="346" t="s">
        <v>10379</v>
      </c>
    </row>
    <row r="5413" spans="1:3">
      <c r="A5413" s="347">
        <v>46090</v>
      </c>
      <c r="B5413" s="346" t="s">
        <v>11388</v>
      </c>
      <c r="C5413" s="346" t="s">
        <v>10471</v>
      </c>
    </row>
    <row r="5414" spans="1:3">
      <c r="A5414" s="347">
        <v>46090</v>
      </c>
      <c r="B5414" s="346" t="s">
        <v>11021</v>
      </c>
      <c r="C5414" s="346" t="s">
        <v>10344</v>
      </c>
    </row>
    <row r="5415" spans="1:3">
      <c r="A5415" s="347">
        <v>46090</v>
      </c>
      <c r="B5415" s="346" t="s">
        <v>11389</v>
      </c>
      <c r="C5415" s="346" t="s">
        <v>5910</v>
      </c>
    </row>
    <row r="5416" spans="1:3">
      <c r="A5416" s="347">
        <v>46090</v>
      </c>
      <c r="B5416" s="346" t="s">
        <v>11390</v>
      </c>
      <c r="C5416" s="346" t="s">
        <v>10277</v>
      </c>
    </row>
    <row r="5417" spans="1:3">
      <c r="A5417" s="347">
        <v>46090</v>
      </c>
      <c r="B5417" s="346" t="s">
        <v>11391</v>
      </c>
      <c r="C5417" s="346" t="s">
        <v>10472</v>
      </c>
    </row>
    <row r="5418" spans="1:3">
      <c r="A5418" s="347">
        <v>46090</v>
      </c>
      <c r="B5418" s="346" t="s">
        <v>11392</v>
      </c>
      <c r="C5418" s="346" t="s">
        <v>10473</v>
      </c>
    </row>
    <row r="5419" spans="1:3">
      <c r="A5419" s="347">
        <v>46090</v>
      </c>
      <c r="B5419" s="346" t="s">
        <v>11393</v>
      </c>
      <c r="C5419" s="346" t="s">
        <v>10442</v>
      </c>
    </row>
    <row r="5420" spans="1:3">
      <c r="A5420" s="347">
        <v>46090</v>
      </c>
      <c r="B5420" s="346" t="s">
        <v>11394</v>
      </c>
      <c r="C5420" s="346" t="s">
        <v>10380</v>
      </c>
    </row>
    <row r="5421" spans="1:3">
      <c r="A5421" s="347">
        <v>46090</v>
      </c>
      <c r="B5421" s="346" t="s">
        <v>11395</v>
      </c>
      <c r="C5421" s="346" t="s">
        <v>10411</v>
      </c>
    </row>
    <row r="5422" spans="1:3">
      <c r="A5422" s="347">
        <v>46090</v>
      </c>
      <c r="B5422" s="346" t="s">
        <v>11396</v>
      </c>
      <c r="C5422" s="346" t="s">
        <v>10474</v>
      </c>
    </row>
    <row r="5423" spans="1:3">
      <c r="A5423" s="347">
        <v>46090</v>
      </c>
      <c r="B5423" s="346" t="s">
        <v>11397</v>
      </c>
      <c r="C5423" s="346" t="s">
        <v>10475</v>
      </c>
    </row>
    <row r="5424" spans="1:3">
      <c r="A5424" s="347">
        <v>46090</v>
      </c>
      <c r="B5424" s="346" t="s">
        <v>11398</v>
      </c>
      <c r="C5424" s="346" t="s">
        <v>10381</v>
      </c>
    </row>
    <row r="5425" spans="1:3">
      <c r="A5425" s="347">
        <v>46090</v>
      </c>
      <c r="B5425" s="346" t="s">
        <v>11399</v>
      </c>
      <c r="C5425" s="346" t="s">
        <v>5911</v>
      </c>
    </row>
    <row r="5426" spans="1:3">
      <c r="A5426" s="347">
        <v>46090</v>
      </c>
      <c r="B5426" s="346" t="s">
        <v>11400</v>
      </c>
      <c r="C5426" s="346" t="s">
        <v>10419</v>
      </c>
    </row>
    <row r="5427" spans="1:3">
      <c r="A5427" s="347">
        <v>46090</v>
      </c>
      <c r="B5427" s="346" t="s">
        <v>11401</v>
      </c>
      <c r="C5427" s="346" t="s">
        <v>10382</v>
      </c>
    </row>
    <row r="5428" spans="1:3">
      <c r="A5428" s="347">
        <v>46090</v>
      </c>
      <c r="B5428" s="346" t="s">
        <v>11402</v>
      </c>
      <c r="C5428" s="346" t="s">
        <v>10420</v>
      </c>
    </row>
    <row r="5429" spans="1:3">
      <c r="A5429" s="347">
        <v>46090</v>
      </c>
      <c r="B5429" s="346" t="s">
        <v>11403</v>
      </c>
      <c r="C5429" s="346" t="s">
        <v>10278</v>
      </c>
    </row>
    <row r="5430" spans="1:3">
      <c r="A5430" s="347">
        <v>46090</v>
      </c>
      <c r="B5430" s="346" t="s">
        <v>11404</v>
      </c>
      <c r="C5430" s="346" t="s">
        <v>10421</v>
      </c>
    </row>
    <row r="5431" spans="1:3">
      <c r="A5431" s="347">
        <v>46090</v>
      </c>
      <c r="B5431" s="346" t="s">
        <v>11405</v>
      </c>
      <c r="C5431" s="346" t="s">
        <v>10303</v>
      </c>
    </row>
    <row r="5432" spans="1:3">
      <c r="A5432" s="347">
        <v>46090</v>
      </c>
      <c r="B5432" s="346" t="s">
        <v>11406</v>
      </c>
      <c r="C5432" s="346" t="s">
        <v>10401</v>
      </c>
    </row>
    <row r="5433" spans="1:3">
      <c r="A5433" s="347">
        <v>46090</v>
      </c>
      <c r="B5433" s="346" t="s">
        <v>11407</v>
      </c>
      <c r="C5433" s="346" t="s">
        <v>10327</v>
      </c>
    </row>
    <row r="5434" spans="1:3">
      <c r="A5434" s="347">
        <v>46090</v>
      </c>
      <c r="B5434" s="346" t="s">
        <v>11408</v>
      </c>
      <c r="C5434" s="346" t="s">
        <v>10443</v>
      </c>
    </row>
    <row r="5435" spans="1:3">
      <c r="A5435" s="347">
        <v>46090</v>
      </c>
      <c r="B5435" s="346" t="s">
        <v>11409</v>
      </c>
      <c r="C5435" s="346" t="s">
        <v>10345</v>
      </c>
    </row>
    <row r="5436" spans="1:3">
      <c r="A5436" s="347">
        <v>46090</v>
      </c>
      <c r="B5436" s="346" t="s">
        <v>11410</v>
      </c>
      <c r="C5436" s="346" t="s">
        <v>10279</v>
      </c>
    </row>
    <row r="5437" spans="1:3">
      <c r="A5437" s="347">
        <v>46090</v>
      </c>
      <c r="B5437" s="346" t="s">
        <v>11411</v>
      </c>
      <c r="C5437" s="346" t="s">
        <v>10346</v>
      </c>
    </row>
    <row r="5438" spans="1:3">
      <c r="A5438" s="347">
        <v>46090</v>
      </c>
      <c r="B5438" s="346" t="s">
        <v>11412</v>
      </c>
      <c r="C5438" s="346" t="s">
        <v>10252</v>
      </c>
    </row>
    <row r="5439" spans="1:3">
      <c r="A5439" s="347">
        <v>46090</v>
      </c>
      <c r="B5439" s="346" t="s">
        <v>11413</v>
      </c>
      <c r="C5439" s="346" t="s">
        <v>10328</v>
      </c>
    </row>
    <row r="5440" spans="1:3">
      <c r="A5440" s="347">
        <v>46090</v>
      </c>
      <c r="B5440" s="346" t="s">
        <v>11414</v>
      </c>
      <c r="C5440" s="346" t="s">
        <v>10304</v>
      </c>
    </row>
    <row r="5441" spans="1:3">
      <c r="A5441" s="347">
        <v>46090</v>
      </c>
      <c r="B5441" s="346" t="s">
        <v>11415</v>
      </c>
      <c r="C5441" s="346" t="s">
        <v>10422</v>
      </c>
    </row>
    <row r="5442" spans="1:3">
      <c r="A5442" s="347">
        <v>46090</v>
      </c>
      <c r="B5442" s="346" t="s">
        <v>11416</v>
      </c>
      <c r="C5442" s="346" t="s">
        <v>10423</v>
      </c>
    </row>
    <row r="5443" spans="1:3">
      <c r="A5443" s="347">
        <v>46090</v>
      </c>
      <c r="B5443" s="346" t="s">
        <v>11022</v>
      </c>
      <c r="C5443" s="346" t="s">
        <v>10253</v>
      </c>
    </row>
    <row r="5444" spans="1:3">
      <c r="A5444" s="347">
        <v>46090</v>
      </c>
      <c r="B5444" s="346" t="s">
        <v>11417</v>
      </c>
      <c r="C5444" s="346" t="s">
        <v>10305</v>
      </c>
    </row>
    <row r="5445" spans="1:3">
      <c r="A5445" s="347">
        <v>46090</v>
      </c>
      <c r="B5445" s="346" t="s">
        <v>11418</v>
      </c>
      <c r="C5445" s="346" t="s">
        <v>10477</v>
      </c>
    </row>
    <row r="5446" spans="1:3">
      <c r="A5446" s="347">
        <v>46090</v>
      </c>
      <c r="B5446" s="346" t="s">
        <v>11419</v>
      </c>
      <c r="C5446" s="346" t="s">
        <v>10383</v>
      </c>
    </row>
    <row r="5447" spans="1:3">
      <c r="A5447" s="347">
        <v>46090</v>
      </c>
      <c r="B5447" s="346" t="s">
        <v>11420</v>
      </c>
      <c r="C5447" s="346" t="s">
        <v>10452</v>
      </c>
    </row>
    <row r="5448" spans="1:3">
      <c r="A5448" s="347">
        <v>46090</v>
      </c>
      <c r="B5448" s="346" t="s">
        <v>11421</v>
      </c>
      <c r="C5448" s="346" t="s">
        <v>10254</v>
      </c>
    </row>
    <row r="5449" spans="1:3">
      <c r="A5449" s="347">
        <v>46090</v>
      </c>
      <c r="B5449" s="346" t="s">
        <v>11422</v>
      </c>
      <c r="C5449" s="346" t="s">
        <v>10961</v>
      </c>
    </row>
    <row r="5450" spans="1:3">
      <c r="A5450" s="347">
        <v>46090</v>
      </c>
      <c r="B5450" s="346" t="s">
        <v>11023</v>
      </c>
      <c r="C5450" s="346" t="s">
        <v>10329</v>
      </c>
    </row>
    <row r="5451" spans="1:3">
      <c r="A5451" s="347">
        <v>46090</v>
      </c>
      <c r="B5451" s="346" t="s">
        <v>11423</v>
      </c>
      <c r="C5451" s="346" t="s">
        <v>10402</v>
      </c>
    </row>
    <row r="5452" spans="1:3">
      <c r="A5452" s="347">
        <v>46090</v>
      </c>
      <c r="B5452" s="346" t="s">
        <v>11424</v>
      </c>
      <c r="C5452" s="346" t="s">
        <v>10384</v>
      </c>
    </row>
    <row r="5453" spans="1:3">
      <c r="A5453" s="347">
        <v>46090</v>
      </c>
      <c r="B5453" s="346" t="s">
        <v>11425</v>
      </c>
      <c r="C5453" s="346" t="s">
        <v>10255</v>
      </c>
    </row>
    <row r="5454" spans="1:3">
      <c r="A5454" s="347">
        <v>46090</v>
      </c>
      <c r="B5454" s="346" t="s">
        <v>11426</v>
      </c>
      <c r="C5454" s="346" t="s">
        <v>10478</v>
      </c>
    </row>
    <row r="5455" spans="1:3">
      <c r="A5455" s="347">
        <v>46090</v>
      </c>
      <c r="B5455" s="346" t="s">
        <v>11427</v>
      </c>
      <c r="C5455" s="346" t="s">
        <v>10959</v>
      </c>
    </row>
    <row r="5456" spans="1:3">
      <c r="A5456" s="347">
        <v>46090</v>
      </c>
      <c r="B5456" s="346" t="s">
        <v>11428</v>
      </c>
      <c r="C5456" s="346" t="s">
        <v>10412</v>
      </c>
    </row>
    <row r="5457" spans="1:3">
      <c r="A5457" s="347">
        <v>46090</v>
      </c>
      <c r="B5457" s="346" t="s">
        <v>11429</v>
      </c>
      <c r="C5457" s="346" t="s">
        <v>10256</v>
      </c>
    </row>
    <row r="5458" spans="1:3">
      <c r="A5458" s="347">
        <v>46090</v>
      </c>
      <c r="B5458" s="346" t="s">
        <v>11430</v>
      </c>
      <c r="C5458" s="346" t="s">
        <v>10281</v>
      </c>
    </row>
    <row r="5459" spans="1:3">
      <c r="A5459" s="347">
        <v>46090</v>
      </c>
      <c r="B5459" s="346" t="s">
        <v>11431</v>
      </c>
      <c r="C5459" s="346" t="s">
        <v>10282</v>
      </c>
    </row>
    <row r="5460" spans="1:3">
      <c r="A5460" s="347">
        <v>46090</v>
      </c>
      <c r="B5460" s="346" t="s">
        <v>11432</v>
      </c>
      <c r="C5460" s="346" t="s">
        <v>10444</v>
      </c>
    </row>
    <row r="5461" spans="1:3">
      <c r="A5461" s="347">
        <v>46090</v>
      </c>
      <c r="B5461" s="346" t="s">
        <v>11433</v>
      </c>
      <c r="C5461" s="346" t="s">
        <v>10433</v>
      </c>
    </row>
    <row r="5462" spans="1:3">
      <c r="A5462" s="347">
        <v>46090</v>
      </c>
      <c r="B5462" s="346" t="s">
        <v>11434</v>
      </c>
      <c r="C5462" s="346" t="s">
        <v>10410</v>
      </c>
    </row>
    <row r="5463" spans="1:3">
      <c r="A5463" s="347">
        <v>46090</v>
      </c>
      <c r="B5463" s="346" t="s">
        <v>11435</v>
      </c>
      <c r="C5463" s="346" t="s">
        <v>10385</v>
      </c>
    </row>
    <row r="5464" spans="1:3">
      <c r="A5464" s="347">
        <v>46090</v>
      </c>
      <c r="B5464" s="346" t="s">
        <v>11436</v>
      </c>
      <c r="C5464" s="346" t="s">
        <v>10330</v>
      </c>
    </row>
    <row r="5465" spans="1:3">
      <c r="A5465" s="347">
        <v>46090</v>
      </c>
      <c r="B5465" s="346" t="s">
        <v>11437</v>
      </c>
      <c r="C5465" s="346" t="s">
        <v>10306</v>
      </c>
    </row>
    <row r="5466" spans="1:3">
      <c r="A5466" s="347">
        <v>46090</v>
      </c>
      <c r="B5466" s="346" t="s">
        <v>11438</v>
      </c>
      <c r="C5466" s="346" t="s">
        <v>10958</v>
      </c>
    </row>
    <row r="5467" spans="1:3">
      <c r="A5467" s="347">
        <v>46090</v>
      </c>
      <c r="B5467" s="346" t="s">
        <v>11439</v>
      </c>
      <c r="C5467" s="346" t="s">
        <v>10307</v>
      </c>
    </row>
    <row r="5468" spans="1:3">
      <c r="A5468" s="347">
        <v>46090</v>
      </c>
      <c r="B5468" s="346" t="s">
        <v>11440</v>
      </c>
      <c r="C5468" s="346" t="s">
        <v>10386</v>
      </c>
    </row>
    <row r="5469" spans="1:3">
      <c r="A5469" s="347">
        <v>46090</v>
      </c>
      <c r="B5469" s="346" t="s">
        <v>11441</v>
      </c>
      <c r="C5469" s="346" t="s">
        <v>10453</v>
      </c>
    </row>
    <row r="5470" spans="1:3">
      <c r="A5470" s="347">
        <v>46090</v>
      </c>
      <c r="B5470" s="346" t="s">
        <v>11442</v>
      </c>
      <c r="C5470" s="346" t="s">
        <v>10257</v>
      </c>
    </row>
    <row r="5471" spans="1:3">
      <c r="A5471" s="347">
        <v>46090</v>
      </c>
      <c r="B5471" s="346" t="s">
        <v>11443</v>
      </c>
      <c r="C5471" s="346" t="s">
        <v>10283</v>
      </c>
    </row>
    <row r="5472" spans="1:3">
      <c r="A5472" s="347">
        <v>46090</v>
      </c>
      <c r="B5472" s="346" t="s">
        <v>11444</v>
      </c>
      <c r="C5472" s="346" t="s">
        <v>10331</v>
      </c>
    </row>
    <row r="5473" spans="1:3">
      <c r="A5473" s="347">
        <v>46090</v>
      </c>
      <c r="B5473" s="346" t="s">
        <v>11445</v>
      </c>
      <c r="C5473" s="346" t="s">
        <v>10413</v>
      </c>
    </row>
    <row r="5474" spans="1:3">
      <c r="A5474" s="347">
        <v>46090</v>
      </c>
      <c r="B5474" s="346" t="s">
        <v>11446</v>
      </c>
      <c r="C5474" s="346" t="s">
        <v>10454</v>
      </c>
    </row>
    <row r="5475" spans="1:3">
      <c r="A5475" s="347">
        <v>46090</v>
      </c>
      <c r="B5475" s="346" t="s">
        <v>11447</v>
      </c>
      <c r="C5475" s="346" t="s">
        <v>10432</v>
      </c>
    </row>
    <row r="5476" spans="1:3">
      <c r="A5476" s="347">
        <v>46090</v>
      </c>
      <c r="B5476" s="346" t="s">
        <v>11448</v>
      </c>
      <c r="C5476" s="346" t="s">
        <v>10455</v>
      </c>
    </row>
    <row r="5477" spans="1:3">
      <c r="A5477" s="347">
        <v>46090</v>
      </c>
      <c r="B5477" s="346" t="s">
        <v>11449</v>
      </c>
      <c r="C5477" s="346" t="s">
        <v>10280</v>
      </c>
    </row>
    <row r="5478" spans="1:3">
      <c r="A5478" s="347">
        <v>46090</v>
      </c>
      <c r="B5478" s="346" t="s">
        <v>11450</v>
      </c>
      <c r="C5478" s="346" t="s">
        <v>10387</v>
      </c>
    </row>
    <row r="5479" spans="1:3">
      <c r="A5479" s="347">
        <v>46090</v>
      </c>
      <c r="B5479" s="346" t="s">
        <v>11451</v>
      </c>
      <c r="C5479" s="346" t="s">
        <v>10332</v>
      </c>
    </row>
    <row r="5480" spans="1:3">
      <c r="A5480" s="347">
        <v>46090</v>
      </c>
      <c r="B5480" s="346" t="s">
        <v>11452</v>
      </c>
      <c r="C5480" s="346" t="s">
        <v>10258</v>
      </c>
    </row>
    <row r="5481" spans="1:3">
      <c r="A5481" s="347">
        <v>46090</v>
      </c>
      <c r="B5481" s="346" t="s">
        <v>11453</v>
      </c>
      <c r="C5481" s="346" t="s">
        <v>10347</v>
      </c>
    </row>
    <row r="5482" spans="1:3">
      <c r="A5482" s="347">
        <v>46090</v>
      </c>
      <c r="B5482" s="346" t="s">
        <v>11454</v>
      </c>
      <c r="C5482" s="346" t="s">
        <v>10456</v>
      </c>
    </row>
    <row r="5483" spans="1:3">
      <c r="A5483" s="347">
        <v>46090</v>
      </c>
      <c r="B5483" s="346" t="s">
        <v>11455</v>
      </c>
      <c r="C5483" s="346" t="s">
        <v>10388</v>
      </c>
    </row>
    <row r="5484" spans="1:3">
      <c r="A5484" s="347">
        <v>46090</v>
      </c>
      <c r="B5484" s="346" t="s">
        <v>11456</v>
      </c>
      <c r="C5484" s="346" t="s">
        <v>10284</v>
      </c>
    </row>
    <row r="5485" spans="1:3">
      <c r="A5485" s="347">
        <v>46090</v>
      </c>
      <c r="B5485" s="346" t="s">
        <v>11457</v>
      </c>
      <c r="C5485" s="346" t="s">
        <v>10259</v>
      </c>
    </row>
    <row r="5486" spans="1:3">
      <c r="A5486" s="347">
        <v>46090</v>
      </c>
      <c r="B5486" s="346" t="s">
        <v>11458</v>
      </c>
      <c r="C5486" s="346" t="s">
        <v>10445</v>
      </c>
    </row>
    <row r="5487" spans="1:3">
      <c r="A5487" s="347">
        <v>46090</v>
      </c>
      <c r="B5487" s="346" t="s">
        <v>11459</v>
      </c>
      <c r="C5487" s="346" t="s">
        <v>10414</v>
      </c>
    </row>
    <row r="5488" spans="1:3">
      <c r="A5488" s="347">
        <v>46090</v>
      </c>
      <c r="B5488" s="346" t="s">
        <v>11460</v>
      </c>
      <c r="C5488" s="346" t="s">
        <v>10260</v>
      </c>
    </row>
    <row r="5489" spans="1:3">
      <c r="A5489" s="347">
        <v>46090</v>
      </c>
      <c r="B5489" s="346" t="s">
        <v>11461</v>
      </c>
      <c r="C5489" s="346" t="s">
        <v>10434</v>
      </c>
    </row>
    <row r="5490" spans="1:3">
      <c r="A5490" s="347">
        <v>46090</v>
      </c>
      <c r="B5490" s="346" t="s">
        <v>11462</v>
      </c>
      <c r="C5490" s="346" t="s">
        <v>10308</v>
      </c>
    </row>
    <row r="5491" spans="1:3">
      <c r="A5491" s="347">
        <v>46090</v>
      </c>
      <c r="B5491" s="346" t="s">
        <v>11463</v>
      </c>
      <c r="C5491" s="346" t="s">
        <v>10446</v>
      </c>
    </row>
    <row r="5492" spans="1:3">
      <c r="A5492" s="347">
        <v>46090</v>
      </c>
      <c r="B5492" s="346" t="s">
        <v>11464</v>
      </c>
      <c r="C5492" s="346" t="s">
        <v>10309</v>
      </c>
    </row>
    <row r="5493" spans="1:3">
      <c r="A5493" s="347">
        <v>46090</v>
      </c>
      <c r="B5493" s="346" t="s">
        <v>11465</v>
      </c>
      <c r="C5493" s="346" t="s">
        <v>10362</v>
      </c>
    </row>
    <row r="5494" spans="1:3">
      <c r="A5494" s="347">
        <v>46090</v>
      </c>
      <c r="B5494" s="346" t="s">
        <v>11466</v>
      </c>
      <c r="C5494" s="346" t="s">
        <v>10361</v>
      </c>
    </row>
  </sheetData>
  <phoneticPr fontId="4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23</vt:i4>
      </vt:variant>
    </vt:vector>
  </HeadingPairs>
  <TitlesOfParts>
    <vt:vector size="29" baseType="lpstr">
      <vt:lpstr>公司分析</vt:lpstr>
      <vt:lpstr>行业比较</vt:lpstr>
      <vt:lpstr>盈利预测</vt:lpstr>
      <vt:lpstr>主营构成</vt:lpstr>
      <vt:lpstr>参数设置</vt:lpstr>
      <vt:lpstr>板块成分</vt:lpstr>
      <vt:lpstr>benchmark</vt:lpstr>
      <vt:lpstr>comparlastrep</vt:lpstr>
      <vt:lpstr>comppool</vt:lpstr>
      <vt:lpstr>盈利预测!currencyunit</vt:lpstr>
      <vt:lpstr>CurrencyUnit</vt:lpstr>
      <vt:lpstr>gross_items</vt:lpstr>
      <vt:lpstr>holdertime</vt:lpstr>
      <vt:lpstr>holdertimetype</vt:lpstr>
      <vt:lpstr>industrytype</vt:lpstr>
      <vt:lpstr>Institutionlist</vt:lpstr>
      <vt:lpstr>pricetype</vt:lpstr>
      <vt:lpstr>quantity</vt:lpstr>
      <vt:lpstr>recentreportdate</vt:lpstr>
      <vt:lpstr>reporttype</vt:lpstr>
      <vt:lpstr>rev_items</vt:lpstr>
      <vt:lpstr>rptype</vt:lpstr>
      <vt:lpstr>rptype2</vt:lpstr>
      <vt:lpstr>rptype3</vt:lpstr>
      <vt:lpstr>rptype4</vt:lpstr>
      <vt:lpstr>rptype5</vt:lpstr>
      <vt:lpstr>series</vt:lpstr>
      <vt:lpstr>timetype</vt:lpstr>
      <vt:lpstr>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公司分析</dc:title>
  <dc:creator/>
  <cp:lastModifiedBy/>
  <dcterms:created xsi:type="dcterms:W3CDTF">2006-09-13T11:21:51Z</dcterms:created>
  <dcterms:modified xsi:type="dcterms:W3CDTF">2026-03-09T12:16:00Z</dcterms:modified>
</cp:coreProperties>
</file>